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tructions" sheetId="1" r:id="rId4"/>
    <sheet state="visible" name="Own_Progress" sheetId="2" r:id="rId5"/>
    <sheet state="visible" name="Fixed_Bug_(F_Variables)" sheetId="3" r:id="rId6"/>
    <sheet state="visible" name="Mailing_list_(ML_Variables)" sheetId="4" r:id="rId7"/>
    <sheet state="visible" name="Other_source_(O_Variables)" sheetId="5" r:id="rId8"/>
    <sheet state="visible" name="Continuous_Integration_(CI_Vari" sheetId="6" r:id="rId9"/>
    <sheet state="visible" name="Review_(R_Variables)" sheetId="7" r:id="rId10"/>
    <sheet state="visible" name="BIC_(C_Variables)" sheetId="8" r:id="rId11"/>
    <sheet state="visible" name="Introducing_Issues_(I_Variables" sheetId="9" r:id="rId12"/>
    <sheet state="hidden" name="Hoja 10" sheetId="10" r:id="rId13"/>
    <sheet state="visible" name="Internal_lists_bugs" sheetId="11" r:id="rId14"/>
    <sheet state="visible" name="Building_Tools_(B_Variables)" sheetId="12" r:id="rId15"/>
    <sheet state="hidden" name="Info_C" sheetId="13" r:id="rId16"/>
    <sheet state="visible" name="Internal_lists_variables"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F1">
      <text>
        <t xml:space="preserve">missing Information. due to the change of the platform. Actual ZUUL information is not reliable</t>
      </text>
    </comment>
    <comment authorId="0" ref="E12">
      <text>
        <t xml:space="preserve">https://docs.google.com/document/d/17OIiBoIavih-1y4zzK0oXyI66529f-7JTCVj-BcXURA/edit (Instance Group APIs). WIKI</t>
      </text>
    </comment>
    <comment authorId="0" ref="E15">
      <text>
        <t xml:space="preserve">be careful</t>
      </text>
    </comment>
    <comment authorId="0" ref="D17">
      <text>
        <t xml:space="preserve">Result of more than 833</t>
      </text>
    </comment>
    <comment authorId="0" ref="E17">
      <text>
        <t xml:space="preserve">others available
</t>
      </text>
    </comment>
    <comment authorId="0" ref="D20">
      <text>
        <t xml:space="preserve">I have done the introducing issues. They are the same as 1486541 </t>
      </text>
    </comment>
    <comment authorId="0" ref="I21">
      <text>
        <t xml:space="preserve">no Review available
 </t>
      </text>
    </comment>
    <comment authorId="0" ref="E22">
      <text>
        <t xml:space="preserve">be careful</t>
      </text>
    </comment>
    <comment authorId="0" ref="I23">
      <text>
        <t xml:space="preserve">no Review available
 </t>
      </text>
    </comment>
    <comment authorId="0" ref="E24">
      <text>
        <t xml:space="preserve">be careful</t>
      </text>
    </comment>
    <comment authorId="0" ref="E32">
      <text>
        <t xml:space="preserve">others available. the bug url comes from the bug description
</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Please take into account the bug duplicates (if applicable)</t>
      </text>
    </comment>
    <comment authorId="0" ref="D2">
      <text>
        <t xml:space="preserve">If the code is not available in the list, just write the code normally and ignore the warning. The list will update after a couple of seconds.'
The list will show the codes sorted alphabetically
You should include in these codes, the aspects discussed on the duplicated bugs
Write each aspect in a different line, with the respective source. Do not duplicate any other information of the bug despite the BUG ID</t>
      </text>
    </comment>
    <comment authorId="0" ref="E2">
      <text>
        <t xml:space="preserve">If the code comes from a duplicated bug, please write it down here</t>
      </text>
    </comment>
    <comment authorId="0" ref="F2">
      <text>
        <t xml:space="preserve">Basic types (sorted in the drop down alphabetically, the same as the combinations): 
Configuration issue
Database-related issue
GUI-related issue
Network issue
Performance issue
Permission/deprecation issue
Program anomaly issue
Security issue
Test code-related issue
SEARCH them in alphabetical  ORDER</t>
      </text>
    </comment>
    <comment authorId="0" ref="H2">
      <text>
        <t xml:space="preserve">Use as a hint the COLUMN C. However, you should double-check this information.</t>
      </text>
    </comment>
    <comment authorId="0" ref="I2">
      <text>
        <t xml:space="preserve">Write down which ones are the duplicates</t>
      </text>
    </comment>
    <comment authorId="0" ref="J2">
      <text>
        <t xml:space="preserve">Use as a hint the COLUMN C. However, you should double-check this information.</t>
      </text>
    </comment>
    <comment authorId="0" ref="K2">
      <text>
        <t xml:space="preserve">Write down which ones are the duplicates</t>
      </text>
    </comment>
    <comment authorId="0" ref="A413">
      <text>
        <t xml:space="preserve">This bug has the same BIC than other bug. It is the same for 5021 and 5048. If you have already done one, copy all the values to the other bug, no dot label two times</t>
      </text>
    </comment>
    <comment authorId="0" ref="A414">
      <text>
        <t xml:space="preserve">This bug has the same BIC than other bug. It is the same for 5021 and 5048. If you have already done one, copy all the values to the other bug, no dot label two times</t>
      </text>
    </comment>
    <comment authorId="0" ref="A415">
      <text>
        <t xml:space="preserve">This bug has the same BIC than other bug. It is the same for 5021 and 5048. If you have already done one, copy all the values to the other bug, no dot label two times</t>
      </text>
    </comment>
    <comment authorId="0" ref="A416">
      <text>
        <t xml:space="preserve">This bug has the same BIC than other bug. It is the same for 5021 and 5048. If you have already done one, copy all the values to the other bug, no dot label two times</t>
      </text>
    </comment>
    <comment authorId="0" ref="A417">
      <text>
        <t xml:space="preserve">This bug has the same BIC than other bug. It is the same for 5021 and 5048. If you have already done one, copy all the values to the other bug, no dot label two times</t>
      </text>
    </comment>
    <comment authorId="0" ref="A418">
      <text>
        <t xml:space="preserve">This bug has the same BIC than other bug. It is the same for 5021 and 5048. If you have already done one, copy all the values to the other bug, no dot label two times</t>
      </text>
    </comment>
    <comment authorId="0" ref="A419">
      <text>
        <t xml:space="preserve">This bug has the same BIC than other bug. It is the same for 5021 and 5048. If you have already done one, copy all the values to the other bug, no dot label two times</t>
      </text>
    </comment>
    <comment authorId="0" ref="A420">
      <text>
        <t xml:space="preserve">This bug has the same BIC than other bug. It is the same for 5021 and 5048. If you have already done one, copy all the values to the other bug, no dot label two times</t>
      </text>
    </comment>
    <comment authorId="0" ref="A421">
      <text>
        <t xml:space="preserve">This bug has the same BIC than other bug. It is the same for 5021 and 5048. If you have already done one, copy all the values to the other bug, no dot label two times</t>
      </text>
    </comment>
    <comment authorId="0" ref="A422">
      <text>
        <t xml:space="preserve">This bug has the same BIC than other bug. It is the same for 5021 and 5048. If you have already done one, copy all the values to the other bug, no dot label two times</t>
      </text>
    </comment>
    <comment authorId="0" ref="A423">
      <text>
        <t xml:space="preserve">This bug has the same BIC than other bug. It is the same for 5021 and 5048. If you have already done one, copy all the values to the other bug, no dot label two times</t>
      </text>
    </comment>
    <comment authorId="0" ref="A424">
      <text>
        <t xml:space="preserve">This bug has the same BIC than other bug. It is the same for 5021 and 5048. If you have already done one, copy all the values to the other bug, no dot label two times</t>
      </text>
    </comment>
    <comment authorId="0" ref="A425">
      <text>
        <t xml:space="preserve">This bug has the same BIC than other bug. It is the same for 5021 and 5048. If you have already done one, copy all the values to the other bug, no dot label two times</t>
      </text>
    </comment>
    <comment authorId="0" ref="A426">
      <text>
        <t xml:space="preserve">This bug has the same BIC than other bug. It is the same for 5021 and 5048. If you have already done one, copy all the values to the other bug, no dot label two times</t>
      </text>
    </comment>
    <comment authorId="0" ref="A427">
      <text>
        <t xml:space="preserve">This bug has the same BIC than other bug. It is the same for 5021 and 5048. If you have already done one, copy all the values to the other bug, no dot label two times</t>
      </text>
    </comment>
    <comment authorId="0" ref="A428">
      <text>
        <t xml:space="preserve">This bug has the same BIC than other bug. It is the same for 5021 and 5048. If you have already done one, copy all the values to the other bug, no dot label two times</t>
      </text>
    </comment>
    <comment authorId="0" ref="A429">
      <text>
        <t xml:space="preserve">This bug has the same BIC than other bug. It is the same for 5021 and 5048. If you have already done one, copy all the values to the other bug, no dot label two times</t>
      </text>
    </comment>
    <comment authorId="0" ref="A430">
      <text>
        <t xml:space="preserve">This bug has the same BIC than other bug. It is the same for 5021 and 5048. If you have already done one, copy all the values to the other bug, no dot label two times</t>
      </text>
    </comment>
    <comment authorId="0" ref="A431">
      <text>
        <t xml:space="preserve">This bug has the same BIC than other bug. It is the same for 5021 and 5048. If you have already done one, copy all the values to the other bug, no dot label two times</t>
      </text>
    </comment>
    <comment authorId="0" ref="A432">
      <text>
        <t xml:space="preserve">This bug has the same BIC than other bug. It is the same for 5021 and 5048. If you have already done one, copy all the values to the other bug, no dot label two times</t>
      </text>
    </comment>
    <comment authorId="0" ref="A433">
      <text>
        <t xml:space="preserve">This bug has the same BIC than other bug. It is the same for 5021 and 5048. If you have already done one, copy all the values to the other bug, no dot label two times</t>
      </text>
    </comment>
    <comment authorId="0" ref="A434">
      <text>
        <t xml:space="preserve">This bug has the same BIC than other bug. It is the same for 5021 and 5048. If you have already done one, copy all the values to the other bug, no dot label two times</t>
      </text>
    </comment>
    <comment authorId="0" ref="A435">
      <text>
        <t xml:space="preserve">This bug has the same BIC than other bug. It is the same for 5021 and 5048. If you have already done one, copy all the values to the other bug, no dot label two times</t>
      </text>
    </comment>
    <comment authorId="0" ref="A512">
      <text>
        <t xml:space="preserve">This bug has the same BIC than other bug. It is the same for 8507 and 8580. If you have already done one, copy all the values to the other bug, no dot label two times</t>
      </text>
    </comment>
    <comment authorId="0" ref="A513">
      <text>
        <t xml:space="preserve">This bug has the same BIC than other bug. It is the same for 8507 and 8580. If you have already done one, copy all the values to the other bug, no dot label two times</t>
      </text>
    </comment>
    <comment authorId="0" ref="A514">
      <text>
        <t xml:space="preserve">This bug has the same BIC than other bug. It is the same for 8507 and 8580. If you have already done one, copy all the values to the other bug, no dot label two times</t>
      </text>
    </comment>
    <comment authorId="0" ref="A515">
      <text>
        <t xml:space="preserve">This bug has the same BIC than other bug. It is the same for 8507 and 8580. If you have already done one, copy all the values to the other bug, no dot label two times</t>
      </text>
    </comment>
    <comment authorId="0" ref="A516">
      <text>
        <t xml:space="preserve">This bug has the same BIC than other bug. It is the same for 8507 and 8580. If you have already done one, copy all the values to the other bug, no dot label two times</t>
      </text>
    </comment>
    <comment authorId="0" ref="A517">
      <text>
        <t xml:space="preserve">This bug has the same BIC than other bug. It is the same for 8507 and 8580. If you have already done one, copy all the values to the other bug, no dot label two times</t>
      </text>
    </comment>
    <comment authorId="0" ref="A518">
      <text>
        <t xml:space="preserve">This bug has the same BIC than other bug. It is the same for 5021 and 5048. If you have already done one, copy all the values to the other bug, no dot label two times</t>
      </text>
    </comment>
    <comment authorId="0" ref="A519">
      <text>
        <t xml:space="preserve">This bug has the same BIC than other bug. It is the same for 5021 and 5048. If you have already done one, copy all the values to the other bug, no dot label two times</t>
      </text>
    </comment>
    <comment authorId="0" ref="A520">
      <text>
        <t xml:space="preserve">This bug has the same BIC than other bug. It is the same for 5021 and 5048. If you have already done one, copy all the values to the other bug, no dot label two times</t>
      </text>
    </comment>
    <comment authorId="0" ref="A521">
      <text>
        <t xml:space="preserve">This bug has the same BIC than other bug. It is the same for 5021 and 5048. If you have already done one, copy all the values to the other bug, no dot label two times</t>
      </text>
    </comment>
    <comment authorId="0" ref="A522">
      <text>
        <t xml:space="preserve">This bug has the same BIC than other bug. It is the same for 5021 and 5048. If you have already done one, copy all the values to the other bug, no dot label two times</t>
      </text>
    </comment>
    <comment authorId="0" ref="A523">
      <text>
        <t xml:space="preserve">This bug has the same BIC than other bug. It is the same for 5021 and 5048. If you have already done one, copy all the values to the other bug, no dot label two times</t>
      </text>
    </comment>
    <comment authorId="0" ref="A524">
      <text>
        <t xml:space="preserve">This bug has the same BIC than other bug. It is the same for 5021 and 5048. If you have already done one, copy all the values to the other bug, no dot label two times</t>
      </text>
    </comment>
    <comment authorId="0" ref="A525">
      <text>
        <t xml:space="preserve">This bug has the same BIC than other bug. It is the same for 5021 and 5048. If you have already done one, copy all the values to the other bug, no dot label two times</t>
      </text>
    </comment>
    <comment authorId="0" ref="A526">
      <text>
        <t xml:space="preserve">This bug has the same BIC than other bug. It is the same for 5021 and 5048. If you have already done one, copy all the values to the other bug, no dot label two times</t>
      </text>
    </comment>
    <comment authorId="0" ref="A582">
      <text>
        <t xml:space="preserve">This bug has the same BIC than other bug. It is the same for 8507 and 8580. If you have already done one, copy all the values to the other bug, no dot label two times</t>
      </text>
    </comment>
    <comment authorId="0" ref="A583">
      <text>
        <t xml:space="preserve">This bug has the same BIC than other bug. It is the same for 8507 and 8580. If you have already done one, copy all the values to the other bug, no dot label two times</t>
      </text>
    </comment>
    <comment authorId="0" ref="A584">
      <text>
        <t xml:space="preserve">This bug has the same BIC than other bug. It is the same for 8507 and 8580. If you have already done one, copy all the values to the other bug, no dot label two times</t>
      </text>
    </comment>
    <comment authorId="0" ref="A585">
      <text>
        <t xml:space="preserve">This bug has the same BIC than other bug. It is the same for 8507 and 8580. If you have already done one, copy all the values to the other bug, no dot label two times</t>
      </text>
    </comment>
    <comment authorId="0" ref="A586">
      <text>
        <t xml:space="preserve">This bug has the same BIC than other bug. It is the same for 8507 and 8580. If you have already done one, copy all the values to the other bug, no dot label two times</t>
      </text>
    </comment>
    <comment authorId="0" ref="A587">
      <text>
        <t xml:space="preserve">This bug has the same BIC than other bug. It is the same for 8507 and 8580. If you have already done one, copy all the values to the other bug, no dot label two times</t>
      </text>
    </comment>
    <comment authorId="0" ref="A588">
      <text>
        <t xml:space="preserve">This bug has the same BIC than other bug. It is the same for 8507 and 8580. If you have already done one, copy all the values to the other bug, no dot label two times</t>
      </text>
    </comment>
    <comment authorId="0" ref="A589">
      <text>
        <t xml:space="preserve">This bug has the same BIC than other bug. It is the same for 8507 and 8580. If you have already done one, copy all the values to the other bug, no dot label two times</t>
      </text>
    </comment>
    <comment authorId="0" ref="A590">
      <text>
        <t xml:space="preserve">This bug has the same BIC than other bug. It is the same for 8507 and 8580. If you have already done one, copy all the values to the other bug, no dot label two times</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
      <text>
        <t xml:space="preserve">Write each id of the ML bug discussion ids separated by commas. 
The ids are the ones that are at the end of the Nova URL: E.g.: /msg124868.html --&gt; ID: msg124868</t>
      </text>
    </comment>
    <comment authorId="0" ref="E2">
      <text>
        <t xml:space="preserve">Write each aspect in a different line, that means hat you have to write down JUST the bug id as many times as needed.
If the value is not available, write it normally and ignore the warning. The list will update in a couple of seconds
</t>
      </text>
    </comment>
    <comment authorId="0" ref="G2">
      <text>
        <t xml:space="preserve">For each email, write the lists of IDs that were discussed,  in a new line 
(IDS of the introducing issues COLUMN J, 
Zou have to find the mails, in the same way as the main mail is searched)</t>
      </text>
    </comment>
    <comment authorId="0" ref="H2">
      <text>
        <t xml:space="preserve">Write each aspect in a different line, that means that you have to write down JUST the bug ID as many times as needed.
If the value is not available, write it normally and ignore the warning. The list will update in a couple of seconds</t>
      </text>
    </comment>
    <comment authorId="0" ref="J2">
      <text>
        <t xml:space="preserve">if the ID is a number, then it is a bug (Nova) or issue (ES); otherwise, it is a BP.
NA: information not available</t>
      </text>
    </comment>
    <comment authorId="0" ref="A13">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4">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5">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6">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7">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8">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03">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04">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05">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06">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07">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08">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09">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10">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11">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12">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13">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
      <text>
        <t xml:space="preserve">write in this column the ID</t>
      </text>
    </comment>
    <comment authorId="0" ref="E2">
      <text>
        <t xml:space="preserve">If the value is not available, write it normally and ignore the warning. The list will update in a couple of seconds
</t>
      </text>
    </comment>
    <comment authorId="0" ref="F2">
      <text>
        <t xml:space="preserve">Write a single aspect per line. This means that you should repeat the Bug ID and O1 variable but not O2.
If the value is not available, write it normally and ignore the warning. The list will update in a couple of seconds
</t>
      </text>
    </comment>
    <comment authorId="0" ref="I2">
      <text>
        <t xml:space="preserve">PLease, to check his correctly, go to to Internal_list_bugs and check the full path in Column  Y
</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K1">
      <text>
        <t xml:space="preserve">please, check the affected files in column B</t>
      </text>
    </comment>
    <comment authorId="0" ref="D2">
      <text>
        <t xml:space="preserve">write all the tools for a single review in a single row separated by commas</t>
      </text>
    </comment>
    <comment authorId="0" ref="E2">
      <text>
        <t xml:space="preserve">write all the tools for a single review in a single row separated by commas</t>
      </text>
    </comment>
    <comment authorId="0" ref="G2">
      <text>
        <t xml:space="preserve">per each code, write a different line, duplicate the ID of the bug but not the general variables. 
</t>
      </text>
    </comment>
    <comment authorId="0" ref="P2">
      <text>
        <t xml:space="preserve">PLease, to check his correctly, go to to Internal_list_bugs and check the full path in Column  Y
</t>
      </text>
    </comment>
    <comment authorId="0" ref="F3">
      <text>
        <t xml:space="preserve">the different patches</t>
      </text>
    </comment>
    <comment authorId="0" ref="I443">
      <text>
        <t xml:space="preserve">only in the vmuitils.py
</t>
      </text>
    </comment>
    <comment authorId="0" ref="A1654">
      <text>
        <t xml:space="preserve">This bug has the same BIC than other bug. It is the same for Bug 5021 and 5048. If you have already done one, copy all the values to the other bug (variables that are NOT BUG DEPENDANT), no dot label two times.</t>
      </text>
    </comment>
    <comment authorId="0" ref="A1655">
      <text>
        <t xml:space="preserve">This bug has the same BIC than other bug. It is the same for Bug 5021 and 5048. If you have already done one, copy all the values to the other bug (variables that are NOT BUG DEPENDANT), no dot label two times.</t>
      </text>
    </comment>
    <comment authorId="0" ref="A1661">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668">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673">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732">
      <text>
        <t xml:space="preserve">before PR 8454 because it was a intro Issue </t>
      </text>
    </comment>
    <comment authorId="0" ref="A1733">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734">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735">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736">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737">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738">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739">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740">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741">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742">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743">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799">
      <text>
        <t xml:space="preserve">This bug has the same REVIEW than other bugs. It is the same bugs 9005, with BUGS: 8507, 8580, 8125, and 8893 (multiple commits reviewed at the same PR).  If you have already done one, copy all the values to the other bug (variables that are NOT BUG DEPENDANT), no dot label two times the same.</t>
      </text>
    </comment>
    <comment authorId="0" ref="A1800">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01">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02">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03">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04">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05">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06">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07">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08">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09">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10">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11">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12">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13">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 authorId="0" ref="A1814">
      <text>
        <t xml:space="preserve">This bug has the same BIC than other bug. It is the same for Bug 8507 and 8580.
 AND the SAME review  9005, with BUGS: 8507, 8580, 8125, and 8893.  If you have already done one, copy all the values to the other bug (variables that are NOT BUG DEPENDANT), no dot label two times.</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
      <text>
        <t xml:space="preserve">Write the type of the commit
If the value is not available, write it normally and ignore the warning. The list will update in a couple of seconds
Value</t>
      </text>
    </comment>
    <comment authorId="0" ref="R2">
      <text>
        <t xml:space="preserve">If the value is not available, write it normally and ignore the warning. The list will update in a couple of seconds</t>
      </text>
    </comment>
    <comment authorId="0" ref="AN2">
      <text>
        <t xml:space="preserve">Write the email of each coauthor, separated by a comma</t>
      </text>
    </comment>
    <comment authorId="0" ref="AG21">
      <text>
        <t xml:space="preserve">check cell content</t>
      </text>
    </comment>
    <comment authorId="0" ref="AG22">
      <text>
        <t xml:space="preserve">check cell content</t>
      </text>
    </comment>
    <comment authorId="0" ref="AG32">
      <text>
        <t xml:space="preserve">check cell content</t>
      </text>
    </comment>
    <comment authorId="0" ref="A61">
      <text>
        <t xml:space="preserve">This bug has the same BIC than other bug. It is the same for Bug 8507 and 8580. If you have already done one, copy all the values to the other bug (variables that are NOT BUG DEPENDANT), no dot label two times.</t>
      </text>
    </comment>
    <comment authorId="0" ref="R26">
      <text>
        <t xml:space="preserve">it looks like the merge was messed up
	-Irmgard Mojica Hanke</t>
      </text>
    </comment>
    <comment authorId="0" ref="AK23">
      <text>
        <t xml:space="preserve">in test
	-Irmgard Mojica Hanke</t>
      </text>
    </comment>
    <comment authorId="0" ref="AA21">
      <text>
        <t xml:space="preserve">this should be a yes, the documentation is being changed is not a docimpact which means that the documentation should be changed
	-Irmgard Mojica Hanke</t>
      </text>
    </comment>
    <comment authorId="0" ref="AC10">
      <text>
        <t xml:space="preserve">external to who?, how do we know what is external if we do not know what is being used by users and what is being ..
	-Irmgard Mojica Hanke</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C2">
      <text>
        <t xml:space="preserve">if the ID is a number, then it is a bug (Nova) or issue (ES); otherwise, it is a BP.
NA: information not available</t>
      </text>
    </comment>
    <comment authorId="0" ref="D2">
      <text>
        <t xml:space="preserve">Guide yourself with the COLUMN C.  The introducing issues can be a Blueprint or a BUG.
Write each ID of the introducing issue in a new line as needed </t>
      </text>
    </comment>
    <comment authorId="0" ref="E2">
      <text>
        <t xml:space="preserve">Write all the types for an issue separated by commas.
If the value is not available, write it normally, ignore the warning,  the list will update in a couple of seconds</t>
      </text>
    </comment>
    <comment authorId="0" ref="F2">
      <text>
        <t xml:space="preserve">For each introducing issue, write the aspects in a different line. This means that you should copy the same Bug ID and Issue ID again, but not the general Variables (I2). 
If the value is not available, write it normally and ignore the warning. The list will update in a couple of seconds</t>
      </text>
    </comment>
    <comment authorId="0" ref="G2">
      <text>
        <t xml:space="preserve">make sure to have a clear source, of the code</t>
      </text>
    </comment>
    <comment authorId="0" ref="H2">
      <text>
        <t xml:space="preserve">if it has a wiki, go to others and code it there</t>
      </text>
    </comment>
    <comment authorId="0" ref="A17">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18">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19">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0">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1">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2">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3">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4">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5">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6">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7">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8">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29">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30">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31">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32">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33">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34">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35">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36">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37">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38">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39">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40">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41">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42">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43">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44">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45">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46">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47">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48">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49">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50">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51">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52">
      <text>
        <t xml:space="preserve">"This bug has  some Introducing issues as another bug: Bug 1486541 and 1370177. same introducing issues (IDs: icehouse-objects, clean-up-legacy-block-device-mapping) and the same ML associated to them.If you have already done one, copy all the values to the other bug, no dot label two times that are related to the introducing issues"</t>
      </text>
    </comment>
    <comment authorId="0" ref="A165">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66">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67">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68">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69">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70">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71">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72">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73">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74">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75">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76">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77">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78">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79">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80">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81">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82">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83">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84">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85">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86">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87">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88">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89">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90">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91">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92">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93">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94">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95">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96">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97">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98">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199">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200">
      <text>
        <t xml:space="preserve">This bug has the same BIC than other bug.  It is the same for Bug 1486541 and 1370177. Then it will have the same introducing issues (IDs: icehouse-objects, clean-up-legacy-block-device-mapping) and the same ML associated to them.If you have already done one, copy all the values to the other bug, no dot label two times</t>
      </text>
    </comment>
    <comment authorId="0" ref="A32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2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2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2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2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2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2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2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3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4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5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6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7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8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39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0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1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1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41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E483">
      <text>
        <t xml:space="preserve">not coded since it realtes to but is not closed by, the same logic was applied to nova (based on steffen opinion)</t>
      </text>
    </comment>
    <comment authorId="0" ref="A508">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509">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510">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511">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581">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582">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583">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584">
      <text>
        <t xml:space="preserve">This bug has the same BIC than other bug.  It is the same for Bug 8507 and 8580. Then it will have the same introducing issues (ID: 6908) and the same ML associated to them.If you have already done one, copy all the values to the other bug, no dot label two times</t>
      </text>
    </comment>
    <comment authorId="0" ref="A58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8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8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8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8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9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9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9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9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9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9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9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9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9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59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0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0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0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0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0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0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0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0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0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0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1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1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1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1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1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1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1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1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1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1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2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2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2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2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2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2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2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2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2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2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3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3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3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3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3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3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3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3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3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3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4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4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4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4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4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4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4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4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4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4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5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5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5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5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5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5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5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5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5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5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6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6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6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6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6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6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66">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67">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68">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69">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70">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71">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72">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73">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74">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67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 authorId="0" ref="A1015">
      <text>
        <t xml:space="preserve">This bug has the same BIC than other bug.  It is the same for Bug 5021 and 5048. Then it will have the same introducing issues (ID: 3300) and the same ML associated to them.If you have already done one, copy all the values to the other bug, no dot label two times</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
      <text>
        <t xml:space="preserve">Write a single tool per line. This means that you should repeat the Bug ID and Commit ID
If the value is not available, write it normally and ignore the warning. The list will update in a couple of seconds
</t>
      </text>
    </comment>
    <comment authorId="0" ref="F2">
      <text>
        <t xml:space="preserve">Write a single dependency resolution per line. This means that you should repeat the Bug ID and Commit ID, NOT B1 or B3 (those variables are independent from each other
SELECT one from the list</t>
      </text>
    </comment>
    <comment authorId="0" ref="H2">
      <text>
        <t xml:space="preserve">Write a single practice resolution per line. This means that you should repeat the Bug ID and Commit ID, NOT B1 or B2 (those variables are independent from each other
If the value is not available, write it normally and ignore the warning. The list will update in a couple of seconds
</t>
      </text>
    </comment>
    <comment authorId="0" ref="A844">
      <text>
        <t xml:space="preserve">This bug has the same BIC than other bug. It is the same for Bug 5021 and 5048. If you have already done one, copy all the values to the other bug, no dot label two times</t>
      </text>
    </comment>
    <comment authorId="0" ref="A845">
      <text>
        <t xml:space="preserve">This bug has the same BIC than other bug. It is the same for Bug 5021 and 5048. If you have already done one, copy all the values to the other bug, no dot label two times</t>
      </text>
    </comment>
    <comment authorId="0" ref="A846">
      <text>
        <t xml:space="preserve">This bug has the same BIC than other bug. It is the same for Bug 5021 and 5048. If you have already done one, copy all the values to the other bug, no dot label two times</t>
      </text>
    </comment>
    <comment authorId="0" ref="A847">
      <text>
        <t xml:space="preserve">This bug has the same BIC than other bug. It is the same for Bug 5021 and 5048. If you have already done one, copy all the values to the other bug, no dot label two times</t>
      </text>
    </comment>
    <comment authorId="0" ref="A848">
      <text>
        <t xml:space="preserve">This bug has the same BIC than other bug. It is the same for Bug 5021 and 5048. If you have already done one, copy all the values to the other bug, no dot label two times</t>
      </text>
    </comment>
    <comment authorId="0" ref="A849">
      <text>
        <t xml:space="preserve">This bug has the same BIC than other bug. It is the same for Bug 5021 and 5048. If you have already done one, copy all the values to the other bug, no dot label two times</t>
      </text>
    </comment>
    <comment authorId="0" ref="A850">
      <text>
        <t xml:space="preserve">This bug has the same BIC than other bug. It is the same for Bug 5021 and 5048. If you have already done one, copy all the values to the other bug, no dot label two times</t>
      </text>
    </comment>
    <comment authorId="0" ref="A851">
      <text>
        <t xml:space="preserve">This bug has the same BIC than other bug. It is the same for Bug 5021 and 5048. If you have already done one, copy all the values to the other bug, no dot label two times</t>
      </text>
    </comment>
    <comment authorId="0" ref="A852">
      <text>
        <t xml:space="preserve">This bug has the same BIC than other bug. It is the same for Bug 5021 and 5048. If you have already done one, copy all the values to the other bug, no dot label two times</t>
      </text>
    </comment>
    <comment authorId="0" ref="A853">
      <text>
        <t xml:space="preserve">This bug has the same BIC than other bug. It is the same for Bug 5021 and 5048. If you have already done one, copy all the values to the other bug, no dot label two times</t>
      </text>
    </comment>
    <comment authorId="0" ref="A854">
      <text>
        <t xml:space="preserve">This bug has the same BIC than other bug. It is the same for Bug 5021 and 5048. If you have already done one, copy all the values to the other bug, no dot label two times</t>
      </text>
    </comment>
    <comment authorId="0" ref="A855">
      <text>
        <t xml:space="preserve">This bug has the same BIC than other bug. It is the same for Bug 5021 and 5048. If you have already done one, copy all the values to the other bug, no dot label two times</t>
      </text>
    </comment>
    <comment authorId="0" ref="A856">
      <text>
        <t xml:space="preserve">This bug has the same BIC than other bug. It is the same for Bug 5021 and 5048. If you have already done one, copy all the values to the other bug, no dot label two times</t>
      </text>
    </comment>
    <comment authorId="0" ref="A857">
      <text>
        <t xml:space="preserve">This bug has the same BIC than other bug. It is the same for Bug 5021 and 5048. If you have already done one, copy all the values to the other bug, no dot label two times</t>
      </text>
    </comment>
    <comment authorId="0" ref="A858">
      <text>
        <t xml:space="preserve">This bug has the same BIC than other bug. It is the same for Bug 5021 and 5048. If you have already done one, copy all the values to the other bug, no dot label two times</t>
      </text>
    </comment>
    <comment authorId="0" ref="A859">
      <text>
        <t xml:space="preserve">This bug has the same BIC than other bug. It is the same for Bug 5021 and 5048. If you have already done one, copy all the values to the other bug, no dot label two times</t>
      </text>
    </comment>
    <comment authorId="0" ref="A860">
      <text>
        <t xml:space="preserve">This bug has the same BIC than other bug. It is the same for Bug 5021 and 5048. If you have already done one, copy all the values to the other bug, no dot label two times</t>
      </text>
    </comment>
    <comment authorId="0" ref="A861">
      <text>
        <t xml:space="preserve">This bug has the same BIC than other bug. It is the same for Bug 5021 and 5048. If you have already done one, copy all the values to the other bug, no dot label two times</t>
      </text>
    </comment>
    <comment authorId="0" ref="A862">
      <text>
        <t xml:space="preserve">This bug has the same BIC than other bug. It is the same for Bug 5021 and 5048. If you have already done one, copy all the values to the other bug, no dot label two times</t>
      </text>
    </comment>
    <comment authorId="0" ref="A863">
      <text>
        <t xml:space="preserve">This bug has the same BIC than other bug. It is the same for Bug 5021 and 5048. If you have already done one, copy all the values to the other bug, no dot label two times</t>
      </text>
    </comment>
    <comment authorId="0" ref="A864">
      <text>
        <t xml:space="preserve">This bug has the same BIC than other bug. It is the same for Bug 5021 and 5048. If you have already done one, copy all the values to the other bug, no dot label two times</t>
      </text>
    </comment>
    <comment authorId="0" ref="A865">
      <text>
        <t xml:space="preserve">This bug has the same BIC than other bug. It is the same for Bug 5021 and 5048. If you have already done one, copy all the values to the other bug, no dot label two times</t>
      </text>
    </comment>
    <comment authorId="0" ref="A866">
      <text>
        <t xml:space="preserve">This bug has the same BIC than other bug. It is the same for Bug 5021 and 5048. If you have already done one, copy all the values to the other bug, no dot label two times</t>
      </text>
    </comment>
    <comment authorId="0" ref="A867">
      <text>
        <t xml:space="preserve">This bug has the same BIC than other bug. It is the same for Bug 5021 and 5048. If you have already done one, copy all the values to the other bug, no dot label two times</t>
      </text>
    </comment>
    <comment authorId="0" ref="A868">
      <text>
        <t xml:space="preserve">This bug has the same BIC than other bug. It is the same for Bug 5021 and 5048. If you have already done one, copy all the values to the other bug, no dot label two times</t>
      </text>
    </comment>
    <comment authorId="0" ref="A869">
      <text>
        <t xml:space="preserve">This bug has the same BIC than other bug. It is the same for Bug 5021 and 5048. If you have already done one, copy all the values to the other bug, no dot label two times</t>
      </text>
    </comment>
    <comment authorId="0" ref="A950">
      <text>
        <t xml:space="preserve">This bug has the same BIC than other bug. It is the same for Bug 8507 and 8580. If you have already done one, copy all the values to the other bug, no dot label two times</t>
      </text>
    </comment>
    <comment authorId="0" ref="A951">
      <text>
        <t xml:space="preserve">This bug has the same BIC than other bug. It is the same for Bug 8507 and 8580. If you have already done one, copy all the values to the other bug, no dot label two times</t>
      </text>
    </comment>
    <comment authorId="0" ref="A952">
      <text>
        <t xml:space="preserve">This bug has the same BIC than other bug. It is the same for Bug 8507 and 8580. If you have already done one, copy all the values to the other bug, no dot label two times</t>
      </text>
    </comment>
    <comment authorId="0" ref="A953">
      <text>
        <t xml:space="preserve">This bug has the same BIC than other bug. It is the same for Bug 8507 and 8580. If you have already done one, copy all the values to the other bug, no dot label two times</t>
      </text>
    </comment>
    <comment authorId="0" ref="A954">
      <text>
        <t xml:space="preserve">This bug has the same BIC than other bug. It is the same for Bug 8507 and 8580. If you have already done one, copy all the values to the other bug, no dot label two times</t>
      </text>
    </comment>
    <comment authorId="0" ref="A955">
      <text>
        <t xml:space="preserve">This bug has the same BIC than other bug. It is the same for Bug 8507 and 8580. If you have already done one, copy all the values to the other bug, no dot label two times</t>
      </text>
    </comment>
    <comment authorId="0" ref="A956">
      <text>
        <t xml:space="preserve">This bug has the same BIC than other bug. It is the same for Bug 8507 and 8580. If you have already done one, copy all the values to the other bug, no dot label two times</t>
      </text>
    </comment>
    <comment authorId="0" ref="A957">
      <text>
        <t xml:space="preserve">This bug has the same BIC than other bug. It is the same for Bug 8507 and 8580. If you have already done one, copy all the values to the other bug, no dot label two times</t>
      </text>
    </comment>
    <comment authorId="0" ref="A958">
      <text>
        <t xml:space="preserve">This bug has the same BIC than other bug. It is the same for Bug 8507 and 8580. If you have already done one, copy all the values to the other bug, no dot label two times</t>
      </text>
    </comment>
    <comment authorId="0" ref="A959">
      <text>
        <t xml:space="preserve">This bug has the same BIC than other bug. It is the same for Bug 8507 and 8580. If you have already done one, copy all the values to the other bug, no dot label two times</t>
      </text>
    </comment>
    <comment authorId="0" ref="A960">
      <text>
        <t xml:space="preserve">This bug has the same BIC than other bug. It is the same for Bug 8507 and 8580. If you have already done one, copy all the values to the other bug, no dot label two times</t>
      </text>
    </comment>
    <comment authorId="0" ref="A961">
      <text>
        <t xml:space="preserve">This bug has the same BIC than other bug. It is the same for Bug 8507 and 8580. If you have already done one, copy all the values to the other bug, no dot label two times</t>
      </text>
    </comment>
    <comment authorId="0" ref="A963">
      <text>
        <t xml:space="preserve">This bug has the same BIC than other bug. It is the same for Bug 8507 and 8580. If you have already done one, copy all the values to the other bug, no dot label two times</t>
      </text>
    </comment>
    <comment authorId="0" ref="A964">
      <text>
        <t xml:space="preserve">This bug has the same BIC than other bug. It is the same for Bug 8507 and 8580. If you have already done one, copy all the values to the other bug, no dot label two times</t>
      </text>
    </comment>
    <comment authorId="0" ref="A965">
      <text>
        <t xml:space="preserve">This bug has the same BIC than other bug. It is the same for Bug 8507 and 8580. If you have already done one, copy all the values to the other bug, no dot label two times</t>
      </text>
    </comment>
    <comment authorId="0" ref="A966">
      <text>
        <t xml:space="preserve">This bug has the same BIC than other bug. It is the same for Bug 8507 and 8580. If you have already done one, copy all the values to the other bug, no dot label two times</t>
      </text>
    </comment>
    <comment authorId="0" ref="A967">
      <text>
        <t xml:space="preserve">This bug has the same BIC than other bug. It is the same for Bug 8507 and 8580. If you have already done one, copy all the values to the other bug, no dot label two times</t>
      </text>
    </comment>
    <comment authorId="0" ref="A968">
      <text>
        <t xml:space="preserve">This bug has the same BIC than other bug. It is the same for Bug 8507 and 8580. If you have already done one, copy all the values to the other bug, no dot label two times</t>
      </text>
    </comment>
    <comment authorId="0" ref="A969">
      <text>
        <t xml:space="preserve">This bug has the same BIC than other bug. It is the same for Bug 8507 and 8580. If you have already done one, copy all the values to the other bug, no dot label two times</t>
      </text>
    </comment>
    <comment authorId="0" ref="A970">
      <text>
        <t xml:space="preserve">This bug has the same BIC than other bug. It is the same for Bug 8507 and 8580. If you have already done one, copy all the values to the other bug, no dot label two times</t>
      </text>
    </comment>
    <comment authorId="0" ref="A971">
      <text>
        <t xml:space="preserve">This bug has the same BIC than other bug. It is the same for Bug 8507 and 8580. If you have already done one, copy all the values to the other bug, no dot label two times</t>
      </text>
    </comment>
    <comment authorId="0" ref="A972">
      <text>
        <t xml:space="preserve">This bug has the same BIC than other bug. It is the same for Bug 8507 and 8580. If you have already done one, copy all the values to the other bug, no dot label two times</t>
      </text>
    </comment>
    <comment authorId="0" ref="A973">
      <text>
        <t xml:space="preserve">This bug has the same BIC than other bug. It is the same for Bug 8507 and 8580. If you have already done one, copy all the values to the other bug, no dot label two times</t>
      </text>
    </comment>
    <comment authorId="0" ref="A974">
      <text>
        <t xml:space="preserve">This bug has the same BIC than other bug. It is the same for Bug 8507 and 8580. If you have already done one, copy all the values to the other bug, no dot label two times</t>
      </text>
    </comment>
    <comment authorId="0" ref="A975">
      <text>
        <t xml:space="preserve">This bug has the same BIC than other bug. It is the same for Bug 8507 and 8580. If you have already done one, copy all the values to the other bug, no dot label two times</t>
      </text>
    </comment>
  </commentList>
</comments>
</file>

<file path=xl/sharedStrings.xml><?xml version="1.0" encoding="utf-8"?>
<sst xmlns="http://schemas.openxmlformats.org/spreadsheetml/2006/main" count="20009" uniqueCount="5243">
  <si>
    <t xml:space="preserve"> </t>
  </si>
  <si>
    <t>Where</t>
  </si>
  <si>
    <t>Bugs and Commits assignation</t>
  </si>
  <si>
    <t>Please see the "Assignment page" in order to see which label (e.g., Tagger A, Tagger B) and which articles were assigned to you</t>
  </si>
  <si>
    <t>General_Book [Assignment]</t>
  </si>
  <si>
    <t xml:space="preserve">Each tagger has three columns. 1) A column that identifies the tagger (one of us, Ana (Tag_A) and tagger L (Lukas) 2) A column with the assigned ID of the bugs 3) a status column that could be used to identify which papers have been analyzed (e.g., not started, in progress, DONE) </t>
  </si>
  <si>
    <t>Filling out the excel</t>
  </si>
  <si>
    <t xml:space="preserve">For each one of the sheets, </t>
  </si>
  <si>
    <r>
      <rPr>
        <rFont val="Arial"/>
        <color theme="1"/>
        <sz val="12.0"/>
      </rPr>
      <t xml:space="preserve">Take into account that each aspect to discuss/ label/ id of other media / related issue ID, etc. should be written in a </t>
    </r>
    <r>
      <rPr>
        <rFont val="Arial"/>
        <b/>
        <color theme="1"/>
        <sz val="12.0"/>
      </rPr>
      <t>separate LINE.</t>
    </r>
  </si>
  <si>
    <t xml:space="preserve">1. For the Bugs (NOT the control group) Write the BUG ID in each sheet in the first COLUMN (Column A) </t>
  </si>
  <si>
    <t>2. After a Bug ID is selected in Column A,  in Colum B the URL of the Bug is going to appear as a helper for you</t>
  </si>
  <si>
    <t>3. After a BUG ID is selected in Column A, in Column C, the information that is related to the sheet and the bug is going to appear (e.g., for the fixed bug sheet is going to appear the id of the duplicated bugs, so you can consider them for the tagging)</t>
  </si>
  <si>
    <t xml:space="preserve">4. In the case that multiple practices/ aspects to discuss for a single bug, issue, etc.., are found, please write EACH practice in a NEW LINE. repeating in Column A  the BUG ID and, if applicable, the id of the sub-identifier 
e.g.,  [introducing issue sheet] In line 1, write the id of Bug1 and the introducing issue II1, and write one aspect that was discussed for that introducing issue II1, a second aspect was discussed for II1 write down again the BUG ID and the introducing issue in a new line, the same if more than one introducing issue appears. </t>
  </si>
  <si>
    <t>5. Doing 5 we can keep track easily of the sources for each manually labeled aspect, and in the homogenization process will be faster and easier</t>
  </si>
  <si>
    <t xml:space="preserve">6.  In the cases in which a BUG ID and Subsequent ID are repeated due to new aspects to be discussed or any other variable, the variables that are GENERAL to the BUG or to the subsequent ID SHOULD be left EMPTY in the "duplicate lines". 
E.g. In the previous example, the values of the severities of each should be written only ONCE, the first time that they are addressed, and then, when the BUG ID and the ii ID are written down again, they should be left empty. </t>
  </si>
  <si>
    <t>NOTE:</t>
  </si>
  <si>
    <t>If the codes have more than one word, join them with an underscore</t>
  </si>
  <si>
    <t>If there is a specific instruction for the column that has to be filled, out it will be a comment or a note in the header</t>
  </si>
  <si>
    <t>Additional Information</t>
  </si>
  <si>
    <t>Information, details of the variables:</t>
  </si>
  <si>
    <t>Variables</t>
  </si>
  <si>
    <t>Information, lists of codes</t>
  </si>
  <si>
    <t>Codes</t>
  </si>
  <si>
    <t>F_Variables</t>
  </si>
  <si>
    <t>I_Variables</t>
  </si>
  <si>
    <t>ML_Variables</t>
  </si>
  <si>
    <t>O_Variables</t>
  </si>
  <si>
    <t>CI_Variables</t>
  </si>
  <si>
    <t>B_Variables</t>
  </si>
  <si>
    <t>C_Variables</t>
  </si>
  <si>
    <t>R_Variables</t>
  </si>
  <si>
    <t>NOVA 1481164</t>
  </si>
  <si>
    <t>NOVA 1343080</t>
  </si>
  <si>
    <t>NOVA 1367363</t>
  </si>
  <si>
    <t>NOVA 1438331</t>
  </si>
  <si>
    <t>NOVA 1375379</t>
  </si>
  <si>
    <t>NOVA 1486541</t>
  </si>
  <si>
    <t>NOVA 1314677</t>
  </si>
  <si>
    <t>NOVA 1294939</t>
  </si>
  <si>
    <t>NOVA 1443697</t>
  </si>
  <si>
    <t>NOVA 1300788</t>
  </si>
  <si>
    <t>NOVA 1466390</t>
  </si>
  <si>
    <t>NOVA 1467451</t>
  </si>
  <si>
    <t>NOVA 1392798</t>
  </si>
  <si>
    <t>NOVA 1475911</t>
  </si>
  <si>
    <t>NOVA 1437855</t>
  </si>
  <si>
    <t>NOVA 1434855</t>
  </si>
  <si>
    <t>NOVA 1447249</t>
  </si>
  <si>
    <t>NOVA 1475356</t>
  </si>
  <si>
    <t>NOVA 1370177</t>
  </si>
  <si>
    <t>NOVA 1403544</t>
  </si>
  <si>
    <t>NOVA 1370590</t>
  </si>
  <si>
    <t>NOVA 1419002</t>
  </si>
  <si>
    <t>NOVA 1336127</t>
  </si>
  <si>
    <t>NOVA 1307791</t>
  </si>
  <si>
    <t>NOVA 1402535</t>
  </si>
  <si>
    <t>NOVA 1371677</t>
  </si>
  <si>
    <t>NOVA 1481078</t>
  </si>
  <si>
    <t>NOVA 1402728</t>
  </si>
  <si>
    <t>NOVA 1441000</t>
  </si>
  <si>
    <t>NOVA 1505471</t>
  </si>
  <si>
    <t>NOVA 1453274</t>
  </si>
  <si>
    <t>NOVA 1424647</t>
  </si>
  <si>
    <t>NOVA 1443970</t>
  </si>
  <si>
    <t>NOVA 1381468</t>
  </si>
  <si>
    <t>Elastic Search 2566</t>
  </si>
  <si>
    <t>Elastic Search 864</t>
  </si>
  <si>
    <t>Elastic Search 8526</t>
  </si>
  <si>
    <t>Elastic Search 5048</t>
  </si>
  <si>
    <t>Elastic Search 1814</t>
  </si>
  <si>
    <t>Elastic Search 16246</t>
  </si>
  <si>
    <t>Elastic Search 764</t>
  </si>
  <si>
    <t>Elastic Search 1134</t>
  </si>
  <si>
    <t>Elastic Search 7686</t>
  </si>
  <si>
    <t>Elastic Search 1725</t>
  </si>
  <si>
    <t>Elastic Search 8438</t>
  </si>
  <si>
    <t>Elastic Search 9317</t>
  </si>
  <si>
    <t>Elastic Search 8893</t>
  </si>
  <si>
    <t>Elastic Search 200</t>
  </si>
  <si>
    <t>Elastic Search 1960</t>
  </si>
  <si>
    <t>Elastic Search 14782</t>
  </si>
  <si>
    <t>Elastic Search 1380</t>
  </si>
  <si>
    <t>Elastic Search 1948</t>
  </si>
  <si>
    <t>Elastic Search 3242</t>
  </si>
  <si>
    <t>Elastic Search 8507</t>
  </si>
  <si>
    <t>Elastic Search 5021</t>
  </si>
  <si>
    <t>Elastic Search 4581</t>
  </si>
  <si>
    <t>Elastic Search 16790</t>
  </si>
  <si>
    <t>Elastic Search 1626</t>
  </si>
  <si>
    <t>Elastic Search 7623</t>
  </si>
  <si>
    <t>Elastic Search 8125</t>
  </si>
  <si>
    <t>Elastic Search 2608</t>
  </si>
  <si>
    <t>Elastic Search 12193</t>
  </si>
  <si>
    <t>Elastic Search 15858</t>
  </si>
  <si>
    <t>Elastic Search 5165</t>
  </si>
  <si>
    <t>Elastic Search 1162</t>
  </si>
  <si>
    <t>Elastic Search 8580</t>
  </si>
  <si>
    <t>Elastic Search 1154</t>
  </si>
  <si>
    <t>Elastic Search 5948</t>
  </si>
  <si>
    <t>Elastic Search 3560</t>
  </si>
  <si>
    <t>Elastic Search 4814</t>
  </si>
  <si>
    <t>Elastic Search 2991</t>
  </si>
  <si>
    <t>Elastic Search 3267</t>
  </si>
  <si>
    <t>CLICK: Variables description</t>
  </si>
  <si>
    <t>Code_Lists</t>
  </si>
  <si>
    <t>Information that must be tagged</t>
  </si>
  <si>
    <t>F5 - Aspects of the bug discussion</t>
  </si>
  <si>
    <t>F6 - Type of Bug</t>
  </si>
  <si>
    <t>F7 - does the bug have any duplicates?</t>
  </si>
  <si>
    <t>F8 - was reopened (regression)</t>
  </si>
  <si>
    <t>Bug ID if duplicate</t>
  </si>
  <si>
    <t>ID- Bug</t>
  </si>
  <si>
    <t>URL - Bug + Buggy files path</t>
  </si>
  <si>
    <r>
      <rPr>
        <rFont val="Arial"/>
        <color theme="1"/>
      </rPr>
      <t xml:space="preserve">In this field, the possible ids that need to be tagged are going to appear  (if applicable)
</t>
    </r>
    <r>
      <rPr>
        <rFont val="Arial"/>
        <b/>
        <color theme="1"/>
      </rPr>
      <t xml:space="preserve">Duplicated BUG IDS. </t>
    </r>
    <r>
      <rPr>
        <rFont val="Arial"/>
        <color theme="1"/>
      </rPr>
      <t xml:space="preserve">
</t>
    </r>
    <r>
      <rPr>
        <rFont val="Arial"/>
        <b/>
        <color theme="1"/>
      </rPr>
      <t>NOVA URL</t>
    </r>
    <r>
      <rPr>
        <rFont val="Arial"/>
        <color theme="1"/>
      </rPr>
      <t xml:space="preserve">:  https://bugs.launchpad.net/nova/+bug/&lt;BugID&gt;
</t>
    </r>
    <r>
      <rPr>
        <rFont val="Arial"/>
        <b/>
        <color theme="1"/>
      </rPr>
      <t>ES URL:</t>
    </r>
    <r>
      <rPr>
        <rFont val="Arial"/>
        <color theme="1"/>
      </rPr>
      <t xml:space="preserve">  https://github.com/elastic/elasticsearch/issues/&lt;BugID&gt;</t>
    </r>
  </si>
  <si>
    <t>Value</t>
  </si>
  <si>
    <t>Source</t>
  </si>
  <si>
    <t>Type of Bug - Value</t>
  </si>
  <si>
    <t>Value (YES | NO)</t>
  </si>
  <si>
    <t>not a variable, just here for my python scripts</t>
  </si>
  <si>
    <t>what::is::the::bug::causing</t>
  </si>
  <si>
    <t>title. Invalid root device name for volume-backed instances with libvirtg</t>
  </si>
  <si>
    <t>Program anomaly issue</t>
  </si>
  <si>
    <t>It is pointing out to the wrong source: 
(2 Look at the device name:
openstack volume list
Expected value: /dev/vda
Actual value: /dev/vdb)</t>
  </si>
  <si>
    <t>NO</t>
  </si>
  <si>
    <t>NA</t>
  </si>
  <si>
    <t>source::of::the::bug::(link::review)</t>
  </si>
  <si>
    <t>explanation in the description, pointing to a review</t>
  </si>
  <si>
    <t>steps::to::replicate::the::bug</t>
  </si>
  <si>
    <t>Steps to reproduce against DevStack:
1 Boot an instance:
nova --block-device source=image,dest=volume,size=1,bootindex=0,id=&lt;xxx&gt; --flavor m1.nano inst
where xxx is an image id.
2 Look at the device name:
openstack volume list</t>
  </si>
  <si>
    <t>proposal::of::a::possible::fix::(link::review)</t>
  </si>
  <si>
    <t>Comment of: OpenStack Infra (hudson-openstack) wrote on 2015-08-04: Fix proposed to nova (master)</t>
  </si>
  <si>
    <t>information::commited::fix::(link::commit)</t>
  </si>
  <si>
    <t>Comment of: OpenStack Infra (hudson-openstack) wrote on 2015-08-05: Fix merged to nova (master)</t>
  </si>
  <si>
    <t>Description of the bug, problem is presented</t>
  </si>
  <si>
    <t>source::of::the::bug</t>
  </si>
  <si>
    <t>the faulty code is provided ( def _get_alternate_link(self, request, identifier)
)
        """Create an alternate link for a specific image id."""
        glance_url = glance.generate_glance_url()
        glance_url = self._update_glance_link_prefix(glance_url)
        return '/'.join([glance_url,
                         request.environ["nova.context"].project_id,
                         self._collection_name,
                         str(identifier)])</t>
  </si>
  <si>
    <t>the code presented is the faulty due to an error in the logic on the code</t>
  </si>
  <si>
    <t>proposal::of::a::possible::fix::(link::patch)</t>
  </si>
  <si>
    <t>Comment of: moses (moijes12) wrote on 2014-08-02:</t>
  </si>
  <si>
    <t>assignation::of::the::bug</t>
  </si>
  <si>
    <t>Comment of: Jay Pipes (jaypipes) wrote on 2014-08-04:</t>
  </si>
  <si>
    <t>time::used::to::work::on::the::BFC::review</t>
  </si>
  <si>
    <t>Comment of: moses (moijes12) wrote on 2014-09-08:</t>
  </si>
  <si>
    <t>Comment of: OpenStack Infra (hudson-openstack) wrote on 2014-10-24: Fix merged to nova (master)</t>
  </si>
  <si>
    <t>title</t>
  </si>
  <si>
    <t xml:space="preserve">Bug description: 
Steps to reproduce:
1) Create devstack using local.conf: https://gist.github.com/ramielrowe/6ae233dc2c2cd479498a
2) Create an instance
3) Perform ps ax |grep nbd on devstack host. Observe connected nbd device
</t>
  </si>
  <si>
    <t>Security issue, Program anomaly issue</t>
  </si>
  <si>
    <t>Security: Shutting down a libvirt-lxc based instance will leak the nbd device.
Configuration:  Create devstack using local.conf: https://gist.github.com/ramielrowe/6ae233dc2c2cd479498a
program: happens because _teardown_container will only be called when libvirt NO (it is program)</t>
  </si>
  <si>
    <t>Comment of: OpenStack Infra (hudson-openstack) wrote on 2014-09-09: Fix proposed to nova (master)</t>
  </si>
  <si>
    <t>when::is::the::bug::present</t>
  </si>
  <si>
    <t>Permission/deprecation issue</t>
  </si>
  <si>
    <t>....have been booted on Ceph, Nova will occasionally put guests in to ERROR state with the following .......</t>
  </si>
  <si>
    <t>Comment of: OpenStack Infra (hudson-openstack) wrote on 2015-03-31: Fix proposed to nova (master)</t>
  </si>
  <si>
    <t>proposal::of::a::possible::fix::(link::review)::not::main::branch</t>
  </si>
  <si>
    <t>Comment of: OpenStack Infra (hudson-openstack) wrote on 2015-07-17: Fix proposed to nova (stable/juno)</t>
  </si>
  <si>
    <t>information::commited::fix::(link::commit)::not::main::branch</t>
  </si>
  <si>
    <t>Comment of: OpenStack Infra (hudson-openstack) wrote on 2015-07-24: Fix merged to nova (stable/juno)</t>
  </si>
  <si>
    <t>displays::logs::of::the::behaviour</t>
  </si>
  <si>
    <t>Description of the bug 2015-03-25 10:17:14.951 15287 TRACE oslo.messaging.rpc.dispatcher File "/usr/lib/python2.7/site-packages/nova/compute/manager.py", line 314, in decorated_functio</t>
  </si>
  <si>
    <t>displays::error::message</t>
  </si>
  <si>
    <t>Description of the bug | fault | {"message": "error removing image", "code": 500, "details": " File \"/usr/lib/python2.7/site-packages/nova/compute/manager.py\", line 314, in decorated_function | ...</t>
  </si>
  <si>
    <t>source::of::the::bug::(link::repo)</t>
  </si>
  <si>
    <t xml:space="preserve">.... https://github.com/openstack/nova/blob/master/nova/console/websocketproxy.py#L68
The method 'find' return -1 on failure not False or 0.... </t>
  </si>
  <si>
    <t>L</t>
  </si>
  <si>
    <t>...When trying to connect to a console with internal_access_path if the server does not respond by 200 we should raise an exception...</t>
  </si>
  <si>
    <t>Comment of: OpenStack Infra (hudson-openstack) wrote on 2014-09-29: Fix proposed to nova (master)</t>
  </si>
  <si>
    <t>Comment of: OpenStack Infra (hudson-openstack) wrote on 2014-10-02: Fix merged to nova (master)</t>
  </si>
  <si>
    <t>source::of::the::bug::(revision::hash)</t>
  </si>
  <si>
    <t>...The instance delete code paths were changed to use new-world bdm objects in commit f5071bd1ac00ed68102d37c8025d36df6777cd9e.....</t>
  </si>
  <si>
    <t>Comment of: OpenStack Infra (hudson-openstack) wrote on 2015-08-19: Fix proposed to nova (master)</t>
  </si>
  <si>
    <t>Comment of: OpenStack Infra (hudson-openstack) wrote on 2015-09-16: Fix merged to nova (master)</t>
  </si>
  <si>
    <t>... 'm creating the nova-cells config with the cell information stored in a json file. However, when I do this nova-cells fails to start with this error in the logs: ...</t>
  </si>
  <si>
    <t xml:space="preserve"> ... CellStateManager __new__ runs and creates an instance of CellStateManagerFile which runs __new__ and __init__ with cell_state_cls and cells_config_path set. At this point __new__ returns CellStateManagerFile and the new instance's __init__() method ...</t>
  </si>
  <si>
    <t>... I have had a dig into the code and it appears that CellsManager creates an instance of CellStateManager with no arguments. CellStateManager __new__ runs a...</t>
  </si>
  <si>
    <t>Description of the bug: with this error in the logs:</t>
  </si>
  <si>
    <t>Comment of: Liam Young (gnuoy) wrote on 2014-07-21:</t>
  </si>
  <si>
    <t>Comment of: OpenStack Infra (hudson-openstack) wrote on 2014-07-22: Fix proposed to nova (master)</t>
  </si>
  <si>
    <t>Comment of: OpenStack Infra (hudson-openstack) wrote on 2014-08-27: Fix merged to nova (master)</t>
  </si>
  <si>
    <t>inconsistencies::of::the::bahaviour::of::patched/modified::code</t>
  </si>
  <si>
    <t>... trying to read cell state from the file and failing with invalid JSON.
However, on correcting the JSON, the CellStateManager failed to instantiate with the error message in the original bug.
I couldn't figure out why this happened. Maybe, if you have time, you can investigate it... RedBaron (dheeraj-gupta4) wrote on 2014-08-29:</t>
  </si>
  <si>
    <t>proposal::of::a::possible::fix::(debdiff)::not::main::branch</t>
  </si>
  <si>
    <t>Comment of: 
Liam Young (gnuoy) wrote on 2014-09-19:</t>
  </si>
  <si>
    <t>subscribing::external::sponsors::for::the::bug</t>
  </si>
  <si>
    <t>Comment #6</t>
  </si>
  <si>
    <t>relevance::of::previous::attachments</t>
  </si>
  <si>
    <t>Comment #7</t>
  </si>
  <si>
    <t>reason::for::abandoning::the::change</t>
  </si>
  <si>
    <t>Comment #8</t>
  </si>
  <si>
    <t>ask::for::testing::of::the::proposed::changed</t>
  </si>
  <si>
    <t>Comment #9</t>
  </si>
  <si>
    <t>proposal::of::a::possible::fix::(package)::not::main::branch</t>
  </si>
  <si>
    <t>unsubscribing::external::sponsors</t>
  </si>
  <si>
    <t>Comment #10</t>
  </si>
  <si>
    <t>instructions::of::what::to::do::if::a::regression::is::found::in::the::feature</t>
  </si>
  <si>
    <t>Comment #10 
 In the event that you encounter a regression using the package from -updates please report a new bug using ubuntu-bug and tag the bug report regression-update so we can easily find any regressions.</t>
  </si>
  <si>
    <t>Comment #13</t>
  </si>
  <si>
    <t>Comment # 1</t>
  </si>
  <si>
    <t>Comment # 2</t>
  </si>
  <si>
    <t>Comment # 3</t>
  </si>
  <si>
    <t>Comment # 4</t>
  </si>
  <si>
    <t>Comment # 5</t>
  </si>
  <si>
    <t>Description of the bug ... Resize will fail if using 0 disk flavors in combination with images that have disks larger than 1 GB....</t>
  </si>
  <si>
    <t xml:space="preserve">Description of the bug ... 2015-04-13 23:32:10.676 9404 ERROR oslo.messaging.rpc.dispatcher [-] Exception during message handling: Resize error: Unable to shrink disk.... </t>
  </si>
  <si>
    <t xml:space="preserve">Description of the bug .. The root cause of the problem is this code in vmops.py:1332.... </t>
  </si>
  <si>
    <t>Comment #1</t>
  </si>
  <si>
    <t>Comment #2</t>
  </si>
  <si>
    <t>title.  when SOAP reply message has no body</t>
  </si>
  <si>
    <t>title. exceptions when</t>
  </si>
  <si>
    <t>contains::logs::links::of::the::behaviour</t>
  </si>
  <si>
    <t>Description. inesweeper logs have the following:</t>
  </si>
  <si>
    <t>Description.  There are cases when the suds returns a message with no body.</t>
  </si>
  <si>
    <t>where::bug::appears</t>
  </si>
  <si>
    <t>Description. Minesweeper</t>
  </si>
  <si>
    <t>identifying::bug::fixed::elsewhere::(link::file::other::package)</t>
  </si>
  <si>
    <t>clarification::about::the::development::process::(milestones)</t>
  </si>
  <si>
    <t>Comment #3. We use milestones only at the very end of the milestone to track bugs that should block the release of the milestone. ...</t>
  </si>
  <si>
    <t>Comment #4</t>
  </si>
  <si>
    <t>Comment #5</t>
  </si>
  <si>
    <t>proposal::of::a::possible::fix::(link::review2)::not::main::branch</t>
  </si>
  <si>
    <t>change::abandoned::by::the::unknown::not:.main::branch</t>
  </si>
  <si>
    <t>reason::for::abandoning::the::change::not::main::branch::(not::longer::needed)</t>
  </si>
  <si>
    <t>information::commited::fix::(link::commit2)::not::main::branch</t>
  </si>
  <si>
    <t>Description: ... 3. reproduce steps:....</t>
  </si>
  <si>
    <t>Description. ....Expected result: * can't be shown and deleted by demo project
Actual result: * can be shown and deleted by demo project</t>
  </si>
  <si>
    <t>version::of::nova:::in::which::the::bug::was::found</t>
  </si>
  <si>
    <t>Description. ... git log -1 commit 045ee0336bde6e6ac5b41efe6d3da08462b4ec7d ...</t>
  </si>
  <si>
    <t>Description.  Nova Hyper-V driver fails to detach virtual hard disks when using the virtualizaton v1 WMI namespace.</t>
  </si>
  <si>
    <t>reason::of::the::bug</t>
  </si>
  <si>
    <t>Description. The reason is that it cannot find the attached resource,</t>
  </si>
  <si>
    <t>Comment #3</t>
  </si>
  <si>
    <t>Description.  After deleting an instance and executing a `nova list --deleted` command as an administrator, the Power State of the deleted instance is still displayed as 'Running' and set to 1 in the database as well.</t>
  </si>
  <si>
    <t xml:space="preserve">Descrption.  Steps to reproduce: Boot an instance:  dboik@dboik-VirtualBox:~$ nova boot foo </t>
  </si>
  <si>
    <t>Description. n my devstack, the nova-idmapshift usage outputs this:</t>
  </si>
  <si>
    <t>Description.  FS Owner Shift: error: too few arguments</t>
  </si>
  <si>
    <t>reason::of::the::bug::disagreeing::with::previous::given::reason</t>
  </si>
  <si>
    <t>proposal::of::a::possible::fix::(link::review2)</t>
  </si>
  <si>
    <t>change::abandoned::by::the::responsible</t>
  </si>
  <si>
    <t>proposal::of::a::possible::fix::(link::review3)</t>
  </si>
  <si>
    <t>information::commited::fix::(link::commit3)</t>
  </si>
  <si>
    <t>Description. The behavior in Nova in the absence of a specified fixed ip, however, is to pick the first one from the list of fixed ips on the port.</t>
  </si>
  <si>
    <t>Description. This is a problem if an IPv6 address is the first on the port because the floating IP will be NAT'ed to the IPv6 fixed address, which is not supported. Any attempts to reach the instance through its floating address</t>
  </si>
  <si>
    <t>incorporate::the::change::into::a::different::project</t>
  </si>
  <si>
    <t xml:space="preserve">Description. ERROR: InvocationError: '/bin/bash -c ! find doc/ </t>
  </si>
  <si>
    <t>Description.  No JSON object could be decoded</t>
  </si>
  <si>
    <t>Description. The ironic driver's code to generate a configdrive does not pass injected_files through to the configdrive builder,</t>
  </si>
  <si>
    <t>Description. .. to the configdrive builder, resulting in injected files not being in the resulting configdrive...</t>
  </si>
  <si>
    <t>Decription. Currently, the serializer is reporting the object that failed to deserialize, not the top.</t>
  </si>
  <si>
    <t>Description.  order for this to work properly, we need to report the top-level object version that we're trying to deserialize, not the one we actually encountered.</t>
  </si>
  <si>
    <t>proposal::of::a::possible::fix::(debdiff)::not::main::branch::not::nova</t>
  </si>
  <si>
    <t>changed::original::description::(link::to::original::description)</t>
  </si>
  <si>
    <t>Decription. See original description</t>
  </si>
  <si>
    <t>YES</t>
  </si>
  <si>
    <t>https://bugs.launchpad.net/nova/+bug/1470834</t>
  </si>
  <si>
    <t>.. euca-describe-images ami-d13845e1...</t>
  </si>
  <si>
    <t>But Nova didn't do it now:</t>
  </si>
  <si>
    <t>some::version::of::the::software::where::it::was::identified::and::in::which::not</t>
  </si>
  <si>
    <t xml:space="preserve">Description. B. In Grizzly device names and delete on termination flags was returned. It was changed by h </t>
  </si>
  <si>
    <t>criticallity::of::properties::that::are::affected::by::the::bug</t>
  </si>
  <si>
    <t>Device name is most critical attribute. Because there is another one compatibility issue</t>
  </si>
  <si>
    <t>bugs::related::affected::by::similar::errors</t>
  </si>
  <si>
    <t>Description. (see https://bugs.launchpad.net/nova/+bug/1370250): No</t>
  </si>
  <si>
    <t>question::version::of::software::in::which::the::bug::was::found</t>
  </si>
  <si>
    <t>clarification::of::software::versions::affected::by::the::bug</t>
  </si>
  <si>
    <t>implications::of::the::changes::needed::to::fix::the::bug</t>
  </si>
  <si>
    <t>information::commited::fix::(link::commit2)</t>
  </si>
  <si>
    <t>proposal::of::a::possible::fix::(link::review4)</t>
  </si>
  <si>
    <t>proposal::of::a::possible::fix::(link::review5)</t>
  </si>
  <si>
    <t>Comment #11</t>
  </si>
  <si>
    <t>information::commited::fix::(link::commit::not::related::to::any::previous::review)</t>
  </si>
  <si>
    <t>Comment #12</t>
  </si>
  <si>
    <t>information::commited::fix::(link::commit::not::related::to::any::previous::review2)</t>
  </si>
  <si>
    <t>Description. Duplicated bug 1470834</t>
  </si>
  <si>
    <t>details::on::the::involved::hardware</t>
  </si>
  <si>
    <t>Description. Duplicated bug 1470834. attachments | [{u'server_id': u'2bdb308a-9068-4e89-9dcf-fec5173747ff', u'attachment_id': u'17087fb3-51a5-4175-ae75-4373e364c301', u'host_name': None, u'volume_</t>
  </si>
  <si>
    <t>change::the::status::of::the::bug</t>
  </si>
  <si>
    <t>Comment #1 duplicated</t>
  </si>
  <si>
    <t>identifying::the::bug::duplication</t>
  </si>
  <si>
    <t>Comment #2 duplicated</t>
  </si>
  <si>
    <t>request::to::check::if::an::attached::review::solve::the::bug</t>
  </si>
  <si>
    <t>Comment #3 duplicated</t>
  </si>
  <si>
    <t>confimation::that::the::bug::is::duplicated::and::fixed</t>
  </si>
  <si>
    <t>Comment #4 duplicated</t>
  </si>
  <si>
    <t>Description. When creating instance, it is possible to specify "'key_name': ''". This empty string is treated as None by nova.compute.api._validate_and_build_base_options(),</t>
  </si>
  <si>
    <t>ble to specify "'key_name': ''". This empty string is treated as None by nova.compute.api.</t>
  </si>
  <si>
    <t>explanation::why::two::differemt::reviews::are::proposed</t>
  </si>
  <si>
    <t>change::abandoned::by::the::one::who::proposed::changes</t>
  </si>
  <si>
    <r>
      <rPr/>
      <t xml:space="preserve">Description. Steps to reproduce: 1) Create devstack with local.conf: </t>
    </r>
    <r>
      <rPr>
        <color rgb="FF1155CC"/>
        <u/>
      </rPr>
      <t>https://gist.github.com/ramielrowe/520b0b86a5adf385b45d</t>
    </r>
    <r>
      <rPr/>
      <t xml:space="preserve"> 2) Boot instance from image</t>
    </r>
  </si>
  <si>
    <t>https://bugs.launchpad.net/nova/+bug/1387539</t>
  </si>
  <si>
    <t>Description. While the spawn call provides disk_info via a kwarg to _create_domain_and_network, many other operations leave that information off. These calls now need to provide disk_info to _create_domain_and_network so that it is available to determine whether or not the instance was booted from block/volume.</t>
  </si>
  <si>
    <t>Description. Without that data, the check will erroneously determine that the instance was booted from a volume.</t>
  </si>
  <si>
    <t>change1::abandoned::by::the::responsible</t>
  </si>
  <si>
    <t>reason::for::abandoning::the::change1</t>
  </si>
  <si>
    <t>change2::abandoned::by::the::responsible</t>
  </si>
  <si>
    <t>reason::for::abandoning::the::change2</t>
  </si>
  <si>
    <t>regression::identified::while::solving::the::bug</t>
  </si>
  <si>
    <t>reason::of::the::regression</t>
  </si>
  <si>
    <t>source::of::the::regression::(link::review)</t>
  </si>
  <si>
    <t>justification::of:.the::regression::identified</t>
  </si>
  <si>
    <t>source::of::the::regression::(link::repo)</t>
  </si>
  <si>
    <t>culprit::related::to::identified::regression::(link::to::commit)</t>
  </si>
  <si>
    <t>culprit::related::to::identified::regression::(link::to::review)</t>
  </si>
  <si>
    <t>reason::why::the::suggested::solution::for::regression::can::not::be::conducted</t>
  </si>
  <si>
    <t>asking::for::clarification::about::the::reason::of::regression::bug</t>
  </si>
  <si>
    <t>identify::specific::problem::causing::the::bug::regression</t>
  </si>
  <si>
    <t>cleaning::and::creation::branches::for::the::proposed::fix</t>
  </si>
  <si>
    <t>clarification::about::the::problem::identified::as::culprit::for::regression</t>
  </si>
  <si>
    <t>Comment #14</t>
  </si>
  <si>
    <t>Comment #15</t>
  </si>
  <si>
    <t>Comment #16</t>
  </si>
  <si>
    <t>Comment #17</t>
  </si>
  <si>
    <t>Comment #18</t>
  </si>
  <si>
    <t>Comment #19</t>
  </si>
  <si>
    <t>reason::for::abandoning::the::change3</t>
  </si>
  <si>
    <t>Comment #20</t>
  </si>
  <si>
    <t>Comment #21</t>
  </si>
  <si>
    <t>information::commited::fix::(link::commit4)</t>
  </si>
  <si>
    <t>Comment #22</t>
  </si>
  <si>
    <t>Description duplicated</t>
  </si>
  <si>
    <t>Description When hard reboot a lxc instance, the operation failed with the following trace log:</t>
  </si>
  <si>
    <t>asking::version::of::nova:::in::which::the::bug::was::found</t>
  </si>
  <si>
    <t>clarification::about::where::the::bug::occurs</t>
  </si>
  <si>
    <t>title. nova do not compain if 'my_ip' is wrong</t>
  </si>
  <si>
    <t>description nova-compute silently accepts it and failing cold migration</t>
  </si>
  <si>
    <t>Description. nova-compute silently accepts it and failing cold migration.</t>
  </si>
  <si>
    <t>description</t>
  </si>
  <si>
    <t>Desccription 1. upload a image | 62aa6627-0a07-4ab4-a99f-2d99110db03e | cirros-0.3.2-x86_64-uec | ACTIVE 2.create a boot volume by the above image</t>
  </si>
  <si>
    <t>when specifying a volume or an image with a user volume to create a virtual machine,</t>
  </si>
  <si>
    <t>the specified volume or the user volume will be deleted, which causes that the rescheduling fails.</t>
  </si>
  <si>
    <t>description After deleting a shelved instance with user volumes, the volumes should be detached. but actually, the volumes are still in state of "in-use".</t>
  </si>
  <si>
    <t>After deleting a shelved</t>
  </si>
  <si>
    <t>status::of::the::patch/review</t>
  </si>
  <si>
    <t>change::abandoned::by::the::responsible::not::main::branch</t>
  </si>
  <si>
    <t>Configuration issue, Program anomaly issue</t>
  </si>
  <si>
    <t>description. Reproducing method as following: 1、nova.conf configure iscsi_used_multipath_tool=multipath， restart nova-compute service 2、launch instance vm1 boot from volume(used HpSan),then attach volume1 for this vm1</t>
  </si>
  <si>
    <t>proposal::of::a::possible::fix::(code::in::text)</t>
  </si>
  <si>
    <t>Program anomaly issue, Test code-related issue</t>
  </si>
  <si>
    <t>1372369, 1448333</t>
  </si>
  <si>
    <t>description. During a tempest run occasionally a during the tempest.api.compute.servers.test_delete_server.DeleteServersTestJSON.test_delete_server_while_in_verify_resize_state</t>
  </si>
  <si>
    <t>description. The failure is caused by a 500 response given being returned from nova.</t>
  </si>
  <si>
    <r>
      <rPr/>
      <t xml:space="preserve">all never receiving a response: </t>
    </r>
    <r>
      <rPr>
        <color rgb="FF1155CC"/>
        <u/>
      </rPr>
      <t>http://logs.openstack.org/10/110110/40/check/check-tempest-dsvm-postgres-full/4cd8a81/logs/screen-n-api.txt.gz#_2014-09-19_10_24_07_221</t>
    </r>
    <r>
      <rPr/>
      <t xml:space="preserve"> looking at the n-cpu logs for the handling of that rpc call yields: http://logs.openstack.org/10/110110/40/check/check-tempest-dsvm-postgres-full/4cd8a81/logs/screen-n-cpu.txt.gz#_2014-09-19_10_24_31_404</t>
    </r>
  </si>
  <si>
    <t>displays:.contradiction::tests::sucess::and::log</t>
  </si>
  <si>
    <t>review::not::label::as::fix</t>
  </si>
  <si>
    <t>source::of::the::bug::(link::commit)</t>
  </si>
  <si>
    <t>proposal::of::a::possible::fix::(idea)</t>
  </si>
  <si>
    <t>displays::logs::of::the::behaviour::with:.extra::debugging</t>
  </si>
  <si>
    <t>justification::of::changing::triage</t>
  </si>
  <si>
    <t>addition::of::performance::tests</t>
  </si>
  <si>
    <t>reason::of::the::continuation::of::bug::after::fix</t>
  </si>
  <si>
    <t>source::of::the::continuation::of::bug::after::fix</t>
  </si>
  <si>
    <t>joining::previously:.mentioned::reasons::for::the::continuation::of::bug</t>
  </si>
  <si>
    <t>aknowledging::that:previous::fixes::helped::but::still:.a::bug</t>
  </si>
  <si>
    <t>re::opening::bug</t>
  </si>
  <si>
    <t>Comment #23</t>
  </si>
  <si>
    <t>displays::logs::of::the::behaviour::with:.extra::explanation</t>
  </si>
  <si>
    <t>source::of::the::continuation::of::bug::after::fix3</t>
  </si>
  <si>
    <t>Comment #23. So to me the root cause problem here is the _get_instance_disk_info method. The way it is w</t>
  </si>
  <si>
    <t>committed::fix::fixed::the::bug</t>
  </si>
  <si>
    <t>Comment #24</t>
  </si>
  <si>
    <t>if:.fix::has:.fixed::or::not::the::bug</t>
  </si>
  <si>
    <t>Comment #25</t>
  </si>
  <si>
    <t>reason::of::why::the::persistent::bug::could::be:.a::different/another::bug</t>
  </si>
  <si>
    <t>Comment #26</t>
  </si>
  <si>
    <t>clarification::about::the:.bug::source</t>
  </si>
  <si>
    <t>Comment #27</t>
  </si>
  <si>
    <t>opening::new:.bug::based::on::previous::discussion</t>
  </si>
  <si>
    <t>Comment #28</t>
  </si>
  <si>
    <t>proposal::of::a::possible::related::fix::(link::review)</t>
  </si>
  <si>
    <t>Comment #29</t>
  </si>
  <si>
    <t>information::commited::related::fix::(link::commit)</t>
  </si>
  <si>
    <t>Comment #30</t>
  </si>
  <si>
    <t>Comment #31</t>
  </si>
  <si>
    <t>Comment #32</t>
  </si>
  <si>
    <t>titile, 1372369</t>
  </si>
  <si>
    <t>Description, 1372369</t>
  </si>
  <si>
    <t>displays::error::message::(logs)</t>
  </si>
  <si>
    <t>https://bugs.launchpad.net/nova/+bug/1372369/comments/0</t>
  </si>
  <si>
    <t>disagreeing::bug::description</t>
  </si>
  <si>
    <t>Comment #1 1372369</t>
  </si>
  <si>
    <t>Comment #2 1372369</t>
  </si>
  <si>
    <t>title, 1448333</t>
  </si>
  <si>
    <t>Description, 1448333</t>
  </si>
  <si>
    <t>asking::for::clarification::about::possible::fix</t>
  </si>
  <si>
    <t>Comment #1, 1448333</t>
  </si>
  <si>
    <t>Comment #2, 1448333</t>
  </si>
  <si>
    <t>agreeing::possible::solution::(code::in::text)</t>
  </si>
  <si>
    <t>Comment #3, 1448333</t>
  </si>
  <si>
    <t>Comment #4, 1448333</t>
  </si>
  <si>
    <t>Comment #5, 1448333</t>
  </si>
  <si>
    <t>source::of::the::bug::(link::blame)</t>
  </si>
  <si>
    <t>Description</t>
  </si>
  <si>
    <t>Description. 015-04-07 14:18:54.164 INFO nova.virt.libvirt.driver [-</t>
  </si>
  <si>
    <t>request::steps::for::reproducing</t>
  </si>
  <si>
    <t>clarification::about::when::the:.bug::source</t>
  </si>
  <si>
    <t>title. driver dies if local conductor is used</t>
  </si>
  <si>
    <t>Description. If using local conductor, the DB driver for servicegroup is subject to failure.</t>
  </si>
  <si>
    <t>Description. It is currently only catching MessagingTimeout exceptions, which will not occur as there is no indirection API present.</t>
  </si>
  <si>
    <t>Description. the DB driver for servicegroup is subject to failure......In the event of a temporary DB connection issue, the DB driver will not recover if local conductor is used..</t>
  </si>
  <si>
    <t>informing::bug:.already::fixed::(release::name)</t>
  </si>
  <si>
    <t>proposal::of::a::possible::fix::(link::review2)::not::main:.branch</t>
  </si>
  <si>
    <t>Description. TRACE nova.compute.manager [instance: 12371aa8-889d-4333-8fab-61a13f87a547] UnicodeDecodeError: 'ascii' codec can't decode byte 0xc3 in position 297: ordinal not in range(128)</t>
  </si>
  <si>
    <t>source::of::the::bug::(code::in::text)</t>
  </si>
  <si>
    <t>Description. he _create_domain() method has the following line:
err = _LE('Error defining a domain with XML: %s') % xml</t>
  </si>
  <si>
    <t>Description. he fix is to wrap the xml object in oslo.utils.encodeutils.safe_decode for the error message.</t>
  </si>
  <si>
    <t>presence::of::bug::in::other::branches</t>
  </si>
  <si>
    <t>Description. I'm seeing the issue on Kilo, but it is also likely an issue on Juno as well.</t>
  </si>
  <si>
    <t>similar::bug::(link::bug)</t>
  </si>
  <si>
    <r>
      <rPr/>
      <t xml:space="preserve">Description. This bug is very similar to </t>
    </r>
    <r>
      <rPr>
        <color rgb="FF1155CC"/>
        <u/>
      </rPr>
      <t>https://bugs.launchpad.net/nova/+bug/1388386.</t>
    </r>
  </si>
  <si>
    <t>Description. ssed via command line are not taking effect for novncproxy, spicehtmlproxy and serial proxy.</t>
  </si>
  <si>
    <t>source::of::the::bug::(changeID)</t>
  </si>
  <si>
    <t>Description.. I2d46b926f1c895aba412d84b4ee059fda3df9011, proxy_host/proxy_port</t>
  </si>
  <si>
    <t>title. duplicated. novncproxy refactoring removes configurability of host and port</t>
  </si>
  <si>
    <r>
      <rPr/>
      <t xml:space="preserve">Description.  duplicated. The novncproxy.py was refactored and baseproxy was introduced sometime back in patch </t>
    </r>
    <r>
      <rPr>
        <color rgb="FF1155CC"/>
        <u/>
      </rPr>
      <t>https://review.openstack.org/#/c/119396/.</t>
    </r>
  </si>
  <si>
    <t>Description. duplicated.  But because the config files are not resolved in novncproxy anymore, the baseproxy is passed with default values for novncproxy_host and novncproxy_port. Overrides in config files such as nova.conf will not have any effects.</t>
  </si>
  <si>
    <t>Comment #1 duplicated. Sounds like a good fix would be for novncproxy to parse the commandline args it wants, then pass the remainder on to baseproxy (or vice versa).</t>
  </si>
  <si>
    <t>Comment #2.duplicated</t>
  </si>
  <si>
    <t>reason::for::abandoning::the::change::(in::favour::of::another::review)</t>
  </si>
  <si>
    <t>Comment #3. duplicated</t>
  </si>
  <si>
    <t>Network issue, Program anomaly issue</t>
  </si>
  <si>
    <t>Description. Using nova network and creating new network</t>
  </si>
  <si>
    <t>Description.  hcp_server' values are wrong. command (example)
/usr/bin/nova-manage network create novanetwork 10.0.0.0/16 3 8 --vlan_start 103 --dns1 8.8.8.8 --dns2 8.8.4.4</t>
  </si>
  <si>
    <t>Description. This happens because in file nova/network/manager.py in method _do_create_networks() the variable 'enable_dhcp' is incorrectly used in loop.</t>
  </si>
  <si>
    <t>title. duplicated</t>
  </si>
  <si>
    <t>Description. duplicated. This bug pertains to stable Kilo, package versions below:</t>
  </si>
  <si>
    <t>presence::of::bug::in::other::branches::packages</t>
  </si>
  <si>
    <t>Dwescription. Duplicated. lo, package versions below:
ii nova-api 1:2015.1.0-0ubuntu1~cloud0 all OpenStack Compute - A</t>
  </si>
  <si>
    <t>originally::reported::elsewhere::(link::github)</t>
  </si>
  <si>
    <t>Description. Duplicated This bug was originally reported at https://github.com/bloomberg/chef-bcpc/issues/573. I triaged it there and am distilling it down here.</t>
  </si>
  <si>
    <t xml:space="preserve">Descritption. Duplicated. recipe that builds out a number of fixed IP networks using nova-manage during initial setup of an OpenStack cluster. The command looks like this: </t>
  </si>
  <si>
    <t xml:space="preserve">Description. Dupllicated. This causes things to break for us pretty badly. When launching instances in any network other than the first one, launch will fail because Nova tries to launch dnsmasq and bind it to an IP that's already bound by another instance of dnsmasq, which fails. </t>
  </si>
  <si>
    <t>proposal::of::a::possible::fix::(diff::in::text)</t>
  </si>
  <si>
    <t>Description. Dupllicated. f str(net.dhcp_start) == dhcp_server:
+ if str(net.dhcp_start) == subnet_dhcp_server: net.dhcp_start = current  net.dhcp_server = dhcp_server</t>
  </si>
  <si>
    <t>Comment #5 duplicated</t>
  </si>
  <si>
    <t>source::of::the::bug::(file::path)</t>
  </si>
  <si>
    <t>Description. When trusted filter in nova scheduler is running with default value of attestation_port:</t>
  </si>
  <si>
    <t>Description. cfg.StrOpt('attestation_port', default='8443', help='Attestation server port'), method _do_request() in AttestationService class has this line:</t>
  </si>
  <si>
    <t>Description. action_url = "https://%s:%d%s/%s" % (self.host, self.port, self.api_url, action_url) It is easy to see that default type of attestation_port is string.</t>
  </si>
  <si>
    <t>addition::of::tests</t>
  </si>
  <si>
    <t>information::PR::fix</t>
  </si>
  <si>
    <t>issue::closed::(revision::hash)</t>
  </si>
  <si>
    <t>providing::example::when::bug::is::present</t>
  </si>
  <si>
    <t>providing::example::when::bug::is::present2</t>
  </si>
  <si>
    <t>asking::version::of::elasticsearch:::in::which::the::bug::was::found</t>
  </si>
  <si>
    <t>comment 1</t>
  </si>
  <si>
    <t>version::of::elasticsearch:::in::which::the::bug::was::found</t>
  </si>
  <si>
    <t>comment 2</t>
  </si>
  <si>
    <t>fix::merged::related::hash::commit</t>
  </si>
  <si>
    <t>asking::for::replicating::the::bug</t>
  </si>
  <si>
    <t>comment 3</t>
  </si>
  <si>
    <t>related::release::hash::commit</t>
  </si>
  <si>
    <t>providing::example::when::bug::is::not::present</t>
  </si>
  <si>
    <t>informing::bug:.already::fixed</t>
  </si>
  <si>
    <t>comment 4</t>
  </si>
  <si>
    <t>description and title</t>
  </si>
  <si>
    <t>Configuration issue, Network issue</t>
  </si>
  <si>
    <t>example::output</t>
  </si>
  <si>
    <t>asking::for::clarification::about::when::the::bug::is::present</t>
  </si>
  <si>
    <t>providing::clarification::about::when::the::bug::is::present</t>
  </si>
  <si>
    <t>providing::clarification::status::release</t>
  </si>
  <si>
    <t>steps::to::replicate::the::bug::(link::gist)</t>
  </si>
  <si>
    <t>asking::for::examples::when::bug::is::present</t>
  </si>
  <si>
    <t>asking::for::status::of::issue</t>
  </si>
  <si>
    <t>comment 6</t>
  </si>
  <si>
    <t>comment 7</t>
  </si>
  <si>
    <t>steps::to::replicate::the::bug::(link::tool)</t>
  </si>
  <si>
    <t>comment 9</t>
  </si>
  <si>
    <t>comment 10</t>
  </si>
  <si>
    <t>asking::clarification::about::details::on::the::involved::hardware</t>
  </si>
  <si>
    <t>comment 8</t>
  </si>
  <si>
    <t>comment 11</t>
  </si>
  <si>
    <t>comment 12</t>
  </si>
  <si>
    <t>comment 13</t>
  </si>
  <si>
    <t>command::line::output</t>
  </si>
  <si>
    <t>comment 14</t>
  </si>
  <si>
    <t>providing::clarification::expected::behaviour</t>
  </si>
  <si>
    <t>comment 15</t>
  </si>
  <si>
    <t>comment 16</t>
  </si>
  <si>
    <t>disussing::possible::solutions</t>
  </si>
  <si>
    <t>comment 17 and 18</t>
  </si>
  <si>
    <t>agreeing::possible::solution</t>
  </si>
  <si>
    <t>comment 19</t>
  </si>
  <si>
    <t>proposes::workaround::(code::in::text)</t>
  </si>
  <si>
    <t>comment1</t>
  </si>
  <si>
    <t>comment2</t>
  </si>
  <si>
    <t>comment3</t>
  </si>
  <si>
    <t>referes::to::mailinglist</t>
  </si>
  <si>
    <t>Network issue</t>
  </si>
  <si>
    <t>Configuration issue</t>
  </si>
  <si>
    <t>asking::for::clarification::status::release</t>
  </si>
  <si>
    <t>informing::backporting</t>
  </si>
  <si>
    <t>asking::clarification::about::the::development::process::(releasing::time)</t>
  </si>
  <si>
    <t>comment4</t>
  </si>
  <si>
    <t>providing::clarification::about::the::development::process::(releasing::time)</t>
  </si>
  <si>
    <t>comment5</t>
  </si>
  <si>
    <t>expected::behaviour::(output::previous::version)</t>
  </si>
  <si>
    <t>expected::behaviour::(output)</t>
  </si>
  <si>
    <t>version::of::operating::system::affected</t>
  </si>
  <si>
    <t>issues::related::(link::issue)</t>
  </si>
  <si>
    <t>bug::due::to::bad::testing</t>
  </si>
  <si>
    <t>steps::to::replicate::the::bug::(test)</t>
  </si>
  <si>
    <t>asking::for::explanation::for::observed::behaviour</t>
  </si>
  <si>
    <t>comment 5</t>
  </si>
  <si>
    <t>issues::related::(link::issue::external)</t>
  </si>
  <si>
    <t>proposal::of::a::possible::fix::(gist)</t>
  </si>
  <si>
    <t>providing::advice::coding</t>
  </si>
  <si>
    <t>expected::behaviour::(example::from::previous::version)</t>
  </si>
  <si>
    <t>explanation::for::observed::behaviour</t>
  </si>
  <si>
    <t>expected::behaviour</t>
  </si>
  <si>
    <t>ML1</t>
  </si>
  <si>
    <t>ML3 - Aspects of ML bug discussion</t>
  </si>
  <si>
    <t>ML4</t>
  </si>
  <si>
    <t>ML6 - Aspects of ML bug introduction discussion</t>
  </si>
  <si>
    <t>URL - Bug</t>
  </si>
  <si>
    <t>YOU SHOULD search by bug ID in the following link escribed in the respective row</t>
  </si>
  <si>
    <t>ML bug discussion ids</t>
  </si>
  <si>
    <t>ML introducing change ids</t>
  </si>
  <si>
    <r>
      <rPr>
        <rFont val="Arial"/>
        <color theme="1"/>
      </rPr>
      <t xml:space="preserve">In this field, the possible ids that need to be tagged are going to appear  (if applicable)
</t>
    </r>
    <r>
      <rPr>
        <rFont val="Arial"/>
        <b/>
        <color theme="1"/>
      </rPr>
      <t xml:space="preserve">You have to find the mails, in the same way as the main mail is searched
</t>
    </r>
    <r>
      <rPr>
        <rFont val="Arial"/>
        <color theme="1"/>
      </rPr>
      <t>COLUMN C</t>
    </r>
  </si>
  <si>
    <t>msg29884</t>
  </si>
  <si>
    <t>How::to::fix::the::bug</t>
  </si>
  <si>
    <t>... https://github.com/openstack/nova/blob/master/nova/api/openstack/compute/views/images.py#L121
Removing that one line breaks around 26 ...</t>
  </si>
  <si>
    <t>problems::implementing::the::fix::due::to::tests::failures</t>
  </si>
  <si>
    <t>Removing that one line breaks around 26 tests, 25 of which are related to the API sample tests in the nova/tests/integrated/ directory. I expected this, and ran the unit test suite after removing the one line above specifically to identify the places that would need to be changed.</t>
  </si>
  <si>
    <t>result::output::tests::for::the::modified::files</t>
  </si>
  <si>
    <t>...  are virtually pointless, as they have a misleading error
&gt; message:...... It's not that there are extra list items in the template, which is what the
&gt; failure message says.</t>
  </si>
  <si>
    <t>information::provided::by::documentation::project::on::how::to::handle::tests</t>
  </si>
  <si>
    <t>..... == start ==
Then run the following command:
GENERATE_SAMPLES=True tox -epy27 nova.tests.integrated
Which will create the files on doc/api_samples.
If new tests are added or the .tpl....</t>
  </si>
  <si>
    <t>ask::for::advice</t>
  </si>
  <si>
    <t>.. Would someone mind giving me a hand on this? I'...</t>
  </si>
  <si>
    <t>msg29885</t>
  </si>
  <si>
    <t>possible::path::for::a::solution</t>
  </si>
  <si>
    <t>.. I got this far - https://review.openstack.org/#/c/108220/ - there are
a handful of failures in ImagesControllerTest left. hope this helps....</t>
  </si>
  <si>
    <t>msg114649</t>
  </si>
  <si>
    <t>False::Positive</t>
  </si>
  <si>
    <t>the email, is about someone interested in the topic, but not working on it, wrong blue print</t>
  </si>
  <si>
    <t>msg18407</t>
  </si>
  <si>
    <t>asking::for::approval::of::the::implmentation::(review)</t>
  </si>
  <si>
    <t>his did not make it in fully.  Outstanding patches are: (clean-up-legacy-block-device-mapping)</t>
  </si>
  <si>
    <t>deadline::of::tasks::associated::to::BP::approaching</t>
  </si>
  <si>
    <t>It is part of periodic-tasks-to-db-slave, a very useful BP, (clean-up-legacy-block-device-mapping)</t>
  </si>
  <si>
    <t>msg18410</t>
  </si>
  <si>
    <t>possible::reasons::why::it::has::not::been::merged::(conflict::heavy)</t>
  </si>
  <si>
    <t>Yeah, this has been conflict-heavy for a long time. If it hadn't been, I (clean-up-legacy-block-device-mapping)
think it'd be merged by now.</t>
  </si>
  <si>
    <t>commiting::to::review::due::to::previous::experience::with::topic</t>
  </si>
  <si>
    <t>I'm happy to commit to reviewing this, since I've already done
so many times (clean-up-legacy-block-device-mapping)</t>
  </si>
  <si>
    <t>msg18411</t>
  </si>
  <si>
    <t>I will also commit to reviewing this as I have reviewed much of it already.
(clean-up-legacy-block-device-mapping)</t>
  </si>
  <si>
    <t>msg18425</t>
  </si>
  <si>
    <t>setting::deadline::to::approve::a::review</t>
  </si>
  <si>
    <t xml:space="preserve">k great, consider it approved.  It really needs to get in this week
though, with an absolute hard deadline of this coming Tuesday.
</t>
  </si>
  <si>
    <t>msg13595</t>
  </si>
  <si>
    <t>informing::filing::blue::print::to::track::progress</t>
  </si>
  <si>
    <t>I have filed a blueprint to track the completion of this work throughout
the rest of Icehouse.</t>
  </si>
  <si>
    <t>msg13502</t>
  </si>
  <si>
    <t>False::Positive::(in::thread::not::BP::related)</t>
  </si>
  <si>
    <t>msg13294</t>
  </si>
  <si>
    <t>not::having::the::proposed::BP/feature::is::the::cause::of::a::bug</t>
  </si>
  <si>
    <t>....  I'm seeing also occurrences of this bug with nova-network....</t>
  </si>
  <si>
    <t>msg13481</t>
  </si>
  <si>
    <t>...nova-network seems to be the largest bottleneck in terms of performance problems when nova is maxed out on these test nodes ..</t>
  </si>
  <si>
    <t>draft::proposal::for::implementing::the::BP/feature::not::production::code</t>
  </si>
  <si>
    <t>.. This patch isn't a candidate for merging, but was written to test the theory that by updating nova-network to use conductor instead....</t>
  </si>
  <si>
    <t>testing::performance::of::drafted::proposal::for::implementing::the::BP/feature::not::production::code</t>
  </si>
  <si>
    <t>... Dan's initial test results from this are **very** promising....</t>
  </si>
  <si>
    <t>indicating::status::of::cycle::of::development::for::specific::bugs::(other::bugs::not::feature/BP::related)</t>
  </si>
  <si>
    <t>... We're working to address this to make the gate more reliable in a number of ways. ...</t>
  </si>
  <si>
    <t>expectations::of::addressing::the::proposed::BP/feature::in::software::reliability</t>
  </si>
  <si>
    <t>... I am hopeful that by addressing these performance issues both in Nova's code, as well as by turning down the test load, that we will see a significant increase in gate reliability ...</t>
  </si>
  <si>
    <t>msg13482</t>
  </si>
  <si>
    <t>how::to::adress::bugs::(not::bp/feature::related)</t>
  </si>
  <si>
    <t>We could also address this by locally turning up timeouts on operations that are timing out. Which would let those things take the time they need. ....</t>
  </si>
  <si>
    <t>approving::the::idea-of::working::in::the::creation::prroposed::BP/feature::to::adress::identified::bug</t>
  </si>
  <si>
    <t xml:space="preserve">I'm a huge +1 on fixing this in nova-network.
</t>
  </si>
  <si>
    <t>msg13484</t>
  </si>
  <si>
    <t>msg13489</t>
  </si>
  <si>
    <t>justifying::the::need::for::the::proposed::BP/feature</t>
  </si>
  <si>
    <t>... If we can already tell this is going to improve reliability, both when using nova-network and neutron, ...</t>
  </si>
  <si>
    <t>msg15244</t>
  </si>
  <si>
    <t>discussing::the::depracation::of::a::feature::which::would::block::the::BP</t>
  </si>
  <si>
    <t xml:space="preserve">.... Effective immediately, I would like to unfreeze nova-network
development.  What this really means:
  - We will no longer skip nova-network when making general
    architectural improvements to the rest of the code.  An example
    of playing catch-up in nova-network is [2].
... </t>
  </si>
  <si>
    <t>impact::of::depracating::a::feature::(not::BP)</t>
  </si>
  <si>
    <t>.... n nova-network in advance of its deprecation. Unfortunately, this process has taken longer than anyone thought or hoped.  This has had some negative consequences on the nova-network code (such as [1]). ....</t>
  </si>
  <si>
    <t>conditions::to::deprecate::a::feature::(not::BP)</t>
  </si>
  <si>
    <t>....First, let me recap my high level view of the blockers to deprecating nova-network in favor of Neutron: ...</t>
  </si>
  <si>
    <t>msg15245</t>
  </si>
  <si>
    <t>the email is not about the BP</t>
  </si>
  <si>
    <t>msg18901</t>
  </si>
  <si>
    <t>updating::documentation::for::a::new::feature/BP</t>
  </si>
  <si>
    <t>... I'm updating the installation guide for Icehouse. Based on the following blueprint,...</t>
  </si>
  <si>
    <t>errors::encounter::while::following::the::BP/feature::especification</t>
  </si>
  <si>
    <t>....However, when attempting to boot an instance, the Nova network service fails to retrieve network information from the controller. ...</t>
  </si>
  <si>
    <t>alternative::solution::to::encountered::errors::while::implementing::feature/BP</t>
  </si>
  <si>
    <t>Adding the the database keys resolves the problem. I'm using the 2014.1~b3-0</t>
  </si>
  <si>
    <t>specification::of::the::build::system::used::for::doing::the::BP</t>
  </si>
  <si>
    <t>... I'm using the 2014.1~b3-0ubuntu1~cloud0 packages on Ubuntu 12.04. ...</t>
  </si>
  <si>
    <t>msg01473</t>
  </si>
  <si>
    <t xml:space="preserve">.... t looks like every blueprint we were working on has been moved out to Havana-3... </t>
  </si>
  <si>
    <t>indicating::status::of::cycle::of::development::for::a::milestone::including::feature/BP/bug</t>
  </si>
  <si>
    <t xml:space="preserve">... It's not all bad news. The good news is that for Havana-2 we got fixes 
committed for some very important bugs! Havana-2 Bugs FIXED!... </t>
  </si>
  <si>
    <t>criticallity::of::bugs</t>
  </si>
  <si>
    <t>.... Critical ..... I suggest you do. It turns out that this  patch is really really critical ....</t>
  </si>
  <si>
    <t>description::of::patch::(solution)::of::a::bug</t>
  </si>
  <si>
    <t xml:space="preserve">.... The patch takes the old instance-00ffaa0011.... </t>
  </si>
  <si>
    <t>description::of::the::sender::development::responsabilities::(not::bug/BP/feature::related)</t>
  </si>
  <si>
    <t>... Personally, I'll be finishing up my blueprint work and working on one bug this 
week, once t...</t>
  </si>
  <si>
    <t>msg04418</t>
  </si>
  <si>
    <t>overlap::and::differences::between::similar::functionalities::between::two::development::process::(nova::and::external::developer)</t>
  </si>
  <si>
    <t>...  and more (as, indeed, that blueprint explicitly  states that it is only the start of a longer roadmap).  I would like to highlight a couple of differences that alarm me.  One is the general  overlap between groups ...</t>
  </si>
  <si>
    <t>question::about::if::it::is::right::place::to::ask::about::bp/feature</t>
  </si>
  <si>
    <t>... First, I'm a newbie here, wondering: is this the right place for  comments/questions ..</t>
  </si>
  <si>
    <t>msg04421</t>
  </si>
  <si>
    <t>confirmation::of::right::place::to::ask::about::feature/bp</t>
  </si>
  <si>
    <t>...Yes, this is the right...</t>
  </si>
  <si>
    <t>msg04437</t>
  </si>
  <si>
    <t>...Yeah, as Russel said this is the co...</t>
  </si>
  <si>
    <t>clarifications::about::question::of::bp/feature::in::previous::mail::(to::external::developer)</t>
  </si>
  <si>
    <t>.... The instance group...</t>
  </si>
  <si>
    <t>reasons::for::not::meeting::the::initial::development::deadline</t>
  </si>
  <si>
    <t>.... Sadly for this elease we did not manage to get the instance groups through  (it was an issue of timing and bad luck)...</t>
  </si>
  <si>
    <t>details::on::how::a::similar::problem::has::been::approached::by::different::developers::(external)</t>
  </si>
  <si>
    <t>.... the title is "Continuous Delivery ... We used our own technology to do the s.......</t>
  </si>
  <si>
    <t>details::on::how::the::functionality::can::also::encompass::a::broader::target::(external::developer)</t>
  </si>
  <si>
    <t>.... Thus, multiple policies per thing.  We  are now extending that example to include storage, and we are also working  examples with Hadoop....</t>
  </si>
  <si>
    <t>msg04504</t>
  </si>
  <si>
    <t>interest::on::details::about::the::alternative::enhancement::of::a::BP/feature::(external::developer)</t>
  </si>
  <si>
    <t>..... I'm investigating  a) Per node PCIe SSD deployment need in Openstack  environment /  Hadoop envi.. ..</t>
  </si>
  <si>
    <t>...  Hope this is the right forum to ask this question...</t>
  </si>
  <si>
    <t>msg04560</t>
  </si>
  <si>
    <t>clarifications::about::question::of::bp/feature::in::previous::mail::(to::external::developer::by::external::developer)</t>
  </si>
  <si>
    <t>... We are currently explicitly considering location and space.  For example,  a template can requ...</t>
  </si>
  <si>
    <t>msg04528</t>
  </si>
  <si>
    <t>inviting::the::external::developer::to::internal::meetings::to::discuss::more::about::BP/feature</t>
  </si>
  <si>
    <t>... It  would be nice if you could attend and it will give you a platform to raise and  share ideas with the rest of the guys in the community. At the moment the scheduling subgroup is working  on our ideas for the design  summit sessions. Please see ...</t>
  </si>
  <si>
    <t>msg04561</t>
  </si>
  <si>
    <t>conflicts::meeting::group::to::discuss::BP/feature</t>
  </si>
  <si>
    <t xml:space="preserve"> ... the scheduler group meeting conflicts with another meeting...</t>
  </si>
  <si>
    <t>msg16259</t>
  </si>
  <si>
    <t>mentioned::the::BP</t>
  </si>
  <si>
    <t>When I think of an "Instance Group", I think of "https://blueprints.launchpad.net/nova/+spec/instance-group-api-extension";. Fundamentally Instance Groups" describes a runtime relationship between different instance</t>
  </si>
  <si>
    <t>msg16265</t>
  </si>
  <si>
    <t>it is a RE:</t>
  </si>
  <si>
    <t>msg16267</t>
  </si>
  <si>
    <t>clarified::concepts::of::the::mentioned::BP</t>
  </si>
  <si>
    <t>The scheduler doesn't necessarily care about a runtime relationship, it's just trying to allocate resources efficiently.</t>
  </si>
  <si>
    <t>msg16270</t>
  </si>
  <si>
    <t>msg16275</t>
  </si>
  <si>
    <t>msg16268</t>
  </si>
  <si>
    <t>msg23071</t>
  </si>
  <si>
    <t>mentioning::that::the::existing::BP/feature::partially::covers::some::of::the::new::requested::features</t>
  </si>
  <si>
    <t>In fact you see some of this already in the blueprint for server groups (URL...</t>
  </si>
  <si>
    <t>msg04217</t>
  </si>
  <si>
    <t>requesting::feature::freeze::exception::for::BP/feature::include::bug</t>
  </si>
  <si>
    <t>.. Could we please do a FFE for this one .... has been waiting for a longtime and we have done all that we were a...</t>
  </si>
  <si>
    <t>results::of::a::previous::meeting::other</t>
  </si>
  <si>
    <t xml:space="preserve">... As per my IRC chats with dansmith, russellb, this feature needs the.. </t>
  </si>
  <si>
    <t>results::of::a::previous::meeting::BP/feature</t>
  </si>
  <si>
    <t>Dan has some more comments .......Could we please do a FFE f</t>
  </si>
  <si>
    <t>msg04234</t>
  </si>
  <si>
    <t>mentioning::conditions::to::do::a::feature::freeze::exception</t>
  </si>
  <si>
    <t xml:space="preserve">... If you can get it merged (with the additional bugfix).. </t>
  </si>
  <si>
    <t>msg04267</t>
  </si>
  <si>
    <t>proposing::not::allowing::the::BP/feature::FFE::instead::moving::the::changes::to::next::iteration</t>
  </si>
  <si>
    <t>.. However, after some discussion yesterday, it seems there are quite a few comments on the review.  There's more ite...</t>
  </si>
  <si>
    <t>msg04280</t>
  </si>
  <si>
    <t>discussing::the::new::release::deadline::for::BP/feature::due::to::rejection::of::FFE</t>
  </si>
  <si>
    <t>.. this not been granted an FFE. We worked really hard on this. To be honest it was ready for review at the end of H2....</t>
  </si>
  <si>
    <t>msg04292</t>
  </si>
  <si>
    <t>expectations::of::releasing::the::proposed::BP/feature::resourceAllocation::scheduling::policies</t>
  </si>
  <si>
    <t>This API leads to a bunch of new features that make Openstack even better in terms of resource allocation,</t>
  </si>
  <si>
    <t>msg04307</t>
  </si>
  <si>
    <t>irrelevant</t>
  </si>
  <si>
    <t>msg04262</t>
  </si>
  <si>
    <t>reasons::why::the::FFE::was::rejected::(refactoring::structure::,::data::format)</t>
  </si>
  <si>
    <t>ing an FFE.I think it needs some significant refactoring</t>
  </si>
  <si>
    <t>msg21193</t>
  </si>
  <si>
    <t xml:space="preserve">The server-groups feature of Nova ( https://blueprints.launchpad.net/nova/+spec/instance-group-api-extension) </t>
  </si>
  <si>
    <t>msg04489</t>
  </si>
  <si>
    <t xml:space="preserve">For example, instance grouping API extension [5] </t>
  </si>
  <si>
    <t>msg05683</t>
  </si>
  <si>
    <t>new::features::proposed::on::top::of::the::BP/feature</t>
  </si>
  <si>
    <t xml:space="preserve">... This builds on the existing proposal for Instance Group Extension as documented 
here in this blueprint: </t>
  </si>
  <si>
    <t>msg05684</t>
  </si>
  <si>
    <t>it is a RE:. that do not continued with the II discussion</t>
  </si>
  <si>
    <t>msg05685</t>
  </si>
  <si>
    <t>msg05694</t>
  </si>
  <si>
    <t>other::project::that::can::be::benefited::from::the::BP/feature</t>
  </si>
  <si>
    <t>....any VM to boot from one of these hosts would be applied these host aggregate policies.
As you maybe see, there are some concerns which are close in between</t>
  </si>
  <si>
    <t>there are some concerns which are close in between your BP [4] and our vision of Climate. What are your thoughts about it ?</t>
  </si>
  <si>
    <t>msg05755</t>
  </si>
  <si>
    <t>purpose/attempting::of::implementing::the::BP/feature</t>
  </si>
  <si>
    <t>The Instance-group [a][b] effort   (proposed during the last summit, and good  progress has been made so far)  attempts to address the tenant</t>
  </si>
  <si>
    <t>divide::and::conquer::methodology::for::a::group::of::features::which::includes::the::BP/feature</t>
  </si>
  <si>
    <t>... So one of the idea is to provide clear apis such an external component (such as climate, heat, or some other module) can take the placement decision results and do the actual creation of resource....</t>
  </si>
  <si>
    <t>msg05756</t>
  </si>
  <si>
    <t>msg05795</t>
  </si>
  <si>
    <t>msg00770</t>
  </si>
  <si>
    <t>mentioned::the::BP::as::a::solution::to::a::need</t>
  </si>
  <si>
    <t>I think this work is a better way to look at spawning multiple VMs:</t>
  </si>
  <si>
    <t>msg00786</t>
  </si>
  <si>
    <t>discard::the::idea::of::ussing::the::BP/feature::to::solve::a::need</t>
  </si>
  <si>
    <t>..  I don't see anything in there that replicates booting multiple instances with a single API call.</t>
  </si>
  <si>
    <t>clarify::the::differences::of::the::BP/feature::with::the::needs</t>
  </si>
  <si>
    <t>Instance groups seems different.  That's about putting multiple instances in a group for the purposes of applying policy.  I don't see anything in there that replicates booting multiple instances with a single API call.</t>
  </si>
  <si>
    <t>msg00789</t>
  </si>
  <si>
    <t>msg01139</t>
  </si>
  <si>
    <t>msg13766</t>
  </si>
  <si>
    <t>I think you can do it with rudimentary anti-affinity and affinity rules in Nova now. However I believe this would be supported by the instance grouping spec:</t>
  </si>
  <si>
    <t>msg34283</t>
  </si>
  <si>
    <t>requesting::feature::freeze::exception::for::BP/feature::include::patch</t>
  </si>
  <si>
    <t xml:space="preserve">I'd like to request a feature freeze exception for:. This feature is the final patch set for the User Namespace BP </t>
  </si>
  <si>
    <t>reasons::why::the::FEE::should::be::given</t>
  </si>
  <si>
    <t>is an important feature for libvirt-lxc because i ...... the only thing holding up the patch from 
merging this week was a multitude of bugs in the gate.</t>
  </si>
  <si>
    <t>msg34285</t>
  </si>
  <si>
    <t>agreeing::to::do::a::FFE::for::the::BP</t>
  </si>
  <si>
    <t>Since we've already merged 9 out of the 10 total patches for this feature,
it is a no brainer to merge this last one. I sponsor it</t>
  </si>
  <si>
    <t>msg34300</t>
  </si>
  <si>
    <t>Me as well. I've already reviewed most of the patches.</t>
  </si>
  <si>
    <t>msg34371</t>
  </si>
  <si>
    <t>Thirding sponsorship. I didn¹t review as much as the other two, but I helped merge a couple of
the patches. Agreed with Jay otherwise; we¹re almost there, let¹s finish
it.</t>
  </si>
  <si>
    <t>msg34373</t>
  </si>
  <si>
    <t>approval::FFE</t>
  </si>
  <si>
    <t>Approved</t>
  </si>
  <si>
    <t>msg53958</t>
  </si>
  <si>
    <t>importance::bug</t>
  </si>
  <si>
    <t>roject guys) have filed some bugs (the main is [1]),</t>
  </si>
  <si>
    <t>not::knowing::how::to::fix::bug</t>
  </si>
  <si>
    <t>we don't know how to fix them since the way Nova's device names are moved on is unclear for us.</t>
  </si>
  <si>
    <t>asking::for::clarification::of::a::poposed::solution::of::another::bug</t>
  </si>
  <si>
    <t xml:space="preserve"> instead of to write device names to the image and to return full bdm. I hope you will clarify this question (Alexandre referred to the patch with
explicit elimination of device names for images).</t>
  </si>
  <si>
    <t>asking::clarifications::about::the::usage::of::a::specific::technology::to::resolve::bugs</t>
  </si>
  <si>
    <t>lso you mentioned that we can still use bdm v1 ... but no one answered me.
It would be great if you clarify that question too</t>
  </si>
  <si>
    <t>msg54057</t>
  </si>
  <si>
    <t>mentioning::a::released::patch::about::another::bugs</t>
  </si>
  <si>
    <t>I have already commented on some of the bugs above and provided a small patch that I think fixes one bit of it</t>
  </si>
  <si>
    <t>asking::for::help::testing::other::bugs</t>
  </si>
  <si>
    <t>Help with testing (while patches are in review) would be hugely appreciated!</t>
  </si>
  <si>
    <t>conerns::that::are::covered::by::the::bug</t>
  </si>
  <si>
    <t>I think all of the above is pretty much covered by</t>
  </si>
  <si>
    <t>conerns::that::are::covered::not::covered::by::the::bug::and::request::new::filings::bugs</t>
  </si>
  <si>
    <t xml:space="preserve">I am not sure about these 3 cases - would it be possible to actually report bugs </t>
  </si>
  <si>
    <t>msg54311</t>
  </si>
  <si>
    <t>main::responsible::for::te::bug::not available</t>
  </si>
  <si>
    <t xml:space="preserve">the required tickets and will follow your reviews, however the person working primarily on this subject (Feodor Tersin) is out for his vacation for a couple </t>
  </si>
  <si>
    <t>overcome::delay::on::resolve::the::bugs</t>
  </si>
  <si>
    <t>Still we'll try to do whatever can be done without him at the time being.</t>
  </si>
  <si>
    <t>filing::new::tickets::if::required::not::bug::related</t>
  </si>
  <si>
    <t>e'll be adding the required tickets and will follow your reviews</t>
  </si>
  <si>
    <t>msg61340</t>
  </si>
  <si>
    <t>not::having::a::CI::for::testing::some::components::of::the::proposed::solution::of::the::bug</t>
  </si>
  <si>
    <r>
      <rPr/>
      <t xml:space="preserve">fter spending a few hours on </t>
    </r>
    <r>
      <rPr>
        <color rgb="FF1155CC"/>
        <u/>
      </rPr>
      <t>https://bugs.launchpad.net/nova/+bug/1370590</t>
    </r>
  </si>
  <si>
    <t>msg34055</t>
  </si>
  <si>
    <t>requesting::feature::freeze::exception::for::BP/feature</t>
  </si>
  <si>
    <t>to ask for an extension for libvirt-start-lxc-from-block-devices  feature</t>
  </si>
  <si>
    <t>asking::for::the::status::of::a::CI::for::testing::libvirt</t>
  </si>
  <si>
    <t>At the Juno midcycle in Portland I thought I remember some guy(s) from</t>
  </si>
  <si>
    <t>history::of::the::bug/BP</t>
  </si>
  <si>
    <t>It has been previously pushed from Ice house to Juno. The spec [1]</t>
  </si>
  <si>
    <t>propossal::solution::for::missing::CI::tool</t>
  </si>
  <si>
    <t xml:space="preserve">t seems like we should be able to get this going using </t>
  </si>
  <si>
    <t>indicating::status::of::cycle::of::development::for::the::BP/feature</t>
  </si>
  <si>
    <t>..The spec [1] has been approved. One of the patches is a bug fix. Another patch  has been already approved and failed in the gate.</t>
  </si>
  <si>
    <t>deprecate::usage::of::tool::in::case::no::CI::for::testing::is::found</t>
  </si>
  <si>
    <t xml:space="preserve"> think we need to add a log message saying: "LXC support is untested, and will be removed during Mitka if we do not get a CI in place".</t>
  </si>
  <si>
    <t>commenting::about::the::voting::given::to::the::features/bugs::of::the::BP</t>
  </si>
  <si>
    <t>All patches has a +2 from Daniel Berrange.</t>
  </si>
  <si>
    <t>support::matrix::of::Features::and::software</t>
  </si>
  <si>
    <t>msg34056</t>
  </si>
  <si>
    <t>he last patch is sufficiently trivial that I'm happy to sponsor FFE.</t>
  </si>
  <si>
    <t>msg61365</t>
  </si>
  <si>
    <t>what::to::do::if::something::is::not::tested</t>
  </si>
  <si>
    <t>There should at least be a quality warning that it's untested. I can push that up today.</t>
  </si>
  <si>
    <t>The first two patches there are really both just bug fixes, so should not be -2'd at all right now.</t>
  </si>
  <si>
    <t>msg34156</t>
  </si>
  <si>
    <t>These look good to me, I will be your third core.</t>
  </si>
  <si>
    <t>requesting::removing::negative::votes::in::bugs</t>
  </si>
  <si>
    <t>can you please remove your -2's on 104048, 74537, and 99974?</t>
  </si>
  <si>
    <t>msg34124</t>
  </si>
  <si>
    <t>Me too. It's a nice, small feature and I've previously reviewed the patches. Happy to second the sponsorship.</t>
  </si>
  <si>
    <t>msg28501</t>
  </si>
  <si>
    <t>leverl::up::another::feature:.in::a::new::project</t>
  </si>
  <si>
    <t>A decision has been made to split out the scheduler to a
separate project not on a feature parity basis with nova-scheduler, your
comments are welcome</t>
  </si>
  <si>
    <t>steps::needed::before::executing::the::level::up::of::feature</t>
  </si>
  <si>
    <t>During the preparation phase, it has been identified a</t>
  </si>
  <si>
    <t xml:space="preserve">(merged): was about removing the possibility for the scheduler to proxy
calls to compute nodes. </t>
  </si>
  <si>
    <t>deviations:.from::groupal::summit::(global::meeting)</t>
  </si>
  <si>
    <t xml:space="preserve">it has been agreed to follow a path a bit different from the one agreed at the Summit : once B/ is merged, Gantt will be updated and work will happen in </t>
  </si>
  <si>
    <t>conditions::to::develop::in::the::new::project::(involve::BP::being::completed)</t>
  </si>
  <si>
    <t>but (and this is the most important point) until C/ is merged into Gantt, Gantt won't support filters which decide on aggregates or</t>
  </si>
  <si>
    <t>precendence::of::the::BP/feature::in::another::development::process</t>
  </si>
  <si>
    <t>feature::parity::between::main::project::and::forked::one</t>
  </si>
  <si>
    <t>tt will move forward and leave all missing features out of it, we will be dedicated to feature-parity as top priority but</t>
  </si>
  <si>
    <t>msg28658</t>
  </si>
  <si>
    <t>msg10106</t>
  </si>
  <si>
    <t>is a pre-requisite for nova to use the split out scheduler, but I think we can begin before that is complete, by doing the work on the new trees:</t>
  </si>
  <si>
    <t>msg34126</t>
  </si>
  <si>
    <t>feature freeze exception be granted to merge this code [3], which</t>
  </si>
  <si>
    <t>problems::encounter::while:.depeloving::BP/feature</t>
  </si>
  <si>
    <t xml:space="preserve">feature freeze exception be granted to merge this code [3], which </t>
  </si>
  <si>
    <t>expectations::of::addressing::the::proposed::BP/feature::in::software::security</t>
  </si>
  <si>
    <t xml:space="preserve">The acceptance of this feature will improve the security of cloud users </t>
  </si>
  <si>
    <t>reasons::why::the::FFE::could::be::rejected::(not::complete::test::suit)</t>
  </si>
  <si>
    <t xml:space="preserve">n the Barbican service, which does not yet have experimental jobs in Tempest. </t>
  </si>
  <si>
    <t>mentioning::implications::to::do::a::feature::freeze::exception</t>
  </si>
  <si>
    <t>the risk of disruption to existing deployments as well as the risk of  regression is minimal.</t>
  </si>
  <si>
    <t>A major concern about several encryption features within Nova [1, 2] has been  the lack of secure key management. To address this concern, work has been underway to integrate these features with Barbican [3], w</t>
  </si>
  <si>
    <t>msg34251</t>
  </si>
  <si>
    <t>I sponsor it as it is effectively part of the LVM encryption blueprint which I've already sponsor</t>
  </si>
  <si>
    <t>msg34261</t>
  </si>
  <si>
    <t>Agreed, I kind of assumed we were thinking about them as one thing.</t>
  </si>
  <si>
    <t>msg34266</t>
  </si>
  <si>
    <t>There is a real issue in the current patch which I -1ed on Wed around the way requirements are pulled in.</t>
  </si>
  <si>
    <t>msg34336</t>
  </si>
  <si>
    <t>aknowledgeing::that:.adressing:feedback::needed:.to::FFE</t>
  </si>
  <si>
    <t xml:space="preserve">That feedback has been addressed - sorry for the delay.
</t>
  </si>
  <si>
    <t>msg34091</t>
  </si>
  <si>
    <t>requesting::feature::freeze::exception::for::revire::to::include::BP/feature</t>
  </si>
  <si>
    <t>I would like to request a feature freeze exception for LVM ephemeral storage encryption[1].</t>
  </si>
  <si>
    <t>This feature provides security for data at-rest on compute nodes. ... The main concern about accepting this feature pertains to key management. In particular, it uses Barbican to avoid storing keys</t>
  </si>
  <si>
    <t>msg34100</t>
  </si>
  <si>
    <t>msg34102</t>
  </si>
  <si>
    <t>I'm happy to sponsor this, since I've positively reviewed it and it is a pretty well isolated</t>
  </si>
  <si>
    <t>msg34125</t>
  </si>
  <si>
    <t xml:space="preserve">I'm happy to sponsor this one. The last patch is pretty straight forward, </t>
  </si>
  <si>
    <t>msg49617</t>
  </si>
  <si>
    <t>requesting::feature::freeze::exception::for::BP/feature/patch::include::bug</t>
  </si>
  <si>
    <r>
      <rPr/>
      <t xml:space="preserve">I would like to get a FFE for patch </t>
    </r>
    <r>
      <rPr>
        <color rgb="FF1155CC"/>
        <u/>
      </rPr>
      <t>https://review.openstack.org/#/c/162113/</t>
    </r>
    <r>
      <rPr/>
      <t xml:space="preserve"> which fixes an important bug https://bugs.launchpad.net/nova/+bug/1414065)</t>
    </r>
  </si>
  <si>
    <t>his patch fixes the libvirt monitoring of a live migration process, which is often needed for the use case of applying maintenance to a hypervisor.</t>
  </si>
  <si>
    <t>msg49781</t>
  </si>
  <si>
    <t>reasons::why::not::accept::the::FFE::(number:.of::lines:.changed)</t>
  </si>
  <si>
    <t>344 new lines of code for an exception patch? No way. Let's take time to consider the patch outside the very next release.</t>
  </si>
  <si>
    <t>No way. Let's take time to consider the patch outside the very next release.</t>
  </si>
  <si>
    <t>msg50112</t>
  </si>
  <si>
    <t>agreeing::to::reject::a::FFE::for::the::BP::that::includes::the::bug</t>
  </si>
  <si>
    <t xml:space="preserve">Agreed, I think it needs a little more time to soak in master and get some real world exposure before we push it to stable. </t>
  </si>
  <si>
    <t>describing::the::need::of::real::exposure::before::releasing::change</t>
  </si>
  <si>
    <t xml:space="preserve"> get some real world exposure before we push it to stable.</t>
  </si>
  <si>
    <t>msg44750</t>
  </si>
  <si>
    <t>impact::of::the::bug::fix::(open::oportunities::to::new:.changes)</t>
  </si>
  <si>
    <t>I had cause to refactor the way the nova libvirt driver monitors live migration completion/failure/progress.</t>
  </si>
  <si>
    <t>suggestions:.of::improvements::of::the::software::based:.on::new::opportunities:.based::on::changes::needed:.for:.the::bug</t>
  </si>
  <si>
    <t>... As a demo, I pushed a quick proof of concept showing how we could easily just abort live migration after say 10 minutes ...</t>
  </si>
  <si>
    <t>demo::for::suggestions:.of::improvements::of::the::software::based:.on::new::opportunities:.based::on::changes::needed:.for:.the::bug</t>
  </si>
  <si>
    <t xml:space="preserve"> https://review.openstack.org/#/c/151665
</t>
  </si>
  <si>
    <t>False::Positive::(in::thread::not::bug::related)</t>
  </si>
  <si>
    <t>msg44840</t>
  </si>
  <si>
    <t>msg44816</t>
  </si>
  <si>
    <t>msg44817</t>
  </si>
  <si>
    <t>msg44841</t>
  </si>
  <si>
    <t>msg44857</t>
  </si>
  <si>
    <t>msg58950</t>
  </si>
  <si>
    <r>
      <rPr/>
      <t xml:space="preserve">d like to ask for a freeze exception for the follow bug fix: </t>
    </r>
    <r>
      <rPr>
        <color rgb="FF1155CC"/>
        <u/>
      </rPr>
      <t>https://review.openstack.org/#/c/198385/</t>
    </r>
    <r>
      <rPr/>
      <t xml:space="preserve"> bug: https://bugs.launchpad.net/nova/+bug/1443970</t>
    </r>
  </si>
  <si>
    <t>msg31200</t>
  </si>
  <si>
    <t>mentioned::the::BP::as::part::of::feature::parity::with::other::project</t>
  </si>
  <si>
    <t>(for example enables the MTU to be configured instead of via a configuration 
variable)</t>
  </si>
  <si>
    <t>status::of::cycle::of::development::for::the::bug</t>
  </si>
  <si>
    <r>
      <rPr/>
      <t xml:space="preserve">merged bug fix in master: </t>
    </r>
    <r>
      <rPr>
        <color rgb="FF1155CC"/>
        <u/>
      </rPr>
      <t>https://review.openstack.org/#/c/173362/</t>
    </r>
  </si>
  <si>
    <t>describe::bug::that::is::fixed</t>
  </si>
  <si>
    <t>may be cause of some problems when we using nova-network.</t>
  </si>
  <si>
    <t>msg31205</t>
  </si>
  <si>
    <t>msg44548</t>
  </si>
  <si>
    <t xml:space="preserve">There are a number of reasons for this. The EC2 API has been slowly
rotting in the Nova tree, never was highly tested, implements a
substantially older version of what AWS has, and currently can't work
with any recent releases of the boto library (due to implementing
extremely old version of auth). This has given the misunderstanding that
it's a first class supported feature in OpenStack, which it hasn't been
in quite sometime. Deprecating honestly communicates where we stand.
</t>
  </si>
  <si>
    <t>inviting::developer::to::help::with::the::development</t>
  </si>
  <si>
    <t>Comments are welcomed, but we've attempted to get more people engaged to
address these issues over the last 18 months, and never really had
anyone step up. Without some real maintainers of this code in Nova (and
tests somewhere in the community) it's really no longer viable.</t>
  </si>
  <si>
    <t>msg44549</t>
  </si>
  <si>
    <t>reference::another::email::thread</t>
  </si>
  <si>
    <t>FYI:
http://lists.openstack.org/pipermail/openstack-dev/2015-January/055041.html</t>
  </si>
  <si>
    <t>msg44573</t>
  </si>
  <si>
    <t>question::about::details::in::implementation</t>
  </si>
  <si>
    <t>I'd be happy to provide a Debian package for this, however, there's not
even a single git tag there. That's not so nice for tracking issues.
Who's working on it?
Also, is this supposed to be branch-less? Or will it follow juno/kilo/l... ?</t>
  </si>
  <si>
    <t>msg44627</t>
  </si>
  <si>
    <t>So we've created a spec and blueprint and only now the discussion has started.</t>
  </si>
  <si>
    <t>asking::advice::development::process::(tags::vs::branches::vs::different::project)</t>
  </si>
  <si>
    <t>So bottom line - we're not sure ourselves what the best way to move. Do we put a tag (in what format? 1.0? m1? 2015.1.rc1?)? Or do we create a branch?
My thinking now is to just put a tag - something like 1.0.rc1.
What do you think?</t>
  </si>
  <si>
    <t>msg44781</t>
  </si>
  <si>
    <t>question::about::dependencies::of::BP::with::NOVA</t>
  </si>
  <si>
    <t>How dependent is this code on current nova master? For example, is there a rebase or something that happens or things in nova on master that change which affect this repo and it has to adjust, like what happens with the nova-docker driver repo in stackforge?</t>
  </si>
  <si>
    <t>providing::advice::development::process::(tags::vs::branches::vs::different::project)</t>
  </si>
  <si>
    <t>If so, then I'd think it more closely aligns with the openstack release schedule and tagging/branching scheme, at least until it's completely independent.</t>
  </si>
  <si>
    <t>msg44802</t>
  </si>
  <si>
    <t>proving::aswer::about::dependencies::of::BP::with::NOVA</t>
  </si>
  <si>
    <t>Ideally (when we remove all the workarounds), the code should be dependent only on public APIs and oslo, but for the first few releases when some additional functionality is exposed in Nova for us to remove workarounds we might be dependent on particular releases - or if it's done via extensions or versioning and we can see what we're dealing with we also can be independent in terms of releases.</t>
  </si>
  <si>
    <t>clarifications::about::question::of::bp/feature::in::previous::mail</t>
  </si>
  <si>
    <t>msg44808</t>
  </si>
  <si>
    <t>providing::advice::development::process::(organizing::developers::groups)</t>
  </si>
  <si>
    <t>I could see the real issue here is the maintainers for EC2 API code.
If this is the case - create a sub-group with core members in it, who
will be responsible to maintain this code like other projects.</t>
  </si>
  <si>
    <t>msg44769</t>
  </si>
  <si>
    <t xml:space="preserve">As I've said a couple of times in the past, I think the
architecturally sound approach is to keep this inside Nova.
</t>
  </si>
  <si>
    <t>cons::and::pros::design::choice::to::keep::project::inside::nova</t>
  </si>
  <si>
    <t>I fear that deprecation is a one way street and I would like to ask
one more chance to resucitate it in its current home.</t>
  </si>
  <si>
    <t>msg44782</t>
  </si>
  <si>
    <t>discussing::the::cons::of::a::design::choice::to::keep::project::inside::nova</t>
  </si>
  <si>
    <t>Deprecation isn't a one-way street really, nova-network was deprecated for a couple of releases and then undeprecated and opened up again for feature development (at least for a short while until the migration to neutron is sorted out and implemented).</t>
  </si>
  <si>
    <t>msg44834</t>
  </si>
  <si>
    <t>Nova-network was prematurely deprecated as the alternative was not fully
ready. That's a prime example of why we should not be deprecating EC2
right now either.</t>
  </si>
  <si>
    <t>msg44858</t>
  </si>
  <si>
    <t>I'm with Daniel on that one. We shouldn't "deprecate" until we are 100%
sure that the replacement is up to the task and that strategy is solid.</t>
  </si>
  <si>
    <t>msg44861</t>
  </si>
  <si>
    <t>My problem with this is: If there wasn't a stackforge project, what
would we do? Nova's in-tree EC2 support has been rotting for years now,
and despite several rallies for developers, no real progress has been
made to rescue it. I don't think that it's reasonable to say that if
there wasn't a stackforge project we'd just have to suck it up and
magically produce the developers to work on EC2; it's clear that's not
going to happen.</t>
  </si>
  <si>
    <t>communicate::reallocate::resources::(developers)::move::project::ouside::nova</t>
  </si>
  <si>
    <t>Thus, it seems to me that we need to communicate that our EC2 support is
going away.</t>
  </si>
  <si>
    <t>msg44863</t>
  </si>
  <si>
    <t>pros::design::choice::to::keep::project::inside::nova::(user::importance)</t>
  </si>
  <si>
    <t>I think that is exactly what we'd would have todo. We exist as a project
to serve the needs of our users and it seems pretty clear from the survey
results that users are deploying the EC2 impl in significant numbers,
so to just remove it would essentially be ignoring what our users want
from the project. If we're saying it is reasonable to ignore what our
users want, then this project is frankly doomed.</t>
  </si>
  <si>
    <t>msg44870</t>
  </si>
  <si>
    <t>discussing::pros::design::choice::to::keep::project::inside::nova::(user::importance)</t>
  </si>
  <si>
    <t>It's really easy to say "someone should do this", but the problem is
that none of the core team is interested, neither is anyone else. Most
of the people that once were interested have left being active in OpenStack.
(the entire email)</t>
  </si>
  <si>
    <t>proposing::keep::project::as::experimental::project</t>
  </si>
  <si>
    <t>Maybe deprecation is the wrong tool for that, and marking EC2 as experimental and non supported in the log message is more appropriate.</t>
  </si>
  <si>
    <t>msg44937</t>
  </si>
  <si>
    <t>I think that perhaps something that shouldn't be lost site of is that the
users using the EC2 API are using it as-is. The only commitment that needs
to be made is to maintain the functionality that's already there, rather
than attempt to keep it up to scratch with newer functionality that's come
into EC2.
The stackforge project can perhaps be the incubator for the development of
a full replacement which is more up-to-date and interacts more like a
translator. Once it's matured enough that the users want to use it instead
of the old EC2 API in-tree, then perhaps deprecation is the right option.</t>
  </si>
  <si>
    <t>discussing::proposing::keep::project::as::experimental::project</t>
  </si>
  <si>
    <t>Between now and then, I must say that I agree with Sean - perhaps the best
strategy would be to make it clear somehow that the EC2 API isn't a fully
tested or up-to-date API.</t>
  </si>
  <si>
    <t>msg44987</t>
  </si>
  <si>
    <t>communicate::user::status::of::project</t>
  </si>
  <si>
    <t>I completely agree we should communicate clearly the status of the
in-tree EC2 API to our users.</t>
  </si>
  <si>
    <t>cons::and::pros::design::choice::to::deprecating::project::inside::nova</t>
  </si>
  <si>
    <t>Deprecation is a mechanism by which we communicate to our users that
they need to evolve their current usage of OpenStack. It should not be
used lightly, and it should be a reliable announcement. In the past we
deprecated things based on a promised replacement plan that never
happened, and we had to un-deprecate. I would very much prefer if we
didn't do that ever again, because it's training users to ignore our
deprecation announcements. That is what I meant in my earlier email. We
/can/ deprecate, but only when we are 99.9% sure we will follow up on that.
- The supposed "35% of our users" are actually more 44% of the user
survey respondents replying "yes" when asked if they ever used the EC2
API in their deployment of OpenStack. Given that it's far from being up
to date or from behaving fully like the current Amazon EC2 API, it's
fair to say that those users are probably more interested in keeping the
current OpenStack EC2 API support as-is, than they are interested in a
new project that will actually make it better and/or different.
- Given legal uncertainty about closed APIs it might make *legal* sense
to remove it from Nova or at least mark it deprecated and freeze it
until that removal can happen. Projects in Stackforge are, by
definition, not OpenStack projects, and therefore do not carry the same
risk.</t>
  </si>
  <si>
    <t>keeping::inside::project::as::it::is</t>
  </si>
  <si>
    <t>msg44989</t>
  </si>
  <si>
    <t>discussing::keeping::inside::project::as::it::is</t>
  </si>
  <si>
    <t>All of which is fair, however there is actually no such thing as
"keeping support as-is". The EC2 API is the equivalent of parts of Nova
+ Neutron + Cinder + Keystone + Swift. However the whole thing is
implemented in Nova. Nova, for instances, has a terrible s3 object store
in tree to make any of this work (so that the EC2 API doesn't actually
depend on Swift). As the projects drift away and change their semantics,
and bump their APIs keeping the same support is real work, that's not
getting done.</t>
  </si>
  <si>
    <t>complaining::about::previous::bad::developing</t>
  </si>
  <si>
    <t>Nova, for instances, has a terrible s3 object store in tree to make any of this work (so that the EC2 API doesn't actually depend on Swift). As the projects drift away and change their semantics, and bump their APIs keeping the same support is real work, that's not getting done.</t>
  </si>
  <si>
    <t>msg45244</t>
  </si>
  <si>
    <t>discussing::complaining::about::previous::bad::developing</t>
  </si>
  <si>
    <t>This is a bit unfair. This code path is only used for ec2_register_image
which I think is almost completely unused even by ec2 these days. Also,
it can use any s3 object store (for example swift with swift3 in front).</t>
  </si>
  <si>
    <t>msg44704</t>
  </si>
  <si>
    <t>indicating::status::of::cycle::of::development::for::a::project</t>
  </si>
  <si>
    <t>as you might have read on openstack-dev, the Nova EC2 API
implementation is in a pretty sad state.</t>
  </si>
  <si>
    <t>communicate::need::resources::(developers)</t>
  </si>
  <si>
    <t>So, does the Foundation have a role here? The Nova team has failed to
find someone to help us resolve these issues. Can the board perhaps
find resources as the representatives of some of the largest
contributors to OpenStack? Could the Foundation employ someone to help
us our here?</t>
  </si>
  <si>
    <t>discussing::about::plan::development::process::(same::or::different::project)</t>
  </si>
  <si>
    <t>I suspect the correct plan is to work on getting the stackforge
replacement finished, and ensuring that it is feature compatible with
the Nova implementation. However, I don't want to preempt the design
process -- there might be other ways forward here.</t>
  </si>
  <si>
    <t>msg44706</t>
  </si>
  <si>
    <t>asking::for:.an::existing::Bug/BP::to:.work::on</t>
  </si>
  <si>
    <t xml:space="preserve">Is there a blue print or some set of bugs tagged in some way to tackle
</t>
  </si>
  <si>
    <t>msg44707</t>
  </si>
  <si>
    <t>answering::asking::for::an::existing::Bug/BP::to:.work::on::(possible::BP)</t>
  </si>
  <si>
    <t>Seems like Wataru from CERN is working on testing EC2.
He is adding Rally scenarios related to EC2:
https://review.openstack.org/#/c/147550/
So at least EC2 will have good functional/perf test coverage.</t>
  </si>
  <si>
    <t>msg44708</t>
  </si>
  <si>
    <t>answering::asking::for:.an::existing::Bug/BP::to:.work::on::(tag::related::on::bug::platform)</t>
  </si>
  <si>
    <t>There is an ec2 bug tag in launchpad. I would link to it except I am
writing this offline. I will fix that later today.</t>
  </si>
  <si>
    <t>asking::for::plan::development::process::(move::project::outside::nova)</t>
  </si>
  <si>
    <t xml:space="preserve">However I think what we've shown is that moving this code out of nova is
the future. I would like to see someone come up with a plan to transition
users to the stackforge project. That seems the best way forward at this
point.
</t>
  </si>
  <si>
    <t>msg44711</t>
  </si>
  <si>
    <t>answering::asking::for::an::existing::Bug/BP::to:.work::on::(possible::bug)</t>
  </si>
  <si>
    <r>
      <rPr/>
      <t xml:space="preserve">Ok, now that the 40 seater turbo prop has landed, here we go:
</t>
    </r>
    <r>
      <rPr>
        <color rgb="FF1155CC"/>
        <u/>
      </rPr>
      <t>https://bugs.launchpad.net/nova/+bugs?field.tag=ec2</t>
    </r>
  </si>
  <si>
    <t>msg44779</t>
  </si>
  <si>
    <t>answering::asking::for::an::existing::Bug/BP::to:.work::on::(possible::specification)</t>
  </si>
  <si>
    <r>
      <rPr/>
      <t xml:space="preserve">Also the spec here:
</t>
    </r>
    <r>
      <rPr>
        <color rgb="FF1155CC"/>
        <u/>
      </rPr>
      <t>https://review.openstack.org/#/c/147882/</t>
    </r>
  </si>
  <si>
    <t>msg44732</t>
  </si>
  <si>
    <t>asking::reason::for::(move::project::outside::nova)</t>
  </si>
  <si>
    <t>I'd love to get to the root cause before we jump to look for solutions.
The story we hear is that EC2 is important and according to the user
survey there are users that seem to be using OpenStack's EC2 code. Nova
developers point out though that the EC2 code is broken and unusable. So
something is out of whack: either user report are more 'wishes' than
usage or the openstack code is not as bad or someone else is feeding
these users good code (that is not in openstack repositories) or
something else.</t>
  </si>
  <si>
    <t>asking::clarifications::history::of::the::bug/BP</t>
  </si>
  <si>
    <t>I'd love to get to the root cause before we jump to look for solutions.
The story we hear is that EC2 is important and according to the user
survey there are users that seem to be using OpenStack's EC2 code. Nova
developers point out though that the EC2 code is broken and unusable. So
something is out of whack: either user report are more 'wishes' than
usage or the openstack code is not as bad or someone else is feeding
these users good code (that is not in openstack repositories) or
something else.</t>
  </si>
  <si>
    <t>proposing::reaching::out::users::about::the::usage::of::a::functionality</t>
  </si>
  <si>
    <t>Which questions shall we ask them? I'd start from:
* where did you get the EC2 API: vanilla openstack (version, etc) or via
a vendor? which vendor?
* how do you use the EC2 code? Anecdotes are enough I think at this
point.</t>
  </si>
  <si>
    <t>msg44762</t>
  </si>
  <si>
    <t>offering::help::for::developing::project</t>
  </si>
  <si>
    <t>Our team can take the effort. We're the ones doing the stackforge EC2 API and we can maintain the nova's EC2 in acceptable state for the time being as well. If you can give us any permissions and leverage to not just contribute fixes and tests but also have a say in approval of those (maybe to just one of us) then it'll be fast. Otherwise it'll happen in due time but our previous attempts to contribute some fixes for EC2 API in nova took usually more than half a year to get through.</t>
  </si>
  <si>
    <t>msg44764</t>
  </si>
  <si>
    <t>+1 cloudscaling has been pretty involved in ec2 support for openstack for a long while now.</t>
  </si>
  <si>
    <t>msg44765</t>
  </si>
  <si>
    <t>suggesting::discussing::topic::in::meeting</t>
  </si>
  <si>
    <t xml:space="preserve">I think this would merit a good slot in the Vancouver design sessions so we can 
also discuss documentation, migration, packaging, configuration management, 
scaling, HA, etc.
</t>
  </si>
  <si>
    <t>mentioned::the::change</t>
  </si>
  <si>
    <t>As discussed on the change, it is likely that there would need to be some  additional Nova APIs added to support the full EC2 semantics. Thus, there would  need to support from the Nova team to enable these additional functions.   Having tables in the EC2 layer which get out of sync with those in the Nova layer would be a significant problem in production.</t>
  </si>
  <si>
    <t>proposing::development::project::(as::API)</t>
  </si>
  <si>
    <t xml:space="preserve">t is likely that there would need to be some  additional Nova APIs added to support the full EC2 semantics. </t>
  </si>
  <si>
    <t>msg44766</t>
  </si>
  <si>
    <t>asking::advice::development::process::(reviewers::permissions::timing)</t>
  </si>
  <si>
    <t>We sure we can fix it and we know how. The only problem is to somehow get a hand with reviewing and approvals speed? Is there any remedy for this? I've asked Michael already above in the thread, but I don't presume that it's possible even to allow one of us to become core reviewer for EC2 part of the nova? Or is it?</t>
  </si>
  <si>
    <t>msg44836</t>
  </si>
  <si>
    <t>discussing::proposing::development::project::(as::API)</t>
  </si>
  <si>
    <t>Adding new APIs to Nova to support out of tree EC2 impl is perfectly reasonsable.</t>
  </si>
  <si>
    <t>expectations::of::addressing::the::proposed::BP/feature::as::API</t>
  </si>
  <si>
    <t xml:space="preserve">Indeed if there is data needed by EC2 that Nova doesn't provide already, chances are that providing this data woudl be useful to other regular users / client  apps too. </t>
  </si>
  <si>
    <t>asking::for::creation::(specification::new::API)</t>
  </si>
  <si>
    <t>Just really needs someone to submit a spec with details of exactly which functionality is missing. It shouldnt be hard for Nova cores to support it,  given the desire to see the out of tree EC2 impl take over &amp; in tree impl removed.</t>
  </si>
  <si>
    <t>suggesting::discussing::topic::online</t>
  </si>
  <si>
    <t>We need to at least discuss &amp; iterate on this a few times online, so that
we can take advantage of the f2f time for any remaining harder parts of
the discussion</t>
  </si>
  <si>
    <t>msg44847</t>
  </si>
  <si>
    <t>answering::asking::for::creation::(specification::new::API)</t>
  </si>
  <si>
    <t>We'll do the spec shortly.</t>
  </si>
  <si>
    <t>asking::advice::how::discussing::topic::online</t>
  </si>
  <si>
    <t>We'll see about that also when all of the subjects we can think of or get questions about are covered somewhere in docs or specs. By the way - how do you usually do those online discussions? I mean what is the tooling?</t>
  </si>
  <si>
    <t>msg44849</t>
  </si>
  <si>
    <t>ansswering::advice::how::discussing::topic::online</t>
  </si>
  <si>
    <t>I just mean discussions on this mailing list, or in the gerrit reviews for the spec and/or patches</t>
  </si>
  <si>
    <t>msg45199</t>
  </si>
  <si>
    <t>msg44771</t>
  </si>
  <si>
    <t>As you know we have been driving forward on the stack forge project and
it¹s our intention to continue to support it over time, plus reinvigorate
the GCE APIs when that makes sense.</t>
  </si>
  <si>
    <t>msg44789</t>
  </si>
  <si>
    <t>asking::plans::move::project::ouside::nova</t>
  </si>
  <si>
    <t xml:space="preserve">Are there plans afoot to add support to switch on stackforge/ec2-api
in devstack? </t>
  </si>
  <si>
    <t>asking::advice::development::process::(tests::process)</t>
  </si>
  <si>
    <t>Are there plans afoot to add support to switch on stackforge/ec2-api
in devstack? add tempest tests etc? CI Would go a long way in
alleviating concerns i think.</t>
  </si>
  <si>
    <t>msg44790</t>
  </si>
  <si>
    <t>I would encourage DevStack support to be implemented as an external plugin
in the stackforge repo directly if they want to do the integration.  This
would allow local devstack runs to use it directly even if it doesn't get
in to the CI gate.</t>
  </si>
  <si>
    <t>informing::abandoning::abandoned::ppojects::(exercises)</t>
  </si>
  <si>
    <t>Most of the EC2 exercises in DevStack are broken and I plan to go ahead and
remove them soon, plus disabling n-crt and n-obj which both only exist to
support euca2ools bundling.</t>
  </si>
  <si>
    <t>msg44801</t>
  </si>
  <si>
    <t>providing::advice::development::process::(tests::process)</t>
  </si>
  <si>
    <t>Now that the picture with the both EC2 API solutions has cleared up a bit, I can say yes, we'll be adding the tempest tests and doing devstack integration.</t>
  </si>
  <si>
    <t>msg44807</t>
  </si>
  <si>
    <t>False::Positive::(in::thread::no::practice)</t>
  </si>
  <si>
    <t>msg44821</t>
  </si>
  <si>
    <t>discussing::plan::development::process::(move::project::outside::nova)</t>
  </si>
  <si>
    <t>I personally think the way forward is a staged
transition from the in-nova EC2 API to the stackforge project, with
testing added to ensure that we are feature complete between the two.</t>
  </si>
  <si>
    <t>msg44851</t>
  </si>
  <si>
    <t>discussing::about::plan::development::process::(steps)</t>
  </si>
  <si>
    <t>From the technical point of view the transition plan could look somewhat like this (sequence can be different):
1. Triage EC2 bugs and fix showstoppers in nova's EC2.
2. Contribute Tempest tests for EC2 functionality and employ them against nova's EC2. 3. Write spec for required API to be exposed from nova so that we get full info.
4. Triage and fix all of the existing nova's EC2 bugs worth fixing.
5. Set up Tempest testing of the stackforge/ec2 (if that's possible).
6. Communicate and discover all of the existing questions and problematic points for the switching from existing EC2 API to the new one. Provide solutions or decisions about them. 7. Do performance testing of the new stackforge/ec2 and provide fixes if any bottlenecks come up. 8. Have all of the above prepared for the Vancouver summit and discuss the situation there.</t>
  </si>
  <si>
    <t>discussing::development::process::(developer::team)</t>
  </si>
  <si>
    <t>By saying EC2 sub team - who did you keep in mind? From my team 3 persons are involved.</t>
  </si>
  <si>
    <t>Michael, I am still wondering, who's going to be responsible for timely reviews and approvals of the fixes and tests we're going to contribute to nova? So far this is the biggest risk. Is there anyway to allow some of us to participate in the process?</t>
  </si>
  <si>
    <t>msg44862</t>
  </si>
  <si>
    <t>offering::help::to::shephard::reviews</t>
  </si>
  <si>
    <t>I am happy to volunteer to shephard these reviews. I'll try to keep an
eye on them, and if something is blocking please just ping me directly
on IRC in #openstack-nova or bring them forward to the weekly Nova meeting.</t>
  </si>
  <si>
    <t>msg44872</t>
  </si>
  <si>
    <t>offering::help::to::implement::test</t>
  </si>
  <si>
    <t>We'll be tons of EC2 Tempest tests for your attention shortly.
How would you prefer them? In several reviews, I believe. Not in one, right?</t>
  </si>
  <si>
    <t>asking::advice::development::process::(tests)</t>
  </si>
  <si>
    <t>msg44875</t>
  </si>
  <si>
    <t>providing::advice::development::process::(tests::move::them::out:nova)</t>
  </si>
  <si>
    <t>So, honestly, I think that we should probably look at getting the ec2
tests out of the Tempest tree as well and into a more dedicated place.
Like as part of the stackforge project tree. Given that the right
expertise would be there as well. It could use tempest-lib for some of
the common parts.</t>
  </si>
  <si>
    <t>msg44883</t>
  </si>
  <si>
    <t>Rally team would be happy to accept some of tests, and as well we support
in tree plugins.
So part of tests (that are only for hardcore functional testing and not
reusable in reallife) can stay in tree of ec2-api.</t>
  </si>
  <si>
    <t>msg44886</t>
  </si>
  <si>
    <t>We tried to find out about tempest-lib, asked Keichi Ohmichi, but it seems that's still work in progress. Can you point us somewhere where we can understand how to employ this technology.
So the use cases will be:
1. Be able to run the suit against EC2 in nova.
2. Be able to run the suit against stackforge/EC2.
3. Use that for gating for both repos.
Additional complication here is that some of the tests will have to skipped because of functionality absence or because of bugs in nova's EC2 but should be employed against stackforge's version.
Could you advice how to achieve such effects?</t>
  </si>
  <si>
    <t>msg44890</t>
  </si>
  <si>
    <t>Tempest-lib is the effort to break out useful pieces from the tempest repo so
that they have stable interfaces and can easily be consumed externally.
Right now it only has some basic functionality in it, but we are working on
expanding it more constantly. If there is a needed feature from inside the
tempest repo which is currently missing from the lib we can work together on
migrating it over faster</t>
  </si>
  <si>
    <t>msg44888</t>
  </si>
  <si>
    <t>asking::clarifications::about::development::process::(tests::process)</t>
  </si>
  <si>
    <t>Let's take a step back for a sec. How many tests and what kind are we talking
about here?
I'm thinking it might be better to not just try and dump all this stuff in
tempest. While in the past we've just dumped all of this in tempest, moving
forward I don't think that's what we want to be doing. The current ec2 tests
have always felt out of place to me in tempest and historically haven't been
maintained as well as the other tests. If we're talking about ramping up the ec2
testing we probably should look at migrating everything elsewhere, especially
given that it just essentially nova testing. I see 2 better options here: we
either put the tests in the tree for the project with the ec2 implementation, or
we create a new repo like tempest-ec2 for testing this. In either case we'll
leverage tempest-lib to make sure the bits your existing testing is relying on
are consumable outside of the tempest repo.</t>
  </si>
  <si>
    <t>msg44905</t>
  </si>
  <si>
    <t>providing::clarifications::about::development::process::(tests::process)</t>
  </si>
  <si>
    <t>We've got our root in /tempest/thirdparty/aws/ec2 (which we considered a better naming than boto) and it works via botocore (so no boto in any case).
12 files with 79 API tests.
However we've got additionally some amount of complex scenario tests as well, unfortunately using boto, not botocore. Most of them though are about VPC stuff so those we'll run against our stackforge's EC2 only</t>
  </si>
  <si>
    <t>msg44864</t>
  </si>
  <si>
    <t>asking::to::review::in::related::changes::of::the::project</t>
  </si>
  <si>
    <t>It would also be really helpful if there were reviews from you team on
any ec2 touching code.</t>
  </si>
  <si>
    <t>msg44887</t>
  </si>
  <si>
    <t>taking::care::of::review::in::related::changes::of::the::project</t>
  </si>
  <si>
    <t>Yes, we'll start looking there as well.</t>
  </si>
  <si>
    <t>msg44921</t>
  </si>
  <si>
    <t>answering::advice::how::discussing::topic::online</t>
  </si>
  <si>
    <t>I see the sub team as the way of keeping the various organisations who
have expressed interest in helping pulling in the same direction. I'd
suggest you pick a free slot on our meeting calendar and run an irc
meeting there weekly to track overall progress.</t>
  </si>
  <si>
    <t>discussing::providing::advice::development::process::(tests::move::them::out:nova)</t>
  </si>
  <si>
    <t>This sounds really good to me -- this is the sort of thing you'd be
tracking against in that irc meeting, although presumably you'd
negotiate as a group exactly what the steps are and who is working on
what.</t>
  </si>
  <si>
    <t>I think given the level of interest here we can have a serious
discussion at Vancouver about if EC2 should be nominated as a priority
task for the L release, which is our more formal way of cementing this
at the beginning of a release cycle.</t>
  </si>
  <si>
    <t>asking::clarifications::about::plan::development::process</t>
  </si>
  <si>
    <t>o you see transitioning users to the external EC2 implementation as a
final step in this list? I know you've only gone as far as Vancouver
here, but I want to be explicit about the intended end goal.</t>
  </si>
  <si>
    <t>msg44923</t>
  </si>
  <si>
    <t>indicating::information::(development::progress)</t>
  </si>
  <si>
    <t>We've already started.</t>
  </si>
  <si>
    <t>providing::clarifications::about::plan::development::process</t>
  </si>
  <si>
    <t>Yes, that's correct. The very final step though would be cleaning up nova from the EC2 stuff. But you're right, the major goal would be to make external EC2 API production-ready and to have all of the necessary means for users to seamlessly transition (no downtimes, no instances recreation required).
So I can point at least three distinct major milestones here:
1. EC2 API in nova is back and revived (no showstoppers, all of the currently employed functionality safe and sound, new tests added to check and ensure that).
2. External EC2 API is production-ready.
3. Nova is relieved of the EC2 stuff.
Vancouver is somewhere in between 1 and 3.</t>
  </si>
  <si>
    <t>msg44924</t>
  </si>
  <si>
    <t>providing::advice::development::process::(meetings)</t>
  </si>
  <si>
    <t xml:space="preserve">Start from the https://wiki.openstack.org/wiki/Meetings page
preamble and follow the instructions linked from it.
-- </t>
  </si>
  <si>
    <t>msg45193</t>
  </si>
  <si>
    <t>We've added the devstack support. It's in our stackforge repository.
https://github.com/stackforge/ec2-api/tree/master/contrib/devstack
Best regards,
  Alex Levine</t>
  </si>
  <si>
    <t>reference::repository</t>
  </si>
  <si>
    <t>msg45195</t>
  </si>
  <si>
    <t>Alexandre,
very cool. Next step would be what we call a dsvm job that uses this
devstack hook. Example i am most familiar is is nova-docker's
check-tempest-dsvm-docker job:
https://github.com/openstack-infra/project-config/blob/master/jenkins/jobs/nova-docker.yaml
(also see zuul/layout.yaml)</t>
  </si>
  <si>
    <t>msg45203</t>
  </si>
  <si>
    <t>I've converted it to a devstack external plugin structure in this review
- https://review.openstack.org/#/c/153206/
so that will make using this as simple as
enable_plugin ec2-api https://github.com/stackforge/ec2-api
Once that merges.</t>
  </si>
  <si>
    <t>msg45294</t>
  </si>
  <si>
    <t>asking::clarifications::about::development::process::(testing)</t>
  </si>
  <si>
    <t>But there are also concerns that Tempest is not the right place for these
EC2 API tests. While I am not mature enough with testing methodologies to comment on what is good vs bad, I am seeing a problem if we start blocking new EC2 Tempest tests, and ask to move them out-of-Tempest first. This will particularly hurt the EC2-code-in-Nova camp (which includes me) who have seemingly been given a lifeline until the next summit to prove they care about in-tree EC2 code.</t>
  </si>
  <si>
    <t>discussing::about::development::process::(testing)</t>
  </si>
  <si>
    <t>So I just wanted to know what does concerned people think about this
problem. On solution I can see is allow tests to be added to Tempest for
now, and then make the switch post-summit. I am hoping moving tests out of
Tempest at-once wouldn't be a tough job (mostly tidying import
statements?).</t>
  </si>
  <si>
    <t>msg45296</t>
  </si>
  <si>
    <t xml:space="preserve">These tests will be good for running against both nova/ec2-api and stackforge/ec2-api. As soon as they are there, you'll be more than welcome to add even more.
</t>
  </si>
  <si>
    <t>answering::clarifications::about::development::process::(testing)</t>
  </si>
  <si>
    <t>We're adding new tempest tests into our stackforge-api/ec2-api. The review will appear in a couple of days.</t>
  </si>
  <si>
    <t>msg45297</t>
  </si>
  <si>
    <t>discussing::about::development::process::(location::testing)</t>
  </si>
  <si>
    <t xml:space="preserve">Honestly, I'm more more pro having the ec2 tests in a tree that isn't
Tempest. Most Tempest reviewers aren't familiar with the ec2 API, their
focus has been OpenStack APIs.
</t>
  </si>
  <si>
    <t>msg45324</t>
  </si>
  <si>
    <t>And once similar coverage to the current tempest ec2 tests is achieved, either by copying from tempest or creating anew, we should remove the ec2 tests from tempest.</t>
  </si>
  <si>
    <t>msg45418</t>
  </si>
  <si>
    <t>I will be creating the a sub group in Nova for EC2 APIs and start the
weekly meetings, reviews, code cleanup, etc tasks.
Will update the same on wiki page also soon..</t>
  </si>
  <si>
    <t>msg45431</t>
  </si>
  <si>
    <t>I'll do the sub group and meetings stuff, since I lead the ec2-api in stackforge anyways. Of course I'm not that familiar with these processes in nova yet, so if you're sure that you want to take the lead for nova's part of EC2, I won't be objecting much. Please let me know what you think.</t>
  </si>
  <si>
    <t>msg45480</t>
  </si>
  <si>
    <t>Currently am looking for our sub
team meeting slot. Once I get the meeting slot will update the wiki
with meeting details along with the first meeting agenda. Please feel
free to add more to the meeting agenda.</t>
  </si>
  <si>
    <t>msg45502</t>
  </si>
  <si>
    <t>msg45560</t>
  </si>
  <si>
    <t>That's great. I think we should start the work without delay.
I have just created the ec2 api sub team wiki page in nova active
sub-teams list.</t>
  </si>
  <si>
    <t>discussing::development::process::(meetings)</t>
  </si>
  <si>
    <t xml:space="preserve">For the ec2 api weekly meeting, I have already sent the voting sheet
to openstack-dev mailing list. Based on the majority,
we will fix the meeting time.
(http://lists.openstack.org/pipermail/openstack-dev/2015-February/056446.html)
PS: Will update the https://wiki.openstack.org/wiki/Meetings page,
once the meeting time finalized.
</t>
  </si>
  <si>
    <t>msg44141</t>
  </si>
  <si>
    <t>reference::specification</t>
  </si>
  <si>
    <r>
      <rPr/>
      <t xml:space="preserve">Nova spec:
</t>
    </r>
    <r>
      <rPr>
        <color rgb="FF1155CC"/>
        <u/>
      </rPr>
      <t>https://review.openstack.org/#/c/147882</t>
    </r>
  </si>
  <si>
    <t>reference::BP</t>
  </si>
  <si>
    <r>
      <rPr/>
      <t xml:space="preserve">Blueprint:
</t>
    </r>
    <r>
      <rPr>
        <color rgb="FF1155CC"/>
        <u/>
      </rPr>
      <t>https://blueprints.launchpad.net/nova/+spec/ec2-api</t>
    </r>
  </si>
  <si>
    <r>
      <rPr/>
      <t xml:space="preserve">Project and code:
</t>
    </r>
    <r>
      <rPr>
        <color rgb="FF1155CC"/>
        <u/>
      </rPr>
      <t>https://github.com/stackforge/ec2-api</t>
    </r>
  </si>
  <si>
    <t>reference::meeting</t>
  </si>
  <si>
    <r>
      <rPr/>
      <t xml:space="preserve">Kilo talks:
</t>
    </r>
    <r>
      <rPr>
        <color rgb="FF1155CC"/>
        <u/>
      </rPr>
      <t>https://etherpad.openstack.org/p/kilo-nova-summit-unconference</t>
    </r>
  </si>
  <si>
    <t>urrent state is a fully functional (at least not worse than existing one) service covering EC2 API almost completely except for some limitations listed in the README and the ones not found yet (we're discovering some more gaps when we're adding more tests). Still, except for some nova EC2 extensions which are not supported by AWS CLI, all legit functionality present currently in nova is implemented in this service too. All of the existing nova EC2 unit tests were ported or reflected in other tests.
Tempest API and scenario tests exist but it's unclear where to put them yet.</t>
  </si>
  <si>
    <t xml:space="preserve">The idea arisen when we needed to improve current nova's EC2 API compatibility by fixing some bugs, removing some limitations and incompatibilities, and especially adding the whole VPC API part which was completely absent. We needed to use all of it in some proprietary clouds of ours. This was done after our initial attempt with the similar GCE-API functionality which showed to us that it's much easier to position such functionality as a separate service and separate project rather than trying to squeeze it into nova beside the existing EC2-API. When we started we already had the GCE-API finished functionality on stackforge. So we created another alike project for EC2-API. Initially we created only the lacking VPC API part. The rest of the EC2 functionality requests was just proxied into existing nova's EC2. After the Kilo design summit it was decided that we'll extract the rest and have fully functional EC2 API standalone project which can eventually replace nova's one.
</t>
  </si>
  <si>
    <t>expectations::of::addressing::the::proposed::BP/feature::in::software::compatibility</t>
  </si>
  <si>
    <t>the idea arisen when we needed to improve current nova's EC2 API compatibility by fixing some bugs, removing some limitations and incompatibilities</t>
  </si>
  <si>
    <t>https://www.mail-archive.com/openstack-dev@lists.openstack.org/msg44141.html</t>
  </si>
  <si>
    <r>
      <rPr/>
      <t xml:space="preserve"> http://www.mail-archive.com/openstack-dev@lists.openstack.org/msg44704.html 
</t>
    </r>
    <r>
      <rPr>
        <color rgb="FF1155CC"/>
        <u/>
      </rPr>
      <t>https://www.mail-archive.com/openstack-dev@lists.openstack.org/msg44548.html</t>
    </r>
  </si>
  <si>
    <t>O1</t>
  </si>
  <si>
    <t>O2</t>
  </si>
  <si>
    <t>O4 - Aspects of discussions in other media</t>
  </si>
  <si>
    <t>O5 - Files Involved in the BFC (tagged as bug files by Gema) are in BIC</t>
  </si>
  <si>
    <t>BIC</t>
  </si>
  <si>
    <t>URL BUG + Buggy files identified by GEMA</t>
  </si>
  <si>
    <r>
      <rPr>
        <rFont val="Arial"/>
        <color theme="1"/>
      </rPr>
      <t xml:space="preserve">In this field, the possible IDs that need to be tagged are going to appear  (if applicable)
</t>
    </r>
    <r>
      <rPr>
        <rFont val="Arial"/>
        <b/>
        <color theme="1"/>
      </rPr>
      <t xml:space="preserve">Other sources. </t>
    </r>
    <r>
      <rPr>
        <rFont val="Arial"/>
        <color theme="1"/>
      </rPr>
      <t xml:space="preserve">
The IDs that are displayed </t>
    </r>
    <r>
      <rPr>
        <rFont val="Arial"/>
        <b/>
        <color theme="1"/>
      </rPr>
      <t>must</t>
    </r>
    <r>
      <rPr>
        <rFont val="Arial"/>
        <color theme="1"/>
      </rPr>
      <t xml:space="preserve"> be analyzed (when a bug is present).  But</t>
    </r>
    <r>
      <rPr>
        <rFont val="Arial"/>
        <b/>
        <color theme="1"/>
      </rPr>
      <t xml:space="preserve"> you should check</t>
    </r>
    <r>
      <rPr>
        <rFont val="Arial"/>
        <color theme="1"/>
      </rPr>
      <t xml:space="preserve"> if there is </t>
    </r>
    <r>
      <rPr>
        <rFont val="Arial"/>
        <b/>
        <color theme="1"/>
      </rPr>
      <t>anything</t>
    </r>
    <r>
      <rPr>
        <rFont val="Arial"/>
        <color theme="1"/>
      </rPr>
      <t xml:space="preserve"> </t>
    </r>
    <r>
      <rPr>
        <rFont val="Arial"/>
        <b/>
        <color theme="1"/>
      </rPr>
      <t>more</t>
    </r>
    <r>
      <rPr>
        <rFont val="Arial"/>
        <color theme="1"/>
      </rPr>
      <t xml:space="preserve"> available
You should always check if the </t>
    </r>
    <r>
      <rPr>
        <rFont val="Arial"/>
        <b/>
        <color theme="1"/>
      </rPr>
      <t>BIC</t>
    </r>
    <r>
      <rPr>
        <rFont val="Arial"/>
        <color theme="1"/>
      </rPr>
      <t xml:space="preserve"> files involved all the files mentioned in </t>
    </r>
    <r>
      <rPr>
        <rFont val="Arial"/>
        <b/>
        <color theme="1"/>
      </rPr>
      <t>COLUMN B (COMPARE COLUMN B with files included in BIC  COLUMN J)</t>
    </r>
  </si>
  <si>
    <t>Identifier of related information in other media</t>
  </si>
  <si>
    <t>Type of other media in which bug was discussed</t>
  </si>
  <si>
    <t>URL OF THE BIC for the BUG</t>
  </si>
  <si>
    <t>Yes, partially</t>
  </si>
  <si>
    <t>Yes, all</t>
  </si>
  <si>
    <t>Yes, but NOt with original name,</t>
  </si>
  <si>
    <t>rbd.py</t>
  </si>
  <si>
    <t>https://wiki.openstack.org/wiki/Nova/eliminate-clear-passwords-from-cells-table</t>
  </si>
  <si>
    <t>blueprint -&gt; wiki</t>
  </si>
  <si>
    <t>summary::problem</t>
  </si>
  <si>
    <t>This blueprint is for the elimination of these clear-text passwords, either by encrypting them in the database or deprecating the use of the database for storing cells information.</t>
  </si>
  <si>
    <t>problem::description</t>
  </si>
  <si>
    <t>At present, all the information that allows cells to communicate to each other—including the Rabbit username and password—is stored in the database, in clear text; while not really a security issue (if someone can read your database ...</t>
  </si>
  <si>
    <t>proposed::change</t>
  </si>
  <si>
    <t>First Potential Solution The first potential solution is to simply encrypt the password in the database. (Actually, I intend to first merge all of the RPC information into a single database field, then encrypt that; that will make it easier</t>
  </si>
  <si>
    <t>cons::of::solution</t>
  </si>
  <si>
    <t>The problem with this approach is the key management problem: we either have to encrypt the data during the migration, or provide a mechanism whereby the...</t>
  </si>
  <si>
    <t>proposed::change::alternative2</t>
  </si>
  <si>
    <t xml:space="preserve">Second Potential Solution The second potential solution is to drop the cells table from the database and place all the data regarding cells (including the connection information) into a configuration file. (Not the master configuration file; my vision </t>
  </si>
  <si>
    <t>cons::of::alternative2::solution</t>
  </si>
  <si>
    <t>The problem with this approach, of course, is that the data has to be migrated out of the database and into that JSON file in s</t>
  </si>
  <si>
    <t>mitigations::of::cons::solution2</t>
  </si>
  <si>
    <t>Partial problem mitigation I have thought of one way to at least partially mitigate the downsides of the second solution: allow the cell data to come from the database OR the file. We could then create a simple tool that could allow you to extrac</t>
  </si>
  <si>
    <t>https://wiki.openstack.org/wiki/InstanceGroupApiExtension</t>
  </si>
  <si>
    <t>responsibilities::(assignees)</t>
  </si>
  <si>
    <t>Drafters: Senhua Huang (Cisco), Alex Glikson (IBM) and Gary Kotton (Red Hat)</t>
  </si>
  <si>
    <t>objective::of::the::BP/feature</t>
  </si>
  <si>
    <t>The document will propose an API for VM instance grouping. A group will maintain a collection of VMs and the relationship between them. For example, in order to provide high availability of an application,</t>
  </si>
  <si>
    <t>relation::with::other::BP/feature</t>
  </si>
  <si>
    <t>on different hosts (anti-affinity). The API will provide building blocks for advanced features:
VM Ensembles blueprint
Virtual clusters blue print</t>
  </si>
  <si>
    <t>possible::extension::BP/feature</t>
  </si>
  <si>
    <t>This can later be extended to have the following support:
Groups of groups</t>
  </si>
  <si>
    <t>definition::REST::API</t>
  </si>
  <si>
    <t>API
A group will be a dictionary that contains the following:</t>
  </si>
  <si>
    <t>use::cases::of::the::BP</t>
  </si>
  <si>
    <t>Flow
There are a number of ways in which the groups can be used. The following example will make use of the application below:</t>
  </si>
  <si>
    <t>units::of::work</t>
  </si>
  <si>
    <t>Work Items
database...</t>
  </si>
  <si>
    <t>https://docs.google.com/document/d/1QUThPfZh6EeOOz1Yhyvx-jFUYHQgvCw9yBAGDGc0y78</t>
  </si>
  <si>
    <t>blueprint -&gt; word</t>
  </si>
  <si>
    <t>https://wiki.openstack.org/wiki/ReleaseNotes/Kilo</t>
  </si>
  <si>
    <t>blueprint -&gt; wiki -&gt;release</t>
  </si>
  <si>
    <t>mentioned::bp::as::part::of:.release</t>
  </si>
  <si>
    <r>
      <rPr/>
      <t xml:space="preserve">Support for SMB based volumes, to sit along side existing iSCSI volume support: </t>
    </r>
    <r>
      <rPr>
        <color rgb="FF1155CC"/>
        <u/>
      </rPr>
      <t>http://specs.openstack.org/openstack/nova-specs/specs/kilo/implemented/hyper-v-smbfs-volume-support.html</t>
    </r>
  </si>
  <si>
    <t>https://wiki.openstack.org/wiki/ReleaseNotes/Kilo/en</t>
  </si>
  <si>
    <r>
      <rPr/>
      <t xml:space="preserve">Support for SMB based volumes, to sit along side existing iSCSI volume support: </t>
    </r>
    <r>
      <rPr>
        <color rgb="FF1155CC"/>
        <u/>
      </rPr>
      <t>http://specs.openstack.org/openstack/nova-specs/specs/kilo/implemented/hyper-v-smbfs-volume-support.html</t>
    </r>
  </si>
  <si>
    <t>https://specs.openstack.org/openstack/nova-specs/specs/kilo/implemented/hyper-v-smbfs-volume-support.html</t>
  </si>
  <si>
    <t>blueprint -&gt; spec</t>
  </si>
  <si>
    <t>he purpose of this blueprint is adding support for attaching volumes hosted on a SMB share.</t>
  </si>
  <si>
    <t>Problem description
For the moment, there are drivers which support distributed file systems such as Gluster or NFS as volume backends. SMB is another widely used protocol, especially in the Microsoft world.</t>
  </si>
  <si>
    <t>project::priority</t>
  </si>
  <si>
    <t>Project Priority
None</t>
  </si>
  <si>
    <t>alternatives</t>
  </si>
  <si>
    <t>Alternatives
None</t>
  </si>
  <si>
    <t>impact::(on::data::model)</t>
  </si>
  <si>
    <t>Data model impact
None</t>
  </si>
  <si>
    <t>impact::(on::API)</t>
  </si>
  <si>
    <t>REST API impact
None</t>
  </si>
  <si>
    <t>impact::(on::notifications)</t>
  </si>
  <si>
    <t>Notifications impact
None</t>
  </si>
  <si>
    <t>impact::(on::other::end::users)</t>
  </si>
  <si>
    <t>Other end user impact
None</t>
  </si>
  <si>
    <t>impact::(on::performance)</t>
  </si>
  <si>
    <t>Performance Impact
None</t>
  </si>
  <si>
    <t>impact::(other::deployer::impact)</t>
  </si>
  <si>
    <t>Other deployer impact
None</t>
  </si>
  <si>
    <t>impact::(on::developer)</t>
  </si>
  <si>
    <t>Developer impact
None</t>
  </si>
  <si>
    <t>dependencies</t>
  </si>
  <si>
    <t>Dependencies
None</t>
  </si>
  <si>
    <t>Use Cases
Deployer will be able to attach to instances block storage volumes exported as virtual disks on SMB shares.</t>
  </si>
  <si>
    <t>Proposed change
A new volume driver will be added in order to support attaching volumes hosted on SMB shares. The Hyper-V driver will be able to choose between the volume drivers using the volume type stored in the connection info.</t>
  </si>
  <si>
    <t>impact::(security)</t>
  </si>
  <si>
    <t>Security impact
The credentials recieved in the volume connection_info will be used in order to mount the according SMB share.</t>
  </si>
  <si>
    <t>Implementation
Assignee(s)
Primary assignee:</t>
  </si>
  <si>
    <t>Work Items
Add SMB Volume driver.</t>
  </si>
  <si>
    <t>condittion::of::testing</t>
  </si>
  <si>
    <t>Testing
This feature should be tested along with the upcoming SMB Cinder driver. CI testing will be performed by the Hyper-V CI.</t>
  </si>
  <si>
    <t>impact::(documentation)</t>
  </si>
  <si>
    <t>Documentation Impact
Using the SMB backend will be documented.</t>
  </si>
  <si>
    <t>https://specs.openstack.org/openstack/nova-specs/specs/juno/implemented/libvirt-lxc-user-namespaces.html</t>
  </si>
  <si>
    <t>The objective of this feature is to allow deployers to enable and configure which users and groups are mapped between container and host.</t>
  </si>
  <si>
    <t>Problem description
It is a security risk to allow user processes to run as root on container hosts. In order to mitigate this risk, it is a good idea t</t>
  </si>
  <si>
    <t>Alternatives
Alternative image chown points, with performance impact:
Chown by image creator: No performance impact
Rejected as the end user shouldn’t have to worry about it</t>
  </si>
  <si>
    <t>Proposed change
User namespaces allow processes inside a container to appear to be run as root, but are in fact running as another user. Libvirt exposes this feature through idmaps. This change woul</t>
  </si>
  <si>
    <t>Security impact
This change will improve the security of containers in Nova significantly. Before this change, processes running in containers built by Nova will be run as the host’s root user. After this change, a deployer can restrict which user(s) processes will be run as.</t>
  </si>
  <si>
    <t>Performance Impact
Due to the chowning of the image’s filesystem on boot by Nova, there will be a performance hit on boot depending on how many files are on the image’s filesystem.</t>
  </si>
  <si>
    <t>Other end user impact
Images need to be deliberately created to be run in a user namespaced environment. The contents of an image’s filesystem need to be owned by the target uid/gid. In this iteration of this feature, Nova will chown the image on boot.</t>
  </si>
  <si>
    <t>Assignee(s)
Primary assignee:
andrew-melton</t>
  </si>
  <si>
    <t>Work Items
Modify libvirt config.py to include new idmap xml
Create util function to chown rootfs</t>
  </si>
  <si>
    <t>Testing
Making sure that the nova config options are properly mapped to libvirt domain objects ca</t>
  </si>
  <si>
    <t>Documentation Impact
New config options</t>
  </si>
  <si>
    <t>external::references::(user::guides)</t>
  </si>
  <si>
    <t>References
http://libvirt.org/formatdomain.html#elementsOSContainer
http://libvirt.org/drvlxc.html#secureusers</t>
  </si>
  <si>
    <t>Dependencies
Linux 3.8+ kernel</t>
  </si>
  <si>
    <t>not V3 found</t>
  </si>
  <si>
    <t>https://specs.openstack.org/openstack/nova-specs/specs/kilo/implemented/ec2-api-required-additions.html</t>
  </si>
  <si>
    <t>Some of the information required for EC2 API, currently supported by existing nova’s EC2 API implementation is not exposed by public nova APIs. This spec lists these omissions and provides suggestions about how to expose them.</t>
  </si>
  <si>
    <t>Problem description
Existing EC2 API implementation in nova came to a state where it’s deprecation is discussed. A standalone EC2 API project was created as a replacement (now it resides in stackforge - links at the bottom in</t>
  </si>
  <si>
    <t>Use Cases
1. End User uses fully functional EC2 API protocol to access OpenStack cloud as the user used to working with AWS. 2. End User needs to access instance metadata service and fetch information in EC2 metadata compatible format</t>
  </si>
  <si>
    <t>Project Priority
API v2.1 is a project priority and this is an important microversion to have in place before the release.</t>
  </si>
  <si>
    <t>Proposed change Absent information is of different importance and consists of the following (novaDB instances table):
1. Reservation-related information: - reservation_id - launch_index
2. Network-related information - hostname
3. Image-related information - k</t>
  </si>
  <si>
    <t xml:space="preserve">Alternatives
Some of the alternatives were explained above, however there are 3 general paths in the short term (Kilo and first version of production standalone EC2 API afterwards) we can take:
</t>
  </si>
  <si>
    <t>Data model impact
stackforge/ec2-api brings it’s own database.</t>
  </si>
  <si>
    <t>REST API impact
Depends on taken decisions.
New information exposed by public APIs can be put in some extended attributes for instance listing like:</t>
  </si>
  <si>
    <t>Security impact
None</t>
  </si>
  <si>
    <t>Performance Impact¶
None</t>
  </si>
  <si>
    <t>Assignee(s)
To expose decided public APIs it’s either stackforge/ec2-api team:
Primary assignee:</t>
  </si>
  <si>
    <t>Work Items
Expose decided public APIs</t>
  </si>
  <si>
    <t>Documentation Impact
New APIs documentation</t>
  </si>
  <si>
    <t xml:space="preserve">Testing
Usual Unit and Tempest tests for nova </t>
  </si>
  <si>
    <t>References
The existing stackforge project: https://github.com/stackforge/ec2-api</t>
  </si>
  <si>
    <t>external::references::(Mailing::list)</t>
  </si>
  <si>
    <r>
      <rPr/>
      <t xml:space="preserve">Related mailing list threads: http://www.mail-archive.com/openstack-dev@lists.openstack.org/msg44704.html </t>
    </r>
    <r>
      <rPr>
        <color rgb="FF1155CC"/>
        <u/>
      </rPr>
      <t>https://www.mail-archive.com/openstack-dev@lists.openstack.org/msg44548.html</t>
    </r>
  </si>
  <si>
    <t>https://specs.openstack.org/openstack/nova-specs/specs/kilo/approved/use-configdrive-with-ironic.html</t>
  </si>
  <si>
    <t>This blueprint adds support for configdrive for the Ironic virt driver, to enable Nova to pass a configdrive to Ironic, to be used when deploying a bare metal instance</t>
  </si>
  <si>
    <t>Problem description
Instances deployed by Ironic should be able to use cloud-init (or similar software) to put an end user’s data on an instance. This is possible today with Ironic by includ</t>
  </si>
  <si>
    <t>Use Cases
The main use case here is feature parity with other virt drivers. Other drivers support configdrive today, and deployers use it. Deployers of Ironic should also be able to use configd</t>
  </si>
  <si>
    <t>Project Priority
The kilo priorities list is curre</t>
  </si>
  <si>
    <t>Proposed change
Nova should generate the configdrive image and pass it to Ironic, if needed. This should use the existing c</t>
  </si>
  <si>
    <t>Alternatives
The only alternative to solving the problems described above, is to write network configuration and user data directly to the image to be deployed, on the fly. I thin</t>
  </si>
  <si>
    <t>Data model impact
None.</t>
  </si>
  <si>
    <t>REST API impact
None.</t>
  </si>
  <si>
    <t xml:space="preserve">Security impact
None for this spec, but Ironic might store the end user data in Swift. This may be a security concern, as </t>
  </si>
  <si>
    <t xml:space="preserve">Performance Impact
Generating the configdrive image and sending it to another service will cause Nova to spend </t>
  </si>
  <si>
    <t>Other deployer impact
None.</t>
  </si>
  <si>
    <t>Developer impact
None.</t>
  </si>
  <si>
    <t>Assignee(s)
Primary assignee:
jroll</t>
  </si>
  <si>
    <t xml:space="preserve">Work Items
Implement the code and unit tests. This will involve changing the spawn() function in Ironic’s virt driver to generate the configdrive, gzip, base64 encode </t>
  </si>
  <si>
    <t>Dependencies
This change depends on Ironic support for writing the configdrive to the instance. [1]</t>
  </si>
  <si>
    <t>Testing
Unittests.</t>
  </si>
  <si>
    <t>Documentation Impact
Documentation may need to be updated to indicate that a configdrive may be used with bare metal instances.</t>
  </si>
  <si>
    <t>external::references</t>
  </si>
  <si>
    <t xml:space="preserve">References
[1] Ironic configdrive </t>
  </si>
  <si>
    <t>https://specs.openstack.org/openstack/nova-specs/specs/juno/approved/libvirt-start-lxc-from-block-devices.html</t>
  </si>
  <si>
    <t>The purpose of this blueprint is to enable the LXC containers to be started from a block device volumes.</t>
  </si>
  <si>
    <t>Problem description
Currently, LXC containers can only be started from a Glance image. However, a minor adjustment is needed to support it’s being booted using a block volume as its root OS filesystem.</t>
  </si>
  <si>
    <t>Proposed change
Separate the lxc disk handling code from _create_domain() to _lxc_disk_handler context manager. It will use block_device_mapping to map the device that instance has been started from, otherwise, an image will be used.</t>
  </si>
  <si>
    <t>Security impact
As LXC will always share the host’s kernel, between all instanances, any vulnerability in the kernel, maybe used to harm the host. In general, the kernel’s filesystem drivers should be trusted to free of vulnerabilities that the user filesystem image may exploit.</t>
  </si>
  <si>
    <t>Developer impact¶
None</t>
  </si>
  <si>
    <t>Assignee(s)
Vladik Romanovsky &lt;vladik.romanovsky@enovance.com&gt;</t>
  </si>
  <si>
    <t>Work Items
Introduce a _lxc_disk_handler context manager method and separate all lxc disk handling code from _create_domain() to it.</t>
  </si>
  <si>
    <t>Testing
None</t>
  </si>
  <si>
    <t>Documentation Impact
None</t>
  </si>
  <si>
    <r>
      <rPr/>
      <t xml:space="preserve">References
[1] </t>
    </r>
    <r>
      <rPr>
        <color rgb="FF1155CC"/>
        <u/>
      </rPr>
      <t>https://review.openstack.org/#/c/74537</t>
    </r>
  </si>
  <si>
    <t>none found</t>
  </si>
  <si>
    <t>https://specs.openstack.org/openstack/nova-specs/specs/juno/implemented/remove-cast-to-schedule-run-instance.html</t>
  </si>
  <si>
    <t xml:space="preserve">The scheduler should be responsible for placement logic and everything else should be moved elsewhere. </t>
  </si>
  <si>
    <t>Problem description
The flow of execution for spawning an instance is complicated and highly distributed. S</t>
  </si>
  <si>
    <t>Proposed change
In Havana it became possible to query the scheduler for a list of hosts to provision an instance to. The conductor service also emerged as a place to help orchestrate tasks that don’t logically belong in either the api or compute nodes. There has already been work to move some of the spawn instance workflow into the conductor and the final part of that effort is to have the conductor communicate with compute nodes rather than the scheduler.</t>
  </si>
  <si>
    <t xml:space="preserve">Alternatives
An alternative would be to rework the run_instance method to cast back to conductor rather than use the new build_and_run_instance method. </t>
  </si>
  <si>
    <t>Notifications impact
None. The notifications being sent by the scheduler will be ported over to conductor to maintain the same behaviour.</t>
  </si>
  <si>
    <t>Performance Impact
Some database updates that were occuring within the scheduler will be moved out to less performance critical sections of code. This should speed up the scheduler.</t>
  </si>
  <si>
    <t>Developer impact
Developers will need to be aware of the new code path being used.</t>
  </si>
  <si>
    <t>Assignee(s)
Primary assignee:
alaski</t>
  </si>
  <si>
    <t>Work Items
Change the</t>
  </si>
  <si>
    <t>Testing
This is essentially a refactoring of the current spawn process. So the current Tempest tests will act as good integration tests for this change since the new method will be used on every instance boot.</t>
  </si>
  <si>
    <t>References
None</t>
  </si>
  <si>
    <t>https://specs.openstack.org/openstack/nova-specs/specs/juno/approved/lvm-ephemeral-storage-encryption.html</t>
  </si>
  <si>
    <t>The proposed feature will provide data-at-rest security for LVM backed, libvirt managed ephemeral storage devices attached to a VM instance.</t>
  </si>
  <si>
    <t>Problem description
The current implementation of LVM ephemeral storage leaves user data vulnerable following instance shutdown, through disk block reuse</t>
  </si>
  <si>
    <t>Proposed change
User data can be protected against inadvertant disclosure by encrypting ephemeral storage disks with a unique key,</t>
  </si>
  <si>
    <t xml:space="preserve">Alternatives
It is unlikely there is another solution that would cover all the cases such unexpected compute node events, </t>
  </si>
  <si>
    <t>Data model impact
All necessary data objects and database changes have already been made. See</t>
  </si>
  <si>
    <t>Security impact
This feature will make LVM ephemeral storage more secure by providing data-at-rest security for user data.</t>
  </si>
  <si>
    <t>Other end user impact
Certain instance operations:</t>
  </si>
  <si>
    <t>Performance Impact
The optional encryption layer imposes a roughly 10% performance penalty on ephemeral storage I/O performance, according to measurements</t>
  </si>
  <si>
    <t>Other deployer impact
LVM ephemeral storage encryption is controlled by 3 options collected in the ephemeral_storage_encryption options group. The name is deliberately generic since the same options could be used to control encryption for other backends.</t>
  </si>
  <si>
    <t>Assignee(s)
Primary assignee:</t>
  </si>
  <si>
    <t>Work Items
Two of the three components comprising the feature:</t>
  </si>
  <si>
    <t>Dependencies
Depends on Barbican (https://review.openstack.org/#/c/94918/) for key management.</t>
  </si>
  <si>
    <t>Documentation Impact
Ephemeral storage encryption configuration options and its dependencies, namely dmcrypt/cryptsetup and Barbican, will have to be documented.</t>
  </si>
  <si>
    <t>Testing
We will work to implement Tempest tests for the feature. However, Tempest testing will require Tempest support for LVM backed ephemeral storage as well as Barbican for key management. These changes may take some time to implement.</t>
  </si>
  <si>
    <t>References
None</t>
  </si>
  <si>
    <t>db_driver.py</t>
  </si>
  <si>
    <t>https://bugs.launchpad.net/nova/+bug/1388386</t>
  </si>
  <si>
    <t>similar--&gt; bug::to::the::studied:.bug</t>
  </si>
  <si>
    <t>title. libvirt: boot instance with utf-8 name results in UnicodeDecodeError</t>
  </si>
  <si>
    <t>Description.The err variable is an i18n Message object and when we try to put the domain.XMLDesc(0) into the unicode _LE message object string it blows up in oslo.i18n because the encoding doesn't match.</t>
  </si>
  <si>
    <t>source::of::the::bug::(link::to::paste::open::stack)</t>
  </si>
  <si>
    <r>
      <rPr/>
      <t xml:space="preserve">Description. </t>
    </r>
    <r>
      <rPr>
        <color rgb="FF1155CC"/>
        <u/>
      </rPr>
      <t>https://github.com/openstack/nova/commit/60c90f73261efb8c73ecc02152307c81265cab13</t>
    </r>
  </si>
  <si>
    <t>Description. The fix is to wrap domain.XMLDesc(0) in oslo.utils.encodeutils.safe_decode.</t>
  </si>
  <si>
    <t>fix::merged::(link::review::commit)</t>
  </si>
  <si>
    <t>fix::merged::(link::review::commit)::not::main::branch</t>
  </si>
  <si>
    <t>https://wiki.openstack.org/wiki/Nova/Juno-Specs</t>
  </si>
  <si>
    <t>Better Support for Multiple Networks in nova-network: Improve the nova-network code to allow per-network settings launchpad: [105]spec: [106]</t>
  </si>
  <si>
    <t>https://specs.openstack.org/openstack/nova-specs/specs/juno/implemented/better-support-for-multiple-networks.html</t>
  </si>
  <si>
    <t>This spec is about adding a few options to the networks table and converting the network manager and linux_net code to support multiple networks.</t>
  </si>
  <si>
    <t>Problem description
Currently it is impossible to have multiple networks with different mtu settings or to have s</t>
  </si>
  <si>
    <t>Proposed change
This change proposes adding four fields to the networks table:</t>
  </si>
  <si>
    <t>Alternatives
Supporting this functionality without changing the data model would require some pretty complex config options. For example mtu could be a list of network names and mtus, but this is extremely unweildy.</t>
  </si>
  <si>
    <t>Data model impact
This adds four new fields to the network model. The fallback for these fields will use the existing config options and defaults. These config options will be marked deprecated but will still work by default.</t>
  </si>
  <si>
    <t>REST API impact
The current network create api allows extra values to be passed in and they are silently ignored. In order to provide information about whether the new fields are supported, a dummy api extension will be created and the extra fields will only be accepted/returned if the api extension is enabled.</t>
  </si>
  <si>
    <t>Security impact
This change doesn’t have any security impact.</t>
  </si>
  <si>
    <t>Notifications impact
This change doesn’t impact notifications.</t>
  </si>
  <si>
    <t>Other end user impact
This change will also include a modification to python-novaclient network create to allow users to create networks specifying the additional fields.</t>
  </si>
  <si>
    <t>Performance Impact
The performance impact of this change is negligible.</t>
  </si>
  <si>
    <t>Other deployer impact
Deployers should start using the network fields in place of the config options, but there is no requirement for them to move right away.</t>
  </si>
  <si>
    <t>Developer impact
This change should not affect developers.</t>
  </si>
  <si>
    <t>Assignee(s)
Primary assignee:
vishvananda
Other contributors:</t>
  </si>
  <si>
    <t>Work Items
Nova code addtions Python-novaclient code addtions Tempest test additions</t>
  </si>
  <si>
    <t>Dependencies
There are no new dependencies for this feature.</t>
  </si>
  <si>
    <t>Documentation Impact
The new additions to the network create call need to be documented.</t>
  </si>
  <si>
    <t>Testing
There are currently no tempest tests for the create network call. A test for create network including the new fields will be added. The internal modifications will be covered by unit tests.</t>
  </si>
  <si>
    <t>CI1</t>
  </si>
  <si>
    <t>CI2</t>
  </si>
  <si>
    <t>CI3</t>
  </si>
  <si>
    <r>
      <rPr>
        <rFont val="Arial"/>
        <color theme="1"/>
      </rPr>
      <t xml:space="preserve">This field contains information that could be used for the continuous integration check
Review the URL of the commit. 
</t>
    </r>
    <r>
      <rPr>
        <rFont val="Arial"/>
        <b/>
        <color theme="1"/>
      </rPr>
      <t>Nova</t>
    </r>
    <r>
      <rPr>
        <rFont val="Arial"/>
        <color theme="1"/>
      </rPr>
      <t xml:space="preserve"> --&gt; check the zuul section in the review (URL Provided </t>
    </r>
    <r>
      <rPr>
        <rFont val="Arial"/>
        <b/>
        <color theme="1"/>
      </rPr>
      <t>Column D</t>
    </r>
    <r>
      <rPr>
        <rFont val="Arial"/>
        <color theme="1"/>
      </rPr>
      <t xml:space="preserve">). 
</t>
    </r>
    <r>
      <rPr>
        <rFont val="Arial"/>
        <b/>
        <color theme="1"/>
      </rPr>
      <t xml:space="preserve">ES </t>
    </r>
    <r>
      <rPr>
        <rFont val="Arial"/>
        <color theme="1"/>
      </rPr>
      <t xml:space="preserve">--&gt; check github actions that link to the PR (URL Provided: </t>
    </r>
    <r>
      <rPr>
        <rFont val="Arial"/>
        <b/>
        <color theme="1"/>
      </rPr>
      <t>Column D</t>
    </r>
    <r>
      <rPr>
        <rFont val="Arial"/>
        <color theme="1"/>
      </rPr>
      <t xml:space="preserve">) Or check if any GH action is related to the CommitID in </t>
    </r>
    <r>
      <rPr>
        <rFont val="Arial"/>
        <b/>
        <color theme="1"/>
      </rPr>
      <t>Column C.</t>
    </r>
  </si>
  <si>
    <t>CI build id</t>
  </si>
  <si>
    <t>CI build status</t>
  </si>
  <si>
    <t>CI build status change</t>
  </si>
  <si>
    <t>Comparable Status change?</t>
  </si>
  <si>
    <t>https://review.opendev.org/c/openstack/nova/+/1324?tab=change-view-tab-header-zuul-results-summary</t>
  </si>
  <si>
    <t>Status NA, NO Failures in Change log (Jenkins Build Successful)</t>
  </si>
  <si>
    <t>Parent Merge, NOT CI</t>
  </si>
  <si>
    <t>Jenkins</t>
  </si>
  <si>
    <t>Build Successful, Build succeeded, Build failed</t>
  </si>
  <si>
    <t>https://review.opendev.org/c/openstack/nova/+/53069?tab=change-view-tab-header-zuul-results-summary</t>
  </si>
  <si>
    <t>Status NA, NO Failures in Change log (Jenkins Build Succedded, Db datasets CI Database migration testing successful)</t>
  </si>
  <si>
    <t>DB Datasets CI</t>
  </si>
  <si>
    <t>Database migration testing successful.</t>
  </si>
  <si>
    <t>https://review.opendev.org/c/openstack/nova/+/94294?tab=change-view-tab-header-zuul-results-summary</t>
  </si>
  <si>
    <t>Status FAILURE, Status in Change log (IBM PowerKVM CI Failed, Citrix XenServer CI passed, Microsoft Hyper-V CI Passed, Jenkins Build Succedded, Db datasets CI Database migration testing successful)</t>
  </si>
  <si>
    <r>
      <rPr/>
      <t xml:space="preserve">the same. </t>
    </r>
    <r>
      <rPr>
        <color rgb="FF1155CC"/>
        <u/>
      </rPr>
      <t>https://review.opendev.org/c/openstack/nova/+/94293?tab=change-view-tab-header-zuul-results-summary</t>
    </r>
  </si>
  <si>
    <t>IBM PowerKVM CI</t>
  </si>
  <si>
    <t>Build failed, Build succeeded, Testing completed SUCCESS, Testing completed FAILURE, Merge Failed</t>
  </si>
  <si>
    <t>https://review.opendev.org/c/openstack/nova/+/18864?tab=change-view-tab-header-zuul-results-summary</t>
  </si>
  <si>
    <t xml:space="preserve">Status NA, NO FAILURE (SmokeStack CI - Works for me, Jenkins - Build succeeded) </t>
  </si>
  <si>
    <t>NA, but ChangeLog</t>
  </si>
  <si>
    <t>Citrix XenServer CI</t>
  </si>
  <si>
    <t>Passed, Failed</t>
  </si>
  <si>
    <t>https://review.opendev.org/c/openstack/nova/+/70747?tab=change-view-tab-header-zuul-results-summary</t>
  </si>
  <si>
    <r>
      <rPr>
        <rFont val="Arial"/>
        <color theme="1"/>
      </rPr>
      <t>Status FAILURE (NO Failure encountered), Status in Change log (</t>
    </r>
    <r>
      <rPr>
        <rFont val="Arial"/>
        <b/>
        <color theme="1"/>
      </rPr>
      <t>IBM PowerKVM CI Build succeeded</t>
    </r>
    <r>
      <rPr>
        <rFont val="Arial"/>
        <color theme="1"/>
      </rPr>
      <t xml:space="preserve">, </t>
    </r>
    <r>
      <rPr>
        <rFont val="Arial"/>
        <b/>
        <color theme="1"/>
      </rPr>
      <t>Citrix XenServer CI passed</t>
    </r>
    <r>
      <rPr>
        <rFont val="Arial"/>
        <color theme="1"/>
      </rPr>
      <t xml:space="preserve">, </t>
    </r>
    <r>
      <rPr>
        <rFont val="Arial"/>
        <b/>
        <color theme="1"/>
      </rPr>
      <t>Microsoft Hyper-V CI Passed,</t>
    </r>
    <r>
      <rPr>
        <rFont val="Arial"/>
        <color theme="1"/>
      </rPr>
      <t xml:space="preserve"> J</t>
    </r>
    <r>
      <rPr>
        <rFont val="Arial"/>
        <b/>
        <color theme="1"/>
      </rPr>
      <t>enkins Build Succedded</t>
    </r>
    <r>
      <rPr>
        <rFont val="Arial"/>
        <color theme="1"/>
      </rPr>
      <t xml:space="preserve">, </t>
    </r>
    <r>
      <rPr>
        <rFont val="Arial"/>
        <b/>
        <color theme="1"/>
      </rPr>
      <t xml:space="preserve">Db datasets CI Database migration testing successful, VMware NSX CI </t>
    </r>
    <r>
      <rPr>
        <rFont val="Arial"/>
        <color theme="1"/>
      </rPr>
      <t>Passed)</t>
    </r>
  </si>
  <si>
    <t>Microsoft Hyper-V CI</t>
  </si>
  <si>
    <t xml:space="preserve">Build failed, Build succeeded, For rechecking  FAILURE </t>
  </si>
  <si>
    <t>https://review.opendev.org/c/openstack/nova/+/34464?tab=change-view-tab-header-zuul-results-summary</t>
  </si>
  <si>
    <t>Status NA, NO FAILURE  (Jenkins Build Succedded, SmokeStack CI - Works for me)</t>
  </si>
  <si>
    <t>SmokeStack CI</t>
  </si>
  <si>
    <t>Works for me</t>
  </si>
  <si>
    <t>https://review.opendev.org/c/openstack/nova/+/67338?tab=change-view-tab-header-zuul-results-summary</t>
  </si>
  <si>
    <t>Status FAILURE, Status in Change log (VMware NSX CI - Build failed, Microsoft Hyper-V CI Passed, Jenkins Build Succedded, Db datasets CI Database migration testing successful)</t>
  </si>
  <si>
    <t>https://review.opendev.org/c/openstack/nova/+/67297?tab=change-view-tab-header-zuul-results-summary</t>
  </si>
  <si>
    <t>VMware NSX CI</t>
  </si>
  <si>
    <t>Passed, Build failed, Works for me, recheck-vmware</t>
  </si>
  <si>
    <t>https://review.opendev.org/c/openstack/nova/+/145007?tab=change-view-tab-header-zuul-results-summary</t>
  </si>
  <si>
    <r>
      <rPr>
        <rFont val="Arial"/>
        <color theme="1"/>
      </rPr>
      <t>Status FAILURE, Status in Change log (</t>
    </r>
    <r>
      <rPr>
        <rFont val="Arial"/>
        <b/>
        <color theme="1"/>
      </rPr>
      <t>VMware NSX CI - Build Successful, Microsoft Hyper-V CI Build failed, Intel PCI CI - Build Failed, Jenkins Build Succedded, Citrix XenServer CI - Passed,</t>
    </r>
    <r>
      <rPr>
        <rFont val="Arial"/>
        <color theme="1"/>
      </rPr>
      <t xml:space="preserve">  </t>
    </r>
    <r>
      <rPr>
        <rFont val="Arial"/>
        <b/>
        <color theme="1"/>
      </rPr>
      <t>Db datasets CI Database migration testing successful)</t>
    </r>
  </si>
  <si>
    <t>Intel PCI CI</t>
  </si>
  <si>
    <t>Build Failed, Build Successful</t>
  </si>
  <si>
    <t>https://review.opendev.org/c/openstack/nova/+/31593?tab=change-view-tab-header-zuul-results-summary</t>
  </si>
  <si>
    <t>https://review.opendev.org/c/openstack/nova/+/28880?tab=change-view-tab-header-zuul-results-summary</t>
  </si>
  <si>
    <t>https://review.opendev.org/c/openstack/nova/+/129235?tab=change-view-tab-header-zuul-results-summary</t>
  </si>
  <si>
    <t>Status FAILURE - Different Cause, Status in Change log (VMware NSX CI - Build Successful, Microsoft Hyper-V CI Build succeed, Jenkins Build Succedded, Citrix XenServer CI - Passed,  Db datasets CI Database migration failed) and was stated that the fail was in NSX</t>
  </si>
  <si>
    <t>https://review.opendev.org/c/openstack/nova/+/22897?tab=change-view-tab-header-zuul-results-summary</t>
  </si>
  <si>
    <t>Status NA, NO FAILURE  (Jenkins Build Succedded)</t>
  </si>
  <si>
    <t>https://review.opendev.org/c/openstack/nova/+/113545?tab=change-view-tab-header-zuul-results-summary</t>
  </si>
  <si>
    <t>Status FAILURE - Different Cause, Status in Change log (VMware NSX CI - Build Successful, Microsoft Hyper-V CI Build failed, Jenkins Build Succedded, Citrix XenServer CI - Passed,  Db datasets CI - Database migration sucessful, IBM PowerKVM CI- Build failed)  in status fail due to NSX, IBM, and VMware</t>
  </si>
  <si>
    <t>https://review.opendev.org/c/openstack/nova/+/95278?tab=change-view-tab-header-zuul-results-summary  (VMware NSX CI - Build Successful, Microsoft Hyper-V CI Build failed, Jenkins Build Succedded, Citrix XenServer CI - Passed,  Db datasets CI - Database migration sucessful, IBM PowerKVM CI- Build failed)  in status fail due to NSX, IBM, and VMware</t>
  </si>
  <si>
    <t>https://review.opendev.org/c/openstack/nova/+/26113?tab=change-view-tab-header-zuul-results-summary</t>
  </si>
  <si>
    <t>https://review.opendev.org/c/openstack/nova/+/27189?tab=change-view-tab-header-zuul-results-summary</t>
  </si>
  <si>
    <t>https://review.opendev.org/c/openstack/nova/+/155853?tab=change-view-tab-header-zuul-results-summary</t>
  </si>
  <si>
    <t>Status FAILURE- Different Cause,  Status in Change log (IBM PowerKVM CI - Testing completed, Jenkins - Build succeeded, Intel PCI CI - Build Successful, Citrix XenServer CI -Passed, Microsoft Hyper-V C -Build failed) in status it says INTEL, VMR and MICROSOFT, only MICROSOFT</t>
  </si>
  <si>
    <t>https://review.opendev.org/c/openstack/nova/+/144792?tab=change-view-tab-header-zuul-results-summary</t>
  </si>
  <si>
    <t xml:space="preserve">Status FAILURE - Different Cause,  Status in Change log (Microsoft Hyper-V CI Build failed, Intel PCI CI - Build Successful, Jenkins Build Succedded, Citrix XenServer CI - Passed,  Db datasets CI Database migration testing successful) in status says Microsoft, Intel and vmware, in change log only Microsoft , VMware NSX CI Unknown </t>
  </si>
  <si>
    <t>https://review.opendev.org/c/openstack/nova/+/59560?tab=change-view-tab-header-zuul-results-summary</t>
  </si>
  <si>
    <t>Status FAILURE (NO Failure encountered), Status in Change log (VMware NSX CI - Build Successful, Jenkins - Build succeeded)</t>
  </si>
  <si>
    <t>https://review.opendev.org/c/openstack/nova/+/35303?tab=change-view-tab-header-zuul-results-summary excatly the same problem, that with the BIC</t>
  </si>
  <si>
    <t>https://review.opendev.org/c/openstack/nova/+/59034?tab=change-view-tab-header-zuul-results-summary</t>
  </si>
  <si>
    <t xml:space="preserve">Status FAILURE  (NO Failure encountered), Status in Change log (Microsoft Hyper-V CI Build succeeded,  Jenkins Build Succedded,  Db datasets CI Database migration testing successful) in status it says that it falis for VMware NSX CI, which is not tested in last patch but the last time it had a status of Build Successful, </t>
  </si>
  <si>
    <t>https://review.opendev.org/c/openstack/nova/+/59033?tab=change-view-tab-header-zuul-results-summary exactly the same problem, that with the BIC</t>
  </si>
  <si>
    <t>https://review.opendev.org/c/openstack/nova/+/74537?tab=change-view-tab-header-zuul-results-summary</t>
  </si>
  <si>
    <t>Status FAILURE - Different Cause, Status in Change log (Microsoft Hyper-V CI Build succeeded, Jenkins Build Succedded, Db datasets CI Database migration testing successful) howeever the cause was on not the last patch : IBM PowerKVM CI Build failed</t>
  </si>
  <si>
    <t>https://review.opendev.org/c/openstack/nova/+/42389?tab=change-view-tab-header-zuul-results-summary</t>
  </si>
  <si>
    <t>https://review.opendev.org/c/openstack/nova/+/52231?tab=change-view-tab-header-zuul-results-summary</t>
  </si>
  <si>
    <t>https://review.opendev.org/c/openstack/nova/+/14805?tab=change-view-tab-header-zuul-results-summary</t>
  </si>
  <si>
    <t>https://review.opendev.org/c/openstack/nova/+/17946?tab=change-view-tab-header-zuul-results-summary</t>
  </si>
  <si>
    <t>https://review.opendev.org/c/openstack/nova/+/40467?tab=change-view-tab-header-zuul-results-summary</t>
  </si>
  <si>
    <t>Status FAILURE - Different Cause, Status in Change log (Citrix XenServer CIM - Failed, Microsoft Hyper-V CI Build failed, Jenkins Build Succedded, Db datasets CI Database migration testing successful) however the cause was on not the last patch : IBM PowerKVM CI Merge Failed patch 94, VMware NSX CI - sucess in patchset 104</t>
  </si>
  <si>
    <t>https://review.opendev.org/c/openstack/nova/+/164940?tab=change-view-tab-header-zuul-results-summary</t>
  </si>
  <si>
    <t>Status FAILURE - Different Cause, Status in Change log (Jenkins Build Succedded, Db datasets CI Database migration testing successful, IBM PowerKVM CI - Testing completed FAILURE, Intel PCI CI -Build Failed, Citrix XenServer CI - Passed) however the cause was on not the last patch :  Microsoft Hyper-V CI -  Re check failure Patchset 8, VMware NSX CI - Build failedin patchset 8</t>
  </si>
  <si>
    <t>https://review.opendev.org/c/openstack/nova/+/107009?tab=change-view-tab-header-zuul-results-summary</t>
  </si>
  <si>
    <t>Status FAILURE - Different Cause, Status in Change log (VMware NSX CI - Build succeeded, VMware NSX CI - Build succeeded, Citrix XenServer CI - Passed, Jenkins - Passed) however the cause was on not the last patch :  IBM PowerKVM CI - Build failed patch 8</t>
  </si>
  <si>
    <t>https://review.opendev.org/c/openstack/nova/+/151664?tab=change-view-tab-header-zuul-results-summary</t>
  </si>
  <si>
    <t xml:space="preserve">Status FAILURE - Different Cause, Status in Change log (VMware NSX CI - Build failed, Microsoft Hyper-V CI Build failed, Intel PCI CI - Build Successful, IBM PowerKVM CI - Testing completed Success, Jenkins Build Succedded, Citrix XenServer CI - Passed,  Db datasets CI Database migration testing failed) status failed intel (no), vmware yes, Microsoft Hyper-V CI  - Build  succeeded different patchset </t>
  </si>
  <si>
    <t>https://review.opendev.org/c/openstack/nova/+/10903?tab=change-view-tab-header-zuul-results-summary</t>
  </si>
  <si>
    <t>https://review.opendev.org/c/openstack/nova/+/102324?tab=change-view-tab-header-zuul-results-summary</t>
  </si>
  <si>
    <r>
      <rPr>
        <rFont val="Arial"/>
        <color theme="1"/>
      </rPr>
      <t xml:space="preserve">Status FAILURE, Status in Change log ( </t>
    </r>
    <r>
      <rPr>
        <rFont val="Arial"/>
        <b/>
        <color theme="1"/>
      </rPr>
      <t>Microsoft Hyper-V CI Build failed</t>
    </r>
    <r>
      <rPr>
        <rFont val="Arial"/>
        <color theme="1"/>
      </rPr>
      <t xml:space="preserve">, </t>
    </r>
    <r>
      <rPr>
        <rFont val="Arial"/>
        <b/>
        <color theme="1"/>
      </rPr>
      <t>Jenkins Build Succedded</t>
    </r>
    <r>
      <rPr>
        <rFont val="Arial"/>
        <color theme="1"/>
      </rPr>
      <t>, C</t>
    </r>
    <r>
      <rPr>
        <rFont val="Arial"/>
        <b/>
        <color theme="1"/>
      </rPr>
      <t>itrix XenServer CI - Passed,  Db datasets CI Database migration testing successful</t>
    </r>
    <r>
      <rPr>
        <rFont val="Arial"/>
        <color theme="1"/>
      </rPr>
      <t>)</t>
    </r>
  </si>
  <si>
    <t>https://review.opendev.org/c/openstack/nova/+/119396?tab=change-view-tab-header-zuul-results-summary</t>
  </si>
  <si>
    <t>Status FAILURE  (NO Failure encountered), Status in change log(IBM PowerKVM CI - Testing completed SUCCESS, Citrix XenServer CI - Passed, Jenkins - Build succeeded, Microsoft Hyper-V CI - Build succeeded, DB Datasets CI - Database migration testing successful, VMware NSX CI - Build successful) in status it says that it falis for VMware NSX CI, which is not tested in last patch but the last time it had a status of Build Successful, (patch 10)</t>
  </si>
  <si>
    <t>https://review.opendev.org/c/openstack/nova/+/93754?tab=change-view-tab-header-zuul-results-summary</t>
  </si>
  <si>
    <t xml:space="preserve">Status FAILURE - Different Cause,  Status in Change log (Microsoft Hyper-V CI Build Succedded, Jenkins Build Succedded, Citrix XenServer CI - Passed,  Db datasets CI Database migration testing successful, IBM PowerKVM CI - Build failed) however the status indicatd a failure in VMware NSX CI but last time (patch 8) was successful. </t>
  </si>
  <si>
    <t>https://review.opendev.org/c/openstack/nova/+/93753?tab=change-view-tab-header-zuul-results-summary excatly the same problem, that with the BIC</t>
  </si>
  <si>
    <t>https://review.opendev.org/c/openstack/nova/+/124714?tab=change-view-tab-header-zuul-results-summary</t>
  </si>
  <si>
    <t xml:space="preserve">Status FAILURE - Different Cause,  Status in Change log (DB Datasets CI - Database migration testing successful. VMware NSX CI - Build successful, Jenkins - Build succeeded.Build succeeded, Microsoft Hyper-V CI - Build failed, Citrix XenServer CI - Passed ) it says that VMware  and Microsoft failed, however only Microsoft  failed  </t>
  </si>
  <si>
    <t>R2 - Review Tool</t>
  </si>
  <si>
    <t>R7</t>
  </si>
  <si>
    <t>R8 - Aspects of reviews comments</t>
  </si>
  <si>
    <t>R9 - Bug covering review comments</t>
  </si>
  <si>
    <t>R10 - Bug covering review changes</t>
  </si>
  <si>
    <t>R 11 - Where is done the review? (main branch or secondary branch)</t>
  </si>
  <si>
    <t>PR ID</t>
  </si>
  <si>
    <r>
      <rPr>
        <rFont val="Arial"/>
        <color theme="1"/>
      </rPr>
      <t xml:space="preserve">This field contains information that could be used for the review system
</t>
    </r>
    <r>
      <rPr>
        <rFont val="Arial"/>
        <b/>
        <color theme="1"/>
      </rPr>
      <t xml:space="preserve">Review (Nova) | PR (ES)
</t>
    </r>
    <r>
      <rPr>
        <rFont val="Arial"/>
        <color theme="1"/>
      </rPr>
      <t>However, this should be checked</t>
    </r>
  </si>
  <si>
    <t>Caused changes</t>
  </si>
  <si>
    <t>Gerrit (textual comments +inline comments + votes)</t>
  </si>
  <si>
    <t>Comments + votes given to the code and review</t>
  </si>
  <si>
    <t>summary::of::the::patch::sets</t>
  </si>
  <si>
    <t>.. (Patch Set 2) Updated _set_request and _get_request to be a request property
              and a set_request method which can be overridden.
(Patch Set 3) ...</t>
  </si>
  <si>
    <t>patch 4 and 5</t>
  </si>
  <si>
    <t>summary::of::the::changes</t>
  </si>
  <si>
    <t xml:space="preserve">I have re-worked the "addresses", "flavors", "images", and "servers" view
builders to share logic which was previously duplicated across many ViewBuilder
classes. </t>
  </si>
  <si>
    <t>change::ID</t>
  </si>
  <si>
    <t>description BIC</t>
  </si>
  <si>
    <t>suggestion::style::change</t>
  </si>
  <si>
    <t>Comment Patch 1</t>
  </si>
  <si>
    <t>suggestion::refactoring::(performance)</t>
  </si>
  <si>
    <t>Comment Patch 2</t>
  </si>
  <si>
    <t>ready::approval::for::submitting</t>
  </si>
  <si>
    <t>patchset 4, kevin</t>
  </si>
  <si>
    <t>requesting::somebodyelse::for::approval::for::submitting2</t>
  </si>
  <si>
    <t>not::approval::for::submitting</t>
  </si>
  <si>
    <t>Brian Patch 4</t>
  </si>
  <si>
    <t>suggestion::refactoring::(renaming)</t>
  </si>
  <si>
    <t>Brian Patch 4 I think renaming this to _collection_name makes more sense than _resource_name.</t>
  </si>
  <si>
    <t>suggestion::refactoring::(change::location::of::code)</t>
  </si>
  <si>
    <t>Brian Patch 4 Moving these new classes to wsgi.py makes sense</t>
  </si>
  <si>
    <t>suggestion::refactoring::(introduce::parameter::object)</t>
  </si>
  <si>
    <t>Brian Patch 4 How about we pass in an instance of the view builder here rather than depending on default instantiation?</t>
  </si>
  <si>
    <t>test::implications</t>
  </si>
  <si>
    <t>Brian Patchset 4 Looks like the removal of logic here uncovered that we aren't actually testing it. Maybe we should fix that?</t>
  </si>
  <si>
    <t>patch 5 line 23</t>
  </si>
  <si>
    <t>patch 5 line 147</t>
  </si>
  <si>
    <t>patch 5 line 22</t>
  </si>
  <si>
    <t>ready::approval::for::submitting2</t>
  </si>
  <si>
    <t>patchset 6, kevin</t>
  </si>
  <si>
    <t>ready::approval::for::submitting3</t>
  </si>
  <si>
    <t>patchset 6, waldon</t>
  </si>
  <si>
    <t>requesting::somebodyelse::for::approval::for::submitting3</t>
  </si>
  <si>
    <t>discussing::about::reverting::changes</t>
  </si>
  <si>
    <t>patchset 6 line 457</t>
  </si>
  <si>
    <t>asking::clarification::about::code::(previous::version)</t>
  </si>
  <si>
    <t>providing::clarification::previous::version::(deliberate)</t>
  </si>
  <si>
    <t>ready::approval::for::submitting4</t>
  </si>
  <si>
    <t>patchset 7, kevin</t>
  </si>
  <si>
    <t>requesting::somebodyelse::for::approval::for::submitting4</t>
  </si>
  <si>
    <t>ready::approval::for::submitting5</t>
  </si>
  <si>
    <t>patchset 7, Rick</t>
  </si>
  <si>
    <t>requesting::somebodyelse::for::approval::for::submitting5</t>
  </si>
  <si>
    <t>approval::for::submitting::granted::(final)</t>
  </si>
  <si>
    <t>patchset 7, waldon</t>
  </si>
  <si>
    <t>ready::approval::for::submitting6</t>
  </si>
  <si>
    <t>patchset 7, Waldon</t>
  </si>
  <si>
    <t>comments::addressed</t>
  </si>
  <si>
    <t>multiple patches</t>
  </si>
  <si>
    <t>comments and textual review</t>
  </si>
  <si>
    <t>patchset 3</t>
  </si>
  <si>
    <t>patchset 3 and patchset4</t>
  </si>
  <si>
    <t>Issues::(BP/bugs)::related::to::the::change</t>
  </si>
  <si>
    <t>Issues::(BP/bugs)::that::caused::the::change</t>
  </si>
  <si>
    <t>patchset 2</t>
  </si>
  <si>
    <t>suggestion::style::change::(commit::message)</t>
  </si>
  <si>
    <t>requesting::more::tests::(coverage)</t>
  </si>
  <si>
    <t>requesting::more::tests::(coverage2)</t>
  </si>
  <si>
    <t>patchset 4</t>
  </si>
  <si>
    <t>ready::approval::for::submitting::(core::reviewer)</t>
  </si>
  <si>
    <t>patchset 5, Daniel</t>
  </si>
  <si>
    <t>ready::approval::for::submitting2::(core::reviewer)</t>
  </si>
  <si>
    <t>patchset 5, John</t>
  </si>
  <si>
    <t>approval::for::submitting::granted</t>
  </si>
  <si>
    <t>patchset 5, Michaels</t>
  </si>
  <si>
    <t>requesting::somebodyelse::for::approval::for::submitting</t>
  </si>
  <si>
    <t>requesting::of::checking::different::review</t>
  </si>
  <si>
    <t>patchset 5, Jackie</t>
  </si>
  <si>
    <t>not::approval::for::submitting::(as::merge)</t>
  </si>
  <si>
    <t>patchset 5, Russell</t>
  </si>
  <si>
    <t>rebase::conflict</t>
  </si>
  <si>
    <t>patch 6</t>
  </si>
  <si>
    <t>informing::rebase</t>
  </si>
  <si>
    <t>patch 7</t>
  </si>
  <si>
    <t>informing::multiple:.times::that::there::are::no::bugs::after::build::failures</t>
  </si>
  <si>
    <t>patch7 to 10</t>
  </si>
  <si>
    <t>ready::approval::for::submitting4::(core::reviewer)</t>
  </si>
  <si>
    <t>patchset 10, Russell</t>
  </si>
  <si>
    <t>multiple::pachsets</t>
  </si>
  <si>
    <t>the comments were given in the old file (rbd_utils)</t>
  </si>
  <si>
    <t>patch 33 and 34</t>
  </si>
  <si>
    <t>who::signed::it::off</t>
  </si>
  <si>
    <t>not::approval::for::submitting::(vote)</t>
  </si>
  <si>
    <t>patchset 2, Nikola</t>
  </si>
  <si>
    <t>suggestion::change::based::on::test::failure</t>
  </si>
  <si>
    <t>requesting::of::checking::different::bug</t>
  </si>
  <si>
    <t>patchset 2, Still</t>
  </si>
  <si>
    <t>requesting::of::checking::different::bug2</t>
  </si>
  <si>
    <t>patchset 3, Still</t>
  </si>
  <si>
    <t>bugs::hit</t>
  </si>
  <si>
    <t>patchset 3, Recheck</t>
  </si>
  <si>
    <t>providing::advice::how::to::fix::failures::(building::tests)</t>
  </si>
  <si>
    <t>patchset 4, Pipes</t>
  </si>
  <si>
    <t>minor::changes::required::for::submitting</t>
  </si>
  <si>
    <t>not::approval::for::submitting::(vote2)</t>
  </si>
  <si>
    <t>suggestion::refactoring::(change::wrapper)</t>
  </si>
  <si>
    <t>suggestion::assert::change</t>
  </si>
  <si>
    <t>requesting::of::checking::different::bug3</t>
  </si>
  <si>
    <t>patchset 6, Dimitry</t>
  </si>
  <si>
    <t>suggestion::refactoring::(replace::context::with::decorator)</t>
  </si>
  <si>
    <t>patchset 9, Mike</t>
  </si>
  <si>
    <t>not::approval::for::submitting::(vote3)</t>
  </si>
  <si>
    <t>not::approval::for::submitting::(vote4)</t>
  </si>
  <si>
    <t>patchset 9, Pipes</t>
  </si>
  <si>
    <t>informing::reason::failure</t>
  </si>
  <si>
    <t>informing::error::in::CI::system</t>
  </si>
  <si>
    <t>providing::instructions::for::release::next:.development:.cycle</t>
  </si>
  <si>
    <t>source::of::test::failing::(external::source)</t>
  </si>
  <si>
    <t>patchset 10, Dmitry linw 181</t>
  </si>
  <si>
    <t>referes::to::a::review</t>
  </si>
  <si>
    <t>@JayPipes Actually the problem with ironic test was triggered by https://review.openstack.org/91722, I fixed it there.</t>
  </si>
  <si>
    <t>suggestion::not::rebasing::the::change</t>
  </si>
  <si>
    <t>patchset 10, Dmitry I don't think it's a good idea to rebase these feature improvements aw</t>
  </si>
  <si>
    <t>challenges::to::rebase::other::patches</t>
  </si>
  <si>
    <t>patchset 10</t>
  </si>
  <si>
    <t>patchset 21</t>
  </si>
  <si>
    <t>not::approval::for::submitting::(vote5)</t>
  </si>
  <si>
    <t>patchset 21, Daniel</t>
  </si>
  <si>
    <t>suggestion::refactoring::(removing::unnecessary::code)</t>
  </si>
  <si>
    <t>patchset 24, The refactoring looks sane. More control and efficiency to use the API where possible. Comments inline...</t>
  </si>
  <si>
    <t>ready::approval::for::submitting::(vote)::(core::reviewer)</t>
  </si>
  <si>
    <t>patchset 24, draigbrady</t>
  </si>
  <si>
    <t>patchset 25</t>
  </si>
  <si>
    <t>approval::of::the::BP/spec::associated::to::the::change::before::working::on::code</t>
  </si>
  <si>
    <t>patchset 28</t>
  </si>
  <si>
    <t>informing::blocking::change::(vote::codereview-2)::(core::reviewer)</t>
  </si>
  <si>
    <t>patchset 28, John</t>
  </si>
  <si>
    <t>requesting::of::checking::different::bug4</t>
  </si>
  <si>
    <t>patchset 30, Nikitin</t>
  </si>
  <si>
    <t>requesting::of::checking::different::bug5</t>
  </si>
  <si>
    <t>patchset 30, Dmitry</t>
  </si>
  <si>
    <t>suggestion::to::change::the::change::from::BP::to::a::bug::fix</t>
  </si>
  <si>
    <t>patchset 30,  Garbutt</t>
  </si>
  <si>
    <t>not::approval::for::submitting::(vote6)</t>
  </si>
  <si>
    <t>providing::instructions::for::current:.development:.cycle</t>
  </si>
  <si>
    <r>
      <rPr/>
      <t xml:space="preserve">patchset 30,  Can you resubmit this patch tagging it with the following bug
</t>
    </r>
    <r>
      <rPr>
        <color rgb="FF1155CC"/>
        <u/>
      </rPr>
      <t>https://bugs.launchpad.net/nova/+bug/1346092</t>
    </r>
  </si>
  <si>
    <t>referes::to::related::bug</t>
  </si>
  <si>
    <r>
      <rPr/>
      <t xml:space="preserve">patchset 30,  Can you resubmit this patch tagging it with the following bug
</t>
    </r>
    <r>
      <rPr>
        <color rgb="FF1155CC"/>
        <u/>
      </rPr>
      <t>https://bugs.launchpad.net/nova/+bug/1346092</t>
    </r>
  </si>
  <si>
    <t>not::approval::for::submitting::(vote7)</t>
  </si>
  <si>
    <t>patchset 30,  Daniel</t>
  </si>
  <si>
    <t>asking::clarification::process::of::merging::changes</t>
  </si>
  <si>
    <t>patchset 31,  Dmitry</t>
  </si>
  <si>
    <t>not::approval::for::submitting::(vote8)</t>
  </si>
  <si>
    <t xml:space="preserve">patchset 32, Daniel  </t>
  </si>
  <si>
    <t>providing::advice::developing::process::(relate::a::BP::or::bug::with::commit)</t>
  </si>
  <si>
    <t>patchset 32, We use bugs for tracking purposes in this way all the time. Please update the commit message for reference the bug instead of the blueprint or this code will just get -2'd again and punted to Kilo release along with the rest of the patches for this unapproved blueprint.</t>
  </si>
  <si>
    <t>source::of::test::failing::(external::internal)</t>
  </si>
  <si>
    <t>patchset 33,  Dmitry</t>
  </si>
  <si>
    <t>patchset 33,  Daniel</t>
  </si>
  <si>
    <t>not::approval::for::submitting::(vote9)</t>
  </si>
  <si>
    <t xml:space="preserve">patchset 34, Daniel  </t>
  </si>
  <si>
    <t>suggestion::change::(move::logic::method)</t>
  </si>
  <si>
    <t>patchset 34, Don't remove the 'import_rbd_image' method - just move it to the rbd.py file. We have a general cleanup goal to have all 'utils.execute' statements encapsulated in helper methods, rather than inlined everywhere.</t>
  </si>
  <si>
    <t>ready::approval::for::submitting::(vote2)::(core::reviewer)</t>
  </si>
  <si>
    <t>patchset 35, Still</t>
  </si>
  <si>
    <t>ready::approval::for::submitting::(vote2)</t>
  </si>
  <si>
    <t>patchset 35, draigbrady</t>
  </si>
  <si>
    <t>approval::for::submitting::granted::(final::workflow::vote)::(core::reviewer)</t>
  </si>
  <si>
    <t>multiple patchset</t>
  </si>
  <si>
    <t>files named in the comments secction</t>
  </si>
  <si>
    <t>files with changes during patches</t>
  </si>
  <si>
    <t>patchset 1</t>
  </si>
  <si>
    <t>asking::clarification::about::code</t>
  </si>
  <si>
    <t>patchset 1, line 87</t>
  </si>
  <si>
    <t>requesting::suggestions::about::code::comment</t>
  </si>
  <si>
    <t>suggestion::not::installing::libraries::not::found:.in::official::repo</t>
  </si>
  <si>
    <t>solution::to::external::library::problem:.encountered</t>
  </si>
  <si>
    <t>patchset 6</t>
  </si>
  <si>
    <t>patchset 8, Dan</t>
  </si>
  <si>
    <t>patchset 8, Russell</t>
  </si>
  <si>
    <t>ready::approval::for::submitting3::(core::reviewer)</t>
  </si>
  <si>
    <t>patchset 8, p-drag</t>
  </si>
  <si>
    <t>patchset 1, Nikola</t>
  </si>
  <si>
    <t>not::approval::for::submitting2</t>
  </si>
  <si>
    <t>patchset 5, Dan</t>
  </si>
  <si>
    <t>raising::issue::(typo::comment)</t>
  </si>
  <si>
    <t>patchset 5, line 1806</t>
  </si>
  <si>
    <t>informing::that::there::are::no::bugs::after::build::failures</t>
  </si>
  <si>
    <t>patchset 8</t>
  </si>
  <si>
    <t>patchset 8, Sandy</t>
  </si>
  <si>
    <t>patchset 9, Sandy</t>
  </si>
  <si>
    <t>not::approval::for::submitting3</t>
  </si>
  <si>
    <t>patchset 11, Dan</t>
  </si>
  <si>
    <t>patchset 15, garyk</t>
  </si>
  <si>
    <t>not::approval::for::submitting4</t>
  </si>
  <si>
    <t>patchset 16, Sahid</t>
  </si>
  <si>
    <t>asking::clarification::about::code::(missing::context)</t>
  </si>
  <si>
    <t>providing::clarification::about::code::(missing::context)</t>
  </si>
  <si>
    <t>patchset 16, Nikola</t>
  </si>
  <si>
    <t>asking::clarification::about::code::(unnecesary::loop)</t>
  </si>
  <si>
    <t>patchset 16, Sahid, line 1897</t>
  </si>
  <si>
    <t>providing::clarification::about::code::(unnecesary::loop)</t>
  </si>
  <si>
    <t>patchset 16, Nikola, line 1897</t>
  </si>
  <si>
    <t>conditioning::a::refactoring::(only::if::further::changes::are::needed)</t>
  </si>
  <si>
    <t>patchset 16, Michael</t>
  </si>
  <si>
    <t>patchset 16, Dan</t>
  </si>
  <si>
    <t>ready::approval::for::submitting6::(core::reviewer)</t>
  </si>
  <si>
    <t>patchset 18, Dan</t>
  </si>
  <si>
    <t>patchset 19, Giliard</t>
  </si>
  <si>
    <t>ready::approval::for::submitting7::(core::reviewer)</t>
  </si>
  <si>
    <t>patchset 21, Andrew</t>
  </si>
  <si>
    <t>patchset 21, Michael</t>
  </si>
  <si>
    <t>ready::approval::for::submitting8::(core::reviewer)</t>
  </si>
  <si>
    <t>patchset 22, John</t>
  </si>
  <si>
    <t>ready::approval::for::submitting9::(core::reviewer)</t>
  </si>
  <si>
    <t xml:space="preserve">patchset 23, John </t>
  </si>
  <si>
    <t>ready::approval::for::submitting10::(core::reviewer)</t>
  </si>
  <si>
    <t>patchset 23, Laski</t>
  </si>
  <si>
    <t>ready::approval::for::submitting11::(core::reviewer)</t>
  </si>
  <si>
    <t>patchset 23, Nikola</t>
  </si>
  <si>
    <t>objecting::suggestion::refactoring::(wrapper)</t>
  </si>
  <si>
    <t>objecting::suggestion::refactoring::(removing::unnecessary::code)</t>
  </si>
  <si>
    <t>patchset 1 and 9 are different changes</t>
  </si>
  <si>
    <t>doc::impact::mentioned</t>
  </si>
  <si>
    <t>patchset 1, Chris</t>
  </si>
  <si>
    <t>suggestion::error::code::(extra::characters)</t>
  </si>
  <si>
    <t>discussing::about::the::change::approach::discussed::previously::(email)</t>
  </si>
  <si>
    <t>patchset 5, Mark</t>
  </si>
  <si>
    <t>justifying::the::approach::of::the::change</t>
  </si>
  <si>
    <t>patchset 5, kevin</t>
  </si>
  <si>
    <t>patchset 9, Elliot</t>
  </si>
  <si>
    <t>suggestion::different::approach::to::the::change::(due::to::existing::functionallity::duplication)</t>
  </si>
  <si>
    <t>patchset 9, So does the config file override the Cell model entirely? It's a little strange to support both of them.</t>
  </si>
  <si>
    <t>patchset 9, line 117</t>
  </si>
  <si>
    <t>suggestion::refactoring::(extract::sub::classes)</t>
  </si>
  <si>
    <t>patchset 9, line 164</t>
  </si>
  <si>
    <t>asking::clarification::about::code::(functionallity)</t>
  </si>
  <si>
    <t>patchset 9,  Brian</t>
  </si>
  <si>
    <t>providing::clarification::about::code::(functionallity)</t>
  </si>
  <si>
    <t>patchset 9,  Kevin</t>
  </si>
  <si>
    <t>suggestion::of::an::example::(config::file)</t>
  </si>
  <si>
    <t>patchset 15, Elliot</t>
  </si>
  <si>
    <t>noticing::copy::code::practice</t>
  </si>
  <si>
    <t>patchset 15, line 887</t>
  </si>
  <si>
    <t>patchset 16, Brian</t>
  </si>
  <si>
    <t>patchset 16, Russell</t>
  </si>
  <si>
    <t>approval::for::submitting::granted::(core::reviewer)</t>
  </si>
  <si>
    <t>noticing::style::change::in::code::(tab::space::indent)</t>
  </si>
  <si>
    <t>patchset 16, line 7</t>
  </si>
  <si>
    <t>patchset 17, Brian</t>
  </si>
  <si>
    <t>patchset 17, Russell</t>
  </si>
  <si>
    <t>approval::for::submitting::granted::(final)::(core::reviewer)</t>
  </si>
  <si>
    <t>multiple pattchsets</t>
  </si>
  <si>
    <t>patchset 6  starts the changes</t>
  </si>
  <si>
    <t>Patchset 6</t>
  </si>
  <si>
    <t>Patchset 6, garyk</t>
  </si>
  <si>
    <t>Patchset 7, garyk</t>
  </si>
  <si>
    <t>Patchset 13, garyk</t>
  </si>
  <si>
    <t>Patchset 13, Dan</t>
  </si>
  <si>
    <t>Patchset 13, Russell</t>
  </si>
  <si>
    <t>Patchset 13, Andrew</t>
  </si>
  <si>
    <t>Patchset 14, Russell</t>
  </si>
  <si>
    <t>Patchset 14, Andrew</t>
  </si>
  <si>
    <t>asking::clarification::about::code::(if:.test::covers::case)</t>
  </si>
  <si>
    <t>Patchset 14, garyk</t>
  </si>
  <si>
    <t>asking::for::clarification::about::previous::question</t>
  </si>
  <si>
    <t>Patchset 14, Dan</t>
  </si>
  <si>
    <t xml:space="preserve">from patchset 2 starts the changes </t>
  </si>
  <si>
    <t>mentioning::co::authors</t>
  </si>
  <si>
    <t>summary::of::the::bug(s)</t>
  </si>
  <si>
    <t>informing::work::in::progress::(vote::workflow-1)</t>
  </si>
  <si>
    <t>Patchset1, garyk</t>
  </si>
  <si>
    <t>Patchset1, Radoslav</t>
  </si>
  <si>
    <t>suggestion::refactoring::(using::another::existing::method)</t>
  </si>
  <si>
    <t>Patchset1, Radoslav, line 1093</t>
  </si>
  <si>
    <t>suggestion::change::(documentation)</t>
  </si>
  <si>
    <t>Patchset1, Radoslav, line 1120</t>
  </si>
  <si>
    <t>suggestion::change::(change::method)</t>
  </si>
  <si>
    <t>Patchset1, Radoslav, line 1120 and 1136, 1140, 1199, 1232</t>
  </si>
  <si>
    <t>asking::clarification::about::code::(avoid::shutdown)</t>
  </si>
  <si>
    <t>Patchset1,  ZHU ZHU</t>
  </si>
  <si>
    <t>providing::advice::how::to::fix::failures::(avoid::shutdown)</t>
  </si>
  <si>
    <t xml:space="preserve">Patchset1,  Gergan.  is named "migrate_disk_and_power_off" so </t>
  </si>
  <si>
    <t>informing::recheck::after::build::failures</t>
  </si>
  <si>
    <t>Patchset3,  garyk</t>
  </si>
  <si>
    <t>asking::clarification::about::bug::(status)</t>
  </si>
  <si>
    <t>Patchset4,  Belu he bug regarding the resize when config drive is attached is resolv</t>
  </si>
  <si>
    <t>suggestion::refactoring::(style)::with::code</t>
  </si>
  <si>
    <t>Patchset4,  Belu  line 689</t>
  </si>
  <si>
    <t>Patchset4,  Belu  line 515, 587, 671</t>
  </si>
  <si>
    <t xml:space="preserve">Patchset4,  Belu  </t>
  </si>
  <si>
    <t>suggestion::change::(delete::method/function)</t>
  </si>
  <si>
    <t>Patchset 9, it is not refactoring delete this function</t>
  </si>
  <si>
    <t>ready::approval::for::submitting::(vote)</t>
  </si>
  <si>
    <t>Patchset 9,  Hiroki</t>
  </si>
  <si>
    <t xml:space="preserve">Patchset 9,  Belu  </t>
  </si>
  <si>
    <t>every time that it is saied done, or ok</t>
  </si>
  <si>
    <t xml:space="preserve">Patchset 10,  Belu  </t>
  </si>
  <si>
    <t>patch 10, Hello, it looks to me like you could do some things in a fewer steps, so it can lead to a cleaner code and a little bit better performance. :)</t>
  </si>
  <si>
    <t>suggestion::refactoring::(cleaner::code)</t>
  </si>
  <si>
    <t>patch 10, Move vmdk to original.vmdk</t>
  </si>
  <si>
    <t>suggestion::refactoring::(steps::to::accomplish::it)</t>
  </si>
  <si>
    <t>patch 10, Move vmdk to original.vmdk
2. Disk copy original.vmdk to vmdk.path
3. Resize vmdk.path</t>
  </si>
  <si>
    <t>patch 10, why is this even needed, if it is going to be deleted? why not just delete it now?</t>
  </si>
  <si>
    <t>suggestion::content::change::(commit::message)</t>
  </si>
  <si>
    <t>patch 10, the commit message just says that the bugs are fixed, not what is done in the code to fix them</t>
  </si>
  <si>
    <t>suggestion::of::the::developing::process::(code::and::managment::of::patches)</t>
  </si>
  <si>
    <t>patch 10, 'd much prefer to a) fix each bug in a separate patch if possible and b) do refactoring work in a separate patch. As this stands, without any code comments or commit message details, it's very difficult to tell what change is fixing what bug and what is just general refactoring work :(</t>
  </si>
  <si>
    <t>Patchset 10,   Pipes</t>
  </si>
  <si>
    <t>Patchset 11,   Pipes</t>
  </si>
  <si>
    <t>providing::clarification::developing::process::(code::and::managment::of::patches)</t>
  </si>
  <si>
    <t>Patchset 11,    I'm still of the opinion that this patch should be better split out. It's quite difficult to tell which pieces of the patch address which of the refactorings and bug fixes you list in the commit message.</t>
  </si>
  <si>
    <t>informing::comments::not::fully::addressed</t>
  </si>
  <si>
    <t>patchset 13, I have split this into a few patchs:</t>
  </si>
  <si>
    <t>informing::comments::not::fully::addressed::(reasons)</t>
  </si>
  <si>
    <t>patchset13, The rest is pretty difficult to split up. The reason is that we are now using the same VM to do the resize where in the past this was done on a clone (the cause of all of the bugs mentioned in the commit message). Due to the fact that people may be using master for deployments we cannot split this treatment into separate patches.</t>
  </si>
  <si>
    <t>patchset 14, Matt</t>
  </si>
  <si>
    <t>requesting::execution::of::CI::system</t>
  </si>
  <si>
    <t>patchset 14, Need to see the VMware CI +1 on this.</t>
  </si>
  <si>
    <t>patchset 14, if you have to respin for another reason s/covergae/coverage/</t>
  </si>
  <si>
    <t>patchset 15, Nikola</t>
  </si>
  <si>
    <t>asking::clarification::about::code::(previous::version::vs::actual::code)</t>
  </si>
  <si>
    <t>patchset 15, The removed block of code would say - if I am not in the state resize reverting, then I want to make sure is that I am deleting resize_clones if the exist, otherwise just go ahead and destroy the VM.
What we are saying now, is if the task _is_ resize reverting - don't destroy the instance at all?</t>
  </si>
  <si>
    <t>providing::clarification::about::code::(previous::version::vs::actual::code)</t>
  </si>
  <si>
    <t>patch 15, The assumption from the calling code is that a new VM has been created in the resize. In the VC case this is not correct as we are using the same VM to do the resize. That is we are using the reconfigure task for the VC to update the running VM.
In the resize revert we do not do a destroy as we do not create the additional VM. and next comment</t>
  </si>
  <si>
    <t>suggestion::refactoring::(style::indentation)</t>
  </si>
  <si>
    <t>patch 15, another indent here would have been nice...</t>
  </si>
  <si>
    <t>patch 15, Daniel</t>
  </si>
  <si>
    <t>ready::approval::for::submitting::(vote3)</t>
  </si>
  <si>
    <t>patch 15, Radoslav</t>
  </si>
  <si>
    <t>ready::approval::for::submitting::(vote4)</t>
  </si>
  <si>
    <t>patch 15, Hiroki</t>
  </si>
  <si>
    <t>ready::approval::for::submitting::(vote5)::(core::reviewer)</t>
  </si>
  <si>
    <t>patch 15, Matt Dietz</t>
  </si>
  <si>
    <t>ready::approval::for::submitting::(vote6)::(core::reviewer)</t>
  </si>
  <si>
    <t>patch 15, Nikola</t>
  </si>
  <si>
    <t>description BIC, Fix bug #1186944</t>
  </si>
  <si>
    <t>patchset 9</t>
  </si>
  <si>
    <t>from patchset 2 there are changes from the original one</t>
  </si>
  <si>
    <t>description BIC, Change-Id: Iaba099225a9b3b0390cae4c5fbd82d7e6c11f0e0</t>
  </si>
  <si>
    <t>description BIC,  Like Libvirt Hyper, Using EC2 template for naming instance directory may cause conflict. we follow what Libvirt does to use instance uuid instead of EC2 template naming. To keep backwards compability, when fails to find a instance by uuid, fall back to use</t>
  </si>
  <si>
    <t>patchset 3,I would prefer that you didn't merge this</t>
  </si>
  <si>
    <t>informing::existing::dependency::(another::review)::of::the::change</t>
  </si>
  <si>
    <t>patchset 4, depends on https://review.openstack.org/#/c/31611/ to pass jenkins.</t>
  </si>
  <si>
    <t>patchset 5, I  would prefer that you didn't merge this</t>
  </si>
  <si>
    <t>patchset 5, Is falling back from uuid to name safe?</t>
  </si>
  <si>
    <t>patchset 6, I would prefer that you didn't merge this, Aaron</t>
  </si>
  <si>
    <t>suggestion::refactoring::(style)</t>
  </si>
  <si>
    <t>patchset 6, 770 nit: it would be nice if the parms for the lines you chanced lined up like it does on 681</t>
  </si>
  <si>
    <t>patchset 7, david ripton</t>
  </si>
  <si>
    <t>requesting::more::tests::(missing::case)</t>
  </si>
  <si>
    <t>patchset 9, david ripton</t>
  </si>
  <si>
    <t>patchset 9, Aaron</t>
  </si>
  <si>
    <t>patchset 9, Aaron, i wish all these aligned :/</t>
  </si>
  <si>
    <t>patchset 9, Aaron Rosen</t>
  </si>
  <si>
    <t>not::approval::for::submitting5</t>
  </si>
  <si>
    <t xml:space="preserve">patchset 9, we were just discussing this in a VMwareAPI team meeting last week. </t>
  </si>
  <si>
    <t>patchset 9, Looks good to me, but someone else must approve. Ok I see the change, Shawn</t>
  </si>
  <si>
    <t>not::approval::for::submitting6</t>
  </si>
  <si>
    <t>patchset 9, This is a lot of code repetition and will be prone to introducing a bug later. Consolidate these copy pasted lines into one method.</t>
  </si>
  <si>
    <t>noticing::code::duplication</t>
  </si>
  <si>
    <t>patchset 9, line 946 This is a lot of code repetition and will be prone to introducing a bug later. Consolidate these copy pasted lines into one method.</t>
  </si>
  <si>
    <t>suggestion::refactoring::(extract::method)</t>
  </si>
  <si>
    <t>patchset 9, line 946 Consolidate these copy pasted lines into one method.</t>
  </si>
  <si>
    <t>patchset 10, still</t>
  </si>
  <si>
    <t>patchset 10, SHAWN</t>
  </si>
  <si>
    <t>patchset 10, Andrew</t>
  </si>
  <si>
    <t>BIC description, Change-ID</t>
  </si>
  <si>
    <t>e.g., patch 38</t>
  </si>
  <si>
    <t>from patch 3 ...</t>
  </si>
  <si>
    <t>BIC description, DB support for blueprint instance-group-api-extension</t>
  </si>
  <si>
    <t>patchset 2, Boris I would prefer that you didn't merge this</t>
  </si>
  <si>
    <t>referes::to::logs::(migrations)</t>
  </si>
  <si>
    <t xml:space="preserve">patchset 2, Boris </t>
  </si>
  <si>
    <t>suggestion::refactoring::(change::type::method)</t>
  </si>
  <si>
    <t>patchset 2, Boris, This won't work take a look at migration comments public to privat method</t>
  </si>
  <si>
    <t>use::of::acronyms::(e.g.,::ditto::same::as::above):.to::repeat::comment</t>
  </si>
  <si>
    <t>patchset 2, Boris line 5202, 5196</t>
  </si>
  <si>
    <t>suggestion::refactoring::(performance)::with::code</t>
  </si>
  <si>
    <t>patchset 2, Boris, awful use query.soft_delete. Take a look at migration</t>
  </si>
  <si>
    <t>patchset 2, Boris, all() method</t>
  </si>
  <si>
    <t>objecting::suggestion::refactoring::(use::method/function)</t>
  </si>
  <si>
    <t>patchset 2, Eugene, all() method</t>
  </si>
  <si>
    <t>objecting::objection::suggestion::refactoring::(use::method/function)</t>
  </si>
  <si>
    <t>patchset 2, Boris, enikanorov In nova we are using explicit all() + take a look at the end of line (there is all, and it should be on next line)</t>
  </si>
  <si>
    <t>suggestion::change::(database::models)</t>
  </si>
  <si>
    <t>Add id column and change type of deleted column to type of id (I think here you should use Integer)
This is very important for:
1) db archiving
2) using query.soft_delete</t>
  </si>
  <si>
    <t>Patchset 2, you should create also shadow_tables for all tables that you have created.
Take a look at db-archiving blue print</t>
  </si>
  <si>
    <t>asking::for::assistance</t>
  </si>
  <si>
    <t>patchset 2, How do I do that?</t>
  </si>
  <si>
    <t>referes::to::code::(elsewhere)::as::assistance</t>
  </si>
  <si>
    <t>patchset 2, take a look at db.sqlalchemy.utils.create_shadow_table() method.</t>
  </si>
  <si>
    <t>patchset 3, ou should:a) add unique constraint on (uuid, deleted) columns
b) then use approach as in network_create() method (try to create catch UC exception)</t>
  </si>
  <si>
    <t>noticing::code::(race::condition)</t>
  </si>
  <si>
    <t>patchset 3, This is not optimal + produce race condition...</t>
  </si>
  <si>
    <t>comments::will::be::addressed::(soon)</t>
  </si>
  <si>
    <t>patchset 3, ok. i'll address this tomorrow</t>
  </si>
  <si>
    <t>patchset 10, Boris</t>
  </si>
  <si>
    <t>patchset 10, I would prefer that you didn't merge this Shadow tables..
And tests should be a little bit refactored</t>
  </si>
  <si>
    <t>asking::clarification::about::code::(functionallity::works)</t>
  </si>
  <si>
    <t>patchset 10, and does it work with shadow tables?</t>
  </si>
  <si>
    <t>asking::clarification::about::question</t>
  </si>
  <si>
    <t>patchset 10, garyk
I am not sure that I understand the question.
When I try to create a shadow table here there are tests that fail.
I did utils.create_shadow_table(migrate_engine, table=table)</t>
  </si>
  <si>
    <t>patchset 11, Nirmal</t>
  </si>
  <si>
    <t>Patchset 11, to avoid 100500 of assertation there is ModelsObjectComparatorMixin (in this file)</t>
  </si>
  <si>
    <t>suggestion::refactoring::(move::logic)</t>
  </si>
  <si>
    <t>patchset 11, Not sure of a case where uuid would be passed in. To keep it more conformant, I'd handle uuid generation in one place, probably here.</t>
  </si>
  <si>
    <t>objecting::suggestion::refactoring::(move::logic)</t>
  </si>
  <si>
    <t>patchset 11,  This is handled below on line 5096.
Please note there is also a unit test that tests the passing of the uuid as input</t>
  </si>
  <si>
    <t>patchset 11, Redundant outer parenthesis can be removed.</t>
  </si>
  <si>
    <t>patchset 11, Not sure I understand the need to pop from values and add it back here. Why not just use policies, metadata or members from the values.get()</t>
  </si>
  <si>
    <t>patchset 11, garyk May 15, 2013 The reason for this is that the group update will fail (line 5177) if undefined fields are passed.</t>
  </si>
  <si>
    <t>patchset 11, David Ripton</t>
  </si>
  <si>
    <t>patchset 11,  David Ripton I think you will also need shadow_ versions of t</t>
  </si>
  <si>
    <t>patchset 11,  garyk</t>
  </si>
  <si>
    <t>suggestion::change::(missing::tests)</t>
  </si>
  <si>
    <r>
      <rPr/>
      <t xml:space="preserve">patchset 11,  think you need a test for this DB migration in </t>
    </r>
    <r>
      <rPr>
        <color rgb="FF1155CC"/>
        <u/>
      </rPr>
      <t>test_migrations.py</t>
    </r>
  </si>
  <si>
    <t>objecting::suggestion::change::(missing::tests)</t>
  </si>
  <si>
    <t>patchset 11, The migrations tests are called. This code is invoked by the tests</t>
  </si>
  <si>
    <t>patchset 11, David Ripton typo</t>
  </si>
  <si>
    <t>patchset 15, Boris Pavlovic</t>
  </si>
  <si>
    <t>patch 15,  missing tests for migration take a look at tests/test_migrations.py</t>
  </si>
  <si>
    <t>patch 15, As I said before UC name convention..</t>
  </si>
  <si>
    <t>patchset 16,  David Ripton
I would pr Needs _pre_upgrade_180 and _check_180</t>
  </si>
  <si>
    <t>patch 16, Needs _pre_upgrade_180 and _check_180 methods in test_migrations.py. test_migrations.py is running but isn't testing anything specific for your migration 180.</t>
  </si>
  <si>
    <t>patchset 17, Looks good to me, but someone else must approve , David Ripton</t>
  </si>
  <si>
    <t>patchset 17, recheck no bug</t>
  </si>
  <si>
    <t>patchset 17, Senhua Huang</t>
  </si>
  <si>
    <t>suggestion::change::(documentation::docstring)</t>
  </si>
  <si>
    <t>patchset 17, Will this function return all groups for a given tenant? If the tenant is admin, will it return all groups for all tenants?</t>
  </si>
  <si>
    <t>patchset 17, Senhua Huang, Should we check whether the members is empty at API layer or here when deleting an instance group?</t>
  </si>
  <si>
    <t>patchset 17, I do not think so. The group is used for the placement of the instance. If the user decides to delete the group them I do not think that it should affect the running instance.</t>
  </si>
  <si>
    <t>not::approval::for::submitting7</t>
  </si>
  <si>
    <t>patchset 19, I would prefer that you didn't merge this, Boris</t>
  </si>
  <si>
    <t>patchset 19, d some nits..</t>
  </si>
  <si>
    <t>suggestion::refactoring::(conditional::with::exception)</t>
  </si>
  <si>
    <t>patchset 19, I don't like this code. You should try to create // And if it already exist then it will raise excpetion DuplicateEntry</t>
  </si>
  <si>
    <t>suggestion::refactoring::(inline::temp::method)</t>
  </si>
  <si>
    <t>patchset 19, sorry didn't have enough time for long comments.. usually in this file we push call on first() to method.. so instead of:
query = some_method()
group = query.first()
write
group = some_method().first()
for example your next method instance_group_update..</t>
  </si>
  <si>
    <t>asking::clarification::about::suggestion</t>
  </si>
  <si>
    <t>patchset 19, not sure i understand what you mean here. i do not understand what the problem is here. please elaborate</t>
  </si>
  <si>
    <t>providing::clarification::about::suggestion</t>
  </si>
  <si>
    <t>patchset 19, sorry didn't have enough time for long comments..
usually in this file we push call on first() to method.. so instead of:</t>
  </si>
  <si>
    <t>suggestion::refactoring::(split::method)</t>
  </si>
  <si>
    <t>patchset 19, if not group:
raise Excpeiton()</t>
  </si>
  <si>
    <t>objecting::suggestion::refactoring::(use::loop)</t>
  </si>
  <si>
    <t>patchset 19, It may be done in one loop that iterates required models</t>
  </si>
  <si>
    <t>suggestion::refactoring::(steps::to::accomplish::it)::with::code</t>
  </si>
  <si>
    <t>patchset 19, for model in [models.InstanceGroupPolicy, models.InstanceGroupMetdata, ..]:
model_query(context, model, session).\</t>
  </si>
  <si>
    <t>suggestion::refactoring::(introduce::parameter::defaults)</t>
  </si>
  <si>
    <t>patchset 19, so why by default you set it to 'yes'? by the way if you don't put read_deleted value it will be by defualt in model_query set to 'no'</t>
  </si>
  <si>
    <t>patchset 19, why read_deleted by default yes?</t>
  </si>
  <si>
    <t>patchset 19, All of the code calling this uses 'no'</t>
  </si>
  <si>
    <r>
      <rPr>
        <rFont val="Arial"/>
        <color rgb="FF000000"/>
      </rPr>
      <t xml:space="preserve">patchset 19, This has very bad performance. The task is to get group.id by group_id. So you may use select id from groups, instead of getting all group with 3 JOINS! and then just use id, 
Ok I will try to explain, you have table instance_groups it has many columns but there are two interesting: a) </t>
    </r>
    <r>
      <rPr>
        <rFont val="Arial"/>
        <color rgb="FF1155CC"/>
        <u/>
      </rPr>
      <t>instance_groups.id</t>
    </r>
    <r>
      <rPr>
        <rFont val="Arial"/>
        <color rgb="FF000000"/>
      </rPr>
      <t xml:space="preserve"> b) instance_groups.uuid</t>
    </r>
  </si>
  <si>
    <t>objecting::suggestion::refactoring::(performance)</t>
  </si>
  <si>
    <t>patchset 19, his does not work. In addition to this we need to check that the group_id is valid.
Are you referring to the three joins in _instance_group_get_query?</t>
  </si>
  <si>
    <t>patchset 19, i am not sure that i agree with you. why is this so problematic?</t>
  </si>
  <si>
    <t>suggestion::refactoring::(use::method/function)</t>
  </si>
  <si>
    <t>patchset 19, how it works now // you get id by uuid from instance_groups table.. then you put it in _instance_group_metdata_add...
so 2 queries.. But you are able to do it in one query.. query_to_get_id = query_that_gets_id_from_group_id(group_id) //no request and then when you create some query for example query = model_query(models.InstanceGroupMetaData) then you are able to do such filtering query = query.filter_by(id=query_to_get_id) and it will work through one query...</t>
  </si>
  <si>
    <t>patchset 19, why do you create here session?</t>
  </si>
  <si>
    <t>highlights::missunderstanding</t>
  </si>
  <si>
    <t>patchset 19, Nope, you didn't understood me..
I said that if you call some method more then 1 time</t>
  </si>
  <si>
    <t>patchset 19, Sorry but i still do not understand. So you are saying that this does now not require the session</t>
  </si>
  <si>
    <t>patchset 19, in this case you should use subquery</t>
  </si>
  <si>
    <t>patchset 19, align this pls</t>
  </si>
  <si>
    <t>patchset 19, with session.beign(subtransaction=True)</t>
  </si>
  <si>
    <t>patchset 19, this is also called by instance_group_create and instance_group_update.</t>
  </si>
  <si>
    <t>patchset 19, f you avoid usage of sesson.begin then this code runed without session will be done in N transactions...</t>
  </si>
  <si>
    <t>suggestion::change::(prevent::failure)</t>
  </si>
  <si>
    <t>patchset 19, also this will produce exception if session is None..</t>
  </si>
  <si>
    <t>objecting::suggestion::refactoring::(prevent::failure)</t>
  </si>
  <si>
    <t>patchset 19, session is never none as it should be passed as a parameter</t>
  </si>
  <si>
    <t>patchset 19, pls put UC in table description and remove 103-105 lines</t>
  </si>
  <si>
    <t>patchset 19, probably it should be called policies instead of _policies. Then it will look same as in other places.</t>
  </si>
  <si>
    <t>objecting::suggestion::refactoring::(renaming)</t>
  </si>
  <si>
    <t>patchset 19, why. please look below at the policies in line 1053.
why does that not suffice?</t>
  </si>
  <si>
    <t>suggestion::refactoring::(refactoring::extract::classes)</t>
  </si>
  <si>
    <t>patchset 19, pls split tests in 4 classes:
InstanceGroupTestCase
InstanceGroupPoliciesTestCase
InstanceGroupMembers TestCase
and for Metadata</t>
  </si>
  <si>
    <t>patchset 19, you are creating 4 tables, so you should check it all</t>
  </si>
  <si>
    <t>not::approval::for::submitting8</t>
  </si>
  <si>
    <t>patchset 25, Boris</t>
  </si>
  <si>
    <t>waiting::for::fix</t>
  </si>
  <si>
    <t>patchset 25, We have discussed in IRC about this place, so I am waiting for new patches that fix it..</t>
  </si>
  <si>
    <t>patchset 28, align, take a look at the comment on 5419 line</t>
  </si>
  <si>
    <t>patchset 28, Performance nit: Here you are geting instance_group with 3 joins, but don't use joined data.</t>
  </si>
  <si>
    <t>patchset 28, of a difficult to read</t>
  </si>
  <si>
    <t>patchset 30, nits probably this method should be together with other instance_* methods
1 sec fix=)</t>
  </si>
  <si>
    <t>patchset 30,  Senshua</t>
  </si>
  <si>
    <t>patchset 30, I would prefer to see here usage of _assertEqualListOfObjects instead of comparing only len</t>
  </si>
  <si>
    <t>patchset 30, his could be improved if you will check that members are ok on each step of this loop.</t>
  </si>
  <si>
    <t>suggestion::refactoring::(split::method::test)</t>
  </si>
  <si>
    <t>patchset 30,  have now split these into three smaller functions. This is starting to get a bit picky with all of these nits.</t>
  </si>
  <si>
    <t>patchset 31, Boris Pavlovic</t>
  </si>
  <si>
    <t>patchset 31, garyk recheck no bug</t>
  </si>
  <si>
    <t>patchset 31, David Ripton</t>
  </si>
  <si>
    <t>patchset 31, Alex Gikson</t>
  </si>
  <si>
    <t>patchset 31,  Shenhua</t>
  </si>
  <si>
    <t>requesting::somebodyelse::for::approval::for::submitting6</t>
  </si>
  <si>
    <t>patchset 31,  Vish</t>
  </si>
  <si>
    <t>not::approval::for::submitting9</t>
  </si>
  <si>
    <t>patchset 31, I would prefer that you didn't merge this, Russell</t>
  </si>
  <si>
    <t>wait::for::submitting::until::new::features::use::the::change</t>
  </si>
  <si>
    <t>patchset 31, I don't think this should go in until there is feature code making use of it in a path lined up right behind this one</t>
  </si>
  <si>
    <t>patchset 31, Do not merge</t>
  </si>
  <si>
    <t>patchset 31, This needed a rebase to fix migration numbering, so I went ahead and did it</t>
  </si>
  <si>
    <t>ready::approval::for::submitting8</t>
  </si>
  <si>
    <t>requesting::somebodyelse::for::approval::for::submitting7</t>
  </si>
  <si>
    <t>discussing::about::another::patches::(dependencies::status)</t>
  </si>
  <si>
    <t xml:space="preserve">patchset 32, Senshua The REST api part is almost there.. Will submit the patch soon. </t>
  </si>
  <si>
    <t>patchset 32, Chris lgtm... i think there's a minor typo inline, but no big deal</t>
  </si>
  <si>
    <t>informing::developing::status::(of::patches)</t>
  </si>
  <si>
    <t>patchset 33, rebased
updated the migration file to 185
addressed the comment for the tests
I am now working on the following patches:
conductor support (so that this code can be accessed via the scheduler)
scheduler to use the code and implement anti-affinity
I hope to get these in as soon as possible.</t>
  </si>
  <si>
    <t>ready::approval::for::submitting9</t>
  </si>
  <si>
    <t>patchset 33, Boris</t>
  </si>
  <si>
    <t>requesting::somebodyelse::for::approval::for::submitting8</t>
  </si>
  <si>
    <t>not::approval::for::submitting10</t>
  </si>
  <si>
    <t>patchset 34, Russell</t>
  </si>
  <si>
    <t>noticing::overwritting::code</t>
  </si>
  <si>
    <t>asking::clarification::intended::solution::design</t>
  </si>
  <si>
    <t>patchset 35, IF I remember correctly a user can be part of multiple tenants, so what does instance groups do that using tenants/projects(AFAIK tenants==projects in keystone) to group VMs together does not?</t>
  </si>
  <si>
    <t>providing::advice::how::to::fix::failures::(revert:.changes)</t>
  </si>
  <si>
    <t xml:space="preserve">patchset 35, I think I accidentally overwrote Gary's changes.. </t>
  </si>
  <si>
    <t>changes::reverted</t>
  </si>
  <si>
    <t>patchset 36, Restored back to patch 33...</t>
  </si>
  <si>
    <t>patchset 37, Senshua</t>
  </si>
  <si>
    <t>ready::approval::for::submitting10</t>
  </si>
  <si>
    <t>patchset 37,  David</t>
  </si>
  <si>
    <t>requesting::somebodyelse::for::approval::for::submitting9</t>
  </si>
  <si>
    <t>ready::approval::for::submitting11</t>
  </si>
  <si>
    <t>patchset 37, Boris</t>
  </si>
  <si>
    <t>requesting::somebodyelse::for::approval::for::submitting10</t>
  </si>
  <si>
    <t>ready::approval::for::submitting12</t>
  </si>
  <si>
    <t>patchset 37,  Senshua</t>
  </si>
  <si>
    <t>requesting::somebodyelse::for::approval::for::submitting11</t>
  </si>
  <si>
    <t>Patchset 37,  Mitchell For multiline docstrings, I prefer the closing triple-quote to be on a line by itself.</t>
  </si>
  <si>
    <t>Patchset 37, Why the parentheses here? You don't need them for precedence. I'm asking just to make sure you weren't intending to return a list of one-element tuples or something…</t>
  </si>
  <si>
    <t>Patchset 37,  To comply with the pattern everywhere else in this file, we need an extra blank line here.</t>
  </si>
  <si>
    <r>
      <rPr/>
      <t xml:space="preserve">Patchset 37,  LGTM, but this patch should go in master after this </t>
    </r>
    <r>
      <rPr>
        <color rgb="FF1155CC"/>
        <u/>
      </rPr>
      <t>https://review.openstack.org/#/</t>
    </r>
  </si>
  <si>
    <t>ready::approval::for::submitting13</t>
  </si>
  <si>
    <t xml:space="preserve">Patchset 38, David </t>
  </si>
  <si>
    <t>requesting::somebodyelse::for::approval::for::submitting12</t>
  </si>
  <si>
    <t>ready::approval::for::submitting14</t>
  </si>
  <si>
    <t>Patchset 38, Senshua</t>
  </si>
  <si>
    <t>requesting::somebodyelse::for::approval::for::submitting13</t>
  </si>
  <si>
    <t>ready::approval::for::submitting15::(core::reviewer)</t>
  </si>
  <si>
    <t xml:space="preserve">Patchset 38, Kevin </t>
  </si>
  <si>
    <t>ready::approval::for::submitting16::(core::reviewer)</t>
  </si>
  <si>
    <t xml:space="preserve">Patchset 40, Kevin </t>
  </si>
  <si>
    <t>ready::approval::for::submitting17</t>
  </si>
  <si>
    <t>Patchset 41, David</t>
  </si>
  <si>
    <t>requesting::somebodyelse::for::approval::for::submitting14</t>
  </si>
  <si>
    <t>ready::approval::for::submitting18::(core::reviewer)</t>
  </si>
  <si>
    <t xml:space="preserve">Patchset 41, Kevin </t>
  </si>
  <si>
    <t>ready::approval::for::submitting19</t>
  </si>
  <si>
    <t>Patchset 41, Senshua</t>
  </si>
  <si>
    <t>requesting::somebodyelse::for::approval::for::submitting15</t>
  </si>
  <si>
    <t>ready::approval::for::submitting20</t>
  </si>
  <si>
    <t>requesting::somebodyelse::for::approval::for::submitting16</t>
  </si>
  <si>
    <t>Patchset 41, Kevin This one also can be converted to a generator comprehension. (femtonit</t>
  </si>
  <si>
    <t>not::approval::for::submitting11</t>
  </si>
  <si>
    <t>Patchset 41, Boris</t>
  </si>
  <si>
    <t>need::of::rebase</t>
  </si>
  <si>
    <t>Patchset 41, Boris this should be rebased one more time, because of this patch</t>
  </si>
  <si>
    <t>not::approval::for::submitting12</t>
  </si>
  <si>
    <t>Patchset 42, Boris</t>
  </si>
  <si>
    <t>suggestion::change::(typo)</t>
  </si>
  <si>
    <t>Patchset 42, Boris, s/uniq_instance_groups0uuid0uuid0deleted/uniq_instance_groups0uuid0deleted/</t>
  </si>
  <si>
    <t>ready::approval::for::submitting21</t>
  </si>
  <si>
    <t xml:space="preserve">Patchset 43, Senshua </t>
  </si>
  <si>
    <t>requesting::somebodyelse::for::approval::for::submitting17</t>
  </si>
  <si>
    <t>ready::approval::for::submitting22::(core::reviewer)</t>
  </si>
  <si>
    <t>Patchset 43, Kevin</t>
  </si>
  <si>
    <t>ready::approval::for::submitting23</t>
  </si>
  <si>
    <t>Patchset 43, David</t>
  </si>
  <si>
    <t>requesting::somebodyelse::for::approval::for::submitting18</t>
  </si>
  <si>
    <t>not::approval::for::submitting13</t>
  </si>
  <si>
    <t>Patchset 43, Still</t>
  </si>
  <si>
    <t>informing::migration::clash</t>
  </si>
  <si>
    <t>Patchset 43, garyk</t>
  </si>
  <si>
    <t>ready::approval::for::submitting24::(core::reviewer)</t>
  </si>
  <si>
    <t>Patchset 44, Still</t>
  </si>
  <si>
    <t>ready::approval::for::submitting25</t>
  </si>
  <si>
    <t>Patchset 44, David</t>
  </si>
  <si>
    <t>requesting::somebodyelse::for::approval::for::submitting19</t>
  </si>
  <si>
    <t>ready::approval::for::submitting26</t>
  </si>
  <si>
    <t>Patchset 44, Senhua</t>
  </si>
  <si>
    <t>requesting::somebodyelse::for::approval::for::submitting20</t>
  </si>
  <si>
    <t>ready::approval::for::submitting26::(core::reviewer)</t>
  </si>
  <si>
    <t>Patchset 44, Kevin</t>
  </si>
  <si>
    <t>description BIC, Implements: blueprint hyper-v-smbfs-volume-support</t>
  </si>
  <si>
    <t>description BIC, Change-Id: Id5de0e6843c1035235598a4d72a00b7555187fb4</t>
  </si>
  <si>
    <t>description BIC, Hyper-V: attach volumes via SMB Currently, the Hyper-V driver supports attaching volumes only via iSCSI. This patch adds support for attaching volumes using VHD or VHDX images hosted on SMB shares. Note that the according Cinder drivers which allow exporting images through SMB shares have been already merged. The workflow is simple: using the connection info, the driver chooses the right volume driver, mounts the according SMB share using the according credentials. The only thing that needs to be done next is actually attach the volume to an instance using its UNC path.</t>
  </si>
  <si>
    <t>patchset 2, check hyper-v</t>
  </si>
  <si>
    <t>patchset 2, Patch Set 2 was rebased</t>
  </si>
  <si>
    <t>multiple patchsets</t>
  </si>
  <si>
    <t>suggestion::change::(method::log)</t>
  </si>
  <si>
    <t>patchset 3, Please use LOG.warning(_LW(</t>
  </si>
  <si>
    <t>patchset 5, Hellou! I've tested in my env this blueprint, it works well, the smb volumes are mounted, can be unmounted, the functionality ISCSI volumes remain the same.
Still, I have some nits. See inline comments. :D</t>
  </si>
  <si>
    <t>suggestion::refactoring::(use::mock::object)</t>
  </si>
  <si>
    <t>patchset 5, this looks unsafe. You replace the constructor with a lambda and you don't do any cleanup. Try using a mock.patch.object. :)</t>
  </si>
  <si>
    <t>suggestion::change::(documentation::License)</t>
  </si>
  <si>
    <t>patchset 5, this is probably the most nit-picking I've ever done, but, there are two spaces between # and Copyright. :)</t>
  </si>
  <si>
    <t>suggestion::change::(variable::to::constant)</t>
  </si>
  <si>
    <t>patchset 5, this should be a constant.</t>
  </si>
  <si>
    <t>objecting::suggestion::change::(variable::to::constant)</t>
  </si>
  <si>
    <t>patchset 5, I don't get it. Which should be a constant? This is only used once, asserting that using an unexisting/unsupported volume driver will raise an exception.</t>
  </si>
  <si>
    <t>patchset 5, Looks good to me, so no changes are necessary, but maybe it looks better:
mock_get_vol_driver = mock.MagicMock()
mock_ebs_in_block_devs = mock.MagicMock(return_value=False)
with mock.patch.multiple(self.volumeops, _get_volume_driver=mock_get_vol_driver, ebs_root_in_block_devices=mock_ebs_in_block_devs):</t>
  </si>
  <si>
    <t>suggestion::refactoring::(test)</t>
  </si>
  <si>
    <t>patchset 5, self.assertFalse(mock_mount_smb_share.called)</t>
  </si>
  <si>
    <t>suggestion::change::(missing::characters)</t>
  </si>
  <si>
    <t>patchset 5, you should escape ' characters</t>
  </si>
  <si>
    <t>patchset 5, claudiu pathutils</t>
  </si>
  <si>
    <t>suggestion::refactoring::(change::input::parameter)</t>
  </si>
  <si>
    <t>patchset 5, LOG.debug(message, smbfs_share)</t>
  </si>
  <si>
    <t>patchset 5, so, smb volumes do not need to be disconnected?</t>
  </si>
  <si>
    <t>patchset 5, You mean unmounting the SMB shares, right? Well, I think the share may be unmounted if there are no active connections.</t>
  </si>
  <si>
    <t>suggestion::refactoring::(remove::parameter::defaults)</t>
  </si>
  <si>
    <r>
      <rPr>
        <rFont val="Arial"/>
        <color theme="1"/>
      </rPr>
      <t xml:space="preserve">patchset 5, just called </t>
    </r>
    <r>
      <rPr>
        <rFont val="Arial"/>
        <b/>
        <color theme="1"/>
      </rPr>
      <t>once</t>
    </r>
  </si>
  <si>
    <t>patchset 5, _(</t>
  </si>
  <si>
    <t>patchset 5, _LE</t>
  </si>
  <si>
    <t>patchset 5, HyperVException(_(message), instance_name)</t>
  </si>
  <si>
    <t>patchset 5, conventionally, you should have them on separate lines:
username = None
password = None</t>
  </si>
  <si>
    <t>suggestion::refactoring::(variable)</t>
  </si>
  <si>
    <t>patchset 5, username = match[0] if match and match[0] != self._GUEST else None
this would make the initial username = None obsolete. :)</t>
  </si>
  <si>
    <t>patchset 5, password = match[0] if match else None
this would make the initial password = None obsolete. :)</t>
  </si>
  <si>
    <t>patchset 6, check hyper-v</t>
  </si>
  <si>
    <t>patchset 8, 'm not sure why is this here. It doesn't seem to do anything to hyper-v, it's just creating a map for block devices. This looks like a meethod for volumeops to me, since it is only used there.</t>
  </si>
  <si>
    <t>suggestion::refactoring::(conditional::with::return)</t>
  </si>
  <si>
    <t>patchset 8, hmm, I think it might look better:
if not mappings:
    return False
if os.path.exists(smbfs_share):</t>
  </si>
  <si>
    <t>patchset 8,  A few nits and a code suggestion to look upon. :)</t>
  </si>
  <si>
    <t>patchset 8, Belu</t>
  </si>
  <si>
    <t>patchset 8, This will lead to quite some duplicated code, which IMO is not desired.</t>
  </si>
  <si>
    <t>patchset 9, Belu</t>
  </si>
  <si>
    <t>patchset 9, Adelina</t>
  </si>
  <si>
    <t>patchset 9, Alessandro</t>
  </si>
  <si>
    <t>patchset 9, Dan</t>
  </si>
  <si>
    <t>patchset 9, Dorin</t>
  </si>
  <si>
    <t>discussing::about::another::patches::(dependencies)</t>
  </si>
  <si>
    <t>patchset 9, yeah, this is just for the unit tests and yes, we were planning to patch it with mock, removing all those "if is win32" allover the driver (there are everywhere) as soon as the driver refactoring BP merges completely.</t>
  </si>
  <si>
    <t>asking::clarification::about::code::(reason::of::the:.code)</t>
  </si>
  <si>
    <t>patchset 9, I guess this is just to prevent someone who accidentally ran this from getting a nasty error?</t>
  </si>
  <si>
    <t>providing::clarification::about::code::(reason::of::the:.code)</t>
  </si>
  <si>
    <t>patchset 9, yeah, this is just for the unit tests and yes, we were planning to patch it with mock, removing all</t>
  </si>
  <si>
    <t>patchset 10, Dan</t>
  </si>
  <si>
    <t>ready::approval::for::submitting::(vote6)</t>
  </si>
  <si>
    <t>patchset 10, Dorin</t>
  </si>
  <si>
    <t>ready::approval::for::submitting::(vote7)::(core::reviewer)</t>
  </si>
  <si>
    <t>patchset 10, Daniel</t>
  </si>
  <si>
    <t>approval::for::submitting::granted::(workflow::vote)::(core::reviewer)</t>
  </si>
  <si>
    <t>patchset 11, Re-approving after trivial rebase, due to import line change. AND he last patch set was a simple rebase which was needed by the replacement of LOG.warn with LOG.warning in a file.</t>
  </si>
  <si>
    <t>ready::approval::for::submitting::(vote8)::(core::reviewer)</t>
  </si>
  <si>
    <t>patchset 11, Daniel</t>
  </si>
  <si>
    <t>ready::approval::for::submitting::(vote9)</t>
  </si>
  <si>
    <t>patchset 11, Alessandro</t>
  </si>
  <si>
    <t>description BIC, Addresses bug 1131588</t>
  </si>
  <si>
    <t>the comment did not trigger any change</t>
  </si>
  <si>
    <t>description BIC, Change-Id: I85bc0f6e9cda10aa85328199d107a3ff6e240b96</t>
  </si>
  <si>
    <t>description BIC, This should provide a path to cleanup partial migrations by reverting
them back to the original state instead of leaving them in limbo. Note that libvirt needs a change to make this work, in the case where the unconfirmed instance's directory is still present and needs to be removed before the rollback.</t>
  </si>
  <si>
    <t>description BIC, Make compute manager revert crashed migrations on init_host()</t>
  </si>
  <si>
    <t>Patchset 1, Work In Progress</t>
  </si>
  <si>
    <t>Patchset 1, f we crashed during migration, do we know that the "new" instance will get deleted on the destination host? In the good path revert, compute manager calls destroy on the "new" instance on the destination system, followed by a finish_revert_migration to turn the old one back on at the source (assuming that is where this is running.)</t>
  </si>
  <si>
    <t>Patchset 1, t. I think we're okay since, as you say, the database thinks the instance belongs here, but I'll have to check and see if there are reasonable windows where that might be incorrect.</t>
  </si>
  <si>
    <t>suggestion::change::(functionallity)</t>
  </si>
  <si>
    <t>Patchset 1, I'm guessing since this is in init_instance for such an instance on this host, we can assume that the DB entry thinks it should be here, so that is OK. It might be prudent to verify the destination cleans up the failed migration on its end.</t>
  </si>
  <si>
    <t>Patchset 1, hat aside, can you comment on the required powervm change(s) required if we go forward with this? :)</t>
  </si>
  <si>
    <t>Patchset 1, The powervm driver should be OK, as long as we can know the "new" instance is cleaned up and all the resources it might have allocated get released (block devices, vifs, etc.) After that a revert should run fine.
The only other thought on it I would have would be rolling back a resize. Do we know the instance flavor would get properly reset to the previous one?  There is a lot of DB housekeeping involved here...</t>
  </si>
  <si>
    <t>Patchset 2,  May you remove this unused parameter?</t>
  </si>
  <si>
    <t>Patchset 2,  Dan Smith</t>
  </si>
  <si>
    <t>Patchset 3,  Matthew</t>
  </si>
  <si>
    <t>retracting::suggestion::refactoring::(style)</t>
  </si>
  <si>
    <t>Patchset 3,  Right. Nevermind then, I missed that try except when I was scanning through _cleanup() in that same module.</t>
  </si>
  <si>
    <t>Patchset 3,  if instance['name'] doesn't exist (like as expected) this will throw a PowerVMInstanceNotFound and that should be gracefully caught and handled</t>
  </si>
  <si>
    <t>objecting::suggestion::refactoring::(style)</t>
  </si>
  <si>
    <t>Patchset 3,  So the reason I left this bare is because in operator.py, destroy() has a try..except around it for a not found exception. Are you saying that the PowerVMLPARInstanceNotFound is different than PowerVMInstanceNotFound?</t>
  </si>
  <si>
    <t>Patchset 3, Odden</t>
  </si>
  <si>
    <t>Patchset 3,  Wangpan</t>
  </si>
  <si>
    <t>Patchset 3,  Alessandro</t>
  </si>
  <si>
    <t>Patchset 3,  Behrens</t>
  </si>
  <si>
    <t>suggestion::change::(add::functionallity)</t>
  </si>
  <si>
    <t>Patchset 3, Shoot, there's a small window between where compute manager sets RESIZE_MIGRATING and when it actually renames the VM. If we crash in between those 2 actions, when we restart... we'll remove the ORIGINAL VM... which would be bad.</t>
  </si>
  <si>
    <t>support::suggestion::change::(add::functionallity)</t>
  </si>
  <si>
    <t>Patchset 3,  I think Chris Behrens' idea for checking if the original instance (the renamed "_rsz" one on PowerVM) exists before wiping out the "new" (the one with the current instance['name']) instance would probably be a good idea in the PowerVM case as well.</t>
  </si>
  <si>
    <t>informing::developing::status::(of::suggested::changes)</t>
  </si>
  <si>
    <t>Patchset  3,  Yeah, working the libvirt and powervm cases to match right now, thanks :)</t>
  </si>
  <si>
    <t>Patchset 4, Odden</t>
  </si>
  <si>
    <t>ready::approval::for::submitting5::(core::reviewer)</t>
  </si>
  <si>
    <t>Patchset 4, Behrens</t>
  </si>
  <si>
    <t>Patchset 4, Mark</t>
  </si>
  <si>
    <t>description BIC, Partially implements: bp libvirt-lxc-user-namespaces</t>
  </si>
  <si>
    <t>no comments in the code</t>
  </si>
  <si>
    <t>from patchset 3 there are changes in the file</t>
  </si>
  <si>
    <t>description BIC, Change-Id: I9aee622cca4578149201f02d02231a7bd0cbe912</t>
  </si>
  <si>
    <t>description BIC, nova-idmapshift will be used by the libvirt-lxc driver to correctly shift ownership of instance rootfs for use with  user namespaces.</t>
  </si>
  <si>
    <t>Patchset 4, Daniel Berrange</t>
  </si>
  <si>
    <t>Patchset 5, garyk</t>
  </si>
  <si>
    <t xml:space="preserve">Patchset 6, Elastic Recheck
</t>
  </si>
  <si>
    <t>ready::approval::for::submitting::(vote3)::(core::reviewer)</t>
  </si>
  <si>
    <t>Patchset 6, Dietz</t>
  </si>
  <si>
    <t>Patchset 8, Jay</t>
  </si>
  <si>
    <t>Patchset 8, Ohmichi</t>
  </si>
  <si>
    <t>Patchset 8, Daniel recheck bug 1349617</t>
  </si>
  <si>
    <t>ready::approval::for::submitting::(vote4)::(core::reviewer)</t>
  </si>
  <si>
    <t>description BIC, DocImpact</t>
  </si>
  <si>
    <t>patchset 14</t>
  </si>
  <si>
    <t>from patchset 2</t>
  </si>
  <si>
    <t>description BIC, Implements blueprint multi-nic-floating-ip-assignment</t>
  </si>
  <si>
    <t>description BIC,  Change-Id: I9241137ad794cdf7f452ed84e9445f0e11fdd44e</t>
  </si>
  <si>
    <t>description BIC,  The current floating IP API extension only accepts the instance ID and the floating address to be assigned. Where the instance is connected to more than one network the behaviour is to associated
the floating IP with the first fixed IP of the instances
(and to log a warning)</t>
  </si>
  <si>
    <t>patchset 2, ode seems good, I'm just wondering if this needs to be a new extension.</t>
  </si>
  <si>
    <t>providing::clarification::intended::solution::design</t>
  </si>
  <si>
    <t>patchset 2, Let me help by making the case against this becoming an extension to an extension :-)</t>
  </si>
  <si>
    <t>objecting::intended::solution::design</t>
  </si>
  <si>
    <t xml:space="preserve">Patchset 2, I think it would be confusing to users and add no real value to create an additional “add floating IP” action to servers, so the scope of an extension would presumably be to act as a switch to parsing or ignoring the additional “fixed_address” parameter. There is no change in any response message, so no need for an extension to maintain compatibility there. </t>
  </si>
  <si>
    <t>Patchset 2, Sean</t>
  </si>
  <si>
    <t>support::suggestion::change::(design::extension)</t>
  </si>
  <si>
    <t>Patchset 2,  You get an April nova client, you try to use it with grizzly, and you give it this client flag. How do you know that that parameter isn't supported? Was just tripping over a nova client command that fell on it's face like this in Folsom for similar reasons.</t>
  </si>
  <si>
    <t>support::objecting::suggestion::change::(design::extension)</t>
  </si>
  <si>
    <t>Patchset 2,  sed, I'm going to side with Phil's original argument against the extension to the extension.</t>
  </si>
  <si>
    <t>Patchset 2, Trey</t>
  </si>
  <si>
    <t>providing::pros::and::cons:.change:.design</t>
  </si>
  <si>
    <t>Patchset 2,  phil, trey, VIsh</t>
  </si>
  <si>
    <t>suggestion::refactoring::(removing::unnecessary::code)::with::code</t>
  </si>
  <si>
    <t>Patchset 2, (allows removing found variable).</t>
  </si>
  <si>
    <t>Patchset 2, Pitucha</t>
  </si>
  <si>
    <t xml:space="preserve">Patchset 14, Vish </t>
  </si>
  <si>
    <t>Patchset 14,  There are other examples of extensions extending extensions:
https://github.com/openstack/nova/blob/master/nova/tests/integrated/test_api_samples.py#L2393</t>
  </si>
  <si>
    <t>Patchset 14, Aaron</t>
  </si>
  <si>
    <t>suggestion::content::change::(typo::commit::message)</t>
  </si>
  <si>
    <t>Patchset 14, nit: when</t>
  </si>
  <si>
    <t>Patchset 14, If you want you could remove the found variable via;</t>
  </si>
  <si>
    <t>Patchset 14, nit remove \ and warp with ( ) instead.</t>
  </si>
  <si>
    <t>suggestion::change::(missing::class)</t>
  </si>
  <si>
    <t>Patchset 14, missing:
class ExtendedFloatingIpsXmlTest(FloatingIpsJsonTest):
ctype = 'xml'</t>
  </si>
  <si>
    <t xml:space="preserve">Patchset 15, Aaron </t>
  </si>
  <si>
    <t>Patchset 15, Visha</t>
  </si>
  <si>
    <t>Patchset 15, Trey</t>
  </si>
  <si>
    <t>description BIC, Change-Id: I850e51e730c82906f68fddb14fb0004d7091eb91</t>
  </si>
  <si>
    <t>no comments on nany of the two files</t>
  </si>
  <si>
    <t>the files were only added at the last patch</t>
  </si>
  <si>
    <t>description BIC, Implements: blueprint ec2-api</t>
  </si>
  <si>
    <t>description BIC, This change adds properties to v2.1
os-extended-server-properties and os-extended-volumes nova APIs
in order to expose information which is required for the standalone
EC2 API implementation (resides on stackforge/ec2-api) to use only
public APIs. Right now this information is taken by directly accessing
internal Nova DB.</t>
  </si>
  <si>
    <t>API::impact::mentioned</t>
  </si>
  <si>
    <t>description BIC, APIImpact</t>
  </si>
  <si>
    <t>Patchset  1, Dan</t>
  </si>
  <si>
    <t>Patchset  1, he v3/ directory is actually v2.1, and is the proper place to put this</t>
  </si>
  <si>
    <t>suggestion::change::(architecture)</t>
  </si>
  <si>
    <t>Patchset 1, I think we probably want to avoid changing v2 for this, right? That means everything in compute/contrib should be dropped. Else we have to create a new extension to signal the availability of this stuff, and disable it if the extension is disabled.</t>
  </si>
  <si>
    <t>Patchset 2, Dan, I understand about dropping the part in contrib to preserve v2, but I'm not sure I understand how to "wrap this all in the version bump" and how to "copy the API dudes..."</t>
  </si>
  <si>
    <t>Patchset 2, Sorry, I should have been more clear.
I have "copied the API dudes" on this review so that they can advise about "wrapping this into a version bump" :)
I think you can wait until one of them replies here for further advice.
Thanks!</t>
  </si>
  <si>
    <t>asking::advice::how::to::fix::failures::(building::tests)</t>
  </si>
  <si>
    <t>Patchset 2, Dan, as I dropped the changes in contrib, the unit tests stopped working, despite their v2.1 version. What do I do with that?</t>
  </si>
  <si>
    <t>Patchset  2, Dan</t>
  </si>
  <si>
    <t>Patchset  2, Alex</t>
  </si>
  <si>
    <t>referes::to::guides::(developer::guides)</t>
  </si>
  <si>
    <r>
      <rPr/>
      <t xml:space="preserve">Patchset 2, Hi, Alexandre, there developer doc for micro-version </t>
    </r>
    <r>
      <rPr>
        <color rgb="FF1155CC"/>
        <u/>
      </rPr>
      <t>http://docs.openstack.org/developer/nova/devref/api_microversions.html</t>
    </r>
  </si>
  <si>
    <t>suggestion::change::(decorator::micro::version)</t>
  </si>
  <si>
    <t>Patchset 2, Basically you just need add decorator 'wsgi.Controller.api_version' to declare what version</t>
  </si>
  <si>
    <r>
      <rPr/>
      <t xml:space="preserve">Patchset 2,  Alexandre, there is demo code how to write api sample tests for micro-version: </t>
    </r>
    <r>
      <rPr>
        <color rgb="FF1155CC"/>
        <u/>
      </rPr>
      <t>https://review.openstack.org/156271</t>
    </r>
  </si>
  <si>
    <t>Patchset 2,  John</t>
  </si>
  <si>
    <t>Patchset 2,  Sorry, we are past the non-priority feature freeze for kilo, please resubmit your spec early in the L release.</t>
  </si>
  <si>
    <t>objecting::providing::instructions::for::release::next:.development:.cycle</t>
  </si>
  <si>
    <t xml:space="preserve">Patchset 2,  John, this review is created as a presentation of the complexity and risks of exposure of new properties in API needed for standalone EC2 API, and this effort (this review) was agreed last nova meeting with Michael Still, Dan Smith and Sean Dague, for nova core group to be able to decide if it's still ok to accept it into Kilo or no. </t>
  </si>
  <si>
    <t xml:space="preserve">Patchset  7, John </t>
  </si>
  <si>
    <t>Patchset 7, I think its probably worth adding a sentence about why these are needed. I know its in the git log but I think we should make this file about api changes pretty verbose.</t>
  </si>
  <si>
    <t>suggestion::refactoring::(move::logic:.config)</t>
  </si>
  <si>
    <t>Patchset 7, Warning: The header name is being changed very soon (before release) to:
X-Openstack-Nova-API-Version (Ironic did it this way and already released so we're falling in line for consistency. It may be worth just using the definition in wsgi.py so its one less merge conflict that you'll have to deal with later</t>
  </si>
  <si>
    <t>Patchset 8, so we need to merge the nova-spec for this first</t>
  </si>
  <si>
    <t>Patchset 8, nit: we</t>
  </si>
  <si>
    <t>Patchset 8, same as above :)</t>
  </si>
  <si>
    <r>
      <rPr>
        <rFont val="Arial"/>
        <color theme="1"/>
      </rPr>
      <t xml:space="preserve">Patchset 8, nit: we probably need to add a test for this, </t>
    </r>
    <r>
      <rPr>
        <rFont val="Arial"/>
        <b/>
        <color theme="1"/>
      </rPr>
      <t>but its best not to add whitespace here.</t>
    </r>
  </si>
  <si>
    <t>suggestion::change::(tests::result::specific::case)</t>
  </si>
  <si>
    <t>Patchset 8, I think we want to make sure the above tests still pass for 2.4</t>
  </si>
  <si>
    <t>objecting::suggestion::change::(tests::result::specific::case)</t>
  </si>
  <si>
    <t>Patchset 8, Not really. It passes as a part of the ExtendedServerAttributesTestV24. The same way as the test_show and test_detail pass for ExtendedServerAttributesV2. I just overloaded the implementation here. But it passes all right.
If I rename them, then it'll run 4 tests:</t>
  </si>
  <si>
    <t>reset::voting</t>
  </si>
  <si>
    <t xml:space="preserve">Patchset  8, John </t>
  </si>
  <si>
    <t>providing::advice::how::to::develop::(standards)</t>
  </si>
  <si>
    <t>Patchset 9,  not sure if we have a more "standard" way to remove these extra attributes?</t>
  </si>
  <si>
    <t>Patchset 9, as previous comment, I thought we had decorators for this kind of thing, to keep the code cleaner?</t>
  </si>
  <si>
    <t>Patchset 9, We do have them. The code itself will be a little bit cleaner but the number of internal functions will increase. I myself started with decorators approach but later decided that this one is simpler for implementation and also it was recommended at the moment.</t>
  </si>
  <si>
    <t>referes::to::email::snippet::(solution)</t>
  </si>
  <si>
    <t>Patchset 9, John, that was the way recommended by Christopher Yeoh. Below is the extract from his email:</t>
  </si>
  <si>
    <t>asking::clarification::about::project::(version)</t>
  </si>
  <si>
    <t>Patchset 9, why is this not 2.2?</t>
  </si>
  <si>
    <t>providing::clarification::about::project::(version)</t>
  </si>
  <si>
    <t>Patchset 9, Another extract from the Christopher Yeoh's mail to me:</t>
  </si>
  <si>
    <t>Patchset 9, Nit: ideally remove the whitespace</t>
  </si>
  <si>
    <t>Patchset 9, recheck bug #1311066</t>
  </si>
  <si>
    <t>Patchset 11, Sean</t>
  </si>
  <si>
    <t>Patchset 11, I feel like this shouldn't be needed.</t>
  </si>
  <si>
    <t>Patchset 11, How would it work in the _make_request then? It puts the wsgi_api_verions into the header and derived classes use this behavior.</t>
  </si>
  <si>
    <t>Patchset 11, t seems like we are missing the other microversions here, is this just an inflight issue?</t>
  </si>
  <si>
    <t>asking::clarification::about::code::(tests::result::specific::case)</t>
  </si>
  <si>
    <t>Patchset 11, to ensure that the additional information is not returned for requests with a microversion &lt; 2.4?</t>
  </si>
  <si>
    <t>Patchset 11, Joel</t>
  </si>
  <si>
    <t>providing::clarification::about::code::(tests::result::specific::case)</t>
  </si>
  <si>
    <t>Patchset 11, Yes. It's reflected in the v2.1 test class. The test will fail if extra information is returned from the server.</t>
  </si>
  <si>
    <t>informing::recheck::(migrations)::after::build::failures</t>
  </si>
  <si>
    <t>Patchset 11, recheck migrations</t>
  </si>
  <si>
    <t>Patchset 11, Dan</t>
  </si>
  <si>
    <t>Patchset 13, I had the same question when reviewing this patch at the first time, and we have discussed how to allocate a microversion for each patch on nova-api irc meeting.</t>
  </si>
  <si>
    <t>Patchset 13, Hmm, this seems like a strange change (2.1 -&gt; 2.4). Is this really correct?</t>
  </si>
  <si>
    <t>Patchset 13, This is getting insanely nested. Can you break this out some way to make it easier to read and understand? A helper method that generates the dict for a given bdm would make this collapse a lot I think.</t>
  </si>
  <si>
    <t xml:space="preserve">Patchset 14, Ohmichi </t>
  </si>
  <si>
    <t>Patchset 14,  ust a comment about versioning on rest_api_version_history.rst and sample file directory name.</t>
  </si>
  <si>
    <t>Patchset 16, recheck SEAN</t>
  </si>
  <si>
    <t>Patchset 16, Joel</t>
  </si>
  <si>
    <t>Patchset 16,  sean</t>
  </si>
  <si>
    <t>Patchset 16,  Ohmichi</t>
  </si>
  <si>
    <t>description BIC, This patch is adding config drive v2 support for the Ironic drive. As
attaching a volume in a baremetal instance is not as simple as VMs and
also hardware depedent, this patch will base64 + gzip the generated
configdrive and pass it to Ironic as a string, Ironic then can take
care about storing and exposing it to the the tenant of baremetal.</t>
  </si>
  <si>
    <t>e.g., patch 11</t>
  </si>
  <si>
    <t>from patchset 2 upfront</t>
  </si>
  <si>
    <t>description BIC, Implements: blueprint use-configdrive-with-ironic</t>
  </si>
  <si>
    <t>description BIC, Change-Id: Ibc745e9a63bc3d5d68217020b3d591f71c3f8a96</t>
  </si>
  <si>
    <t>patchset 1,  Lucas</t>
  </si>
  <si>
    <t>requesting::more::tests</t>
  </si>
  <si>
    <t>patchset 1, Need unittests</t>
  </si>
  <si>
    <t>Patchset 1, rechesk lucas</t>
  </si>
  <si>
    <t>informing::work::in::progress2::(vote::workflow-1)</t>
  </si>
  <si>
    <t>patchset 2,  Lucas</t>
  </si>
  <si>
    <t>Patchset 3, LGTM overall, a couple minor things inline.</t>
  </si>
  <si>
    <t>Patchset 3, Jim</t>
  </si>
  <si>
    <t>Patchset 3, Logging guidelines say info() should be used when completing an item os work, let's move this below the _generate_configdrive() call.</t>
  </si>
  <si>
    <t>Patchset 3, lucas What you think, you think it's OK to add it before validation?</t>
  </si>
  <si>
    <t>informing::work::in::progress3::(vote::workflow-1)</t>
  </si>
  <si>
    <t>Patchset 4, Lucas</t>
  </si>
  <si>
    <t>Patchset 4, Dmitry</t>
  </si>
  <si>
    <t>suggestion::refactoring::(use::context)</t>
  </si>
  <si>
    <t>Patchset 4, nit: you can use 'with' statement on GzipFile as well</t>
  </si>
  <si>
    <t>Patchset 4, nit: code below can be outside of 'with' block</t>
  </si>
  <si>
    <t>Patchset 4, minor nits</t>
  </si>
  <si>
    <t>Patchset 4, garyk</t>
  </si>
  <si>
    <t>suggestion::change::typo::(commit::message)</t>
  </si>
  <si>
    <t>Patchset 4, confidrive =&gt; configdrive</t>
  </si>
  <si>
    <t>suggestion::change::(wrapp::with::exception)</t>
  </si>
  <si>
    <t>Patchset 4,  do you need to clean this up if there is an exception?</t>
  </si>
  <si>
    <t>asking::clarification::about::code::(log::need)</t>
  </si>
  <si>
    <t>Patchset 4, why does this need to be a log info?</t>
  </si>
  <si>
    <t>providing::clarification::about::code::(log::need)</t>
  </si>
  <si>
    <t>Patchset 4, Because the configdrive generation is completed and Ironic is already updated with it?
The way I do logging is like:</t>
  </si>
  <si>
    <t>Patchset 4, you do not need the instance here.
is houdl be:</t>
  </si>
  <si>
    <t>Patchset 4, Thanks folks for the reviews, I will address them shortly</t>
  </si>
  <si>
    <t>Patchset 6, Dmitry</t>
  </si>
  <si>
    <t>Patchset 6, why not shutil.copyfileobj or at least write(read())? splitting lines looks like unnecessary complication</t>
  </si>
  <si>
    <t>Patchset 6, as you do load the whole file in RAM, maybe it makes sense to handle it completely in RAM?
encoded_configdrive = base64.b64encode(gzip.compress(uncompressed.read())</t>
  </si>
  <si>
    <t>Patchset 6, I tried to use zlib.compress to do it, which should be compatible with gzip but I'm getting an error:
2015-01-21 11:57:49.797 ER</t>
  </si>
  <si>
    <t>Patchset 7,  this code is roughly equivalent to
for line in uncompressed:
gzipped.write(line)
I'm still wondering why not</t>
  </si>
  <si>
    <t>Patchset 8, Dmitry</t>
  </si>
  <si>
    <t>Patchset 9, partition is misspelled.</t>
  </si>
  <si>
    <t>Patchset 9, Dan</t>
  </si>
  <si>
    <t>informing::change::commit</t>
  </si>
  <si>
    <t>Patchset 10, Commit message was updated</t>
  </si>
  <si>
    <t>Patchset 10, Dan</t>
  </si>
  <si>
    <t>Patchset 10, Dan, Daniel comments about not accepting the patch because of nova responsabilities</t>
  </si>
  <si>
    <t>Patchset 10, Jim and Aeva</t>
  </si>
  <si>
    <t>Patchset 10, Lucas Right, just to be clear as well, this is not a 64MB blob of data, the size is dynamic and nova creates a 64MB blob only if it can't determine the content of the configdrive[1]. So usually this configdrive is quite small (less than 1mb, and we gzip it too...)</t>
  </si>
  <si>
    <t>providing::solution::to:.design::challenge::(responsability::another::project:.(e.g.,ironic)</t>
  </si>
  <si>
    <t>Patchset 10, Aeva Whether that gets stored in a BLOB in our DB, or proxied from Ironic's API into Swift -- that should be up to the deployer of Ironic., NAD Daniel If Ironic exposed a formal API to accept the config drive, the Ironic could be in full control over the storage mechanism and change it at will in the future without there being an impact on Nova. So DanS' suggestion would give us a better interaction between Nova &amp; Ironic which is important for upgradability later.</t>
  </si>
  <si>
    <t>discussing::about::another::patches::another::project::(dependencies::status)</t>
  </si>
  <si>
    <t>Patchset  10, The patches for Ironic and the ironicclient are here:</t>
  </si>
  <si>
    <t>Patchset 10, Daniel</t>
  </si>
  <si>
    <t>informing::work::in::progress4::(vote::workflow-1)</t>
  </si>
  <si>
    <t>Patchset 10, Lucas</t>
  </si>
  <si>
    <t>Patchset 11, Is the comment above "Instance network information. Ignored by this driver" correct, given that network_info is apparently being incorporated into i_meta?</t>
  </si>
  <si>
    <t>Patchset 11, Dmitry</t>
  </si>
  <si>
    <t>ready::approval::for::submitting::(vote5)</t>
  </si>
  <si>
    <t>Patchset 12, Dmitry</t>
  </si>
  <si>
    <t>Patchset 12, Dan</t>
  </si>
  <si>
    <t>Patchset 12, Lucas</t>
  </si>
  <si>
    <t>Patchset 12, recheck no bug</t>
  </si>
  <si>
    <t>Patchset 12, jim</t>
  </si>
  <si>
    <t>Patchset 12, Nikola</t>
  </si>
  <si>
    <t>ready::approval::for::submitting::(vote8)</t>
  </si>
  <si>
    <t>Patchset 12, John</t>
  </si>
  <si>
    <t>suggestion::content::change::(missing::info::commit::message)</t>
  </si>
  <si>
    <t xml:space="preserve">Patchset 12, One other thing here. I think we need DocImpact in the commit message to make sure we get notes about now honoring the configdrive settings and metadata keys. </t>
  </si>
  <si>
    <t>ready::approval::for::submitting::(vote9)::(core::reviewer)</t>
  </si>
  <si>
    <t>ready::approval::for::submitting::(vote10)</t>
  </si>
  <si>
    <t>Patchset 13, jim</t>
  </si>
  <si>
    <t>ready::approval::for::submitting::(vote11)</t>
  </si>
  <si>
    <t>Patchset 13, Neil</t>
  </si>
  <si>
    <t>informing::reason::failure::(context:.related::(where::it::runs)::)</t>
  </si>
  <si>
    <t>Patchset 13, So this is the failure on the n-cpu: http://paste.openstack.org/show/166276/
It seems that the new client library that adds the configdrive parameter for the set_provision_state() method is not updated. Perhaps the old version is cached?</t>
  </si>
  <si>
    <t>ready::approval::for::submitting::(vote12)::(code::review)</t>
  </si>
  <si>
    <t>Patchset 13, Daniel</t>
  </si>
  <si>
    <t>ready::approval::for::submitting::(vote13)</t>
  </si>
  <si>
    <t>Patchset 13, Aeva</t>
  </si>
  <si>
    <t>description BIC, This improves handling the situation where nova-api sends newer objects to an older compute node. In this case, the serializer detects the IncompatibleObjectVersion error and asks conductor to backlevel it. This means we call into a new method in conductor with the primitive object that we can't handle, and basically ask it to hydrate it and call obj_make_compatible() on our behalf and pass it back to us</t>
  </si>
  <si>
    <t>description BIC, Related-Bug: #1258256</t>
  </si>
  <si>
    <t>description BIC, Change-Id: I4b17c8382619e4f73b83c026bf68549ac67a68a2</t>
  </si>
  <si>
    <t>Patchset 1, recheck bug 1253896</t>
  </si>
  <si>
    <t>Patchset 1, I don't think this will eliminate the need to keep track of which object versions are supported by which compute nodes, but it may provide us a way to avoid doing that lookup each time we need to send something.</t>
  </si>
  <si>
    <t>compliment::to::the::author::(solution::design)</t>
  </si>
  <si>
    <t>Patchset 2, Nice hack - makes even more sense to have a more structured approach to upgrade/downgrade-ing objects I was talking about a few patches back.
Will put up a poc sometime this century I hope :)</t>
  </si>
  <si>
    <t>Patchset 3, recheck no bug Dan</t>
  </si>
  <si>
    <t>Patchset 4, recheck no bug Dan</t>
  </si>
  <si>
    <t>Patchset 4, recheck bug 1255627</t>
  </si>
  <si>
    <t xml:space="preserve">Patchset 4, Chris </t>
  </si>
  <si>
    <t>asking::clarification::about::code::(reason::of::the::design)</t>
  </si>
  <si>
    <t>Patchset 4, I am missing why we need to send this to the conductor to do the backport.</t>
  </si>
  <si>
    <t>providing::clarification::about::code::(reason::of::the::design)</t>
  </si>
  <si>
    <t>Patchset 4, The scenario is a new api node, which has Instance v1.20, sending it to an older compute node, which only has Instance v1.10. It will fail to deserialize the newer instance with an IncompatibleObjectVersion error. We take that primitive and pass it to the (newer than us) conductor and ask it to deserialize it and do the backport for us.</t>
  </si>
  <si>
    <t xml:space="preserve">Patchset 5, Chris </t>
  </si>
  <si>
    <t xml:space="preserve">Patchset 6, Chris </t>
  </si>
  <si>
    <t xml:space="preserve">Patchset 8, Chris </t>
  </si>
  <si>
    <t xml:space="preserve">Patchset 8, Matt </t>
  </si>
  <si>
    <t>Patchset 8, Dann</t>
  </si>
  <si>
    <t xml:space="preserve">Patchset 9, Matt </t>
  </si>
  <si>
    <t xml:space="preserve">Patchset 9, Chris </t>
  </si>
  <si>
    <t xml:space="preserve">Patchset 9, Nikola </t>
  </si>
  <si>
    <t>description BIC, Part of the blueprint: icehouse-objects
Part of the blueprint: clean-up-legacy-block-device-mapping</t>
  </si>
  <si>
    <t>no comments in the buggy file</t>
  </si>
  <si>
    <t>no changes after the file was introduced</t>
  </si>
  <si>
    <t>description BIC, Change-Id: I441cf8f2df0b92a9cc4096e77a90c37a06270eb5</t>
  </si>
  <si>
    <t>description BIC,  This means that all images that are created by snapshotting volume. backed instances after this change will have new block device mapping format in their properties. To be able to distinguish between those, an additional field (bdm_v2) was added to the image properties. This flag will be taken into account when booting an instance and all necessary conversions will be done so that both formats are supported. The legacy block device format will continue to be supported in images, even when we deprecate it in the API (after v2).</t>
  </si>
  <si>
    <t>Patchset 1, Found a bug while testing this so need to update it and also improve the testing around that bug.</t>
  </si>
  <si>
    <t>Patchset 1, Nikola Dipanov</t>
  </si>
  <si>
    <t>Patchset 2, Dan</t>
  </si>
  <si>
    <t>Patchset 2, Minor nits, but looks okay otherwise.</t>
  </si>
  <si>
    <t>Patchset 2, Did you mean s/an/add an/ ? AND "dependent" is misspelled.</t>
  </si>
  <si>
    <t xml:space="preserve">Patchset 4, Abhishek </t>
  </si>
  <si>
    <t>Patchset 4, assertEqual should be used, not assertEquals</t>
  </si>
  <si>
    <t>Patchset 5, Abhishek</t>
  </si>
  <si>
    <t>Patchset 5, recheck no bug Dan</t>
  </si>
  <si>
    <t>Patchset 5, recheck bug 1257641</t>
  </si>
  <si>
    <t>Patchset 6, Abhishek Chanda</t>
  </si>
  <si>
    <t>Patchset 7, Abhishek Chanda</t>
  </si>
  <si>
    <t>Patchset 8, Abhishek Chanda</t>
  </si>
  <si>
    <t>Patchset 8, recheck bug 1253896</t>
  </si>
  <si>
    <t>Patchset 9, Abhishek Chanda</t>
  </si>
  <si>
    <t>Patchset 9, recheck bug 1253896</t>
  </si>
  <si>
    <t>Patchset 10, Abhishek Chanda</t>
  </si>
  <si>
    <t>ready::approval::for::submitting7</t>
  </si>
  <si>
    <t>Patchset 11, Abhishek Chanda</t>
  </si>
  <si>
    <t>Patchset 12, Abhishek Chanda</t>
  </si>
  <si>
    <t>Patchset 13, Abhishek Chanda</t>
  </si>
  <si>
    <t>Patchset 14, Abhishek Chanda</t>
  </si>
  <si>
    <t>Patchset 15, Abhishek Chanda</t>
  </si>
  <si>
    <t>Patchset 15, still recheck migrations</t>
  </si>
  <si>
    <t>Patchset 16, Abhishek Chanda</t>
  </si>
  <si>
    <t>Patchset 17, Abhishek Chanda</t>
  </si>
  <si>
    <t>Patchset 18, Abhishek Chanda</t>
  </si>
  <si>
    <t>Patchset 18, Dan</t>
  </si>
  <si>
    <t>ready::approval::for::submitting16</t>
  </si>
  <si>
    <t>Patchset 18, garyk</t>
  </si>
  <si>
    <t>Patchset 18, Still</t>
  </si>
  <si>
    <t>ready::approval::for::submitting18</t>
  </si>
  <si>
    <t>Patchset 19, garyk</t>
  </si>
  <si>
    <t>Patchset 19, CHANDA</t>
  </si>
  <si>
    <t>ready::approval::for::submitting19::(core::reviewer)</t>
  </si>
  <si>
    <t>Patchset 19, Still</t>
  </si>
  <si>
    <t>ready::approval::for::submitting20::(core::reviewer)</t>
  </si>
  <si>
    <t>Patchset 19, Dan</t>
  </si>
  <si>
    <t>Patchset 19, recheck bug 1268614</t>
  </si>
  <si>
    <t>Patchset 19, recheck bug 1254890</t>
  </si>
  <si>
    <t>ready::approval::for::submitting22</t>
  </si>
  <si>
    <t>Patchset 20, Garyk</t>
  </si>
  <si>
    <t>Patchset 20, Chanda</t>
  </si>
  <si>
    <t>ready::approval::for::submitting23::(core::reviewer)</t>
  </si>
  <si>
    <t>Patchset 20, Still</t>
  </si>
  <si>
    <t>Patchset 20, Dan</t>
  </si>
  <si>
    <t>Patchset 21, Garyk</t>
  </si>
  <si>
    <t>ready::approval::for::submitting29</t>
  </si>
  <si>
    <t>Patchset 21, Chanda</t>
  </si>
  <si>
    <t>requesting::somebodyelse::for::approval::for::submitting21</t>
  </si>
  <si>
    <t>ready::approval::for::submitting27::(core::reviewer)</t>
  </si>
  <si>
    <t>Patchset 21, Still</t>
  </si>
  <si>
    <t>ready::approval::for::submitting28::(core::reviewer)</t>
  </si>
  <si>
    <t>Patchset 21, Dan</t>
  </si>
  <si>
    <t>ready::approval::for::submitting30::(core::reviewer)</t>
  </si>
  <si>
    <t>Patchset 25, Dan</t>
  </si>
  <si>
    <t>ready::approval::for::submitting31::(core::reviewer)</t>
  </si>
  <si>
    <t>Patchset 25, Russell</t>
  </si>
  <si>
    <t>description BIC, Change-Id: Ia980f65384af2818f46d2e91df46f131b2ce3a77</t>
  </si>
  <si>
    <t>e.g., patch 22</t>
  </si>
  <si>
    <t>from patch 5 there are changes to the initial change</t>
  </si>
  <si>
    <t>description BIC, Implements blueprint libvirt-start-lxc-from-block-devices</t>
  </si>
  <si>
    <t>description BIC, Separating the lxc disk handling code from _create_domain to _lxc_disk_handler that will use block_device_mapping and will handle the pre and post lxc start actions on the disk, both for images and volumes</t>
  </si>
  <si>
    <t>Patchset 4, Joe Gordon Do not merge</t>
  </si>
  <si>
    <t>approval::of::the::BP/spec::associated::to::the::change::before::merging</t>
  </si>
  <si>
    <t>Patchset 4, This BP didn't get approved for Icehouse, it will have to wait until Juno</t>
  </si>
  <si>
    <t>review::restored::after::abandoned</t>
  </si>
  <si>
    <t>Patchset 4, Restored</t>
  </si>
  <si>
    <t>Patchset 7, recheck bug 1307344</t>
  </si>
  <si>
    <t>Patchset 10, jay</t>
  </si>
  <si>
    <t>Patchset 10, Hi Vladik, nice improvement. A few minor things inline, but nothing major.</t>
  </si>
  <si>
    <t>Patchset 10, s/witll/will/</t>
  </si>
  <si>
    <t>suggestion::refactoring::(not::use::mock::object)</t>
  </si>
  <si>
    <t>Patchset 10, There is no need to make a bdm_mock object. Just supply the bdm dict to the block_device_info dict below instead of the mock...</t>
  </si>
  <si>
    <t>objecting::suggestion::refactoring::(not::use::mock::object)</t>
  </si>
  <si>
    <t>Patchset 10, Dict will miss methods such as save() and destroy(), that are not relevant for the test and I'd like to mock these.
Using a mock was the fastest way, I think.</t>
  </si>
  <si>
    <t>suggestion::change::(documentation::docstring::introduction)</t>
  </si>
  <si>
    <t>Patchset 10, How about a docstring for the benefit of the reader of the code?</t>
  </si>
  <si>
    <t>suggestion::refactoring::(simpler::code)::with::code</t>
  </si>
  <si>
    <t>Patchset 10, use_cow = system_metadata['image_disk_format'] == 'qcow2'</t>
  </si>
  <si>
    <t>Patchset 12, JOe</t>
  </si>
  <si>
    <t>approval::for::submitting::granted::for::the::BP</t>
  </si>
  <si>
    <t>Patchset 12, BP approved</t>
  </si>
  <si>
    <t>Patchset 13, recheck bug 1339923</t>
  </si>
  <si>
    <t>Patchset 13, recheck xenserver</t>
  </si>
  <si>
    <t>Patchset 13, Daniel Berrange +2</t>
  </si>
  <si>
    <t>Patchset 13, Nikola We have the _is_booted_from_volume check that is a bit more comprehensive than this - but requires that we pass the blockinfo format of block devices. Would probably be better to use it for consistency, but will require some refactoring.</t>
  </si>
  <si>
    <t xml:space="preserve">Patchset 13, Nikola </t>
  </si>
  <si>
    <t>Patchset 14, Vladik recheck no bug</t>
  </si>
  <si>
    <t>Patchset 14, Daniel</t>
  </si>
  <si>
    <t>Patchset 15, Daniel</t>
  </si>
  <si>
    <t>Patchset 16. Vladik</t>
  </si>
  <si>
    <t>Patchset 16, Daniel</t>
  </si>
  <si>
    <t>Patchset 18, Daniel</t>
  </si>
  <si>
    <t>Patchset 19, Please tell me how this yield and return works together? :)</t>
  </si>
  <si>
    <t>Patchset 19, sure,
yield will give the control to _create_domain and will receive it back, since there is no need to execute anything for non-lxc, this will return.</t>
  </si>
  <si>
    <t>Patchset 20, Mike vote -1</t>
  </si>
  <si>
    <t>reset::voting2</t>
  </si>
  <si>
    <t>Patchset 20, Mike</t>
  </si>
  <si>
    <t>Patchset 20, My question in previously patchset</t>
  </si>
  <si>
    <t>Patchset 20, Mike Durnosvistov Code-Review +1</t>
  </si>
  <si>
    <t>Patchset 22,  Vladik Romanovsky recheck no bug</t>
  </si>
  <si>
    <t>Patchset 22,  John Garbutt Code-Review -2
Sorry, this has not yet been approved,</t>
  </si>
  <si>
    <t>Patchset 22, so this will have to wait until kilo. Please contact me on IRC, or via email, for more details. Thank you. --johnthetubaguy 3rd September 2014</t>
  </si>
  <si>
    <t>complaining::of::the::developing::process::(speed::reviews)</t>
  </si>
  <si>
    <t>Patchset 22, This is really frustrating! This blueprint is waiting since Icehouse. No one besides Daniel Berrange is reviewing these patches.
This is very difficult to get these merged.</t>
  </si>
  <si>
    <t>FFE::(feature::freeze::exception)::request</t>
  </si>
  <si>
    <t xml:space="preserve">Patchset 22, but I support the blueprint, the FFE, </t>
  </si>
  <si>
    <t>Patchset 22, nit: alignment.</t>
  </si>
  <si>
    <t>suggestion::change::(move::logic)::with::code</t>
  </si>
  <si>
    <t>Patchset 22, This should be added right after line 5377 as:
self.addCleanup(db.instance_destroy, self.context, instance['uuid'])
to ensure it gets run even if there are failures in the test.
Is not a refactor since moving in this case the logic the execution or failure of the code changes completly, then it changes the functionallity</t>
  </si>
  <si>
    <t xml:space="preserve">Patchset 22, Try to keep naming/style-only changes like this in separate patches, </t>
  </si>
  <si>
    <t>objecting::refactoring::(style)</t>
  </si>
  <si>
    <t>Patchset 22, Well, I think this is directly related, as disk_info has been added as an optional variable to the _create_domain_and_networking method.
Due to this, I had to change the variable name in the loop and just wanted to show that it has been changed for a reason.  It would be hard to justify a name change in separate patch.</t>
  </si>
  <si>
    <t>FFE::(feature::freeze::exception)::approved</t>
  </si>
  <si>
    <t>Patchset 22, John FFE granted</t>
  </si>
  <si>
    <t>reset::voting3</t>
  </si>
  <si>
    <t>Patchset 22, John</t>
  </si>
  <si>
    <t>ready::approval::for::submitting::(vote7)</t>
  </si>
  <si>
    <t>Patchset 22. Jay</t>
  </si>
  <si>
    <t>Patchset 23. Jay</t>
  </si>
  <si>
    <t>Patchset 23, Sahid</t>
  </si>
  <si>
    <t>Patchset 23, Daniel</t>
  </si>
  <si>
    <t>description BIC, Part of bp remove-cast-to-schedule-run-instance</t>
  </si>
  <si>
    <t>e.g., patchset 17</t>
  </si>
  <si>
    <t>from patchset 5</t>
  </si>
  <si>
    <t>description BIC, Change-Id: I4f9e3fd0b7bb443406645c1d98e673a4d3624b58</t>
  </si>
  <si>
    <t>description BIC, A failure to prep the block devices will abort a build because it can't be built as desired and the failure is not likely to be related to the compute node itself.</t>
  </si>
  <si>
    <t>Patchset 3, Matt</t>
  </si>
  <si>
    <t>Patchset 3, Work In Progress
New legacy flag came in on run_instance which needs to be ported over.</t>
  </si>
  <si>
    <t>Patchset 4, Matt</t>
  </si>
  <si>
    <t>Patchset 4, Andrew recheck no bug</t>
  </si>
  <si>
    <t>Patchset 4, Nikola</t>
  </si>
  <si>
    <t>suggestion::change::(logging)</t>
  </si>
  <si>
    <t>Patchset 4, Might be good to log the actual exception here so that we can debug what's actually happening.</t>
  </si>
  <si>
    <t>Patchset 5, Chris</t>
  </si>
  <si>
    <t>Patchset 5, Nikola</t>
  </si>
  <si>
    <r>
      <rPr/>
      <t xml:space="preserve">Patchset 5, Nikola  was gonna approve this and then I noticed one thing that you might want to consider taking into account with this patch.
I was looking at how I will need to update https://review.openstack.org/#/c/40229/ after this lands and I realized that now that we have the block_device_mapping being RPC-ed - we need to send them in the same format that conductor would give us in the old code path (in </t>
    </r>
    <r>
      <rPr>
        <color rgb="FF1155CC"/>
        <u/>
      </rPr>
      <t>manager.py</t>
    </r>
    <r>
      <rPr/>
      <t xml:space="preserve"> _build_instance) - meaning we need at least the DB id to be in the block_device dicts that are sent over.</t>
    </r>
  </si>
  <si>
    <t>Patchset 6, Nikola (re added)</t>
  </si>
  <si>
    <t>informing::that::there::are::no::bugs</t>
  </si>
  <si>
    <t>Patchset 6, James</t>
  </si>
  <si>
    <t>Patchset 7, Andrew</t>
  </si>
  <si>
    <t>Patchset 8, Nikola</t>
  </si>
  <si>
    <t>Patchset 8, Still</t>
  </si>
  <si>
    <t>Patchset 8, Andrew</t>
  </si>
  <si>
    <t>Patchset 9, Mathew</t>
  </si>
  <si>
    <t>suggestion::change::(use::method/function)</t>
  </si>
  <si>
    <t>Patchset 9, I think that after this landed https://review.openstack.org/#/c/40229/25 we will need to do the spiel with defaulting device names here as well.
Basically just call _default_block_device_names on this code path as well.</t>
  </si>
  <si>
    <t>Patchset 9, Andrew</t>
  </si>
  <si>
    <t>Patchset 10, Hans</t>
  </si>
  <si>
    <t>suggestion::refactoring::(type::exception)</t>
  </si>
  <si>
    <t>Patchset 10, Hans Not directly related to this change, but previously BuildAbortException has been used to indicate a non-error like an instance being deleted during build. See L954 in _run_instance().
If this is still the case, setting instance error state here seems wrong.</t>
  </si>
  <si>
    <t>objecting::suggestion::refactoring::(type::exception)</t>
  </si>
  <si>
    <t>Patchset 10, Though I'm re-using BuildAbortException I am using it a bit differently. I don't see that as an issue as I'm more concerned with making sure that this build process works the same than I am with having the same semantic meaning for exceptions. I considered making a new exception but went with this because the name was appropriate. If it's too bothersome I can make a new exception but I think this is fine.</t>
  </si>
  <si>
    <t>Patchset 10, garyk i18n</t>
  </si>
  <si>
    <t>Patchset 10, garyk ditto</t>
  </si>
  <si>
    <t>suggestion::refactoring::(add::exception)</t>
  </si>
  <si>
    <t>Patchset 10 and 11, 10:If my above reasoning is correct, this should raise something else. 11: My point is that I think this new build process differs from the current one.
If an InstanceNotFound is raised and transformed to a BuildAbortException here, it will result in the instance being set to error state, which I think is wrong.</t>
  </si>
  <si>
    <t>Patchset 11, Hans</t>
  </si>
  <si>
    <t>Patchset 14, Nikola</t>
  </si>
  <si>
    <t>Patchset 14, some thoughts inline. Would like to hear what alaski and other reviewers think. I believe we should not reschedule on failure to set up block devices, and I believe it is a bug in the current code....</t>
  </si>
  <si>
    <t>asking::clarification::about::code::(design)</t>
  </si>
  <si>
    <t>agreement::suggestion::change::(design)</t>
  </si>
  <si>
    <t>Patchset 14, Andrew I agree with this which is why I used BuildAbortException originally. I'm willing to concede to keeping parity for now and changing this later, but I would rather do it right. In general I think we should only reschedule if we know everything is in a good state and in this case we don't.</t>
  </si>
  <si>
    <t>Patchset 16, Michael Still</t>
  </si>
  <si>
    <t>Patchset 16, Mitchell</t>
  </si>
  <si>
    <t>approval::for::submitting::granted2::(core::reviewer)</t>
  </si>
  <si>
    <t>Patchset 17, Mitchell</t>
  </si>
  <si>
    <t>Patchset 17, Michael recheck no bug</t>
  </si>
  <si>
    <t>Patchset 17, Aaron</t>
  </si>
  <si>
    <t>ready::approval::for::submitting12::(core::reviewer)</t>
  </si>
  <si>
    <t>Patchset 17, Michael Still</t>
  </si>
  <si>
    <t>ready::approval::for::submitting13::(core::reviewer)</t>
  </si>
  <si>
    <t>Patchset 17, Nikola</t>
  </si>
  <si>
    <t xml:space="preserve">description BIC, * free network resources
* free volume resources
* delete.start and delete.stop notifications added
* Handle network deallocate in multi_host mode
</t>
  </si>
  <si>
    <t>e.g., patch 2</t>
  </si>
  <si>
    <t>from ptach 2 fordwards</t>
  </si>
  <si>
    <t xml:space="preserve">description BIC, deletion from down compute node
</t>
  </si>
  <si>
    <t>description BIC, Fixes bug 1067214</t>
  </si>
  <si>
    <t>description BIC, Co-authored-by: Vishvananda Ishaya &lt;vishvananda@gmail.com&gt;</t>
  </si>
  <si>
    <t>description BIC, Change-Id: I0d4a7dc5836d39e405824528de214f23b214849f</t>
  </si>
  <si>
    <t>Patchset 1, Joe Work in Progress</t>
  </si>
  <si>
    <t>Patchset 2, Can you assert that there were fixed ips attached and that after the delete, they are removed?</t>
  </si>
  <si>
    <t xml:space="preserve">Patchset 2, I asserted that the network_api is called. Is that enough? AND when doing the network_api command, is the message sent to a specific host or just sent to the network topic for any nova-network to consume? I only found code that sends the RPC to the network topic. </t>
  </si>
  <si>
    <t>Patchset 2, In my option,we need to check if 'network' service is alive first. If 'network' is alive, send rpc request to it. if not, just deallocate fixed ip or floating ip from database.</t>
  </si>
  <si>
    <t>Patchset 2,  Chris Should we just remove all of the duplicate functionality that's in the manager and do it all in API then?</t>
  </si>
  <si>
    <t>objecting::clarification::intended::solution::design::(it::is::a::new::BP)</t>
  </si>
  <si>
    <t>Patchset 2, Chris, I like your proposal, but this patch is trying to address a bug (and hopefully a backport to Folsom). So I think your proposal should be considered outside the scope of this patch.</t>
  </si>
  <si>
    <t>Patchset 3, Vish</t>
  </si>
  <si>
    <t>agreement::suggestion::change::(add::functionallity)</t>
  </si>
  <si>
    <t>Patchset 3, Tian is right, deallocate_for_instance will fail in multi_host mode. We really don't have a good way to cleanup ips in this case.</t>
  </si>
  <si>
    <t>Patchset 5, Vish</t>
  </si>
  <si>
    <t>Patchset 5, i think we may need to try: except the deallocate_fixed_ip in the case that the host is down. I expect that the call might fail when we update dnsmasq etc.</t>
  </si>
  <si>
    <t xml:space="preserve">Patchset 5, some logic to skip the driver part of the _disassocate call, or just create a new call _disassociate_floating_ip:
return _disassociate_floating_ip_local()
def _disassociate_floating_ip_local(...): </t>
  </si>
  <si>
    <t>suggestion::change::(logic)</t>
  </si>
  <si>
    <t>Patchset 5, the driver call should be skipped in the case that we are deallocating locally.</t>
  </si>
  <si>
    <t>Patchset 7, Joe</t>
  </si>
  <si>
    <t>Patchset 7, Brian</t>
  </si>
  <si>
    <t>Patchset 8, Joe</t>
  </si>
  <si>
    <t>Patchset 8, Brian</t>
  </si>
  <si>
    <t>informing::run::tests::(manual)</t>
  </si>
  <si>
    <t>Patchset 8, Vish FYI I have verified this in devstack using the following method:</t>
  </si>
  <si>
    <t>Patchset 8, Mark</t>
  </si>
  <si>
    <t>description BIC, Change-Id: I30489234b8329f576cf2cbb0ef390670dbee5b95</t>
  </si>
  <si>
    <t>e.g., patch 14</t>
  </si>
  <si>
    <t>from patchset 4 onwards</t>
  </si>
  <si>
    <t>description BIC, Implements: blueprint libvirt-volume-multipath-iscsi</t>
  </si>
  <si>
    <t>description BIC, nova/virt/libvirt/volume.py:LibvirtISCSIVolumeDriver can now
make use of multipath (behavior defined by use_multipath flag)
runs a scsi inquiry to the storage vendor (iSCSI portal)
asking for more portals, logins to the discovered portals and uses a</t>
  </si>
  <si>
    <t>Patchset 3, how is multipath configured?</t>
  </si>
  <si>
    <t>Patchset 3, Depends on the OS and storage vendors, in most cases, /etc/multipath.conf includes storage vendors ids and configurations.</t>
  </si>
  <si>
    <t>suggestion::change::(removing::unnecessary::code)</t>
  </si>
  <si>
    <t>Patchset 3, it seems odd to allow 15 and 255 here</t>
  </si>
  <si>
    <t>Patchset 3, if we really only want err == 0. Should this be raising an exception? Or is it expected for us to get 15 / 255 here?</t>
  </si>
  <si>
    <t>objecting::suggestion::refactoring::(add::exception)</t>
  </si>
  <si>
    <t>Patchset 3, We don't want an exception because we want it to fallback to single path device if the iSCSI portal does not support discovery.
I'll look into the possible return codes for discovery (also relevant to the comment above) and make sure it catches only (and all) the bad exit codes, since as we want to fallback to single path device if there's a problem, not exit / fail.</t>
  </si>
  <si>
    <t>Patchset 3, why not just pass the params separately?
(out, err) = utils.execute('ls', '-l', host_device,</t>
  </si>
  <si>
    <t>Patchset 3, Why allow both 0 and 1 for all of the execute commands?</t>
  </si>
  <si>
    <t>asking::clarification::about::code::(a::different::approach::than::existing::one)</t>
  </si>
  <si>
    <t>Patchset 3, is there any other way we could do this besides depending on ls?</t>
  </si>
  <si>
    <t>providing::clarification::about::code::(a::different::approach::than::existing::one)</t>
  </si>
  <si>
    <t>Patchset 3, Hm, yes, we could do os.walk / os.path.listdir , and then os.path.realpath , same for the ls on line 265.
/proc/partitions is being updated but not always /dev/disk/by-path/ip so I thought about cross referencing the result of the /dev/disk/by-path/ip with /proc/partitions and to log out leftovers (if there's no other lun for that portal).</t>
  </si>
  <si>
    <t>asking::clarification::about::bug::(changes)</t>
  </si>
  <si>
    <t>Patchset 4, Hey Erik... just wanted to check if you're still planning to move forward with this. Review from myself in progress...</t>
  </si>
  <si>
    <t>Patchset 6, Sean</t>
  </si>
  <si>
    <t>Patchset 6, This test feels wrong to me, it's getting run every time and just depends on a binary existing (which seems like a bad test). Is it really expected that while nova-compute is running the host gets multipath installed and it changes from non multipath -&gt; multipath in the next volume request?</t>
  </si>
  <si>
    <t>Patchset 6, so if you are going to take the bulk of the old connect_volume into a separate function, why leave the multipath piece of this statement in this function?</t>
  </si>
  <si>
    <t>Patchset 6, Daniel</t>
  </si>
  <si>
    <t>Patchset 6, Daniel, Given that this is quite a large amount of extra code, almost none of which is libvirt specific or directly tied to volume setup, I think it'd be desirable to pull most of it out into standalone module. eg perhaps nova/virt/linuxiscsi.py and then just call the relevent APIs from the Libvirt volume driver.</t>
  </si>
  <si>
    <t>Patchset 6, I think you need to do more in the test suite too. Your addition simply stubs out '_is_multipath_enabled' to False so none of the new functionality gets tested. You need to add a test with that set to True.</t>
  </si>
  <si>
    <t>Patchset 6, Restored
Reopening with changes..</t>
  </si>
  <si>
    <t>Patchset 7, Sean</t>
  </si>
  <si>
    <t>Patchset 9, Vish</t>
  </si>
  <si>
    <t>Patchset 9, Vish, looks like a bad rebase. Deleted some volume drivers.</t>
  </si>
  <si>
    <t>Patchset 9, Sean</t>
  </si>
  <si>
    <t>Patchset 12, Vish</t>
  </si>
  <si>
    <t>Patchset 12, Vish, ?</t>
  </si>
  <si>
    <t>Patchset 13, Daniel Berrange</t>
  </si>
  <si>
    <t>complaining::of::the::developing::process::(modifying::unnecessary::files)</t>
  </si>
  <si>
    <t>Patchset 13, ..but this disk bus is related to KVM virtualization. I think you need to rename the test case to 'kvm'. Likewise for the next test case.</t>
  </si>
  <si>
    <t>asking::clarification::(renaming::signature)</t>
  </si>
  <si>
    <t>Patchset 13, This doesn't make a whole lot of sense - you are refering to 'lxc' virtualization here....</t>
  </si>
  <si>
    <t>Patchset 14, Sean</t>
  </si>
  <si>
    <t>Patchset 14, I don't think we want to add a generic use_multipath buried way in the libvirt driver. Please at least make this libvirt_use_multipath</t>
  </si>
  <si>
    <t>Patchset 14,  Traeger</t>
  </si>
  <si>
    <t>Patchset 15, Vish</t>
  </si>
  <si>
    <t>Patchset 15, John</t>
  </si>
  <si>
    <t>Patchset 15, Sean</t>
  </si>
  <si>
    <t>approval::for::submitting::granted::(final)::core::rev</t>
  </si>
  <si>
    <t>description BIC, The proposed code provides data-at-rest security for all ephemeral storage disks, preventing access to data while an instance is
shut down, or in case the compute host is shut down while an instance is
running.</t>
  </si>
  <si>
    <t>e.g., patch 17</t>
  </si>
  <si>
    <t>from patch 2 onwards</t>
  </si>
  <si>
    <t>informing::existing::dependencies::(commit::message)</t>
  </si>
  <si>
    <t>description BIC, Note: depends on cryptsetup being installed.</t>
  </si>
  <si>
    <t>description BIC, Implements: blueprint lvm-ephemeral-storage-encryption</t>
  </si>
  <si>
    <t>description BIC, Change-Id: I871af4018f99ddfcc8408708bdaaf480088ac477</t>
  </si>
  <si>
    <t>security::impact::mentioned</t>
  </si>
  <si>
    <t>description BIC, SecurityImpact</t>
  </si>
  <si>
    <t>Patchset 1, This is a partial implementation of the Encryption of Ephemeral Storage blueprint. At present, encryption is implemented for LVM backed ephemeral storage. Support for raw backed ephemeral storage will be added in the near future.</t>
  </si>
  <si>
    <t>Patchset 10, David Ripton</t>
  </si>
  <si>
    <t>suggestion::change::(types)</t>
  </si>
  <si>
    <t>Patchset 10, Shouldn't this be an IntOpt rather than a StrOpt?</t>
  </si>
  <si>
    <t>Patchset 10, Parens would be prettier than backslashes here, though it doesn't really matter.</t>
  </si>
  <si>
    <t>Patchset 10, self.lv never gets set in this branch. Is this an oversight or intentional?</t>
  </si>
  <si>
    <t>reminder::todo</t>
  </si>
  <si>
    <t>Patchset 10, Just reminding you about this TODO</t>
  </si>
  <si>
    <t>asking::clarification::about::code::(types)</t>
  </si>
  <si>
    <t>Patchset 10, It can only be a unicode, not a str?</t>
  </si>
  <si>
    <t>Patchset 17, Joe</t>
  </si>
  <si>
    <t>noticing::wrong::information(author::commit)</t>
  </si>
  <si>
    <t>Patchset 17, I don't think I wrote this (author)</t>
  </si>
  <si>
    <t>Patchset 17, I think that this summary should mention LVM explicitly.</t>
  </si>
  <si>
    <t>Patchset 17, What does this mean, when fully functional? Is this only a partial implementation?</t>
  </si>
  <si>
    <t>suggestion::refactoring::(config::file::new::group)</t>
  </si>
  <si>
    <t>Patchset 17, WHy not create a new config group encrypt_ephemeral_storage or something</t>
  </si>
  <si>
    <t>asking::clarification::about::config::(fixed::values)</t>
  </si>
  <si>
    <t>providing::clarification::about::config::(fixed::values)</t>
  </si>
  <si>
    <t>Patchset 17, 256 is a good key length -- strong enough to not be easily broken. But it could be 128 or 512 depending on the user's requirements.</t>
  </si>
  <si>
    <t>asking::clarification::developing::process::(code::and::managment::of::patches)</t>
  </si>
  <si>
    <t>Patchset 17, should this be a separate patch?</t>
  </si>
  <si>
    <t>Patchset 17, I was trying to make a commit depending on another patch that implemented this change but made a mistake during the submission. That patch has now been merged into master so this will be fixed in my next commit.</t>
  </si>
  <si>
    <t>informing:.that::a::change::made::was::already::done</t>
  </si>
  <si>
    <t>Patchset 17, asking::clarification::developing::process::(code::and::managment::of::patches)</t>
  </si>
  <si>
    <t>suggestion::on::how::to::test::(steps::and::needed::devices)</t>
  </si>
  <si>
    <t>Patchset 17, The simplest way to test is:
Launch an instance with encrypted ephemeral storage
Create a test file in the instance with known text
Flush I/O cache in the instance with sync
Flush I/O cache on the host
Grep for the test file text in the instances ephemeral disk, i.e. grep &lt;test text&gt; /dev/&lt;volume group&gt;/&lt;instance disk&gt;; if grep returns no result the encryption works.
Note: the above device is different from the device specified in /data/nova/instances/&lt;uu-id&gt;/libvirt.xml or generally associated with the instance, since when encryption is enabled Nova interacts only with the other end of the dm-crypt pipe, which is located in /dev/mapper/.</t>
  </si>
  <si>
    <t>asking::clarification::about::code::(functionallity::paths::scope)</t>
  </si>
  <si>
    <t>Patchset 17, Can the path be restricted further (e.g., to /dev/mapper/.*)?</t>
  </si>
  <si>
    <t>providing::clarification::about::code::(functionallity::paths::scope)</t>
  </si>
  <si>
    <t>Patchset 17, I believe this function is called with devices other than /dev/mapper/.*.</t>
  </si>
  <si>
    <t>suggestion::refactoring::(encription::type)</t>
  </si>
  <si>
    <t>Patchset 17, Quoting from the cryptsetup FAQs, "[...] aes-xts-plain should not be used for encrypted container sizes larger than 2TiB. Use aes-xts-plain64 for that." (https://code.google.com/p/cryptsetup/wiki/FrequentlyAskedQuestions).
I don't think that there's any reason against using 'aes-xts-plain64' as the default.</t>
  </si>
  <si>
    <t>suggestion::refactoring::(fixed::values::security)</t>
  </si>
  <si>
    <t>Patchset 17, XTS mode in cryptsetup uses only half the key for encryption (the other half is used for the tweak factor). Hence, the key size should be 512 if 256-bit encryption is desired.</t>
  </si>
  <si>
    <t>Patchset 17, Better to initialize the key manager in init rather than creating it here.</t>
  </si>
  <si>
    <t>suggestion::refactoring::(not::access::the::raw::key)</t>
  </si>
  <si>
    <t>Patchset 17, I'd prefer to limit access to the raw key as much as possible, but this code can always be refactored later.</t>
  </si>
  <si>
    <t>Patchset 17, I think a warning is more reasonable.</t>
  </si>
  <si>
    <t>suggestion::change::(wrong::logic)</t>
  </si>
  <si>
    <t>Patchset 17, self.lv is not set on this path</t>
  </si>
  <si>
    <t>objecting::suggestion::change::(wrong::logic)</t>
  </si>
  <si>
    <t>Patchset 17, self.lv is only consumed in create_image() when creating the volume, but if you look at the default branch, it is obtained by querying the volume, which means the volume must already exist. The bottom line is that it is unnecessary to set self.lv if the path is set.</t>
  </si>
  <si>
    <t>Patchset 17, I think
encryption_key = kwargs.pop('encryption_key', None)
is more pythonic</t>
  </si>
  <si>
    <t>Patchset 17, superfluous '#'?</t>
  </si>
  <si>
    <t>Patchset 17, I think it would be clearer if lv_paths is always passed as a list to this function, which eliminates the need for the if/else.</t>
  </si>
  <si>
    <t>Patchset 20, Joel</t>
  </si>
  <si>
    <t>suggestion::change::(documentation::mismatch)</t>
  </si>
  <si>
    <t>Patchset 20, Does not match the option's default value in nova/keymgr/init.py (nova.keymgr.not_implemented_key_mgr.NotImplementedKeyManager)
The mock_key_mgr should not be the default key manager because 1) it is insecure and only intended for testing and 2) will not work properly across services.</t>
  </si>
  <si>
    <t>suggestion::refactoring::(fixed::values::config::init)</t>
  </si>
  <si>
    <t>Patchset 20, not_implemented_key_mgr is not defined in this patch or upstream</t>
  </si>
  <si>
    <t>Patchset 20, Might want a comment to the effect of only half the bits being used for the encryption key when using XTS mode.</t>
  </si>
  <si>
    <t>suggestion::refactoring::(removing::commented:.code)</t>
  </si>
  <si>
    <t>Patchset 20, Remove commented code.</t>
  </si>
  <si>
    <t xml:space="preserve">Patchset 24, Joel </t>
  </si>
  <si>
    <t>Patchset 24, Joe</t>
  </si>
  <si>
    <t>asking::clarification::about::code::(how::to::test::it)</t>
  </si>
  <si>
    <t>Patchset 24, Once again how can I test this?</t>
  </si>
  <si>
    <t>asking::clarification::about::code::(missing::tests)</t>
  </si>
  <si>
    <t>Patchset 24, so no key manager is available right now? How can I test this out then?</t>
  </si>
  <si>
    <t>providing::clarification::about::code::(missing::tests)</t>
  </si>
  <si>
    <t>Patchset 24, mock key manager can be used for testing
keymgr_api_class=nova.keymgr.mock_key_mgr.MockKeyManager</t>
  </si>
  <si>
    <t>providing::justification::about::code::(reason::of::the::design::tests)</t>
  </si>
  <si>
    <t>Patchset 24, As I mentioned in the inline comment, the ephemeral storage encryption can be tested with the mock key manager provided for testing purposes. Because specifics of the key manager are isolated behind the key manager interface, it is not necessary to have a fully implemented key manager to test the provided functionality.</t>
  </si>
  <si>
    <t>objecting::clarification::about::code::(reason::of::the::design::tests)</t>
  </si>
  <si>
    <t>Patchset 24, While a full key manager it is not necessary to do basic testing, it is necessary to use this code in any sort of production environment. I don't like the idea of merging code in trunk that cannot be deployed. Why should we include this in trunk if no one can use it in production as is?</t>
  </si>
  <si>
    <t>Patchset 24, I would like to see this functionality but I don't want merge the code until someone can actually use it. And unfortunately that means this will have to wait till Icehouse, unless you can get a default key manager merged before the feature freeze tomorrow.</t>
  </si>
  <si>
    <t>agreeing::wait::for::submitting::until::new::features::use::the::change</t>
  </si>
  <si>
    <t>Patchset 24, That's fair enough. Thank you for taking the time to review this feature.</t>
  </si>
  <si>
    <t>suggestion::different::approach::(managment::keys)</t>
  </si>
  <si>
    <r>
      <rPr/>
      <t xml:space="preserve">Patchset 24, Perhaps a default key manager can use </t>
    </r>
    <r>
      <rPr>
        <color rgb="FF1155CC"/>
        <u/>
      </rPr>
      <t>https://pypi.python.org/pypi/keyring</t>
    </r>
  </si>
  <si>
    <t>informing::FFE::(feature::freeze::exception)::lifted</t>
  </si>
  <si>
    <r>
      <rPr/>
      <t xml:space="preserve">Patchset 31. feature freeze - </t>
    </r>
    <r>
      <rPr>
        <color rgb="FF1155CC"/>
        <u/>
      </rPr>
      <t>http://lists.openstack.org/pipermail/openstack-dev/2013-September/014656.html</t>
    </r>
  </si>
  <si>
    <t>Patchset 31, Joe</t>
  </si>
  <si>
    <t>Patchset 31, to make things easier for people to use this, can you mention the config changes needed to enable this here.
Also as this an awesome feature lets add a docImpact flag to make sure we tell people about it</t>
  </si>
  <si>
    <t>suggestion::change::(documentation::config::helper::info)</t>
  </si>
  <si>
    <t>Patchset 31, can you add a pointer to what other options are supported in the help message</t>
  </si>
  <si>
    <t>Patchset 31, it would be nice to mention this dep somewhere, not sure where though ... maybe in the commit msg.</t>
  </si>
  <si>
    <t>Patchset 31, Is it possible to infer if a VM was created with ephemeral_storage_encryption.enabled? Otherwise if someone turns this on or off while some VMs are running deletion will fail</t>
  </si>
  <si>
    <t>objecting::suggestion::refactoring::(cleaner::code)</t>
  </si>
  <si>
    <t>Patchset 31, There is no clean way to do this. As this feature continues to evolve I would like to add an encryption field to the instance object, which will enable the inference you suggest as well as other nice additions, e.g. the capability to disconnect the dm-crypt device during suspend and live migration.</t>
  </si>
  <si>
    <t>Patchset 31, I think its safer to fail hard in this case, if user tries to turn on ephemeral_storage_encryption and are not using a backend that supports it, then something is wrong and a lowly warning isn't loud enough.</t>
  </si>
  <si>
    <t>Patchset 33, Nathan</t>
  </si>
  <si>
    <t>Patchset 34, Joel</t>
  </si>
  <si>
    <t>Patchset 34, Dan</t>
  </si>
  <si>
    <t>Patchset 34, See inline note. This is related to the reason SmokeStack is failing this branch.</t>
  </si>
  <si>
    <t>providing::advice::how::to::fix::failures::(how::to::initialize::variables)::with::code</t>
  </si>
  <si>
    <t>Patchset 34, We shouldn't initialize the key manager API unless it is enabled. Doing so may incur extra startup checks, etc.
How about:
if CONF.ephemeral_storage_encryption.enabled:
self.key_manager = keymgr.API()</t>
  </si>
  <si>
    <t>source::of::test::failing::(external(bug)::internal)</t>
  </si>
  <si>
    <t>Patchset 34, Okay. The root cause of the SS failure is this issue:
https://bugs.launchpad.net/nova/+bug/1224526
Essentially what is happening is is nova-compute fails to startup because keymgr tries to import single_key_mgr.SingleKeyManager and that class doesn't exist because I don't deploy 'test' code in SmokeStack (which uses RPM packages)</t>
  </si>
  <si>
    <t>Patchset 35, Dan</t>
  </si>
  <si>
    <r>
      <rPr/>
      <t xml:space="preserve">Patchset 35, Move required keymgr classes out of nova/tests
https://review.openstack.org/#/c/46297/
Wire in ConfKeyManager._generate_hex_key:
https://review.openstack.org/#/c/46322/
Drop warning messages from mock/single keymgr's:
</t>
    </r>
    <r>
      <rPr>
        <color rgb="FF1155CC"/>
        <u/>
      </rPr>
      <t>https://review.openstack.org/#/c/46323/</t>
    </r>
  </si>
  <si>
    <t>Patchset 34, Yes, I understand that key manager is in a bit of a state of flux. Not least because the current implementation is an intermediate solution, to be used while a full implementation is being developed.</t>
  </si>
  <si>
    <t>Patchset 37, Joel</t>
  </si>
  <si>
    <t>Patchset 37. I think this tag is supposed to be "DocImpact" (see https://wiki.openstack.org/wiki/Documentation/DocImpact), but I'm not sure if the capitalization matters or not.</t>
  </si>
  <si>
    <t>Patchset 37, Rusell</t>
  </si>
  <si>
    <t>Patchset 37, Unfortunately I think this now needs to wait for Icehouse to open up (it should only be a couple weeks away)</t>
  </si>
  <si>
    <t>Patchset 37, Dan Genin, Restored</t>
  </si>
  <si>
    <t>asking::clarification::about::code::(need::of::config::parameters)</t>
  </si>
  <si>
    <t>Patchset 40, Do we really need to add these cipher/key_size conf parameters. We have far too many config options in Nova already, so we really need to put thought into whether each new option is really compelling or not. IMHO using the kernel defaults is sufficient.</t>
  </si>
  <si>
    <t>objecting::code::(need::of::config::parameters)</t>
  </si>
  <si>
    <t>Patchset 40, so we really need to put thought into whether each new option is really compelling or not. IMHO using the kernel defaults is sufficient.</t>
  </si>
  <si>
    <t>providing::clarification::about::code::(need::of::config::parameters)</t>
  </si>
  <si>
    <t>Patchset 40, There is a trade-off between execution speed and strength of encryption which, I think, it makes sense to leave to the operator. Defaulting to kernel settings seems unnecessarily restrictive.</t>
  </si>
  <si>
    <t>support::providing::clarification::about::code::(need::of::config::parameters)</t>
  </si>
  <si>
    <t>Patchset 40, There are also instances where compliance might dictate particular ciphers or key sizes. The default value could be the same as the kernel's, but the ability to change the parameters is important in some domains.</t>
  </si>
  <si>
    <t>retracting::objecting::code::(need::of::config::parameters)</t>
  </si>
  <si>
    <t>Patchset 40, Ok, I withdraw my objections here.</t>
  </si>
  <si>
    <t>Patchset 40, This really looks very bogus. If you're not going to implement this, then you should raise an exception, not silently ignore the request &amp; expect everything to continue working.
I'd really rather you just implemented this correctly right away though</t>
  </si>
  <si>
    <t>objecting::suggestion::change::(prevent::failure)</t>
  </si>
  <si>
    <t>Patchset 40, This does not silently ignore the request. The snapshot is still extracted in snapshot_extract(), but it is done directly from the logical volume rather than going through a snapshot created with lvcreate as it is done for unencrypted volumes. As the comment states this approach is identical to the way snapshots are implemented for Raw.</t>
  </si>
  <si>
    <t xml:space="preserve">Patchset 40, In fact there was a separate change https://review.openstack.org/#/c/52363/6 which was simplifying this code for Qcow2. </t>
  </si>
  <si>
    <t>suggestion::include::changes::of::another::review::(different::change::ID)</t>
  </si>
  <si>
    <t>Patchset 40, I suggested that it go one step further and just remove the 'snapshot_create' and 'snapshot_delete' methods entirely. That change has now merged, so this special case for encryption is simplified.</t>
  </si>
  <si>
    <t>Patchset 40, So 'self.path' here points to the dm-crypt device providing the unencrypted view of the data. I think we need to make it point to the underlying encrypted device, so that the snapshot is encrypted too.</t>
  </si>
  <si>
    <t>suggestion::move:.the::changes:.to::different::patch::(different::change::id)</t>
  </si>
  <si>
    <t>Patchset 40, This change is completely independent of adding encryption support. Please do it as a separate patch.</t>
  </si>
  <si>
    <t>review::restored::after::abandoned2</t>
  </si>
  <si>
    <t>Patchset 40, Dan, Restored</t>
  </si>
  <si>
    <t>Patchset 42, garyk</t>
  </si>
  <si>
    <t>Patchset 42, white space - a script should aut generate this - please run - tools/config/generate_sample.sh</t>
  </si>
  <si>
    <t>Patchset 42, any chance of writing this \?</t>
  </si>
  <si>
    <t>suggestion::DB::migration::(need)</t>
  </si>
  <si>
    <t>Patchset 42, you need a database migration for this.</t>
  </si>
  <si>
    <t>asking::clarification::about::code::(need::of::tests)</t>
  </si>
  <si>
    <t>Patchset 42, can you please explain why we need this?</t>
  </si>
  <si>
    <t>providing::clarification::about::code::(need::of::tests)</t>
  </si>
  <si>
    <t>Patchset 42, we don't, removed.</t>
  </si>
  <si>
    <t>Patchset 42, there should be tests that validate the parameters passed</t>
  </si>
  <si>
    <t>Patchset 42, this is not used</t>
  </si>
  <si>
    <t>Patchset 42, the exception should be raised. the code continues from here - will this not be a problem?</t>
  </si>
  <si>
    <t>noticing::code::(deleted::code)</t>
  </si>
  <si>
    <t>Patchset 42, you have removed the locking here. is this on purpose?</t>
  </si>
  <si>
    <t>Patchset 42, please use a Nova Exception</t>
  </si>
  <si>
    <t>Patchset 42, why all of the changes here</t>
  </si>
  <si>
    <t>Patchset 42, stray.</t>
  </si>
  <si>
    <t>Patchset 42, Dan</t>
  </si>
  <si>
    <t>suggestion::change::(object::version)</t>
  </si>
  <si>
    <t>Patchset 42, You need to bump the object version to make this change.</t>
  </si>
  <si>
    <t>Patchset 43, Joel, recheck no bug</t>
  </si>
  <si>
    <t>Patchset 45, Daniel</t>
  </si>
  <si>
    <t>Patchset 45, I think this patch should be split up into at least 3 parts
1. creation of module + tests for crypt setup functions
2. Introduction of the data model additions
3. Libvirt driver/imagebackend implementation</t>
  </si>
  <si>
    <t>suggestion::refactoring::(conditional::with::interface)</t>
  </si>
  <si>
    <t>Patchset 45, Any place where the driver.py code has to do conditional branching on CONF.libvirt_images_type is a bug IMHO. The imagebackend.py interface should be used to hide all differences between different image types. If the existing APis in imagebackend.py don't cope with this scenario, then feel free to add new APIs there.</t>
  </si>
  <si>
    <t>providing:.advice::refactoring::(conditional::with::interface)</t>
  </si>
  <si>
    <t>Patchset 45, Looking at, for example, _cleanup_lvm() code path in driver, it branches on CONF.libvirt.images_volume_group in _lvm_disks(), which seems essentially identical. Is it really possible to get rid of all this branching code? Imagebackend may need a major rewriting to make backends appear completely uniform to the driver.</t>
  </si>
  <si>
    <t>Patchset 45, That's a pretty heavy way to enumerate files in a directory, given that you're not needing to pass it through rootwrap. Can you not just use the python APIs for reading directories.</t>
  </si>
  <si>
    <t>Patchset 45, You've already got helpers for creating + deleting crypt volumes in utils.py. I'd suggest adding another one to obtain a list of crypt volumes.</t>
  </si>
  <si>
    <t>Patchset 45, Given that you went to trouble of creating a 'cryptdestroy' method in the utils.py module I'd rather expect that this would invoke that.</t>
  </si>
  <si>
    <t>suggestion::refactoring::(using::another::existing::method)::speed::vs::abstraction</t>
  </si>
  <si>
    <t>Patchset 45, Again why not use the 'cryptdestroy' method you created.</t>
  </si>
  <si>
    <t>Patchset 45, None of these appear to be used in this file.</t>
  </si>
  <si>
    <t>suggestion::refactoring::(move::logic::creation::module)</t>
  </si>
  <si>
    <t>Patchset 45, This utils.py file is getting to be a bit of dumping ground for random functionality. I'd suggest we have a dedicated 'dmcrypt.py' file which contains 'create', 'delete' and 'list' functions, along with a dedicated unit test file. I'd go further to say that such a module could be created in a separate patch to this, so this becomes a small patch series.</t>
  </si>
  <si>
    <t>Patchset 45, Why is the encryption cipher passed to the key manager? I would think only the key_size would be needed here.</t>
  </si>
  <si>
    <t>Patchset 45, Based on the definition in key_mgr
def create_key(self, ctxt, algorithm='AES', length=256, expiration=None, **kwargs)
But you are right that this is an issue because the same parameter is also passed to cryptsetup.</t>
  </si>
  <si>
    <t>review::restored::after::abandoned3</t>
  </si>
  <si>
    <t>Patchset 45, Dan</t>
  </si>
  <si>
    <t>Patchset 48, David</t>
  </si>
  <si>
    <t>Patchset 48, Does this need to be finished as part of this patch?</t>
  </si>
  <si>
    <t>suggestion::refactoring::(style::comparison::operators)</t>
  </si>
  <si>
    <t>Patchset 48, I think != is clearer in these cases than not and ==</t>
  </si>
  <si>
    <t>Patchset 48, I don't like this indentation because the continuation line exactly matches the indentation of the next line which is not a continuation. I think the continuation line should be indented more. Also, PEP8 prefers parentheses to a .</t>
  </si>
  <si>
    <t>Patchset 48, PEP8 says () is better than \</t>
  </si>
  <si>
    <t>Patchset 48, The extra / you added here is unnecessary since os.path.join adds it. I guess it doesn't hurt anything since os.path.join won't make it '//', but I'd make it consistent with the one above which doesn't have the extra /.</t>
  </si>
  <si>
    <t>Patchset 50, Daniel</t>
  </si>
  <si>
    <t>Patchset 50, David</t>
  </si>
  <si>
    <t>Patchset 50, I'm still not really liking that this code is in driver.py - nor in fact liking the calls to _cleanup_rbd and _cleanup_lvm either. Seems we ought to have a 'delete_image' method in ImageBackend we can call instead. You are following the existing (bad) practice here though, and fixing this mess looks like quite a big job so won't make you change this</t>
  </si>
  <si>
    <t>Patchset 51, Daniel</t>
  </si>
  <si>
    <t>Patchset 51, David</t>
  </si>
  <si>
    <t>Patchset 52, Dirk Mueller</t>
  </si>
  <si>
    <t>Patchset 52, Dan</t>
  </si>
  <si>
    <t>asking::clarification::about::code::(unnecesary::parentheses)</t>
  </si>
  <si>
    <t>Patchset 53, Why the double parentheses?</t>
  </si>
  <si>
    <t>Patchset 53, I think the "in" check isn't needed since you use get(), which does that.</t>
  </si>
  <si>
    <t>suggestion::change::(missing::condition::case)::with::code</t>
  </si>
  <si>
    <t>Patchset 53, You could do "else: self.key_manager = None" so that self.key_manager always exists. Objects that always have the same set of attributes are easier to work with.</t>
  </si>
  <si>
    <t>not::approval::for::submitting14</t>
  </si>
  <si>
    <t>Patchset 54, David</t>
  </si>
  <si>
    <t>Patchset 54, I think this should be DocImpact (initial capital D). I'm not sure that the thing(s) that search for this are case-sensitive but better to be consistent.</t>
  </si>
  <si>
    <t>Patchset 56, A couple of nits in the commit message but otherwise looks good!</t>
  </si>
  <si>
    <t>Patchset 56, David</t>
  </si>
  <si>
    <t>Patchset 56, Joel</t>
  </si>
  <si>
    <t>Patchset 56, Which operations are not supported (other than encrypted snapshots)? This information is probably more important to document.</t>
  </si>
  <si>
    <t>asking::clarification::missing::content::(commit::message)</t>
  </si>
  <si>
    <t>Patchset 56, Nit: turn -&gt; turns</t>
  </si>
  <si>
    <t>asking::clarification::content::(commit::message)</t>
  </si>
  <si>
    <t>Patchset 56, ot all ephemeral storage drives. This patch supports only the LVM backend.</t>
  </si>
  <si>
    <t>providing::clarification::content::(commit::message)</t>
  </si>
  <si>
    <t>Patchset 56, By all, here, I mean that all ephemeral storage components, e.g., swap, disk.local, etc., are encrypted, not just the root disk. I tried to emphasize this by using "drives" rather than "backends" but, perhaps, another word like "components" would further reduce the potential for confusion.</t>
  </si>
  <si>
    <t>Patchset 58, Joel</t>
  </si>
  <si>
    <t>Patchset 58, David</t>
  </si>
  <si>
    <t>Patchset 59, Joel</t>
  </si>
  <si>
    <t>Patchset 59, David</t>
  </si>
  <si>
    <t>Patchset 59, Peter</t>
  </si>
  <si>
    <t>Patchset 59, Daniel</t>
  </si>
  <si>
    <t>suggestion::refactoring::(using::another::existing::object)</t>
  </si>
  <si>
    <t>Patchset 59, can we possibly use mock instead of mox? the general trend should be towards "mock".</t>
  </si>
  <si>
    <t>not::approval::for::submitting15</t>
  </si>
  <si>
    <t>Patchset 59, Michael</t>
  </si>
  <si>
    <t>Patchset 59, Given this is only supported for LVM, which isn't the default ephemeral storage option, I feel like we need a more specific name for this group. Something which makes it clear that its LVM only.</t>
  </si>
  <si>
    <t>Patchset 59, These patches are part of the ephemeral storage encryption blueprint that intends to provide encryption for all backend types. This set is only the first instalment. Patches for Raw and Qcow2 are in the pipeline and will be arriving by Icehouse 3.</t>
  </si>
  <si>
    <t>Patchset 61, Daniel</t>
  </si>
  <si>
    <t>Patchset 61, Joel</t>
  </si>
  <si>
    <t>Patchset 61, Peter</t>
  </si>
  <si>
    <t>Patchset 61, David</t>
  </si>
  <si>
    <t>Patchset 62, Daniel</t>
  </si>
  <si>
    <t>Patchset 62, Joel</t>
  </si>
  <si>
    <t>Patchset 62, Peter</t>
  </si>
  <si>
    <t>Patchset 62, David</t>
  </si>
  <si>
    <t>Patchset 62, Dan</t>
  </si>
  <si>
    <t>Patchset 64, Daniel</t>
  </si>
  <si>
    <t>not::approval::for::submitting16</t>
  </si>
  <si>
    <t>Patchset 64, David</t>
  </si>
  <si>
    <t>suggestion::refactoring::(style::removing::newline)</t>
  </si>
  <si>
    <t>Patchset 64, looks like an extra newline here</t>
  </si>
  <si>
    <t>Patchset 66, Dan, recheck bug 1258848</t>
  </si>
  <si>
    <t>Patchset 66, Dan</t>
  </si>
  <si>
    <t>ready::approval::for::submitting24</t>
  </si>
  <si>
    <t>Patchset 66, David</t>
  </si>
  <si>
    <t>Patchset 68, Farr</t>
  </si>
  <si>
    <t>requesting::somebodyelse::for::approval::for::submitting22</t>
  </si>
  <si>
    <t>Patchset 68, David</t>
  </si>
  <si>
    <t>requesting::somebodyelse::for::approval::for::submitting23</t>
  </si>
  <si>
    <t>ready::approval::for::submitting27</t>
  </si>
  <si>
    <t>Patchset 68, Peter</t>
  </si>
  <si>
    <t>requesting::somebodyelse::for::approval::for::submitting24</t>
  </si>
  <si>
    <t>ready::approval::for::submitting28</t>
  </si>
  <si>
    <t>Patchset 68, Joel</t>
  </si>
  <si>
    <t>requesting::somebodyelse::for::approval::for::submitting25</t>
  </si>
  <si>
    <t>noticing::unnecessary::variable</t>
  </si>
  <si>
    <t xml:space="preserve">Patchset 68, Is this variable being used? </t>
  </si>
  <si>
    <t>Patchset 69, farr</t>
  </si>
  <si>
    <t>requesting::somebodyelse::for::approval::for::submitting26</t>
  </si>
  <si>
    <t>Patchset 69, Daniel</t>
  </si>
  <si>
    <t>ready::approval::for::submitting31</t>
  </si>
  <si>
    <t>Patchset 69, Joel</t>
  </si>
  <si>
    <t>requesting::somebodyelse::for::approval::for::submitting27</t>
  </si>
  <si>
    <t>ready::approval::for::submitting32</t>
  </si>
  <si>
    <t>Patchset 69, Nathan</t>
  </si>
  <si>
    <t>requesting::somebodyelse::for::approval::for::submitting28</t>
  </si>
  <si>
    <t>ready::approval::for::submitting33</t>
  </si>
  <si>
    <t>Patchset 69, Peter</t>
  </si>
  <si>
    <t>requesting::somebodyelse::for::approval::for::submitting29</t>
  </si>
  <si>
    <t>not::approval::for::submitting17</t>
  </si>
  <si>
    <t>Patchset 69, Dan</t>
  </si>
  <si>
    <t>informing::broken::functionallity::after::submitting::changes</t>
  </si>
  <si>
    <t>Patchset 69, Breaks snapshots for unencrypted LVM instances. New patch coming shortly</t>
  </si>
  <si>
    <t>providing:.clarification::on::broken::functionallity::after::submitting::changes::(what::happened)</t>
  </si>
  <si>
    <t>Patchset 70, Previous patch broke unencrypted LVM snapshots because the initialization method for LVM imagebackend relied on instance object argument to determine whether encryption was being used. When the imagebackend was initialized for a snapshot, however, instance was not passed and defaulted to None, resulting in a get() call on a None type object.</t>
  </si>
  <si>
    <t>providing:.clarification::on::broken::functionallity::after::submitting::changes::(how::was::it::fixed)</t>
  </si>
  <si>
    <t>Patchset 70, In the new patch instance is always passed when an imagebackend object is created. This will also be handy when we will be implementing encrypted snapshots, which will require attaching the encryption key uuid to the snapshot.</t>
  </si>
  <si>
    <t>not::approval::for::submitting18</t>
  </si>
  <si>
    <t>Patchset 70, David</t>
  </si>
  <si>
    <t>Patchset 70, I'd call this with image_type=image_type since it's a keyword argument. Works either way, but more future-proof that way.</t>
  </si>
  <si>
    <t>suggestion::refactoring::(style::add::newline)</t>
  </si>
  <si>
    <t>Patchset 70, need a newline here between 3rd party and nova imports</t>
  </si>
  <si>
    <t>suggestion::refactoring::(style::removing::unnecessary::newline)</t>
  </si>
  <si>
    <t>Patchset 70, I think this would look better without the newline here</t>
  </si>
  <si>
    <t>Patchset 70, You don't really need this if, since a for over an empty list is valid.</t>
  </si>
  <si>
    <t>Patchset 70, Why did you move this? Seems like needless churn.</t>
  </si>
  <si>
    <t>Patchset 70, This line could be pulled out of the if and else since both have it.</t>
  </si>
  <si>
    <t>Patchset 70, it would look better (and not hit 80 columns) if you indented the other parameters 3 more spaces to line up with the first</t>
  </si>
  <si>
    <t>ready::approval::for::submitting34</t>
  </si>
  <si>
    <t>Patchset 70, Farr</t>
  </si>
  <si>
    <t>requesting::somebodyelse::for::approval::for::submitting30</t>
  </si>
  <si>
    <t xml:space="preserve">Patchset 72, Dan Genin recheck no bug </t>
  </si>
  <si>
    <t>not::approval::for::submitting19</t>
  </si>
  <si>
    <t>Patchset 72,  Joel</t>
  </si>
  <si>
    <t>Patchset 72,  Regarding the prior comment about breaking snapshots for unencrypted LVM instances, I'd like to see test cases either in this patch or another patch that specifically checks this functionality. (Unless, of course, checking via mock isn't practical.)</t>
  </si>
  <si>
    <t>noticing::comment::not::addressed::(previous::patch)</t>
  </si>
  <si>
    <t>Patchset 72,  prior comment from David Ripton (patch set 70) does not appear to have been addressed.</t>
  </si>
  <si>
    <t>providing::clarification::noticing::comment::not::addressed::(previous::patch)</t>
  </si>
  <si>
    <t>Patchset 72,  I have thought about changing this to units.Ki but it would be hard to do the same for TEMPLATE_SIZE and keep it an integer. So there there would be a hodgepodge of unit-ed and ununit-ed constants. The numbers themselves could be changed but this will break the test pattern established for other backends, which also seems a poor choice.</t>
  </si>
  <si>
    <t>suggestion::refactoring::(move::logic::parent::class::instead::of::sub::classes)</t>
  </si>
  <si>
    <t>Patchset 72, Recommend adding this check to the Image object initializer rather than to all subclasses individually. The default behavior would be to throw an exception unless the subclass (e.g., LVM) explicitly overrides this behavior because it supports encryption. This approach is more maintainable when new subclasses are added.</t>
  </si>
  <si>
    <t>support::suggestion::refactoring::(move::logic::parent::class::instead::of::sub::classes)</t>
  </si>
  <si>
    <t>Patchset 72, Agreed, the base class could define a "def supports_encryption()' method which returns False, and subclasses would override that.</t>
  </si>
  <si>
    <t>providing::clarification::implications::of::suggestion::refactoring::(move::logic::parent::class::instead::of::sub::classes)</t>
  </si>
  <si>
    <t>Patchset 72, This is going to be hard to do cleanly precisely because of the second half of the test, following this comment. Because Raw backend is always used to create kernel, ramdisk and disk.config, the supports_encryption() method, called in the Image initializer, would have to know the disk name but this information is not available in the base class. I could add disk_name as a parameter to the Image initializer but this goes counter to the base class containing only the basic information necessary for all classes. Unless I misunderstood what you had in mind.</t>
  </si>
  <si>
    <t>providing::advice::implications::of::suggestion::refactoring::(move::logic::parent::class::instead::of::sub::classes)</t>
  </si>
  <si>
    <t>Patchset 72, Why not add the disk_name as a subclass member above this conditional, and then invoke supports_encryption() and reference self.disk_name in the subclass implementation? You wouldn't need to add any disk_name parameter then and the base class implementation of supports_encryption would be clean and simple (i.e., return False).</t>
  </si>
  <si>
    <t>not::approval::for::submitting20</t>
  </si>
  <si>
    <t>Patchset 72, Daniel</t>
  </si>
  <si>
    <t>Patchset 72, nit - why is this not called encryption_key_uuid?</t>
  </si>
  <si>
    <t>retracting::suggestion::refactoring::(renaming)</t>
  </si>
  <si>
    <t>Patchset 72, ignore this - I forgot about the prior patch that added this in</t>
  </si>
  <si>
    <t>not::approval::for::submitting21</t>
  </si>
  <si>
    <t>Patchset 74, Joel</t>
  </si>
  <si>
    <t>Patchset 74,  These lines should be removed rather than commented out.</t>
  </si>
  <si>
    <t>Patchset 75, Dan Genin, recheck no bug</t>
  </si>
  <si>
    <t>ready::approval::for::submitting35</t>
  </si>
  <si>
    <t>Patchset 75, David Ripton</t>
  </si>
  <si>
    <t>requesting::somebodyelse::for::approval::for::submitting31</t>
  </si>
  <si>
    <t>Patchset 75, Joel</t>
  </si>
  <si>
    <t>ready::approval::for::submitting36</t>
  </si>
  <si>
    <t>requesting::somebodyelse::for::approval::for::submitting32</t>
  </si>
  <si>
    <t>ready::approval::for::submitting37</t>
  </si>
  <si>
    <t>Patchset 75, Farr</t>
  </si>
  <si>
    <t>Patchset 75, recheck bug 1254890</t>
  </si>
  <si>
    <t>ready::approval::for::submitting38::(core::reviewer)</t>
  </si>
  <si>
    <t>Patchset 75, Daniel</t>
  </si>
  <si>
    <t>not::approval::for::submitting22</t>
  </si>
  <si>
    <t>Patchset 75, Sean</t>
  </si>
  <si>
    <t>asking::clarification::about::code::(default::value)</t>
  </si>
  <si>
    <t>Patchset 75, when do we expect to make this default True? It seems like after the recent issues with things like digital ocean, default true would be goodness.</t>
  </si>
  <si>
    <t>providing::clarification::about::code::(default::value)</t>
  </si>
  <si>
    <t>Patchset 75, Given that encryption is available only for LVM (implementations for Qcow2 and Raw are blocked due to broken encryption implementation in Qemu and loop device performance concerns, respectively) this is not likely any time soon.</t>
  </si>
  <si>
    <t>Patchset 75, Can you line these up with the starting quote after the paren above? Makes it much easier to read.</t>
  </si>
  <si>
    <t>Patchset 75, this bothers me a little bit. Is there nothing on the storage itself that lets us know it's encrypted?
The reason is for issues like changing the default ephemeral filesystem. There might be deployed encrypted environments, then the system is configured to not be encrypted, nova is restarted, now how is cleanup done of those guests.
It seems like the real switch would be around whether or not dmcrypt is available.</t>
  </si>
  <si>
    <t>providing::advice::about::code::(a::different::approach::than::existing::one)</t>
  </si>
  <si>
    <t>Patchset 75, Feb 27, 2014
this bothers me a little bit. Is there nothing on the storage itself that lets us know it's encrypted?
No, the prior patch (https://review.openstack.org/#/c/60621/23/nova/virt/libvirt/dmcrypt.py) uses raw cryptsetup so there's nothing on the storage to identify that the data is encrypted.</t>
  </si>
  <si>
    <t>Patchset 75, this doesn't seem like a safe way to handle this case. There has to be a better way to find this by uuid.</t>
  </si>
  <si>
    <t>support::clarification::about::code::(a::different::approach::than::existing::one)</t>
  </si>
  <si>
    <t>Patchset 75, Agreed. This may be because of how things are currently done. However, instance['name'] really should not be used in the volume name, especially if we care about isolation and security. If a silly admin were to configure his instance_name_format as:
instance-%(display_name)s
then a malicious user could potentially gain access to another's volume, conflict with it in some way, etc. It surely seems like we need a refactor of all the new and existing LV stuff to prevent that, and use the instance uuid (only) instead.</t>
  </si>
  <si>
    <t>asking::clarification::(need::of::new::BP)</t>
  </si>
  <si>
    <t>Patchset 75,  I assume that implementing this change for the unencrypted code path will require a blueprint?</t>
  </si>
  <si>
    <t>not::approval::for::submitting23</t>
  </si>
  <si>
    <t xml:space="preserve">Patchset 75, Dan </t>
  </si>
  <si>
    <t>Patchset 75, Same.</t>
  </si>
  <si>
    <t>Patchset 75, Please don't add unrelated whitespace damage.</t>
  </si>
  <si>
    <t>Patchset 76, Micro-nit on your imports in a test. Please don't do a new patch just to fix this, but if you're fixing other stuff...</t>
  </si>
  <si>
    <t>Patchset 76, these 5 third-party imports should all be in one block, not two</t>
  </si>
  <si>
    <t>Patchset 77, Dan Genin</t>
  </si>
  <si>
    <t>Patchset 79, with a newline separating them from the nova imports. The pep8 check should have caught that.</t>
  </si>
  <si>
    <t xml:space="preserve">Patchset 79, these three imports should be in the same block with contextlib/inspect/mock, </t>
  </si>
  <si>
    <t>providing::advice::about::suggestion::refactoring::(style::removing::unnecessary::newline)</t>
  </si>
  <si>
    <t>Patchset 79, They are. Should be stdlib imports, blank line, 3rd part imports, blank line, nova imports.</t>
  </si>
  <si>
    <t>asking::clarification::(need::to::move::logic)</t>
  </si>
  <si>
    <t>Patchset 79, Did this need to be moved from the beginning to the end? I'm not seeing why.</t>
  </si>
  <si>
    <t>providing::clarification::(need::to::move::logic)</t>
  </si>
  <si>
    <t>Patchset 79, _detach_encrypted_volumes() now uses domain info via get_instance_disk_info() to get the locations of the encrypted volumes. _undefine_domain() destroys domain info so it had to be moved to the end.</t>
  </si>
  <si>
    <t>ready::approval::for::submitting39</t>
  </si>
  <si>
    <t>Patchset 80, David</t>
  </si>
  <si>
    <t>requesting::somebodyelse::for::approval::for::submitting33</t>
  </si>
  <si>
    <t>ready::approval::for::submitting40</t>
  </si>
  <si>
    <t>Patchset 80, Peter</t>
  </si>
  <si>
    <t>requesting::somebodyelse::for::approval::for::submitting34</t>
  </si>
  <si>
    <t>ready::approval::for::submitting41</t>
  </si>
  <si>
    <t>Patchset 80, Joel</t>
  </si>
  <si>
    <t>requesting::somebodyelse::for::approval::for::submitting35</t>
  </si>
  <si>
    <t>not::approval::for::submitting24</t>
  </si>
  <si>
    <t>Patchset 80, Joe</t>
  </si>
  <si>
    <t>asking::clarification::(where::is::the::BP::implemented)</t>
  </si>
  <si>
    <t>Patchset 80, The blueprint states
"This feature makes it harder for an attacker to read VM disks, since it encrypts each one with a unique key that is not stored locally" I don't see any in trunk key manager that supports this.</t>
  </si>
  <si>
    <t>Patchset 80, why move this to the bottom?</t>
  </si>
  <si>
    <t>Patchset 80, An earlier review suggested that identifying LVM disks by filtering all volumes based on instance['name'], more recently instance['uuid'] (cf _lvm_disks()) is a bad idea, which made sense to me. So I reimplemented _detach_encrypted_volumes() to use domain xml info via get_instance_disk_info(). The reason _undefine_domain() had to be moved to the end is that if the domain is undefined as the first step during cleanup the xml info is no longer available.</t>
  </si>
  <si>
    <t>asking::clarification::(need::to::remove::code)</t>
  </si>
  <si>
    <t>Patchset 80, why remove this?</t>
  </si>
  <si>
    <t>providing::clarification::(need::to::remove::code)</t>
  </si>
  <si>
    <t>Patchset 80, To make it return information on LVM volumes rather than only file based image backends.</t>
  </si>
  <si>
    <t>not::approval::for::submitting25</t>
  </si>
  <si>
    <t>Patchset 80, Dan</t>
  </si>
  <si>
    <t>suggestion::refactoring::(cleaner::code)::with::code</t>
  </si>
  <si>
    <t>Patchset 80, It's really hard for me to look at this and know if it's right or not. I'm guessing this is looking at something like /dev/mapper/$foo to make sure that $foo ends with that suffix. Could you do something like this:
dev, mapper, target = path.split('/', 2)
return target.endswith(_dmcrypt_suffix) and '/' not in target
Would hate to have something be confused because I did this:
mkdir /dev/mapper/foo.$suffix
touch /dev/mapper/foo.$suffix/bar
Right? With what you have here, you might as well say:
return ("%s/" % _dmcrypt_suffix) in path
Which I don't think is what you're aiming for.</t>
  </si>
  <si>
    <t>objecting::suggestion::refactoring::(cleaner::code)::with::code</t>
  </si>
  <si>
    <t>Patchset 80, There is actually some reason behind this madness. Doing this
dev, mapper, target = path.split('/', 2)
assumes that the path has at least three components. If the path happens to be 'foo' or even 'foo/bar' the above will fail. That's why I used rpartition only after checking that there is at least one '/' in the path. Implementing your suggestion would also require checking that dev=='dev' and mapper=='mapper' so it would have to be
return target.endswith(_dmcrypt_suffix) and dev=='dev' and mapper=='mapper' and '/' not in target
which at least to my eye seems much less clear than the original.</t>
  </si>
  <si>
    <t>asking::clarification::(need::of::conditional)</t>
  </si>
  <si>
    <t>Patchset 80, Is this necessary? Meaning, won't info['VG'] be the right thing if images_volume_group is set? If it's not, it doesn't seem like taking the conf variable is the right thing to do either.</t>
  </si>
  <si>
    <t>providing::clarification::(need::of::conditional)</t>
  </si>
  <si>
    <t>Patchset 80, This path is exercised only by the snapshoting functionality, when an image already exists. The reason logical_volume_info() cannot be used to extract information about an encrypted image is that path points to the dmcrypt device rather than the actual logical volume.</t>
  </si>
  <si>
    <t>suggestion::refactoring::(extract::method)::with::code</t>
  </si>
  <si>
    <t>Patchset 80, I'd really like to see this be unified a bit. Can we wrap things like this into a helper function like:
def get_vol_name(self):
if self.ephemeral_key_id is None:</t>
  </si>
  <si>
    <t>objecting::suggestion::refactoring::(extract::method)::with::code</t>
  </si>
  <si>
    <t>Patchset 80, There is only one place this comes up so I don't know how much sense it makes to move this into a separate function. (My understanding, perhaps flawed, is that functions are usually introduced for code that is reused.) But if you think this will make the code clearer I am happy to make the change.</t>
  </si>
  <si>
    <t>Patchset 80, What's the point of this? Does something subclass it that changes it?</t>
  </si>
  <si>
    <t>Patchset 80, This function is used in Image superclass to figure out which backends support encryption. The default is False so any backend that supports encryption must overload this function.</t>
  </si>
  <si>
    <t>Patchset 80, Same hard-to-figure argument here.</t>
  </si>
  <si>
    <t>asking::advice::suggestion::refactoring::(cleaner::code)</t>
  </si>
  <si>
    <t>Patchset 80, Just following precedent (cf. LIbvirtDriver.swap_volume(), detach_volume(), etc.). How do you propose to make this clearer?</t>
  </si>
  <si>
    <t>Patchset 80, Maybe a self.maybe_encrypt() or something? Again, seems like this is really a bolt-on feature if we have "if thing: do other thing" everywhere in here.</t>
  </si>
  <si>
    <t>Patchset 80, As I wrote above it seems to introduce an additional level of indirection for someone reading the code but if you believe this makes it clearer I will be happy to make the change.
The alternative is to create a separate EncryptedLvm backend, which would certainly eliminate a lot of the conditionals here but will push them up into driver, because instance object does not know carry information on which backend is being used, and this info has to be extracted from the file system location of the disk, which is really cumbersome.</t>
  </si>
  <si>
    <t>Patchset 80, Is this related?</t>
  </si>
  <si>
    <t>Patchset 80, Since swap creation function, called as prepare_template(), does not accept a context argument it has to be removed from the kwargs. I believe this could actually be combined with lines 458-459 because swap disk is also "generated" but I didn't feel confident enough to move this around.</t>
  </si>
  <si>
    <t>mentioning::experience::in::project::(new::in::project)</t>
  </si>
  <si>
    <t>Patchset 80,  am relatively new to the project so I could easily be wrong in my opinions. Please see my rational for implementing encryption the way I did. If you don't find it convincing, however, I will defer to your greater experience.</t>
  </si>
  <si>
    <t>providing::clarification::(where::is::the::BP::implemented)</t>
  </si>
  <si>
    <t>Patchset 80, Joe, you are, of course, correct about the lack of key manager capable of serving unique keys. However, this situation is rapidly evolving and I believe that Barbican key manager may reach incubation status in the very near future.</t>
  </si>
  <si>
    <t>informing::existing::dependency::(another::project)::of::the::change</t>
  </si>
  <si>
    <t>Patchset 80, However, this situation is rapidly evolving and I believe that Barbican key manager may reach incubation status in the very near future.</t>
  </si>
  <si>
    <t>not::approval::for::submitting26</t>
  </si>
  <si>
    <t xml:space="preserve">Patchset 80, Joe, Do not merge
"Joe, you are, of course, correct </t>
  </si>
  <si>
    <t>informing::conflicts::with::existing::dependency::(another::project)::of::the::change::(egg::and::chicken)</t>
  </si>
  <si>
    <t>Patchset 80, Dan, this is a bit of a chicken and egg situation. But until we have a meaningful key manager (don't care what it is), This blueprint doesn't make any sense. So I would like to see a useful key manager first.</t>
  </si>
  <si>
    <t>agreeing::conflicts::with::existing::dependency::(another::project)::of::the::change::(egg::and::chicken)</t>
  </si>
  <si>
    <t>Patchset 80, That's fair enough. Thank you for clarifying the issue.</t>
  </si>
  <si>
    <t>not::approval::for::submitting27</t>
  </si>
  <si>
    <t>Patchset 80, John, Do not merge
Apologies, this has now missed</t>
  </si>
  <si>
    <t>FFE::(feature::freeze::exception)::missed::deadline</t>
  </si>
  <si>
    <t>Patchset 80, Apologies, this has now missed the Feature Freeze.</t>
  </si>
  <si>
    <t>Patchset 80, We hope to fast track this in once Juno opens. When Juno opens, please rebase this patch, and contact the -2 reviewer to get the patch restored and ready for review.</t>
  </si>
  <si>
    <t>review::restored::after::abandoned4</t>
  </si>
  <si>
    <t>informing::existing::dependency::(another::project)::of::the::change::are::ready</t>
  </si>
  <si>
    <t>Patchset 80, Now that Barbican is in incubation we can finally satisfy the blueprint requirement to encrypt instances with unique keys. The blueprint will be resubmitted for review shortly.</t>
  </si>
  <si>
    <r>
      <rPr>
        <rFont val="Arial"/>
      </rPr>
      <t xml:space="preserve">Patchset 82, Still -2, we need an approved blueprint before we can continue with the review.
Please take a look here:
</t>
    </r>
    <r>
      <rPr>
        <rFont val="Arial"/>
        <color rgb="FF1155CC"/>
        <u/>
      </rPr>
      <t>https://wiki.openstack.org/wiki/Blueprints#Nova</t>
    </r>
  </si>
  <si>
    <r>
      <rPr>
        <rFont val="Arial"/>
      </rPr>
      <t xml:space="preserve">Patchset 82, Please take a look here:
</t>
    </r>
    <r>
      <rPr>
        <rFont val="Arial"/>
        <color rgb="FF1155CC"/>
        <u/>
      </rPr>
      <t>https://wiki.openstack.org/wiki/Blueprints#Nova</t>
    </r>
  </si>
  <si>
    <t>review::restored::after::abandoned5</t>
  </si>
  <si>
    <t>Patchset 82, Dan</t>
  </si>
  <si>
    <t>referes::to::related::review</t>
  </si>
  <si>
    <r>
      <rPr>
        <rFont val="Arial"/>
      </rPr>
      <t xml:space="preserve">Patchset 82, The main blocking issue -- lack of a secure key manager -- is addressed by adding Barbican </t>
    </r>
    <r>
      <rPr>
        <rFont val="Arial"/>
        <color rgb="FF1155CC"/>
        <u/>
      </rPr>
      <t>https://blueprints.launchpad.net/nova/+spec/encryption-with-barbican.</t>
    </r>
  </si>
  <si>
    <t>suggestion::content::change::(commit::message::BP::referenced)</t>
  </si>
  <si>
    <t>Patchset 82, hmm, did you mean:
https://blueprints.launchpad.net/nova/+spec/lvm-ephemeral-storage-encryption
so blueprint lvm-ephemeral-storage-encryption ?</t>
  </si>
  <si>
    <t xml:space="preserve">Patchset 83, John </t>
  </si>
  <si>
    <t>Patchset 83, hmm, did you mean:
https://blueprints.launchpad.net/nova/+spec/lvm-ephemeral-storage-encryption
so blueprint lvm-ephemeral-storage-encryption ?</t>
  </si>
  <si>
    <t>objecting::informing::conflicts::with::existing::dependency::(another::project)::of::the::change::(egg::and::chicken)</t>
  </si>
  <si>
    <r>
      <rPr>
        <rFont val="Arial"/>
      </rPr>
      <t xml:space="preserve">Patchset 83, Barbican wrapper spec has already merged </t>
    </r>
    <r>
      <rPr>
        <rFont val="Arial"/>
        <color rgb="FF1155CC"/>
        <u/>
      </rPr>
      <t>https://review.openstack.org/#/c/94918/</t>
    </r>
  </si>
  <si>
    <t>Patchset 85, Joe</t>
  </si>
  <si>
    <t>Patchset 87, Mike</t>
  </si>
  <si>
    <t>informing::using::GATE::(testing::platform)::for::pep8::due::to::they::are::not::working</t>
  </si>
  <si>
    <r>
      <rPr>
        <rFont val="Arial"/>
      </rPr>
      <t xml:space="preserve">Patchset 87, My apologies for using the gate for pep8 checking but unit testing scripts do not appear to be working at the moment </t>
    </r>
    <r>
      <rPr>
        <rFont val="Arial"/>
        <color rgb="FF1155CC"/>
        <u/>
      </rPr>
      <t>https://bugs.launchpad.net/nova/+bug/1351892.</t>
    </r>
  </si>
  <si>
    <t>Patchset 87, Should be like this:
import contextlib
import inspect
import os
import shutil
import tempfile
import fixtures
import mock
from oslo.config import cfg</t>
  </si>
  <si>
    <t>Patchset 88, Daniel</t>
  </si>
  <si>
    <t>suggestion::refactoring::(style::comments/documentation)</t>
  </si>
  <si>
    <t>Patchset 88, E265 block comment should start with '# '</t>
  </si>
  <si>
    <t>asking::clarification::about::code::(reason::of::changing::code)</t>
  </si>
  <si>
    <t>Patchset 88, You've significantly changed the conditionals here - was that intentional or a conflict rebase mistake ?
Previously cleanup_lvm/cleanup_rbd were run 'if destroy_disks'.
Now they are run 'if destroy_disks or is_shared_block_storage
I don't see why adding encryption would require such a change in logic.</t>
  </si>
  <si>
    <t>providing::clarification::about::code::(reason::of::changing::code)</t>
  </si>
  <si>
    <t>Patchset 88, I misread this condition. I thought disk was destroyed if migrate_data.get('is_shared_block_storage') == False. This would make sense, since if storage is not shared we would want to release resources after migration. This should be done for LVM and RBD as well as for qcow2 and raw. Now, I am not sure what this actually does, so I will revert it.</t>
  </si>
  <si>
    <t>Patchset 88, Why move this line, it doesn't seems to have an obvious purpose.</t>
  </si>
  <si>
    <t>Patchset 88, I need domain info to figure out which volumes belong to the instance without relying on the volume name semantics. Using volume name as an ownership tag was objected to in a prior review.</t>
  </si>
  <si>
    <t>Patchset 88, Indentation is too deep here. Stick to 4 space indent</t>
  </si>
  <si>
    <t>Patchset 88, Why are you removing this. You are likely going to break scenarios where the disk type == network or pool, as your new code only considers type=file or type=block.</t>
  </si>
  <si>
    <t>Patchset 88, Good point, I thought 'file' and 'volume' were the only options. 'pool' is new, correct?</t>
  </si>
  <si>
    <t>providing::advice::about::code::(reason::of::changing::code)</t>
  </si>
  <si>
    <t>Patchset 88, I didn't mean 'pool', rather 'volume'. Either way we should only process things we know we can handle, so this disk_type check shouldn't be removed otherwise this code tries to run for type=volume/type=network with bad results.</t>
  </si>
  <si>
    <t>suggestion::change::(add::documentation)</t>
  </si>
  <si>
    <t>Patchset 88, Can you add a comment as to why we're returning 'True' for kenrel/ramdisk/disk.config. I'm guessing we're doing that because the contain no sensitive info and we don't want to deal with properly supporting encryption of them, so we're just lieing ?</t>
  </si>
  <si>
    <t>Patchset 88, We could encrypt these once encryption is supported for raw, although, I think you are right about these files typically not being sensitive. We have to lie currently because otherwise we can't boot the instance. I will add a comment explaining this.</t>
  </si>
  <si>
    <t>asking::advice::about::code::and::documentation::(functionallity)</t>
  </si>
  <si>
    <t>Patchset 89, The same is likely to be true for RBD but I don't know if its size can be obtained using blockdev.</t>
  </si>
  <si>
    <t>providing::advice::about::code::and::documentation::(functionallity)</t>
  </si>
  <si>
    <t>Patchset 89, I think you've got the wrong type here. LVM disks are configured using 'block' not 'volume'. The type=volume is a feature that's being added to nova in a separate patch.
RBD can't use blockdev because the images don't appear in the filesystem at all - the size is only obtainable via the rbd apis. The same is true of any type=network (of which RBD is one)
To be clear
type=file - plain files in filesystem
type=block - block device nodes in /dev
type=network - network protocols like rbd/iscsi/etc with no /dev mapping
type=volume - indirect reference to libvirt storage volume API</t>
  </si>
  <si>
    <t>Patchset 89, Daniel</t>
  </si>
  <si>
    <t>reminder::previous::comment</t>
  </si>
  <si>
    <t>Patchset 94, Nit-pick, you were going to add a comment to this code describing why we're lieing here.</t>
  </si>
  <si>
    <t>Patchset 94, Nit-pick, can remove this unrelated whitespace line insertion</t>
  </si>
  <si>
    <t>Patchset 94, Daniel</t>
  </si>
  <si>
    <t>Patchset 97, Daniel</t>
  </si>
  <si>
    <t>Patchset 102, recheck bug 1353131</t>
  </si>
  <si>
    <t>Patchset 102, Daniel</t>
  </si>
  <si>
    <t>Patchset 102, recheck no bug 1349617</t>
  </si>
  <si>
    <t>Patchset 102, recheck bug 1349617</t>
  </si>
  <si>
    <t>requesting::of::checking::different::bug6</t>
  </si>
  <si>
    <t>Patchset 103, recheck 1357578</t>
  </si>
  <si>
    <t>Patchset 103, Joel</t>
  </si>
  <si>
    <t>Patchset 103, Farr</t>
  </si>
  <si>
    <t>Patchset 103, Daniel</t>
  </si>
  <si>
    <t>informing::recheck::(migrations)</t>
  </si>
  <si>
    <t>Patchset 103, Sorry, this has not yet been approved, so this will have to wait until kilo. Please contact me on IRC, or via email, for more details. Thank you. --johnthetubaguy 3rd September 2014</t>
  </si>
  <si>
    <t>Patchset 103, John</t>
  </si>
  <si>
    <t>Patchset 105, Jay</t>
  </si>
  <si>
    <t>Patchset 105, nit: align the group= to the ephemeral_ above it...</t>
  </si>
  <si>
    <t>suggestion::change::(documentation::replace::docstring::with::comments)</t>
  </si>
  <si>
    <t>Patchset 105, just FYI, try to avoid docstrings on test case methods (use # comments instead), because for most test runners, it replaces the method name with the docstring which inevitably gets truncated for longer strings like this, which means the test output becomes indecipherable. :)</t>
  </si>
  <si>
    <t>Patchset 105, nits: Remember assertEqual()'s arguments are (expected, actual), not the other way around. It affects the failure message displayed by the testtools matcher for assertEqual().
Overall, excellent work on this test case, though. Well done.</t>
  </si>
  <si>
    <t>Patchset 105, nits: here and throughout this file.. alignment of the mock.Mock('s are off.</t>
  </si>
  <si>
    <t>Patchset 105, pretty sure there's no need for the \ above :)</t>
  </si>
  <si>
    <t>Patchset 105, Please use self.flag() instead of the CONF.set_override()</t>
  </si>
  <si>
    <t>Patchset 105, and source_format not in ('lvm', 'rbd')</t>
  </si>
  <si>
    <t>suggestion::refactoring::(typo)</t>
  </si>
  <si>
    <t>Patchset 105, s/neccessary/necessary</t>
  </si>
  <si>
    <t>suggestion::refactoring::(style::avoid::errors::from::ducktyping)::with::code</t>
  </si>
  <si>
    <t>Patchset 105, You should use:
if self.ephemeral_key_uuid is not None:
to be consistent with your usage of:
if self.ephemeral_key_uuid is None:
below, and to avoid bad things from ducktyping.</t>
  </si>
  <si>
    <t>Patchset 105,  use is not None</t>
  </si>
  <si>
    <t>Patchset 105, I would imagine there should be a try: except: block around the above? What happens if the key isn't found? What happens if the key manager has a fault?</t>
  </si>
  <si>
    <t>objecting::suggestion::change::(wrapp::with::exception)</t>
  </si>
  <si>
    <t>Patchset 105, I believe the exception would be caught in the key_manager, which is the abstract interface to the real key manager. However, you absolutely right that the key should be checked.</t>
  </si>
  <si>
    <t>Patchset 106, Jay Pipes</t>
  </si>
  <si>
    <t>FFE::(feature::freeze::exception)::sponsorship</t>
  </si>
  <si>
    <t>Patchset 106, jay Thanks for those cleanups. Consider this a +2 and a sponsorship of the FFE.</t>
  </si>
  <si>
    <t>Patchset 106, Sean</t>
  </si>
  <si>
    <t>informing::error::unit::test</t>
  </si>
  <si>
    <t>Patchset 106, Sorry, made a silly mistake in a unit test.</t>
  </si>
  <si>
    <t>Patchset 106, John Garbutt</t>
  </si>
  <si>
    <t>Patchset 107,  John</t>
  </si>
  <si>
    <t>Patchset 107, Sean +2</t>
  </si>
  <si>
    <t>Patchset 107,  Daniel</t>
  </si>
  <si>
    <t>Patchset 107, recheck xenserver</t>
  </si>
  <si>
    <t>Patchset 107, reverify no bug</t>
  </si>
  <si>
    <t>requesting::of::checking::different::bug7</t>
  </si>
  <si>
    <t>Patchset 107, reverify bug 1254890</t>
  </si>
  <si>
    <t>description BIC, Closes-Bug: 1432913</t>
  </si>
  <si>
    <t>e.g., patch 12</t>
  </si>
  <si>
    <t>from patchset 2 onwards</t>
  </si>
  <si>
    <t>description BIC, Change-Id: I29c89e9a17f9a170dbe61e4fe14672d481c4fb78</t>
  </si>
  <si>
    <t>description BIC, Updating vmops.py to pull vm_mode and auto_disk_config from the image during rescue mode to ensure the vm is properly built based on the image properties in the image_meta dictionary.</t>
  </si>
  <si>
    <t>Patchset 1, Tim, I fat fingered an extra tab after the else. I need to submit a patch set #2.</t>
  </si>
  <si>
    <t>informing::error::in::code</t>
  </si>
  <si>
    <t>Patchset 1,  Tim</t>
  </si>
  <si>
    <t>Patchset 1,  Laski</t>
  </si>
  <si>
    <t>Patchset 1,  A couple of comments inline. Another approach to this for the vm_mode would be to modify vm_utils.determine_vm_mode() to not pull the vm_mode from the instance in rescue. Although I might make it more general like adding a 'ignore_instance_mode=False' parameter and then skip the current_mode logic at the top if that is True.</t>
  </si>
  <si>
    <t>Patchset 1, The first line here should be a simple title, &lt; 52 chars is recommended. Something like "xenapi: pull vm_mode and auto_disk_config from image during rescue".
Then add the more descriptive text in a body paragraph.</t>
  </si>
  <si>
    <t>Patchset 1, The first line here should be a simple title, &lt; 52 chars is recommended.</t>
  </si>
  <si>
    <t>Patchset 1, rescue doesn't seem to be defined here.</t>
  </si>
  <si>
    <t>Patchset 1, I'm guessing, based on the red arrows here, that you're using tabs rather than spaces. You should update your editor to make a tab into 4 spaces and change these to use spaces.</t>
  </si>
  <si>
    <t>Patchset 1, This logic is fine, but could be written a little more succinctly. I would recommend something like:
mode = vm_utils.determine_vm_mode(instance, disk_image_type)
if rescue:
    rescue_vm_mode = image_meta['properties'].get('vm_mode')
    if rescue_vm_mode is not None:
        mode = rescue_mode
    else:
        LOG.debug("Unable to read vm_mode from rescue image')</t>
  </si>
  <si>
    <t>suggestion::change::(change::the::used::value::of::variable)</t>
  </si>
  <si>
    <t>Patchset 1, This should be 'auto_disk_config' rather than 'vm_mode'.</t>
  </si>
  <si>
    <t>Patchset 1, Same thing here. Set auto_disk_config and then override it if it's found in image_meta.</t>
  </si>
  <si>
    <t>Patchset 3, This should be reworked. See my comments on patchset 1.</t>
  </si>
  <si>
    <t>Patchset 3, I'm going to backtrack a little on my earlier comments, sorry. I didn't realize that image_meta was necessary here as most of the logic is around os_type or disk_image_type. The reality seems to be that current_mode is derived from image_meta properties early on and that's what is used. Since the logic after line #1648 doesn't seem to come into play you should move this back out to vmops.py.</t>
  </si>
  <si>
    <t>Patchset 3, Tab</t>
  </si>
  <si>
    <t>Patchset 7, TIm</t>
  </si>
  <si>
    <t>informing::switching::used::editor</t>
  </si>
  <si>
    <t>Patchset 7, Jumped to patch set 7, had blank whitespace that I couldn't see in vim and had to use another editor.</t>
  </si>
  <si>
    <t>Patchset 7, Two minor things in testing, otherwise lgtm.</t>
  </si>
  <si>
    <t>Patchset 8, Tim</t>
  </si>
  <si>
    <t>informing::tests::results</t>
  </si>
  <si>
    <t>Patchset 8, Unit tests results:
======
Totals
Ran: 214 tests in 20.0000 sec.
Passed: 214
Skipped: 0
Expected Fail: 0
Unexpected Success: 0
Failed: 0
Sum of execute time for each test: 4.9239 sec.
==============
Worker Balance
Worker 0 (214 tests) =&gt; 0:00:05.425886s
____ summary _
py27: commands succeeded
congratulations :)</t>
  </si>
  <si>
    <t>justifying::no::need::of::new::tests</t>
  </si>
  <si>
    <t>Patchset 8, There is already a unit test to test for rescue=True during spawn so it doesn't appear new tests are required. Unit tests completed successfully after updated.</t>
  </si>
  <si>
    <t>Patchset 8, Going to re run all tests as jenkins founds other tests which may be impacted.</t>
  </si>
  <si>
    <t>Patchset 11, Andrew</t>
  </si>
  <si>
    <t>Patchset 11, mode = vm_mode.canonicalize(rescue_vm_mode) should be used. Otherwise there's a chance of having an image property that doesn't do what's expected.</t>
  </si>
  <si>
    <t>Patchset 11, You should remove the final sentence, or populate the auto_disk_config value in the log line.</t>
  </si>
  <si>
    <t>informing::recheck</t>
  </si>
  <si>
    <t>Patchset 12, Andrew</t>
  </si>
  <si>
    <t>Patchset 12, Tim</t>
  </si>
  <si>
    <t>Patchset 12, Andy</t>
  </si>
  <si>
    <t>Patchset 12, Joel</t>
  </si>
  <si>
    <t>wait::until::CI::(e.g.,Xenserver)::pass:.(green)::before::approval</t>
  </si>
  <si>
    <t>Patchset 12, I think this looks good, but I am worried about the XenServer CI failures, I want to see a green run before we approve this.</t>
  </si>
  <si>
    <t>Patchset 12, recheck xenserver</t>
  </si>
  <si>
    <t>Patchset 12, Jay</t>
  </si>
  <si>
    <t>suggestion::change::(content::logging::not::misleading)</t>
  </si>
  <si>
    <t>Patchset 12, Not sure the above debug message is useful. In fact, it could be harmful in that it may cause an admin to pause, thinking there's something wrong going on here. If you absolutely need to add this debug message, consider changing the message to something like:
"vm_mode not found in original instance image properties. Setting vm_mode to
XXX"</t>
  </si>
  <si>
    <t>e.g., patchset 4 and 2</t>
  </si>
  <si>
    <t>vmops from patchset 3, tthe same for vm utils</t>
  </si>
  <si>
    <t>description BIC, Change-Id: I1bec4f009285f7991eaaa8155329366a4eba5e1f</t>
  </si>
  <si>
    <t>description BIC, The flavor extra specs for quotas has been extended to support
 quota:cpu_limit - upper bound of CPU allocation (MHz)
 quota:cpu_reservation -  guaranteed minimum CPU allocation (MHz)
This enables the VMware driver to provide enable CPU allocations
for the running instance.</t>
  </si>
  <si>
    <t>Patchset 2, Thanks, Gary. Just a couple of minor things after a quick look.</t>
  </si>
  <si>
    <t>Patchset 2, Vul</t>
  </si>
  <si>
    <t>Patchset 2, typo: utilization, guaranteed</t>
  </si>
  <si>
    <t>Patchset 2, typo: utilization, guaranteed
perhaps be more specific with:
'guaranteed minimum CPU allocation'
'upper bound of CPU allocation'</t>
  </si>
  <si>
    <t>Patchset 2, I like that we check and don't specify the allocation if there is none to be set, but right now allocations is never None. The logic needs to be tweaked a bit here or in vmops where we check to see if any of the relevant extra specs are set.</t>
  </si>
  <si>
    <t>Patchset 3, garyk</t>
  </si>
  <si>
    <t>informing::recheck::(xenserver)</t>
  </si>
  <si>
    <t>Patchset 3, Note you should be able to just do:
from nova import objects
and then below do this (shorter) expression:
flavor = objects.Flavor.get_by_id(...)</t>
  </si>
  <si>
    <t>Patchset 3, Jay</t>
  </si>
  <si>
    <t>Patchset 3, Davanum</t>
  </si>
  <si>
    <t>request::of::rebase</t>
  </si>
  <si>
    <t>Patchset 3, Davanum, @Garyk, can you please rebase this patch?</t>
  </si>
  <si>
    <t xml:space="preserve">Patchset 4, Jiang </t>
  </si>
  <si>
    <t>Patchset 4, Jiang, It's suggested to use mock, but I'm not strong here.</t>
  </si>
  <si>
    <t>Patchset 4, Qin</t>
  </si>
  <si>
    <t>suggestion::refactoring::(use::loop)</t>
  </si>
  <si>
    <t>Patchset 4, Gary, will this loop make the code looks simpler?
allocations = {}
for key in ('cpu_limit', 'cpu_reservation'):
value = flavor.extra_specs.get('quota:' + key)
if value: allocations[key] = int(value)
return allocations
I see you have strong checking in util.py. Returning None or empty dict are both ok, right?</t>
  </si>
  <si>
    <t>Patchset 6, Qin</t>
  </si>
  <si>
    <t>suggestion::change::(solution::design)</t>
  </si>
  <si>
    <t>Patchset 6, If we can assume that the elements in allocations must be either 'cpu_limit' or 'cpu_reservation', I feel we needn't double check if these two are in this dict. Gary, do you think the following code works? If the attribute of allocation is None, will anything be impacted?
If allocations is not None and len(allocations) &gt; 0:
allocation = client_factory.create('ns0:ResourceAllocationInfo')
allocation.limit = allocations.get('cpu_limit')
allocation.reservation = allocations.get('cpu_reservation')
config_spec.cpuAllocation = allocation</t>
  </si>
  <si>
    <t>objecting::suggestion::change::(solution::design)</t>
  </si>
  <si>
    <t>Patchset 6, I do not think that we should do that. If the limit or the reservation is not set then we do not want them to be part of the config spec.</t>
  </si>
  <si>
    <t xml:space="preserve">Patchset 7, I rebased it on master - see comment by Jeremy Stanley on https://review.openstack.org/#/c/109836/
</t>
  </si>
  <si>
    <t>Patchset 8, Daniel</t>
  </si>
  <si>
    <t>Patchset 8, reverify bug 1353131</t>
  </si>
  <si>
    <t>Patchset 9, garyk</t>
  </si>
  <si>
    <t>description BIC, Closes-bug: #1414065</t>
  </si>
  <si>
    <t>e.g., patchset 8</t>
  </si>
  <si>
    <t>description BIC, I6fcbfa31a79c7808c861bb3a84b56bd096882004</t>
  </si>
  <si>
    <t>description BIC, The current live migration code simply invokes migrateToURI
and waits for it to finish, or raise an exception. It considers
all exceptions to mean the live migration aborted and the VM is
still running on the source host. This is totally bogus, as there
are a number of reasons why an error could be raised from the
migrateToURI call. There are at least 5 different scenarios for
what the VM might be doing on source + dest host upon error.
The migration might even still be going on, even if after the
error has occurred</t>
  </si>
  <si>
    <t>description BIC, This change to do active monitoring of the live migration process also opens the door for being able to tune live migration on the
fly to adjust max downtime or bandwidth to improve chances of
getting convergence, or to automatically abort it after too much
time has elapsed instead of letting it carry on until the end of
the universe. This change merely records memory transfer progress
and leaves tuning improvements to a later date.</t>
  </si>
  <si>
    <t>Patchset 1, Nikola</t>
  </si>
  <si>
    <t>suggestion::refactoring::(change::data::structure)</t>
  </si>
  <si>
    <t xml:space="preserve">Patchset 1, Define a namedtuple?
</t>
  </si>
  <si>
    <t>objecting::suggestion::refactoring::(change::data::structure)</t>
  </si>
  <si>
    <t>Patchset 1, This list is the data format returned by libvirt jobInfo() API which we can't control. We also optionally use the jobStats() API which returns the same information but in a dict. So I decided having a proper object to map both libvirt data types into made most sense.</t>
  </si>
  <si>
    <t>Patchset 1, Opps, completely screwed up unit tests in this posting.</t>
  </si>
  <si>
    <t>Patchset 1, Daniel</t>
  </si>
  <si>
    <t>Patchset 2, Daniel recheck</t>
  </si>
  <si>
    <t>Patchset 2, s/convergance/convergence/</t>
  </si>
  <si>
    <t>referes::to::related::BP</t>
  </si>
  <si>
    <r>
      <rPr>
        <rFont val="Arial"/>
      </rPr>
      <t xml:space="preserve">Patchset 2, FYI: </t>
    </r>
    <r>
      <rPr>
        <rFont val="Arial"/>
        <color rgb="FF1155CC"/>
        <u/>
      </rPr>
      <t>https://blueprints.launchpad.net/nova/+spec/refresh-abort-live-migration</t>
    </r>
  </si>
  <si>
    <t>Patchset 2, Might be easier to read to just use two variables instead of a 2-valued list... that way the below could instead read something like:
self.assertEqual(post_method_called, expect_success)
self.assertEqual(recover_method_called, not expect_success)</t>
  </si>
  <si>
    <t>Patchset 2, self.assertFalse(mock_info.called)</t>
  </si>
  <si>
    <t>Patchset 2, You don't use the isActive variable anywhere other than line 5343, so just make line 5343:
if dom.isActive():</t>
  </si>
  <si>
    <t>support::suggestion::refactoring::(simpler::code)::with::code</t>
  </si>
  <si>
    <t>Patchset 2, Still, Agreed.</t>
  </si>
  <si>
    <t>asking::clarification::log::(content::logging::misleading)</t>
  </si>
  <si>
    <t>Patchset 2, Do we really think this message is debug and not info or error? Would an admin care about the contents of ex while debugging a failed migration?</t>
  </si>
  <si>
    <t>Patchset 2, I feel a bit like this should be info, but every 5 seconds is possibly too frequently to log at info level? I certainly feel like an admin would want access to this data without turning debug on.</t>
  </si>
  <si>
    <t>suggestion::refactoring::(how::often::log)</t>
  </si>
  <si>
    <t xml:space="preserve">Patchset 2, I feel a bit like this should be info, but every 5 seconds is possibly too frequently to log at info level? </t>
  </si>
  <si>
    <t>support::suggestion::refactoring::(how::often::log)</t>
  </si>
  <si>
    <t>Patchset 2, Yep, we could log some of this at info level. How about we do every 30 seconds at info, and the rest at debug, since an admin is only going to care about this info in the logs, if the migration starts to take a very long time.</t>
  </si>
  <si>
    <t>Patchset 2, Probably should be an INFO level message here, as it represents a successful atomic unit of work.</t>
  </si>
  <si>
    <t>Patchset 2, I believe this should this be greenthread.sleep(0.5)?</t>
  </si>
  <si>
    <t>asking::clarification::suggestion::refactoring::(use::method/function)</t>
  </si>
  <si>
    <t>Patchset 2, eventlet patches time.sleep, no?</t>
  </si>
  <si>
    <t>suggestion::refactoring::(consistency)</t>
  </si>
  <si>
    <t>Patchset 2, We should probably be consistent with what sleep() we use. time.sleep() would work here as well.</t>
  </si>
  <si>
    <t>suggestion::refactoring::(consistency::docstring)</t>
  </si>
  <si>
    <t>Patchset 2, Triple double quotes, please, to be consistent with the other docstrings.</t>
  </si>
  <si>
    <t>Patchset 2, Jay Pipes</t>
  </si>
  <si>
    <t>Patchset 2, -1 for the few nits, but really soft -1 :)</t>
  </si>
  <si>
    <t>Patchset 2, Still</t>
  </si>
  <si>
    <t>Patchset 2, missing log hint _LI</t>
  </si>
  <si>
    <t>Patchset 4, i think that we should maybe try and do the translation or log hint.</t>
  </si>
  <si>
    <t>Patchset 5, it may be worthwhile adding instance=instance here - it may help with debugging</t>
  </si>
  <si>
    <t>suggestion::change::(change::input::parameter)</t>
  </si>
  <si>
    <t>Patchset 5, you may want to update the instance progress instance.progress = progress where progress is a % of the operation - this may give visibility the actual user.
we can calculate the progress here as we have the remaining and the processed</t>
  </si>
  <si>
    <t>Patchset 5, alignment</t>
  </si>
  <si>
    <t>Patchset 6, Jay Pipes</t>
  </si>
  <si>
    <t>Patchset 6, Wondering what this non-determinstic python error means if anyone has hints...
ft1.12172: nova.tests.unit.virt.libvirt.test_driver.LibvirtConnTestCase.test_live_migration_monitor_success_StringException
marking WIP until we figure out what's causing this random failure</t>
  </si>
  <si>
    <t>Patchset 6, Why pass here?</t>
  </si>
  <si>
    <t>Patchset 6, I guess it's just a no-op. Unless there's something I misunderstand?</t>
  </si>
  <si>
    <t>Patchset 6, Where is the VM running? Are we in case 2 or 4 from the comment above?</t>
  </si>
  <si>
    <t>Patchset 6, This code all runs on the source host so this dom.isActive() check is only related to the source host.</t>
  </si>
  <si>
    <t>Patchset 6, is info.type just a number as in fakelibvirt? This isn't a very friendly message if so.</t>
  </si>
  <si>
    <t>Patchset 6, Can't we put this block up with #5502?</t>
  </si>
  <si>
    <t>Patchset 6, I think it is better to have it here. The previous if block is focused on fixing up the potentially incorrect info.type values. This block is focused on actually acting upon the different states.</t>
  </si>
  <si>
    <t>Patchset 6, Matthew</t>
  </si>
  <si>
    <t>informing::research::error::unit::test</t>
  </si>
  <si>
    <t>Patchset 7, Looks like the unit tests issue still exists:
{0} nova.tests.unit.virt.libvirt.test_driver.LibvirtConnTestCase.test_live_migration_monitor_failed [] ... inprogress
2015-02-17 16:39:10.955 | {3} nova.tests.unit.virt.libvirt.test_driver.LibvirtConnTestCase.test_live_migration_monitor_success_race [] ... inprogress</t>
  </si>
  <si>
    <t>informing::error::unit::test::(where:.and::when)</t>
  </si>
  <si>
    <t>Patchset 7, More interesting is that the tests are dieing with a segfault which is really bizarre
2015-02-17 16:36:35.805 | Segmentation fault
2015-02-17 16:36:35.824 |
2015-02-17 16:39:02.502 | Segmentation fault
I'm struggling to explain why they'd segfault in what should be pure python code. Perhaps memory exhuastion</t>
  </si>
  <si>
    <t>informing::reason::error::unit::test</t>
  </si>
  <si>
    <t>Patchset 7, Ah ha, it is indeed memory exhaustion. We've mocked time.sleep, but are not setting up the side-effect for it until half way through the test. So if we're unlucky enough to have the greenthread rescheduled before we setup the side affect, another thread may start running with this no-op time.sleep call. As it happens there is just such a thread, the oslo messaging fake driver, which relies on time.sleep not being a no-op. And construction of the LibvirtDriver object instance has code which triggers an eventlet rescheduled. So we're switching into the olos messaging thread before we setup the side effect, this then runs in tight loop and exhuasts all memory. Which is a predictably bad idea.</t>
  </si>
  <si>
    <r>
      <rPr>
        <rFont val="Arial"/>
      </rPr>
      <t xml:space="preserve">Patchset 7,  I was suspicious of the mocking of time.sleep, which is why I finally got around to putting up </t>
    </r>
    <r>
      <rPr>
        <rFont val="Arial"/>
        <color rgb="FF1155CC"/>
        <u/>
      </rPr>
      <t>https://review.openstack.org/#/c/156584/</t>
    </r>
  </si>
  <si>
    <t>asking:.clarification::about::the::reason::error::unit::test</t>
  </si>
  <si>
    <t>Patchset 7, I was suspicious of the mocking of time.sleep, which is why I finally got around to putting up https://review.openstack.org/#/c/156584/
Does this mean that any test that mocks time.sleep and doesn't set the new behaviour at the exact same time (ie in the decorator) has a race condition? I wonder how many that is...?
Not voting on this PS as I assume a new one will appear at some point.</t>
  </si>
  <si>
    <t>providing:.clarification::about::the::reason::error::unit::test</t>
  </si>
  <si>
    <t>Patchset 7, It depends whether there is any code in between the creation of the mock and the setting up of the side effect that will trigger a greenthread reschedule. eg things which do I/O, or which explicitly use greenthread APIs. In the libvirt case here there were cases of the latter at least.</t>
  </si>
  <si>
    <t>Patchset 8, Matthew</t>
  </si>
  <si>
    <t>informing::passed::error::unit::test</t>
  </si>
  <si>
    <t>Patchset 8, Hurrah, it seems the tests are finally passing, so the time.sleep thing was the problem.</t>
  </si>
  <si>
    <t>asking::clarification::about::code::(conditional::with::break)</t>
  </si>
  <si>
    <t>Patchset 8, should this also be a break out condition?</t>
  </si>
  <si>
    <t>providing::clarification::about::code::(conditional::with::break)</t>
  </si>
  <si>
    <t>Patchset 8, It is hard to predict the future, so in turn hard to say whether it would be better to break the loop or just ignore it. My gut feeling was though that its better to ignore it, so that we give migration best chance to succeed. It would be pretty unexpected for libvirt to introduce a new job type that would cause backwards compat problems, so that again suggests ignoring is ok.</t>
  </si>
  <si>
    <t>Patchset 8, I feel like we should document how old of a libvirt or python-libvirt we are that we expect this to fail, so that some time in the future we could remove to old compat code.</t>
  </si>
  <si>
    <t>objecting::suggestion::change::(documentation::docstring)</t>
  </si>
  <si>
    <t>Patchset 8, FWIW, that's obtainable from libvirt API support matrix http://libvirt.org/hvsupport.html - basically we'd need 1.0.3 before we could drop it for KVM, but it is not supported by libvirt Xen at all, so realistically we'll need it indefinitely.</t>
  </si>
  <si>
    <t>Patchset 8, Sean</t>
  </si>
  <si>
    <t>Patchset 8, garyk</t>
  </si>
  <si>
    <t>Patchset 8, Sahid</t>
  </si>
  <si>
    <t>Patchset 8, Michael</t>
  </si>
  <si>
    <t>description BIC, Co-authored-by: Pavel Kravchenco &lt;kpavel@il.ibm.com&gt;
Co-authored-by: Alexey Roytman &lt;roytman@il.ibm.com&gt;</t>
  </si>
  <si>
    <t>e.g., patchset 3</t>
  </si>
  <si>
    <t>from patchset 4</t>
  </si>
  <si>
    <t>description BIC, Change-Id: I51645687249c75e7776a684f19529a1e78f33a41</t>
  </si>
  <si>
    <t>description BIC, DocImpact: new config options</t>
  </si>
  <si>
    <t>description BIC, Summary:
* provide a pluggable ServiceGroup monitoring API
* refactor the old DB-based implementation to the new API
Currently nova compute nodes periodically write to the database (every
10 seconds by default) to report their liveness.  This implementation
factors out this functionality and make it a set of abstract internal
APIs with a pluggable backend implementation.  Currently it's named as
ServiceGroup APIs.</t>
  </si>
  <si>
    <t>noticing::wrong::information(co::authors::commit)</t>
  </si>
  <si>
    <t>Patchset 2, Should be Co-authored-by: and real emails in the commit message.</t>
  </si>
  <si>
    <t>informing::changes::commit::message</t>
  </si>
  <si>
    <t>Patchset 3, patch 3: commit message only change.</t>
  </si>
  <si>
    <t>suggestion::refactoring::(simpler::code)</t>
  </si>
  <si>
    <t>Patchset 3, I believe this can now be pruned</t>
  </si>
  <si>
    <t>Patchset 3, Can we name this DbDriver instead of DB_Driver, to better align with other driver class names in Nova? See, for example:</t>
  </si>
  <si>
    <t>Patchset 3, Ideally, there should be an efficient get_one implemented here using .order_by(func.rand()).limit(1)</t>
  </si>
  <si>
    <t>suggestion::change::(test::remove)</t>
  </si>
  <si>
    <t>Patchset 3, Also, you'll need to remove the tests for report_state in tests/test_service.py</t>
  </si>
  <si>
    <t>Patchset 3, Code looking good. Some small things to address inline.</t>
  </si>
  <si>
    <t>Patchset 3, Instead of using backslash continuators, please use parens or structure like so:
passes = self.servicegroup_api.service_is_up(service)
if not passes or service['disabled']:</t>
  </si>
  <si>
    <t>Patchset 3, femto-nit: Please put the ending """ on a separate line.</t>
  </si>
  <si>
    <t>suggestion::refactoring::(style)::what::to::import</t>
  </si>
  <si>
    <t>Patchset 3, Per the HACKING guidelines, please only import modules, not objects.</t>
  </si>
  <si>
    <t>suggestion::refactoring::(unnecesary::code)</t>
  </si>
  <si>
    <t>Patchset 3, Please remove trailing space in message string.. (after %s)</t>
  </si>
  <si>
    <t>Patchset 3, Please remove this section relating to zookeeper. The default driver is already set to the database one.</t>
  </si>
  <si>
    <t>Patchset 3, Please remove mention of ZK from this base class. Should just be a description of what the service parameter is -- for instance, is it a string?</t>
  </si>
  <si>
    <t>Patchset 3, Alternately, it would be cleaner to do:
msg = _('Join new ServiceGroup member %(member_id)s to the '
'%(group)s group, service = %(service)s')
LOG.debug(msg, locals())</t>
  </si>
  <si>
    <t>Patchset 3, When a variable in Nova (or any other core OpenStack project for that matter) is named XXXX_id, it generally indicates a string identifier. However, here and in many of the methods in this class, it looks like the variable is in fact a dictionary. Please rename the variables to remove the _id suffix where appropriate.</t>
  </si>
  <si>
    <t>Patchset 3, Per HACKING, please separate std libs from 3rd party imports with a single newline... so:
import datetime
import eventlet
import mox</t>
  </si>
  <si>
    <t>Patchset 3, Please remove any leftover debugging/commented-out code here and below.</t>
  </si>
  <si>
    <t>Patchset 4, Yun Mao</t>
  </si>
  <si>
    <t>Patchset 7, Eric</t>
  </si>
  <si>
    <t>Patchset 7, Yun Mao</t>
  </si>
  <si>
    <t xml:space="preserve">Patchset 7, This method doesn't work yet right? </t>
  </si>
  <si>
    <t>suggestion::refactoring::(extensibility::code)</t>
  </si>
  <si>
    <t>Patchset 7, It would be nice to have a way to subscribe to changes with a custom made function, so a flag heartbeat_change_callback, that we can do something in case a node goes down or a service goes down.</t>
  </si>
  <si>
    <t>Patchset 7, I may do some patch for also enabling a callback, what you think about this idea?</t>
  </si>
  <si>
    <t>Patchset 9, Eric</t>
  </si>
  <si>
    <t>Patchset 9, why add this here instead of just:
s/self.servicegroup_api/servicegroup.API</t>
  </si>
  <si>
    <t>Patchset 9, hmm. this is actually a bug (or a mis use of the API class).</t>
  </si>
  <si>
    <t>Patchset 9,  I'd still like the SQL to be optimized, but we can address that later.</t>
  </si>
  <si>
    <t>Patchset 9, minor, but could we just change the temp variable to something like "alive" or "up". I realize the function is called passes, but "if not passes" just parses weird in my brain</t>
  </si>
  <si>
    <t>Patchset 9, shouldn't have a raw print sitting in here still</t>
  </si>
  <si>
    <t>Patchset 9, unused import?</t>
  </si>
  <si>
    <t>asking::clarification::about::code::(need:functionallity)</t>
  </si>
  <si>
    <t>Patchset 9, I'm not sure why this is needed or here. It isn't used by the DB backend. I know the zookeeper code isn't merged, but if the zookeeper code requires this, it might be better to merge this method then - when its can be supported by a use-case.</t>
  </si>
  <si>
    <t>providing::clarification::about::code::(need::functionallity)</t>
  </si>
  <si>
    <t>Patchset 9, very good point. this is brought up by some other reviewer before. It's probably the best to not include this method at the moment with db only backend.</t>
  </si>
  <si>
    <t>Patchset 9, Yun Mao</t>
  </si>
  <si>
    <t>Patchset 11, Russell</t>
  </si>
  <si>
    <t>suggestion::change::(move::logic)</t>
  </si>
  <si>
    <t>Patchset 11, I would like to avoid adding more options that use a full Python path as the option's value. The problems are:
1) It's painful if the code gets moved around. For example, what happens when/if this moves to openstack-common and then later moves into an oslo library release?
2) I also don't like that it implicitly makes this API a public API that people can write modules to and drop them in. We need to be very careful about what APIs we intentionally make public.
The default value can just be as simple as "db". Internally that can be mapped to the appropriate class.</t>
  </si>
  <si>
    <t>objecting::suggestion::change::(move::logic)</t>
  </si>
  <si>
    <t>Patchset 11, Russell, I think this is a place where people will want to write their own plugins. There are plenty of other examples in the code where 3rd-party backends are supported.
Mailing list?</t>
  </si>
  <si>
    <t>supporting::objecting::suggestion::change::(move::logic)</t>
  </si>
  <si>
    <t>Patchset 11, We know there is at least going to be a zookeeper driver coming in in the near term. It does seem like we want a driver plug point here, and part of the intent with this API I thought.</t>
  </si>
  <si>
    <t>objecting::objecting::suggestion::change::(move::logic)</t>
  </si>
  <si>
    <t>Patchset 11, I am absolutely ok with this being a configuration option. I'm not ok with the value you provide being a python path.
For the zookeeper plugin, it will get merged and you can just configure it by selecting "zookeeper" or something.</t>
  </si>
  <si>
    <t>referes::to::email</t>
  </si>
  <si>
    <r>
      <rPr>
        <rFont val="Arial"/>
      </rPr>
      <t xml:space="preserve">Patchset 11, And I think those are all very poor examples to follow and they should all be changed. :-)
</t>
    </r>
    <r>
      <rPr>
        <rFont val="Arial"/>
        <color rgb="FF1155CC"/>
        <u/>
      </rPr>
      <t>http://lists.openstack.org/pipermail/openstack-dev/2012-October/001931.html</t>
    </r>
  </si>
  <si>
    <t>Patchset 11, We do this for libvirt, rpc, networking, etc... why not here? There seems to be good reason and interest in having this pluggable.</t>
  </si>
  <si>
    <t>Patchset 11, And I think those are all very poor examples to follow and they should all be changed. :-)
http://lists.openstack.org/pipermail/openstack-dev/2012-October/001931.html
Again, I'm fine with this being pluggable, just not arbitrarily pluggable with anything by anyone. That's a whole different ball game and comes with new rules about how the code must be maintained.</t>
  </si>
  <si>
    <t>mediate::objecting::and::suggestion::change::(move::logic)</t>
  </si>
  <si>
    <t>Patchset 11, It doesn't look like we reached a verdict on the mailing list. Because we have many places as Eric pointed out doing this full path practice, it doesn't seem to help much to only make the servicegroup API conform to a new, undecided, standard. I propose we leave the code as it is, continue to work on a new standard over the mailing list, get a blueprint on the new standard, and change the existing code (servicegroup, libvirt, rpc, networking) according to the blueprint. Thoughts?</t>
  </si>
  <si>
    <t>suggestion::refactoring::(removing::not::thread::safe::code)</t>
  </si>
  <si>
    <t>Patchset 11, This block is not thread-safe. I know that technically because of how greenthreads work it's not an issue right now, but I'm hesitant to add more code that won't work if we can ever switch to real threads.</t>
  </si>
  <si>
    <t>asking::advice::suggestion::refactoring::(removing::not::thread::safe::code)</t>
  </si>
  <si>
    <t>Patchset 11, Could you elaborate this? I'm not very familiar with the import code. Thanks.</t>
  </si>
  <si>
    <t>Patchset 11, Tom</t>
  </si>
  <si>
    <r>
      <rPr>
        <rFont val="Arial"/>
      </rPr>
      <t xml:space="preserve">Patchset 11, This commit message needs a DocImpact flag
</t>
    </r>
    <r>
      <rPr>
        <rFont val="Arial"/>
        <color rgb="FF1155CC"/>
        <u/>
      </rPr>
      <t>http://wiki.openstack.org/GitCommitMessages?highlight=%28DocImpact%29</t>
    </r>
  </si>
  <si>
    <r>
      <rPr>
        <rFont val="Arial"/>
      </rPr>
      <t xml:space="preserve">Patchset 11, This commit message needs a DocImpact flag
</t>
    </r>
    <r>
      <rPr>
        <rFont val="Arial"/>
        <color rgb="FF1155CC"/>
        <u/>
      </rPr>
      <t>http://wiki.openstack.org/GitCommitMessages?highlight=%28DocImpact%29</t>
    </r>
  </si>
  <si>
    <t>Patchset 11, Restored
back from storm. :)</t>
  </si>
  <si>
    <t>Patchset 13, change history since patch 11:
a lot of rebase..
switch to CONF from FLAGS
use short name for driver name instead of full driver class
refactor network API to service group.
minor file renaming in testing.</t>
  </si>
  <si>
    <t xml:space="preserve">Patchset 13, Russell </t>
  </si>
  <si>
    <t>refers::previous::comment</t>
  </si>
  <si>
    <t>Patchset 13, per my earlier thread-safe comment ...
from nova.openstack.common import lockutils
@lockutils.synchronized('nova.servicegroup.api.new')
def new(cls, *args, **kwargs):
...</t>
  </si>
  <si>
    <t>suggestion::refactoring::(use::decorator)::with::code</t>
  </si>
  <si>
    <t>Patchset 13, per my earlier thread-safe comment ...
from nova.openstack.common import lockutils
@lockutils.synchronized('nova.servicegroup.api.new')
def new(cls, *args, **kwargs):
...</t>
  </si>
  <si>
    <t>Patchset 14, Yun Mao</t>
  </si>
  <si>
    <t xml:space="preserve">Patchset 14, Russell </t>
  </si>
  <si>
    <t xml:space="preserve">Patchset 15, Russell </t>
  </si>
  <si>
    <t>Patchset 15, russellb: the xenapi test was the problem. see the dependent patch. hopefully Jenkins agrees with me.</t>
  </si>
  <si>
    <t>approval::for::submitting::granted::core::rev</t>
  </si>
  <si>
    <t>Patchset 15</t>
  </si>
  <si>
    <t>Patchset 16, The previous gating error was due to the config/flag refactoring. nova.config no longer has CONF. Got it from openstack.common.cfg instead.</t>
  </si>
  <si>
    <t xml:space="preserve">Patchset 17, Vish </t>
  </si>
  <si>
    <t>Patchset 17, Vish Looks good to me (core reviewer); Approved</t>
  </si>
  <si>
    <t xml:space="preserve">description BIC, libvirt+lxc: Unmount guest FS from host on error
</t>
  </si>
  <si>
    <t>e.g., patchset 4</t>
  </si>
  <si>
    <t>description BIC, If an error occurs during `_create_domain`, we need to ensure that the guest's
FS is unmounted from the host in all cases. 
The solution is to wrap the code in a `try/finally` to ensure the cleanup
routines (which unmount) are always called.</t>
  </si>
  <si>
    <t>description BIC, Closes-Bug: 1333827</t>
  </si>
  <si>
    <t>description BIC, Change-Id: If863cf813dddc1e4554fb87b945c68b75b25f9a2</t>
  </si>
  <si>
    <t>suggestion::change::(missing::unit::tests)</t>
  </si>
  <si>
    <t>Patchset 2, unit tests? :)</t>
  </si>
  <si>
    <t>Patchset 3, recheck no bug</t>
  </si>
  <si>
    <t>Patchset 3, Jay Pipes</t>
  </si>
  <si>
    <t>Patchset 3, Same here.</t>
  </si>
  <si>
    <t>asking::clarification::about::code::(logic)</t>
  </si>
  <si>
    <t>Patchset 3, This right here has changed the logic from the original code. The code below is actually executed in the original code, even if instance is None.</t>
  </si>
  <si>
    <t>providing::clarification::about::code::(logic)</t>
  </si>
  <si>
    <t>Patchset 3, ou're right that it changed, thanks for bringing attention to it!
It's intentional though as the original code was buggy (though I think due to the way it's called the bug wasn't reached... need to confirm).
So here's what was going on:
ORIGINAL CODE
If instance == None, then set inst_path = None
This will cause the subsequent os.path.join to raise an exception because None is not a string that can't be appended to.
NEW CODE
Guard against being None since we need instance in order to craft the container_dir.
POSSIBLE FUTURE IMPROVEMENT
We might want to break up _create_domain into smaller functions that take required pos-args like instance instead of a bunch of optional kwargs.
_create_domain right now is sort of a grab-bag of functionality that will do different things based on which optinonal kwargs are passed in.
Some kwargs like xml and domain actually interact in ways to override each other, so the behavior is sort of hard to follow.</t>
  </si>
  <si>
    <t>Patchset 3, Any chance you could please base your patch on top of
https://review.openstack.org/#/c/74537/
as this series already fixing several bugs with lxc volumes and boot?
I think we could then get away with try..finally around the following in the _lxc_disk_handler()</t>
  </si>
  <si>
    <t>Patchset 3, Any chance you could please base your patch on top of
https://review.openstack.org/#/c/74537/
as this series already fixing several bugs with lxc volumes and boot?</t>
  </si>
  <si>
    <t>objecting::suggestion::rebase</t>
  </si>
  <si>
    <t>Patchset 3, I'm a little hesitant (for obvious reasons) to rebase on top of a patch w/ a -2 on it.
When/if Jogo removes it, I'll give it a shot and see what the code ends up looking like.
Thanks for the heads up here!</t>
  </si>
  <si>
    <t>conditioning::a::rebase::(only::if::negative::scores::are::removed)</t>
  </si>
  <si>
    <t>informing:.conflict:.(another::review)</t>
  </si>
  <si>
    <t>Patchset 4, This patch is conflicted with patch from https://review.openstack.org/#/c/104047/ by Vladik Romanovsky.
Rick, Please make a review for him.</t>
  </si>
  <si>
    <t>Patchset 4, Rick</t>
  </si>
  <si>
    <t>Patchset 4, Daniel</t>
  </si>
  <si>
    <t>Patchset 4, Can you call this '_create_domain_setup_container'</t>
  </si>
  <si>
    <t>Patchset 4, I'd suggest the virt type check be in the caller</t>
  </si>
  <si>
    <t>Patchset 4, So the idea was that this could be a virt-type agnostic hook... e.g. it would be called in all cases, and if new virt-types needed to add code, they could just remove the lxc guard in the hook.
You suggestion is equivalent, so don't feel terribly strongly either way, but lean slightly towards how it is. I ponder this some more.</t>
  </si>
  <si>
    <t>suggestion::refactoring::(merge::methods)</t>
  </si>
  <si>
    <t>Patchset 4, I don't think there's much point in having this method separated from _setup_create_domain. Just put it int he same method &amp; wrap in a try/except block to call _cleanup_create_domain</t>
  </si>
  <si>
    <t>objecting::suggestion::refactoring::(merge::methods)</t>
  </si>
  <si>
    <t>Patchset 4,  The idea here was two-fold:
1) Avoid such deeply nested code
These try/finally's with try/excepts inside are sort of hard to follow, especially as the try block grows new code.
2) Provide a well-defined/safe place to add new code
By having a separate, safe function, the code remains readable even as new code is added.
(There's a 'hidden' additional reason, Rackspace is holding a couple of patches that we're going to upstream, but they add additional code to this new hook. The additional code, I think, makes the separate hook a little bit clearer of a win)</t>
  </si>
  <si>
    <t>Patchset 4, And '_create_domain_cleanup_container' so we have consistent name prefix.</t>
  </si>
  <si>
    <t>Patchset 6, Thomas</t>
  </si>
  <si>
    <t>Patchset 6, Matt</t>
  </si>
  <si>
    <t>Patchset 6, reverify bug 1336377</t>
  </si>
  <si>
    <t>description BIC, Change-Id: I2d46b926f1c895aba412d84b4ee059fda3df9011</t>
  </si>
  <si>
    <t>patchset 11 (novnn, base), patchset 4(novn, serial, spice)</t>
  </si>
  <si>
    <t>base (patchset 3), novn (patchset 3), serial (patchset 3), spice (patchset 3)</t>
  </si>
  <si>
    <t>description BIC, console: introduce baseproxy and update consoles cmd
Introduces a new module baseproxy that provides the base
code shared between novncproxy, serialproxy, spicehtml5proxy
Updates them to use this new module.</t>
  </si>
  <si>
    <t>Patchset 1, Patch Set 1 was rebased</t>
  </si>
  <si>
    <t>wait::for::next::release</t>
  </si>
  <si>
    <t>Patchset 2, I think we should hold off on this until Kilo.</t>
  </si>
  <si>
    <t>Patchset 2, Matt</t>
  </si>
  <si>
    <t>Patchset 2, Sahid</t>
  </si>
  <si>
    <t>Patchset 2, Garyk</t>
  </si>
  <si>
    <t>Patchset 4, serve =&gt; server</t>
  </si>
  <si>
    <t>Patchset 4, Well, Ii prefer to use 'serve' since this method call 'start_server' - Does it make sense for you?</t>
  </si>
  <si>
    <t>Patchset 4, same as previous</t>
  </si>
  <si>
    <t>Patchset 4, baseproxy.serve =&gt; baseproxy.server</t>
  </si>
  <si>
    <t>Patchset 6, Vladik</t>
  </si>
  <si>
    <t>Patchset 7, Sahid</t>
  </si>
  <si>
    <t>Patchset 9, Daniel</t>
  </si>
  <si>
    <t>Patchset 9, Paul</t>
  </si>
  <si>
    <t>Patchset 9, Ed Leaf</t>
  </si>
  <si>
    <t>Patchset 9, Sahid</t>
  </si>
  <si>
    <t>Patchset 10, Davanum</t>
  </si>
  <si>
    <t>Patchset 10, Sahid</t>
  </si>
  <si>
    <t>Patchset 11, Sahid</t>
  </si>
  <si>
    <t>Patchset 11, Nikola</t>
  </si>
  <si>
    <t>Patchset 11, This makes no sense for serialproxy... yet it would still die here - not ideal imho</t>
  </si>
  <si>
    <t>Patchset 11, Yes you have right but CONF.web will be False for serialproxy. The point in this patch is to have all of the same logic in one place. sure sometime we have some portions of code that will be never used by some consoles. But in this case only serialproxy don't use web (and actually it can use it but needs that we implement the html interface to handle the websocket) so in my pov in make more sens to have this one time here instead of in several places.</t>
  </si>
  <si>
    <t>support::suggestion::change::(wrong::logic)*</t>
  </si>
  <si>
    <t>Patchset 11, I guess my problem si that even though we are not providing the web side for serial proxy - we still assume it should be there. Plus we use the same web setting for all proxies, which seems wrong.
Since this is just a refactoring not a bugfix, and thus not critical to land - I am removing my vote as I am not happy with this but not unhappy enough to block it.</t>
  </si>
  <si>
    <t>support::objecting::suggestion::change::(wrong::logic)*</t>
  </si>
  <si>
    <t>Patchset 11, To add more information of what was said on IRC.
About serial proxy, we actually do not provide/maintain code to use spice console and vnc, we actually use the projects noVNC and spice-html5. for serial-console we currently don't have a html project to purpose.
About the global option 'web' I do not believe we can consider the way to use together spice and vnc as a bugfix since it is indicated in the manual to do not use them is a same time. It is more like a feature.</t>
  </si>
  <si>
    <t>Patchset 11, Davanum</t>
  </si>
  <si>
    <t>Patchset 11, Eugeniya</t>
  </si>
  <si>
    <t>Patchset 11,  Nikola</t>
  </si>
  <si>
    <t>Patchset 11, Sergey</t>
  </si>
  <si>
    <t>description BIC, Change-Id: Ic9c60071480abc5fced04dab5fc79ea44db1e10d</t>
  </si>
  <si>
    <t>e.g., patchset 5</t>
  </si>
  <si>
    <t>description BIC, Set reasonable defaults for new network values</t>
  </si>
  <si>
    <t>description BIC, Partially-implements blueprint better-support-for-multiple-networks</t>
  </si>
  <si>
    <t>Patchset 5, Jay Pipes</t>
  </si>
  <si>
    <t>Patchset 5, Might make this more readable to put a code comment in here... maybe something like this?
If DHCP is enabled for the subnet, we place
the DHCP server at the start of the subnet, immediately
after the gateway. We also adjust the list of addresses
supplied to the _create_fixed_ips() function that are
marked as reserved and not for use by tenant VMs</t>
  </si>
  <si>
    <t>Patchset 5, Brent Eagles</t>
  </si>
  <si>
    <t>Patchset 5, Will kwargs.setdefault([key_value], [desired default]) work here instead of the multiple "if"'s</t>
  </si>
  <si>
    <t>Patchset 5, A question more than a comment. Will "None" values ever be valid for these fields? If not, is placing "None" values in the arg list valid?</t>
  </si>
  <si>
    <t>Patchset 5, None is valid for mtu it means don't mess with it. None for the other two is a little tricky. None will cause an error for the other two fields. ValueError: Field `enable_dhcp' cannot be None</t>
  </si>
  <si>
    <t>Patchset 5, Is it valid to simply make the default value for extra_reserved in the argument list an empty list instead of None? I guess one could make the argument that bad things would then happen if someone passed in "extra_reserved=None"</t>
  </si>
  <si>
    <t>objecting::suggestion::change::(change::input::parameter)</t>
  </si>
  <si>
    <r>
      <rPr>
        <rFont val="Arial"/>
      </rPr>
      <t xml:space="preserve">Patchset 5, Never put a list or a dict as a default value in python:
</t>
    </r>
    <r>
      <rPr>
        <rFont val="Arial"/>
        <color rgb="FF1155CC"/>
        <u/>
      </rPr>
      <t>http://effbot.org/zone/default-values.htm</t>
    </r>
  </si>
  <si>
    <t>referes::external::url</t>
  </si>
  <si>
    <r>
      <rPr>
        <rFont val="Arial"/>
      </rPr>
      <t xml:space="preserve">Patchset 5, Never put a list or a dict as a default value in python:
</t>
    </r>
    <r>
      <rPr>
        <rFont val="Arial"/>
        <color rgb="FF1155CC"/>
        <u/>
      </rPr>
      <t>http://effbot.org/zone/default-values.htm</t>
    </r>
  </si>
  <si>
    <t>reatracting::suggestion::change::(change::input::parameter)</t>
  </si>
  <si>
    <t>Patchset 5, Wooohahhah. Yeah, that would suck. I missed the "execution at definition" semantics, but it makes sense.</t>
  </si>
  <si>
    <t>Patchset 6, Michael Still</t>
  </si>
  <si>
    <t>Patchset 6, Michael Davies</t>
  </si>
  <si>
    <t>Patchset 6, Garyk</t>
  </si>
  <si>
    <t>Patchset 6, recheck bug 1323658</t>
  </si>
  <si>
    <t>Patchset 6, recheck bug 1221580</t>
  </si>
  <si>
    <t>Patchset 8, recheck bug 921858</t>
  </si>
  <si>
    <t>description BIC, Fix unsafe SSL connection on TrustedFilter
TrustedFilter was using httplib which doesn't check for CAs.</t>
  </si>
  <si>
    <t>description BIC, TrustedFilter was using httplib which doesn't check for CAs.
Here the change is using Requests and verifies local CAs by default (or another
one if provided)
This effort is related to CVE 2013-2255.</t>
  </si>
  <si>
    <t>description BIC, Closes-Bug: #1373993</t>
  </si>
  <si>
    <t>description BIC, Change-Id: I0b8e6319a4cc39876b1e396ef705f0fc5def1e44</t>
  </si>
  <si>
    <t>Patchset 2, Sylvain</t>
  </si>
  <si>
    <t>Patchset 2, Ed Leaf</t>
  </si>
  <si>
    <t>Patchset 2, Minor nit: 'import requests' should come before the oslo import line, as per</t>
  </si>
  <si>
    <r>
      <rPr>
        <rFont val="Arial"/>
      </rPr>
      <t xml:space="preserve">Patchset 2, Minor nit: 'import requests' should come before the oslo import line, as per </t>
    </r>
    <r>
      <rPr>
        <rFont val="Arial"/>
        <color rgb="FF1155CC"/>
        <u/>
      </rPr>
      <t>http://docs.openstack.org/developer/hacking/#import-order-template</t>
    </r>
  </si>
  <si>
    <r>
      <rPr>
        <rFont val="Arial"/>
      </rPr>
      <t xml:space="preserve">Patchset 2,  Minor nit: 'import requests' should come before the oslo import line, as per </t>
    </r>
    <r>
      <rPr>
        <rFont val="Arial"/>
        <color rgb="FF1155CC"/>
        <u/>
      </rPr>
      <t>http://docs.openstack.org/developer/hacking/#import-order-template</t>
    </r>
  </si>
  <si>
    <t>objecting::suggestion::refactoring::(style)::what::to::import</t>
  </si>
  <si>
    <t>Patchset 2, I disagree, Requests is not shipped in stdlib but comes from a 3rd party install (see https://pypi.python.org/pypi/requests/)
Here, requests is pulled with any glance/keystone client</t>
  </si>
  <si>
    <t>retracting::suggestion::refactoring::(style)::what::to::import</t>
  </si>
  <si>
    <t>Patchset 2, My mistake. I know requests is 3rd party, but I was seeing oslo as an OpenStack project import.</t>
  </si>
  <si>
    <t>requesting::check::pylint</t>
  </si>
  <si>
    <t>Patchset 2, Hey Sylvain, thanks for the patch!
In the pylint job, getting these errors: 
Mind investigating them and if they are not real problems (i.e. LookupDict does indeed have those member attributes), could you put a: NQA</t>
  </si>
  <si>
    <t>suggestion::refactoring::(style::add::nqa::if::needed)</t>
  </si>
  <si>
    <t>Patchset 2,  Garyk</t>
  </si>
  <si>
    <t>Patchset 2, can you please not use the \
self.verify = (not
CONF.trusted_computing.attestation_insecure_ssl and
...)</t>
  </si>
  <si>
    <t>Patchset 3, Daniel</t>
  </si>
  <si>
    <t>Patchset 3, This needs SecurityImpact tag added as lack of CA certification is a security vulnerability and also reference the CVE number</t>
  </si>
  <si>
    <t>Patchset 3, Ed Leafe</t>
  </si>
  <si>
    <t>Patchset 4, Mike</t>
  </si>
  <si>
    <t>Patchset 4, Ed Leafe</t>
  </si>
  <si>
    <t>Patchset 4, Eugeniya</t>
  </si>
  <si>
    <t>Patchset 4, Sean</t>
  </si>
  <si>
    <t>GitHub Pull Request</t>
  </si>
  <si>
    <t>the comments are the ones that generates ou BIC, our Buggy file is not infact commented ore reviewed</t>
  </si>
  <si>
    <t>Secondary branch</t>
  </si>
  <si>
    <t>uboness reviewed on Dec 7, 2015. why do we differentiate between es vs. ingest metadata?</t>
  </si>
  <si>
    <t>providing::clarification::about::code::(design)</t>
  </si>
  <si>
    <t xml:space="preserve">martijnvg on Dec 8, 2015. I think we should have two maps. </t>
  </si>
  <si>
    <t xml:space="preserve"> javanna on Dec 9, 2015 I made the change suggested by Martijn. </t>
  </si>
  <si>
    <t>objecting::intended::refactoring::(naming)</t>
  </si>
  <si>
    <t>martijnvg commented on Dec 8, 2015 . I think the timestamp is good name.</t>
  </si>
  <si>
    <t>martijnvg commented on Dec 8, 2015 . 14548</t>
  </si>
  <si>
    <t>suggestion::change::(in::new::PR/Issue)</t>
  </si>
  <si>
    <t>martijnvg commented on Dec 8, 2015 . I think this should be done as part of the on_failure task</t>
  </si>
  <si>
    <t>javanna commented on Dec 9, 2015</t>
  </si>
  <si>
    <t>suggestion::change::(class::to::static)</t>
  </si>
  <si>
    <t>martijnvg on Dec 9, 2015 static?</t>
  </si>
  <si>
    <t>retracting::suggestion::change::(class::to::static)</t>
  </si>
  <si>
    <t>martijnvg on Dec 9, 2015  never mind</t>
  </si>
  <si>
    <t>asking::clarification::about::code::(input::parameter)</t>
  </si>
  <si>
    <t>javanna on Dec 9, 2015 Shall I simply pass in sourceAndMetadata and ingestMetadata maps to the constructor?</t>
  </si>
  <si>
    <t>providing::clarification::about::code::(input::parameter)</t>
  </si>
  <si>
    <t>martijnvg on Dec 9, 2015 I think is fine as it is right now. I thought we weren't referencing to fields outside the class.</t>
  </si>
  <si>
    <t>suggestion::change::(change::type)</t>
  </si>
  <si>
    <t>martijnvg on Dec 9, 2015 I'm not a big fan of ActionListener?</t>
  </si>
  <si>
    <t>martijnvg on Dec 9, 2015 but this can also be done in another pr.</t>
  </si>
  <si>
    <t>agreeing::suggestion::change::(input::parameter)</t>
  </si>
  <si>
    <t>javanna on Dec 9, 2015 sounds good to me, not a big fan of my change either.</t>
  </si>
  <si>
    <t>providing::justification::about::code::(reason::of::the::type::choices)</t>
  </si>
  <si>
    <t>javanna on Dec 9, 2015  I just wanted to make sure that nobody relies on IngestDocument though here, cause it gets modified before the document is set back to the IndexRequest.</t>
  </si>
  <si>
    <t>discussing::about::change</t>
  </si>
  <si>
    <t xml:space="preserve"> martijnvg on Dec 9, 2015 that is a good reason to remove the ingest document itself from the action listener.</t>
  </si>
  <si>
    <t>suggestion::change::(add::inline::documentation)</t>
  </si>
  <si>
    <t xml:space="preserve">martijnvg on Dec 9, 2015  maybe add a comment here, </t>
  </si>
  <si>
    <t>Main</t>
  </si>
  <si>
    <t>informing::lgtm</t>
  </si>
  <si>
    <t>s1monw commented on Jan 26, 2016</t>
  </si>
  <si>
    <t>referes::to::related::issue</t>
  </si>
  <si>
    <t>referes::to::related::PR</t>
  </si>
  <si>
    <t>pr::is::continuation::of::other::pr</t>
  </si>
  <si>
    <t>requesting::reviews::from::others</t>
  </si>
  <si>
    <t>kimchy commented on Jul 23, 2014</t>
  </si>
  <si>
    <t>informing::integration::testing::(to::be::executed)</t>
  </si>
  <si>
    <t xml:space="preserve">
rashidkpc commented on Jul 23, 2014 API looks good so far. I'm going to build this, try to integrate it into Kibana 4 and see how it goes.</t>
  </si>
  <si>
    <t>informing::integration::testing::(results)</t>
  </si>
  <si>
    <t xml:space="preserve">
rashidkpc commented on Jul 23, 2014 Ok, I prototyped this out and got it working in Kibana 4. The only input I have into</t>
  </si>
  <si>
    <t>informing::inconsistencies::found:.(format)</t>
  </si>
  <si>
    <t xml:space="preserve">
rashidkpc commented on Jul 23, 2014 he API format is that it is, slightly, inconsistent with how we do other aggregations that require the buckets to be explicitly defined. The currently proposed filters agg format looks like this:</t>
  </si>
  <si>
    <t>referes::to::documentation</t>
  </si>
  <si>
    <t xml:space="preserve">
rashidkpc commented on Jul 23, 2014 links</t>
  </si>
  <si>
    <t>suggestion::change::intended::solution::design</t>
  </si>
  <si>
    <t xml:space="preserve">
rashidkpc commented on Jul 23, 2014 </t>
  </si>
  <si>
    <t>objecting::change::intended::solution::design</t>
  </si>
  <si>
    <t>clintongormley commented on Jul 24, 2014</t>
  </si>
  <si>
    <t>discussing::about::intended::solution::design</t>
  </si>
  <si>
    <t>referes::to::comment::(other::PR)</t>
  </si>
  <si>
    <t>retracting::objecting::change::(intended::solution::design)</t>
  </si>
  <si>
    <t>clintongormley commented on Jul 25, 2014</t>
  </si>
  <si>
    <t>reference::another::developer</t>
  </si>
  <si>
    <t>colings86 commented on Jul 28, 2014</t>
  </si>
  <si>
    <t>clintongormley commented on Jul 28, 2014</t>
  </si>
  <si>
    <t>retracting::retracting::objecting::change::(intended::solution::design)</t>
  </si>
  <si>
    <t>asking::confirmation::of::intended::solution</t>
  </si>
  <si>
    <t>providing::confirmation::of::intended::solution</t>
  </si>
  <si>
    <t>rashidkpc commented on Jul 28, 2014</t>
  </si>
  <si>
    <t>asking::clarification::about::code::(error::handling)</t>
  </si>
  <si>
    <t>colings86 commented on Jul 30, 2014</t>
  </si>
  <si>
    <t>introducing::solution::design::(explanation)</t>
  </si>
  <si>
    <t>jpountz reviewed on Jul 30, 2014</t>
  </si>
  <si>
    <t>informing::left::inline::comments</t>
  </si>
  <si>
    <t>jpountz commented on Jul 30, 2014</t>
  </si>
  <si>
    <t>informing::change::implemented</t>
  </si>
  <si>
    <t>colings86 commented on Jul 31, 2014</t>
  </si>
  <si>
    <t>jpountz commented on Aug 1, 2014</t>
  </si>
  <si>
    <t>links::to::twitter</t>
  </si>
  <si>
    <t>JasonPunyon commented on Aug 6, 2014</t>
  </si>
  <si>
    <t>suggestion::ignore::backwards::compatebility</t>
  </si>
  <si>
    <t>jpountz reviewed on Jul 28, 2014</t>
  </si>
  <si>
    <t>agreeing::suggestion::change::(backwards::compatebility)</t>
  </si>
  <si>
    <t>dadoonet on Jul 28, 2014</t>
  </si>
  <si>
    <t>jpountz commented on Jul 28, 2014</t>
  </si>
  <si>
    <t>dadoonet commented on Jul 28, 2014</t>
  </si>
  <si>
    <t xml:space="preserve"> jpountz on Jul 29, 2014</t>
  </si>
  <si>
    <t>done::/::will::do</t>
  </si>
  <si>
    <t>dadoonet on Jul 29, 2014</t>
  </si>
  <si>
    <t>jpountz commented on Jul 29, 2014</t>
  </si>
  <si>
    <t>informing::update</t>
  </si>
  <si>
    <t>dadoonet commented on Jul 29, 2014</t>
  </si>
  <si>
    <t xml:space="preserve">
Contributor
s1monw commented on Sep 25, 2015</t>
  </si>
  <si>
    <t>informing::adding::label</t>
  </si>
  <si>
    <t>javanna commented on Sep 25, 2015  Marked this as breaking as it breaks backwards compatibility for plugins and the java api</t>
  </si>
  <si>
    <t>informing::backwards::compatebility::broken</t>
  </si>
  <si>
    <t>asking::clarification::about::change::(documentation)</t>
  </si>
  <si>
    <t>dadoonet commented on Sep 25, 2015</t>
  </si>
  <si>
    <t>providing::clarification::about::change::(documentation)</t>
  </si>
  <si>
    <t xml:space="preserve">javanna commented on Sep 25, 2015 </t>
  </si>
  <si>
    <t>no comments</t>
  </si>
  <si>
    <t>the same buggy file was changed afterwards as part of the review, there are changes from a1151e6, check the date of the PR creation</t>
  </si>
  <si>
    <t>cbuescher commented on Aug 20, 2015</t>
  </si>
  <si>
    <t>suggesting::extending::tests</t>
  </si>
  <si>
    <t>cbuescher commented on Aug 20, 2015 I think it's good that we extend the tests for the parsers with alternative query strings.</t>
  </si>
  <si>
    <t>suggestion::change::(architecture::tests)</t>
  </si>
  <si>
    <t>agreeing::change::(architecture::tests)</t>
  </si>
  <si>
    <t>javanna commented on Aug 20, 2015</t>
  </si>
  <si>
    <t>suggestion::postpone::additional::changes</t>
  </si>
  <si>
    <t>suggestion::change::(design::access::modifiers)</t>
  </si>
  <si>
    <t>cbuescher on Aug 6, 2015</t>
  </si>
  <si>
    <t>asking::clarification::about::code::(design::access::modifiers)</t>
  </si>
  <si>
    <t>cbuescher on Aug 6, 2015 ce the superclass always return their own object type. Or is this something we just assume we won't have to do for other NamedWritables?</t>
  </si>
  <si>
    <t>providing::clarification::about::code::(design::access::modifiers)</t>
  </si>
  <si>
    <t>javanna on Aug 7, 2015</t>
  </si>
  <si>
    <t>objecting::suggestion::change::(design::access::modifiers)</t>
  </si>
  <si>
    <t>cbuescher commented on Aug 6, 2015</t>
  </si>
  <si>
    <t>suggestion::chnage::(add::exception)</t>
  </si>
  <si>
    <t>javanna reviewed on Jul 29, 2015</t>
  </si>
  <si>
    <t>informing::left::comments</t>
  </si>
  <si>
    <t>javanna commented on Jul 29, 2015</t>
  </si>
  <si>
    <t>suggesting::reversing::the::commit</t>
  </si>
  <si>
    <t>I continued thinning down the new lightweight QueryParseContext, addressing some of the comments and trying to make QueryParseContext only refer back to its inner QueryCreationContext, not the other way round.</t>
  </si>
  <si>
    <t>asking::clarification::about::code::(functionallity::exception::works)</t>
  </si>
  <si>
    <t>I think this catch is unreachable now?</t>
  </si>
  <si>
    <t>suggestion::change::(input::parameter)</t>
  </si>
  <si>
    <t>@javanna This is one of the places where the new parse context still needs to refer back to the enclosed context, since it is used in fromXContent here</t>
  </si>
  <si>
    <t>agreeing::change::(input::parameter)</t>
  </si>
  <si>
    <t>yea thats fine, this whole class is marked //norelease , that makes sense</t>
  </si>
  <si>
    <t xml:space="preserve">@javanna I rebased and went with renaming the old QueryParseContext to QueryShardContext now, with similar exception naming. I went though the changes, </t>
  </si>
  <si>
    <t>toQuery, but I'd also prefer doing that in a separate PR (the</t>
  </si>
  <si>
    <t>cbuescher commented on Aug 3, 2015</t>
  </si>
  <si>
    <t>this constructor is unused, both in our branch and in master. We can remove it I think</t>
  </si>
  <si>
    <t>//norelease ?</t>
  </si>
  <si>
    <t>javanna commented on Aug 4, 2015</t>
  </si>
  <si>
    <t>cbuescher commented on Aug 4, 2015</t>
  </si>
  <si>
    <t>I did a final round, left a few minor comments, but this LGTM once those are addressed</t>
  </si>
  <si>
    <t>informing::rebase2</t>
  </si>
  <si>
    <t>@javanna did another rebase, will still need to do a final squash and work on the commit message if you think this should go into the branch now</t>
  </si>
  <si>
    <t>the PR is created on 27 jun 2011, some other commits were added on 2012 9c4e6a</t>
  </si>
  <si>
    <t>thera are changes on the file from our BIC</t>
  </si>
  <si>
    <t>informing::code::pushed</t>
  </si>
  <si>
    <t>kimchy commented on Jun 27, 2011</t>
  </si>
  <si>
    <t>referes::to::code::(gist)</t>
  </si>
  <si>
    <t>jhnlsn commented on Nov 29, 2012</t>
  </si>
  <si>
    <t>informing::bug::found</t>
  </si>
  <si>
    <t>It appears that support for highlighting with phrase_prefix query no longer works. Should a new ticket be opened. Here is the</t>
  </si>
  <si>
    <t>rastermanden commented on Jan 28, 2013</t>
  </si>
  <si>
    <t xml:space="preserve"> Should a new ticket be opened. H</t>
  </si>
  <si>
    <t>s1monw commented on Jan 28, 2013</t>
  </si>
  <si>
    <t>asking::advice::about::changes::(verify::correctness)</t>
  </si>
  <si>
    <t>s1monw commented on Jan 28, 2013 Guys I pushed a fix for this to master adn 0.20 if somebody could verify its working for you that would be great!</t>
  </si>
  <si>
    <t>providing::advice::about::changes::(verify::correctness)</t>
  </si>
  <si>
    <t>rastermanden commented on Jan 30, 2013 Just tried it out. It is working! Thanks a lot!</t>
  </si>
  <si>
    <t>no changes of ou commit, the changes generate our commit</t>
  </si>
  <si>
    <t>our commit is the end commit</t>
  </si>
  <si>
    <t>spinscale commented</t>
  </si>
  <si>
    <t>asking::for::assistance::(more::tests)</t>
  </si>
  <si>
    <t>informing::the::impossibility::(run::tests)</t>
  </si>
  <si>
    <t>electrical commented on Aug 11, 2015</t>
  </si>
  <si>
    <t>spinscale commented tested further, also bin/plugin install lmenezes/elasticsearch-kopf -Des.path.plugins=/tmp/foo/ works as expected.</t>
  </si>
  <si>
    <t>spinscale commented on Aug 12, 2015</t>
  </si>
  <si>
    <t>tlrx commented on Aug 17, 2015</t>
  </si>
  <si>
    <t>tlrx commented on Aug 17, 2015  like #11623</t>
  </si>
  <si>
    <t>asking::clarification::(update::executable::files)</t>
  </si>
  <si>
    <t>tlrx commented on Aug 17, 2015  Shouldn't we udpate plugin.bat too?</t>
  </si>
  <si>
    <t>spinscale commented on Aug 31, 2015</t>
  </si>
  <si>
    <t>nik9000 commented on Sep 15, 2015</t>
  </si>
  <si>
    <t>which I do not agree fully</t>
  </si>
  <si>
    <t>I don't know how this is used, but i think it can be a little misleading that this class extends</t>
  </si>
  <si>
    <t>overall looks good, i</t>
  </si>
  <si>
    <t>informing::comments::added</t>
  </si>
  <si>
    <t>ook a pass thru and added comments</t>
  </si>
  <si>
    <t>I pushed new commits to address your comments.</t>
  </si>
  <si>
    <t>suggestion::creating::followup::issue</t>
  </si>
  <si>
    <t>an we open a followup issue for this? it s</t>
  </si>
  <si>
    <t>informing::removing::code::that::was::commented::on</t>
  </si>
  <si>
    <t>Good catch! I think I can remove this code actually!</t>
  </si>
  <si>
    <t>informing::lgtm::(+1)</t>
  </si>
  <si>
    <t>1 Looks good, i added a comment TOCOL()</t>
  </si>
  <si>
    <t>suggestion::refactoring::(comparison::operators)</t>
  </si>
  <si>
    <t>if docsWithField == null should we maybe wrap set the variable to MatchAllBits?</t>
  </si>
  <si>
    <t>agreeing::suggestion::refactoring::(comparison::operators)</t>
  </si>
  <si>
    <t>For instance, Lucene comparators do it on purpose since the JVM needs to do the null check anyway. So I think it's fine to do the same here?</t>
  </si>
  <si>
    <t>minor::changes::required::for::submitting::(comments::added)</t>
  </si>
  <si>
    <t xml:space="preserve">
I left a bunch of comments mostly cosmetic looks good though</t>
  </si>
  <si>
    <t>ushed a new commit addressing your comments.</t>
  </si>
  <si>
    <t>s1monw commented on Jul 22, 2014</t>
  </si>
  <si>
    <t>C2.1 - Commit type (Current) (Commit type (discussion with Steffen))</t>
  </si>
  <si>
    <t>C 2.2 - Commit Children(s) Type (Commit type (discussion with Steffen))</t>
  </si>
  <si>
    <t>C 2.3 - Commit Parent(s) Type (Commit type (discussion with Steffen))</t>
  </si>
  <si>
    <t>C8 - Multiple Concerns</t>
  </si>
  <si>
    <t>C9 - Commit Type Swason</t>
  </si>
  <si>
    <t>C10 - Test Changes</t>
  </si>
  <si>
    <t>C11 - Bug-covering test changes</t>
  </si>
  <si>
    <t>C12 - Bug Covering test changes prior or subsequent commit</t>
  </si>
  <si>
    <t>C-13 - Test Failures</t>
  </si>
  <si>
    <t>C-14 - Bug Covering test failures</t>
  </si>
  <si>
    <t>C-15 - Documentation Changes</t>
  </si>
  <si>
    <t>C-16 - Bug affecting documentation Changes</t>
  </si>
  <si>
    <t>C-17 - Refactorings</t>
  </si>
  <si>
    <t>C-18 - Bug Introducing Refactorings</t>
  </si>
  <si>
    <t>C-19 - Design Changes</t>
  </si>
  <si>
    <t>C-20 - Bug introducing Design Changes</t>
  </si>
  <si>
    <t>C-21 - Changes of external dependencies</t>
  </si>
  <si>
    <t>C-21 - Bug-introducing Changes of external dependencies</t>
  </si>
  <si>
    <t>C2 OLD - Commit type of addition</t>
  </si>
  <si>
    <t>C22 - Commit has more than one revision (e.g., check the commit id in the search bar)</t>
  </si>
  <si>
    <r>
      <rPr>
        <rFont val="Arial"/>
        <color theme="1"/>
      </rPr>
      <t xml:space="preserve">This field contains information that could be used for the continuous integration check
</t>
    </r>
    <r>
      <rPr>
        <rFont val="Arial"/>
        <b/>
        <color theme="1"/>
      </rPr>
      <t xml:space="preserve">Bug Introducing commit. </t>
    </r>
    <r>
      <rPr>
        <rFont val="Arial"/>
        <color theme="1"/>
      </rPr>
      <t xml:space="preserve">
Check the whole tree and not only the committed file to understand the  building process</t>
    </r>
  </si>
  <si>
    <t>Source (WHY)</t>
  </si>
  <si>
    <t>Co authors</t>
  </si>
  <si>
    <t>Rebase::Ammend</t>
  </si>
  <si>
    <t>{
    "num_parents": 1,
    "author_name": "Brian Lamar",
    "author_email": "brian.lamar@rackspace.com",
    "date_commit": "Wed Nov 16 23:33:40.000000 2011 +0100",
    "date_author_commit": "Wed Oct 26 20:57:35.000000 2011 +0200",
    "Parent_1": "217af7df5980ee7a258d2e8b24aea4444c083201",
    "Parent_1author_date": "Wed Nov 16 22:33:48.000000 2011 +0100",
    "Parent_1commit_date": "Wed Nov 16 22:33:48.000000 2011 +0100",
    "Parent_1possible_rebase": true
}</t>
  </si>
  <si>
    <t>Merge</t>
  </si>
  <si>
    <r>
      <rPr>
        <rFont val="Arial"/>
        <color theme="1"/>
      </rPr>
      <t xml:space="preserve">    "90cc4f15956f9595fc30bf4a23f5995c97d173ac": {
        "num_parents": 2,
        "date_commit": "Thu Nov 17 00:46:16.000000 2011 +0100",
        "date_author_commit": "</t>
    </r>
    <r>
      <rPr>
        <rFont val="Arial"/>
        <b/>
        <color theme="1"/>
      </rPr>
      <t>Thu Nov 17 00:46:16.000000 2011 +0100</t>
    </r>
    <r>
      <rPr>
        <rFont val="Arial"/>
        <color theme="1"/>
      </rPr>
      <t>",
        "Parent_1": "36dcc2d9230f8104f0defc8fa27ee8f6c2f2eeaf",
        "Parent_1author_date": "</t>
    </r>
    <r>
      <rPr>
        <rFont val="Arial"/>
        <b/>
        <color theme="1"/>
      </rPr>
      <t>Thu Nov 17 00:35:08.000000 2011 +0100</t>
    </r>
    <r>
      <rPr>
        <rFont val="Arial"/>
        <color theme="1"/>
      </rPr>
      <t xml:space="preserve">",
        "Parent_1commit_date": "Thu Nov 17 00:35:08.000000 2011 +0100",
        "Parent_1possible_rebase": </t>
    </r>
    <r>
      <rPr>
        <rFont val="Arial"/>
        <b/>
        <color theme="1"/>
      </rPr>
      <t>false</t>
    </r>
    <r>
      <rPr>
        <rFont val="Arial"/>
        <color theme="1"/>
      </rPr>
      <t>,
        "Parent_2": "e7aa4022374fb35d2131a7c633212c5d6302db3d",
        "Parent_2author_date": "</t>
    </r>
    <r>
      <rPr>
        <rFont val="Arial"/>
        <b/>
        <color theme="1"/>
      </rPr>
      <t>Wed Oct 26 20:57:35.000000 2011 +0200</t>
    </r>
    <r>
      <rPr>
        <rFont val="Arial"/>
        <color theme="1"/>
      </rPr>
      <t xml:space="preserve">",
        "Parent_2commit_date": "Wed Nov 16 23:33:40.000000 2011 +0100",
        "Parent_2possible_rebase": </t>
    </r>
    <r>
      <rPr>
        <rFont val="Arial"/>
        <b/>
        <color theme="1"/>
      </rPr>
      <t>false</t>
    </r>
    <r>
      <rPr>
        <rFont val="Arial"/>
        <color theme="1"/>
      </rPr>
      <t xml:space="preserve">
    }</t>
    </r>
  </si>
  <si>
    <r>
      <rPr>
        <rFont val="Arial"/>
        <color theme="1"/>
      </rPr>
      <t xml:space="preserve">    "217af7df5980ee7a258d2e8b24aea4444c083201": {
        "num_parents": 2,
        "date_commit": "Wed Nov 16 22:33:48.000000 2011 +0100",
        "date_author_commit": "</t>
    </r>
    <r>
      <rPr>
        <rFont val="Arial"/>
        <b/>
        <color theme="1"/>
      </rPr>
      <t>Wed Nov 16 22:33:48.000000 2011 +0100</t>
    </r>
    <r>
      <rPr>
        <rFont val="Arial"/>
        <color theme="1"/>
      </rPr>
      <t>",
        "Parent_1": "7c34941b89437e69037be4ea392885c914c227ce",
        "Parent_1author_date": "</t>
    </r>
    <r>
      <rPr>
        <rFont val="Arial"/>
        <b/>
        <color theme="1"/>
      </rPr>
      <t>Wed Nov 16 22:19:31.000000 2011 +0100</t>
    </r>
    <r>
      <rPr>
        <rFont val="Arial"/>
        <color theme="1"/>
      </rPr>
      <t xml:space="preserve">",
        "Parent_1commit_date": "Wed Nov 16 22:19:31.000000 2011 +0100",
        "Parent_1possible_rebase": </t>
    </r>
    <r>
      <rPr>
        <rFont val="Arial"/>
        <b/>
        <color theme="1"/>
      </rPr>
      <t>false</t>
    </r>
    <r>
      <rPr>
        <rFont val="Arial"/>
        <color theme="1"/>
      </rPr>
      <t>,
        "Parent_2": "1dba0cdc332e54162dc1d880e80deca968dbff4e",
        "Parent_2author_date": "</t>
    </r>
    <r>
      <rPr>
        <rFont val="Arial"/>
        <b/>
        <color theme="1"/>
      </rPr>
      <t>Fri Nov 11 05:36:17.000000 2011 +0100</t>
    </r>
    <r>
      <rPr>
        <rFont val="Arial"/>
        <color theme="1"/>
      </rPr>
      <t xml:space="preserve">",
        "Parent_2commit_date": "Wed Nov 16 22:03:12.000000 2011 +0100",
        "Parent_2possible_rebase": </t>
    </r>
    <r>
      <rPr>
        <rFont val="Arial"/>
        <b/>
        <color theme="1"/>
      </rPr>
      <t>false</t>
    </r>
    <r>
      <rPr>
        <rFont val="Arial"/>
        <color theme="1"/>
      </rPr>
      <t xml:space="preserve">
    }</t>
    </r>
  </si>
  <si>
    <t>I have re-worked the "addresses", "flavors", "images", and "servers" view
builders to share logic which was previously duplicated across many ViewBuilder
classes.</t>
  </si>
  <si>
    <t>Corrective, Perfective</t>
  </si>
  <si>
    <t>Perfective (maintainability)  I have re-worked the "addresses", "flavors", "images", and "servers" view
builders to share logic which was previously duplicated across many ViewBuilder
classes. Also, I have re-worked the ViewBuilder class in general to persist
longer.
Corrective (implementation failure)  Updated _set_request and _get_request to be a request property
              and a set_request method which can be overridden.
(Patch Set 3) Fixed tests that I broke with the last update.
(Patch Set 4) Changed "id in network.keys()" to "id in network"</t>
  </si>
  <si>
    <r>
      <rPr/>
      <t xml:space="preserve">test_images.py
</t>
    </r>
    <r>
      <rPr>
        <color rgb="FF1155CC"/>
        <u/>
      </rPr>
      <t>test_servers.py</t>
    </r>
  </si>
  <si>
    <t>Covered</t>
  </si>
  <si>
    <r>
      <rPr/>
      <t xml:space="preserve">test_images.py
</t>
    </r>
    <r>
      <rPr>
        <color rgb="FF1155CC"/>
        <u/>
      </rPr>
      <t>test_servers.py</t>
    </r>
  </si>
  <si>
    <t>No (Parents), Covered (Children)</t>
  </si>
  <si>
    <r>
      <rPr/>
      <t xml:space="preserve">Children - merger (oinclude the changes of the BIC) and Parent no change involving </t>
    </r>
    <r>
      <rPr>
        <color rgb="FF1155CC"/>
        <u/>
      </rPr>
      <t>images.py</t>
    </r>
  </si>
  <si>
    <t>Status(Not Available), CL(NO)</t>
  </si>
  <si>
    <t>Not information available, just the CI statuses in the changelog</t>
  </si>
  <si>
    <t>e.g., ""Return href string with proper limit and marker params.""", ""Return a dictionary with basic image attributes."""</t>
  </si>
  <si>
    <t>e.g.,""Return a dictionary with basic image attributes."""</t>
  </si>
  <si>
    <t>refactor code for maintainabilitx and avoid duplicates</t>
  </si>
  <si>
    <t>code splitted in multiple views, and generation of new classes</t>
  </si>
  <si>
    <t>import os</t>
  </si>
  <si>
    <t>No external library t the project was added in the buggy files</t>
  </si>
  <si>
    <t>Brian Lamar (brian.lamar@rackspace.com)</t>
  </si>
  <si>
    <t>merge review</t>
  </si>
  <si>
    <t>Review: 
Repo | Branch        openstack/nova | master
Parent        
217af7d
Merged As        
e7aa402</t>
  </si>
  <si>
    <t>by topic, just an abandoned change</t>
  </si>
  <si>
    <t>x_partial files</t>
  </si>
  <si>
    <r>
      <rPr>
        <rFont val="Arial"/>
        <color theme="1"/>
      </rPr>
      <t xml:space="preserve">    "num_parents":</t>
    </r>
    <r>
      <rPr>
        <rFont val="Arial"/>
        <b/>
        <color theme="1"/>
      </rPr>
      <t xml:space="preserve"> 1,</t>
    </r>
    <r>
      <rPr>
        <rFont val="Arial"/>
        <color theme="1"/>
      </rPr>
      <t xml:space="preserve">
    "author_name": "Guan Qiang",
    "author_email": "hzguanqiang@corp.netease.com",
    "date_commit": "Mon Dec 30 07:01:47.000000 2013 +0100",
    "date_author_commit": </t>
    </r>
    <r>
      <rPr>
        <rFont val="Arial"/>
        <b/>
        <color theme="1"/>
      </rPr>
      <t>"Tue Oct 22 10:32:25.000000 2013 +0200",</t>
    </r>
    <r>
      <rPr>
        <rFont val="Arial"/>
        <color theme="1"/>
      </rPr>
      <t xml:space="preserve">
    "Parent_1": "bf38dd4091dde95017fb57905af9b707930c440b",
    "Parent_1author_date": "</t>
    </r>
    <r>
      <rPr>
        <rFont val="Arial"/>
        <b/>
        <color theme="1"/>
      </rPr>
      <t>Mon Dec 30 06:34:21.000000 2013 +0100</t>
    </r>
    <r>
      <rPr>
        <rFont val="Arial"/>
        <color theme="1"/>
      </rPr>
      <t xml:space="preserve">",
    "Parent_1commit_date": "Mon Dec 30 06:34:21.000000 2013 +0100",
    "Parent_1possible_rebase": </t>
    </r>
    <r>
      <rPr>
        <rFont val="Arial"/>
        <b/>
        <color theme="1"/>
      </rPr>
      <t>true</t>
    </r>
  </si>
  <si>
    <r>
      <rPr>
        <rFont val="Arial"/>
        <color theme="1"/>
      </rPr>
      <t xml:space="preserve"> "8947824372c3fe800dc7e244848f740a4c5ad8a5": {
        "num_parents": </t>
    </r>
    <r>
      <rPr>
        <rFont val="Arial"/>
        <b/>
        <color theme="1"/>
      </rPr>
      <t>2</t>
    </r>
    <r>
      <rPr>
        <rFont val="Arial"/>
        <color theme="1"/>
      </rPr>
      <t>,
        "date_commit": "Sat Jan 11 16:10:38.000000 2014 +0100",
        "date_author_commit": "</t>
    </r>
    <r>
      <rPr>
        <rFont val="Arial"/>
        <b/>
        <color theme="1"/>
      </rPr>
      <t>Sat Jan 11 16:10:38.000000 2014 +0100</t>
    </r>
    <r>
      <rPr>
        <rFont val="Arial"/>
        <color theme="1"/>
      </rPr>
      <t>",
        "Parent_1": "96199f42b43508836d93fcf8368177cba02c7f3e",
        "Parent_1author_date": "</t>
    </r>
    <r>
      <rPr>
        <rFont val="Arial"/>
        <b/>
        <color theme="1"/>
      </rPr>
      <t>Sat Jan 11 15:19:40.000000 2014 +0100",</t>
    </r>
    <r>
      <rPr>
        <rFont val="Arial"/>
        <color theme="1"/>
      </rPr>
      <t xml:space="preserve">
        "Parent_1commit_date": "Sat Jan 11 15:19:40.000000 2014 +0100",
        "Parent_1possible_rebase": </t>
    </r>
    <r>
      <rPr>
        <rFont val="Arial"/>
        <b/>
        <color theme="1"/>
      </rPr>
      <t>false</t>
    </r>
    <r>
      <rPr>
        <rFont val="Arial"/>
        <color theme="1"/>
      </rPr>
      <t>,
        "Parent_2": "0fcbb7b286888d642d329db1299eb9f3708d1f50",
        "Parent_2author_date": "</t>
    </r>
    <r>
      <rPr>
        <rFont val="Arial"/>
        <b/>
        <color theme="1"/>
      </rPr>
      <t>Tue Oct 22 10:32:25.000000 2013 +0200"</t>
    </r>
    <r>
      <rPr>
        <rFont val="Arial"/>
        <color theme="1"/>
      </rPr>
      <t xml:space="preserve">,
        "Parent_2commit_date": "Mon Dec 30 07:01:47.000000 2013 +0100",
        "Parent_2possible_rebase": </t>
    </r>
    <r>
      <rPr>
        <rFont val="Arial"/>
        <b/>
        <color theme="1"/>
      </rPr>
      <t>false</t>
    </r>
  </si>
  <si>
    <r>
      <rPr>
        <rFont val="Arial"/>
        <color theme="1"/>
      </rPr>
      <t xml:space="preserve">    "bf38dd4091dde95017fb57905af9b707930c440b": {
        "num_parents": </t>
    </r>
    <r>
      <rPr>
        <rFont val="Arial"/>
        <b/>
        <color theme="1"/>
      </rPr>
      <t>2</t>
    </r>
    <r>
      <rPr>
        <rFont val="Arial"/>
        <color theme="1"/>
      </rPr>
      <t xml:space="preserve">,
        "date_commit": "Mon Dec 30 06:34:21.000000 2013 +0100",
</t>
    </r>
    <r>
      <rPr>
        <rFont val="Arial"/>
        <b/>
        <color theme="1"/>
      </rPr>
      <t xml:space="preserve">        "date_author_commit": "Mon Dec 30 06:34:21.000000 2013 +0100",
 </t>
    </r>
    <r>
      <rPr>
        <rFont val="Arial"/>
        <color theme="1"/>
      </rPr>
      <t xml:space="preserve">       "Parent_1": "bc8e111740e22b99e46b054329ac5f1debf2ec87",
</t>
    </r>
    <r>
      <rPr>
        <rFont val="Arial"/>
        <b/>
        <color theme="1"/>
      </rPr>
      <t xml:space="preserve">        "Parent_1author_date": "Mon Dec 30 06:06:27.000000 2013 +0100",
 </t>
    </r>
    <r>
      <rPr>
        <rFont val="Arial"/>
        <color theme="1"/>
      </rPr>
      <t xml:space="preserve">       "Parent_1commit_date": "Mon Dec 30 06:06:27.000000 2013 +0100",
        "Parent_1possible_rebase": </t>
    </r>
    <r>
      <rPr>
        <rFont val="Arial"/>
        <b/>
        <color theme="1"/>
      </rPr>
      <t>false</t>
    </r>
    <r>
      <rPr>
        <rFont val="Arial"/>
        <color theme="1"/>
      </rPr>
      <t xml:space="preserve">,
        "Parent_2": "b819f4c46ecbcbcf3ff7d5cf937d6620b04019cf",
</t>
    </r>
    <r>
      <rPr>
        <rFont val="Arial"/>
        <b/>
        <color theme="1"/>
      </rPr>
      <t xml:space="preserve">        "Parent_2author_date": "Fri Dec 20 11:02:51.000000 2013 +0100",
 </t>
    </r>
    <r>
      <rPr>
        <rFont val="Arial"/>
        <color theme="1"/>
      </rPr>
      <t xml:space="preserve">       "Parent_2commit_date": "Thu Dec 26 15:48:05.000000 2013 +0100",
        "Parent_2possible_rebase": </t>
    </r>
    <r>
      <rPr>
        <rFont val="Arial"/>
        <b/>
        <color theme="1"/>
      </rPr>
      <t xml:space="preserve">false
</t>
    </r>
    <r>
      <rPr>
        <rFont val="Arial"/>
        <color theme="1"/>
      </rPr>
      <t xml:space="preserve">    }</t>
    </r>
  </si>
  <si>
    <t>Closes-bug: #1243083 (both are related)
Related-bug: #1208387</t>
  </si>
  <si>
    <t>Corrective</t>
  </si>
  <si>
    <t>During resizing/rebooting a lxc container, create_domain action
will be called and lxc rootfs will be attached to device again.
So before this action, We need to teardown the container to
make sure lxc_root_device is detached when container is destroyed.</t>
  </si>
  <si>
    <r>
      <rPr/>
      <t xml:space="preserve">virt
</t>
    </r>
    <r>
      <rPr>
        <color rgb="FF1155CC"/>
        <u/>
      </rPr>
      <t>test_virt.py</t>
    </r>
  </si>
  <si>
    <r>
      <rPr/>
      <t xml:space="preserve">virt
</t>
    </r>
    <r>
      <rPr>
        <color rgb="FF1155CC"/>
        <u/>
      </rPr>
      <t>test_virt.py</t>
    </r>
  </si>
  <si>
    <t xml:space="preserve">Children - merger (oinclude the changes of the BIC) and Parent </t>
  </si>
  <si>
    <t>Status(Not Available), CL(YES)</t>
  </si>
  <si>
    <t>jenkins fail 6</t>
  </si>
  <si>
    <t xml:space="preserve"> NOTE(GuanQiang): teardown container to avoid resource leak</t>
  </si>
  <si>
    <t>Functionality changed. Due to know it was a bug fix</t>
  </si>
  <si>
    <t>no architectural design were made</t>
  </si>
  <si>
    <t>No dependencies were included or removed</t>
  </si>
  <si>
    <t>No dependencies were included</t>
  </si>
  <si>
    <t>Guan Qiang (hzguanqiang@corp.netease.com)</t>
  </si>
  <si>
    <t xml:space="preserve">Repo | Branch	openstack/nova | master
Parent	
bf38dd4
Merged As	
0fcbb7b
</t>
  </si>
  <si>
    <t>Just one review, that is inside the url</t>
  </si>
  <si>
    <t>Ammend</t>
  </si>
  <si>
    <r>
      <rPr>
        <rFont val="Arial"/>
        <b/>
        <color theme="1"/>
      </rPr>
      <t xml:space="preserve">    "num_parents": 1,
 </t>
    </r>
    <r>
      <rPr>
        <rFont val="Arial"/>
        <color theme="1"/>
      </rPr>
      <t xml:space="preserve">   "author_name": "Dmitry Borodaenko",
    "author_email": "dborodaenko@mirantis.com",
    "date_commit": "Sun Jul 27 23:45:24.000000 2014 +0200",
</t>
    </r>
    <r>
      <rPr>
        <rFont val="Arial"/>
        <b/>
        <color theme="1"/>
      </rPr>
      <t xml:space="preserve">    "date_author_commit": "Thu Mar 13 22:33:11.000000 2014 +0100",
 </t>
    </r>
    <r>
      <rPr>
        <rFont val="Arial"/>
        <color theme="1"/>
      </rPr>
      <t xml:space="preserve">   "Parent_1": "8230b751fbb4c41a3da987fea335d06f05e07272",
</t>
    </r>
    <r>
      <rPr>
        <rFont val="Arial"/>
        <b/>
        <color theme="1"/>
      </rPr>
      <t xml:space="preserve">    "Parent_1author_date": "Wed Jan 22 23:44:11.000000 2014 +0100",
 </t>
    </r>
    <r>
      <rPr>
        <rFont val="Arial"/>
        <color theme="1"/>
      </rPr>
      <t xml:space="preserve">   "Parent_1commit_date": "Sun Jul 27 23:45:24.000000 2014 +0200",
</t>
    </r>
    <r>
      <rPr>
        <rFont val="Arial"/>
        <b/>
        <color theme="1"/>
      </rPr>
      <t xml:space="preserve">    "Parent_1possible_rebase": false</t>
    </r>
  </si>
  <si>
    <r>
      <rPr>
        <rFont val="Arial"/>
        <color theme="1"/>
      </rPr>
      <t xml:space="preserve">  "18f57e6904b69b09a91966930894fcc788d26ecc": {
        "num_parents": </t>
    </r>
    <r>
      <rPr>
        <rFont val="Arial"/>
        <b/>
        <color theme="1"/>
      </rPr>
      <t>2</t>
    </r>
    <r>
      <rPr>
        <rFont val="Arial"/>
        <color theme="1"/>
      </rPr>
      <t xml:space="preserve">,
        "date_commit": "Mon Jul 28 18:54:25.000000 2014 +0200",
</t>
    </r>
    <r>
      <rPr>
        <rFont val="Arial"/>
        <b/>
        <color theme="1"/>
      </rPr>
      <t xml:space="preserve">        "date_author_commit": "Mon Jul 28 18:54:25.000000 2014 +0200",
 </t>
    </r>
    <r>
      <rPr>
        <rFont val="Arial"/>
        <color theme="1"/>
      </rPr>
      <t xml:space="preserve">       "Parent_1": "fd7312ef9d703291e3c64bc2b5a4edf0d0c24ce8",
</t>
    </r>
    <r>
      <rPr>
        <rFont val="Arial"/>
        <b/>
        <color theme="1"/>
      </rPr>
      <t xml:space="preserve">        "Parent_1author_date": "Mon Jul 28 17:14:42.000000 2014 +0200",
 </t>
    </r>
    <r>
      <rPr>
        <rFont val="Arial"/>
        <color theme="1"/>
      </rPr>
      <t xml:space="preserve">       "Parent_1commit_date": "Mon Jul 28 17:14:42.000000 2014 +0200",
        "Parent_1possible_rebase": </t>
    </r>
    <r>
      <rPr>
        <rFont val="Arial"/>
        <b/>
        <color theme="1"/>
      </rPr>
      <t>false</t>
    </r>
    <r>
      <rPr>
        <rFont val="Arial"/>
        <color theme="1"/>
      </rPr>
      <t xml:space="preserve">,
        "Parent_2": "13e2bd02a5b50973f95eb3d8fc0af4e0702e3381",
</t>
    </r>
    <r>
      <rPr>
        <rFont val="Arial"/>
        <b/>
        <color theme="1"/>
      </rPr>
      <t xml:space="preserve">        "Parent_2author_date": "Thu Mar 13 22:33:11.000000 2014 +0100",
 </t>
    </r>
    <r>
      <rPr>
        <rFont val="Arial"/>
        <color theme="1"/>
      </rPr>
      <t xml:space="preserve">       "Parent_2commit_date": "Sun Jul 27 23:45:24.000000 2014 +0200",
        "Parent_2possible_rebase": </t>
    </r>
    <r>
      <rPr>
        <rFont val="Arial"/>
        <b/>
        <color theme="1"/>
      </rPr>
      <t>false</t>
    </r>
  </si>
  <si>
    <r>
      <rPr>
        <rFont val="Arial"/>
        <color theme="1"/>
      </rPr>
      <t xml:space="preserve">    "8230b751fbb4c41a3da987fea335d06f05e07272": {
</t>
    </r>
    <r>
      <rPr>
        <rFont val="Arial"/>
        <b/>
        <color theme="1"/>
      </rPr>
      <t xml:space="preserve">        "num_parents": 1,
 </t>
    </r>
    <r>
      <rPr>
        <rFont val="Arial"/>
        <color theme="1"/>
      </rPr>
      <t xml:space="preserve">       "date_commit": "Sun Jul 27 23:45:24.000000 2014 +0200",
</t>
    </r>
    <r>
      <rPr>
        <rFont val="Arial"/>
        <b/>
        <color theme="1"/>
      </rPr>
      <t xml:space="preserve">        "date_author_commit": "Wed Jan 22 23:44:11.000000 2014 +0100",
 </t>
    </r>
    <r>
      <rPr>
        <rFont val="Arial"/>
        <color theme="1"/>
      </rPr>
      <t xml:space="preserve">       "Parent_1": "8585a242cb1c6425dd647cdce4498eb2071842a4",
</t>
    </r>
    <r>
      <rPr>
        <rFont val="Arial"/>
        <b/>
        <color theme="1"/>
      </rPr>
      <t xml:space="preserve">        "Parent_1author_date": "Sun Jul 27 20:12:03.000000 2014 +0200",
 </t>
    </r>
    <r>
      <rPr>
        <rFont val="Arial"/>
        <color theme="1"/>
      </rPr>
      <t xml:space="preserve">       "Parent_1commit_date": "Sun Jul 27 20:12:03.000000 2014 +0200",
</t>
    </r>
    <r>
      <rPr>
        <rFont val="Arial"/>
        <b/>
        <color theme="1"/>
      </rPr>
      <t xml:space="preserve">        "Parent_1possible_rebase": true</t>
    </r>
  </si>
  <si>
    <t>this fixes a yo-yo problem with single-use methods scattered across 3
different files, and minimizes impact of this fix on imports in
imagebackend and utils.</t>
  </si>
  <si>
    <t>Bug fix  + this fixes a yo-yo problem with single-use methods scattered across 3 different files, and minimizes impact of this fix on imports in imagebackend and utils.</t>
  </si>
  <si>
    <r>
      <rPr/>
      <t xml:space="preserve">tests/virt/libvirt
fake_libvirt_utils.py
test_driver.py
test_imagebackend.py
test_rbd.py
</t>
    </r>
    <r>
      <rPr>
        <color rgb="FF1155CC"/>
        <u/>
      </rPr>
      <t>test_utils.py</t>
    </r>
  </si>
  <si>
    <t>Partial</t>
  </si>
  <si>
    <t>test_driver.py
test_imagebackend.py
test_rbd.py</t>
  </si>
  <si>
    <t>Partial (Parents), Partial (Children)</t>
  </si>
  <si>
    <t>Children merge, Parent, tests related to the new instance created in BIC</t>
  </si>
  <si>
    <t>Status(YES), CL(YES)</t>
  </si>
  <si>
    <t>jenkins 2</t>
  </si>
  <si>
    <t>"""Import RBD volume from image file.</t>
  </si>
  <si>
    <t>new Class rbd-pyAll code related to cleanup of RBD volumes is moved to rbd.py, this fixes a yo-yo problem with single-use methods scattered across 3 different files, and minimizes impact of this fix on imports in imagebackend and utils.</t>
  </si>
  <si>
    <t>Dmitry Borodaenko (dborodaenko@mirantis.com), Michael Still</t>
  </si>
  <si>
    <t xml:space="preserve">Parent	
8230b75
Merged As	
13e2bd0
</t>
  </si>
  <si>
    <t>Just one review</t>
  </si>
  <si>
    <t>x_files buggy identified different name</t>
  </si>
  <si>
    <r>
      <rPr>
        <rFont val="Arial"/>
        <b/>
        <color theme="1"/>
      </rPr>
      <t xml:space="preserve">    "num_parents": 1,
 </t>
    </r>
    <r>
      <rPr>
        <rFont val="Arial"/>
        <color theme="1"/>
      </rPr>
      <t xml:space="preserve">   "author_name": "Daniel P. Berrange",
    "author_email": "berrange@redhat.com",
    "date_commit": "Wed Jan 16 11:19:37.000000 2013 +0100",
</t>
    </r>
    <r>
      <rPr>
        <rFont val="Arial"/>
        <b/>
        <color theme="1"/>
      </rPr>
      <t xml:space="preserve">    "date_author_commit": "Thu Jan 03 11:52:40.000000 2013 +0100",
 </t>
    </r>
    <r>
      <rPr>
        <rFont val="Arial"/>
        <color theme="1"/>
      </rPr>
      <t xml:space="preserve">   "Parent_1": "c215b5ec79516111456dfc2a63fa0facf5946ab0",
</t>
    </r>
    <r>
      <rPr>
        <rFont val="Arial"/>
        <b/>
        <color theme="1"/>
      </rPr>
      <t xml:space="preserve">    "Parent_1author_date": "Tue Dec 18 13:06:15.000000 2012 +0100",
 </t>
    </r>
    <r>
      <rPr>
        <rFont val="Arial"/>
        <color theme="1"/>
      </rPr>
      <t xml:space="preserve">   "Parent_1commit_date": "Wed Jan 16 11:19:37.000000 2013 +0100",
</t>
    </r>
    <r>
      <rPr>
        <rFont val="Arial"/>
        <b/>
        <color theme="1"/>
      </rPr>
      <t xml:space="preserve">    "Parent_1possible_rebase": false</t>
    </r>
  </si>
  <si>
    <r>
      <rPr>
        <rFont val="Arial"/>
        <color theme="1"/>
      </rPr>
      <t xml:space="preserve">    "bd8399bd2f51f1dcaa5194cb035415c634383917": {
</t>
    </r>
    <r>
      <rPr>
        <rFont val="Arial"/>
        <b/>
        <color theme="1"/>
      </rPr>
      <t xml:space="preserve">        "num_parents": 2,
</t>
    </r>
    <r>
      <rPr>
        <rFont val="Arial"/>
        <color theme="1"/>
      </rPr>
      <t xml:space="preserve">        "date_commit": "Thu Jan 17 12:59:12.000000 2013 +0100",
        "date_author_commit": "Thu Jan 17 12:59:12.000000 2013 +0100",
        "Parent_1": "2cdc27b752fa53fd936df1d1a7f4c51701b5e39a",
</t>
    </r>
    <r>
      <rPr>
        <rFont val="Arial"/>
        <b/>
        <color theme="1"/>
      </rPr>
      <t xml:space="preserve">        "Parent_1author_date": "Thu Jan 17 12:52:10.000000 2013 +0100",
</t>
    </r>
    <r>
      <rPr>
        <rFont val="Arial"/>
        <color theme="1"/>
      </rPr>
      <t xml:space="preserve">        "Parent_1commit_date": "Thu Jan 17 12:52:10.000000 2013 +0100",
</t>
    </r>
    <r>
      <rPr>
        <rFont val="Arial"/>
        <b/>
        <color theme="1"/>
      </rPr>
      <t xml:space="preserve">        "Parent_1possible_rebase": false,
</t>
    </r>
    <r>
      <rPr>
        <rFont val="Arial"/>
        <color theme="1"/>
      </rPr>
      <t xml:space="preserve">        "Parent_2": "e71e8c2a8902acb59dc95e4ea3521e09ae50aa7d",
</t>
    </r>
    <r>
      <rPr>
        <rFont val="Arial"/>
        <b/>
        <color theme="1"/>
      </rPr>
      <t xml:space="preserve">        "Parent_2author_date": "Thu Jan 03 11:52:40.000000 2013 +0100",
</t>
    </r>
    <r>
      <rPr>
        <rFont val="Arial"/>
        <color theme="1"/>
      </rPr>
      <t xml:space="preserve">        "Parent_2commit_date": "Wed Jan 16 11:19:37.000000 2013 +0100",
</t>
    </r>
    <r>
      <rPr>
        <rFont val="Arial"/>
        <b/>
        <color theme="1"/>
      </rPr>
      <t xml:space="preserve">        "Parent_2possible_rebase": false
</t>
    </r>
    <r>
      <rPr>
        <rFont val="Arial"/>
        <color theme="1"/>
      </rPr>
      <t xml:space="preserve">    },</t>
    </r>
  </si>
  <si>
    <r>
      <rPr>
        <rFont val="Arial"/>
        <color theme="1"/>
      </rPr>
      <t xml:space="preserve">    "c215b5ec79516111456dfc2a63fa0facf5946ab0": {
</t>
    </r>
    <r>
      <rPr>
        <rFont val="Arial"/>
        <b/>
        <color theme="1"/>
      </rPr>
      <t xml:space="preserve">        "num_parents": 1,
 </t>
    </r>
    <r>
      <rPr>
        <rFont val="Arial"/>
        <color theme="1"/>
      </rPr>
      <t xml:space="preserve">       "date_commit": "Wed Jan 16 11:19:37.000000 2013 +0100",
</t>
    </r>
    <r>
      <rPr>
        <rFont val="Arial"/>
        <b/>
        <color theme="1"/>
      </rPr>
      <t xml:space="preserve">        "date_author_commit": "Tue Dec 18 13:06:15.000000 2012 +0100",
 </t>
    </r>
    <r>
      <rPr>
        <rFont val="Arial"/>
        <color theme="1"/>
      </rPr>
      <t xml:space="preserve">       "Parent_1": "a41f4c96ca5f1d8323c5631b9a0eab4de3e2001e",
</t>
    </r>
    <r>
      <rPr>
        <rFont val="Arial"/>
        <b/>
        <color theme="1"/>
      </rPr>
      <t xml:space="preserve">        "Parent_1author_date": "Tue Dec 18 12:31:40.000000 2012 +0100",
 </t>
    </r>
    <r>
      <rPr>
        <rFont val="Arial"/>
        <color theme="1"/>
      </rPr>
      <t xml:space="preserve">       "Parent_1commit_date": "Wed Jan 16 11:19:37.000000 2013 +0100",
</t>
    </r>
    <r>
      <rPr>
        <rFont val="Arial"/>
        <b/>
        <color theme="1"/>
      </rPr>
      <t xml:space="preserve">        "Parent_1possible_rebase": false
 </t>
    </r>
    <r>
      <rPr>
        <rFont val="Arial"/>
        <color theme="1"/>
      </rPr>
      <t xml:space="preserve">   }</t>
    </r>
  </si>
  <si>
    <t>Just BP</t>
  </si>
  <si>
    <t>Perfective</t>
  </si>
  <si>
    <t>Maintainability pull the NovaWebSocketProxy class
out of nova-novncproxy into a new nova/console/websocketproxy.py
file</t>
  </si>
  <si>
    <t>no test were changed</t>
  </si>
  <si>
    <t>No</t>
  </si>
  <si>
    <t>No (Parents), No (Children)</t>
  </si>
  <si>
    <t>NO changes in related tests</t>
  </si>
  <si>
    <t>'' Websocket proxy that is compatible with OpenStack Nova.
Leverages websockify.py by Joel Martin
'''</t>
  </si>
  <si>
    <t xml:space="preserve">bin/nova-novncproxy
 import new class and import it
</t>
  </si>
  <si>
    <t xml:space="preserve">Functionality changed. </t>
  </si>
  <si>
    <t>new class and package websocketproxy</t>
  </si>
  <si>
    <t>websockify was already required before</t>
  </si>
  <si>
    <t>Daniel P. Berrange (berrange@redhat.com)</t>
  </si>
  <si>
    <t>Parent	
c215b5e
Merged As	
e71e8c2</t>
  </si>
  <si>
    <t>multiple reviews but all in  master of the topic not the change</t>
  </si>
  <si>
    <r>
      <rPr>
        <rFont val="Arial"/>
        <color theme="1"/>
      </rPr>
      <t xml:space="preserve">    "eab051ec68bdc8792dddb63c9231ece11ab06037": {
</t>
    </r>
    <r>
      <rPr>
        <rFont val="Arial"/>
        <b/>
        <color theme="1"/>
      </rPr>
      <t xml:space="preserve">        "num_parents": 1,
 </t>
    </r>
    <r>
      <rPr>
        <rFont val="Arial"/>
        <color theme="1"/>
      </rPr>
      <t xml:space="preserve">       "date_commit": "Wed Jan 16 11:19:37.000000 2013 +0100",
</t>
    </r>
    <r>
      <rPr>
        <rFont val="Arial"/>
        <b/>
        <color theme="1"/>
      </rPr>
      <t xml:space="preserve">        "date_author_commit": "Thu Jan 03 11:23:50.000000 2013 +0100",
 </t>
    </r>
    <r>
      <rPr>
        <rFont val="Arial"/>
        <color theme="1"/>
      </rPr>
      <t xml:space="preserve">       "Parent_1": "e71e8c2a8902acb59dc95e4ea3521e09ae50aa7d",
</t>
    </r>
    <r>
      <rPr>
        <rFont val="Arial"/>
        <b/>
        <color theme="1"/>
      </rPr>
      <t xml:space="preserve">        "Parent_1author_date": "Thu Jan 03 11:52:40.000000 2013 +0100",
 </t>
    </r>
    <r>
      <rPr>
        <rFont val="Arial"/>
        <color theme="1"/>
      </rPr>
      <t xml:space="preserve">       "Parent_1commit_date": "Wed Jan 16 11:19:37.000000 2013 +0100",
</t>
    </r>
    <r>
      <rPr>
        <rFont val="Arial"/>
        <b/>
        <color theme="1"/>
      </rPr>
      <t xml:space="preserve">        "Parent_1possible_rebase": true
 </t>
    </r>
    <r>
      <rPr>
        <rFont val="Arial"/>
        <color theme="1"/>
      </rPr>
      <t xml:space="preserve">   }</t>
    </r>
  </si>
  <si>
    <t>No (Children)</t>
  </si>
  <si>
    <r>
      <rPr>
        <rFont val="Arial"/>
        <b/>
        <color theme="1"/>
      </rPr>
      <t xml:space="preserve">    "num_parents": 1,
 </t>
    </r>
    <r>
      <rPr>
        <rFont val="Arial"/>
        <color theme="1"/>
      </rPr>
      <t xml:space="preserve">   "author_name": "Nikola Dipanov",
    "author_email": "ndipanov@redhat.com",
    "date_commit": "Thu Mar 06 09:14:47.000000 2014 +0100",
</t>
    </r>
    <r>
      <rPr>
        <rFont val="Arial"/>
        <b/>
        <color theme="1"/>
      </rPr>
      <t xml:space="preserve">    "date_author_commit": "Fri Jan 31 15:20:47.000000 2014 +0100",
 </t>
    </r>
    <r>
      <rPr>
        <rFont val="Arial"/>
        <color theme="1"/>
      </rPr>
      <t xml:space="preserve">   "Parent_1": "4897b18a406aa1fa3ba4916f9d9cfde2b064f406",
</t>
    </r>
    <r>
      <rPr>
        <rFont val="Arial"/>
        <b/>
        <color theme="1"/>
      </rPr>
      <t xml:space="preserve">    "Parent_1author_date": "Thu Mar 06 02:55:17.000000 2014 +0100",
 </t>
    </r>
    <r>
      <rPr>
        <rFont val="Arial"/>
        <color theme="1"/>
      </rPr>
      <t xml:space="preserve">   "Parent_1commit_date": "Thu Mar 06 02:55:17.000000 2014 +0100",
</t>
    </r>
    <r>
      <rPr>
        <rFont val="Arial"/>
        <b/>
        <color theme="1"/>
      </rPr>
      <t xml:space="preserve">    "Parent_1possible_rebase": true</t>
    </r>
  </si>
  <si>
    <r>
      <rPr>
        <rFont val="Arial"/>
        <color theme="1"/>
      </rPr>
      <t xml:space="preserve"> "87f35cfcc7d26b89dcc084be337d97a213079e77": {
</t>
    </r>
    <r>
      <rPr>
        <rFont val="Arial"/>
        <b/>
        <color theme="1"/>
      </rPr>
      <t xml:space="preserve">        "num_parents": 1,
 </t>
    </r>
    <r>
      <rPr>
        <rFont val="Arial"/>
        <color theme="1"/>
      </rPr>
      <t xml:space="preserve">       "date_commit": "Thu Mar 06 09:22:12.000000 2014 +0100",
</t>
    </r>
    <r>
      <rPr>
        <rFont val="Arial"/>
        <b/>
        <color theme="1"/>
      </rPr>
      <t xml:space="preserve">        "date_author_commit": "Tue Feb 04 12:02:45.000000 2014 +0100",
 </t>
    </r>
    <r>
      <rPr>
        <rFont val="Arial"/>
        <color theme="1"/>
      </rPr>
      <t xml:space="preserve">       "Parent_1": "f5071bd1ac00ed68102d37c8025d36df6777cd9e",
</t>
    </r>
    <r>
      <rPr>
        <rFont val="Arial"/>
        <b/>
        <color theme="1"/>
      </rPr>
      <t xml:space="preserve">        "Parent_1author_date": "Fri Jan 31 15:20:47.000000 2014 +0100",
 </t>
    </r>
    <r>
      <rPr>
        <rFont val="Arial"/>
        <color theme="1"/>
      </rPr>
      <t xml:space="preserve">       "Parent_1commit_date": "Thu Mar 06 09:14:47.000000 2014 +0100",
</t>
    </r>
    <r>
      <rPr>
        <rFont val="Arial"/>
        <b/>
        <color theme="1"/>
      </rPr>
      <t xml:space="preserve">        "Parent_1possible_rebase": false
 </t>
    </r>
    <r>
      <rPr>
        <rFont val="Arial"/>
        <color theme="1"/>
      </rPr>
      <t xml:space="preserve">   }</t>
    </r>
  </si>
  <si>
    <r>
      <rPr>
        <rFont val="Arial"/>
        <color theme="1"/>
      </rPr>
      <t xml:space="preserve">    "4897b18a406aa1fa3ba4916f9d9cfde2b064f406": {
</t>
    </r>
    <r>
      <rPr>
        <rFont val="Arial"/>
        <b/>
        <color theme="1"/>
      </rPr>
      <t xml:space="preserve">        "num_parents": 2,
 </t>
    </r>
    <r>
      <rPr>
        <rFont val="Arial"/>
        <color theme="1"/>
      </rPr>
      <t xml:space="preserve">       "date_commit": "Thu Mar 06 02:55:17.000000 2014 +0100",
</t>
    </r>
    <r>
      <rPr>
        <rFont val="Arial"/>
        <b/>
        <color theme="1"/>
      </rPr>
      <t xml:space="preserve">        "date_author_commit": "Thu Mar 06 02:55:17.000000 2014 +0100",
 </t>
    </r>
    <r>
      <rPr>
        <rFont val="Arial"/>
        <color theme="1"/>
      </rPr>
      <t xml:space="preserve">       "Parent_1": "46c0c773d95b4d2045240a60b9c36615ad15f2d8",
</t>
    </r>
    <r>
      <rPr>
        <rFont val="Arial"/>
        <b/>
        <color theme="1"/>
      </rPr>
      <t xml:space="preserve">        "Parent_1author_date": "Thu Mar 06 02:44:27.000000 2014 +0100",
 </t>
    </r>
    <r>
      <rPr>
        <rFont val="Arial"/>
        <color theme="1"/>
      </rPr>
      <t xml:space="preserve">       "Parent_1commit_date": "Thu Mar 06 02:44:27.000000 2014 +0100",
</t>
    </r>
    <r>
      <rPr>
        <rFont val="Arial"/>
        <b/>
        <color theme="1"/>
      </rPr>
      <t xml:space="preserve">        "Parent_1possible_rebase": false,
 </t>
    </r>
    <r>
      <rPr>
        <rFont val="Arial"/>
        <color theme="1"/>
      </rPr>
      <t xml:space="preserve">       "Parent_2": "784372985907dd88771e4ee1ff32305022b49e78",
</t>
    </r>
    <r>
      <rPr>
        <rFont val="Arial"/>
        <b/>
        <color theme="1"/>
      </rPr>
      <t xml:space="preserve">        "Parent_2author_date": "Fri Feb 21 15:54:30.000000 2014 +0100",
 </t>
    </r>
    <r>
      <rPr>
        <rFont val="Arial"/>
        <color theme="1"/>
      </rPr>
      <t xml:space="preserve">       "Parent_2commit_date": "Tue Mar 04 22:58:50.000000 2014 +0100",
</t>
    </r>
    <r>
      <rPr>
        <rFont val="Arial"/>
        <b/>
        <color theme="1"/>
      </rPr>
      <t xml:space="preserve">        "Parent_2possible_rebase": false
 </t>
    </r>
    <r>
      <rPr>
        <rFont val="Arial"/>
        <color theme="1"/>
      </rPr>
      <t xml:space="preserve">   }</t>
    </r>
  </si>
  <si>
    <t>multiple BP related (icehouse-objects
Part of blueprint: clean-up-legacy-block-device-mapping)</t>
  </si>
  <si>
    <r>
      <rPr/>
      <t xml:space="preserve">Move all the code paths related to instance deletion to new-world
objects. This includes soft- and hard- deletes, instance init on compute
startup, as well as the reclaim_queued_deletes. 
change in the  target, line 414 </t>
    </r>
    <r>
      <rPr>
        <color rgb="FF1155CC"/>
        <u/>
      </rPr>
      <t>manager.py</t>
    </r>
    <r>
      <rPr/>
      <t xml:space="preserve"> is not adaptive also ? </t>
    </r>
  </si>
  <si>
    <r>
      <rPr/>
      <t xml:space="preserve">s/compute
test_compute.py
test_compute_api.py
test_compute_mgr.py
</t>
    </r>
    <r>
      <rPr>
        <color rgb="FF1155CC"/>
        <u/>
      </rPr>
      <t>test_rpcapi.py</t>
    </r>
  </si>
  <si>
    <t>Not Available</t>
  </si>
  <si>
    <t>the buggy file is not present</t>
  </si>
  <si>
    <t>e.g.,  # ensure block device mappings are not leaked</t>
  </si>
  <si>
    <r>
      <rPr/>
      <t xml:space="preserve">in </t>
    </r>
    <r>
      <rPr>
        <color rgb="FF1155CC"/>
        <u/>
      </rPr>
      <t>rcapi.py</t>
    </r>
    <r>
      <rPr/>
      <t xml:space="preserve"> e.g., instance=instance, bdms=bdms_p,</t>
    </r>
  </si>
  <si>
    <t>the change of location of the logic of  the path  is a design change   due to it is a structural change, it changes the way internal components depends and comunicate (e.g., see the new import of objects)</t>
  </si>
  <si>
    <t>change of target = messaging.Target(version='3.22') from a previous verison 3,21</t>
  </si>
  <si>
    <t>Nikola Dipanov (ndipanov@redhat.com)</t>
  </si>
  <si>
    <t>Parent	
4897b18
Merged As	
f5071bd</t>
  </si>
  <si>
    <t>xx_ file not presnt in the commit</t>
  </si>
  <si>
    <r>
      <rPr>
        <rFont val="Arial"/>
        <b/>
        <color theme="1"/>
      </rPr>
      <t xml:space="preserve"> "num_parents": 1,
 </t>
    </r>
    <r>
      <rPr>
        <rFont val="Arial"/>
        <color theme="1"/>
      </rPr>
      <t xml:space="preserve">   "author_name": "Kevin L. Mitchell",
    "author_email": "kevin.mitchell@rackspace.com",
    "date_commit": "Mon Jul 15 17:32:23.000000 2013 +0200",
</t>
    </r>
    <r>
      <rPr>
        <rFont val="Arial"/>
        <b/>
        <color theme="1"/>
      </rPr>
      <t xml:space="preserve">    "date_author_commit": "Mon Jul 15 17:32:23.000000 2013 +0200",
 </t>
    </r>
    <r>
      <rPr>
        <rFont val="Arial"/>
        <color theme="1"/>
      </rPr>
      <t xml:space="preserve">   "Parent_1": "fe1e15678e65b291f22c6ea776aee1b1b6f47ef9",
</t>
    </r>
    <r>
      <rPr>
        <rFont val="Arial"/>
        <b/>
        <color theme="1"/>
      </rPr>
      <t xml:space="preserve">    "Parent_1author_date": "Mon Jul 15 14:47:23.000000 2013 +0200",
 </t>
    </r>
    <r>
      <rPr>
        <rFont val="Arial"/>
        <color theme="1"/>
      </rPr>
      <t xml:space="preserve">   "Parent_1commit_date": "Mon Jul 15 14:47:23.000000 2013 +0200",
</t>
    </r>
    <r>
      <rPr>
        <rFont val="Arial"/>
        <b/>
        <color theme="1"/>
      </rPr>
      <t xml:space="preserve">    "Parent_1possible_rebase": false</t>
    </r>
  </si>
  <si>
    <r>
      <rPr>
        <rFont val="Arial"/>
        <color theme="1"/>
      </rPr>
      <t xml:space="preserve">"55dcec35856045049ec33c43762445a8c588651e": {
</t>
    </r>
    <r>
      <rPr>
        <rFont val="Arial"/>
        <b/>
        <color theme="1"/>
      </rPr>
      <t xml:space="preserve">        "num_parents": 2,
 </t>
    </r>
    <r>
      <rPr>
        <rFont val="Arial"/>
        <color theme="1"/>
      </rPr>
      <t xml:space="preserve">       "date_commit": "Tue Jul 16 18:44:44.000000 2013 +0200",
</t>
    </r>
    <r>
      <rPr>
        <rFont val="Arial"/>
        <b/>
        <color theme="1"/>
      </rPr>
      <t xml:space="preserve">        "date_author_commit": "Tue Jul 16 18:44:44.000000 2013 +0200",
 </t>
    </r>
    <r>
      <rPr>
        <rFont val="Arial"/>
        <color theme="1"/>
      </rPr>
      <t xml:space="preserve">       "Parent_1": "4110960378a61e42e6e6fbc95348d08ecca76d9a",
</t>
    </r>
    <r>
      <rPr>
        <rFont val="Arial"/>
        <b/>
        <color theme="1"/>
      </rPr>
      <t xml:space="preserve">        "Parent_1author_date": "Tue Jul 16 17:44:30.000000 2013 +0200",
 </t>
    </r>
    <r>
      <rPr>
        <rFont val="Arial"/>
        <color theme="1"/>
      </rPr>
      <t xml:space="preserve">       "Parent_1commit_date": "Tue Jul 16 17:44:30.000000 2013 +0200",
</t>
    </r>
    <r>
      <rPr>
        <rFont val="Arial"/>
        <b/>
        <color theme="1"/>
      </rPr>
      <t xml:space="preserve">        "Parent_1possible_rebase": false,
 </t>
    </r>
    <r>
      <rPr>
        <rFont val="Arial"/>
        <color theme="1"/>
      </rPr>
      <t xml:space="preserve">       "Parent_2": "88ab9369e3ddfd8b8684bf280330ff8d37a74b2b",
</t>
    </r>
    <r>
      <rPr>
        <rFont val="Arial"/>
        <b/>
        <color theme="1"/>
      </rPr>
      <t xml:space="preserve">        "Parent_2author_date": "Mon Jul 15 17:32:23.000000 2013 +0200",
 </t>
    </r>
    <r>
      <rPr>
        <rFont val="Arial"/>
        <color theme="1"/>
      </rPr>
      <t xml:space="preserve">       "Parent_2commit_date": "Mon Jul 15 17:32:23.000000 2013 +0200",
</t>
    </r>
    <r>
      <rPr>
        <rFont val="Arial"/>
        <b/>
        <color theme="1"/>
      </rPr>
      <t xml:space="preserve">        "Parent_2possible_rebase": false</t>
    </r>
  </si>
  <si>
    <r>
      <rPr>
        <rFont val="Arial"/>
        <color theme="1"/>
      </rPr>
      <t xml:space="preserve">"fe1e15678e65b291f22c6ea776aee1b1b6f47ef9": {
</t>
    </r>
    <r>
      <rPr>
        <rFont val="Arial"/>
        <b/>
        <color theme="1"/>
      </rPr>
      <t xml:space="preserve">        "num_parents": 2,
 </t>
    </r>
    <r>
      <rPr>
        <rFont val="Arial"/>
        <color theme="1"/>
      </rPr>
      <t xml:space="preserve">       "date_commit": "Mon Jul 15 14:47:23.000000 2013 +0200",
</t>
    </r>
    <r>
      <rPr>
        <rFont val="Arial"/>
        <b/>
        <color theme="1"/>
      </rPr>
      <t xml:space="preserve">        "date_author_commit": "Mon Jul 15 14:47:23.000000 2013 +0200",
 </t>
    </r>
    <r>
      <rPr>
        <rFont val="Arial"/>
        <color theme="1"/>
      </rPr>
      <t xml:space="preserve">       "Parent_1": "9db20d4c51172cecab929c1de6a8db8ce509c3d1",
</t>
    </r>
    <r>
      <rPr>
        <rFont val="Arial"/>
        <b/>
        <color theme="1"/>
      </rPr>
      <t xml:space="preserve">        "Parent_1author_date": "Mon Jul 15 14:47:09.000000 2013 +0200",
 </t>
    </r>
    <r>
      <rPr>
        <rFont val="Arial"/>
        <color theme="1"/>
      </rPr>
      <t xml:space="preserve">       "Parent_1commit_date": "Mon Jul 15 14:47:09.000000 2013 +0200",
</t>
    </r>
    <r>
      <rPr>
        <rFont val="Arial"/>
        <b/>
        <color theme="1"/>
      </rPr>
      <t xml:space="preserve">        "Parent_1possible_rebase": false,
 </t>
    </r>
    <r>
      <rPr>
        <rFont val="Arial"/>
        <color theme="1"/>
      </rPr>
      <t xml:space="preserve">       "Parent_2": "9b7d33f22781ade62ac712a1285d0c0729bfebc1",
</t>
    </r>
    <r>
      <rPr>
        <rFont val="Arial"/>
        <b/>
        <color theme="1"/>
      </rPr>
      <t xml:space="preserve">        "Parent_2author_date": "Fri Jun 28 08:12:31.000000 2013 +0200",
 </t>
    </r>
    <r>
      <rPr>
        <rFont val="Arial"/>
        <color theme="1"/>
      </rPr>
      <t xml:space="preserve">       "Parent_2commit_date": "Mon Jul 15 08:02:20.000000 2013 +0200",
</t>
    </r>
    <r>
      <rPr>
        <rFont val="Arial"/>
        <b/>
        <color theme="1"/>
      </rPr>
      <t xml:space="preserve">        "Parent_2possible_rebase": false</t>
    </r>
  </si>
  <si>
    <t>just implements a BP (Implements blueprint eliminate-clear-passwords-from-cells-table.)</t>
  </si>
  <si>
    <t>Adaptive, Perfective</t>
  </si>
  <si>
    <t>perfective : the change in the db.
adaptive: data no longer in db (change in the logic of the db)</t>
  </si>
  <si>
    <t xml:space="preserve">fakes.py
test_cells_manager.py
test_cells_rpcapi.py
test_cells_state_manager.py
</t>
  </si>
  <si>
    <t>CellStateManagerDB was not covered in the changes</t>
  </si>
  <si>
    <t>no documentation of the code was modified. However, the general documentation of the project was altered. ( DocImpact = true)</t>
  </si>
  <si>
    <t xml:space="preserve">e.g., cell = self.cells_rpcapi.cell_get(context, id) </t>
  </si>
  <si>
    <t>new classses implemented the change of location of how the data is stored and read is a design change of data flow in nova</t>
  </si>
  <si>
    <t>the change of location of how the data is stored and read is a design change of data flow in nova adependencies between classes and packages changed and new class was added</t>
  </si>
  <si>
    <t>Kevin L. Mitchell (kevin.mitchell@rackspace.com)</t>
  </si>
  <si>
    <t>Parent	
fe1e156
Merged As	
88ab936</t>
  </si>
  <si>
    <r>
      <rPr>
        <rFont val="Arial"/>
        <b/>
        <color theme="1"/>
      </rPr>
      <t xml:space="preserve">    "num_parents": 1,
 </t>
    </r>
    <r>
      <rPr>
        <rFont val="Arial"/>
        <color theme="1"/>
      </rPr>
      <t xml:space="preserve">   "author_name": "Dan Smith",
    "author_email": "dansmith@redhat.com",
    "date_commit": "Wed Feb 12 15:34:42.000000 2014 +0100",
</t>
    </r>
    <r>
      <rPr>
        <rFont val="Arial"/>
        <b/>
        <color theme="1"/>
      </rPr>
      <t xml:space="preserve">    "date_author_commit": "Thu Jan 16 23:36:32.000000 2014 +0100",
 </t>
    </r>
    <r>
      <rPr>
        <rFont val="Arial"/>
        <color theme="1"/>
      </rPr>
      <t xml:space="preserve">   "Parent_1": "79121d9a11d10b80fd3eee53073913e0f66f0949",
</t>
    </r>
    <r>
      <rPr>
        <rFont val="Arial"/>
        <b/>
        <color theme="1"/>
      </rPr>
      <t xml:space="preserve">    "Parent_1author_date": "Thu Jan 16 21:59:06.000000 2014 +0100",
 </t>
    </r>
    <r>
      <rPr>
        <rFont val="Arial"/>
        <color theme="1"/>
      </rPr>
      <t xml:space="preserve">   "Parent_1commit_date": "Wed Feb 12 15:34:42.000000 2014 +0100",
</t>
    </r>
    <r>
      <rPr>
        <rFont val="Arial"/>
        <b/>
        <color theme="1"/>
      </rPr>
      <t xml:space="preserve">    "Parent_1possible_rebase": false</t>
    </r>
  </si>
  <si>
    <r>
      <rPr>
        <rFont val="Arial"/>
        <color theme="1"/>
      </rPr>
      <t xml:space="preserve">    "311652325b93f6e2675bdcc52c416bd06f12fd3b": {
</t>
    </r>
    <r>
      <rPr>
        <rFont val="Arial"/>
        <b/>
        <color theme="1"/>
      </rPr>
      <t xml:space="preserve">        "num_parents": 2,
</t>
    </r>
    <r>
      <rPr>
        <rFont val="Arial"/>
        <color theme="1"/>
      </rPr>
      <t xml:space="preserve">        "date_commit": "Fri Feb 14 20:35:15.000000 2014 +0100",
        "date_author_commit": "Fri Feb 14 20:35:15.000000 2014 +0100",
        "Parent_1": "b66a092a7a9ab2363ce23cdfd09e8f564c986c06",
</t>
    </r>
    <r>
      <rPr>
        <rFont val="Arial"/>
        <b/>
        <color theme="1"/>
      </rPr>
      <t xml:space="preserve">        "Parent_1author_date": "Fri Feb 14 19:40:28.000000 2014 +0100",
</t>
    </r>
    <r>
      <rPr>
        <rFont val="Arial"/>
        <color theme="1"/>
      </rPr>
      <t xml:space="preserve">        "Parent_1commit_date": "Fri Feb 14 19:40:28.000000 2014 +0100",
</t>
    </r>
    <r>
      <rPr>
        <rFont val="Arial"/>
        <b/>
        <color theme="1"/>
      </rPr>
      <t xml:space="preserve">        "Parent_1possible_rebase": false,
</t>
    </r>
    <r>
      <rPr>
        <rFont val="Arial"/>
        <color theme="1"/>
      </rPr>
      <t xml:space="preserve">        "Parent_2": "542958fac7445a14deaae146b0d4047aa90a2fab",
</t>
    </r>
    <r>
      <rPr>
        <rFont val="Arial"/>
        <b/>
        <color theme="1"/>
      </rPr>
      <t xml:space="preserve">        "Parent_2author_date": "Thu Jan 16 23:36:32.000000 2014 +0100",
</t>
    </r>
    <r>
      <rPr>
        <rFont val="Arial"/>
        <color theme="1"/>
      </rPr>
      <t xml:space="preserve">        "Parent_2commit_date": "Wed Feb 12 15:34:42.000000 2014 +0100",
</t>
    </r>
    <r>
      <rPr>
        <rFont val="Arial"/>
        <b/>
        <color theme="1"/>
      </rPr>
      <t xml:space="preserve">        "Parent_2possible_rebase": false
</t>
    </r>
    <r>
      <rPr>
        <rFont val="Arial"/>
        <color theme="1"/>
      </rPr>
      <t xml:space="preserve">    },</t>
    </r>
  </si>
  <si>
    <r>
      <rPr>
        <rFont val="Arial"/>
        <color theme="1"/>
      </rPr>
      <t xml:space="preserve">    "79121d9a11d10b80fd3eee53073913e0f66f0949": {
</t>
    </r>
    <r>
      <rPr>
        <rFont val="Arial"/>
        <b/>
        <color theme="1"/>
      </rPr>
      <t xml:space="preserve">        "num_parents": 1,
</t>
    </r>
    <r>
      <rPr>
        <rFont val="Arial"/>
        <color theme="1"/>
      </rPr>
      <t xml:space="preserve">        "date_commit": "Wed Feb 12 15:34:42.000000 2014 +0100",
</t>
    </r>
    <r>
      <rPr>
        <rFont val="Arial"/>
        <b/>
        <color theme="1"/>
      </rPr>
      <t xml:space="preserve">        "date_author_commit": "Thu Jan 16 21:59:06.000000 2014 +0100",
</t>
    </r>
    <r>
      <rPr>
        <rFont val="Arial"/>
        <color theme="1"/>
      </rPr>
      <t xml:space="preserve">        "Parent_1": "8bc9586056fe2f455a23b342d3da5473e9d3cbfc",
</t>
    </r>
    <r>
      <rPr>
        <rFont val="Arial"/>
        <b/>
        <color theme="1"/>
      </rPr>
      <t xml:space="preserve">        "Parent_1author_date": "Wed Feb 12 14:28:37.000000 2014 +0100",
</t>
    </r>
    <r>
      <rPr>
        <rFont val="Arial"/>
        <color theme="1"/>
      </rPr>
      <t xml:space="preserve">        "Parent_1commit_date": "Wed Feb 12 14:28:37.000000 2014 +0100",
</t>
    </r>
    <r>
      <rPr>
        <rFont val="Arial"/>
        <b/>
        <color theme="1"/>
      </rPr>
      <t xml:space="preserve">        "Parent_1possible_rebase": true
</t>
    </r>
    <r>
      <rPr>
        <rFont val="Arial"/>
        <color theme="1"/>
      </rPr>
      <t xml:space="preserve">    }</t>
    </r>
  </si>
  <si>
    <t>just implements a BP (blueprint nova-network-objects)</t>
  </si>
  <si>
    <t>Perfective: it improves the communication, not a bug related. This makes nova-network manager use the FixedIP object for
updates instead of direct database calls.</t>
  </si>
  <si>
    <r>
      <rPr/>
      <t xml:space="preserve">tests/network
</t>
    </r>
    <r>
      <rPr>
        <color rgb="FF1155CC"/>
        <u/>
      </rPr>
      <t>test_manager.py</t>
    </r>
  </si>
  <si>
    <t>the changes in the test_manajger change the usage of the ip</t>
  </si>
  <si>
    <t>dbci 2</t>
  </si>
  <si>
    <t>no changes in the documentation</t>
  </si>
  <si>
    <t>the external functionality is not being changed.  it is using the object instead the ip. 
e.g., fip = fixed_ip_obj.FixedIP.associate(context, address, instance_id,
                                                 network['id'], reserved=True)</t>
  </si>
  <si>
    <t>the external functionality is not being changed.  it is using the object instead the ip
e.g., fip = fixed_ip_obj.FixedIP.associate(context, address, instance_id,
                                                 network['id'], reserved=True)</t>
  </si>
  <si>
    <t>the changes of acall are inside a object already created that makes the calls</t>
  </si>
  <si>
    <t>Dan Smith (dansmith@redhat.com)</t>
  </si>
  <si>
    <t>Parent	
79121d9
Merged As	
542958f</t>
  </si>
  <si>
    <r>
      <rPr>
        <rFont val="Arial"/>
        <color theme="1"/>
      </rPr>
      <t xml:space="preserve">    "9776175fc3b2331168651176ec56f9adc5d463dd": {
</t>
    </r>
    <r>
      <rPr>
        <rFont val="Arial"/>
        <b/>
        <color theme="1"/>
      </rPr>
      <t xml:space="preserve">        "num_parents": 1,
 </t>
    </r>
    <r>
      <rPr>
        <rFont val="Arial"/>
        <color theme="1"/>
      </rPr>
      <t xml:space="preserve">       "date_commit": "Wed Feb 12 15:34:42.000000 2014 +0100",
</t>
    </r>
    <r>
      <rPr>
        <rFont val="Arial"/>
        <b/>
        <color theme="1"/>
      </rPr>
      <t xml:space="preserve">        "date_author_commit": "Fri Jan 17 02:03:41.000000 2014 +0100",
 </t>
    </r>
    <r>
      <rPr>
        <rFont val="Arial"/>
        <color theme="1"/>
      </rPr>
      <t xml:space="preserve">       "Parent_1": "542958fac7445a14deaae146b0d4047aa90a2fab",
</t>
    </r>
    <r>
      <rPr>
        <rFont val="Arial"/>
        <b/>
        <color theme="1"/>
      </rPr>
      <t xml:space="preserve">        "Parent_1author_date": "Thu Jan 16 23:36:32.000000 2014 +0100",
 </t>
    </r>
    <r>
      <rPr>
        <rFont val="Arial"/>
        <color theme="1"/>
      </rPr>
      <t xml:space="preserve">       "Parent_1commit_date": "Wed Feb 12 15:34:42.000000 2014 +0100",
</t>
    </r>
    <r>
      <rPr>
        <rFont val="Arial"/>
        <b/>
        <color theme="1"/>
      </rPr>
      <t xml:space="preserve">        "Parent_1possible_rebase": false
 </t>
    </r>
    <r>
      <rPr>
        <rFont val="Arial"/>
        <color theme="1"/>
      </rPr>
      <t xml:space="preserve">   }</t>
    </r>
  </si>
  <si>
    <t>no test were modified by this children</t>
  </si>
  <si>
    <r>
      <rPr>
        <rFont val="Arial"/>
        <b/>
        <color theme="1"/>
      </rPr>
      <t xml:space="preserve">    "num_parents": 1,
 </t>
    </r>
    <r>
      <rPr>
        <rFont val="Arial"/>
        <color theme="1"/>
      </rPr>
      <t xml:space="preserve">   "author_name": "Gary Kotton",
    "author_email": "gkotton@vmware.com",
    "date_commit": "Sat Feb 14 18:44:06.000000 2015 +0100",
</t>
    </r>
    <r>
      <rPr>
        <rFont val="Arial"/>
        <b/>
        <color theme="1"/>
      </rPr>
      <t xml:space="preserve">    "date_author_commit": "Mon Jan 05 11:48:15.000000 2015 +0100",
 </t>
    </r>
    <r>
      <rPr>
        <rFont val="Arial"/>
        <color theme="1"/>
      </rPr>
      <t xml:space="preserve">   "Parent_1": "7afd22b9574b0c610a8f87fa8c773b4448f7b368",
</t>
    </r>
    <r>
      <rPr>
        <rFont val="Arial"/>
        <b/>
        <color theme="1"/>
      </rPr>
      <t xml:space="preserve">    "Parent_1author_date": "Sat Feb 14 01:28:50.000000 2015 +0100",
 </t>
    </r>
    <r>
      <rPr>
        <rFont val="Arial"/>
        <color theme="1"/>
      </rPr>
      <t xml:space="preserve">   "Parent_1commit_date": "Sat Feb 14 01:28:50.000000 2015 +0100",
</t>
    </r>
    <r>
      <rPr>
        <rFont val="Arial"/>
        <b/>
        <color theme="1"/>
      </rPr>
      <t xml:space="preserve">    "Parent_1possible_rebase": true</t>
    </r>
  </si>
  <si>
    <r>
      <rPr>
        <rFont val="Arial"/>
        <color theme="1"/>
      </rPr>
      <t xml:space="preserve">    "74077f00dba5c0980a120bc6d1694a409fd295b6": {
</t>
    </r>
    <r>
      <rPr>
        <rFont val="Arial"/>
        <b/>
        <color theme="1"/>
      </rPr>
      <t xml:space="preserve">        "num_parents": 2,
 </t>
    </r>
    <r>
      <rPr>
        <rFont val="Arial"/>
        <color theme="1"/>
      </rPr>
      <t xml:space="preserve">       "date_commit": "Tue Feb 17 19:08:58.000000 2015 +0100",
</t>
    </r>
    <r>
      <rPr>
        <rFont val="Arial"/>
        <b/>
        <color theme="1"/>
      </rPr>
      <t xml:space="preserve">        "date_author_commit": "Tue Feb 17 19:08:58.000000 2015 +0100",
 </t>
    </r>
    <r>
      <rPr>
        <rFont val="Arial"/>
        <color theme="1"/>
      </rPr>
      <t xml:space="preserve">       "Parent_1": "7cb20d75c398da3f537ff5c95ca9abfcd8837fad",
</t>
    </r>
    <r>
      <rPr>
        <rFont val="Arial"/>
        <b/>
        <color theme="1"/>
      </rPr>
      <t xml:space="preserve">        "Parent_1author_date": "Tue Feb 17 18:14:03.000000 2015 +0100",
 </t>
    </r>
    <r>
      <rPr>
        <rFont val="Arial"/>
        <color theme="1"/>
      </rPr>
      <t xml:space="preserve">       "Parent_1commit_date": "Tue Feb 17 18:14:03.000000 2015 +0100",
</t>
    </r>
    <r>
      <rPr>
        <rFont val="Arial"/>
        <b/>
        <color theme="1"/>
      </rPr>
      <t xml:space="preserve">        "Parent_1possible_rebase": false,
 </t>
    </r>
    <r>
      <rPr>
        <rFont val="Arial"/>
        <color theme="1"/>
      </rPr>
      <t xml:space="preserve">       "Parent_2": "f3f1a53fe2bfe23229867c4a90f6456ac204181f",
</t>
    </r>
    <r>
      <rPr>
        <rFont val="Arial"/>
        <b/>
        <color theme="1"/>
      </rPr>
      <t xml:space="preserve">        "Parent_2author_date": "Mon Jan 05 11:48:15.000000 2015 +0100",
 </t>
    </r>
    <r>
      <rPr>
        <rFont val="Arial"/>
        <color theme="1"/>
      </rPr>
      <t xml:space="preserve">       "Parent_2commit_date": "Sat Feb 14 18:44:06.000000 2015 +0100",
</t>
    </r>
    <r>
      <rPr>
        <rFont val="Arial"/>
        <b/>
        <color theme="1"/>
      </rPr>
      <t xml:space="preserve">        "Parent_2possible_rebase": false
 </t>
    </r>
    <r>
      <rPr>
        <rFont val="Arial"/>
        <color theme="1"/>
      </rPr>
      <t xml:space="preserve">   },</t>
    </r>
  </si>
  <si>
    <r>
      <rPr>
        <rFont val="Arial"/>
        <color theme="1"/>
      </rPr>
      <t xml:space="preserve">    "7afd22b9574b0c610a8f87fa8c773b4448f7b368": {
</t>
    </r>
    <r>
      <rPr>
        <rFont val="Arial"/>
        <b/>
        <color theme="1"/>
      </rPr>
      <t xml:space="preserve">        "num_parents": 2,
 </t>
    </r>
    <r>
      <rPr>
        <rFont val="Arial"/>
        <color theme="1"/>
      </rPr>
      <t xml:space="preserve">       "date_commit": "Sat Feb 14 01:28:50.000000 2015 +0100",
</t>
    </r>
    <r>
      <rPr>
        <rFont val="Arial"/>
        <b/>
        <color theme="1"/>
      </rPr>
      <t xml:space="preserve">        "date_author_commit": "Sat Feb 14 01:28:50.000000 2015 +0100",
 </t>
    </r>
    <r>
      <rPr>
        <rFont val="Arial"/>
        <color theme="1"/>
      </rPr>
      <t xml:space="preserve">       "Parent_1": "d764066345e1013e7f40fcb292f0e5d6e84fbc3a",
</t>
    </r>
    <r>
      <rPr>
        <rFont val="Arial"/>
        <b/>
        <color theme="1"/>
      </rPr>
      <t xml:space="preserve">        "Parent_1author_date": "Sat Feb 14 01:25:26.000000 2015 +0100",
 </t>
    </r>
    <r>
      <rPr>
        <rFont val="Arial"/>
        <color theme="1"/>
      </rPr>
      <t xml:space="preserve">       "Parent_1commit_date": "Sat Feb 14 01:25:26.000000 2015 +0100",
</t>
    </r>
    <r>
      <rPr>
        <rFont val="Arial"/>
        <b/>
        <color theme="1"/>
      </rPr>
      <t xml:space="preserve">        "Parent_1possible_rebase": false,
 </t>
    </r>
    <r>
      <rPr>
        <rFont val="Arial"/>
        <color theme="1"/>
      </rPr>
      <t xml:space="preserve">       "Parent_2": "5f6306985fcc1e16470cb4d175c3deedc7be917d",
</t>
    </r>
    <r>
      <rPr>
        <rFont val="Arial"/>
        <b/>
        <color theme="1"/>
      </rPr>
      <t xml:space="preserve">        "Parent_2author_date": "Thu Feb 12 14:46:56.000000 2015 +0100",
 </t>
    </r>
    <r>
      <rPr>
        <rFont val="Arial"/>
        <color theme="1"/>
      </rPr>
      <t xml:space="preserve">       "Parent_2commit_date": "Fri Feb 13 17:02:25.000000 2015 +0100",
</t>
    </r>
    <r>
      <rPr>
        <rFont val="Arial"/>
        <b/>
        <color theme="1"/>
      </rPr>
      <t xml:space="preserve">        "Parent_2possible_rebase": false</t>
    </r>
  </si>
  <si>
    <t>Closes-bug: #1407438
Closes-bug: #1407050
Closes-bug: #1402784</t>
  </si>
  <si>
    <t>Closes-bug: #1407438
Closes-bug: #1407050
Closes-bug: #1402784
perfective: the code also simplified the code which was also mentioned in the description. --&gt; maintainability also mentioned to make it more robust</t>
  </si>
  <si>
    <r>
      <rPr/>
      <t xml:space="preserve">ests/unit/virt/vmwareapi
test_driver_api.py
</t>
    </r>
    <r>
      <rPr>
        <color rgb="FF1155CC"/>
        <u/>
      </rPr>
      <t>test_vmops.py</t>
    </r>
  </si>
  <si>
    <t>all the afected functionalities have a respective test modified</t>
  </si>
  <si>
    <t>jenkins 8</t>
  </si>
  <si>
    <t xml:space="preserve">E.g., """Tests the finish_migration method on VC Driver.""
</t>
  </si>
  <si>
    <t>e.g., """Resizes the VM according to the flavor."""</t>
  </si>
  <si>
    <t>e.g., vm_ref='f') --&gt;  vm_ref='fake-ref')
                                                      vm_ref='fake-ref')</t>
  </si>
  <si>
    <t>no changes in dependencies</t>
  </si>
  <si>
    <t>Gary Kotton (gkotton@vmware.com)</t>
  </si>
  <si>
    <t>Parent	
7afd22b
Merged As	
f3f1a53</t>
  </si>
  <si>
    <r>
      <rPr>
        <rFont val="Arial"/>
        <color theme="1"/>
      </rPr>
      <t xml:space="preserve">   "36a133e11852a52fecd9a12255ca4b4f46a989d8": {
</t>
    </r>
    <r>
      <rPr>
        <rFont val="Arial"/>
        <b/>
        <color theme="1"/>
      </rPr>
      <t xml:space="preserve">        "num_parents": 1,
 </t>
    </r>
    <r>
      <rPr>
        <rFont val="Arial"/>
        <color theme="1"/>
      </rPr>
      <t xml:space="preserve">       "date_commit": "Sat Feb 14 18:44:47.000000 2015 +0100",
</t>
    </r>
    <r>
      <rPr>
        <rFont val="Arial"/>
        <b/>
        <color theme="1"/>
      </rPr>
      <t xml:space="preserve">        "date_author_commit": "Sun Jan 04 13:47:15.000000 2015 +0100",
 </t>
    </r>
    <r>
      <rPr>
        <rFont val="Arial"/>
        <color theme="1"/>
      </rPr>
      <t xml:space="preserve">       "Parent_1": "f3f1a53fe2bfe23229867c4a90f6456ac204181f",
</t>
    </r>
    <r>
      <rPr>
        <rFont val="Arial"/>
        <b/>
        <color theme="1"/>
      </rPr>
      <t xml:space="preserve">        "Parent_1author_date": "Mon Jan 05 11:48:15.000000 2015 +0100",
 </t>
    </r>
    <r>
      <rPr>
        <rFont val="Arial"/>
        <color theme="1"/>
      </rPr>
      <t xml:space="preserve">       "Parent_1commit_date": "Sat Feb 14 18:44:06.000000 2015 +0100",
</t>
    </r>
    <r>
      <rPr>
        <rFont val="Arial"/>
        <b/>
        <color theme="1"/>
      </rPr>
      <t xml:space="preserve">        "Parent_1possible_rebase": true
 </t>
    </r>
    <r>
      <rPr>
        <rFont val="Arial"/>
        <color theme="1"/>
      </rPr>
      <t xml:space="preserve">   }</t>
    </r>
  </si>
  <si>
    <r>
      <rPr>
        <rFont val="Arial"/>
        <b/>
        <color theme="1"/>
      </rPr>
      <t xml:space="preserve">    "num_parents": 1,
 </t>
    </r>
    <r>
      <rPr>
        <rFont val="Arial"/>
        <color theme="1"/>
      </rPr>
      <t xml:space="preserve">   "author_name": "Yaguang Tang",
    "author_email": "yaguang.tang@canonical.com",
    "date_commit": "Thu Jun 13 05:07:22.000000 2013 +0200",
</t>
    </r>
    <r>
      <rPr>
        <rFont val="Arial"/>
        <b/>
        <color theme="1"/>
      </rPr>
      <t xml:space="preserve">    "date_author_commit": "Wed Jun 05 09:16:16.000000 2013 +0200",
 </t>
    </r>
    <r>
      <rPr>
        <rFont val="Arial"/>
        <color theme="1"/>
      </rPr>
      <t xml:space="preserve">   "Parent_1": "3f2b22499d9e94ae3ac80786752223f43d24492b",
</t>
    </r>
    <r>
      <rPr>
        <rFont val="Arial"/>
        <b/>
        <color theme="1"/>
      </rPr>
      <t xml:space="preserve">    "Parent_1author_date": "Thu Jun 13 03:30:01.000000 2013 +0200",
 </t>
    </r>
    <r>
      <rPr>
        <rFont val="Arial"/>
        <color theme="1"/>
      </rPr>
      <t xml:space="preserve">   "Parent_1commit_date": "Thu Jun 13 03:30:01.000000 2013 +0200",
</t>
    </r>
    <r>
      <rPr>
        <rFont val="Arial"/>
        <b/>
        <color theme="1"/>
      </rPr>
      <t xml:space="preserve">    "Parent_1possible_rebase": true</t>
    </r>
  </si>
  <si>
    <r>
      <rPr>
        <rFont val="Arial"/>
        <color theme="1"/>
      </rPr>
      <t xml:space="preserve">    "8bac24e5b7252b3f23c5473cdf2e17a9740bdb98": {
</t>
    </r>
    <r>
      <rPr>
        <rFont val="Arial"/>
        <b/>
        <color theme="1"/>
      </rPr>
      <t xml:space="preserve">        "num_parents": 2,
 </t>
    </r>
    <r>
      <rPr>
        <rFont val="Arial"/>
        <color theme="1"/>
      </rPr>
      <t xml:space="preserve">       "date_commit": "Fri Jun 14 21:11:04.000000 2013 +0200",
</t>
    </r>
    <r>
      <rPr>
        <rFont val="Arial"/>
        <b/>
        <color theme="1"/>
      </rPr>
      <t xml:space="preserve">        "date_author_commit": "Fri Jun 14 21:11:04.000000 2013 +0200",
 </t>
    </r>
    <r>
      <rPr>
        <rFont val="Arial"/>
        <color theme="1"/>
      </rPr>
      <t xml:space="preserve">       "Parent_1": "049bfbcc29d1a5ff45446d88a068990600505bed",
</t>
    </r>
    <r>
      <rPr>
        <rFont val="Arial"/>
        <b/>
        <color theme="1"/>
      </rPr>
      <t xml:space="preserve">        "Parent_1author_date": "Fri Jun 14 21:08:29.000000 2013 +0200",
 </t>
    </r>
    <r>
      <rPr>
        <rFont val="Arial"/>
        <color theme="1"/>
      </rPr>
      <t xml:space="preserve">       "Parent_1commit_date": "Fri Jun 14 21:08:29.000000 2013 +0200",
</t>
    </r>
    <r>
      <rPr>
        <rFont val="Arial"/>
        <b/>
        <color theme="1"/>
      </rPr>
      <t xml:space="preserve">        "Parent_1possible_rebase": false,
 </t>
    </r>
    <r>
      <rPr>
        <rFont val="Arial"/>
        <color theme="1"/>
      </rPr>
      <t xml:space="preserve">       "Parent_2": "e517e5668ab20214432e06ef87f7b16776edaf7c",
</t>
    </r>
    <r>
      <rPr>
        <rFont val="Arial"/>
        <b/>
        <color theme="1"/>
      </rPr>
      <t xml:space="preserve">        "Parent_2author_date": "Wed Jun 05 09:16:16.000000 2013 +0200",
 </t>
    </r>
    <r>
      <rPr>
        <rFont val="Arial"/>
        <color theme="1"/>
      </rPr>
      <t xml:space="preserve">       "Parent_2commit_date": "Thu Jun 13 05:07:22.000000 2013 +0200",
</t>
    </r>
    <r>
      <rPr>
        <rFont val="Arial"/>
        <b/>
        <color theme="1"/>
      </rPr>
      <t xml:space="preserve">        "Parent_2possible_rebase": false
 </t>
    </r>
    <r>
      <rPr>
        <rFont val="Arial"/>
        <color theme="1"/>
      </rPr>
      <t xml:space="preserve">   }</t>
    </r>
  </si>
  <si>
    <r>
      <rPr>
        <rFont val="Arial"/>
        <color theme="1"/>
      </rPr>
      <t xml:space="preserve">  "3f2b22499d9e94ae3ac80786752223f43d24492b": {
</t>
    </r>
    <r>
      <rPr>
        <rFont val="Arial"/>
        <b/>
        <color theme="1"/>
      </rPr>
      <t xml:space="preserve">        "num_parents": 2,
 </t>
    </r>
    <r>
      <rPr>
        <rFont val="Arial"/>
        <color theme="1"/>
      </rPr>
      <t xml:space="preserve">       "date_commit": "Thu Jun 13 03:30:01.000000 2013 +0200",
</t>
    </r>
    <r>
      <rPr>
        <rFont val="Arial"/>
        <b/>
        <color theme="1"/>
      </rPr>
      <t xml:space="preserve">        "date_author_commit": "Thu Jun 13 03:30:01.000000 2013 +0200",
 </t>
    </r>
    <r>
      <rPr>
        <rFont val="Arial"/>
        <color theme="1"/>
      </rPr>
      <t xml:space="preserve">       "Parent_1": "ba876e2a110f39270a5cf57c5197083088736d32",
</t>
    </r>
    <r>
      <rPr>
        <rFont val="Arial"/>
        <b/>
        <color theme="1"/>
      </rPr>
      <t xml:space="preserve">        "Parent_1author_date": "Thu Jun 13 03:17:59.000000 2013 +0200",
 </t>
    </r>
    <r>
      <rPr>
        <rFont val="Arial"/>
        <color theme="1"/>
      </rPr>
      <t xml:space="preserve">       "Parent_1commit_date": "Thu Jun 13 03:17:59.000000 2013 +0200",
        "Parent_1possible_rebase": false,
        "Parent_2": "a9aa1a402b64751614fbc98e14973d867a1bfca7",
</t>
    </r>
    <r>
      <rPr>
        <rFont val="Arial"/>
        <b/>
        <color theme="1"/>
      </rPr>
      <t xml:space="preserve">        "Parent_2author_date": "Thu May 30 18:34:05.000000 2013 +0200",
 </t>
    </r>
    <r>
      <rPr>
        <rFont val="Arial"/>
        <color theme="1"/>
      </rPr>
      <t xml:space="preserve">       "Parent_2commit_date": "Fri Jun 07 20:43:37.000000 2013 +0200",
        "Parent_2possible_rebase": false</t>
    </r>
  </si>
  <si>
    <t>code focusing on closing a bug  Fix bug #1186944</t>
  </si>
  <si>
    <t>the code is focused in correct a bug</t>
  </si>
  <si>
    <r>
      <rPr/>
      <t xml:space="preserve">tests/virt/vmwareapi
db_fakes.py
</t>
    </r>
    <r>
      <rPr>
        <color rgb="FF1155CC"/>
        <u/>
      </rPr>
      <t>test_vmwareapi.py</t>
    </r>
  </si>
  <si>
    <t>e.g., delete modification was not covered ( vm_ref = vm_util.get_vm_ref(self._session, instance) line 627 vmops
get_console_output not covered changes</t>
  </si>
  <si>
    <t>Children - merger (oinclude the changes of the BIC) and Parent  removes tests that get instances bz uid, related to the modification that is being done in this commit (instance_get_by_uuid)</t>
  </si>
  <si>
    <t xml:space="preserve"> e.g., """Test fall back to use name when can't find by uuid.""", 
"""Get reference to the VM with the uuid specified."""</t>
  </si>
  <si>
    <t>no changes in the vmoops file regarding documentation found</t>
  </si>
  <si>
    <t>vmops 
e.g., upload_folder = instance['name']
                upload_folder = instance['uuid']</t>
  </si>
  <si>
    <t>no changes were made regarding the design to the code</t>
  </si>
  <si>
    <t>e.g., - import uuid</t>
  </si>
  <si>
    <t>no changes on external dependencies in vmops file</t>
  </si>
  <si>
    <t>Yaguang Tang (yaguang.tang@canonical.com)</t>
  </si>
  <si>
    <t>Parent	
3f2b224
Merged As	
e517e56</t>
  </si>
  <si>
    <r>
      <rPr>
        <rFont val="Arial"/>
        <b/>
        <color theme="1"/>
      </rPr>
      <t xml:space="preserve">    "num_parents": 1,
 </t>
    </r>
    <r>
      <rPr>
        <rFont val="Arial"/>
        <color theme="1"/>
      </rPr>
      <t xml:space="preserve">   "author_name": "Gary Kotton",
    "author_email": "gkotton@redhat.com",
    "date_commit": "Tue Jun 11 10:50:50.000000 2013 +0200",
</t>
    </r>
    <r>
      <rPr>
        <rFont val="Arial"/>
        <b/>
        <color theme="1"/>
      </rPr>
      <t xml:space="preserve">    "date_author_commit": "Thu May 09 15:42:44.000000 2013 +0200",
 </t>
    </r>
    <r>
      <rPr>
        <rFont val="Arial"/>
        <color theme="1"/>
      </rPr>
      <t xml:space="preserve">   "Parent_1": "a79eea05db0e907c3f942fd8380f238aa34b8f2b",
</t>
    </r>
    <r>
      <rPr>
        <rFont val="Arial"/>
        <b/>
        <color theme="1"/>
      </rPr>
      <t xml:space="preserve">    "Parent_1author_date": "Tue Jun 11 10:09:29.000000 2013 +0200",
 </t>
    </r>
    <r>
      <rPr>
        <rFont val="Arial"/>
        <color theme="1"/>
      </rPr>
      <t xml:space="preserve">   "Parent_1commit_date": "Tue Jun 11 10:09:29.000000 2013 +0200",
</t>
    </r>
    <r>
      <rPr>
        <rFont val="Arial"/>
        <b/>
        <color theme="1"/>
      </rPr>
      <t xml:space="preserve">    "Parent_1possible_rebase": true</t>
    </r>
  </si>
  <si>
    <r>
      <rPr>
        <rFont val="Arial"/>
        <color theme="1"/>
      </rPr>
      <t xml:space="preserve">    "3f2b5fdd83b5fc48b6c213837d7a6b71a13fd48b": {
</t>
    </r>
    <r>
      <rPr>
        <rFont val="Arial"/>
        <b/>
        <color theme="1"/>
      </rPr>
      <t xml:space="preserve">        "num_parents": 2,
 </t>
    </r>
    <r>
      <rPr>
        <rFont val="Arial"/>
        <color theme="1"/>
      </rPr>
      <t xml:space="preserve">       "date_commit": "Tue Jun 11 20:17:56.000000 2013 +0200",
</t>
    </r>
    <r>
      <rPr>
        <rFont val="Arial"/>
        <b/>
        <color theme="1"/>
      </rPr>
      <t xml:space="preserve">        "date_author_commit": "Tue Jun 11 20:17:56.000000 2013 +0200",
 </t>
    </r>
    <r>
      <rPr>
        <rFont val="Arial"/>
        <color theme="1"/>
      </rPr>
      <t xml:space="preserve">       "Parent_1": "685228d96b7d40f537cf6144014234e24e8cd7fd",
</t>
    </r>
    <r>
      <rPr>
        <rFont val="Arial"/>
        <b/>
        <color theme="1"/>
      </rPr>
      <t xml:space="preserve">        "Parent_1author_date": "Tue Jun 11 12:36:48.000000 2013 +0200",
 </t>
    </r>
    <r>
      <rPr>
        <rFont val="Arial"/>
        <color theme="1"/>
      </rPr>
      <t xml:space="preserve">       "Parent_1commit_date": "Tue Jun 11 12:36:48.000000 2013 +0200",
</t>
    </r>
    <r>
      <rPr>
        <rFont val="Arial"/>
        <b/>
        <color theme="1"/>
      </rPr>
      <t xml:space="preserve">        "Parent_1possible_rebase": false,
 </t>
    </r>
    <r>
      <rPr>
        <rFont val="Arial"/>
        <color theme="1"/>
      </rPr>
      <t xml:space="preserve">       "Parent_2": "501ff418df4c08e52a697772200aa08dd67a4a43",
</t>
    </r>
    <r>
      <rPr>
        <rFont val="Arial"/>
        <b/>
        <color theme="1"/>
      </rPr>
      <t xml:space="preserve">        "Parent_2author_date": "Thu May 09 15:42:44.000000 2013 +0200",
 </t>
    </r>
    <r>
      <rPr>
        <rFont val="Arial"/>
        <color theme="1"/>
      </rPr>
      <t xml:space="preserve">       "Parent_2commit_date": "Tue Jun 11 10:50:50.000000 2013 +0200",
</t>
    </r>
    <r>
      <rPr>
        <rFont val="Arial"/>
        <b/>
        <color theme="1"/>
      </rPr>
      <t xml:space="preserve">        "Parent_2possible_rebase": false
 </t>
    </r>
    <r>
      <rPr>
        <rFont val="Arial"/>
        <color theme="1"/>
      </rPr>
      <t xml:space="preserve">   }</t>
    </r>
  </si>
  <si>
    <r>
      <rPr>
        <rFont val="Arial"/>
        <color theme="1"/>
      </rPr>
      <t xml:space="preserve">    "a79eea05db0e907c3f942fd8380f238aa34b8f2b": {
</t>
    </r>
    <r>
      <rPr>
        <rFont val="Arial"/>
        <b/>
        <color theme="1"/>
      </rPr>
      <t xml:space="preserve">        "num_parents": 2,
 </t>
    </r>
    <r>
      <rPr>
        <rFont val="Arial"/>
        <color theme="1"/>
      </rPr>
      <t xml:space="preserve">       "date_commit": "Tue Jun 11 10:09:29.000000 2013 +0200",
</t>
    </r>
    <r>
      <rPr>
        <rFont val="Arial"/>
        <b/>
        <color theme="1"/>
      </rPr>
      <t xml:space="preserve">        "date_author_commit": "Tue Jun 11 10:09:29.000000 2013 +0200",
 </t>
    </r>
    <r>
      <rPr>
        <rFont val="Arial"/>
        <color theme="1"/>
      </rPr>
      <t xml:space="preserve">       "Parent_1": "63d0ff2c4853a0b576262fc13d686e216c270d88",
</t>
    </r>
    <r>
      <rPr>
        <rFont val="Arial"/>
        <b/>
        <color theme="1"/>
      </rPr>
      <t xml:space="preserve">        "Parent_1author_date": "Tue Jun 11 08:18:25.000000 2013 +0200",
 </t>
    </r>
    <r>
      <rPr>
        <rFont val="Arial"/>
        <color theme="1"/>
      </rPr>
      <t xml:space="preserve">       "Parent_1commit_date": "Tue Jun 11 08:18:25.000000 2013 +0200",
        "Parent_1possible_rebase": false,
        "Parent_2": "3abd08defd352a7015d4c8c5ccc4ca12ac080421",
</t>
    </r>
    <r>
      <rPr>
        <rFont val="Arial"/>
        <b/>
        <color theme="1"/>
      </rPr>
      <t xml:space="preserve">        "Parent_2author_date": "Thu May 30 14:28:35.000000 2013 +0200",
 </t>
    </r>
    <r>
      <rPr>
        <rFont val="Arial"/>
        <color theme="1"/>
      </rPr>
      <t xml:space="preserve">       "Parent_2commit_date": "Mon Jun 10 16:49:57.000000 2013 +0200",
        "Parent_2possible_rebase": false
    }</t>
    </r>
  </si>
  <si>
    <t>single BP. DB support for blueprint instance-group-api-extension</t>
  </si>
  <si>
    <t>Adaptive</t>
  </si>
  <si>
    <t>adaptive: change in the db. (nova/db/sqlalchemy/models.py)</t>
  </si>
  <si>
    <t>ests/db
test_db_api.py
test_migrations.py</t>
  </si>
  <si>
    <t>e.g., instance_group_metadata_delete not covered in the changes, also not instance_group_metadata_get</t>
  </si>
  <si>
    <t>No (Parents), Partial (Children)</t>
  </si>
  <si>
    <t>Children - merger (oinclude the changes of the BIC) and Parent  no changes in relatd test</t>
  </si>
  <si>
    <t>e.g., """Get all groups."""</t>
  </si>
  <si>
    <t>e.g., """Create a new group with metadata."""</t>
  </si>
  <si>
    <r>
      <rPr/>
      <t xml:space="preserve">new file was created which modifies dependencies and comunications. (migrate_repo/versions
</t>
    </r>
    <r>
      <rPr>
        <color rgb="FF1155CC"/>
        <u/>
      </rPr>
      <t>187_add_instance_groups.py</t>
    </r>
    <r>
      <rPr/>
      <t xml:space="preserve">) </t>
    </r>
  </si>
  <si>
    <t>no design changes involved in sqlalchemy?api</t>
  </si>
  <si>
    <t>e.g., from migrate.changeset import UniqueConstraint
from sqlalchemy import Column
from sqlalchemy import DateTime
from sqlalchemy import ForeignKey
from sqlalchemy import Index
from sqlalchemy import Integer
from sqlalchemy import MetaData
from sqlalchemy import String
from sqlalchemy import Table</t>
  </si>
  <si>
    <t>no changes in dependencies in the buggy file</t>
  </si>
  <si>
    <t>Gary Kotton (gkotton@redhat.com)</t>
  </si>
  <si>
    <t>Parent	
a79eea0
Merged As	
501ff41</t>
  </si>
  <si>
    <r>
      <rPr>
        <rFont val="Arial"/>
        <b/>
        <color theme="1"/>
      </rPr>
      <t xml:space="preserve">    "num_parents": 1,
 </t>
    </r>
    <r>
      <rPr>
        <rFont val="Arial"/>
        <color theme="1"/>
      </rPr>
      <t xml:space="preserve">   "author_name": "Lucian Petrut",
    "author_email": "petrutlucian94@gmail.com",
    "date_commit": "Mon Dec 08 15:38:17.000000 2014 +0100",
</t>
    </r>
    <r>
      <rPr>
        <rFont val="Arial"/>
        <b/>
        <color theme="1"/>
      </rPr>
      <t xml:space="preserve">    "date_author_commit": "Thu Oct 09 10:32:27.000000 2014 +0200",
 </t>
    </r>
    <r>
      <rPr>
        <rFont val="Arial"/>
        <color theme="1"/>
      </rPr>
      <t xml:space="preserve">   "Parent_1": "6f5fe6d2d787a32d653a395707590d32ddea1095",
</t>
    </r>
    <r>
      <rPr>
        <rFont val="Arial"/>
        <b/>
        <color theme="1"/>
      </rPr>
      <t xml:space="preserve">    "Parent_1author_date": "Mon Dec 08 15:29:12.000000 2014 +0100",
 </t>
    </r>
    <r>
      <rPr>
        <rFont val="Arial"/>
        <color theme="1"/>
      </rPr>
      <t xml:space="preserve">   "Parent_1commit_date": "Mon Dec 08 15:29:12.000000 2014 +0100",
</t>
    </r>
    <r>
      <rPr>
        <rFont val="Arial"/>
        <b/>
        <color theme="1"/>
      </rPr>
      <t xml:space="preserve">    "Parent_1possible_rebase": true</t>
    </r>
  </si>
  <si>
    <r>
      <rPr>
        <rFont val="Arial"/>
        <color theme="1"/>
      </rPr>
      <t xml:space="preserve">    "159d4eb9f8b6dbcdb00d72fff067e1b8536915a7": {
        "</t>
    </r>
    <r>
      <rPr>
        <rFont val="Arial"/>
        <b/>
        <color theme="1"/>
      </rPr>
      <t>num_parents</t>
    </r>
    <r>
      <rPr>
        <rFont val="Arial"/>
        <color theme="1"/>
      </rPr>
      <t xml:space="preserve">": 2,
        "date_commit": "Mon Dec 08 19:17:33.000000 2014 +0100",
</t>
    </r>
    <r>
      <rPr>
        <rFont val="Arial"/>
        <b/>
        <color theme="1"/>
      </rPr>
      <t xml:space="preserve">        "date_author_commit": "Mon Dec 08 19:17:32.000000 2014 +0100",
 </t>
    </r>
    <r>
      <rPr>
        <rFont val="Arial"/>
        <color theme="1"/>
      </rPr>
      <t xml:space="preserve">       "Parent_1": "d6fb908654db5858c70b60b56755d50c5fc37587",
</t>
    </r>
    <r>
      <rPr>
        <rFont val="Arial"/>
        <b/>
        <color theme="1"/>
      </rPr>
      <t xml:space="preserve">        "Parent_1author_date": "Mon Dec 08 16:51:25.000000 2014 +0100",
 </t>
    </r>
    <r>
      <rPr>
        <rFont val="Arial"/>
        <color theme="1"/>
      </rPr>
      <t xml:space="preserve">       "Parent_1commit_date": "Mon Dec 08 16:51:25.000000 2014 +0100",
</t>
    </r>
    <r>
      <rPr>
        <rFont val="Arial"/>
        <b/>
        <color theme="1"/>
      </rPr>
      <t xml:space="preserve">        "Parent_1possible_rebase": false,
 </t>
    </r>
    <r>
      <rPr>
        <rFont val="Arial"/>
        <color theme="1"/>
      </rPr>
      <t xml:space="preserve">       "Parent_2": "0e02db2980dc4e76ef7949ba4ec131af9fc4a44d",
</t>
    </r>
    <r>
      <rPr>
        <rFont val="Arial"/>
        <b/>
        <color theme="1"/>
      </rPr>
      <t xml:space="preserve">        "Parent_2author_date": "Thu Oct 09 10:32:27.000000 2014 +0200",
 </t>
    </r>
    <r>
      <rPr>
        <rFont val="Arial"/>
        <color theme="1"/>
      </rPr>
      <t xml:space="preserve">       "Parent_2commit_date": "Mon Dec 08 15:38:17.000000 2014 +0100",
</t>
    </r>
    <r>
      <rPr>
        <rFont val="Arial"/>
        <b/>
        <color theme="1"/>
      </rPr>
      <t xml:space="preserve">        "Parent_2possible_rebase": false
 </t>
    </r>
    <r>
      <rPr>
        <rFont val="Arial"/>
        <color theme="1"/>
      </rPr>
      <t xml:space="preserve">   }</t>
    </r>
  </si>
  <si>
    <r>
      <rPr>
        <rFont val="Arial"/>
        <color theme="1"/>
      </rPr>
      <t xml:space="preserve">"6f5fe6d2d787a32d653a395707590d32ddea1095": {
        "num_parents": 2,
        "date_commit": "Mon Dec 08 15:29:12.000000 2014 +0100",
</t>
    </r>
    <r>
      <rPr>
        <rFont val="Arial"/>
        <b/>
        <color theme="1"/>
      </rPr>
      <t xml:space="preserve">        "date_author_commit": "Mon Dec 08 15:29:12.000000 2014 +0100",
 </t>
    </r>
    <r>
      <rPr>
        <rFont val="Arial"/>
        <color theme="1"/>
      </rPr>
      <t xml:space="preserve">       "Parent_1": "fd48c68c04e7ce417807b8aa9e7b1d97b5a90f6c",
</t>
    </r>
    <r>
      <rPr>
        <rFont val="Arial"/>
        <b/>
        <color theme="1"/>
      </rPr>
      <t xml:space="preserve">        "Parent_1author_date": "Mon Dec 08 14:51:19.000000 2014 +0100",
 </t>
    </r>
    <r>
      <rPr>
        <rFont val="Arial"/>
        <color theme="1"/>
      </rPr>
      <t xml:space="preserve">       "Parent_1commit_date": "Mon Dec 08 14:51:19.000000 2014 +0100",
</t>
    </r>
    <r>
      <rPr>
        <rFont val="Arial"/>
        <b/>
        <color theme="1"/>
      </rPr>
      <t xml:space="preserve">        "Parent_1possible_rebase": false,
 </t>
    </r>
    <r>
      <rPr>
        <rFont val="Arial"/>
        <color theme="1"/>
      </rPr>
      <t xml:space="preserve">       "Parent_2": "d8a17851b4a4d8d20df9ac9ae270f379c373a37e",
</t>
    </r>
    <r>
      <rPr>
        <rFont val="Arial"/>
        <b/>
        <color theme="1"/>
      </rPr>
      <t xml:space="preserve">        "Parent_2author_date": "Tue Nov 25 04:02:06.000000 2014 +0100",
 </t>
    </r>
    <r>
      <rPr>
        <rFont val="Arial"/>
        <color theme="1"/>
      </rPr>
      <t xml:space="preserve">       "Parent_2commit_date": "Fri Dec 05 02:55:37.000000 2014 +0100",
</t>
    </r>
    <r>
      <rPr>
        <rFont val="Arial"/>
        <b/>
        <color theme="1"/>
      </rPr>
      <t xml:space="preserve">        "Parent_2possible_rebase": false</t>
    </r>
  </si>
  <si>
    <t>single BP hyper-v-smbfs-volume-support</t>
  </si>
  <si>
    <t>new features, and simplification of code. Not closing bugs</t>
  </si>
  <si>
    <t>ests/unit/virt/hyperv
test_base.py
test_hostops.py
test_hypervapi.py
test_livemigrationops.py
test_migrationops.py
test_pathutils.py
test_snapshotops.py
test_vmops.py
test_vmutils.py
test_volumeops.py</t>
  </si>
  <si>
    <t>the public methods are all tested in the changes</t>
  </si>
  <si>
    <t>e.g., in test_volumn_ops """Unit tests for the Hyper-V SMBFSVolumeDriver class.""". no code change in operational code</t>
  </si>
  <si>
    <t>no changes in buggy files</t>
  </si>
  <si>
    <t>e.g.,  def fake_login_storage_target(connection_info):
        def fake_login_storage_target(self, connection_info):
adding self in an internal function that is defined inside a class</t>
  </si>
  <si>
    <t>e.g., changing the object to name of the object. the functionality remains the same  self._attach_drive(vm, path, ctrller_path, drive_addr, drive_type)
        self.attach_drive(vm_name, path, ctrller_path, drive_addr, drive_type)</t>
  </si>
  <si>
    <t>e.g., class ISCSIVolumeDriver(object)</t>
  </si>
  <si>
    <t>no design changes involved in buggy files</t>
  </si>
  <si>
    <t>e.g., import sys
if sys.platform == 'win32':
    import wmi</t>
  </si>
  <si>
    <t>Lucian Petrut (petrutlucian94@gmail.com)</t>
  </si>
  <si>
    <t xml:space="preserve">Parent	
6f5fe6d
Merged As	
0e02db2
</t>
  </si>
  <si>
    <t>one is a mention in the review description. Hyper-V: attach volumes via SMB and Hyper-V: Fix volume attach issue caused by wrong constant name</t>
  </si>
  <si>
    <r>
      <rPr>
        <rFont val="Arial"/>
        <b/>
        <color theme="1"/>
      </rPr>
      <t xml:space="preserve">    "num_parents": 1,
 </t>
    </r>
    <r>
      <rPr>
        <rFont val="Arial"/>
        <color theme="1"/>
      </rPr>
      <t xml:space="preserve">   "author_name": "Lucian Petrut",
    "author_email": "petrutlucian94@gmail.com",
    "date_commit": "Mon Dec 08 15:38:17.000000 2014 +0100",
</t>
    </r>
    <r>
      <rPr>
        <rFont val="Arial"/>
        <b/>
        <color theme="1"/>
      </rPr>
      <t xml:space="preserve">    "date_author_commit": "Thu Oct 09 10:32:27.000000 2014 +0200",
 </t>
    </r>
    <r>
      <rPr>
        <rFont val="Arial"/>
        <color theme="1"/>
      </rPr>
      <t xml:space="preserve">   "Parent_1": "6f5fe6d2d787a32d653a395707590d32ddea1095",
</t>
    </r>
    <r>
      <rPr>
        <rFont val="Arial"/>
        <b/>
        <color theme="1"/>
      </rPr>
      <t xml:space="preserve">    "Parent_1author_date": "Mon Dec 08 15:29:12.000000 2014 +0100",
 </t>
    </r>
    <r>
      <rPr>
        <rFont val="Arial"/>
        <color theme="1"/>
      </rPr>
      <t xml:space="preserve">   "Parent_1commit_date": "Mon Dec 08 15:29:12.000000 2014 +0100",
</t>
    </r>
    <r>
      <rPr>
        <rFont val="Arial"/>
        <b/>
        <color theme="1"/>
      </rPr>
      <t xml:space="preserve">    "Parent_1possible_rebase": true</t>
    </r>
  </si>
  <si>
    <r>
      <rPr>
        <rFont val="Arial"/>
        <color theme="1"/>
      </rPr>
      <t xml:space="preserve">    "159d4eb9f8b6dbcdb00d72fff067e1b8536915a7": {
</t>
    </r>
    <r>
      <rPr>
        <rFont val="Arial"/>
        <b/>
        <color theme="1"/>
      </rPr>
      <t xml:space="preserve">        "num_parents": 2,
 </t>
    </r>
    <r>
      <rPr>
        <rFont val="Arial"/>
        <color theme="1"/>
      </rPr>
      <t xml:space="preserve">       "date_commit": "Mon Dec 08 19:17:33.000000 2014 +0100",
</t>
    </r>
    <r>
      <rPr>
        <rFont val="Arial"/>
        <b/>
        <color theme="1"/>
      </rPr>
      <t xml:space="preserve">        "date_author_commit": "Mon Dec 08 19:17:32.000000 2014 +0100",
 </t>
    </r>
    <r>
      <rPr>
        <rFont val="Arial"/>
        <color theme="1"/>
      </rPr>
      <t xml:space="preserve">       "Parent_1": "d6fb908654db5858c70b60b56755d50c5fc37587",
</t>
    </r>
    <r>
      <rPr>
        <rFont val="Arial"/>
        <b/>
        <color theme="1"/>
      </rPr>
      <t xml:space="preserve">        "Parent_1author_date": "Mon Dec 08 16:51:25.000000 2014 +0100",
 </t>
    </r>
    <r>
      <rPr>
        <rFont val="Arial"/>
        <color theme="1"/>
      </rPr>
      <t xml:space="preserve">       "Parent_1commit_date": "Mon Dec 08 16:51:25.000000 2014 +0100",
</t>
    </r>
    <r>
      <rPr>
        <rFont val="Arial"/>
        <b/>
        <color theme="1"/>
      </rPr>
      <t xml:space="preserve">        "Parent_1possible_rebase": false,
 </t>
    </r>
    <r>
      <rPr>
        <rFont val="Arial"/>
        <color theme="1"/>
      </rPr>
      <t xml:space="preserve">       "Parent_2": "0e02db2980dc4e76ef7949ba4ec131af9fc4a44d",
</t>
    </r>
    <r>
      <rPr>
        <rFont val="Arial"/>
        <b/>
        <color theme="1"/>
      </rPr>
      <t xml:space="preserve">        "Parent_2author_date": "Thu Oct 09 10:32:27.000000 2014 +0200",
 </t>
    </r>
    <r>
      <rPr>
        <rFont val="Arial"/>
        <color theme="1"/>
      </rPr>
      <t xml:space="preserve">       "Parent_2commit_date": "Mon Dec 08 15:38:17.000000 2014 +0100",
</t>
    </r>
    <r>
      <rPr>
        <rFont val="Arial"/>
        <b/>
        <color theme="1"/>
      </rPr>
      <t xml:space="preserve">        "Parent_2possible_rebase": false
 </t>
    </r>
    <r>
      <rPr>
        <rFont val="Arial"/>
        <color theme="1"/>
      </rPr>
      <t xml:space="preserve">   }</t>
    </r>
  </si>
  <si>
    <r>
      <rPr>
        <rFont val="Arial"/>
        <color theme="1"/>
      </rPr>
      <t xml:space="preserve">    "6f5fe6d2d787a32d653a395707590d32ddea1095": {
</t>
    </r>
    <r>
      <rPr>
        <rFont val="Arial"/>
        <b/>
        <color theme="1"/>
      </rPr>
      <t xml:space="preserve">        "num_parents": 2,
 </t>
    </r>
    <r>
      <rPr>
        <rFont val="Arial"/>
        <color theme="1"/>
      </rPr>
      <t xml:space="preserve">       "date_commit": "Mon Dec 08 15:29:12.000000 2014 +0100",
</t>
    </r>
    <r>
      <rPr>
        <rFont val="Arial"/>
        <b/>
        <color theme="1"/>
      </rPr>
      <t xml:space="preserve">        "date_author_commit": "Mon Dec 08 15:29:12.000000 2014 +0100",
 </t>
    </r>
    <r>
      <rPr>
        <rFont val="Arial"/>
        <color theme="1"/>
      </rPr>
      <t xml:space="preserve">       "Parent_1": "fd48c68c04e7ce417807b8aa9e7b1d97b5a90f6c",
</t>
    </r>
    <r>
      <rPr>
        <rFont val="Arial"/>
        <b/>
        <color theme="1"/>
      </rPr>
      <t xml:space="preserve">        "Parent_1author_date": "Mon Dec 08 14:51:19.000000 2014 +0100",
 </t>
    </r>
    <r>
      <rPr>
        <rFont val="Arial"/>
        <color theme="1"/>
      </rPr>
      <t xml:space="preserve">       "Parent_1commit_date": "Mon Dec 08 14:51:19.000000 2014 +0100",
</t>
    </r>
    <r>
      <rPr>
        <rFont val="Arial"/>
        <b/>
        <color theme="1"/>
      </rPr>
      <t xml:space="preserve">        "Parent_1possible_rebase": false,
 </t>
    </r>
    <r>
      <rPr>
        <rFont val="Arial"/>
        <color theme="1"/>
      </rPr>
      <t xml:space="preserve">       "Parent_2": "d8a17851b4a4d8d20df9ac9ae270f379c373a37e",
</t>
    </r>
    <r>
      <rPr>
        <rFont val="Arial"/>
        <b/>
        <color theme="1"/>
      </rPr>
      <t xml:space="preserve">        "Parent_2author_date": "Tue Nov 25 04:02:06.000000 2014 +0100",
 </t>
    </r>
    <r>
      <rPr>
        <rFont val="Arial"/>
        <color theme="1"/>
      </rPr>
      <t xml:space="preserve">       "Parent_2commit_date": "Fri Dec 05 02:55:37.000000 2014 +0100",
</t>
    </r>
    <r>
      <rPr>
        <rFont val="Arial"/>
        <b/>
        <color theme="1"/>
      </rPr>
      <t xml:space="preserve">        "Parent_2possible_rebase": false</t>
    </r>
  </si>
  <si>
    <t>the code, just fix a bug 1131588)</t>
  </si>
  <si>
    <t>is not adaptive eventhough the bug relates to the DB is not modyfying the database itself, nor temoving data from it or addying responsabilities to it. It only corrects a bug</t>
  </si>
  <si>
    <t>compute
test_compute.py
test_libvirt.py
test_powervm.py
test_xenapi.py</t>
  </si>
  <si>
    <t xml:space="preserve">it is covered here 
nova/tests/compute/test_compute.py
</t>
  </si>
  <si>
    <t>jenkins 1</t>
  </si>
  <si>
    <t>e.g., manager # We crashed during resize/migration, so roll back for safety</t>
  </si>
  <si>
    <t>Functionality changed. Due to know it was a bug fix and no refactors found</t>
  </si>
  <si>
    <t>Dan Smith (danms@us.ibm.com)</t>
  </si>
  <si>
    <t>Parent	
1767893
Merged As	
a9d0313</t>
  </si>
  <si>
    <r>
      <rPr>
        <rFont val="Arial"/>
        <b/>
        <color theme="1"/>
      </rPr>
      <t xml:space="preserve">    "num_parents": 1,
 </t>
    </r>
    <r>
      <rPr>
        <rFont val="Arial"/>
        <color theme="1"/>
      </rPr>
      <t xml:space="preserve">   "author_name": "Andrew Melton",
    "author_email": "andrew.melton@rackspace.com",
    "date_commit": "Fri Aug 29 20:52:22.000000 2014 +0200",
</t>
    </r>
    <r>
      <rPr>
        <rFont val="Arial"/>
        <b/>
        <color theme="1"/>
      </rPr>
      <t xml:space="preserve">    "date_author_commit": "Tue Aug 12 16:41:44.000000 2014 +0200",
 </t>
    </r>
    <r>
      <rPr>
        <rFont val="Arial"/>
        <color theme="1"/>
      </rPr>
      <t xml:space="preserve">   "Parent_1": "f74f7776584378b9f2154173ed670cf4c4c68c1d",
</t>
    </r>
    <r>
      <rPr>
        <rFont val="Arial"/>
        <b/>
        <color theme="1"/>
      </rPr>
      <t xml:space="preserve">    "Parent_1author_date": "Fri May 23 19:21:56.000000 2014 +0200",
 </t>
    </r>
    <r>
      <rPr>
        <rFont val="Arial"/>
        <color theme="1"/>
      </rPr>
      <t xml:space="preserve">   "Parent_1commit_date": "Fri Aug 29 20:52:10.000000 2014 +0200",
</t>
    </r>
    <r>
      <rPr>
        <rFont val="Arial"/>
        <b/>
        <color theme="1"/>
      </rPr>
      <t xml:space="preserve">    "Parent_1possible_rebase": false</t>
    </r>
  </si>
  <si>
    <r>
      <rPr>
        <rFont val="Arial"/>
        <color theme="1"/>
      </rPr>
      <t xml:space="preserve">"3fe1851d3b723678acc371ebb845afee73f8264e": {
        "num_parents": 1,
        "date_commit": "Fri Aug 29 20:52:22.000000 2014 +0200",
</t>
    </r>
    <r>
      <rPr>
        <rFont val="Arial"/>
        <b/>
        <color theme="1"/>
      </rPr>
      <t xml:space="preserve">        "date_author_commit": "Tue Aug 12 16:46:41.000000 2014 +0200",
 </t>
    </r>
    <r>
      <rPr>
        <rFont val="Arial"/>
        <color theme="1"/>
      </rPr>
      <t xml:space="preserve">       "Parent_1": "e310985b77d916b1ad7f9ec60a9a0b46364046ac",
</t>
    </r>
    <r>
      <rPr>
        <rFont val="Arial"/>
        <b/>
        <color theme="1"/>
      </rPr>
      <t xml:space="preserve">        "Parent_1author_date": "Tue Aug 12 16:41:44.000000 2014 +0200",
 </t>
    </r>
    <r>
      <rPr>
        <rFont val="Arial"/>
        <color theme="1"/>
      </rPr>
      <t xml:space="preserve">       "Parent_1commit_date": "Fri Aug 29 20:52:22.000000 2014 +0200",
</t>
    </r>
    <r>
      <rPr>
        <rFont val="Arial"/>
        <b/>
        <color theme="1"/>
      </rPr>
      <t xml:space="preserve">        "Parent_1possible_rebase": false</t>
    </r>
  </si>
  <si>
    <r>
      <rPr>
        <rFont val="Arial"/>
        <color theme="1"/>
      </rPr>
      <t xml:space="preserve">   "f74f7776584378b9f2154173ed670cf4c4c68c1d": {
</t>
    </r>
    <r>
      <rPr>
        <rFont val="Arial"/>
        <b/>
        <color theme="1"/>
      </rPr>
      <t xml:space="preserve">        "num_parents": 1,
 </t>
    </r>
    <r>
      <rPr>
        <rFont val="Arial"/>
        <color theme="1"/>
      </rPr>
      <t xml:space="preserve">       "date_commit": "Fri Aug 29 20:52:10.000000 2014 +0200",
</t>
    </r>
    <r>
      <rPr>
        <rFont val="Arial"/>
        <b/>
        <color theme="1"/>
      </rPr>
      <t xml:space="preserve">        "date_author_commit": "Fri May 23 19:21:56.000000 2014 +0200",
 </t>
    </r>
    <r>
      <rPr>
        <rFont val="Arial"/>
        <color theme="1"/>
      </rPr>
      <t xml:space="preserve">       "Parent_1": "8f49b1ed9f879fd1ee26688c33737b92aa2d91b4",
</t>
    </r>
    <r>
      <rPr>
        <rFont val="Arial"/>
        <b/>
        <color theme="1"/>
      </rPr>
      <t xml:space="preserve">        "Parent_1author_date": "Fri Aug 29 15:27:19.000000 2014 +0200",
 </t>
    </r>
    <r>
      <rPr>
        <rFont val="Arial"/>
        <color theme="1"/>
      </rPr>
      <t xml:space="preserve">       "Parent_1commit_date": "Fri Aug 29 15:27:19.000000 2014 +0200",
</t>
    </r>
    <r>
      <rPr>
        <rFont val="Arial"/>
        <b/>
        <color theme="1"/>
      </rPr>
      <t xml:space="preserve">        "Parent_1possible_rebase": true
 </t>
    </r>
    <r>
      <rPr>
        <rFont val="Arial"/>
        <color theme="1"/>
      </rPr>
      <t xml:space="preserve">   }</t>
    </r>
  </si>
  <si>
    <t>implemnts partiallz a BP bp libvirt-lxc-user-namespaces)</t>
  </si>
  <si>
    <t>new feature</t>
  </si>
  <si>
    <t>ests/cmd
__init__.py
test_idmapshift.py</t>
  </si>
  <si>
    <t>the changes are covered here 
nova/cmd/idmapshift.py</t>
  </si>
  <si>
    <t>Children and Parent  no changes in relatd test</t>
  </si>
  <si>
    <t xml:space="preserve">e.g., description of the new file </t>
  </si>
  <si>
    <t>e.g., When using user namespaces with linux containers, the filesystem of the
container must be owned by the targeted user and group ids being applied
to that container. Otherwise, processes inside the container won't be able
to access the filesystem.
For example, when using the id map string '0:10000:2000', this means that
user ids inside the container between 0 and 1999 will map to user ids on
the host between 10000 and 11999. Root (0) becomes 10000, user 1 becomes
10001, user 50 becomes 10050 and user 1999 becomes 11999. This means that
files that are owned by root need to actually be owned by user 10000, and
files owned by 50 need to be owned by 10050, and so on.
IDMapShift will take the uid and gid strings used for user namespaces and
properly set up the filesystem for use by those users. Uids and gids outside
of provided ranges will be mapped to nobody (max uid/gid) so that they are
inaccessible inside the container.
"""</t>
  </si>
  <si>
    <t>Functionality changed. Due to new features no refactors found</t>
  </si>
  <si>
    <t>create of a new python module (new file with functions)</t>
  </si>
  <si>
    <t>create of a new python module (new file with functions) (our buggy file)</t>
  </si>
  <si>
    <t>import argparse
import os
import sys</t>
  </si>
  <si>
    <t>Andrew Melton (andrew.melton@rackspace.com)</t>
  </si>
  <si>
    <t xml:space="preserve">Parent	
f74f777
Merged As	
e310985
</t>
  </si>
  <si>
    <r>
      <rPr>
        <rFont val="Arial"/>
      </rPr>
      <t xml:space="preserve">No, even if it appears like it, one is a call in the description. </t>
    </r>
    <r>
      <rPr>
        <rFont val="Arial"/>
        <color rgb="FF1155CC"/>
        <u/>
      </rPr>
      <t>https://review.opendev.org/c/x/anvil/+/142892</t>
    </r>
  </si>
  <si>
    <r>
      <rPr>
        <rFont val="Arial"/>
        <color theme="1"/>
      </rPr>
      <t xml:space="preserve">    "0751e2225cb839f905e2181c9b61b582e039c446": {
</t>
    </r>
    <r>
      <rPr>
        <rFont val="Arial"/>
        <b/>
        <color theme="1"/>
      </rPr>
      <t xml:space="preserve">        "num_parents": 2,
 </t>
    </r>
    <r>
      <rPr>
        <rFont val="Arial"/>
        <color theme="1"/>
      </rPr>
      <t xml:space="preserve">       "date_commit": "Tue Sep 02 22:39:21.000000 2014 +0200",
</t>
    </r>
    <r>
      <rPr>
        <rFont val="Arial"/>
        <b/>
        <color theme="1"/>
      </rPr>
      <t xml:space="preserve">        "date_author_commit": "Tue Sep 02 22:39:21.000000 2014 +0200",
 </t>
    </r>
    <r>
      <rPr>
        <rFont val="Arial"/>
        <color theme="1"/>
      </rPr>
      <t xml:space="preserve">       "Parent_1": "1dcdfd1d2b05418fea101877d53ab9daa610552d",
</t>
    </r>
    <r>
      <rPr>
        <rFont val="Arial"/>
        <b/>
        <color theme="1"/>
      </rPr>
      <t xml:space="preserve">        "Parent_1author_date": "Tue Sep 02 19:06:44.000000 2014 +0200",
 </t>
    </r>
    <r>
      <rPr>
        <rFont val="Arial"/>
        <color theme="1"/>
      </rPr>
      <t xml:space="preserve">       "Parent_1commit_date": "Tue Sep 02 19:06:44.000000 2014 +0200",
</t>
    </r>
    <r>
      <rPr>
        <rFont val="Arial"/>
        <b/>
        <color theme="1"/>
      </rPr>
      <t xml:space="preserve">        "Parent_1possible_rebase": false,
 </t>
    </r>
    <r>
      <rPr>
        <rFont val="Arial"/>
        <color theme="1"/>
      </rPr>
      <t xml:space="preserve">       "Parent_2": "e310985b77d916b1ad7f9ec60a9a0b46364046ac",
</t>
    </r>
    <r>
      <rPr>
        <rFont val="Arial"/>
        <b/>
        <color theme="1"/>
      </rPr>
      <t xml:space="preserve">        "Parent_2author_date": "Tue Aug 12 16:41:44.000000 2014 +0200",
 </t>
    </r>
    <r>
      <rPr>
        <rFont val="Arial"/>
        <color theme="1"/>
      </rPr>
      <t xml:space="preserve">       "Parent_2commit_date": "Fri Aug 29 20:52:22.000000 2014 +0200",
</t>
    </r>
    <r>
      <rPr>
        <rFont val="Arial"/>
        <b/>
        <color theme="1"/>
      </rPr>
      <t xml:space="preserve">        "Parent_2possible_rebase": false
 </t>
    </r>
    <r>
      <rPr>
        <rFont val="Arial"/>
        <color theme="1"/>
      </rPr>
      <t xml:space="preserve">   }</t>
    </r>
  </si>
  <si>
    <t>Covered (Children)</t>
  </si>
  <si>
    <t>children merge includes all the parent changes</t>
  </si>
  <si>
    <r>
      <rPr>
        <rFont val="Arial"/>
        <color theme="1"/>
      </rPr>
      <t xml:space="preserve">   "num_parents": 1,
    "author_name": "Phil Day",
    "author_email": "philip.day@hp.com",
    "date_commit": "Fri May 10 02:29:27.000000 2013 +0200",
</t>
    </r>
    <r>
      <rPr>
        <rFont val="Arial"/>
        <b/>
        <color theme="1"/>
      </rPr>
      <t xml:space="preserve">    "date_author_commit": "Thu Apr 04 19:00:49.000000 2013 +0200",
 </t>
    </r>
    <r>
      <rPr>
        <rFont val="Arial"/>
        <color theme="1"/>
      </rPr>
      <t xml:space="preserve">   "Parent_1": "b17715174e8cdd98fe336ee79660860890cf6dce",
</t>
    </r>
    <r>
      <rPr>
        <rFont val="Arial"/>
        <b/>
        <color theme="1"/>
      </rPr>
      <t xml:space="preserve">    "Parent_1author_date": "Sat Apr 20 02:04:49.000000 2013 +0200",
 </t>
    </r>
    <r>
      <rPr>
        <rFont val="Arial"/>
        <color theme="1"/>
      </rPr>
      <t xml:space="preserve">   "Parent_1commit_date": "Sat Apr 20 02:04:49.000000 2013 +0200",
</t>
    </r>
    <r>
      <rPr>
        <rFont val="Arial"/>
        <b/>
        <color theme="1"/>
      </rPr>
      <t xml:space="preserve">    "Parent_1possible_rebase": true</t>
    </r>
  </si>
  <si>
    <r>
      <rPr>
        <rFont val="Arial"/>
        <color theme="1"/>
      </rPr>
      <t xml:space="preserve">    "9629c8eb14104a31872f9e3757dd64c637142f9b": {
</t>
    </r>
    <r>
      <rPr>
        <rFont val="Arial"/>
        <b/>
        <color theme="1"/>
      </rPr>
      <t xml:space="preserve">        "num_parents": 2,
 </t>
    </r>
    <r>
      <rPr>
        <rFont val="Arial"/>
        <color theme="1"/>
      </rPr>
      <t xml:space="preserve">       "date_commit": "Fri May 10 23:45:48.000000 2013 +0200",
</t>
    </r>
    <r>
      <rPr>
        <rFont val="Arial"/>
        <b/>
        <color theme="1"/>
      </rPr>
      <t xml:space="preserve">        "date_author_commit": "Fri May 10 23:45:48.000000 2013 +0200",
 </t>
    </r>
    <r>
      <rPr>
        <rFont val="Arial"/>
        <color theme="1"/>
      </rPr>
      <t xml:space="preserve">       "Parent_1": "f743e00cdef5e621af5c9a9bc4ebbda5b4329372",
        "Parent_1author_date": "Fri May 10 23:34:22.000000 2013 +0200",
        "Parent_1commit_date": "Fri May 10 23:34:22.000000 2013 +0200",
</t>
    </r>
    <r>
      <rPr>
        <rFont val="Arial"/>
        <b/>
        <color theme="1"/>
      </rPr>
      <t xml:space="preserve">        "Parent_1possible_rebase": false,
 </t>
    </r>
    <r>
      <rPr>
        <rFont val="Arial"/>
        <color theme="1"/>
      </rPr>
      <t xml:space="preserve">       "Parent_2": "1b2c121f133b15d0fe3f6ebdb131ac9998bc4b83",
</t>
    </r>
    <r>
      <rPr>
        <rFont val="Arial"/>
        <b/>
        <color theme="1"/>
      </rPr>
      <t xml:space="preserve">        "Parent_2author_date": "Thu Apr 04 19:00:49.000000 2013 +0200",
 </t>
    </r>
    <r>
      <rPr>
        <rFont val="Arial"/>
        <color theme="1"/>
      </rPr>
      <t xml:space="preserve">       "Parent_2commit_date": "Fri May 10 02:29:27.000000 2013 +0200",
</t>
    </r>
    <r>
      <rPr>
        <rFont val="Arial"/>
        <b/>
        <color theme="1"/>
      </rPr>
      <t xml:space="preserve">        "Parent_2possible_rebase": false
 </t>
    </r>
    <r>
      <rPr>
        <rFont val="Arial"/>
        <color theme="1"/>
      </rPr>
      <t xml:space="preserve">   }</t>
    </r>
  </si>
  <si>
    <t>Direct::Commit</t>
  </si>
  <si>
    <r>
      <rPr>
        <rFont val="Arial"/>
        <color theme="1"/>
      </rPr>
      <t xml:space="preserve">    "b17715174e8cdd98fe336ee79660860890cf6dce": {
</t>
    </r>
    <r>
      <rPr>
        <rFont val="Arial"/>
        <b/>
        <color theme="1"/>
      </rPr>
      <t xml:space="preserve">        "num_parents": 1,
 </t>
    </r>
    <r>
      <rPr>
        <rFont val="Arial"/>
        <color theme="1"/>
      </rPr>
      <t xml:space="preserve">       "date_commit": "Sat Apr 20 02:04:49.000000 2013 +0200",
</t>
    </r>
    <r>
      <rPr>
        <rFont val="Arial"/>
        <b/>
        <color theme="1"/>
      </rPr>
      <t xml:space="preserve">        "date_author_commit": "Sat Apr 20 02:04:49.000000 2013 +0200",
 </t>
    </r>
    <r>
      <rPr>
        <rFont val="Arial"/>
        <color theme="1"/>
      </rPr>
      <t xml:space="preserve">       "Parent_1": "7c2b662dc6923b88ce9d3ae3a7262368cceff9b2",
</t>
    </r>
    <r>
      <rPr>
        <rFont val="Arial"/>
        <b/>
        <color theme="1"/>
      </rPr>
      <t xml:space="preserve">        "Parent_1author_date": "Fri Apr 19 05:14:01.000000 2013 +0200",
 </t>
    </r>
    <r>
      <rPr>
        <rFont val="Arial"/>
        <color theme="1"/>
      </rPr>
      <t xml:space="preserve">       "Parent_1commit_date": "Fri Apr 19 05:14:01.000000 2013 +0200",
        "Parent_1possible_rebase": false
    }</t>
    </r>
  </si>
  <si>
    <t>it emplements just a BP (blueprint multi-nic-floating-ip-assignment) no more</t>
  </si>
  <si>
    <t>new feature (blueprint multi-nic-floating-ip-assignment)</t>
  </si>
  <si>
    <r>
      <rPr/>
      <t xml:space="preserve">test_floating_ips.py
</t>
    </r>
    <r>
      <rPr>
        <color rgb="FF1155CC"/>
        <u/>
      </rPr>
      <t>test_extensions.py</t>
    </r>
  </si>
  <si>
    <t>it is covered with the class created in test to fake the modifications of the extensions</t>
  </si>
  <si>
    <t>Children - merger (include the changes of the BIC) and Parent  no changes in relatd test</t>
  </si>
  <si>
    <t>e.g.,  """Adds optional fixed_address to the add floating IP command."""</t>
  </si>
  <si>
    <t>E.g.,   controller = FloatingIPActionController()
        controller = FloatingIPActionController(self.ext_mgr)
functionality does not change</t>
  </si>
  <si>
    <t>e.g., class Extended_floating_ips(extensions.ExtensionDescriptor):</t>
  </si>
  <si>
    <t>no design changes</t>
  </si>
  <si>
    <t>Phil Day (philip.day@hp.com)</t>
  </si>
  <si>
    <t xml:space="preserve">Parent	
b177151
Merged As	
1b2c121
</t>
  </si>
  <si>
    <t>x_partial files NO V3</t>
  </si>
  <si>
    <r>
      <rPr>
        <rFont val="Arial"/>
        <b/>
        <color theme="1"/>
      </rPr>
      <t xml:space="preserve">"num_parents": 1,
 </t>
    </r>
    <r>
      <rPr>
        <rFont val="Arial"/>
        <color theme="1"/>
      </rPr>
      <t xml:space="preserve">   "author_name": "Alexandre Levine",
    "author_email": "alexandrelevine@gmail.com",
    "date_commit": "Thu Mar 05 16:19:23.000000 2015 +0100",
</t>
    </r>
    <r>
      <rPr>
        <rFont val="Arial"/>
        <b/>
        <color theme="1"/>
      </rPr>
      <t xml:space="preserve">    "date_author_commit": "Thu Feb 19 00:42:42.000000 2015 +0100",
 </t>
    </r>
    <r>
      <rPr>
        <rFont val="Arial"/>
        <color theme="1"/>
      </rPr>
      <t xml:space="preserve">   "Parent_1": "e6568b24696b07347b687e9dbc605743ce16a92f",
</t>
    </r>
    <r>
      <rPr>
        <rFont val="Arial"/>
        <b/>
        <color theme="1"/>
      </rPr>
      <t xml:space="preserve">    "Parent_1author_date": "Thu Mar 05 15:49:20.000000 2015 +0100",
 </t>
    </r>
    <r>
      <rPr>
        <rFont val="Arial"/>
        <color theme="1"/>
      </rPr>
      <t xml:space="preserve">   "Parent_1commit_date": "Thu Mar 05 15:49:20.000000 2015 +0100",
</t>
    </r>
    <r>
      <rPr>
        <rFont val="Arial"/>
        <b/>
        <color theme="1"/>
      </rPr>
      <t xml:space="preserve">    "Parent_1possible_rebase": true</t>
    </r>
  </si>
  <si>
    <r>
      <rPr>
        <rFont val="Arial"/>
        <color theme="1"/>
      </rPr>
      <t xml:space="preserve">    "8b5cb7a9c96fd1da59bcafbd30723ba26af5c556": {
</t>
    </r>
    <r>
      <rPr>
        <rFont val="Arial"/>
        <b/>
        <color theme="1"/>
      </rPr>
      <t xml:space="preserve">        "num_parents": 2,
 </t>
    </r>
    <r>
      <rPr>
        <rFont val="Arial"/>
        <color theme="1"/>
      </rPr>
      <t xml:space="preserve">       "date_commit": "Fri Mar 06 02:09:55.000000 2015 +0100",
        "date_author_commit": "Fri Mar 06 02:09:55.000000 2015 +0100",
        "Parent_1": "a7ef9420ee1d3231c3d658d4ec2a5e86099b29d3",
</t>
    </r>
    <r>
      <rPr>
        <rFont val="Arial"/>
        <b/>
        <color theme="1"/>
      </rPr>
      <t xml:space="preserve">        "Parent_1author_date": "Fri Mar 06 00:16:53.000000 2015 +0100",
 </t>
    </r>
    <r>
      <rPr>
        <rFont val="Arial"/>
        <color theme="1"/>
      </rPr>
      <t xml:space="preserve">       "Parent_1commit_date": "Fri Mar 06 00:16:53.000000 2015 +0100",
</t>
    </r>
    <r>
      <rPr>
        <rFont val="Arial"/>
        <b/>
        <color theme="1"/>
      </rPr>
      <t xml:space="preserve">        "Parent_1possible_rebase": false,
 </t>
    </r>
    <r>
      <rPr>
        <rFont val="Arial"/>
        <color theme="1"/>
      </rPr>
      <t xml:space="preserve">       "Parent_2": "abc656d3d549c555cf7c94d0ae0e5d50768bd366",
</t>
    </r>
    <r>
      <rPr>
        <rFont val="Arial"/>
        <b/>
        <color theme="1"/>
      </rPr>
      <t xml:space="preserve">        "Parent_2author_date": "Thu Feb 19 00:42:42.000000 2015 +0100",
 </t>
    </r>
    <r>
      <rPr>
        <rFont val="Arial"/>
        <color theme="1"/>
      </rPr>
      <t xml:space="preserve">       "Parent_2commit_date": "Thu Mar 05 16:19:23.000000 2015 +0100",
</t>
    </r>
    <r>
      <rPr>
        <rFont val="Arial"/>
        <b/>
        <color theme="1"/>
      </rPr>
      <t xml:space="preserve">        "Parent_2possible_rebase": false
 </t>
    </r>
    <r>
      <rPr>
        <rFont val="Arial"/>
        <color theme="1"/>
      </rPr>
      <t xml:space="preserve">   }</t>
    </r>
  </si>
  <si>
    <r>
      <rPr>
        <rFont val="Arial"/>
        <color theme="1"/>
      </rPr>
      <t xml:space="preserve">    "e6568b24696b07347b687e9dbc605743ce16a92f": {
</t>
    </r>
    <r>
      <rPr>
        <rFont val="Arial"/>
        <b/>
        <color theme="1"/>
      </rPr>
      <t xml:space="preserve">        "num_parents": 2,
 </t>
    </r>
    <r>
      <rPr>
        <rFont val="Arial"/>
        <color theme="1"/>
      </rPr>
      <t xml:space="preserve">       "date_commit": "Thu Mar 05 15:49:20.000000 2015 +0100",
</t>
    </r>
    <r>
      <rPr>
        <rFont val="Arial"/>
        <b/>
        <color theme="1"/>
      </rPr>
      <t xml:space="preserve">        "date_author_commit": "Thu Mar 05 15:49:20.000000 2015 +0100",
 </t>
    </r>
    <r>
      <rPr>
        <rFont val="Arial"/>
        <color theme="1"/>
      </rPr>
      <t xml:space="preserve">       "Parent_1": "61d07fbce90a21f5d82a131bef8d469955d28ce9",
</t>
    </r>
    <r>
      <rPr>
        <rFont val="Arial"/>
        <b/>
        <color theme="1"/>
      </rPr>
      <t xml:space="preserve">        "Parent_1author_date": "Thu Mar 05 15:47:13.000000 2015 +0100",
 </t>
    </r>
    <r>
      <rPr>
        <rFont val="Arial"/>
        <color theme="1"/>
      </rPr>
      <t xml:space="preserve">       "Parent_1commit_date": "Thu Mar 05 15:47:13.000000 2015 +0100",
        "Parent_1possible_rebase": false,
        "Parent_2": "97e6e33a25e7f3df0385b54e58c21d98cb165ac1",
</t>
    </r>
    <r>
      <rPr>
        <rFont val="Arial"/>
        <b/>
        <color theme="1"/>
      </rPr>
      <t xml:space="preserve">        "Parent_2author_date": "Fri Feb 13 18:12:57.000000 2015 +0100",
 </t>
    </r>
    <r>
      <rPr>
        <rFont val="Arial"/>
        <color theme="1"/>
      </rPr>
      <t xml:space="preserve">       "Parent_2commit_date": "Wed Mar 04 19:32:45.000000 2015 +0100",
</t>
    </r>
    <r>
      <rPr>
        <rFont val="Arial"/>
        <b/>
        <color theme="1"/>
      </rPr>
      <t xml:space="preserve">        "Parent_2possible_rebase": false
 </t>
    </r>
    <r>
      <rPr>
        <rFont val="Arial"/>
        <color theme="1"/>
      </rPr>
      <t xml:space="preserve">   }</t>
    </r>
  </si>
  <si>
    <t xml:space="preserve">i.e., os-extended-server-properties and os-extended-volumes nova APIs
in order to expose information which is required for the standalone
EC2 API implementation (resides on stackforge/ec2-api) to use only
public APIs. Right now this information is taken by directly accessing
internal Nova DB.
It adds proposed microversion v2.3.
It implements the spec </t>
  </si>
  <si>
    <t>test_extended_server_attributes.py
test_extended_volumes.py</t>
  </si>
  <si>
    <t>the change is in the documentation not in code, they do not have tests for documentation</t>
  </si>
  <si>
    <t>Microsoft Hyper V 2</t>
  </si>
  <si>
    <t>the documentation of the project itself is being changed  folder/doc/.....</t>
  </si>
  <si>
    <t>e.g., def _extend_server(self, context, server, instance):
    def _extend_server(self, context, server, instance, requested_version):
functionality do not change</t>
  </si>
  <si>
    <t>the buggy files are documentation</t>
  </si>
  <si>
    <t>changes on architecture are given in tests ExtendedServerAttributesTestV23 not in operational code</t>
  </si>
  <si>
    <t>changde on dependencies, but not external to the project</t>
  </si>
  <si>
    <t>Alexandre Levine (alexandrelevine@gmail.com)</t>
  </si>
  <si>
    <t>Parent	
e6568b2
Merged As	
abc656d</t>
  </si>
  <si>
    <r>
      <rPr>
        <rFont val="Arial"/>
        <b/>
        <color theme="1"/>
      </rPr>
      <t xml:space="preserve">   "num_parents": 1,
 </t>
    </r>
    <r>
      <rPr>
        <rFont val="Arial"/>
        <color theme="1"/>
      </rPr>
      <t xml:space="preserve">   "author_name": "Lucas Alvares Gomes",
    "author_email": "lucasagomes@gmail.com",
    "date_commit": "Tue Feb 03 16:13:05.000000 2015 +0100",
</t>
    </r>
    <r>
      <rPr>
        <rFont val="Arial"/>
        <b/>
        <color theme="1"/>
      </rPr>
      <t xml:space="preserve">    "date_author_commit": "Fri Jan 02 18:21:12.000000 2015 +0100",
 </t>
    </r>
    <r>
      <rPr>
        <rFont val="Arial"/>
        <color theme="1"/>
      </rPr>
      <t xml:space="preserve">   "Parent_1": "422b22eaf79c04e42e1b2257b7ab1feff54152bc",
</t>
    </r>
    <r>
      <rPr>
        <rFont val="Arial"/>
        <b/>
        <color theme="1"/>
      </rPr>
      <t xml:space="preserve">    "Parent_1author_date": "Thu Jan 29 08:54:07.000000 2015 +0100",
 </t>
    </r>
    <r>
      <rPr>
        <rFont val="Arial"/>
        <color theme="1"/>
      </rPr>
      <t xml:space="preserve">   "Parent_1commit_date": "Thu Jan 29 08:54:07.000000 2015 +0100",
</t>
    </r>
    <r>
      <rPr>
        <rFont val="Arial"/>
        <b/>
        <color theme="1"/>
      </rPr>
      <t xml:space="preserve">    "Parent_1possible_rebase": true</t>
    </r>
  </si>
  <si>
    <r>
      <rPr>
        <rFont val="Arial"/>
        <color theme="1"/>
      </rPr>
      <t xml:space="preserve">    "98641da6402c44793da4d2f6d7ea1a7ba5f16708": {
</t>
    </r>
    <r>
      <rPr>
        <rFont val="Arial"/>
        <b/>
        <color theme="1"/>
      </rPr>
      <t xml:space="preserve">        "num_parents": 2,
 </t>
    </r>
    <r>
      <rPr>
        <rFont val="Arial"/>
        <color theme="1"/>
      </rPr>
      <t xml:space="preserve">       "date_commit": "Fri Feb 06 00:36:32.000000 2015 +0100",
</t>
    </r>
    <r>
      <rPr>
        <rFont val="Arial"/>
        <b/>
        <color theme="1"/>
      </rPr>
      <t xml:space="preserve">        "date_author_commit": "Fri Feb 06 00:36:32.000000 2015 +0100",
 </t>
    </r>
    <r>
      <rPr>
        <rFont val="Arial"/>
        <color theme="1"/>
      </rPr>
      <t xml:space="preserve">       "Parent_1": "f47676c21ebbd18d708ed547f54a10128d53ed29",
</t>
    </r>
    <r>
      <rPr>
        <rFont val="Arial"/>
        <b/>
        <color theme="1"/>
      </rPr>
      <t xml:space="preserve">        "Parent_1author_date": "Fri Feb 06 00:02:32.000000 2015 +0100",
 </t>
    </r>
    <r>
      <rPr>
        <rFont val="Arial"/>
        <color theme="1"/>
      </rPr>
      <t xml:space="preserve">       "Parent_1commit_date": "Fri Feb 06 00:02:32.000000 2015 +0100",
</t>
    </r>
    <r>
      <rPr>
        <rFont val="Arial"/>
        <b/>
        <color theme="1"/>
      </rPr>
      <t xml:space="preserve">        "Parent_1possible_rebase": false,
 </t>
    </r>
    <r>
      <rPr>
        <rFont val="Arial"/>
        <color theme="1"/>
      </rPr>
      <t xml:space="preserve">       "Parent_2": "1682c5b585835e151845c7f64a6c29bc21c29edc",
</t>
    </r>
    <r>
      <rPr>
        <rFont val="Arial"/>
        <b/>
        <color theme="1"/>
      </rPr>
      <t xml:space="preserve">        "Parent_2author_date": "Fri Jan 02 18:21:12.000000 2015 +0100",
 </t>
    </r>
    <r>
      <rPr>
        <rFont val="Arial"/>
        <color theme="1"/>
      </rPr>
      <t xml:space="preserve">       "Parent_2commit_date": "Tue Feb 03 16:13:05.000000 2015 +0100",
</t>
    </r>
    <r>
      <rPr>
        <rFont val="Arial"/>
        <b/>
        <color theme="1"/>
      </rPr>
      <t xml:space="preserve">        "Parent_2possible_rebase": false
 </t>
    </r>
    <r>
      <rPr>
        <rFont val="Arial"/>
        <color theme="1"/>
      </rPr>
      <t xml:space="preserve">   }</t>
    </r>
  </si>
  <si>
    <r>
      <rPr>
        <rFont val="Arial"/>
        <color theme="1"/>
      </rPr>
      <t xml:space="preserve">    "422b22eaf79c04e42e1b2257b7ab1feff54152bc": {
</t>
    </r>
    <r>
      <rPr>
        <rFont val="Arial"/>
        <b/>
        <color theme="1"/>
      </rPr>
      <t xml:space="preserve">        "num_parents": 2,
 </t>
    </r>
    <r>
      <rPr>
        <rFont val="Arial"/>
        <color theme="1"/>
      </rPr>
      <t xml:space="preserve">       "date_commit": "Thu Jan 29 08:54:07.000000 2015 +0100",
</t>
    </r>
    <r>
      <rPr>
        <rFont val="Arial"/>
        <b/>
        <color theme="1"/>
      </rPr>
      <t xml:space="preserve">        "date_author_commit": "Thu Jan 29 08:54:07.000000 2015 +0100",
 </t>
    </r>
    <r>
      <rPr>
        <rFont val="Arial"/>
        <color theme="1"/>
      </rPr>
      <t xml:space="preserve">       "Parent_1": "75d946da7bd19df210ca1a016cf1fab173ba3eac",
</t>
    </r>
    <r>
      <rPr>
        <rFont val="Arial"/>
        <b/>
        <color theme="1"/>
      </rPr>
      <t xml:space="preserve">        "Parent_1author_date": "Thu Jan 29 07:22:12.000000 2015 +0100",
 </t>
    </r>
    <r>
      <rPr>
        <rFont val="Arial"/>
        <color theme="1"/>
      </rPr>
      <t xml:space="preserve">       "Parent_1commit_date": "Thu Jan 29 07:22:12.000000 2015 +0100",
</t>
    </r>
    <r>
      <rPr>
        <rFont val="Arial"/>
        <b/>
        <color theme="1"/>
      </rPr>
      <t xml:space="preserve">        "Parent_1possible_rebase": false,
 </t>
    </r>
    <r>
      <rPr>
        <rFont val="Arial"/>
        <color theme="1"/>
      </rPr>
      <t xml:space="preserve">       "Parent_2": "78a706f784b8b42df4c85ac18270da848c99cd67",
</t>
    </r>
    <r>
      <rPr>
        <rFont val="Arial"/>
        <b/>
        <color theme="1"/>
      </rPr>
      <t xml:space="preserve">        "Parent_2author_date": "Wed Jan 28 13:46:02.000000 2015 +0100",
 </t>
    </r>
    <r>
      <rPr>
        <rFont val="Arial"/>
        <color theme="1"/>
      </rPr>
      <t xml:space="preserve">       "Parent_2commit_date": "Wed Jan 28 14:29:58.000000 2015 +0100",
</t>
    </r>
    <r>
      <rPr>
        <rFont val="Arial"/>
        <b/>
        <color theme="1"/>
      </rPr>
      <t xml:space="preserve">        "Parent_2possible_rebase": false
 </t>
    </r>
    <r>
      <rPr>
        <rFont val="Arial"/>
        <color theme="1"/>
      </rPr>
      <t xml:space="preserve">   }</t>
    </r>
  </si>
  <si>
    <t>implements a unique BP (use-configdrive-with-ironic)</t>
  </si>
  <si>
    <t>test_driver.py</t>
  </si>
  <si>
    <r>
      <rPr/>
      <t xml:space="preserve">All modifications were covered in the changes of </t>
    </r>
    <r>
      <rPr>
        <color rgb="FF1155CC"/>
        <u/>
      </rPr>
      <t>test_driver.py</t>
    </r>
  </si>
  <si>
    <t># base64 encode config driv</t>
  </si>
  <si>
    <t>new feature added, no refactoring found</t>
  </si>
  <si>
    <t>changes on architecture are given in tests IronicDriverGenerateConfigDriveTestCase not in operational code</t>
  </si>
  <si>
    <t>import shutil
import tempfile</t>
  </si>
  <si>
    <t>Lucas Alvares Gomes (lucasagomes@gmail.com)</t>
  </si>
  <si>
    <t>Parent	
422b22e
Merged As	
1682c5b</t>
  </si>
  <si>
    <r>
      <rPr>
        <rFont val="Arial"/>
        <b/>
        <color theme="1"/>
      </rPr>
      <t xml:space="preserve">    "num_parents": 1,
 </t>
    </r>
    <r>
      <rPr>
        <rFont val="Arial"/>
        <color theme="1"/>
      </rPr>
      <t xml:space="preserve">   "author_name": "Dan Smith",
    "author_email": "dansmith@redhat.com",
    "date_commit": "Mon Dec 16 16:15:26.000000 2013 +0100",
</t>
    </r>
    <r>
      <rPr>
        <rFont val="Arial"/>
        <b/>
        <color theme="1"/>
      </rPr>
      <t xml:space="preserve">    "date_author_commit": "Mon Dec 02 21:25:04.000000 2013 +0100",
 </t>
    </r>
    <r>
      <rPr>
        <rFont val="Arial"/>
        <color theme="1"/>
      </rPr>
      <t xml:space="preserve">   "Parent_1": "b32d01d44ca5711c96d192df51bf7acd34f52556",
</t>
    </r>
    <r>
      <rPr>
        <rFont val="Arial"/>
        <b/>
        <color theme="1"/>
      </rPr>
      <t xml:space="preserve">    "Parent_1author_date": "Tue Jul 02 16:32:57.000000 2013 +0200",
 </t>
    </r>
    <r>
      <rPr>
        <rFont val="Arial"/>
        <color theme="1"/>
      </rPr>
      <t xml:space="preserve">   "Parent_1commit_date": "Sun Dec 15 17:20:50.000000 2013 +0100",
</t>
    </r>
    <r>
      <rPr>
        <rFont val="Arial"/>
        <b/>
        <color theme="1"/>
      </rPr>
      <t xml:space="preserve">    "Parent_1possible_rebase": false</t>
    </r>
  </si>
  <si>
    <r>
      <rPr>
        <rFont val="Arial"/>
        <color theme="1"/>
      </rPr>
      <t xml:space="preserve">    "228d244ab64b87be588c8bcb396e25e2074b22ec": {
</t>
    </r>
    <r>
      <rPr>
        <rFont val="Arial"/>
        <b/>
        <color theme="1"/>
      </rPr>
      <t xml:space="preserve">        "num_parents": 2,
 </t>
    </r>
    <r>
      <rPr>
        <rFont val="Arial"/>
        <color theme="1"/>
      </rPr>
      <t xml:space="preserve">       "date_commit": "Mon Dec 16 21:15:48.000000 2013 +0100",
</t>
    </r>
    <r>
      <rPr>
        <rFont val="Arial"/>
        <b/>
        <color theme="1"/>
      </rPr>
      <t xml:space="preserve">        "date_author_commit": "Mon Dec 16 21:15:48.000000 2013 +0100",
 </t>
    </r>
    <r>
      <rPr>
        <rFont val="Arial"/>
        <color theme="1"/>
      </rPr>
      <t xml:space="preserve">       "Parent_1": "1c20a224536648915c14828d2d8962c45d95d7b2",
</t>
    </r>
    <r>
      <rPr>
        <rFont val="Arial"/>
        <b/>
        <color theme="1"/>
      </rPr>
      <t xml:space="preserve">        "Parent_1author_date": "Mon Dec 16 21:15:01.000000 2013 +0100",
 </t>
    </r>
    <r>
      <rPr>
        <rFont val="Arial"/>
        <color theme="1"/>
      </rPr>
      <t xml:space="preserve">       "Parent_1commit_date": "Mon Dec 16 21:15:01.000000 2013 +0100",
</t>
    </r>
    <r>
      <rPr>
        <rFont val="Arial"/>
        <b/>
        <color theme="1"/>
      </rPr>
      <t xml:space="preserve">        "Parent_1possible_rebase": false,
 </t>
    </r>
    <r>
      <rPr>
        <rFont val="Arial"/>
        <color theme="1"/>
      </rPr>
      <t xml:space="preserve">       "Parent_2": "0eb7e35fbfe5de5f9f00ff1a0cce1d6a61f3a902",
</t>
    </r>
    <r>
      <rPr>
        <rFont val="Arial"/>
        <b/>
        <color theme="1"/>
      </rPr>
      <t xml:space="preserve">        "Parent_2author_date": "Mon Dec 02 21:25:04.000000 2013 +0100",
 </t>
    </r>
    <r>
      <rPr>
        <rFont val="Arial"/>
        <color theme="1"/>
      </rPr>
      <t xml:space="preserve">       "Parent_2commit_date": "Mon Dec 16 16:15:26.000000 2013 +0100",
</t>
    </r>
    <r>
      <rPr>
        <rFont val="Arial"/>
        <b/>
        <color theme="1"/>
      </rPr>
      <t xml:space="preserve">        "Parent_2possible_rebase": false
 </t>
    </r>
    <r>
      <rPr>
        <rFont val="Arial"/>
        <color theme="1"/>
      </rPr>
      <t xml:space="preserve">   }</t>
    </r>
  </si>
  <si>
    <r>
      <rPr>
        <rFont val="Arial"/>
        <color theme="1"/>
      </rPr>
      <t xml:space="preserve"> "b32d01d44ca5711c96d192df51bf7acd34f52556": {
</t>
    </r>
    <r>
      <rPr>
        <rFont val="Arial"/>
        <b/>
        <color theme="1"/>
      </rPr>
      <t xml:space="preserve">        "num_parents": 1,
 </t>
    </r>
    <r>
      <rPr>
        <rFont val="Arial"/>
        <color theme="1"/>
      </rPr>
      <t xml:space="preserve">       "date_commit": "Sun Dec 15 17:20:50.000000 2013 +0100",
</t>
    </r>
    <r>
      <rPr>
        <rFont val="Arial"/>
        <b/>
        <color theme="1"/>
      </rPr>
      <t xml:space="preserve">        "date_author_commit": "Tue Jul 02 16:32:57.000000 2013 +0200",
 </t>
    </r>
    <r>
      <rPr>
        <rFont val="Arial"/>
        <color theme="1"/>
      </rPr>
      <t xml:space="preserve">       "Parent_1": "caa2775793753f21667ad883fe7565bc4773e7f2",
</t>
    </r>
    <r>
      <rPr>
        <rFont val="Arial"/>
        <b/>
        <color theme="1"/>
      </rPr>
      <t xml:space="preserve">        "Parent_1author_date": "Sun Dec 15 03:16:28.000000 2013 +0100",
 </t>
    </r>
    <r>
      <rPr>
        <rFont val="Arial"/>
        <color theme="1"/>
      </rPr>
      <t xml:space="preserve">       "Parent_1commit_date": "Sun Dec 15 03:16:28.000000 2013 +0100",
</t>
    </r>
    <r>
      <rPr>
        <rFont val="Arial"/>
        <b/>
        <color theme="1"/>
      </rPr>
      <t xml:space="preserve">        "Parent_1possible_rebase": true
 </t>
    </r>
    <r>
      <rPr>
        <rFont val="Arial"/>
        <color theme="1"/>
      </rPr>
      <t xml:space="preserve">   }</t>
    </r>
  </si>
  <si>
    <t>only fix a bug (#1258256)</t>
  </si>
  <si>
    <t>the code is focused in correct a bug ( #1258256)</t>
  </si>
  <si>
    <t>test_objects.py</t>
  </si>
  <si>
    <t xml:space="preserve">all tested in tests_objects conductor tested in deserializer </t>
  </si>
  <si>
    <t>import mock</t>
  </si>
  <si>
    <t>no dependencies changes</t>
  </si>
  <si>
    <t>Parent	
b32d01d
Merged As	
0eb7e35</t>
  </si>
  <si>
    <r>
      <rPr>
        <rFont val="Arial"/>
        <b/>
        <color theme="1"/>
      </rPr>
      <t xml:space="preserve">    "num_parents": 1,
</t>
    </r>
    <r>
      <rPr>
        <rFont val="Arial"/>
        <color theme="1"/>
      </rPr>
      <t xml:space="preserve">    "author_name": "Nikola Dipanov",
    "author_email": "ndipanov@redhat.com",
    "date_commit": "Thu Jan 30 15:28:05.000000 2014 +0100",
</t>
    </r>
    <r>
      <rPr>
        <rFont val="Arial"/>
        <b/>
        <color theme="1"/>
      </rPr>
      <t xml:space="preserve">    "date_author_commit": "Thu Nov 28 14:59:57.000000 2013 +0100",
</t>
    </r>
    <r>
      <rPr>
        <rFont val="Arial"/>
        <color theme="1"/>
      </rPr>
      <t xml:space="preserve">    "Parent_1": "15e91d7a61032ac9cfa8037267850cb31427f993",
</t>
    </r>
    <r>
      <rPr>
        <rFont val="Arial"/>
        <b/>
        <color theme="1"/>
      </rPr>
      <t xml:space="preserve">    "Parent_1author_date": "Mon Nov 25 18:52:03.000000 2013 +0100",
</t>
    </r>
    <r>
      <rPr>
        <rFont val="Arial"/>
        <color theme="1"/>
      </rPr>
      <t xml:space="preserve">    "Parent_1commit_date": "Thu Jan 30 15:28:05.000000 2014 +0100",
</t>
    </r>
    <r>
      <rPr>
        <rFont val="Arial"/>
        <b/>
        <color theme="1"/>
      </rPr>
      <t xml:space="preserve">    "Parent_1possible_rebase": false</t>
    </r>
  </si>
  <si>
    <r>
      <rPr>
        <rFont val="Arial"/>
        <color theme="1"/>
      </rPr>
      <t xml:space="preserve">"2127cf72ea82754afa9540f2d36db1c8b08fad64": {
</t>
    </r>
    <r>
      <rPr>
        <rFont val="Arial"/>
        <b/>
        <color theme="1"/>
      </rPr>
      <t xml:space="preserve">        "num_parents": 2,
 </t>
    </r>
    <r>
      <rPr>
        <rFont val="Arial"/>
        <color theme="1"/>
      </rPr>
      <t xml:space="preserve">       "date_commit": "Thu Jan 30 22:21:23.000000 2014 +0100",
</t>
    </r>
    <r>
      <rPr>
        <rFont val="Arial"/>
        <b/>
        <color theme="1"/>
      </rPr>
      <t xml:space="preserve">        "date_author_commit": "Thu Jan 30 22:21:23.000000 2014 +0100",
 </t>
    </r>
    <r>
      <rPr>
        <rFont val="Arial"/>
        <color theme="1"/>
      </rPr>
      <t xml:space="preserve">       "Parent_1": "4219887bae367c5cae1f7bc0a7aa2d598e392b51",
</t>
    </r>
    <r>
      <rPr>
        <rFont val="Arial"/>
        <b/>
        <color theme="1"/>
      </rPr>
      <t xml:space="preserve">        "Parent_1author_date": "Thu Jan 30 22:20:17.000000 2014 +0100",
 </t>
    </r>
    <r>
      <rPr>
        <rFont val="Arial"/>
        <color theme="1"/>
      </rPr>
      <t xml:space="preserve">       "Parent_1commit_date": "Thu Jan 30 22:20:17.000000 2014 +0100",
</t>
    </r>
    <r>
      <rPr>
        <rFont val="Arial"/>
        <b/>
        <color theme="1"/>
      </rPr>
      <t xml:space="preserve">        "Parent_1possible_rebase": false,
 </t>
    </r>
    <r>
      <rPr>
        <rFont val="Arial"/>
        <color theme="1"/>
      </rPr>
      <t xml:space="preserve">       "Parent_2": "33e3d4c6b9e0b11500fe47d861110be1c1981572",
</t>
    </r>
    <r>
      <rPr>
        <rFont val="Arial"/>
        <b/>
        <color theme="1"/>
      </rPr>
      <t xml:space="preserve">        "Parent_2author_date": "Thu Nov 28 14:59:57.000000 2013 +0100",
 </t>
    </r>
    <r>
      <rPr>
        <rFont val="Arial"/>
        <color theme="1"/>
      </rPr>
      <t xml:space="preserve">       "Parent_2commit_date": "Thu Jan 30 15:28:05.000000 2014 +0100",
</t>
    </r>
    <r>
      <rPr>
        <rFont val="Arial"/>
        <b/>
        <color theme="1"/>
      </rPr>
      <t xml:space="preserve">        "Parent_2possible_rebase": false
 </t>
    </r>
    <r>
      <rPr>
        <rFont val="Arial"/>
        <color theme="1"/>
      </rPr>
      <t xml:space="preserve">   },</t>
    </r>
  </si>
  <si>
    <r>
      <rPr>
        <rFont val="Arial"/>
        <color theme="1"/>
      </rPr>
      <t xml:space="preserve">    "15e91d7a61032ac9cfa8037267850cb31427f993": {
</t>
    </r>
    <r>
      <rPr>
        <rFont val="Arial"/>
        <b/>
        <color theme="1"/>
      </rPr>
      <t xml:space="preserve">        "num_parents": 1,
 </t>
    </r>
    <r>
      <rPr>
        <rFont val="Arial"/>
        <color theme="1"/>
      </rPr>
      <t xml:space="preserve">       "date_commit": "Thu Jan 30 15:28:05.000000 2014 +0100",
</t>
    </r>
    <r>
      <rPr>
        <rFont val="Arial"/>
        <b/>
        <color theme="1"/>
      </rPr>
      <t xml:space="preserve">        "date_author_commit": "Mon Nov 25 18:52:03.000000 2013 +0100",
 </t>
    </r>
    <r>
      <rPr>
        <rFont val="Arial"/>
        <color theme="1"/>
      </rPr>
      <t xml:space="preserve">       "Parent_1": "9b00f39ccef22be851bba8da71669ae7074c0a7f",
</t>
    </r>
    <r>
      <rPr>
        <rFont val="Arial"/>
        <b/>
        <color theme="1"/>
      </rPr>
      <t xml:space="preserve">        "Parent_1author_date": "Fri Nov 22 12:04:54.000000 2013 +0100",
 </t>
    </r>
    <r>
      <rPr>
        <rFont val="Arial"/>
        <color theme="1"/>
      </rPr>
      <t xml:space="preserve">       "Parent_1commit_date": "Thu Jan 30 15:28:05.000000 2014 +0100",
</t>
    </r>
    <r>
      <rPr>
        <rFont val="Arial"/>
        <b/>
        <color theme="1"/>
      </rPr>
      <t xml:space="preserve">        "Parent_1possible_rebase": false
 </t>
    </r>
    <r>
      <rPr>
        <rFont val="Arial"/>
        <color theme="1"/>
      </rPr>
      <t xml:space="preserve">   }</t>
    </r>
  </si>
  <si>
    <t>implements multiple BP (icehouse-objects, clean-up-legacy-block-device-mapping)</t>
  </si>
  <si>
    <t>new feature (icehouse-objects, clean-up-legacy-block-device-mapping)</t>
  </si>
  <si>
    <r>
      <rPr/>
      <t xml:space="preserve">test_server_actions.py
test_server_actions.py
compute
test_compute.py
test_compute_api.py
</t>
    </r>
    <r>
      <rPr>
        <color rgb="FF1155CC"/>
        <u/>
      </rPr>
      <t>test_block_device.py</t>
    </r>
  </si>
  <si>
    <r>
      <rPr/>
      <t xml:space="preserve">all tested in </t>
    </r>
    <r>
      <rPr>
        <color rgb="FF1155CC"/>
        <u/>
      </rPr>
      <t>test_block_device.py</t>
    </r>
  </si>
  <si>
    <t>jenkins 5</t>
  </si>
  <si>
    <t>e.g.,  """Create a basic volume snapshot BDM from a given template bdm."""</t>
  </si>
  <si>
    <t>e.g., if bdm['no_device']:
            if bdm.no_device:</t>
  </si>
  <si>
    <t>e.g., from_legacy_mapping(legacy_block_device_mapping, image_uuid='',
                        root_device_name=None):
                        root_device_name=None, no_root=False):</t>
  </si>
  <si>
    <t>the object block_device_obj is not newly introduced before then, the change is in terms on where it was used but is not a design change</t>
  </si>
  <si>
    <t>Parent	
15e91d7
Merged As	
33e3d4c</t>
  </si>
  <si>
    <r>
      <rPr>
        <rFont val="Arial"/>
        <color theme="1"/>
      </rPr>
      <t xml:space="preserve">    "b3e05bdb51e2f238db655e75ff1384bd8a111fe0": {
</t>
    </r>
    <r>
      <rPr>
        <rFont val="Arial"/>
        <b/>
        <color theme="1"/>
      </rPr>
      <t xml:space="preserve">        "num_parents": 1,
 </t>
    </r>
    <r>
      <rPr>
        <rFont val="Arial"/>
        <color theme="1"/>
      </rPr>
      <t xml:space="preserve">       "date_commit": "Thu Jan 30 15:28:05.000000 2014 +0100",
</t>
    </r>
    <r>
      <rPr>
        <rFont val="Arial"/>
        <b/>
        <color theme="1"/>
      </rPr>
      <t xml:space="preserve">        "date_author_commit": "Mon Dec 09 14:16:51.000000 2013 +0100",
 </t>
    </r>
    <r>
      <rPr>
        <rFont val="Arial"/>
        <color theme="1"/>
      </rPr>
      <t xml:space="preserve">       "Parent_1": "33e3d4c6b9e0b11500fe47d861110be1c1981572",
</t>
    </r>
    <r>
      <rPr>
        <rFont val="Arial"/>
        <b/>
        <color theme="1"/>
      </rPr>
      <t xml:space="preserve">        "Parent_1author_date": "Thu Nov 28 14:59:57.000000 2013 +0100",
 </t>
    </r>
    <r>
      <rPr>
        <rFont val="Arial"/>
        <color theme="1"/>
      </rPr>
      <t xml:space="preserve">       "Parent_1commit_date": "Thu Jan 30 15:28:05.000000 2014 +0100",
</t>
    </r>
    <r>
      <rPr>
        <rFont val="Arial"/>
        <b/>
        <color theme="1"/>
      </rPr>
      <t xml:space="preserve">        "Parent_1possible_rebase": false
 </t>
    </r>
    <r>
      <rPr>
        <rFont val="Arial"/>
        <color theme="1"/>
      </rPr>
      <t xml:space="preserve">   }</t>
    </r>
  </si>
  <si>
    <t>no changes in related tests</t>
  </si>
  <si>
    <t>Other</t>
  </si>
  <si>
    <r>
      <rPr>
        <rFont val="Arial"/>
        <b/>
        <color theme="1"/>
      </rPr>
      <t xml:space="preserve">    "num_parents": 1,
 </t>
    </r>
    <r>
      <rPr>
        <rFont val="Arial"/>
        <color theme="1"/>
      </rPr>
      <t xml:space="preserve">   "author_name": "Eric Day",
    "author_email": "eday@oddments.org",
    "date_commit": "Wed Dec 01 18:24:39.000000 2010 +0100",
</t>
    </r>
    <r>
      <rPr>
        <rFont val="Arial"/>
        <b/>
        <color theme="1"/>
      </rPr>
      <t xml:space="preserve">    "date_author_commit": "Wed Dec 01 18:24:39.000000 2010 +0100",
 </t>
    </r>
    <r>
      <rPr>
        <rFont val="Arial"/>
        <color theme="1"/>
      </rPr>
      <t xml:space="preserve">   "Parent_1": "7d771bf9c549499c0a138ea991da5df537e0dd88",
</t>
    </r>
    <r>
      <rPr>
        <rFont val="Arial"/>
        <b/>
        <color theme="1"/>
      </rPr>
      <t xml:space="preserve">    "Parent_1author_date": "Thu Nov 25 00:16:23.000000 2010 +0100",
 </t>
    </r>
    <r>
      <rPr>
        <rFont val="Arial"/>
        <color theme="1"/>
      </rPr>
      <t xml:space="preserve">   "Parent_1commit_date": "Thu Nov 25 00:16:23.000000 2010 +0100",
</t>
    </r>
    <r>
      <rPr>
        <rFont val="Arial"/>
        <b/>
        <color theme="1"/>
      </rPr>
      <t xml:space="preserve">    "Parent_1possible_rebase": false</t>
    </r>
  </si>
  <si>
    <r>
      <rPr>
        <rFont val="Arial"/>
        <color theme="1"/>
      </rPr>
      <t xml:space="preserve">    "1bcc4da8bbcfdfee8f5eed80e9115d51803f86e2": {
</t>
    </r>
    <r>
      <rPr>
        <rFont val="Arial"/>
        <b/>
        <color theme="1"/>
      </rPr>
      <t xml:space="preserve">        "num_parents": 2,
 </t>
    </r>
    <r>
      <rPr>
        <rFont val="Arial"/>
        <color theme="1"/>
      </rPr>
      <t xml:space="preserve">       "date_commit": "Thu Dec 02 17:47:25.000000 2010 +0100",
</t>
    </r>
    <r>
      <rPr>
        <rFont val="Arial"/>
        <b/>
        <color theme="1"/>
      </rPr>
      <t xml:space="preserve">        "date_author_commit": "Thu Dec 02 17:47:25.000000 2010 +0100",
 </t>
    </r>
    <r>
      <rPr>
        <rFont val="Arial"/>
        <color theme="1"/>
      </rPr>
      <t xml:space="preserve">       "Parent_1": "6956057ac490c788cb94fbfd0af7fe6e91a7ca96",
</t>
    </r>
    <r>
      <rPr>
        <rFont val="Arial"/>
        <b/>
        <color theme="1"/>
      </rPr>
      <t xml:space="preserve">        "Parent_1author_date": "Wed Dec 01 18:24:39.000000 2010 +0100",
 </t>
    </r>
    <r>
      <rPr>
        <rFont val="Arial"/>
        <color theme="1"/>
      </rPr>
      <t xml:space="preserve">       "Parent_1commit_date": "Wed Dec 01 18:24:39.000000 2010 +0100",
</t>
    </r>
    <r>
      <rPr>
        <rFont val="Arial"/>
        <b/>
        <color theme="1"/>
      </rPr>
      <t xml:space="preserve">        "Parent_1possible_rebase": false,
 </t>
    </r>
    <r>
      <rPr>
        <rFont val="Arial"/>
        <color theme="1"/>
      </rPr>
      <t xml:space="preserve">       "Parent_2": "f8afbcc08b65d4d6764a6dc66c804816573ab3b4",
</t>
    </r>
    <r>
      <rPr>
        <rFont val="Arial"/>
        <b/>
        <color theme="1"/>
      </rPr>
      <t xml:space="preserve">        "Parent_2author_date": "Wed Dec 01 23:14:29.000000 2010 +0100",
 </t>
    </r>
    <r>
      <rPr>
        <rFont val="Arial"/>
        <color theme="1"/>
      </rPr>
      <t xml:space="preserve">       "Parent_2commit_date": "Wed Dec 01 23:14:29.000000 2010 +0100",
</t>
    </r>
    <r>
      <rPr>
        <rFont val="Arial"/>
        <b/>
        <color theme="1"/>
      </rPr>
      <t xml:space="preserve">        "Parent_2possible_rebase": false
 </t>
    </r>
    <r>
      <rPr>
        <rFont val="Arial"/>
        <color theme="1"/>
      </rPr>
      <t xml:space="preserve">   }</t>
    </r>
  </si>
  <si>
    <r>
      <rPr>
        <rFont val="Arial"/>
        <color theme="1"/>
      </rPr>
      <t xml:space="preserve">    "7d771bf9c549499c0a138ea991da5df537e0dd88": {
</t>
    </r>
    <r>
      <rPr>
        <rFont val="Arial"/>
        <b/>
        <color theme="1"/>
      </rPr>
      <t xml:space="preserve">        "num_parents": 1,
 </t>
    </r>
    <r>
      <rPr>
        <rFont val="Arial"/>
        <color theme="1"/>
      </rPr>
      <t xml:space="preserve">       "date_commit": "Thu Nov 25 00:16:23.000000 2010 +0100",
</t>
    </r>
    <r>
      <rPr>
        <rFont val="Arial"/>
        <b/>
        <color theme="1"/>
      </rPr>
      <t xml:space="preserve">        "date_author_commit": "Thu Nov 25 00:16:23.000000 2010 +0100",
 </t>
    </r>
    <r>
      <rPr>
        <rFont val="Arial"/>
        <color theme="1"/>
      </rPr>
      <t xml:space="preserve">       "Parent_1": "1188dd95fbfef144ca71a3c9df2f7dbdb665c97f",
</t>
    </r>
    <r>
      <rPr>
        <rFont val="Arial"/>
        <b/>
        <color theme="1"/>
      </rPr>
      <t xml:space="preserve">        "Parent_1author_date": "Wed Nov 24 23:52:10.000000 2010 +0100",
 </t>
    </r>
    <r>
      <rPr>
        <rFont val="Arial"/>
        <color theme="1"/>
      </rPr>
      <t xml:space="preserve">       "Parent_1commit_date": "Wed Nov 24 23:52:10.000000 2010 +0100",
</t>
    </r>
    <r>
      <rPr>
        <rFont val="Arial"/>
        <b/>
        <color theme="1"/>
      </rPr>
      <t xml:space="preserve">        "Parent_1possible_rebase": false
 </t>
    </r>
    <r>
      <rPr>
        <rFont val="Arial"/>
        <color theme="1"/>
      </rPr>
      <t xml:space="preserve">   }</t>
    </r>
  </si>
  <si>
    <t>implements a modularization of the code</t>
  </si>
  <si>
    <t>modularization --&gt; maintainability</t>
  </si>
  <si>
    <t>compute_unittest.py</t>
  </si>
  <si>
    <t>no update or update_instance were covered in the test changes</t>
  </si>
  <si>
    <t>beside the child is a merge, the changes in the test are lost (https://opendev.org/openstack/nova/commit/1bcc4da8bbcfdfee8f5eed80e9115d51803f86e2)</t>
  </si>
  <si>
    <t>Status(Not Available), CL(Not Available)</t>
  </si>
  <si>
    <t>No revision related</t>
  </si>
  <si>
    <t>e.g.,  """Default function to generate a hostname given an instance reference."""</t>
  </si>
  <si>
    <t xml:space="preserve">e.g., """API for interacting with the compute manager."""
</t>
  </si>
  <si>
    <t>e.g., self.compute_manager.ensure_default_security_group(context)
        self.compute_api.ensure_default_security_group(context)</t>
  </si>
  <si>
    <t>completly new class, but mantains the old functionalities</t>
  </si>
  <si>
    <t>new pzthon module with classses added</t>
  </si>
  <si>
    <t>new pzthon module with classses added (api.py)</t>
  </si>
  <si>
    <t>e.g., import logging
import time</t>
  </si>
  <si>
    <t>Eric Day (eday@oddments.or)</t>
  </si>
  <si>
    <t>review not available</t>
  </si>
  <si>
    <r>
      <rPr>
        <rFont val="Arial"/>
        <b/>
        <color theme="1"/>
      </rPr>
      <t xml:space="preserve">    "num_parents": 1,
 </t>
    </r>
    <r>
      <rPr>
        <rFont val="Arial"/>
        <color theme="1"/>
      </rPr>
      <t xml:space="preserve">   "author_name": "Vladik Romanovsky",
    "author_email": "vladik.romanovsky@enovance.com",
    "date_commit": "Wed Sep 10 01:48:51.000000 2014 +0200",
</t>
    </r>
    <r>
      <rPr>
        <rFont val="Arial"/>
        <b/>
        <color theme="1"/>
      </rPr>
      <t xml:space="preserve">    "date_author_commit": "Wed Jul 02 01:19:08.000000 2014 +0200",
 </t>
    </r>
    <r>
      <rPr>
        <rFont val="Arial"/>
        <color theme="1"/>
      </rPr>
      <t xml:space="preserve">   "Parent_1": "42e4c04e9ec26acf79ac0f08c5ab59489b36cb2f",
</t>
    </r>
    <r>
      <rPr>
        <rFont val="Arial"/>
        <b/>
        <color theme="1"/>
      </rPr>
      <t xml:space="preserve">    "Parent_1author_date": "Tue Sep 09 12:34:39.000000 2014 +0200",
 </t>
    </r>
    <r>
      <rPr>
        <rFont val="Arial"/>
        <color theme="1"/>
      </rPr>
      <t xml:space="preserve">   "Parent_1commit_date": "Tue Sep 09 12:34:39.000000 2014 +0200",
</t>
    </r>
    <r>
      <rPr>
        <rFont val="Arial"/>
        <b/>
        <color theme="1"/>
      </rPr>
      <t xml:space="preserve">    "Parent_1possible_rebase": true</t>
    </r>
  </si>
  <si>
    <r>
      <rPr>
        <rFont val="Arial"/>
        <color theme="1"/>
      </rPr>
      <t xml:space="preserve">    "d946915e062adc37453ecb4f1874b2faae189ce9": {
</t>
    </r>
    <r>
      <rPr>
        <rFont val="Arial"/>
        <b/>
        <color theme="1"/>
      </rPr>
      <t xml:space="preserve">        "num_parents": 2,
 </t>
    </r>
    <r>
      <rPr>
        <rFont val="Arial"/>
        <color theme="1"/>
      </rPr>
      <t xml:space="preserve">       "date_commit": "Thu Sep 11 17:09:56.000000 2014 +0200",
</t>
    </r>
    <r>
      <rPr>
        <rFont val="Arial"/>
        <b/>
        <color theme="1"/>
      </rPr>
      <t xml:space="preserve">        "date_author_commit": "Thu Sep 11 17:09:56.000000 2014 +0200",
 </t>
    </r>
    <r>
      <rPr>
        <rFont val="Arial"/>
        <color theme="1"/>
      </rPr>
      <t xml:space="preserve">       "Parent_1": "c886168aae9b1bfaf253d71ddda0a31805a0705c",
        "Parent_1author_date": "Thu Sep 11 15:02:51.000000 2014 +0200",
        "Parent_1commit_date": "Thu Sep 11 15:02:51.000000 2014 +0200",
</t>
    </r>
    <r>
      <rPr>
        <rFont val="Arial"/>
        <b/>
        <color theme="1"/>
      </rPr>
      <t xml:space="preserve">        "Parent_1possible_rebase": false,
 </t>
    </r>
    <r>
      <rPr>
        <rFont val="Arial"/>
        <color theme="1"/>
      </rPr>
      <t xml:space="preserve">       "Parent_2": "7326bac8f9564bd96bbf69afe43cf3a876468c9c",
</t>
    </r>
    <r>
      <rPr>
        <rFont val="Arial"/>
        <b/>
        <color theme="1"/>
      </rPr>
      <t xml:space="preserve">        "Parent_2author_date": "Wed Jul 02 01:19:08.000000 2014 +0200",
 </t>
    </r>
    <r>
      <rPr>
        <rFont val="Arial"/>
        <color theme="1"/>
      </rPr>
      <t xml:space="preserve">       "Parent_2commit_date": "Wed Sep 10 01:48:51.000000 2014 +0200",
</t>
    </r>
    <r>
      <rPr>
        <rFont val="Arial"/>
        <b/>
        <color theme="1"/>
      </rPr>
      <t xml:space="preserve">        "Parent_2possible_rebase": false
 </t>
    </r>
    <r>
      <rPr>
        <rFont val="Arial"/>
        <color theme="1"/>
      </rPr>
      <t xml:space="preserve">   }</t>
    </r>
  </si>
  <si>
    <r>
      <rPr>
        <rFont val="Arial"/>
        <color theme="1"/>
      </rPr>
      <t xml:space="preserve">    "42e4c04e9ec26acf79ac0f08c5ab59489b36cb2f": {
</t>
    </r>
    <r>
      <rPr>
        <rFont val="Arial"/>
        <b/>
        <color theme="1"/>
      </rPr>
      <t xml:space="preserve">        "num_parents": 2,
 </t>
    </r>
    <r>
      <rPr>
        <rFont val="Arial"/>
        <color theme="1"/>
      </rPr>
      <t xml:space="preserve">       "date_commit": "Tue Sep 09 12:34:39.000000 2014 +0200",
</t>
    </r>
    <r>
      <rPr>
        <rFont val="Arial"/>
        <b/>
        <color theme="1"/>
      </rPr>
      <t xml:space="preserve">        "date_author_commit": "Tue Sep 09 12:34:39.000000 2014 +0200",
 </t>
    </r>
    <r>
      <rPr>
        <rFont val="Arial"/>
        <color theme="1"/>
      </rPr>
      <t xml:space="preserve">       "Parent_1": "989f054a054705df534b87982e12f8136c5b889a",
</t>
    </r>
    <r>
      <rPr>
        <rFont val="Arial"/>
        <b/>
        <color theme="1"/>
      </rPr>
      <t xml:space="preserve">        "Parent_1author_date": "Tue Sep 09 05:43:30.000000 2014 +0200",
 </t>
    </r>
    <r>
      <rPr>
        <rFont val="Arial"/>
        <color theme="1"/>
      </rPr>
      <t xml:space="preserve">       "Parent_1commit_date": "Tue Sep 09 05:43:30.000000 2014 +0200",
</t>
    </r>
    <r>
      <rPr>
        <rFont val="Arial"/>
        <b/>
        <color theme="1"/>
      </rPr>
      <t xml:space="preserve">        "Parent_1possible_rebase": false,
 </t>
    </r>
    <r>
      <rPr>
        <rFont val="Arial"/>
        <color theme="1"/>
      </rPr>
      <t xml:space="preserve">       "Parent_2": "5fa74bc0b2ab6fe5149a9b684b4beadb67877622",
</t>
    </r>
    <r>
      <rPr>
        <rFont val="Arial"/>
        <b/>
        <color theme="1"/>
      </rPr>
      <t xml:space="preserve">        "Parent_2author_date": "Wed Sep 03 00:16:04.000000 2014 +0200",
 </t>
    </r>
    <r>
      <rPr>
        <rFont val="Arial"/>
        <color theme="1"/>
      </rPr>
      <t xml:space="preserve">       "Parent_2commit_date": "Sat Sep 06 18:40:48.000000 2014 +0200",
</t>
    </r>
    <r>
      <rPr>
        <rFont val="Arial"/>
        <b/>
        <color theme="1"/>
      </rPr>
      <t xml:space="preserve">        "Parent_2possible_rebase": false
 </t>
    </r>
    <r>
      <rPr>
        <rFont val="Arial"/>
        <color theme="1"/>
      </rPr>
      <t xml:space="preserve">   }</t>
    </r>
  </si>
  <si>
    <t>adding support and splitting responsabilities (Currently, lxc containers can be started only from an image. Adding support to start lxc containers from block device volumes. Separating the lxc disk handling code from _create_domain to _lxc_disk_handler)</t>
  </si>
  <si>
    <t>modularization --&gt; maintainability + new functionalities</t>
  </si>
  <si>
    <t>it is a private method, therefore does not need an specific test, however the functionallity is tested inside a propoer method</t>
  </si>
  <si>
    <t>Microsoft Hyper-V CI Build succeeded, Jenkins Build Succedded, Db datasets CI Database migration testing successful + IBM PowerKVM CI Build failed</t>
  </si>
  <si>
    <t>e.g.,  # Get the system metadata from the instance</t>
  </si>
  <si>
    <t>there were refactorings + adding new functionalities, moving responsabilities from one function to another as the description says. The new functionality is just added in a block of new lines of codes, the rest is refactoring</t>
  </si>
  <si>
    <t>e.g., import contextlib</t>
  </si>
  <si>
    <t>Vladik Romanovsky (vladik.romanovsky@enovance.com)</t>
  </si>
  <si>
    <t>Parent	
42e4c04
Merged As	
7326bac</t>
  </si>
  <si>
    <r>
      <rPr>
        <rFont val="Arial"/>
        <b/>
        <color theme="1"/>
      </rPr>
      <t xml:space="preserve">    "num_parents": 1,
 </t>
    </r>
    <r>
      <rPr>
        <rFont val="Arial"/>
        <color theme="1"/>
      </rPr>
      <t xml:space="preserve">   "author_name": "Dan Prince",
    "author_email": "dan.prince@rackspace.com",
    "date_commit": "Tue Apr 19 04:02:54.000000 2011 +0200",
</t>
    </r>
    <r>
      <rPr>
        <rFont val="Arial"/>
        <b/>
        <color theme="1"/>
      </rPr>
      <t xml:space="preserve">    "date_author_commit": "Tue Apr 19 04:02:54.000000 2011 +0200",
 </t>
    </r>
    <r>
      <rPr>
        <rFont val="Arial"/>
        <color theme="1"/>
      </rPr>
      <t xml:space="preserve">   "Parent_1": "5f5874b0012e77e846ad02c7ce43f10356105f3d",
</t>
    </r>
    <r>
      <rPr>
        <rFont val="Arial"/>
        <b/>
        <color theme="1"/>
      </rPr>
      <t xml:space="preserve">    "Parent_1author_date": "Tue Apr 19 02:42:57.000000 2011 +0200",
 </t>
    </r>
    <r>
      <rPr>
        <rFont val="Arial"/>
        <color theme="1"/>
      </rPr>
      <t xml:space="preserve">   "Parent_1commit_date": "Tue Apr 19 02:42:57.000000 2011 +0200",
</t>
    </r>
    <r>
      <rPr>
        <rFont val="Arial"/>
        <b/>
        <color theme="1"/>
      </rPr>
      <t xml:space="preserve">    "Parent_1possible_rebase": false</t>
    </r>
  </si>
  <si>
    <r>
      <rPr>
        <rFont val="Arial"/>
        <color theme="1"/>
      </rPr>
      <t xml:space="preserve">    "ad562e2bf7e5ad593f41a5b77e78d0b452d70d0e": {
</t>
    </r>
    <r>
      <rPr>
        <rFont val="Arial"/>
        <b/>
        <color theme="1"/>
      </rPr>
      <t xml:space="preserve">        "num_parents": 2,
 </t>
    </r>
    <r>
      <rPr>
        <rFont val="Arial"/>
        <color theme="1"/>
      </rPr>
      <t xml:space="preserve">       "date_commit": "Mon May 02 16:09:17.000000 2011 +0200",
</t>
    </r>
    <r>
      <rPr>
        <rFont val="Arial"/>
        <b/>
        <color theme="1"/>
      </rPr>
      <t xml:space="preserve">        "date_author_commit": "Mon May 02 16:09:17.000000 2011 +0200",
 </t>
    </r>
    <r>
      <rPr>
        <rFont val="Arial"/>
        <color theme="1"/>
      </rPr>
      <t xml:space="preserve">       "Parent_1": "2ef03c6a0a8c5705249c3b5be755e0a13ca39332",
</t>
    </r>
    <r>
      <rPr>
        <rFont val="Arial"/>
        <b/>
        <color theme="1"/>
      </rPr>
      <t xml:space="preserve">        "Parent_1author_date": "Tue Apr 19 04:02:54.000000 2011 +0200",
 </t>
    </r>
    <r>
      <rPr>
        <rFont val="Arial"/>
        <color theme="1"/>
      </rPr>
      <t xml:space="preserve">       "Parent_1commit_date": "Tue Apr 19 04:02:54.000000 2011 +0200",
</t>
    </r>
    <r>
      <rPr>
        <rFont val="Arial"/>
        <b/>
        <color theme="1"/>
      </rPr>
      <t xml:space="preserve">        "Parent_1possible_rebase": false,
 </t>
    </r>
    <r>
      <rPr>
        <rFont val="Arial"/>
        <color theme="1"/>
      </rPr>
      <t xml:space="preserve">       "Parent_2": "757709eeaed44ac315d4767620636773ac7f8804",
</t>
    </r>
    <r>
      <rPr>
        <rFont val="Arial"/>
        <b/>
        <color theme="1"/>
      </rPr>
      <t xml:space="preserve">        "Parent_2author_date": "Sat Apr 30 04:46:29.000000 2011 +0200",
 </t>
    </r>
    <r>
      <rPr>
        <rFont val="Arial"/>
        <color theme="1"/>
      </rPr>
      <t xml:space="preserve">       "Parent_2commit_date": "Sat Apr 30 04:46:29.000000 2011 +0200",
</t>
    </r>
    <r>
      <rPr>
        <rFont val="Arial"/>
        <b/>
        <color theme="1"/>
      </rPr>
      <t xml:space="preserve">        "Parent_2possible_rebase": false
 </t>
    </r>
    <r>
      <rPr>
        <rFont val="Arial"/>
        <color theme="1"/>
      </rPr>
      <t xml:space="preserve">   }</t>
    </r>
  </si>
  <si>
    <r>
      <rPr>
        <rFont val="Arial"/>
        <color theme="1"/>
      </rPr>
      <t xml:space="preserve">    "5f5874b0012e77e846ad02c7ce43f10356105f3d": {
</t>
    </r>
    <r>
      <rPr>
        <rFont val="Arial"/>
        <b/>
        <color theme="1"/>
      </rPr>
      <t xml:space="preserve">        "num_parents": 2,
 </t>
    </r>
    <r>
      <rPr>
        <rFont val="Arial"/>
        <color theme="1"/>
      </rPr>
      <t xml:space="preserve">       "date_commit": "Tue Apr 19 02:42:57.000000 2011 +0200",
</t>
    </r>
    <r>
      <rPr>
        <rFont val="Arial"/>
        <b/>
        <color theme="1"/>
      </rPr>
      <t xml:space="preserve">        "date_author_commit": "Tue Apr 19 02:42:57.000000 2011 +0200",
 </t>
    </r>
    <r>
      <rPr>
        <rFont val="Arial"/>
        <color theme="1"/>
      </rPr>
      <t xml:space="preserve">       "Parent_1": "049b19ca9954e203804a32aec61a39846019d045",
</t>
    </r>
    <r>
      <rPr>
        <rFont val="Arial"/>
        <b/>
        <color theme="1"/>
      </rPr>
      <t xml:space="preserve">        "Parent_1author_date": "Tue Apr 19 02:31:41.000000 2011 +0200",
 </t>
    </r>
    <r>
      <rPr>
        <rFont val="Arial"/>
        <color theme="1"/>
      </rPr>
      <t xml:space="preserve">       "Parent_1commit_date": "Tue Apr 19 02:31:41.000000 2011 +0200",
</t>
    </r>
    <r>
      <rPr>
        <rFont val="Arial"/>
        <b/>
        <color theme="1"/>
      </rPr>
      <t xml:space="preserve">        "Parent_1possible_rebase": false,
 </t>
    </r>
    <r>
      <rPr>
        <rFont val="Arial"/>
        <color theme="1"/>
      </rPr>
      <t xml:space="preserve">       "Parent_2": "0d40279353be6932a05e614f78e7b23d28177b94",
</t>
    </r>
    <r>
      <rPr>
        <rFont val="Arial"/>
        <b/>
        <color theme="1"/>
      </rPr>
      <t xml:space="preserve">        "Parent_2author_date": "Mon Apr 11 22:04:00.000000 2011 +0200",
 </t>
    </r>
    <r>
      <rPr>
        <rFont val="Arial"/>
        <color theme="1"/>
      </rPr>
      <t xml:space="preserve">       "Parent_2commit_date": "Mon Apr 11 22:04:00.000000 2011 +0200",
</t>
    </r>
    <r>
      <rPr>
        <rFont val="Arial"/>
        <b/>
        <color theme="1"/>
      </rPr>
      <t xml:space="preserve">        "Parent_2possible_rebase": false
 </t>
    </r>
    <r>
      <rPr>
        <rFont val="Arial"/>
        <color theme="1"/>
      </rPr>
      <t xml:space="preserve">   }</t>
    </r>
  </si>
  <si>
    <t>only one concern (mplement get_host_ip_addr in the libvirt compute drive)</t>
  </si>
  <si>
    <t>test_virt.py</t>
  </si>
  <si>
    <t>new feature implementation</t>
  </si>
  <si>
    <t>e.g., import socket</t>
  </si>
  <si>
    <t>Dan Prince (dan.prince@rackspace.com)</t>
  </si>
  <si>
    <t>x. no buggy files</t>
  </si>
  <si>
    <r>
      <rPr>
        <rFont val="Arial"/>
        <b/>
        <color theme="1"/>
      </rPr>
      <t xml:space="preserve">    "num_parents": 1,
 </t>
    </r>
    <r>
      <rPr>
        <rFont val="Arial"/>
        <color theme="1"/>
      </rPr>
      <t xml:space="preserve">   "author_name": "Andrew Laski",
    "author_email": "andrew.laski@rackspace.com",
    "date_commit": "Tue Oct 22 23:27:57.000000 2013 +0200",
</t>
    </r>
    <r>
      <rPr>
        <rFont val="Arial"/>
        <b/>
        <color theme="1"/>
      </rPr>
      <t xml:space="preserve">    "date_author_commit": "Thu Aug 15 16:07:19.000000 2013 +0200",
 </t>
    </r>
    <r>
      <rPr>
        <rFont val="Arial"/>
        <color theme="1"/>
      </rPr>
      <t xml:space="preserve">   "Parent_1": "509bd157d3afc11ccda2a3a53fc3770cee2da3f6",
</t>
    </r>
    <r>
      <rPr>
        <rFont val="Arial"/>
        <b/>
        <color theme="1"/>
      </rPr>
      <t xml:space="preserve">    "Parent_1author_date": "Thu Oct 17 00:13:29.000000 2013 +0200",
 </t>
    </r>
    <r>
      <rPr>
        <rFont val="Arial"/>
        <color theme="1"/>
      </rPr>
      <t xml:space="preserve">   "Parent_1commit_date": "Tue Oct 22 18:30:55.000000 2013 +0200",
</t>
    </r>
    <r>
      <rPr>
        <rFont val="Arial"/>
        <b/>
        <color theme="1"/>
      </rPr>
      <t xml:space="preserve">    "Parent_1possible_rebase": true</t>
    </r>
  </si>
  <si>
    <r>
      <rPr>
        <rFont val="Arial"/>
        <color theme="1"/>
      </rPr>
      <t xml:space="preserve">    "6729fc5678f9f665ca82b38121f3d62b09105aa7": {
</t>
    </r>
    <r>
      <rPr>
        <rFont val="Arial"/>
        <b/>
        <color theme="1"/>
      </rPr>
      <t xml:space="preserve">        "num_parents": 2,
 </t>
    </r>
    <r>
      <rPr>
        <rFont val="Arial"/>
        <color theme="1"/>
      </rPr>
      <t xml:space="preserve">       "date_commit": "Tue Oct 29 15:20:42.000000 2013 +0100",
        "date_author_commit": "Tue Oct 29 15:20:42.000000 2013 +0100",
        "Parent_1": "2efcc9dc242c913629ac8f11d9a5223159895f7b",
</t>
    </r>
    <r>
      <rPr>
        <rFont val="Arial"/>
        <b/>
        <color theme="1"/>
      </rPr>
      <t xml:space="preserve">        "Parent_1author_date": "Tue Oct 29 12:39:25.000000 2013 +0100",
 </t>
    </r>
    <r>
      <rPr>
        <rFont val="Arial"/>
        <color theme="1"/>
      </rPr>
      <t xml:space="preserve">       "Parent_1commit_date": "Tue Oct 29 12:39:25.000000 2013 +0100",
</t>
    </r>
    <r>
      <rPr>
        <rFont val="Arial"/>
        <b/>
        <color theme="1"/>
      </rPr>
      <t xml:space="preserve">        "Parent_1possible_rebase": false,
 </t>
    </r>
    <r>
      <rPr>
        <rFont val="Arial"/>
        <color theme="1"/>
      </rPr>
      <t xml:space="preserve">       "Parent_2": "2c62e344e26ccba08d5c613a7c4a40a0f076901e",
</t>
    </r>
    <r>
      <rPr>
        <rFont val="Arial"/>
        <b/>
        <color theme="1"/>
      </rPr>
      <t xml:space="preserve">        "Parent_2author_date": "Thu Aug 15 16:07:19.000000 2013 +0200",
 </t>
    </r>
    <r>
      <rPr>
        <rFont val="Arial"/>
        <color theme="1"/>
      </rPr>
      <t xml:space="preserve">       "Parent_2commit_date": "Tue Oct 22 23:27:57.000000 2013 +0200",
</t>
    </r>
    <r>
      <rPr>
        <rFont val="Arial"/>
        <b/>
        <color theme="1"/>
      </rPr>
      <t xml:space="preserve">        "Parent_2possible_rebase": false
 </t>
    </r>
    <r>
      <rPr>
        <rFont val="Arial"/>
        <color theme="1"/>
      </rPr>
      <t xml:space="preserve">   }</t>
    </r>
  </si>
  <si>
    <r>
      <rPr>
        <rFont val="Arial"/>
        <color theme="1"/>
      </rPr>
      <t xml:space="preserve">    "509bd157d3afc11ccda2a3a53fc3770cee2da3f6": {
</t>
    </r>
    <r>
      <rPr>
        <rFont val="Arial"/>
        <b/>
        <color theme="1"/>
      </rPr>
      <t xml:space="preserve">        "num_parents": 1,
 </t>
    </r>
    <r>
      <rPr>
        <rFont val="Arial"/>
        <color theme="1"/>
      </rPr>
      <t xml:space="preserve">       "date_commit": "Tue Oct 22 18:30:55.000000 2013 +0200",
</t>
    </r>
    <r>
      <rPr>
        <rFont val="Arial"/>
        <b/>
        <color theme="1"/>
      </rPr>
      <t xml:space="preserve">        "date_author_commit": "Thu Oct 17 00:13:29.000000 2013 +0200",
 </t>
    </r>
    <r>
      <rPr>
        <rFont val="Arial"/>
        <color theme="1"/>
      </rPr>
      <t xml:space="preserve">       "Parent_1": "19ea0c8c83b20692ee1e7572079388cbd9d8681a",
</t>
    </r>
    <r>
      <rPr>
        <rFont val="Arial"/>
        <b/>
        <color theme="1"/>
      </rPr>
      <t xml:space="preserve">        "Parent_1author_date": "Tue Oct 22 16:09:53.000000 2013 +0200",
 </t>
    </r>
    <r>
      <rPr>
        <rFont val="Arial"/>
        <color theme="1"/>
      </rPr>
      <t xml:space="preserve">       "Parent_1commit_date": "Tue Oct 22 16:09:53.000000 2013 +0200",
</t>
    </r>
    <r>
      <rPr>
        <rFont val="Arial"/>
        <b/>
        <color theme="1"/>
      </rPr>
      <t xml:space="preserve">        "Parent_1possible_rebase": true
 </t>
    </r>
    <r>
      <rPr>
        <rFont val="Arial"/>
        <color theme="1"/>
      </rPr>
      <t xml:space="preserve">   }</t>
    </r>
  </si>
  <si>
    <t>only one part of a single BP (remove-cast-to-schedule-run-instance)</t>
  </si>
  <si>
    <t>test_compute_mgr.py</t>
  </si>
  <si>
    <t>all the changes were tested in tests on test_compute, including build_and_run_instance which is tested as part of another function</t>
  </si>
  <si>
    <t>microsoft hyper v 4</t>
  </si>
  <si>
    <t>e.g.,  # Verify that all the BDMs have a device_name set and assign a
        # default to the ones missing it with the help of the driver.</t>
  </si>
  <si>
    <t>no external dependencies changes</t>
  </si>
  <si>
    <t>Andrew Laski (andrew.laski@rackspace.com)</t>
  </si>
  <si>
    <t>Parent	
509bd15
Merged As	
2c62e34</t>
  </si>
  <si>
    <t>the other was a log of Jenkins</t>
  </si>
  <si>
    <r>
      <rPr>
        <rFont val="Arial"/>
        <b/>
        <color theme="1"/>
      </rPr>
      <t xml:space="preserve">    "num_parents": 1,
 </t>
    </r>
    <r>
      <rPr>
        <rFont val="Arial"/>
        <color theme="1"/>
      </rPr>
      <t xml:space="preserve">   "author_name": "Joe Gordon",
    "author_email": "jogo@cloudscaling.com",
    "date_commit": "Tue Oct 30 21:51:40.000000 2012 +0100",
</t>
    </r>
    <r>
      <rPr>
        <rFont val="Arial"/>
        <b/>
        <color theme="1"/>
      </rPr>
      <t xml:space="preserve">    "date_author_commit": "Thu Oct 25 03:07:28.000000 2012 +0200",
 </t>
    </r>
    <r>
      <rPr>
        <rFont val="Arial"/>
        <color theme="1"/>
      </rPr>
      <t xml:space="preserve">   "Parent_1": "7aea941005deda6f057e1e1692018d81c4aebcdc",
</t>
    </r>
    <r>
      <rPr>
        <rFont val="Arial"/>
        <b/>
        <color theme="1"/>
      </rPr>
      <t xml:space="preserve">    "Parent_1author_date": "Tue Oct 30 19:25:34.000000 2012 +0100",
 </t>
    </r>
    <r>
      <rPr>
        <rFont val="Arial"/>
        <color theme="1"/>
      </rPr>
      <t xml:space="preserve">   "Parent_1commit_date": "Tue Oct 30 19:25:34.000000 2012 +0100",
</t>
    </r>
    <r>
      <rPr>
        <rFont val="Arial"/>
        <b/>
        <color theme="1"/>
      </rPr>
      <t xml:space="preserve">    "Parent_1possible_rebase": true</t>
    </r>
  </si>
  <si>
    <r>
      <rPr>
        <rFont val="Arial"/>
        <color theme="1"/>
      </rPr>
      <t xml:space="preserve">    "a980001046c8915b3cea3f3d2aec9979d6634532": {
</t>
    </r>
    <r>
      <rPr>
        <rFont val="Arial"/>
        <b/>
        <color theme="1"/>
      </rPr>
      <t xml:space="preserve">        "num_parents": 2,
 </t>
    </r>
    <r>
      <rPr>
        <rFont val="Arial"/>
        <color theme="1"/>
      </rPr>
      <t xml:space="preserve">       "date_commit": "Wed Oct 31 15:06:24.000000 2012 +0100",
        "date_author_commit": "Wed Oct 31 15:06:24.000000 2012 +0100",
        "Parent_1": "117db792b80e1280135603d26e042bc4a17e02c2",
</t>
    </r>
    <r>
      <rPr>
        <rFont val="Arial"/>
        <b/>
        <color theme="1"/>
      </rPr>
      <t xml:space="preserve">        "Parent_1author_date": "Wed Oct 31 13:58:46.000000 2012 +0100",
 </t>
    </r>
    <r>
      <rPr>
        <rFont val="Arial"/>
        <color theme="1"/>
      </rPr>
      <t xml:space="preserve">       "Parent_1commit_date": "Wed Oct 31 13:58:46.000000 2012 +0100",
</t>
    </r>
    <r>
      <rPr>
        <rFont val="Arial"/>
        <b/>
        <color theme="1"/>
      </rPr>
      <t xml:space="preserve">        "Parent_1possible_rebase": false,
 </t>
    </r>
    <r>
      <rPr>
        <rFont val="Arial"/>
        <color theme="1"/>
      </rPr>
      <t xml:space="preserve">       "Parent_2": "3dff43356619b4a935a5f395b066e96e8856bb4f",
</t>
    </r>
    <r>
      <rPr>
        <rFont val="Arial"/>
        <b/>
        <color theme="1"/>
      </rPr>
      <t xml:space="preserve">        "Parent_2author_date": "Thu Oct 25 03:07:28.000000 2012 +0200",
 </t>
    </r>
    <r>
      <rPr>
        <rFont val="Arial"/>
        <color theme="1"/>
      </rPr>
      <t xml:space="preserve">       "Parent_2commit_date": "Tue Oct 30 21:51:40.000000 2012 +0100",
</t>
    </r>
    <r>
      <rPr>
        <rFont val="Arial"/>
        <b/>
        <color theme="1"/>
      </rPr>
      <t xml:space="preserve">        "Parent_2possible_rebase": false
 </t>
    </r>
    <r>
      <rPr>
        <rFont val="Arial"/>
        <color theme="1"/>
      </rPr>
      <t xml:space="preserve">   }</t>
    </r>
  </si>
  <si>
    <r>
      <rPr>
        <rFont val="Arial"/>
        <color theme="1"/>
      </rPr>
      <t xml:space="preserve">    "7aea941005deda6f057e1e1692018d81c4aebcdc": {
</t>
    </r>
    <r>
      <rPr>
        <rFont val="Arial"/>
        <b/>
        <color theme="1"/>
      </rPr>
      <t xml:space="preserve">        "num_parents": 2,
 </t>
    </r>
    <r>
      <rPr>
        <rFont val="Arial"/>
        <color theme="1"/>
      </rPr>
      <t xml:space="preserve">       "date_commit": "Tue Oct 30 19:25:34.000000 2012 +0100",
        "date_author_commit": "Tue Oct 30 19:25:34.000000 2012 +0100",
        "Parent_1": "774a28a20aec1a853f29e586682b9a33a6bbad60",
</t>
    </r>
    <r>
      <rPr>
        <rFont val="Arial"/>
        <b/>
        <color theme="1"/>
      </rPr>
      <t xml:space="preserve">        "Parent_1author_date": "Tue Oct 30 19:03:13.000000 2012 +0100",
 </t>
    </r>
    <r>
      <rPr>
        <rFont val="Arial"/>
        <color theme="1"/>
      </rPr>
      <t xml:space="preserve">       "Parent_1commit_date": "Tue Oct 30 19:03:13.000000 2012 +0100",
</t>
    </r>
    <r>
      <rPr>
        <rFont val="Arial"/>
        <b/>
        <color theme="1"/>
      </rPr>
      <t xml:space="preserve">        "Parent_1possible_rebase": false,
 </t>
    </r>
    <r>
      <rPr>
        <rFont val="Arial"/>
        <color theme="1"/>
      </rPr>
      <t xml:space="preserve">       "Parent_2": "c08a105b8e71f1010ec88715c2f04b84d2a0d5bd",
</t>
    </r>
    <r>
      <rPr>
        <rFont val="Arial"/>
        <b/>
        <color theme="1"/>
      </rPr>
      <t xml:space="preserve">        "Parent_2author_date": "Mon Oct 29 15:52:01.000000 2012 +0100",
 </t>
    </r>
    <r>
      <rPr>
        <rFont val="Arial"/>
        <color theme="1"/>
      </rPr>
      <t xml:space="preserve">       "Parent_2commit_date": "Tue Oct 30 14:42:07.000000 2012 +0100",
</t>
    </r>
    <r>
      <rPr>
        <rFont val="Arial"/>
        <b/>
        <color theme="1"/>
      </rPr>
      <t xml:space="preserve">        "Parent_2possible_rebase": false
 </t>
    </r>
    <r>
      <rPr>
        <rFont val="Arial"/>
        <color theme="1"/>
      </rPr>
      <t xml:space="preserve">   }</t>
    </r>
  </si>
  <si>
    <t>fixes a single bug (1067214)</t>
  </si>
  <si>
    <t>just fix bug</t>
  </si>
  <si>
    <t>test_compute.py</t>
  </si>
  <si>
    <r>
      <rPr/>
      <t xml:space="preserve">local delete which is private is used in delete which is being tested in </t>
    </r>
    <r>
      <rPr>
        <color rgb="FF1155CC"/>
        <u/>
      </rPr>
      <t>test_compute.py</t>
    </r>
  </si>
  <si>
    <t>jenkins 7</t>
  </si>
  <si>
    <t>e.g.,  # NOTE(vish): We don't have access to correct volume
                #             connector info, so just pass a fake
                #             connector. This can be improved when we
                #             expose get_volume_connector to rpc.</t>
  </si>
  <si>
    <t xml:space="preserve"> e.g., if is_up == False:
            if not is_up:</t>
  </si>
  <si>
    <t>the dependencies between the systems are changing, therefore the communication between the modules are being changed. In particular in the buggy file</t>
  </si>
  <si>
    <t>Joe Gordon (jogo@cloudscaling.com), Vishvananda Ishaya (vishvananda@gmail.com)</t>
  </si>
  <si>
    <t>Parent	
7aea941
Merged As	
3dff433</t>
  </si>
  <si>
    <r>
      <rPr>
        <rFont val="Arial"/>
        <b/>
        <color theme="1"/>
      </rPr>
      <t xml:space="preserve">   "num_parents": 1,
 </t>
    </r>
    <r>
      <rPr>
        <rFont val="Arial"/>
        <color theme="1"/>
      </rPr>
      <t xml:space="preserve">   "author_name": "Erik Zaadi",
    "author_email": "erikz@il.ibm.com",
    "date_commit": "Mon Feb 18 15:51:46.000000 2013 +0100",
</t>
    </r>
    <r>
      <rPr>
        <rFont val="Arial"/>
        <b/>
        <color theme="1"/>
      </rPr>
      <t xml:space="preserve">    "date_author_commit": "Wed Dec 12 16:49:33.000000 2012 +0100",
 </t>
    </r>
    <r>
      <rPr>
        <rFont val="Arial"/>
        <color theme="1"/>
      </rPr>
      <t xml:space="preserve">   "Parent_1": "ae888be9a356e88589d0ceeb5a777a627c284a4d",
</t>
    </r>
    <r>
      <rPr>
        <rFont val="Arial"/>
        <b/>
        <color theme="1"/>
      </rPr>
      <t xml:space="preserve">    "Parent_1author_date": "Sun Feb 17 00:42:53.000000 2013 +0100",
 </t>
    </r>
    <r>
      <rPr>
        <rFont val="Arial"/>
        <color theme="1"/>
      </rPr>
      <t xml:space="preserve">   "Parent_1commit_date": "Sun Feb 17 00:42:53.000000 2013 +0100",
</t>
    </r>
    <r>
      <rPr>
        <rFont val="Arial"/>
        <b/>
        <color theme="1"/>
      </rPr>
      <t xml:space="preserve">    "Parent_1possible_rebase": true</t>
    </r>
  </si>
  <si>
    <r>
      <rPr>
        <rFont val="Arial"/>
        <color theme="1"/>
      </rPr>
      <t xml:space="preserve">    "b23c557cc8d03028caba95777f98adfe9b1031d9": {
</t>
    </r>
    <r>
      <rPr>
        <rFont val="Arial"/>
        <b/>
        <color theme="1"/>
      </rPr>
      <t xml:space="preserve">        "num_parents": 2,
 </t>
    </r>
    <r>
      <rPr>
        <rFont val="Arial"/>
        <color theme="1"/>
      </rPr>
      <t xml:space="preserve">       "date_commit": "Mon Feb 18 23:06:40.000000 2013 +0100",
</t>
    </r>
    <r>
      <rPr>
        <rFont val="Arial"/>
        <b/>
        <color theme="1"/>
      </rPr>
      <t xml:space="preserve">        "date_author_commit": "Mon Feb 18 23:06:40.000000 2013 +0100",
 </t>
    </r>
    <r>
      <rPr>
        <rFont val="Arial"/>
        <color theme="1"/>
      </rPr>
      <t xml:space="preserve">       "Parent_1": "9e2b990f2260dbbe1b207e853b37f6261e594fbd",
</t>
    </r>
    <r>
      <rPr>
        <rFont val="Arial"/>
        <b/>
        <color theme="1"/>
      </rPr>
      <t xml:space="preserve">        "Parent_1author_date": "Mon Feb 18 18:58:46.000000 2013 +0100",
 </t>
    </r>
    <r>
      <rPr>
        <rFont val="Arial"/>
        <color theme="1"/>
      </rPr>
      <t xml:space="preserve">       "Parent_1commit_date": "Mon Feb 18 18:58:46.000000 2013 +0100",
</t>
    </r>
    <r>
      <rPr>
        <rFont val="Arial"/>
        <b/>
        <color theme="1"/>
      </rPr>
      <t xml:space="preserve">        "Parent_1possible_rebase": false,
 </t>
    </r>
    <r>
      <rPr>
        <rFont val="Arial"/>
        <color theme="1"/>
      </rPr>
      <t xml:space="preserve">       "Parent_2": "933365a583daa5b9eabcf2397c3e7b803e7af74c",
</t>
    </r>
    <r>
      <rPr>
        <rFont val="Arial"/>
        <b/>
        <color theme="1"/>
      </rPr>
      <t xml:space="preserve">        "Parent_2author_date": "Wed Dec 12 16:49:33.000000 2012 +0100",
 </t>
    </r>
    <r>
      <rPr>
        <rFont val="Arial"/>
        <color theme="1"/>
      </rPr>
      <t xml:space="preserve">       "Parent_2commit_date": "Mon Feb 18 15:51:46.000000 2013 +0100",
</t>
    </r>
    <r>
      <rPr>
        <rFont val="Arial"/>
        <b/>
        <color theme="1"/>
      </rPr>
      <t xml:space="preserve">        "Parent_2possible_rebase": false
 </t>
    </r>
    <r>
      <rPr>
        <rFont val="Arial"/>
        <color theme="1"/>
      </rPr>
      <t xml:space="preserve">   }</t>
    </r>
  </si>
  <si>
    <r>
      <rPr>
        <rFont val="Arial"/>
        <color theme="1"/>
      </rPr>
      <t xml:space="preserve">    "ae888be9a356e88589d0ceeb5a777a627c284a4d": {
</t>
    </r>
    <r>
      <rPr>
        <rFont val="Arial"/>
        <b/>
        <color theme="1"/>
      </rPr>
      <t xml:space="preserve">        "num_parents": 2,
 </t>
    </r>
    <r>
      <rPr>
        <rFont val="Arial"/>
        <color theme="1"/>
      </rPr>
      <t xml:space="preserve">       "date_commit": "Sun Feb 17 00:42:53.000000 2013 +0100",
</t>
    </r>
    <r>
      <rPr>
        <rFont val="Arial"/>
        <b/>
        <color theme="1"/>
      </rPr>
      <t xml:space="preserve">        "date_author_commit": "Sun Feb 17 00:42:53.000000 2013 +0100",
 </t>
    </r>
    <r>
      <rPr>
        <rFont val="Arial"/>
        <color theme="1"/>
      </rPr>
      <t xml:space="preserve">       "Parent_1": "574eae99dcd0c0ca809d11053dd83f3616b97e70",
</t>
    </r>
    <r>
      <rPr>
        <rFont val="Arial"/>
        <b/>
        <color theme="1"/>
      </rPr>
      <t xml:space="preserve">        "Parent_1author_date": "Sat Feb 16 20:51:40.000000 2013 +0100",
 </t>
    </r>
    <r>
      <rPr>
        <rFont val="Arial"/>
        <color theme="1"/>
      </rPr>
      <t xml:space="preserve">       "Parent_1commit_date": "Sat Feb 16 20:51:40.000000 2013 +0100",
</t>
    </r>
    <r>
      <rPr>
        <rFont val="Arial"/>
        <b/>
        <color theme="1"/>
      </rPr>
      <t xml:space="preserve">        "Parent_1possible_rebase": false,
 </t>
    </r>
    <r>
      <rPr>
        <rFont val="Arial"/>
        <color theme="1"/>
      </rPr>
      <t xml:space="preserve">       "Parent_2": "404eb54c572b53ad1f6495ed1982a3177b8e75ab",
</t>
    </r>
    <r>
      <rPr>
        <rFont val="Arial"/>
        <b/>
        <color theme="1"/>
      </rPr>
      <t xml:space="preserve">        "Parent_2author_date": "Sat Feb 16 20:49:57.000000 2013 +0100",
 </t>
    </r>
    <r>
      <rPr>
        <rFont val="Arial"/>
        <color theme="1"/>
      </rPr>
      <t xml:space="preserve">       "Parent_2commit_date": "Sat Feb 16 20:50:14.000000 2013 +0100",
</t>
    </r>
    <r>
      <rPr>
        <rFont val="Arial"/>
        <b/>
        <color theme="1"/>
      </rPr>
      <t xml:space="preserve">        "Parent_2possible_rebase": false
 </t>
    </r>
    <r>
      <rPr>
        <rFont val="Arial"/>
        <color theme="1"/>
      </rPr>
      <t xml:space="preserve">   }</t>
    </r>
  </si>
  <si>
    <t>only one BP (blueprint libvirt-volume-multipath-iscsi)</t>
  </si>
  <si>
    <t>test_libvirt_volume.py</t>
  </si>
  <si>
    <t>the sub functions of disconnect and connect are tested as cases for connect and disconnect</t>
  </si>
  <si>
    <t>e.g., # NOTE(vish): If we are on the same host as nova volume, the
        #             discovery makes the target so we don't need to
        #             run --op new. Therefore, we check to see if the
        #             target exists, and if we get 255 (Not Found), then
        #             we run --op new. This will also happen if another
        #             volume is using the same target.</t>
  </si>
  <si>
    <t>Erik Zaadi (erikz@il.ibm.com)</t>
  </si>
  <si>
    <t>Parent	
ae888be
Merged As	
933365a</t>
  </si>
  <si>
    <r>
      <rPr>
        <rFont val="Arial"/>
        <b/>
        <color theme="1"/>
      </rPr>
      <t xml:space="preserve">"num_parents": 1,
 </t>
    </r>
    <r>
      <rPr>
        <rFont val="Arial"/>
        <color theme="1"/>
      </rPr>
      <t xml:space="preserve">   "author_name": "Daniel Genin",
    "author_email": "Daniel.Genin@jhuapl.edu",
    "date_commit": "Sat Sep 06 18:40:48.000000 2014 +0200",
</t>
    </r>
    <r>
      <rPr>
        <rFont val="Arial"/>
        <b/>
        <color theme="1"/>
      </rPr>
      <t xml:space="preserve">    "date_author_commit": "Wed Sep 03 00:16:04.000000 2014 +0200",
 </t>
    </r>
    <r>
      <rPr>
        <rFont val="Arial"/>
        <color theme="1"/>
      </rPr>
      <t xml:space="preserve">   "Parent_1": "844d0cafdbecfddc12b2fde456d9c123436ab10a",
</t>
    </r>
    <r>
      <rPr>
        <rFont val="Arial"/>
        <b/>
        <color theme="1"/>
      </rPr>
      <t xml:space="preserve">    "Parent_1author_date": "Fri Sep 05 06:36:16.000000 2014 +0200",
 </t>
    </r>
    <r>
      <rPr>
        <rFont val="Arial"/>
        <color theme="1"/>
      </rPr>
      <t xml:space="preserve">   "Parent_1commit_date": "Fri Sep 05 06:36:16.000000 2014 +0200",
</t>
    </r>
    <r>
      <rPr>
        <rFont val="Arial"/>
        <b/>
        <color theme="1"/>
      </rPr>
      <t xml:space="preserve">    "Parent_1possible_rebase": true</t>
    </r>
  </si>
  <si>
    <r>
      <rPr>
        <rFont val="Arial"/>
        <color theme="1"/>
      </rPr>
      <t xml:space="preserve">    "42e4c04e9ec26acf79ac0f08c5ab59489b36cb2f": {
</t>
    </r>
    <r>
      <rPr>
        <rFont val="Arial"/>
        <b/>
        <color theme="1"/>
      </rPr>
      <t xml:space="preserve">        "num_parents": 2,
 </t>
    </r>
    <r>
      <rPr>
        <rFont val="Arial"/>
        <color theme="1"/>
      </rPr>
      <t xml:space="preserve">       "date_commit": "Tue Sep 09 12:34:39.000000 2014 +0200",
</t>
    </r>
    <r>
      <rPr>
        <rFont val="Arial"/>
        <b/>
        <color theme="1"/>
      </rPr>
      <t xml:space="preserve">        "date_author_commit": "Tue Sep 09 12:34:39.000000 2014 +0200",
 </t>
    </r>
    <r>
      <rPr>
        <rFont val="Arial"/>
        <color theme="1"/>
      </rPr>
      <t xml:space="preserve">       "Parent_1": "989f054a054705df534b87982e12f8136c5b889a",
</t>
    </r>
    <r>
      <rPr>
        <rFont val="Arial"/>
        <b/>
        <color theme="1"/>
      </rPr>
      <t xml:space="preserve">        "Parent_1author_date": "Tue Sep 09 05:43:30.000000 2014 +0200",
 </t>
    </r>
    <r>
      <rPr>
        <rFont val="Arial"/>
        <color theme="1"/>
      </rPr>
      <t xml:space="preserve">       "Parent_1commit_date": "Tue Sep 09 05:43:30.000000 2014 +0200",
</t>
    </r>
    <r>
      <rPr>
        <rFont val="Arial"/>
        <b/>
        <color theme="1"/>
      </rPr>
      <t xml:space="preserve">        "Parent_1possible_rebase": false,
 </t>
    </r>
    <r>
      <rPr>
        <rFont val="Arial"/>
        <color theme="1"/>
      </rPr>
      <t xml:space="preserve">       "Parent_2": "5fa74bc0b2ab6fe5149a9b684b4beadb67877622",
</t>
    </r>
    <r>
      <rPr>
        <rFont val="Arial"/>
        <b/>
        <color theme="1"/>
      </rPr>
      <t xml:space="preserve">        "Parent_2author_date": "Wed Sep 03 00:16:04.000000 2014 +0200",
 </t>
    </r>
    <r>
      <rPr>
        <rFont val="Arial"/>
        <color theme="1"/>
      </rPr>
      <t xml:space="preserve">       "Parent_2commit_date": "Sat Sep 06 18:40:48.000000 2014 +0200",
</t>
    </r>
    <r>
      <rPr>
        <rFont val="Arial"/>
        <b/>
        <color theme="1"/>
      </rPr>
      <t xml:space="preserve">        "Parent_2possible_rebase": false
 </t>
    </r>
    <r>
      <rPr>
        <rFont val="Arial"/>
        <color theme="1"/>
      </rPr>
      <t xml:space="preserve">   }</t>
    </r>
  </si>
  <si>
    <r>
      <rPr>
        <rFont val="Arial"/>
        <color theme="1"/>
      </rPr>
      <t xml:space="preserve">    "844d0cafdbecfddc12b2fde456d9c123436ab10a": {
</t>
    </r>
    <r>
      <rPr>
        <rFont val="Arial"/>
        <b/>
        <color theme="1"/>
      </rPr>
      <t xml:space="preserve">        "num_parents": 2,
 </t>
    </r>
    <r>
      <rPr>
        <rFont val="Arial"/>
        <color theme="1"/>
      </rPr>
      <t xml:space="preserve">       "date_commit": "Fri Sep 05 06:36:16.000000 2014 +0200",
</t>
    </r>
    <r>
      <rPr>
        <rFont val="Arial"/>
        <b/>
        <color theme="1"/>
      </rPr>
      <t xml:space="preserve">        "date_author_commit": "Fri Sep 05 06:36:16.000000 2014 +0200",
 </t>
    </r>
    <r>
      <rPr>
        <rFont val="Arial"/>
        <color theme="1"/>
      </rPr>
      <t xml:space="preserve">       "Parent_1": "c0d1eb30538752a71db74d24fc6aef5cf0fbb232",
</t>
    </r>
    <r>
      <rPr>
        <rFont val="Arial"/>
        <b/>
        <color theme="1"/>
      </rPr>
      <t xml:space="preserve">        "Parent_1author_date": "Fri Sep 05 05:10:48.000000 2014 +0200",
 </t>
    </r>
    <r>
      <rPr>
        <rFont val="Arial"/>
        <color theme="1"/>
      </rPr>
      <t xml:space="preserve">       "Parent_1commit_date": "Fri Sep 05 05:10:48.000000 2014 +0200",
</t>
    </r>
    <r>
      <rPr>
        <rFont val="Arial"/>
        <b/>
        <color theme="1"/>
      </rPr>
      <t xml:space="preserve">        "Parent_1possible_rebase": false,
 </t>
    </r>
    <r>
      <rPr>
        <rFont val="Arial"/>
        <color theme="1"/>
      </rPr>
      <t xml:space="preserve">       "Parent_2": "5978e6276dc76b6fe5db29bfef9671276005fb65",
</t>
    </r>
    <r>
      <rPr>
        <rFont val="Arial"/>
        <b/>
        <color theme="1"/>
      </rPr>
      <t xml:space="preserve">        "Parent_2author_date": "Wed Jul 02 11:17:02.000000 2014 +0200",
 </t>
    </r>
    <r>
      <rPr>
        <rFont val="Arial"/>
        <color theme="1"/>
      </rPr>
      <t xml:space="preserve">       "Parent_2commit_date": "Wed Sep 03 05:30:29.000000 2014 +0200",
</t>
    </r>
    <r>
      <rPr>
        <rFont val="Arial"/>
        <b/>
        <color theme="1"/>
      </rPr>
      <t xml:space="preserve">        "Parent_2possible_rebase": false
 </t>
    </r>
    <r>
      <rPr>
        <rFont val="Arial"/>
        <color theme="1"/>
      </rPr>
      <t xml:space="preserve">   }</t>
    </r>
  </si>
  <si>
    <t>only one BP (lvm-ephemeral-storage-encryption)</t>
  </si>
  <si>
    <t>the public functions were tested, the private one were also tested as part of call via str and part of others functions</t>
  </si>
  <si>
    <t>jenkins 3</t>
  </si>
  <si>
    <t>e.g., """Detaches encrypted volumes attached to instance."""</t>
  </si>
  <si>
    <t>new feature implementation and no refactor identified</t>
  </si>
  <si>
    <t>changes on architecture are given in tests EncryptedLvmTestCase not in operational code. However, also dependencies are being changed iin the buggy file, which modifies the dependencies between modules</t>
  </si>
  <si>
    <r>
      <rPr/>
      <t xml:space="preserve">the dependencies between the systems are changing, therefore the communication between the modules are being changed. In particular in the buggy file (from nova.virt.libvirt import dmcrypt
) in </t>
    </r>
    <r>
      <rPr>
        <color rgb="FF1155CC"/>
        <u/>
      </rPr>
      <t>driver.py</t>
    </r>
  </si>
  <si>
    <t>mport contextlib
import inspect</t>
  </si>
  <si>
    <t>Daniel Genin (Daniel.Genin@jhuapl.edu)</t>
  </si>
  <si>
    <t>Parent	
844d0ca
Merged As	
5fa74bc</t>
  </si>
  <si>
    <r>
      <rPr>
        <rFont val="Arial"/>
        <b/>
        <color theme="1"/>
      </rPr>
      <t xml:space="preserve">   "num_parents": 1,
 </t>
    </r>
    <r>
      <rPr>
        <rFont val="Arial"/>
        <color theme="1"/>
      </rPr>
      <t xml:space="preserve">   "author_name": "Tim Pownall",
    "author_email": "pownalltim@gmail.com",
    "date_commit": "Tue Apr 07 07:25:09.000000 2015 +0200",
</t>
    </r>
    <r>
      <rPr>
        <rFont val="Arial"/>
        <b/>
        <color theme="1"/>
      </rPr>
      <t xml:space="preserve">    "date_author_commit": "Sat Mar 28 03:41:22.000000 2015 +0100",
 </t>
    </r>
    <r>
      <rPr>
        <rFont val="Arial"/>
        <color theme="1"/>
      </rPr>
      <t xml:space="preserve">   "Parent_1": "bf70df295b0529da9f4381f52fc94d328fa2fdb3",
</t>
    </r>
    <r>
      <rPr>
        <rFont val="Arial"/>
        <b/>
        <color theme="1"/>
      </rPr>
      <t xml:space="preserve">    "Parent_1author_date": "Tue Apr 07 01:57:10.000000 2015 +0200",
 </t>
    </r>
    <r>
      <rPr>
        <rFont val="Arial"/>
        <color theme="1"/>
      </rPr>
      <t xml:space="preserve">   "Parent_1commit_date": "Tue Apr 07 01:57:10.000000 2015 +0200",
</t>
    </r>
    <r>
      <rPr>
        <rFont val="Arial"/>
        <b/>
        <color theme="1"/>
      </rPr>
      <t xml:space="preserve">    "Parent_1possible_rebase": true</t>
    </r>
  </si>
  <si>
    <r>
      <rPr>
        <rFont val="Arial"/>
        <color theme="1"/>
      </rPr>
      <t xml:space="preserve">    "d29d169fdde93e2c4de9b07d7bddd0a4988e7ea4": {
</t>
    </r>
    <r>
      <rPr>
        <rFont val="Arial"/>
        <b/>
        <color theme="1"/>
      </rPr>
      <t xml:space="preserve">        "num_parents": 2,
 </t>
    </r>
    <r>
      <rPr>
        <rFont val="Arial"/>
        <color theme="1"/>
      </rPr>
      <t xml:space="preserve">       "date_commit": "Wed Apr 08 19:37:20.000000 2015 +0200",
</t>
    </r>
    <r>
      <rPr>
        <rFont val="Arial"/>
        <b/>
        <color theme="1"/>
      </rPr>
      <t xml:space="preserve">        "date_author_commit": "Wed Apr 08 19:37:20.000000 2015 +0200",
 </t>
    </r>
    <r>
      <rPr>
        <rFont val="Arial"/>
        <color theme="1"/>
      </rPr>
      <t xml:space="preserve">       "Parent_1": "596d16237ab5ec624e3088a45e09b74ad9762ec6",
</t>
    </r>
    <r>
      <rPr>
        <rFont val="Arial"/>
        <b/>
        <color theme="1"/>
      </rPr>
      <t xml:space="preserve">        "Parent_1author_date": "Wed Apr 08 18:51:04.000000 2015 +0200",
 </t>
    </r>
    <r>
      <rPr>
        <rFont val="Arial"/>
        <color theme="1"/>
      </rPr>
      <t xml:space="preserve">       "Parent_1commit_date": "Wed Apr 08 18:51:04.000000 2015 +0200",
</t>
    </r>
    <r>
      <rPr>
        <rFont val="Arial"/>
        <b/>
        <color theme="1"/>
      </rPr>
      <t xml:space="preserve">        "Parent_1possible_rebase": false,
 </t>
    </r>
    <r>
      <rPr>
        <rFont val="Arial"/>
        <color theme="1"/>
      </rPr>
      <t xml:space="preserve">       "Parent_2": "31f208423405ed50bb5b32977071f917ac3ce26d",
</t>
    </r>
    <r>
      <rPr>
        <rFont val="Arial"/>
        <b/>
        <color theme="1"/>
      </rPr>
      <t xml:space="preserve">        "Parent_2author_date": "Sat Mar 28 03:41:22.000000 2015 +0100",
 </t>
    </r>
    <r>
      <rPr>
        <rFont val="Arial"/>
        <color theme="1"/>
      </rPr>
      <t xml:space="preserve">       "Parent_2commit_date": "Tue Apr 07 07:25:09.000000 2015 +0200",
</t>
    </r>
    <r>
      <rPr>
        <rFont val="Arial"/>
        <b/>
        <color theme="1"/>
      </rPr>
      <t xml:space="preserve">        "Parent_2possible_rebase": false
 </t>
    </r>
    <r>
      <rPr>
        <rFont val="Arial"/>
        <color theme="1"/>
      </rPr>
      <t xml:space="preserve">   }</t>
    </r>
  </si>
  <si>
    <r>
      <rPr>
        <rFont val="Arial"/>
        <color theme="1"/>
      </rPr>
      <t xml:space="preserve">    "bf70df295b0529da9f4381f52fc94d328fa2fdb3": {
</t>
    </r>
    <r>
      <rPr>
        <rFont val="Arial"/>
        <b/>
        <color theme="1"/>
      </rPr>
      <t xml:space="preserve">        "num_parents": 2,
 </t>
    </r>
    <r>
      <rPr>
        <rFont val="Arial"/>
        <color theme="1"/>
      </rPr>
      <t xml:space="preserve">       "date_commit": "Tue Apr 07 01:57:10.000000 2015 +0200",
</t>
    </r>
    <r>
      <rPr>
        <rFont val="Arial"/>
        <b/>
        <color theme="1"/>
      </rPr>
      <t xml:space="preserve">        "date_author_commit": "Tue Apr 07 01:57:10.000000 2015 +0200",
 </t>
    </r>
    <r>
      <rPr>
        <rFont val="Arial"/>
        <color theme="1"/>
      </rPr>
      <t xml:space="preserve">       "Parent_1": "ad329b0d443dd8bae1c84b78c803bcd9349ddc9c",
</t>
    </r>
    <r>
      <rPr>
        <rFont val="Arial"/>
        <b/>
        <color theme="1"/>
      </rPr>
      <t xml:space="preserve">        "Parent_1author_date": "Tue Apr 07 01:44:12.000000 2015 +0200",
 </t>
    </r>
    <r>
      <rPr>
        <rFont val="Arial"/>
        <color theme="1"/>
      </rPr>
      <t xml:space="preserve">       "Parent_1commit_date": "Tue Apr 07 01:44:12.000000 2015 +0200",
</t>
    </r>
    <r>
      <rPr>
        <rFont val="Arial"/>
        <b/>
        <color theme="1"/>
      </rPr>
      <t xml:space="preserve">        "Parent_1possible_rebase": false,
 </t>
    </r>
    <r>
      <rPr>
        <rFont val="Arial"/>
        <color theme="1"/>
      </rPr>
      <t xml:space="preserve">       "Parent_2": "7560620da7704671e6e5a304c25e506e12f213bd",
</t>
    </r>
    <r>
      <rPr>
        <rFont val="Arial"/>
        <b/>
        <color theme="1"/>
      </rPr>
      <t xml:space="preserve">        "Parent_2author_date": "Tue Mar 10 21:54:52.000000 2015 +0100",
 </t>
    </r>
    <r>
      <rPr>
        <rFont val="Arial"/>
        <color theme="1"/>
      </rPr>
      <t xml:space="preserve">       "Parent_2commit_date": "Tue Mar 10 21:54:52.000000 2015 +0100",
</t>
    </r>
    <r>
      <rPr>
        <rFont val="Arial"/>
        <b/>
        <color theme="1"/>
      </rPr>
      <t xml:space="preserve">        "Parent_2possible_rebase": false
 </t>
    </r>
    <r>
      <rPr>
        <rFont val="Arial"/>
        <color theme="1"/>
      </rPr>
      <t xml:space="preserve">   }</t>
    </r>
  </si>
  <si>
    <t>fix bug (1432913)</t>
  </si>
  <si>
    <t>test_vmops.py
test_xenapi.py</t>
  </si>
  <si>
    <t>the private methods  were also tested as part of call  of others functions</t>
  </si>
  <si>
    <t>e.g., # NOTE(tpownall): If rescue mode then we should try to pull the vm_mode
        # value from the image properties to ensure the vm is built properly.</t>
  </si>
  <si>
    <t>bug fix, change functionality</t>
  </si>
  <si>
    <t>Tim Pownall (pownalltim@gmail.com)</t>
  </si>
  <si>
    <t>Parent	
bf70df2
Merged As	
31f2084</t>
  </si>
  <si>
    <r>
      <rPr>
        <rFont val="Arial"/>
        <b/>
        <color theme="1"/>
      </rPr>
      <t xml:space="preserve">    "num_parents": 1,
 </t>
    </r>
    <r>
      <rPr>
        <rFont val="Arial"/>
        <color theme="1"/>
      </rPr>
      <t xml:space="preserve">   "author_name": "Gary Kotton",
    "author_email": "gkotton@vmware.com",
    "date_commit": "Thu Aug 28 08:36:12.000000 2014 +0200",
</t>
    </r>
    <r>
      <rPr>
        <rFont val="Arial"/>
        <b/>
        <color theme="1"/>
      </rPr>
      <t xml:space="preserve">    "date_author_commit": "Tue Jul 15 13:43:29.000000 2014 +0200",
 </t>
    </r>
    <r>
      <rPr>
        <rFont val="Arial"/>
        <color theme="1"/>
      </rPr>
      <t xml:space="preserve">   "Parent_1": "2df73a4a8dcae157eff0be24918b00ec58e85680",
</t>
    </r>
    <r>
      <rPr>
        <rFont val="Arial"/>
        <b/>
        <color theme="1"/>
      </rPr>
      <t xml:space="preserve">    "Parent_1author_date": "Thu Aug 28 08:22:51.000000 2014 +0200",
 </t>
    </r>
    <r>
      <rPr>
        <rFont val="Arial"/>
        <color theme="1"/>
      </rPr>
      <t xml:space="preserve">   "Parent_1commit_date": "Thu Aug 28 08:22:51.000000 2014 +0200",
</t>
    </r>
    <r>
      <rPr>
        <rFont val="Arial"/>
        <b/>
        <color theme="1"/>
      </rPr>
      <t xml:space="preserve">    "Parent_1possible_rebase": true</t>
    </r>
  </si>
  <si>
    <r>
      <rPr>
        <rFont val="Arial"/>
        <color theme="1"/>
      </rPr>
      <t xml:space="preserve">  "15ff3d35a9ded67a73427d675c2f6bd63e6081df": {
</t>
    </r>
    <r>
      <rPr>
        <rFont val="Arial"/>
        <b/>
        <color theme="1"/>
      </rPr>
      <t xml:space="preserve">        "num_parents": 2,
 </t>
    </r>
    <r>
      <rPr>
        <rFont val="Arial"/>
        <color theme="1"/>
      </rPr>
      <t xml:space="preserve">       "date_commit": "Fri Aug 29 00:01:13.000000 2014 +0200",
</t>
    </r>
    <r>
      <rPr>
        <rFont val="Arial"/>
        <b/>
        <color theme="1"/>
      </rPr>
      <t xml:space="preserve">        "date_author_commit": "Fri Aug 29 00:01:13.000000 2014 +0200",
 </t>
    </r>
    <r>
      <rPr>
        <rFont val="Arial"/>
        <color theme="1"/>
      </rPr>
      <t xml:space="preserve">       "Parent_1": "2a97e1afe6a1ec9e44498128fa8d52f9223c647b",
</t>
    </r>
    <r>
      <rPr>
        <rFont val="Arial"/>
        <b/>
        <color theme="1"/>
      </rPr>
      <t xml:space="preserve">        "Parent_1author_date": "Thu Aug 28 20:40:13.000000 2014 +0200",
 </t>
    </r>
    <r>
      <rPr>
        <rFont val="Arial"/>
        <color theme="1"/>
      </rPr>
      <t xml:space="preserve">       "Parent_1commit_date": "Thu Aug 28 20:40:13.000000 2014 +0200",
</t>
    </r>
    <r>
      <rPr>
        <rFont val="Arial"/>
        <b/>
        <color theme="1"/>
      </rPr>
      <t xml:space="preserve">        "Parent_1possible_rebase": false,
 </t>
    </r>
    <r>
      <rPr>
        <rFont val="Arial"/>
        <color theme="1"/>
      </rPr>
      <t xml:space="preserve">       "Parent_2": "2bcda65d512f38902514e986883d9b36f4d85c33",
</t>
    </r>
    <r>
      <rPr>
        <rFont val="Arial"/>
        <b/>
        <color theme="1"/>
      </rPr>
      <t xml:space="preserve">        "Parent_2author_date": "Tue Jul 15 13:43:29.000000 2014 +0200",
 </t>
    </r>
    <r>
      <rPr>
        <rFont val="Arial"/>
        <color theme="1"/>
      </rPr>
      <t xml:space="preserve">       "Parent_2commit_date": "Thu Aug 28 08:36:12.000000 2014 +0200",
</t>
    </r>
    <r>
      <rPr>
        <rFont val="Arial"/>
        <b/>
        <color theme="1"/>
      </rPr>
      <t xml:space="preserve">        "Parent_2possible_rebase": false
 </t>
    </r>
    <r>
      <rPr>
        <rFont val="Arial"/>
        <color theme="1"/>
      </rPr>
      <t xml:space="preserve">   }</t>
    </r>
  </si>
  <si>
    <r>
      <rPr>
        <rFont val="Arial"/>
        <color theme="1"/>
      </rPr>
      <t xml:space="preserve">"2df73a4a8dcae157eff0be24918b00ec58e85680": {
</t>
    </r>
    <r>
      <rPr>
        <rFont val="Arial"/>
        <b/>
        <color theme="1"/>
      </rPr>
      <t xml:space="preserve">        "num_parents": 2,
 </t>
    </r>
    <r>
      <rPr>
        <rFont val="Arial"/>
        <color theme="1"/>
      </rPr>
      <t xml:space="preserve">       "date_commit": "Thu Aug 28 08:22:51.000000 2014 +0200",
</t>
    </r>
    <r>
      <rPr>
        <rFont val="Arial"/>
        <b/>
        <color theme="1"/>
      </rPr>
      <t xml:space="preserve">        "date_author_commit": "Thu Aug 28 08:22:51.000000 2014 +0200",
 </t>
    </r>
    <r>
      <rPr>
        <rFont val="Arial"/>
        <color theme="1"/>
      </rPr>
      <t xml:space="preserve">       "Parent_1": "1f6ccc5f62f29ae34bb7bc1d047f617aed13f33b",
</t>
    </r>
    <r>
      <rPr>
        <rFont val="Arial"/>
        <b/>
        <color theme="1"/>
      </rPr>
      <t xml:space="preserve">        "Parent_1author_date": "Thu Aug 28 07:14:20.000000 2014 +0200",
 </t>
    </r>
    <r>
      <rPr>
        <rFont val="Arial"/>
        <color theme="1"/>
      </rPr>
      <t xml:space="preserve">       "Parent_1commit_date": "Thu Aug 28 07:14:20.000000 2014 +0200",
</t>
    </r>
    <r>
      <rPr>
        <rFont val="Arial"/>
        <b/>
        <color theme="1"/>
      </rPr>
      <t xml:space="preserve">        "Parent_1possible_rebase": false,
 </t>
    </r>
    <r>
      <rPr>
        <rFont val="Arial"/>
        <color theme="1"/>
      </rPr>
      <t xml:space="preserve">       "Parent_2": "6e55c1f507c01a2dcdffe3b45545fb8f1d8eb4a5",
</t>
    </r>
    <r>
      <rPr>
        <rFont val="Arial"/>
        <b/>
        <color theme="1"/>
      </rPr>
      <t xml:space="preserve">        "Parent_2author_date": "Wed Aug 20 06:05:08.000000 2014 +0200",
 </t>
    </r>
    <r>
      <rPr>
        <rFont val="Arial"/>
        <color theme="1"/>
      </rPr>
      <t xml:space="preserve">       "Parent_2commit_date": "Mon Aug 25 04:22:08.000000 2014 +0200",
</t>
    </r>
    <r>
      <rPr>
        <rFont val="Arial"/>
        <b/>
        <color theme="1"/>
      </rPr>
      <t xml:space="preserve">        "Parent_2possible_rebase": false</t>
    </r>
  </si>
  <si>
    <t>extension of a previous functionality</t>
  </si>
  <si>
    <t>stubs.py
test_configdrive.py
test_vm_util.py
test_vmops.py</t>
  </si>
  <si>
    <t>new methods that test utils and modifications on test vmops</t>
  </si>
  <si>
    <t>e.g., # Read flavors for allocations</t>
  </si>
  <si>
    <t>the dependencies between the systems are changing, therefore the communication between the modules are being changed. In particular in the buggy file (from nova import objects)</t>
  </si>
  <si>
    <t xml:space="preserve">Parent	
2df73a4
Merged As	
2bcda65
</t>
  </si>
  <si>
    <r>
      <rPr>
        <rFont val="Arial"/>
        <color theme="1"/>
      </rPr>
      <t xml:space="preserve">    "5f055eddae036576f144485d1c62da988767f2f7": {
</t>
    </r>
    <r>
      <rPr>
        <rFont val="Arial"/>
        <b/>
        <color theme="1"/>
      </rPr>
      <t xml:space="preserve">        "num_parents": 1,
 </t>
    </r>
    <r>
      <rPr>
        <rFont val="Arial"/>
        <color theme="1"/>
      </rPr>
      <t xml:space="preserve">       "date_commit": "Thu Aug 28 08:46:23.000000 2014 +0200",
</t>
    </r>
    <r>
      <rPr>
        <rFont val="Arial"/>
        <b/>
        <color theme="1"/>
      </rPr>
      <t xml:space="preserve">        "date_author_commit": "Sun Jul 27 04:12:52.000000 2014 +0200",
 </t>
    </r>
    <r>
      <rPr>
        <rFont val="Arial"/>
        <color theme="1"/>
      </rPr>
      <t xml:space="preserve">       "Parent_1": "2bcda65d512f38902514e986883d9b36f4d85c33",
</t>
    </r>
    <r>
      <rPr>
        <rFont val="Arial"/>
        <b/>
        <color theme="1"/>
      </rPr>
      <t xml:space="preserve">        "Parent_1author_date": "Tue Jul 15 13:43:29.000000 2014 +0200",
 </t>
    </r>
    <r>
      <rPr>
        <rFont val="Arial"/>
        <color theme="1"/>
      </rPr>
      <t xml:space="preserve">       "Parent_1commit_date": "Thu Aug 28 08:36:12.000000 2014 +0200",
</t>
    </r>
    <r>
      <rPr>
        <rFont val="Arial"/>
        <b/>
        <color theme="1"/>
      </rPr>
      <t xml:space="preserve">        "Parent_1possible_rebase": false
 </t>
    </r>
    <r>
      <rPr>
        <rFont val="Arial"/>
        <color theme="1"/>
      </rPr>
      <t xml:space="preserve">   }</t>
    </r>
  </si>
  <si>
    <t>Children does not modify test that exactly relate the same eventhough modifies the same files</t>
  </si>
  <si>
    <r>
      <rPr>
        <rFont val="Arial"/>
        <b/>
        <color theme="1"/>
      </rPr>
      <t xml:space="preserve">"num_parents": 1,
 </t>
    </r>
    <r>
      <rPr>
        <rFont val="Arial"/>
        <color theme="1"/>
      </rPr>
      <t xml:space="preserve">   "author_name": "Daniel P. Berrange",
    "author_email": "berrange@redhat.com",
    "date_commit": "Wed Feb 18 14:46:12.000000 2015 +0100",
</t>
    </r>
    <r>
      <rPr>
        <rFont val="Arial"/>
        <b/>
        <color theme="1"/>
      </rPr>
      <t xml:space="preserve">    "date_author_commit": "Thu Jan 29 15:33:32.000000 2015 +0100",
 </t>
    </r>
    <r>
      <rPr>
        <rFont val="Arial"/>
        <color theme="1"/>
      </rPr>
      <t xml:space="preserve">   "Parent_1": "75d0aabc4e4402781f5072aedc8ddf0f7d3ab4f7",
</t>
    </r>
    <r>
      <rPr>
        <rFont val="Arial"/>
        <b/>
        <color theme="1"/>
      </rPr>
      <t xml:space="preserve">    "Parent_1author_date": "Wed Feb 18 11:33:43.000000 2015 +0100",
 </t>
    </r>
    <r>
      <rPr>
        <rFont val="Arial"/>
        <color theme="1"/>
      </rPr>
      <t xml:space="preserve">   "Parent_1commit_date": "Wed Feb 18 11:33:43.000000 2015 +0100",
</t>
    </r>
    <r>
      <rPr>
        <rFont val="Arial"/>
        <b/>
        <color theme="1"/>
      </rPr>
      <t xml:space="preserve">    "Parent_1possible_rebase": true</t>
    </r>
  </si>
  <si>
    <r>
      <rPr>
        <rFont val="Arial"/>
        <color theme="1"/>
      </rPr>
      <t xml:space="preserve">    "6e09ff46343e83c3ce9a36351c1bdfc9a2afb001": {
</t>
    </r>
    <r>
      <rPr>
        <rFont val="Arial"/>
        <b/>
        <color theme="1"/>
      </rPr>
      <t xml:space="preserve">        "num_parents": 2,
 </t>
    </r>
    <r>
      <rPr>
        <rFont val="Arial"/>
        <color theme="1"/>
      </rPr>
      <t xml:space="preserve">       "date_commit": "Mon Feb 23 05:43:09.000000 2015 +0100",
</t>
    </r>
    <r>
      <rPr>
        <rFont val="Arial"/>
        <b/>
        <color theme="1"/>
      </rPr>
      <t xml:space="preserve">        "date_author_commit": "Mon Feb 23 05:43:09.000000 2015 +0100",
 </t>
    </r>
    <r>
      <rPr>
        <rFont val="Arial"/>
        <color theme="1"/>
      </rPr>
      <t xml:space="preserve">       "Parent_1": "97d63d8745cd9b3b391ce96b94b4da263b3a053d",
</t>
    </r>
    <r>
      <rPr>
        <rFont val="Arial"/>
        <b/>
        <color theme="1"/>
      </rPr>
      <t xml:space="preserve">        "Parent_1author_date": "Mon Feb 09 23:28:19.000000 2015 +0100",
 </t>
    </r>
    <r>
      <rPr>
        <rFont val="Arial"/>
        <color theme="1"/>
      </rPr>
      <t xml:space="preserve">       "Parent_1commit_date": "Sun Feb 22 13:56:40.000000 2015 +0100",
</t>
    </r>
    <r>
      <rPr>
        <rFont val="Arial"/>
        <b/>
        <color theme="1"/>
      </rPr>
      <t xml:space="preserve">        "Parent_1possible_rebase": false,
 </t>
    </r>
    <r>
      <rPr>
        <rFont val="Arial"/>
        <color theme="1"/>
      </rPr>
      <t xml:space="preserve">       "Parent_2": "7dd6a4a19311136c02d89cd2afd97236b0f4cc27",
</t>
    </r>
    <r>
      <rPr>
        <rFont val="Arial"/>
        <b/>
        <color theme="1"/>
      </rPr>
      <t xml:space="preserve">        "Parent_2author_date": "Thu Jan 29 15:33:32.000000 2015 +0100",
 </t>
    </r>
    <r>
      <rPr>
        <rFont val="Arial"/>
        <color theme="1"/>
      </rPr>
      <t xml:space="preserve">       "Parent_2commit_date": "Wed Feb 18 14:46:12.000000 2015 +0100",
</t>
    </r>
    <r>
      <rPr>
        <rFont val="Arial"/>
        <b/>
        <color theme="1"/>
      </rPr>
      <t xml:space="preserve">        "Parent_2possible_rebase": false
 </t>
    </r>
    <r>
      <rPr>
        <rFont val="Arial"/>
        <color theme="1"/>
      </rPr>
      <t xml:space="preserve">   },</t>
    </r>
  </si>
  <si>
    <r>
      <rPr>
        <rFont val="Arial"/>
        <color theme="1"/>
      </rPr>
      <t xml:space="preserve">    "75d0aabc4e4402781f5072aedc8ddf0f7d3ab4f7": {
</t>
    </r>
    <r>
      <rPr>
        <rFont val="Arial"/>
        <b/>
        <color theme="1"/>
      </rPr>
      <t xml:space="preserve">        "num_parents": 2,
 </t>
    </r>
    <r>
      <rPr>
        <rFont val="Arial"/>
        <color theme="1"/>
      </rPr>
      <t xml:space="preserve">       "date_commit": "Wed Feb 18 11:33:43.000000 2015 +0100",
</t>
    </r>
    <r>
      <rPr>
        <rFont val="Arial"/>
        <b/>
        <color theme="1"/>
      </rPr>
      <t xml:space="preserve">        "date_author_commit": "Wed Feb 18 11:33:43.000000 2015 +0100",
 </t>
    </r>
    <r>
      <rPr>
        <rFont val="Arial"/>
        <color theme="1"/>
      </rPr>
      <t xml:space="preserve">       "Parent_1": "ad6d5713b1889059d4d271b71600f764079f8acd",
</t>
    </r>
    <r>
      <rPr>
        <rFont val="Arial"/>
        <b/>
        <color theme="1"/>
      </rPr>
      <t xml:space="preserve">        "Parent_1author_date": "Wed Feb 18 09:41:29.000000 2015 +0100",
 </t>
    </r>
    <r>
      <rPr>
        <rFont val="Arial"/>
        <color theme="1"/>
      </rPr>
      <t xml:space="preserve">       "Parent_1commit_date": "Wed Feb 18 09:41:29.000000 2015 +0100",
</t>
    </r>
    <r>
      <rPr>
        <rFont val="Arial"/>
        <b/>
        <color theme="1"/>
      </rPr>
      <t xml:space="preserve">        "Parent_1possible_rebase": false,
 </t>
    </r>
    <r>
      <rPr>
        <rFont val="Arial"/>
        <color theme="1"/>
      </rPr>
      <t xml:space="preserve">       "Parent_2": "b8eb84c07e609c0bc5ca76f3e70907ba14963600",
</t>
    </r>
    <r>
      <rPr>
        <rFont val="Arial"/>
        <b/>
        <color theme="1"/>
      </rPr>
      <t xml:space="preserve">        "Parent_2author_date": "Tue Feb 17 13:21:45.000000 2015 +0100",
 </t>
    </r>
    <r>
      <rPr>
        <rFont val="Arial"/>
        <color theme="1"/>
      </rPr>
      <t xml:space="preserve">       "Parent_2commit_date": "Tue Feb 17 13:21:45.000000 2015 +0100",
</t>
    </r>
    <r>
      <rPr>
        <rFont val="Arial"/>
        <b/>
        <color theme="1"/>
      </rPr>
      <t xml:space="preserve">        "Parent_2possible_rebase": false
 </t>
    </r>
    <r>
      <rPr>
        <rFont val="Arial"/>
        <color theme="1"/>
      </rPr>
      <t xml:space="preserve">   }</t>
    </r>
  </si>
  <si>
    <t>only fix bug (#1414065)</t>
  </si>
  <si>
    <r>
      <rPr/>
      <t xml:space="preserve">fakelibvirt.py
test_driver.py
</t>
    </r>
    <r>
      <rPr>
        <color rgb="FF1155CC"/>
        <u/>
      </rPr>
      <t>test_host.py</t>
    </r>
  </si>
  <si>
    <t>new methods privat and public are tested via modifications and new tests added</t>
  </si>
  <si>
    <t>e.g., # If 'migrateToURI' fails we don't know what state the
        # VM instances on each host are in. Possibilities include
        #
        #  1. src==running, dst==none
        #
        #     Migration failed &amp; rolled back, or never started
        #
        #  2. src==running, dst==paused
        #
        #     Migration started but is still ongoing
        #
        #  3. src==paused,  dst==paused</t>
  </si>
  <si>
    <t>bug fix, change functionality implementing a new one</t>
  </si>
  <si>
    <r>
      <rPr/>
      <t xml:space="preserve">creation of a new class in </t>
    </r>
    <r>
      <rPr>
        <color rgb="FF1155CC"/>
        <u/>
      </rPr>
      <t>hist.py</t>
    </r>
    <r>
      <rPr/>
      <t xml:space="preserve"> class DomainJobInfo</t>
    </r>
  </si>
  <si>
    <t>no design changes were identified. only the logic was changed</t>
  </si>
  <si>
    <t xml:space="preserve">Parent	
75d0aab
Merged As	
7dd6a4a
</t>
  </si>
  <si>
    <r>
      <rPr>
        <rFont val="Arial"/>
        <color theme="1"/>
      </rPr>
      <t xml:space="preserve"> "28c9af9a7acb97a5056bbf92f0d0eee038e32dfb": {
</t>
    </r>
    <r>
      <rPr>
        <rFont val="Arial"/>
        <b/>
        <color theme="1"/>
      </rPr>
      <t xml:space="preserve">        "num_parents": 1,
 </t>
    </r>
    <r>
      <rPr>
        <rFont val="Arial"/>
        <color theme="1"/>
      </rPr>
      <t xml:space="preserve">       "date_commit": "Wed Feb 18 14:46:14.000000 2015 +0100",
</t>
    </r>
    <r>
      <rPr>
        <rFont val="Arial"/>
        <b/>
        <color theme="1"/>
      </rPr>
      <t xml:space="preserve">        "date_author_commit": "Mon Feb 16 18:54:32.000000 2015 +0100",
 </t>
    </r>
    <r>
      <rPr>
        <rFont val="Arial"/>
        <color theme="1"/>
      </rPr>
      <t xml:space="preserve">       "Parent_1": "7dd6a4a19311136c02d89cd2afd97236b0f4cc27",
</t>
    </r>
    <r>
      <rPr>
        <rFont val="Arial"/>
        <b/>
        <color theme="1"/>
      </rPr>
      <t xml:space="preserve">        "Parent_1author_date": "Thu Jan 29 15:33:32.000000 2015 +0100",
 </t>
    </r>
    <r>
      <rPr>
        <rFont val="Arial"/>
        <color theme="1"/>
      </rPr>
      <t xml:space="preserve">       "Parent_1commit_date": "Wed Feb 18 14:46:12.000000 2015 +0100",
</t>
    </r>
    <r>
      <rPr>
        <rFont val="Arial"/>
        <b/>
        <color theme="1"/>
      </rPr>
      <t xml:space="preserve">        "Parent_1possible_rebase": false
 </t>
    </r>
    <r>
      <rPr>
        <rFont val="Arial"/>
        <color theme="1"/>
      </rPr>
      <t xml:space="preserve">   }</t>
    </r>
  </si>
  <si>
    <r>
      <rPr>
        <rFont val="Arial"/>
        <b/>
        <color theme="1"/>
      </rPr>
      <t xml:space="preserve">  "num_parents": 1,
 </t>
    </r>
    <r>
      <rPr>
        <rFont val="Arial"/>
        <color theme="1"/>
      </rPr>
      <t xml:space="preserve">   "author_name": "Yun Mao",
    "author_email": "yunmao@gmail.com",
    "date_commit": "Mon Nov 26 23:10:40.000000 2012 +0100",
</t>
    </r>
    <r>
      <rPr>
        <rFont val="Arial"/>
        <b/>
        <color theme="1"/>
      </rPr>
      <t xml:space="preserve">    "date_author_commit": "Mon Aug 06 18:37:12.000000 2012 +0200",
 </t>
    </r>
    <r>
      <rPr>
        <rFont val="Arial"/>
        <color theme="1"/>
      </rPr>
      <t xml:space="preserve">   "Parent_1": "ab77c4e1b8e4c500a9372e290e658952a2441627",
</t>
    </r>
    <r>
      <rPr>
        <rFont val="Arial"/>
        <b/>
        <color theme="1"/>
      </rPr>
      <t xml:space="preserve">    "Parent_1author_date": "Mon Nov 26 19:47:22.000000 2012 +0100",
 </t>
    </r>
    <r>
      <rPr>
        <rFont val="Arial"/>
        <color theme="1"/>
      </rPr>
      <t xml:space="preserve">   "Parent_1commit_date": "Mon Nov 26 19:47:22.000000 2012 +0100",
</t>
    </r>
    <r>
      <rPr>
        <rFont val="Arial"/>
        <b/>
        <color theme="1"/>
      </rPr>
      <t xml:space="preserve">    "Parent_1possible_rebase": true</t>
    </r>
  </si>
  <si>
    <r>
      <rPr>
        <rFont val="Arial"/>
        <color theme="1"/>
      </rPr>
      <t xml:space="preserve">    "d751a58d0a909a5ab9605a4fc707c1027d710755": {
</t>
    </r>
    <r>
      <rPr>
        <rFont val="Arial"/>
        <b/>
        <color theme="1"/>
      </rPr>
      <t xml:space="preserve">        "num_parents": 2,
 </t>
    </r>
    <r>
      <rPr>
        <rFont val="Arial"/>
        <color theme="1"/>
      </rPr>
      <t xml:space="preserve">       "date_commit": "Tue Nov 27 00:57:25.000000 2012 +0100",
</t>
    </r>
    <r>
      <rPr>
        <rFont val="Arial"/>
        <b/>
        <color theme="1"/>
      </rPr>
      <t xml:space="preserve">        "date_author_commit": "Tue Nov 27 00:57:25.000000 2012 +0100",
 </t>
    </r>
    <r>
      <rPr>
        <rFont val="Arial"/>
        <color theme="1"/>
      </rPr>
      <t xml:space="preserve">       "Parent_1": "0e4e6edb06951dc836651697c2dc6bd0a7d0f862",
</t>
    </r>
    <r>
      <rPr>
        <rFont val="Arial"/>
        <b/>
        <color theme="1"/>
      </rPr>
      <t xml:space="preserve">        "Parent_1author_date": "Mon Nov 26 22:43:09.000000 2012 +0100",
 </t>
    </r>
    <r>
      <rPr>
        <rFont val="Arial"/>
        <color theme="1"/>
      </rPr>
      <t xml:space="preserve">       "Parent_1commit_date": "Mon Nov 26 22:43:09.000000 2012 +0100",
</t>
    </r>
    <r>
      <rPr>
        <rFont val="Arial"/>
        <b/>
        <color theme="1"/>
      </rPr>
      <t xml:space="preserve">        "Parent_1possible_rebase": false,
 </t>
    </r>
    <r>
      <rPr>
        <rFont val="Arial"/>
        <color theme="1"/>
      </rPr>
      <t xml:space="preserve">       "Parent_2": "64e167eb62bd3483b2947ec8de218453c116bd93",
</t>
    </r>
    <r>
      <rPr>
        <rFont val="Arial"/>
        <b/>
        <color theme="1"/>
      </rPr>
      <t xml:space="preserve">        "Parent_2author_date": "Mon Aug 06 18:37:12.000000 2012 +0200",
 </t>
    </r>
    <r>
      <rPr>
        <rFont val="Arial"/>
        <color theme="1"/>
      </rPr>
      <t xml:space="preserve">       "Parent_2commit_date": "Mon Nov 26 23:10:40.000000 2012 +0100",
</t>
    </r>
    <r>
      <rPr>
        <rFont val="Arial"/>
        <b/>
        <color theme="1"/>
      </rPr>
      <t xml:space="preserve">        "Parent_2possible_rebase": false
 </t>
    </r>
    <r>
      <rPr>
        <rFont val="Arial"/>
        <color theme="1"/>
      </rPr>
      <t xml:space="preserve">   }</t>
    </r>
  </si>
  <si>
    <r>
      <rPr>
        <rFont val="Arial"/>
        <color theme="1"/>
      </rPr>
      <t xml:space="preserve">    "ab77c4e1b8e4c500a9372e290e658952a2441627": {
</t>
    </r>
    <r>
      <rPr>
        <rFont val="Arial"/>
        <b/>
        <color theme="1"/>
      </rPr>
      <t xml:space="preserve">        "num_parents": 2,
 </t>
    </r>
    <r>
      <rPr>
        <rFont val="Arial"/>
        <color theme="1"/>
      </rPr>
      <t xml:space="preserve">       "date_commit": "Mon Nov 26 19:47:22.000000 2012 +0100",
</t>
    </r>
    <r>
      <rPr>
        <rFont val="Arial"/>
        <b/>
        <color theme="1"/>
      </rPr>
      <t xml:space="preserve">        "date_author_commit": "Mon Nov 26 19:47:22.000000 2012 +0100",
 </t>
    </r>
    <r>
      <rPr>
        <rFont val="Arial"/>
        <color theme="1"/>
      </rPr>
      <t xml:space="preserve">       "Parent_1": "9adc3a456a4a38fd9e372ddd7ee2fc6abeddbb0d",
</t>
    </r>
    <r>
      <rPr>
        <rFont val="Arial"/>
        <b/>
        <color theme="1"/>
      </rPr>
      <t xml:space="preserve">        "Parent_1author_date": "Mon Nov 26 19:39:22.000000 2012 +0100",
 </t>
    </r>
    <r>
      <rPr>
        <rFont val="Arial"/>
        <color theme="1"/>
      </rPr>
      <t xml:space="preserve">       "Parent_1commit_date": "Mon Nov 26 19:39:22.000000 2012 +0100",
</t>
    </r>
    <r>
      <rPr>
        <rFont val="Arial"/>
        <b/>
        <color theme="1"/>
      </rPr>
      <t xml:space="preserve">        "Parent_1possible_rebase": false,
 </t>
    </r>
    <r>
      <rPr>
        <rFont val="Arial"/>
        <color theme="1"/>
      </rPr>
      <t xml:space="preserve">       "Parent_2": "717c9755805aa06340130b6bc4e7de8f81ea8e57",
</t>
    </r>
    <r>
      <rPr>
        <rFont val="Arial"/>
        <b/>
        <color theme="1"/>
      </rPr>
      <t xml:space="preserve">        "Parent_2author_date": "Wed Oct 03 20:21:24.000000 2012 +0200",
 </t>
    </r>
    <r>
      <rPr>
        <rFont val="Arial"/>
        <color theme="1"/>
      </rPr>
      <t xml:space="preserve">       "Parent_2commit_date": "Mon Nov 26 18:16:53.000000 2012 +0100",
</t>
    </r>
    <r>
      <rPr>
        <rFont val="Arial"/>
        <b/>
        <color theme="1"/>
      </rPr>
      <t xml:space="preserve">        "Parent_2possible_rebase": false
 </t>
    </r>
    <r>
      <rPr>
        <rFont val="Arial"/>
        <color theme="1"/>
      </rPr>
      <t xml:space="preserve">   }</t>
    </r>
  </si>
  <si>
    <t>two main concerns: * provide a pluggable ServiceGroup monitoring API
* refactor the old DB-based implementation to the new API</t>
  </si>
  <si>
    <t>test_host_filters.py
test_scheduler.py
servicegroup
__init__.py
test_db_servicegroup.py
test_service.py
test_utils.py</t>
  </si>
  <si>
    <r>
      <rPr/>
      <t xml:space="preserve">the public methods are tested in the new test file </t>
    </r>
    <r>
      <rPr>
        <color rgb="FF1155CC"/>
        <u/>
      </rPr>
      <t>test_db_servicegroup.py</t>
    </r>
    <r>
      <rPr/>
      <t xml:space="preserve"> and the privat ones are tested as part of the public ones</t>
    </r>
  </si>
  <si>
    <t>jenkins 4</t>
  </si>
  <si>
    <t>e.g.,  """Moved from nova.utils
        Check whether a service is up based on last heartbeat.
        """
also doc impact</t>
  </si>
  <si>
    <t>e.g.,  """Moved from nova.utils
        Check whether a service is up based on last heartbeat.
        """</t>
  </si>
  <si>
    <t>e.g., if utils.service_is_up(service):
                if self.servicegroup_api.service_is_up(service):</t>
  </si>
  <si>
    <t>the buggy file is completly new file</t>
  </si>
  <si>
    <r>
      <rPr/>
      <t xml:space="preserve">creation of a new package with modules. servicegroup
__init__.py
api.py
</t>
    </r>
    <r>
      <rPr>
        <color rgb="FF1155CC"/>
        <u/>
      </rPr>
      <t>db_driver.py</t>
    </r>
  </si>
  <si>
    <r>
      <rPr/>
      <t xml:space="preserve">creation of a new package with modules. servicegroup
__init__.py
</t>
    </r>
    <r>
      <rPr>
        <color rgb="FF1155CC"/>
        <u/>
      </rPr>
      <t>db_driver.py</t>
    </r>
  </si>
  <si>
    <t>e.g., 
from random import choice</t>
  </si>
  <si>
    <t>Yun Mao (yunmao@gmail.com), Pavel Kravchenco (kpavel@il.ibm.com), Alexey Roytman (roytman@il.ibm.com)</t>
  </si>
  <si>
    <t>Parent	
ab77c4e
Merged As	
64e167e</t>
  </si>
  <si>
    <t>x_files buggy identified different name 
db_driver.py</t>
  </si>
  <si>
    <r>
      <rPr>
        <rFont val="Arial"/>
        <b/>
        <color theme="1"/>
      </rPr>
      <t xml:space="preserve">   "num_parents": 1,
 </t>
    </r>
    <r>
      <rPr>
        <rFont val="Arial"/>
        <color theme="1"/>
      </rPr>
      <t xml:space="preserve">   "author_name": "Rick Harris",
    "author_email": "rconradharris@gmail.com",
    "date_commit": "Fri Jul 11 18:21:37.000000 2014 +0200",
</t>
    </r>
    <r>
      <rPr>
        <rFont val="Arial"/>
        <b/>
        <color theme="1"/>
      </rPr>
      <t xml:space="preserve">    "date_author_commit": "Tue Jun 24 21:03:17.000000 2014 +0200",
 </t>
    </r>
    <r>
      <rPr>
        <rFont val="Arial"/>
        <color theme="1"/>
      </rPr>
      <t xml:space="preserve">   "Parent_1": "119b95290b38f370020e43da790508398ea87f6d",
</t>
    </r>
    <r>
      <rPr>
        <rFont val="Arial"/>
        <b/>
        <color theme="1"/>
      </rPr>
      <t xml:space="preserve">    "Parent_1author_date": "Fri Jul 11 17:58:49.000000 2014 +0200",
 </t>
    </r>
    <r>
      <rPr>
        <rFont val="Arial"/>
        <color theme="1"/>
      </rPr>
      <t xml:space="preserve">   "Parent_1commit_date": "Fri Jul 11 17:58:49.000000 2014 +0200",
</t>
    </r>
    <r>
      <rPr>
        <rFont val="Arial"/>
        <b/>
        <color theme="1"/>
      </rPr>
      <t xml:space="preserve">    "Parent_1possible_rebase": true</t>
    </r>
  </si>
  <si>
    <r>
      <rPr>
        <rFont val="Arial"/>
        <color theme="1"/>
      </rPr>
      <t xml:space="preserve">    "e8c300efeb6656e84caa5be7e0df6ddd8e0e7ab1": {
</t>
    </r>
    <r>
      <rPr>
        <rFont val="Arial"/>
        <b/>
        <color theme="1"/>
      </rPr>
      <t xml:space="preserve">        "num_parents": 2,
 </t>
    </r>
    <r>
      <rPr>
        <rFont val="Arial"/>
        <color theme="1"/>
      </rPr>
      <t xml:space="preserve">       "date_commit": "Tue Jul 22 22:38:56.000000 2014 +0200",
        "date_author_commit": "Tue Jul 22 22:38:56.000000 2014 +0200",
        "Parent_1": "b0f5992c5f2647cfa6026a8c07e146edc46e137c",
</t>
    </r>
    <r>
      <rPr>
        <rFont val="Arial"/>
        <b/>
        <color theme="1"/>
      </rPr>
      <t xml:space="preserve">        "Parent_1author_date": "Tue Jul 22 22:38:42.000000 2014 +0200",
 </t>
    </r>
    <r>
      <rPr>
        <rFont val="Arial"/>
        <color theme="1"/>
      </rPr>
      <t xml:space="preserve">       "Parent_1commit_date": "Tue Jul 22 22:38:42.000000 2014 +0200",
</t>
    </r>
    <r>
      <rPr>
        <rFont val="Arial"/>
        <b/>
        <color theme="1"/>
      </rPr>
      <t xml:space="preserve">        "Parent_1possible_rebase": false,
 </t>
    </r>
    <r>
      <rPr>
        <rFont val="Arial"/>
        <color theme="1"/>
      </rPr>
      <t xml:space="preserve">       "Parent_2": "60c90f73261efb8c73ecc02152307c81265cab13",
</t>
    </r>
    <r>
      <rPr>
        <rFont val="Arial"/>
        <b/>
        <color theme="1"/>
      </rPr>
      <t xml:space="preserve">        "Parent_2author_date": "Tue Jun 24 21:03:17.000000 2014 +0200",
 </t>
    </r>
    <r>
      <rPr>
        <rFont val="Arial"/>
        <color theme="1"/>
      </rPr>
      <t xml:space="preserve">       "Parent_2commit_date": "Fri Jul 11 18:21:37.000000 2014 +0200",
</t>
    </r>
    <r>
      <rPr>
        <rFont val="Arial"/>
        <b/>
        <color theme="1"/>
      </rPr>
      <t xml:space="preserve">        "Parent_2possible_rebase": false
 </t>
    </r>
    <r>
      <rPr>
        <rFont val="Arial"/>
        <color theme="1"/>
      </rPr>
      <t xml:space="preserve">   }</t>
    </r>
  </si>
  <si>
    <r>
      <rPr>
        <rFont val="Arial"/>
        <color theme="1"/>
      </rPr>
      <t xml:space="preserve">    "119b95290b38f370020e43da790508398ea87f6d": {
</t>
    </r>
    <r>
      <rPr>
        <rFont val="Arial"/>
        <b/>
        <color theme="1"/>
      </rPr>
      <t xml:space="preserve">        "num_parents": 2,
 </t>
    </r>
    <r>
      <rPr>
        <rFont val="Arial"/>
        <color theme="1"/>
      </rPr>
      <t xml:space="preserve">       "date_commit": "Fri Jul 11 17:58:49.000000 2014 +0200",
</t>
    </r>
    <r>
      <rPr>
        <rFont val="Arial"/>
        <b/>
        <color theme="1"/>
      </rPr>
      <t xml:space="preserve">        "date_author_commit": "Fri Jul 11 17:58:49.000000 2014 +0200",
 </t>
    </r>
    <r>
      <rPr>
        <rFont val="Arial"/>
        <color theme="1"/>
      </rPr>
      <t xml:space="preserve">       "Parent_1": "031add7a82fb088ae9a4586189cc5f89c1a303b6",
</t>
    </r>
    <r>
      <rPr>
        <rFont val="Arial"/>
        <b/>
        <color theme="1"/>
      </rPr>
      <t xml:space="preserve">        "Parent_1author_date": "Fri Jul 11 16:33:25.000000 2014 +0200",
 </t>
    </r>
    <r>
      <rPr>
        <rFont val="Arial"/>
        <color theme="1"/>
      </rPr>
      <t xml:space="preserve">       "Parent_1commit_date": "Fri Jul 11 16:33:25.000000 2014 +0200",
</t>
    </r>
    <r>
      <rPr>
        <rFont val="Arial"/>
        <b/>
        <color theme="1"/>
      </rPr>
      <t xml:space="preserve">        "Parent_1possible_rebase": false,
 </t>
    </r>
    <r>
      <rPr>
        <rFont val="Arial"/>
        <color theme="1"/>
      </rPr>
      <t xml:space="preserve">       "Parent_2": "8af2fdfa8864b369eec599d2bccefb01c8f0c330",
</t>
    </r>
    <r>
      <rPr>
        <rFont val="Arial"/>
        <b/>
        <color theme="1"/>
      </rPr>
      <t xml:space="preserve">        "Parent_2author_date": "Thu Jul 03 10:54:29.000000 2014 +0200",
 </t>
    </r>
    <r>
      <rPr>
        <rFont val="Arial"/>
        <color theme="1"/>
      </rPr>
      <t xml:space="preserve">       "Parent_2commit_date": "Thu Jul 03 16:27:40.000000 2014 +0200",
</t>
    </r>
    <r>
      <rPr>
        <rFont val="Arial"/>
        <b/>
        <color theme="1"/>
      </rPr>
      <t xml:space="preserve">        "Parent_2possible_rebase": false
 </t>
    </r>
    <r>
      <rPr>
        <rFont val="Arial"/>
        <color theme="1"/>
      </rPr>
      <t xml:space="preserve">   }</t>
    </r>
  </si>
  <si>
    <t>only fix one bug (1333827)</t>
  </si>
  <si>
    <t>the public methods are tested in the modified test file driver. the new cases were tested and modified the previous ones</t>
  </si>
  <si>
    <t>microsoft Hyper V 1</t>
  </si>
  <si>
    <t>e.g., # NOTE(uni): Now the container is running with its own private
            # mount namespace and so there is no need to keep the container
            # rootfs mounted in the host namespace</t>
  </si>
  <si>
    <t>Rick Harris (rconradharris@gmail.com)</t>
  </si>
  <si>
    <t>Parent	
119b952
Merged As	
60c90f7</t>
  </si>
  <si>
    <r>
      <rPr>
        <rFont val="Arial"/>
        <b/>
        <color theme="1"/>
      </rPr>
      <t xml:space="preserve"> "num_parents": 1,
 </t>
    </r>
    <r>
      <rPr>
        <rFont val="Arial"/>
        <color theme="1"/>
      </rPr>
      <t xml:space="preserve">   "author_name": "Sahid Orentino Ferdjaoui",
    "author_email": "sahid.ferdjaoui@redhat.com",
    "date_commit": "Tue Jan 20 17:18:04.000000 2015 +0100",
</t>
    </r>
    <r>
      <rPr>
        <rFont val="Arial"/>
        <b/>
        <color theme="1"/>
      </rPr>
      <t xml:space="preserve">    "date_author_commit": "Mon Nov 10 10:15:46.000000 2014 +0100",
 </t>
    </r>
    <r>
      <rPr>
        <rFont val="Arial"/>
        <color theme="1"/>
      </rPr>
      <t xml:space="preserve">   "Parent_1": "ba01e0141155d4be48720d4547ef03596b6eace3",
</t>
    </r>
    <r>
      <rPr>
        <rFont val="Arial"/>
        <b/>
        <color theme="1"/>
      </rPr>
      <t xml:space="preserve">    "Parent_1author_date": "Tue Jan 20 17:08:17.000000 2015 +0100",
 </t>
    </r>
    <r>
      <rPr>
        <rFont val="Arial"/>
        <color theme="1"/>
      </rPr>
      <t xml:space="preserve">   "Parent_1commit_date": "Tue Jan 20 17:08:17.000000 2015 +0100",
</t>
    </r>
    <r>
      <rPr>
        <rFont val="Arial"/>
        <b/>
        <color theme="1"/>
      </rPr>
      <t xml:space="preserve">    "Parent_1possible_rebase": true</t>
    </r>
  </si>
  <si>
    <r>
      <rPr>
        <rFont val="Arial"/>
        <color theme="1"/>
      </rPr>
      <t xml:space="preserve">  "ee4ad49b42fe0b2a0b10b099268238f87e40188c": {
</t>
    </r>
    <r>
      <rPr>
        <rFont val="Arial"/>
        <b/>
        <color theme="1"/>
      </rPr>
      <t xml:space="preserve">        "num_parents": 2,
 </t>
    </r>
    <r>
      <rPr>
        <rFont val="Arial"/>
        <color theme="1"/>
      </rPr>
      <t xml:space="preserve">       "date_commit": "Mon Feb 02 21:53:02.000000 2015 +0100",
</t>
    </r>
    <r>
      <rPr>
        <rFont val="Arial"/>
        <b/>
        <color theme="1"/>
      </rPr>
      <t xml:space="preserve">        "date_author_commit": "Mon Feb 02 21:53:02.000000 2015 +0100",
 </t>
    </r>
    <r>
      <rPr>
        <rFont val="Arial"/>
        <color theme="1"/>
      </rPr>
      <t xml:space="preserve">       "Parent_1": "6674783aacaf4a092dcb8d9ee814499e15061ae9",
</t>
    </r>
    <r>
      <rPr>
        <rFont val="Arial"/>
        <b/>
        <color theme="1"/>
      </rPr>
      <t xml:space="preserve">        "Parent_1author_date": "Mon Feb 02 21:52:40.000000 2015 +0100",
 </t>
    </r>
    <r>
      <rPr>
        <rFont val="Arial"/>
        <color theme="1"/>
      </rPr>
      <t xml:space="preserve">       "Parent_1commit_date": "Mon Feb 02 21:52:40.000000 2015 +0100",
</t>
    </r>
    <r>
      <rPr>
        <rFont val="Arial"/>
        <b/>
        <color theme="1"/>
      </rPr>
      <t xml:space="preserve">        "Parent_1possible_rebase": false,
</t>
    </r>
    <r>
      <rPr>
        <rFont val="Arial"/>
        <color theme="1"/>
      </rPr>
      <t xml:space="preserve">        "Parent_2": "d2cbb9adeaddefc00db430644e0d51b11ffb7600",
</t>
    </r>
    <r>
      <rPr>
        <rFont val="Arial"/>
        <b/>
        <color theme="1"/>
      </rPr>
      <t xml:space="preserve">        "Parent_2author_date": "Mon Nov 10 10:15:46.000000 2014 +0100",
</t>
    </r>
    <r>
      <rPr>
        <rFont val="Arial"/>
        <color theme="1"/>
      </rPr>
      <t xml:space="preserve">        "Parent_2commit_date": "Tue Jan 20 17:18:04.000000 2015 +0100",
</t>
    </r>
    <r>
      <rPr>
        <rFont val="Arial"/>
        <b/>
        <color theme="1"/>
      </rPr>
      <t xml:space="preserve">        "Parent_2possible_rebase": false
</t>
    </r>
    <r>
      <rPr>
        <rFont val="Arial"/>
        <color theme="1"/>
      </rPr>
      <t xml:space="preserve">    }</t>
    </r>
  </si>
  <si>
    <r>
      <rPr>
        <rFont val="Arial"/>
        <color theme="1"/>
      </rPr>
      <t xml:space="preserve">   "ba01e0141155d4be48720d4547ef03596b6eace3": {
</t>
    </r>
    <r>
      <rPr>
        <rFont val="Arial"/>
        <b/>
        <color theme="1"/>
      </rPr>
      <t xml:space="preserve">        "num_parents": 2,
 </t>
    </r>
    <r>
      <rPr>
        <rFont val="Arial"/>
        <color theme="1"/>
      </rPr>
      <t xml:space="preserve">       "date_commit": "Tue Jan 20 17:08:17.000000 2015 +0100",
</t>
    </r>
    <r>
      <rPr>
        <rFont val="Arial"/>
        <b/>
        <color theme="1"/>
      </rPr>
      <t xml:space="preserve">        "date_author_commit": "Tue Jan 20 17:08:17.000000 2015 +0100",
 </t>
    </r>
    <r>
      <rPr>
        <rFont val="Arial"/>
        <color theme="1"/>
      </rPr>
      <t xml:space="preserve">       "Parent_1": "794700558efe07044d4673f2d60af00200e18f56",
</t>
    </r>
    <r>
      <rPr>
        <rFont val="Arial"/>
        <b/>
        <color theme="1"/>
      </rPr>
      <t xml:space="preserve">        "Parent_1author_date": "Tue Jan 20 17:06:28.000000 2015 +0100",
 </t>
    </r>
    <r>
      <rPr>
        <rFont val="Arial"/>
        <color theme="1"/>
      </rPr>
      <t xml:space="preserve">       "Parent_1commit_date": "Tue Jan 20 17:06:28.000000 2015 +0100",
</t>
    </r>
    <r>
      <rPr>
        <rFont val="Arial"/>
        <b/>
        <color theme="1"/>
      </rPr>
      <t xml:space="preserve">        "Parent_1possible_rebase": false,
 </t>
    </r>
    <r>
      <rPr>
        <rFont val="Arial"/>
        <color theme="1"/>
      </rPr>
      <t xml:space="preserve">       "Parent_2": "770ab8eeb72b184ac6164aeabb89c4bf45f938a9",
</t>
    </r>
    <r>
      <rPr>
        <rFont val="Arial"/>
        <b/>
        <color theme="1"/>
      </rPr>
      <t xml:space="preserve">        "Parent_2author_date": "Mon Dec 08 14:45:48.000000 2014 +0100",
 </t>
    </r>
    <r>
      <rPr>
        <rFont val="Arial"/>
        <color theme="1"/>
      </rPr>
      <t xml:space="preserve">       "Parent_2commit_date": "Mon Jan 19 13:49:31.000000 2015 +0100",
</t>
    </r>
    <r>
      <rPr>
        <rFont val="Arial"/>
        <b/>
        <color theme="1"/>
      </rPr>
      <t xml:space="preserve">        "Parent_2possible_rebase": false
 </t>
    </r>
    <r>
      <rPr>
        <rFont val="Arial"/>
        <color theme="1"/>
      </rPr>
      <t xml:space="preserve">   }</t>
    </r>
  </si>
  <si>
    <t>introduces to a new functionality. (Introduces a new module baseproxy)</t>
  </si>
  <si>
    <t>no tests were modified</t>
  </si>
  <si>
    <t>no tests modified</t>
  </si>
  <si>
    <t>e.g., """Base proxy module used to create compatible consoles
for Openstack Nova."""</t>
  </si>
  <si>
    <t>e.g., """Base proxy module used to create compatible consoles
for Openstack Nova.""" in baseproxy</t>
  </si>
  <si>
    <t>a new module that accomplish the same functionalities wascreated to avoid code deduplication between different modules</t>
  </si>
  <si>
    <t>a new module that accomplish the same functionalities wascreated to avoid code deduplication between different modules. Module created baseproxy and module modified novn..)</t>
  </si>
  <si>
    <t>a new module is created</t>
  </si>
  <si>
    <t>a new module is created. Baseproxy</t>
  </si>
  <si>
    <t>e.g., import os
import sys</t>
  </si>
  <si>
    <t>Sahid Orentino Ferdjaoui (sahid.ferdjaoui@redhat.com)</t>
  </si>
  <si>
    <t>Repo | Branch	openstack/nova | master
Parent	
ba01e01
Merged As	
d2cbb9a</t>
  </si>
  <si>
    <r>
      <rPr>
        <rFont val="Arial"/>
        <b/>
        <color theme="1"/>
      </rPr>
      <t xml:space="preserve">    "num_parents": 1,
 </t>
    </r>
    <r>
      <rPr>
        <rFont val="Arial"/>
        <color theme="1"/>
      </rPr>
      <t xml:space="preserve">   "author_name": "Vishvananda Ishaya",
    "author_email": "vishvananda@gmail.com",
    "date_commit": "Thu Jun 19 18:20:49.000000 2014 +0200",
</t>
    </r>
    <r>
      <rPr>
        <rFont val="Arial"/>
        <b/>
        <color theme="1"/>
      </rPr>
      <t xml:space="preserve">    "date_author_commit": "Wed May 14 23:36:59.000000 2014 +0200",
</t>
    </r>
    <r>
      <rPr>
        <rFont val="Arial"/>
        <color theme="1"/>
      </rPr>
      <t xml:space="preserve">    "Parent_1": "ad6051bb5c2b62a0de6708cd2d7ac1e3cfd8f1d3",
</t>
    </r>
    <r>
      <rPr>
        <rFont val="Arial"/>
        <b/>
        <color theme="1"/>
      </rPr>
      <t xml:space="preserve">    "Parent_1author_date": "Wed May 14 23:35:30.000000 2014 +0200",
 </t>
    </r>
    <r>
      <rPr>
        <rFont val="Arial"/>
        <color theme="1"/>
      </rPr>
      <t xml:space="preserve">   "Parent_1commit_date": "Thu Jun 19 18:20:49.000000 2014 +0200",
</t>
    </r>
    <r>
      <rPr>
        <rFont val="Arial"/>
        <b/>
        <color theme="1"/>
      </rPr>
      <t xml:space="preserve">    "Parent_1possible_rebase": false</t>
    </r>
  </si>
  <si>
    <r>
      <rPr>
        <rFont val="Arial"/>
        <color theme="1"/>
      </rPr>
      <t xml:space="preserve"> "646338d9981435a3a9ffa72373933e0e56a258ce": {
</t>
    </r>
    <r>
      <rPr>
        <rFont val="Arial"/>
        <b/>
        <color theme="1"/>
      </rPr>
      <t xml:space="preserve">        "num_parents": 2,
 </t>
    </r>
    <r>
      <rPr>
        <rFont val="Arial"/>
        <color theme="1"/>
      </rPr>
      <t xml:space="preserve">       "date_commit": "Tue Jun 24 07:19:21.000000 2014 +0200",
</t>
    </r>
    <r>
      <rPr>
        <rFont val="Arial"/>
        <b/>
        <color theme="1"/>
      </rPr>
      <t xml:space="preserve">        "date_author_commit": "Tue Jun 24 07:19:21.000000 2014 +0200",
 </t>
    </r>
    <r>
      <rPr>
        <rFont val="Arial"/>
        <color theme="1"/>
      </rPr>
      <t xml:space="preserve">       "Parent_1": "7b6db5d60d830d0a758a9dcf4e7379a8596ead27",
</t>
    </r>
    <r>
      <rPr>
        <rFont val="Arial"/>
        <b/>
        <color theme="1"/>
      </rPr>
      <t xml:space="preserve">        "Parent_1author_date": "Tue Jun 24 06:00:58.000000 2014 +0200",
 </t>
    </r>
    <r>
      <rPr>
        <rFont val="Arial"/>
        <color theme="1"/>
      </rPr>
      <t xml:space="preserve">       "Parent_1commit_date": "Tue Jun 24 06:00:58.000000 2014 +0200",
</t>
    </r>
    <r>
      <rPr>
        <rFont val="Arial"/>
        <b/>
        <color theme="1"/>
      </rPr>
      <t xml:space="preserve">        "Parent_1possible_rebase": false,
 </t>
    </r>
    <r>
      <rPr>
        <rFont val="Arial"/>
        <color theme="1"/>
      </rPr>
      <t xml:space="preserve">       "Parent_2": "447641972539f1e13923c6ee5d64169f4229b856",
</t>
    </r>
    <r>
      <rPr>
        <rFont val="Arial"/>
        <b/>
        <color theme="1"/>
      </rPr>
      <t xml:space="preserve">        "Parent_2author_date": "Wed May 14 23:36:59.000000 2014 +0200",
 </t>
    </r>
    <r>
      <rPr>
        <rFont val="Arial"/>
        <color theme="1"/>
      </rPr>
      <t xml:space="preserve">       "Parent_2commit_date": "Thu Jun 19 18:20:49.000000 2014 +0200",
</t>
    </r>
    <r>
      <rPr>
        <rFont val="Arial"/>
        <b/>
        <color theme="1"/>
      </rPr>
      <t xml:space="preserve">        "Parent_2possible_rebase": false
 </t>
    </r>
    <r>
      <rPr>
        <rFont val="Arial"/>
        <color theme="1"/>
      </rPr>
      <t xml:space="preserve">   },</t>
    </r>
  </si>
  <si>
    <r>
      <rPr>
        <rFont val="Arial"/>
        <color theme="1"/>
      </rPr>
      <t xml:space="preserve">    "ad6051bb5c2b62a0de6708cd2d7ac1e3cfd8f1d3": {
</t>
    </r>
    <r>
      <rPr>
        <rFont val="Arial"/>
        <b/>
        <color theme="1"/>
      </rPr>
      <t xml:space="preserve">        "num_parents": 1,
 </t>
    </r>
    <r>
      <rPr>
        <rFont val="Arial"/>
        <color theme="1"/>
      </rPr>
      <t xml:space="preserve">       "date_commit": "Thu Jun 19 18:20:49.000000 2014 +0200",
</t>
    </r>
    <r>
      <rPr>
        <rFont val="Arial"/>
        <b/>
        <color theme="1"/>
      </rPr>
      <t xml:space="preserve">        "date_author_commit": "Wed May 14 23:35:30.000000 2014 +0200",
 </t>
    </r>
    <r>
      <rPr>
        <rFont val="Arial"/>
        <color theme="1"/>
      </rPr>
      <t xml:space="preserve">       "Parent_1": "2958e570ff80a10a29ba078a15fe84b72f1476cc",
</t>
    </r>
    <r>
      <rPr>
        <rFont val="Arial"/>
        <b/>
        <color theme="1"/>
      </rPr>
      <t xml:space="preserve">        "Parent_1author_date": "Thu May 08 17:55:26.000000 2014 +0200",
 </t>
    </r>
    <r>
      <rPr>
        <rFont val="Arial"/>
        <color theme="1"/>
      </rPr>
      <t xml:space="preserve">       "Parent_1commit_date": "Thu Jun 19 18:20:49.000000 2014 +0200",
</t>
    </r>
    <r>
      <rPr>
        <rFont val="Arial"/>
        <b/>
        <color theme="1"/>
      </rPr>
      <t xml:space="preserve">        "Parent_1possible_rebase": false
 </t>
    </r>
    <r>
      <rPr>
        <rFont val="Arial"/>
        <color theme="1"/>
      </rPr>
      <t xml:space="preserve">   }</t>
    </r>
  </si>
  <si>
    <t>only implements a new feature (better-support-for-multiple-networks)</t>
  </si>
  <si>
    <t>test_manager.py</t>
  </si>
  <si>
    <t>the modified tests do not cover the changes</t>
  </si>
  <si>
    <t xml:space="preserve">the tests previous  or before  modifications do not chanage the tests the modified functionalities </t>
  </si>
  <si>
    <t>Jenkins 1</t>
  </si>
  <si>
    <t>Vishvananda Ishaya (vishvananda@gmail.com)</t>
  </si>
  <si>
    <t>Parent	
ad6051b
Merged As	
4476419</t>
  </si>
  <si>
    <r>
      <rPr>
        <rFont val="Arial"/>
        <color theme="1"/>
      </rPr>
      <t xml:space="preserve"> "e29a80022c305fa5050e83fe7a420d5a57f7a9b4": {
</t>
    </r>
    <r>
      <rPr>
        <rFont val="Arial"/>
        <b/>
        <color theme="1"/>
      </rPr>
      <t xml:space="preserve">        "num_parents": 1,
 </t>
    </r>
    <r>
      <rPr>
        <rFont val="Arial"/>
        <color theme="1"/>
      </rPr>
      <t xml:space="preserve">       "date_commit": "Thu Jun 19 18:20:49.000000 2014 +0200",
</t>
    </r>
    <r>
      <rPr>
        <rFont val="Arial"/>
        <b/>
        <color theme="1"/>
      </rPr>
      <t xml:space="preserve">        "date_author_commit": "Thu May 08 23:03:55.000000 2014 +0200",
 </t>
    </r>
    <r>
      <rPr>
        <rFont val="Arial"/>
        <color theme="1"/>
      </rPr>
      <t xml:space="preserve">       "Parent_1": "447641972539f1e13923c6ee5d64169f4229b856",
</t>
    </r>
    <r>
      <rPr>
        <rFont val="Arial"/>
        <b/>
        <color theme="1"/>
      </rPr>
      <t xml:space="preserve">        "Parent_1author_date": "Wed May 14 23:36:59.000000 2014 +0200",
 </t>
    </r>
    <r>
      <rPr>
        <rFont val="Arial"/>
        <color theme="1"/>
      </rPr>
      <t xml:space="preserve">       "Parent_1commit_date": "Thu Jun 19 18:20:49.000000 2014 +0200",
</t>
    </r>
    <r>
      <rPr>
        <rFont val="Arial"/>
        <b/>
        <color theme="1"/>
      </rPr>
      <t xml:space="preserve">        "Parent_1possible_rebase": true
 </t>
    </r>
    <r>
      <rPr>
        <rFont val="Arial"/>
        <color theme="1"/>
      </rPr>
      <t xml:space="preserve">   }</t>
    </r>
  </si>
  <si>
    <r>
      <rPr>
        <rFont val="Arial"/>
        <b/>
        <color theme="1"/>
      </rPr>
      <t xml:space="preserve">    "num_parents": 1,
 </t>
    </r>
    <r>
      <rPr>
        <rFont val="Arial"/>
        <color theme="1"/>
      </rPr>
      <t xml:space="preserve">   "author_name": "Sylvain Bauza",
    "author_email": "sbauza@redhat.com",
    "date_commit": "Tue Sep 30 16:41:02.000000 2014 +0200",
</t>
    </r>
    <r>
      <rPr>
        <rFont val="Arial"/>
        <b/>
        <color theme="1"/>
      </rPr>
      <t xml:space="preserve">    "date_author_commit": "Mon Sep 29 13:33:50.000000 2014 +0200",
 </t>
    </r>
    <r>
      <rPr>
        <rFont val="Arial"/>
        <color theme="1"/>
      </rPr>
      <t xml:space="preserve">   "Parent_1": "3c13c9e9419d4bf09d03f679d66b12f40f4c2a16",
</t>
    </r>
    <r>
      <rPr>
        <rFont val="Arial"/>
        <b/>
        <color theme="1"/>
      </rPr>
      <t xml:space="preserve">    "Parent_1author_date": "Thu Sep 25 08:08:45.000000 2014 +0200",
 </t>
    </r>
    <r>
      <rPr>
        <rFont val="Arial"/>
        <color theme="1"/>
      </rPr>
      <t xml:space="preserve">   "Parent_1commit_date": "Thu Sep 25 08:08:45.000000 2014 +0200",
</t>
    </r>
    <r>
      <rPr>
        <rFont val="Arial"/>
        <b/>
        <color theme="1"/>
      </rPr>
      <t xml:space="preserve">    "Parent_1possible_rebase": false</t>
    </r>
  </si>
  <si>
    <r>
      <rPr>
        <rFont val="Arial"/>
        <color theme="1"/>
      </rPr>
      <t xml:space="preserve">    "fd367af856f7ba51f1f91ffc849a441753e1238c": {
</t>
    </r>
    <r>
      <rPr>
        <rFont val="Arial"/>
        <b/>
        <color theme="1"/>
      </rPr>
      <t xml:space="preserve">        "num_parents": 2,
 </t>
    </r>
    <r>
      <rPr>
        <rFont val="Arial"/>
        <color theme="1"/>
      </rPr>
      <t xml:space="preserve">       "date_commit": "Sat Oct 04 13:27:46.000000 2014 +0200",
</t>
    </r>
    <r>
      <rPr>
        <rFont val="Arial"/>
        <b/>
        <color theme="1"/>
      </rPr>
      <t xml:space="preserve">        "date_author_commit": "Sat Oct 04 13:27:46.000000 2014 +0200",
 </t>
    </r>
    <r>
      <rPr>
        <rFont val="Arial"/>
        <color theme="1"/>
      </rPr>
      <t xml:space="preserve">       "Parent_1": "d7a4e182867cc45659aff9ea7001ca14547af641",
</t>
    </r>
    <r>
      <rPr>
        <rFont val="Arial"/>
        <b/>
        <color theme="1"/>
      </rPr>
      <t xml:space="preserve">        "Parent_1author_date": "Sat Oct 04 01:44:36.000000 2014 +0200",
 </t>
    </r>
    <r>
      <rPr>
        <rFont val="Arial"/>
        <color theme="1"/>
      </rPr>
      <t xml:space="preserve">       "Parent_1commit_date": "Sat Oct 04 01:44:36.000000 2014 +0200",
</t>
    </r>
    <r>
      <rPr>
        <rFont val="Arial"/>
        <b/>
        <color theme="1"/>
      </rPr>
      <t xml:space="preserve">        "Parent_1possible_rebase": false,
 </t>
    </r>
    <r>
      <rPr>
        <rFont val="Arial"/>
        <color theme="1"/>
      </rPr>
      <t xml:space="preserve">       "Parent_2": "30871e8702737edbbfbcbbb5f21858873b37685c",
</t>
    </r>
    <r>
      <rPr>
        <rFont val="Arial"/>
        <b/>
        <color theme="1"/>
      </rPr>
      <t xml:space="preserve">        "Parent_2author_date": "Mon Sep 29 13:33:50.000000 2014 +0200",
 </t>
    </r>
    <r>
      <rPr>
        <rFont val="Arial"/>
        <color theme="1"/>
      </rPr>
      <t xml:space="preserve">       "Parent_2commit_date": "Tue Sep 30 16:41:02.000000 2014 +0200",
</t>
    </r>
    <r>
      <rPr>
        <rFont val="Arial"/>
        <b/>
        <color theme="1"/>
      </rPr>
      <t xml:space="preserve">        "Parent_2possible_rebase": false
 </t>
    </r>
    <r>
      <rPr>
        <rFont val="Arial"/>
        <color theme="1"/>
      </rPr>
      <t xml:space="preserve">   }</t>
    </r>
  </si>
  <si>
    <r>
      <rPr>
        <rFont val="Arial"/>
        <color theme="1"/>
      </rPr>
      <t xml:space="preserve">    "3c13c9e9419d4bf09d03f679d66b12f40f4c2a16": {
</t>
    </r>
    <r>
      <rPr>
        <rFont val="Arial"/>
        <b/>
        <color theme="1"/>
      </rPr>
      <t xml:space="preserve">        "num_parents": 2,
 </t>
    </r>
    <r>
      <rPr>
        <rFont val="Arial"/>
        <color theme="1"/>
      </rPr>
      <t xml:space="preserve">       "date_commit": "Thu Sep 25 08:08:45.000000 2014 +0200",
        "date_author_commit": "Thu Sep 25 08:08:45.000000 2014 +0200",
        "Parent_1": "ce79bbf188e3e069d839f565a2c17ab764940c43",
</t>
    </r>
    <r>
      <rPr>
        <rFont val="Arial"/>
        <b/>
        <color theme="1"/>
      </rPr>
      <t xml:space="preserve">        "Parent_1author_date": "Thu Sep 25 08:05:46.000000 2014 +0200",
 </t>
    </r>
    <r>
      <rPr>
        <rFont val="Arial"/>
        <color theme="1"/>
      </rPr>
      <t xml:space="preserve">       "Parent_1commit_date": "Thu Sep 25 08:05:46.000000 2014 +0200",
</t>
    </r>
    <r>
      <rPr>
        <rFont val="Arial"/>
        <b/>
        <color theme="1"/>
      </rPr>
      <t xml:space="preserve">        "Parent_1possible_rebase": false,
 </t>
    </r>
    <r>
      <rPr>
        <rFont val="Arial"/>
        <color theme="1"/>
      </rPr>
      <t xml:space="preserve">       "Parent_2": "232cbfe67ffb7696f115830c711a960af5fa0828",
</t>
    </r>
    <r>
      <rPr>
        <rFont val="Arial"/>
        <b/>
        <color theme="1"/>
      </rPr>
      <t xml:space="preserve">        "Parent_2author_date": "Wed Jun 04 02:42:56.000000 2014 +0200",
 </t>
    </r>
    <r>
      <rPr>
        <rFont val="Arial"/>
        <color theme="1"/>
      </rPr>
      <t xml:space="preserve">       "Parent_2commit_date": "Wed Sep 24 19:39:41.000000 2014 +0200",
</t>
    </r>
    <r>
      <rPr>
        <rFont val="Arial"/>
        <b/>
        <color theme="1"/>
      </rPr>
      <t xml:space="preserve">        "Parent_2possible_rebase": false
 </t>
    </r>
    <r>
      <rPr>
        <rFont val="Arial"/>
        <color theme="1"/>
      </rPr>
      <t xml:space="preserve">   }</t>
    </r>
  </si>
  <si>
    <t>only fixes a bug (#1373993)</t>
  </si>
  <si>
    <r>
      <rPr/>
      <t xml:space="preserve">tests/scheduler
</t>
    </r>
    <r>
      <rPr>
        <color rgb="FF1155CC"/>
        <u/>
      </rPr>
      <t>test_host_filters.py</t>
    </r>
  </si>
  <si>
    <t>the tests previous  or before  modifications do not chanage the tests the modified functionalities However, the change of the code in the conf changes implicitly the test cases</t>
  </si>
  <si>
    <t>e.g., removing """Class to make a HTTPS connection, with support for full client-based
    SSL Authentication
    """</t>
  </si>
  <si>
    <t>The way in which the security is implemented, but the functionality itself of saving the info stays the same</t>
  </si>
  <si>
    <t>removing a previous  existent class (class HTTPSClientAuthConnection(httplib.HTTPSConnection)</t>
  </si>
  <si>
    <t>e.g., import httplib
import socket
import ssl</t>
  </si>
  <si>
    <t>Sylvain Bauza (sbauza@redhat.com)</t>
  </si>
  <si>
    <t>Parent	
3c13c9e
Merged As	
30871e8</t>
  </si>
  <si>
    <t>improvement</t>
  </si>
  <si>
    <t>improving n existing feature</t>
  </si>
  <si>
    <t>licences and inline comments</t>
  </si>
  <si>
    <t>the usage of 
    private boolean useDisMax = true; was saved as a variable but now depends on a class that save that info</t>
  </si>
  <si>
    <t>new classes</t>
  </si>
  <si>
    <t>removing dependencies (internal)</t>
  </si>
  <si>
    <t>package org.apache.lucene.queryParser;</t>
  </si>
  <si>
    <t>Direct commit</t>
  </si>
  <si>
    <t>adds a large feature</t>
  </si>
  <si>
    <t>e.g., modules/test/integration/src/test/java/org/elasticsearch/test/integration/aliases/IndexAliasesTests.java</t>
  </si>
  <si>
    <t>no direct test</t>
  </si>
  <si>
    <t>modules/elasticsearch/src/main/java/org/elasticsearch/action/admin/indices/alias/IndicesAliasesRequest.java</t>
  </si>
  <si>
    <t>RestIndicesAliasesAction licence</t>
  </si>
  <si>
    <t>e.g., modules/elasticsearch/src/main/java/org/elasticsearch/index/mapper/json/JsonDocumentMapper.java and 309 + 356</t>
  </si>
  <si>
    <t>import java.io.IOException;</t>
  </si>
  <si>
    <t>Rebase</t>
  </si>
  <si>
    <t>Direct::Commit::(Review)</t>
  </si>
  <si>
    <t>single feature</t>
  </si>
  <si>
    <t>test/java folder</t>
  </si>
  <si>
    <t>e.g., /**
     * Adds top left and bottom right by geohash cell.
     *
     * @param geohash the geohash of the cell definign the boundingbox
     */</t>
  </si>
  <si>
    <t xml:space="preserve">  /**
     * Calculate all neighbors of a given geohash cell.
     * @param geohash Geohash of the defines cell
     * @return geohashes of all neighbor cells
     */</t>
  </si>
  <si>
    <t>adding internal dependencies</t>
  </si>
  <si>
    <t>removing external dependencies import gnu.trove.map.hash.TIntIntHashMap;</t>
  </si>
  <si>
    <t>feature</t>
  </si>
  <si>
    <t>src test</t>
  </si>
  <si>
    <t>no directly</t>
  </si>
  <si>
    <t>modules/test/integration/src/test/java/org/elasticsearch/test/integration/search/compress/SearchSourceCompressTests.java</t>
  </si>
  <si>
    <t>internal dependencies changes</t>
  </si>
  <si>
    <t>import static org.hamcrest.MatcherAssert.*;</t>
  </si>
  <si>
    <t>Direct::Commit::(Multi::Review)</t>
  </si>
  <si>
    <t>appears multiple times in PR</t>
  </si>
  <si>
    <t>java org folder</t>
  </si>
  <si>
    <t>own class</t>
  </si>
  <si>
    <t>e.g., * Represents a single document being captured before indexing and holds the source and metadata (like id, type and index).</t>
  </si>
  <si>
    <t>based on description</t>
  </si>
  <si>
    <t>new class FieldPath</t>
  </si>
  <si>
    <t>it has more than one PR</t>
  </si>
  <si>
    <t>just update time it is not considered a bug</t>
  </si>
  <si>
    <t>e.g., modules/test/integration/src/test/java/org/elasticsearch/test/integration/search/query/SimpleQueryTests.java</t>
  </si>
  <si>
    <t>e.g., /**
     * Creates a new ids filter with the provided doc/mapping type.</t>
  </si>
  <si>
    <t>modification on the license, and since the agreement until now is that any change of the non code lines were considered as changed, then this also applies</t>
  </si>
  <si>
    <t>new class</t>
  </si>
  <si>
    <t>e.g., import java.util.List;</t>
  </si>
  <si>
    <t>enhancement</t>
  </si>
  <si>
    <t>test/java/org folder</t>
  </si>
  <si>
    <t xml:space="preserve">package org.apache.lucene.search;
</t>
  </si>
  <si>
    <t>Rebase::(Review)</t>
  </si>
  <si>
    <t>appears in PR</t>
  </si>
  <si>
    <t>it appears in PR but as a release</t>
  </si>
  <si>
    <t>a feature</t>
  </si>
  <si>
    <t>test java folder</t>
  </si>
  <si>
    <t>FilterParser file not found</t>
  </si>
  <si>
    <t>inline and license</t>
  </si>
  <si>
    <t>license</t>
  </si>
  <si>
    <t xml:space="preserve">new classes </t>
  </si>
  <si>
    <t>new classes with external libraries</t>
  </si>
  <si>
    <t>closing bug</t>
  </si>
  <si>
    <t>e.g., // here we translate the parent doc to a list of its nested docs, and then call super.collect for evey one of them so they'll be collected</t>
  </si>
  <si>
    <t>formatting like indentation, ( focused on improving the readability and maintainability of the code)</t>
  </si>
  <si>
    <t>formatting like indentation, ( focused on improving the readability and maintainability of the code) override</t>
  </si>
  <si>
    <t>e.g., import org.apache.lucene.search.DocIdSet;
import org.apache.lucene.search.DocIdSetIterator;</t>
  </si>
  <si>
    <t>fix multiple failure points</t>
  </si>
  <si>
    <t>no test changes</t>
  </si>
  <si>
    <t>e.g.,         // check if same matching, if so, replace the mapping</t>
  </si>
  <si>
    <t>e.g., import java.util.Arrays;</t>
  </si>
  <si>
    <t>cloases a bug and a feature</t>
  </si>
  <si>
    <t>bug 9 feature</t>
  </si>
  <si>
    <t>index mapper folder</t>
  </si>
  <si>
    <t>one file is missing</t>
  </si>
  <si>
    <t xml:space="preserve"> // Testing "now" value for default timestamp</t>
  </si>
  <si>
    <t>test/java</t>
  </si>
  <si>
    <t>noritect tests</t>
  </si>
  <si>
    <t>e.g., // check if the master node did not get switched on us...</t>
  </si>
  <si>
    <t>e.g., import java.io.IOException;</t>
  </si>
  <si>
    <t>single large feature</t>
  </si>
  <si>
    <t xml:space="preserve">not directly but troughout the abstract </t>
  </si>
  <si>
    <t>e.g.,  * "AS IS" BASIS, WITHOUT WARRANTIES OR CONDITIONS OF ANY
 * KIND, either express or implied.  See the License for the
 * specific language governing permissions and limitations
 * under the License.
 */</t>
  </si>
  <si>
    <t>new classes, changes not refactos</t>
  </si>
  <si>
    <t>new classe (IndextemplateMeta..)</t>
  </si>
  <si>
    <t>import java.util.Map;</t>
  </si>
  <si>
    <t>Rebase::(Multi::Review)</t>
  </si>
  <si>
    <t>Merge::(Multi::Review)</t>
  </si>
  <si>
    <t>appears in PR multiple times</t>
  </si>
  <si>
    <t>large feature</t>
  </si>
  <si>
    <t>core/src/test/java/org/elasticsearch/index/query/FieldMaskingSpanQueryBuilderTest.java</t>
  </si>
  <si>
    <t xml:space="preserve">e.g.,      * Should the field query {@link #termQuery(Object, org.elasticsearch.index.query.QueryShardContext)}  be used when detecting this
</t>
  </si>
  <si>
    <t>fearue irtself</t>
  </si>
  <si>
    <t>changes the different imports</t>
  </si>
  <si>
    <t>closes bug</t>
  </si>
  <si>
    <t>test/integration</t>
  </si>
  <si>
    <t>changes about highlight ublic void testSourceLookupHighlightingUsingPl</t>
  </si>
  <si>
    <t>e.g., // number_of_fragments is set to 0 but we have a multivalued field</t>
  </si>
  <si>
    <t>changes of internal dependencies import org.elasticsearch.index.shard.ShardId; and removed of a class</t>
  </si>
  <si>
    <t>just an enhancement</t>
  </si>
  <si>
    <t>lucene</t>
  </si>
  <si>
    <t>e.g //different GeoPoints could map to the same or different geohash cells.</t>
  </si>
  <si>
    <t>e.g., valueCount = 0;
            count = 0;</t>
  </si>
  <si>
    <t xml:space="preserve">chnages in the imports, dependencies </t>
  </si>
  <si>
    <t xml:space="preserve">e.g, import org.apache.lucene.index.SortedNumericDocValues;
</t>
  </si>
  <si>
    <t>"e.g, import org.apache.lucene.index.SortedNumericDocValues;
"</t>
  </si>
  <si>
    <t>large feature agg</t>
  </si>
  <si>
    <t>searvh/agg test folder</t>
  </si>
  <si>
    <t>licences included</t>
  </si>
  <si>
    <t>new classes new dependencies internal</t>
  </si>
  <si>
    <t>import org.apache.lucene.index.AtomicReader;</t>
  </si>
  <si>
    <t>import java.io.IOException;
import java.util.ArrayList;
import java.util.List;</t>
  </si>
  <si>
    <t>change in how LUCENE process stuff</t>
  </si>
  <si>
    <t>e.g., // In case the mapping overrides these</t>
  </si>
  <si>
    <t>if (fieldType.indexOptions() == (NEW) vs  if (indexOptions == (OLD). now is an object before was all the attributes introduced by parameters</t>
  </si>
  <si>
    <t>import org.apache.lucene.document.FieldType;</t>
  </si>
  <si>
    <t>single bug</t>
  </si>
  <si>
    <t>feature?</t>
  </si>
  <si>
    <t>based on description. e.g, return this.nodeId;
        return this.node.id();</t>
  </si>
  <si>
    <t>e.g.,    RoutingNode routingNode = new RoutingNode(node.id());
                RoutingNode routingNode = new RoutingNode(node);</t>
  </si>
  <si>
    <t>internal changes import org.elasticsearch.cluster.ClusterState;</t>
  </si>
  <si>
    <t>fix bug?</t>
  </si>
  <si>
    <t xml:space="preserve">license </t>
  </si>
  <si>
    <t>generalize import</t>
  </si>
  <si>
    <t>fix bug</t>
  </si>
  <si>
    <t>Partial (Parents), No (Children)</t>
  </si>
  <si>
    <t>license  + comments</t>
  </si>
  <si>
    <t>e.g., // make sure the request gets never processed again</t>
  </si>
  <si>
    <t>yes, internal changes importd import org.elasticsearch.cluster.metadata.IndexMetaData;</t>
  </si>
  <si>
    <t>testTermsQuery()</t>
  </si>
  <si>
    <t>/**
 * &lt;pre&gt;
 * "terms" : {
 *  "field_name" : [ "value1", "value2" ]
 *  "minimum_match" : 1
 * }
 * &lt;/pre&gt;
 *
 * @author kimchy (shay.banon)
 */</t>
  </si>
  <si>
    <t>not directly</t>
  </si>
  <si>
    <t>license and comments</t>
  </si>
  <si>
    <t>line 46 exception?</t>
  </si>
  <si>
    <t>new class with external dependencies</t>
  </si>
  <si>
    <t>multiple changes that incorporate more than one responsability</t>
  </si>
  <si>
    <t xml:space="preserve"> e.g., &lt;!-- testing is currently done unshaded :( --&gt;</t>
  </si>
  <si>
    <t>design change, based on what we have talked about</t>
  </si>
  <si>
    <t>pom file</t>
  </si>
  <si>
    <t>e.g., /* percentage - assume the % was the last char.  If not, let Integer.parseInt fail. */</t>
  </si>
  <si>
    <t>internal imports changed import org.elasticsearch.common.Nullable;</t>
  </si>
  <si>
    <t>e.g., import java.util.regex.Pattern;</t>
  </si>
  <si>
    <t>not directly or the super class</t>
  </si>
  <si>
    <t>*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t>
  </si>
  <si>
    <t xml:space="preserve">including licence, // when sorting, track scores as well...
</t>
  </si>
  <si>
    <t>float score = match.score();
                    float score = match.getScore();</t>
  </si>
  <si>
    <t>no new classes</t>
  </si>
  <si>
    <t>import com.google.common.collect.ImmutableList;</t>
  </si>
  <si>
    <t xml:space="preserve">
New API, update settings, allowing to change specific runtime setting</t>
  </si>
  <si>
    <t>/HdfsGatewayTests.java</t>
  </si>
  <si>
    <t>no tests that directly test the class</t>
  </si>
  <si>
    <t>e.g., modules/elasticsearch/src/main/java/org/elasticsearch/action/admin/indices/settings/TransportUpdateSettingsAction.java</t>
  </si>
  <si>
    <t>e.g., modules/elasticsearch/src/main/java/org/elasticsearch/client/transport/support/InternalTransportIndicesAdminClient.java</t>
  </si>
  <si>
    <t>buggy file new file</t>
  </si>
  <si>
    <t>e.g., import java.util.concurrent.atomic.AtomicReference;</t>
  </si>
  <si>
    <t>multiple files changed, and new added (initial commit description)</t>
  </si>
  <si>
    <t>including licences</t>
  </si>
  <si>
    <t>only additions</t>
  </si>
  <si>
    <t>new classes with external references</t>
  </si>
  <si>
    <t>new classes with external references e.g., import java.io.DataInput;
import java.io.DataOutput;
import java.io.IOException</t>
  </si>
  <si>
    <t>the bug was about someething was done incorrectly</t>
  </si>
  <si>
    <t>e.g, node.id()</t>
  </si>
  <si>
    <t>listed in description</t>
  </si>
  <si>
    <t>improve performance</t>
  </si>
  <si>
    <t>e.g., // we got interrupted, bail</t>
  </si>
  <si>
    <t>e.g., // we don't release the latch here, only after we rerouted</t>
  </si>
  <si>
    <t>internal dependencies changed import org.elasticsearch.cluster.metadata.ProcessClusterEventTimeoutException;</t>
  </si>
  <si>
    <t>e.g., import org.elasticsearch.action.ActionListener;</t>
  </si>
  <si>
    <t>import java.util.concurrent.CountDownLatch;
import java.util.concurrent.atomic.AtomicReference;</t>
  </si>
  <si>
    <t>import java.util.concurrent.CountDownLatch;
import java.util.concurrent.atomic.AtomicReference;</t>
  </si>
  <si>
    <t>single feature but complex</t>
  </si>
  <si>
    <t>test folder</t>
  </si>
  <si>
    <t>new classes with new docuemntation</t>
  </si>
  <si>
    <t>yes, including lic</t>
  </si>
  <si>
    <t>/* Bottom ord (same as ords[bottomSlot] once bottomSlot
       is set).  Cached for faster compares.
       @lucene.internal */</t>
  </si>
  <si>
    <t>import org.apache.lucene.util.BytesRef;</t>
  </si>
  <si>
    <t>test integration</t>
  </si>
  <si>
    <t>including licence</t>
  </si>
  <si>
    <t>import java.util.Map;
import java.util.concurrent.atomic.AtomicInteger;</t>
  </si>
  <si>
    <t>I1</t>
  </si>
  <si>
    <t>I2</t>
  </si>
  <si>
    <t>I6 - Aspects of introducing issue discussion</t>
  </si>
  <si>
    <t>I8 - does it have a wiki? or does it have a spec?</t>
  </si>
  <si>
    <t>I9 - Introducing Issue doubles as review</t>
  </si>
  <si>
    <r>
      <rPr>
        <rFont val="Arial"/>
        <color theme="1"/>
      </rPr>
      <t xml:space="preserve">In this field, the possible ids that need to be tagged are going to appear  (if applicable)
</t>
    </r>
    <r>
      <rPr>
        <rFont val="Arial"/>
        <b/>
        <color theme="1"/>
      </rPr>
      <t xml:space="preserve">Introducing ISSUES IDS. </t>
    </r>
    <r>
      <rPr>
        <rFont val="Arial"/>
        <color theme="1"/>
      </rPr>
      <t xml:space="preserve">
</t>
    </r>
    <r>
      <rPr>
        <rFont val="Arial"/>
        <b/>
        <color theme="1"/>
      </rPr>
      <t xml:space="preserve">NOVA URL: </t>
    </r>
    <r>
      <rPr>
        <rFont val="Arial"/>
        <color theme="1"/>
      </rPr>
      <t xml:space="preserve"> https://bugs.launchpad.net/nova/+bug/&lt;BugID&gt;
</t>
    </r>
    <r>
      <rPr>
        <rFont val="Arial"/>
        <b/>
        <color theme="1"/>
      </rPr>
      <t>ES ISSUE URL:</t>
    </r>
    <r>
      <rPr>
        <rFont val="Arial"/>
        <color theme="1"/>
      </rPr>
      <t xml:space="preserve">  https://github.com/elastic/elasticsearch/issues/&lt;BugID&gt;
</t>
    </r>
    <r>
      <rPr>
        <rFont val="Arial"/>
        <b/>
        <color theme="1"/>
      </rPr>
      <t>NOVA BP</t>
    </r>
    <r>
      <rPr>
        <rFont val="Arial"/>
        <color theme="1"/>
      </rPr>
      <t>:  https://blueprints.launchpad.net/nova/+spec/&lt;BPID&gt;</t>
    </r>
  </si>
  <si>
    <t>Introducing issues ids</t>
  </si>
  <si>
    <t>Introducing issue types</t>
  </si>
  <si>
    <t xml:space="preserve">
NOVA:
https://wiki.openstack.org/wiki/</t>
  </si>
  <si>
    <t>True = Introducing Issue and review
False= it is only introducing issue</t>
  </si>
  <si>
    <t>bug</t>
  </si>
  <si>
    <t>title when rebooted or resized</t>
  </si>
  <si>
    <t>steps::replicate::bug</t>
  </si>
  <si>
    <t>Description. ubuntu@lxc-gq:~$ sudo losetup -a
/dev/loop1: [fd01]:134374 (/opt/stack/data/nova/instances/b91adccc-408a-4bac-8835-9843afb904b9/disk)
ubuntu@lxc-gq:~$ nova reboot lxc1 --hard
ubuntu@lxc-gq:~$ nova list</t>
  </si>
  <si>
    <t>why::change::is::required</t>
  </si>
  <si>
    <t>summary::of::the::problem</t>
  </si>
  <si>
    <t>title. RBD helper utils in libvirt driver code need to be moved to separate module</t>
  </si>
  <si>
    <t>fix::merged::(link::review2::commit2)</t>
  </si>
  <si>
    <t>causes::bug::(link::launchpad)::not::equal::fixed::bug</t>
  </si>
  <si>
    <t>libvirt-spice</t>
  </si>
  <si>
    <t>blueprint, improvement</t>
  </si>
  <si>
    <t>covered::areas:.of::the::project:.in::the::bp/feature</t>
  </si>
  <si>
    <t xml:space="preserve">Desription. ... he work will cover four areas of OpenStack. SPICE enablement in Nova libvirt driver, and Nova RPC API, s... </t>
  </si>
  <si>
    <t>why::BP/feature::is::required</t>
  </si>
  <si>
    <t>Description. ..protocol is fairly limited, lacking support for multiple monitors, bi-directional audio, reliable cut+paste, video streaming and more. SPICE is a ...</t>
  </si>
  <si>
    <t>units::of::work::(link::to::reviews)</t>
  </si>
  <si>
    <t>Whiteboard. Addressed by: https://review.openstack.org/18304
    Add common config options for SPICE graphics
Addressed by</t>
  </si>
  <si>
    <t>topic::that::group::all::changes::related::to::BP/feature</t>
  </si>
  <si>
    <t>Whiteboard. Gerrit topic: https://review.openstack.org/#q,topic:bp/libvirt-spice,n,z</t>
  </si>
  <si>
    <t>clean-up-legacy-block-device-mapping</t>
  </si>
  <si>
    <t>Whiteboard. Addressed by: https://review.openstack.org/50679
    Add a get_root_bdm utility function
Addressed by: https://review.openstack.org/50680
    Move is_volum</t>
  </si>
  <si>
    <t>Whiteboard. Gerrit topic: https://review.openstack.org/#q,topic:bp/clean-up-legacy-block-device-mapping,n,z</t>
  </si>
  <si>
    <t>dependencies::of::the::BP::in::development::process</t>
  </si>
  <si>
    <t>Work Items. Dependency tree</t>
  </si>
  <si>
    <t>change::in::priority::(medium)</t>
  </si>
  <si>
    <t>Whiteboard. Late move to medium, due to dependency --johnthetubaguy</t>
  </si>
  <si>
    <t>relation::with::other::BP::work</t>
  </si>
  <si>
    <t>This is very tied up with the objects work, hard to split out these patches. --johnthetubaguy</t>
  </si>
  <si>
    <t>list::remaining::patches::not::closed::in::the::development::cycle</t>
  </si>
  <si>
    <r>
      <rPr/>
      <t xml:space="preserve">... Topics with some patches left:
=======================
</t>
    </r>
    <r>
      <rPr>
        <color rgb="FF1155CC"/>
        <u/>
      </rPr>
      <t>https://review.openstack.org/#.....</t>
    </r>
    <r>
      <rPr/>
      <t>.</t>
    </r>
  </si>
  <si>
    <t>topic2::that::group::all::changes::related::to::BP/feature</t>
  </si>
  <si>
    <t>Whiteboard.Gerrit topic</t>
  </si>
  <si>
    <t>topic3::that::group::all::changes::related::to::BP/feature</t>
  </si>
  <si>
    <t>topic4::that::group::all::changes::related::to::BP/feature</t>
  </si>
  <si>
    <t>topic5::that::group::all::changes::related::to::BP/feature</t>
  </si>
  <si>
    <t>topic6::that::group::all::changes::related::to::BP/feature</t>
  </si>
  <si>
    <t>topic7::that::group::all::changes::related::to::BP/feature</t>
  </si>
  <si>
    <t>topic8::that::group::all::changes::related::to::BP/feature</t>
  </si>
  <si>
    <t>topic9::that::group::all::changes::related::to::BP/feature</t>
  </si>
  <si>
    <t>topic10::that::group::all::changes::related::to::BP/feature</t>
  </si>
  <si>
    <t>change::in::implementation::status::(code::review)</t>
  </si>
  <si>
    <t>Moved to needs code review, patches are up --johnthetubaguy</t>
  </si>
  <si>
    <t>indicate::sponsor</t>
  </si>
  <si>
    <t>Whiteboard. Sponsor(s): Andrew Laski</t>
  </si>
  <si>
    <t>Description. We should make the code use the new data format. This will likely not involve any new functionality -</t>
  </si>
  <si>
    <t>examples::of::affected::codes::with::the::BP</t>
  </si>
  <si>
    <t>Some code paths that use it  * Delete  * Rebuild * Snapshot * Rescue
* Shelve * Volume_snapshot{_create,_delete}</t>
  </si>
  <si>
    <t>icehouse-objects</t>
  </si>
  <si>
    <t>blueprint, feature request</t>
  </si>
  <si>
    <t>Whiteboard. Addressed by: https://review.openstack.org/52546
    Add obj_make_compatible()
Addressed by: https://review.openstack.org/52547
    Make Instance o....</t>
  </si>
  <si>
    <t>topic11::that::group::all::changes::related::to::BP/feature</t>
  </si>
  <si>
    <t>topic12::that::group::all::changes::related::to::BP/feature</t>
  </si>
  <si>
    <t>deadline::missed::feature:freeze</t>
  </si>
  <si>
    <t xml:space="preserve">Whiteboard. Apologies, this missed the deadline for Feature Freeze. </t>
  </si>
  <si>
    <t>change::in::implementation::status::(implemented)</t>
  </si>
  <si>
    <t xml:space="preserve">Whiteboard. arking this one as Implemented, </t>
  </si>
  <si>
    <t>instructions::next::release::cycle</t>
  </si>
  <si>
    <t>Whiteboard. d, so please open a new blueprint for the remaining patches. Please rebase patches as soon as Juno opens</t>
  </si>
  <si>
    <r>
      <rPr/>
      <t xml:space="preserve">Topics with remaining patches:
========================
</t>
    </r>
    <r>
      <rPr>
        <color rgb="FF1155CC"/>
        <u/>
      </rPr>
      <t>https://review.openstack.org/#/q/t</t>
    </r>
  </si>
  <si>
    <t>eliminate-clear-passwords-from-cells-table</t>
  </si>
  <si>
    <t>feature::documentation::link</t>
  </si>
  <si>
    <r>
      <rPr/>
      <t xml:space="preserve">Description. </t>
    </r>
    <r>
      <rPr>
        <color rgb="FF1155CC"/>
        <u/>
      </rPr>
      <t>https://wiki.openstack.org/wiki/Nova/eliminate-clear-passwords-from-cells-table</t>
    </r>
  </si>
  <si>
    <t>summary::of::the::purpose</t>
  </si>
  <si>
    <t>Description. At present, passwords for rabbit queues are stored in clear text in the database. This blueprint is for the elimination of these clear-text passwords, either by encrypting them in the database or deprecating the use of the database for storing cells information.</t>
  </si>
  <si>
    <t>Whiteboard. Gerrit topic:</t>
  </si>
  <si>
    <t>Whiteboard. Addressed by: https://review.openstack.org/33127
    Convert cells to use a transport URL
Addressed by: http</t>
  </si>
  <si>
    <t>nova-network-objects</t>
  </si>
  <si>
    <t>expected::outcome::(performance::improvement)</t>
  </si>
  <si>
    <t xml:space="preserve">Description. This will result in significant performance improvements to nova-network since it will be able to better do work in parallel. </t>
  </si>
  <si>
    <t xml:space="preserve">Description. This blueprint covers updating nova-network to use the Nova object model for all database interaction. </t>
  </si>
  <si>
    <t>Whiteboard. Addressed by: https://review.openstack.org/66365
    Make nova-network use Service object
Addressed by: https://review.openstack.org/66371
    Make nova-network use Instance objects
Addressed by: https://review.openstack.org/66441
    Add Network object</t>
  </si>
  <si>
    <t>title. VMware: resized instance not marked as 'belonging' to OpenStack</t>
  </si>
  <si>
    <t>source::of::the::bug::(hash::commit)</t>
  </si>
  <si>
    <t xml:space="preserve">Description. Commit f4fec08e9850dae163f447e72cd1c7f638b2bb10 </t>
  </si>
  <si>
    <t>reason::for::abandoning::the::change::(no::longer::needed::already::being::adressed)::link::another::review</t>
  </si>
  <si>
    <t>reviews::addressing::bug</t>
  </si>
  <si>
    <t>reviews::addressing::bug::(status)</t>
  </si>
  <si>
    <t>fix::another::merged::(link::review::commit)</t>
  </si>
  <si>
    <t>title. VMware: resize fails when using config drive</t>
  </si>
  <si>
    <t>Description. When config drive is configured. A resize may fail when the selected host does not have access to the original datastore</t>
  </si>
  <si>
    <t>Description. A resize may fail</t>
  </si>
  <si>
    <t>reason::for::abandoning::the::change2::(replaced::by::change4)::link::another::review4</t>
  </si>
  <si>
    <t>fix::merged::(link::review::commit4)</t>
  </si>
  <si>
    <t>fix::merged::(link::review::commit3)</t>
  </si>
  <si>
    <t>title. VMware: resize may select wrong datastore</t>
  </si>
  <si>
    <t>Description. When resizing a root disk the first datastore is selected.</t>
  </si>
  <si>
    <t>Description. the first datastore is selected. This may not be the datastore that has the root disk. We need the root disk datstore</t>
  </si>
  <si>
    <t>reason::for::abandoning::the::change::(replaced::by::change2)::link::another::review2</t>
  </si>
  <si>
    <t>fix::merged::(link::review::commit2)</t>
  </si>
  <si>
    <t>fix::summary</t>
  </si>
  <si>
    <t>title. instance directory naming update to use uuid</t>
  </si>
  <si>
    <t>Description. The VMware Hyper still use instance-000000xx template to name instance directory. which will face the same problem that libvirt
faces. so change the directory naming of VMware Hyper.</t>
  </si>
  <si>
    <t>impact::of::the::proposed::solution</t>
  </si>
  <si>
    <t>Comment #1. if you are going to change the name of the instance directory, we should probably change the name of the instance itself as well. This is the primary means by which the VM is identified for later changes, as the driver does not store any vCenter UUIDs.</t>
  </si>
  <si>
    <t>reference::previous::meeting::which::agreed::on::proposed::solution</t>
  </si>
  <si>
    <t>Comment #3,  st discussing this in a VMwareAPI team meeting last week. We wanted the name of the instance in vCenter to be the UUID instead of the hidden ID number. Using instance-000000xx a .....</t>
  </si>
  <si>
    <t>join::the::fix::of::the::bug::with::a::broader::fix</t>
  </si>
  <si>
    <t>Comment #3. I would like this to be part of a larger patch that addressed both issues.</t>
  </si>
  <si>
    <t>back::porting::of::the::fix</t>
  </si>
  <si>
    <t>fix::merged::(link::review)::not::main::branch</t>
  </si>
  <si>
    <t>instance-group-api-extension</t>
  </si>
  <si>
    <t xml:space="preserve">Whiteboard. Addressed by: https://review.openstack.org/28880
    Nova instance group DB support
Addressed </t>
  </si>
  <si>
    <t>where::was::merged::the::units::of::work</t>
  </si>
  <si>
    <r>
      <rPr/>
      <t xml:space="preserve">Merged (Havana)
===========
Addressed by: </t>
    </r>
    <r>
      <rPr>
        <color rgb="FF1155CC"/>
        <u/>
      </rPr>
      <t>https://revie</t>
    </r>
  </si>
  <si>
    <t>expectations::for::feature::freeze::exception::(FFE)</t>
  </si>
  <si>
    <t>Whiteboard. Looking at this post freeze...</t>
  </si>
  <si>
    <t>features:.deferring:.to::bugs</t>
  </si>
  <si>
    <t>Whiteboard. Stuff that can become a bug fix:</t>
  </si>
  <si>
    <t>expected::outcome::(functionallities)</t>
  </si>
  <si>
    <t>Description. The API will also allow you to list groups and get group details. Group details will include a list of all servers currently in the group.</t>
  </si>
  <si>
    <r>
      <rPr/>
      <t xml:space="preserve">Description. </t>
    </r>
    <r>
      <rPr>
        <color rgb="FF1155CC"/>
        <u/>
      </rPr>
      <t>https://wiki.openstack.org/wiki/GroupApiExtension</t>
    </r>
  </si>
  <si>
    <t>hyper-v-smbfs-volume-support</t>
  </si>
  <si>
    <t>dESCRIPTION: Currently, the Hyper-V driver only allows attaching volumes via iSCSI. The purpose of this blueprint is adding support for attaching volumes hosted on a SMB share.</t>
  </si>
  <si>
    <t>Whiteboard. Addressed by: https://review.openstack.org/102190
    Hyper-V: add support for attaching volumes via SMB
Gerrit top</t>
  </si>
  <si>
    <t>Gerrit topic: https://review.openstack.org/#q,topic:bp/is,n,z</t>
  </si>
  <si>
    <t>approval::BP/feature</t>
  </si>
  <si>
    <t>Whiteboard. Approved BP now that spec has been approved. --johnthatubaguy 17th October 2014</t>
  </si>
  <si>
    <t>referes::to::spec</t>
  </si>
  <si>
    <t xml:space="preserve">Whiteboard. Read the full specification </t>
  </si>
  <si>
    <t>Description.  nova-compute's init_host() can attempt to resume instances that are found not to be in RUNNING power state... but should be.</t>
  </si>
  <si>
    <t>asking::for::assistance::(fix)</t>
  </si>
  <si>
    <t>Description.Rename the instance back, clear task_state, and restart the old instance?</t>
  </si>
  <si>
    <t>Description. See original description</t>
  </si>
  <si>
    <t>explanation::of::log</t>
  </si>
  <si>
    <t>explanation::of::log::(ignore::log)</t>
  </si>
  <si>
    <t>libvirt-lxc-user-namespaces</t>
  </si>
  <si>
    <t>Description. User namespaces provide a way for a process running in a container to appear to
be running as root, but are in fact running as a different user on the host.</t>
  </si>
  <si>
    <t>testing::status</t>
  </si>
  <si>
    <t>Whiteboard. All patches in the gate, leaving in juno. --johnthetubaguy 2nd September 2014</t>
  </si>
  <si>
    <t xml:space="preserve">Whiteboard. </t>
  </si>
  <si>
    <t>asking::for::feature::freeze::exception::(FFE)</t>
  </si>
  <si>
    <t>Whiteboard. Sorry, this didn't make it, it needs a FFE now. --johnthetubaguy 5th September 2014</t>
  </si>
  <si>
    <t>Description. Read the full specification</t>
  </si>
  <si>
    <t>multi-nic-floating-ip-assignment</t>
  </si>
  <si>
    <t>title. Allow floating IP to be assigned to a specific fixed address</t>
  </si>
  <si>
    <t>This change adds a fixed IP address as an optional parameter, allowing the floating IP to be associated with a specific fixed IP.
Without this optional parameter the API behaviour is unchanged.</t>
  </si>
  <si>
    <t>Whiteboard. Addressed by: https://review.openstack.org/26113
    Allow a floating IP to be associated to a specific fixed IP</t>
  </si>
  <si>
    <t>ec2-api</t>
  </si>
  <si>
    <t>link::repository::forged::project</t>
  </si>
  <si>
    <r>
      <rPr/>
      <t xml:space="preserve">StackForge project: </t>
    </r>
    <r>
      <rPr>
        <color rgb="FF1155CC"/>
        <u/>
      </rPr>
      <t>https://github.com/stackforge/ec2-api</t>
    </r>
  </si>
  <si>
    <t>Whiteboard. Pending Patches
=============
Addressed by:</t>
  </si>
  <si>
    <t>merged::units::of::work</t>
  </si>
  <si>
    <t>Merged Spec
===========</t>
  </si>
  <si>
    <t>ref::mailing::list</t>
  </si>
  <si>
    <t>Whiteboard. Mailing list thread:
http://lists.openstack.org/pipermail/openstack-dev/2015-January/055041.html</t>
  </si>
  <si>
    <t>title. API: additions to enable EC2 API standalone service</t>
  </si>
  <si>
    <t>This project provides a standalone EC2 API service separate from Nova
which pursues two goals:
1. Implement EC2 VPC API which now absent in Nova's EC2 API.
2. Extract existing EC2 Nova functionality to decouple it from Nova and fill the gaps</t>
  </si>
  <si>
    <t>Read the full specification</t>
  </si>
  <si>
    <t>use-configdrive-with-ironic</t>
  </si>
  <si>
    <t>Whiteboard. Addressed by: https://review.openstack.org/98930
    Use configdrive with Ironic
Addressed</t>
  </si>
  <si>
    <t>merge::sync::notification</t>
  </si>
  <si>
    <t>Whiteboard. Marked as good progress as this is very close to merging.</t>
  </si>
  <si>
    <t>Whiteboard. Needs an ironic client release, but this looks very close. --johnthetubaguy 5 Feb 201</t>
  </si>
  <si>
    <t>Whiteboard. Sorry, we have now hit the non-priority feature freeze for kilo.</t>
  </si>
  <si>
    <t>Whiteboard.  Please resubmit your spec for the L release. -- ttx on behalf</t>
  </si>
  <si>
    <t>Description. This blueprint adds support for configdrive for the Ironic virt driver, to enable Nova to pass a configdrive to Ironic, to be used when deploying a bare metal instance.</t>
  </si>
  <si>
    <t>title by commit 62e9829</t>
  </si>
  <si>
    <t xml:space="preserve">title. ive upgrade from Havana broken </t>
  </si>
  <si>
    <t xml:space="preserve">Description. Commit 62e9829 inadvertently broke live upgrades from Havana to master. </t>
  </si>
  <si>
    <t>proposal::of::a::related::fix::(link::review)::not::main::branch</t>
  </si>
  <si>
    <t>fix::merged::(link::review)::related::fix::not::main::branch</t>
  </si>
  <si>
    <r>
      <rPr/>
      <t xml:space="preserve">... Topics with some patches left:
=======================
</t>
    </r>
    <r>
      <rPr>
        <color rgb="FF1155CC"/>
        <u/>
      </rPr>
      <t>https://review.openstack.org/#.....</t>
    </r>
    <r>
      <rPr/>
      <t>.</t>
    </r>
  </si>
  <si>
    <r>
      <rPr/>
      <t xml:space="preserve">Topics with remaining patches:
========================
</t>
    </r>
    <r>
      <rPr>
        <color rgb="FF1155CC"/>
        <u/>
      </rPr>
      <t>https://review.openstack.org/#/q/t</t>
    </r>
  </si>
  <si>
    <t>libvirt-start-lxc-from-block-devices</t>
  </si>
  <si>
    <t>Description. The purpose of this blueprint is to enable the lxc containers
to be started from a block device volumes.</t>
  </si>
  <si>
    <t>Whiteboard. Addressed by: https://review.openstack.org/74537
    libvirt: start lxc from block device</t>
  </si>
  <si>
    <t>Whiteboard. Approved blueprint, now spec is approved. --johnthetubaguy (24th June 2</t>
  </si>
  <si>
    <t>Whiteboard. Not all the reviews have +2s and are not all are close to approval, so moving to juno-3. But please move this back to juno-2, should you get your patches approved in time. --johnthetubaguy 21st July 2014</t>
  </si>
  <si>
    <t>approved::freeze::exception::(FFE)</t>
  </si>
  <si>
    <t>Whiteboard. FFE granted --johnthetubaguy 5th September 2014</t>
  </si>
  <si>
    <t>not::meeting::deadline</t>
  </si>
  <si>
    <t>Whitebpard. Sorry, this has not yet been approved, so this will have to wait until kilo.</t>
  </si>
  <si>
    <t>feature::freeze::exception::expired</t>
  </si>
  <si>
    <t xml:space="preserve">Whiteboard. Sorry, FFE has now expired, </t>
  </si>
  <si>
    <t>remove-cast-to-schedule-run-instance</t>
  </si>
  <si>
    <t>blueprint, refactoring</t>
  </si>
  <si>
    <t>Description. Now we should switch the booting of a new instance to use that new query rather than proxy through the scheduler as is currently done.</t>
  </si>
  <si>
    <t>priority::justification</t>
  </si>
  <si>
    <t>Whiteboard. Due to Gantt work, I think this one is really important. It helps separate out the scheduler, making it high priority for the next milestone --johnthetubaguy</t>
  </si>
  <si>
    <t>history::of::the::BP/feature</t>
  </si>
  <si>
    <t>Whiteboard. This blueprint has been deferred from the icehouse-3 milestone to Juno because it missed the "feature proposal freeze" deadline. https://wiki.openstack.org/wiki/Icehouse_Release_Schedule --johngarbutt</t>
  </si>
  <si>
    <t>Whiteboard. Already merged (or abandoned)
==========================</t>
  </si>
  <si>
    <r>
      <rPr/>
      <t xml:space="preserve">Addressed by: https://review.openstack.org/94377
    Cells: Pass instance objects to build_instances
Addressed by: </t>
    </r>
    <r>
      <rPr>
        <color rgb="FF1155CC"/>
        <u/>
      </rPr>
      <t>https://review.openstack.org/94452</t>
    </r>
  </si>
  <si>
    <t>Current Patches
=============
(None)</t>
  </si>
  <si>
    <t xml:space="preserve">title. forget to release resource </t>
  </si>
  <si>
    <t>title. when terminate an instance from a failed compute node</t>
  </si>
  <si>
    <t>Description. reproduct: 1. start a vm
# nova list
+--------------------------------------+----------------+---------+----------------------+
| ID | Name | Status | Networks +--------------------------------------+----------------+---------+----------------------+
| 6d74b0cc-5bb2-4233-b9a0-f80013412a3d | test-fixed-ip | ACTIVE | private=10.120.34.10 | 2. shutdown the</t>
  </si>
  <si>
    <t>ref::CVE References</t>
  </si>
  <si>
    <t>Description. CVE References
2012-5625</t>
  </si>
  <si>
    <t>asking::for::details::(nova::version)</t>
  </si>
  <si>
    <t>providing::details::(nova::version)</t>
  </si>
  <si>
    <t>cause::of::bug::(explanation)</t>
  </si>
  <si>
    <t>proposal::of::a::possible::fix::(explanation)</t>
  </si>
  <si>
    <t>fix::merged::(link::review)</t>
  </si>
  <si>
    <t>proposal::of::a::possible::fix::(explanation)::related::project</t>
  </si>
  <si>
    <t>asking::for::testing</t>
  </si>
  <si>
    <t>asking::for::assistance::(fix)::different::project</t>
  </si>
  <si>
    <t>fix::merged::different::project</t>
  </si>
  <si>
    <t>lvm-ephemeral-storage-encryption</t>
  </si>
  <si>
    <t xml:space="preserve">Description. The proposed feature will provide data-at-rest security by encrypting all LVM backed ephemeral storage devices attached to VM instances managed by libvirt. </t>
  </si>
  <si>
    <t>Description. * Rogue cloud administrators
* Incomplete data erasure
* Improper storage medium disposal
* Storage medium theft</t>
  </si>
  <si>
    <t>Whiteboard. Addressed by: https://review.openstack.org/40467
    Adds ephemeral storage encryption for LVM back-end images
Addressed by: https://review.openstack.org/104001
    Adds barbican keymg</t>
  </si>
  <si>
    <t>suggest::moving::to::next::release</t>
  </si>
  <si>
    <t xml:space="preserve">Sorry, this has not yet been approved, so this will have to wait until kilo. </t>
  </si>
  <si>
    <t>Whiteboard. FFE granted. -</t>
  </si>
  <si>
    <t>Whiteboard. Removed dependency, as this has been dropped now.</t>
  </si>
  <si>
    <t>Whiteboard.Sorry, FFE has now expired, this needs to have a spec merged in kilo, before getting merged. Please contact me for more details.</t>
  </si>
  <si>
    <t>title rescue imageref not pulling image metadata during rescue mode</t>
  </si>
  <si>
    <t xml:space="preserve">Description.  When specifying an alternative image we're not currently utilizing the image vm_mode and image auto_disk_config flags and are using the current instance flags. </t>
  </si>
  <si>
    <t>Description. There is a fairly serious bug in VM state handling during live migration, with a result that if libvirt raises an error *after* the VM has successfully live migrated to the target host,</t>
  </si>
  <si>
    <t>Description. At start of migration, we see an event received by Nova for the new QEMU process starting on target host
2015-01-23 15:39:57.743 DEBUG nova.compute.manager</t>
  </si>
  <si>
    <t>Description.  We would also have to make sure the target host processes the 'resume' event upon migrate completion.
An safer approach though, might be to just mark the VM as in an ERROR state if any exception occurs during migration.</t>
  </si>
  <si>
    <t>Description. ated "reason", so we could see that the shutoff event from libvirt corresponds to a migration being completed,</t>
  </si>
  <si>
    <t>asking::for::assistance::(confirming::bug)</t>
  </si>
  <si>
    <t>providing::assistance::(confirming::bug)</t>
  </si>
  <si>
    <t>fix::merged::(link::review::commit)::not:.main::branch</t>
  </si>
  <si>
    <t>change::abandoned::by::the::one::who::proposed::changes::not::main::branch</t>
  </si>
  <si>
    <t>asking::for::assistance::(status::bug)</t>
  </si>
  <si>
    <t>providing::assistance::(status::bug)</t>
  </si>
  <si>
    <t>Description. the code can leave the guest FS mounted to host preventing the `lvremove` of a delete from working.</t>
  </si>
  <si>
    <t xml:space="preserve">if an error occurs creating a Libvirt+LXC domain, </t>
  </si>
  <si>
    <t xml:space="preserve">The core problem here is that any code between `setup_container` and `teardown_container` needs be within a </t>
  </si>
  <si>
    <t>claim::of::responsibility::for::fix</t>
  </si>
  <si>
    <t>better-support-for-multiple-networks</t>
  </si>
  <si>
    <t>title. Better Support for Multiple Networks in nova-network (partial)</t>
  </si>
  <si>
    <t>Whiteboard. Addressed by: https://review.openstack.org/93753
    Adds network fields to object
Addressed by: https://review.openstack.org/93754
    Set reasonable defaults for new network values</t>
  </si>
  <si>
    <t>Whiteboard. see lots of code up for review, nova-spec is merged, so I will do the status updates on this blueprint so we can now approve this. Assuming Juno-1 milestone, given the progress here. --johnthetubaguy (23rd May 2014)</t>
  </si>
  <si>
    <t>Sorry, this has not got enough positive reviews to make it in time for juno-1, and should probably be marked as "needs code review?" moving to juno-2 --johnthetubaguy 10th June 2014</t>
  </si>
  <si>
    <t>Whiteboard. Not sure if this is all complete, but all the reviews that are up are in good shape, lets call this partial done for juno now. Please document what (if anything) is left for a later release. --johnthetubaguy 22nd August 201</t>
  </si>
  <si>
    <t>Description.  In Python 2.x those do not perform CA checks so client connections are vulnerable to MiM attacks.</t>
  </si>
  <si>
    <t>Description. This should be changed to use the requests lib.</t>
  </si>
  <si>
    <t>fix::merged::(link::review::commit2)::not:.main::branch</t>
  </si>
  <si>
    <t>feature::description</t>
  </si>
  <si>
    <t>providing::example::for::expected::outcome</t>
  </si>
  <si>
    <t>providing::example::for::intended::usage1</t>
  </si>
  <si>
    <t>requesting::add::details::(description)</t>
  </si>
  <si>
    <t>informing::in::favor::(feature::design)</t>
  </si>
  <si>
    <t>feature, improvement</t>
  </si>
  <si>
    <t>informing::scope::of::this::issue::(limited::to::functional::design)</t>
  </si>
  <si>
    <t>key::concepts::and::terminology::of::issue</t>
  </si>
  <si>
    <t>exceptions::of::expected::behaviour</t>
  </si>
  <si>
    <t>expected::behaviour::(per::expected::functionallity)</t>
  </si>
  <si>
    <t>expected::outcome::(per::expected::functionallity)</t>
  </si>
  <si>
    <t>expected::outcome::(functionallities::to::remove)</t>
  </si>
  <si>
    <t>description, TODO terms get rid of</t>
  </si>
  <si>
    <t>providing::example::for::intended::usage::(per::expected::functionallity)</t>
  </si>
  <si>
    <t>asking::about::development::process::(schedule/time)</t>
  </si>
  <si>
    <t>clarifying::development::process::(justification::approach)</t>
  </si>
  <si>
    <t>commenting::development::process::(schedule/time)</t>
  </si>
  <si>
    <t>proposal::change::solution::design::(minor)1</t>
  </si>
  <si>
    <t>link::related::issue</t>
  </si>
  <si>
    <t>proposal::change::solution::design::(minor)2</t>
  </si>
  <si>
    <t>comment6, uboness</t>
  </si>
  <si>
    <t>proposal::change::solution::design::(minor)3</t>
  </si>
  <si>
    <t>comment7</t>
  </si>
  <si>
    <t>asking::for::clarification::proposal::change::solution::design::(minor)2</t>
  </si>
  <si>
    <t>comment8</t>
  </si>
  <si>
    <t>proposal::change::solution::design::(minor)4</t>
  </si>
  <si>
    <t>comment9</t>
  </si>
  <si>
    <t>informing::potential::bug:.found</t>
  </si>
  <si>
    <t>aparo</t>
  </si>
  <si>
    <t>informing::in::favor::(feature::design::change)</t>
  </si>
  <si>
    <t>julianhile 15</t>
  </si>
  <si>
    <t>asking::for::clarification::intended::solution::design::(backwards::compatebility)</t>
  </si>
  <si>
    <t>fredbenson 16</t>
  </si>
  <si>
    <t>asking::for::clarification::intended::solution::design</t>
  </si>
  <si>
    <t>mattweber 16</t>
  </si>
  <si>
    <t>asking::for::clarification::expected::behaviour</t>
  </si>
  <si>
    <t>jrick1977 16</t>
  </si>
  <si>
    <t>providing::clarification::intended::solution::design::(backwards::compatebility)</t>
  </si>
  <si>
    <t>uboness 18</t>
  </si>
  <si>
    <t>providing::clarification::proposal::change::solution::design::(minor)2</t>
  </si>
  <si>
    <t>jprante 18</t>
  </si>
  <si>
    <t>ref::external::references::(documentation)</t>
  </si>
  <si>
    <t>ref::references::(PR)</t>
  </si>
  <si>
    <t>jrick1977 18</t>
  </si>
  <si>
    <t>uboness 18, reply to jprante</t>
  </si>
  <si>
    <t>ref::external::references::(theory::book)</t>
  </si>
  <si>
    <t>lukas-vlcek A1</t>
  </si>
  <si>
    <t>informing::in::favor::(issue::design::+1)</t>
  </si>
  <si>
    <t>jprfante</t>
  </si>
  <si>
    <t>discussing::inteded::solution::design::(join)</t>
  </si>
  <si>
    <t>uboness A1</t>
  </si>
  <si>
    <t>asking::for::clarification::documentation</t>
  </si>
  <si>
    <t>providing::clarification::documentation</t>
  </si>
  <si>
    <t>rmattler A2</t>
  </si>
  <si>
    <t>informing::should::be::discussed::on::mailinglist</t>
  </si>
  <si>
    <t>mattweber A2</t>
  </si>
  <si>
    <t>asking::clarification::about::Qualitty::attributes::(consistency)</t>
  </si>
  <si>
    <t>roytmana A2</t>
  </si>
  <si>
    <t>discussing::potential::bug</t>
  </si>
  <si>
    <t>markharwood A8</t>
  </si>
  <si>
    <t>ref::external::references::(other::projects)</t>
  </si>
  <si>
    <t>roytmana A9</t>
  </si>
  <si>
    <t>fterrier A13</t>
  </si>
  <si>
    <t>btiernay S5</t>
  </si>
  <si>
    <t>bobrik N10</t>
  </si>
  <si>
    <t>agreement::potential::bug</t>
  </si>
  <si>
    <t>uboness N10</t>
  </si>
  <si>
    <t>proposes::workaround::to::expected::functionallity::(code::in::text)</t>
  </si>
  <si>
    <t>missing::feature</t>
  </si>
  <si>
    <t>bobrik N10 answer ubirnes</t>
  </si>
  <si>
    <t>reference::previous::message</t>
  </si>
  <si>
    <t>brusic N10</t>
  </si>
  <si>
    <t>disagreement::potential::bug::found</t>
  </si>
  <si>
    <t>asking::about::availability::feature</t>
  </si>
  <si>
    <t>nilsga N13</t>
  </si>
  <si>
    <t>providing::clarification::about::availability::feature</t>
  </si>
  <si>
    <t>clintongormley</t>
  </si>
  <si>
    <t>brusic N13</t>
  </si>
  <si>
    <t>informing::in::favor::(closing::issue::+1)</t>
  </si>
  <si>
    <t>lmenezes N24</t>
  </si>
  <si>
    <t>asking::for::clarification::missing::documentation</t>
  </si>
  <si>
    <t>alexsv N28</t>
  </si>
  <si>
    <t>informing::missmatch::nbetween::code:.and::documentation</t>
  </si>
  <si>
    <t>providing::clarification::missing::documentation</t>
  </si>
  <si>
    <t>uboness N28</t>
  </si>
  <si>
    <t>Revendless - team N30</t>
  </si>
  <si>
    <t>uboness N30</t>
  </si>
  <si>
    <t>Revendless - team D6</t>
  </si>
  <si>
    <t>jrick1977 D9</t>
  </si>
  <si>
    <t>#issuecomment-30225998</t>
  </si>
  <si>
    <t>Uboness D10</t>
  </si>
  <si>
    <t>asking::for::reasons::not::supporting::feature</t>
  </si>
  <si>
    <t>jrick1977</t>
  </si>
  <si>
    <t>providing::reasons::not::supporting::feature</t>
  </si>
  <si>
    <t>Ubones D10</t>
  </si>
  <si>
    <t>clarifying::development::process::(issue::tracker)</t>
  </si>
  <si>
    <t>https://github.com/elastic/elasticsearch/issues/3300#issuecomment-30262388</t>
  </si>
  <si>
    <t>providing::claarification::about::availability::feature</t>
  </si>
  <si>
    <t>Ubones D11</t>
  </si>
  <si>
    <t>bobberenwick D17</t>
  </si>
  <si>
    <t>Ubones D17</t>
  </si>
  <si>
    <t>examples::of::wrong::behaviour</t>
  </si>
  <si>
    <t>TrevRUNDSP J20</t>
  </si>
  <si>
    <t>Uboness J20</t>
  </si>
  <si>
    <t>asking::about::release::timeline</t>
  </si>
  <si>
    <t>rbnacharya F3</t>
  </si>
  <si>
    <t>providing::clarification::about::release::timeline</t>
  </si>
  <si>
    <t>s1monw F4</t>
  </si>
  <si>
    <t>hansbarnard M3</t>
  </si>
  <si>
    <t>referer::to::related::issue</t>
  </si>
  <si>
    <t>roytmana A7</t>
  </si>
  <si>
    <t>asking::for::possible::usage</t>
  </si>
  <si>
    <t>ankitajain90 A7</t>
  </si>
  <si>
    <t>providing::clarification::possible::usage</t>
  </si>
  <si>
    <t>ankitajain90 A8</t>
  </si>
  <si>
    <t>asking::for::example::for::intended::usage1</t>
  </si>
  <si>
    <t>jugal92</t>
  </si>
  <si>
    <t>spvemm F12</t>
  </si>
  <si>
    <t>status::of::feature</t>
  </si>
  <si>
    <t>asking::for::clarification::documentation::(issue)</t>
  </si>
  <si>
    <t>providing::clarification::documentation::(issue)</t>
  </si>
  <si>
    <t>comment6</t>
  </si>
  <si>
    <t>informing::opening::another::issue::(related::feature)</t>
  </si>
  <si>
    <t>missing::documentation</t>
  </si>
  <si>
    <t>disagreement::missing::documentation</t>
  </si>
  <si>
    <t>informing::completness::feature</t>
  </si>
  <si>
    <t>asking::about::development::process::(why::blocked)</t>
  </si>
  <si>
    <t>commenting::development::process::(why::blocked)</t>
  </si>
  <si>
    <t>proposal::of::a::possible::solution::(explanation)</t>
  </si>
  <si>
    <t>asking::for::clarification::solution::design</t>
  </si>
  <si>
    <t>informing::in::favor::(solution::design)</t>
  </si>
  <si>
    <t>informing::PR::opened</t>
  </si>
  <si>
    <t>proposal::change::solution::design</t>
  </si>
  <si>
    <t>not coded</t>
  </si>
  <si>
    <t>refactoring, improvement</t>
  </si>
  <si>
    <t>why::feature::is::required</t>
  </si>
  <si>
    <t>ref::code::link::(gist)</t>
  </si>
  <si>
    <t>proposes::workaround::to::expected::functionallity::(link)</t>
  </si>
  <si>
    <t>title and description</t>
  </si>
  <si>
    <t>when::is::the::bug::present::(specific::java::version)</t>
  </si>
  <si>
    <t>comment 1 and description</t>
  </si>
  <si>
    <t>disagreement::proposal::of::a::possible::solution::(explanation)</t>
  </si>
  <si>
    <t>examples::of::wrong::behaviour::(in::specific::java::version)</t>
  </si>
  <si>
    <t>asking::for::reasons::not::supporting::solution</t>
  </si>
  <si>
    <t>discussing::inteded::solution::design</t>
  </si>
  <si>
    <t>informing::final::solution::design</t>
  </si>
  <si>
    <t>informing::bug::already::fixed::(different::branch)</t>
  </si>
  <si>
    <t>disagreement::bug::already::fixed::(different::branch)</t>
  </si>
  <si>
    <t>bug::is::not::the::same::as::bug::already::fixed</t>
  </si>
  <si>
    <t>referer::to::related::bug1</t>
  </si>
  <si>
    <t>asking::for::clarification::current::implementtaion</t>
  </si>
  <si>
    <t>asking::about::development::progress</t>
  </si>
  <si>
    <t>asking::for::clarification::about::current::implementation</t>
  </si>
  <si>
    <t>providing::clarification::about::current::implementation</t>
  </si>
  <si>
    <t>informing::potential::bug:.found::closed</t>
  </si>
  <si>
    <t>intention::to::ticket::re::opening</t>
  </si>
  <si>
    <t>current::situation::(why::feature::is::needed)</t>
  </si>
  <si>
    <t>asking::for::documentation</t>
  </si>
  <si>
    <t>informing::opinion::(not::common)</t>
  </si>
  <si>
    <t>agreeing::opinion::(not::common)</t>
  </si>
  <si>
    <t>providing::reasons::of::the::issue</t>
  </si>
  <si>
    <t>asking::for::clarification::documentation::(where)</t>
  </si>
  <si>
    <t>providing::clarification::documentation::(where)</t>
  </si>
  <si>
    <t>BUGS NOVA</t>
  </si>
  <si>
    <t>B1 - Build tools</t>
  </si>
  <si>
    <t>B2 - Dependency resolution</t>
  </si>
  <si>
    <t>B3 - Build practices</t>
  </si>
  <si>
    <r>
      <rPr>
        <rFont val="Arial"/>
        <color theme="1"/>
      </rPr>
      <t xml:space="preserve">This field contains information that could be used for the continuous integration check
</t>
    </r>
    <r>
      <rPr>
        <rFont val="Arial"/>
        <b/>
        <color theme="1"/>
      </rPr>
      <t xml:space="preserve">Bug Introducing commit. </t>
    </r>
    <r>
      <rPr>
        <rFont val="Arial"/>
        <color theme="1"/>
      </rPr>
      <t xml:space="preserve">
Check the whole tree and not only the committed file to understand the  building process</t>
    </r>
  </si>
  <si>
    <t>Sphinx</t>
  </si>
  <si>
    <t>setup.py (Documentation Builder) https://docs.readthedocs.io/en/stable/intro/getting-started-with-sphinx.html</t>
  </si>
  <si>
    <t>remote::repositories::(e.g.,::pip::maven::central)</t>
  </si>
  <si>
    <t>tools/pip-requires</t>
  </si>
  <si>
    <t>generation::of::source::code::documentation</t>
  </si>
  <si>
    <t>usage of sphinx</t>
  </si>
  <si>
    <t>Setuptools</t>
  </si>
  <si>
    <t>setup.py (Build and distribute Python packages) https://setuptools.pypa.io/en/latest/setuptools.html</t>
  </si>
  <si>
    <t>usage::of::building:.and::distribution::tools</t>
  </si>
  <si>
    <t>usage of setuptools (setup.py)</t>
  </si>
  <si>
    <t>Pylint</t>
  </si>
  <si>
    <t>pylintrc (setup for Pylint) https://pypi.org/project/pylint/</t>
  </si>
  <si>
    <t>usage::of::style::checking::static::analysis::tools</t>
  </si>
  <si>
    <t>usage of  pylint</t>
  </si>
  <si>
    <t>Twissted*</t>
  </si>
  <si>
    <t>twissted (separate the logic of physical protocols) https://twisted.org/</t>
  </si>
  <si>
    <t>usage::of::own::style::checking::static::analysis::rules</t>
  </si>
  <si>
    <t>usage of pylintrc. to stablish own rules</t>
  </si>
  <si>
    <t>Smoketests::CI</t>
  </si>
  <si>
    <t>Manifest. in smoketests (for build verification testing or confidence testing) https://github.com/usnews/smoketest</t>
  </si>
  <si>
    <t>execution::automated::smoke::tests</t>
  </si>
  <si>
    <t>usage of smoketests</t>
  </si>
  <si>
    <t>Hacking::(Flake8)</t>
  </si>
  <si>
    <t>hacking.rst (Your Tool For Style Guide Enforcement) https://flake8.pycqa.org/en/latest/ https://pypi.org/project/hacking/</t>
  </si>
  <si>
    <t>usage::of::virtual::environments</t>
  </si>
  <si>
    <t>usage of virtualenv</t>
  </si>
  <si>
    <t>Virtualenv</t>
  </si>
  <si>
    <t>tools/ install venv (to isolate NOva, a clean build) https://virtualenv.pypa.io/en/latest/</t>
  </si>
  <si>
    <t>execution::automated::unit::and::integration::tests</t>
  </si>
  <si>
    <t>nova/smoketests/smoketests.py</t>
  </si>
  <si>
    <t>Easy::install::(Setuptools)</t>
  </si>
  <si>
    <r>
      <rPr/>
      <t xml:space="preserve">tools/ install venv (to isolate NOva, a clean build) </t>
    </r>
    <r>
      <rPr>
        <color rgb="FF1155CC"/>
        <u/>
      </rPr>
      <t>https://setuptools.pypa.io/en/latest/deprecated/easy_install.html</t>
    </r>
  </si>
  <si>
    <t>usage::of::bug::finding::static::analysis::tools</t>
  </si>
  <si>
    <t>usage of pylint (it helos to identify bugs)</t>
  </si>
  <si>
    <t>Unittest</t>
  </si>
  <si>
    <r>
      <rPr>
        <color rgb="FF1155CC"/>
        <u/>
      </rPr>
      <t>smoketests.py</t>
    </r>
    <r>
      <rPr/>
      <t xml:space="preserve"> (tools for executing unit tests) https://docs.python.org/3/library/unittest.html</t>
    </r>
  </si>
  <si>
    <t>usage::of::generic::coding::conventions::(pep8)</t>
  </si>
  <si>
    <t>usage of pep8==0.6.1</t>
  </si>
  <si>
    <t>pep8</t>
  </si>
  <si>
    <t xml:space="preserve">pylint </t>
  </si>
  <si>
    <t>nose</t>
  </si>
  <si>
    <r>
      <rPr/>
      <t xml:space="preserve">tests (stablish tests) </t>
    </r>
    <r>
      <rPr>
        <color rgb="FF1155CC"/>
        <u/>
      </rPr>
      <t>https://nose.readthedocs.io/en/latest/</t>
    </r>
  </si>
  <si>
    <t>usage::of::simple::config::file::(cfg)::and::config::in::code:.(mainly)</t>
  </si>
  <si>
    <r>
      <rPr>
        <color rgb="FF1155CC"/>
        <u/>
      </rPr>
      <t>setup.py</t>
    </r>
    <r>
      <rPr/>
      <t xml:space="preserve"> and setup.cfg</t>
    </r>
  </si>
  <si>
    <t>mixed</t>
  </si>
  <si>
    <t>pip and chached (https://launchpad.net/python-distutils-extra (setup, http://nova.openstack.org/Twisted-10.0.0Nova.tar.gz (tools/install venv) )</t>
  </si>
  <si>
    <t>usage of DistUtilsExtra.auto</t>
  </si>
  <si>
    <t>Distutilsextra</t>
  </si>
  <si>
    <r>
      <rPr>
        <color rgb="FF1155CC"/>
        <u/>
      </rPr>
      <t>setup.py</t>
    </r>
    <r>
      <rPr/>
      <t xml:space="preserve"> (Enables you to easily integrate gettext support, themed icons and scrollkeeper based documentation into Python's distutils.) </t>
    </r>
    <r>
      <rPr>
        <color rgb="FF1155CC"/>
        <u/>
      </rPr>
      <t>https://pypi.org/project/distutils-extra-python/#description</t>
    </r>
  </si>
  <si>
    <r>
      <rPr>
        <color rgb="FF1155CC"/>
        <u/>
      </rPr>
      <t>run_tests.py</t>
    </r>
    <r>
      <rPr/>
      <t xml:space="preserve"> (coordinate and conf tests automatic)</t>
    </r>
  </si>
  <si>
    <t>usage of nose and unitests</t>
  </si>
  <si>
    <t>.pylintrc</t>
  </si>
  <si>
    <t>smoketests folder</t>
  </si>
  <si>
    <t>hacking.rst</t>
  </si>
  <si>
    <t>pylintrc file</t>
  </si>
  <si>
    <r>
      <rPr/>
      <t xml:space="preserve">twissted (separate the logic of physical protocols) </t>
    </r>
    <r>
      <rPr>
        <color rgb="FF1155CC"/>
        <u/>
      </rPr>
      <t>https://twisted.org/</t>
    </r>
  </si>
  <si>
    <t>usage of pylint</t>
  </si>
  <si>
    <t xml:space="preserve">tools/ install venv (to isolate NOva, a clean build) </t>
  </si>
  <si>
    <t>for unit testing</t>
  </si>
  <si>
    <r>
      <rPr>
        <color rgb="FF1155CC"/>
        <u/>
      </rPr>
      <t>setup.py</t>
    </r>
    <r>
      <rPr/>
      <t xml:space="preserve"> and setup.cfg</t>
    </r>
  </si>
  <si>
    <r>
      <rPr>
        <color rgb="FF1155CC"/>
        <u/>
      </rPr>
      <t>setup.py</t>
    </r>
    <r>
      <rPr/>
      <t xml:space="preserve"> (Enables you to easily integrate gettext support, themed icons and scrollkeeper based documentation into Python's distutils.) </t>
    </r>
    <r>
      <rPr>
        <color rgb="FF1155CC"/>
        <u/>
      </rPr>
      <t>https://pypi.org/project/distutils-extra-python/#description</t>
    </r>
  </si>
  <si>
    <t>pip and chached (https://launchpad.net/python-distutils-extra (setup)******</t>
  </si>
  <si>
    <t>Pylint and Hacking</t>
  </si>
  <si>
    <t xml:space="preserve">setup.py (Documentation Builder) </t>
  </si>
  <si>
    <r>
      <rPr>
        <color rgb="FF1155CC"/>
        <u/>
      </rPr>
      <t>run_tests.py</t>
    </r>
    <r>
      <rPr/>
      <t xml:space="preserve"> (coordinate and conf tests automatic)</t>
    </r>
  </si>
  <si>
    <t>ipyrnc</t>
  </si>
  <si>
    <t>use Sphinix</t>
  </si>
  <si>
    <t>smoketests</t>
  </si>
  <si>
    <t>nove/nova/tests/integration and unit tests</t>
  </si>
  <si>
    <t>usage::of::pre-commit::hooks</t>
  </si>
  <si>
    <t>tools/hooks</t>
  </si>
  <si>
    <t>(review) execute and report failures</t>
  </si>
  <si>
    <t>tools/venv</t>
  </si>
  <si>
    <r>
      <rPr>
        <color rgb="FF1155CC"/>
        <u/>
      </rPr>
      <t>setup.py</t>
    </r>
    <r>
      <rPr/>
      <t xml:space="preserve"> and setup.cfg</t>
    </r>
  </si>
  <si>
    <t>Babel</t>
  </si>
  <si>
    <t>generation of documentation (pot files) GNU</t>
  </si>
  <si>
    <t>measurement::and::reporting::of::code::coverage</t>
  </si>
  <si>
    <r>
      <rPr>
        <color rgb="FF1155CC"/>
        <u/>
      </rPr>
      <t>run_test.sh</t>
    </r>
    <r>
      <rPr/>
      <t xml:space="preserve"> (https://opendev.org/openstack/nova/src/commit/e7aa4022374fb35d2131a7c633212c5d6302db3d/run_tests.sh)</t>
    </r>
  </si>
  <si>
    <t>Tox</t>
  </si>
  <si>
    <t>tox.ini (coordinate and conf tests automatic) https://tox.wiki/en/4.13.0/</t>
  </si>
  <si>
    <t>pip requires</t>
  </si>
  <si>
    <t>run_tests.sh</t>
  </si>
  <si>
    <r>
      <rPr>
        <color rgb="FF1155CC"/>
        <u/>
      </rPr>
      <t>run_tests.py</t>
    </r>
    <r>
      <rPr/>
      <t xml:space="preserve"> (coordinate and conf tests automatic)</t>
    </r>
  </si>
  <si>
    <t>usage::of::own::style::ignoring::code::coverage</t>
  </si>
  <si>
    <t>[run]
branch = True
omit = /usr*,setup.py,*egg*,.venv/*,.tox/*,nova/tests/*
[report]
ignore-errors = True
.coveragerc file</t>
  </si>
  <si>
    <t>Tempest</t>
  </si>
  <si>
    <r>
      <rPr/>
      <t xml:space="preserve">Integration tests (review &gt;&gt; jenkins last line) </t>
    </r>
    <r>
      <rPr>
        <color rgb="FF1155CC"/>
        <u/>
      </rPr>
      <t>https://pypi.org/project/tempest/</t>
    </r>
  </si>
  <si>
    <t>using tempest</t>
  </si>
  <si>
    <t>setup.py</t>
  </si>
  <si>
    <t>hacking (http://www.python.org/dev/peps/pep-0008/)</t>
  </si>
  <si>
    <t>hacking rst and test run pep 8</t>
  </si>
  <si>
    <t>unitests</t>
  </si>
  <si>
    <t>Testools</t>
  </si>
  <si>
    <r>
      <rPr/>
      <t xml:space="preserve">tools/test-requires/ (for extending unit testing) </t>
    </r>
    <r>
      <rPr>
        <color rgb="FF1155CC"/>
        <u/>
      </rPr>
      <t>https://pypi.org/project/testtools/</t>
    </r>
  </si>
  <si>
    <t>sphinix</t>
  </si>
  <si>
    <t>tools/install_venv.py</t>
  </si>
  <si>
    <t>using pylint (code smells)</t>
  </si>
  <si>
    <t>testing::in::different::python::versions</t>
  </si>
  <si>
    <t>review (jenkins python 26 and 27)</t>
  </si>
  <si>
    <t>tools/pre/commit hooks</t>
  </si>
  <si>
    <r>
      <rPr>
        <color rgb="FF1155CC"/>
        <u/>
      </rPr>
      <t>setup.py</t>
    </r>
    <r>
      <rPr/>
      <t xml:space="preserve"> and setup.cfg</t>
    </r>
  </si>
  <si>
    <t>for unitesting</t>
  </si>
  <si>
    <t>execution::and::reporting::of::automated::system::tests</t>
  </si>
  <si>
    <t>****** I am not quite sure but there are tests that test binaries</t>
  </si>
  <si>
    <t>requesits</t>
  </si>
  <si>
    <r>
      <rPr>
        <color rgb="FF1155CC"/>
        <u/>
      </rPr>
      <t>run_tests.py</t>
    </r>
    <r>
      <rPr/>
      <t xml:space="preserve"> (coordinate and conf tests automatic)</t>
    </r>
  </si>
  <si>
    <t>[run]
branch = True
omit = /usr*,setup.py,*egg*,.venv/*,.tox/*,nova/tests/*
[report]
ignore-errors = True</t>
  </si>
  <si>
    <r>
      <rPr/>
      <t xml:space="preserve">Integration tests (review &gt;&gt; jenkins last line) </t>
    </r>
    <r>
      <rPr>
        <color rgb="FF1155CC"/>
        <u/>
      </rPr>
      <t>https://pypi.org/project/tempest/</t>
    </r>
  </si>
  <si>
    <r>
      <rPr/>
      <t xml:space="preserve">tools/test-requires/ (for extending unit testing) </t>
    </r>
    <r>
      <rPr>
        <color rgb="FF1155CC"/>
        <u/>
      </rPr>
      <t>https://pypi.org/project/testtools/</t>
    </r>
  </si>
  <si>
    <t>test/requires and /doc</t>
  </si>
  <si>
    <r>
      <rPr>
        <color rgb="FF1155CC"/>
        <u/>
      </rPr>
      <t>setup.py</t>
    </r>
    <r>
      <rPr/>
      <t xml:space="preserve"> and setup.cfg</t>
    </r>
  </si>
  <si>
    <t>just pip modules</t>
  </si>
  <si>
    <r>
      <rPr>
        <color rgb="FF1155CC"/>
        <u/>
      </rPr>
      <t>run_tests.py</t>
    </r>
    <r>
      <rPr/>
      <t xml:space="preserve"> (coordinate and conf tests automatic)</t>
    </r>
  </si>
  <si>
    <r>
      <rPr/>
      <t xml:space="preserve">Integration tests (review &gt;&gt; jenkins last line) </t>
    </r>
    <r>
      <rPr>
        <color rgb="FF1155CC"/>
        <u/>
      </rPr>
      <t>https://pypi.org/project/tempest/</t>
    </r>
  </si>
  <si>
    <r>
      <rPr/>
      <t xml:space="preserve">tools/test-requires/ (for extending unit testing) </t>
    </r>
    <r>
      <rPr>
        <color rgb="FF1155CC"/>
        <u/>
      </rPr>
      <t>https://pypi.org/project/testtools/</t>
    </r>
  </si>
  <si>
    <r>
      <rPr>
        <color rgb="FF1155CC"/>
        <u/>
      </rPr>
      <t>setup.py</t>
    </r>
    <r>
      <rPr/>
      <t xml:space="preserve"> and setup.cfg</t>
    </r>
  </si>
  <si>
    <r>
      <rPr>
        <color rgb="FF1155CC"/>
        <u/>
      </rPr>
      <t>run_tests.py</t>
    </r>
    <r>
      <rPr/>
      <t xml:space="preserve"> (coordinate and conf tests automatic)</t>
    </r>
  </si>
  <si>
    <t>.coveragerc</t>
  </si>
  <si>
    <r>
      <rPr/>
      <t xml:space="preserve">Integration tests (review &gt;&gt; jenkins last line) </t>
    </r>
    <r>
      <rPr>
        <color rgb="FF1155CC"/>
        <u/>
      </rPr>
      <t>https://pypi.org/project/tempest/</t>
    </r>
  </si>
  <si>
    <r>
      <rPr/>
      <t xml:space="preserve">tools/test-requires/ (for extending unit testing) </t>
    </r>
    <r>
      <rPr>
        <color rgb="FF1155CC"/>
        <u/>
      </rPr>
      <t>https://pypi.org/project/testtools/</t>
    </r>
  </si>
  <si>
    <r>
      <rPr>
        <color rgb="FF1155CC"/>
        <u/>
      </rPr>
      <t>setup.py</t>
    </r>
    <r>
      <rPr/>
      <t xml:space="preserve"> and setup.cfg</t>
    </r>
  </si>
  <si>
    <t>check::if::regressions::exist</t>
  </si>
  <si>
    <t xml:space="preserve">pip only </t>
  </si>
  <si>
    <r>
      <rPr>
        <color rgb="FF1155CC"/>
        <u/>
      </rPr>
      <t>run_tests.py/</t>
    </r>
    <r>
      <rPr/>
      <t xml:space="preserve"> setup.py(coordinate and conf tests automatic)</t>
    </r>
  </si>
  <si>
    <r>
      <rPr/>
      <t xml:space="preserve">Integration tests (review &gt;&gt; jenkins last line) </t>
    </r>
    <r>
      <rPr>
        <color rgb="FF1155CC"/>
        <u/>
      </rPr>
      <t>https://pypi.org/project/tempest/</t>
    </r>
  </si>
  <si>
    <r>
      <rPr/>
      <t xml:space="preserve">tools/test-requires/ (for extending unit testing) </t>
    </r>
    <r>
      <rPr>
        <color rgb="FF1155CC"/>
        <u/>
      </rPr>
      <t>https://pypi.org/project/testtools/</t>
    </r>
  </si>
  <si>
    <t>with regressor test in tools</t>
  </si>
  <si>
    <t>Grenade</t>
  </si>
  <si>
    <t>jenkind logs regression testing (https://github.com/openstack/grenade)</t>
  </si>
  <si>
    <r>
      <rPr>
        <color rgb="FF1155CC"/>
        <u/>
      </rPr>
      <t>setup.py</t>
    </r>
    <r>
      <rPr/>
      <t xml:space="preserve"> and setup.cfg</t>
    </r>
  </si>
  <si>
    <r>
      <rPr/>
      <t xml:space="preserve">Integration tests (review &gt;&gt; jenkins last line) </t>
    </r>
    <r>
      <rPr>
        <color rgb="FF1155CC"/>
        <u/>
      </rPr>
      <t>https://pypi.org/project/tempest/</t>
    </r>
  </si>
  <si>
    <r>
      <rPr/>
      <t xml:space="preserve">tests-requirememnts/ (for extending unit testing) </t>
    </r>
    <r>
      <rPr>
        <color rgb="FF1155CC"/>
        <u/>
      </rPr>
      <t>https://pypi.org/project/testtools/</t>
    </r>
  </si>
  <si>
    <t>Testrepository*</t>
  </si>
  <si>
    <t>requesites and .testr.con (This project provides a database of test results which can be used as part of developer workflow to ensure/check things like:
No commits without having had a test failure, test fixed cycle. No commits without new tests being added. What tests have failed since the last commit (to run just a subset). What tests are currently failing and need work. Test results are inserted using subunit (and thus anything that can output subunit or be converted into a subunit stream can be accepted).) https://pypi.org/project/testrepository/</t>
  </si>
  <si>
    <t>usage::of::workflow::testing::tools</t>
  </si>
  <si>
    <t>testrepository</t>
  </si>
  <si>
    <t>usage::of::config::file::(d2to1/pbr)::instead::of::write::config::in::code</t>
  </si>
  <si>
    <r>
      <rPr>
        <color rgb="FF1155CC"/>
        <u/>
      </rPr>
      <t>setup.py</t>
    </r>
    <r>
      <rPr/>
      <t xml:space="preserve"> and setup.cfg</t>
    </r>
  </si>
  <si>
    <t>execution::and::reporting::of::other::automated::tests</t>
  </si>
  <si>
    <r>
      <rPr/>
      <t xml:space="preserve">** not sure due to it is only meassuring elapsed time in the tests. e.g., colorizer in tools/ also in </t>
    </r>
    <r>
      <rPr>
        <color rgb="FF1155CC"/>
        <u/>
      </rPr>
      <t>run_tests.sh</t>
    </r>
  </si>
  <si>
    <r>
      <rPr/>
      <t xml:space="preserve">Integration tests (review &gt;&gt; jenkins last line) </t>
    </r>
    <r>
      <rPr>
        <color rgb="FF1155CC"/>
        <u/>
      </rPr>
      <t>https://pypi.org/project/tempest/</t>
    </r>
  </si>
  <si>
    <r>
      <rPr>
        <color rgb="FF1155CC"/>
        <u/>
      </rPr>
      <t>test.py</t>
    </r>
    <r>
      <rPr/>
      <t xml:space="preserve"> /nova (for extending unit testing) </t>
    </r>
  </si>
  <si>
    <t>jenkins logs regression testing (https://github.com/openstack/grenade)</t>
  </si>
  <si>
    <r>
      <rPr/>
      <t xml:space="preserve">** not sure due to it is only meassuring elapsed time in the tests. e.g., colorizer in tools/ also in </t>
    </r>
    <r>
      <rPr>
        <color rgb="FF1155CC"/>
        <u/>
      </rPr>
      <t>run_tests.sh</t>
    </r>
  </si>
  <si>
    <r>
      <rPr>
        <color rgb="FF1155CC"/>
        <u/>
      </rPr>
      <t>setup.py</t>
    </r>
    <r>
      <rPr/>
      <t xml:space="preserve"> and setup.cfg</t>
    </r>
  </si>
  <si>
    <r>
      <rPr/>
      <t xml:space="preserve">Integration tests (review &gt;&gt; jenkins last line) </t>
    </r>
    <r>
      <rPr>
        <color rgb="FF1155CC"/>
        <u/>
      </rPr>
      <t>https://pypi.org/project/tempest/</t>
    </r>
  </si>
  <si>
    <r>
      <rPr>
        <color rgb="FF1155CC"/>
        <u/>
      </rPr>
      <t>test.py</t>
    </r>
    <r>
      <rPr/>
      <t xml:space="preserve"> /nova (for extending unit testing) </t>
    </r>
  </si>
  <si>
    <r>
      <rPr/>
      <t xml:space="preserve">** not sure due to it is only meassuring elapsed time in the tests. e.g., colorizer in tools/ also in </t>
    </r>
    <r>
      <rPr>
        <color rgb="FF1155CC"/>
        <u/>
      </rPr>
      <t>run_tests.sh</t>
    </r>
  </si>
  <si>
    <r>
      <rPr/>
      <t xml:space="preserve">setup.cfg and only calling PBR </t>
    </r>
    <r>
      <rPr>
        <color rgb="FF1155CC"/>
        <u/>
      </rPr>
      <t>setup.py</t>
    </r>
  </si>
  <si>
    <r>
      <rPr/>
      <t xml:space="preserve">Integration tests (review &gt;&gt; jenkins last line) </t>
    </r>
    <r>
      <rPr>
        <color rgb="FF1155CC"/>
        <u/>
      </rPr>
      <t>https://pypi.org/project/tempest/</t>
    </r>
  </si>
  <si>
    <r>
      <rPr>
        <color rgb="FF1155CC"/>
        <u/>
      </rPr>
      <t>test.py</t>
    </r>
    <r>
      <rPr/>
      <t xml:space="preserve"> /nova (for extending unit testing) </t>
    </r>
  </si>
  <si>
    <t>usage::of::config::file::(PBR)::instead::of::write::config::in::code</t>
  </si>
  <si>
    <r>
      <rPr/>
      <t xml:space="preserve">setup.cfg and only calling PBR </t>
    </r>
    <r>
      <rPr>
        <color rgb="FF1155CC"/>
        <u/>
      </rPr>
      <t>setup.py</t>
    </r>
  </si>
  <si>
    <r>
      <rPr/>
      <t xml:space="preserve">** not sure due to it is only meassuring elapsed time in the tests. e.g., colorizer in tools/ also in </t>
    </r>
    <r>
      <rPr>
        <color rgb="FF1155CC"/>
        <u/>
      </rPr>
      <t>run_tests.sh</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</si>
  <si>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</si>
  <si>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</si>
  <si>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setup.cfg and only calling PBR </t>
    </r>
    <r>
      <rPr>
        <color rgb="FF1155CC"/>
        <u/>
      </rPr>
      <t>setup.py</t>
    </r>
  </si>
  <si>
    <r>
      <rPr/>
      <t xml:space="preserve">** not sure due to it is only meassuring elapsed time in the tests. e.g., colorizer in tools/ also in </t>
    </r>
    <r>
      <rPr>
        <color rgb="FF1155CC"/>
        <u/>
      </rPr>
      <t>run_tests.sh</t>
    </r>
  </si>
  <si>
    <r>
      <rPr/>
      <t xml:space="preserve">Integration tests (review &gt;&gt; jenkins last line) </t>
    </r>
    <r>
      <rPr>
        <color rgb="FF1155CC"/>
        <u/>
      </rPr>
      <t>https://pypi.org/project/tempest/</t>
    </r>
  </si>
  <si>
    <r>
      <rPr>
        <color rgb="FF1155CC"/>
        <u/>
      </rPr>
      <t>test.py</t>
    </r>
    <r>
      <rPr/>
      <t xml:space="preserve"> /nova or colorizer(for extending unit testing) </t>
    </r>
  </si>
  <si>
    <t>run Database CI</t>
  </si>
  <si>
    <t>Database::CI::(Turbo::hispter)</t>
  </si>
  <si>
    <t>review jenkins (performance tests agains real databases) https://wiki.openstack.org/wiki/Nova/Turbo-Hipster</t>
  </si>
  <si>
    <r>
      <rPr/>
      <t xml:space="preserve">Integration tests (review &gt;&gt; jenkins last line) </t>
    </r>
    <r>
      <rPr>
        <color rgb="FF1155CC"/>
        <u/>
      </rPr>
      <t>https://pypi.org/project/tempest/</t>
    </r>
  </si>
  <si>
    <r>
      <rPr>
        <color rgb="FF1155CC"/>
        <u/>
      </rPr>
      <t>test.py</t>
    </r>
    <r>
      <rPr/>
      <t xml:space="preserve"> /nova or colorizer(for extending unit testing) </t>
    </r>
  </si>
  <si>
    <t>testing::in::different::VM::(types)::versions</t>
  </si>
  <si>
    <t>vmware and  Microsoft Hyper V CI</t>
  </si>
  <si>
    <t>Microsoft::Hyper-V::CI</t>
  </si>
  <si>
    <r>
      <rPr/>
      <t xml:space="preserve">review CI (Continuous Integration for compute-hyperv and networking-hyperv for Microsoft Hyper-V) </t>
    </r>
    <r>
      <rPr>
        <color rgb="FF1155CC"/>
        <u/>
      </rPr>
      <t>https://wiki.openstack.org/wiki/ThirdPartySystems/Hyper-V_CI</t>
    </r>
    <r>
      <rPr/>
      <t xml:space="preserve"> </t>
    </r>
  </si>
  <si>
    <t>VMware::NSX::CI</t>
  </si>
  <si>
    <r>
      <rPr/>
      <t xml:space="preserve">review CI (Validate Nova changes with vCenter driver) </t>
    </r>
    <r>
      <rPr>
        <color rgb="FF1155CC"/>
        <u/>
      </rPr>
      <t>https://wiki.openstack.org/wiki/ThirdPartySystems/VMware_CI</t>
    </r>
    <r>
      <rPr/>
      <t xml:space="preserve"> </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</si>
  <si>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</si>
  <si>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</si>
  <si>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</si>
  <si>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(Validate Nova changes with vCenter driver) </t>
    </r>
    <r>
      <rPr>
        <color rgb="FF1155CC"/>
        <u/>
      </rPr>
      <t>https://wiki.openstack.org/wiki/ThirdPartySystems/VMware_CI</t>
    </r>
    <r>
      <rPr/>
      <t xml:space="preserve"> </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</si>
  <si>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</si>
  <si>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</si>
  <si>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</si>
  <si>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(Validate Nova changes with vCenter driver) </t>
    </r>
    <r>
      <rPr>
        <color rgb="FF1155CC"/>
        <u/>
      </rPr>
      <t>https://wiki.openstack.org/wiki/ThirdPartySystems/VMware_CI</t>
    </r>
    <r>
      <rPr/>
      <t xml:space="preserve"> </t>
    </r>
  </si>
  <si>
    <t>Citrix::XenServer::CI::(XenServer::CI)</t>
  </si>
  <si>
    <r>
      <rPr/>
      <t xml:space="preserve">review CI (Continuous Integration for Nova for XenServer) </t>
    </r>
    <r>
      <rPr>
        <color rgb="FF1155CC"/>
        <u/>
      </rPr>
      <t>https://wiki.openstack.org/wiki/ThirdPartySystems/XenServer_CI</t>
    </r>
  </si>
  <si>
    <t>IBM::PowerKVM::CI</t>
  </si>
  <si>
    <r>
      <rPr/>
      <t xml:space="preserve">review CI (Ensure that OpenStack will run properly on IBM Power scale-out systems (ppc64)) </t>
    </r>
    <r>
      <rPr>
        <color rgb="FF1155CC"/>
        <u/>
      </rPr>
      <t>https://wiki.openstack.org/wiki/ThirdPartySystems/XenServer_CI</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</si>
  <si>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</si>
  <si>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</si>
  <si>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</si>
  <si>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(Validate Nova changes with vCenter driver) </t>
    </r>
    <r>
      <rPr>
        <color rgb="FF1155CC"/>
        <u/>
      </rPr>
      <t>https://wiki.openstack.org/wiki/ThirdPartySystems/VMware_CI</t>
    </r>
    <r>
      <rPr/>
      <t xml:space="preserve"> </t>
    </r>
  </si>
  <si>
    <r>
      <rPr/>
      <t xml:space="preserve">review CI (Continuous Integration for Nova for XenServer) </t>
    </r>
    <r>
      <rPr>
        <color rgb="FF1155CC"/>
        <u/>
      </rPr>
      <t>https://wiki.openstack.org/wiki/ThirdPartySystems/XenServer_CI</t>
    </r>
  </si>
  <si>
    <r>
      <rPr/>
      <t xml:space="preserve">review CI (Ensure that OpenStack will run properly on IBM Power scale-out systems (ppc64)) </t>
    </r>
    <r>
      <rPr>
        <color rgb="FF1155CC"/>
        <u/>
      </rPr>
      <t>https://wiki.openstack.org/wiki/ThirdPartySystems/XenServer_CI</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</si>
  <si>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</si>
  <si>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</si>
  <si>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</si>
  <si>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</si>
  <si>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</si>
  <si>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</si>
  <si>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</si>
  <si>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</si>
  <si>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r>
      <rPr/>
      <t xml:space="preserve">review CI (Ensure that OpenStack will run properly on IBM Power scale-out systems (ppc64)) </t>
    </r>
    <r>
      <rPr>
        <color rgb="FF1155CC"/>
        <u/>
      </rPr>
      <t>https://wiki.openstack.org/wiki/ThirdPartySystems/XenServer_CI</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</si>
  <si>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</si>
  <si>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</si>
  <si>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</si>
  <si>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</si>
  <si>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r>
      <rPr/>
      <t xml:space="preserve">review CI (Ensure that OpenStack will run properly on IBM Power scale-out systems (ppc64)) </t>
    </r>
    <r>
      <rPr>
        <color rgb="FF1155CC"/>
        <u/>
      </rPr>
      <t>https://wiki.openstack.org/wiki/ThirdPartySystems/XenServer_CI</t>
    </r>
  </si>
  <si>
    <r>
      <rPr/>
      <t xml:space="preserve">review CI (Validate Nova changes with vCenter driver) </t>
    </r>
    <r>
      <rPr>
        <color rgb="FF1155CC"/>
        <u/>
      </rPr>
      <t>https://wiki.openstack.org/wiki/ThirdPartySystems/VMware_CI</t>
    </r>
    <r>
      <rPr/>
      <t xml:space="preserve"> </t>
    </r>
  </si>
  <si>
    <r>
      <rPr/>
      <t xml:space="preserve">Integration tests (review &gt;&gt; jenkins last line) </t>
    </r>
    <r>
      <rPr>
        <color rgb="FF1155CC"/>
        <u/>
      </rPr>
      <t>https://pypi.org/project/tempest/</t>
    </r>
  </si>
  <si>
    <r>
      <rPr>
        <color rgb="FF1155CC"/>
        <u/>
      </rPr>
      <t>test.py</t>
    </r>
    <r>
      <rPr/>
      <t xml:space="preserve"> /nova or colorizer(for extending unit testing) </t>
    </r>
  </si>
  <si>
    <t>doc/source/devref/development.environment.rst.</t>
  </si>
  <si>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</si>
  <si>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</si>
  <si>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r>
      <rPr/>
      <t xml:space="preserve">review CI (Ensure that OpenStack will run properly on IBM Power scale-out systems (ppc64)) </t>
    </r>
    <r>
      <rPr>
        <color rgb="FF1155CC"/>
        <u/>
      </rPr>
      <t>https://wiki.openstack.org/wiki/ThirdPartySystems/XenServer_CI</t>
    </r>
  </si>
  <si>
    <r>
      <rPr/>
      <t xml:space="preserve">review CI (Validate Nova changes with vCenter driver) </t>
    </r>
    <r>
      <rPr>
        <color rgb="FF1155CC"/>
        <u/>
      </rPr>
      <t>https://wiki.openstack.org/wiki/ThirdPartySystems/VMware_CI</t>
    </r>
    <r>
      <rPr/>
      <t xml:space="preserve"> </t>
    </r>
  </si>
  <si>
    <t>jenkins smoketest ci</t>
  </si>
  <si>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</si>
  <si>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</si>
  <si>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</si>
  <si>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</si>
  <si>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r>
      <rPr/>
      <t xml:space="preserve">review CI (Ensure that OpenStack will run properly on IBM Power scale-out systems (ppc64)) </t>
    </r>
    <r>
      <rPr>
        <color rgb="FF1155CC"/>
        <u/>
      </rPr>
      <t>https://wiki.openstack.org/wiki/ThirdPartySystems/XenServer_CI</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</si>
  <si>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</si>
  <si>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</si>
  <si>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</si>
  <si>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</si>
  <si>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r>
      <rPr/>
      <t xml:space="preserve">review CI (Ensure that OpenStack will run properly on IBM Power scale-out systems (ppc64)) </t>
    </r>
    <r>
      <rPr>
        <color rgb="FF1155CC"/>
        <u/>
      </rPr>
      <t>https://wiki.openstack.org/wiki/ThirdPartySystems/XenServer_CI</t>
    </r>
  </si>
  <si>
    <r>
      <rPr/>
      <t xml:space="preserve">review CI (Validate Nova changes with vCenter driver) </t>
    </r>
    <r>
      <rPr>
        <color rgb="FF1155CC"/>
        <u/>
      </rPr>
      <t>https://wiki.openstack.org/wiki/ThirdPartySystems/VMware_CI</t>
    </r>
    <r>
      <rPr/>
      <t xml:space="preserve"> </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</si>
  <si>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</si>
  <si>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</si>
  <si>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</si>
  <si>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</si>
  <si>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r>
      <rPr/>
      <t xml:space="preserve">review CI (Validate Nova changes with vCenter driver) </t>
    </r>
    <r>
      <rPr>
        <color rgb="FF1155CC"/>
        <u/>
      </rPr>
      <t>https://wiki.openstack.org/wiki/ThirdPartySystems/VMware_CI</t>
    </r>
    <r>
      <rPr/>
      <t xml:space="preserve"> </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</si>
  <si>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</si>
  <si>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</si>
  <si>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</si>
  <si>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</si>
  <si>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r>
      <rPr/>
      <t xml:space="preserve">review CI (Validate Nova changes with vCenter driver) </t>
    </r>
    <r>
      <rPr>
        <color rgb="FF1155CC"/>
        <u/>
      </rPr>
      <t>https://wiki.openstack.org/wiki/ThirdPartySystems/VMware_CI</t>
    </r>
    <r>
      <rPr/>
      <t xml:space="preserve"> </t>
    </r>
  </si>
  <si>
    <r>
      <rPr/>
      <t xml:space="preserve">review CI (Ensure that OpenStack will run properly on IBM Power scale-out systems (ppc64)) </t>
    </r>
    <r>
      <rPr>
        <color rgb="FF1155CC"/>
        <u/>
      </rPr>
      <t>https://wiki.openstack.org/wiki/ThirdPartySystems/XenServer_CI</t>
    </r>
  </si>
  <si>
    <r>
      <rPr/>
      <t xml:space="preserve">see pip-requires </t>
    </r>
    <r>
      <rPr>
        <color rgb="FF1155CC"/>
        <u/>
      </rPr>
      <t>http://tarballs.openstack.org/oslo-config/oslo-config-2013.1b4.tar.gz#egg=oslo-config</t>
    </r>
    <r>
      <rPr/>
      <t xml:space="preserve"> </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</si>
  <si>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</si>
  <si>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</si>
  <si>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nose.collector </t>
    </r>
    <r>
      <rPr>
        <color rgb="FF1155CC"/>
        <u/>
      </rPr>
      <t>Setup.py</t>
    </r>
  </si>
  <si>
    <r>
      <rPr>
        <color rgb="FF1155CC"/>
        <u/>
      </rPr>
      <t>setup.py</t>
    </r>
    <r>
      <rPr/>
      <t xml:space="preserve"> and setup.cnf</t>
    </r>
  </si>
  <si>
    <t xml:space="preserve">smoke CI review </t>
  </si>
  <si>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</si>
  <si>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</si>
  <si>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</si>
  <si>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</si>
  <si>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r>
      <rPr/>
      <t xml:space="preserve">review CI (Validate Nova changes with vCenter driver) </t>
    </r>
    <r>
      <rPr>
        <color rgb="FF1155CC"/>
        <u/>
      </rPr>
      <t>https://wiki.openstack.org/wiki/ThirdPartySystems/VMware_CI</t>
    </r>
    <r>
      <rPr/>
      <t xml:space="preserve"> </t>
    </r>
  </si>
  <si>
    <r>
      <rPr/>
      <t xml:space="preserve">review CI (Ensure that OpenStack will run properly on IBM Power scale-out systems (ppc64)) </t>
    </r>
    <r>
      <rPr>
        <color rgb="FF1155CC"/>
        <u/>
      </rPr>
      <t>https://wiki.openstack.org/wiki/ThirdPartySystems/XenServer_CI</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</si>
  <si>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</si>
  <si>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</si>
  <si>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</si>
  <si>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</si>
  <si>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r>
      <rPr/>
      <t xml:space="preserve">review CI (Validate Nova changes with vCenter driver) </t>
    </r>
    <r>
      <rPr>
        <color rgb="FF1155CC"/>
        <u/>
      </rPr>
      <t>https://wiki.openstack.org/wiki/ThirdPartySystems/VMware_CI</t>
    </r>
    <r>
      <rPr/>
      <t xml:space="preserve"> </t>
    </r>
  </si>
  <si>
    <r>
      <rPr/>
      <t xml:space="preserve">review CI (Ensure that OpenStack will run properly on IBM Power scale-out systems (ppc64)) </t>
    </r>
    <r>
      <rPr>
        <color rgb="FF1155CC"/>
        <u/>
      </rPr>
      <t>https://wiki.openstack.org/wiki/ThirdPartySystems/XenServer_CI</t>
    </r>
  </si>
  <si>
    <r>
      <rPr/>
      <t xml:space="preserve">review CI (Ensure Openstack will run properly on Intel hardware with PCI device(pci_testcases)) </t>
    </r>
    <r>
      <rPr>
        <color rgb="FF1155CC"/>
        <u/>
      </rPr>
      <t>https://wiki.openstack.org/wiki/ThirdPartySystems/Intel-PCI-CI</t>
    </r>
    <r>
      <rPr/>
      <t xml:space="preserve">  </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</si>
  <si>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</si>
  <si>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</si>
  <si>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</si>
  <si>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</si>
  <si>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r>
      <rPr/>
      <t xml:space="preserve">review CI (Validate Nova changes with vCenter driver) </t>
    </r>
    <r>
      <rPr>
        <color rgb="FF1155CC"/>
        <u/>
      </rPr>
      <t>https://wiki.openstack.org/wiki/ThirdPartySystems/VMware_CI</t>
    </r>
    <r>
      <rPr/>
      <t xml:space="preserve"> </t>
    </r>
  </si>
  <si>
    <r>
      <rPr/>
      <t xml:space="preserve">review CI (Ensure that OpenStack will run properly on IBM Power scale-out systems (ppc64)) </t>
    </r>
    <r>
      <rPr>
        <color rgb="FF1155CC"/>
        <u/>
      </rPr>
      <t>https://wiki.openstack.org/wiki/ThirdPartySystems/XenServer_CI</t>
    </r>
  </si>
  <si>
    <r>
      <rPr/>
      <t xml:space="preserve">review CI (Ensure Openstack will run properly on Intel hardware with PCI device(pci_testcases)) </t>
    </r>
    <r>
      <rPr>
        <color rgb="FF1155CC"/>
        <u/>
      </rPr>
      <t>https://wiki.openstack.org/wiki/ThirdPartySystems/Intel-PCI-CI</t>
    </r>
    <r>
      <rPr/>
      <t xml:space="preserve">  </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</si>
  <si>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</si>
  <si>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</si>
  <si>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</si>
  <si>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</si>
  <si>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r>
      <rPr/>
      <t xml:space="preserve">review CI (Validate Nova changes with vCenter driver) </t>
    </r>
    <r>
      <rPr>
        <color rgb="FF1155CC"/>
        <u/>
      </rPr>
      <t>https://wiki.openstack.org/wiki/ThirdPartySystems/VMware_CI</t>
    </r>
    <r>
      <rPr/>
      <t xml:space="preserve"> </t>
    </r>
  </si>
  <si>
    <r>
      <rPr/>
      <t xml:space="preserve">review CI (Ensure that OpenStack will run properly on IBM Power scale-out systems (ppc64)) </t>
    </r>
    <r>
      <rPr>
        <color rgb="FF1155CC"/>
        <u/>
      </rPr>
      <t>https://wiki.openstack.org/wiki/ThirdPartySystems/XenServer_CI</t>
    </r>
  </si>
  <si>
    <r>
      <rPr/>
      <t xml:space="preserve">review CI (Ensure Openstack will run properly on Intel hardware with PCI device(pci_testcases)) </t>
    </r>
    <r>
      <rPr>
        <color rgb="FF1155CC"/>
        <u/>
      </rPr>
      <t>https://wiki.openstack.org/wiki/ThirdPartySystems/Intel-PCI-CI</t>
    </r>
    <r>
      <rPr/>
      <t xml:space="preserve">  </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</si>
  <si>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</si>
  <si>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</si>
  <si>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</si>
  <si>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</si>
  <si>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r>
      <rPr/>
      <t xml:space="preserve">review CI (Validate Nova changes with vCenter driver) </t>
    </r>
    <r>
      <rPr>
        <color rgb="FF1155CC"/>
        <u/>
      </rPr>
      <t>https://wiki.openstack.org/wiki/ThirdPartySystems/VMware_CI</t>
    </r>
    <r>
      <rPr/>
      <t xml:space="preserve"> </t>
    </r>
  </si>
  <si>
    <r>
      <rPr/>
      <t xml:space="preserve">review CI (Ensure that OpenStack will run properly on IBM Power scale-out systems (ppc64)) </t>
    </r>
    <r>
      <rPr>
        <color rgb="FF1155CC"/>
        <u/>
      </rPr>
      <t>https://wiki.openstack.org/wiki/ThirdPartySystems/XenServer_CI</t>
    </r>
  </si>
  <si>
    <r>
      <rPr/>
      <t xml:space="preserve">review CI (Ensure Openstack will run properly on Intel hardware with PCI device(pci_testcases)) </t>
    </r>
    <r>
      <rPr>
        <color rgb="FF1155CC"/>
        <u/>
      </rPr>
      <t>https://wiki.openstack.org/wiki/ThirdPartySystems/Intel-PCI-CI</t>
    </r>
    <r>
      <rPr/>
      <t xml:space="preserve">  </t>
    </r>
  </si>
  <si>
    <r>
      <rPr/>
      <t xml:space="preserve">Integration tests (review &gt;&gt; jenkins last line) </t>
    </r>
    <r>
      <rPr>
        <color rgb="FF1155CC"/>
        <u/>
      </rPr>
      <t>https://pypi.org/project/tempest/</t>
    </r>
  </si>
  <si>
    <r>
      <rPr>
        <color rgb="FF1155CC"/>
        <u/>
      </rPr>
      <t>test.py</t>
    </r>
    <r>
      <rPr/>
      <t xml:space="preserve"> /nova or colorizer(for extending unit testing) </t>
    </r>
  </si>
  <si>
    <r>
      <rPr/>
      <t xml:space="preserve">review CI (Continuous Integration for compute-hyperv and networking-hyperv for Microsoft Hyper-V) </t>
    </r>
    <r>
      <rPr>
        <color rgb="FF1155CC"/>
        <u/>
      </rPr>
      <t>https://wiki.openstack.org/wiki/ThirdPartySystems/Hyper-V_CI</t>
    </r>
    <r>
      <rPr/>
      <t xml:space="preserve"> </t>
    </r>
  </si>
  <si>
    <r>
      <rPr/>
      <t xml:space="preserve">review CI (Continuous Integration for Nova for XenServer) </t>
    </r>
    <r>
      <rPr>
        <color rgb="FF1155CC"/>
        <u/>
      </rPr>
      <t>https://wiki.openstack.org/wiki/ThirdPartySystems/XenServer_CI</t>
    </r>
  </si>
  <si>
    <t xml:space="preserve">setuptools.setup(
    setup_requires=['pbr'],
    pbr=True)
</t>
  </si>
  <si>
    <r>
      <rPr/>
      <t xml:space="preserve">review CI (Validate Nova changes with vCenter driver) </t>
    </r>
    <r>
      <rPr>
        <color rgb="FF1155CC"/>
        <u/>
      </rPr>
      <t>https://wiki.openstack.org/wiki/ThirdPartySystems/VMware_CI</t>
    </r>
    <r>
      <rPr/>
      <t xml:space="preserve"> </t>
    </r>
  </si>
  <si>
    <r>
      <rPr/>
      <t xml:space="preserve">review CI (Ensure that OpenStack will run properly on IBM Power scale-out systems (ppc64)) </t>
    </r>
    <r>
      <rPr>
        <color rgb="FF1155CC"/>
        <u/>
      </rPr>
      <t>https://wiki.openstack.org/wiki/ThirdPartySystems/XenServer_CI</t>
    </r>
  </si>
  <si>
    <r>
      <rPr/>
      <t xml:space="preserve">review CI (Ensure Openstack will run properly on Intel hardware with PCI device(pci_testcases)) </t>
    </r>
    <r>
      <rPr>
        <color rgb="FF1155CC"/>
        <u/>
      </rPr>
      <t>https://wiki.openstack.org/wiki/ThirdPartySystems/Intel-PCI-CI</t>
    </r>
    <r>
      <rPr/>
      <t xml:space="preserve">  </t>
    </r>
  </si>
  <si>
    <t>gradle</t>
  </si>
  <si>
    <t>gradlew bat</t>
  </si>
  <si>
    <t>maven</t>
  </si>
  <si>
    <t>usage::automated::project::build</t>
  </si>
  <si>
    <t>gradle::wrapper</t>
  </si>
  <si>
    <t>gradlew file</t>
  </si>
  <si>
    <t>maven::repo::(sonatype)</t>
  </si>
  <si>
    <t>build grale file</t>
  </si>
  <si>
    <t>maven::repo::(jboss)</t>
  </si>
  <si>
    <t>use::wrapper::to::avoid::SO::platform::dependencies::when::building</t>
  </si>
  <si>
    <t>gradle wrapper</t>
  </si>
  <si>
    <t>slf4j</t>
  </si>
  <si>
    <t>build gradle file explodedDistLibDir, includes:</t>
  </si>
  <si>
    <t>usage::of::config::file::instead::of::write::config::in::code</t>
  </si>
  <si>
    <t>micro-benchmark</t>
  </si>
  <si>
    <t>settings gradle</t>
  </si>
  <si>
    <t>hamcrest</t>
  </si>
  <si>
    <t xml:space="preserve">elasticsearch/modules/test/integration
/build.gradle
</t>
  </si>
  <si>
    <t>customize::configuration::dependencies</t>
  </si>
  <si>
    <t>elasticsearch/modules/elasticsearch
/build.gradle ( when configured pom..)</t>
  </si>
  <si>
    <t>testng</t>
  </si>
  <si>
    <t>log4j</t>
  </si>
  <si>
    <t>elasticsearch/modules/test/testng
/build.gradle</t>
  </si>
  <si>
    <t>jmeter</t>
  </si>
  <si>
    <t>Breadcrumbselasticsearch/modules/benchmark/jmeter
/jmx</t>
  </si>
  <si>
    <t>codehaus::jackson</t>
  </si>
  <si>
    <t>elasticsearch/modules/elasticsearch
/build.gradle</t>
  </si>
  <si>
    <t>javadoc</t>
  </si>
  <si>
    <t>aopalliance</t>
  </si>
  <si>
    <t>for integrating Java oriented concepts</t>
  </si>
  <si>
    <t>http://elasticsearch.googlecode.com/svn/maven'</t>
  </si>
  <si>
    <t>usage::automated::dependency::resolution::conflicts</t>
  </si>
  <si>
    <t>clean::up::temporary::files</t>
  </si>
  <si>
    <t>elasticsearch/modules
/jarjar/</t>
  </si>
  <si>
    <t>elasticsearch/modules/benchmark/jmeter
/jmx</t>
  </si>
  <si>
    <t>elasticsearch/modules/jarjar
/build.gradle</t>
  </si>
  <si>
    <t>jarjar</t>
  </si>
  <si>
    <t>settiings gradle</t>
  </si>
  <si>
    <t>maven::repo::(codehaus)</t>
  </si>
  <si>
    <t>maven::(own::repo)</t>
  </si>
  <si>
    <t>elasticsearch/
/build.gradle</t>
  </si>
  <si>
    <t>SIGAR</t>
  </si>
  <si>
    <t>OWN folder</t>
  </si>
  <si>
    <t xml:space="preserve">elasticsearch/modules/elasticsearch
/build.gradle
</t>
  </si>
  <si>
    <t xml:space="preserve">elasticsearch
/build.gradle
</t>
  </si>
  <si>
    <t>maven::repo::(googlecode)</t>
  </si>
  <si>
    <t>maven::repo::(java)</t>
  </si>
  <si>
    <t>maven::(snakeyamlrepo)</t>
  </si>
  <si>
    <t>build gradle file</t>
  </si>
  <si>
    <t>own folder</t>
  </si>
  <si>
    <t>metrics health (own folder)</t>
  </si>
  <si>
    <t>Breadcrumbselasticsearch/modules/elasticsearch
/build.gradle</t>
  </si>
  <si>
    <t>build.gradle</t>
  </si>
  <si>
    <t>modules elasticsearch build gradle</t>
  </si>
  <si>
    <t xml:space="preserve">elasticsearch/modules/jarjar
/build.gradle
</t>
  </si>
  <si>
    <t>build gradle</t>
  </si>
  <si>
    <t>maven::wagon</t>
  </si>
  <si>
    <t>Maven Wagon is responsible for transferring files to and from repositories. (elasticsearch/plugins/analysis/icu
/build.gradle)</t>
  </si>
  <si>
    <t>pom.xml</t>
  </si>
  <si>
    <t>pom.xml  &lt;repositories&gt;
        &lt;repository&gt;
            &lt;id&gt;elasticsearch&lt;/id&gt;
            &lt;name&gt;elasticsearch repo&lt;/name&gt;
            &lt;url&gt;http://elasticsearch.googlecode.com/svn/maven&lt;/url&gt;
        &lt;/repository&gt;
    &lt;/repositories&gt;</t>
  </si>
  <si>
    <t>pom.xml   &lt;parent&gt;
        &lt;groupId&gt;org.sonatype.oss&lt;/groupId&gt;
        &lt;artifactId&gt;oss-parent&lt;/artifactId&gt;
        &lt;version&gt;7&lt;/version&gt;
    &lt;/parent&gt;</t>
  </si>
  <si>
    <t>pom.xml &lt;dependency&gt;
            &lt;groupId&gt;org.slf4j&lt;/groupId&gt;
            &lt;artifactId&gt;slf4j-api&lt;/artifactId&gt;
            &lt;version&gt;1.6.2&lt;/version&gt;
            &lt;scope&gt;compile&lt;/scope&gt;
            &lt;optional&gt;true&lt;/optional&gt;
        &lt;/dependency&gt;</t>
  </si>
  <si>
    <t>usage::automated::dependency::resolution::conflicts::(shaded::dependencies)</t>
  </si>
  <si>
    <t>pom xml with shaded</t>
  </si>
  <si>
    <t>pom.xml &lt;dependency&gt;
            &lt;groupId&gt;org.hamcrest&lt;/groupId&gt;
            &lt;artifactId&gt;hamcrest-all&lt;/artifactId&gt;
            &lt;version&gt;1.3&lt;/version&gt;
            &lt;scope&gt;test&lt;/scope&gt;
        &lt;/dependency&gt;</t>
  </si>
  <si>
    <t>pom.xml    &lt;dependency&gt;
            &lt;groupId&gt;org.testng&lt;/groupId&gt;
            &lt;artifactId&gt;testng&lt;/artifactId&gt;
            &lt;version&gt;6.8&lt;/version&gt;
            &lt;scope&gt;test&lt;/scope&gt;
            &lt;exclusions&gt;</t>
  </si>
  <si>
    <t>usage::CI</t>
  </si>
  <si>
    <t>.travis file</t>
  </si>
  <si>
    <t>pom.xml &lt;dependency&gt;
            &lt;groupId&gt;log4j&lt;/groupId&gt;
            &lt;artifactId&gt;log4j&lt;/artifactId&gt;
            &lt;version&gt;1.2.17&lt;/version&gt;
            &lt;scope&gt;compile&lt;/scope&gt;
            &lt;optional&gt;true&lt;/optional&gt;
        &lt;/dependency&gt;</t>
  </si>
  <si>
    <t>test folder benchmarking</t>
  </si>
  <si>
    <t>pom.xml &lt;dependency&gt;
            &lt;groupId&gt;org.fusesource&lt;/groupId&gt;
            &lt;artifactId&gt;sigar&lt;/artifactId&gt;
            &lt;version&gt;1.6.4&lt;/version&gt;
            &lt;scope&gt;compile&lt;/scope&gt;
            &lt;optional&gt;true&lt;/optional&gt;
        &lt;/dependency&gt;</t>
  </si>
  <si>
    <t>travis::CI</t>
  </si>
  <si>
    <t>.travil.yml</t>
  </si>
  <si>
    <t>usage::of::generic::coding::and::security::conventions::apis</t>
  </si>
  <si>
    <t>core signatures</t>
  </si>
  <si>
    <t>forbiddenapis</t>
  </si>
  <si>
    <t xml:space="preserve">pom.xml </t>
  </si>
  <si>
    <t>execution::automated::randomized::tests</t>
  </si>
  <si>
    <t>carrot</t>
  </si>
  <si>
    <t>forbidden</t>
  </si>
  <si>
    <t>usage::of::testing::conventions::and::practices</t>
  </si>
  <si>
    <t>usage of TESTING.asciidoc</t>
  </si>
  <si>
    <t>randomized::testing::(carrot)</t>
  </si>
  <si>
    <r>
      <rPr>
        <color rgb="FF1155CC"/>
        <u/>
      </rPr>
      <t>http://labs.carrotsearch.com/randomizedtesting.html</t>
    </r>
    <r>
      <rPr/>
      <t xml:space="preserve"> dependency&gt;
            &lt;groupId&gt;com.carrotsearch.randomizedtesting&lt;/groupId&gt;
            &lt;artifactId&gt;randomizedtesting-runner&lt;/artifactId&gt;
            &lt;version&gt;2.0.15&lt;/version&gt;
            &lt;scope&gt;test&lt;/scope&gt;
        &lt;/dependency&gt;</t>
    </r>
  </si>
  <si>
    <t>uknown but docs folder</t>
  </si>
  <si>
    <t xml:space="preserve">   &lt;groupId&gt;de.thetaphi&lt;/groupId&gt;
                &lt;artifactId&gt;forbiddenapis&lt;/artifactId&gt;
                &lt;version&gt;1.4&lt;/version&gt;</t>
  </si>
  <si>
    <t>carrotsearch</t>
  </si>
  <si>
    <r>
      <rPr>
        <color rgb="FF1155CC"/>
        <u/>
      </rPr>
      <t>http://labs.carrotsearch.com/randomizedtesting.html</t>
    </r>
    <r>
      <rPr/>
      <t xml:space="preserve"> dependency&gt;
            &lt;groupId&gt;com.carrotsearch.randomizedtesting&lt;/groupId&gt;
            &lt;artifactId&gt;randomizedtesting-runner&lt;/artifactId&gt;
            &lt;version&gt;2.0.15&lt;/version&gt;
            &lt;scope&gt;test&lt;/scope&gt;
        &lt;/dependency&gt;</t>
    </r>
  </si>
  <si>
    <t xml:space="preserve">documentation elasticsearch/dev-tools
/build_randomization.rb
</t>
  </si>
  <si>
    <t>junit</t>
  </si>
  <si>
    <r>
      <rPr>
        <rFont val="Arial"/>
        <color rgb="FF1155CC"/>
        <u/>
      </rPr>
      <t>http://labs.carrotsearch.com/randomizedtesting.html</t>
    </r>
    <r>
      <rPr>
        <rFont val="Arial"/>
      </rPr>
      <t xml:space="preserve"> dependency&gt;
            &lt;groupId&gt;com.carrotsearch.randomizedtesting&lt;/groupId&gt;
            &lt;artifactId&gt;randomizedtesting-runner&lt;/artifactId&gt;
            &lt;version&gt;2.0.15&lt;/version&gt;
            &lt;scope&gt;test&lt;/scope&gt;
        &lt;/dependency&gt;</t>
    </r>
  </si>
  <si>
    <r>
      <rPr>
        <rFont val="Arial"/>
        <color rgb="FF1155CC"/>
        <u/>
      </rPr>
      <t>http://labs.carrotsearch.com/randomizedtesting.html</t>
    </r>
    <r>
      <rPr>
        <rFont val="Arial"/>
      </rPr>
      <t xml:space="preserve"> dependency&gt;
            &lt;groupId&gt;com.carrotsearch.randomizedtesting&lt;/groupId&gt;
            &lt;artifactId&gt;randomizedtesting-runner&lt;/artifactId&gt;
            &lt;version&gt;2.0.15&lt;/version&gt;
            &lt;scope&gt;test&lt;/scope&gt;
        &lt;/dependency&gt;</t>
    </r>
  </si>
  <si>
    <t>elasticsearch/src/test/java/org/elasticsearch/test/unit</t>
  </si>
  <si>
    <r>
      <rPr>
        <rFont val="Arial"/>
        <color rgb="FF1155CC"/>
        <u/>
      </rPr>
      <t>http://labs.carrotsearch.com/randomizedtesting.html</t>
    </r>
    <r>
      <rPr>
        <rFont val="Arial"/>
      </rPr>
      <t xml:space="preserve"> dependency&gt;
            &lt;groupId&gt;com.carrotsearch.randomizedtesting&lt;/groupId&gt;
            &lt;artifactId&gt;randomizedtesting-runner&lt;/artifactId&gt;
            &lt;version&gt;2.0.15&lt;/version&gt;
            &lt;scope&gt;test&lt;/scope&gt;
        &lt;/dependency&gt;</t>
    </r>
  </si>
  <si>
    <r>
      <rPr>
        <rFont val="Arial"/>
        <color rgb="FF1155CC"/>
        <u/>
      </rPr>
      <t>http://labs.carrotsearch.com/randomizedtesting.html</t>
    </r>
    <r>
      <rPr>
        <rFont val="Arial"/>
      </rPr>
      <t xml:space="preserve"> dependency&gt;
            &lt;groupId&gt;com.carrotsearch.randomizedtesting&lt;/groupId&gt;
            &lt;artifactId&gt;randomizedtesting-runner&lt;/artifactId&gt;
            &lt;version&gt;2.0.15&lt;/version&gt;
            &lt;scope&gt;test&lt;/scope&gt;
        &lt;/dependency&gt;</t>
    </r>
  </si>
  <si>
    <t>&lt;url&gt;http://repository.codehaus.org/&lt;/url&gt;</t>
  </si>
  <si>
    <r>
      <rPr>
        <rFont val="Arial"/>
        <color rgb="FF1155CC"/>
        <u/>
      </rPr>
      <t>http://labs.carrotsearch.com/randomizedtesting.html</t>
    </r>
    <r>
      <rPr>
        <rFont val="Arial"/>
      </rPr>
      <t xml:space="preserve"> dependency&gt;
            &lt;groupId&gt;com.carrotsearch.randomizedtesting&lt;/groupId&gt;
            &lt;artifactId&gt;randomizedtesting-runner&lt;/artifactId&gt;
            &lt;version&gt;2.0.15&lt;/version&gt;
            &lt;scope&gt;test&lt;/scope&gt;
        &lt;/dependency&gt;</t>
    </r>
  </si>
  <si>
    <t>&lt;groupId&gt;org.sonatype.oss&lt;/groupId&gt;</t>
  </si>
  <si>
    <r>
      <rPr>
        <rFont val="Arial"/>
        <color rgb="FF1155CC"/>
        <u/>
      </rPr>
      <t>http://labs.carrotsearch.com/randomizedtesting.html</t>
    </r>
    <r>
      <rPr>
        <rFont val="Arial"/>
      </rPr>
      <t xml:space="preserve"> dependency&gt;
            &lt;groupId&gt;com.carrotsearch.randomizedtesting&lt;/groupId&gt;
            &lt;artifactId&gt;randomizedtesting-runner&lt;/artifactId&gt;
            &lt;version&gt;2.0.15&lt;/version&gt;
            &lt;scope&gt;test&lt;/scope&gt;
        &lt;/dependency&gt;</t>
    </r>
  </si>
  <si>
    <r>
      <rPr>
        <rFont val="Arial"/>
        <color rgb="FF1155CC"/>
        <u/>
      </rPr>
      <t>http://labs.carrotsearch.com/randomizedtesting.html</t>
    </r>
    <r>
      <rPr>
        <rFont val="Arial"/>
      </rPr>
      <t xml:space="preserve"> dependency&gt;
            &lt;groupId&gt;com.carrotsearch.randomizedtesting&lt;/groupId&gt;
            &lt;artifactId&gt;randomizedtesting-runner&lt;/artifactId&gt;
            &lt;version&gt;2.0.15&lt;/version&gt;
            &lt;scope&gt;test&lt;/scope&gt;
        &lt;/dependency&gt;</t>
    </r>
  </si>
  <si>
    <r>
      <rPr>
        <rFont val="Arial"/>
        <color rgb="FF1155CC"/>
        <u/>
      </rPr>
      <t>http://labs.carrotsearch.com/randomizedtesting.html</t>
    </r>
    <r>
      <rPr>
        <rFont val="Arial"/>
      </rPr>
      <t xml:space="preserve"> dependency&gt;
            &lt;groupId&gt;com.carrotsearch.randomizedtesting&lt;/groupId&gt;
            &lt;artifactId&gt;randomizedtesting-runner&lt;/artifactId&gt;
            &lt;version&gt;2.0.15&lt;/version&gt;
            &lt;scope&gt;test&lt;/scope&gt;
        &lt;/dependency&gt;</t>
    </r>
  </si>
  <si>
    <t>&lt;url&gt;http://elasticsearch.googlecode.com/svn/maven&lt;/url&gt;</t>
  </si>
  <si>
    <t>&lt;groupId&gt;org.testng&lt;/groupId&gt;
            &lt;artifactId&gt;testng&lt;/artifactId&gt;</t>
  </si>
  <si>
    <r>
      <rPr>
        <rFont val="Arial"/>
        <color rgb="FF1155CC"/>
        <u/>
      </rPr>
      <t>http://labs.carrotsearch.com/randomizedtesting.html</t>
    </r>
    <r>
      <rPr>
        <rFont val="Arial"/>
      </rPr>
      <t xml:space="preserve"> dependency&gt;
            &lt;groupId&gt;com.carrotsearch.randomizedtesting&lt;/groupId&gt;
            &lt;artifactId&gt;randomizedtesting-runner&lt;/artifactId&gt;
            &lt;version&gt;2.0.15&lt;/version&gt;
            &lt;scope&gt;test&lt;/scope&gt;
        &lt;/dependency&gt;</t>
    </r>
  </si>
  <si>
    <t xml:space="preserve">&lt;url&gt;https://download.elasticsearch.org/lucenesnapshots/1637347&lt;/url&gt; </t>
  </si>
  <si>
    <r>
      <rPr>
        <rFont val="Arial"/>
        <color rgb="FF1155CC"/>
        <u/>
      </rPr>
      <t>http://labs.carrotsearch.com/randomizedtesting.html</t>
    </r>
    <r>
      <rPr>
        <rFont val="Arial"/>
      </rPr>
      <t xml:space="preserve"> dependency&gt;
            &lt;groupId&gt;com.carrotsearch.randomizedtesting&lt;/groupId&gt;
            &lt;artifactId&gt;randomizedtesting-runner&lt;/artifactId&gt;
            &lt;version&gt;2.0.15&lt;/version&gt;
            &lt;scope&gt;test&lt;/scope&gt;
        &lt;/dependency&gt;</t>
    </r>
  </si>
  <si>
    <t>&lt;url&gt;https://oss.sonatype.org/content/repositories/snapshots/&lt;/url&gt;</t>
  </si>
  <si>
    <t xml:space="preserve">         &lt;shadedPattern&gt;org.elasticsearch.common&lt;/shadedPattern&gt;</t>
  </si>
  <si>
    <r>
      <rPr>
        <rFont val="Arial"/>
        <color rgb="FF1155CC"/>
        <u/>
      </rPr>
      <t>http://labs.carrotsearch.com/randomizedtesting.html</t>
    </r>
    <r>
      <rPr>
        <rFont val="Arial"/>
      </rPr>
      <t xml:space="preserve"> dependency&gt;
            &lt;groupId&gt;com.carrotsearch.randomizedtesting&lt;/groupId&gt;
            &lt;artifactId&gt;randomizedtesting-runner&lt;/artifactId&gt;
            &lt;version&gt;2.0.15&lt;/version&gt;
            &lt;scope&gt;test&lt;/scope&gt;
        &lt;/dependency&gt;</t>
    </r>
  </si>
  <si>
    <t>testing asciidoc</t>
  </si>
  <si>
    <t>&lt;url&gt;http://maven.elasticsearch.org/releases&lt;/url&gt;</t>
  </si>
  <si>
    <t>folder</t>
  </si>
  <si>
    <t>pom</t>
  </si>
  <si>
    <t>travis</t>
  </si>
  <si>
    <t>&lt;artifactId&gt;forbiddenapis&lt;/artifactId&gt;</t>
  </si>
  <si>
    <t>caarrot</t>
  </si>
  <si>
    <t>forbiden</t>
  </si>
  <si>
    <r>
      <rPr>
        <rFont val="Arial"/>
        <color rgb="FF1155CC"/>
        <u/>
      </rPr>
      <t>http://labs.carrotsearch.com/randomizedtesting.html</t>
    </r>
    <r>
      <rPr>
        <rFont val="Arial"/>
      </rPr>
      <t xml:space="preserve"> dependency&gt;
            &lt;groupId&gt;com.carrotsearch.randomizedtesting&lt;/groupId&gt;
            &lt;artifactId&gt;randomizedtesting-runner&lt;/artifactId&gt;
            &lt;version&gt;2.0.15&lt;/version&gt;
            &lt;scope&gt;test&lt;/scope&gt;
        &lt;/dependency&gt;</t>
    </r>
  </si>
  <si>
    <t>docs folder</t>
  </si>
  <si>
    <t>elasticsearch/core
/build.gradle</t>
  </si>
  <si>
    <t>wrapper</t>
  </si>
  <si>
    <t>Breadcrumbselasticsearch/test-framework
/build.gradle</t>
  </si>
  <si>
    <t>travis file</t>
  </si>
  <si>
    <t xml:space="preserve">elasticsearch/dev-tools
/build_randomization.rb
</t>
  </si>
  <si>
    <t>grdle</t>
  </si>
  <si>
    <t>elasticsearch/qa/smoke-test-plugins</t>
  </si>
  <si>
    <t>TESTING.asciidoc</t>
  </si>
  <si>
    <t>&lt;dependency&gt;
                &lt;groupId&gt;com.carrotsearch.randomizedtesting&lt;/groupId&gt;
                &lt;artifactId&gt;randomizedtesting-runner&lt;/artifactId&gt;
                &lt;version&gt;${testframework.version}&lt;/version&gt;
            &lt;/dependency&gt;</t>
  </si>
  <si>
    <t>d  &lt;url&gt;http://maven.elasticsearch.org/releases&lt;/url&gt;</t>
  </si>
  <si>
    <t>ID_bug</t>
  </si>
  <si>
    <t>BIC_INFO</t>
  </si>
  <si>
    <t>CHILDREN_INFO</t>
  </si>
  <si>
    <t>PARENT_INFO</t>
  </si>
  <si>
    <t>542958fac7445a14dea</t>
  </si>
  <si>
    <t>{'num_parents': 1, 'date_commit': 'Wed Feb 12 15:34:42.000000 2014 +0100', 'date_author_commit': 'Thu Jan 16 23:36:32.000000 2014 +0100', 'Parent_1': '79121d9a11d10b80fd3eee53073913e0f66f0949', 'Parent_1author_date': 'Thu Jan 16 21:59:06.000000 2014 +0100', 'Parent_1commit_date': 'Wed Feb 12 15:34:42.000000 2014 +0100', 'possible_rebase': True}</t>
  </si>
  <si>
    <t>{'311652325b93f6e2675bdcc52c416bd06f12fd3b': {'num_parents': 2, 'date_commit': 'Wed Feb 12 15:34:42.000000 2014 +0100', 'date_author_commit': 'Thu Jan 16 23:36:32.000000 2014 +0100', 'Parent_1': 'b66a092a7a9ab2363ce23cdfd09e8f564c986c06', 'Parent_1author_date': 'Fri Feb 14 19:40:28.000000 2014 +0100', 'Parent_1commit_date': 'Fri Feb 14 19:40:28.000000 2014 +0100', 'possible_rebase': False, 'Parent_2': '542958fac7445a14deaae146b0d4047aa90a2fab', 'Parent_2author_date': 'Thu Jan 16 23:36:32.000000 2014 +0100', 'Parent_2commit_date': 'Wed Feb 12 15:34:42.000000 2014 +0100'}, '9776175fc3b2331168651176ec56f9adc5d463dd': {'num_parents': 1, 'date_commit': 'Wed Feb 12 15:34:42.000000 2014 +0100', 'date_author_commit': 'Thu Jan 16 23:36:32.000000 2014 +0100', 'Parent_1': '542958fac7445a14deaae146b0d4047aa90a2fab', 'Parent_1author_date': 'Thu Jan 16 23:36:32.000000 2014 +0100', 'Parent_1commit_date': 'Wed Feb 12 15:34:42.000000 2014 +0100', 'possible_rebase': False}}</t>
  </si>
  <si>
    <t>{'79121d9a11d10b80fd3eee53073913e0f66f0949': {'num_parents': 1, 'date_commit': 'Wed Feb 12 15:34:42.000000 2014 +0100', 'date_author_commit': 'Thu Jan 16 23:36:32.000000 2014 +0100', 'Parent_1': '8bc9586056fe2f455a23b342d3da5473e9d3cbfc', 'Parent_1author_date': 'Wed Feb 12 14:28:37.000000 2014 +0100', 'Parent_1commit_date': 'Wed Feb 12 14:28:37.000000 2014 +0100', 'possible_rebase': True}}</t>
  </si>
  <si>
    <t>e517e5668ab</t>
  </si>
  <si>
    <t>{'num_parents': 1, 'date_commit': 'Thu Jun 13 05:07:22.000000 2013 +0200', 'date_author_commit': 'Wed Jun 05 09:16:16.000000 2013 +0200', 'Parent_1': '3f2b22499d9e94ae3ac80786752223f43d24492b', 'Parent_1author_date': 'Thu Jun 13 03:30:01.000000 2013 +0200', 'Parent_1commit_date': 'Thu Jun 13 03:30:01.000000 2013 +0200', 'possible_rebase': True}</t>
  </si>
  <si>
    <t>{'8bac24e5b7252b3f23c5473cdf2e17a9740bdb98': {'num_parents': 2, 'date_commit': 'Thu Jun 13 05:07:22.000000 2013 +0200', 'date_author_commit': 'Wed Jun 05 09:16:16.000000 2013 +0200', 'Parent_1': '049bfbcc29d1a5ff45446d88a068990600505bed', 'Parent_1author_date': 'Fri Jun 14 21:08:29.000000 2013 +0200', 'Parent_1commit_date': 'Fri Jun 14 21:08:29.000000 2013 +0200', 'possible_rebase': False, 'Parent_2': 'e517e5668ab20214432e06ef87f7b16776edaf7c', 'Parent_2author_date': 'Wed Jun 05 09:16:16.000000 2013 +0200', 'Parent_2commit_date': 'Thu Jun 13 05:07:22.000000 2013 +0200'}}</t>
  </si>
  <si>
    <t>{'3f2b22499d9e94ae3ac80786752223f43d24492b': {'num_parents': 2, 'date_commit': 'Thu Jun 13 05:07:22.000000 2013 +0200', 'date_author_commit': 'Wed Jun 05 09:16:16.000000 2013 +0200', 'Parent_1': 'ba876e2a110f39270a5cf57c5197083088736d32', 'Parent_1author_date': 'Thu Jun 13 03:17:59.000000 2013 +0200', 'Parent_1commit_date': 'Thu Jun 13 03:17:59.000000 2013 +0200', 'possible_rebase': True, 'Parent_2': 'a9aa1a402b64751614fbc98e14973d867a1bfca7', 'Parent_2author_date': 'Thu May 30 18:34:05.000000 2013 +0200', 'Parent_2commit_date': 'Fri Jun 07 20:43:37.000000 2013 +0200'}}</t>
  </si>
  <si>
    <t>3dff4335661</t>
  </si>
  <si>
    <t>{'num_parents': 1, 'date_commit': 'Tue Oct 30 21:51:40.000000 2012 +0100', 'date_author_commit': 'Thu Oct 25 03:07:28.000000 2012 +0200', 'Parent_1': '7aea941005deda6f057e1e1692018d81c4aebcdc', 'Parent_1author_date': 'Tue Oct 30 19:25:34.000000 2012 +0100', 'Parent_1commit_date': 'Tue Oct 30 19:25:34.000000 2012 +0100', 'possible_rebase': True}</t>
  </si>
  <si>
    <t>{'a980001046c8915b3cea3f3d2aec9979d6634532': {'num_parents': 2, 'date_commit': 'Tue Oct 30 21:51:40.000000 2012 +0100', 'date_author_commit': 'Thu Oct 25 03:07:28.000000 2012 +0200', 'Parent_1': '117db792b80e1280135603d26e042bc4a17e02c2', 'Parent_1author_date': 'Wed Oct 31 13:58:46.000000 2012 +0100', 'Parent_1commit_date': 'Wed Oct 31 13:58:46.000000 2012 +0100', 'possible_rebase': False, 'Parent_2': '3dff43356619b4a935a5f395b066e96e8856bb4f', 'Parent_2author_date': 'Thu Oct 25 03:07:28.000000 2012 +0200', 'Parent_2commit_date': 'Tue Oct 30 21:51:40.000000 2012 +0100'}}</t>
  </si>
  <si>
    <t>{'7aea941005deda6f057e1e1692018d81c4aebcdc': {'num_parents': 2, 'date_commit': 'Tue Oct 30 21:51:40.000000 2012 +0100', 'date_author_commit': 'Thu Oct 25 03:07:28.000000 2012 +0200', 'Parent_1': '774a28a20aec1a853f29e586682b9a33a6bbad60', 'Parent_1author_date': 'Tue Oct 30 19:03:13.000000 2012 +0100', 'Parent_1commit_date': 'Tue Oct 30 19:03:13.000000 2012 +0100', 'possible_rebase': True, 'Parent_2': 'c08a105b8e71f1010ec88715c2f04b84d2a0d5bd', 'Parent_2author_date': 'Mon Oct 29 15:52:01.000000 2012 +0100', 'Parent_2commit_date': 'Tue Oct 30 14:42:07.000000 2012 +0100'}}</t>
  </si>
  <si>
    <t>88ab936</t>
  </si>
  <si>
    <t>{'num_parents': 1, 'date_commit': 'Mon Jul 15 17:32:23.000000 2013 +0200', 'date_author_commit': 'Mon Jul 15 17:32:23.000000 2013 +0200', 'Parent_1': 'fe1e15678e65b291f22c6ea776aee1b1b6f47ef9', 'Parent_1author_date': 'Mon Jul 15 14:47:23.000000 2013 +0200', 'Parent_1commit_date': 'Mon Jul 15 14:47:23.000000 2013 +0200', 'possible_rebase': True}</t>
  </si>
  <si>
    <t>{'55dcec35856045049ec33c43762445a8c588651e': {'num_parents': 2, 'date_commit': 'Mon Jul 15 17:32:23.000000 2013 +0200', 'date_author_commit': 'Mon Jul 15 17:32:23.000000 2013 +0200', 'Parent_1': '4110960378a61e42e6e6fbc95348d08ecca76d9a', 'Parent_1author_date': 'Tue Jul 16 17:44:30.000000 2013 +0200', 'Parent_1commit_date': 'Tue Jul 16 17:44:30.000000 2013 +0200', 'possible_rebase': False, 'Parent_2': '88ab9369e3ddfd8b8684bf280330ff8d37a74b2b', 'Parent_2author_date': 'Mon Jul 15 17:32:23.000000 2013 +0200', 'Parent_2commit_date': 'Mon Jul 15 17:32:23.000000 2013 +0200'}}</t>
  </si>
  <si>
    <t>{'fe1e15678e65b291f22c6ea776aee1b1b6f47ef9': {'num_parents': 2, 'date_commit': 'Mon Jul 15 17:32:23.000000 2013 +0200', 'date_author_commit': 'Mon Jul 15 17:32:23.000000 2013 +0200', 'Parent_1': '9db20d4c51172cecab929c1de6a8db8ce509c3d1', 'Parent_1author_date': 'Mon Jul 15 14:47:09.000000 2013 +0200', 'Parent_1commit_date': 'Mon Jul 15 14:47:09.000000 2013 +0200', 'possible_rebase': True, 'Parent_2': '9b7d33f22781ade62ac712a1285d0c0729bfebc1', 'Parent_2author_date': 'Fri Jun 28 08:12:31.000000 2013 +0200', 'Parent_2commit_date': 'Mon Jul 15 08:02:20.000000 2013 +0200'}}</t>
  </si>
  <si>
    <t>2c62e34</t>
  </si>
  <si>
    <t>{'num_parents': 1, 'date_commit': 'Tue Oct 22 23:27:57.000000 2013 +0200', 'date_author_commit': 'Thu Aug 15 16:07:19.000000 2013 +0200', 'Parent_1': '509bd157d3afc11ccda2a3a53fc3770cee2da3f6', 'Parent_1author_date': 'Thu Oct 17 00:13:29.000000 2013 +0200', 'Parent_1commit_date': 'Tue Oct 22 18:30:55.000000 2013 +0200', 'possible_rebase': True}</t>
  </si>
  <si>
    <t>{'6729fc5678f9f665ca82b38121f3d62b09105aa7': {'num_parents': 2, 'date_commit': 'Tue Oct 22 23:27:57.000000 2013 +0200', 'date_author_commit': 'Thu Aug 15 16:07:19.000000 2013 +0200', 'Parent_1': '2efcc9dc242c913629ac8f11d9a5223159895f7b', 'Parent_1author_date': 'Tue Oct 29 12:39:25.000000 2013 +0100', 'Parent_1commit_date': 'Tue Oct 29 12:39:25.000000 2013 +0100', 'possible_rebase': False, 'Parent_2': '2c62e344e26ccba08d5c613a7c4a40a0f076901e', 'Parent_2author_date': 'Thu Aug 15 16:07:19.000000 2013 +0200', 'Parent_2commit_date': 'Tue Oct 22 23:27:57.000000 2013 +0200'}}</t>
  </si>
  <si>
    <t>{'509bd157d3afc11ccda2a3a53fc3770cee2da3f6': {'num_parents': 1, 'date_commit': 'Tue Oct 22 23:27:57.000000 2013 +0200', 'date_author_commit': 'Thu Aug 15 16:07:19.000000 2013 +0200', 'Parent_1': '19ea0c8c83b20692ee1e7572079388cbd9d8681a', 'Parent_1author_date': 'Tue Oct 22 16:09:53.000000 2013 +0200', 'Parent_1commit_date': 'Tue Oct 22 16:09:53.000000 2013 +0200', 'possible_rebase': True}}</t>
  </si>
  <si>
    <t>e7aa4022374fb35d2131a7c633212c5d6302db3d</t>
  </si>
  <si>
    <t>{'num_parents': 1, 'date_commit': 'Wed Nov 16 23:33:40.000000 2011 +0100', 'date_author_commit': 'Wed Oct 26 20:57:35.000000 2011 +0200', 'Parent_1': '217af7df5980ee7a258d2e8b24aea4444c083201', 'Parent_1author_date': 'Wed Nov 16 22:33:48.000000 2011 +0100', 'Parent_1commit_date': 'Wed Nov 16 22:33:48.000000 2011 +0100', 'possible_rebase': True}</t>
  </si>
  <si>
    <t>{'90cc4f15956f9595fc30bf4a23f5995c97d173ac': {'num_parents': 2, 'date_commit': 'Wed Nov 16 23:33:40.000000 2011 +0100', 'date_author_commit': 'Wed Oct 26 20:57:35.000000 2011 +0200', 'Parent_1': '36dcc2d9230f8104f0defc8fa27ee8f6c2f2eeaf', 'Parent_1author_date': 'Thu Nov 17 00:35:08.000000 2011 +0100', 'Parent_1commit_date': 'Thu Nov 17 00:35:08.000000 2011 +0100', 'possible_rebase': False, 'Parent_2': 'e7aa4022374fb35d2131a7c633212c5d6302db3d', 'Parent_2author_date': 'Wed Oct 26 20:57:35.000000 2011 +0200', 'Parent_2commit_date': 'Wed Nov 16 23:33:40.000000 2011 +0100'}}</t>
  </si>
  <si>
    <t>{'217af7df5980ee7a258d2e8b24aea4444c083201': {'num_parents': 2, 'date_commit': 'Wed Nov 16 23:33:40.000000 2011 +0100', 'date_author_commit': 'Wed Oct 26 20:57:35.000000 2011 +0200', 'Parent_1': '7c34941b89437e69037be4ea392885c914c227ce', 'Parent_1author_date': 'Wed Nov 16 22:19:31.000000 2011 +0100', 'Parent_1commit_date': 'Wed Nov 16 22:19:31.000000 2011 +0100', 'possible_rebase': True, 'Parent_2': '1dba0cdc332e54162dc1d880e80deca968dbff4e', 'Parent_2author_date': 'Fri Nov 11 05:36:17.000000 2011 +0100', 'Parent_2commit_date': 'Wed Nov 16 22:03:12.000000 2011 +0100'}}</t>
  </si>
  <si>
    <t>0fcbb7b</t>
  </si>
  <si>
    <t>{'num_parents': 1, 'date_commit': 'Mon Dec 30 07:01:47.000000 2013 +0100', 'date_author_commit': 'Tue Oct 22 10:32:25.000000 2013 +0200', 'Parent_1': 'bf38dd4091dde95017fb57905af9b707930c440b', 'Parent_1author_date': 'Mon Dec 30 06:34:21.000000 2013 +0100', 'Parent_1commit_date': 'Mon Dec 30 06:34:21.000000 2013 +0100', 'possible_rebase': True}</t>
  </si>
  <si>
    <t>{'8947824372c3fe800dc7e244848f740a4c5ad8a5': {'num_parents': 2, 'date_commit': 'Mon Dec 30 07:01:47.000000 2013 +0100', 'date_author_commit': 'Tue Oct 22 10:32:25.000000 2013 +0200', 'Parent_1': '96199f42b43508836d93fcf8368177cba02c7f3e', 'Parent_1author_date': 'Sat Jan 11 15:19:40.000000 2014 +0100', 'Parent_1commit_date': 'Sat Jan 11 15:19:40.000000 2014 +0100', 'possible_rebase': False, 'Parent_2': '0fcbb7b286888d642d329db1299eb9f3708d1f50', 'Parent_2author_date': 'Tue Oct 22 10:32:25.000000 2013 +0200', 'Parent_2commit_date': 'Mon Dec 30 07:01:47.000000 2013 +0100'}}</t>
  </si>
  <si>
    <t>{'bf38dd4091dde95017fb57905af9b707930c440b': {'num_parents': 2, 'date_commit': 'Mon Dec 30 07:01:47.000000 2013 +0100', 'date_author_commit': 'Tue Oct 22 10:32:25.000000 2013 +0200', 'Parent_1': 'bc8e111740e22b99e46b054329ac5f1debf2ec87', 'Parent_1author_date': 'Mon Dec 30 06:06:27.000000 2013 +0100', 'Parent_1commit_date': 'Mon Dec 30 06:06:27.000000 2013 +0100', 'possible_rebase': True, 'Parent_2': 'b819f4c46ecbcbcf3ff7d5cf937d6620b04019cf', 'Parent_2author_date': 'Fri Dec 20 11:02:51.000000 2013 +0100', 'Parent_2commit_date': 'Thu Dec 26 15:48:05.000000 2013 +0100'}}</t>
  </si>
  <si>
    <t>33e3d4c6b9</t>
  </si>
  <si>
    <t>{'num_parents': 1, 'date_commit': 'Thu Jan 30 15:28:05.000000 2014 +0100', 'date_author_commit': 'Thu Nov 28 14:59:57.000000 2013 +0100', 'Parent_1': '15e91d7a61032ac9cfa8037267850cb31427f993', 'Parent_1author_date': 'Mon Nov 25 18:52:03.000000 2013 +0100', 'Parent_1commit_date': 'Thu Jan 30 15:28:05.000000 2014 +0100', 'possible_rebase': True}</t>
  </si>
  <si>
    <t>{'2127cf72ea82754afa9540f2d36db1c8b08fad64': {'num_parents': 2, 'date_commit': 'Thu Jan 30 15:28:05.000000 2014 +0100', 'date_author_commit': 'Thu Nov 28 14:59:57.000000 2013 +0100', 'Parent_1': '4219887bae367c5cae1f7bc0a7aa2d598e392b51', 'Parent_1author_date': 'Thu Jan 30 22:20:17.000000 2014 +0100', 'Parent_1commit_date': 'Thu Jan 30 22:20:17.000000 2014 +0100', 'possible_rebase': False, 'Parent_2': '33e3d4c6b9e0b11500fe47d861110be1c1981572', 'Parent_2author_date': 'Thu Nov 28 14:59:57.000000 2013 +0100', 'Parent_2commit_date': 'Thu Jan 30 15:28:05.000000 2014 +0100'}, 'b3e05bdb51e2f238db655e75ff1384bd8a111fe0': {'num_parents': 1, 'date_commit': 'Thu Jan 30 15:28:05.000000 2014 +0100', 'date_author_commit': 'Thu Nov 28 14:59:57.000000 2013 +0100', 'Parent_1': '33e3d4c6b9e0b11500fe47d861110be1c1981572', 'Parent_1author_date': 'Thu Nov 28 14:59:57.000000 2013 +0100', 'Parent_1commit_date': 'Thu Jan 30 15:28:05.000000 2014 +0100', 'possible_rebase': False}}</t>
  </si>
  <si>
    <t>{'15e91d7a61032ac9cfa8037267850cb31427f993': {'num_parents': 1, 'date_commit': 'Thu Jan 30 15:28:05.000000 2014 +0100', 'date_author_commit': 'Thu Nov 28 14:59:57.000000 2013 +0100', 'Parent_1': '9b00f39ccef22be851bba8da71669ae7074c0a7f', 'Parent_1author_date': 'Fri Nov 22 12:04:54.000000 2013 +0100', 'Parent_1commit_date': 'Thu Jan 30 15:28:05.000000 2014 +0100', 'possible_rebase': True}}</t>
  </si>
  <si>
    <t>7326bac8f95</t>
  </si>
  <si>
    <t>{'num_parents': 1, 'date_commit': 'Wed Sep 10 01:48:51.000000 2014 +0200', 'date_author_commit': 'Wed Jul 02 01:19:08.000000 2014 +0200', 'Parent_1': '42e4c04e9ec26acf79ac0f08c5ab59489b36cb2f', 'Parent_1author_date': 'Tue Sep 09 12:34:39.000000 2014 +0200', 'Parent_1commit_date': 'Tue Sep 09 12:34:39.000000 2014 +0200', 'possible_rebase': True}</t>
  </si>
  <si>
    <t>{'d946915e062adc37453ecb4f1874b2faae189ce9': {'num_parents': 2, 'date_commit': 'Wed Sep 10 01:48:51.000000 2014 +0200', 'date_author_commit': 'Wed Jul 02 01:19:08.000000 2014 +0200', 'Parent_1': 'c886168aae9b1bfaf253d71ddda0a31805a0705c', 'Parent_1author_date': 'Thu Sep 11 15:02:51.000000 2014 +0200', 'Parent_1commit_date': 'Thu Sep 11 15:02:51.000000 2014 +0200', 'possible_rebase': False, 'Parent_2': '7326bac8f9564bd96bbf69afe43cf3a876468c9c', 'Parent_2author_date': 'Wed Jul 02 01:19:08.000000 2014 +0200', 'Parent_2commit_date': 'Wed Sep 10 01:48:51.000000 2014 +0200'}}</t>
  </si>
  <si>
    <t>{'42e4c04e9ec26acf79ac0f08c5ab59489b36cb2f': {'num_parents': 2, 'date_commit': 'Wed Sep 10 01:48:51.000000 2014 +0200', 'date_author_commit': 'Wed Jul 02 01:19:08.000000 2014 +0200', 'Parent_1': '989f054a054705df534b87982e12f8136c5b889a', 'Parent_1author_date': 'Tue Sep 09 05:43:30.000000 2014 +0200', 'Parent_1commit_date': 'Tue Sep 09 05:43:30.000000 2014 +0200', 'possible_rebase': True, 'Parent_2': '5fa74bc0b2ab6fe5149a9b684b4beadb67877622', 'Parent_2author_date': 'Wed Sep 03 00:16:04.000000 2014 +0200', 'Parent_2commit_date': 'Sat Sep 06 18:40:48.000000 2014 +0200'}}</t>
  </si>
  <si>
    <t>5fa74bc</t>
  </si>
  <si>
    <t>{'num_parents': 1, 'date_commit': 'Sat Sep 06 18:40:48.000000 2014 +0200', 'date_author_commit': 'Wed Sep 03 00:16:04.000000 2014 +0200', 'Parent_1': '844d0cafdbecfddc12b2fde456d9c123436ab10a', 'Parent_1author_date': 'Fri Sep 05 06:36:16.000000 2014 +0200', 'Parent_1commit_date': 'Fri Sep 05 06:36:16.000000 2014 +0200', 'possible_rebase': True}</t>
  </si>
  <si>
    <t>{'42e4c04e9ec26acf79ac0f08c5ab59489b36cb2f': {'num_parents': 2, 'date_commit': 'Sat Sep 06 18:40:48.000000 2014 +0200', 'date_author_commit': 'Wed Sep 03 00:16:04.000000 2014 +0200', 'Parent_1': '989f054a054705df534b87982e12f8136c5b889a', 'Parent_1author_date': 'Tue Sep 09 05:43:30.000000 2014 +0200', 'Parent_1commit_date': 'Tue Sep 09 05:43:30.000000 2014 +0200', 'possible_rebase': False, 'Parent_2': '5fa74bc0b2ab6fe5149a9b684b4beadb67877622', 'Parent_2author_date': 'Wed Sep 03 00:16:04.000000 2014 +0200', 'Parent_2commit_date': 'Sat Sep 06 18:40:48.000000 2014 +0200'}}</t>
  </si>
  <si>
    <t>{'844d0cafdbecfddc12b2fde456d9c123436ab10a': {'num_parents': 2, 'date_commit': 'Sat Sep 06 18:40:48.000000 2014 +0200', 'date_author_commit': 'Wed Sep 03 00:16:04.000000 2014 +0200', 'Parent_1': 'c0d1eb30538752a71db74d24fc6aef5cf0fbb232', 'Parent_1author_date': 'Fri Sep 05 05:10:48.000000 2014 +0200', 'Parent_1commit_date': 'Fri Sep 05 05:10:48.000000 2014 +0200', 'possible_rebase': True, 'Parent_2': '5978e6276dc76b6fe5db29bfef9671276005fb65', 'Parent_2author_date': 'Wed Jul 02 11:17:02.000000 2014 +0200', 'Parent_2commit_date': 'Wed Sep 03 05:30:29.000000 2014 +0200'}}</t>
  </si>
  <si>
    <t>e71e8c2</t>
  </si>
  <si>
    <t>{'num_parents': 1, 'date_commit': 'Wed Jan 16 11:19:37.000000 2013 +0100', 'date_author_commit': 'Thu Jan 03 11:52:40.000000 2013 +0100', 'Parent_1': 'c215b5ec79516111456dfc2a63fa0facf5946ab0', 'Parent_1author_date': 'Tue Dec 18 13:06:15.000000 2012 +0100', 'Parent_1commit_date': 'Wed Jan 16 11:19:37.000000 2013 +0100', 'possible_rebase': True}</t>
  </si>
  <si>
    <t>{'bd8399bd2f51f1dcaa5194cb035415c634383917': {'num_parents': 2, 'date_commit': 'Wed Jan 16 11:19:37.000000 2013 +0100', 'date_author_commit': 'Thu Jan 03 11:52:40.000000 2013 +0100', 'Parent_1': '2cdc27b752fa53fd936df1d1a7f4c51701b5e39a', 'Parent_1author_date': 'Thu Jan 17 12:52:10.000000 2013 +0100', 'Parent_1commit_date': 'Thu Jan 17 12:52:10.000000 2013 +0100', 'possible_rebase': False, 'Parent_2': 'e71e8c2a8902acb59dc95e4ea3521e09ae50aa7d', 'Parent_2author_date': 'Thu Jan 03 11:52:40.000000 2013 +0100', 'Parent_2commit_date': 'Wed Jan 16 11:19:37.000000 2013 +0100'}, 'eab051ec68bdc8792dddb63c9231ece11ab06037': {'num_parents': 1, 'date_commit': 'Wed Jan 16 11:19:37.000000 2013 +0100', 'date_author_commit': 'Thu Jan 03 11:52:40.000000 2013 +0100', 'Parent_1': 'e71e8c2a8902acb59dc95e4ea3521e09ae50aa7d', 'Parent_1author_date': 'Thu Jan 03 11:52:40.000000 2013 +0100', 'Parent_1commit_date': 'Wed Jan 16 11:19:37.000000 2013 +0100', 'possible_rebase': False}}</t>
  </si>
  <si>
    <t>{'c215b5ec79516111456dfc2a63fa0facf5946ab0': {'num_parents': 1, 'date_commit': 'Wed Jan 16 11:19:37.000000 2013 +0100', 'date_author_commit': 'Thu Jan 03 11:52:40.000000 2013 +0100', 'Parent_1': 'a41f4c96ca5f1d8323c5631b9a0eab4de3e2001e', 'Parent_1author_date': 'Tue Dec 18 12:31:40.000000 2012 +0100', 'Parent_1commit_date': 'Wed Jan 16 11:19:37.000000 2013 +0100', 'possible_rebase': True}}</t>
  </si>
  <si>
    <t>30871e870</t>
  </si>
  <si>
    <t>{'num_parents': 1, 'date_commit': 'Tue Sep 30 16:41:02.000000 2014 +0200', 'date_author_commit': 'Mon Sep 29 13:33:50.000000 2014 +0200', 'Parent_1': '3c13c9e9419d4bf09d03f679d66b12f40f4c2a16', 'Parent_1author_date': 'Thu Sep 25 08:08:45.000000 2014 +0200', 'Parent_1commit_date': 'Thu Sep 25 08:08:45.000000 2014 +0200', 'possible_rebase': True}</t>
  </si>
  <si>
    <t>{'fd367af856f7ba51f1f91ffc849a441753e1238c': {'num_parents': 2, 'date_commit': 'Tue Sep 30 16:41:02.000000 2014 +0200', 'date_author_commit': 'Mon Sep 29 13:33:50.000000 2014 +0200', 'Parent_1': 'd7a4e182867cc45659aff9ea7001ca14547af641', 'Parent_1author_date': 'Sat Oct 04 01:44:36.000000 2014 +0200', 'Parent_1commit_date': 'Sat Oct 04 01:44:36.000000 2014 +0200', 'possible_rebase': False, 'Parent_2': '30871e8702737edbbfbcbbb5f21858873b37685c', 'Parent_2author_date': 'Mon Sep 29 13:33:50.000000 2014 +0200', 'Parent_2commit_date': 'Tue Sep 30 16:41:02.000000 2014 +0200'}}</t>
  </si>
  <si>
    <t>{'3c13c9e9419d4bf09d03f679d66b12f40f4c2a16': {'num_parents': 2, 'date_commit': 'Tue Sep 30 16:41:02.000000 2014 +0200', 'date_author_commit': 'Mon Sep 29 13:33:50.000000 2014 +0200', 'Parent_1': 'ce79bbf188e3e069d839f565a2c17ab764940c43', 'Parent_1author_date': 'Thu Sep 25 08:05:46.000000 2014 +0200', 'Parent_1commit_date': 'Thu Sep 25 08:05:46.000000 2014 +0200', 'possible_rebase': True, 'Parent_2': '232cbfe67ffb7696f115830c711a960af5fa0828', 'Parent_2author_date': 'Wed Jun 04 02:42:56.000000 2014 +0200', 'Parent_2commit_date': 'Wed Sep 24 19:39:41.000000 2014 +0200'}}</t>
  </si>
  <si>
    <t>a9d0313c</t>
  </si>
  <si>
    <t>{'num_parents': 1, 'date_commit': 'Thu Feb 28 19:59:56.000000 2013 +0100', 'date_author_commit': 'Mon Feb 25 22:16:19.000000 2013 +0100', 'Parent_1': '176789368269582455fb55facd7b1c0fdaea4e03', 'Parent_1author_date': 'Thu Feb 28 18:02:44.000000 2013 +0100', 'Parent_1commit_date': 'Thu Feb 28 18:02:44.000000 2013 +0100', 'possible_rebase': True}</t>
  </si>
  <si>
    <t>{'8296533147b3a974a94c443a4164a97d9434fd8b': {'num_parents': 2, 'date_commit': 'Thu Feb 28 19:59:56.000000 2013 +0100', 'date_author_commit': 'Mon Feb 25 22:16:19.000000 2013 +0100', 'Parent_1': 'b6045e695422cc748a59687dcc54f1e1b36dd492', 'Parent_1author_date': 'Sat Mar 02 05:26:53.000000 2013 +0100', 'Parent_1commit_date': 'Sat Mar 02 05:26:53.000000 2013 +0100', 'possible_rebase': False, 'Parent_2': 'a9d0313cc7d36a9e5e60aa7710b9ce8ec2f37f19', 'Parent_2author_date': 'Mon Feb 25 22:16:19.000000 2013 +0100', 'Parent_2commit_date': 'Thu Feb 28 19:59:56.000000 2013 +0100'}}</t>
  </si>
  <si>
    <t>{'176789368269582455fb55facd7b1c0fdaea4e03': {'num_parents': 2, 'date_commit': 'Thu Feb 28 19:59:56.000000 2013 +0100', 'date_author_commit': 'Mon Feb 25 22:16:19.000000 2013 +0100', 'Parent_1': 'fad84ab9eba658af0b73fa5a4f0a6755421c148f', 'Parent_1author_date': 'Thu Feb 28 17:58:15.000000 2013 +0100', 'Parent_1commit_date': 'Thu Feb 28 17:58:15.000000 2013 +0100', 'possible_rebase': True, 'Parent_2': '40680d96302a266f2d56dcf3031ce7b27f260018', 'Parent_2author_date': 'Thu Feb 28 01:24:22.000000 2013 +0100', 'Parent_2commit_date': 'Thu Feb 28 01:24:22.000000 2013 +0100'}}</t>
  </si>
  <si>
    <t>933365a58</t>
  </si>
  <si>
    <t>{'num_parents': 1, 'date_commit': 'Mon Feb 18 15:51:46.000000 2013 +0100', 'date_author_commit': 'Wed Dec 12 16:49:33.000000 2012 +0100', 'Parent_1': 'ae888be9a356e88589d0ceeb5a777a627c284a4d', 'Parent_1author_date': 'Sun Feb 17 00:42:53.000000 2013 +0100', 'Parent_1commit_date': 'Sun Feb 17 00:42:53.000000 2013 +0100', 'possible_rebase': True}</t>
  </si>
  <si>
    <t>{'b23c557cc8d03028caba95777f98adfe9b1031d9': {'num_parents': 2, 'date_commit': 'Mon Feb 18 15:51:46.000000 2013 +0100', 'date_author_commit': 'Wed Dec 12 16:49:33.000000 2012 +0100', 'Parent_1': '9e2b990f2260dbbe1b207e853b37f6261e594fbd', 'Parent_1author_date': 'Mon Feb 18 18:58:46.000000 2013 +0100', 'Parent_1commit_date': 'Mon Feb 18 18:58:46.000000 2013 +0100', 'possible_rebase': False, 'Parent_2': '933365a583daa5b9eabcf2397c3e7b803e7af74c', 'Parent_2author_date': 'Wed Dec 12 16:49:33.000000 2012 +0100', 'Parent_2commit_date': 'Mon Feb 18 15:51:46.000000 2013 +0100'}}</t>
  </si>
  <si>
    <t>{'ae888be9a356e88589d0ceeb5a777a627c284a4d': {'num_parents': 2, 'date_commit': 'Mon Feb 18 15:51:46.000000 2013 +0100', 'date_author_commit': 'Wed Dec 12 16:49:33.000000 2012 +0100', 'Parent_1': '574eae99dcd0c0ca809d11053dd83f3616b97e70', 'Parent_1author_date': 'Sat Feb 16 20:51:40.000000 2013 +0100', 'Parent_1commit_date': 'Sat Feb 16 20:51:40.000000 2013 +0100', 'possible_rebase': True, 'Parent_2': '404eb54c572b53ad1f6495ed1982a3177b8e75ab', 'Parent_2author_date': 'Sat Feb 16 20:49:57.000000 2013 +0100', 'Parent_2commit_date': 'Sat Feb 16 20:50:14.000000 2013 +0100'}}</t>
  </si>
  <si>
    <t>2bcda65d512</t>
  </si>
  <si>
    <t>{'num_parents': 1, 'date_commit': 'Thu Aug 28 08:36:12.000000 2014 +0200', 'date_author_commit': 'Tue Jul 15 13:43:29.000000 2014 +0200', 'Parent_1': '2df73a4a8dcae157eff0be24918b00ec58e85680', 'Parent_1author_date': 'Thu Aug 28 08:22:51.000000 2014 +0200', 'Parent_1commit_date': 'Thu Aug 28 08:22:51.000000 2014 +0200', 'possible_rebase': True}</t>
  </si>
  <si>
    <t>{'15ff3d35a9ded67a73427d675c2f6bd63e6081df': {'num_parents': 2, 'date_commit': 'Thu Aug 28 08:36:12.000000 2014 +0200', 'date_author_commit': 'Tue Jul 15 13:43:29.000000 2014 +0200', 'Parent_1': '2a97e1afe6a1ec9e44498128fa8d52f9223c647b', 'Parent_1author_date': 'Thu Aug 28 20:40:13.000000 2014 +0200', 'Parent_1commit_date': 'Thu Aug 28 20:40:13.000000 2014 +0200', 'possible_rebase': False, 'Parent_2': '2bcda65d512f38902514e986883d9b36f4d85c33', 'Parent_2author_date': 'Tue Jul 15 13:43:29.000000 2014 +0200', 'Parent_2commit_date': 'Thu Aug 28 08:36:12.000000 2014 +0200'}, '5f055eddae036576f144485d1c62da988767f2f7': {'num_parents': 1, 'date_commit': 'Thu Aug 28 08:36:12.000000 2014 +0200', 'date_author_commit': 'Tue Jul 15 13:43:29.000000 2014 +0200', 'Parent_1': '2bcda65d512f38902514e986883d9b36f4d85c33', 'Parent_1author_date': 'Tue Jul 15 13:43:29.000000 2014 +0200', 'Parent_1commit_date': 'Thu Aug 28 08:36:12.000000 2014 +0200', 'possible_rebase': False}}</t>
  </si>
  <si>
    <t>{'2df73a4a8dcae157eff0be24918b00ec58e85680': {'num_parents': 2, 'date_commit': 'Thu Aug 28 08:36:12.000000 2014 +0200', 'date_author_commit': 'Tue Jul 15 13:43:29.000000 2014 +0200', 'Parent_1': '1f6ccc5f62f29ae34bb7bc1d047f617aed13f33b', 'Parent_1author_date': 'Thu Aug 28 07:14:20.000000 2014 +0200', 'Parent_1commit_date': 'Thu Aug 28 07:14:20.000000 2014 +0200', 'possible_rebase': True, 'Parent_2': '6e55c1f507c01a2dcdffe3b45545fb8f1d8eb4a5', 'Parent_2author_date': 'Wed Aug 20 06:05:08.000000 2014 +0200', 'Parent_2commit_date': 'Mon Aug 25 04:22:08.000000 2014 +0200'}}</t>
  </si>
  <si>
    <t>6956057ac490c788</t>
  </si>
  <si>
    <t>{'num_parents': 1, 'date_commit': 'Wed Dec 01 18:24:39.000000 2010 +0100', 'date_author_commit': 'Wed Dec 01 18:24:39.000000 2010 +0100', 'Parent_1': '7d771bf9c549499c0a138ea991da5df537e0dd88', 'Parent_1author_date': 'Thu Nov 25 00:16:23.000000 2010 +0100', 'Parent_1commit_date': 'Thu Nov 25 00:16:23.000000 2010 +0100', 'possible_rebase': True}</t>
  </si>
  <si>
    <t>{'1bcc4da8bbcfdfee8f5eed80e9115d51803f86e2': {'num_parents': 2, 'date_commit': 'Wed Dec 01 18:24:39.000000 2010 +0100', 'date_author_commit': 'Wed Dec 01 18:24:39.000000 2010 +0100', 'Parent_1': '6956057ac490c788cb94fbfd0af7fe6e91a7ca96', 'Parent_1author_date': 'Wed Dec 01 18:24:39.000000 2010 +0100', 'Parent_1commit_date': 'Wed Dec 01 18:24:39.000000 2010 +0100', 'possible_rebase': True, 'Parent_2': 'f8afbcc08b65d4d6764a6dc66c804816573ab3b4', 'Parent_2author_date': 'Wed Dec 01 23:14:29.000000 2010 +0100', 'Parent_2commit_date': 'Wed Dec 01 23:14:29.000000 2010 +0100'}}</t>
  </si>
  <si>
    <t>{'7d771bf9c549499c0a138ea991da5df537e0dd88': {'num_parents': 1, 'date_commit': 'Wed Dec 01 18:24:39.000000 2010 +0100', 'date_author_commit': 'Wed Dec 01 18:24:39.000000 2010 +0100', 'Parent_1': '1188dd95fbfef144ca71a3c9df2f7dbdb665c97f', 'Parent_1author_date': 'Wed Nov 24 23:52:10.000000 2010 +0100', 'Parent_1commit_date': 'Wed Nov 24 23:52:10.000000 2010 +0100', 'possible_rebase': True}}</t>
  </si>
  <si>
    <t>2ef03c6a0a8c5705</t>
  </si>
  <si>
    <t>{'num_parents': 1, 'date_commit': 'Tue Apr 19 04:02:54.000000 2011 +0200', 'date_author_commit': 'Tue Apr 19 04:02:54.000000 2011 +0200', 'Parent_1': '5f5874b0012e77e846ad02c7ce43f10356105f3d', 'Parent_1author_date': 'Tue Apr 19 02:42:57.000000 2011 +0200', 'Parent_1commit_date': 'Tue Apr 19 02:42:57.000000 2011 +0200', 'possible_rebase': True}</t>
  </si>
  <si>
    <t>{'ad562e2bf7e5ad593f41a5b77e78d0b452d70d0e': {'num_parents': 2, 'date_commit': 'Tue Apr 19 04:02:54.000000 2011 +0200', 'date_author_commit': 'Tue Apr 19 04:02:54.000000 2011 +0200', 'Parent_1': '2ef03c6a0a8c5705249c3b5be755e0a13ca39332', 'Parent_1author_date': 'Tue Apr 19 04:02:54.000000 2011 +0200', 'Parent_1commit_date': 'Tue Apr 19 04:02:54.000000 2011 +0200', 'possible_rebase': True, 'Parent_2': '757709eeaed44ac315d4767620636773ac7f8804', 'Parent_2author_date': 'Sat Apr 30 04:46:29.000000 2011 +0200', 'Parent_2commit_date': 'Sat Apr 30 04:46:29.000000 2011 +0200'}}</t>
  </si>
  <si>
    <t>{'5f5874b0012e77e846ad02c7ce43f10356105f3d': {'num_parents': 2, 'date_commit': 'Tue Apr 19 04:02:54.000000 2011 +0200', 'date_author_commit': 'Tue Apr 19 04:02:54.000000 2011 +0200', 'Parent_1': '049b19ca9954e203804a32aec61a39846019d045', 'Parent_1author_date': 'Tue Apr 19 02:31:41.000000 2011 +0200', 'Parent_1commit_date': 'Tue Apr 19 02:31:41.000000 2011 +0200', 'possible_rebase': True, 'Parent_2': '0d40279353be6932a05e614f78e7b23d28177b94', 'Parent_2author_date': 'Mon Apr 11 22:04:00.000000 2011 +0200', 'Parent_2commit_date': 'Mon Apr 11 22:04:00.000000 2011 +0200'}}</t>
  </si>
  <si>
    <t>d2cbb9a</t>
  </si>
  <si>
    <t>{'num_parents': 1, 'date_commit': 'Tue Jan 20 17:18:04.000000 2015 +0100', 'date_author_commit': 'Mon Nov 10 10:15:46.000000 2014 +0100', 'Parent_1': 'ba01e0141155d4be48720d4547ef03596b6eace3', 'Parent_1author_date': 'Tue Jan 20 17:08:17.000000 2015 +0100', 'Parent_1commit_date': 'Tue Jan 20 17:08:17.000000 2015 +0100', 'possible_rebase': True}</t>
  </si>
  <si>
    <t>{'ee4ad49b42fe0b2a0b10b099268238f87e40188c': {'num_parents': 2, 'date_commit': 'Tue Jan 20 17:18:04.000000 2015 +0100', 'date_author_commit': 'Mon Nov 10 10:15:46.000000 2014 +0100', 'Parent_1': '6674783aacaf4a092dcb8d9ee814499e15061ae9', 'Parent_1author_date': 'Mon Feb 02 21:52:40.000000 2015 +0100', 'Parent_1commit_date': 'Mon Feb 02 21:52:40.000000 2015 +0100', 'possible_rebase': False, 'Parent_2': 'd2cbb9adeaddefc00db430644e0d51b11ffb7600', 'Parent_2author_date': 'Mon Nov 10 10:15:46.000000 2014 +0100', 'Parent_2commit_date': 'Tue Jan 20 17:18:04.000000 2015 +0100'}}</t>
  </si>
  <si>
    <t>{'ba01e0141155d4be48720d4547ef03596b6eace3': {'num_parents': 2, 'date_commit': 'Tue Jan 20 17:18:04.000000 2015 +0100', 'date_author_commit': 'Mon Nov 10 10:15:46.000000 2014 +0100', 'Parent_1': '794700558efe07044d4673f2d60af00200e18f56', 'Parent_1author_date': 'Tue Jan 20 17:06:28.000000 2015 +0100', 'Parent_1commit_date': 'Tue Jan 20 17:06:28.000000 2015 +0100', 'possible_rebase': True, 'Parent_2': '770ab8eeb72b184ac6164aeabb89c4bf45f938a9', 'Parent_2author_date': 'Mon Dec 08 14:45:48.000000 2014 +0100', 'Parent_2commit_date': 'Mon Jan 19 13:49:31.000000 2015 +0100'}}</t>
  </si>
  <si>
    <t>abc656d</t>
  </si>
  <si>
    <t>{'num_parents': 1, 'date_commit': 'Thu Mar 05 16:19:23.000000 2015 +0100', 'date_author_commit': 'Thu Feb 19 00:42:42.000000 2015 +0100', 'Parent_1': 'e6568b24696b07347b687e9dbc605743ce16a92f', 'Parent_1author_date': 'Thu Mar 05 15:49:20.000000 2015 +0100', 'Parent_1commit_date': 'Thu Mar 05 15:49:20.000000 2015 +0100', 'possible_rebase': True}</t>
  </si>
  <si>
    <t>{'8b5cb7a9c96fd1da59bcafbd30723ba26af5c556': {'num_parents': 2, 'date_commit': 'Thu Mar 05 16:19:23.000000 2015 +0100', 'date_author_commit': 'Thu Feb 19 00:42:42.000000 2015 +0100', 'Parent_1': 'a7ef9420ee1d3231c3d658d4ec2a5e86099b29d3', 'Parent_1author_date': 'Fri Mar 06 00:16:53.000000 2015 +0100', 'Parent_1commit_date': 'Fri Mar 06 00:16:53.000000 2015 +0100', 'possible_rebase': False, 'Parent_2': 'abc656d3d549c555cf7c94d0ae0e5d50768bd366', 'Parent_2author_date': 'Thu Feb 19 00:42:42.000000 2015 +0100', 'Parent_2commit_date': 'Thu Mar 05 16:19:23.000000 2015 +0100'}}</t>
  </si>
  <si>
    <t>{'e6568b24696b07347b687e9dbc605743ce16a92f': {'num_parents': 2, 'date_commit': 'Thu Mar 05 16:19:23.000000 2015 +0100', 'date_author_commit': 'Thu Feb 19 00:42:42.000000 2015 +0100', 'Parent_1': '61d07fbce90a21f5d82a131bef8d469955d28ce9', 'Parent_1author_date': 'Thu Mar 05 15:47:13.000000 2015 +0100', 'Parent_1commit_date': 'Thu Mar 05 15:47:13.000000 2015 +0100', 'possible_rebase': True, 'Parent_2': '97e6e33a25e7f3df0385b54e58c21d98cb165ac1', 'Parent_2author_date': 'Fri Feb 13 18:12:57.000000 2015 +0100', 'Parent_2commit_date': 'Wed Mar 04 19:32:45.000000 2015 +0100'}}</t>
  </si>
  <si>
    <t>1b2c121f133b1</t>
  </si>
  <si>
    <t>{'num_parents': 1, 'date_commit': 'Fri May 10 02:29:27.000000 2013 +0200', 'date_author_commit': 'Thu Apr 04 19:00:49.000000 2013 +0200', 'Parent_1': 'b17715174e8cdd98fe336ee79660860890cf6dce', 'Parent_1author_date': 'Sat Apr 20 02:04:49.000000 2013 +0200', 'Parent_1commit_date': 'Sat Apr 20 02:04:49.000000 2013 +0200', 'possible_rebase': True}</t>
  </si>
  <si>
    <t>{'9629c8eb14104a31872f9e3757dd64c637142f9b': {'num_parents': 2, 'date_commit': 'Fri May 10 02:29:27.000000 2013 +0200', 'date_author_commit': 'Thu Apr 04 19:00:49.000000 2013 +0200', 'Parent_1': 'f743e00cdef5e621af5c9a9bc4ebbda5b4329372', 'Parent_1author_date': 'Fri May 10 23:34:22.000000 2013 +0200', 'Parent_1commit_date': 'Fri May 10 23:34:22.000000 2013 +0200', 'possible_rebase': False, 'Parent_2': '1b2c121f133b15d0fe3f6ebdb131ac9998bc4b83', 'Parent_2author_date': 'Thu Apr 04 19:00:49.000000 2013 +0200', 'Parent_2commit_date': 'Fri May 10 02:29:27.000000 2013 +0200'}}</t>
  </si>
  <si>
    <t>{'b17715174e8cdd98fe336ee79660860890cf6dce': {'num_parents': 1, 'date_commit': 'Fri May 10 02:29:27.000000 2013 +0200', 'date_author_commit': 'Thu Apr 04 19:00:49.000000 2013 +0200', 'Parent_1': '7c2b662dc6923b88ce9d3ae3a7262368cceff9b2', 'Parent_1author_date': 'Fri Apr 19 05:14:01.000000 2013 +0200', 'Parent_1commit_date': 'Fri Apr 19 05:14:01.000000 2013 +0200', 'possible_rebase': True}}</t>
  </si>
  <si>
    <t>13e2bd0</t>
  </si>
  <si>
    <t>{'num_parents': 1, 'date_commit': 'Sun Jul 27 23:45:24.000000 2014 +0200', 'date_author_commit': 'Thu Mar 13 22:33:11.000000 2014 +0100', 'Parent_1': '8230b751fbb4c41a3da987fea335d06f05e07272', 'Parent_1author_date': 'Wed Jan 22 23:44:11.000000 2014 +0100', 'Parent_1commit_date': 'Sun Jul 27 23:45:24.000000 2014 +0200', 'possible_rebase': True}</t>
  </si>
  <si>
    <t>{'18f57e6904b69b09a91966930894fcc788d26ecc': {'num_parents': 2, 'date_commit': 'Sun Jul 27 23:45:24.000000 2014 +0200', 'date_author_commit': 'Thu Mar 13 22:33:11.000000 2014 +0100', 'Parent_1': 'fd7312ef9d703291e3c64bc2b5a4edf0d0c24ce8', 'Parent_1author_date': 'Mon Jul 28 17:14:42.000000 2014 +0200', 'Parent_1commit_date': 'Mon Jul 28 17:14:42.000000 2014 +0200', 'possible_rebase': False, 'Parent_2': '13e2bd02a5b50973f95eb3d8fc0af4e0702e3381', 'Parent_2author_date': 'Thu Mar 13 22:33:11.000000 2014 +0100', 'Parent_2commit_date': 'Sun Jul 27 23:45:24.000000 2014 +0200'}}</t>
  </si>
  <si>
    <t>{'8230b751fbb4c41a3da987fea335d06f05e07272': {'num_parents': 1, 'date_commit': 'Sun Jul 27 23:45:24.000000 2014 +0200', 'date_author_commit': 'Thu Mar 13 22:33:11.000000 2014 +0100', 'Parent_1': '8585a242cb1c6425dd647cdce4498eb2071842a4', 'Parent_1author_date': 'Sun Jul 27 20:12:03.000000 2014 +0200', 'Parent_1commit_date': 'Sun Jul 27 20:12:03.000000 2014 +0200', 'possible_rebase': True}}</t>
  </si>
  <si>
    <t>7dd6a4a</t>
  </si>
  <si>
    <t>{'num_parents': 1, 'date_commit': 'Wed Feb 18 14:46:12.000000 2015 +0100', 'date_author_commit': 'Thu Jan 29 15:33:32.000000 2015 +0100', 'Parent_1': '75d0aabc4e4402781f5072aedc8ddf0f7d3ab4f7', 'Parent_1author_date': 'Wed Feb 18 11:33:43.000000 2015 +0100', 'Parent_1commit_date': 'Wed Feb 18 11:33:43.000000 2015 +0100', 'possible_rebase': True}</t>
  </si>
  <si>
    <t>{'6e09ff46343e83c3ce9a36351c1bdfc9a2afb001': {'num_parents': 2, 'date_commit': 'Wed Feb 18 14:46:12.000000 2015 +0100', 'date_author_commit': 'Thu Jan 29 15:33:32.000000 2015 +0100', 'Parent_1': '97d63d8745cd9b3b391ce96b94b4da263b3a053d', 'Parent_1author_date': 'Mon Feb 09 23:28:19.000000 2015 +0100', 'Parent_1commit_date': 'Sun Feb 22 13:56:40.000000 2015 +0100', 'possible_rebase': False, 'Parent_2': '7dd6a4a19311136c02d89cd2afd97236b0f4cc27', 'Parent_2author_date': 'Thu Jan 29 15:33:32.000000 2015 +0100', 'Parent_2commit_date': 'Wed Feb 18 14:46:12.000000 2015 +0100'}, '28c9af9a7acb97a5056bbf92f0d0eee038e32dfb': {'num_parents': 1, 'date_commit': 'Wed Feb 18 14:46:12.000000 2015 +0100', 'date_author_commit': 'Thu Jan 29 15:33:32.000000 2015 +0100', 'Parent_1': '7dd6a4a19311136c02d89cd2afd97236b0f4cc27', 'Parent_1author_date': 'Thu Jan 29 15:33:32.000000 2015 +0100', 'Parent_1commit_date': 'Wed Feb 18 14:46:12.000000 2015 +0100', 'possible_rebase': False}}</t>
  </si>
  <si>
    <t>{'75d0aabc4e4402781f5072aedc8ddf0f7d3ab4f7': {'num_parents': 2, 'date_commit': 'Wed Feb 18 14:46:12.000000 2015 +0100', 'date_author_commit': 'Thu Jan 29 15:33:32.000000 2015 +0100', 'Parent_1': 'ad6d5713b1889059d4d271b71600f764079f8acd', 'Parent_1author_date': 'Wed Feb 18 09:41:29.000000 2015 +0100', 'Parent_1commit_date': 'Wed Feb 18 09:41:29.000000 2015 +0100', 'possible_rebase': True, 'Parent_2': 'b8eb84c07e609c0bc5ca76f3e70907ba14963600', 'Parent_2author_date': 'Tue Feb 17 13:21:45.000000 2015 +0100', 'Parent_2commit_date': 'Tue Feb 17 13:21:45.000000 2015 +0100'}}</t>
  </si>
  <si>
    <t>f3f1a53f</t>
  </si>
  <si>
    <t>{'num_parents': 1, 'date_commit': 'Sat Feb 14 18:44:06.000000 2015 +0100', 'date_author_commit': 'Mon Jan 05 11:48:15.000000 2015 +0100', 'Parent_1': '7afd22b9574b0c610a8f87fa8c773b4448f7b368', 'Parent_1author_date': 'Sat Feb 14 01:28:50.000000 2015 +0100', 'Parent_1commit_date': 'Sat Feb 14 01:28:50.000000 2015 +0100', 'possible_rebase': True}</t>
  </si>
  <si>
    <t>{'74077f00dba5c0980a120bc6d1694a409fd295b6': {'num_parents': 2, 'date_commit': 'Sat Feb 14 18:44:06.000000 2015 +0100', 'date_author_commit': 'Mon Jan 05 11:48:15.000000 2015 +0100', 'Parent_1': '7cb20d75c398da3f537ff5c95ca9abfcd8837fad', 'Parent_1author_date': 'Tue Feb 17 18:14:03.000000 2015 +0100', 'Parent_1commit_date': 'Tue Feb 17 18:14:03.000000 2015 +0100', 'possible_rebase': False, 'Parent_2': 'f3f1a53fe2bfe23229867c4a90f6456ac204181f', 'Parent_2author_date': 'Mon Jan 05 11:48:15.000000 2015 +0100', 'Parent_2commit_date': 'Sat Feb 14 18:44:06.000000 2015 +0100'}, '36a133e11852a52fecd9a12255ca4b4f46a989d8': {'num_parents': 1, 'date_commit': 'Sat Feb 14 18:44:06.000000 2015 +0100', 'date_author_commit': 'Mon Jan 05 11:48:15.000000 2015 +0100', 'Parent_1': 'f3f1a53fe2bfe23229867c4a90f6456ac204181f', 'Parent_1author_date': 'Mon Jan 05 11:48:15.000000 2015 +0100', 'Parent_1commit_date': 'Sat Feb 14 18:44:06.000000 2015 +0100', 'possible_rebase': False}}</t>
  </si>
  <si>
    <t>{'7afd22b9574b0c610a8f87fa8c773b4448f7b368': {'num_parents': 2, 'date_commit': 'Sat Feb 14 18:44:06.000000 2015 +0100', 'date_author_commit': 'Mon Jan 05 11:48:15.000000 2015 +0100', 'Parent_1': 'd764066345e1013e7f40fcb292f0e5d6e84fbc3a', 'Parent_1author_date': 'Sat Feb 14 01:25:26.000000 2015 +0100', 'Parent_1commit_date': 'Sat Feb 14 01:25:26.000000 2015 +0100', 'possible_rebase': True, 'Parent_2': '5f6306985fcc1e16470cb4d175c3deedc7be917d', 'Parent_2author_date': 'Thu Feb 12 14:46:56.000000 2015 +0100', 'Parent_2commit_date': 'Fri Feb 13 17:02:25.000000 2015 +0100'}}</t>
  </si>
  <si>
    <t>447641972539f1</t>
  </si>
  <si>
    <t>{'num_parents': 1, 'date_commit': 'Thu Jun 19 18:20:49.000000 2014 +0200', 'date_author_commit': 'Wed May 14 23:36:59.000000 2014 +0200', 'Parent_1': 'ad6051bb5c2b62a0de6708cd2d7ac1e3cfd8f1d3', 'Parent_1author_date': 'Wed May 14 23:35:30.000000 2014 +0200', 'Parent_1commit_date': 'Thu Jun 19 18:20:49.000000 2014 +0200', 'possible_rebase': True}</t>
  </si>
  <si>
    <t>{'646338d9981435a3a9ffa72373933e0e56a258ce': {'num_parents': 2, 'date_commit': 'Thu Jun 19 18:20:49.000000 2014 +0200', 'date_author_commit': 'Wed May 14 23:36:59.000000 2014 +0200', 'Parent_1': '7b6db5d60d830d0a758a9dcf4e7379a8596ead27', 'Parent_1author_date': 'Tue Jun 24 06:00:58.000000 2014 +0200', 'Parent_1commit_date': 'Tue Jun 24 06:00:58.000000 2014 +0200', 'possible_rebase': False, 'Parent_2': '447641972539f1e13923c6ee5d64169f4229b856', 'Parent_2author_date': 'Wed May 14 23:36:59.000000 2014 +0200', 'Parent_2commit_date': 'Thu Jun 19 18:20:49.000000 2014 +0200'}, 'e29a80022c305fa5050e83fe7a420d5a57f7a9b4': {'num_parents': 1, 'date_commit': 'Thu Jun 19 18:20:49.000000 2014 +0200', 'date_author_commit': 'Wed May 14 23:36:59.000000 2014 +0200', 'Parent_1': '447641972539f1e13923c6ee5d64169f4229b856', 'Parent_1author_date': 'Wed May 14 23:36:59.000000 2014 +0200', 'Parent_1commit_date': 'Thu Jun 19 18:20:49.000000 2014 +0200', 'possible_rebase': False}}</t>
  </si>
  <si>
    <t>{'ad6051bb5c2b62a0de6708cd2d7ac1e3cfd8f1d3': {'num_parents': 1, 'date_commit': 'Thu Jun 19 18:20:49.000000 2014 +0200', 'date_author_commit': 'Wed May 14 23:36:59.000000 2014 +0200', 'Parent_1': '2958e570ff80a10a29ba078a15fe84b72f1476cc', 'Parent_1author_date': 'Thu May 08 17:55:26.000000 2014 +0200', 'Parent_1commit_date': 'Thu Jun 19 18:20:49.000000 2014 +0200', 'possible_rebase': True}}</t>
  </si>
  <si>
    <t>1682c5b</t>
  </si>
  <si>
    <t>{'num_parents': 1, 'date_commit': 'Tue Feb 03 16:13:05.000000 2015 +0100', 'date_author_commit': 'Fri Jan 02 18:21:12.000000 2015 +0100', 'Parent_1': '422b22eaf79c04e42e1b2257b7ab1feff54152bc', 'Parent_1author_date': 'Thu Jan 29 08:54:07.000000 2015 +0100', 'Parent_1commit_date': 'Thu Jan 29 08:54:07.000000 2015 +0100', 'possible_rebase': True}</t>
  </si>
  <si>
    <t>{'98641da6402c44793da4d2f6d7ea1a7ba5f16708': {'num_parents': 2, 'date_commit': 'Tue Feb 03 16:13:05.000000 2015 +0100', 'date_author_commit': 'Fri Jan 02 18:21:12.000000 2015 +0100', 'Parent_1': 'f47676c21ebbd18d708ed547f54a10128d53ed29', 'Parent_1author_date': 'Fri Feb 06 00:02:32.000000 2015 +0100', 'Parent_1commit_date': 'Fri Feb 06 00:02:32.000000 2015 +0100', 'possible_rebase': False, 'Parent_2': '1682c5b585835e151845c7f64a6c29bc21c29edc', 'Parent_2author_date': 'Fri Jan 02 18:21:12.000000 2015 +0100', 'Parent_2commit_date': 'Tue Feb 03 16:13:05.000000 2015 +0100'}}</t>
  </si>
  <si>
    <t>{'422b22eaf79c04e42e1b2257b7ab1feff54152bc': {'num_parents': 2, 'date_commit': 'Tue Feb 03 16:13:05.000000 2015 +0100', 'date_author_commit': 'Fri Jan 02 18:21:12.000000 2015 +0100', 'Parent_1': '75d946da7bd19df210ca1a016cf1fab173ba3eac', 'Parent_1author_date': 'Thu Jan 29 07:22:12.000000 2015 +0100', 'Parent_1commit_date': 'Thu Jan 29 07:22:12.000000 2015 +0100', 'possible_rebase': True, 'Parent_2': '78a706f784b8b42df4c85ac18270da848c99cd67', 'Parent_2author_date': 'Wed Jan 28 13:46:02.000000 2015 +0100', 'Parent_2commit_date': 'Wed Jan 28 14:29:58.000000 2015 +0100'}}</t>
  </si>
  <si>
    <t>60c90f7</t>
  </si>
  <si>
    <t>{'num_parents': 1, 'date_commit': 'Fri Jul 11 18:21:37.000000 2014 +0200', 'date_author_commit': 'Tue Jun 24 21:03:17.000000 2014 +0200', 'Parent_1': '119b95290b38f370020e43da790508398ea87f6d', 'Parent_1author_date': 'Fri Jul 11 17:58:49.000000 2014 +0200', 'Parent_1commit_date': 'Fri Jul 11 17:58:49.000000 2014 +0200', 'possible_rebase': True}</t>
  </si>
  <si>
    <t>{'e8c300efeb6656e84caa5be7e0df6ddd8e0e7ab1': {'num_parents': 2, 'date_commit': 'Fri Jul 11 18:21:37.000000 2014 +0200', 'date_author_commit': 'Tue Jun 24 21:03:17.000000 2014 +0200', 'Parent_1': 'b0f5992c5f2647cfa6026a8c07e146edc46e137c', 'Parent_1author_date': 'Tue Jul 22 22:38:42.000000 2014 +0200', 'Parent_1commit_date': 'Tue Jul 22 22:38:42.000000 2014 +0200', 'possible_rebase': False, 'Parent_2': '60c90f73261efb8c73ecc02152307c81265cab13', 'Parent_2author_date': 'Tue Jun 24 21:03:17.000000 2014 +0200', 'Parent_2commit_date': 'Fri Jul 11 18:21:37.000000 2014 +0200'}}</t>
  </si>
  <si>
    <t>{'119b95290b38f370020e43da790508398ea87f6d': {'num_parents': 2, 'date_commit': 'Fri Jul 11 18:21:37.000000 2014 +0200', 'date_author_commit': 'Tue Jun 24 21:03:17.000000 2014 +0200', 'Parent_1': '031add7a82fb088ae9a4586189cc5f89c1a303b6', 'Parent_1author_date': 'Fri Jul 11 16:33:25.000000 2014 +0200', 'Parent_1commit_date': 'Fri Jul 11 16:33:25.000000 2014 +0200', 'possible_rebase': True, 'Parent_2': '8af2fdfa8864b369eec599d2bccefb01c8f0c330', 'Parent_2author_date': 'Thu Jul 03 10:54:29.000000 2014 +0200', 'Parent_2commit_date': 'Thu Jul 03 16:27:40.000000 2014 +0200'}}</t>
  </si>
  <si>
    <t>501ff41</t>
  </si>
  <si>
    <t>{'num_parents': 1, 'date_commit': 'Tue Jun 11 10:50:50.000000 2013 +0200', 'date_author_commit': 'Thu May 09 15:42:44.000000 2013 +0200', 'Parent_1': 'a79eea05db0e907c3f942fd8380f238aa34b8f2b', 'Parent_1author_date': 'Tue Jun 11 10:09:29.000000 2013 +0200', 'Parent_1commit_date': 'Tue Jun 11 10:09:29.000000 2013 +0200', 'possible_rebase': True}</t>
  </si>
  <si>
    <t>{'3f2b5fdd83b5fc48b6c213837d7a6b71a13fd48b': {'num_parents': 2, 'date_commit': 'Tue Jun 11 10:50:50.000000 2013 +0200', 'date_author_commit': 'Thu May 09 15:42:44.000000 2013 +0200', 'Parent_1': '685228d96b7d40f537cf6144014234e24e8cd7fd', 'Parent_1author_date': 'Tue Jun 11 12:36:48.000000 2013 +0200', 'Parent_1commit_date': 'Tue Jun 11 12:36:48.000000 2013 +0200', 'possible_rebase': False, 'Parent_2': '501ff418df4c08e52a697772200aa08dd67a4a43', 'Parent_2author_date': 'Thu May 09 15:42:44.000000 2013 +0200', 'Parent_2commit_date': 'Tue Jun 11 10:50:50.000000 2013 +0200'}}</t>
  </si>
  <si>
    <t>{'a79eea05db0e907c3f942fd8380f238aa34b8f2b': {'num_parents': 2, 'date_commit': 'Tue Jun 11 10:50:50.000000 2013 +0200', 'date_author_commit': 'Thu May 09 15:42:44.000000 2013 +0200', 'Parent_1': '63d0ff2c4853a0b576262fc13d686e216c270d88', 'Parent_1author_date': 'Tue Jun 11 08:18:25.000000 2013 +0200', 'Parent_1commit_date': 'Tue Jun 11 08:18:25.000000 2013 +0200', 'possible_rebase': True, 'Parent_2': '3abd08defd352a7015d4c8c5ccc4ca12ac080421', 'Parent_2author_date': 'Thu May 30 14:28:35.000000 2013 +0200', 'Parent_2commit_date': 'Mon Jun 10 16:49:57.000000 2013 +0200'}}</t>
  </si>
  <si>
    <t>0e02db2980dc4e76ef7949ba4ec131af9fc4a44d</t>
  </si>
  <si>
    <t>{'num_parents': 1, 'date_commit': 'Mon Dec 08 15:38:17.000000 2014 +0100', 'date_author_commit': 'Thu Oct 09 10:32:27.000000 2014 +0200', 'Parent_1': '6f5fe6d2d787a32d653a395707590d32ddea1095', 'Parent_1author_date': 'Mon Dec 08 15:29:12.000000 2014 +0100', 'Parent_1commit_date': 'Mon Dec 08 15:29:12.000000 2014 +0100', 'possible_rebase': True}</t>
  </si>
  <si>
    <t>{'159d4eb9f8b6dbcdb00d72fff067e1b8536915a7': {'num_parents': 2, 'date_commit': 'Mon Dec 08 15:38:17.000000 2014 +0100', 'date_author_commit': 'Thu Oct 09 10:32:27.000000 2014 +0200', 'Parent_1': 'd6fb908654db5858c70b60b56755d50c5fc37587', 'Parent_1author_date': 'Mon Dec 08 16:51:25.000000 2014 +0100', 'Parent_1commit_date': 'Mon Dec 08 16:51:25.000000 2014 +0100', 'possible_rebase': False, 'Parent_2': '0e02db2980dc4e76ef7949ba4ec131af9fc4a44d', 'Parent_2author_date': 'Thu Oct 09 10:32:27.000000 2014 +0200', 'Parent_2commit_date': 'Mon Dec 08 15:38:17.000000 2014 +0100'}}</t>
  </si>
  <si>
    <t>{'6f5fe6d2d787a32d653a395707590d32ddea1095': {'num_parents': 2, 'date_commit': 'Mon Dec 08 15:38:17.000000 2014 +0100', 'date_author_commit': 'Thu Oct 09 10:32:27.000000 2014 +0200', 'Parent_1': 'fd48c68c04e7ce417807b8aa9e7b1d97b5a90f6c', 'Parent_1author_date': 'Mon Dec 08 14:51:19.000000 2014 +0100', 'Parent_1commit_date': 'Mon Dec 08 14:51:19.000000 2014 +0100', 'possible_rebase': True, 'Parent_2': 'd8a17851b4a4d8d20df9ac9ae270f379c373a37e', 'Parent_2author_date': 'Tue Nov 25 04:02:06.000000 2014 +0100', 'Parent_2commit_date': 'Fri Dec 05 02:55:37.000000 2014 +0100'}}</t>
  </si>
  <si>
    <t>0eb7e35fbf</t>
  </si>
  <si>
    <t>{'num_parents': 1, 'date_commit': 'Mon Dec 16 16:15:26.000000 2013 +0100', 'date_author_commit': 'Mon Dec 02 21:25:04.000000 2013 +0100', 'Parent_1': 'b32d01d44ca5711c96d192df51bf7acd34f52556', 'Parent_1author_date': 'Tue Jul 02 16:32:57.000000 2013 +0200', 'Parent_1commit_date': 'Sun Dec 15 17:20:50.000000 2013 +0100', 'possible_rebase': True}</t>
  </si>
  <si>
    <t>{'228d244ab64b87be588c8bcb396e25e2074b22ec': {'num_parents': 2, 'date_commit': 'Mon Dec 16 16:15:26.000000 2013 +0100', 'date_author_commit': 'Mon Dec 02 21:25:04.000000 2013 +0100', 'Parent_1': '1c20a224536648915c14828d2d8962c45d95d7b2', 'Parent_1author_date': 'Mon Dec 16 21:15:01.000000 2013 +0100', 'Parent_1commit_date': 'Mon Dec 16 21:15:01.000000 2013 +0100', 'possible_rebase': False, 'Parent_2': '0eb7e35fbfe5de5f9f00ff1a0cce1d6a61f3a902', 'Parent_2author_date': 'Mon Dec 02 21:25:04.000000 2013 +0100', 'Parent_2commit_date': 'Mon Dec 16 16:15:26.000000 2013 +0100'}}</t>
  </si>
  <si>
    <t>{'b32d01d44ca5711c96d192df51bf7acd34f52556': {'num_parents': 1, 'date_commit': 'Mon Dec 16 16:15:26.000000 2013 +0100', 'date_author_commit': 'Mon Dec 02 21:25:04.000000 2013 +0100', 'Parent_1': 'caa2775793753f21667ad883fe7565bc4773e7f2', 'Parent_1author_date': 'Sun Dec 15 03:16:28.000000 2013 +0100', 'Parent_1commit_date': 'Sun Dec 15 03:16:28.000000 2013 +0100', 'possible_rebase': True}}</t>
  </si>
  <si>
    <t>e310985</t>
  </si>
  <si>
    <t>{'num_parents': 1, 'date_commit': 'Fri Aug 29 20:52:22.000000 2014 +0200', 'date_author_commit': 'Tue Aug 12 16:41:44.000000 2014 +0200', 'Parent_1': 'f74f7776584378b9f2154173ed670cf4c4c68c1d', 'Parent_1author_date': 'Fri May 23 19:21:56.000000 2014 +0200', 'Parent_1commit_date': 'Fri Aug 29 20:52:10.000000 2014 +0200', 'possible_rebase': True}</t>
  </si>
  <si>
    <t>{'3fe1851d3b723678acc371ebb845afee73f8264e': {'num_parents': 1, 'date_commit': 'Fri Aug 29 20:52:22.000000 2014 +0200', 'date_author_commit': 'Tue Aug 12 16:41:44.000000 2014 +0200', 'Parent_1': 'e310985b77d916b1ad7f9ec60a9a0b46364046ac', 'Parent_1author_date': 'Tue Aug 12 16:41:44.000000 2014 +0200', 'Parent_1commit_date': 'Fri Aug 29 20:52:22.000000 2014 +0200', 'possible_rebase': False}, '0751e2225cb839f905e2181c9b61b582e039c446': {'num_parents': 2, 'date_commit': 'Fri Aug 29 20:52:22.000000 2014 +0200', 'date_author_commit': 'Tue Aug 12 16:41:44.000000 2014 +0200', 'Parent_1': '1dcdfd1d2b05418fea101877d53ab9daa610552d', 'Parent_1author_date': 'Tue Sep 02 19:06:44.000000 2014 +0200', 'Parent_1commit_date': 'Tue Sep 02 19:06:44.000000 2014 +0200', 'possible_rebase': False, 'Parent_2': 'e310985b77d916b1ad7f9ec60a9a0b46364046ac', 'Parent_2author_date': 'Tue Aug 12 16:41:44.000000 2014 +0200', 'Parent_2commit_date': 'Fri Aug 29 20:52:22.000000 2014 +0200'}}</t>
  </si>
  <si>
    <t>{'f74f7776584378b9f2154173ed670cf4c4c68c1d': {'num_parents': 1, 'date_commit': 'Fri Aug 29 20:52:22.000000 2014 +0200', 'date_author_commit': 'Tue Aug 12 16:41:44.000000 2014 +0200', 'Parent_1': '8f49b1ed9f879fd1ee26688c33737b92aa2d91b4', 'Parent_1author_date': 'Fri Aug 29 15:27:19.000000 2014 +0200', 'Parent_1commit_date': 'Fri Aug 29 15:27:19.000000 2014 +0200', 'possible_rebase': True}}</t>
  </si>
  <si>
    <t>31f208423405</t>
  </si>
  <si>
    <t>{'num_parents': 1, 'date_commit': 'Tue Apr 07 07:25:09.000000 2015 +0200', 'date_author_commit': 'Sat Mar 28 03:41:22.000000 2015 +0100', 'Parent_1': 'bf70df295b0529da9f4381f52fc94d328fa2fdb3', 'Parent_1author_date': 'Tue Apr 07 01:57:10.000000 2015 +0200', 'Parent_1commit_date': 'Tue Apr 07 01:57:10.000000 2015 +0200', 'possible_rebase': True}</t>
  </si>
  <si>
    <t>{'d29d169fdde93e2c4de9b07d7bddd0a4988e7ea4': {'num_parents': 2, 'date_commit': 'Tue Apr 07 07:25:09.000000 2015 +0200', 'date_author_commit': 'Sat Mar 28 03:41:22.000000 2015 +0100', 'Parent_1': '596d16237ab5ec624e3088a45e09b74ad9762ec6', 'Parent_1author_date': 'Wed Apr 08 18:51:04.000000 2015 +0200', 'Parent_1commit_date': 'Wed Apr 08 18:51:04.000000 2015 +0200', 'possible_rebase': False, 'Parent_2': '31f208423405ed50bb5b32977071f917ac3ce26d', 'Parent_2author_date': 'Sat Mar 28 03:41:22.000000 2015 +0100', 'Parent_2commit_date': 'Tue Apr 07 07:25:09.000000 2015 +0200'}}</t>
  </si>
  <si>
    <t>{'bf70df295b0529da9f4381f52fc94d328fa2fdb3': {'num_parents': 2, 'date_commit': 'Tue Apr 07 07:25:09.000000 2015 +0200', 'date_author_commit': 'Sat Mar 28 03:41:22.000000 2015 +0100', 'Parent_1': 'ad329b0d443dd8bae1c84b78c803bcd9349ddc9c', 'Parent_1author_date': 'Tue Apr 07 01:44:12.000000 2015 +0200', 'Parent_1commit_date': 'Tue Apr 07 01:44:12.000000 2015 +0200', 'possible_rebase': True, 'Parent_2': '7560620da7704671e6e5a304c25e506e12f213bd', 'Parent_2author_date': 'Tue Mar 10 21:54:52.000000 2015 +0100', 'Parent_2commit_date': 'Tue Mar 10 21:54:52.000000 2015 +0100'}}</t>
  </si>
  <si>
    <t>f5071bd1ac00ed68102d37c8025</t>
  </si>
  <si>
    <t>{'num_parents': 1, 'date_commit': 'Thu Mar 06 09:14:47.000000 2014 +0100', 'date_author_commit': 'Fri Jan 31 15:20:47.000000 2014 +0100', 'Parent_1': '4897b18a406aa1fa3ba4916f9d9cfde2b064f406', 'Parent_1author_date': 'Thu Mar 06 02:55:17.000000 2014 +0100', 'Parent_1commit_date': 'Thu Mar 06 02:55:17.000000 2014 +0100', 'possible_rebase': True}</t>
  </si>
  <si>
    <t>{'87f35cfcc7d26b89dcc084be337d97a213079e77': {'num_parents': 1, 'date_commit': 'Thu Mar 06 09:14:47.000000 2014 +0100', 'date_author_commit': 'Fri Jan 31 15:20:47.000000 2014 +0100', 'Parent_1': 'f5071bd1ac00ed68102d37c8025d36df6777cd9e', 'Parent_1author_date': 'Fri Jan 31 15:20:47.000000 2014 +0100', 'Parent_1commit_date': 'Thu Mar 06 09:14:47.000000 2014 +0100', 'possible_rebase': False}}</t>
  </si>
  <si>
    <t>{'4897b18a406aa1fa3ba4916f9d9cfde2b064f406': {'num_parents': 2, 'date_commit': 'Thu Mar 06 09:14:47.000000 2014 +0100', 'date_author_commit': 'Fri Jan 31 15:20:47.000000 2014 +0100', 'Parent_1': '46c0c773d95b4d2045240a60b9c36615ad15f2d8', 'Parent_1author_date': 'Thu Mar 06 02:44:27.000000 2014 +0100', 'Parent_1commit_date': 'Thu Mar 06 02:44:27.000000 2014 +0100', 'possible_rebase': True, 'Parent_2': '784372985907dd88771e4ee1ff32305022b49e78', 'Parent_2author_date': 'Fri Feb 21 15:54:30.000000 2014 +0100', 'Parent_2commit_date': 'Tue Mar 04 22:58:50.000000 2014 +0100'}}</t>
  </si>
  <si>
    <t>64e167eb6</t>
  </si>
  <si>
    <t>{'num_parents': 1, 'date_commit': 'Mon Nov 26 23:10:40.000000 2012 +0100', 'date_author_commit': 'Mon Aug 06 18:37:12.000000 2012 +0200', 'Parent_1': 'ab77c4e1b8e4c500a9372e290e658952a2441627', 'Parent_1author_date': 'Mon Nov 26 19:47:22.000000 2012 +0100', 'Parent_1commit_date': 'Mon Nov 26 19:47:22.000000 2012 +0100', 'possible_rebase': True}</t>
  </si>
  <si>
    <t>{'d751a58d0a909a5ab9605a4fc707c1027d710755': {'num_parents': 2, 'date_commit': 'Mon Nov 26 23:10:40.000000 2012 +0100', 'date_author_commit': 'Mon Aug 06 18:37:12.000000 2012 +0200', 'Parent_1': '0e4e6edb06951dc836651697c2dc6bd0a7d0f862', 'Parent_1author_date': 'Mon Nov 26 22:43:09.000000 2012 +0100', 'Parent_1commit_date': 'Mon Nov 26 22:43:09.000000 2012 +0100', 'possible_rebase': False, 'Parent_2': '64e167eb62bd3483b2947ec8de218453c116bd93', 'Parent_2author_date': 'Mon Aug 06 18:37:12.000000 2012 +0200', 'Parent_2commit_date': 'Mon Nov 26 23:10:40.000000 2012 +0100'}}</t>
  </si>
  <si>
    <t>{'ab77c4e1b8e4c500a9372e290e658952a2441627': {'num_parents': 2, 'date_commit': 'Mon Nov 26 23:10:40.000000 2012 +0100', 'date_author_commit': 'Mon Aug 06 18:37:12.000000 2012 +0200', 'Parent_1': '9adc3a456a4a38fd9e372ddd7ee2fc6abeddbb0d', 'Parent_1author_date': 'Mon Nov 26 19:39:22.000000 2012 +0100', 'Parent_1commit_date': 'Mon Nov 26 19:39:22.000000 2012 +0100', 'possible_rebase': True, 'Parent_2': '717c9755805aa06340130b6bc4e7de8f81ea8e57', 'Parent_2author_date': 'Wed Oct 03 20:21:24.000000 2012 +0200', 'Parent_2commit_date': 'Mon Nov 26 18:16:53.000000 2012 +0100'}}</t>
  </si>
  <si>
    <t>F5</t>
  </si>
  <si>
    <t>F6</t>
  </si>
  <si>
    <t>I6</t>
  </si>
  <si>
    <t>ML3</t>
  </si>
  <si>
    <t>ML6</t>
  </si>
  <si>
    <t>O4</t>
  </si>
  <si>
    <t>B1</t>
  </si>
  <si>
    <t>B2</t>
  </si>
  <si>
    <t>B3</t>
  </si>
  <si>
    <t>C2</t>
  </si>
  <si>
    <t>C9</t>
  </si>
  <si>
    <t>C12</t>
  </si>
  <si>
    <t>R2</t>
  </si>
  <si>
    <t>R8</t>
  </si>
  <si>
    <t>Missing_IDS</t>
  </si>
  <si>
    <t>C2.1, C2.2 and C2.3</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</si>
</sst>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d.mm.yyyy"/>
  </numFmts>
  <fonts count="65">
    <font>
      <sz val="10.0"/>
      <color rgb="FF000000"/>
      <name val="Arial"/>
      <scheme val="minor"/>
    </font>
    <font>
      <color theme="1"/>
      <name val="Arial"/>
    </font>
    <font>
      <b/>
      <sz val="12.0"/>
      <color theme="1"/>
      <name val="Arial"/>
    </font>
    <font>
      <b/>
      <sz val="12.0"/>
      <color rgb="FF000000"/>
      <name val="Arial"/>
    </font>
    <font>
      <sz val="12.0"/>
      <color theme="1"/>
      <name val="Arial"/>
    </font>
    <font>
      <u/>
      <color rgb="FF1155CC"/>
      <name val="Arial"/>
    </font>
    <font>
      <b/>
      <sz val="12.0"/>
      <color rgb="FFFFFFFF"/>
      <name val="Arial"/>
    </font>
    <font>
      <b/>
      <color rgb="FFFFFF00"/>
      <name val="Arial"/>
    </font>
    <font>
      <sz val="12.0"/>
      <color rgb="FFFF0000"/>
      <name val="Arial"/>
    </font>
    <font>
      <u/>
      <color rgb="FF0000FF"/>
      <name val="Arial"/>
    </font>
    <font>
      <u/>
      <sz val="12.0"/>
      <color rgb="FF1155CC"/>
      <name val="Arial"/>
    </font>
    <font>
      <u/>
      <color rgb="FF0000FF"/>
    </font>
    <font>
      <color theme="1"/>
      <name val="Arial"/>
      <scheme val="minor"/>
    </font>
    <font>
      <color rgb="FFEAD1DC"/>
      <name val="Arial"/>
    </font>
    <font>
      <b/>
      <color theme="1"/>
      <name val="Arial"/>
    </font>
    <font>
      <b/>
      <i/>
      <color theme="1"/>
      <name val="Arial"/>
    </font>
    <font>
      <b/>
      <color theme="1"/>
      <name val="Arial"/>
      <scheme val="minor"/>
    </font>
    <font>
      <i/>
      <color theme="1"/>
      <name val="Arial"/>
    </font>
    <font>
      <b/>
      <u/>
      <sz val="12.0"/>
      <color rgb="FFFFFF00"/>
    </font>
    <font/>
    <font>
      <b/>
      <color rgb="FF434343"/>
      <name val="Arial"/>
      <scheme val="minor"/>
    </font>
    <font>
      <u/>
      <sz val="8.0"/>
      <color rgb="FF434343"/>
    </font>
    <font>
      <sz val="9.0"/>
      <color rgb="FF434343"/>
      <name val="Arial"/>
      <scheme val="minor"/>
    </font>
    <font>
      <u/>
      <sz val="8.0"/>
      <color rgb="FF434343"/>
    </font>
    <font>
      <u/>
      <sz val="8.0"/>
      <color rgb="FF434343"/>
    </font>
    <font>
      <u/>
      <color rgb="FF0000FF"/>
    </font>
    <font>
      <color rgb="FF000000"/>
      <name val="Arial"/>
    </font>
    <font>
      <sz val="8.0"/>
      <color rgb="FF434343"/>
      <name val="Arial"/>
      <scheme val="minor"/>
    </font>
    <font>
      <u/>
      <sz val="8.0"/>
      <color rgb="FF434343"/>
    </font>
    <font>
      <u/>
      <sz val="9.0"/>
      <color rgb="FF434343"/>
    </font>
    <font>
      <u/>
      <sz val="9.0"/>
      <color rgb="FF434343"/>
    </font>
    <font>
      <u/>
      <color rgb="FF0000FF"/>
    </font>
    <font>
      <u/>
      <color rgb="FF0000FF"/>
    </font>
    <font>
      <u/>
      <color rgb="FF0000FF"/>
    </font>
    <font>
      <u/>
      <color rgb="FF0000FF"/>
    </font>
    <font>
      <u/>
      <color rgb="FF0000FF"/>
    </font>
    <font>
      <u/>
      <color rgb="FF0000FF"/>
    </font>
    <font>
      <u/>
      <color rgb="FF000000"/>
      <name val="Arial"/>
    </font>
    <font>
      <u/>
      <color rgb="FF0000FF"/>
      <name val="Arial"/>
    </font>
    <font>
      <u/>
      <color rgb="FF0000FF"/>
    </font>
    <font>
      <u/>
      <color rgb="FF0000FF"/>
      <name val="Arial"/>
    </font>
    <font>
      <u/>
      <sz val="10.0"/>
      <color rgb="FF434343"/>
    </font>
    <font>
      <u/>
      <color rgb="FF0000FF"/>
    </font>
    <font>
      <u/>
      <sz val="8.0"/>
      <color rgb="FF434343"/>
      <name val="Arial"/>
    </font>
    <font>
      <u/>
      <sz val="9.0"/>
      <color rgb="FF434343"/>
      <name val="Arial"/>
    </font>
    <font>
      <color rgb="FF000000"/>
      <name val="Arial"/>
      <scheme val="minor"/>
    </font>
    <font>
      <u/>
      <color rgb="FF0000FF"/>
    </font>
    <font>
      <u/>
      <color rgb="FF0000FF"/>
    </font>
    <font>
      <color rgb="FFFF00FF"/>
      <name val="Arial"/>
      <scheme val="minor"/>
    </font>
    <font>
      <b/>
      <u/>
      <sz val="8.0"/>
      <color rgb="FF434343"/>
    </font>
    <font>
      <b/>
      <u/>
      <sz val="9.0"/>
      <color rgb="FF434343"/>
    </font>
    <font>
      <b/>
      <u/>
      <sz val="8.0"/>
      <color rgb="FF434343"/>
    </font>
    <font>
      <b/>
      <u/>
      <sz val="9.0"/>
      <color rgb="FF434343"/>
    </font>
    <font>
      <u/>
      <color rgb="FF0000FF"/>
    </font>
    <font>
      <u/>
      <color rgb="FF0000FF"/>
    </font>
    <font>
      <u/>
      <color rgb="FF0000FF"/>
    </font>
    <font>
      <u/>
      <sz val="8.0"/>
      <color rgb="FF434343"/>
    </font>
    <font>
      <u/>
      <sz val="9.0"/>
      <color rgb="FF434343"/>
    </font>
    <font>
      <u/>
      <color rgb="FF0000FF"/>
    </font>
    <font>
      <u/>
      <color rgb="FF0000FF"/>
      <name val="Arial"/>
    </font>
    <font>
      <u/>
      <color rgb="FF0000FF"/>
      <name val="Arial"/>
    </font>
    <font>
      <u/>
      <color rgb="FF1155CC"/>
      <name val="Arial"/>
    </font>
    <font>
      <b/>
      <sz val="11.0"/>
      <color theme="1"/>
      <name val="Calibri"/>
    </font>
    <font>
      <sz val="11.0"/>
      <color rgb="FF000000"/>
      <name val="Calibri"/>
    </font>
    <font>
      <sz val="9.0"/>
      <color rgb="FF000000"/>
      <name val="&quot;Google Sans Mono&quot;"/>
    </font>
  </fonts>
  <fills count="22">
    <fill>
      <patternFill patternType="none"/>
    </fill>
    <fill>
      <patternFill patternType="lightGray"/>
    </fill>
    <fill>
      <patternFill patternType="solid">
        <fgColor rgb="FFA4C2F4"/>
        <bgColor rgb="FFA4C2F4"/>
      </patternFill>
    </fill>
    <fill>
      <patternFill patternType="solid">
        <fgColor rgb="FF0B5394"/>
        <bgColor rgb="FF0B5394"/>
      </patternFill>
    </fill>
    <fill>
      <patternFill patternType="solid">
        <fgColor rgb="FF000000"/>
        <bgColor rgb="FF000000"/>
      </patternFill>
    </fill>
    <fill>
      <patternFill patternType="solid">
        <fgColor rgb="FF351C75"/>
        <bgColor rgb="FF351C75"/>
      </patternFill>
    </fill>
    <fill>
      <patternFill patternType="solid">
        <fgColor rgb="FFEFEFEF"/>
        <bgColor rgb="FFEFEFEF"/>
      </patternFill>
    </fill>
    <fill>
      <patternFill patternType="solid">
        <fgColor rgb="FFFCE5CD"/>
        <bgColor rgb="FFFCE5CD"/>
      </patternFill>
    </fill>
    <fill>
      <patternFill patternType="solid">
        <fgColor rgb="FFD9EAD3"/>
        <bgColor rgb="FFD9EAD3"/>
      </patternFill>
    </fill>
    <fill>
      <patternFill patternType="solid">
        <fgColor rgb="FFFFFF00"/>
        <bgColor rgb="FFFFFF00"/>
      </patternFill>
    </fill>
    <fill>
      <patternFill patternType="solid">
        <fgColor rgb="FFD5A6BD"/>
        <bgColor rgb="FFD5A6BD"/>
      </patternFill>
    </fill>
    <fill>
      <patternFill patternType="solid">
        <fgColor rgb="FFD0E0E3"/>
        <bgColor rgb="FFD0E0E3"/>
      </patternFill>
    </fill>
    <fill>
      <patternFill patternType="solid">
        <fgColor rgb="FFEAD1DC"/>
        <bgColor rgb="FFEAD1DC"/>
      </patternFill>
    </fill>
    <fill>
      <patternFill patternType="solid">
        <fgColor rgb="FFD9D2E9"/>
        <bgColor rgb="FFD9D2E9"/>
      </patternFill>
    </fill>
    <fill>
      <patternFill patternType="solid">
        <fgColor rgb="FFE6F3FF"/>
        <bgColor rgb="FFE6F3FF"/>
      </patternFill>
    </fill>
    <fill>
      <patternFill patternType="solid">
        <fgColor rgb="FFF3F3F3"/>
        <bgColor rgb="FFF3F3F3"/>
      </patternFill>
    </fill>
    <fill>
      <patternFill patternType="solid">
        <fgColor rgb="FFFFFFFF"/>
        <bgColor rgb="FFFFFFFF"/>
      </patternFill>
    </fill>
    <fill>
      <patternFill patternType="solid">
        <fgColor rgb="FFCFE2F3"/>
        <bgColor rgb="FFCFE2F3"/>
      </patternFill>
    </fill>
    <fill>
      <patternFill patternType="solid">
        <fgColor rgb="FFFFF2CC"/>
        <bgColor rgb="FFFFF2CC"/>
      </patternFill>
    </fill>
    <fill>
      <patternFill patternType="solid">
        <fgColor rgb="FFF4CCCC"/>
        <bgColor rgb="FFF4CCCC"/>
      </patternFill>
    </fill>
    <fill>
      <patternFill patternType="solid">
        <fgColor rgb="FF93C47D"/>
        <bgColor rgb="FF93C47D"/>
      </patternFill>
    </fill>
    <fill>
      <patternFill patternType="solid">
        <fgColor rgb="FFD9D9D9"/>
        <bgColor rgb="FFD9D9D9"/>
      </patternFill>
    </fill>
  </fills>
  <borders count="15">
    <border/>
    <border>
      <left style="medium">
        <color rgb="FF000000"/>
      </left>
    </border>
    <border>
      <right style="medium">
        <color rgb="FF000000"/>
      </right>
    </border>
    <border>
      <left style="medium">
        <color rgb="FF000000"/>
      </left>
      <right style="medium">
        <color rgb="FF000000"/>
      </right>
      <top style="medium">
        <color rgb="FF000000"/>
      </top>
    </border>
    <border>
      <left style="medium">
        <color rgb="FF000000"/>
      </left>
      <right style="medium">
        <color rgb="FF000000"/>
      </right>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bottom style="medium">
        <color rgb="FF000000"/>
      </bottom>
    </border>
    <border>
      <left style="medium">
        <color rgb="FF000000"/>
      </left>
      <bottom style="medium">
        <color rgb="FF000000"/>
      </bottom>
    </border>
    <border>
      <right style="medium">
        <color rgb="FF000000"/>
      </right>
      <bottom style="medium">
        <color rgb="FF000000"/>
      </bottom>
    </border>
    <border>
      <right style="thick">
        <color rgb="FF000000"/>
      </right>
    </border>
    <border>
      <left style="thin">
        <color rgb="FF000000"/>
      </left>
      <right style="thin">
        <color rgb="FF000000"/>
      </right>
      <top style="thin">
        <color rgb="FF000000"/>
      </top>
      <bottom style="thin">
        <color rgb="FF000000"/>
      </bottom>
    </border>
    <border>
      <top style="thin">
        <color rgb="FF000000"/>
      </top>
    </border>
    <border>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15">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2" fontId="3" numFmtId="0" xfId="0" applyAlignment="1" applyFill="1" applyFont="1">
      <alignment horizontal="center" shrinkToFit="0" vertical="center" wrapText="1"/>
    </xf>
    <xf borderId="0" fillId="0" fontId="4" numFmtId="0" xfId="0" applyAlignment="1" applyFont="1">
      <alignment shrinkToFit="0" vertical="bottom" wrapText="1"/>
    </xf>
    <xf borderId="0" fillId="0" fontId="5" numFmtId="0" xfId="0" applyAlignment="1" applyFont="1">
      <alignment vertical="bottom"/>
    </xf>
    <xf borderId="0" fillId="3" fontId="6" numFmtId="0" xfId="0" applyAlignment="1" applyFill="1" applyFont="1">
      <alignment horizontal="center" readingOrder="0" shrinkToFit="0" vertical="center" wrapText="1"/>
    </xf>
    <xf borderId="0" fillId="0" fontId="4" numFmtId="0" xfId="0" applyAlignment="1" applyFont="1">
      <alignment readingOrder="0" shrinkToFit="0" vertical="bottom" wrapText="1"/>
    </xf>
    <xf borderId="0" fillId="4" fontId="7" numFmtId="0" xfId="0" applyAlignment="1" applyFill="1" applyFont="1">
      <alignment horizontal="center" readingOrder="0" vertical="center"/>
    </xf>
    <xf borderId="0" fillId="0" fontId="1" numFmtId="0" xfId="0" applyAlignment="1" applyFont="1">
      <alignment readingOrder="0" vertical="bottom"/>
    </xf>
    <xf borderId="0" fillId="5" fontId="6" numFmtId="0" xfId="0" applyAlignment="1" applyFill="1" applyFont="1">
      <alignment horizontal="center" readingOrder="0" shrinkToFit="0" vertical="center" wrapText="1"/>
    </xf>
    <xf borderId="0" fillId="0" fontId="8" numFmtId="0" xfId="0" applyAlignment="1" applyFont="1">
      <alignment readingOrder="0" shrinkToFit="0" vertical="bottom" wrapText="1"/>
    </xf>
    <xf borderId="0" fillId="0" fontId="9" numFmtId="0" xfId="0" applyAlignment="1" applyFont="1">
      <alignment readingOrder="0" vertical="bottom"/>
    </xf>
    <xf borderId="0" fillId="0" fontId="10" numFmtId="0" xfId="0" applyAlignment="1" applyFont="1">
      <alignment readingOrder="0" shrinkToFit="0" vertical="bottom" wrapText="1"/>
    </xf>
    <xf borderId="0" fillId="0" fontId="11" numFmtId="0" xfId="0" applyAlignment="1" applyFont="1">
      <alignment readingOrder="0"/>
    </xf>
    <xf borderId="0" fillId="0" fontId="1" numFmtId="0" xfId="0" applyAlignment="1" applyFont="1">
      <alignment horizontal="right" vertical="bottom"/>
    </xf>
    <xf borderId="0" fillId="0" fontId="12" numFmtId="0" xfId="0" applyAlignment="1" applyFont="1">
      <alignment readingOrder="0"/>
    </xf>
    <xf borderId="0" fillId="6" fontId="12" numFmtId="0" xfId="0" applyAlignment="1" applyFill="1" applyFont="1">
      <alignment readingOrder="0"/>
    </xf>
    <xf borderId="0" fillId="0" fontId="1" numFmtId="0" xfId="0" applyAlignment="1" applyFont="1">
      <alignment horizontal="right" readingOrder="0" shrinkToFit="0" vertical="bottom" wrapText="0"/>
    </xf>
    <xf borderId="0" fillId="0" fontId="12" numFmtId="10" xfId="0" applyFont="1" applyNumberFormat="1"/>
    <xf borderId="0" fillId="7" fontId="12" numFmtId="0" xfId="0" applyAlignment="1" applyFill="1" applyFont="1">
      <alignment readingOrder="0"/>
    </xf>
    <xf borderId="0" fillId="8" fontId="12" numFmtId="0" xfId="0" applyAlignment="1" applyFill="1" applyFont="1">
      <alignment readingOrder="0"/>
    </xf>
    <xf borderId="0" fillId="9" fontId="12" numFmtId="0" xfId="0" applyAlignment="1" applyFill="1" applyFont="1">
      <alignment readingOrder="0"/>
    </xf>
    <xf borderId="0" fillId="0" fontId="13" numFmtId="0" xfId="0" applyAlignment="1" applyFont="1">
      <alignment horizontal="right" readingOrder="0" shrinkToFit="0" vertical="bottom" wrapText="0"/>
    </xf>
    <xf borderId="0" fillId="10" fontId="12" numFmtId="0" xfId="0" applyAlignment="1" applyFill="1" applyFont="1">
      <alignment readingOrder="0"/>
    </xf>
    <xf borderId="0" fillId="11" fontId="12" numFmtId="0" xfId="0" applyAlignment="1" applyFill="1" applyFont="1">
      <alignment readingOrder="0"/>
    </xf>
    <xf borderId="0" fillId="12" fontId="1" numFmtId="0" xfId="0" applyAlignment="1" applyFill="1" applyFont="1">
      <alignment horizontal="right" readingOrder="0" shrinkToFit="0" vertical="bottom" wrapText="0"/>
    </xf>
    <xf borderId="0" fillId="13" fontId="12" numFmtId="0" xfId="0" applyAlignment="1" applyFill="1" applyFont="1">
      <alignment readingOrder="0"/>
    </xf>
    <xf borderId="0" fillId="0" fontId="14" numFmtId="0" xfId="0" applyAlignment="1" applyFont="1">
      <alignment horizontal="right" readingOrder="0" shrinkToFit="0" vertical="bottom" wrapText="0"/>
    </xf>
    <xf borderId="0" fillId="0" fontId="15" numFmtId="0" xfId="0" applyAlignment="1" applyFont="1">
      <alignment horizontal="right" readingOrder="0" shrinkToFit="0" vertical="bottom" wrapText="0"/>
    </xf>
    <xf borderId="0" fillId="0" fontId="16" numFmtId="0" xfId="0" applyAlignment="1" applyFont="1">
      <alignment readingOrder="0"/>
    </xf>
    <xf borderId="0" fillId="0" fontId="17" numFmtId="0" xfId="0" applyAlignment="1" applyFont="1">
      <alignment horizontal="right" readingOrder="0" shrinkToFit="0" vertical="bottom" wrapText="0"/>
    </xf>
    <xf borderId="0" fillId="4" fontId="18" numFmtId="0" xfId="0" applyAlignment="1" applyFont="1">
      <alignment horizontal="center" readingOrder="0" shrinkToFit="0" wrapText="1"/>
    </xf>
    <xf borderId="0" fillId="6" fontId="16" numFmtId="0" xfId="0" applyAlignment="1" applyFont="1">
      <alignment horizontal="center" readingOrder="0" shrinkToFit="0" wrapText="1"/>
    </xf>
    <xf borderId="0" fillId="0" fontId="16" numFmtId="0" xfId="0" applyAlignment="1" applyFont="1">
      <alignment horizontal="center" readingOrder="0"/>
    </xf>
    <xf borderId="1" fillId="0" fontId="16" numFmtId="0" xfId="0" applyAlignment="1" applyBorder="1" applyFont="1">
      <alignment horizontal="center" readingOrder="0" shrinkToFit="0" wrapText="1"/>
    </xf>
    <xf borderId="2" fillId="0" fontId="19" numFmtId="0" xfId="0" applyBorder="1" applyFont="1"/>
    <xf borderId="0" fillId="0" fontId="16" numFmtId="0" xfId="0" applyAlignment="1" applyFont="1">
      <alignment horizontal="center" readingOrder="0" shrinkToFit="0" wrapText="1"/>
    </xf>
    <xf borderId="0" fillId="0" fontId="1" numFmtId="0" xfId="0" applyAlignment="1" applyFont="1">
      <alignment vertical="bottom"/>
    </xf>
    <xf borderId="0" fillId="14" fontId="16" numFmtId="0" xfId="0" applyAlignment="1" applyFill="1" applyFont="1">
      <alignment horizontal="center" readingOrder="0" shrinkToFit="0" wrapText="1"/>
    </xf>
    <xf borderId="0" fillId="15" fontId="20" numFmtId="0" xfId="0" applyAlignment="1" applyFill="1" applyFont="1">
      <alignment horizontal="center" readingOrder="0" shrinkToFit="0" wrapText="1"/>
    </xf>
    <xf borderId="0" fillId="15" fontId="12" numFmtId="0" xfId="0" applyAlignment="1" applyFont="1">
      <alignment horizontal="center" readingOrder="0" shrinkToFit="0" wrapText="1"/>
    </xf>
    <xf borderId="0" fillId="0" fontId="12" numFmtId="0" xfId="0" applyAlignment="1" applyFont="1">
      <alignment horizontal="center" readingOrder="0" shrinkToFit="0" wrapText="1"/>
    </xf>
    <xf borderId="1" fillId="0" fontId="12" numFmtId="0" xfId="0" applyAlignment="1" applyBorder="1" applyFont="1">
      <alignment horizontal="center" readingOrder="0" shrinkToFit="0" wrapText="1"/>
    </xf>
    <xf borderId="2" fillId="0" fontId="12" numFmtId="0" xfId="0" applyAlignment="1" applyBorder="1" applyFont="1">
      <alignment horizontal="center" readingOrder="0" shrinkToFit="0" wrapText="1"/>
    </xf>
    <xf borderId="1" fillId="0" fontId="1" numFmtId="0" xfId="0" applyAlignment="1" applyBorder="1" applyFont="1">
      <alignment horizontal="center" shrinkToFit="0" vertical="bottom" wrapText="1"/>
    </xf>
    <xf borderId="2" fillId="0" fontId="1" numFmtId="0" xfId="0" applyAlignment="1" applyBorder="1" applyFont="1">
      <alignment horizontal="center" shrinkToFit="0" vertical="bottom" wrapText="1"/>
    </xf>
    <xf borderId="0" fillId="0" fontId="1" numFmtId="0" xfId="0" applyAlignment="1" applyFont="1">
      <alignment horizontal="center" shrinkToFit="0" vertical="bottom" wrapText="1"/>
    </xf>
    <xf borderId="0" fillId="0" fontId="12" numFmtId="0" xfId="0" applyAlignment="1" applyFont="1">
      <alignment horizontal="center" shrinkToFit="0" wrapText="1"/>
    </xf>
    <xf borderId="0" fillId="0" fontId="1" numFmtId="0" xfId="0" applyAlignment="1" applyFont="1">
      <alignment horizontal="right" shrinkToFit="0" vertical="bottom" wrapText="0"/>
    </xf>
    <xf borderId="0" fillId="15" fontId="21" numFmtId="0" xfId="0" applyAlignment="1" applyFont="1">
      <alignment horizontal="center" shrinkToFit="0" wrapText="1"/>
    </xf>
    <xf borderId="0" fillId="15" fontId="22" numFmtId="0" xfId="0" applyAlignment="1" applyFont="1">
      <alignment horizontal="center" shrinkToFit="0" wrapText="1"/>
    </xf>
    <xf borderId="1" fillId="0" fontId="12" numFmtId="0" xfId="0" applyAlignment="1" applyBorder="1" applyFont="1">
      <alignment readingOrder="0" shrinkToFit="0" wrapText="1"/>
    </xf>
    <xf borderId="2" fillId="0" fontId="12" numFmtId="0" xfId="0" applyAlignment="1" applyBorder="1" applyFont="1">
      <alignment readingOrder="0" shrinkToFit="0" wrapText="1"/>
    </xf>
    <xf borderId="0" fillId="0" fontId="12" numFmtId="0" xfId="0" applyFont="1"/>
    <xf borderId="1" fillId="0" fontId="12" numFmtId="0" xfId="0" applyAlignment="1" applyBorder="1" applyFont="1">
      <alignment shrinkToFit="0" wrapText="1"/>
    </xf>
    <xf borderId="2" fillId="0" fontId="12" numFmtId="0" xfId="0" applyAlignment="1" applyBorder="1" applyFont="1">
      <alignment shrinkToFit="0" wrapText="1"/>
    </xf>
    <xf borderId="0" fillId="0" fontId="1" numFmtId="0" xfId="0" applyAlignment="1" applyFont="1">
      <alignment horizontal="right" shrinkToFit="0" vertical="bottom" wrapText="0"/>
    </xf>
    <xf borderId="0" fillId="15" fontId="23" numFmtId="0" xfId="0" applyAlignment="1" applyFont="1">
      <alignment horizontal="center" shrinkToFit="0" wrapText="0"/>
    </xf>
    <xf borderId="2" fillId="0" fontId="12" numFmtId="0" xfId="0" applyAlignment="1" applyBorder="1" applyFont="1">
      <alignment readingOrder="0" shrinkToFit="0" wrapText="0"/>
    </xf>
    <xf borderId="0" fillId="0" fontId="24" numFmtId="0" xfId="0" applyAlignment="1" applyFont="1">
      <alignment horizontal="center" shrinkToFit="0" wrapText="1"/>
    </xf>
    <xf borderId="0" fillId="0" fontId="22" numFmtId="0" xfId="0" applyAlignment="1" applyFont="1">
      <alignment horizontal="center" shrinkToFit="0" wrapText="1"/>
    </xf>
    <xf borderId="0" fillId="0" fontId="12" numFmtId="0" xfId="0" applyAlignment="1" applyFont="1">
      <alignment horizontal="right" readingOrder="0"/>
    </xf>
    <xf borderId="0" fillId="0" fontId="25" numFmtId="0" xfId="0" applyAlignment="1" applyFont="1">
      <alignment readingOrder="0"/>
    </xf>
    <xf borderId="1" fillId="0" fontId="1" numFmtId="0" xfId="0" applyAlignment="1" applyBorder="1" applyFont="1">
      <alignment readingOrder="0" shrinkToFit="0" vertical="bottom" wrapText="1"/>
    </xf>
    <xf borderId="2" fillId="0" fontId="1" numFmtId="0" xfId="0" applyAlignment="1" applyBorder="1" applyFont="1">
      <alignment shrinkToFit="0" vertical="bottom" wrapText="1"/>
    </xf>
    <xf borderId="0" fillId="0" fontId="12" numFmtId="0" xfId="0" applyAlignment="1" applyFont="1">
      <alignment readingOrder="0"/>
    </xf>
    <xf borderId="1" fillId="0" fontId="1" numFmtId="0" xfId="0" applyAlignment="1" applyBorder="1" applyFont="1">
      <alignment shrinkToFit="0" vertical="bottom" wrapText="1"/>
    </xf>
    <xf borderId="2" fillId="0" fontId="1" numFmtId="0" xfId="0" applyAlignment="1" applyBorder="1" applyFont="1">
      <alignment shrinkToFit="0" vertical="bottom" wrapText="1"/>
    </xf>
    <xf borderId="0" fillId="16" fontId="26" numFmtId="0" xfId="0" applyAlignment="1" applyFill="1" applyFont="1">
      <alignment horizontal="right" readingOrder="0"/>
    </xf>
    <xf borderId="0" fillId="0" fontId="12" numFmtId="0" xfId="0" applyAlignment="1" applyFont="1">
      <alignment horizontal="right"/>
    </xf>
    <xf borderId="0" fillId="15" fontId="27" numFmtId="0" xfId="0" applyAlignment="1" applyFont="1">
      <alignment horizontal="center" shrinkToFit="0" wrapText="1"/>
    </xf>
    <xf borderId="1" fillId="0" fontId="16" numFmtId="0" xfId="0" applyAlignment="1" applyBorder="1" applyFont="1">
      <alignment readingOrder="0"/>
    </xf>
    <xf borderId="1" fillId="0" fontId="16" numFmtId="0" xfId="0" applyAlignment="1" applyBorder="1" applyFont="1">
      <alignment horizontal="center" readingOrder="0"/>
    </xf>
    <xf borderId="0" fillId="15" fontId="12" numFmtId="0" xfId="0" applyAlignment="1" applyFont="1">
      <alignment horizontal="center" readingOrder="0" shrinkToFit="0" wrapText="1"/>
    </xf>
    <xf borderId="2" fillId="0" fontId="12" numFmtId="0" xfId="0" applyAlignment="1" applyBorder="1" applyFont="1">
      <alignment horizontal="center" readingOrder="0" shrinkToFit="0" wrapText="0"/>
    </xf>
    <xf borderId="1" fillId="15" fontId="1" numFmtId="0" xfId="0" applyAlignment="1" applyBorder="1" applyFont="1">
      <alignment horizontal="center" readingOrder="0" shrinkToFit="0" vertical="bottom" wrapText="1"/>
    </xf>
    <xf borderId="0" fillId="15" fontId="28" numFmtId="0" xfId="0" applyAlignment="1" applyFont="1">
      <alignment horizontal="center"/>
    </xf>
    <xf borderId="0" fillId="15" fontId="29" numFmtId="0" xfId="0" applyAlignment="1" applyFont="1">
      <alignment horizontal="center" readingOrder="0" shrinkToFit="0" wrapText="1"/>
    </xf>
    <xf borderId="1" fillId="0" fontId="12" numFmtId="0" xfId="0" applyAlignment="1" applyBorder="1" applyFont="1">
      <alignment readingOrder="0"/>
    </xf>
    <xf borderId="2" fillId="0" fontId="12" numFmtId="0" xfId="0" applyAlignment="1" applyBorder="1" applyFont="1">
      <alignment shrinkToFit="0" wrapText="0"/>
    </xf>
    <xf borderId="0" fillId="15" fontId="30" numFmtId="0" xfId="0" applyAlignment="1" applyFont="1">
      <alignment horizontal="center" shrinkToFit="0" wrapText="1"/>
    </xf>
    <xf borderId="1" fillId="0" fontId="12" numFmtId="0" xfId="0" applyBorder="1" applyFont="1"/>
    <xf borderId="2" fillId="15" fontId="12" numFmtId="0" xfId="0" applyAlignment="1" applyBorder="1" applyFont="1">
      <alignment readingOrder="0" shrinkToFit="0" wrapText="0"/>
    </xf>
    <xf borderId="2" fillId="0" fontId="31" numFmtId="0" xfId="0" applyAlignment="1" applyBorder="1" applyFont="1">
      <alignment readingOrder="0" shrinkToFit="0" wrapText="0"/>
    </xf>
    <xf borderId="2" fillId="0" fontId="32" numFmtId="0" xfId="0" applyAlignment="1" applyBorder="1" applyFont="1">
      <alignment readingOrder="0" shrinkToFit="0" wrapText="0"/>
    </xf>
    <xf quotePrefix="1" borderId="2" fillId="0" fontId="33" numFmtId="0" xfId="0" applyAlignment="1" applyBorder="1" applyFont="1">
      <alignment readingOrder="0" shrinkToFit="0" wrapText="0"/>
    </xf>
    <xf quotePrefix="1" borderId="2" fillId="0" fontId="12" numFmtId="0" xfId="0" applyAlignment="1" applyBorder="1" applyFont="1">
      <alignment readingOrder="0" shrinkToFit="0" wrapText="0"/>
    </xf>
    <xf borderId="0" fillId="15" fontId="27" numFmtId="0" xfId="0" applyAlignment="1" applyFont="1">
      <alignment horizontal="center"/>
    </xf>
    <xf borderId="0" fillId="15" fontId="22" numFmtId="0" xfId="0" applyAlignment="1" applyFont="1">
      <alignment horizontal="center" readingOrder="0" shrinkToFit="0" wrapText="1"/>
    </xf>
    <xf borderId="0" fillId="15" fontId="20" numFmtId="0" xfId="0" applyAlignment="1" applyFont="1">
      <alignment horizontal="center" readingOrder="0" shrinkToFit="0" vertical="center" wrapText="1"/>
    </xf>
    <xf borderId="0" fillId="15" fontId="16" numFmtId="0" xfId="0" applyAlignment="1" applyFont="1">
      <alignment horizontal="center" readingOrder="0" shrinkToFit="0" wrapText="1"/>
    </xf>
    <xf borderId="2" fillId="0" fontId="12" numFmtId="0" xfId="0" applyBorder="1" applyFont="1"/>
    <xf borderId="2" fillId="0" fontId="12" numFmtId="0" xfId="0" applyAlignment="1" applyBorder="1" applyFont="1">
      <alignment readingOrder="0"/>
    </xf>
    <xf borderId="2" fillId="0" fontId="34" numFmtId="0" xfId="0" applyAlignment="1" applyBorder="1" applyFont="1">
      <alignment readingOrder="0"/>
    </xf>
    <xf borderId="0" fillId="12" fontId="12" numFmtId="0" xfId="0" applyAlignment="1" applyFont="1">
      <alignment readingOrder="0"/>
    </xf>
    <xf borderId="0" fillId="0" fontId="12" numFmtId="0" xfId="0" applyFont="1"/>
    <xf borderId="1" fillId="12" fontId="12" numFmtId="0" xfId="0" applyAlignment="1" applyBorder="1" applyFont="1">
      <alignment readingOrder="0"/>
    </xf>
    <xf borderId="2" fillId="12" fontId="12" numFmtId="0" xfId="0" applyAlignment="1" applyBorder="1" applyFont="1">
      <alignment readingOrder="0"/>
    </xf>
    <xf borderId="2" fillId="0" fontId="12" numFmtId="0" xfId="0" applyAlignment="1" applyBorder="1" applyFont="1">
      <alignment readingOrder="0"/>
    </xf>
    <xf borderId="0" fillId="0" fontId="12" numFmtId="0" xfId="0" applyAlignment="1" applyFont="1">
      <alignment readingOrder="0" shrinkToFit="0" wrapText="0"/>
    </xf>
    <xf borderId="0" fillId="0" fontId="12" numFmtId="0" xfId="0" applyAlignment="1" applyFont="1">
      <alignment horizontal="center" readingOrder="0" shrinkToFit="0" wrapText="0"/>
    </xf>
    <xf borderId="0" fillId="0" fontId="35" numFmtId="0" xfId="0" applyAlignment="1" applyFont="1">
      <alignment readingOrder="0" shrinkToFit="0" wrapText="0"/>
    </xf>
    <xf borderId="0" fillId="0" fontId="36" numFmtId="0" xfId="0" applyAlignment="1" applyFont="1">
      <alignment readingOrder="0" shrinkToFit="0" wrapText="0"/>
    </xf>
    <xf borderId="0" fillId="17" fontId="12" numFmtId="0" xfId="0" applyAlignment="1" applyFill="1" applyFont="1">
      <alignment readingOrder="0"/>
    </xf>
    <xf borderId="0" fillId="0" fontId="12" numFmtId="0" xfId="0" applyAlignment="1" applyFont="1">
      <alignment shrinkToFit="0" wrapText="0"/>
    </xf>
    <xf borderId="0" fillId="0" fontId="12" numFmtId="0" xfId="0" applyAlignment="1" applyFont="1">
      <alignment readingOrder="0" shrinkToFit="0" wrapText="0"/>
    </xf>
    <xf borderId="3" fillId="0" fontId="16" numFmtId="0" xfId="0" applyAlignment="1" applyBorder="1" applyFont="1">
      <alignment horizontal="center" readingOrder="0"/>
    </xf>
    <xf borderId="0" fillId="0" fontId="14" numFmtId="0" xfId="0" applyAlignment="1" applyFont="1">
      <alignment horizontal="center" shrinkToFit="0" vertical="bottom" wrapText="1"/>
    </xf>
    <xf borderId="4" fillId="0" fontId="12" numFmtId="0" xfId="0" applyAlignment="1" applyBorder="1" applyFont="1">
      <alignment horizontal="center" readingOrder="0" shrinkToFit="0" wrapText="1"/>
    </xf>
    <xf borderId="5" fillId="0" fontId="12" numFmtId="0" xfId="0" applyAlignment="1" applyBorder="1" applyFont="1">
      <alignment horizontal="center" readingOrder="0" shrinkToFit="0" wrapText="1"/>
    </xf>
    <xf borderId="6" fillId="0" fontId="12" numFmtId="0" xfId="0" applyAlignment="1" applyBorder="1" applyFont="1">
      <alignment horizontal="center" readingOrder="0" shrinkToFit="0" wrapText="1"/>
    </xf>
    <xf borderId="0" fillId="0" fontId="12" numFmtId="0" xfId="0" applyAlignment="1" applyFont="1">
      <alignment readingOrder="0" shrinkToFit="0" wrapText="1"/>
    </xf>
    <xf borderId="4" fillId="0" fontId="12" numFmtId="0" xfId="0" applyAlignment="1" applyBorder="1" applyFont="1">
      <alignment readingOrder="0"/>
    </xf>
    <xf borderId="0" fillId="0" fontId="12" numFmtId="0" xfId="0" applyAlignment="1" applyFont="1">
      <alignment shrinkToFit="0" wrapText="1"/>
    </xf>
    <xf borderId="4" fillId="0" fontId="12" numFmtId="0" xfId="0" applyBorder="1" applyFont="1"/>
    <xf borderId="2" fillId="0" fontId="1" numFmtId="0" xfId="0" applyAlignment="1" applyBorder="1" applyFont="1">
      <alignment readingOrder="0" vertical="bottom"/>
    </xf>
    <xf borderId="1" fillId="0" fontId="1" numFmtId="0" xfId="0" applyAlignment="1" applyBorder="1" applyFont="1">
      <alignment vertical="bottom"/>
    </xf>
    <xf borderId="0" fillId="16" fontId="26" numFmtId="0" xfId="0" applyAlignment="1" applyFont="1">
      <alignment horizontal="left" readingOrder="0"/>
    </xf>
    <xf borderId="0" fillId="16" fontId="37" numFmtId="0" xfId="0" applyAlignment="1" applyFont="1">
      <alignment horizontal="left" readingOrder="0"/>
    </xf>
    <xf borderId="1" fillId="0" fontId="1" numFmtId="0" xfId="0" applyAlignment="1" applyBorder="1" applyFont="1">
      <alignment readingOrder="0" vertical="bottom"/>
    </xf>
    <xf borderId="3" fillId="0" fontId="12" numFmtId="0" xfId="0" applyAlignment="1" applyBorder="1" applyFont="1">
      <alignment readingOrder="0"/>
    </xf>
    <xf borderId="2" fillId="0" fontId="38" numFmtId="0" xfId="0" applyAlignment="1" applyBorder="1" applyFont="1">
      <alignment readingOrder="0" vertical="bottom"/>
    </xf>
    <xf borderId="2" fillId="0" fontId="1" numFmtId="0" xfId="0" applyAlignment="1" applyBorder="1" applyFont="1">
      <alignment vertical="bottom"/>
    </xf>
    <xf borderId="0" fillId="0" fontId="26" numFmtId="0" xfId="0" applyAlignment="1" applyFont="1">
      <alignment readingOrder="0" vertical="bottom"/>
    </xf>
    <xf borderId="7" fillId="0" fontId="12" numFmtId="0" xfId="0" applyBorder="1" applyFont="1"/>
    <xf borderId="8" fillId="0" fontId="12" numFmtId="0" xfId="0" applyBorder="1" applyFont="1"/>
    <xf borderId="9" fillId="0" fontId="12" numFmtId="0" xfId="0" applyBorder="1" applyFont="1"/>
    <xf borderId="0" fillId="0" fontId="14" numFmtId="0" xfId="0" applyAlignment="1" applyFont="1">
      <alignment horizontal="center" readingOrder="0" shrinkToFit="0" vertical="bottom" wrapText="1"/>
    </xf>
    <xf borderId="0" fillId="18" fontId="12" numFmtId="0" xfId="0" applyAlignment="1" applyFill="1" applyFont="1">
      <alignment horizontal="center" readingOrder="0" shrinkToFit="0" wrapText="1"/>
    </xf>
    <xf borderId="10" fillId="0" fontId="1" numFmtId="0" xfId="0" applyAlignment="1" applyBorder="1" applyFont="1">
      <alignment readingOrder="0" shrinkToFit="0" vertical="bottom" wrapText="0"/>
    </xf>
    <xf borderId="0" fillId="0" fontId="1" numFmtId="164" xfId="0" applyAlignment="1" applyFont="1" applyNumberFormat="1">
      <alignment readingOrder="0" vertical="bottom"/>
    </xf>
    <xf borderId="0" fillId="12" fontId="1" numFmtId="0" xfId="0" applyAlignment="1" applyFont="1">
      <alignment readingOrder="0" vertical="bottom"/>
    </xf>
    <xf borderId="0" fillId="0" fontId="1" numFmtId="165" xfId="0" applyAlignment="1" applyFont="1" applyNumberFormat="1">
      <alignment readingOrder="0" vertical="bottom"/>
    </xf>
    <xf quotePrefix="1" borderId="2" fillId="0" fontId="12" numFmtId="0" xfId="0" applyAlignment="1" applyBorder="1" applyFont="1">
      <alignment readingOrder="0"/>
    </xf>
    <xf borderId="0" fillId="12" fontId="12" numFmtId="0" xfId="0" applyFont="1"/>
    <xf borderId="2" fillId="15" fontId="12" numFmtId="0" xfId="0" applyAlignment="1" applyBorder="1" applyFont="1">
      <alignment readingOrder="0" shrinkToFit="0" wrapText="1"/>
    </xf>
    <xf borderId="0" fillId="6" fontId="12" numFmtId="0" xfId="0" applyFont="1"/>
    <xf borderId="2" fillId="6" fontId="12" numFmtId="0" xfId="0" applyBorder="1" applyFont="1"/>
    <xf borderId="1" fillId="6" fontId="1" numFmtId="0" xfId="0" applyAlignment="1" applyBorder="1" applyFont="1">
      <alignment vertical="bottom"/>
    </xf>
    <xf borderId="2" fillId="6" fontId="1" numFmtId="0" xfId="0" applyAlignment="1" applyBorder="1" applyFont="1">
      <alignment readingOrder="0" vertical="bottom"/>
    </xf>
    <xf borderId="2" fillId="6" fontId="1" numFmtId="0" xfId="0" applyAlignment="1" applyBorder="1" applyFont="1">
      <alignment vertical="bottom"/>
    </xf>
    <xf borderId="10" fillId="6" fontId="1" numFmtId="0" xfId="0" applyAlignment="1" applyBorder="1" applyFont="1">
      <alignment shrinkToFit="0" vertical="bottom" wrapText="0"/>
    </xf>
    <xf borderId="0" fillId="6" fontId="1" numFmtId="0" xfId="0" applyAlignment="1" applyFont="1">
      <alignment vertical="bottom"/>
    </xf>
    <xf borderId="2" fillId="17" fontId="39" numFmtId="0" xfId="0" applyAlignment="1" applyBorder="1" applyFont="1">
      <alignment readingOrder="0"/>
    </xf>
    <xf borderId="2" fillId="11" fontId="12" numFmtId="0" xfId="0" applyAlignment="1" applyBorder="1" applyFont="1">
      <alignment readingOrder="0"/>
    </xf>
    <xf borderId="0" fillId="18" fontId="12" numFmtId="0" xfId="0" applyAlignment="1" applyFont="1">
      <alignment readingOrder="0"/>
    </xf>
    <xf borderId="2" fillId="18" fontId="12" numFmtId="0" xfId="0" applyAlignment="1" applyBorder="1" applyFont="1">
      <alignment readingOrder="0"/>
    </xf>
    <xf borderId="0" fillId="15" fontId="12" numFmtId="0" xfId="0" applyFont="1"/>
    <xf borderId="2" fillId="15" fontId="12" numFmtId="0" xfId="0" applyBorder="1" applyFont="1"/>
    <xf borderId="2" fillId="15" fontId="1" numFmtId="0" xfId="0" applyAlignment="1" applyBorder="1" applyFont="1">
      <alignment readingOrder="0" vertical="bottom"/>
    </xf>
    <xf borderId="2" fillId="15" fontId="1" numFmtId="0" xfId="0" applyAlignment="1" applyBorder="1" applyFont="1">
      <alignment vertical="bottom"/>
    </xf>
    <xf borderId="10" fillId="15" fontId="1" numFmtId="0" xfId="0" applyAlignment="1" applyBorder="1" applyFont="1">
      <alignment shrinkToFit="0" vertical="bottom" wrapText="0"/>
    </xf>
    <xf borderId="0" fillId="15" fontId="1" numFmtId="0" xfId="0" applyAlignment="1" applyFont="1">
      <alignment vertical="bottom"/>
    </xf>
    <xf borderId="10" fillId="0" fontId="1" numFmtId="0" xfId="0" applyAlignment="1" applyBorder="1" applyFont="1">
      <alignment shrinkToFit="0" vertical="bottom" wrapText="0"/>
    </xf>
    <xf borderId="10" fillId="0" fontId="40" numFmtId="0" xfId="0" applyAlignment="1" applyBorder="1" applyFont="1">
      <alignment readingOrder="0" shrinkToFit="0" vertical="bottom" wrapText="0"/>
    </xf>
    <xf borderId="0" fillId="15" fontId="41" numFmtId="0" xfId="0" applyAlignment="1" applyFont="1">
      <alignment horizontal="center" shrinkToFit="0" wrapText="1"/>
    </xf>
    <xf borderId="0" fillId="19" fontId="12" numFmtId="0" xfId="0" applyAlignment="1" applyFill="1" applyFont="1">
      <alignment readingOrder="0"/>
    </xf>
    <xf borderId="2" fillId="19" fontId="12" numFmtId="0" xfId="0" applyAlignment="1" applyBorder="1" applyFont="1">
      <alignment readingOrder="0"/>
    </xf>
    <xf borderId="0" fillId="20" fontId="12" numFmtId="0" xfId="0" applyAlignment="1" applyFill="1" applyFont="1">
      <alignment readingOrder="0"/>
    </xf>
    <xf borderId="2" fillId="20" fontId="12" numFmtId="0" xfId="0" applyAlignment="1" applyBorder="1" applyFont="1">
      <alignment readingOrder="0"/>
    </xf>
    <xf borderId="2" fillId="0" fontId="42" numFmtId="0" xfId="0" applyAlignment="1" applyBorder="1" applyFont="1">
      <alignment readingOrder="0"/>
    </xf>
    <xf borderId="2" fillId="13" fontId="12" numFmtId="0" xfId="0" applyAlignment="1" applyBorder="1" applyFont="1">
      <alignment readingOrder="0"/>
    </xf>
    <xf borderId="0" fillId="12" fontId="16" numFmtId="0" xfId="0" applyAlignment="1" applyFont="1">
      <alignment readingOrder="0"/>
    </xf>
    <xf borderId="2" fillId="0" fontId="1" numFmtId="0" xfId="0" applyAlignment="1" applyBorder="1" applyFont="1">
      <alignment vertical="bottom"/>
    </xf>
    <xf borderId="0" fillId="15" fontId="43" numFmtId="0" xfId="0" applyAlignment="1" applyFont="1">
      <alignment horizontal="center" shrinkToFit="0" vertical="bottom" wrapText="1"/>
    </xf>
    <xf borderId="0" fillId="15" fontId="44" numFmtId="0" xfId="0" applyAlignment="1" applyFont="1">
      <alignment horizontal="center" shrinkToFit="0" vertical="bottom" wrapText="1"/>
    </xf>
    <xf borderId="10" fillId="0" fontId="1" numFmtId="0" xfId="0" applyAlignment="1" applyBorder="1" applyFont="1">
      <alignment vertical="bottom"/>
    </xf>
    <xf borderId="2" fillId="0" fontId="12" numFmtId="0" xfId="0" applyAlignment="1" applyBorder="1" applyFont="1">
      <alignment readingOrder="0" shrinkToFit="0" wrapText="1"/>
    </xf>
    <xf borderId="10" fillId="0" fontId="1" numFmtId="0" xfId="0" applyAlignment="1" applyBorder="1" applyFont="1">
      <alignment vertical="bottom"/>
    </xf>
    <xf borderId="1" fillId="0" fontId="1" numFmtId="0" xfId="0" applyAlignment="1" applyBorder="1" applyFont="1">
      <alignment vertical="bottom"/>
    </xf>
    <xf borderId="0" fillId="0" fontId="1" numFmtId="0" xfId="0" applyAlignment="1" applyFont="1">
      <alignment shrinkToFit="0" vertical="bottom" wrapText="0"/>
    </xf>
    <xf borderId="0" fillId="0" fontId="16" numFmtId="0" xfId="0" applyAlignment="1" applyFont="1">
      <alignment readingOrder="0" shrinkToFit="0" wrapText="0"/>
    </xf>
    <xf borderId="0" fillId="0" fontId="16" numFmtId="0" xfId="0" applyAlignment="1" applyFont="1">
      <alignment horizontal="center" readingOrder="0" shrinkToFit="0" wrapText="1"/>
    </xf>
    <xf borderId="0" fillId="0" fontId="1" numFmtId="0" xfId="0" applyAlignment="1" applyFont="1">
      <alignment horizontal="center" vertical="bottom"/>
    </xf>
    <xf borderId="2" fillId="0" fontId="16" numFmtId="0" xfId="0" applyAlignment="1" applyBorder="1" applyFont="1">
      <alignment readingOrder="0"/>
    </xf>
    <xf borderId="2" fillId="0" fontId="45" numFmtId="0" xfId="0" applyAlignment="1" applyBorder="1" applyFont="1">
      <alignment readingOrder="0"/>
    </xf>
    <xf borderId="11" fillId="0" fontId="12" numFmtId="0" xfId="0" applyAlignment="1" applyBorder="1" applyFont="1">
      <alignment shrinkToFit="0" wrapText="0"/>
    </xf>
    <xf borderId="0" fillId="0" fontId="46" numFmtId="0" xfId="0" applyAlignment="1" applyFont="1">
      <alignment shrinkToFit="0" wrapText="0"/>
    </xf>
    <xf borderId="0" fillId="0" fontId="12" numFmtId="49" xfId="0" applyAlignment="1" applyFont="1" applyNumberFormat="1">
      <alignment shrinkToFit="0" wrapText="0"/>
    </xf>
    <xf borderId="0" fillId="0" fontId="47" numFmtId="0" xfId="0" applyFont="1"/>
    <xf borderId="0" fillId="0" fontId="48" numFmtId="0" xfId="0" applyFont="1"/>
    <xf borderId="0" fillId="21" fontId="12" numFmtId="0" xfId="0" applyAlignment="1" applyFill="1" applyFont="1">
      <alignment horizontal="center" readingOrder="0" shrinkToFit="0" wrapText="0"/>
    </xf>
    <xf borderId="0" fillId="21" fontId="12" numFmtId="0" xfId="0" applyAlignment="1" applyFont="1">
      <alignment horizontal="center" shrinkToFit="0" wrapText="0"/>
    </xf>
    <xf borderId="0" fillId="15" fontId="49" numFmtId="0" xfId="0" applyAlignment="1" applyFont="1">
      <alignment horizontal="center" shrinkToFit="0" wrapText="1"/>
    </xf>
    <xf borderId="0" fillId="15" fontId="50" numFmtId="0" xfId="0" applyAlignment="1" applyFont="1">
      <alignment horizontal="center" shrinkToFit="0" wrapText="1"/>
    </xf>
    <xf borderId="12" fillId="0" fontId="16" numFmtId="0" xfId="0" applyAlignment="1" applyBorder="1" applyFont="1">
      <alignment readingOrder="0"/>
    </xf>
    <xf borderId="12" fillId="15" fontId="51" numFmtId="0" xfId="0" applyAlignment="1" applyBorder="1" applyFont="1">
      <alignment horizontal="center" shrinkToFit="0" wrapText="1"/>
    </xf>
    <xf borderId="12" fillId="15" fontId="52" numFmtId="0" xfId="0" applyAlignment="1" applyBorder="1" applyFont="1">
      <alignment horizontal="center" shrinkToFit="0" wrapText="1"/>
    </xf>
    <xf borderId="12" fillId="0" fontId="12" numFmtId="0" xfId="0" applyAlignment="1" applyBorder="1" applyFont="1">
      <alignment readingOrder="0"/>
    </xf>
    <xf borderId="12" fillId="0" fontId="12" numFmtId="0" xfId="0" applyAlignment="1" applyBorder="1" applyFont="1">
      <alignment readingOrder="0"/>
    </xf>
    <xf borderId="12" fillId="0" fontId="12" numFmtId="0" xfId="0" applyAlignment="1" applyBorder="1" applyFont="1">
      <alignment readingOrder="0" shrinkToFit="0" wrapText="1"/>
    </xf>
    <xf borderId="12" fillId="21" fontId="12" numFmtId="0" xfId="0" applyAlignment="1" applyBorder="1" applyFont="1">
      <alignment horizontal="center" shrinkToFit="0" wrapText="0"/>
    </xf>
    <xf borderId="12" fillId="0" fontId="12" numFmtId="0" xfId="0" applyBorder="1" applyFont="1"/>
    <xf borderId="12" fillId="0" fontId="53" numFmtId="0" xfId="0" applyAlignment="1" applyBorder="1" applyFont="1">
      <alignment readingOrder="0"/>
    </xf>
    <xf borderId="12" fillId="21" fontId="54" numFmtId="0" xfId="0" applyAlignment="1" applyBorder="1" applyFont="1">
      <alignment horizontal="center" shrinkToFit="0" wrapText="0"/>
    </xf>
    <xf borderId="0" fillId="21" fontId="55" numFmtId="0" xfId="0" applyAlignment="1" applyFont="1">
      <alignment horizontal="center" shrinkToFit="0" wrapText="0"/>
    </xf>
    <xf borderId="13" fillId="0" fontId="1" numFmtId="0" xfId="0" applyAlignment="1" applyBorder="1" applyFont="1">
      <alignment vertical="bottom"/>
    </xf>
    <xf borderId="12" fillId="15" fontId="56" numFmtId="0" xfId="0" applyAlignment="1" applyBorder="1" applyFont="1">
      <alignment horizontal="center" shrinkToFit="0" wrapText="1"/>
    </xf>
    <xf borderId="12" fillId="15" fontId="57" numFmtId="0" xfId="0" applyAlignment="1" applyBorder="1" applyFont="1">
      <alignment horizontal="center" shrinkToFit="0" wrapText="1"/>
    </xf>
    <xf borderId="0" fillId="0" fontId="14" numFmtId="0" xfId="0" applyAlignment="1" applyFont="1">
      <alignment vertical="bottom"/>
    </xf>
    <xf borderId="13" fillId="0" fontId="14" numFmtId="0" xfId="0" applyAlignment="1" applyBorder="1" applyFont="1">
      <alignment vertical="bottom"/>
    </xf>
    <xf quotePrefix="1" borderId="0" fillId="0" fontId="58" numFmtId="0" xfId="0" applyAlignment="1" applyFont="1">
      <alignment readingOrder="0"/>
    </xf>
    <xf borderId="0" fillId="0" fontId="1" numFmtId="0" xfId="0" applyAlignment="1" applyFont="1">
      <alignment shrinkToFit="0" vertical="bottom" wrapText="1"/>
    </xf>
    <xf borderId="0" fillId="0" fontId="1" numFmtId="0" xfId="0" applyAlignment="1" applyFont="1">
      <alignment shrinkToFit="0" vertical="bottom" wrapText="1"/>
    </xf>
    <xf borderId="0" fillId="0" fontId="59" numFmtId="0" xfId="0" applyAlignment="1" applyFont="1">
      <alignment vertical="bottom"/>
    </xf>
    <xf borderId="0" fillId="0" fontId="60" numFmtId="0" xfId="0" applyAlignment="1" applyFont="1">
      <alignment vertical="bottom"/>
    </xf>
    <xf borderId="0" fillId="0" fontId="61" numFmtId="0" xfId="0" applyAlignment="1" applyFont="1">
      <alignment readingOrder="0" vertical="bottom"/>
    </xf>
    <xf borderId="0" fillId="0" fontId="62" numFmtId="0" xfId="0" applyAlignment="1" applyFont="1">
      <alignment horizontal="center" readingOrder="0" shrinkToFit="0" vertical="top" wrapText="0"/>
    </xf>
    <xf borderId="11" fillId="0" fontId="62" numFmtId="0" xfId="0" applyAlignment="1" applyBorder="1" applyFont="1">
      <alignment horizontal="center" readingOrder="0" shrinkToFit="0" vertical="top" wrapText="0"/>
    </xf>
    <xf borderId="14" fillId="0" fontId="62" numFmtId="0" xfId="0" applyAlignment="1" applyBorder="1" applyFont="1">
      <alignment horizontal="center" readingOrder="0" shrinkToFit="0" vertical="top" wrapText="0"/>
    </xf>
    <xf borderId="0" fillId="0" fontId="63" numFmtId="0" xfId="0" applyAlignment="1" applyFont="1">
      <alignment horizontal="right" readingOrder="0" shrinkToFit="0" vertical="bottom" wrapText="0"/>
    </xf>
    <xf borderId="0" fillId="0" fontId="63" numFmtId="0" xfId="0" applyAlignment="1" applyFont="1">
      <alignment readingOrder="0" shrinkToFit="0" vertical="bottom" wrapText="0"/>
    </xf>
    <xf borderId="0" fillId="16" fontId="64" numFmtId="0" xfId="0" applyAlignment="1" applyFont="1">
      <alignment readingOrder="0" shrinkToFit="0" wrapText="0"/>
    </xf>
    <xf borderId="0" fillId="16" fontId="64" numFmtId="0" xfId="0" applyAlignment="1" applyFont="1">
      <alignment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Y9FDM6PWfeg9VaMejzWN3Md3FLlGVyeSUr8AibeJN5I/edit?usp=sharing" TargetMode="Externa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 TargetMode="External"/><Relationship Id="rId4" Type="http://schemas.openxmlformats.org/officeDocument/2006/relationships/hyperlink" Target="https://bugs.launchpad.net/nova/+bug/1470834" TargetMode="External"/><Relationship Id="rId11" Type="http://schemas.openxmlformats.org/officeDocument/2006/relationships/drawing" Target="../drawings/drawing3.xml"/><Relationship Id="rId10" Type="http://schemas.openxmlformats.org/officeDocument/2006/relationships/hyperlink" Target="https://review.openstack.org/" TargetMode="External"/><Relationship Id="rId12" Type="http://schemas.openxmlformats.org/officeDocument/2006/relationships/vmlDrawing" Target="../drawings/vmlDrawing2.vml"/><Relationship Id="rId9" Type="http://schemas.openxmlformats.org/officeDocument/2006/relationships/hyperlink" Target="https://bugs.launchpad.net/nova/+bug/1388386." TargetMode="External"/><Relationship Id="rId5" Type="http://schemas.openxmlformats.org/officeDocument/2006/relationships/hyperlink" Target="https://gist.github.com/ramielrowe/520b0b86a5adf385b45d" TargetMode="External"/><Relationship Id="rId6" Type="http://schemas.openxmlformats.org/officeDocument/2006/relationships/hyperlink" Target="https://bugs.launchpad.net/nova/+bug/1387539" TargetMode="External"/><Relationship Id="rId7" Type="http://schemas.openxmlformats.org/officeDocument/2006/relationships/hyperlink" Target="http://logs.openstack.org/10/110110/40/check/check-tempest-dsvm-postgres-full/4cd8a81/logs/screen-n-api.txt.gz" TargetMode="External"/><Relationship Id="rId8" Type="http://schemas.openxmlformats.org/officeDocument/2006/relationships/hyperlink" Target="https://bugs.launchpad.net/nova/+bug/1372369/comments/0"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review.openstack.org/" TargetMode="External"/><Relationship Id="rId10" Type="http://schemas.openxmlformats.org/officeDocument/2006/relationships/hyperlink" Target="https://review.openstack.org/" TargetMode="External"/><Relationship Id="rId13" Type="http://schemas.openxmlformats.org/officeDocument/2006/relationships/hyperlink" Target="https://github.com/stackforge/ec2-api" TargetMode="External"/><Relationship Id="rId12" Type="http://schemas.openxmlformats.org/officeDocument/2006/relationships/hyperlink" Target="https://blueprints.launchpad.net/nova/+spec/ec2-api" TargetMode="External"/><Relationship Id="rId1" Type="http://schemas.openxmlformats.org/officeDocument/2006/relationships/comments" Target="../comments3.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 TargetMode="External"/><Relationship Id="rId4" Type="http://schemas.openxmlformats.org/officeDocument/2006/relationships/hyperlink" Target="https://bugs.launchpad.net/nova/+bug/1370590" TargetMode="External"/><Relationship Id="rId9" Type="http://schemas.openxmlformats.org/officeDocument/2006/relationships/hyperlink" Target="https://bugs.launchpad.net/nova/+bugs?field.tag=ec2" TargetMode="External"/><Relationship Id="rId15" Type="http://schemas.openxmlformats.org/officeDocument/2006/relationships/hyperlink" Target="https://www.mail-archive.com/openstack-dev@lists.openstack.org/msg44141.html" TargetMode="External"/><Relationship Id="rId14" Type="http://schemas.openxmlformats.org/officeDocument/2006/relationships/hyperlink" Target="https://etherpad.openstack.org/p/kilo-nova-summit-unconference" TargetMode="External"/><Relationship Id="rId17" Type="http://schemas.openxmlformats.org/officeDocument/2006/relationships/drawing" Target="../drawings/drawing4.xml"/><Relationship Id="rId16" Type="http://schemas.openxmlformats.org/officeDocument/2006/relationships/hyperlink" Target="https://www.mail-archive.com/openstack-dev@lists.openstack.org/msg44548.html" TargetMode="External"/><Relationship Id="rId5" Type="http://schemas.openxmlformats.org/officeDocument/2006/relationships/hyperlink" Target="https://review.openstack.org/" TargetMode="External"/><Relationship Id="rId6" Type="http://schemas.openxmlformats.org/officeDocument/2006/relationships/hyperlink" Target="https://review.openstack.org/" TargetMode="External"/><Relationship Id="rId18" Type="http://schemas.openxmlformats.org/officeDocument/2006/relationships/vmlDrawing" Target="../drawings/vmlDrawing3.vml"/><Relationship Id="rId7" Type="http://schemas.openxmlformats.org/officeDocument/2006/relationships/hyperlink" Target="https://review.openstack.org/" TargetMode="External"/><Relationship Id="rId8" Type="http://schemas.openxmlformats.org/officeDocument/2006/relationships/hyperlink" Target="https://review.openstack.org/" TargetMode="External"/></Relationships>
</file>

<file path=xl/worksheets/_rels/sheet5.xml.rels><?xml version="1.0" encoding="UTF-8" standalone="yes"?><Relationships xmlns="http://schemas.openxmlformats.org/package/2006/relationships"><Relationship Id="rId40" Type="http://schemas.openxmlformats.org/officeDocument/2006/relationships/hyperlink" Target="https://specs.openstack.org/openstack/nova-specs/specs/kilo/implemented/hyper-v-smbfs-volume-support.html" TargetMode="External"/><Relationship Id="rId42" Type="http://schemas.openxmlformats.org/officeDocument/2006/relationships/hyperlink" Target="https://specs.openstack.org/openstack/nova-specs/specs/kilo/implemented/hyper-v-smbfs-volume-support.html" TargetMode="External"/><Relationship Id="rId41" Type="http://schemas.openxmlformats.org/officeDocument/2006/relationships/hyperlink" Target="https://specs.openstack.org/openstack/nova-specs/specs/kilo/implemented/hyper-v-smbfs-volume-support.html" TargetMode="External"/><Relationship Id="rId44" Type="http://schemas.openxmlformats.org/officeDocument/2006/relationships/hyperlink" Target="https://specs.openstack.org/openstack/nova-specs/specs/kilo/implemented/hyper-v-smbfs-volume-support.html" TargetMode="External"/><Relationship Id="rId43" Type="http://schemas.openxmlformats.org/officeDocument/2006/relationships/hyperlink" Target="https://specs.openstack.org/openstack/nova-specs/specs/kilo/implemented/hyper-v-smbfs-volume-support.html" TargetMode="External"/><Relationship Id="rId46" Type="http://schemas.openxmlformats.org/officeDocument/2006/relationships/hyperlink" Target="https://specs.openstack.org/openstack/nova-specs/specs/kilo/implemented/hyper-v-smbfs-volume-support.html" TargetMode="External"/><Relationship Id="rId45" Type="http://schemas.openxmlformats.org/officeDocument/2006/relationships/hyperlink" Target="https://specs.openstack.org/openstack/nova-specs/specs/kilo/implemented/hyper-v-smbfs-volume-support.html" TargetMode="External"/><Relationship Id="rId107" Type="http://schemas.openxmlformats.org/officeDocument/2006/relationships/hyperlink" Target="https://specs.openstack.org/openstack/nova-specs/specs/juno/approved/libvirt-start-lxc-from-block-devices.html" TargetMode="External"/><Relationship Id="rId106" Type="http://schemas.openxmlformats.org/officeDocument/2006/relationships/hyperlink" Target="https://specs.openstack.org/openstack/nova-specs/specs/juno/approved/libvirt-start-lxc-from-block-devices.html" TargetMode="External"/><Relationship Id="rId105" Type="http://schemas.openxmlformats.org/officeDocument/2006/relationships/hyperlink" Target="https://specs.openstack.org/openstack/nova-specs/specs/kilo/approved/use-configdrive-with-ironic.html" TargetMode="External"/><Relationship Id="rId104" Type="http://schemas.openxmlformats.org/officeDocument/2006/relationships/hyperlink" Target="https://specs.openstack.org/openstack/nova-specs/specs/kilo/approved/use-configdrive-with-ironic.html" TargetMode="External"/><Relationship Id="rId109" Type="http://schemas.openxmlformats.org/officeDocument/2006/relationships/hyperlink" Target="https://specs.openstack.org/openstack/nova-specs/specs/juno/approved/libvirt-start-lxc-from-block-devices.html" TargetMode="External"/><Relationship Id="rId108" Type="http://schemas.openxmlformats.org/officeDocument/2006/relationships/hyperlink" Target="https://specs.openstack.org/openstack/nova-specs/specs/juno/approved/libvirt-start-lxc-from-block-devices.html" TargetMode="External"/><Relationship Id="rId48" Type="http://schemas.openxmlformats.org/officeDocument/2006/relationships/hyperlink" Target="https://specs.openstack.org/openstack/nova-specs/specs/kilo/implemented/hyper-v-smbfs-volume-support.html" TargetMode="External"/><Relationship Id="rId47" Type="http://schemas.openxmlformats.org/officeDocument/2006/relationships/hyperlink" Target="https://specs.openstack.org/openstack/nova-specs/specs/kilo/implemented/hyper-v-smbfs-volume-support.html" TargetMode="External"/><Relationship Id="rId185" Type="http://schemas.openxmlformats.org/officeDocument/2006/relationships/vmlDrawing" Target="../drawings/vmlDrawing4.vml"/><Relationship Id="rId49" Type="http://schemas.openxmlformats.org/officeDocument/2006/relationships/hyperlink" Target="https://specs.openstack.org/openstack/nova-specs/specs/juno/implemented/libvirt-lxc-user-namespaces.html" TargetMode="External"/><Relationship Id="rId184" Type="http://schemas.openxmlformats.org/officeDocument/2006/relationships/drawing" Target="../drawings/drawing5.xml"/><Relationship Id="rId103" Type="http://schemas.openxmlformats.org/officeDocument/2006/relationships/hyperlink" Target="https://specs.openstack.org/openstack/nova-specs/specs/kilo/approved/use-configdrive-with-ironic.html" TargetMode="External"/><Relationship Id="rId102" Type="http://schemas.openxmlformats.org/officeDocument/2006/relationships/hyperlink" Target="https://specs.openstack.org/openstack/nova-specs/specs/kilo/approved/use-configdrive-with-ironic.html" TargetMode="External"/><Relationship Id="rId101" Type="http://schemas.openxmlformats.org/officeDocument/2006/relationships/hyperlink" Target="https://specs.openstack.org/openstack/nova-specs/specs/kilo/approved/use-configdrive-with-ironic.html" TargetMode="External"/><Relationship Id="rId100" Type="http://schemas.openxmlformats.org/officeDocument/2006/relationships/hyperlink" Target="https://specs.openstack.org/openstack/nova-specs/specs/kilo/approved/use-configdrive-with-ironic.html" TargetMode="External"/><Relationship Id="rId31" Type="http://schemas.openxmlformats.org/officeDocument/2006/relationships/hyperlink" Target="https://specs.openstack.org/openstack/nova-specs/specs/kilo/implemented/hyper-v-smbfs-volume-support.html" TargetMode="External"/><Relationship Id="rId30" Type="http://schemas.openxmlformats.org/officeDocument/2006/relationships/hyperlink" Target="https://specs.openstack.org/openstack/nova-specs/specs/kilo/implemented/hyper-v-smbfs-volume-support.html" TargetMode="External"/><Relationship Id="rId33" Type="http://schemas.openxmlformats.org/officeDocument/2006/relationships/hyperlink" Target="https://specs.openstack.org/openstack/nova-specs/specs/kilo/implemented/hyper-v-smbfs-volume-support.html" TargetMode="External"/><Relationship Id="rId183" Type="http://schemas.openxmlformats.org/officeDocument/2006/relationships/hyperlink" Target="https://specs.openstack.org/openstack/nova-specs/specs/juno/implemented/better-support-for-multiple-networks.html" TargetMode="External"/><Relationship Id="rId32" Type="http://schemas.openxmlformats.org/officeDocument/2006/relationships/hyperlink" Target="https://specs.openstack.org/openstack/nova-specs/specs/kilo/implemented/hyper-v-smbfs-volume-support.html" TargetMode="External"/><Relationship Id="rId182" Type="http://schemas.openxmlformats.org/officeDocument/2006/relationships/hyperlink" Target="https://specs.openstack.org/openstack/nova-specs/specs/juno/implemented/better-support-for-multiple-networks.html" TargetMode="External"/><Relationship Id="rId35" Type="http://schemas.openxmlformats.org/officeDocument/2006/relationships/hyperlink" Target="https://specs.openstack.org/openstack/nova-specs/specs/kilo/implemented/hyper-v-smbfs-volume-support.html" TargetMode="External"/><Relationship Id="rId181" Type="http://schemas.openxmlformats.org/officeDocument/2006/relationships/hyperlink" Target="https://specs.openstack.org/openstack/nova-specs/specs/juno/implemented/better-support-for-multiple-networks.html" TargetMode="External"/><Relationship Id="rId34" Type="http://schemas.openxmlformats.org/officeDocument/2006/relationships/hyperlink" Target="https://specs.openstack.org/openstack/nova-specs/specs/kilo/implemented/hyper-v-smbfs-volume-support.html" TargetMode="External"/><Relationship Id="rId180" Type="http://schemas.openxmlformats.org/officeDocument/2006/relationships/hyperlink" Target="https://specs.openstack.org/openstack/nova-specs/specs/juno/implemented/better-support-for-multiple-networks.html" TargetMode="External"/><Relationship Id="rId37" Type="http://schemas.openxmlformats.org/officeDocument/2006/relationships/hyperlink" Target="https://specs.openstack.org/openstack/nova-specs/specs/kilo/implemented/hyper-v-smbfs-volume-support.html" TargetMode="External"/><Relationship Id="rId176" Type="http://schemas.openxmlformats.org/officeDocument/2006/relationships/hyperlink" Target="https://specs.openstack.org/openstack/nova-specs/specs/juno/implemented/better-support-for-multiple-networks.html" TargetMode="External"/><Relationship Id="rId36" Type="http://schemas.openxmlformats.org/officeDocument/2006/relationships/hyperlink" Target="https://specs.openstack.org/openstack/nova-specs/specs/kilo/implemented/hyper-v-smbfs-volume-support.html" TargetMode="External"/><Relationship Id="rId175" Type="http://schemas.openxmlformats.org/officeDocument/2006/relationships/hyperlink" Target="https://specs.openstack.org/openstack/nova-specs/specs/juno/implemented/better-support-for-multiple-networks.html" TargetMode="External"/><Relationship Id="rId39" Type="http://schemas.openxmlformats.org/officeDocument/2006/relationships/hyperlink" Target="https://specs.openstack.org/openstack/nova-specs/specs/kilo/implemented/hyper-v-smbfs-volume-support.html" TargetMode="External"/><Relationship Id="rId174" Type="http://schemas.openxmlformats.org/officeDocument/2006/relationships/hyperlink" Target="https://specs.openstack.org/openstack/nova-specs/specs/juno/implemented/better-support-for-multiple-networks.html" TargetMode="External"/><Relationship Id="rId38" Type="http://schemas.openxmlformats.org/officeDocument/2006/relationships/hyperlink" Target="https://specs.openstack.org/openstack/nova-specs/specs/kilo/implemented/hyper-v-smbfs-volume-support.html" TargetMode="External"/><Relationship Id="rId173" Type="http://schemas.openxmlformats.org/officeDocument/2006/relationships/hyperlink" Target="https://specs.openstack.org/openstack/nova-specs/specs/juno/implemented/better-support-for-multiple-networks.html" TargetMode="External"/><Relationship Id="rId179" Type="http://schemas.openxmlformats.org/officeDocument/2006/relationships/hyperlink" Target="https://specs.openstack.org/openstack/nova-specs/specs/juno/implemented/better-support-for-multiple-networks.html" TargetMode="External"/><Relationship Id="rId178" Type="http://schemas.openxmlformats.org/officeDocument/2006/relationships/hyperlink" Target="https://specs.openstack.org/openstack/nova-specs/specs/juno/implemented/better-support-for-multiple-networks.html" TargetMode="External"/><Relationship Id="rId177" Type="http://schemas.openxmlformats.org/officeDocument/2006/relationships/hyperlink" Target="https://specs.openstack.org/openstack/nova-specs/specs/juno/implemented/better-support-for-multiple-networks.html" TargetMode="External"/><Relationship Id="rId20" Type="http://schemas.openxmlformats.org/officeDocument/2006/relationships/hyperlink" Target="https://docs.google.com/document/d/1QUThPfZh6EeOOz1Yhyvx-jFUYHQgvCw9yBAGDGc0y78/edit" TargetMode="External"/><Relationship Id="rId22" Type="http://schemas.openxmlformats.org/officeDocument/2006/relationships/hyperlink" Target="https://docs.google.com/document/d/1QUThPfZh6EeOOz1Yhyvx-jFUYHQgvCw9yBAGDGc0y78/edit" TargetMode="External"/><Relationship Id="rId21" Type="http://schemas.openxmlformats.org/officeDocument/2006/relationships/hyperlink" Target="https://docs.google.com/document/d/1QUThPfZh6EeOOz1Yhyvx-jFUYHQgvCw9yBAGDGc0y78/edit" TargetMode="External"/><Relationship Id="rId24" Type="http://schemas.openxmlformats.org/officeDocument/2006/relationships/hyperlink" Target="https://docs.google.com/document/d/1QUThPfZh6EeOOz1Yhyvx-jFUYHQgvCw9yBAGDGc0y78/edit" TargetMode="External"/><Relationship Id="rId23" Type="http://schemas.openxmlformats.org/officeDocument/2006/relationships/hyperlink" Target="https://docs.google.com/document/d/1QUThPfZh6EeOOz1Yhyvx-jFUYHQgvCw9yBAGDGc0y78/edit" TargetMode="External"/><Relationship Id="rId129" Type="http://schemas.openxmlformats.org/officeDocument/2006/relationships/hyperlink" Target="https://specs.openstack.org/openstack/nova-specs/specs/juno/implemented/remove-cast-to-schedule-run-instance.html" TargetMode="External"/><Relationship Id="rId128" Type="http://schemas.openxmlformats.org/officeDocument/2006/relationships/hyperlink" Target="https://specs.openstack.org/openstack/nova-specs/specs/juno/implemented/remove-cast-to-schedule-run-instance.html" TargetMode="External"/><Relationship Id="rId127" Type="http://schemas.openxmlformats.org/officeDocument/2006/relationships/hyperlink" Target="https://specs.openstack.org/openstack/nova-specs/specs/juno/implemented/remove-cast-to-schedule-run-instance.html" TargetMode="External"/><Relationship Id="rId126" Type="http://schemas.openxmlformats.org/officeDocument/2006/relationships/hyperlink" Target="https://review.openstack.org/" TargetMode="External"/><Relationship Id="rId26" Type="http://schemas.openxmlformats.org/officeDocument/2006/relationships/hyperlink" Target="https://wiki.openstack.org/wiki/ReleaseNotes/Kilo" TargetMode="External"/><Relationship Id="rId121" Type="http://schemas.openxmlformats.org/officeDocument/2006/relationships/hyperlink" Target="https://specs.openstack.org/openstack/nova-specs/specs/juno/approved/libvirt-start-lxc-from-block-devices.html" TargetMode="External"/><Relationship Id="rId25" Type="http://schemas.openxmlformats.org/officeDocument/2006/relationships/hyperlink" Target="https://docs.google.com/document/d/1QUThPfZh6EeOOz1Yhyvx-jFUYHQgvCw9yBAGDGc0y78/edit" TargetMode="External"/><Relationship Id="rId120" Type="http://schemas.openxmlformats.org/officeDocument/2006/relationships/hyperlink" Target="https://specs.openstack.org/openstack/nova-specs/specs/juno/approved/libvirt-start-lxc-from-block-devices.html" TargetMode="External"/><Relationship Id="rId28" Type="http://schemas.openxmlformats.org/officeDocument/2006/relationships/hyperlink" Target="https://wiki.openstack.org/wiki/ReleaseNotes/Kilo/en" TargetMode="External"/><Relationship Id="rId27" Type="http://schemas.openxmlformats.org/officeDocument/2006/relationships/hyperlink" Target="http://specs.openstack.org/openstack/nova-specs/specs/kilo/implemented/hyper-v-smbfs-volume-support.html" TargetMode="External"/><Relationship Id="rId125" Type="http://schemas.openxmlformats.org/officeDocument/2006/relationships/hyperlink" Target="https://specs.openstack.org/openstack/nova-specs/specs/juno/approved/libvirt-start-lxc-from-block-devices.html" TargetMode="External"/><Relationship Id="rId29" Type="http://schemas.openxmlformats.org/officeDocument/2006/relationships/hyperlink" Target="http://specs.openstack.org/openstack/nova-specs/specs/kilo/implemented/hyper-v-smbfs-volume-support.html" TargetMode="External"/><Relationship Id="rId124" Type="http://schemas.openxmlformats.org/officeDocument/2006/relationships/hyperlink" Target="https://specs.openstack.org/openstack/nova-specs/specs/juno/approved/libvirt-start-lxc-from-block-devices.html" TargetMode="External"/><Relationship Id="rId123" Type="http://schemas.openxmlformats.org/officeDocument/2006/relationships/hyperlink" Target="https://specs.openstack.org/openstack/nova-specs/specs/juno/approved/libvirt-start-lxc-from-block-devices.html" TargetMode="External"/><Relationship Id="rId122" Type="http://schemas.openxmlformats.org/officeDocument/2006/relationships/hyperlink" Target="https://specs.openstack.org/openstack/nova-specs/specs/juno/approved/libvirt-start-lxc-from-block-devices.html" TargetMode="External"/><Relationship Id="rId95" Type="http://schemas.openxmlformats.org/officeDocument/2006/relationships/hyperlink" Target="https://specs.openstack.org/openstack/nova-specs/specs/kilo/approved/use-configdrive-with-ironic.html" TargetMode="External"/><Relationship Id="rId94" Type="http://schemas.openxmlformats.org/officeDocument/2006/relationships/hyperlink" Target="https://specs.openstack.org/openstack/nova-specs/specs/kilo/approved/use-configdrive-with-ironic.html" TargetMode="External"/><Relationship Id="rId97" Type="http://schemas.openxmlformats.org/officeDocument/2006/relationships/hyperlink" Target="https://specs.openstack.org/openstack/nova-specs/specs/kilo/approved/use-configdrive-with-ironic.html" TargetMode="External"/><Relationship Id="rId96" Type="http://schemas.openxmlformats.org/officeDocument/2006/relationships/hyperlink" Target="https://specs.openstack.org/openstack/nova-specs/specs/kilo/approved/use-configdrive-with-ironic.html" TargetMode="External"/><Relationship Id="rId11" Type="http://schemas.openxmlformats.org/officeDocument/2006/relationships/hyperlink" Target="https://wiki.openstack.org/wiki/Nova/eliminate-clear-passwords-from-cells-table" TargetMode="External"/><Relationship Id="rId99" Type="http://schemas.openxmlformats.org/officeDocument/2006/relationships/hyperlink" Target="https://specs.openstack.org/openstack/nova-specs/specs/kilo/approved/use-configdrive-with-ironic.html" TargetMode="External"/><Relationship Id="rId10" Type="http://schemas.openxmlformats.org/officeDocument/2006/relationships/hyperlink" Target="https://wiki.openstack.org/wiki/Nova/eliminate-clear-passwords-from-cells-table" TargetMode="External"/><Relationship Id="rId98" Type="http://schemas.openxmlformats.org/officeDocument/2006/relationships/hyperlink" Target="https://specs.openstack.org/openstack/nova-specs/specs/kilo/approved/use-configdrive-with-ironic.html" TargetMode="External"/><Relationship Id="rId13" Type="http://schemas.openxmlformats.org/officeDocument/2006/relationships/hyperlink" Target="https://wiki.openstack.org/wiki/InstanceGroupApiExtension" TargetMode="External"/><Relationship Id="rId12" Type="http://schemas.openxmlformats.org/officeDocument/2006/relationships/hyperlink" Target="https://wiki.openstack.org/wiki/InstanceGroupApiExtension" TargetMode="External"/><Relationship Id="rId91" Type="http://schemas.openxmlformats.org/officeDocument/2006/relationships/hyperlink" Target="https://specs.openstack.org/openstack/nova-specs/specs/kilo/approved/use-configdrive-with-ironic.html" TargetMode="External"/><Relationship Id="rId90" Type="http://schemas.openxmlformats.org/officeDocument/2006/relationships/hyperlink" Target="https://specs.openstack.org/openstack/nova-specs/specs/kilo/approved/use-configdrive-with-ironic.html" TargetMode="External"/><Relationship Id="rId93" Type="http://schemas.openxmlformats.org/officeDocument/2006/relationships/hyperlink" Target="https://specs.openstack.org/openstack/nova-specs/specs/kilo/approved/use-configdrive-with-ironic.html" TargetMode="External"/><Relationship Id="rId92" Type="http://schemas.openxmlformats.org/officeDocument/2006/relationships/hyperlink" Target="https://specs.openstack.org/openstack/nova-specs/specs/kilo/approved/use-configdrive-with-ironic.html" TargetMode="External"/><Relationship Id="rId118" Type="http://schemas.openxmlformats.org/officeDocument/2006/relationships/hyperlink" Target="https://specs.openstack.org/openstack/nova-specs/specs/juno/approved/libvirt-start-lxc-from-block-devices.html" TargetMode="External"/><Relationship Id="rId117" Type="http://schemas.openxmlformats.org/officeDocument/2006/relationships/hyperlink" Target="https://specs.openstack.org/openstack/nova-specs/specs/juno/approved/libvirt-start-lxc-from-block-devices.html" TargetMode="External"/><Relationship Id="rId116" Type="http://schemas.openxmlformats.org/officeDocument/2006/relationships/hyperlink" Target="https://specs.openstack.org/openstack/nova-specs/specs/juno/approved/libvirt-start-lxc-from-block-devices.html" TargetMode="External"/><Relationship Id="rId115" Type="http://schemas.openxmlformats.org/officeDocument/2006/relationships/hyperlink" Target="https://specs.openstack.org/openstack/nova-specs/specs/juno/approved/libvirt-start-lxc-from-block-devices.html" TargetMode="External"/><Relationship Id="rId119" Type="http://schemas.openxmlformats.org/officeDocument/2006/relationships/hyperlink" Target="https://specs.openstack.org/openstack/nova-specs/specs/juno/approved/libvirt-start-lxc-from-block-devices.html" TargetMode="External"/><Relationship Id="rId15" Type="http://schemas.openxmlformats.org/officeDocument/2006/relationships/hyperlink" Target="https://wiki.openstack.org/wiki/InstanceGroupApiExtension" TargetMode="External"/><Relationship Id="rId110" Type="http://schemas.openxmlformats.org/officeDocument/2006/relationships/hyperlink" Target="https://specs.openstack.org/openstack/nova-specs/specs/juno/approved/libvirt-start-lxc-from-block-devices.html" TargetMode="External"/><Relationship Id="rId14" Type="http://schemas.openxmlformats.org/officeDocument/2006/relationships/hyperlink" Target="https://wiki.openstack.org/wiki/InstanceGroupApiExtension" TargetMode="External"/><Relationship Id="rId17" Type="http://schemas.openxmlformats.org/officeDocument/2006/relationships/hyperlink" Target="https://wiki.openstack.org/wiki/InstanceGroupApiExtension" TargetMode="External"/><Relationship Id="rId16" Type="http://schemas.openxmlformats.org/officeDocument/2006/relationships/hyperlink" Target="https://wiki.openstack.org/wiki/InstanceGroupApiExtension" TargetMode="External"/><Relationship Id="rId19" Type="http://schemas.openxmlformats.org/officeDocument/2006/relationships/hyperlink" Target="https://docs.google.com/document/d/1QUThPfZh6EeOOz1Yhyvx-jFUYHQgvCw9yBAGDGc0y78/edit" TargetMode="External"/><Relationship Id="rId114" Type="http://schemas.openxmlformats.org/officeDocument/2006/relationships/hyperlink" Target="https://specs.openstack.org/openstack/nova-specs/specs/juno/approved/libvirt-start-lxc-from-block-devices.html" TargetMode="External"/><Relationship Id="rId18" Type="http://schemas.openxmlformats.org/officeDocument/2006/relationships/hyperlink" Target="https://wiki.openstack.org/wiki/InstanceGroupApiExtension" TargetMode="External"/><Relationship Id="rId113" Type="http://schemas.openxmlformats.org/officeDocument/2006/relationships/hyperlink" Target="https://specs.openstack.org/openstack/nova-specs/specs/juno/approved/libvirt-start-lxc-from-block-devices.html" TargetMode="External"/><Relationship Id="rId112" Type="http://schemas.openxmlformats.org/officeDocument/2006/relationships/hyperlink" Target="https://specs.openstack.org/openstack/nova-specs/specs/juno/approved/libvirt-start-lxc-from-block-devices.html" TargetMode="External"/><Relationship Id="rId111" Type="http://schemas.openxmlformats.org/officeDocument/2006/relationships/hyperlink" Target="https://specs.openstack.org/openstack/nova-specs/specs/juno/approved/libvirt-start-lxc-from-block-devices.html" TargetMode="External"/><Relationship Id="rId84" Type="http://schemas.openxmlformats.org/officeDocument/2006/relationships/hyperlink" Target="https://specs.openstack.org/openstack/nova-specs/specs/kilo/implemented/ec2-api-required-additions.html" TargetMode="External"/><Relationship Id="rId83" Type="http://schemas.openxmlformats.org/officeDocument/2006/relationships/hyperlink" Target="https://specs.openstack.org/openstack/nova-specs/specs/kilo/implemented/ec2-api-required-additions.html" TargetMode="External"/><Relationship Id="rId86" Type="http://schemas.openxmlformats.org/officeDocument/2006/relationships/hyperlink" Target="https://specs.openstack.org/openstack/nova-specs/specs/kilo/implemented/ec2-api-required-additions.html" TargetMode="External"/><Relationship Id="rId85" Type="http://schemas.openxmlformats.org/officeDocument/2006/relationships/hyperlink" Target="https://specs.openstack.org/openstack/nova-specs/specs/kilo/implemented/ec2-api-required-additions.html" TargetMode="External"/><Relationship Id="rId88" Type="http://schemas.openxmlformats.org/officeDocument/2006/relationships/hyperlink" Target="https://specs.openstack.org/openstack/nova-specs/specs/kilo/approved/use-configdrive-with-ironic.html" TargetMode="External"/><Relationship Id="rId150" Type="http://schemas.openxmlformats.org/officeDocument/2006/relationships/hyperlink" Target="https://specs.openstack.org/openstack/nova-specs/specs/juno/approved/lvm-ephemeral-storage-encryption.html" TargetMode="External"/><Relationship Id="rId87" Type="http://schemas.openxmlformats.org/officeDocument/2006/relationships/hyperlink" Target="https://www.mail-archive.com/openstack-dev@lists.openstack.org/msg44548.html" TargetMode="External"/><Relationship Id="rId89" Type="http://schemas.openxmlformats.org/officeDocument/2006/relationships/hyperlink" Target="https://specs.openstack.org/openstack/nova-specs/specs/kilo/approved/use-configdrive-with-ironic.html" TargetMode="External"/><Relationship Id="rId80" Type="http://schemas.openxmlformats.org/officeDocument/2006/relationships/hyperlink" Target="https://specs.openstack.org/openstack/nova-specs/specs/kilo/implemented/ec2-api-required-additions.html" TargetMode="External"/><Relationship Id="rId82" Type="http://schemas.openxmlformats.org/officeDocument/2006/relationships/hyperlink" Target="https://specs.openstack.org/openstack/nova-specs/specs/kilo/implemented/ec2-api-required-additions.html" TargetMode="External"/><Relationship Id="rId81" Type="http://schemas.openxmlformats.org/officeDocument/2006/relationships/hyperlink" Target="https://specs.openstack.org/openstack/nova-specs/specs/kilo/implemented/ec2-api-required-additions.html" TargetMode="External"/><Relationship Id="rId1" Type="http://schemas.openxmlformats.org/officeDocument/2006/relationships/comments" Target="../comments4.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 TargetMode="External"/><Relationship Id="rId149" Type="http://schemas.openxmlformats.org/officeDocument/2006/relationships/hyperlink" Target="https://specs.openstack.org/openstack/nova-specs/specs/juno/approved/lvm-ephemeral-storage-encryption.html" TargetMode="External"/><Relationship Id="rId4" Type="http://schemas.openxmlformats.org/officeDocument/2006/relationships/hyperlink" Target="http://rbd.py/" TargetMode="External"/><Relationship Id="rId148" Type="http://schemas.openxmlformats.org/officeDocument/2006/relationships/hyperlink" Target="https://specs.openstack.org/openstack/nova-specs/specs/juno/approved/lvm-ephemeral-storage-encryption.html" TargetMode="External"/><Relationship Id="rId9" Type="http://schemas.openxmlformats.org/officeDocument/2006/relationships/hyperlink" Target="https://wiki.openstack.org/wiki/Nova/eliminate-clear-passwords-from-cells-table" TargetMode="External"/><Relationship Id="rId143" Type="http://schemas.openxmlformats.org/officeDocument/2006/relationships/hyperlink" Target="https://specs.openstack.org/openstack/nova-specs/specs/juno/implemented/remove-cast-to-schedule-run-instance.html" TargetMode="External"/><Relationship Id="rId142" Type="http://schemas.openxmlformats.org/officeDocument/2006/relationships/hyperlink" Target="https://specs.openstack.org/openstack/nova-specs/specs/juno/implemented/remove-cast-to-schedule-run-instance.html" TargetMode="External"/><Relationship Id="rId141" Type="http://schemas.openxmlformats.org/officeDocument/2006/relationships/hyperlink" Target="https://specs.openstack.org/openstack/nova-specs/specs/juno/implemented/remove-cast-to-schedule-run-instance.html" TargetMode="External"/><Relationship Id="rId140" Type="http://schemas.openxmlformats.org/officeDocument/2006/relationships/hyperlink" Target="https://specs.openstack.org/openstack/nova-specs/specs/juno/implemented/remove-cast-to-schedule-run-instance.html" TargetMode="External"/><Relationship Id="rId5" Type="http://schemas.openxmlformats.org/officeDocument/2006/relationships/hyperlink" Target="https://wiki.openstack.org/wiki/Nova/eliminate-clear-passwords-from-cells-table" TargetMode="External"/><Relationship Id="rId147" Type="http://schemas.openxmlformats.org/officeDocument/2006/relationships/hyperlink" Target="https://specs.openstack.org/openstack/nova-specs/specs/juno/approved/lvm-ephemeral-storage-encryption.html" TargetMode="External"/><Relationship Id="rId6" Type="http://schemas.openxmlformats.org/officeDocument/2006/relationships/hyperlink" Target="https://wiki.openstack.org/wiki/Nova/eliminate-clear-passwords-from-cells-table" TargetMode="External"/><Relationship Id="rId146" Type="http://schemas.openxmlformats.org/officeDocument/2006/relationships/hyperlink" Target="https://specs.openstack.org/openstack/nova-specs/specs/juno/approved/lvm-ephemeral-storage-encryption.html" TargetMode="External"/><Relationship Id="rId7" Type="http://schemas.openxmlformats.org/officeDocument/2006/relationships/hyperlink" Target="https://wiki.openstack.org/wiki/Nova/eliminate-clear-passwords-from-cells-table" TargetMode="External"/><Relationship Id="rId145" Type="http://schemas.openxmlformats.org/officeDocument/2006/relationships/hyperlink" Target="https://specs.openstack.org/openstack/nova-specs/specs/juno/approved/lvm-ephemeral-storage-encryption.html" TargetMode="External"/><Relationship Id="rId8" Type="http://schemas.openxmlformats.org/officeDocument/2006/relationships/hyperlink" Target="https://wiki.openstack.org/wiki/Nova/eliminate-clear-passwords-from-cells-table" TargetMode="External"/><Relationship Id="rId144" Type="http://schemas.openxmlformats.org/officeDocument/2006/relationships/hyperlink" Target="https://specs.openstack.org/openstack/nova-specs/specs/juno/implemented/remove-cast-to-schedule-run-instance.html" TargetMode="External"/><Relationship Id="rId73" Type="http://schemas.openxmlformats.org/officeDocument/2006/relationships/hyperlink" Target="https://specs.openstack.org/openstack/nova-specs/specs/kilo/implemented/ec2-api-required-additions.html" TargetMode="External"/><Relationship Id="rId72" Type="http://schemas.openxmlformats.org/officeDocument/2006/relationships/hyperlink" Target="https://specs.openstack.org/openstack/nova-specs/specs/kilo/implemented/ec2-api-required-additions.html" TargetMode="External"/><Relationship Id="rId75" Type="http://schemas.openxmlformats.org/officeDocument/2006/relationships/hyperlink" Target="https://specs.openstack.org/openstack/nova-specs/specs/kilo/implemented/ec2-api-required-additions.html" TargetMode="External"/><Relationship Id="rId74" Type="http://schemas.openxmlformats.org/officeDocument/2006/relationships/hyperlink" Target="https://specs.openstack.org/openstack/nova-specs/specs/kilo/implemented/ec2-api-required-additions.html" TargetMode="External"/><Relationship Id="rId77" Type="http://schemas.openxmlformats.org/officeDocument/2006/relationships/hyperlink" Target="https://specs.openstack.org/openstack/nova-specs/specs/kilo/implemented/ec2-api-required-additions.html" TargetMode="External"/><Relationship Id="rId76" Type="http://schemas.openxmlformats.org/officeDocument/2006/relationships/hyperlink" Target="https://specs.openstack.org/openstack/nova-specs/specs/kilo/implemented/ec2-api-required-additions.html" TargetMode="External"/><Relationship Id="rId79" Type="http://schemas.openxmlformats.org/officeDocument/2006/relationships/hyperlink" Target="https://specs.openstack.org/openstack/nova-specs/specs/kilo/implemented/ec2-api-required-additions.html" TargetMode="External"/><Relationship Id="rId78" Type="http://schemas.openxmlformats.org/officeDocument/2006/relationships/hyperlink" Target="https://specs.openstack.org/openstack/nova-specs/specs/kilo/implemented/ec2-api-required-additions.html" TargetMode="External"/><Relationship Id="rId71" Type="http://schemas.openxmlformats.org/officeDocument/2006/relationships/hyperlink" Target="https://specs.openstack.org/openstack/nova-specs/specs/kilo/implemented/ec2-api-required-additions.html" TargetMode="External"/><Relationship Id="rId70" Type="http://schemas.openxmlformats.org/officeDocument/2006/relationships/hyperlink" Target="https://specs.openstack.org/openstack/nova-specs/specs/kilo/implemented/ec2-api-required-additions.html" TargetMode="External"/><Relationship Id="rId139" Type="http://schemas.openxmlformats.org/officeDocument/2006/relationships/hyperlink" Target="https://specs.openstack.org/openstack/nova-specs/specs/juno/implemented/remove-cast-to-schedule-run-instance.html" TargetMode="External"/><Relationship Id="rId138" Type="http://schemas.openxmlformats.org/officeDocument/2006/relationships/hyperlink" Target="https://specs.openstack.org/openstack/nova-specs/specs/juno/implemented/remove-cast-to-schedule-run-instance.html" TargetMode="External"/><Relationship Id="rId137" Type="http://schemas.openxmlformats.org/officeDocument/2006/relationships/hyperlink" Target="https://specs.openstack.org/openstack/nova-specs/specs/juno/implemented/remove-cast-to-schedule-run-instance.html" TargetMode="External"/><Relationship Id="rId132" Type="http://schemas.openxmlformats.org/officeDocument/2006/relationships/hyperlink" Target="https://specs.openstack.org/openstack/nova-specs/specs/juno/implemented/remove-cast-to-schedule-run-instance.html" TargetMode="External"/><Relationship Id="rId131" Type="http://schemas.openxmlformats.org/officeDocument/2006/relationships/hyperlink" Target="https://specs.openstack.org/openstack/nova-specs/specs/juno/implemented/remove-cast-to-schedule-run-instance.html" TargetMode="External"/><Relationship Id="rId130" Type="http://schemas.openxmlformats.org/officeDocument/2006/relationships/hyperlink" Target="https://specs.openstack.org/openstack/nova-specs/specs/juno/implemented/remove-cast-to-schedule-run-instance.html" TargetMode="External"/><Relationship Id="rId136" Type="http://schemas.openxmlformats.org/officeDocument/2006/relationships/hyperlink" Target="https://specs.openstack.org/openstack/nova-specs/specs/juno/implemented/remove-cast-to-schedule-run-instance.html" TargetMode="External"/><Relationship Id="rId135" Type="http://schemas.openxmlformats.org/officeDocument/2006/relationships/hyperlink" Target="https://specs.openstack.org/openstack/nova-specs/specs/juno/implemented/remove-cast-to-schedule-run-instance.html" TargetMode="External"/><Relationship Id="rId134" Type="http://schemas.openxmlformats.org/officeDocument/2006/relationships/hyperlink" Target="https://specs.openstack.org/openstack/nova-specs/specs/juno/implemented/remove-cast-to-schedule-run-instance.html" TargetMode="External"/><Relationship Id="rId133" Type="http://schemas.openxmlformats.org/officeDocument/2006/relationships/hyperlink" Target="https://specs.openstack.org/openstack/nova-specs/specs/juno/implemented/remove-cast-to-schedule-run-instance.html" TargetMode="External"/><Relationship Id="rId62" Type="http://schemas.openxmlformats.org/officeDocument/2006/relationships/hyperlink" Target="https://specs.openstack.org/openstack/nova-specs/specs/juno/implemented/libvirt-lxc-user-namespaces.html" TargetMode="External"/><Relationship Id="rId61" Type="http://schemas.openxmlformats.org/officeDocument/2006/relationships/hyperlink" Target="https://specs.openstack.org/openstack/nova-specs/specs/juno/implemented/libvirt-lxc-user-namespaces.html" TargetMode="External"/><Relationship Id="rId64" Type="http://schemas.openxmlformats.org/officeDocument/2006/relationships/hyperlink" Target="https://specs.openstack.org/openstack/nova-specs/specs/juno/implemented/libvirt-lxc-user-namespaces.html" TargetMode="External"/><Relationship Id="rId63" Type="http://schemas.openxmlformats.org/officeDocument/2006/relationships/hyperlink" Target="https://specs.openstack.org/openstack/nova-specs/specs/juno/implemented/libvirt-lxc-user-namespaces.html" TargetMode="External"/><Relationship Id="rId66" Type="http://schemas.openxmlformats.org/officeDocument/2006/relationships/hyperlink" Target="https://specs.openstack.org/openstack/nova-specs/specs/juno/implemented/libvirt-lxc-user-namespaces.html" TargetMode="External"/><Relationship Id="rId172" Type="http://schemas.openxmlformats.org/officeDocument/2006/relationships/hyperlink" Target="https://specs.openstack.org/openstack/nova-specs/specs/juno/implemented/better-support-for-multiple-networks.html" TargetMode="External"/><Relationship Id="rId65" Type="http://schemas.openxmlformats.org/officeDocument/2006/relationships/hyperlink" Target="https://specs.openstack.org/openstack/nova-specs/specs/juno/implemented/libvirt-lxc-user-namespaces.html" TargetMode="External"/><Relationship Id="rId171" Type="http://schemas.openxmlformats.org/officeDocument/2006/relationships/hyperlink" Target="https://specs.openstack.org/openstack/nova-specs/specs/juno/implemented/better-support-for-multiple-networks.html" TargetMode="External"/><Relationship Id="rId68" Type="http://schemas.openxmlformats.org/officeDocument/2006/relationships/hyperlink" Target="https://specs.openstack.org/openstack/nova-specs/specs/kilo/implemented/ec2-api-required-additions.html" TargetMode="External"/><Relationship Id="rId170" Type="http://schemas.openxmlformats.org/officeDocument/2006/relationships/hyperlink" Target="https://specs.openstack.org/openstack/nova-specs/specs/juno/implemented/better-support-for-multiple-networks.html" TargetMode="External"/><Relationship Id="rId67" Type="http://schemas.openxmlformats.org/officeDocument/2006/relationships/hyperlink" Target="https://specs.openstack.org/openstack/nova-specs/specs/kilo/implemented/ec2-api-required-additions.html" TargetMode="External"/><Relationship Id="rId60" Type="http://schemas.openxmlformats.org/officeDocument/2006/relationships/hyperlink" Target="https://specs.openstack.org/openstack/nova-specs/specs/juno/implemented/libvirt-lxc-user-namespaces.html" TargetMode="External"/><Relationship Id="rId165" Type="http://schemas.openxmlformats.org/officeDocument/2006/relationships/hyperlink" Target="https://wiki.openstack.org/wiki/Nova/Juno-Specs" TargetMode="External"/><Relationship Id="rId69" Type="http://schemas.openxmlformats.org/officeDocument/2006/relationships/hyperlink" Target="https://specs.openstack.org/openstack/nova-specs/specs/kilo/implemented/ec2-api-required-additions.html" TargetMode="External"/><Relationship Id="rId164" Type="http://schemas.openxmlformats.org/officeDocument/2006/relationships/hyperlink" Target="https://github.com/openstack/nova/commit/60c90f73261efb8c73ecc02152307c81265cab13" TargetMode="External"/><Relationship Id="rId163" Type="http://schemas.openxmlformats.org/officeDocument/2006/relationships/hyperlink" Target="http://db_driver.py/" TargetMode="External"/><Relationship Id="rId162" Type="http://schemas.openxmlformats.org/officeDocument/2006/relationships/hyperlink" Target="https://specs.openstack.org/openstack/nova-specs/specs/juno/approved/lvm-ephemeral-storage-encryption.html" TargetMode="External"/><Relationship Id="rId169" Type="http://schemas.openxmlformats.org/officeDocument/2006/relationships/hyperlink" Target="https://specs.openstack.org/openstack/nova-specs/specs/juno/implemented/better-support-for-multiple-networks.html" TargetMode="External"/><Relationship Id="rId168" Type="http://schemas.openxmlformats.org/officeDocument/2006/relationships/hyperlink" Target="https://specs.openstack.org/openstack/nova-specs/specs/juno/implemented/better-support-for-multiple-networks.html" TargetMode="External"/><Relationship Id="rId167" Type="http://schemas.openxmlformats.org/officeDocument/2006/relationships/hyperlink" Target="https://specs.openstack.org/openstack/nova-specs/specs/juno/implemented/better-support-for-multiple-networks.html" TargetMode="External"/><Relationship Id="rId166" Type="http://schemas.openxmlformats.org/officeDocument/2006/relationships/hyperlink" Target="https://specs.openstack.org/openstack/nova-specs/specs/juno/implemented/better-support-for-multiple-networks.html" TargetMode="External"/><Relationship Id="rId51" Type="http://schemas.openxmlformats.org/officeDocument/2006/relationships/hyperlink" Target="https://specs.openstack.org/openstack/nova-specs/specs/juno/implemented/libvirt-lxc-user-namespaces.html" TargetMode="External"/><Relationship Id="rId50" Type="http://schemas.openxmlformats.org/officeDocument/2006/relationships/hyperlink" Target="https://specs.openstack.org/openstack/nova-specs/specs/juno/implemented/libvirt-lxc-user-namespaces.html" TargetMode="External"/><Relationship Id="rId53" Type="http://schemas.openxmlformats.org/officeDocument/2006/relationships/hyperlink" Target="https://specs.openstack.org/openstack/nova-specs/specs/juno/implemented/libvirt-lxc-user-namespaces.html" TargetMode="External"/><Relationship Id="rId52" Type="http://schemas.openxmlformats.org/officeDocument/2006/relationships/hyperlink" Target="https://specs.openstack.org/openstack/nova-specs/specs/juno/implemented/libvirt-lxc-user-namespaces.html" TargetMode="External"/><Relationship Id="rId55" Type="http://schemas.openxmlformats.org/officeDocument/2006/relationships/hyperlink" Target="https://specs.openstack.org/openstack/nova-specs/specs/juno/implemented/libvirt-lxc-user-namespaces.html" TargetMode="External"/><Relationship Id="rId161" Type="http://schemas.openxmlformats.org/officeDocument/2006/relationships/hyperlink" Target="https://specs.openstack.org/openstack/nova-specs/specs/juno/approved/lvm-ephemeral-storage-encryption.html" TargetMode="External"/><Relationship Id="rId54" Type="http://schemas.openxmlformats.org/officeDocument/2006/relationships/hyperlink" Target="https://specs.openstack.org/openstack/nova-specs/specs/juno/implemented/libvirt-lxc-user-namespaces.html" TargetMode="External"/><Relationship Id="rId160" Type="http://schemas.openxmlformats.org/officeDocument/2006/relationships/hyperlink" Target="https://specs.openstack.org/openstack/nova-specs/specs/juno/approved/lvm-ephemeral-storage-encryption.html" TargetMode="External"/><Relationship Id="rId57" Type="http://schemas.openxmlformats.org/officeDocument/2006/relationships/hyperlink" Target="https://specs.openstack.org/openstack/nova-specs/specs/juno/implemented/libvirt-lxc-user-namespaces.html" TargetMode="External"/><Relationship Id="rId56" Type="http://schemas.openxmlformats.org/officeDocument/2006/relationships/hyperlink" Target="https://specs.openstack.org/openstack/nova-specs/specs/juno/implemented/libvirt-lxc-user-namespaces.html" TargetMode="External"/><Relationship Id="rId159" Type="http://schemas.openxmlformats.org/officeDocument/2006/relationships/hyperlink" Target="https://specs.openstack.org/openstack/nova-specs/specs/juno/approved/lvm-ephemeral-storage-encryption.html" TargetMode="External"/><Relationship Id="rId59" Type="http://schemas.openxmlformats.org/officeDocument/2006/relationships/hyperlink" Target="https://specs.openstack.org/openstack/nova-specs/specs/juno/implemented/libvirt-lxc-user-namespaces.html" TargetMode="External"/><Relationship Id="rId154" Type="http://schemas.openxmlformats.org/officeDocument/2006/relationships/hyperlink" Target="https://specs.openstack.org/openstack/nova-specs/specs/juno/approved/lvm-ephemeral-storage-encryption.html" TargetMode="External"/><Relationship Id="rId58" Type="http://schemas.openxmlformats.org/officeDocument/2006/relationships/hyperlink" Target="https://specs.openstack.org/openstack/nova-specs/specs/juno/implemented/libvirt-lxc-user-namespaces.html" TargetMode="External"/><Relationship Id="rId153" Type="http://schemas.openxmlformats.org/officeDocument/2006/relationships/hyperlink" Target="https://specs.openstack.org/openstack/nova-specs/specs/juno/approved/lvm-ephemeral-storage-encryption.html" TargetMode="External"/><Relationship Id="rId152" Type="http://schemas.openxmlformats.org/officeDocument/2006/relationships/hyperlink" Target="https://specs.openstack.org/openstack/nova-specs/specs/juno/approved/lvm-ephemeral-storage-encryption.html" TargetMode="External"/><Relationship Id="rId151" Type="http://schemas.openxmlformats.org/officeDocument/2006/relationships/hyperlink" Target="https://specs.openstack.org/openstack/nova-specs/specs/juno/approved/lvm-ephemeral-storage-encryption.html" TargetMode="External"/><Relationship Id="rId158" Type="http://schemas.openxmlformats.org/officeDocument/2006/relationships/hyperlink" Target="https://specs.openstack.org/openstack/nova-specs/specs/juno/approved/lvm-ephemeral-storage-encryption.html" TargetMode="External"/><Relationship Id="rId157" Type="http://schemas.openxmlformats.org/officeDocument/2006/relationships/hyperlink" Target="https://specs.openstack.org/openstack/nova-specs/specs/juno/approved/lvm-ephemeral-storage-encryption.html" TargetMode="External"/><Relationship Id="rId156" Type="http://schemas.openxmlformats.org/officeDocument/2006/relationships/hyperlink" Target="https://specs.openstack.org/openstack/nova-specs/specs/juno/approved/lvm-ephemeral-storage-encryption.html" TargetMode="External"/><Relationship Id="rId155" Type="http://schemas.openxmlformats.org/officeDocument/2006/relationships/hyperlink" Target="https://specs.openstack.org/openstack/nova-specs/specs/juno/approved/lvm-ephemeral-storage-encryption.html" TargetMode="External"/></Relationships>
</file>

<file path=xl/worksheets/_rels/sheet6.xml.rels><?xml version="1.0" encoding="UTF-8" standalone="yes"?><Relationships xmlns="http://schemas.openxmlformats.org/package/2006/relationships"><Relationship Id="rId31" Type="http://schemas.openxmlformats.org/officeDocument/2006/relationships/hyperlink" Target="https://review.opendev.org/c/openstack/nova/+/164940?tab=change-view-tab-header-zuul-results-summary" TargetMode="External"/><Relationship Id="rId30" Type="http://schemas.openxmlformats.org/officeDocument/2006/relationships/hyperlink" Target="https://review.opendev.org/c/openstack/nova/+/40467?tab=change-view-tab-header-zuul-results-summary" TargetMode="External"/><Relationship Id="rId33" Type="http://schemas.openxmlformats.org/officeDocument/2006/relationships/hyperlink" Target="https://review.opendev.org/c/openstack/nova/+/151664?tab=change-view-tab-header-zuul-results-summary" TargetMode="External"/><Relationship Id="rId32" Type="http://schemas.openxmlformats.org/officeDocument/2006/relationships/hyperlink" Target="https://review.opendev.org/c/openstack/nova/+/107009?tab=change-view-tab-header-zuul-results-summary" TargetMode="External"/><Relationship Id="rId35" Type="http://schemas.openxmlformats.org/officeDocument/2006/relationships/hyperlink" Target="https://review.opendev.org/c/openstack/nova/+/102324?tab=change-view-tab-header-zuul-results-summary" TargetMode="External"/><Relationship Id="rId34" Type="http://schemas.openxmlformats.org/officeDocument/2006/relationships/hyperlink" Target="https://review.opendev.org/c/openstack/nova/+/10903?tab=change-view-tab-header-zuul-results-summary" TargetMode="External"/><Relationship Id="rId37" Type="http://schemas.openxmlformats.org/officeDocument/2006/relationships/hyperlink" Target="https://review.opendev.org/c/openstack/nova/+/93754?tab=change-view-tab-header-zuul-results-summary" TargetMode="External"/><Relationship Id="rId36" Type="http://schemas.openxmlformats.org/officeDocument/2006/relationships/hyperlink" Target="https://review.opendev.org/c/openstack/nova/+/119396?tab=change-view-tab-header-zuul-results-summary" TargetMode="External"/><Relationship Id="rId39" Type="http://schemas.openxmlformats.org/officeDocument/2006/relationships/drawing" Target="../drawings/drawing6.xml"/><Relationship Id="rId38" Type="http://schemas.openxmlformats.org/officeDocument/2006/relationships/hyperlink" Target="https://review.opendev.org/c/openstack/nova/+/124714?tab=change-view-tab-header-zuul-results-summary" TargetMode="External"/><Relationship Id="rId20" Type="http://schemas.openxmlformats.org/officeDocument/2006/relationships/hyperlink" Target="https://review.opendev.org/c/openstack/nova/+/155853?tab=change-view-tab-header-zuul-results-summary" TargetMode="External"/><Relationship Id="rId22" Type="http://schemas.openxmlformats.org/officeDocument/2006/relationships/hyperlink" Target="https://review.opendev.org/c/openstack/nova/+/59560?tab=change-view-tab-header-zuul-results-summary" TargetMode="External"/><Relationship Id="rId21" Type="http://schemas.openxmlformats.org/officeDocument/2006/relationships/hyperlink" Target="https://review.opendev.org/c/openstack/nova/+/144792?tab=change-view-tab-header-zuul-results-summary" TargetMode="External"/><Relationship Id="rId24" Type="http://schemas.openxmlformats.org/officeDocument/2006/relationships/hyperlink" Target="https://review.opendev.org/c/openstack/nova/+/59034?tab=change-view-tab-header-zuul-results-summary" TargetMode="External"/><Relationship Id="rId23" Type="http://schemas.openxmlformats.org/officeDocument/2006/relationships/hyperlink" Target="https://review.opendev.org/c/openstack/nova/+/35303?tab=change-view-tab-header-zuul-results-summary" TargetMode="External"/><Relationship Id="rId26" Type="http://schemas.openxmlformats.org/officeDocument/2006/relationships/hyperlink" Target="https://review.opendev.org/c/openstack/nova/+/42389?tab=change-view-tab-header-zuul-results-summary" TargetMode="External"/><Relationship Id="rId25" Type="http://schemas.openxmlformats.org/officeDocument/2006/relationships/hyperlink" Target="https://review.opendev.org/c/openstack/nova/+/74537?tab=change-view-tab-header-zuul-results-summary" TargetMode="External"/><Relationship Id="rId28" Type="http://schemas.openxmlformats.org/officeDocument/2006/relationships/hyperlink" Target="https://review.opendev.org/c/openstack/nova/+/14805?tab=change-view-tab-header-zuul-results-summary" TargetMode="External"/><Relationship Id="rId27" Type="http://schemas.openxmlformats.org/officeDocument/2006/relationships/hyperlink" Target="https://review.opendev.org/c/openstack/nova/+/52231?tab=change-view-tab-header-zuul-results-summary" TargetMode="External"/><Relationship Id="rId29" Type="http://schemas.openxmlformats.org/officeDocument/2006/relationships/hyperlink" Target="https://review.opendev.org/c/openstack/nova/+/17946?tab=change-view-tab-header-zuul-results-summary" TargetMode="External"/><Relationship Id="rId11" Type="http://schemas.openxmlformats.org/officeDocument/2006/relationships/hyperlink" Target="https://review.opendev.org/c/openstack/nova/+/67297?tab=change-view-tab-header-zuul-results-summary" TargetMode="External"/><Relationship Id="rId10" Type="http://schemas.openxmlformats.org/officeDocument/2006/relationships/hyperlink" Target="https://review.opendev.org/c/openstack/nova/+/67338?tab=change-view-tab-header-zuul-results-summary" TargetMode="External"/><Relationship Id="rId13" Type="http://schemas.openxmlformats.org/officeDocument/2006/relationships/hyperlink" Target="https://review.opendev.org/c/openstack/nova/+/31593?tab=change-view-tab-header-zuul-results-summary" TargetMode="External"/><Relationship Id="rId12" Type="http://schemas.openxmlformats.org/officeDocument/2006/relationships/hyperlink" Target="https://review.opendev.org/c/openstack/nova/+/145007?tab=change-view-tab-header-zuul-results-summary" TargetMode="External"/><Relationship Id="rId15" Type="http://schemas.openxmlformats.org/officeDocument/2006/relationships/hyperlink" Target="https://review.opendev.org/c/openstack/nova/+/129235?tab=change-view-tab-header-zuul-results-summary" TargetMode="External"/><Relationship Id="rId14" Type="http://schemas.openxmlformats.org/officeDocument/2006/relationships/hyperlink" Target="https://review.opendev.org/c/openstack/nova/+/28880?tab=change-view-tab-header-zuul-results-summary" TargetMode="External"/><Relationship Id="rId17" Type="http://schemas.openxmlformats.org/officeDocument/2006/relationships/hyperlink" Target="https://review.opendev.org/c/openstack/nova/+/113545?tab=change-view-tab-header-zuul-results-summary" TargetMode="External"/><Relationship Id="rId16" Type="http://schemas.openxmlformats.org/officeDocument/2006/relationships/hyperlink" Target="https://review.opendev.org/c/openstack/nova/+/22897?tab=change-view-tab-header-zuul-results-summary" TargetMode="External"/><Relationship Id="rId19" Type="http://schemas.openxmlformats.org/officeDocument/2006/relationships/hyperlink" Target="https://review.opendev.org/c/openstack/nova/+/27189?tab=change-view-tab-header-zuul-results-summary" TargetMode="External"/><Relationship Id="rId18" Type="http://schemas.openxmlformats.org/officeDocument/2006/relationships/hyperlink" Target="https://review.opendev.org/c/openstack/nova/+/26113?tab=change-view-tab-header-zuul-results-summary" TargetMode="External"/><Relationship Id="rId1" Type="http://schemas.openxmlformats.org/officeDocument/2006/relationships/hyperlink" Target="https://docs.google.com/spreadsheets/d/e/2PACX-1vQ1pzWm0ix_RoylXKQ8_YIy47wHbuXn66LFmkx2qZ4E_UW6CYcGB4wx6tJNpKGSIlCSJ_Re00a7eig8/pubhtml?gid=1835839646&amp;single=true" TargetMode="External"/><Relationship Id="rId2" Type="http://schemas.openxmlformats.org/officeDocument/2006/relationships/hyperlink" Target="https://docs.google.com/spreadsheets/d/1Y9FDM6PWfeg9VaMejzWN3Md3FLlGVyeSUr8AibeJN5I/edit" TargetMode="External"/><Relationship Id="rId3" Type="http://schemas.openxmlformats.org/officeDocument/2006/relationships/hyperlink" Target="https://review.opendev.org/c/openstack/nova/+/1324?tab=change-view-tab-header-zuul-results-summary" TargetMode="External"/><Relationship Id="rId4" Type="http://schemas.openxmlformats.org/officeDocument/2006/relationships/hyperlink" Target="https://review.opendev.org/c/openstack/nova/+/53069?tab=change-view-tab-header-zuul-results-summary" TargetMode="External"/><Relationship Id="rId9" Type="http://schemas.openxmlformats.org/officeDocument/2006/relationships/hyperlink" Target="https://review.opendev.org/c/openstack/nova/+/34464?tab=change-view-tab-header-zuul-results-summary" TargetMode="External"/><Relationship Id="rId5" Type="http://schemas.openxmlformats.org/officeDocument/2006/relationships/hyperlink" Target="https://review.opendev.org/c/openstack/nova/+/94294?tab=change-view-tab-header-zuul-results-summary" TargetMode="External"/><Relationship Id="rId6" Type="http://schemas.openxmlformats.org/officeDocument/2006/relationships/hyperlink" Target="https://review.opendev.org/c/openstack/nova/+/94293?tab=change-view-tab-header-zuul-results-summary" TargetMode="External"/><Relationship Id="rId7" Type="http://schemas.openxmlformats.org/officeDocument/2006/relationships/hyperlink" Target="https://review.opendev.org/c/openstack/nova/+/18864?tab=change-view-tab-header-zuul-results-summary" TargetMode="External"/><Relationship Id="rId8" Type="http://schemas.openxmlformats.org/officeDocument/2006/relationships/hyperlink" Target="https://review.opendev.org/c/openstack/nova/+/70747?tab=change-view-tab-header-zuul-results-summary" TargetMode="External"/></Relationships>
</file>

<file path=xl/worksheets/_rels/sheet7.xml.rels><?xml version="1.0" encoding="UTF-8" standalone="yes"?><Relationships xmlns="http://schemas.openxmlformats.org/package/2006/relationships"><Relationship Id="rId31" Type="http://schemas.openxmlformats.org/officeDocument/2006/relationships/hyperlink" Target="https://github.com/elastic/elasticsearch/pull/12694" TargetMode="External"/><Relationship Id="rId30" Type="http://schemas.openxmlformats.org/officeDocument/2006/relationships/hyperlink" Target="https://github.com/elastic/elasticsearch/pull/12694" TargetMode="External"/><Relationship Id="rId33" Type="http://schemas.openxmlformats.org/officeDocument/2006/relationships/hyperlink" Target="https://github.com/elastic/elasticsearch/pull/12694" TargetMode="External"/><Relationship Id="rId32" Type="http://schemas.openxmlformats.org/officeDocument/2006/relationships/hyperlink" Target="https://github.com/elastic/elasticsearch/pull/12694" TargetMode="External"/><Relationship Id="rId35" Type="http://schemas.openxmlformats.org/officeDocument/2006/relationships/drawing" Target="../drawings/drawing7.xml"/><Relationship Id="rId34" Type="http://schemas.openxmlformats.org/officeDocument/2006/relationships/hyperlink" Target="https://github.com/elastic/elasticsearch/pull/12694" TargetMode="External"/><Relationship Id="rId36" Type="http://schemas.openxmlformats.org/officeDocument/2006/relationships/vmlDrawing" Target="../drawings/vmlDrawing5.vml"/><Relationship Id="rId20" Type="http://schemas.openxmlformats.org/officeDocument/2006/relationships/hyperlink" Target="https://blueprints.launchpad.net/nova/+spec/refresh-abort-live-migration" TargetMode="External"/><Relationship Id="rId22" Type="http://schemas.openxmlformats.org/officeDocument/2006/relationships/hyperlink" Target="http://lists.openstack.org/pipermail/openstack-dev/2012-October/001931.html" TargetMode="External"/><Relationship Id="rId21" Type="http://schemas.openxmlformats.org/officeDocument/2006/relationships/hyperlink" Target="https://review.openstack.org/" TargetMode="External"/><Relationship Id="rId24" Type="http://schemas.openxmlformats.org/officeDocument/2006/relationships/hyperlink" Target="http://wiki.openstack.org/GitCommitMessages?highlight=%28DocImpact%29" TargetMode="External"/><Relationship Id="rId23" Type="http://schemas.openxmlformats.org/officeDocument/2006/relationships/hyperlink" Target="http://wiki.openstack.org/GitCommitMessages?highlight=%28DocImpact%29" TargetMode="External"/><Relationship Id="rId26" Type="http://schemas.openxmlformats.org/officeDocument/2006/relationships/hyperlink" Target="http://effbot.org/zone/default-values.htm" TargetMode="External"/><Relationship Id="rId25" Type="http://schemas.openxmlformats.org/officeDocument/2006/relationships/hyperlink" Target="http://effbot.org/zone/default-values.htm" TargetMode="External"/><Relationship Id="rId28" Type="http://schemas.openxmlformats.org/officeDocument/2006/relationships/hyperlink" Target="http://docs.openstack.org/developer/hacking/" TargetMode="External"/><Relationship Id="rId27" Type="http://schemas.openxmlformats.org/officeDocument/2006/relationships/hyperlink" Target="http://docs.openstack.org/developer/hacking/" TargetMode="External"/><Relationship Id="rId29" Type="http://schemas.openxmlformats.org/officeDocument/2006/relationships/hyperlink" Target="https://github.com/elastic/elasticsearch/pull/12694" TargetMode="External"/><Relationship Id="rId11" Type="http://schemas.openxmlformats.org/officeDocument/2006/relationships/hyperlink" Target="http://manager.py/" TargetMode="External"/><Relationship Id="rId10" Type="http://schemas.openxmlformats.org/officeDocument/2006/relationships/hyperlink" Target="https://review.openstack.org/156271" TargetMode="External"/><Relationship Id="rId13" Type="http://schemas.openxmlformats.org/officeDocument/2006/relationships/hyperlink" Target="http://lists.openstack.org/pipermail/openstack-dev/2013-September/014656.html" TargetMode="External"/><Relationship Id="rId12" Type="http://schemas.openxmlformats.org/officeDocument/2006/relationships/hyperlink" Target="https://pypi.python.org/pypi/keyring" TargetMode="External"/><Relationship Id="rId15" Type="http://schemas.openxmlformats.org/officeDocument/2006/relationships/hyperlink" Target="https://wiki.openstack.org/wiki/Blueprints" TargetMode="External"/><Relationship Id="rId14" Type="http://schemas.openxmlformats.org/officeDocument/2006/relationships/hyperlink" Target="https://review.openstack.org/" TargetMode="External"/><Relationship Id="rId17" Type="http://schemas.openxmlformats.org/officeDocument/2006/relationships/hyperlink" Target="https://blueprints.launchpad.net/nova/+spec/encryption-with-barbican." TargetMode="External"/><Relationship Id="rId16" Type="http://schemas.openxmlformats.org/officeDocument/2006/relationships/hyperlink" Target="https://wiki.openstack.org/wiki/Blueprints" TargetMode="External"/><Relationship Id="rId19" Type="http://schemas.openxmlformats.org/officeDocument/2006/relationships/hyperlink" Target="https://bugs.launchpad.net/nova/+bug/1351892." TargetMode="External"/><Relationship Id="rId18" Type="http://schemas.openxmlformats.org/officeDocument/2006/relationships/hyperlink" Target="https://review.openstack.org/" TargetMode="External"/><Relationship Id="rId1" Type="http://schemas.openxmlformats.org/officeDocument/2006/relationships/comments" Target="../comments5.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 TargetMode="External"/><Relationship Id="rId4" Type="http://schemas.openxmlformats.org/officeDocument/2006/relationships/hyperlink" Target="https://bugs.launchpad.net/nova/+bug/1346092" TargetMode="External"/><Relationship Id="rId9" Type="http://schemas.openxmlformats.org/officeDocument/2006/relationships/hyperlink" Target="http://docs.openstack.org/developer/nova/devref/api_microversions.html" TargetMode="External"/><Relationship Id="rId5" Type="http://schemas.openxmlformats.org/officeDocument/2006/relationships/hyperlink" Target="https://bugs.launchpad.net/nova/+bug/1346092" TargetMode="External"/><Relationship Id="rId6" Type="http://schemas.openxmlformats.org/officeDocument/2006/relationships/hyperlink" Target="http://test_migrations.py/" TargetMode="External"/><Relationship Id="rId7" Type="http://schemas.openxmlformats.org/officeDocument/2006/relationships/hyperlink" Target="http://instance_groups.id/" TargetMode="External"/><Relationship Id="rId8" Type="http://schemas.openxmlformats.org/officeDocument/2006/relationships/hyperlink" Target="https://review.openstack.org/" TargetMode="External"/></Relationships>
</file>

<file path=xl/worksheets/_rels/sheet8.xml.rels><?xml version="1.0" encoding="UTF-8" standalone="yes"?><Relationships xmlns="http://schemas.openxmlformats.org/package/2006/relationships"><Relationship Id="rId40" Type="http://schemas.openxmlformats.org/officeDocument/2006/relationships/hyperlink" Target="http://test_host_filters.py/" TargetMode="External"/><Relationship Id="rId42" Type="http://schemas.openxmlformats.org/officeDocument/2006/relationships/vmlDrawing" Target="../drawings/vmlDrawing6.vml"/><Relationship Id="rId41" Type="http://schemas.openxmlformats.org/officeDocument/2006/relationships/drawing" Target="../drawings/drawing8.xml"/><Relationship Id="rId31" Type="http://schemas.openxmlformats.org/officeDocument/2006/relationships/hyperlink" Target="http://test_compute.py" TargetMode="External"/><Relationship Id="rId30" Type="http://schemas.openxmlformats.org/officeDocument/2006/relationships/hyperlink" Target="http://test_libvirt_volume.py" TargetMode="External"/><Relationship Id="rId33" Type="http://schemas.openxmlformats.org/officeDocument/2006/relationships/hyperlink" Target="http://test_host.py/" TargetMode="External"/><Relationship Id="rId32" Type="http://schemas.openxmlformats.org/officeDocument/2006/relationships/hyperlink" Target="http://driver.py/" TargetMode="External"/><Relationship Id="rId35" Type="http://schemas.openxmlformats.org/officeDocument/2006/relationships/hyperlink" Target="http://test_db_servicegroup.py/" TargetMode="External"/><Relationship Id="rId34" Type="http://schemas.openxmlformats.org/officeDocument/2006/relationships/hyperlink" Target="http://hist.py/" TargetMode="External"/><Relationship Id="rId37" Type="http://schemas.openxmlformats.org/officeDocument/2006/relationships/hyperlink" Target="http://db_driver.py/" TargetMode="External"/><Relationship Id="rId36" Type="http://schemas.openxmlformats.org/officeDocument/2006/relationships/hyperlink" Target="http://db_driver.py/" TargetMode="External"/><Relationship Id="rId39" Type="http://schemas.openxmlformats.org/officeDocument/2006/relationships/hyperlink" Target="http://test_manager.py/" TargetMode="External"/><Relationship Id="rId38" Type="http://schemas.openxmlformats.org/officeDocument/2006/relationships/hyperlink" Target="http://test_driver.py/" TargetMode="External"/><Relationship Id="rId20" Type="http://schemas.openxmlformats.org/officeDocument/2006/relationships/hyperlink" Target="http://test_driver.py/" TargetMode="External"/><Relationship Id="rId22" Type="http://schemas.openxmlformats.org/officeDocument/2006/relationships/hyperlink" Target="http://test_block_device.py/" TargetMode="External"/><Relationship Id="rId21" Type="http://schemas.openxmlformats.org/officeDocument/2006/relationships/hyperlink" Target="http://test_objects.py" TargetMode="External"/><Relationship Id="rId24" Type="http://schemas.openxmlformats.org/officeDocument/2006/relationships/hyperlink" Target="http://compute_unittest.py" TargetMode="External"/><Relationship Id="rId23" Type="http://schemas.openxmlformats.org/officeDocument/2006/relationships/hyperlink" Target="http://test_block_device.py/" TargetMode="External"/><Relationship Id="rId26" Type="http://schemas.openxmlformats.org/officeDocument/2006/relationships/hyperlink" Target="http://test_virt.py" TargetMode="External"/><Relationship Id="rId25" Type="http://schemas.openxmlformats.org/officeDocument/2006/relationships/hyperlink" Target="http://test_driver.py" TargetMode="External"/><Relationship Id="rId28" Type="http://schemas.openxmlformats.org/officeDocument/2006/relationships/hyperlink" Target="http://test_compute.py" TargetMode="External"/><Relationship Id="rId27" Type="http://schemas.openxmlformats.org/officeDocument/2006/relationships/hyperlink" Target="http://test_compute_mgr.py/" TargetMode="External"/><Relationship Id="rId29" Type="http://schemas.openxmlformats.org/officeDocument/2006/relationships/hyperlink" Target="http://test_compute.py/" TargetMode="External"/><Relationship Id="rId11" Type="http://schemas.openxmlformats.org/officeDocument/2006/relationships/hyperlink" Target="http://test_rpcapi.py/" TargetMode="External"/><Relationship Id="rId10" Type="http://schemas.openxmlformats.org/officeDocument/2006/relationships/hyperlink" Target="http://manager.py/" TargetMode="External"/><Relationship Id="rId13" Type="http://schemas.openxmlformats.org/officeDocument/2006/relationships/hyperlink" Target="http://test_manager.py/" TargetMode="External"/><Relationship Id="rId12" Type="http://schemas.openxmlformats.org/officeDocument/2006/relationships/hyperlink" Target="http://rcapi.py/" TargetMode="External"/><Relationship Id="rId15" Type="http://schemas.openxmlformats.org/officeDocument/2006/relationships/hyperlink" Target="http://test_vmwareapi.py/" TargetMode="External"/><Relationship Id="rId14" Type="http://schemas.openxmlformats.org/officeDocument/2006/relationships/hyperlink" Target="http://test_vmops.py/" TargetMode="External"/><Relationship Id="rId17" Type="http://schemas.openxmlformats.org/officeDocument/2006/relationships/hyperlink" Target="https://review.opendev.org/c/x/anvil/+/142892" TargetMode="External"/><Relationship Id="rId16" Type="http://schemas.openxmlformats.org/officeDocument/2006/relationships/hyperlink" Target="http://187_add_instance_groups.py/" TargetMode="External"/><Relationship Id="rId19" Type="http://schemas.openxmlformats.org/officeDocument/2006/relationships/hyperlink" Target="http://test_driver.py" TargetMode="External"/><Relationship Id="rId18" Type="http://schemas.openxmlformats.org/officeDocument/2006/relationships/hyperlink" Target="http://test_extensions.py/" TargetMode="External"/><Relationship Id="rId1" Type="http://schemas.openxmlformats.org/officeDocument/2006/relationships/comments" Target="../comments6.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 TargetMode="External"/><Relationship Id="rId4" Type="http://schemas.openxmlformats.org/officeDocument/2006/relationships/hyperlink" Target="http://test_servers.py/" TargetMode="External"/><Relationship Id="rId9" Type="http://schemas.openxmlformats.org/officeDocument/2006/relationships/hyperlink" Target="http://test_utils.py/" TargetMode="External"/><Relationship Id="rId5" Type="http://schemas.openxmlformats.org/officeDocument/2006/relationships/hyperlink" Target="http://test_servers.py/" TargetMode="External"/><Relationship Id="rId6" Type="http://schemas.openxmlformats.org/officeDocument/2006/relationships/hyperlink" Target="http://images.py/" TargetMode="External"/><Relationship Id="rId7" Type="http://schemas.openxmlformats.org/officeDocument/2006/relationships/hyperlink" Target="http://test_virt.py/" TargetMode="External"/><Relationship Id="rId8" Type="http://schemas.openxmlformats.org/officeDocument/2006/relationships/hyperlink" Target="http://test_virt.py/" TargetMode="External"/></Relationships>
</file>

<file path=xl/worksheets/_rels/sheet9.xml.rels><?xml version="1.0" encoding="UTF-8" standalone="yes"?><Relationships xmlns="http://schemas.openxmlformats.org/package/2006/relationships"><Relationship Id="rId11" Type="http://schemas.openxmlformats.org/officeDocument/2006/relationships/hyperlink" Target="https://review.openstack.org/" TargetMode="External"/><Relationship Id="rId10" Type="http://schemas.openxmlformats.org/officeDocument/2006/relationships/hyperlink" Target="https://review.openstack.org/" TargetMode="External"/><Relationship Id="rId13" Type="http://schemas.openxmlformats.org/officeDocument/2006/relationships/hyperlink" Target="https://github.com/elastic/elasticsearch/issues/3300" TargetMode="External"/><Relationship Id="rId12" Type="http://schemas.openxmlformats.org/officeDocument/2006/relationships/hyperlink" Target="https://review.openstack.org/94452" TargetMode="External"/><Relationship Id="rId15" Type="http://schemas.openxmlformats.org/officeDocument/2006/relationships/hyperlink" Target="https://github.com/elastic/elasticsearch/issues/3300" TargetMode="External"/><Relationship Id="rId14" Type="http://schemas.openxmlformats.org/officeDocument/2006/relationships/hyperlink" Target="https://github.com/elastic/elasticsearch/issues/3300" TargetMode="External"/><Relationship Id="rId17" Type="http://schemas.openxmlformats.org/officeDocument/2006/relationships/drawing" Target="../drawings/drawing9.xml"/><Relationship Id="rId16" Type="http://schemas.openxmlformats.org/officeDocument/2006/relationships/hyperlink" Target="https://github.com/elastic/elasticsearch/issues/3300" TargetMode="External"/><Relationship Id="rId18" Type="http://schemas.openxmlformats.org/officeDocument/2006/relationships/vmlDrawing" Target="../drawings/vmlDrawing7.vml"/><Relationship Id="rId1" Type="http://schemas.openxmlformats.org/officeDocument/2006/relationships/comments" Target="../comments7.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 TargetMode="External"/><Relationship Id="rId4" Type="http://schemas.openxmlformats.org/officeDocument/2006/relationships/hyperlink" Target="https://review.openstack.org/" TargetMode="External"/><Relationship Id="rId9" Type="http://schemas.openxmlformats.org/officeDocument/2006/relationships/hyperlink" Target="https://github.com/stackforge/ec2-api" TargetMode="External"/><Relationship Id="rId5" Type="http://schemas.openxmlformats.org/officeDocument/2006/relationships/hyperlink" Target="https://review.openstack.org/" TargetMode="External"/><Relationship Id="rId6" Type="http://schemas.openxmlformats.org/officeDocument/2006/relationships/hyperlink" Target="https://wiki.openstack.org/wiki/Nova/eliminate-clear-passwords-from-cells-table" TargetMode="External"/><Relationship Id="rId7" Type="http://schemas.openxmlformats.org/officeDocument/2006/relationships/hyperlink" Target="https://revie/" TargetMode="External"/><Relationship Id="rId8" Type="http://schemas.openxmlformats.org/officeDocument/2006/relationships/hyperlink" Target="https://wiki.openstack.org/wiki/GroupApiExtensio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90" Type="http://schemas.openxmlformats.org/officeDocument/2006/relationships/hyperlink" Target="https://bugs.launchpad.net/nova/+bug/1186944" TargetMode="External"/><Relationship Id="rId194" Type="http://schemas.openxmlformats.org/officeDocument/2006/relationships/hyperlink" Target="https://opendev.org/openstack/nova/commit/3dff4335661" TargetMode="External"/><Relationship Id="rId193" Type="http://schemas.openxmlformats.org/officeDocument/2006/relationships/hyperlink" Target="https://opendev.org/openstack/nova/commit/54f4600c82241ad6ae6768d3dcd1e1755dac4ddc" TargetMode="External"/><Relationship Id="rId192" Type="http://schemas.openxmlformats.org/officeDocument/2006/relationships/hyperlink" Target="https://bugs.launchpad.net/nova/+bug/1307791" TargetMode="External"/><Relationship Id="rId191" Type="http://schemas.openxmlformats.org/officeDocument/2006/relationships/hyperlink" Target="https://www.mail-archive.com/openstack-dev@lists.openstack.org/" TargetMode="External"/><Relationship Id="rId187" Type="http://schemas.openxmlformats.org/officeDocument/2006/relationships/hyperlink" Target="https://opendev.org/openstack/nova/commit/e517e5668ab" TargetMode="External"/><Relationship Id="rId186" Type="http://schemas.openxmlformats.org/officeDocument/2006/relationships/hyperlink" Target="https://opendev.org/openstack/nova/commit/98fb5e56ef96c0c6a8754276e5f8c9c0b7e50fed" TargetMode="External"/><Relationship Id="rId185" Type="http://schemas.openxmlformats.org/officeDocument/2006/relationships/hyperlink" Target="https://bugs.launchpad.net/nova/+bug/1300788" TargetMode="External"/><Relationship Id="rId184" Type="http://schemas.openxmlformats.org/officeDocument/2006/relationships/hyperlink" Target="https://www.mail-archive.com/openstack-dev@lists.openstack.org/" TargetMode="External"/><Relationship Id="rId189" Type="http://schemas.openxmlformats.org/officeDocument/2006/relationships/hyperlink" Target="https://bugs.launchpad.net/nova/+bug/1186944" TargetMode="External"/><Relationship Id="rId188" Type="http://schemas.openxmlformats.org/officeDocument/2006/relationships/hyperlink" Target="https://review.opendev.org/c/openstack/nova/+/31593" TargetMode="External"/><Relationship Id="rId183" Type="http://schemas.openxmlformats.org/officeDocument/2006/relationships/hyperlink" Target="https://blueprints.launchpad.net/nova/+spec/nova-network-objects" TargetMode="External"/><Relationship Id="rId182" Type="http://schemas.openxmlformats.org/officeDocument/2006/relationships/hyperlink" Target="https://blueprints.launchpad.net/nova/+spec/nova-network-objects" TargetMode="External"/><Relationship Id="rId181" Type="http://schemas.openxmlformats.org/officeDocument/2006/relationships/hyperlink" Target="https://review.opendev.org/c/openstack/nova/+/67338" TargetMode="External"/><Relationship Id="rId180" Type="http://schemas.openxmlformats.org/officeDocument/2006/relationships/hyperlink" Target="https://opendev.org/openstack/nova/commit/542958fac7445a14dea" TargetMode="External"/><Relationship Id="rId176" Type="http://schemas.openxmlformats.org/officeDocument/2006/relationships/hyperlink" Target="https://github.com/elastic/elasticsearch/pull/8454" TargetMode="External"/><Relationship Id="rId297" Type="http://schemas.openxmlformats.org/officeDocument/2006/relationships/hyperlink" Target="https://review.opendev.org/c/openstack/nova/+/155853" TargetMode="External"/><Relationship Id="rId175" Type="http://schemas.openxmlformats.org/officeDocument/2006/relationships/hyperlink" Target="https://github.com/elastic/elasticsearch/commit/5714b0a" TargetMode="External"/><Relationship Id="rId296" Type="http://schemas.openxmlformats.org/officeDocument/2006/relationships/hyperlink" Target="https://opendev.org/openstack/nova/commit/abc656d" TargetMode="External"/><Relationship Id="rId174" Type="http://schemas.openxmlformats.org/officeDocument/2006/relationships/hyperlink" Target="https://github.com/elastic/elasticsearch/commit/7ca2ef9b93fc9421e8604" TargetMode="External"/><Relationship Id="rId295" Type="http://schemas.openxmlformats.org/officeDocument/2006/relationships/hyperlink" Target="https://opendev.org/openstack/nova/commit/ae3c63502096b9e16bd02f356286e396e4abb0de" TargetMode="External"/><Relationship Id="rId173" Type="http://schemas.openxmlformats.org/officeDocument/2006/relationships/hyperlink" Target="https://github.com/elastic/elasticsearch/issues/9317" TargetMode="External"/><Relationship Id="rId294" Type="http://schemas.openxmlformats.org/officeDocument/2006/relationships/hyperlink" Target="https://bugs.launchpad.net/nova/+bug/1434855" TargetMode="External"/><Relationship Id="rId179" Type="http://schemas.openxmlformats.org/officeDocument/2006/relationships/hyperlink" Target="https://opendev.org/openstack/nova/commit/e08ce4de920b68c84ac45be8a657a95113688780" TargetMode="External"/><Relationship Id="rId178" Type="http://schemas.openxmlformats.org/officeDocument/2006/relationships/hyperlink" Target="https://bugs.launchpad.net/nova/+bug/1294939" TargetMode="External"/><Relationship Id="rId299" Type="http://schemas.openxmlformats.org/officeDocument/2006/relationships/hyperlink" Target="https://blueprints.launchpad.net/nova/+spec/ec2-api" TargetMode="External"/><Relationship Id="rId177" Type="http://schemas.openxmlformats.org/officeDocument/2006/relationships/hyperlink" Target="https://github.com/elastic/elasticsearch/pull/8454" TargetMode="External"/><Relationship Id="rId298" Type="http://schemas.openxmlformats.org/officeDocument/2006/relationships/hyperlink" Target="https://blueprints.launchpad.net/nova/+spec/ec2-api" TargetMode="External"/><Relationship Id="rId198" Type="http://schemas.openxmlformats.org/officeDocument/2006/relationships/hyperlink" Target="https://www.mail-archive.com/openstack-dev@lists.openstack.org/" TargetMode="External"/><Relationship Id="rId197" Type="http://schemas.openxmlformats.org/officeDocument/2006/relationships/hyperlink" Target="https://bugs.launchpad.net/nova/+bug/1067214" TargetMode="External"/><Relationship Id="rId196" Type="http://schemas.openxmlformats.org/officeDocument/2006/relationships/hyperlink" Target="https://bugs.launchpad.net/nova/+bug/1067214" TargetMode="External"/><Relationship Id="rId195" Type="http://schemas.openxmlformats.org/officeDocument/2006/relationships/hyperlink" Target="https://review.opendev.org/c/openstack/nova/+/14805" TargetMode="External"/><Relationship Id="rId199" Type="http://schemas.openxmlformats.org/officeDocument/2006/relationships/hyperlink" Target="https://bugs.launchpad.net/nova/+bug/1314677" TargetMode="External"/><Relationship Id="rId150" Type="http://schemas.openxmlformats.org/officeDocument/2006/relationships/hyperlink" Target="https://github.com/elastic/elasticsearch/issues/8526" TargetMode="External"/><Relationship Id="rId271" Type="http://schemas.openxmlformats.org/officeDocument/2006/relationships/hyperlink" Target="https://opendev.org/openstack/nova/commit/2833f8c08fcfb7961b3c64b285ceff958bf5a05e" TargetMode="External"/><Relationship Id="rId392" Type="http://schemas.openxmlformats.org/officeDocument/2006/relationships/hyperlink" Target="https://www.mail-archive.com/openstack-dev@lists.openstack.org/" TargetMode="External"/><Relationship Id="rId270" Type="http://schemas.openxmlformats.org/officeDocument/2006/relationships/hyperlink" Target="https://bugs.launchpad.net/nova/+bug/1402535" TargetMode="External"/><Relationship Id="rId391" Type="http://schemas.openxmlformats.org/officeDocument/2006/relationships/hyperlink" Target="https://review.opendev.org/c/openstack/nova/+/208796" TargetMode="External"/><Relationship Id="rId390" Type="http://schemas.openxmlformats.org/officeDocument/2006/relationships/hyperlink" Target="https://opendev.org/openstack/nova/commit/0ed3f33028b539877abf51b5a36a0f8e5c0a5927" TargetMode="External"/><Relationship Id="rId1" Type="http://schemas.openxmlformats.org/officeDocument/2006/relationships/hyperlink" Target="https://github.com/elastic/elasticsearch/issues/1134" TargetMode="External"/><Relationship Id="rId2" Type="http://schemas.openxmlformats.org/officeDocument/2006/relationships/hyperlink" Target="https://github.com/elastic/elasticsearch/commit/cbb1c35f94a36e8871301fce435d516db3cd4256" TargetMode="External"/><Relationship Id="rId3" Type="http://schemas.openxmlformats.org/officeDocument/2006/relationships/hyperlink" Target="https://github.com/elastic/elasticsearch/commit/61ad8b6" TargetMode="External"/><Relationship Id="rId149" Type="http://schemas.openxmlformats.org/officeDocument/2006/relationships/hyperlink" Target="https://github.com/elastic/elasticsearch/pull/6908" TargetMode="External"/><Relationship Id="rId4" Type="http://schemas.openxmlformats.org/officeDocument/2006/relationships/hyperlink" Target="https://github.com/elastic/elasticsearch/issues/1104" TargetMode="External"/><Relationship Id="rId148" Type="http://schemas.openxmlformats.org/officeDocument/2006/relationships/hyperlink" Target="https://github.com/elastic/elasticsearch/pull/6908" TargetMode="External"/><Relationship Id="rId269" Type="http://schemas.openxmlformats.org/officeDocument/2006/relationships/hyperlink" Target="https://www.mail-archive.com/openstack-dev@lists.openstack.org/" TargetMode="External"/><Relationship Id="rId9" Type="http://schemas.openxmlformats.org/officeDocument/2006/relationships/hyperlink" Target="https://github.com/elastic/elasticsearch/issues/1162" TargetMode="External"/><Relationship Id="rId143" Type="http://schemas.openxmlformats.org/officeDocument/2006/relationships/hyperlink" Target="https://github.com/elastic/elasticsearch/issues/6118" TargetMode="External"/><Relationship Id="rId264" Type="http://schemas.openxmlformats.org/officeDocument/2006/relationships/hyperlink" Target="https://opendev.org/openstack/nova/commit/2aea3a3d54cbe0dc9ce2b8c504818baeb1542677" TargetMode="External"/><Relationship Id="rId385" Type="http://schemas.openxmlformats.org/officeDocument/2006/relationships/hyperlink" Target="https://review.opendev.org/c/openstack/nova/+/164940" TargetMode="External"/><Relationship Id="rId142" Type="http://schemas.openxmlformats.org/officeDocument/2006/relationships/hyperlink" Target="https://github.com/elastic/elasticsearch/pull/6974" TargetMode="External"/><Relationship Id="rId263" Type="http://schemas.openxmlformats.org/officeDocument/2006/relationships/hyperlink" Target="https://bugs.launchpad.net/nova/+bug/1392798" TargetMode="External"/><Relationship Id="rId384" Type="http://schemas.openxmlformats.org/officeDocument/2006/relationships/hyperlink" Target="https://opendev.org/openstack/nova/commit/31f208423405" TargetMode="External"/><Relationship Id="rId141" Type="http://schemas.openxmlformats.org/officeDocument/2006/relationships/hyperlink" Target="https://github.com/elastic/elasticsearch/commit/3c9c9f33" TargetMode="External"/><Relationship Id="rId262" Type="http://schemas.openxmlformats.org/officeDocument/2006/relationships/hyperlink" Target="https://www.mail-archive.com/openstack-dev@lists.openstack.org/" TargetMode="External"/><Relationship Id="rId383" Type="http://schemas.openxmlformats.org/officeDocument/2006/relationships/hyperlink" Target="https://opendev.org/openstack/nova/commit/20847c25a8157a10b765387ff8dbda31f8f4e91a" TargetMode="External"/><Relationship Id="rId140" Type="http://schemas.openxmlformats.org/officeDocument/2006/relationships/hyperlink" Target="https://github.com/elastic/elasticsearch/commit/0c94314" TargetMode="External"/><Relationship Id="rId261" Type="http://schemas.openxmlformats.org/officeDocument/2006/relationships/hyperlink" Target="https://bugs.launchpad.net/nova/+bug/1373993" TargetMode="External"/><Relationship Id="rId382" Type="http://schemas.openxmlformats.org/officeDocument/2006/relationships/hyperlink" Target="https://bugs.launchpad.net/nova/+bug/1481078" TargetMode="External"/><Relationship Id="rId5" Type="http://schemas.openxmlformats.org/officeDocument/2006/relationships/hyperlink" Target="https://github.com/elastic/elasticsearch/issues/1104" TargetMode="External"/><Relationship Id="rId147" Type="http://schemas.openxmlformats.org/officeDocument/2006/relationships/hyperlink" Target="https://github.com/elastic/elasticsearch/commit/3c142e5" TargetMode="External"/><Relationship Id="rId268" Type="http://schemas.openxmlformats.org/officeDocument/2006/relationships/hyperlink" Target="https://bugs.launchpad.net/nova/+bug/1131588" TargetMode="External"/><Relationship Id="rId389" Type="http://schemas.openxmlformats.org/officeDocument/2006/relationships/hyperlink" Target="https://bugs.launchpad.net/nova/+bug/1481164" TargetMode="External"/><Relationship Id="rId6" Type="http://schemas.openxmlformats.org/officeDocument/2006/relationships/hyperlink" Target="https://github.com/elastic/elasticsearch/issues/1154" TargetMode="External"/><Relationship Id="rId146" Type="http://schemas.openxmlformats.org/officeDocument/2006/relationships/hyperlink" Target="https://github.com/elastic/elasticsearch/commit/a94fb92" TargetMode="External"/><Relationship Id="rId267" Type="http://schemas.openxmlformats.org/officeDocument/2006/relationships/hyperlink" Target="https://bugs.launchpad.net/nova/+bug/1131588" TargetMode="External"/><Relationship Id="rId388" Type="http://schemas.openxmlformats.org/officeDocument/2006/relationships/hyperlink" Target="https://www.mail-archive.com/openstack-dev@lists.openstack.org/" TargetMode="External"/><Relationship Id="rId7" Type="http://schemas.openxmlformats.org/officeDocument/2006/relationships/hyperlink" Target="https://github.com/elastic/elasticsearch/commit/31ea01bbc68f64cd7787b97479cb5deba1b529b9" TargetMode="External"/><Relationship Id="rId145" Type="http://schemas.openxmlformats.org/officeDocument/2006/relationships/hyperlink" Target="https://github.com/elastic/elasticsearch/issues/8507" TargetMode="External"/><Relationship Id="rId266" Type="http://schemas.openxmlformats.org/officeDocument/2006/relationships/hyperlink" Target="https://review.opendev.org/c/openstack/nova/+/22897" TargetMode="External"/><Relationship Id="rId387" Type="http://schemas.openxmlformats.org/officeDocument/2006/relationships/hyperlink" Target="https://bugs.launchpad.net/nova/+bug/1432913" TargetMode="External"/><Relationship Id="rId8" Type="http://schemas.openxmlformats.org/officeDocument/2006/relationships/hyperlink" Target="https://github.com/elastic/elasticsearch/commit/b3337c3" TargetMode="External"/><Relationship Id="rId144" Type="http://schemas.openxmlformats.org/officeDocument/2006/relationships/hyperlink" Target="https://github.com/elastic/elasticsearch/issues/6118" TargetMode="External"/><Relationship Id="rId265" Type="http://schemas.openxmlformats.org/officeDocument/2006/relationships/hyperlink" Target="https://opendev.org/openstack/nova/commit/a9d0313c" TargetMode="External"/><Relationship Id="rId386" Type="http://schemas.openxmlformats.org/officeDocument/2006/relationships/hyperlink" Target="https://bugs.launchpad.net/nova/+bug/1432913" TargetMode="External"/><Relationship Id="rId260" Type="http://schemas.openxmlformats.org/officeDocument/2006/relationships/hyperlink" Target="https://bugs.launchpad.net/nova/+bug/1373993" TargetMode="External"/><Relationship Id="rId381" Type="http://schemas.openxmlformats.org/officeDocument/2006/relationships/hyperlink" Target="https://www.mail-archive.com/openstack-dev@lists.openstack.org/" TargetMode="External"/><Relationship Id="rId380" Type="http://schemas.openxmlformats.org/officeDocument/2006/relationships/hyperlink" Target="https://blueprints.launchpad.net/nova/+spec/libvirt-lxc-user-namespaces" TargetMode="External"/><Relationship Id="rId139" Type="http://schemas.openxmlformats.org/officeDocument/2006/relationships/hyperlink" Target="https://github.com/elastic/elasticsearch/issues/8438" TargetMode="External"/><Relationship Id="rId138" Type="http://schemas.openxmlformats.org/officeDocument/2006/relationships/hyperlink" Target="https://github.com/elastic/elasticsearch/issues/6410" TargetMode="External"/><Relationship Id="rId259" Type="http://schemas.openxmlformats.org/officeDocument/2006/relationships/hyperlink" Target="https://review.opendev.org/c/openstack/nova/+/124714" TargetMode="External"/><Relationship Id="rId137" Type="http://schemas.openxmlformats.org/officeDocument/2006/relationships/hyperlink" Target="https://github.com/elastic/elasticsearch/issues/6410" TargetMode="External"/><Relationship Id="rId258" Type="http://schemas.openxmlformats.org/officeDocument/2006/relationships/hyperlink" Target="https://opendev.org/openstack/nova/commit/30871e870" TargetMode="External"/><Relationship Id="rId379" Type="http://schemas.openxmlformats.org/officeDocument/2006/relationships/hyperlink" Target="https://blueprints.launchpad.net/nova/+spec/libvirt-lxc-user-namespaces" TargetMode="External"/><Relationship Id="rId132" Type="http://schemas.openxmlformats.org/officeDocument/2006/relationships/hyperlink" Target="https://github.com/elastic/elasticsearch/issues/865" TargetMode="External"/><Relationship Id="rId253" Type="http://schemas.openxmlformats.org/officeDocument/2006/relationships/hyperlink" Target="https://blueprints.launchpad.net/nova/+spec/libvirt-spice" TargetMode="External"/><Relationship Id="rId374" Type="http://schemas.openxmlformats.org/officeDocument/2006/relationships/hyperlink" Target="https://www.mail-archive.com/openstack-dev@lists.openstack.org/" TargetMode="External"/><Relationship Id="rId131" Type="http://schemas.openxmlformats.org/officeDocument/2006/relationships/hyperlink" Target="https://github.com/elastic/elasticsearch/issues/865" TargetMode="External"/><Relationship Id="rId252" Type="http://schemas.openxmlformats.org/officeDocument/2006/relationships/hyperlink" Target="https://review.opendev.org/c/openstack/nova/+/18864" TargetMode="External"/><Relationship Id="rId373" Type="http://schemas.openxmlformats.org/officeDocument/2006/relationships/hyperlink" Target="https://bugs.launchpad.net/nova/+bug/1258256" TargetMode="External"/><Relationship Id="rId130" Type="http://schemas.openxmlformats.org/officeDocument/2006/relationships/hyperlink" Target="https://github.com/elastic/elasticsearch/commit/c3f3c26" TargetMode="External"/><Relationship Id="rId251" Type="http://schemas.openxmlformats.org/officeDocument/2006/relationships/hyperlink" Target="https://opendev.org/openstack/nova/commit/e71e8c2" TargetMode="External"/><Relationship Id="rId372" Type="http://schemas.openxmlformats.org/officeDocument/2006/relationships/hyperlink" Target="https://bugs.launchpad.net/nova/+bug/1258256" TargetMode="External"/><Relationship Id="rId250" Type="http://schemas.openxmlformats.org/officeDocument/2006/relationships/hyperlink" Target="https://opendev.org/openstack/nova/commit/4f0547d4978172e29eb328bceb404335da1b9e0a" TargetMode="External"/><Relationship Id="rId371" Type="http://schemas.openxmlformats.org/officeDocument/2006/relationships/hyperlink" Target="https://review.opendev.org/c/openstack/nova/+/59560" TargetMode="External"/><Relationship Id="rId136" Type="http://schemas.openxmlformats.org/officeDocument/2006/relationships/hyperlink" Target="https://github.com/elastic/elasticsearch/pull/9005" TargetMode="External"/><Relationship Id="rId257" Type="http://schemas.openxmlformats.org/officeDocument/2006/relationships/hyperlink" Target="https://opendev.org/openstack/nova/commit/fdcf358eaeef6edb5c8d2dcc94f906a22882544a" TargetMode="External"/><Relationship Id="rId378" Type="http://schemas.openxmlformats.org/officeDocument/2006/relationships/hyperlink" Target="https://review.opendev.org/c/openstack/nova/+/113545" TargetMode="External"/><Relationship Id="rId135" Type="http://schemas.openxmlformats.org/officeDocument/2006/relationships/hyperlink" Target="https://github.com/elastic/elasticsearch/commit/61c21f9" TargetMode="External"/><Relationship Id="rId256" Type="http://schemas.openxmlformats.org/officeDocument/2006/relationships/hyperlink" Target="https://bugs.launchpad.net/nova/+bug/1381468" TargetMode="External"/><Relationship Id="rId377" Type="http://schemas.openxmlformats.org/officeDocument/2006/relationships/hyperlink" Target="https://opendev.org/openstack/nova/commit/e310985" TargetMode="External"/><Relationship Id="rId134" Type="http://schemas.openxmlformats.org/officeDocument/2006/relationships/hyperlink" Target="https://github.com/elastic/elasticsearch/commit/d12ae19" TargetMode="External"/><Relationship Id="rId255" Type="http://schemas.openxmlformats.org/officeDocument/2006/relationships/hyperlink" Target="https://www.mail-archive.com/openstack-dev@lists.openstack.org/" TargetMode="External"/><Relationship Id="rId376" Type="http://schemas.openxmlformats.org/officeDocument/2006/relationships/hyperlink" Target="https://opendev.org/openstack/nova/commit/74e140faf23d07e23c33f707d2278679fbc5bbde" TargetMode="External"/><Relationship Id="rId133" Type="http://schemas.openxmlformats.org/officeDocument/2006/relationships/hyperlink" Target="https://github.com/elastic/elasticsearch/issues/8125" TargetMode="External"/><Relationship Id="rId254" Type="http://schemas.openxmlformats.org/officeDocument/2006/relationships/hyperlink" Target="https://blueprints.launchpad.net/nova/+spec/libvirt-spice" TargetMode="External"/><Relationship Id="rId375" Type="http://schemas.openxmlformats.org/officeDocument/2006/relationships/hyperlink" Target="https://bugs.launchpad.net/nova/+bug/1475911" TargetMode="External"/><Relationship Id="rId172" Type="http://schemas.openxmlformats.org/officeDocument/2006/relationships/hyperlink" Target="https://github.com/elastic/elasticsearch/pull/7036" TargetMode="External"/><Relationship Id="rId293" Type="http://schemas.openxmlformats.org/officeDocument/2006/relationships/hyperlink" Target="https://www.mail-archive.com/openstack-dev@lists.openstack.org/" TargetMode="External"/><Relationship Id="rId171" Type="http://schemas.openxmlformats.org/officeDocument/2006/relationships/hyperlink" Target="https://github.com/elastic/elasticsearch/issues/4718" TargetMode="External"/><Relationship Id="rId292" Type="http://schemas.openxmlformats.org/officeDocument/2006/relationships/hyperlink" Target="https://bugs.launchpad.net/nova/+bug/1425178" TargetMode="External"/><Relationship Id="rId170" Type="http://schemas.openxmlformats.org/officeDocument/2006/relationships/hyperlink" Target="https://github.com/elastic/elasticsearch/pull/7036" TargetMode="External"/><Relationship Id="rId291" Type="http://schemas.openxmlformats.org/officeDocument/2006/relationships/hyperlink" Target="https://review.opendev.org/c/openstack/nova/+/119396" TargetMode="External"/><Relationship Id="rId290" Type="http://schemas.openxmlformats.org/officeDocument/2006/relationships/hyperlink" Target="https://opendev.org/openstack/nova/commit/d2cbb9a" TargetMode="External"/><Relationship Id="rId165" Type="http://schemas.openxmlformats.org/officeDocument/2006/relationships/hyperlink" Target="https://github.com/elastic/elasticsearch/issues/8893" TargetMode="External"/><Relationship Id="rId286" Type="http://schemas.openxmlformats.org/officeDocument/2006/relationships/hyperlink" Target="https://opendev.org/openstack/nova/commit/2ef03c6a0a8c5705" TargetMode="External"/><Relationship Id="rId164" Type="http://schemas.openxmlformats.org/officeDocument/2006/relationships/hyperlink" Target="https://github.com/elastic/elasticsearch/issues/88" TargetMode="External"/><Relationship Id="rId285" Type="http://schemas.openxmlformats.org/officeDocument/2006/relationships/hyperlink" Target="https://opendev.org/openstack/nova/commit/b838ca28e0ffda21b298a4514a647fc74c154f4a" TargetMode="External"/><Relationship Id="rId163" Type="http://schemas.openxmlformats.org/officeDocument/2006/relationships/hyperlink" Target="https://github.com/elastic/elasticsearch/issues/88" TargetMode="External"/><Relationship Id="rId284" Type="http://schemas.openxmlformats.org/officeDocument/2006/relationships/hyperlink" Target="https://bugs.launchpad.net/nova/+bug/1419002" TargetMode="External"/><Relationship Id="rId162" Type="http://schemas.openxmlformats.org/officeDocument/2006/relationships/hyperlink" Target="https://github.com/elastic/elasticsearch/commit/8f32467" TargetMode="External"/><Relationship Id="rId283" Type="http://schemas.openxmlformats.org/officeDocument/2006/relationships/hyperlink" Target="https://www.mail-archive.com/openstack-dev@lists.openstack.org/" TargetMode="External"/><Relationship Id="rId169" Type="http://schemas.openxmlformats.org/officeDocument/2006/relationships/hyperlink" Target="https://github.com/elastic/elasticsearch/issues/4718" TargetMode="External"/><Relationship Id="rId168" Type="http://schemas.openxmlformats.org/officeDocument/2006/relationships/hyperlink" Target="https://github.com/elastic/elasticsearch/pull/9005" TargetMode="External"/><Relationship Id="rId289" Type="http://schemas.openxmlformats.org/officeDocument/2006/relationships/hyperlink" Target="https://opendev.org/openstack/nova/commit/8f060f07c7eeb1d1356f0ce6c0e1ca6ec4ec0b96" TargetMode="External"/><Relationship Id="rId167" Type="http://schemas.openxmlformats.org/officeDocument/2006/relationships/hyperlink" Target="https://github.com/elastic/elasticsearch/commit/85eb0ea" TargetMode="External"/><Relationship Id="rId288" Type="http://schemas.openxmlformats.org/officeDocument/2006/relationships/hyperlink" Target="https://bugs.launchpad.net/nova/+bug/1424647" TargetMode="External"/><Relationship Id="rId166" Type="http://schemas.openxmlformats.org/officeDocument/2006/relationships/hyperlink" Target="https://github.com/elastic/elasticsearch/commit/7d5a15e461eccf82342dfa7aca7700ee30" TargetMode="External"/><Relationship Id="rId287" Type="http://schemas.openxmlformats.org/officeDocument/2006/relationships/hyperlink" Target="https://www.mail-archive.com/openstack-dev@lists.openstack.org/" TargetMode="External"/><Relationship Id="rId161" Type="http://schemas.openxmlformats.org/officeDocument/2006/relationships/hyperlink" Target="https://github.com/elastic/elasticsearch/commit/ffc8c3b68a775a61924ca0cd01dc8b9b97a96d09" TargetMode="External"/><Relationship Id="rId282" Type="http://schemas.openxmlformats.org/officeDocument/2006/relationships/hyperlink" Target="https://opendev.org/openstack/nova/commit/6956057ac490c788" TargetMode="External"/><Relationship Id="rId160" Type="http://schemas.openxmlformats.org/officeDocument/2006/relationships/hyperlink" Target="https://github.com/elastic/elasticsearch/issues/864" TargetMode="External"/><Relationship Id="rId281" Type="http://schemas.openxmlformats.org/officeDocument/2006/relationships/hyperlink" Target="https://opendev.org/openstack/nova/commit/2ad3009f3595e701a866f265263ca3a0a8ef09dc" TargetMode="External"/><Relationship Id="rId280" Type="http://schemas.openxmlformats.org/officeDocument/2006/relationships/hyperlink" Target="https://bugs.launchpad.net/nova/+bug/1403544" TargetMode="External"/><Relationship Id="rId159" Type="http://schemas.openxmlformats.org/officeDocument/2006/relationships/hyperlink" Target="https://github.com/elastic/elasticsearch/pull/6908" TargetMode="External"/><Relationship Id="rId154" Type="http://schemas.openxmlformats.org/officeDocument/2006/relationships/hyperlink" Target="https://github.com/elastic/elasticsearch/issues/2778" TargetMode="External"/><Relationship Id="rId275" Type="http://schemas.openxmlformats.org/officeDocument/2006/relationships/hyperlink" Target="https://bugs.launchpad.net/nova/+bug/1402728" TargetMode="External"/><Relationship Id="rId396" Type="http://schemas.openxmlformats.org/officeDocument/2006/relationships/hyperlink" Target="https://review.opendev.org/c/openstack/nova/+/70747" TargetMode="External"/><Relationship Id="rId153" Type="http://schemas.openxmlformats.org/officeDocument/2006/relationships/hyperlink" Target="https://github.com/elastic/elasticsearch/issues/2778" TargetMode="External"/><Relationship Id="rId274" Type="http://schemas.openxmlformats.org/officeDocument/2006/relationships/hyperlink" Target="https://www.mail-archive.com/openstack-dev@lists.openstack.org/" TargetMode="External"/><Relationship Id="rId395" Type="http://schemas.openxmlformats.org/officeDocument/2006/relationships/hyperlink" Target="https://opendev.org/openstack/nova/commit/f5071bd1ac00ed68102d37c8025" TargetMode="External"/><Relationship Id="rId152" Type="http://schemas.openxmlformats.org/officeDocument/2006/relationships/hyperlink" Target="https://github.com/elastic/elasticsearch/commit/5aa0a8438f" TargetMode="External"/><Relationship Id="rId273" Type="http://schemas.openxmlformats.org/officeDocument/2006/relationships/hyperlink" Target="https://review.opendev.org/c/openstack/nova/+/17946" TargetMode="External"/><Relationship Id="rId394" Type="http://schemas.openxmlformats.org/officeDocument/2006/relationships/hyperlink" Target="https://opendev.org/openstack/nova/commit/812d75ecb59c3198cf40ae81cfc97a99b5ff1a50" TargetMode="External"/><Relationship Id="rId151" Type="http://schemas.openxmlformats.org/officeDocument/2006/relationships/hyperlink" Target="https://github.com/elastic/elasticsearch/commit/15db5b9" TargetMode="External"/><Relationship Id="rId272" Type="http://schemas.openxmlformats.org/officeDocument/2006/relationships/hyperlink" Target="https://opendev.org/openstack/nova/commit/933365a58" TargetMode="External"/><Relationship Id="rId393" Type="http://schemas.openxmlformats.org/officeDocument/2006/relationships/hyperlink" Target="https://bugs.launchpad.net/nova/+bug/1486541" TargetMode="External"/><Relationship Id="rId158" Type="http://schemas.openxmlformats.org/officeDocument/2006/relationships/hyperlink" Target="https://github.com/elastic/elasticsearch/pull/6908" TargetMode="External"/><Relationship Id="rId279" Type="http://schemas.openxmlformats.org/officeDocument/2006/relationships/hyperlink" Target="https://www.mail-archive.com/openstack-dev@lists.openstack.org/" TargetMode="External"/><Relationship Id="rId157" Type="http://schemas.openxmlformats.org/officeDocument/2006/relationships/hyperlink" Target="https://github.com/elastic/elasticsearch/commit/3c142e5" TargetMode="External"/><Relationship Id="rId278" Type="http://schemas.openxmlformats.org/officeDocument/2006/relationships/hyperlink" Target="https://review.opendev.org/c/openstack/nova/+/107009" TargetMode="External"/><Relationship Id="rId399" Type="http://schemas.openxmlformats.org/officeDocument/2006/relationships/hyperlink" Target="https://www.mail-archive.com/openstack-dev@lists.openstack.org/" TargetMode="External"/><Relationship Id="rId156" Type="http://schemas.openxmlformats.org/officeDocument/2006/relationships/hyperlink" Target="https://github.com/elastic/elasticsearch/commit/d60500f" TargetMode="External"/><Relationship Id="rId277" Type="http://schemas.openxmlformats.org/officeDocument/2006/relationships/hyperlink" Target="https://opendev.org/openstack/nova/commit/2bcda65d512" TargetMode="External"/><Relationship Id="rId398" Type="http://schemas.openxmlformats.org/officeDocument/2006/relationships/hyperlink" Target="https://blueprints.launchpad.net/nova/+spec/clean-up-legacy-block-device-mapping" TargetMode="External"/><Relationship Id="rId155" Type="http://schemas.openxmlformats.org/officeDocument/2006/relationships/hyperlink" Target="https://github.com/elastic/elasticsearch/issues/8580" TargetMode="External"/><Relationship Id="rId276" Type="http://schemas.openxmlformats.org/officeDocument/2006/relationships/hyperlink" Target="https://opendev.org/openstack/nova/commit/1b2aa11758fd52acdec0289777d276303555903b" TargetMode="External"/><Relationship Id="rId397" Type="http://schemas.openxmlformats.org/officeDocument/2006/relationships/hyperlink" Target="https://blueprints.launchpad.net/nova/+spec/icehouse-objects" TargetMode="External"/><Relationship Id="rId40" Type="http://schemas.openxmlformats.org/officeDocument/2006/relationships/hyperlink" Target="https://github.com/elastic/elasticsearch/commit/a1a30226caaef4667cb7d85a4702ecf6a6bb0703" TargetMode="External"/><Relationship Id="rId42" Type="http://schemas.openxmlformats.org/officeDocument/2006/relationships/hyperlink" Target="https://github.com/elastic/elasticsearch/issues/16790" TargetMode="External"/><Relationship Id="rId41" Type="http://schemas.openxmlformats.org/officeDocument/2006/relationships/hyperlink" Target="https://github.com/elastic/elasticsearch/commit/4180a7f7" TargetMode="External"/><Relationship Id="rId44" Type="http://schemas.openxmlformats.org/officeDocument/2006/relationships/hyperlink" Target="https://github.com/elastic/elasticsearch/commit/1e209e3802" TargetMode="External"/><Relationship Id="rId43" Type="http://schemas.openxmlformats.org/officeDocument/2006/relationships/hyperlink" Target="https://github.com/elastic/elasticsearch/commit/4c6cf7ee88bc75a" TargetMode="External"/><Relationship Id="rId46" Type="http://schemas.openxmlformats.org/officeDocument/2006/relationships/hyperlink" Target="https://github.com/elastic/elasticsearch/issues/12479" TargetMode="External"/><Relationship Id="rId45" Type="http://schemas.openxmlformats.org/officeDocument/2006/relationships/hyperlink" Target="https://github.com/elastic/elasticsearch/pull/12801" TargetMode="External"/><Relationship Id="rId48" Type="http://schemas.openxmlformats.org/officeDocument/2006/relationships/hyperlink" Target="https://github.com/elastic/elasticsearch/issues/17121" TargetMode="External"/><Relationship Id="rId47" Type="http://schemas.openxmlformats.org/officeDocument/2006/relationships/hyperlink" Target="https://github.com/elastic/elasticsearch/issues/12479" TargetMode="External"/><Relationship Id="rId49" Type="http://schemas.openxmlformats.org/officeDocument/2006/relationships/hyperlink" Target="https://github.com/elastic/elasticsearch/issues/1725" TargetMode="External"/><Relationship Id="rId31" Type="http://schemas.openxmlformats.org/officeDocument/2006/relationships/hyperlink" Target="https://github.com/elastic/elasticsearch/issues/1420" TargetMode="External"/><Relationship Id="rId30" Type="http://schemas.openxmlformats.org/officeDocument/2006/relationships/hyperlink" Target="https://github.com/elastic/elasticsearch/commit/0cde90fcb10c9" TargetMode="External"/><Relationship Id="rId33" Type="http://schemas.openxmlformats.org/officeDocument/2006/relationships/hyperlink" Target="https://issues.apache.org/jira/browse/LUCENE-6972" TargetMode="External"/><Relationship Id="rId32" Type="http://schemas.openxmlformats.org/officeDocument/2006/relationships/hyperlink" Target="https://github.com/elastic/elasticsearch/issues/1420" TargetMode="External"/><Relationship Id="rId35" Type="http://schemas.openxmlformats.org/officeDocument/2006/relationships/hyperlink" Target="https://github.com/elastic/elasticsearch/commit/1556750" TargetMode="External"/><Relationship Id="rId34" Type="http://schemas.openxmlformats.org/officeDocument/2006/relationships/hyperlink" Target="https://github.com/elastic/elasticsearch/issues/16246" TargetMode="External"/><Relationship Id="rId37" Type="http://schemas.openxmlformats.org/officeDocument/2006/relationships/hyperlink" Target="https://github.com/elastic/elasticsearch/pull/16049" TargetMode="External"/><Relationship Id="rId36" Type="http://schemas.openxmlformats.org/officeDocument/2006/relationships/hyperlink" Target="https://github.com/elastic/elasticsearch/commit/57d6971" TargetMode="External"/><Relationship Id="rId39" Type="http://schemas.openxmlformats.org/officeDocument/2006/relationships/hyperlink" Target="https://github.com/elastic/elasticsearch/issues/1626" TargetMode="External"/><Relationship Id="rId38" Type="http://schemas.openxmlformats.org/officeDocument/2006/relationships/hyperlink" Target="https://github.com/elastic/elasticsearch/issues/15036" TargetMode="External"/><Relationship Id="rId20" Type="http://schemas.openxmlformats.org/officeDocument/2006/relationships/hyperlink" Target="https://github.com/elastic/elasticsearch/issues/14782" TargetMode="External"/><Relationship Id="rId22" Type="http://schemas.openxmlformats.org/officeDocument/2006/relationships/hyperlink" Target="https://github.com/elastic/elasticsearch/commit/904cbf534" TargetMode="External"/><Relationship Id="rId21" Type="http://schemas.openxmlformats.org/officeDocument/2006/relationships/hyperlink" Target="https://github.com/elastic/elasticsearch/commit/9e4a0cba0b6a9a93" TargetMode="External"/><Relationship Id="rId24" Type="http://schemas.openxmlformats.org/officeDocument/2006/relationships/hyperlink" Target="https://github.com/elastic/elasticsearch/issues/10217" TargetMode="External"/><Relationship Id="rId23" Type="http://schemas.openxmlformats.org/officeDocument/2006/relationships/hyperlink" Target="https://urlopen.cubenote.de/?urls=https://github.com/elastic/elasticsearch/pull/13788,%20https://github.com/elastic/elasticsearch/pull/12943,%20https://github.com/elastic/elasticsearch/pull/12694,%20https://github.com/elastic/elasticsearch/pull/12527" TargetMode="External"/><Relationship Id="rId404" Type="http://schemas.openxmlformats.org/officeDocument/2006/relationships/hyperlink" Target="https://www.mail-archive.com/openstack-dev@lists.openstack.org/" TargetMode="External"/><Relationship Id="rId403" Type="http://schemas.openxmlformats.org/officeDocument/2006/relationships/hyperlink" Target="https://review.opendev.org/c/openstack/nova/+/10903" TargetMode="External"/><Relationship Id="rId402" Type="http://schemas.openxmlformats.org/officeDocument/2006/relationships/hyperlink" Target="https://opendev.org/openstack/nova/commit/64e167eb6" TargetMode="External"/><Relationship Id="rId401" Type="http://schemas.openxmlformats.org/officeDocument/2006/relationships/hyperlink" Target="https://opendev.org/openstack/nova/commit/5252bba03e43c71f90cb2a657e6a7f396d04be75" TargetMode="External"/><Relationship Id="rId405" Type="http://schemas.openxmlformats.org/officeDocument/2006/relationships/drawing" Target="../drawings/drawing11.xml"/><Relationship Id="rId26" Type="http://schemas.openxmlformats.org/officeDocument/2006/relationships/hyperlink" Target="https://github.com/elastic/elasticsearch/issues/10217" TargetMode="External"/><Relationship Id="rId25" Type="http://schemas.openxmlformats.org/officeDocument/2006/relationships/hyperlink" Target="https://github.com/elastic/elasticsearch/pull/12527" TargetMode="External"/><Relationship Id="rId28" Type="http://schemas.openxmlformats.org/officeDocument/2006/relationships/hyperlink" Target="https://github.com/elastic/elasticsearch/issues/15858" TargetMode="External"/><Relationship Id="rId27" Type="http://schemas.openxmlformats.org/officeDocument/2006/relationships/hyperlink" Target="https://github.com/elastic/elasticsearch/pull/12527" TargetMode="External"/><Relationship Id="rId400" Type="http://schemas.openxmlformats.org/officeDocument/2006/relationships/hyperlink" Target="https://bugs.launchpad.net/nova/+bug/1505471" TargetMode="External"/><Relationship Id="rId29" Type="http://schemas.openxmlformats.org/officeDocument/2006/relationships/hyperlink" Target="https://github.com/elastic/elasticsearch/commit/12df1e7a6f096e" TargetMode="External"/><Relationship Id="rId11" Type="http://schemas.openxmlformats.org/officeDocument/2006/relationships/hyperlink" Target="https://github.com/elastic/elasticsearch/commit/d4547c629" TargetMode="External"/><Relationship Id="rId10" Type="http://schemas.openxmlformats.org/officeDocument/2006/relationships/hyperlink" Target="https://github.com/elastic/elasticsearch/commit/b70694ce631d7b55be6edd7b9049237456a6e4b4" TargetMode="External"/><Relationship Id="rId13" Type="http://schemas.openxmlformats.org/officeDocument/2006/relationships/hyperlink" Target="https://github.com/elastic/elasticsearch/commit/2ea45fd753b89c12431dab" TargetMode="External"/><Relationship Id="rId12" Type="http://schemas.openxmlformats.org/officeDocument/2006/relationships/hyperlink" Target="https://github.com/elastic/elasticsearch/issues/12193" TargetMode="External"/><Relationship Id="rId15" Type="http://schemas.openxmlformats.org/officeDocument/2006/relationships/hyperlink" Target="https://github.com/elastic/elasticsearch/issues/1380" TargetMode="External"/><Relationship Id="rId14" Type="http://schemas.openxmlformats.org/officeDocument/2006/relationships/hyperlink" Target="https://github.com/elastic/elasticsearch/commit/15a62448" TargetMode="External"/><Relationship Id="rId17" Type="http://schemas.openxmlformats.org/officeDocument/2006/relationships/hyperlink" Target="https://github.com/elastic/elasticsearch/commit/adc3dc0" TargetMode="External"/><Relationship Id="rId16" Type="http://schemas.openxmlformats.org/officeDocument/2006/relationships/hyperlink" Target="https://github.com/elastic/elasticsearch/commit/bd87f8de3ac84eb408d5ada0976664545c9228a0" TargetMode="External"/><Relationship Id="rId19" Type="http://schemas.openxmlformats.org/officeDocument/2006/relationships/hyperlink" Target="https://github.com/elastic/elasticsearch/issues/873" TargetMode="External"/><Relationship Id="rId18" Type="http://schemas.openxmlformats.org/officeDocument/2006/relationships/hyperlink" Target="https://github.com/elastic/elasticsearch/issues/873" TargetMode="External"/><Relationship Id="rId84" Type="http://schemas.openxmlformats.org/officeDocument/2006/relationships/hyperlink" Target="https://github.com/elastic/elasticsearch/pull/1065" TargetMode="External"/><Relationship Id="rId83" Type="http://schemas.openxmlformats.org/officeDocument/2006/relationships/hyperlink" Target="https://github.com/elastic/elasticsearch/commit/05e0b4d4e" TargetMode="External"/><Relationship Id="rId86" Type="http://schemas.openxmlformats.org/officeDocument/2006/relationships/hyperlink" Target="https://github.com/elastic/elasticsearch/commit/7790d2bf6578825924446013caba183fae6ba92b" TargetMode="External"/><Relationship Id="rId85" Type="http://schemas.openxmlformats.org/officeDocument/2006/relationships/hyperlink" Target="https://github.com/elastic/elasticsearch/issues/3267" TargetMode="External"/><Relationship Id="rId88" Type="http://schemas.openxmlformats.org/officeDocument/2006/relationships/hyperlink" Target="https://github.com/elastic/elasticsearch/issues/1068" TargetMode="External"/><Relationship Id="rId87" Type="http://schemas.openxmlformats.org/officeDocument/2006/relationships/hyperlink" Target="https://github.com/elastic/elasticsearch/commit/9bf686e" TargetMode="External"/><Relationship Id="rId89" Type="http://schemas.openxmlformats.org/officeDocument/2006/relationships/hyperlink" Target="https://github.com/elastic/elasticsearch/issues/1068" TargetMode="External"/><Relationship Id="rId80" Type="http://schemas.openxmlformats.org/officeDocument/2006/relationships/hyperlink" Target="https://github.com/elastic/elasticsearch/commit/7397007" TargetMode="External"/><Relationship Id="rId82" Type="http://schemas.openxmlformats.org/officeDocument/2006/relationships/hyperlink" Target="https://github.com/elastic/elasticsearch/commit/42b3f06a32844ade7fdf21e48f5e7e5800c31670" TargetMode="External"/><Relationship Id="rId81" Type="http://schemas.openxmlformats.org/officeDocument/2006/relationships/hyperlink" Target="https://github.com/elastic/elasticsearch/issues/3242" TargetMode="External"/><Relationship Id="rId73" Type="http://schemas.openxmlformats.org/officeDocument/2006/relationships/hyperlink" Target="https://github.com/elastic/elasticsearch/issues/2608" TargetMode="External"/><Relationship Id="rId72" Type="http://schemas.openxmlformats.org/officeDocument/2006/relationships/hyperlink" Target="https://github.com/elastic/elasticsearch/commit/2442e1fb" TargetMode="External"/><Relationship Id="rId75" Type="http://schemas.openxmlformats.org/officeDocument/2006/relationships/hyperlink" Target="https://github.com/elastic/elasticsearch/commit/167d358" TargetMode="External"/><Relationship Id="rId74" Type="http://schemas.openxmlformats.org/officeDocument/2006/relationships/hyperlink" Target="https://github.com/elastic/elasticsearch/commit/20ce01bd53cc3f0d6bcb52554f89fb98ce00bd4c" TargetMode="External"/><Relationship Id="rId77" Type="http://schemas.openxmlformats.org/officeDocument/2006/relationships/hyperlink" Target="https://github.com/elastic/elasticsearch/issues/557" TargetMode="External"/><Relationship Id="rId76" Type="http://schemas.openxmlformats.org/officeDocument/2006/relationships/hyperlink" Target="https://github.com/elastic/elasticsearch/issues/557" TargetMode="External"/><Relationship Id="rId79" Type="http://schemas.openxmlformats.org/officeDocument/2006/relationships/hyperlink" Target="https://github.com/elastic/elasticsearch/commit/29da615afd83d198911f839565257dd03c7fcf39" TargetMode="External"/><Relationship Id="rId78" Type="http://schemas.openxmlformats.org/officeDocument/2006/relationships/hyperlink" Target="https://github.com/elastic/elasticsearch/issues/2991" TargetMode="External"/><Relationship Id="rId71" Type="http://schemas.openxmlformats.org/officeDocument/2006/relationships/hyperlink" Target="https://github.com/elastic/elasticsearch/commit/d6b613ac8c6e3ddee6d8e1604db208721f03cb75" TargetMode="External"/><Relationship Id="rId70" Type="http://schemas.openxmlformats.org/officeDocument/2006/relationships/hyperlink" Target="https://github.com/elastic/elasticsearch/issues/2566" TargetMode="External"/><Relationship Id="rId62" Type="http://schemas.openxmlformats.org/officeDocument/2006/relationships/hyperlink" Target="https://github.com/elastic/elasticsearch/issues/1960" TargetMode="External"/><Relationship Id="rId61" Type="http://schemas.openxmlformats.org/officeDocument/2006/relationships/hyperlink" Target="https://github.com/elastic/elasticsearch/issues/725" TargetMode="External"/><Relationship Id="rId64" Type="http://schemas.openxmlformats.org/officeDocument/2006/relationships/hyperlink" Target="https://github.com/elastic/elasticsearch/commit/ebd6316" TargetMode="External"/><Relationship Id="rId63" Type="http://schemas.openxmlformats.org/officeDocument/2006/relationships/hyperlink" Target="https://github.com/elastic/elasticsearch/commit/be01e8fe19c822fe30ba1cff4d9e96c3f567e4c7" TargetMode="External"/><Relationship Id="rId66" Type="http://schemas.openxmlformats.org/officeDocument/2006/relationships/hyperlink" Target="https://github.com/elastic/elasticsearch/issues/540" TargetMode="External"/><Relationship Id="rId65" Type="http://schemas.openxmlformats.org/officeDocument/2006/relationships/hyperlink" Target="https://github.com/elastic/elasticsearch/issues/540" TargetMode="External"/><Relationship Id="rId68" Type="http://schemas.openxmlformats.org/officeDocument/2006/relationships/hyperlink" Target="https://github.com/elastic/elasticsearch/commit/a7ad295f63aaf3b6073cbbe6d0ca684031b84aab" TargetMode="External"/><Relationship Id="rId67" Type="http://schemas.openxmlformats.org/officeDocument/2006/relationships/hyperlink" Target="https://github.com/elastic/elasticsearch/issues/200" TargetMode="External"/><Relationship Id="rId60" Type="http://schemas.openxmlformats.org/officeDocument/2006/relationships/hyperlink" Target="https://github.com/elastic/elasticsearch/issues/725" TargetMode="External"/><Relationship Id="rId69" Type="http://schemas.openxmlformats.org/officeDocument/2006/relationships/hyperlink" Target="https://github.com/elastic/elasticsearch/commit/cb0d7d4" TargetMode="External"/><Relationship Id="rId51" Type="http://schemas.openxmlformats.org/officeDocument/2006/relationships/hyperlink" Target="https://github.com/elastic/elasticsearch/commit/bd6b89f7cab39a" TargetMode="External"/><Relationship Id="rId50" Type="http://schemas.openxmlformats.org/officeDocument/2006/relationships/hyperlink" Target="https://github.com/elastic/elasticsearch/commit/31b793591ea4dd4c60088d9185fb66a3f7ae293e" TargetMode="External"/><Relationship Id="rId53" Type="http://schemas.openxmlformats.org/officeDocument/2006/relationships/hyperlink" Target="https://github.com/elastic/elasticsearch/issues/181" TargetMode="External"/><Relationship Id="rId52" Type="http://schemas.openxmlformats.org/officeDocument/2006/relationships/hyperlink" Target="https://github.com/elastic/elasticsearch/issues/181" TargetMode="External"/><Relationship Id="rId55" Type="http://schemas.openxmlformats.org/officeDocument/2006/relationships/hyperlink" Target="https://github.com/elastic/elasticsearch/commit/a76d914cfa4c4ff2a866b8f1539c5cb3ef48afbb" TargetMode="External"/><Relationship Id="rId54" Type="http://schemas.openxmlformats.org/officeDocument/2006/relationships/hyperlink" Target="https://github.com/elastic/elasticsearch/issues/1814" TargetMode="External"/><Relationship Id="rId57" Type="http://schemas.openxmlformats.org/officeDocument/2006/relationships/hyperlink" Target="https://github.com/elastic/elasticsearch/issues/1948" TargetMode="External"/><Relationship Id="rId56" Type="http://schemas.openxmlformats.org/officeDocument/2006/relationships/hyperlink" Target="https://github.com/elastic/elasticsearch/commit/14237317fce" TargetMode="External"/><Relationship Id="rId59" Type="http://schemas.openxmlformats.org/officeDocument/2006/relationships/hyperlink" Target="https://github.com/elastic/elasticsearch/commit/3b967040da2" TargetMode="External"/><Relationship Id="rId58" Type="http://schemas.openxmlformats.org/officeDocument/2006/relationships/hyperlink" Target="https://github.com/elastic/elasticsearch/commit/0c732b8bf30e8cd68a6b00cac7ff156c3d19ade1" TargetMode="External"/><Relationship Id="rId107" Type="http://schemas.openxmlformats.org/officeDocument/2006/relationships/hyperlink" Target="https://github.com/elastic/elasticsearch/issues/5048" TargetMode="External"/><Relationship Id="rId228" Type="http://schemas.openxmlformats.org/officeDocument/2006/relationships/hyperlink" Target="https://opendev.org/openstack/nova/commit/33e3d4c6b9" TargetMode="External"/><Relationship Id="rId349" Type="http://schemas.openxmlformats.org/officeDocument/2006/relationships/hyperlink" Target="https://review.opendev.org/c/openstack/nova/+/102324" TargetMode="External"/><Relationship Id="rId106" Type="http://schemas.openxmlformats.org/officeDocument/2006/relationships/hyperlink" Target="https://github.com/elastic/elasticsearch/issues/1305" TargetMode="External"/><Relationship Id="rId227" Type="http://schemas.openxmlformats.org/officeDocument/2006/relationships/hyperlink" Target="https://opendev.org/openstack/nova/commit/a7de013891da5afd43c2aa2dd6dad61048799230" TargetMode="External"/><Relationship Id="rId348" Type="http://schemas.openxmlformats.org/officeDocument/2006/relationships/hyperlink" Target="https://opendev.org/openstack/nova/commit/60c90f7" TargetMode="External"/><Relationship Id="rId105" Type="http://schemas.openxmlformats.org/officeDocument/2006/relationships/hyperlink" Target="https://github.com/elastic/elasticsearch/issues/3300" TargetMode="External"/><Relationship Id="rId226" Type="http://schemas.openxmlformats.org/officeDocument/2006/relationships/hyperlink" Target="https://bugs.launchpad.net/nova/+bug/1370177" TargetMode="External"/><Relationship Id="rId347" Type="http://schemas.openxmlformats.org/officeDocument/2006/relationships/hyperlink" Target="https://opendev.org/openstack/nova/commit/96a2283c1a07f0298c57f57d8c4112c1c33b6128" TargetMode="External"/><Relationship Id="rId104" Type="http://schemas.openxmlformats.org/officeDocument/2006/relationships/hyperlink" Target="https://github.com/elastic/elasticsearch/issues/3300" TargetMode="External"/><Relationship Id="rId225" Type="http://schemas.openxmlformats.org/officeDocument/2006/relationships/hyperlink" Target="https://www.mail-archive.com/openstack-dev@lists.openstack.org/" TargetMode="External"/><Relationship Id="rId346" Type="http://schemas.openxmlformats.org/officeDocument/2006/relationships/hyperlink" Target="https://bugs.launchpad.net/nova/+bug/1453274" TargetMode="External"/><Relationship Id="rId109" Type="http://schemas.openxmlformats.org/officeDocument/2006/relationships/hyperlink" Target="https://github.com/elastic/elasticsearch/commit/c7f6c52" TargetMode="External"/><Relationship Id="rId108" Type="http://schemas.openxmlformats.org/officeDocument/2006/relationships/hyperlink" Target="https://github.com/elastic/elasticsearch/commit/6106944" TargetMode="External"/><Relationship Id="rId229" Type="http://schemas.openxmlformats.org/officeDocument/2006/relationships/hyperlink" Target="https://review.opendev.org/c/openstack/nova/+/59034" TargetMode="External"/><Relationship Id="rId220" Type="http://schemas.openxmlformats.org/officeDocument/2006/relationships/hyperlink" Target="https://opendev.org/openstack/nova/commit/5f93c841a80663b68da2fb04df78d5acd0754d68" TargetMode="External"/><Relationship Id="rId341" Type="http://schemas.openxmlformats.org/officeDocument/2006/relationships/hyperlink" Target="https://opendev.org/openstack/nova/commit/1682c5b" TargetMode="External"/><Relationship Id="rId340" Type="http://schemas.openxmlformats.org/officeDocument/2006/relationships/hyperlink" Target="https://opendev.org/openstack/nova/commit/7471b5a0924c8cb90b94ea122967b422d35d9c69" TargetMode="External"/><Relationship Id="rId103" Type="http://schemas.openxmlformats.org/officeDocument/2006/relationships/hyperlink" Target="https://github.com/elastic/elasticsearch/commit/c7f6c5266" TargetMode="External"/><Relationship Id="rId224" Type="http://schemas.openxmlformats.org/officeDocument/2006/relationships/hyperlink" Target="https://bugs.launchpad.net/nova/+bug/1243083" TargetMode="External"/><Relationship Id="rId345" Type="http://schemas.openxmlformats.org/officeDocument/2006/relationships/hyperlink" Target="https://www.mail-archive.com/openstack-dev@lists.openstack.org/" TargetMode="External"/><Relationship Id="rId102" Type="http://schemas.openxmlformats.org/officeDocument/2006/relationships/hyperlink" Target="https://github.com/elastic/elasticsearch/commit/e1c1120" TargetMode="External"/><Relationship Id="rId223" Type="http://schemas.openxmlformats.org/officeDocument/2006/relationships/hyperlink" Target="https://bugs.launchpad.net/nova/+bug/1243083" TargetMode="External"/><Relationship Id="rId344" Type="http://schemas.openxmlformats.org/officeDocument/2006/relationships/hyperlink" Target="https://blueprints.launchpad.net/nova/+spec/use-configdrive-with-ironic" TargetMode="External"/><Relationship Id="rId101" Type="http://schemas.openxmlformats.org/officeDocument/2006/relationships/hyperlink" Target="https://github.com/elastic/elasticsearch/issues/5021" TargetMode="External"/><Relationship Id="rId222" Type="http://schemas.openxmlformats.org/officeDocument/2006/relationships/hyperlink" Target="https://review.opendev.org/c/openstack/nova/+/53069" TargetMode="External"/><Relationship Id="rId343" Type="http://schemas.openxmlformats.org/officeDocument/2006/relationships/hyperlink" Target="https://blueprints.launchpad.net/nova/+spec/use-configdrive-with-ironic" TargetMode="External"/><Relationship Id="rId100" Type="http://schemas.openxmlformats.org/officeDocument/2006/relationships/hyperlink" Target="https://github.com/elastic/elasticsearch/issues/4557" TargetMode="External"/><Relationship Id="rId221" Type="http://schemas.openxmlformats.org/officeDocument/2006/relationships/hyperlink" Target="https://opendev.org/openstack/nova/commit/0fcbb7b" TargetMode="External"/><Relationship Id="rId342" Type="http://schemas.openxmlformats.org/officeDocument/2006/relationships/hyperlink" Target="https://review.opendev.org/c/openstack/nova/+/144792" TargetMode="External"/><Relationship Id="rId217" Type="http://schemas.openxmlformats.org/officeDocument/2006/relationships/hyperlink" Target="https://review.opendev.org/c/openstack/nova/+/1324" TargetMode="External"/><Relationship Id="rId338" Type="http://schemas.openxmlformats.org/officeDocument/2006/relationships/hyperlink" Target="https://www.mail-archive.com/openstack-dev@lists.openstack.org/" TargetMode="External"/><Relationship Id="rId216" Type="http://schemas.openxmlformats.org/officeDocument/2006/relationships/hyperlink" Target="https://opendev.org/openstack/nova/commit/e7aa4022374fb35d2131a7c633212c5d6302db3d" TargetMode="External"/><Relationship Id="rId337" Type="http://schemas.openxmlformats.org/officeDocument/2006/relationships/hyperlink" Target="https://bugs.launchpad.net/nova/+bug/1456321" TargetMode="External"/><Relationship Id="rId215" Type="http://schemas.openxmlformats.org/officeDocument/2006/relationships/hyperlink" Target="https://opendev.org/openstack/nova/commit/e516de74c192591e890f4e9586d8e70bb8d9203e" TargetMode="External"/><Relationship Id="rId336" Type="http://schemas.openxmlformats.org/officeDocument/2006/relationships/hyperlink" Target="https://blueprints.launchpad.net/nova/+spec/better-support-for-multiple-networks" TargetMode="External"/><Relationship Id="rId214" Type="http://schemas.openxmlformats.org/officeDocument/2006/relationships/hyperlink" Target="https://bugs.launchpad.net/nova/+bug/1343080" TargetMode="External"/><Relationship Id="rId335" Type="http://schemas.openxmlformats.org/officeDocument/2006/relationships/hyperlink" Target="https://blueprints.launchpad.net/nova/+spec/better-support-for-multiple-networks" TargetMode="External"/><Relationship Id="rId219" Type="http://schemas.openxmlformats.org/officeDocument/2006/relationships/hyperlink" Target="https://bugs.launchpad.net/nova/+bug/1367363" TargetMode="External"/><Relationship Id="rId218" Type="http://schemas.openxmlformats.org/officeDocument/2006/relationships/hyperlink" Target="https://www.mail-archive.com/openstack-dev@lists.openstack.org/" TargetMode="External"/><Relationship Id="rId339" Type="http://schemas.openxmlformats.org/officeDocument/2006/relationships/hyperlink" Target="https://bugs.launchpad.net/nova/+bug/1447249" TargetMode="External"/><Relationship Id="rId330" Type="http://schemas.openxmlformats.org/officeDocument/2006/relationships/hyperlink" Target="https://www.mail-archive.com/openstack-dev@lists.openstack.org/" TargetMode="External"/><Relationship Id="rId213" Type="http://schemas.openxmlformats.org/officeDocument/2006/relationships/hyperlink" Target="https://www.mail-archive.com/openstack-dev@lists.openstack.org/" TargetMode="External"/><Relationship Id="rId334" Type="http://schemas.openxmlformats.org/officeDocument/2006/relationships/hyperlink" Target="https://review.opendev.org/c/openstack/nova/+/93754" TargetMode="External"/><Relationship Id="rId212" Type="http://schemas.openxmlformats.org/officeDocument/2006/relationships/hyperlink" Target="https://bugs.launchpad.net/nova/+bug/1437516" TargetMode="External"/><Relationship Id="rId333" Type="http://schemas.openxmlformats.org/officeDocument/2006/relationships/hyperlink" Target="https://opendev.org/openstack/nova/commit/447641972539f1" TargetMode="External"/><Relationship Id="rId211" Type="http://schemas.openxmlformats.org/officeDocument/2006/relationships/hyperlink" Target="https://blueprints.launchpad.net/nova/+spec/remove-cast-to-schedule-run-instance" TargetMode="External"/><Relationship Id="rId332" Type="http://schemas.openxmlformats.org/officeDocument/2006/relationships/hyperlink" Target="https://opendev.org/openstack/nova/commit/f697befdd3a0f9b81ff9a74f55e4460cd3783692" TargetMode="External"/><Relationship Id="rId210" Type="http://schemas.openxmlformats.org/officeDocument/2006/relationships/hyperlink" Target="https://blueprints.launchpad.net/nova/+spec/remove-cast-to-schedule-run-instance" TargetMode="External"/><Relationship Id="rId331" Type="http://schemas.openxmlformats.org/officeDocument/2006/relationships/hyperlink" Target="https://bugs.launchpad.net/nova/+bug/1443970" TargetMode="External"/><Relationship Id="rId370" Type="http://schemas.openxmlformats.org/officeDocument/2006/relationships/hyperlink" Target="https://opendev.org/openstack/nova/commit/0eb7e35fbf" TargetMode="External"/><Relationship Id="rId129" Type="http://schemas.openxmlformats.org/officeDocument/2006/relationships/hyperlink" Target="https://github.com/elastic/elasticsearch/commit/9c8beb8" TargetMode="External"/><Relationship Id="rId128" Type="http://schemas.openxmlformats.org/officeDocument/2006/relationships/hyperlink" Target="https://github.com/elastic/elasticsearch/issues/7686" TargetMode="External"/><Relationship Id="rId249" Type="http://schemas.openxmlformats.org/officeDocument/2006/relationships/hyperlink" Target="https://bugs.launchpad.net/nova/+bug/1375379" TargetMode="External"/><Relationship Id="rId127" Type="http://schemas.openxmlformats.org/officeDocument/2006/relationships/hyperlink" Target="https://github.com/elastic/elasticsearch/commit/4c34840" TargetMode="External"/><Relationship Id="rId248" Type="http://schemas.openxmlformats.org/officeDocument/2006/relationships/hyperlink" Target="https://www.mail-archive.com/openstack-dev@lists.openstack.org/" TargetMode="External"/><Relationship Id="rId369" Type="http://schemas.openxmlformats.org/officeDocument/2006/relationships/hyperlink" Target="https://opendev.org/openstack/nova/commit/7c0e2238eb003ac0c620f4b63fa92baa6675e724" TargetMode="External"/><Relationship Id="rId126" Type="http://schemas.openxmlformats.org/officeDocument/2006/relationships/hyperlink" Target="https://github.com/elastic/elasticsearch/commit/2a0e0b767ad4275dabd7abf4625b6ad5f8a8757" TargetMode="External"/><Relationship Id="rId247" Type="http://schemas.openxmlformats.org/officeDocument/2006/relationships/hyperlink" Target="https://blueprints.launchpad.net/nova/+spec/lvm-ephemeral-storage-encryption" TargetMode="External"/><Relationship Id="rId368" Type="http://schemas.openxmlformats.org/officeDocument/2006/relationships/hyperlink" Target="https://bugs.launchpad.net/nova/+bug/1475356" TargetMode="External"/><Relationship Id="rId121" Type="http://schemas.openxmlformats.org/officeDocument/2006/relationships/hyperlink" Target="https://github.com/elastic/elasticsearch/issues/46700" TargetMode="External"/><Relationship Id="rId242" Type="http://schemas.openxmlformats.org/officeDocument/2006/relationships/hyperlink" Target="https://bugs.launchpad.net/nova/+bug/1371677" TargetMode="External"/><Relationship Id="rId363" Type="http://schemas.openxmlformats.org/officeDocument/2006/relationships/hyperlink" Target="https://opendev.org/openstack/nova/commit/0e02db2980dc4e76ef7949ba4ec131af9fc4a44d" TargetMode="External"/><Relationship Id="rId120" Type="http://schemas.openxmlformats.org/officeDocument/2006/relationships/hyperlink" Target="https://github.com/elastic/elasticsearch/issues/46700" TargetMode="External"/><Relationship Id="rId241" Type="http://schemas.openxmlformats.org/officeDocument/2006/relationships/hyperlink" Target="https://www.mail-archive.com/openstack-dev@lists.openstack.org/" TargetMode="External"/><Relationship Id="rId362" Type="http://schemas.openxmlformats.org/officeDocument/2006/relationships/hyperlink" Target="https://opendev.org/openstack/nova/commit/a02deffcfab6cc9a7b0764dd36b8514f6cb1a108" TargetMode="External"/><Relationship Id="rId240" Type="http://schemas.openxmlformats.org/officeDocument/2006/relationships/hyperlink" Target="https://bugs.launchpad.net/nova/+bug/1387539" TargetMode="External"/><Relationship Id="rId361" Type="http://schemas.openxmlformats.org/officeDocument/2006/relationships/hyperlink" Target="https://bugs.launchpad.net/nova/+bug/1467451" TargetMode="External"/><Relationship Id="rId360" Type="http://schemas.openxmlformats.org/officeDocument/2006/relationships/hyperlink" Target="https://www.mail-archive.com/openstack-dev@lists.openstack.org/" TargetMode="External"/><Relationship Id="rId125" Type="http://schemas.openxmlformats.org/officeDocument/2006/relationships/hyperlink" Target="https://github.com/elastic/elasticsearch/issues/764" TargetMode="External"/><Relationship Id="rId246" Type="http://schemas.openxmlformats.org/officeDocument/2006/relationships/hyperlink" Target="https://blueprints.launchpad.net/nova/+spec/lvm-ephemeral-storage-encryption" TargetMode="External"/><Relationship Id="rId367" Type="http://schemas.openxmlformats.org/officeDocument/2006/relationships/hyperlink" Target="https://www.mail-archive.com/openstack-dev@lists.openstack.org/" TargetMode="External"/><Relationship Id="rId124" Type="http://schemas.openxmlformats.org/officeDocument/2006/relationships/hyperlink" Target="https://github.com/elastic/elasticsearch/commit/575250e" TargetMode="External"/><Relationship Id="rId245" Type="http://schemas.openxmlformats.org/officeDocument/2006/relationships/hyperlink" Target="https://review.opendev.org/c/openstack/nova/+/40467" TargetMode="External"/><Relationship Id="rId366" Type="http://schemas.openxmlformats.org/officeDocument/2006/relationships/hyperlink" Target="https://blueprints.launchpad.net/nova/+spec/hyper-v-smbfs-volume-support" TargetMode="External"/><Relationship Id="rId123" Type="http://schemas.openxmlformats.org/officeDocument/2006/relationships/hyperlink" Target="https://github.com/elastic/elasticsearch/commit/cb9cf948dfaf8c91625dca9f436feacdc5c2deb9" TargetMode="External"/><Relationship Id="rId244" Type="http://schemas.openxmlformats.org/officeDocument/2006/relationships/hyperlink" Target="https://opendev.org/openstack/nova/commit/5fa74bc" TargetMode="External"/><Relationship Id="rId365" Type="http://schemas.openxmlformats.org/officeDocument/2006/relationships/hyperlink" Target="https://blueprints.launchpad.net/nova/+spec/hyper-v-smbfs-volume-support" TargetMode="External"/><Relationship Id="rId122" Type="http://schemas.openxmlformats.org/officeDocument/2006/relationships/hyperlink" Target="https://github.com/elastic/elasticsearch/issues/7623" TargetMode="External"/><Relationship Id="rId243" Type="http://schemas.openxmlformats.org/officeDocument/2006/relationships/hyperlink" Target="https://opendev.org/openstack/nova/commit/833357301bc80a27422f7bf081fae2d3da730a24" TargetMode="External"/><Relationship Id="rId364" Type="http://schemas.openxmlformats.org/officeDocument/2006/relationships/hyperlink" Target="https://review.opendev.org/c/openstack/nova/+/129235" TargetMode="External"/><Relationship Id="rId95" Type="http://schemas.openxmlformats.org/officeDocument/2006/relationships/hyperlink" Target="https://github.com/elastic/elasticsearch/commit/f444ed4" TargetMode="External"/><Relationship Id="rId94" Type="http://schemas.openxmlformats.org/officeDocument/2006/relationships/hyperlink" Target="https://github.com/elastic/elasticsearch/commit/beaa915" TargetMode="External"/><Relationship Id="rId97" Type="http://schemas.openxmlformats.org/officeDocument/2006/relationships/hyperlink" Target="https://github.com/elastic/elasticsearch/commit/af1513f" TargetMode="External"/><Relationship Id="rId96" Type="http://schemas.openxmlformats.org/officeDocument/2006/relationships/hyperlink" Target="https://github.com/elastic/elasticsearch/issues/4814" TargetMode="External"/><Relationship Id="rId99" Type="http://schemas.openxmlformats.org/officeDocument/2006/relationships/hyperlink" Target="https://github.com/elastic/elasticsearch/issues/4557" TargetMode="External"/><Relationship Id="rId98" Type="http://schemas.openxmlformats.org/officeDocument/2006/relationships/hyperlink" Target="https://github.com/elastic/elasticsearch/commit/4271d57" TargetMode="External"/><Relationship Id="rId91" Type="http://schemas.openxmlformats.org/officeDocument/2006/relationships/hyperlink" Target="https://github.com/elastic/elasticsearch/commit/109e2944f2e0cfea948ee77aabb7a022e0146ada" TargetMode="External"/><Relationship Id="rId90" Type="http://schemas.openxmlformats.org/officeDocument/2006/relationships/hyperlink" Target="https://github.com/elastic/elasticsearch/issues/3560" TargetMode="External"/><Relationship Id="rId93" Type="http://schemas.openxmlformats.org/officeDocument/2006/relationships/hyperlink" Target="https://github.com/elastic/elasticsearch/issues/4581" TargetMode="External"/><Relationship Id="rId92" Type="http://schemas.openxmlformats.org/officeDocument/2006/relationships/hyperlink" Target="https://github.com/elastic/elasticsearch/commit/4930b93" TargetMode="External"/><Relationship Id="rId118" Type="http://schemas.openxmlformats.org/officeDocument/2006/relationships/hyperlink" Target="https://github.com/elastic/elasticsearch/commit/aa4dc09" TargetMode="External"/><Relationship Id="rId239" Type="http://schemas.openxmlformats.org/officeDocument/2006/relationships/hyperlink" Target="https://blueprints.launchpad.net/nova/+spec/libvirt-start-lxc-from-block-devices" TargetMode="External"/><Relationship Id="rId117" Type="http://schemas.openxmlformats.org/officeDocument/2006/relationships/hyperlink" Target="https://github.com/elastic/elasticsearch/issues/5948" TargetMode="External"/><Relationship Id="rId238" Type="http://schemas.openxmlformats.org/officeDocument/2006/relationships/hyperlink" Target="https://blueprints.launchpad.net/nova/+spec/libvirt-start-lxc-from-block-devices" TargetMode="External"/><Relationship Id="rId359" Type="http://schemas.openxmlformats.org/officeDocument/2006/relationships/hyperlink" Target="https://blueprints.launchpad.net/nova/+spec/instance-group-api-extension" TargetMode="External"/><Relationship Id="rId116" Type="http://schemas.openxmlformats.org/officeDocument/2006/relationships/hyperlink" Target="https://github.com/elastic/elasticsearch/issues/3574" TargetMode="External"/><Relationship Id="rId237" Type="http://schemas.openxmlformats.org/officeDocument/2006/relationships/hyperlink" Target="https://review.opendev.org/c/openstack/nova/+/74537" TargetMode="External"/><Relationship Id="rId358" Type="http://schemas.openxmlformats.org/officeDocument/2006/relationships/hyperlink" Target="https://blueprints.launchpad.net/nova/+spec/instance-group-api-extension" TargetMode="External"/><Relationship Id="rId115" Type="http://schemas.openxmlformats.org/officeDocument/2006/relationships/hyperlink" Target="https://github.com/elastic/elasticsearch/issues/3574" TargetMode="External"/><Relationship Id="rId236" Type="http://schemas.openxmlformats.org/officeDocument/2006/relationships/hyperlink" Target="https://opendev.org/openstack/nova/commit/7326bac8f95" TargetMode="External"/><Relationship Id="rId357" Type="http://schemas.openxmlformats.org/officeDocument/2006/relationships/hyperlink" Target="https://review.opendev.org/c/openstack/nova/+/28880" TargetMode="External"/><Relationship Id="rId119" Type="http://schemas.openxmlformats.org/officeDocument/2006/relationships/hyperlink" Target="https://github.com/elastic/elasticsearch/commit/b35ca1a" TargetMode="External"/><Relationship Id="rId110" Type="http://schemas.openxmlformats.org/officeDocument/2006/relationships/hyperlink" Target="https://github.com/elastic/elasticsearch/issues/3300" TargetMode="External"/><Relationship Id="rId231" Type="http://schemas.openxmlformats.org/officeDocument/2006/relationships/hyperlink" Target="https://blueprints.launchpad.net/nova/+spec/clean-up-legacy-block-device-mapping" TargetMode="External"/><Relationship Id="rId352" Type="http://schemas.openxmlformats.org/officeDocument/2006/relationships/hyperlink" Target="https://bugs.launchpad.net/nova/+bug/1388386" TargetMode="External"/><Relationship Id="rId230" Type="http://schemas.openxmlformats.org/officeDocument/2006/relationships/hyperlink" Target="https://blueprints.launchpad.net/nova/+spec/icehouse-objects" TargetMode="External"/><Relationship Id="rId351" Type="http://schemas.openxmlformats.org/officeDocument/2006/relationships/hyperlink" Target="https://bugs.launchpad.net/nova/+bug/1333827" TargetMode="External"/><Relationship Id="rId350" Type="http://schemas.openxmlformats.org/officeDocument/2006/relationships/hyperlink" Target="https://bugs.launchpad.net/nova/+bug/1333827" TargetMode="External"/><Relationship Id="rId114" Type="http://schemas.openxmlformats.org/officeDocument/2006/relationships/hyperlink" Target="https://github.com/elastic/elasticsearch/commit/3ca0239" TargetMode="External"/><Relationship Id="rId235" Type="http://schemas.openxmlformats.org/officeDocument/2006/relationships/hyperlink" Target="https://opendev.org/openstack/nova/commit/de62c0d8361bf9dae16a8ff1672229fee1c15e5e" TargetMode="External"/><Relationship Id="rId356" Type="http://schemas.openxmlformats.org/officeDocument/2006/relationships/hyperlink" Target="https://opendev.org/openstack/nova/commit/501ff41" TargetMode="External"/><Relationship Id="rId113" Type="http://schemas.openxmlformats.org/officeDocument/2006/relationships/hyperlink" Target="https://github.com/elastic/elasticsearch/commit/3dec916" TargetMode="External"/><Relationship Id="rId234" Type="http://schemas.openxmlformats.org/officeDocument/2006/relationships/hyperlink" Target="https://bugs.launchpad.net/nova/+bug/1370590" TargetMode="External"/><Relationship Id="rId355" Type="http://schemas.openxmlformats.org/officeDocument/2006/relationships/hyperlink" Target="https://opendev.org/openstack/nova/commit/d4d23124a54a62607f710c44a871c0810105729a" TargetMode="External"/><Relationship Id="rId112" Type="http://schemas.openxmlformats.org/officeDocument/2006/relationships/hyperlink" Target="https://github.com/elastic/elasticsearch/issues/5165" TargetMode="External"/><Relationship Id="rId233" Type="http://schemas.openxmlformats.org/officeDocument/2006/relationships/hyperlink" Target="https://www.mail-archive.com/openstack-dev@lists.openstack.org/" TargetMode="External"/><Relationship Id="rId354" Type="http://schemas.openxmlformats.org/officeDocument/2006/relationships/hyperlink" Target="https://bugs.launchpad.net/nova/+bug/1466390" TargetMode="External"/><Relationship Id="rId111" Type="http://schemas.openxmlformats.org/officeDocument/2006/relationships/hyperlink" Target="https://github.com/elastic/elasticsearch/issues/3300" TargetMode="External"/><Relationship Id="rId232" Type="http://schemas.openxmlformats.org/officeDocument/2006/relationships/hyperlink" Target="https://bugs.launchpad.net/nova/+bug/1470834" TargetMode="External"/><Relationship Id="rId353" Type="http://schemas.openxmlformats.org/officeDocument/2006/relationships/hyperlink" Target="https://www.mail-archive.com/openstack-dev@lists.openstack.org/" TargetMode="External"/><Relationship Id="rId305" Type="http://schemas.openxmlformats.org/officeDocument/2006/relationships/hyperlink" Target="https://review.opendev.org/c/openstack/nova/+/26113" TargetMode="External"/><Relationship Id="rId304" Type="http://schemas.openxmlformats.org/officeDocument/2006/relationships/hyperlink" Target="https://opendev.org/openstack/nova/commit/1b2c121f133b1" TargetMode="External"/><Relationship Id="rId303" Type="http://schemas.openxmlformats.org/officeDocument/2006/relationships/hyperlink" Target="https://opendev.org/openstack/nova/commit/c5dfd2c3ef773b29666fae3fe75bf7548044dbf5" TargetMode="External"/><Relationship Id="rId302" Type="http://schemas.openxmlformats.org/officeDocument/2006/relationships/hyperlink" Target="https://bugs.launchpad.net/nova/+bug/1437855" TargetMode="External"/><Relationship Id="rId309" Type="http://schemas.openxmlformats.org/officeDocument/2006/relationships/hyperlink" Target="https://bugs.launchpad.net/nova/+bug/1438331" TargetMode="External"/><Relationship Id="rId308" Type="http://schemas.openxmlformats.org/officeDocument/2006/relationships/hyperlink" Target="https://www.mail-archive.com/openstack-dev@lists.openstack.org/" TargetMode="External"/><Relationship Id="rId307" Type="http://schemas.openxmlformats.org/officeDocument/2006/relationships/hyperlink" Target="https://blueprints.launchpad.net/nova/+spec/multi-nic-floating-ip-assignment" TargetMode="External"/><Relationship Id="rId306" Type="http://schemas.openxmlformats.org/officeDocument/2006/relationships/hyperlink" Target="https://blueprints.launchpad.net/nova/+spec/multi-nic-floating-ip-assignment" TargetMode="External"/><Relationship Id="rId301" Type="http://schemas.openxmlformats.org/officeDocument/2006/relationships/hyperlink" Target="https://www.mail-archive.com/openstack-dev@lists.openstack.org/" TargetMode="External"/><Relationship Id="rId300" Type="http://schemas.openxmlformats.org/officeDocument/2006/relationships/hyperlink" Target="https://opendev.org/openstack/nova/commit/abc656d" TargetMode="External"/><Relationship Id="rId206" Type="http://schemas.openxmlformats.org/officeDocument/2006/relationships/hyperlink" Target="https://bugs.launchpad.net/nova/+bug/1336127" TargetMode="External"/><Relationship Id="rId327" Type="http://schemas.openxmlformats.org/officeDocument/2006/relationships/hyperlink" Target="https://bugs.launchpad.net/nova/+bug/1407438" TargetMode="External"/><Relationship Id="rId205" Type="http://schemas.openxmlformats.org/officeDocument/2006/relationships/hyperlink" Target="https://www.mail-archive.com/openstack-dev@lists.openstack.org/" TargetMode="External"/><Relationship Id="rId326" Type="http://schemas.openxmlformats.org/officeDocument/2006/relationships/hyperlink" Target="https://review.opendev.org/c/openstack/nova/+/145007" TargetMode="External"/><Relationship Id="rId204" Type="http://schemas.openxmlformats.org/officeDocument/2006/relationships/hyperlink" Target="https://blueprints.launchpad.net/nova/+spec/eliminate-clear-passwords-from-cells-table" TargetMode="External"/><Relationship Id="rId325" Type="http://schemas.openxmlformats.org/officeDocument/2006/relationships/hyperlink" Target="https://opendev.org/openstack/nova/commit/f3f1a53f" TargetMode="External"/><Relationship Id="rId203" Type="http://schemas.openxmlformats.org/officeDocument/2006/relationships/hyperlink" Target="https://blueprints.launchpad.net/nova/+spec/eliminate-clear-passwords-from-cells-table" TargetMode="External"/><Relationship Id="rId324" Type="http://schemas.openxmlformats.org/officeDocument/2006/relationships/hyperlink" Target="https://opendev.org/openstack/nova/commit/3a77c7c570acee40100f2fae77ef5b461997b78e" TargetMode="External"/><Relationship Id="rId209" Type="http://schemas.openxmlformats.org/officeDocument/2006/relationships/hyperlink" Target="https://review.opendev.org/c/openstack/nova/+/42389" TargetMode="External"/><Relationship Id="rId208" Type="http://schemas.openxmlformats.org/officeDocument/2006/relationships/hyperlink" Target="https://opendev.org/openstack/nova/commit/2c62e34" TargetMode="External"/><Relationship Id="rId329" Type="http://schemas.openxmlformats.org/officeDocument/2006/relationships/hyperlink" Target="https://bugs.launchpad.net/nova/+bug/1402784" TargetMode="External"/><Relationship Id="rId207" Type="http://schemas.openxmlformats.org/officeDocument/2006/relationships/hyperlink" Target="https://opendev.org/openstack/nova/commit/6ddd9f93f82427ce909c7773f7a806361035a0b2" TargetMode="External"/><Relationship Id="rId328" Type="http://schemas.openxmlformats.org/officeDocument/2006/relationships/hyperlink" Target="https://bugs.launchpad.net/nova/+bug/1407050" TargetMode="External"/><Relationship Id="rId202" Type="http://schemas.openxmlformats.org/officeDocument/2006/relationships/hyperlink" Target="https://review.opendev.org/c/openstack/nova/+/34464" TargetMode="External"/><Relationship Id="rId323" Type="http://schemas.openxmlformats.org/officeDocument/2006/relationships/hyperlink" Target="https://bugs.launchpad.net/nova/+bug/1443697" TargetMode="External"/><Relationship Id="rId201" Type="http://schemas.openxmlformats.org/officeDocument/2006/relationships/hyperlink" Target="https://opendev.org/openstack/nova/commit/88ab936" TargetMode="External"/><Relationship Id="rId322" Type="http://schemas.openxmlformats.org/officeDocument/2006/relationships/hyperlink" Target="https://www.mail-archive.com/openstack-dev@lists.openstack.org/" TargetMode="External"/><Relationship Id="rId200" Type="http://schemas.openxmlformats.org/officeDocument/2006/relationships/hyperlink" Target="https://opendev.org/openstack/nova/commit/695191fa89387d96e60120ff32965493c844e7f5" TargetMode="External"/><Relationship Id="rId321" Type="http://schemas.openxmlformats.org/officeDocument/2006/relationships/hyperlink" Target="https://bugs.launchpad.net/nova/+bug/1414065" TargetMode="External"/><Relationship Id="rId320" Type="http://schemas.openxmlformats.org/officeDocument/2006/relationships/hyperlink" Target="https://bugs.launchpad.net/nova/+bug/1414065" TargetMode="External"/><Relationship Id="rId316" Type="http://schemas.openxmlformats.org/officeDocument/2006/relationships/hyperlink" Target="https://bugs.launchpad.net/nova/+bug/1441000" TargetMode="External"/><Relationship Id="rId315" Type="http://schemas.openxmlformats.org/officeDocument/2006/relationships/hyperlink" Target="https://www.mail-archive.com/openstack-dev@lists.openstack.org/" TargetMode="External"/><Relationship Id="rId314" Type="http://schemas.openxmlformats.org/officeDocument/2006/relationships/hyperlink" Target="https://bugs.launchpad.net/nova/+bug/1346092" TargetMode="External"/><Relationship Id="rId313" Type="http://schemas.openxmlformats.org/officeDocument/2006/relationships/hyperlink" Target="https://bugs.launchpad.net/nova/+bug/1346092" TargetMode="External"/><Relationship Id="rId319" Type="http://schemas.openxmlformats.org/officeDocument/2006/relationships/hyperlink" Target="https://review.opendev.org/c/openstack/nova/+/151664" TargetMode="External"/><Relationship Id="rId318" Type="http://schemas.openxmlformats.org/officeDocument/2006/relationships/hyperlink" Target="https://opendev.org/openstack/nova/commit/7dd6a4a" TargetMode="External"/><Relationship Id="rId317" Type="http://schemas.openxmlformats.org/officeDocument/2006/relationships/hyperlink" Target="https://opendev.org/openstack/nova/commit/3946cfd900b18917fccdc7330bc4f070d7abd81d" TargetMode="External"/><Relationship Id="rId312" Type="http://schemas.openxmlformats.org/officeDocument/2006/relationships/hyperlink" Target="https://review.opendev.org/c/openstack/nova/+/94294" TargetMode="External"/><Relationship Id="rId311" Type="http://schemas.openxmlformats.org/officeDocument/2006/relationships/hyperlink" Target="https://opendev.org/openstack/nova/commit/13e2bd0" TargetMode="External"/><Relationship Id="rId310" Type="http://schemas.openxmlformats.org/officeDocument/2006/relationships/hyperlink" Target="https://opendev.org/openstack/nova/commit/a37bc78ed57aeabbb87b26f77fd785db3ee6a9ba" TargetMode="External"/></Relationships>
</file>

<file path=xl/worksheets/_rels/sheet12.xml.rels><?xml version="1.0" encoding="UTF-8" standalone="yes"?><Relationships xmlns="http://schemas.openxmlformats.org/package/2006/relationships"><Relationship Id="rId190" Type="http://schemas.openxmlformats.org/officeDocument/2006/relationships/hyperlink" Target="https://wiki.openstack.org/wiki/ThirdPartySystems/Intel-PCI-CI" TargetMode="External"/><Relationship Id="rId194" Type="http://schemas.openxmlformats.org/officeDocument/2006/relationships/hyperlink" Target="http://test.py/" TargetMode="External"/><Relationship Id="rId193" Type="http://schemas.openxmlformats.org/officeDocument/2006/relationships/hyperlink" Target="http://setup.py" TargetMode="External"/><Relationship Id="rId192" Type="http://schemas.openxmlformats.org/officeDocument/2006/relationships/hyperlink" Target="https://pypi.org/project/tempest/" TargetMode="External"/><Relationship Id="rId191" Type="http://schemas.openxmlformats.org/officeDocument/2006/relationships/hyperlink" Target="http://run_ztests.sh/" TargetMode="External"/><Relationship Id="rId187" Type="http://schemas.openxmlformats.org/officeDocument/2006/relationships/hyperlink" Target="https://wiki.openstack.org/wiki/ThirdPartySystems/XenServer_CI" TargetMode="External"/><Relationship Id="rId186" Type="http://schemas.openxmlformats.org/officeDocument/2006/relationships/hyperlink" Target="https://wiki.openstack.org/wiki/ThirdPartySystems/Hyper-V_CI" TargetMode="External"/><Relationship Id="rId185" Type="http://schemas.openxmlformats.org/officeDocument/2006/relationships/hyperlink" Target="http://test.py/" TargetMode="External"/><Relationship Id="rId184" Type="http://schemas.openxmlformats.org/officeDocument/2006/relationships/hyperlink" Target="http://setup.py" TargetMode="External"/><Relationship Id="rId189" Type="http://schemas.openxmlformats.org/officeDocument/2006/relationships/hyperlink" Target="https://wiki.openstack.org/wiki/ThirdPartySystems/XenServer_CI" TargetMode="External"/><Relationship Id="rId188" Type="http://schemas.openxmlformats.org/officeDocument/2006/relationships/hyperlink" Target="https://wiki.openstack.org/wiki/ThirdPartySystems/VMware_CI" TargetMode="External"/><Relationship Id="rId183" Type="http://schemas.openxmlformats.org/officeDocument/2006/relationships/hyperlink" Target="https://pypi.org/project/tempest/" TargetMode="External"/><Relationship Id="rId182" Type="http://schemas.openxmlformats.org/officeDocument/2006/relationships/hyperlink" Target="http://run_ztests.sh/" TargetMode="External"/><Relationship Id="rId181" Type="http://schemas.openxmlformats.org/officeDocument/2006/relationships/hyperlink" Target="https://wiki.openstack.org/wiki/ThirdPartySystems/XenServer_CI" TargetMode="External"/><Relationship Id="rId180" Type="http://schemas.openxmlformats.org/officeDocument/2006/relationships/hyperlink" Target="https://wiki.openstack.org/wiki/ThirdPartySystems/VMware_CI" TargetMode="External"/><Relationship Id="rId176" Type="http://schemas.openxmlformats.org/officeDocument/2006/relationships/hyperlink" Target="http://setup.py" TargetMode="External"/><Relationship Id="rId175" Type="http://schemas.openxmlformats.org/officeDocument/2006/relationships/hyperlink" Target="https://pypi.org/project/tempest/" TargetMode="External"/><Relationship Id="rId174" Type="http://schemas.openxmlformats.org/officeDocument/2006/relationships/hyperlink" Target="http://run_ztests.sh/" TargetMode="External"/><Relationship Id="rId173" Type="http://schemas.openxmlformats.org/officeDocument/2006/relationships/hyperlink" Target="http://setup.py/" TargetMode="External"/><Relationship Id="rId179" Type="http://schemas.openxmlformats.org/officeDocument/2006/relationships/hyperlink" Target="https://wiki.openstack.org/wiki/ThirdPartySystems/XenServer_CI" TargetMode="External"/><Relationship Id="rId178" Type="http://schemas.openxmlformats.org/officeDocument/2006/relationships/hyperlink" Target="https://wiki.openstack.org/wiki/ThirdPartySystems/Hyper-V_CI" TargetMode="External"/><Relationship Id="rId177" Type="http://schemas.openxmlformats.org/officeDocument/2006/relationships/hyperlink" Target="http://test.py/" TargetMode="External"/><Relationship Id="rId198" Type="http://schemas.openxmlformats.org/officeDocument/2006/relationships/hyperlink" Target="https://wiki.openstack.org/wiki/ThirdPartySystems/XenServer_CI" TargetMode="External"/><Relationship Id="rId197" Type="http://schemas.openxmlformats.org/officeDocument/2006/relationships/hyperlink" Target="https://wiki.openstack.org/wiki/ThirdPartySystems/VMware_CI" TargetMode="External"/><Relationship Id="rId196" Type="http://schemas.openxmlformats.org/officeDocument/2006/relationships/hyperlink" Target="https://wiki.openstack.org/wiki/ThirdPartySystems/XenServer_CI" TargetMode="External"/><Relationship Id="rId195" Type="http://schemas.openxmlformats.org/officeDocument/2006/relationships/hyperlink" Target="https://wiki.openstack.org/wiki/ThirdPartySystems/Hyper-V_CI" TargetMode="External"/><Relationship Id="rId199" Type="http://schemas.openxmlformats.org/officeDocument/2006/relationships/hyperlink" Target="https://wiki.openstack.org/wiki/ThirdPartySystems/Intel-PCI-CI" TargetMode="External"/><Relationship Id="rId150" Type="http://schemas.openxmlformats.org/officeDocument/2006/relationships/hyperlink" Target="https://wiki.openstack.org/wiki/ThirdPartySystems/XenServer_CI" TargetMode="External"/><Relationship Id="rId271" Type="http://schemas.openxmlformats.org/officeDocument/2006/relationships/hyperlink" Target="http://labs.carrotsearch.com/randomizedtesting.html" TargetMode="External"/><Relationship Id="rId270" Type="http://schemas.openxmlformats.org/officeDocument/2006/relationships/hyperlink" Target="http://labs.carrotsearch.com/randomizedtesting.html" TargetMode="External"/><Relationship Id="rId1" Type="http://schemas.openxmlformats.org/officeDocument/2006/relationships/comments" Target="../comments8.xml"/><Relationship Id="rId2" Type="http://schemas.openxmlformats.org/officeDocument/2006/relationships/hyperlink" Target="https://docs.google.com/spreadsheets/d/e/2PACX-1vQ1pzWm0ix_RoylXKQ8_YIy47wHbuXn66LFmkx2qZ4E_UW6CYcGB4wx6tJNpKGSIlCSJ_Re00a7eig8/pubhtml?gid=1835839646&amp;single=true" TargetMode="External"/><Relationship Id="rId3" Type="http://schemas.openxmlformats.org/officeDocument/2006/relationships/hyperlink" Target="https://docs.google.com/spreadsheets/d/1Y9FDM6PWfeg9VaMejzWN3Md3FLlGVyeSUr8AibeJN5I/edit" TargetMode="External"/><Relationship Id="rId149" Type="http://schemas.openxmlformats.org/officeDocument/2006/relationships/hyperlink" Target="https://wiki.openstack.org/wiki/ThirdPartySystems/XenServer_CI" TargetMode="External"/><Relationship Id="rId4" Type="http://schemas.openxmlformats.org/officeDocument/2006/relationships/hyperlink" Target="https://setuptools.pypa.io/en/latest/deprecated/easy_install.html" TargetMode="External"/><Relationship Id="rId148" Type="http://schemas.openxmlformats.org/officeDocument/2006/relationships/hyperlink" Target="https://wiki.openstack.org/wiki/ThirdPartySystems/Hyper-V_CI" TargetMode="External"/><Relationship Id="rId269" Type="http://schemas.openxmlformats.org/officeDocument/2006/relationships/hyperlink" Target="http://labs.carrotsearch.com/randomizedtesting.html" TargetMode="External"/><Relationship Id="rId9" Type="http://schemas.openxmlformats.org/officeDocument/2006/relationships/hyperlink" Target="http://run_tests.py/" TargetMode="External"/><Relationship Id="rId143" Type="http://schemas.openxmlformats.org/officeDocument/2006/relationships/hyperlink" Target="https://wiki.openstack.org/wiki/ThirdPartySystems/XenServer_CI" TargetMode="External"/><Relationship Id="rId264" Type="http://schemas.openxmlformats.org/officeDocument/2006/relationships/hyperlink" Target="http://labs.carrotsearch.com/randomizedtesting.html" TargetMode="External"/><Relationship Id="rId142" Type="http://schemas.openxmlformats.org/officeDocument/2006/relationships/hyperlink" Target="https://wiki.openstack.org/wiki/ThirdPartySystems/XenServer_CI" TargetMode="External"/><Relationship Id="rId263" Type="http://schemas.openxmlformats.org/officeDocument/2006/relationships/hyperlink" Target="http://labs.carrotsearch.com/randomizedtesting.html" TargetMode="External"/><Relationship Id="rId141" Type="http://schemas.openxmlformats.org/officeDocument/2006/relationships/hyperlink" Target="https://wiki.openstack.org/wiki/ThirdPartySystems/Hyper-V_CI" TargetMode="External"/><Relationship Id="rId262" Type="http://schemas.openxmlformats.org/officeDocument/2006/relationships/hyperlink" Target="http://labs.carrotsearch.com/randomizedtesting.html" TargetMode="External"/><Relationship Id="rId140" Type="http://schemas.openxmlformats.org/officeDocument/2006/relationships/hyperlink" Target="http://test.py/" TargetMode="External"/><Relationship Id="rId261" Type="http://schemas.openxmlformats.org/officeDocument/2006/relationships/hyperlink" Target="http://labs.carrotsearch.com/randomizedtesting.html" TargetMode="External"/><Relationship Id="rId5" Type="http://schemas.openxmlformats.org/officeDocument/2006/relationships/hyperlink" Target="http://smoketests.py/" TargetMode="External"/><Relationship Id="rId147" Type="http://schemas.openxmlformats.org/officeDocument/2006/relationships/hyperlink" Target="http://test.py/" TargetMode="External"/><Relationship Id="rId268" Type="http://schemas.openxmlformats.org/officeDocument/2006/relationships/hyperlink" Target="http://labs.carrotsearch.com/randomizedtesting.html" TargetMode="External"/><Relationship Id="rId6" Type="http://schemas.openxmlformats.org/officeDocument/2006/relationships/hyperlink" Target="https://nose.readthedocs.io/en/latest/" TargetMode="External"/><Relationship Id="rId146" Type="http://schemas.openxmlformats.org/officeDocument/2006/relationships/hyperlink" Target="http://setup.py" TargetMode="External"/><Relationship Id="rId267" Type="http://schemas.openxmlformats.org/officeDocument/2006/relationships/hyperlink" Target="http://labs.carrotsearch.com/randomizedtesting.html" TargetMode="External"/><Relationship Id="rId7" Type="http://schemas.openxmlformats.org/officeDocument/2006/relationships/hyperlink" Target="http://setup.py/" TargetMode="External"/><Relationship Id="rId145" Type="http://schemas.openxmlformats.org/officeDocument/2006/relationships/hyperlink" Target="https://pypi.org/project/tempest/" TargetMode="External"/><Relationship Id="rId266" Type="http://schemas.openxmlformats.org/officeDocument/2006/relationships/hyperlink" Target="http://labs.carrotsearch.com/randomizedtesting.html" TargetMode="External"/><Relationship Id="rId8" Type="http://schemas.openxmlformats.org/officeDocument/2006/relationships/hyperlink" Target="http://setup.py/" TargetMode="External"/><Relationship Id="rId144" Type="http://schemas.openxmlformats.org/officeDocument/2006/relationships/hyperlink" Target="http://run_ztests.sh/" TargetMode="External"/><Relationship Id="rId265" Type="http://schemas.openxmlformats.org/officeDocument/2006/relationships/hyperlink" Target="http://labs.carrotsearch.com/randomizedtesting.html" TargetMode="External"/><Relationship Id="rId260" Type="http://schemas.openxmlformats.org/officeDocument/2006/relationships/hyperlink" Target="http://labs.carrotsearch.com/randomizedtesting.html" TargetMode="External"/><Relationship Id="rId139" Type="http://schemas.openxmlformats.org/officeDocument/2006/relationships/hyperlink" Target="http://setup.py" TargetMode="External"/><Relationship Id="rId138" Type="http://schemas.openxmlformats.org/officeDocument/2006/relationships/hyperlink" Target="https://pypi.org/project/tempest/" TargetMode="External"/><Relationship Id="rId259" Type="http://schemas.openxmlformats.org/officeDocument/2006/relationships/hyperlink" Target="http://labs.carrotsearch.com/randomizedtesting.html" TargetMode="External"/><Relationship Id="rId137" Type="http://schemas.openxmlformats.org/officeDocument/2006/relationships/hyperlink" Target="http://run_ztests.sh/" TargetMode="External"/><Relationship Id="rId258" Type="http://schemas.openxmlformats.org/officeDocument/2006/relationships/hyperlink" Target="http://elasticsearch.googlecode.com/svn/maven'" TargetMode="External"/><Relationship Id="rId132" Type="http://schemas.openxmlformats.org/officeDocument/2006/relationships/hyperlink" Target="http://test.py/" TargetMode="External"/><Relationship Id="rId253" Type="http://schemas.openxmlformats.org/officeDocument/2006/relationships/hyperlink" Target="http://labs.carrotsearch.com/randomizedtesting.html" TargetMode="External"/><Relationship Id="rId131" Type="http://schemas.openxmlformats.org/officeDocument/2006/relationships/hyperlink" Target="http://setup.py" TargetMode="External"/><Relationship Id="rId252" Type="http://schemas.openxmlformats.org/officeDocument/2006/relationships/hyperlink" Target="http://elasticsearch.googlecode.com/svn/maven'" TargetMode="External"/><Relationship Id="rId130" Type="http://schemas.openxmlformats.org/officeDocument/2006/relationships/hyperlink" Target="https://pypi.org/project/tempest/" TargetMode="External"/><Relationship Id="rId251" Type="http://schemas.openxmlformats.org/officeDocument/2006/relationships/hyperlink" Target="http://labs.carrotsearch.com/randomizedtesting.html" TargetMode="External"/><Relationship Id="rId250" Type="http://schemas.openxmlformats.org/officeDocument/2006/relationships/hyperlink" Target="http://labs.carrotsearch.com/randomizedtesting.html" TargetMode="External"/><Relationship Id="rId136" Type="http://schemas.openxmlformats.org/officeDocument/2006/relationships/hyperlink" Target="https://wiki.openstack.org/wiki/ThirdPartySystems/VMware_CI" TargetMode="External"/><Relationship Id="rId257" Type="http://schemas.openxmlformats.org/officeDocument/2006/relationships/hyperlink" Target="http://labs.carrotsearch.com/randomizedtesting.html" TargetMode="External"/><Relationship Id="rId135" Type="http://schemas.openxmlformats.org/officeDocument/2006/relationships/hyperlink" Target="https://wiki.openstack.org/wiki/ThirdPartySystems/XenServer_CI" TargetMode="External"/><Relationship Id="rId256" Type="http://schemas.openxmlformats.org/officeDocument/2006/relationships/hyperlink" Target="http://labs.carrotsearch.com/randomizedtesting.html" TargetMode="External"/><Relationship Id="rId134" Type="http://schemas.openxmlformats.org/officeDocument/2006/relationships/hyperlink" Target="https://wiki.openstack.org/wiki/ThirdPartySystems/XenServer_CI" TargetMode="External"/><Relationship Id="rId255" Type="http://schemas.openxmlformats.org/officeDocument/2006/relationships/hyperlink" Target="http://labs.carrotsearch.com/randomizedtesting.html" TargetMode="External"/><Relationship Id="rId133" Type="http://schemas.openxmlformats.org/officeDocument/2006/relationships/hyperlink" Target="https://wiki.openstack.org/wiki/ThirdPartySystems/Hyper-V_CI" TargetMode="External"/><Relationship Id="rId254" Type="http://schemas.openxmlformats.org/officeDocument/2006/relationships/hyperlink" Target="http://labs.carrotsearch.com/randomizedtesting.html" TargetMode="External"/><Relationship Id="rId172" Type="http://schemas.openxmlformats.org/officeDocument/2006/relationships/hyperlink" Target="http://setup.py/" TargetMode="External"/><Relationship Id="rId171" Type="http://schemas.openxmlformats.org/officeDocument/2006/relationships/hyperlink" Target="http://test.py/" TargetMode="External"/><Relationship Id="rId170" Type="http://schemas.openxmlformats.org/officeDocument/2006/relationships/hyperlink" Target="http://setup.py" TargetMode="External"/><Relationship Id="rId165" Type="http://schemas.openxmlformats.org/officeDocument/2006/relationships/hyperlink" Target="https://wiki.openstack.org/wiki/ThirdPartySystems/VMware_CI" TargetMode="External"/><Relationship Id="rId286" Type="http://schemas.openxmlformats.org/officeDocument/2006/relationships/vmlDrawing" Target="../drawings/vmlDrawing8.vml"/><Relationship Id="rId164" Type="http://schemas.openxmlformats.org/officeDocument/2006/relationships/hyperlink" Target="https://wiki.openstack.org/wiki/ThirdPartySystems/XenServer_CI" TargetMode="External"/><Relationship Id="rId285" Type="http://schemas.openxmlformats.org/officeDocument/2006/relationships/drawing" Target="../drawings/drawing12.xml"/><Relationship Id="rId163" Type="http://schemas.openxmlformats.org/officeDocument/2006/relationships/hyperlink" Target="https://wiki.openstack.org/wiki/ThirdPartySystems/Hyper-V_CI" TargetMode="External"/><Relationship Id="rId284" Type="http://schemas.openxmlformats.org/officeDocument/2006/relationships/hyperlink" Target="http://labs.carrotsearch.com/randomizedtesting.html" TargetMode="External"/><Relationship Id="rId162" Type="http://schemas.openxmlformats.org/officeDocument/2006/relationships/hyperlink" Target="http://test.py/" TargetMode="External"/><Relationship Id="rId283" Type="http://schemas.openxmlformats.org/officeDocument/2006/relationships/hyperlink" Target="http://elasticsearch.googlecode.com/svn/maven'" TargetMode="External"/><Relationship Id="rId169" Type="http://schemas.openxmlformats.org/officeDocument/2006/relationships/hyperlink" Target="https://pypi.org/project/tempest/" TargetMode="External"/><Relationship Id="rId168" Type="http://schemas.openxmlformats.org/officeDocument/2006/relationships/hyperlink" Target="http://run_ztests.sh/" TargetMode="External"/><Relationship Id="rId167" Type="http://schemas.openxmlformats.org/officeDocument/2006/relationships/hyperlink" Target="http://tarballs.openstack.org/oslo-config/oslo-config-2013.1b4.tar.gz" TargetMode="External"/><Relationship Id="rId166" Type="http://schemas.openxmlformats.org/officeDocument/2006/relationships/hyperlink" Target="https://wiki.openstack.org/wiki/ThirdPartySystems/XenServer_CI" TargetMode="External"/><Relationship Id="rId161" Type="http://schemas.openxmlformats.org/officeDocument/2006/relationships/hyperlink" Target="http://setup.py" TargetMode="External"/><Relationship Id="rId282" Type="http://schemas.openxmlformats.org/officeDocument/2006/relationships/hyperlink" Target="http://elasticsearch.googlecode.com/svn/maven'" TargetMode="External"/><Relationship Id="rId160" Type="http://schemas.openxmlformats.org/officeDocument/2006/relationships/hyperlink" Target="https://pypi.org/project/tempest/" TargetMode="External"/><Relationship Id="rId281" Type="http://schemas.openxmlformats.org/officeDocument/2006/relationships/hyperlink" Target="http://labs.carrotsearch.com/randomizedtesting.html" TargetMode="External"/><Relationship Id="rId280" Type="http://schemas.openxmlformats.org/officeDocument/2006/relationships/hyperlink" Target="http://labs.carrotsearch.com/randomizedtesting.html" TargetMode="External"/><Relationship Id="rId159" Type="http://schemas.openxmlformats.org/officeDocument/2006/relationships/hyperlink" Target="http://run_ztests.sh/" TargetMode="External"/><Relationship Id="rId154" Type="http://schemas.openxmlformats.org/officeDocument/2006/relationships/hyperlink" Target="http://setup.py" TargetMode="External"/><Relationship Id="rId275" Type="http://schemas.openxmlformats.org/officeDocument/2006/relationships/hyperlink" Target="http://labs.carrotsearch.com/randomizedtesting.html" TargetMode="External"/><Relationship Id="rId153" Type="http://schemas.openxmlformats.org/officeDocument/2006/relationships/hyperlink" Target="https://pypi.org/project/tempest/" TargetMode="External"/><Relationship Id="rId274" Type="http://schemas.openxmlformats.org/officeDocument/2006/relationships/hyperlink" Target="http://labs.carrotsearch.com/randomizedtesting.html" TargetMode="External"/><Relationship Id="rId152" Type="http://schemas.openxmlformats.org/officeDocument/2006/relationships/hyperlink" Target="http://run_ztests.sh/" TargetMode="External"/><Relationship Id="rId273" Type="http://schemas.openxmlformats.org/officeDocument/2006/relationships/hyperlink" Target="http://labs.carrotsearch.com/randomizedtesting.html" TargetMode="External"/><Relationship Id="rId151" Type="http://schemas.openxmlformats.org/officeDocument/2006/relationships/hyperlink" Target="https://wiki.openstack.org/wiki/ThirdPartySystems/VMware_CI" TargetMode="External"/><Relationship Id="rId272" Type="http://schemas.openxmlformats.org/officeDocument/2006/relationships/hyperlink" Target="http://labs.carrotsearch.com/randomizedtesting.html" TargetMode="External"/><Relationship Id="rId158" Type="http://schemas.openxmlformats.org/officeDocument/2006/relationships/hyperlink" Target="https://wiki.openstack.org/wiki/ThirdPartySystems/VMware_CI" TargetMode="External"/><Relationship Id="rId279" Type="http://schemas.openxmlformats.org/officeDocument/2006/relationships/hyperlink" Target="http://labs.carrotsearch.com/randomizedtesting.html" TargetMode="External"/><Relationship Id="rId157" Type="http://schemas.openxmlformats.org/officeDocument/2006/relationships/hyperlink" Target="https://wiki.openstack.org/wiki/ThirdPartySystems/XenServer_CI" TargetMode="External"/><Relationship Id="rId278" Type="http://schemas.openxmlformats.org/officeDocument/2006/relationships/hyperlink" Target="http://labs.carrotsearch.com/randomizedtesting.html" TargetMode="External"/><Relationship Id="rId156" Type="http://schemas.openxmlformats.org/officeDocument/2006/relationships/hyperlink" Target="https://wiki.openstack.org/wiki/ThirdPartySystems/Hyper-V_CI" TargetMode="External"/><Relationship Id="rId277" Type="http://schemas.openxmlformats.org/officeDocument/2006/relationships/hyperlink" Target="http://labs.carrotsearch.com/randomizedtesting.html" TargetMode="External"/><Relationship Id="rId155" Type="http://schemas.openxmlformats.org/officeDocument/2006/relationships/hyperlink" Target="http://test.py/" TargetMode="External"/><Relationship Id="rId276" Type="http://schemas.openxmlformats.org/officeDocument/2006/relationships/hyperlink" Target="http://labs.carrotsearch.com/randomizedtesting.html" TargetMode="External"/><Relationship Id="rId40" Type="http://schemas.openxmlformats.org/officeDocument/2006/relationships/hyperlink" Target="http://run_ztests.sh/" TargetMode="External"/><Relationship Id="rId42" Type="http://schemas.openxmlformats.org/officeDocument/2006/relationships/hyperlink" Target="https://pypi.org/project/tempest/" TargetMode="External"/><Relationship Id="rId41" Type="http://schemas.openxmlformats.org/officeDocument/2006/relationships/hyperlink" Target="http://run_tests.py/" TargetMode="External"/><Relationship Id="rId44" Type="http://schemas.openxmlformats.org/officeDocument/2006/relationships/hyperlink" Target="https://pypi.org/project/testtools/" TargetMode="External"/><Relationship Id="rId43" Type="http://schemas.openxmlformats.org/officeDocument/2006/relationships/hyperlink" Target="http://setup.py" TargetMode="External"/><Relationship Id="rId46" Type="http://schemas.openxmlformats.org/officeDocument/2006/relationships/hyperlink" Target="http://run_ztests.sh/" TargetMode="External"/><Relationship Id="rId45" Type="http://schemas.openxmlformats.org/officeDocument/2006/relationships/hyperlink" Target="http://setup.py/" TargetMode="External"/><Relationship Id="rId48" Type="http://schemas.openxmlformats.org/officeDocument/2006/relationships/hyperlink" Target="http://setup.py" TargetMode="External"/><Relationship Id="rId47" Type="http://schemas.openxmlformats.org/officeDocument/2006/relationships/hyperlink" Target="https://pypi.org/project/tempest/" TargetMode="External"/><Relationship Id="rId49" Type="http://schemas.openxmlformats.org/officeDocument/2006/relationships/hyperlink" Target="https://pypi.org/project/testtools/" TargetMode="External"/><Relationship Id="rId31" Type="http://schemas.openxmlformats.org/officeDocument/2006/relationships/hyperlink" Target="http://setup.py" TargetMode="External"/><Relationship Id="rId30" Type="http://schemas.openxmlformats.org/officeDocument/2006/relationships/hyperlink" Target="https://pypi.org/project/tempest/" TargetMode="External"/><Relationship Id="rId33" Type="http://schemas.openxmlformats.org/officeDocument/2006/relationships/hyperlink" Target="http://setup.py/" TargetMode="External"/><Relationship Id="rId32" Type="http://schemas.openxmlformats.org/officeDocument/2006/relationships/hyperlink" Target="https://pypi.org/project/testtools/" TargetMode="External"/><Relationship Id="rId35" Type="http://schemas.openxmlformats.org/officeDocument/2006/relationships/hyperlink" Target="http://run_tests.py/" TargetMode="External"/><Relationship Id="rId34" Type="http://schemas.openxmlformats.org/officeDocument/2006/relationships/hyperlink" Target="http://run_ztests.sh/" TargetMode="External"/><Relationship Id="rId37" Type="http://schemas.openxmlformats.org/officeDocument/2006/relationships/hyperlink" Target="http://setup.py" TargetMode="External"/><Relationship Id="rId36" Type="http://schemas.openxmlformats.org/officeDocument/2006/relationships/hyperlink" Target="https://pypi.org/project/tempest/" TargetMode="External"/><Relationship Id="rId39" Type="http://schemas.openxmlformats.org/officeDocument/2006/relationships/hyperlink" Target="http://setup.py/" TargetMode="External"/><Relationship Id="rId38" Type="http://schemas.openxmlformats.org/officeDocument/2006/relationships/hyperlink" Target="https://pypi.org/project/testtools/" TargetMode="External"/><Relationship Id="rId20" Type="http://schemas.openxmlformats.org/officeDocument/2006/relationships/hyperlink" Target="https://pypi.org/project/testtools/" TargetMode="External"/><Relationship Id="rId22" Type="http://schemas.openxmlformats.org/officeDocument/2006/relationships/hyperlink" Target="http://run_ztests.sh/" TargetMode="External"/><Relationship Id="rId21" Type="http://schemas.openxmlformats.org/officeDocument/2006/relationships/hyperlink" Target="http://setup.py/" TargetMode="External"/><Relationship Id="rId24" Type="http://schemas.openxmlformats.org/officeDocument/2006/relationships/hyperlink" Target="https://pypi.org/project/tempest/" TargetMode="External"/><Relationship Id="rId23" Type="http://schemas.openxmlformats.org/officeDocument/2006/relationships/hyperlink" Target="http://run_tests.py/" TargetMode="External"/><Relationship Id="rId26" Type="http://schemas.openxmlformats.org/officeDocument/2006/relationships/hyperlink" Target="https://pypi.org/project/testtools/" TargetMode="External"/><Relationship Id="rId25" Type="http://schemas.openxmlformats.org/officeDocument/2006/relationships/hyperlink" Target="http://setup.py" TargetMode="External"/><Relationship Id="rId28" Type="http://schemas.openxmlformats.org/officeDocument/2006/relationships/hyperlink" Target="http://run_ztests.sh/" TargetMode="External"/><Relationship Id="rId27" Type="http://schemas.openxmlformats.org/officeDocument/2006/relationships/hyperlink" Target="http://setup.py/" TargetMode="External"/><Relationship Id="rId29" Type="http://schemas.openxmlformats.org/officeDocument/2006/relationships/hyperlink" Target="http://run_tests.py/" TargetMode="External"/><Relationship Id="rId11" Type="http://schemas.openxmlformats.org/officeDocument/2006/relationships/hyperlink" Target="http://setup.py/" TargetMode="External"/><Relationship Id="rId10" Type="http://schemas.openxmlformats.org/officeDocument/2006/relationships/hyperlink" Target="https://twisted.org/" TargetMode="External"/><Relationship Id="rId13" Type="http://schemas.openxmlformats.org/officeDocument/2006/relationships/hyperlink" Target="http://run_tests.py/" TargetMode="External"/><Relationship Id="rId12" Type="http://schemas.openxmlformats.org/officeDocument/2006/relationships/hyperlink" Target="http://setup.py/" TargetMode="External"/><Relationship Id="rId15" Type="http://schemas.openxmlformats.org/officeDocument/2006/relationships/hyperlink" Target="http://run_test.sh/" TargetMode="External"/><Relationship Id="rId14" Type="http://schemas.openxmlformats.org/officeDocument/2006/relationships/hyperlink" Target="http://setup.py/" TargetMode="External"/><Relationship Id="rId17" Type="http://schemas.openxmlformats.org/officeDocument/2006/relationships/hyperlink" Target="http://run_tests.py/" TargetMode="External"/><Relationship Id="rId16" Type="http://schemas.openxmlformats.org/officeDocument/2006/relationships/hyperlink" Target="http://run_ztests.sh/" TargetMode="External"/><Relationship Id="rId19" Type="http://schemas.openxmlformats.org/officeDocument/2006/relationships/hyperlink" Target="http://setup.py" TargetMode="External"/><Relationship Id="rId18" Type="http://schemas.openxmlformats.org/officeDocument/2006/relationships/hyperlink" Target="https://pypi.org/project/tempest/" TargetMode="External"/><Relationship Id="rId84" Type="http://schemas.openxmlformats.org/officeDocument/2006/relationships/hyperlink" Target="https://wiki.openstack.org/wiki/ThirdPartySystems/Hyper-V_CI" TargetMode="External"/><Relationship Id="rId83" Type="http://schemas.openxmlformats.org/officeDocument/2006/relationships/hyperlink" Target="http://test.py/" TargetMode="External"/><Relationship Id="rId86" Type="http://schemas.openxmlformats.org/officeDocument/2006/relationships/hyperlink" Target="http://run_ztests.sh/" TargetMode="External"/><Relationship Id="rId85" Type="http://schemas.openxmlformats.org/officeDocument/2006/relationships/hyperlink" Target="https://wiki.openstack.org/wiki/ThirdPartySystems/VMware_CI" TargetMode="External"/><Relationship Id="rId88" Type="http://schemas.openxmlformats.org/officeDocument/2006/relationships/hyperlink" Target="http://setup.py" TargetMode="External"/><Relationship Id="rId87" Type="http://schemas.openxmlformats.org/officeDocument/2006/relationships/hyperlink" Target="https://pypi.org/project/tempest/" TargetMode="External"/><Relationship Id="rId89" Type="http://schemas.openxmlformats.org/officeDocument/2006/relationships/hyperlink" Target="http://test.py/" TargetMode="External"/><Relationship Id="rId80" Type="http://schemas.openxmlformats.org/officeDocument/2006/relationships/hyperlink" Target="http://run_ztests.sh/" TargetMode="External"/><Relationship Id="rId82" Type="http://schemas.openxmlformats.org/officeDocument/2006/relationships/hyperlink" Target="http://setup.py" TargetMode="External"/><Relationship Id="rId81" Type="http://schemas.openxmlformats.org/officeDocument/2006/relationships/hyperlink" Target="https://pypi.org/project/tempest/" TargetMode="External"/><Relationship Id="rId73" Type="http://schemas.openxmlformats.org/officeDocument/2006/relationships/hyperlink" Target="http://test.py/" TargetMode="External"/><Relationship Id="rId72" Type="http://schemas.openxmlformats.org/officeDocument/2006/relationships/hyperlink" Target="http://setup.py" TargetMode="External"/><Relationship Id="rId75" Type="http://schemas.openxmlformats.org/officeDocument/2006/relationships/hyperlink" Target="http://run_tests.sh/" TargetMode="External"/><Relationship Id="rId74" Type="http://schemas.openxmlformats.org/officeDocument/2006/relationships/hyperlink" Target="http://setup.py/" TargetMode="External"/><Relationship Id="rId77" Type="http://schemas.openxmlformats.org/officeDocument/2006/relationships/hyperlink" Target="https://pypi.org/project/tempest/" TargetMode="External"/><Relationship Id="rId76" Type="http://schemas.openxmlformats.org/officeDocument/2006/relationships/hyperlink" Target="http://run_ztests.sh/" TargetMode="External"/><Relationship Id="rId79" Type="http://schemas.openxmlformats.org/officeDocument/2006/relationships/hyperlink" Target="http://test.py/" TargetMode="External"/><Relationship Id="rId78" Type="http://schemas.openxmlformats.org/officeDocument/2006/relationships/hyperlink" Target="http://setup.py" TargetMode="External"/><Relationship Id="rId71" Type="http://schemas.openxmlformats.org/officeDocument/2006/relationships/hyperlink" Target="https://pypi.org/project/tempest/" TargetMode="External"/><Relationship Id="rId70" Type="http://schemas.openxmlformats.org/officeDocument/2006/relationships/hyperlink" Target="http://run_ztests.sh/" TargetMode="External"/><Relationship Id="rId62" Type="http://schemas.openxmlformats.org/officeDocument/2006/relationships/hyperlink" Target="http://run_tests.sh/" TargetMode="External"/><Relationship Id="rId61" Type="http://schemas.openxmlformats.org/officeDocument/2006/relationships/hyperlink" Target="http://test.py/" TargetMode="External"/><Relationship Id="rId64" Type="http://schemas.openxmlformats.org/officeDocument/2006/relationships/hyperlink" Target="http://run_ztests.sh/" TargetMode="External"/><Relationship Id="rId63" Type="http://schemas.openxmlformats.org/officeDocument/2006/relationships/hyperlink" Target="http://setup.py/" TargetMode="External"/><Relationship Id="rId66" Type="http://schemas.openxmlformats.org/officeDocument/2006/relationships/hyperlink" Target="http://setup.py" TargetMode="External"/><Relationship Id="rId65" Type="http://schemas.openxmlformats.org/officeDocument/2006/relationships/hyperlink" Target="https://pypi.org/project/tempest/" TargetMode="External"/><Relationship Id="rId68" Type="http://schemas.openxmlformats.org/officeDocument/2006/relationships/hyperlink" Target="http://setup.py/" TargetMode="External"/><Relationship Id="rId67" Type="http://schemas.openxmlformats.org/officeDocument/2006/relationships/hyperlink" Target="http://test.py/" TargetMode="External"/><Relationship Id="rId60" Type="http://schemas.openxmlformats.org/officeDocument/2006/relationships/hyperlink" Target="http://setup.py" TargetMode="External"/><Relationship Id="rId69" Type="http://schemas.openxmlformats.org/officeDocument/2006/relationships/hyperlink" Target="http://run_tests.sh/" TargetMode="External"/><Relationship Id="rId51" Type="http://schemas.openxmlformats.org/officeDocument/2006/relationships/hyperlink" Target="http://run_tests.sh/" TargetMode="External"/><Relationship Id="rId50" Type="http://schemas.openxmlformats.org/officeDocument/2006/relationships/hyperlink" Target="http://setup.py/" TargetMode="External"/><Relationship Id="rId53" Type="http://schemas.openxmlformats.org/officeDocument/2006/relationships/hyperlink" Target="https://pypi.org/project/tempest/" TargetMode="External"/><Relationship Id="rId52" Type="http://schemas.openxmlformats.org/officeDocument/2006/relationships/hyperlink" Target="http://run_ztests.sh/" TargetMode="External"/><Relationship Id="rId55" Type="http://schemas.openxmlformats.org/officeDocument/2006/relationships/hyperlink" Target="http://test.py/" TargetMode="External"/><Relationship Id="rId54" Type="http://schemas.openxmlformats.org/officeDocument/2006/relationships/hyperlink" Target="http://setup.py" TargetMode="External"/><Relationship Id="rId57" Type="http://schemas.openxmlformats.org/officeDocument/2006/relationships/hyperlink" Target="http://setup.py/" TargetMode="External"/><Relationship Id="rId56" Type="http://schemas.openxmlformats.org/officeDocument/2006/relationships/hyperlink" Target="http://run_tests.sh/" TargetMode="External"/><Relationship Id="rId59" Type="http://schemas.openxmlformats.org/officeDocument/2006/relationships/hyperlink" Target="https://pypi.org/project/tempest/" TargetMode="External"/><Relationship Id="rId58" Type="http://schemas.openxmlformats.org/officeDocument/2006/relationships/hyperlink" Target="http://run_ztests.sh/" TargetMode="External"/><Relationship Id="rId107" Type="http://schemas.openxmlformats.org/officeDocument/2006/relationships/hyperlink" Target="https://wiki.openstack.org/wiki/ThirdPartySystems/XenServer_CI" TargetMode="External"/><Relationship Id="rId228" Type="http://schemas.openxmlformats.org/officeDocument/2006/relationships/hyperlink" Target="http://elasticsearch.googlecode.com/svn/maven'" TargetMode="External"/><Relationship Id="rId106" Type="http://schemas.openxmlformats.org/officeDocument/2006/relationships/hyperlink" Target="https://wiki.openstack.org/wiki/ThirdPartySystems/XenServer_CI" TargetMode="External"/><Relationship Id="rId227" Type="http://schemas.openxmlformats.org/officeDocument/2006/relationships/hyperlink" Target="http://elasticsearch.googlecode.com/svn/maven'" TargetMode="External"/><Relationship Id="rId105" Type="http://schemas.openxmlformats.org/officeDocument/2006/relationships/hyperlink" Target="https://wiki.openstack.org/wiki/ThirdPartySystems/VMware_CI" TargetMode="External"/><Relationship Id="rId226" Type="http://schemas.openxmlformats.org/officeDocument/2006/relationships/hyperlink" Target="https://wiki.openstack.org/wiki/ThirdPartySystems/Intel-PCI-CI" TargetMode="External"/><Relationship Id="rId104" Type="http://schemas.openxmlformats.org/officeDocument/2006/relationships/hyperlink" Target="https://wiki.openstack.org/wiki/ThirdPartySystems/Hyper-V_CI" TargetMode="External"/><Relationship Id="rId225" Type="http://schemas.openxmlformats.org/officeDocument/2006/relationships/hyperlink" Target="https://wiki.openstack.org/wiki/ThirdPartySystems/XenServer_CI" TargetMode="External"/><Relationship Id="rId109" Type="http://schemas.openxmlformats.org/officeDocument/2006/relationships/hyperlink" Target="https://pypi.org/project/tempest/" TargetMode="External"/><Relationship Id="rId108" Type="http://schemas.openxmlformats.org/officeDocument/2006/relationships/hyperlink" Target="http://run_ztests.sh/" TargetMode="External"/><Relationship Id="rId229" Type="http://schemas.openxmlformats.org/officeDocument/2006/relationships/hyperlink" Target="http://elasticsearch.googlecode.com/svn/maven'" TargetMode="External"/><Relationship Id="rId220" Type="http://schemas.openxmlformats.org/officeDocument/2006/relationships/hyperlink" Target="http://setup.py" TargetMode="External"/><Relationship Id="rId103" Type="http://schemas.openxmlformats.org/officeDocument/2006/relationships/hyperlink" Target="http://test.py/" TargetMode="External"/><Relationship Id="rId224" Type="http://schemas.openxmlformats.org/officeDocument/2006/relationships/hyperlink" Target="https://wiki.openstack.org/wiki/ThirdPartySystems/VMware_CI" TargetMode="External"/><Relationship Id="rId102" Type="http://schemas.openxmlformats.org/officeDocument/2006/relationships/hyperlink" Target="http://setup.py" TargetMode="External"/><Relationship Id="rId223" Type="http://schemas.openxmlformats.org/officeDocument/2006/relationships/hyperlink" Target="https://wiki.openstack.org/wiki/ThirdPartySystems/XenServer_CI" TargetMode="External"/><Relationship Id="rId101" Type="http://schemas.openxmlformats.org/officeDocument/2006/relationships/hyperlink" Target="https://pypi.org/project/tempest/" TargetMode="External"/><Relationship Id="rId222" Type="http://schemas.openxmlformats.org/officeDocument/2006/relationships/hyperlink" Target="https://wiki.openstack.org/wiki/ThirdPartySystems/Hyper-V_CI" TargetMode="External"/><Relationship Id="rId100" Type="http://schemas.openxmlformats.org/officeDocument/2006/relationships/hyperlink" Target="http://run_ztests.sh/" TargetMode="External"/><Relationship Id="rId221" Type="http://schemas.openxmlformats.org/officeDocument/2006/relationships/hyperlink" Target="http://test.py/" TargetMode="External"/><Relationship Id="rId217" Type="http://schemas.openxmlformats.org/officeDocument/2006/relationships/hyperlink" Target="https://wiki.openstack.org/wiki/ThirdPartySystems/Intel-PCI-CI" TargetMode="External"/><Relationship Id="rId216" Type="http://schemas.openxmlformats.org/officeDocument/2006/relationships/hyperlink" Target="https://wiki.openstack.org/wiki/ThirdPartySystems/XenServer_CI" TargetMode="External"/><Relationship Id="rId215" Type="http://schemas.openxmlformats.org/officeDocument/2006/relationships/hyperlink" Target="https://wiki.openstack.org/wiki/ThirdPartySystems/VMware_CI" TargetMode="External"/><Relationship Id="rId214" Type="http://schemas.openxmlformats.org/officeDocument/2006/relationships/hyperlink" Target="https://wiki.openstack.org/wiki/ThirdPartySystems/XenServer_CI" TargetMode="External"/><Relationship Id="rId219" Type="http://schemas.openxmlformats.org/officeDocument/2006/relationships/hyperlink" Target="https://pypi.org/project/tempest/" TargetMode="External"/><Relationship Id="rId218" Type="http://schemas.openxmlformats.org/officeDocument/2006/relationships/hyperlink" Target="http://run_ztests.sh/" TargetMode="External"/><Relationship Id="rId213" Type="http://schemas.openxmlformats.org/officeDocument/2006/relationships/hyperlink" Target="https://wiki.openstack.org/wiki/ThirdPartySystems/Hyper-V_CI" TargetMode="External"/><Relationship Id="rId212" Type="http://schemas.openxmlformats.org/officeDocument/2006/relationships/hyperlink" Target="http://test.py/" TargetMode="External"/><Relationship Id="rId211" Type="http://schemas.openxmlformats.org/officeDocument/2006/relationships/hyperlink" Target="http://setup.py" TargetMode="External"/><Relationship Id="rId210" Type="http://schemas.openxmlformats.org/officeDocument/2006/relationships/hyperlink" Target="https://pypi.org/project/tempest/" TargetMode="External"/><Relationship Id="rId129" Type="http://schemas.openxmlformats.org/officeDocument/2006/relationships/hyperlink" Target="http://run_ztests.sh/" TargetMode="External"/><Relationship Id="rId128" Type="http://schemas.openxmlformats.org/officeDocument/2006/relationships/hyperlink" Target="https://wiki.openstack.org/wiki/ThirdPartySystems/VMware_CI" TargetMode="External"/><Relationship Id="rId249" Type="http://schemas.openxmlformats.org/officeDocument/2006/relationships/hyperlink" Target="http://elasticsearch.googlecode.com/svn/maven'" TargetMode="External"/><Relationship Id="rId127" Type="http://schemas.openxmlformats.org/officeDocument/2006/relationships/hyperlink" Target="https://wiki.openstack.org/wiki/ThirdPartySystems/XenServer_CI" TargetMode="External"/><Relationship Id="rId248" Type="http://schemas.openxmlformats.org/officeDocument/2006/relationships/hyperlink" Target="http://labs.carrotsearch.com/randomizedtesting.html" TargetMode="External"/><Relationship Id="rId126" Type="http://schemas.openxmlformats.org/officeDocument/2006/relationships/hyperlink" Target="https://wiki.openstack.org/wiki/ThirdPartySystems/XenServer_CI" TargetMode="External"/><Relationship Id="rId247" Type="http://schemas.openxmlformats.org/officeDocument/2006/relationships/hyperlink" Target="http://labs.carrotsearch.com/randomizedtesting.html" TargetMode="External"/><Relationship Id="rId121" Type="http://schemas.openxmlformats.org/officeDocument/2006/relationships/hyperlink" Target="http://run_ztests.sh/" TargetMode="External"/><Relationship Id="rId242" Type="http://schemas.openxmlformats.org/officeDocument/2006/relationships/hyperlink" Target="http://elasticsearch.googlecode.com/svn/maven'" TargetMode="External"/><Relationship Id="rId120" Type="http://schemas.openxmlformats.org/officeDocument/2006/relationships/hyperlink" Target="https://wiki.openstack.org/wiki/ThirdPartySystems/XenServer_CI" TargetMode="External"/><Relationship Id="rId241" Type="http://schemas.openxmlformats.org/officeDocument/2006/relationships/hyperlink" Target="http://elasticsearch.googlecode.com/svn/maven'" TargetMode="External"/><Relationship Id="rId240" Type="http://schemas.openxmlformats.org/officeDocument/2006/relationships/hyperlink" Target="http://elasticsearch.googlecode.com/svn/maven'" TargetMode="External"/><Relationship Id="rId125" Type="http://schemas.openxmlformats.org/officeDocument/2006/relationships/hyperlink" Target="https://wiki.openstack.org/wiki/ThirdPartySystems/Hyper-V_CI" TargetMode="External"/><Relationship Id="rId246" Type="http://schemas.openxmlformats.org/officeDocument/2006/relationships/hyperlink" Target="http://elasticsearch.googlecode.com/svn/maven'" TargetMode="External"/><Relationship Id="rId124" Type="http://schemas.openxmlformats.org/officeDocument/2006/relationships/hyperlink" Target="http://test.py/" TargetMode="External"/><Relationship Id="rId245" Type="http://schemas.openxmlformats.org/officeDocument/2006/relationships/hyperlink" Target="http://labs.carrotsearch.com/randomizedtesting.html" TargetMode="External"/><Relationship Id="rId123" Type="http://schemas.openxmlformats.org/officeDocument/2006/relationships/hyperlink" Target="http://setup.py" TargetMode="External"/><Relationship Id="rId244" Type="http://schemas.openxmlformats.org/officeDocument/2006/relationships/hyperlink" Target="http://elasticsearch.googlecode.com/svn/maven'" TargetMode="External"/><Relationship Id="rId122" Type="http://schemas.openxmlformats.org/officeDocument/2006/relationships/hyperlink" Target="https://pypi.org/project/tempest/" TargetMode="External"/><Relationship Id="rId243" Type="http://schemas.openxmlformats.org/officeDocument/2006/relationships/hyperlink" Target="http://labs.carrotsearch.com/randomizedtesting.html" TargetMode="External"/><Relationship Id="rId95" Type="http://schemas.openxmlformats.org/officeDocument/2006/relationships/hyperlink" Target="http://test.py/" TargetMode="External"/><Relationship Id="rId94" Type="http://schemas.openxmlformats.org/officeDocument/2006/relationships/hyperlink" Target="http://setup.py" TargetMode="External"/><Relationship Id="rId97" Type="http://schemas.openxmlformats.org/officeDocument/2006/relationships/hyperlink" Target="https://wiki.openstack.org/wiki/ThirdPartySystems/VMware_CI" TargetMode="External"/><Relationship Id="rId96" Type="http://schemas.openxmlformats.org/officeDocument/2006/relationships/hyperlink" Target="https://wiki.openstack.org/wiki/ThirdPartySystems/Hyper-V_CI" TargetMode="External"/><Relationship Id="rId99" Type="http://schemas.openxmlformats.org/officeDocument/2006/relationships/hyperlink" Target="https://wiki.openstack.org/wiki/ThirdPartySystems/XenServer_CI" TargetMode="External"/><Relationship Id="rId98" Type="http://schemas.openxmlformats.org/officeDocument/2006/relationships/hyperlink" Target="https://wiki.openstack.org/wiki/ThirdPartySystems/XenServer_CI" TargetMode="External"/><Relationship Id="rId91" Type="http://schemas.openxmlformats.org/officeDocument/2006/relationships/hyperlink" Target="https://wiki.openstack.org/wiki/ThirdPartySystems/VMware_CI" TargetMode="External"/><Relationship Id="rId90" Type="http://schemas.openxmlformats.org/officeDocument/2006/relationships/hyperlink" Target="https://wiki.openstack.org/wiki/ThirdPartySystems/Hyper-V_CI" TargetMode="External"/><Relationship Id="rId93" Type="http://schemas.openxmlformats.org/officeDocument/2006/relationships/hyperlink" Target="https://pypi.org/project/tempest/" TargetMode="External"/><Relationship Id="rId92" Type="http://schemas.openxmlformats.org/officeDocument/2006/relationships/hyperlink" Target="http://run_ztests.sh/" TargetMode="External"/><Relationship Id="rId118" Type="http://schemas.openxmlformats.org/officeDocument/2006/relationships/hyperlink" Target="https://wiki.openstack.org/wiki/ThirdPartySystems/Hyper-V_CI" TargetMode="External"/><Relationship Id="rId239" Type="http://schemas.openxmlformats.org/officeDocument/2006/relationships/hyperlink" Target="http://elasticsearch.googlecode.com/svn/maven'" TargetMode="External"/><Relationship Id="rId117" Type="http://schemas.openxmlformats.org/officeDocument/2006/relationships/hyperlink" Target="http://test.py/" TargetMode="External"/><Relationship Id="rId238" Type="http://schemas.openxmlformats.org/officeDocument/2006/relationships/hyperlink" Target="http://elasticsearch.googlecode.com/svn/maven'" TargetMode="External"/><Relationship Id="rId116" Type="http://schemas.openxmlformats.org/officeDocument/2006/relationships/hyperlink" Target="http://setup.py" TargetMode="External"/><Relationship Id="rId237" Type="http://schemas.openxmlformats.org/officeDocument/2006/relationships/hyperlink" Target="http://elasticsearch.googlecode.com/svn/maven'" TargetMode="External"/><Relationship Id="rId115" Type="http://schemas.openxmlformats.org/officeDocument/2006/relationships/hyperlink" Target="https://pypi.org/project/tempest/" TargetMode="External"/><Relationship Id="rId236" Type="http://schemas.openxmlformats.org/officeDocument/2006/relationships/hyperlink" Target="http://elasticsearch.googlecode.com/svn/maven'" TargetMode="External"/><Relationship Id="rId119" Type="http://schemas.openxmlformats.org/officeDocument/2006/relationships/hyperlink" Target="https://wiki.openstack.org/wiki/ThirdPartySystems/XenServer_CI" TargetMode="External"/><Relationship Id="rId110" Type="http://schemas.openxmlformats.org/officeDocument/2006/relationships/hyperlink" Target="http://setup.py" TargetMode="External"/><Relationship Id="rId231" Type="http://schemas.openxmlformats.org/officeDocument/2006/relationships/hyperlink" Target="http://elasticsearch.googlecode.com/svn/maven'" TargetMode="External"/><Relationship Id="rId230" Type="http://schemas.openxmlformats.org/officeDocument/2006/relationships/hyperlink" Target="http://elasticsearch.googlecode.com/svn/maven'" TargetMode="External"/><Relationship Id="rId114" Type="http://schemas.openxmlformats.org/officeDocument/2006/relationships/hyperlink" Target="http://run_ztests.sh/" TargetMode="External"/><Relationship Id="rId235" Type="http://schemas.openxmlformats.org/officeDocument/2006/relationships/hyperlink" Target="http://elasticsearch.googlecode.com/svn/maven'" TargetMode="External"/><Relationship Id="rId113" Type="http://schemas.openxmlformats.org/officeDocument/2006/relationships/hyperlink" Target="https://wiki.openstack.org/wiki/ThirdPartySystems/XenServer_CI" TargetMode="External"/><Relationship Id="rId234" Type="http://schemas.openxmlformats.org/officeDocument/2006/relationships/hyperlink" Target="http://elasticsearch.googlecode.com/svn/maven'" TargetMode="External"/><Relationship Id="rId112" Type="http://schemas.openxmlformats.org/officeDocument/2006/relationships/hyperlink" Target="https://wiki.openstack.org/wiki/ThirdPartySystems/Hyper-V_CI" TargetMode="External"/><Relationship Id="rId233" Type="http://schemas.openxmlformats.org/officeDocument/2006/relationships/hyperlink" Target="http://elasticsearch.googlecode.com/svn/maven'" TargetMode="External"/><Relationship Id="rId111" Type="http://schemas.openxmlformats.org/officeDocument/2006/relationships/hyperlink" Target="http://test.py/" TargetMode="External"/><Relationship Id="rId232" Type="http://schemas.openxmlformats.org/officeDocument/2006/relationships/hyperlink" Target="http://elasticsearch.googlecode.com/svn/maven'" TargetMode="External"/><Relationship Id="rId206" Type="http://schemas.openxmlformats.org/officeDocument/2006/relationships/hyperlink" Target="https://wiki.openstack.org/wiki/ThirdPartySystems/VMware_CI" TargetMode="External"/><Relationship Id="rId205" Type="http://schemas.openxmlformats.org/officeDocument/2006/relationships/hyperlink" Target="https://wiki.openstack.org/wiki/ThirdPartySystems/XenServer_CI" TargetMode="External"/><Relationship Id="rId204" Type="http://schemas.openxmlformats.org/officeDocument/2006/relationships/hyperlink" Target="https://wiki.openstack.org/wiki/ThirdPartySystems/Hyper-V_CI" TargetMode="External"/><Relationship Id="rId203" Type="http://schemas.openxmlformats.org/officeDocument/2006/relationships/hyperlink" Target="http://test.py/" TargetMode="External"/><Relationship Id="rId209" Type="http://schemas.openxmlformats.org/officeDocument/2006/relationships/hyperlink" Target="http://run_ztests.sh/" TargetMode="External"/><Relationship Id="rId208" Type="http://schemas.openxmlformats.org/officeDocument/2006/relationships/hyperlink" Target="https://wiki.openstack.org/wiki/ThirdPartySystems/Intel-PCI-CI" TargetMode="External"/><Relationship Id="rId207" Type="http://schemas.openxmlformats.org/officeDocument/2006/relationships/hyperlink" Target="https://wiki.openstack.org/wiki/ThirdPartySystems/XenServer_CI" TargetMode="External"/><Relationship Id="rId202" Type="http://schemas.openxmlformats.org/officeDocument/2006/relationships/hyperlink" Target="http://setup.py" TargetMode="External"/><Relationship Id="rId201" Type="http://schemas.openxmlformats.org/officeDocument/2006/relationships/hyperlink" Target="https://pypi.org/project/tempest/" TargetMode="External"/><Relationship Id="rId200" Type="http://schemas.openxmlformats.org/officeDocument/2006/relationships/hyperlink" Target="http://run_ztests.sh/"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13"/>
    <col customWidth="1" min="2" max="2" width="100.5"/>
    <col customWidth="1" min="3" max="3" width="21.75"/>
  </cols>
  <sheetData>
    <row r="1">
      <c r="A1" s="1" t="s">
        <v>0</v>
      </c>
      <c r="B1" s="1"/>
      <c r="C1" s="2" t="s">
        <v>1</v>
      </c>
      <c r="D1" s="1"/>
      <c r="E1" s="1"/>
      <c r="F1" s="1"/>
      <c r="G1" s="1"/>
      <c r="H1" s="1"/>
      <c r="I1" s="1"/>
      <c r="J1" s="1"/>
      <c r="K1" s="1"/>
      <c r="L1" s="1"/>
      <c r="M1" s="1"/>
      <c r="N1" s="1"/>
      <c r="O1" s="1"/>
      <c r="P1" s="1"/>
      <c r="Q1" s="1"/>
      <c r="R1" s="1"/>
      <c r="S1" s="1"/>
      <c r="T1" s="1"/>
      <c r="U1" s="1"/>
      <c r="V1" s="1"/>
      <c r="W1" s="1"/>
      <c r="X1" s="1"/>
      <c r="Y1" s="1"/>
      <c r="Z1" s="1"/>
    </row>
    <row r="2">
      <c r="A2" s="3" t="s">
        <v>2</v>
      </c>
      <c r="B2" s="4" t="s">
        <v>3</v>
      </c>
      <c r="C2" s="5" t="s">
        <v>4</v>
      </c>
      <c r="D2" s="1"/>
      <c r="E2" s="1"/>
      <c r="F2" s="1"/>
      <c r="G2" s="1"/>
      <c r="H2" s="1"/>
      <c r="I2" s="1"/>
      <c r="J2" s="1"/>
      <c r="K2" s="1"/>
      <c r="L2" s="1"/>
      <c r="M2" s="1"/>
      <c r="N2" s="1"/>
      <c r="O2" s="1"/>
      <c r="P2" s="1"/>
      <c r="Q2" s="1"/>
      <c r="R2" s="1"/>
      <c r="S2" s="1"/>
      <c r="T2" s="1"/>
      <c r="U2" s="1"/>
      <c r="V2" s="1"/>
      <c r="W2" s="1"/>
      <c r="X2" s="1"/>
      <c r="Y2" s="1"/>
      <c r="Z2" s="1"/>
    </row>
    <row r="3">
      <c r="B3" s="4" t="s">
        <v>5</v>
      </c>
      <c r="C3" s="1"/>
      <c r="D3" s="1"/>
      <c r="E3" s="1"/>
      <c r="F3" s="1"/>
      <c r="G3" s="1"/>
      <c r="H3" s="1"/>
      <c r="I3" s="1"/>
      <c r="J3" s="1"/>
      <c r="K3" s="1"/>
      <c r="L3" s="1"/>
      <c r="M3" s="1"/>
      <c r="N3" s="1"/>
      <c r="O3" s="1"/>
      <c r="P3" s="1"/>
      <c r="Q3" s="1"/>
      <c r="R3" s="1"/>
      <c r="S3" s="1"/>
      <c r="T3" s="1"/>
      <c r="U3" s="1"/>
      <c r="V3" s="1"/>
      <c r="W3" s="1"/>
      <c r="X3" s="1"/>
      <c r="Y3" s="1"/>
      <c r="Z3" s="1"/>
    </row>
    <row r="4">
      <c r="A4" s="1"/>
      <c r="B4" s="1"/>
      <c r="C4" s="1"/>
      <c r="D4" s="1"/>
      <c r="E4" s="1"/>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1"/>
      <c r="B6" s="1"/>
      <c r="C6" s="1"/>
      <c r="D6" s="1"/>
      <c r="E6" s="1"/>
      <c r="F6" s="1"/>
      <c r="G6" s="1"/>
      <c r="H6" s="1"/>
      <c r="I6" s="1"/>
      <c r="J6" s="1"/>
      <c r="K6" s="1"/>
      <c r="L6" s="1"/>
      <c r="M6" s="1"/>
      <c r="N6" s="1"/>
      <c r="O6" s="1"/>
      <c r="P6" s="1"/>
      <c r="Q6" s="1"/>
      <c r="R6" s="1"/>
      <c r="S6" s="1"/>
      <c r="T6" s="1"/>
      <c r="U6" s="1"/>
      <c r="V6" s="1"/>
      <c r="W6" s="1"/>
      <c r="X6" s="1"/>
      <c r="Y6" s="1"/>
      <c r="Z6" s="1"/>
    </row>
    <row r="7">
      <c r="A7" s="1"/>
      <c r="B7" s="1"/>
      <c r="C7" s="1"/>
      <c r="D7" s="1"/>
      <c r="E7" s="1"/>
      <c r="F7" s="1"/>
      <c r="G7" s="1"/>
      <c r="H7" s="1"/>
      <c r="I7" s="1"/>
      <c r="J7" s="1"/>
      <c r="K7" s="1"/>
      <c r="L7" s="1"/>
      <c r="M7" s="1"/>
      <c r="N7" s="1"/>
      <c r="O7" s="1"/>
      <c r="P7" s="1"/>
      <c r="Q7" s="1"/>
      <c r="R7" s="1"/>
      <c r="S7" s="1"/>
      <c r="T7" s="1"/>
      <c r="U7" s="1"/>
      <c r="V7" s="1"/>
      <c r="W7" s="1"/>
      <c r="X7" s="1"/>
      <c r="Y7" s="1"/>
      <c r="Z7" s="1"/>
    </row>
    <row r="8">
      <c r="A8" s="6" t="s">
        <v>6</v>
      </c>
      <c r="B8" s="4" t="s">
        <v>7</v>
      </c>
      <c r="C8" s="1"/>
      <c r="D8" s="1"/>
      <c r="E8" s="1"/>
      <c r="F8" s="1"/>
      <c r="G8" s="1"/>
      <c r="H8" s="1"/>
      <c r="I8" s="1"/>
      <c r="J8" s="1"/>
      <c r="K8" s="1"/>
      <c r="L8" s="1"/>
      <c r="M8" s="1"/>
      <c r="N8" s="1"/>
      <c r="O8" s="1"/>
      <c r="P8" s="1"/>
      <c r="Q8" s="1"/>
      <c r="R8" s="1"/>
      <c r="S8" s="1"/>
      <c r="T8" s="1"/>
      <c r="U8" s="1"/>
      <c r="V8" s="1"/>
      <c r="W8" s="1"/>
      <c r="X8" s="1"/>
      <c r="Y8" s="1"/>
      <c r="Z8" s="1"/>
    </row>
    <row r="9">
      <c r="B9" s="7" t="s">
        <v>8</v>
      </c>
      <c r="C9" s="1"/>
      <c r="D9" s="1"/>
      <c r="E9" s="1"/>
      <c r="F9" s="1"/>
      <c r="G9" s="1"/>
      <c r="H9" s="1"/>
      <c r="I9" s="1"/>
      <c r="J9" s="1"/>
      <c r="K9" s="1"/>
      <c r="L9" s="1"/>
      <c r="M9" s="1"/>
      <c r="N9" s="1"/>
      <c r="O9" s="1"/>
      <c r="P9" s="1"/>
      <c r="Q9" s="1"/>
      <c r="R9" s="1"/>
      <c r="S9" s="1"/>
      <c r="T9" s="1"/>
      <c r="U9" s="1"/>
      <c r="V9" s="1"/>
      <c r="W9" s="1"/>
      <c r="X9" s="1"/>
      <c r="Y9" s="1"/>
      <c r="Z9" s="1"/>
    </row>
    <row r="10">
      <c r="B10" s="7" t="s">
        <v>9</v>
      </c>
      <c r="C10" s="1"/>
      <c r="D10" s="1"/>
      <c r="E10" s="1"/>
      <c r="F10" s="1"/>
      <c r="G10" s="1"/>
      <c r="H10" s="1"/>
      <c r="I10" s="1"/>
      <c r="J10" s="1"/>
      <c r="K10" s="1"/>
      <c r="L10" s="1"/>
      <c r="M10" s="1"/>
      <c r="N10" s="1"/>
      <c r="O10" s="1"/>
      <c r="P10" s="1"/>
      <c r="Q10" s="1"/>
      <c r="R10" s="1"/>
      <c r="S10" s="1"/>
      <c r="T10" s="1"/>
      <c r="U10" s="1"/>
      <c r="V10" s="1"/>
      <c r="W10" s="1"/>
      <c r="X10" s="1"/>
      <c r="Y10" s="1"/>
      <c r="Z10" s="1"/>
    </row>
    <row r="11">
      <c r="B11" s="7" t="s">
        <v>10</v>
      </c>
      <c r="C11" s="1"/>
      <c r="D11" s="1"/>
      <c r="E11" s="1"/>
      <c r="F11" s="1"/>
      <c r="G11" s="1"/>
      <c r="H11" s="1"/>
      <c r="I11" s="1"/>
      <c r="J11" s="1"/>
      <c r="K11" s="1"/>
      <c r="L11" s="1"/>
      <c r="M11" s="1"/>
      <c r="N11" s="1"/>
      <c r="O11" s="1"/>
      <c r="P11" s="1"/>
      <c r="Q11" s="1"/>
      <c r="R11" s="1"/>
      <c r="S11" s="1"/>
      <c r="T11" s="1"/>
      <c r="U11" s="1"/>
      <c r="V11" s="1"/>
      <c r="W11" s="1"/>
      <c r="X11" s="1"/>
      <c r="Y11" s="1"/>
      <c r="Z11" s="1"/>
    </row>
    <row r="12">
      <c r="B12" s="7" t="s">
        <v>11</v>
      </c>
      <c r="C12" s="1"/>
      <c r="D12" s="1"/>
      <c r="E12" s="1"/>
      <c r="F12" s="1"/>
      <c r="G12" s="1"/>
      <c r="H12" s="1"/>
      <c r="I12" s="1"/>
      <c r="J12" s="1"/>
      <c r="K12" s="1"/>
      <c r="L12" s="1"/>
      <c r="M12" s="1"/>
      <c r="N12" s="1"/>
      <c r="O12" s="1"/>
      <c r="P12" s="1"/>
      <c r="Q12" s="1"/>
      <c r="R12" s="1"/>
      <c r="S12" s="1"/>
      <c r="T12" s="1"/>
      <c r="U12" s="1"/>
      <c r="V12" s="1"/>
      <c r="W12" s="1"/>
      <c r="X12" s="1"/>
      <c r="Y12" s="1"/>
      <c r="Z12" s="1"/>
    </row>
    <row r="13">
      <c r="B13" s="7" t="s">
        <v>12</v>
      </c>
      <c r="C13" s="1"/>
      <c r="D13" s="1"/>
      <c r="E13" s="1"/>
      <c r="F13" s="1"/>
      <c r="G13" s="1"/>
      <c r="H13" s="1"/>
      <c r="I13" s="1"/>
      <c r="J13" s="1"/>
      <c r="K13" s="1"/>
      <c r="L13" s="1"/>
      <c r="M13" s="1"/>
      <c r="N13" s="1"/>
      <c r="O13" s="1"/>
      <c r="P13" s="1"/>
      <c r="Q13" s="1"/>
      <c r="R13" s="1"/>
      <c r="S13" s="1"/>
      <c r="T13" s="1"/>
      <c r="U13" s="1"/>
      <c r="V13" s="1"/>
      <c r="W13" s="1"/>
      <c r="X13" s="1"/>
      <c r="Y13" s="1"/>
      <c r="Z13" s="1"/>
    </row>
    <row r="14">
      <c r="B14" s="7" t="s">
        <v>13</v>
      </c>
      <c r="C14" s="1"/>
      <c r="D14" s="1"/>
      <c r="E14" s="1"/>
      <c r="F14" s="1"/>
      <c r="G14" s="1"/>
      <c r="H14" s="1"/>
      <c r="I14" s="1"/>
      <c r="J14" s="1"/>
      <c r="K14" s="1"/>
      <c r="L14" s="1"/>
      <c r="M14" s="1"/>
      <c r="N14" s="1"/>
      <c r="O14" s="1"/>
      <c r="P14" s="1"/>
      <c r="Q14" s="1"/>
      <c r="R14" s="1"/>
      <c r="S14" s="1"/>
      <c r="T14" s="1"/>
      <c r="U14" s="1"/>
      <c r="V14" s="1"/>
      <c r="W14" s="1"/>
      <c r="X14" s="1"/>
      <c r="Y14" s="1"/>
      <c r="Z14" s="1"/>
    </row>
    <row r="15">
      <c r="B15" s="7" t="s">
        <v>14</v>
      </c>
      <c r="C15" s="1"/>
      <c r="D15" s="1"/>
      <c r="E15" s="1"/>
      <c r="F15" s="1"/>
      <c r="G15" s="1"/>
      <c r="H15" s="1"/>
      <c r="I15" s="1"/>
      <c r="J15" s="1"/>
      <c r="K15" s="1"/>
      <c r="L15" s="1"/>
      <c r="M15" s="1"/>
      <c r="N15" s="1"/>
      <c r="O15" s="1"/>
      <c r="P15" s="1"/>
      <c r="Q15" s="1"/>
      <c r="R15" s="1"/>
      <c r="S15" s="1"/>
      <c r="T15" s="1"/>
      <c r="U15" s="1"/>
      <c r="V15" s="1"/>
      <c r="W15" s="1"/>
      <c r="X15" s="1"/>
      <c r="Y15" s="1"/>
      <c r="Z15" s="1"/>
    </row>
    <row r="16">
      <c r="B16" s="4"/>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8" t="s">
        <v>15</v>
      </c>
      <c r="B18" s="9" t="s">
        <v>16</v>
      </c>
      <c r="C18" s="1"/>
      <c r="D18" s="1"/>
      <c r="E18" s="1"/>
      <c r="F18" s="1"/>
      <c r="G18" s="1"/>
      <c r="H18" s="1"/>
      <c r="I18" s="1"/>
      <c r="J18" s="1"/>
      <c r="K18" s="1"/>
      <c r="L18" s="1"/>
      <c r="M18" s="1"/>
      <c r="N18" s="1"/>
      <c r="O18" s="1"/>
      <c r="P18" s="1"/>
      <c r="Q18" s="1"/>
      <c r="R18" s="1"/>
      <c r="S18" s="1"/>
      <c r="T18" s="1"/>
      <c r="U18" s="1"/>
      <c r="V18" s="1"/>
      <c r="W18" s="1"/>
      <c r="X18" s="1"/>
      <c r="Y18" s="1"/>
      <c r="Z18" s="1"/>
    </row>
    <row r="19">
      <c r="B19" s="9" t="s">
        <v>17</v>
      </c>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0" t="s">
        <v>18</v>
      </c>
      <c r="B21" s="11" t="s">
        <v>19</v>
      </c>
      <c r="C21" s="12" t="s">
        <v>20</v>
      </c>
      <c r="D21" s="1"/>
      <c r="E21" s="1"/>
      <c r="F21" s="1"/>
      <c r="G21" s="1"/>
      <c r="H21" s="1"/>
      <c r="I21" s="1"/>
      <c r="J21" s="1"/>
      <c r="K21" s="1"/>
      <c r="L21" s="1"/>
      <c r="M21" s="1"/>
      <c r="N21" s="1"/>
      <c r="O21" s="1"/>
      <c r="P21" s="1"/>
      <c r="Q21" s="1"/>
      <c r="R21" s="1"/>
      <c r="S21" s="1"/>
      <c r="T21" s="1"/>
      <c r="U21" s="1"/>
      <c r="V21" s="1"/>
      <c r="W21" s="1"/>
      <c r="X21" s="1"/>
      <c r="Y21" s="1"/>
      <c r="Z21" s="1"/>
    </row>
    <row r="22">
      <c r="B22" s="13" t="s">
        <v>21</v>
      </c>
      <c r="C22" s="14" t="s">
        <v>22</v>
      </c>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1"/>
      <c r="K36" s="1"/>
      <c r="L36" s="1"/>
      <c r="M36" s="1"/>
      <c r="N36" s="1"/>
      <c r="O36" s="1"/>
      <c r="P36" s="1"/>
      <c r="Q36" s="1"/>
      <c r="R36" s="1"/>
      <c r="S36" s="1"/>
      <c r="T36" s="1"/>
      <c r="U36" s="1"/>
      <c r="V36" s="1"/>
      <c r="W36" s="1"/>
      <c r="X36" s="1"/>
      <c r="Y36" s="1"/>
      <c r="Z36" s="1"/>
    </row>
    <row r="37">
      <c r="A37" s="1"/>
      <c r="B37" s="1"/>
      <c r="C37" s="1"/>
      <c r="D37" s="1"/>
      <c r="E37" s="1"/>
      <c r="F37" s="1"/>
      <c r="G37" s="1"/>
      <c r="H37" s="1"/>
      <c r="I37" s="1"/>
      <c r="J37" s="1"/>
      <c r="K37" s="1"/>
      <c r="L37" s="1"/>
      <c r="M37" s="1"/>
      <c r="N37" s="1"/>
      <c r="O37" s="1"/>
      <c r="P37" s="1"/>
      <c r="Q37" s="1"/>
      <c r="R37" s="1"/>
      <c r="S37" s="1"/>
      <c r="T37" s="1"/>
      <c r="U37" s="1"/>
      <c r="V37" s="1"/>
      <c r="W37" s="1"/>
      <c r="X37" s="1"/>
      <c r="Y37" s="1"/>
      <c r="Z37" s="1"/>
    </row>
    <row r="38">
      <c r="A38" s="1"/>
      <c r="B38" s="1"/>
      <c r="C38" s="1"/>
      <c r="D38" s="1"/>
      <c r="E38" s="1"/>
      <c r="F38" s="1"/>
      <c r="G38" s="1"/>
      <c r="H38" s="1"/>
      <c r="I38" s="1"/>
      <c r="J38" s="1"/>
      <c r="K38" s="1"/>
      <c r="L38" s="1"/>
      <c r="M38" s="1"/>
      <c r="N38" s="1"/>
      <c r="O38" s="1"/>
      <c r="P38" s="1"/>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1"/>
      <c r="K40" s="1"/>
      <c r="L40" s="1"/>
      <c r="M40" s="1"/>
      <c r="N40" s="1"/>
      <c r="O40" s="1"/>
      <c r="P40" s="1"/>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1"/>
      <c r="K42" s="1"/>
      <c r="L42" s="1"/>
      <c r="M42" s="1"/>
      <c r="N42" s="1"/>
      <c r="O42" s="1"/>
      <c r="P42" s="1"/>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1"/>
      <c r="J54" s="1"/>
      <c r="K54" s="1"/>
      <c r="L54" s="1"/>
      <c r="M54" s="1"/>
      <c r="N54" s="1"/>
      <c r="O54" s="1"/>
      <c r="P54" s="1"/>
      <c r="Q54" s="1"/>
      <c r="R54" s="1"/>
      <c r="S54" s="1"/>
      <c r="T54" s="1"/>
      <c r="U54" s="1"/>
      <c r="V54" s="1"/>
      <c r="W54" s="1"/>
      <c r="X54" s="1"/>
      <c r="Y54" s="1"/>
      <c r="Z54" s="1"/>
    </row>
    <row r="55">
      <c r="A55" s="1"/>
      <c r="B55" s="1"/>
      <c r="C55" s="1"/>
      <c r="D55" s="1"/>
      <c r="E55" s="1"/>
      <c r="F55" s="1"/>
      <c r="G55" s="1"/>
      <c r="H55" s="1"/>
      <c r="I55" s="1"/>
      <c r="J55" s="1"/>
      <c r="K55" s="1"/>
      <c r="L55" s="1"/>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1"/>
      <c r="K62" s="1"/>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1"/>
      <c r="M79" s="1"/>
      <c r="N79" s="1"/>
      <c r="O79" s="1"/>
      <c r="P79" s="1"/>
      <c r="Q79" s="1"/>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row r="1010">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row>
  </sheetData>
  <mergeCells count="4">
    <mergeCell ref="A2:A3"/>
    <mergeCell ref="A8:A16"/>
    <mergeCell ref="A18:A19"/>
    <mergeCell ref="A21:A22"/>
  </mergeCells>
  <hyperlinks>
    <hyperlink r:id="rId1" ref="C2"/>
    <hyperlink r:id="rId2" ref="C21"/>
    <hyperlink r:id="rId3" location="gid=405816964" ref="C22"/>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s>
  <sheetData>
    <row r="1">
      <c r="A1" s="15"/>
      <c r="B1" s="16" t="s">
        <v>23</v>
      </c>
      <c r="C1" s="16" t="s">
        <v>24</v>
      </c>
      <c r="D1" s="16" t="s">
        <v>25</v>
      </c>
      <c r="E1" s="16" t="s">
        <v>26</v>
      </c>
      <c r="F1" s="17" t="s">
        <v>27</v>
      </c>
      <c r="G1" s="16" t="s">
        <v>28</v>
      </c>
      <c r="H1" s="16" t="s">
        <v>29</v>
      </c>
      <c r="I1" s="16" t="s">
        <v>30</v>
      </c>
    </row>
    <row r="2">
      <c r="A2" s="18" t="s">
        <v>31</v>
      </c>
      <c r="B2" s="16" t="b">
        <v>1</v>
      </c>
      <c r="C2" s="16" t="b">
        <v>1</v>
      </c>
      <c r="D2" s="16" t="b">
        <v>1</v>
      </c>
      <c r="E2" s="16" t="b">
        <v>1</v>
      </c>
      <c r="F2" s="17" t="b">
        <v>1</v>
      </c>
      <c r="G2" s="16" t="b">
        <v>1</v>
      </c>
      <c r="H2" s="16" t="b">
        <v>1</v>
      </c>
      <c r="I2" s="16" t="b">
        <v>1</v>
      </c>
      <c r="J2" s="16" t="str">
        <f t="array" ref="J2">if(SUM(if(B2:I2=TRUE(),1,0))=8,"DONE", if(SUM(if(B2:I2=TRUE(),1,0))&gt;0,"In Progress","Not Started"))</f>
        <v>DONE</v>
      </c>
      <c r="K2" s="19">
        <f t="array" ref="K2">SUM(if(B2:I2=TRUE(),1,0))/8</f>
        <v>1</v>
      </c>
      <c r="L2" s="19"/>
      <c r="M2" s="19"/>
      <c r="N2" s="19"/>
    </row>
    <row r="3">
      <c r="A3" s="18" t="s">
        <v>32</v>
      </c>
      <c r="B3" s="16" t="b">
        <v>1</v>
      </c>
      <c r="C3" s="16" t="b">
        <v>1</v>
      </c>
      <c r="D3" s="16" t="b">
        <v>1</v>
      </c>
      <c r="E3" s="16" t="b">
        <v>1</v>
      </c>
      <c r="F3" s="17" t="b">
        <v>1</v>
      </c>
      <c r="G3" s="20" t="b">
        <v>1</v>
      </c>
      <c r="H3" s="16" t="b">
        <v>1</v>
      </c>
      <c r="I3" s="16" t="b">
        <v>1</v>
      </c>
      <c r="J3" s="16" t="str">
        <f t="array" ref="J3">if(SUM(if(B3:I3=TRUE(),1,0))=8,"DONE", if(SUM(if(B3:I3=TRUE(),1,0))&gt;0,"In Progress","Not Started"))</f>
        <v>DONE</v>
      </c>
      <c r="K3" s="19">
        <f t="array" ref="K3">SUM(if(B3:I3=TRUE(),1,0))/8</f>
        <v>1</v>
      </c>
      <c r="L3" s="19"/>
      <c r="M3" s="19"/>
      <c r="N3" s="19"/>
    </row>
    <row r="4">
      <c r="A4" s="18" t="s">
        <v>33</v>
      </c>
      <c r="B4" s="16" t="b">
        <v>1</v>
      </c>
      <c r="C4" s="16" t="b">
        <v>1</v>
      </c>
      <c r="D4" s="16" t="b">
        <v>1</v>
      </c>
      <c r="E4" s="16" t="b">
        <v>1</v>
      </c>
      <c r="F4" s="17" t="b">
        <v>1</v>
      </c>
      <c r="G4" s="21" t="b">
        <v>1</v>
      </c>
      <c r="H4" s="16" t="b">
        <v>1</v>
      </c>
      <c r="I4" s="16" t="b">
        <v>1</v>
      </c>
      <c r="J4" s="16" t="str">
        <f t="array" ref="J4">if(SUM(if(B4:I4=TRUE(),1,0))=8,"DONE", if(SUM(if(B4:I4=TRUE(),1,0))&gt;0,"In Progress","Not Started"))</f>
        <v>DONE</v>
      </c>
      <c r="K4" s="19">
        <f t="array" ref="K4">SUM(if(B4:I4=TRUE(),1,0))/8</f>
        <v>1</v>
      </c>
      <c r="L4" s="19"/>
      <c r="M4" s="19"/>
      <c r="N4" s="19"/>
    </row>
    <row r="5">
      <c r="A5" s="18" t="s">
        <v>34</v>
      </c>
      <c r="B5" s="16" t="b">
        <v>1</v>
      </c>
      <c r="C5" s="16" t="b">
        <v>1</v>
      </c>
      <c r="D5" s="16" t="b">
        <v>1</v>
      </c>
      <c r="E5" s="16" t="b">
        <v>1</v>
      </c>
      <c r="F5" s="17" t="b">
        <v>1</v>
      </c>
      <c r="G5" s="20" t="b">
        <v>1</v>
      </c>
      <c r="H5" s="16" t="b">
        <v>1</v>
      </c>
      <c r="I5" s="16" t="b">
        <v>1</v>
      </c>
      <c r="J5" s="16" t="str">
        <f t="array" ref="J5">if(SUM(if(B5:I5=TRUE(),1,0))=8,"DONE", if(SUM(if(B5:I5=TRUE(),1,0))&gt;0,"In Progress","Not Started"))</f>
        <v>DONE</v>
      </c>
      <c r="K5" s="19">
        <f t="array" ref="K5">SUM(if(B5:I5=TRUE(),1,0))/8</f>
        <v>1</v>
      </c>
      <c r="L5" s="19"/>
      <c r="M5" s="19"/>
      <c r="N5" s="19"/>
    </row>
    <row r="6">
      <c r="A6" s="18" t="s">
        <v>35</v>
      </c>
      <c r="B6" s="16" t="b">
        <v>1</v>
      </c>
      <c r="C6" s="16" t="b">
        <v>1</v>
      </c>
      <c r="D6" s="16" t="b">
        <v>1</v>
      </c>
      <c r="E6" s="16" t="b">
        <v>1</v>
      </c>
      <c r="F6" s="17" t="b">
        <v>1</v>
      </c>
      <c r="G6" s="20" t="b">
        <v>1</v>
      </c>
      <c r="H6" s="16" t="b">
        <v>1</v>
      </c>
      <c r="I6" s="16" t="b">
        <v>1</v>
      </c>
      <c r="J6" s="16" t="str">
        <f t="array" ref="J6">if(SUM(if(B6:I6=TRUE(),1,0))=8,"DONE", if(SUM(if(B6:I6=TRUE(),1,0))&gt;0,"In Progress","Not Started"))</f>
        <v>DONE</v>
      </c>
      <c r="K6" s="19">
        <f t="array" ref="K6">SUM(if(B6:I6=TRUE(),1,0))/8</f>
        <v>1</v>
      </c>
      <c r="L6" s="19"/>
      <c r="M6" s="19"/>
    </row>
    <row r="7">
      <c r="A7" s="18" t="s">
        <v>36</v>
      </c>
      <c r="B7" s="16" t="b">
        <v>1</v>
      </c>
      <c r="C7" s="16" t="b">
        <v>1</v>
      </c>
      <c r="D7" s="22" t="b">
        <v>1</v>
      </c>
      <c r="E7" s="22" t="b">
        <v>1</v>
      </c>
      <c r="F7" s="17" t="b">
        <v>1</v>
      </c>
      <c r="G7" s="21" t="b">
        <v>1</v>
      </c>
      <c r="H7" s="16" t="b">
        <v>1</v>
      </c>
      <c r="I7" s="16" t="b">
        <v>1</v>
      </c>
      <c r="J7" s="16" t="str">
        <f t="array" ref="J7">if(SUM(if(B7:I7=TRUE(),1,0))=8,"DONE", if(SUM(if(B7:I7=TRUE(),1,0))&gt;0,"In Progress","Not Started"))</f>
        <v>DONE</v>
      </c>
      <c r="K7" s="19">
        <f t="array" ref="K7">SUM(if(B7:I7=TRUE(),1,0))/8</f>
        <v>1</v>
      </c>
      <c r="L7" s="19"/>
      <c r="M7" s="19"/>
    </row>
    <row r="8">
      <c r="A8" s="18" t="s">
        <v>37</v>
      </c>
      <c r="B8" s="16" t="b">
        <v>1</v>
      </c>
      <c r="C8" s="16" t="b">
        <v>1</v>
      </c>
      <c r="D8" s="16" t="b">
        <v>1</v>
      </c>
      <c r="E8" s="16" t="b">
        <v>1</v>
      </c>
      <c r="F8" s="17" t="b">
        <v>1</v>
      </c>
      <c r="G8" s="21" t="b">
        <v>1</v>
      </c>
      <c r="H8" s="16" t="b">
        <v>1</v>
      </c>
      <c r="I8" s="16" t="b">
        <v>1</v>
      </c>
      <c r="J8" s="16" t="str">
        <f t="array" ref="J8">if(SUM(if(B8:I8=TRUE(),1,0))=8,"DONE", if(SUM(if(B8:I8=TRUE(),1,0))&gt;0,"In Progress","Not Started"))</f>
        <v>DONE</v>
      </c>
      <c r="K8" s="19">
        <f t="array" ref="K8">SUM(if(B8:I8=TRUE(),1,0))/8</f>
        <v>1</v>
      </c>
      <c r="L8" s="19"/>
      <c r="M8" s="19"/>
    </row>
    <row r="9">
      <c r="A9" s="18" t="s">
        <v>38</v>
      </c>
      <c r="B9" s="16" t="b">
        <v>1</v>
      </c>
      <c r="C9" s="16" t="b">
        <v>1</v>
      </c>
      <c r="D9" s="16" t="b">
        <v>1</v>
      </c>
      <c r="E9" s="16" t="b">
        <v>1</v>
      </c>
      <c r="F9" s="17" t="b">
        <v>1</v>
      </c>
      <c r="G9" s="20" t="b">
        <v>1</v>
      </c>
      <c r="H9" s="16" t="b">
        <v>1</v>
      </c>
      <c r="I9" s="16" t="b">
        <v>1</v>
      </c>
      <c r="J9" s="16" t="str">
        <f t="array" ref="J9">if(SUM(if(B9:I9=TRUE(),1,0))=8,"DONE", if(SUM(if(B9:I9=TRUE(),1,0))&gt;0,"In Progress","Not Started"))</f>
        <v>DONE</v>
      </c>
      <c r="K9" s="19">
        <f t="array" ref="K9">SUM(if(B9:I9=TRUE(),1,0))/8</f>
        <v>1</v>
      </c>
      <c r="L9" s="19"/>
      <c r="M9" s="19"/>
    </row>
    <row r="10">
      <c r="A10" s="23" t="s">
        <v>39</v>
      </c>
      <c r="B10" s="16" t="b">
        <v>1</v>
      </c>
      <c r="C10" s="16" t="b">
        <v>1</v>
      </c>
      <c r="D10" s="16" t="b">
        <v>1</v>
      </c>
      <c r="E10" s="16" t="b">
        <v>1</v>
      </c>
      <c r="F10" s="17" t="b">
        <v>1</v>
      </c>
      <c r="G10" s="21" t="b">
        <v>1</v>
      </c>
      <c r="H10" s="16" t="b">
        <v>1</v>
      </c>
      <c r="I10" s="16" t="b">
        <v>1</v>
      </c>
      <c r="J10" s="16" t="str">
        <f t="array" ref="J10">if(SUM(if(B10:I10=TRUE(),1,0))=8,"DONE", if(SUM(if(B10:I10=TRUE(),1,0))&gt;0,"In Progress","Not Started"))</f>
        <v>DONE</v>
      </c>
      <c r="K10" s="19">
        <f t="array" ref="K10">SUM(if(B10:I10=TRUE(),1,0))/8</f>
        <v>1</v>
      </c>
      <c r="L10" s="19"/>
      <c r="M10" s="19"/>
    </row>
    <row r="11">
      <c r="A11" s="18" t="s">
        <v>40</v>
      </c>
      <c r="B11" s="16" t="b">
        <v>1</v>
      </c>
      <c r="C11" s="16" t="b">
        <v>1</v>
      </c>
      <c r="D11" s="16" t="b">
        <v>1</v>
      </c>
      <c r="E11" s="16" t="b">
        <v>1</v>
      </c>
      <c r="F11" s="17" t="b">
        <v>1</v>
      </c>
      <c r="G11" s="20" t="b">
        <v>1</v>
      </c>
      <c r="H11" s="16" t="b">
        <v>1</v>
      </c>
      <c r="I11" s="16" t="b">
        <v>1</v>
      </c>
      <c r="J11" s="16" t="str">
        <f t="array" ref="J11">if(SUM(if(B11:I11=TRUE(),1,0))=8,"DONE", if(SUM(if(B11:I11=TRUE(),1,0))&gt;0,"In Progress","Not Started"))</f>
        <v>DONE</v>
      </c>
      <c r="K11" s="19">
        <f t="array" ref="K11">SUM(if(B11:I11=TRUE(),1,0))/8</f>
        <v>1</v>
      </c>
      <c r="L11" s="19"/>
      <c r="M11" s="19"/>
    </row>
    <row r="12">
      <c r="A12" s="18" t="s">
        <v>41</v>
      </c>
      <c r="B12" s="16" t="b">
        <v>1</v>
      </c>
      <c r="C12" s="16" t="b">
        <v>1</v>
      </c>
      <c r="D12" s="16" t="b">
        <v>1</v>
      </c>
      <c r="E12" s="16" t="b">
        <v>1</v>
      </c>
      <c r="F12" s="17" t="b">
        <v>1</v>
      </c>
      <c r="G12" s="21" t="b">
        <v>1</v>
      </c>
      <c r="H12" s="16" t="b">
        <v>1</v>
      </c>
      <c r="I12" s="16" t="b">
        <v>1</v>
      </c>
      <c r="J12" s="16" t="str">
        <f t="array" ref="J12">if(SUM(if(B12:I12=TRUE(),1,0))=8,"DONE", if(SUM(if(B12:I12=TRUE(),1,0))&gt;0,"In Progress","Not Started"))</f>
        <v>DONE</v>
      </c>
      <c r="K12" s="19">
        <f t="array" ref="K12">SUM(if(B12:I12=TRUE(),1,0))/8</f>
        <v>1</v>
      </c>
    </row>
    <row r="13">
      <c r="A13" s="18" t="s">
        <v>42</v>
      </c>
      <c r="B13" s="16" t="b">
        <v>1</v>
      </c>
      <c r="C13" s="16" t="b">
        <v>1</v>
      </c>
      <c r="D13" s="16" t="b">
        <v>1</v>
      </c>
      <c r="E13" s="16" t="b">
        <v>1</v>
      </c>
      <c r="F13" s="17" t="b">
        <v>1</v>
      </c>
      <c r="G13" s="21" t="b">
        <v>1</v>
      </c>
      <c r="H13" s="16" t="b">
        <v>1</v>
      </c>
      <c r="I13" s="16" t="b">
        <v>1</v>
      </c>
      <c r="J13" s="16" t="str">
        <f t="array" ref="J13">if(SUM(if(B13:I13=TRUE(),1,0))=8,"DONE", if(SUM(if(B13:I13=TRUE(),1,0))&gt;0,"In Progress","Not Started"))</f>
        <v>DONE</v>
      </c>
      <c r="K13" s="19">
        <f t="array" ref="K13">SUM(if(B13:I13=TRUE(),1,0))/8</f>
        <v>1</v>
      </c>
    </row>
    <row r="14">
      <c r="A14" s="18" t="s">
        <v>43</v>
      </c>
      <c r="B14" s="16" t="b">
        <v>1</v>
      </c>
      <c r="C14" s="16" t="b">
        <v>1</v>
      </c>
      <c r="D14" s="16" t="b">
        <v>1</v>
      </c>
      <c r="E14" s="16" t="b">
        <v>1</v>
      </c>
      <c r="F14" s="17" t="b">
        <v>1</v>
      </c>
      <c r="G14" s="20" t="b">
        <v>1</v>
      </c>
      <c r="H14" s="16" t="b">
        <v>1</v>
      </c>
      <c r="I14" s="16" t="b">
        <v>1</v>
      </c>
      <c r="J14" s="16" t="str">
        <f t="array" ref="J14">if(SUM(if(B14:I14=TRUE(),1,0))=8,"DONE", if(SUM(if(B14:I14=TRUE(),1,0))&gt;0,"In Progress","Not Started"))</f>
        <v>DONE</v>
      </c>
      <c r="K14" s="19">
        <f t="array" ref="K14">SUM(if(B14:I14=TRUE(),1,0))/8</f>
        <v>1</v>
      </c>
    </row>
    <row r="15">
      <c r="A15" s="18" t="s">
        <v>44</v>
      </c>
      <c r="B15" s="16" t="b">
        <v>1</v>
      </c>
      <c r="C15" s="16" t="b">
        <v>1</v>
      </c>
      <c r="D15" s="16" t="b">
        <v>1</v>
      </c>
      <c r="E15" s="16" t="b">
        <v>1</v>
      </c>
      <c r="F15" s="17" t="b">
        <v>1</v>
      </c>
      <c r="G15" s="21" t="b">
        <v>1</v>
      </c>
      <c r="H15" s="16" t="b">
        <v>1</v>
      </c>
      <c r="I15" s="16" t="b">
        <v>1</v>
      </c>
      <c r="J15" s="16" t="str">
        <f t="array" ref="J15">if(SUM(if(B15:I15=TRUE(),1,0))=8,"DONE", if(SUM(if(B15:I15=TRUE(),1,0))&gt;0,"In Progress","Not Started"))</f>
        <v>DONE</v>
      </c>
      <c r="K15" s="19">
        <f t="array" ref="K15">SUM(if(B15:I15=TRUE(),1,0))/8</f>
        <v>1</v>
      </c>
    </row>
    <row r="16">
      <c r="A16" s="18" t="s">
        <v>45</v>
      </c>
      <c r="B16" s="16" t="b">
        <v>1</v>
      </c>
      <c r="C16" s="16" t="b">
        <v>1</v>
      </c>
      <c r="D16" s="16" t="b">
        <v>1</v>
      </c>
      <c r="E16" s="16" t="b">
        <v>1</v>
      </c>
      <c r="F16" s="17" t="b">
        <v>1</v>
      </c>
      <c r="G16" s="20" t="b">
        <v>1</v>
      </c>
      <c r="H16" s="16" t="b">
        <v>1</v>
      </c>
      <c r="I16" s="16" t="b">
        <v>1</v>
      </c>
      <c r="J16" s="16" t="str">
        <f t="array" ref="J16">if(SUM(if(B16:I16=TRUE(),1,0))=8,"DONE", if(SUM(if(B16:I16=TRUE(),1,0))&gt;0,"In Progress","Not Started"))</f>
        <v>DONE</v>
      </c>
      <c r="K16" s="19">
        <f t="array" ref="K16">SUM(if(B16:I16=TRUE(),1,0))/8</f>
        <v>1</v>
      </c>
    </row>
    <row r="17">
      <c r="A17" s="18" t="s">
        <v>46</v>
      </c>
      <c r="B17" s="16" t="b">
        <v>1</v>
      </c>
      <c r="C17" s="16" t="b">
        <v>1</v>
      </c>
      <c r="D17" s="24" t="b">
        <v>1</v>
      </c>
      <c r="E17" s="25" t="b">
        <v>1</v>
      </c>
      <c r="F17" s="17" t="b">
        <v>1</v>
      </c>
      <c r="G17" s="21" t="b">
        <v>1</v>
      </c>
      <c r="H17" s="16" t="b">
        <v>1</v>
      </c>
      <c r="I17" s="16" t="b">
        <v>1</v>
      </c>
      <c r="J17" s="16" t="str">
        <f t="array" ref="J17">if(SUM(if(B17:I17=TRUE(),1,0))=8,"DONE", if(SUM(if(B17:I17=TRUE(),1,0))&gt;0,"In Progress","Not Started"))</f>
        <v>DONE</v>
      </c>
      <c r="K17" s="19">
        <f t="array" ref="K17">SUM(if(B17:I17=TRUE(),1,0))/8</f>
        <v>1</v>
      </c>
    </row>
    <row r="18">
      <c r="A18" s="26" t="s">
        <v>47</v>
      </c>
      <c r="B18" s="16" t="b">
        <v>1</v>
      </c>
      <c r="C18" s="16" t="b">
        <v>1</v>
      </c>
      <c r="D18" s="16" t="b">
        <v>1</v>
      </c>
      <c r="E18" s="16" t="b">
        <v>1</v>
      </c>
      <c r="F18" s="17" t="b">
        <v>1</v>
      </c>
      <c r="G18" s="20" t="b">
        <v>1</v>
      </c>
      <c r="H18" s="16" t="b">
        <v>1</v>
      </c>
      <c r="I18" s="16" t="b">
        <v>1</v>
      </c>
      <c r="J18" s="16" t="str">
        <f t="array" ref="J18">if(SUM(if(B18:I18=TRUE(),1,0))=8,"DONE", if(SUM(if(B18:I18=TRUE(),1,0))&gt;0,"In Progress","Not Started"))</f>
        <v>DONE</v>
      </c>
      <c r="K18" s="19">
        <f t="array" ref="K18">SUM(if(B18:I18=TRUE(),1,0))/8</f>
        <v>1</v>
      </c>
    </row>
    <row r="19">
      <c r="A19" s="18" t="s">
        <v>48</v>
      </c>
      <c r="B19" s="16" t="b">
        <v>1</v>
      </c>
      <c r="C19" s="16" t="b">
        <v>1</v>
      </c>
      <c r="D19" s="16" t="b">
        <v>1</v>
      </c>
      <c r="E19" s="16" t="b">
        <v>1</v>
      </c>
      <c r="F19" s="17" t="b">
        <v>1</v>
      </c>
      <c r="G19" s="20" t="b">
        <v>1</v>
      </c>
      <c r="H19" s="16" t="b">
        <v>1</v>
      </c>
      <c r="I19" s="16" t="b">
        <v>1</v>
      </c>
      <c r="J19" s="16" t="str">
        <f t="array" ref="J19">if(SUM(if(B19:I19=TRUE(),1,0))=8,"DONE", if(SUM(if(B19:I19=TRUE(),1,0))&gt;0,"In Progress","Not Started"))</f>
        <v>DONE</v>
      </c>
      <c r="K19" s="19">
        <f t="array" ref="K19">SUM(if(B19:I19=TRUE(),1,0))/8</f>
        <v>1</v>
      </c>
    </row>
    <row r="20">
      <c r="A20" s="18" t="s">
        <v>49</v>
      </c>
      <c r="B20" s="16" t="b">
        <v>1</v>
      </c>
      <c r="C20" s="16" t="b">
        <v>1</v>
      </c>
      <c r="D20" s="22" t="b">
        <v>1</v>
      </c>
      <c r="E20" s="22" t="b">
        <v>1</v>
      </c>
      <c r="F20" s="17" t="b">
        <v>1</v>
      </c>
      <c r="G20" s="21" t="b">
        <v>1</v>
      </c>
      <c r="H20" s="16" t="b">
        <v>1</v>
      </c>
      <c r="I20" s="16" t="b">
        <v>1</v>
      </c>
      <c r="J20" s="16" t="str">
        <f t="array" ref="J20">if(SUM(if(B20:I20=TRUE(),1,0))=8,"DONE", if(SUM(if(B20:I20=TRUE(),1,0))&gt;0,"In Progress","Not Started"))</f>
        <v>DONE</v>
      </c>
      <c r="K20" s="19">
        <f t="array" ref="K20">SUM(if(B20:I20=TRUE(),1,0))/8</f>
        <v>1</v>
      </c>
    </row>
    <row r="21">
      <c r="A21" s="18" t="s">
        <v>50</v>
      </c>
      <c r="B21" s="16" t="b">
        <v>1</v>
      </c>
      <c r="C21" s="16" t="b">
        <v>1</v>
      </c>
      <c r="D21" s="16" t="b">
        <v>1</v>
      </c>
      <c r="E21" s="16" t="b">
        <v>1</v>
      </c>
      <c r="F21" s="17" t="b">
        <v>1</v>
      </c>
      <c r="G21" s="21" t="b">
        <v>1</v>
      </c>
      <c r="H21" s="16" t="b">
        <v>1</v>
      </c>
      <c r="I21" s="21" t="b">
        <v>1</v>
      </c>
      <c r="J21" s="16" t="str">
        <f t="array" ref="J21">if(SUM(if(B21:I21=TRUE(),1,0))=8,"DONE", if(SUM(if(B21:I21=TRUE(),1,0))&gt;0,"In Progress","Not Started"))</f>
        <v>DONE</v>
      </c>
      <c r="K21" s="19">
        <f t="array" ref="K21">SUM(if(B21:I21=TRUE(),1,0))/8</f>
        <v>1</v>
      </c>
    </row>
    <row r="22">
      <c r="A22" s="18" t="s">
        <v>51</v>
      </c>
      <c r="B22" s="16" t="b">
        <v>1</v>
      </c>
      <c r="C22" s="16" t="b">
        <v>1</v>
      </c>
      <c r="D22" s="16" t="b">
        <v>1</v>
      </c>
      <c r="E22" s="16" t="b">
        <v>1</v>
      </c>
      <c r="F22" s="17" t="b">
        <v>1</v>
      </c>
      <c r="G22" s="20" t="b">
        <v>1</v>
      </c>
      <c r="H22" s="16" t="b">
        <v>1</v>
      </c>
      <c r="I22" s="16" t="b">
        <v>1</v>
      </c>
      <c r="J22" s="16" t="str">
        <f t="array" ref="J22">if(SUM(if(B22:I22=TRUE(),1,0))=8,"DONE", if(SUM(if(B22:I22=TRUE(),1,0))&gt;0,"In Progress","Not Started"))</f>
        <v>DONE</v>
      </c>
      <c r="K22" s="19">
        <f t="array" ref="K22">SUM(if(B22:I22=TRUE(),1,0))/8</f>
        <v>1</v>
      </c>
    </row>
    <row r="23">
      <c r="A23" s="18" t="s">
        <v>52</v>
      </c>
      <c r="B23" s="16" t="b">
        <v>1</v>
      </c>
      <c r="C23" s="16" t="b">
        <v>1</v>
      </c>
      <c r="D23" s="16" t="b">
        <v>1</v>
      </c>
      <c r="E23" s="16" t="b">
        <v>1</v>
      </c>
      <c r="F23" s="17" t="b">
        <v>1</v>
      </c>
      <c r="G23" s="20" t="b">
        <v>1</v>
      </c>
      <c r="H23" s="16" t="b">
        <v>1</v>
      </c>
      <c r="I23" s="21" t="b">
        <v>1</v>
      </c>
      <c r="J23" s="16" t="str">
        <f t="array" ref="J23">if(SUM(if(B23:I23=TRUE(),1,0))=8,"DONE", if(SUM(if(B23:I23=TRUE(),1,0))&gt;0,"In Progress","Not Started"))</f>
        <v>DONE</v>
      </c>
      <c r="K23" s="19">
        <f t="array" ref="K23">SUM(if(B23:I23=TRUE(),1,0))/8</f>
        <v>1</v>
      </c>
    </row>
    <row r="24">
      <c r="A24" s="18" t="s">
        <v>53</v>
      </c>
      <c r="B24" s="16" t="b">
        <v>1</v>
      </c>
      <c r="C24" s="16" t="b">
        <v>1</v>
      </c>
      <c r="D24" s="16" t="b">
        <v>1</v>
      </c>
      <c r="E24" s="16" t="b">
        <v>1</v>
      </c>
      <c r="F24" s="17" t="b">
        <v>1</v>
      </c>
      <c r="G24" s="21" t="b">
        <v>1</v>
      </c>
      <c r="H24" s="16" t="b">
        <v>1</v>
      </c>
      <c r="I24" s="16" t="b">
        <v>1</v>
      </c>
      <c r="J24" s="16" t="str">
        <f t="array" ref="J24">if(SUM(if(B24:I24=TRUE(),1,0))=8,"DONE", if(SUM(if(B24:I24=TRUE(),1,0))&gt;0,"In Progress","Not Started"))</f>
        <v>DONE</v>
      </c>
      <c r="K24" s="19">
        <f t="array" ref="K24">SUM(if(B24:I24=TRUE(),1,0))/8</f>
        <v>1</v>
      </c>
    </row>
    <row r="25">
      <c r="A25" s="18" t="s">
        <v>54</v>
      </c>
      <c r="B25" s="16" t="b">
        <v>1</v>
      </c>
      <c r="C25" s="16" t="b">
        <v>1</v>
      </c>
      <c r="D25" s="16" t="b">
        <v>1</v>
      </c>
      <c r="E25" s="16" t="b">
        <v>1</v>
      </c>
      <c r="F25" s="17" t="b">
        <v>1</v>
      </c>
      <c r="G25" s="21" t="b">
        <v>1</v>
      </c>
      <c r="H25" s="16" t="b">
        <v>1</v>
      </c>
      <c r="I25" s="16" t="b">
        <v>1</v>
      </c>
      <c r="J25" s="16" t="str">
        <f t="array" ref="J25">if(SUM(if(B25:I25=TRUE(),1,0))=8,"DONE", if(SUM(if(B25:I25=TRUE(),1,0))&gt;0,"In Progress","Not Started"))</f>
        <v>DONE</v>
      </c>
      <c r="K25" s="19">
        <f t="array" ref="K25">SUM(if(B25:I25=TRUE(),1,0))/8</f>
        <v>1</v>
      </c>
    </row>
    <row r="26">
      <c r="A26" s="26" t="s">
        <v>55</v>
      </c>
      <c r="B26" s="16" t="b">
        <v>1</v>
      </c>
      <c r="C26" s="16" t="b">
        <v>1</v>
      </c>
      <c r="D26" s="16" t="b">
        <v>1</v>
      </c>
      <c r="E26" s="16" t="b">
        <v>1</v>
      </c>
      <c r="F26" s="17" t="b">
        <v>1</v>
      </c>
      <c r="G26" s="20" t="b">
        <v>1</v>
      </c>
      <c r="H26" s="16" t="b">
        <v>1</v>
      </c>
      <c r="I26" s="16" t="b">
        <v>1</v>
      </c>
      <c r="J26" s="16" t="str">
        <f t="array" ref="J26">if(SUM(if(B26:I26=TRUE(),1,0))=8,"DONE", if(SUM(if(B26:I26=TRUE(),1,0))&gt;0,"In Progress","Not Started"))</f>
        <v>DONE</v>
      </c>
      <c r="K26" s="19">
        <f t="array" ref="K26">SUM(if(B26:I26=TRUE(),1,0))/8</f>
        <v>1</v>
      </c>
    </row>
    <row r="27">
      <c r="A27" s="18" t="s">
        <v>56</v>
      </c>
      <c r="B27" s="16" t="b">
        <v>1</v>
      </c>
      <c r="C27" s="16" t="b">
        <v>1</v>
      </c>
      <c r="D27" s="16" t="b">
        <v>1</v>
      </c>
      <c r="E27" s="16" t="b">
        <v>1</v>
      </c>
      <c r="F27" s="17" t="b">
        <v>1</v>
      </c>
      <c r="G27" s="20" t="b">
        <v>1</v>
      </c>
      <c r="H27" s="16" t="b">
        <v>1</v>
      </c>
      <c r="I27" s="27" t="b">
        <v>1</v>
      </c>
      <c r="J27" s="16" t="str">
        <f t="array" ref="J27">if(SUM(if(B27:I27=TRUE(),1,0))=8,"DONE", if(SUM(if(B27:I27=TRUE(),1,0))&gt;0,"In Progress","Not Started"))</f>
        <v>DONE</v>
      </c>
      <c r="K27" s="19">
        <f t="array" ref="K27">SUM(if(B27:I27=TRUE(),1,0))/8</f>
        <v>1</v>
      </c>
    </row>
    <row r="28">
      <c r="A28" s="18" t="s">
        <v>57</v>
      </c>
      <c r="B28" s="16" t="b">
        <v>1</v>
      </c>
      <c r="C28" s="16" t="b">
        <v>1</v>
      </c>
      <c r="D28" s="16" t="b">
        <v>1</v>
      </c>
      <c r="E28" s="16" t="b">
        <v>1</v>
      </c>
      <c r="F28" s="17" t="b">
        <v>1</v>
      </c>
      <c r="G28" s="21" t="b">
        <v>1</v>
      </c>
      <c r="H28" s="16" t="b">
        <v>1</v>
      </c>
      <c r="I28" s="27" t="b">
        <v>1</v>
      </c>
      <c r="J28" s="16" t="str">
        <f t="array" ref="J28">if(SUM(if(B28:I28=TRUE(),1,0))=8,"DONE", if(SUM(if(B28:I28=TRUE(),1,0))&gt;0,"In Progress","Not Started"))</f>
        <v>DONE</v>
      </c>
      <c r="K28" s="19">
        <f t="array" ref="K28">SUM(if(B28:I28=TRUE(),1,0))/8</f>
        <v>1</v>
      </c>
    </row>
    <row r="29">
      <c r="A29" s="18" t="s">
        <v>58</v>
      </c>
      <c r="B29" s="16" t="b">
        <v>1</v>
      </c>
      <c r="C29" s="16" t="b">
        <v>1</v>
      </c>
      <c r="D29" s="16" t="b">
        <v>1</v>
      </c>
      <c r="E29" s="16" t="b">
        <v>1</v>
      </c>
      <c r="F29" s="17" t="b">
        <v>1</v>
      </c>
      <c r="G29" s="21" t="b">
        <v>1</v>
      </c>
      <c r="H29" s="16" t="b">
        <v>1</v>
      </c>
      <c r="I29" s="27" t="b">
        <v>1</v>
      </c>
      <c r="J29" s="16" t="str">
        <f t="array" ref="J29">if(SUM(if(B29:I29=TRUE(),1,0))=8,"DONE", if(SUM(if(B29:I29=TRUE(),1,0))&gt;0,"In Progress","Not Started"))</f>
        <v>DONE</v>
      </c>
      <c r="K29" s="19">
        <f t="array" ref="K29">SUM(if(B29:I29=TRUE(),1,0))/8</f>
        <v>1</v>
      </c>
    </row>
    <row r="30">
      <c r="A30" s="18" t="s">
        <v>59</v>
      </c>
      <c r="B30" s="16" t="b">
        <v>1</v>
      </c>
      <c r="C30" s="16" t="b">
        <v>1</v>
      </c>
      <c r="D30" s="16" t="b">
        <v>1</v>
      </c>
      <c r="E30" s="16" t="b">
        <v>1</v>
      </c>
      <c r="F30" s="17" t="b">
        <v>1</v>
      </c>
      <c r="G30" s="20" t="b">
        <v>1</v>
      </c>
      <c r="H30" s="16" t="b">
        <v>1</v>
      </c>
      <c r="I30" s="27" t="b">
        <v>1</v>
      </c>
      <c r="J30" s="16" t="str">
        <f t="array" ref="J30">if(SUM(if(B30:I30=TRUE(),1,0))=8,"DONE", if(SUM(if(B30:I30=TRUE(),1,0))&gt;0,"In Progress","Not Started"))</f>
        <v>DONE</v>
      </c>
      <c r="K30" s="19">
        <f t="array" ref="K30">SUM(if(B30:I30=TRUE(),1,0))/8</f>
        <v>1</v>
      </c>
    </row>
    <row r="31">
      <c r="A31" s="18" t="s">
        <v>60</v>
      </c>
      <c r="B31" s="16" t="b">
        <v>1</v>
      </c>
      <c r="C31" s="16" t="b">
        <v>1</v>
      </c>
      <c r="D31" s="16" t="b">
        <v>1</v>
      </c>
      <c r="E31" s="16" t="b">
        <v>1</v>
      </c>
      <c r="F31" s="17" t="b">
        <v>1</v>
      </c>
      <c r="G31" s="21" t="b">
        <v>1</v>
      </c>
      <c r="H31" s="16" t="b">
        <v>1</v>
      </c>
      <c r="I31" s="27" t="b">
        <v>1</v>
      </c>
      <c r="J31" s="16" t="str">
        <f t="array" ref="J31">if(SUM(if(B31:I31=TRUE(),1,0))=8,"DONE", if(SUM(if(B31:I31=TRUE(),1,0))&gt;0,"In Progress","Not Started"))</f>
        <v>DONE</v>
      </c>
      <c r="K31" s="19">
        <f t="array" ref="K31">SUM(if(B31:I31=TRUE(),1,0))/8</f>
        <v>1</v>
      </c>
    </row>
    <row r="32">
      <c r="A32" s="18" t="s">
        <v>61</v>
      </c>
      <c r="B32" s="16" t="b">
        <v>1</v>
      </c>
      <c r="C32" s="16" t="b">
        <v>1</v>
      </c>
      <c r="D32" s="16" t="b">
        <v>1</v>
      </c>
      <c r="E32" s="25" t="b">
        <v>1</v>
      </c>
      <c r="F32" s="17" t="b">
        <v>1</v>
      </c>
      <c r="G32" s="20" t="b">
        <v>1</v>
      </c>
      <c r="H32" s="16" t="b">
        <v>1</v>
      </c>
      <c r="I32" s="27" t="b">
        <v>1</v>
      </c>
      <c r="J32" s="16" t="str">
        <f t="array" ref="J32">if(SUM(if(B32:I32=TRUE(),1,0))=8,"DONE", if(SUM(if(B32:I32=TRUE(),1,0))&gt;0,"In Progress","Not Started"))</f>
        <v>DONE</v>
      </c>
      <c r="K32" s="19">
        <f t="array" ref="K32">SUM(if(B32:I32=TRUE(),1,0))/8</f>
        <v>1</v>
      </c>
    </row>
    <row r="33">
      <c r="A33" s="18" t="s">
        <v>62</v>
      </c>
      <c r="B33" s="16" t="b">
        <v>1</v>
      </c>
      <c r="C33" s="16" t="b">
        <v>1</v>
      </c>
      <c r="D33" s="16" t="b">
        <v>1</v>
      </c>
      <c r="E33" s="16" t="b">
        <v>1</v>
      </c>
      <c r="F33" s="17" t="b">
        <v>1</v>
      </c>
      <c r="G33" s="21" t="b">
        <v>1</v>
      </c>
      <c r="H33" s="16" t="b">
        <v>1</v>
      </c>
      <c r="I33" s="27" t="b">
        <v>1</v>
      </c>
      <c r="J33" s="16" t="str">
        <f t="array" ref="J33">if(SUM(if(B33:I33=TRUE(),1,0))=8,"DONE", if(SUM(if(B33:I33=TRUE(),1,0))&gt;0,"In Progress","Not Started"))</f>
        <v>DONE</v>
      </c>
      <c r="K33" s="19">
        <f t="array" ref="K33">SUM(if(B33:I33=TRUE(),1,0))/8</f>
        <v>1</v>
      </c>
    </row>
    <row r="34">
      <c r="A34" s="18" t="s">
        <v>63</v>
      </c>
      <c r="B34" s="16" t="b">
        <v>1</v>
      </c>
      <c r="C34" s="16" t="b">
        <v>1</v>
      </c>
      <c r="D34" s="16" t="b">
        <v>1</v>
      </c>
      <c r="E34" s="16" t="b">
        <v>1</v>
      </c>
      <c r="F34" s="17" t="b">
        <v>1</v>
      </c>
      <c r="G34" s="20" t="b">
        <v>1</v>
      </c>
      <c r="H34" s="16" t="b">
        <v>1</v>
      </c>
      <c r="I34" s="27" t="b">
        <v>1</v>
      </c>
      <c r="J34" s="16" t="str">
        <f t="array" ref="J34">if(SUM(if(B34:I34=TRUE(),1,0))=8,"DONE", if(SUM(if(B34:I34=TRUE(),1,0))&gt;0,"In Progress","Not Started"))</f>
        <v>DONE</v>
      </c>
      <c r="K34" s="19">
        <f t="array" ref="K34">SUM(if(B34:I34=TRUE(),1,0))/8</f>
        <v>1</v>
      </c>
    </row>
    <row r="35">
      <c r="A35" s="18" t="s">
        <v>64</v>
      </c>
      <c r="B35" s="16" t="b">
        <v>1</v>
      </c>
      <c r="C35" s="16" t="b">
        <v>1</v>
      </c>
      <c r="D35" s="16" t="b">
        <v>1</v>
      </c>
      <c r="E35" s="16" t="b">
        <v>1</v>
      </c>
      <c r="F35" s="17" t="b">
        <v>1</v>
      </c>
      <c r="G35" s="21" t="b">
        <v>1</v>
      </c>
      <c r="H35" s="16" t="b">
        <v>1</v>
      </c>
      <c r="I35" s="27" t="b">
        <v>1</v>
      </c>
      <c r="J35" s="16" t="str">
        <f t="array" ref="J35">if(SUM(if(B35:I35=TRUE(),1,0))=8,"DONE", if(SUM(if(B35:I35=TRUE(),1,0))&gt;0,"In Progress","Not Started"))</f>
        <v>DONE</v>
      </c>
      <c r="K35" s="19">
        <f t="array" ref="K35">SUM(if(B35:I35=TRUE(),1,0))/8</f>
        <v>1</v>
      </c>
    </row>
    <row r="36">
      <c r="A36" s="18" t="s">
        <v>65</v>
      </c>
      <c r="B36" s="16" t="b">
        <v>1</v>
      </c>
      <c r="C36" s="16" t="b">
        <v>1</v>
      </c>
      <c r="D36" s="16" t="b">
        <v>1</v>
      </c>
      <c r="E36" s="16" t="b">
        <v>1</v>
      </c>
      <c r="F36" s="16" t="b">
        <v>1</v>
      </c>
      <c r="G36" s="25" t="b">
        <v>1</v>
      </c>
      <c r="H36" s="16" t="b">
        <v>1</v>
      </c>
      <c r="I36" s="16" t="b">
        <v>1</v>
      </c>
      <c r="J36" s="16" t="str">
        <f t="array" ref="J36">if(SUM(if(B36:I36=TRUE(),1,0))=8,"DONE", if(SUM(if(B36:I36=TRUE(),1,0))&gt;0,"In Progress","Not Started"))</f>
        <v>DONE</v>
      </c>
      <c r="K36" s="19">
        <f t="array" ref="K36">SUM(if(B36:I36=TRUE(),1,0))/8</f>
        <v>1</v>
      </c>
    </row>
    <row r="37">
      <c r="A37" s="18" t="s">
        <v>66</v>
      </c>
      <c r="B37" s="16" t="b">
        <v>1</v>
      </c>
      <c r="C37" s="16" t="b">
        <v>1</v>
      </c>
      <c r="D37" s="16" t="b">
        <v>1</v>
      </c>
      <c r="E37" s="16" t="b">
        <v>1</v>
      </c>
      <c r="F37" s="16" t="b">
        <v>1</v>
      </c>
      <c r="G37" s="25" t="b">
        <v>1</v>
      </c>
      <c r="H37" s="16" t="b">
        <v>1</v>
      </c>
      <c r="I37" s="16" t="b">
        <v>1</v>
      </c>
      <c r="J37" s="16" t="str">
        <f t="array" ref="J37">if(SUM(if(B37:I37=TRUE(),1,0))=8,"DONE", if(SUM(if(B37:I37=TRUE(),1,0))&gt;0,"In Progress","Not Started"))</f>
        <v>DONE</v>
      </c>
      <c r="K37" s="19">
        <f t="array" ref="K37">SUM(if(B37:I37=TRUE(),1,0))/8</f>
        <v>1</v>
      </c>
    </row>
    <row r="38">
      <c r="A38" s="18" t="s">
        <v>67</v>
      </c>
      <c r="B38" s="16" t="b">
        <v>1</v>
      </c>
      <c r="C38" s="16" t="b">
        <v>1</v>
      </c>
      <c r="D38" s="16" t="b">
        <v>1</v>
      </c>
      <c r="E38" s="16" t="b">
        <v>1</v>
      </c>
      <c r="F38" s="16" t="b">
        <v>1</v>
      </c>
      <c r="G38" s="25" t="b">
        <v>1</v>
      </c>
      <c r="H38" s="16" t="b">
        <v>1</v>
      </c>
      <c r="I38" s="16" t="b">
        <v>1</v>
      </c>
      <c r="J38" s="16" t="str">
        <f t="array" ref="J38">if(SUM(if(B38:I38=TRUE(),1,0))=8,"DONE", if(SUM(if(B38:I38=TRUE(),1,0))&gt;0,"In Progress","Not Started"))</f>
        <v>DONE</v>
      </c>
      <c r="K38" s="19">
        <f t="array" ref="K38">SUM(if(B38:I38=TRUE(),1,0))/8</f>
        <v>1</v>
      </c>
    </row>
    <row r="39">
      <c r="A39" s="28" t="s">
        <v>68</v>
      </c>
      <c r="B39" s="16" t="b">
        <v>1</v>
      </c>
      <c r="C39" s="16" t="b">
        <v>1</v>
      </c>
      <c r="D39" s="16" t="b">
        <v>1</v>
      </c>
      <c r="E39" s="16" t="b">
        <v>1</v>
      </c>
      <c r="F39" s="16" t="b">
        <v>1</v>
      </c>
      <c r="G39" s="16" t="b">
        <v>1</v>
      </c>
      <c r="H39" s="16" t="b">
        <v>1</v>
      </c>
      <c r="I39" s="16" t="b">
        <v>1</v>
      </c>
      <c r="J39" s="16" t="str">
        <f t="array" ref="J39">if(SUM(if(B39:I39=TRUE(),1,0))=8,"DONE", if(SUM(if(B39:I39=TRUE(),1,0))&gt;0,"In Progress","Not Started"))</f>
        <v>DONE</v>
      </c>
      <c r="K39" s="19">
        <f t="array" ref="K39">SUM(if(B39:I39=TRUE(),1,0))/8</f>
        <v>1</v>
      </c>
    </row>
    <row r="40">
      <c r="A40" s="18" t="s">
        <v>69</v>
      </c>
      <c r="B40" s="16" t="b">
        <v>1</v>
      </c>
      <c r="C40" s="16" t="b">
        <v>1</v>
      </c>
      <c r="D40" s="16" t="b">
        <v>1</v>
      </c>
      <c r="E40" s="16" t="b">
        <v>1</v>
      </c>
      <c r="F40" s="16" t="b">
        <v>1</v>
      </c>
      <c r="G40" s="16" t="b">
        <v>1</v>
      </c>
      <c r="H40" s="16" t="b">
        <v>1</v>
      </c>
      <c r="I40" s="16" t="b">
        <v>1</v>
      </c>
      <c r="J40" s="16" t="str">
        <f t="array" ref="J40">if(SUM(if(B40:I40=TRUE(),1,0))=8,"DONE", if(SUM(if(B40:I40=TRUE(),1,0))&gt;0,"In Progress","Not Started"))</f>
        <v>DONE</v>
      </c>
      <c r="K40" s="19">
        <f t="array" ref="K40">SUM(if(B40:I40=TRUE(),1,0))/8</f>
        <v>1</v>
      </c>
    </row>
    <row r="41">
      <c r="A41" s="18" t="s">
        <v>70</v>
      </c>
      <c r="B41" s="16" t="b">
        <v>1</v>
      </c>
      <c r="C41" s="16" t="b">
        <v>1</v>
      </c>
      <c r="D41" s="16" t="b">
        <v>1</v>
      </c>
      <c r="E41" s="16" t="b">
        <v>1</v>
      </c>
      <c r="F41" s="16" t="b">
        <v>1</v>
      </c>
      <c r="G41" s="16" t="b">
        <v>1</v>
      </c>
      <c r="H41" s="16" t="b">
        <v>1</v>
      </c>
      <c r="I41" s="16" t="b">
        <v>1</v>
      </c>
      <c r="J41" s="16" t="str">
        <f t="array" ref="J41">if(SUM(if(B41:I41=TRUE(),1,0))=8,"DONE", if(SUM(if(B41:I41=TRUE(),1,0))&gt;0,"In Progress","Not Started"))</f>
        <v>DONE</v>
      </c>
      <c r="K41" s="19">
        <f t="array" ref="K41">SUM(if(B41:I41=TRUE(),1,0))/8</f>
        <v>1</v>
      </c>
    </row>
    <row r="42">
      <c r="A42" s="18" t="s">
        <v>71</v>
      </c>
      <c r="B42" s="16" t="b">
        <v>1</v>
      </c>
      <c r="C42" s="16" t="b">
        <v>1</v>
      </c>
      <c r="D42" s="16" t="b">
        <v>1</v>
      </c>
      <c r="E42" s="16" t="b">
        <v>1</v>
      </c>
      <c r="F42" s="16" t="b">
        <v>1</v>
      </c>
      <c r="G42" s="16" t="b">
        <v>1</v>
      </c>
      <c r="H42" s="16" t="b">
        <v>1</v>
      </c>
      <c r="I42" s="16" t="b">
        <v>1</v>
      </c>
      <c r="J42" s="16" t="str">
        <f t="array" ref="J42">if(SUM(if(B42:I42=TRUE(),1,0))=8,"DONE", if(SUM(if(B42:I42=TRUE(),1,0))&gt;0,"In Progress","Not Started"))</f>
        <v>DONE</v>
      </c>
      <c r="K42" s="19">
        <f t="array" ref="K42">SUM(if(B42:I42=TRUE(),1,0))/8</f>
        <v>1</v>
      </c>
    </row>
    <row r="43">
      <c r="A43" s="18" t="s">
        <v>72</v>
      </c>
      <c r="B43" s="16" t="b">
        <v>1</v>
      </c>
      <c r="C43" s="16" t="b">
        <v>1</v>
      </c>
      <c r="D43" s="16" t="b">
        <v>1</v>
      </c>
      <c r="E43" s="16" t="b">
        <v>1</v>
      </c>
      <c r="F43" s="16" t="b">
        <v>1</v>
      </c>
      <c r="G43" s="16" t="b">
        <v>1</v>
      </c>
      <c r="H43" s="16" t="b">
        <v>1</v>
      </c>
      <c r="I43" s="16" t="b">
        <v>1</v>
      </c>
      <c r="J43" s="16" t="str">
        <f t="array" ref="J43">if(SUM(if(B43:I43=TRUE(),1,0))=8,"DONE", if(SUM(if(B43:I43=TRUE(),1,0))&gt;0,"In Progress","Not Started"))</f>
        <v>DONE</v>
      </c>
      <c r="K43" s="19">
        <f t="array" ref="K43">SUM(if(B43:I43=TRUE(),1,0))/8</f>
        <v>1</v>
      </c>
    </row>
    <row r="44">
      <c r="A44" s="18" t="s">
        <v>73</v>
      </c>
      <c r="B44" s="16" t="b">
        <v>1</v>
      </c>
      <c r="C44" s="16" t="b">
        <v>1</v>
      </c>
      <c r="D44" s="16" t="b">
        <v>1</v>
      </c>
      <c r="E44" s="16" t="b">
        <v>1</v>
      </c>
      <c r="F44" s="16" t="b">
        <v>1</v>
      </c>
      <c r="G44" s="16" t="b">
        <v>1</v>
      </c>
      <c r="H44" s="16" t="b">
        <v>1</v>
      </c>
      <c r="I44" s="16" t="b">
        <v>1</v>
      </c>
      <c r="J44" s="16" t="str">
        <f t="array" ref="J44">if(SUM(if(B44:I44=TRUE(),1,0))=8,"DONE", if(SUM(if(B44:I44=TRUE(),1,0))&gt;0,"In Progress","Not Started"))</f>
        <v>DONE</v>
      </c>
      <c r="K44" s="19">
        <f t="array" ref="K44">SUM(if(B44:I44=TRUE(),1,0))/8</f>
        <v>1</v>
      </c>
    </row>
    <row r="45">
      <c r="A45" s="18" t="s">
        <v>74</v>
      </c>
      <c r="B45" s="16" t="b">
        <v>1</v>
      </c>
      <c r="C45" s="16" t="b">
        <v>1</v>
      </c>
      <c r="D45" s="16" t="b">
        <v>1</v>
      </c>
      <c r="E45" s="16" t="b">
        <v>1</v>
      </c>
      <c r="F45" s="16" t="b">
        <v>1</v>
      </c>
      <c r="G45" s="16" t="b">
        <v>1</v>
      </c>
      <c r="H45" s="16" t="b">
        <v>1</v>
      </c>
      <c r="I45" s="16" t="b">
        <v>1</v>
      </c>
      <c r="J45" s="16" t="str">
        <f t="array" ref="J45">if(SUM(if(B45:I45=TRUE(),1,0))=8,"DONE", if(SUM(if(B45:I45=TRUE(),1,0))&gt;0,"In Progress","Not Started"))</f>
        <v>DONE</v>
      </c>
      <c r="K45" s="19">
        <f t="array" ref="K45">SUM(if(B45:I45=TRUE(),1,0))/8</f>
        <v>1</v>
      </c>
    </row>
    <row r="46">
      <c r="A46" s="18" t="s">
        <v>75</v>
      </c>
      <c r="B46" s="16" t="b">
        <v>1</v>
      </c>
      <c r="C46" s="16" t="b">
        <v>1</v>
      </c>
      <c r="D46" s="16" t="b">
        <v>1</v>
      </c>
      <c r="E46" s="16" t="b">
        <v>1</v>
      </c>
      <c r="F46" s="16" t="b">
        <v>1</v>
      </c>
      <c r="G46" s="16" t="b">
        <v>1</v>
      </c>
      <c r="H46" s="16" t="b">
        <v>1</v>
      </c>
      <c r="I46" s="16" t="b">
        <v>1</v>
      </c>
      <c r="J46" s="16" t="str">
        <f t="array" ref="J46">if(SUM(if(B46:I46=TRUE(),1,0))=8,"DONE", if(SUM(if(B46:I46=TRUE(),1,0))&gt;0,"In Progress","Not Started"))</f>
        <v>DONE</v>
      </c>
      <c r="K46" s="19">
        <f t="array" ref="K46">SUM(if(B46:I46=TRUE(),1,0))/8</f>
        <v>1</v>
      </c>
    </row>
    <row r="47">
      <c r="A47" s="18" t="s">
        <v>76</v>
      </c>
      <c r="B47" s="16" t="b">
        <v>1</v>
      </c>
      <c r="C47" s="16" t="b">
        <v>1</v>
      </c>
      <c r="D47" s="16" t="b">
        <v>1</v>
      </c>
      <c r="E47" s="16" t="b">
        <v>1</v>
      </c>
      <c r="F47" s="16" t="b">
        <v>1</v>
      </c>
      <c r="G47" s="16" t="b">
        <v>1</v>
      </c>
      <c r="H47" s="16" t="b">
        <v>1</v>
      </c>
      <c r="I47" s="16" t="b">
        <v>1</v>
      </c>
      <c r="J47" s="16" t="str">
        <f t="array" ref="J47">if(SUM(if(B47:I47=TRUE(),1,0))=8,"DONE", if(SUM(if(B47:I47=TRUE(),1,0))&gt;0,"In Progress","Not Started"))</f>
        <v>DONE</v>
      </c>
      <c r="K47" s="19">
        <f t="array" ref="K47">SUM(if(B47:I47=TRUE(),1,0))/8</f>
        <v>1</v>
      </c>
    </row>
    <row r="48">
      <c r="A48" s="18" t="s">
        <v>77</v>
      </c>
      <c r="B48" s="16" t="b">
        <v>1</v>
      </c>
      <c r="C48" s="16" t="b">
        <v>1</v>
      </c>
      <c r="D48" s="16" t="b">
        <v>1</v>
      </c>
      <c r="E48" s="16" t="b">
        <v>1</v>
      </c>
      <c r="F48" s="16" t="b">
        <v>1</v>
      </c>
      <c r="G48" s="16" t="b">
        <v>1</v>
      </c>
      <c r="H48" s="16" t="b">
        <v>1</v>
      </c>
      <c r="I48" s="16" t="b">
        <v>1</v>
      </c>
      <c r="J48" s="16" t="str">
        <f t="array" ref="J48">if(SUM(if(B48:I48=TRUE(),1,0))=8,"DONE", if(SUM(if(B48:I48=TRUE(),1,0))&gt;0,"In Progress","Not Started"))</f>
        <v>DONE</v>
      </c>
      <c r="K48" s="19">
        <f t="array" ref="K48">SUM(if(B48:I48=TRUE(),1,0))/8</f>
        <v>1</v>
      </c>
    </row>
    <row r="49">
      <c r="A49" s="18" t="s">
        <v>78</v>
      </c>
      <c r="B49" s="16" t="b">
        <v>1</v>
      </c>
      <c r="C49" s="16" t="b">
        <v>1</v>
      </c>
      <c r="D49" s="16" t="b">
        <v>1</v>
      </c>
      <c r="E49" s="16" t="b">
        <v>1</v>
      </c>
      <c r="F49" s="16" t="b">
        <v>1</v>
      </c>
      <c r="G49" s="16" t="b">
        <v>1</v>
      </c>
      <c r="H49" s="16" t="b">
        <v>1</v>
      </c>
      <c r="I49" s="16" t="b">
        <v>1</v>
      </c>
      <c r="J49" s="16" t="str">
        <f t="array" ref="J49">if(SUM(if(B49:I49=TRUE(),1,0))=8,"DONE", if(SUM(if(B49:I49=TRUE(),1,0))&gt;0,"In Progress","Not Started"))</f>
        <v>DONE</v>
      </c>
      <c r="K49" s="19">
        <f t="array" ref="K49">SUM(if(B49:I49=TRUE(),1,0))/8</f>
        <v>1</v>
      </c>
    </row>
    <row r="50">
      <c r="A50" s="18" t="s">
        <v>79</v>
      </c>
      <c r="B50" s="16" t="b">
        <v>1</v>
      </c>
      <c r="C50" s="16" t="b">
        <v>1</v>
      </c>
      <c r="D50" s="16" t="b">
        <v>1</v>
      </c>
      <c r="E50" s="16" t="b">
        <v>1</v>
      </c>
      <c r="F50" s="16" t="b">
        <v>1</v>
      </c>
      <c r="G50" s="16" t="b">
        <v>1</v>
      </c>
      <c r="H50" s="16" t="b">
        <v>1</v>
      </c>
      <c r="I50" s="16" t="b">
        <v>1</v>
      </c>
      <c r="J50" s="16" t="str">
        <f t="array" ref="J50">if(SUM(if(B50:I50=TRUE(),1,0))=8,"DONE", if(SUM(if(B50:I50=TRUE(),1,0))&gt;0,"In Progress","Not Started"))</f>
        <v>DONE</v>
      </c>
      <c r="K50" s="19">
        <f t="array" ref="K50">SUM(if(B50:I50=TRUE(),1,0))/8</f>
        <v>1</v>
      </c>
    </row>
    <row r="51">
      <c r="A51" s="18" t="s">
        <v>80</v>
      </c>
      <c r="B51" s="16" t="b">
        <v>1</v>
      </c>
      <c r="C51" s="16" t="b">
        <v>1</v>
      </c>
      <c r="D51" s="16" t="b">
        <v>1</v>
      </c>
      <c r="E51" s="16" t="b">
        <v>1</v>
      </c>
      <c r="F51" s="16" t="b">
        <v>1</v>
      </c>
      <c r="G51" s="16" t="b">
        <v>1</v>
      </c>
      <c r="H51" s="16" t="b">
        <v>1</v>
      </c>
      <c r="I51" s="16" t="b">
        <v>1</v>
      </c>
      <c r="J51" s="16" t="str">
        <f t="array" ref="J51">if(SUM(if(B51:I51=TRUE(),1,0))=8,"DONE", if(SUM(if(B51:I51=TRUE(),1,0))&gt;0,"In Progress","Not Started"))</f>
        <v>DONE</v>
      </c>
      <c r="K51" s="19">
        <f t="array" ref="K51">SUM(if(B51:I51=TRUE(),1,0))/8</f>
        <v>1</v>
      </c>
    </row>
    <row r="52">
      <c r="A52" s="18" t="s">
        <v>81</v>
      </c>
      <c r="B52" s="16" t="b">
        <v>1</v>
      </c>
      <c r="C52" s="16" t="b">
        <v>1</v>
      </c>
      <c r="D52" s="16" t="b">
        <v>1</v>
      </c>
      <c r="E52" s="16" t="b">
        <v>1</v>
      </c>
      <c r="F52" s="16" t="b">
        <v>1</v>
      </c>
      <c r="G52" s="16" t="b">
        <v>1</v>
      </c>
      <c r="H52" s="16" t="b">
        <v>1</v>
      </c>
      <c r="I52" s="16" t="b">
        <v>1</v>
      </c>
      <c r="J52" s="16" t="str">
        <f t="array" ref="J52">if(SUM(if(B52:I52=TRUE(),1,0))=8,"DONE", if(SUM(if(B52:I52=TRUE(),1,0))&gt;0,"In Progress","Not Started"))</f>
        <v>DONE</v>
      </c>
      <c r="K52" s="19">
        <f t="array" ref="K52">SUM(if(B52:I52=TRUE(),1,0))/8</f>
        <v>1</v>
      </c>
    </row>
    <row r="53">
      <c r="A53" s="18" t="s">
        <v>82</v>
      </c>
      <c r="B53" s="16" t="b">
        <v>1</v>
      </c>
      <c r="C53" s="16" t="b">
        <v>1</v>
      </c>
      <c r="D53" s="16" t="b">
        <v>1</v>
      </c>
      <c r="E53" s="16" t="b">
        <v>1</v>
      </c>
      <c r="F53" s="16" t="b">
        <v>1</v>
      </c>
      <c r="G53" s="16" t="b">
        <v>1</v>
      </c>
      <c r="H53" s="16" t="b">
        <v>1</v>
      </c>
      <c r="I53" s="16" t="b">
        <v>1</v>
      </c>
      <c r="J53" s="16" t="str">
        <f t="array" ref="J53">if(SUM(if(B53:I53=TRUE(),1,0))=8,"DONE", if(SUM(if(B53:I53=TRUE(),1,0))&gt;0,"In Progress","Not Started"))</f>
        <v>DONE</v>
      </c>
      <c r="K53" s="19">
        <f t="array" ref="K53">SUM(if(B53:I53=TRUE(),1,0))/8</f>
        <v>1</v>
      </c>
    </row>
    <row r="54">
      <c r="A54" s="18" t="s">
        <v>83</v>
      </c>
      <c r="B54" s="16" t="b">
        <v>1</v>
      </c>
      <c r="C54" s="16" t="b">
        <v>1</v>
      </c>
      <c r="D54" s="16" t="b">
        <v>1</v>
      </c>
      <c r="E54" s="16" t="b">
        <v>1</v>
      </c>
      <c r="F54" s="16" t="b">
        <v>1</v>
      </c>
      <c r="G54" s="16" t="b">
        <v>1</v>
      </c>
      <c r="H54" s="16" t="b">
        <v>1</v>
      </c>
      <c r="I54" s="16" t="b">
        <v>1</v>
      </c>
      <c r="J54" s="16" t="str">
        <f t="array" ref="J54">if(SUM(if(B54:I54=TRUE(),1,0))=8,"DONE", if(SUM(if(B54:I54=TRUE(),1,0))&gt;0,"In Progress","Not Started"))</f>
        <v>DONE</v>
      </c>
      <c r="K54" s="19">
        <f t="array" ref="K54">SUM(if(B54:I54=TRUE(),1,0))/8</f>
        <v>1</v>
      </c>
    </row>
    <row r="55">
      <c r="A55" s="29" t="s">
        <v>84</v>
      </c>
      <c r="B55" s="16" t="b">
        <v>1</v>
      </c>
      <c r="C55" s="16" t="b">
        <v>1</v>
      </c>
      <c r="D55" s="16" t="b">
        <v>1</v>
      </c>
      <c r="E55" s="16" t="b">
        <v>1</v>
      </c>
      <c r="F55" s="16" t="b">
        <v>1</v>
      </c>
      <c r="G55" s="30" t="b">
        <v>1</v>
      </c>
      <c r="H55" s="16" t="b">
        <v>1</v>
      </c>
      <c r="I55" s="16" t="b">
        <v>1</v>
      </c>
      <c r="J55" s="16" t="str">
        <f t="array" ref="J55">if(SUM(if(B55:I55=TRUE(),1,0))=8,"DONE", if(SUM(if(B55:I55=TRUE(),1,0))&gt;0,"In Progress","Not Started"))</f>
        <v>DONE</v>
      </c>
      <c r="K55" s="19">
        <f t="array" ref="K55">SUM(if(B55:I55=TRUE(),1,0))/8</f>
        <v>1</v>
      </c>
    </row>
    <row r="56">
      <c r="A56" s="28" t="s">
        <v>85</v>
      </c>
      <c r="B56" s="16" t="b">
        <v>1</v>
      </c>
      <c r="C56" s="16" t="b">
        <v>1</v>
      </c>
      <c r="D56" s="16" t="b">
        <v>1</v>
      </c>
      <c r="E56" s="16" t="b">
        <v>1</v>
      </c>
      <c r="F56" s="16" t="b">
        <v>1</v>
      </c>
      <c r="G56" s="16" t="b">
        <v>1</v>
      </c>
      <c r="H56" s="16" t="b">
        <v>1</v>
      </c>
      <c r="I56" s="16" t="b">
        <v>1</v>
      </c>
      <c r="J56" s="16" t="str">
        <f t="array" ref="J56">if(SUM(if(B56:I56=TRUE(),1,0))=8,"DONE", if(SUM(if(B56:I56=TRUE(),1,0))&gt;0,"In Progress","Not Started"))</f>
        <v>DONE</v>
      </c>
      <c r="K56" s="19">
        <f t="array" ref="K56">SUM(if(B56:I56=TRUE(),1,0))/8</f>
        <v>1</v>
      </c>
    </row>
    <row r="57">
      <c r="A57" s="18" t="s">
        <v>86</v>
      </c>
      <c r="B57" s="16" t="b">
        <v>1</v>
      </c>
      <c r="C57" s="16" t="b">
        <v>1</v>
      </c>
      <c r="D57" s="16" t="b">
        <v>1</v>
      </c>
      <c r="E57" s="16" t="b">
        <v>1</v>
      </c>
      <c r="F57" s="16" t="b">
        <v>1</v>
      </c>
      <c r="G57" s="16" t="b">
        <v>1</v>
      </c>
      <c r="H57" s="16" t="b">
        <v>1</v>
      </c>
      <c r="I57" s="16" t="b">
        <v>1</v>
      </c>
      <c r="J57" s="16" t="str">
        <f t="array" ref="J57">if(SUM(if(B57:I57=TRUE(),1,0))=8,"DONE", if(SUM(if(B57:I57=TRUE(),1,0))&gt;0,"In Progress","Not Started"))</f>
        <v>DONE</v>
      </c>
      <c r="K57" s="19">
        <f t="array" ref="K57">SUM(if(B57:I57=TRUE(),1,0))/8</f>
        <v>1</v>
      </c>
    </row>
    <row r="58">
      <c r="A58" s="18" t="s">
        <v>87</v>
      </c>
      <c r="B58" s="16" t="b">
        <v>1</v>
      </c>
      <c r="C58" s="16" t="b">
        <v>1</v>
      </c>
      <c r="D58" s="16" t="b">
        <v>1</v>
      </c>
      <c r="E58" s="16" t="b">
        <v>1</v>
      </c>
      <c r="F58" s="16" t="b">
        <v>1</v>
      </c>
      <c r="G58" s="16" t="b">
        <v>1</v>
      </c>
      <c r="H58" s="16" t="b">
        <v>1</v>
      </c>
      <c r="I58" s="16" t="b">
        <v>1</v>
      </c>
      <c r="J58" s="16" t="str">
        <f t="array" ref="J58">if(SUM(if(B58:I58=TRUE(),1,0))=8,"DONE", if(SUM(if(B58:I58=TRUE(),1,0))&gt;0,"In Progress","Not Started"))</f>
        <v>DONE</v>
      </c>
      <c r="K58" s="19">
        <f t="array" ref="K58">SUM(if(B58:I58=TRUE(),1,0))/8</f>
        <v>1</v>
      </c>
    </row>
    <row r="59">
      <c r="A59" s="18" t="s">
        <v>88</v>
      </c>
      <c r="B59" s="16" t="b">
        <v>1</v>
      </c>
      <c r="C59" s="16" t="b">
        <v>1</v>
      </c>
      <c r="D59" s="16" t="b">
        <v>1</v>
      </c>
      <c r="E59" s="16" t="b">
        <v>1</v>
      </c>
      <c r="F59" s="16" t="b">
        <v>1</v>
      </c>
      <c r="G59" s="16" t="b">
        <v>1</v>
      </c>
      <c r="H59" s="16" t="b">
        <v>1</v>
      </c>
      <c r="I59" s="16" t="b">
        <v>1</v>
      </c>
      <c r="J59" s="16" t="str">
        <f t="array" ref="J59">if(SUM(if(B59:I59=TRUE(),1,0))=8,"DONE", if(SUM(if(B59:I59=TRUE(),1,0))&gt;0,"In Progress","Not Started"))</f>
        <v>DONE</v>
      </c>
      <c r="K59" s="19">
        <f t="array" ref="K59">SUM(if(B59:I59=TRUE(),1,0))/8</f>
        <v>1</v>
      </c>
    </row>
    <row r="60">
      <c r="A60" s="18" t="s">
        <v>89</v>
      </c>
      <c r="B60" s="16" t="b">
        <v>1</v>
      </c>
      <c r="C60" s="16" t="b">
        <v>1</v>
      </c>
      <c r="D60" s="16" t="b">
        <v>1</v>
      </c>
      <c r="E60" s="16" t="b">
        <v>1</v>
      </c>
      <c r="F60" s="16" t="b">
        <v>1</v>
      </c>
      <c r="G60" s="16" t="b">
        <v>1</v>
      </c>
      <c r="H60" s="16" t="b">
        <v>1</v>
      </c>
      <c r="I60" s="16" t="b">
        <v>1</v>
      </c>
      <c r="J60" s="16" t="str">
        <f t="array" ref="J60">if(SUM(if(B60:I60=TRUE(),1,0))=8,"DONE", if(SUM(if(B60:I60=TRUE(),1,0))&gt;0,"In Progress","Not Started"))</f>
        <v>DONE</v>
      </c>
      <c r="K60" s="19">
        <f t="array" ref="K60">SUM(if(B60:I60=TRUE(),1,0))/8</f>
        <v>1</v>
      </c>
    </row>
    <row r="61">
      <c r="A61" s="18" t="s">
        <v>90</v>
      </c>
      <c r="B61" s="16" t="b">
        <v>1</v>
      </c>
      <c r="C61" s="16" t="b">
        <v>1</v>
      </c>
      <c r="D61" s="16" t="b">
        <v>1</v>
      </c>
      <c r="E61" s="16" t="b">
        <v>1</v>
      </c>
      <c r="F61" s="16" t="b">
        <v>1</v>
      </c>
      <c r="G61" s="16" t="b">
        <v>1</v>
      </c>
      <c r="H61" s="16" t="b">
        <v>1</v>
      </c>
      <c r="I61" s="16" t="b">
        <v>1</v>
      </c>
      <c r="J61" s="16" t="str">
        <f t="array" ref="J61">if(SUM(if(B61:I61=TRUE(),1,0))=8,"DONE", if(SUM(if(B61:I61=TRUE(),1,0))&gt;0,"In Progress","Not Started"))</f>
        <v>DONE</v>
      </c>
      <c r="K61" s="19">
        <f t="array" ref="K61">SUM(if(B61:I61=TRUE(),1,0))/8</f>
        <v>1</v>
      </c>
    </row>
    <row r="62">
      <c r="A62" s="18" t="s">
        <v>91</v>
      </c>
      <c r="B62" s="16" t="b">
        <v>1</v>
      </c>
      <c r="C62" s="16" t="b">
        <v>1</v>
      </c>
      <c r="D62" s="16" t="b">
        <v>1</v>
      </c>
      <c r="E62" s="16" t="b">
        <v>1</v>
      </c>
      <c r="F62" s="16" t="b">
        <v>1</v>
      </c>
      <c r="G62" s="16" t="b">
        <v>1</v>
      </c>
      <c r="H62" s="16" t="b">
        <v>1</v>
      </c>
      <c r="I62" s="16" t="b">
        <v>1</v>
      </c>
      <c r="J62" s="16" t="str">
        <f t="array" ref="J62">if(SUM(if(B62:I62=TRUE(),1,0))=8,"DONE", if(SUM(if(B62:I62=TRUE(),1,0))&gt;0,"In Progress","Not Started"))</f>
        <v>DONE</v>
      </c>
      <c r="K62" s="19">
        <f t="array" ref="K62">SUM(if(B62:I62=TRUE(),1,0))/8</f>
        <v>1</v>
      </c>
    </row>
    <row r="63">
      <c r="A63" s="18" t="s">
        <v>92</v>
      </c>
      <c r="B63" s="16" t="b">
        <v>1</v>
      </c>
      <c r="C63" s="16" t="b">
        <v>1</v>
      </c>
      <c r="D63" s="16" t="b">
        <v>1</v>
      </c>
      <c r="E63" s="16" t="b">
        <v>1</v>
      </c>
      <c r="F63" s="16" t="b">
        <v>1</v>
      </c>
      <c r="G63" s="16" t="b">
        <v>1</v>
      </c>
      <c r="H63" s="16" t="b">
        <v>1</v>
      </c>
      <c r="I63" s="16" t="b">
        <v>1</v>
      </c>
      <c r="J63" s="16" t="str">
        <f t="array" ref="J63">if(SUM(if(B63:I63=TRUE(),1,0))=8,"DONE", if(SUM(if(B63:I63=TRUE(),1,0))&gt;0,"In Progress","Not Started"))</f>
        <v>DONE</v>
      </c>
      <c r="K63" s="19">
        <f t="array" ref="K63">SUM(if(B63:I63=TRUE(),1,0))/8</f>
        <v>1</v>
      </c>
    </row>
    <row r="64">
      <c r="A64" s="18" t="s">
        <v>93</v>
      </c>
      <c r="B64" s="16" t="b">
        <v>1</v>
      </c>
      <c r="C64" s="16" t="b">
        <v>1</v>
      </c>
      <c r="D64" s="16" t="b">
        <v>1</v>
      </c>
      <c r="E64" s="16" t="b">
        <v>1</v>
      </c>
      <c r="F64" s="16" t="b">
        <v>1</v>
      </c>
      <c r="G64" s="16" t="b">
        <v>1</v>
      </c>
      <c r="H64" s="16" t="b">
        <v>1</v>
      </c>
      <c r="I64" s="16" t="b">
        <v>1</v>
      </c>
      <c r="J64" s="16" t="str">
        <f t="array" ref="J64">if(SUM(if(B64:I64=TRUE(),1,0))=8,"DONE", if(SUM(if(B64:I64=TRUE(),1,0))&gt;0,"In Progress","Not Started"))</f>
        <v>DONE</v>
      </c>
      <c r="K64" s="19">
        <f t="array" ref="K64">SUM(if(B64:I64=TRUE(),1,0))/8</f>
        <v>1</v>
      </c>
    </row>
    <row r="65">
      <c r="A65" s="31" t="s">
        <v>94</v>
      </c>
      <c r="B65" s="16" t="b">
        <v>1</v>
      </c>
      <c r="C65" s="16" t="b">
        <v>1</v>
      </c>
      <c r="D65" s="16" t="b">
        <v>1</v>
      </c>
      <c r="E65" s="16" t="b">
        <v>1</v>
      </c>
      <c r="F65" s="16" t="b">
        <v>1</v>
      </c>
      <c r="G65" s="16" t="b">
        <v>1</v>
      </c>
      <c r="H65" s="16" t="b">
        <v>1</v>
      </c>
      <c r="I65" s="16" t="b">
        <v>1</v>
      </c>
      <c r="J65" s="16" t="str">
        <f t="array" ref="J65">if(SUM(if(B65:I65=TRUE(),1,0))=8,"DONE", if(SUM(if(B65:I65=TRUE(),1,0))&gt;0,"In Progress","Not Started"))</f>
        <v>DONE</v>
      </c>
      <c r="K65" s="19">
        <f t="array" ref="K65">SUM(if(B65:I65=TRUE(),1,0))/8</f>
        <v>1</v>
      </c>
    </row>
    <row r="66">
      <c r="A66" s="18" t="s">
        <v>95</v>
      </c>
      <c r="B66" s="16" t="b">
        <v>1</v>
      </c>
      <c r="C66" s="16" t="b">
        <v>1</v>
      </c>
      <c r="D66" s="16" t="b">
        <v>1</v>
      </c>
      <c r="E66" s="16" t="b">
        <v>1</v>
      </c>
      <c r="F66" s="16" t="b">
        <v>1</v>
      </c>
      <c r="G66" s="16" t="b">
        <v>1</v>
      </c>
      <c r="H66" s="16" t="b">
        <v>1</v>
      </c>
      <c r="I66" s="16" t="b">
        <v>1</v>
      </c>
      <c r="J66" s="16" t="str">
        <f t="array" ref="J66">if(SUM(if(B66:I66=TRUE(),1,0))=8,"DONE", if(SUM(if(B66:I66=TRUE(),1,0))&gt;0,"In Progress","Not Started"))</f>
        <v>DONE</v>
      </c>
      <c r="K66" s="19">
        <f t="array" ref="K66">SUM(if(B66:I66=TRUE(),1,0))/8</f>
        <v>1</v>
      </c>
    </row>
    <row r="67">
      <c r="A67" s="29" t="s">
        <v>96</v>
      </c>
      <c r="B67" s="16" t="b">
        <v>1</v>
      </c>
      <c r="C67" s="16" t="b">
        <v>1</v>
      </c>
      <c r="D67" s="16" t="b">
        <v>1</v>
      </c>
      <c r="E67" s="16" t="b">
        <v>1</v>
      </c>
      <c r="F67" s="16" t="b">
        <v>1</v>
      </c>
      <c r="G67" s="16" t="b">
        <v>1</v>
      </c>
      <c r="H67" s="16" t="b">
        <v>1</v>
      </c>
      <c r="I67" s="16" t="b">
        <v>1</v>
      </c>
      <c r="J67" s="16" t="str">
        <f t="array" ref="J67">if(SUM(if(B67:I67=TRUE(),1,0))=8,"DONE", if(SUM(if(B67:I67=TRUE(),1,0))&gt;0,"In Progress","Not Started"))</f>
        <v>DONE</v>
      </c>
      <c r="K67" s="19">
        <f t="array" ref="K67">SUM(if(B67:I67=TRUE(),1,0))/8</f>
        <v>1</v>
      </c>
    </row>
    <row r="68">
      <c r="A68" s="18" t="s">
        <v>97</v>
      </c>
      <c r="B68" s="16" t="b">
        <v>1</v>
      </c>
      <c r="C68" s="16" t="b">
        <v>1</v>
      </c>
      <c r="D68" s="16" t="b">
        <v>1</v>
      </c>
      <c r="E68" s="16" t="b">
        <v>1</v>
      </c>
      <c r="F68" s="16" t="b">
        <v>1</v>
      </c>
      <c r="G68" s="16" t="b">
        <v>1</v>
      </c>
      <c r="H68" s="16" t="b">
        <v>1</v>
      </c>
      <c r="I68" s="16" t="b">
        <v>1</v>
      </c>
      <c r="J68" s="16" t="str">
        <f t="array" ref="J68">if(SUM(if(B68:I68=TRUE(),1,0))=8,"DONE", if(SUM(if(B68:I68=TRUE(),1,0))&gt;0,"In Progress","Not Started"))</f>
        <v>DONE</v>
      </c>
      <c r="K68" s="19">
        <f t="array" ref="K68">SUM(if(B68:I68=TRUE(),1,0))/8</f>
        <v>1</v>
      </c>
    </row>
    <row r="69">
      <c r="A69" s="18" t="s">
        <v>98</v>
      </c>
      <c r="B69" s="16" t="b">
        <v>1</v>
      </c>
      <c r="C69" s="16" t="b">
        <v>1</v>
      </c>
      <c r="D69" s="16" t="b">
        <v>1</v>
      </c>
      <c r="E69" s="16" t="b">
        <v>1</v>
      </c>
      <c r="F69" s="16" t="b">
        <v>1</v>
      </c>
      <c r="G69" s="16" t="b">
        <v>1</v>
      </c>
      <c r="H69" s="16" t="b">
        <v>1</v>
      </c>
      <c r="I69" s="16" t="b">
        <v>1</v>
      </c>
      <c r="J69" s="16" t="str">
        <f t="array" ref="J69">if(SUM(if(B69:I69=TRUE(),1,0))=8,"DONE", if(SUM(if(B69:I69=TRUE(),1,0))&gt;0,"In Progress","Not Started"))</f>
        <v>DONE</v>
      </c>
      <c r="K69" s="19">
        <f t="array" ref="K69">SUM(if(B69:I69=TRUE(),1,0))/8</f>
        <v>1</v>
      </c>
    </row>
    <row r="70">
      <c r="A70" s="18" t="s">
        <v>99</v>
      </c>
      <c r="B70" s="16" t="b">
        <v>1</v>
      </c>
      <c r="C70" s="16" t="b">
        <v>1</v>
      </c>
      <c r="D70" s="16" t="b">
        <v>1</v>
      </c>
      <c r="E70" s="16" t="b">
        <v>1</v>
      </c>
      <c r="F70" s="16" t="b">
        <v>1</v>
      </c>
      <c r="G70" s="16" t="b">
        <v>1</v>
      </c>
      <c r="H70" s="16" t="b">
        <v>1</v>
      </c>
      <c r="I70" s="16" t="b">
        <v>1</v>
      </c>
      <c r="J70" s="16" t="str">
        <f t="array" ref="J70">if(SUM(if(B70:I70=TRUE(),1,0))=8,"DONE", if(SUM(if(B70:I70=TRUE(),1,0))&gt;0,"In Progress","Not Started"))</f>
        <v>DONE</v>
      </c>
      <c r="K70" s="19">
        <f t="array" ref="K70">SUM(if(B70:I70=TRUE(),1,0))/8</f>
        <v>1</v>
      </c>
    </row>
    <row r="71">
      <c r="A71" s="18" t="s">
        <v>100</v>
      </c>
      <c r="B71" s="16" t="b">
        <v>1</v>
      </c>
      <c r="C71" s="16" t="b">
        <v>1</v>
      </c>
      <c r="D71" s="16" t="b">
        <v>1</v>
      </c>
      <c r="E71" s="16" t="b">
        <v>1</v>
      </c>
      <c r="F71" s="16" t="b">
        <v>1</v>
      </c>
      <c r="G71" s="16" t="b">
        <v>1</v>
      </c>
      <c r="H71" s="16" t="b">
        <v>1</v>
      </c>
      <c r="I71" s="16" t="b">
        <v>1</v>
      </c>
      <c r="J71" s="16" t="str">
        <f t="array" ref="J71">if(SUM(if(B71:I71=TRUE(),1,0))=8,"DONE", if(SUM(if(B71:I71=TRUE(),1,0))&gt;0,"In Progress","Not Started"))</f>
        <v>DONE</v>
      </c>
      <c r="K71" s="19">
        <f t="array" ref="K71">SUM(if(B71:I71=TRUE(),1,0))/8</f>
        <v>1</v>
      </c>
    </row>
    <row r="72">
      <c r="A72" s="18" t="s">
        <v>101</v>
      </c>
      <c r="B72" s="16" t="b">
        <v>1</v>
      </c>
      <c r="C72" s="16" t="b">
        <v>1</v>
      </c>
      <c r="D72" s="16" t="b">
        <v>1</v>
      </c>
      <c r="E72" s="16" t="b">
        <v>1</v>
      </c>
      <c r="F72" s="16" t="b">
        <v>1</v>
      </c>
      <c r="G72" s="16" t="b">
        <v>1</v>
      </c>
      <c r="H72" s="16" t="b">
        <v>1</v>
      </c>
      <c r="I72" s="16" t="b">
        <v>1</v>
      </c>
      <c r="J72" s="16" t="str">
        <f t="array" ref="J72">if(SUM(if(B72:I72=TRUE(),1,0))=8,"DONE", if(SUM(if(B72:I72=TRUE(),1,0))&gt;0,"In Progress","Not Started"))</f>
        <v>DONE</v>
      </c>
      <c r="K72" s="19">
        <f t="array" ref="K72">SUM(if(B72:I72=TRUE(),1,0))/8</f>
        <v>1</v>
      </c>
    </row>
    <row r="73">
      <c r="A73" s="18" t="s">
        <v>102</v>
      </c>
      <c r="B73" s="16" t="b">
        <v>1</v>
      </c>
      <c r="C73" s="16" t="b">
        <v>1</v>
      </c>
      <c r="D73" s="16" t="b">
        <v>1</v>
      </c>
      <c r="E73" s="16" t="b">
        <v>1</v>
      </c>
      <c r="F73" s="16" t="b">
        <v>1</v>
      </c>
      <c r="G73" s="16" t="b">
        <v>1</v>
      </c>
      <c r="H73" s="16" t="b">
        <v>1</v>
      </c>
      <c r="I73" s="16" t="b">
        <v>1</v>
      </c>
      <c r="J73" s="16" t="str">
        <f t="array" ref="J73">if(SUM(if(B73:I73=TRUE(),1,0))=8,"DONE", if(SUM(if(B73:I73=TRUE(),1,0))&gt;0,"In Progress","Not Started"))</f>
        <v>DONE</v>
      </c>
      <c r="K73" s="19">
        <f t="array" ref="K73">SUM(if(B73:I73=TRUE(),1,0))/8</f>
        <v>1</v>
      </c>
    </row>
  </sheetData>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outlineLevelCol="1"/>
  <cols>
    <col customWidth="1" min="1" max="1" width="24.63"/>
    <col customWidth="1" min="2" max="2" width="41.88"/>
    <col customWidth="1" hidden="1" min="3" max="3" width="38.13"/>
    <col customWidth="1" min="4" max="4" width="55.5" outlineLevel="1"/>
    <col customWidth="1" min="5" max="5" width="16.38" outlineLevel="1"/>
    <col customWidth="1" min="6" max="11" width="30.75" outlineLevel="1"/>
  </cols>
  <sheetData>
    <row r="1">
      <c r="A1" s="32" t="s">
        <v>103</v>
      </c>
      <c r="B1" s="32" t="s">
        <v>104</v>
      </c>
      <c r="C1" s="33" t="s">
        <v>105</v>
      </c>
      <c r="D1" s="34" t="s">
        <v>106</v>
      </c>
      <c r="F1" s="35" t="s">
        <v>107</v>
      </c>
      <c r="G1" s="36"/>
      <c r="H1" s="37" t="s">
        <v>108</v>
      </c>
      <c r="J1" s="35" t="s">
        <v>109</v>
      </c>
      <c r="K1" s="36"/>
      <c r="L1" s="38" t="s">
        <v>110</v>
      </c>
      <c r="M1" s="16"/>
      <c r="N1" s="16"/>
    </row>
    <row r="2">
      <c r="A2" s="39" t="s">
        <v>111</v>
      </c>
      <c r="B2" s="40" t="s">
        <v>112</v>
      </c>
      <c r="C2" s="41" t="s">
        <v>113</v>
      </c>
      <c r="D2" s="42" t="s">
        <v>114</v>
      </c>
      <c r="E2" s="42" t="s">
        <v>115</v>
      </c>
      <c r="F2" s="43" t="s">
        <v>116</v>
      </c>
      <c r="G2" s="44" t="s">
        <v>115</v>
      </c>
      <c r="H2" s="42" t="s">
        <v>117</v>
      </c>
      <c r="I2" s="42" t="s">
        <v>115</v>
      </c>
      <c r="J2" s="45" t="s">
        <v>117</v>
      </c>
      <c r="K2" s="46" t="s">
        <v>115</v>
      </c>
      <c r="L2" s="47" t="s">
        <v>114</v>
      </c>
      <c r="M2" s="42" t="s">
        <v>118</v>
      </c>
      <c r="N2" s="48"/>
    </row>
    <row r="3">
      <c r="A3" s="49" t="s">
        <v>31</v>
      </c>
      <c r="B3" s="50" t="str">
        <f>IFERROR(HYPERLINK(VLOOKUP(A3,Internal_lists_bugs!$A$2:$C$73,3,FALSE()), VLOOKUP(A3,Internal_lists_bugs!$A$2:$C$73,3,FALSE())&amp;Char(10) &amp; Char(10) &amp; VLOOKUP(A3,Internal_lists_bugs!$A$2:$Z$73,26,FALSE())),"please select a BUG ID")</f>
        <v>https://bugs.launchpad.net/nova/+bug/1481164
/libvirt/blockinfo.py</v>
      </c>
      <c r="C3" s="51" t="str">
        <f>IFERROR(__xludf.DUMMYFUNCTION("IFERROR(IF(REGEXMATCH(VLOOKUP(A3,Internal_lists_bugs!$A$2:$R$73,18,FALSE()), ""Yes""), VLOOKUP(A3,Internal_lists_bugs!$A$2:$U$73,21,FALSE()), VLOOKUP(A3,Internal_lists_bugs!$A$2:$R$73,18,FALSE())),""please select a BUG ID"")"),"No, however, check in the right corner of the bug description")</f>
        <v>No, however, check in the right corner of the bug description</v>
      </c>
      <c r="D3" s="16" t="s">
        <v>119</v>
      </c>
      <c r="E3" s="16" t="s">
        <v>120</v>
      </c>
      <c r="F3" s="52" t="s">
        <v>121</v>
      </c>
      <c r="G3" s="53" t="s">
        <v>122</v>
      </c>
      <c r="H3" s="16" t="s">
        <v>123</v>
      </c>
      <c r="I3" s="16" t="s">
        <v>124</v>
      </c>
      <c r="J3" s="52" t="s">
        <v>123</v>
      </c>
      <c r="K3" s="53"/>
    </row>
    <row r="4">
      <c r="A4" s="49" t="s">
        <v>31</v>
      </c>
      <c r="B4" s="50" t="str">
        <f>IFERROR(HYPERLINK(VLOOKUP(A4,Internal_lists_bugs!$A$2:$C$73,3,FALSE()), VLOOKUP(A4,Internal_lists_bugs!$A$2:$C$73,3,FALSE())&amp;Char(10) &amp; Char(10) &amp; VLOOKUP(A4,Internal_lists_bugs!$A$2:$Z$73,26,FALSE())),"please select a BUG ID")</f>
        <v>https://bugs.launchpad.net/nova/+bug/1481164
/libvirt/blockinfo.py</v>
      </c>
      <c r="C4" s="51" t="str">
        <f>IFERROR(__xludf.DUMMYFUNCTION("IFERROR(IF(REGEXMATCH(VLOOKUP(A4,Internal_lists_bugs!$A$2:$R$73,18,FALSE()), ""Yes""), VLOOKUP(A4,Internal_lists_bugs!$A$2:$U$73,21,FALSE()), VLOOKUP(A4,Internal_lists_bugs!$A$2:$R$73,18,FALSE())),""please select a BUG ID"")"),"No, however, check in the right corner of the bug description")</f>
        <v>No, however, check in the right corner of the bug description</v>
      </c>
      <c r="D4" s="16" t="s">
        <v>125</v>
      </c>
      <c r="E4" s="16" t="s">
        <v>126</v>
      </c>
      <c r="F4" s="52"/>
      <c r="G4" s="53"/>
      <c r="H4" s="54"/>
      <c r="J4" s="52"/>
      <c r="K4" s="53"/>
    </row>
    <row r="5">
      <c r="A5" s="49" t="s">
        <v>31</v>
      </c>
      <c r="B5" s="50" t="str">
        <f>IFERROR(HYPERLINK(VLOOKUP(A5,Internal_lists_bugs!$A$2:$C$73,3,FALSE()), VLOOKUP(A5,Internal_lists_bugs!$A$2:$C$73,3,FALSE())&amp;Char(10) &amp; Char(10) &amp; VLOOKUP(A5,Internal_lists_bugs!$A$2:$Z$73,26,FALSE())),"please select a BUG ID")</f>
        <v>https://bugs.launchpad.net/nova/+bug/1481164
/libvirt/blockinfo.py</v>
      </c>
      <c r="C5" s="51" t="str">
        <f>IFERROR(__xludf.DUMMYFUNCTION("IFERROR(IF(REGEXMATCH(VLOOKUP(A5,Internal_lists_bugs!$A$2:$R$73,18,FALSE()), ""Yes""), VLOOKUP(A5,Internal_lists_bugs!$A$2:$U$73,21,FALSE()), VLOOKUP(A5,Internal_lists_bugs!$A$2:$R$73,18,FALSE())),""please select a BUG ID"")"),"No, however, check in the right corner of the bug description")</f>
        <v>No, however, check in the right corner of the bug description</v>
      </c>
      <c r="D5" s="16" t="s">
        <v>127</v>
      </c>
      <c r="E5" s="16" t="s">
        <v>128</v>
      </c>
      <c r="F5" s="55"/>
      <c r="G5" s="56"/>
      <c r="H5" s="54"/>
      <c r="J5" s="55"/>
      <c r="K5" s="56"/>
    </row>
    <row r="6">
      <c r="A6" s="49" t="s">
        <v>31</v>
      </c>
      <c r="B6" s="50" t="str">
        <f>IFERROR(HYPERLINK(VLOOKUP(A6,Internal_lists_bugs!$A$2:$C$73,3,FALSE()), VLOOKUP(A6,Internal_lists_bugs!$A$2:$C$73,3,FALSE())&amp;Char(10) &amp; Char(10) &amp; VLOOKUP(A6,Internal_lists_bugs!$A$2:$Z$73,26,FALSE())),"please select a BUG ID")</f>
        <v>https://bugs.launchpad.net/nova/+bug/1481164
/libvirt/blockinfo.py</v>
      </c>
      <c r="C6" s="51" t="str">
        <f>IFERROR(__xludf.DUMMYFUNCTION("IFERROR(IF(REGEXMATCH(VLOOKUP(A6,Internal_lists_bugs!$A$2:$R$73,18,FALSE()), ""Yes""), VLOOKUP(A6,Internal_lists_bugs!$A$2:$U$73,21,FALSE()), VLOOKUP(A6,Internal_lists_bugs!$A$2:$R$73,18,FALSE())),""please select a BUG ID"")"),"No, however, check in the right corner of the bug description")</f>
        <v>No, however, check in the right corner of the bug description</v>
      </c>
      <c r="D6" s="16" t="s">
        <v>129</v>
      </c>
      <c r="E6" s="16" t="s">
        <v>130</v>
      </c>
      <c r="F6" s="55"/>
      <c r="G6" s="56"/>
      <c r="H6" s="54"/>
      <c r="J6" s="55"/>
      <c r="K6" s="56"/>
    </row>
    <row r="7">
      <c r="A7" s="49" t="s">
        <v>31</v>
      </c>
      <c r="B7" s="50" t="str">
        <f>IFERROR(HYPERLINK(VLOOKUP(A7,Internal_lists_bugs!$A$2:$C$73,3,FALSE()), VLOOKUP(A7,Internal_lists_bugs!$A$2:$C$73,3,FALSE())&amp;Char(10) &amp; Char(10) &amp; VLOOKUP(A7,Internal_lists_bugs!$A$2:$Z$73,26,FALSE())),"please select a BUG ID")</f>
        <v>https://bugs.launchpad.net/nova/+bug/1481164
/libvirt/blockinfo.py</v>
      </c>
      <c r="C7" s="51" t="str">
        <f>IFERROR(__xludf.DUMMYFUNCTION("IFERROR(IF(REGEXMATCH(VLOOKUP(A7,Internal_lists_bugs!$A$2:$R$73,18,FALSE()), ""Yes""), VLOOKUP(A7,Internal_lists_bugs!$A$2:$U$73,21,FALSE()), VLOOKUP(A7,Internal_lists_bugs!$A$2:$R$73,18,FALSE())),""please select a BUG ID"")"),"No, however, check in the right corner of the bug description")</f>
        <v>No, however, check in the right corner of the bug description</v>
      </c>
      <c r="D7" s="16" t="s">
        <v>131</v>
      </c>
      <c r="E7" s="16" t="s">
        <v>132</v>
      </c>
      <c r="F7" s="55"/>
      <c r="G7" s="56"/>
      <c r="H7" s="54"/>
      <c r="J7" s="55"/>
      <c r="K7" s="56"/>
    </row>
    <row r="8" ht="64.5" customHeight="1">
      <c r="A8" s="49" t="s">
        <v>31</v>
      </c>
      <c r="B8" s="50" t="str">
        <f>IFERROR(HYPERLINK(VLOOKUP(A8,Internal_lists_bugs!$A$2:$C$73,3,FALSE()), VLOOKUP(A8,Internal_lists_bugs!$A$2:$C$73,3,FALSE())&amp;Char(10) &amp; Char(10) &amp; VLOOKUP(A8,Internal_lists_bugs!$A$2:$Z$73,26,FALSE())),"please select a BUG ID")</f>
        <v>https://bugs.launchpad.net/nova/+bug/1481164
/libvirt/blockinfo.py</v>
      </c>
      <c r="C8" s="51" t="str">
        <f>IFERROR(__xludf.DUMMYFUNCTION("IFERROR(IF(REGEXMATCH(VLOOKUP(A8,Internal_lists_bugs!$A$2:$R$73,18,FALSE()), ""Yes""), VLOOKUP(A8,Internal_lists_bugs!$A$2:$U$73,21,FALSE()), VLOOKUP(A8,Internal_lists_bugs!$A$2:$R$73,18,FALSE())),""please select a BUG ID"")"),"No, however, check in the right corner of the bug description")</f>
        <v>No, however, check in the right corner of the bug description</v>
      </c>
      <c r="D8" s="16" t="s">
        <v>119</v>
      </c>
      <c r="E8" s="16" t="s">
        <v>133</v>
      </c>
      <c r="F8" s="52"/>
      <c r="G8" s="53"/>
      <c r="H8" s="16"/>
      <c r="I8" s="16"/>
      <c r="J8" s="52"/>
      <c r="K8" s="53"/>
    </row>
    <row r="9" ht="40.5" customHeight="1">
      <c r="A9" s="57" t="s">
        <v>32</v>
      </c>
      <c r="B9" s="58" t="str">
        <f>IFERROR(HYPERLINK(VLOOKUP(A9,Internal_lists_bugs!$A$2:$C$73,3,FALSE()), VLOOKUP(A9,Internal_lists_bugs!$A$2:$C$73,3,FALSE())&amp;Char(10) &amp; Char(10) &amp; VLOOKUP(A9,Internal_lists_bugs!$A$2:$Z$73,26,FALSE())),"please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9" s="51" t="str">
        <f>IFERROR(__xludf.DUMMYFUNCTION("IFERROR(IF(REGEXMATCH(VLOOKUP(A9,Internal_lists_bugs!$A$2:$R$73,18,FALSE()), ""Yes""), VLOOKUP(A9,Internal_lists_bugs!$A$2:$U$73,21,FALSE()), VLOOKUP(A9,Internal_lists_bugs!$A$2:$R$73,18,FALSE())),""please select a BUG ID"")"),"No, however, check in the right corner of the bug description")</f>
        <v>No, however, check in the right corner of the bug description</v>
      </c>
      <c r="D9" s="16" t="s">
        <v>134</v>
      </c>
      <c r="E9" s="16" t="s">
        <v>135</v>
      </c>
      <c r="F9" s="52" t="s">
        <v>121</v>
      </c>
      <c r="G9" s="53" t="s">
        <v>136</v>
      </c>
      <c r="H9" s="16" t="s">
        <v>123</v>
      </c>
      <c r="I9" s="16" t="s">
        <v>124</v>
      </c>
      <c r="J9" s="52" t="s">
        <v>123</v>
      </c>
      <c r="K9" s="53"/>
    </row>
    <row r="10" ht="37.5" customHeight="1">
      <c r="A10" s="57" t="s">
        <v>32</v>
      </c>
      <c r="B10" s="58" t="str">
        <f>IFERROR(HYPERLINK(VLOOKUP(A10,Internal_lists_bugs!$A$2:$C$73,3,FALSE()), VLOOKUP(A10,Internal_lists_bugs!$A$2:$C$73,3,FALSE())&amp;Char(10) &amp; Char(10) &amp; VLOOKUP(A10,Internal_lists_bugs!$A$2:$Z$73,26,FALSE())),"please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0" s="51" t="str">
        <f>IFERROR(__xludf.DUMMYFUNCTION("IFERROR(IF(REGEXMATCH(VLOOKUP(A10,Internal_lists_bugs!$A$2:$R$73,18,FALSE()), ""Yes""), VLOOKUP(A10,Internal_lists_bugs!$A$2:$U$73,21,FALSE()), VLOOKUP(A10,Internal_lists_bugs!$A$2:$R$73,18,FALSE())),""please select a BUG ID"")"),"No, however, check in the right corner of the bug description")</f>
        <v>No, however, check in the right corner of the bug description</v>
      </c>
      <c r="D10" s="16" t="s">
        <v>137</v>
      </c>
      <c r="E10" s="16" t="s">
        <v>138</v>
      </c>
      <c r="F10" s="55"/>
      <c r="G10" s="56"/>
      <c r="H10" s="54"/>
      <c r="J10" s="55"/>
      <c r="K10" s="56"/>
    </row>
    <row r="11" ht="36.75" customHeight="1">
      <c r="A11" s="57" t="s">
        <v>32</v>
      </c>
      <c r="B11" s="58" t="str">
        <f>IFERROR(HYPERLINK(VLOOKUP(A11,Internal_lists_bugs!$A$2:$C$73,3,FALSE()), VLOOKUP(A11,Internal_lists_bugs!$A$2:$C$73,3,FALSE())&amp;Char(10) &amp; Char(10) &amp; VLOOKUP(A11,Internal_lists_bugs!$A$2:$Z$73,26,FALSE())),"please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1" s="51" t="str">
        <f>IFERROR(__xludf.DUMMYFUNCTION("IFERROR(IF(REGEXMATCH(VLOOKUP(A11,Internal_lists_bugs!$A$2:$R$73,18,FALSE()), ""Yes""), VLOOKUP(A11,Internal_lists_bugs!$A$2:$U$73,21,FALSE()), VLOOKUP(A11,Internal_lists_bugs!$A$2:$R$73,18,FALSE())),""please select a BUG ID"")"),"No, however, check in the right corner of the bug description")</f>
        <v>No, however, check in the right corner of the bug description</v>
      </c>
      <c r="D11" s="16" t="s">
        <v>139</v>
      </c>
      <c r="E11" s="16" t="s">
        <v>140</v>
      </c>
      <c r="F11" s="55"/>
      <c r="G11" s="56"/>
      <c r="H11" s="54"/>
      <c r="J11" s="55"/>
      <c r="K11" s="56"/>
    </row>
    <row r="12" ht="44.25" customHeight="1">
      <c r="A12" s="57" t="s">
        <v>32</v>
      </c>
      <c r="B12" s="58" t="str">
        <f>IFERROR(HYPERLINK(VLOOKUP(A12,Internal_lists_bugs!$A$2:$C$73,3,FALSE()), VLOOKUP(A12,Internal_lists_bugs!$A$2:$C$73,3,FALSE())&amp;Char(10) &amp; Char(10) &amp; VLOOKUP(A12,Internal_lists_bugs!$A$2:$Z$73,26,FALSE())),"please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2" s="51" t="str">
        <f>IFERROR(__xludf.DUMMYFUNCTION("IFERROR(IF(REGEXMATCH(VLOOKUP(A12,Internal_lists_bugs!$A$2:$R$73,18,FALSE()), ""Yes""), VLOOKUP(A12,Internal_lists_bugs!$A$2:$U$73,21,FALSE()), VLOOKUP(A12,Internal_lists_bugs!$A$2:$R$73,18,FALSE())),""please select a BUG ID"")"),"No, however, check in the right corner of the bug description")</f>
        <v>No, however, check in the right corner of the bug description</v>
      </c>
      <c r="D12" s="16" t="s">
        <v>141</v>
      </c>
      <c r="E12" s="16" t="s">
        <v>142</v>
      </c>
      <c r="F12" s="55"/>
      <c r="G12" s="56"/>
      <c r="H12" s="54"/>
      <c r="J12" s="55"/>
      <c r="K12" s="56"/>
    </row>
    <row r="13" ht="42.75" customHeight="1">
      <c r="A13" s="57" t="s">
        <v>32</v>
      </c>
      <c r="B13" s="50" t="str">
        <f>IFERROR(HYPERLINK(VLOOKUP(A13,Internal_lists_bugs!$A$2:$C$73,3,FALSE()), VLOOKUP(A13,Internal_lists_bugs!$A$2:$C$73,3,FALSE())&amp;Char(10) &amp; Char(10) &amp; VLOOKUP(A13,Internal_lists_bugs!$A$2:$Z$73,26,FALSE())),"please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3" s="51" t="str">
        <f>IFERROR(__xludf.DUMMYFUNCTION("IFERROR(IF(REGEXMATCH(VLOOKUP(A13,Internal_lists_bugs!$A$2:$R$73,18,FALSE()), ""Yes""), VLOOKUP(A13,Internal_lists_bugs!$A$2:$U$73,21,FALSE()), VLOOKUP(A13,Internal_lists_bugs!$A$2:$R$73,18,FALSE())),""please select a BUG ID"")"),"No, however, check in the right corner of the bug description")</f>
        <v>No, however, check in the right corner of the bug description</v>
      </c>
      <c r="D13" s="16" t="s">
        <v>129</v>
      </c>
      <c r="E13" s="16" t="s">
        <v>130</v>
      </c>
      <c r="F13" s="55"/>
      <c r="G13" s="56"/>
      <c r="H13" s="54"/>
      <c r="J13" s="55"/>
      <c r="K13" s="56"/>
    </row>
    <row r="14" ht="36.75" customHeight="1">
      <c r="A14" s="57" t="s">
        <v>32</v>
      </c>
      <c r="B14" s="50" t="str">
        <f>IFERROR(HYPERLINK(VLOOKUP(A14,Internal_lists_bugs!$A$2:$C$73,3,FALSE()), VLOOKUP(A14,Internal_lists_bugs!$A$2:$C$73,3,FALSE())&amp;Char(10) &amp; Char(10) &amp; VLOOKUP(A14,Internal_lists_bugs!$A$2:$Z$73,26,FALSE())),"please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4" s="51" t="str">
        <f>IFERROR(__xludf.DUMMYFUNCTION("IFERROR(IF(REGEXMATCH(VLOOKUP(A14,Internal_lists_bugs!$A$2:$R$73,18,FALSE()), ""Yes""), VLOOKUP(A14,Internal_lists_bugs!$A$2:$U$73,21,FALSE()), VLOOKUP(A14,Internal_lists_bugs!$A$2:$R$73,18,FALSE())),""please select a BUG ID"")"),"No, however, check in the right corner of the bug description")</f>
        <v>No, however, check in the right corner of the bug description</v>
      </c>
      <c r="D14" s="16" t="s">
        <v>131</v>
      </c>
      <c r="E14" s="16" t="s">
        <v>143</v>
      </c>
      <c r="F14" s="55"/>
      <c r="G14" s="56"/>
      <c r="H14" s="54"/>
      <c r="J14" s="55"/>
      <c r="K14" s="56"/>
    </row>
    <row r="15" ht="37.5" customHeight="1">
      <c r="A15" s="57" t="s">
        <v>32</v>
      </c>
      <c r="B15" s="50" t="str">
        <f>IFERROR(HYPERLINK(VLOOKUP(A15,Internal_lists_bugs!$A$2:$C$73,3,FALSE()), VLOOKUP(A15,Internal_lists_bugs!$A$2:$C$73,3,FALSE())&amp;Char(10) &amp; Char(10) &amp; VLOOKUP(A15,Internal_lists_bugs!$A$2:$Z$73,26,FALSE())),"please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5" s="51" t="str">
        <f>IFERROR(__xludf.DUMMYFUNCTION("IFERROR(IF(REGEXMATCH(VLOOKUP(A15,Internal_lists_bugs!$A$2:$R$73,18,FALSE()), ""Yes""), VLOOKUP(A15,Internal_lists_bugs!$A$2:$U$73,21,FALSE()), VLOOKUP(A15,Internal_lists_bugs!$A$2:$R$73,18,FALSE())),""please select a BUG ID"")"),"No, however, check in the right corner of the bug description")</f>
        <v>No, however, check in the right corner of the bug description</v>
      </c>
      <c r="D15" s="16" t="s">
        <v>119</v>
      </c>
      <c r="E15" s="16" t="s">
        <v>133</v>
      </c>
      <c r="F15" s="52"/>
      <c r="G15" s="53"/>
      <c r="H15" s="16"/>
      <c r="J15" s="52"/>
      <c r="K15" s="53"/>
    </row>
    <row r="16" ht="42.0" customHeight="1">
      <c r="A16" s="57" t="s">
        <v>32</v>
      </c>
      <c r="B16" s="50" t="str">
        <f>IFERROR(HYPERLINK(VLOOKUP(A16,Internal_lists_bugs!$A$2:$C$73,3,FALSE()), VLOOKUP(A16,Internal_lists_bugs!$A$2:$C$73,3,FALSE())&amp;Char(10) &amp; Char(10) &amp; VLOOKUP(A16,Internal_lists_bugs!$A$2:$Z$73,26,FALSE())),"please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 s="51" t="str">
        <f>IFERROR(__xludf.DUMMYFUNCTION("IFERROR(IF(REGEXMATCH(VLOOKUP(A16,Internal_lists_bugs!$A$2:$R$73,18,FALSE()), ""Yes""), VLOOKUP(A16,Internal_lists_bugs!$A$2:$U$73,21,FALSE()), VLOOKUP(A16,Internal_lists_bugs!$A$2:$R$73,18,FALSE())),""please select a BUG ID"")"),"No, however, check in the right corner of the bug description")</f>
        <v>No, however, check in the right corner of the bug description</v>
      </c>
      <c r="D16" s="16" t="s">
        <v>119</v>
      </c>
      <c r="E16" s="16" t="s">
        <v>144</v>
      </c>
      <c r="F16" s="52"/>
      <c r="G16" s="53"/>
      <c r="H16" s="16"/>
      <c r="J16" s="52"/>
      <c r="K16" s="53"/>
    </row>
    <row r="17" ht="42.0" customHeight="1">
      <c r="A17" s="57" t="s">
        <v>33</v>
      </c>
      <c r="B17" s="50" t="str">
        <f>IFERROR(HYPERLINK(VLOOKUP(A17,Internal_lists_bugs!$A$2:$C$73,3,FALSE()), VLOOKUP(A17,Internal_lists_bugs!$A$2:$C$73,3,FALSE())&amp;Char(10) &amp; Char(10) &amp; VLOOKUP(A17,Internal_lists_bugs!$A$2:$Z$73,26,FALSE())),"please select a BUG ID")</f>
        <v>https://bugs.launchpad.net/nova/+bug/1367363
/libvirt/driver.py</v>
      </c>
      <c r="C17" s="51" t="str">
        <f>IFERROR(__xludf.DUMMYFUNCTION("IFERROR(IF(REGEXMATCH(VLOOKUP(A17,Internal_lists_bugs!$A$2:$R$73,18,FALSE()), ""Yes""), VLOOKUP(A17,Internal_lists_bugs!$A$2:$U$73,21,FALSE()), VLOOKUP(A17,Internal_lists_bugs!$A$2:$R$73,18,FALSE())),""please select a BUG ID"")"),"No, however, check in the right corner of the bug description")</f>
        <v>No, however, check in the right corner of the bug description</v>
      </c>
      <c r="D17" s="16" t="s">
        <v>127</v>
      </c>
      <c r="E17" s="16" t="s">
        <v>145</v>
      </c>
      <c r="F17" s="52" t="s">
        <v>146</v>
      </c>
      <c r="G17" s="53" t="s">
        <v>147</v>
      </c>
      <c r="H17" s="16" t="s">
        <v>123</v>
      </c>
      <c r="J17" s="52" t="s">
        <v>123</v>
      </c>
      <c r="K17" s="53"/>
    </row>
    <row r="18">
      <c r="A18" s="57" t="s">
        <v>33</v>
      </c>
      <c r="B18" s="50" t="str">
        <f>IFERROR(HYPERLINK(VLOOKUP(A18,Internal_lists_bugs!$A$2:$C$73,3,FALSE()), VLOOKUP(A18,Internal_lists_bugs!$A$2:$C$73,3,FALSE())&amp;Char(10) &amp; Char(10) &amp; VLOOKUP(A18,Internal_lists_bugs!$A$2:$Z$73,26,FALSE())),"please select a BUG ID")</f>
        <v>https://bugs.launchpad.net/nova/+bug/1367363
/libvirt/driver.py</v>
      </c>
      <c r="C18" s="51" t="str">
        <f>IFERROR(__xludf.DUMMYFUNCTION("IFERROR(IF(REGEXMATCH(VLOOKUP(A18,Internal_lists_bugs!$A$2:$R$73,18,FALSE()), ""Yes""), VLOOKUP(A18,Internal_lists_bugs!$A$2:$U$73,21,FALSE()), VLOOKUP(A18,Internal_lists_bugs!$A$2:$R$73,18,FALSE())),""please select a BUG ID"")"),"No, however, check in the right corner of the bug description")</f>
        <v>No, however, check in the right corner of the bug description</v>
      </c>
      <c r="D18" s="16" t="s">
        <v>129</v>
      </c>
      <c r="E18" s="16" t="s">
        <v>148</v>
      </c>
      <c r="F18" s="55"/>
      <c r="G18" s="56"/>
      <c r="H18" s="54"/>
      <c r="J18" s="55"/>
      <c r="K18" s="56"/>
    </row>
    <row r="19">
      <c r="A19" s="57" t="s">
        <v>33</v>
      </c>
      <c r="B19" s="50" t="str">
        <f>IFERROR(HYPERLINK(VLOOKUP(A19,Internal_lists_bugs!$A$2:$C$73,3,FALSE()), VLOOKUP(A19,Internal_lists_bugs!$A$2:$C$73,3,FALSE())&amp;Char(10) &amp; Char(10) &amp; VLOOKUP(A19,Internal_lists_bugs!$A$2:$Z$73,26,FALSE())),"please select a BUG ID")</f>
        <v>https://bugs.launchpad.net/nova/+bug/1367363
/libvirt/driver.py</v>
      </c>
      <c r="C19" s="51" t="str">
        <f>IFERROR(__xludf.DUMMYFUNCTION("IFERROR(IF(REGEXMATCH(VLOOKUP(A19,Internal_lists_bugs!$A$2:$R$73,18,FALSE()), ""Yes""), VLOOKUP(A19,Internal_lists_bugs!$A$2:$U$73,21,FALSE()), VLOOKUP(A19,Internal_lists_bugs!$A$2:$R$73,18,FALSE())),""please select a BUG ID"")"),"No, however, check in the right corner of the bug description")</f>
        <v>No, however, check in the right corner of the bug description</v>
      </c>
      <c r="D19" s="16" t="s">
        <v>131</v>
      </c>
      <c r="E19" s="16" t="s">
        <v>148</v>
      </c>
      <c r="F19" s="55"/>
      <c r="G19" s="56"/>
      <c r="H19" s="54"/>
      <c r="J19" s="55"/>
      <c r="K19" s="56"/>
    </row>
    <row r="20">
      <c r="A20" s="57" t="s">
        <v>33</v>
      </c>
      <c r="B20" s="50" t="str">
        <f>IFERROR(HYPERLINK(VLOOKUP(A20,Internal_lists_bugs!$A$2:$C$73,3,FALSE()), VLOOKUP(A20,Internal_lists_bugs!$A$2:$C$73,3,FALSE())&amp;Char(10) &amp; Char(10) &amp; VLOOKUP(A20,Internal_lists_bugs!$A$2:$Z$73,26,FALSE())),"please select a BUG ID")</f>
        <v>https://bugs.launchpad.net/nova/+bug/1367363
/libvirt/driver.py</v>
      </c>
      <c r="C20" s="51" t="str">
        <f>IFERROR(__xludf.DUMMYFUNCTION("IFERROR(IF(REGEXMATCH(VLOOKUP(A20,Internal_lists_bugs!$A$2:$R$73,18,FALSE()), ""Yes""), VLOOKUP(A20,Internal_lists_bugs!$A$2:$U$73,21,FALSE()), VLOOKUP(A20,Internal_lists_bugs!$A$2:$R$73,18,FALSE())),""please select a BUG ID"")"),"No, however, check in the right corner of the bug description")</f>
        <v>No, however, check in the right corner of the bug description</v>
      </c>
      <c r="D20" s="16" t="s">
        <v>119</v>
      </c>
      <c r="E20" s="16" t="s">
        <v>144</v>
      </c>
      <c r="F20" s="52"/>
      <c r="G20" s="53"/>
      <c r="H20" s="16"/>
      <c r="J20" s="52"/>
      <c r="K20" s="53"/>
    </row>
    <row r="21">
      <c r="A21" s="57" t="s">
        <v>33</v>
      </c>
      <c r="B21" s="50" t="str">
        <f>IFERROR(HYPERLINK(VLOOKUP(A21,Internal_lists_bugs!$A$2:$C$73,3,FALSE()), VLOOKUP(A21,Internal_lists_bugs!$A$2:$C$73,3,FALSE())&amp;Char(10) &amp; Char(10) &amp; VLOOKUP(A21,Internal_lists_bugs!$A$2:$Z$73,26,FALSE())),"please select a BUG ID")</f>
        <v>https://bugs.launchpad.net/nova/+bug/1367363
/libvirt/driver.py</v>
      </c>
      <c r="C21" s="51" t="str">
        <f>IFERROR(__xludf.DUMMYFUNCTION("IFERROR(IF(REGEXMATCH(VLOOKUP(A21,Internal_lists_bugs!$A$2:$R$73,18,FALSE()), ""Yes""), VLOOKUP(A21,Internal_lists_bugs!$A$2:$U$73,21,FALSE()), VLOOKUP(A21,Internal_lists_bugs!$A$2:$R$73,18,FALSE())),""please select a BUG ID"")"),"No, however, check in the right corner of the bug description")</f>
        <v>No, however, check in the right corner of the bug description</v>
      </c>
      <c r="D21" s="16" t="s">
        <v>149</v>
      </c>
      <c r="E21" s="16" t="s">
        <v>144</v>
      </c>
      <c r="F21" s="52"/>
      <c r="G21" s="53"/>
      <c r="H21" s="16"/>
      <c r="J21" s="52"/>
      <c r="K21" s="53"/>
    </row>
    <row r="22">
      <c r="A22" s="57" t="s">
        <v>34</v>
      </c>
      <c r="B22" s="50" t="str">
        <f>IFERROR(HYPERLINK(VLOOKUP(A22,Internal_lists_bugs!$A$2:$C$73,3,FALSE()), VLOOKUP(A22,Internal_lists_bugs!$A$2:$C$73,3,FALSE())&amp;Char(10) &amp; Char(10) &amp; VLOOKUP(A22,Internal_lists_bugs!$A$2:$Z$73,26,FALSE())),"please select a BUG ID")</f>
        <v>https://bugs.launchpad.net/nova/+bug/1438331
/libvirt/rbd_utils.py</v>
      </c>
      <c r="C22" s="51" t="str">
        <f>IFERROR(__xludf.DUMMYFUNCTION("IFERROR(IF(REGEXMATCH(VLOOKUP(A22,Internal_lists_bugs!$A$2:$R$73,18,FALSE()), ""Yes""), VLOOKUP(A22,Internal_lists_bugs!$A$2:$U$73,21,FALSE()), VLOOKUP(A22,Internal_lists_bugs!$A$2:$R$73,18,FALSE())),""please select a BUG ID"")"),"No, however, check in the right corner of the bug description")</f>
        <v>No, however, check in the right corner of the bug description</v>
      </c>
      <c r="D22" s="16" t="s">
        <v>119</v>
      </c>
      <c r="E22" s="16" t="s">
        <v>133</v>
      </c>
      <c r="F22" s="52" t="s">
        <v>150</v>
      </c>
      <c r="G22" s="53" t="s">
        <v>151</v>
      </c>
      <c r="H22" s="16" t="s">
        <v>123</v>
      </c>
      <c r="J22" s="52" t="s">
        <v>123</v>
      </c>
      <c r="K22" s="53"/>
    </row>
    <row r="23">
      <c r="A23" s="57" t="s">
        <v>34</v>
      </c>
      <c r="B23" s="50" t="str">
        <f>IFERROR(HYPERLINK(VLOOKUP(A23,Internal_lists_bugs!$A$2:$C$73,3,FALSE()), VLOOKUP(A23,Internal_lists_bugs!$A$2:$C$73,3,FALSE())&amp;Char(10) &amp; Char(10) &amp; VLOOKUP(A23,Internal_lists_bugs!$A$2:$Z$73,26,FALSE())),"please select a BUG ID")</f>
        <v>https://bugs.launchpad.net/nova/+bug/1438331
/libvirt/rbd_utils.py</v>
      </c>
      <c r="C23" s="51" t="str">
        <f>IFERROR(__xludf.DUMMYFUNCTION("IFERROR(IF(REGEXMATCH(VLOOKUP(A23,Internal_lists_bugs!$A$2:$R$73,18,FALSE()), ""Yes""), VLOOKUP(A23,Internal_lists_bugs!$A$2:$U$73,21,FALSE()), VLOOKUP(A23,Internal_lists_bugs!$A$2:$R$73,18,FALSE())),""please select a BUG ID"")"),"No, however, check in the right corner of the bug description")</f>
        <v>No, however, check in the right corner of the bug description</v>
      </c>
      <c r="D23" s="16" t="s">
        <v>129</v>
      </c>
      <c r="E23" s="16" t="s">
        <v>152</v>
      </c>
      <c r="F23" s="55"/>
      <c r="G23" s="56"/>
      <c r="H23" s="54"/>
      <c r="J23" s="55"/>
      <c r="K23" s="56"/>
    </row>
    <row r="24">
      <c r="A24" s="57" t="s">
        <v>34</v>
      </c>
      <c r="B24" s="50" t="str">
        <f>IFERROR(HYPERLINK(VLOOKUP(A24,Internal_lists_bugs!$A$2:$C$73,3,FALSE()), VLOOKUP(A24,Internal_lists_bugs!$A$2:$C$73,3,FALSE())&amp;Char(10) &amp; Char(10) &amp; VLOOKUP(A24,Internal_lists_bugs!$A$2:$Z$73,26,FALSE())),"please select a BUG ID")</f>
        <v>https://bugs.launchpad.net/nova/+bug/1438331
/libvirt/rbd_utils.py</v>
      </c>
      <c r="C24" s="51" t="str">
        <f>IFERROR(__xludf.DUMMYFUNCTION("IFERROR(IF(REGEXMATCH(VLOOKUP(A24,Internal_lists_bugs!$A$2:$R$73,18,FALSE()), ""Yes""), VLOOKUP(A24,Internal_lists_bugs!$A$2:$U$73,21,FALSE()), VLOOKUP(A24,Internal_lists_bugs!$A$2:$R$73,18,FALSE())),""please select a BUG ID"")"),"No, however, check in the right corner of the bug description")</f>
        <v>No, however, check in the right corner of the bug description</v>
      </c>
      <c r="D24" s="16" t="s">
        <v>131</v>
      </c>
      <c r="E24" s="16" t="s">
        <v>152</v>
      </c>
      <c r="F24" s="55"/>
      <c r="G24" s="56"/>
      <c r="H24" s="54"/>
      <c r="J24" s="55"/>
      <c r="K24" s="56"/>
    </row>
    <row r="25">
      <c r="A25" s="57" t="s">
        <v>34</v>
      </c>
      <c r="B25" s="50" t="str">
        <f>IFERROR(HYPERLINK(VLOOKUP(A25,Internal_lists_bugs!$A$2:$C$73,3,FALSE()), VLOOKUP(A25,Internal_lists_bugs!$A$2:$C$73,3,FALSE())&amp;Char(10) &amp; Char(10) &amp; VLOOKUP(A25,Internal_lists_bugs!$A$2:$Z$73,26,FALSE())),"please select a BUG ID")</f>
        <v>https://bugs.launchpad.net/nova/+bug/1438331
/libvirt/rbd_utils.py</v>
      </c>
      <c r="C25" s="51" t="str">
        <f>IFERROR(__xludf.DUMMYFUNCTION("IFERROR(IF(REGEXMATCH(VLOOKUP(A25,Internal_lists_bugs!$A$2:$R$73,18,FALSE()), ""Yes""), VLOOKUP(A25,Internal_lists_bugs!$A$2:$U$73,21,FALSE()), VLOOKUP(A25,Internal_lists_bugs!$A$2:$R$73,18,FALSE())),""please select a BUG ID"")"),"No, however, check in the right corner of the bug description")</f>
        <v>No, however, check in the right corner of the bug description</v>
      </c>
      <c r="D25" s="16" t="s">
        <v>153</v>
      </c>
      <c r="E25" s="16" t="s">
        <v>154</v>
      </c>
      <c r="F25" s="55"/>
      <c r="G25" s="56"/>
      <c r="H25" s="54"/>
      <c r="J25" s="55"/>
      <c r="K25" s="56"/>
    </row>
    <row r="26">
      <c r="A26" s="57" t="s">
        <v>34</v>
      </c>
      <c r="B26" s="50" t="str">
        <f>IFERROR(HYPERLINK(VLOOKUP(A26,Internal_lists_bugs!$A$2:$C$73,3,FALSE()), VLOOKUP(A26,Internal_lists_bugs!$A$2:$C$73,3,FALSE())&amp;Char(10) &amp; Char(10) &amp; VLOOKUP(A26,Internal_lists_bugs!$A$2:$Z$73,26,FALSE())),"please select a BUG ID")</f>
        <v>https://bugs.launchpad.net/nova/+bug/1438331
/libvirt/rbd_utils.py</v>
      </c>
      <c r="C26" s="51" t="str">
        <f>IFERROR(__xludf.DUMMYFUNCTION("IFERROR(IF(REGEXMATCH(VLOOKUP(A26,Internal_lists_bugs!$A$2:$R$73,18,FALSE()), ""Yes""), VLOOKUP(A26,Internal_lists_bugs!$A$2:$U$73,21,FALSE()), VLOOKUP(A26,Internal_lists_bugs!$A$2:$R$73,18,FALSE())),""please select a BUG ID"")"),"No, however, check in the right corner of the bug description")</f>
        <v>No, however, check in the right corner of the bug description</v>
      </c>
      <c r="D26" s="16" t="s">
        <v>155</v>
      </c>
      <c r="E26" s="16" t="s">
        <v>156</v>
      </c>
      <c r="F26" s="55"/>
      <c r="G26" s="56"/>
      <c r="H26" s="54"/>
      <c r="J26" s="55"/>
      <c r="K26" s="56"/>
    </row>
    <row r="27" ht="41.25" customHeight="1">
      <c r="A27" s="57" t="s">
        <v>34</v>
      </c>
      <c r="B27" s="50" t="str">
        <f>IFERROR(HYPERLINK(VLOOKUP(A27,Internal_lists_bugs!$A$2:$C$73,3,FALSE()), VLOOKUP(A27,Internal_lists_bugs!$A$2:$C$73,3,FALSE())&amp;Char(10) &amp; Char(10) &amp; VLOOKUP(A27,Internal_lists_bugs!$A$2:$Z$73,26,FALSE())),"please select a BUG ID")</f>
        <v>https://bugs.launchpad.net/nova/+bug/1438331
/libvirt/rbd_utils.py</v>
      </c>
      <c r="C27" s="51" t="str">
        <f>IFERROR(__xludf.DUMMYFUNCTION("IFERROR(IF(REGEXMATCH(VLOOKUP(A27,Internal_lists_bugs!$A$2:$R$73,18,FALSE()), ""Yes""), VLOOKUP(A27,Internal_lists_bugs!$A$2:$U$73,21,FALSE()), VLOOKUP(A27,Internal_lists_bugs!$A$2:$R$73,18,FALSE())),""please select a BUG ID"")"),"No, however, check in the right corner of the bug description")</f>
        <v>No, however, check in the right corner of the bug description</v>
      </c>
      <c r="D27" s="16" t="s">
        <v>157</v>
      </c>
      <c r="E27" s="16" t="s">
        <v>158</v>
      </c>
      <c r="F27" s="55"/>
      <c r="G27" s="56"/>
      <c r="H27" s="16"/>
      <c r="J27" s="55"/>
      <c r="K27" s="56"/>
    </row>
    <row r="28" ht="41.25" customHeight="1">
      <c r="A28" s="57" t="s">
        <v>34</v>
      </c>
      <c r="B28" s="50" t="str">
        <f>IFERROR(HYPERLINK(VLOOKUP(A28,Internal_lists_bugs!$A$2:$C$73,3,FALSE()), VLOOKUP(A28,Internal_lists_bugs!$A$2:$C$73,3,FALSE())&amp;Char(10) &amp; Char(10) &amp; VLOOKUP(A28,Internal_lists_bugs!$A$2:$Z$73,26,FALSE())),"please select a BUG ID")</f>
        <v>https://bugs.launchpad.net/nova/+bug/1438331
/libvirt/rbd_utils.py</v>
      </c>
      <c r="C28" s="51" t="str">
        <f>IFERROR(__xludf.DUMMYFUNCTION("IFERROR(IF(REGEXMATCH(VLOOKUP(A28,Internal_lists_bugs!$A$2:$R$73,18,FALSE()), ""Yes""), VLOOKUP(A28,Internal_lists_bugs!$A$2:$U$73,21,FALSE()), VLOOKUP(A28,Internal_lists_bugs!$A$2:$R$73,18,FALSE())),""please select a BUG ID"")"),"No, however, check in the right corner of the bug description")</f>
        <v>No, however, check in the right corner of the bug description</v>
      </c>
      <c r="D28" s="16" t="s">
        <v>159</v>
      </c>
      <c r="E28" s="16" t="s">
        <v>160</v>
      </c>
      <c r="F28" s="55"/>
      <c r="G28" s="56"/>
      <c r="H28" s="16"/>
      <c r="J28" s="55"/>
      <c r="K28" s="56"/>
    </row>
    <row r="29" ht="41.25" customHeight="1">
      <c r="A29" s="57" t="s">
        <v>34</v>
      </c>
      <c r="B29" s="50" t="str">
        <f>IFERROR(HYPERLINK(VLOOKUP(A29,Internal_lists_bugs!$A$2:$C$73,3,FALSE()), VLOOKUP(A29,Internal_lists_bugs!$A$2:$C$73,3,FALSE())&amp;Char(10) &amp; Char(10) &amp; VLOOKUP(A29,Internal_lists_bugs!$A$2:$Z$73,26,FALSE())),"please select a BUG ID")</f>
        <v>https://bugs.launchpad.net/nova/+bug/1438331
/libvirt/rbd_utils.py</v>
      </c>
      <c r="C29" s="51" t="str">
        <f>IFERROR(__xludf.DUMMYFUNCTION("IFERROR(IF(REGEXMATCH(VLOOKUP(A29,Internal_lists_bugs!$A$2:$R$73,18,FALSE()), ""Yes""), VLOOKUP(A29,Internal_lists_bugs!$A$2:$U$73,21,FALSE()), VLOOKUP(A29,Internal_lists_bugs!$A$2:$R$73,18,FALSE())),""please select a BUG ID"")"),"No, however, check in the right corner of the bug description")</f>
        <v>No, however, check in the right corner of the bug description</v>
      </c>
      <c r="D29" s="16" t="s">
        <v>119</v>
      </c>
      <c r="E29" s="16" t="s">
        <v>144</v>
      </c>
      <c r="F29" s="55"/>
      <c r="G29" s="56"/>
      <c r="H29" s="16"/>
      <c r="J29" s="52"/>
      <c r="K29" s="56"/>
    </row>
    <row r="30" ht="41.25" customHeight="1">
      <c r="A30" s="57" t="s">
        <v>35</v>
      </c>
      <c r="B30" s="50" t="str">
        <f>IFERROR(HYPERLINK(VLOOKUP(A30,Internal_lists_bugs!$A$2:$C$73,3,FALSE()), VLOOKUP(A30,Internal_lists_bugs!$A$2:$C$73,3,FALSE())&amp;Char(10) &amp; Char(10) &amp; VLOOKUP(A30,Internal_lists_bugs!$A$2:$Z$73,26,FALSE())),"please select a BUG ID")</f>
        <v>https://bugs.launchpad.net/nova/+bug/1375379
/console/websocketproxy.py</v>
      </c>
      <c r="C30" s="51" t="str">
        <f>IFERROR(__xludf.DUMMYFUNCTION("IFERROR(IF(REGEXMATCH(VLOOKUP(A30,Internal_lists_bugs!$A$2:$R$73,18,FALSE()), ""Yes""), VLOOKUP(A30,Internal_lists_bugs!$A$2:$U$73,21,FALSE()), VLOOKUP(A30,Internal_lists_bugs!$A$2:$R$73,18,FALSE())),""please select a BUG ID"")"),"No, however, check in the right corner of the bug description")</f>
        <v>No, however, check in the right corner of the bug description</v>
      </c>
      <c r="D30" s="16" t="s">
        <v>161</v>
      </c>
      <c r="E30" s="16" t="s">
        <v>162</v>
      </c>
      <c r="F30" s="52" t="s">
        <v>121</v>
      </c>
      <c r="G30" s="53" t="s">
        <v>163</v>
      </c>
      <c r="H30" s="16" t="s">
        <v>123</v>
      </c>
      <c r="J30" s="52" t="s">
        <v>123</v>
      </c>
      <c r="K30" s="56"/>
    </row>
    <row r="31">
      <c r="A31" s="57" t="s">
        <v>35</v>
      </c>
      <c r="B31" s="50" t="str">
        <f>IFERROR(HYPERLINK(VLOOKUP(A31,Internal_lists_bugs!$A$2:$C$73,3,FALSE()), VLOOKUP(A31,Internal_lists_bugs!$A$2:$C$73,3,FALSE())&amp;Char(10) &amp; Char(10) &amp; VLOOKUP(A31,Internal_lists_bugs!$A$2:$Z$73,26,FALSE())),"please select a BUG ID")</f>
        <v>https://bugs.launchpad.net/nova/+bug/1375379
/console/websocketproxy.py</v>
      </c>
      <c r="C31" s="51" t="str">
        <f>IFERROR(__xludf.DUMMYFUNCTION("IFERROR(IF(REGEXMATCH(VLOOKUP(A31,Internal_lists_bugs!$A$2:$R$73,18,FALSE()), ""Yes""), VLOOKUP(A31,Internal_lists_bugs!$A$2:$U$73,21,FALSE()), VLOOKUP(A31,Internal_lists_bugs!$A$2:$R$73,18,FALSE())),""please select a BUG ID"")"),"No, however, check in the right corner of the bug description")</f>
        <v>No, however, check in the right corner of the bug description</v>
      </c>
      <c r="D31" s="16" t="s">
        <v>119</v>
      </c>
      <c r="E31" s="16" t="s">
        <v>164</v>
      </c>
      <c r="F31" s="55"/>
      <c r="G31" s="56"/>
      <c r="H31" s="54"/>
      <c r="J31" s="55"/>
      <c r="K31" s="56"/>
    </row>
    <row r="32">
      <c r="A32" s="57" t="s">
        <v>35</v>
      </c>
      <c r="B32" s="50" t="str">
        <f>IFERROR(HYPERLINK(VLOOKUP(A32,Internal_lists_bugs!$A$2:$C$73,3,FALSE()), VLOOKUP(A32,Internal_lists_bugs!$A$2:$C$73,3,FALSE())&amp;Char(10) &amp; Char(10) &amp; VLOOKUP(A32,Internal_lists_bugs!$A$2:$Z$73,26,FALSE())),"please select a BUG ID")</f>
        <v>https://bugs.launchpad.net/nova/+bug/1375379
/console/websocketproxy.py</v>
      </c>
      <c r="C32" s="51" t="str">
        <f>IFERROR(__xludf.DUMMYFUNCTION("IFERROR(IF(REGEXMATCH(VLOOKUP(A32,Internal_lists_bugs!$A$2:$R$73,18,FALSE()), ""Yes""), VLOOKUP(A32,Internal_lists_bugs!$A$2:$U$73,21,FALSE()), VLOOKUP(A32,Internal_lists_bugs!$A$2:$R$73,18,FALSE())),""please select a BUG ID"")"),"No, however, check in the right corner of the bug description")</f>
        <v>No, however, check in the right corner of the bug description</v>
      </c>
      <c r="D32" s="16" t="s">
        <v>129</v>
      </c>
      <c r="E32" s="16" t="s">
        <v>165</v>
      </c>
      <c r="F32" s="55"/>
      <c r="G32" s="56"/>
      <c r="H32" s="54"/>
      <c r="J32" s="55"/>
      <c r="K32" s="56"/>
    </row>
    <row r="33">
      <c r="A33" s="57" t="s">
        <v>35</v>
      </c>
      <c r="B33" s="50" t="str">
        <f>IFERROR(HYPERLINK(VLOOKUP(A33,Internal_lists_bugs!$A$2:$C$73,3,FALSE()), VLOOKUP(A33,Internal_lists_bugs!$A$2:$C$73,3,FALSE())&amp;Char(10) &amp; Char(10) &amp; VLOOKUP(A33,Internal_lists_bugs!$A$2:$Z$73,26,FALSE())),"please select a BUG ID")</f>
        <v>https://bugs.launchpad.net/nova/+bug/1375379
/console/websocketproxy.py</v>
      </c>
      <c r="C33" s="51" t="str">
        <f>IFERROR(__xludf.DUMMYFUNCTION("IFERROR(IF(REGEXMATCH(VLOOKUP(A33,Internal_lists_bugs!$A$2:$R$73,18,FALSE()), ""Yes""), VLOOKUP(A33,Internal_lists_bugs!$A$2:$U$73,21,FALSE()), VLOOKUP(A33,Internal_lists_bugs!$A$2:$R$73,18,FALSE())),""please select a BUG ID"")"),"No, however, check in the right corner of the bug description")</f>
        <v>No, however, check in the right corner of the bug description</v>
      </c>
      <c r="D33" s="16" t="s">
        <v>131</v>
      </c>
      <c r="E33" s="16" t="s">
        <v>166</v>
      </c>
      <c r="F33" s="55"/>
      <c r="G33" s="56"/>
      <c r="H33" s="54"/>
      <c r="J33" s="55"/>
      <c r="K33" s="56"/>
    </row>
    <row r="34">
      <c r="A34" s="57" t="s">
        <v>35</v>
      </c>
      <c r="B34" s="50" t="str">
        <f>IFERROR(HYPERLINK(VLOOKUP(A34,Internal_lists_bugs!$A$2:$C$73,3,FALSE()), VLOOKUP(A34,Internal_lists_bugs!$A$2:$C$73,3,FALSE())&amp;Char(10) &amp; Char(10) &amp; VLOOKUP(A34,Internal_lists_bugs!$A$2:$Z$73,26,FALSE())),"please select a BUG ID")</f>
        <v>https://bugs.launchpad.net/nova/+bug/1375379
/console/websocketproxy.py</v>
      </c>
      <c r="C34" s="51" t="str">
        <f>IFERROR(__xludf.DUMMYFUNCTION("IFERROR(IF(REGEXMATCH(VLOOKUP(A34,Internal_lists_bugs!$A$2:$R$73,18,FALSE()), ""Yes""), VLOOKUP(A34,Internal_lists_bugs!$A$2:$U$73,21,FALSE()), VLOOKUP(A34,Internal_lists_bugs!$A$2:$R$73,18,FALSE())),""please select a BUG ID"")"),"No, however, check in the right corner of the bug description")</f>
        <v>No, however, check in the right corner of the bug description</v>
      </c>
      <c r="D34" s="16" t="s">
        <v>119</v>
      </c>
      <c r="E34" s="16" t="s">
        <v>144</v>
      </c>
      <c r="F34" s="55"/>
      <c r="G34" s="56"/>
      <c r="H34" s="16"/>
      <c r="J34" s="52"/>
      <c r="K34" s="56"/>
    </row>
    <row r="35">
      <c r="A35" s="57" t="s">
        <v>36</v>
      </c>
      <c r="B35" s="50" t="str">
        <f>IFERROR(HYPERLINK(VLOOKUP(A35,Internal_lists_bugs!$A$2:$C$73,3,FALSE()), VLOOKUP(A35,Internal_lists_bugs!$A$2:$C$73,3,FALSE())&amp;Char(10) &amp; Char(10) &amp; VLOOKUP(A35,Internal_lists_bugs!$A$2:$Z$73,26,FALSE())),"please select a BUG ID")</f>
        <v>https://bugs.launchpad.net/nova/+bug/1486541
/compute/cells_api.py</v>
      </c>
      <c r="C35" s="51" t="str">
        <f>IFERROR(__xludf.DUMMYFUNCTION("IFERROR(IF(REGEXMATCH(VLOOKUP(A35,Internal_lists_bugs!$A$2:$R$73,18,FALSE()), ""Yes""), VLOOKUP(A35,Internal_lists_bugs!$A$2:$U$73,21,FALSE()), VLOOKUP(A35,Internal_lists_bugs!$A$2:$R$73,18,FALSE())),""please select a BUG ID"")"),"No, however, check in the right corner of the bug description")</f>
        <v>No, however, check in the right corner of the bug description</v>
      </c>
      <c r="D35" s="16" t="s">
        <v>167</v>
      </c>
      <c r="E35" s="16" t="s">
        <v>168</v>
      </c>
      <c r="F35" s="52" t="s">
        <v>121</v>
      </c>
      <c r="G35" s="53" t="s">
        <v>163</v>
      </c>
      <c r="H35" s="16" t="s">
        <v>123</v>
      </c>
      <c r="J35" s="52" t="s">
        <v>123</v>
      </c>
      <c r="K35" s="56"/>
    </row>
    <row r="36">
      <c r="A36" s="57" t="s">
        <v>36</v>
      </c>
      <c r="B36" s="50" t="str">
        <f>IFERROR(HYPERLINK(VLOOKUP(A36,Internal_lists_bugs!$A$2:$C$73,3,FALSE()), VLOOKUP(A36,Internal_lists_bugs!$A$2:$C$73,3,FALSE())&amp;Char(10) &amp; Char(10) &amp; VLOOKUP(A36,Internal_lists_bugs!$A$2:$Z$73,26,FALSE())),"please select a BUG ID")</f>
        <v>https://bugs.launchpad.net/nova/+bug/1486541
/compute/cells_api.py</v>
      </c>
      <c r="C36" s="51" t="str">
        <f>IFERROR(__xludf.DUMMYFUNCTION("IFERROR(IF(REGEXMATCH(VLOOKUP(A36,Internal_lists_bugs!$A$2:$R$73,18,FALSE()), ""Yes""), VLOOKUP(A36,Internal_lists_bugs!$A$2:$U$73,21,FALSE()), VLOOKUP(A36,Internal_lists_bugs!$A$2:$R$73,18,FALSE())),""please select a BUG ID"")"),"No, however, check in the right corner of the bug description")</f>
        <v>No, however, check in the right corner of the bug description</v>
      </c>
      <c r="D36" s="16" t="s">
        <v>129</v>
      </c>
      <c r="E36" s="16" t="s">
        <v>169</v>
      </c>
      <c r="F36" s="55"/>
      <c r="G36" s="56"/>
      <c r="H36" s="54"/>
      <c r="J36" s="55"/>
      <c r="K36" s="56"/>
    </row>
    <row r="37">
      <c r="A37" s="57" t="s">
        <v>36</v>
      </c>
      <c r="B37" s="50" t="str">
        <f>IFERROR(HYPERLINK(VLOOKUP(A37,Internal_lists_bugs!$A$2:$C$73,3,FALSE()), VLOOKUP(A37,Internal_lists_bugs!$A$2:$C$73,3,FALSE())&amp;Char(10) &amp; Char(10) &amp; VLOOKUP(A37,Internal_lists_bugs!$A$2:$Z$73,26,FALSE())),"please select a BUG ID")</f>
        <v>https://bugs.launchpad.net/nova/+bug/1486541
/compute/cells_api.py</v>
      </c>
      <c r="C37" s="51" t="str">
        <f>IFERROR(__xludf.DUMMYFUNCTION("IFERROR(IF(REGEXMATCH(VLOOKUP(A37,Internal_lists_bugs!$A$2:$R$73,18,FALSE()), ""Yes""), VLOOKUP(A37,Internal_lists_bugs!$A$2:$U$73,21,FALSE()), VLOOKUP(A37,Internal_lists_bugs!$A$2:$R$73,18,FALSE())),""please select a BUG ID"")"),"No, however, check in the right corner of the bug description")</f>
        <v>No, however, check in the right corner of the bug description</v>
      </c>
      <c r="D37" s="16" t="s">
        <v>131</v>
      </c>
      <c r="E37" s="16" t="s">
        <v>170</v>
      </c>
      <c r="F37" s="55"/>
      <c r="G37" s="56"/>
      <c r="H37" s="54"/>
      <c r="J37" s="55"/>
      <c r="K37" s="56"/>
    </row>
    <row r="38">
      <c r="A38" s="57" t="s">
        <v>36</v>
      </c>
      <c r="B38" s="50" t="str">
        <f>IFERROR(HYPERLINK(VLOOKUP(A38,Internal_lists_bugs!$A$2:$C$73,3,FALSE()), VLOOKUP(A38,Internal_lists_bugs!$A$2:$C$73,3,FALSE())&amp;Char(10) &amp; Char(10) &amp; VLOOKUP(A38,Internal_lists_bugs!$A$2:$Z$73,26,FALSE())),"please select a BUG ID")</f>
        <v>https://bugs.launchpad.net/nova/+bug/1486541
/compute/cells_api.py</v>
      </c>
      <c r="C38" s="51" t="str">
        <f>IFERROR(__xludf.DUMMYFUNCTION("IFERROR(IF(REGEXMATCH(VLOOKUP(A38,Internal_lists_bugs!$A$2:$R$73,18,FALSE()), ""Yes""), VLOOKUP(A38,Internal_lists_bugs!$A$2:$U$73,21,FALSE()), VLOOKUP(A38,Internal_lists_bugs!$A$2:$R$73,18,FALSE())),""please select a BUG ID"")"),"No, however, check in the right corner of the bug description")</f>
        <v>No, however, check in the right corner of the bug description</v>
      </c>
      <c r="D38" s="16" t="s">
        <v>119</v>
      </c>
      <c r="E38" s="16" t="s">
        <v>144</v>
      </c>
      <c r="F38" s="52"/>
      <c r="G38" s="59"/>
      <c r="H38" s="16"/>
      <c r="J38" s="52"/>
      <c r="K38" s="59"/>
    </row>
    <row r="39">
      <c r="A39" s="18" t="s">
        <v>37</v>
      </c>
      <c r="B39" s="50" t="str">
        <f>IFERROR(HYPERLINK(VLOOKUP(A39,Internal_lists_bugs!$A$2:$C$73,3,FALSE()), VLOOKUP(A39,Internal_lists_bugs!$A$2:$C$73,3,FALSE())&amp;Char(10) &amp; Char(10) &amp; VLOOKUP(A39,Internal_lists_bugs!$A$2:$Z$73,26,FALSE())),"please select a BUG ID")</f>
        <v>https://bugs.launchpad.net/nova/+bug/1314677
/cells/state.py</v>
      </c>
      <c r="C39" s="51" t="str">
        <f>IFERROR(__xludf.DUMMYFUNCTION("IFERROR(IF(REGEXMATCH(VLOOKUP(A39,Internal_lists_bugs!$A$2:$R$73,18,FALSE()), ""Yes""), VLOOKUP(A39,Internal_lists_bugs!$A$2:$U$73,21,FALSE()), VLOOKUP(A39,Internal_lists_bugs!$A$2:$R$73,18,FALSE())),""please select a BUG ID"")"),"No, however, check in the right corner of the bug description")</f>
        <v>No, however, check in the right corner of the bug description</v>
      </c>
      <c r="D39" s="16" t="s">
        <v>119</v>
      </c>
      <c r="E39" s="16" t="s">
        <v>171</v>
      </c>
      <c r="F39" s="52" t="s">
        <v>121</v>
      </c>
      <c r="G39" s="59" t="s">
        <v>172</v>
      </c>
      <c r="H39" s="16" t="s">
        <v>123</v>
      </c>
      <c r="J39" s="52" t="s">
        <v>123</v>
      </c>
      <c r="K39" s="59"/>
    </row>
    <row r="40">
      <c r="A40" s="18" t="s">
        <v>37</v>
      </c>
      <c r="B40" s="50" t="str">
        <f>IFERROR(HYPERLINK(VLOOKUP(A40,Internal_lists_bugs!$A$2:$C$73,3,FALSE()), VLOOKUP(A40,Internal_lists_bugs!$A$2:$C$73,3,FALSE())&amp;Char(10) &amp; Char(10) &amp; VLOOKUP(A40,Internal_lists_bugs!$A$2:$Z$73,26,FALSE())),"please select a BUG ID")</f>
        <v>https://bugs.launchpad.net/nova/+bug/1314677
/cells/state.py</v>
      </c>
      <c r="C40" s="51" t="str">
        <f>IFERROR(__xludf.DUMMYFUNCTION("IFERROR(IF(REGEXMATCH(VLOOKUP(A40,Internal_lists_bugs!$A$2:$R$73,18,FALSE()), ""Yes""), VLOOKUP(A40,Internal_lists_bugs!$A$2:$U$73,21,FALSE()), VLOOKUP(A40,Internal_lists_bugs!$A$2:$R$73,18,FALSE())),""please select a BUG ID"")"),"No, however, check in the right corner of the bug description")</f>
        <v>No, however, check in the right corner of the bug description</v>
      </c>
      <c r="D40" s="16" t="s">
        <v>134</v>
      </c>
      <c r="E40" s="16" t="s">
        <v>173</v>
      </c>
      <c r="F40" s="55"/>
      <c r="G40" s="56"/>
      <c r="H40" s="54"/>
      <c r="J40" s="55"/>
      <c r="K40" s="56"/>
    </row>
    <row r="41">
      <c r="A41" s="18" t="s">
        <v>37</v>
      </c>
      <c r="B41" s="50" t="str">
        <f>IFERROR(HYPERLINK(VLOOKUP(A41,Internal_lists_bugs!$A$2:$C$73,3,FALSE()), VLOOKUP(A41,Internal_lists_bugs!$A$2:$C$73,3,FALSE())&amp;Char(10) &amp; Char(10) &amp; VLOOKUP(A41,Internal_lists_bugs!$A$2:$Z$73,26,FALSE())),"please select a BUG ID")</f>
        <v>https://bugs.launchpad.net/nova/+bug/1314677
/cells/state.py</v>
      </c>
      <c r="C41" s="51" t="str">
        <f>IFERROR(__xludf.DUMMYFUNCTION("IFERROR(IF(REGEXMATCH(VLOOKUP(A41,Internal_lists_bugs!$A$2:$R$73,18,FALSE()), ""Yes""), VLOOKUP(A41,Internal_lists_bugs!$A$2:$U$73,21,FALSE()), VLOOKUP(A41,Internal_lists_bugs!$A$2:$R$73,18,FALSE())),""please select a BUG ID"")"),"No, however, check in the right corner of the bug description")</f>
        <v>No, however, check in the right corner of the bug description</v>
      </c>
      <c r="D41" s="16" t="s">
        <v>159</v>
      </c>
      <c r="E41" s="16" t="s">
        <v>174</v>
      </c>
      <c r="F41" s="55"/>
      <c r="G41" s="56"/>
      <c r="H41" s="54"/>
      <c r="J41" s="55"/>
      <c r="K41" s="56"/>
    </row>
    <row r="42">
      <c r="A42" s="18" t="s">
        <v>37</v>
      </c>
      <c r="B42" s="50" t="str">
        <f>IFERROR(HYPERLINK(VLOOKUP(A42,Internal_lists_bugs!$A$2:$C$73,3,FALSE()), VLOOKUP(A42,Internal_lists_bugs!$A$2:$C$73,3,FALSE())&amp;Char(10) &amp; Char(10) &amp; VLOOKUP(A42,Internal_lists_bugs!$A$2:$Z$73,26,FALSE())),"please select a BUG ID")</f>
        <v>https://bugs.launchpad.net/nova/+bug/1314677
/cells/state.py</v>
      </c>
      <c r="C42" s="51" t="str">
        <f>IFERROR(__xludf.DUMMYFUNCTION("IFERROR(IF(REGEXMATCH(VLOOKUP(A42,Internal_lists_bugs!$A$2:$R$73,18,FALSE()), ""Yes""), VLOOKUP(A42,Internal_lists_bugs!$A$2:$U$73,21,FALSE()), VLOOKUP(A42,Internal_lists_bugs!$A$2:$R$73,18,FALSE())),""please select a BUG ID"")"),"No, however, check in the right corner of the bug description")</f>
        <v>No, however, check in the right corner of the bug description</v>
      </c>
      <c r="D42" s="16" t="s">
        <v>139</v>
      </c>
      <c r="E42" s="16" t="s">
        <v>175</v>
      </c>
      <c r="F42" s="55"/>
      <c r="G42" s="56"/>
      <c r="H42" s="54"/>
      <c r="J42" s="55"/>
      <c r="K42" s="56"/>
    </row>
    <row r="43">
      <c r="A43" s="18" t="s">
        <v>37</v>
      </c>
      <c r="B43" s="50" t="str">
        <f>IFERROR(HYPERLINK(VLOOKUP(A43,Internal_lists_bugs!$A$2:$C$73,3,FALSE()), VLOOKUP(A43,Internal_lists_bugs!$A$2:$C$73,3,FALSE())&amp;Char(10) &amp; Char(10) &amp; VLOOKUP(A43,Internal_lists_bugs!$A$2:$Z$73,26,FALSE())),"please select a BUG ID")</f>
        <v>https://bugs.launchpad.net/nova/+bug/1314677
/cells/state.py</v>
      </c>
      <c r="C43" s="51" t="str">
        <f>IFERROR(__xludf.DUMMYFUNCTION("IFERROR(IF(REGEXMATCH(VLOOKUP(A43,Internal_lists_bugs!$A$2:$R$73,18,FALSE()), ""Yes""), VLOOKUP(A43,Internal_lists_bugs!$A$2:$U$73,21,FALSE()), VLOOKUP(A43,Internal_lists_bugs!$A$2:$R$73,18,FALSE())),""please select a BUG ID"")"),"No, however, check in the right corner of the bug description")</f>
        <v>No, however, check in the right corner of the bug description</v>
      </c>
      <c r="D43" s="16" t="s">
        <v>129</v>
      </c>
      <c r="E43" s="16" t="s">
        <v>176</v>
      </c>
      <c r="F43" s="55"/>
      <c r="G43" s="56"/>
      <c r="H43" s="54"/>
      <c r="J43" s="55"/>
      <c r="K43" s="56"/>
    </row>
    <row r="44">
      <c r="A44" s="18" t="s">
        <v>37</v>
      </c>
      <c r="B44" s="50" t="str">
        <f>IFERROR(HYPERLINK(VLOOKUP(A44,Internal_lists_bugs!$A$2:$C$73,3,FALSE()), VLOOKUP(A44,Internal_lists_bugs!$A$2:$C$73,3,FALSE())&amp;Char(10) &amp; Char(10) &amp; VLOOKUP(A44,Internal_lists_bugs!$A$2:$Z$73,26,FALSE())),"please select a BUG ID")</f>
        <v>https://bugs.launchpad.net/nova/+bug/1314677
/cells/state.py</v>
      </c>
      <c r="C44" s="51" t="str">
        <f>IFERROR(__xludf.DUMMYFUNCTION("IFERROR(IF(REGEXMATCH(VLOOKUP(A44,Internal_lists_bugs!$A$2:$R$73,18,FALSE()), ""Yes""), VLOOKUP(A44,Internal_lists_bugs!$A$2:$U$73,21,FALSE()), VLOOKUP(A44,Internal_lists_bugs!$A$2:$R$73,18,FALSE())),""please select a BUG ID"")"),"No, however, check in the right corner of the bug description")</f>
        <v>No, however, check in the right corner of the bug description</v>
      </c>
      <c r="D44" s="16" t="s">
        <v>131</v>
      </c>
      <c r="E44" s="16" t="s">
        <v>177</v>
      </c>
      <c r="F44" s="55"/>
      <c r="G44" s="56"/>
      <c r="H44" s="54"/>
      <c r="J44" s="55"/>
      <c r="K44" s="56"/>
    </row>
    <row r="45">
      <c r="A45" s="18" t="s">
        <v>37</v>
      </c>
      <c r="B45" s="50" t="str">
        <f>IFERROR(HYPERLINK(VLOOKUP(A45,Internal_lists_bugs!$A$2:$C$73,3,FALSE()), VLOOKUP(A45,Internal_lists_bugs!$A$2:$C$73,3,FALSE())&amp;Char(10) &amp; Char(10) &amp; VLOOKUP(A45,Internal_lists_bugs!$A$2:$Z$73,26,FALSE())),"please select a BUG ID")</f>
        <v>https://bugs.launchpad.net/nova/+bug/1314677
/cells/state.py</v>
      </c>
      <c r="C45" s="51" t="str">
        <f>IFERROR(__xludf.DUMMYFUNCTION("IFERROR(IF(REGEXMATCH(VLOOKUP(A45,Internal_lists_bugs!$A$2:$R$73,18,FALSE()), ""Yes""), VLOOKUP(A45,Internal_lists_bugs!$A$2:$U$73,21,FALSE()), VLOOKUP(A45,Internal_lists_bugs!$A$2:$R$73,18,FALSE())),""please select a BUG ID"")"),"No, however, check in the right corner of the bug description")</f>
        <v>No, however, check in the right corner of the bug description</v>
      </c>
      <c r="D45" s="16" t="s">
        <v>178</v>
      </c>
      <c r="E45" s="16" t="s">
        <v>179</v>
      </c>
      <c r="F45" s="55"/>
      <c r="G45" s="56"/>
      <c r="H45" s="54"/>
      <c r="J45" s="55"/>
      <c r="K45" s="56"/>
    </row>
    <row r="46">
      <c r="A46" s="18" t="s">
        <v>37</v>
      </c>
      <c r="B46" s="50" t="str">
        <f>IFERROR(HYPERLINK(VLOOKUP(A46,Internal_lists_bugs!$A$2:$C$73,3,FALSE()), VLOOKUP(A46,Internal_lists_bugs!$A$2:$C$73,3,FALSE())&amp;Char(10) &amp; Char(10) &amp; VLOOKUP(A46,Internal_lists_bugs!$A$2:$Z$73,26,FALSE())),"please select a BUG ID")</f>
        <v>https://bugs.launchpad.net/nova/+bug/1314677
/cells/state.py</v>
      </c>
      <c r="C46" s="51" t="str">
        <f>IFERROR(__xludf.DUMMYFUNCTION("IFERROR(IF(REGEXMATCH(VLOOKUP(A46,Internal_lists_bugs!$A$2:$R$73,18,FALSE()), ""Yes""), VLOOKUP(A46,Internal_lists_bugs!$A$2:$U$73,21,FALSE()), VLOOKUP(A46,Internal_lists_bugs!$A$2:$R$73,18,FALSE())),""please select a BUG ID"")"),"No, however, check in the right corner of the bug description")</f>
        <v>No, however, check in the right corner of the bug description</v>
      </c>
      <c r="D46" s="16" t="s">
        <v>180</v>
      </c>
      <c r="E46" s="16" t="s">
        <v>181</v>
      </c>
      <c r="F46" s="55"/>
      <c r="G46" s="56"/>
      <c r="H46" s="54"/>
      <c r="J46" s="55"/>
      <c r="K46" s="56"/>
    </row>
    <row r="47">
      <c r="A47" s="18" t="s">
        <v>37</v>
      </c>
      <c r="B47" s="50" t="str">
        <f>IFERROR(HYPERLINK(VLOOKUP(A47,Internal_lists_bugs!$A$2:$C$73,3,FALSE()), VLOOKUP(A47,Internal_lists_bugs!$A$2:$C$73,3,FALSE())&amp;Char(10) &amp; Char(10) &amp; VLOOKUP(A47,Internal_lists_bugs!$A$2:$Z$73,26,FALSE())),"please select a BUG ID")</f>
        <v>https://bugs.launchpad.net/nova/+bug/1314677
/cells/state.py</v>
      </c>
      <c r="C47" s="51" t="str">
        <f>IFERROR(__xludf.DUMMYFUNCTION("IFERROR(IF(REGEXMATCH(VLOOKUP(A47,Internal_lists_bugs!$A$2:$R$73,18,FALSE()), ""Yes""), VLOOKUP(A47,Internal_lists_bugs!$A$2:$U$73,21,FALSE()), VLOOKUP(A47,Internal_lists_bugs!$A$2:$R$73,18,FALSE())),""please select a BUG ID"")"),"No, however, check in the right corner of the bug description")</f>
        <v>No, however, check in the right corner of the bug description</v>
      </c>
      <c r="D47" s="16" t="s">
        <v>182</v>
      </c>
      <c r="E47" s="16" t="s">
        <v>183</v>
      </c>
      <c r="F47" s="55"/>
      <c r="G47" s="56"/>
      <c r="H47" s="54"/>
      <c r="J47" s="55"/>
      <c r="K47" s="56"/>
    </row>
    <row r="48">
      <c r="A48" s="18" t="s">
        <v>37</v>
      </c>
      <c r="B48" s="50" t="str">
        <f>IFERROR(HYPERLINK(VLOOKUP(A48,Internal_lists_bugs!$A$2:$C$73,3,FALSE()), VLOOKUP(A48,Internal_lists_bugs!$A$2:$C$73,3,FALSE())&amp;Char(10) &amp; Char(10) &amp; VLOOKUP(A48,Internal_lists_bugs!$A$2:$Z$73,26,FALSE())),"please select a BUG ID")</f>
        <v>https://bugs.launchpad.net/nova/+bug/1314677
/cells/state.py</v>
      </c>
      <c r="C48" s="51" t="str">
        <f>IFERROR(__xludf.DUMMYFUNCTION("IFERROR(IF(REGEXMATCH(VLOOKUP(A48,Internal_lists_bugs!$A$2:$R$73,18,FALSE()), ""Yes""), VLOOKUP(A48,Internal_lists_bugs!$A$2:$U$73,21,FALSE()), VLOOKUP(A48,Internal_lists_bugs!$A$2:$R$73,18,FALSE())),""please select a BUG ID"")"),"No, however, check in the right corner of the bug description")</f>
        <v>No, however, check in the right corner of the bug description</v>
      </c>
      <c r="D48" s="16" t="s">
        <v>184</v>
      </c>
      <c r="E48" s="16" t="s">
        <v>183</v>
      </c>
      <c r="F48" s="55"/>
      <c r="G48" s="56"/>
      <c r="H48" s="54"/>
      <c r="J48" s="55"/>
      <c r="K48" s="56"/>
    </row>
    <row r="49">
      <c r="A49" s="18" t="s">
        <v>37</v>
      </c>
      <c r="B49" s="50" t="str">
        <f>IFERROR(HYPERLINK(VLOOKUP(A49,Internal_lists_bugs!$A$2:$C$73,3,FALSE()), VLOOKUP(A49,Internal_lists_bugs!$A$2:$C$73,3,FALSE())&amp;Char(10) &amp; Char(10) &amp; VLOOKUP(A49,Internal_lists_bugs!$A$2:$Z$73,26,FALSE())),"please select a BUG ID")</f>
        <v>https://bugs.launchpad.net/nova/+bug/1314677
/cells/state.py</v>
      </c>
      <c r="C49" s="51" t="str">
        <f>IFERROR(__xludf.DUMMYFUNCTION("IFERROR(IF(REGEXMATCH(VLOOKUP(A49,Internal_lists_bugs!$A$2:$R$73,18,FALSE()), ""Yes""), VLOOKUP(A49,Internal_lists_bugs!$A$2:$U$73,21,FALSE()), VLOOKUP(A49,Internal_lists_bugs!$A$2:$R$73,18,FALSE())),""please select a BUG ID"")"),"No, however, check in the right corner of the bug description")</f>
        <v>No, however, check in the right corner of the bug description</v>
      </c>
      <c r="D49" s="16" t="s">
        <v>153</v>
      </c>
      <c r="E49" s="16" t="s">
        <v>185</v>
      </c>
      <c r="F49" s="55"/>
      <c r="G49" s="56"/>
      <c r="H49" s="54"/>
      <c r="J49" s="55"/>
      <c r="K49" s="56"/>
    </row>
    <row r="50">
      <c r="A50" s="18" t="s">
        <v>37</v>
      </c>
      <c r="B50" s="50" t="str">
        <f>IFERROR(HYPERLINK(VLOOKUP(A50,Internal_lists_bugs!$A$2:$C$73,3,FALSE()), VLOOKUP(A50,Internal_lists_bugs!$A$2:$C$73,3,FALSE())&amp;Char(10) &amp; Char(10) &amp; VLOOKUP(A50,Internal_lists_bugs!$A$2:$Z$73,26,FALSE())),"please select a BUG ID")</f>
        <v>https://bugs.launchpad.net/nova/+bug/1314677
/cells/state.py</v>
      </c>
      <c r="C50" s="51" t="str">
        <f>IFERROR(__xludf.DUMMYFUNCTION("IFERROR(IF(REGEXMATCH(VLOOKUP(A50,Internal_lists_bugs!$A$2:$R$73,18,FALSE()), ""Yes""), VLOOKUP(A50,Internal_lists_bugs!$A$2:$U$73,21,FALSE()), VLOOKUP(A50,Internal_lists_bugs!$A$2:$R$73,18,FALSE())),""please select a BUG ID"")"),"No, however, check in the right corner of the bug description")</f>
        <v>No, however, check in the right corner of the bug description</v>
      </c>
      <c r="D50" s="16" t="s">
        <v>186</v>
      </c>
      <c r="E50" s="16" t="s">
        <v>187</v>
      </c>
      <c r="F50" s="55"/>
      <c r="G50" s="56"/>
      <c r="H50" s="54"/>
      <c r="J50" s="55"/>
      <c r="K50" s="56"/>
    </row>
    <row r="51">
      <c r="A51" s="18" t="s">
        <v>37</v>
      </c>
      <c r="B51" s="50" t="str">
        <f>IFERROR(HYPERLINK(VLOOKUP(A51,Internal_lists_bugs!$A$2:$C$73,3,FALSE()), VLOOKUP(A51,Internal_lists_bugs!$A$2:$C$73,3,FALSE())&amp;Char(10) &amp; Char(10) &amp; VLOOKUP(A51,Internal_lists_bugs!$A$2:$Z$73,26,FALSE())),"please select a BUG ID")</f>
        <v>https://bugs.launchpad.net/nova/+bug/1314677
/cells/state.py</v>
      </c>
      <c r="C51" s="51" t="str">
        <f>IFERROR(__xludf.DUMMYFUNCTION("IFERROR(IF(REGEXMATCH(VLOOKUP(A51,Internal_lists_bugs!$A$2:$R$73,18,FALSE()), ""Yes""), VLOOKUP(A51,Internal_lists_bugs!$A$2:$U$73,21,FALSE()), VLOOKUP(A51,Internal_lists_bugs!$A$2:$R$73,18,FALSE())),""please select a BUG ID"")"),"No, however, check in the right corner of the bug description")</f>
        <v>No, however, check in the right corner of the bug description</v>
      </c>
      <c r="D51" s="16" t="s">
        <v>188</v>
      </c>
      <c r="E51" s="16" t="s">
        <v>189</v>
      </c>
      <c r="F51" s="55"/>
      <c r="G51" s="56"/>
      <c r="H51" s="54"/>
      <c r="J51" s="55"/>
      <c r="K51" s="56"/>
    </row>
    <row r="52">
      <c r="A52" s="18" t="s">
        <v>37</v>
      </c>
      <c r="B52" s="50" t="str">
        <f>IFERROR(HYPERLINK(VLOOKUP(A52,Internal_lists_bugs!$A$2:$C$73,3,FALSE()), VLOOKUP(A52,Internal_lists_bugs!$A$2:$C$73,3,FALSE())&amp;Char(10) &amp; Char(10) &amp; VLOOKUP(A52,Internal_lists_bugs!$A$2:$Z$73,26,FALSE())),"please select a BUG ID")</f>
        <v>https://bugs.launchpad.net/nova/+bug/1314677
/cells/state.py</v>
      </c>
      <c r="C52" s="51" t="str">
        <f>IFERROR(__xludf.DUMMYFUNCTION("IFERROR(IF(REGEXMATCH(VLOOKUP(A52,Internal_lists_bugs!$A$2:$R$73,18,FALSE()), ""Yes""), VLOOKUP(A52,Internal_lists_bugs!$A$2:$U$73,21,FALSE()), VLOOKUP(A52,Internal_lists_bugs!$A$2:$R$73,18,FALSE())),""please select a BUG ID"")"),"No, however, check in the right corner of the bug description")</f>
        <v>No, however, check in the right corner of the bug description</v>
      </c>
      <c r="D52" s="17" t="s">
        <v>190</v>
      </c>
      <c r="E52" s="16" t="s">
        <v>189</v>
      </c>
      <c r="F52" s="55"/>
      <c r="G52" s="56"/>
      <c r="H52" s="54"/>
      <c r="J52" s="55"/>
      <c r="K52" s="56"/>
    </row>
    <row r="53">
      <c r="A53" s="18" t="s">
        <v>37</v>
      </c>
      <c r="B53" s="50" t="str">
        <f>IFERROR(HYPERLINK(VLOOKUP(A53,Internal_lists_bugs!$A$2:$C$73,3,FALSE()), VLOOKUP(A53,Internal_lists_bugs!$A$2:$C$73,3,FALSE())&amp;Char(10) &amp; Char(10) &amp; VLOOKUP(A53,Internal_lists_bugs!$A$2:$Z$73,26,FALSE())),"please select a BUG ID")</f>
        <v>https://bugs.launchpad.net/nova/+bug/1314677
/cells/state.py</v>
      </c>
      <c r="C53" s="51" t="str">
        <f>IFERROR(__xludf.DUMMYFUNCTION("IFERROR(IF(REGEXMATCH(VLOOKUP(A53,Internal_lists_bugs!$A$2:$R$73,18,FALSE()), ""Yes""), VLOOKUP(A53,Internal_lists_bugs!$A$2:$U$73,21,FALSE()), VLOOKUP(A53,Internal_lists_bugs!$A$2:$R$73,18,FALSE())),""please select a BUG ID"")"),"No, however, check in the right corner of the bug description")</f>
        <v>No, however, check in the right corner of the bug description</v>
      </c>
      <c r="D53" s="16" t="s">
        <v>191</v>
      </c>
      <c r="E53" s="16" t="s">
        <v>192</v>
      </c>
      <c r="F53" s="55"/>
      <c r="G53" s="56"/>
      <c r="H53" s="54"/>
      <c r="J53" s="55"/>
      <c r="K53" s="56"/>
    </row>
    <row r="54">
      <c r="A54" s="18" t="s">
        <v>37</v>
      </c>
      <c r="B54" s="50" t="str">
        <f>IFERROR(HYPERLINK(VLOOKUP(A54,Internal_lists_bugs!$A$2:$C$73,3,FALSE()), VLOOKUP(A54,Internal_lists_bugs!$A$2:$C$73,3,FALSE())&amp;Char(10) &amp; Char(10) &amp; VLOOKUP(A54,Internal_lists_bugs!$A$2:$Z$73,26,FALSE())),"please select a BUG ID")</f>
        <v>https://bugs.launchpad.net/nova/+bug/1314677
/cells/state.py</v>
      </c>
      <c r="C54" s="51" t="str">
        <f>IFERROR(__xludf.DUMMYFUNCTION("IFERROR(IF(REGEXMATCH(VLOOKUP(A54,Internal_lists_bugs!$A$2:$R$73,18,FALSE()), ""Yes""), VLOOKUP(A54,Internal_lists_bugs!$A$2:$U$73,21,FALSE()), VLOOKUP(A54,Internal_lists_bugs!$A$2:$R$73,18,FALSE())),""please select a BUG ID"")"),"No, however, check in the right corner of the bug description")</f>
        <v>No, however, check in the right corner of the bug description</v>
      </c>
      <c r="D54" s="16" t="s">
        <v>193</v>
      </c>
      <c r="E54" s="16" t="s">
        <v>194</v>
      </c>
      <c r="F54" s="55"/>
      <c r="G54" s="56"/>
      <c r="H54" s="54"/>
      <c r="J54" s="55"/>
      <c r="K54" s="56"/>
    </row>
    <row r="55">
      <c r="A55" s="18" t="s">
        <v>37</v>
      </c>
      <c r="B55" s="50" t="str">
        <f>IFERROR(HYPERLINK(VLOOKUP(A55,Internal_lists_bugs!$A$2:$C$73,3,FALSE()), VLOOKUP(A55,Internal_lists_bugs!$A$2:$C$73,3,FALSE())&amp;Char(10) &amp; Char(10) &amp; VLOOKUP(A55,Internal_lists_bugs!$A$2:$Z$73,26,FALSE())),"please select a BUG ID")</f>
        <v>https://bugs.launchpad.net/nova/+bug/1314677
/cells/state.py</v>
      </c>
      <c r="C55" s="51" t="str">
        <f>IFERROR(__xludf.DUMMYFUNCTION("IFERROR(IF(REGEXMATCH(VLOOKUP(A55,Internal_lists_bugs!$A$2:$R$73,18,FALSE()), ""Yes""), VLOOKUP(A55,Internal_lists_bugs!$A$2:$U$73,21,FALSE()), VLOOKUP(A55,Internal_lists_bugs!$A$2:$R$73,18,FALSE())),""please select a BUG ID"")"),"No, however, check in the right corner of the bug description")</f>
        <v>No, however, check in the right corner of the bug description</v>
      </c>
      <c r="D55" s="16" t="s">
        <v>155</v>
      </c>
      <c r="E55" s="16" t="s">
        <v>195</v>
      </c>
      <c r="F55" s="55"/>
      <c r="G55" s="56"/>
      <c r="H55" s="54"/>
      <c r="J55" s="55"/>
      <c r="K55" s="56"/>
    </row>
    <row r="56">
      <c r="A56" s="18" t="s">
        <v>37</v>
      </c>
      <c r="B56" s="50" t="str">
        <f>IFERROR(HYPERLINK(VLOOKUP(A56,Internal_lists_bugs!$A$2:$C$73,3,FALSE()), VLOOKUP(A56,Internal_lists_bugs!$A$2:$C$73,3,FALSE())&amp;Char(10) &amp; Char(10) &amp; VLOOKUP(A56,Internal_lists_bugs!$A$2:$Z$73,26,FALSE())),"please select a BUG ID")</f>
        <v>https://bugs.launchpad.net/nova/+bug/1314677
/cells/state.py</v>
      </c>
      <c r="C56" s="51" t="str">
        <f>IFERROR(__xludf.DUMMYFUNCTION("IFERROR(IF(REGEXMATCH(VLOOKUP(A56,Internal_lists_bugs!$A$2:$R$73,18,FALSE()), ""Yes""), VLOOKUP(A56,Internal_lists_bugs!$A$2:$U$73,21,FALSE()), VLOOKUP(A56,Internal_lists_bugs!$A$2:$R$73,18,FALSE())),""please select a BUG ID"")"),"No, however, check in the right corner of the bug description")</f>
        <v>No, however, check in the right corner of the bug description</v>
      </c>
      <c r="D56" s="16" t="s">
        <v>149</v>
      </c>
      <c r="E56" s="16" t="s">
        <v>144</v>
      </c>
      <c r="F56" s="52"/>
      <c r="G56" s="56"/>
      <c r="H56" s="16"/>
      <c r="J56" s="52"/>
      <c r="K56" s="56"/>
    </row>
    <row r="57">
      <c r="A57" s="18" t="s">
        <v>37</v>
      </c>
      <c r="B57" s="50" t="str">
        <f>IFERROR(HYPERLINK(VLOOKUP(A57,Internal_lists_bugs!$A$2:$C$73,3,FALSE()), VLOOKUP(A57,Internal_lists_bugs!$A$2:$C$73,3,FALSE())&amp;Char(10) &amp; Char(10) &amp; VLOOKUP(A57,Internal_lists_bugs!$A$2:$Z$73,26,FALSE())),"please select a BUG ID")</f>
        <v>https://bugs.launchpad.net/nova/+bug/1314677
/cells/state.py</v>
      </c>
      <c r="C57" s="51" t="str">
        <f>IFERROR(__xludf.DUMMYFUNCTION("IFERROR(IF(REGEXMATCH(VLOOKUP(A57,Internal_lists_bugs!$A$2:$R$73,18,FALSE()), ""Yes""), VLOOKUP(A57,Internal_lists_bugs!$A$2:$U$73,21,FALSE()), VLOOKUP(A57,Internal_lists_bugs!$A$2:$R$73,18,FALSE())),""please select a BUG ID"")"),"No, however, check in the right corner of the bug description")</f>
        <v>No, however, check in the right corner of the bug description</v>
      </c>
      <c r="D57" s="16" t="s">
        <v>119</v>
      </c>
      <c r="E57" s="16" t="s">
        <v>144</v>
      </c>
      <c r="F57" s="52"/>
      <c r="G57" s="56"/>
      <c r="H57" s="16"/>
      <c r="J57" s="52"/>
      <c r="K57" s="56"/>
    </row>
    <row r="58">
      <c r="A58" s="18" t="s">
        <v>38</v>
      </c>
      <c r="B58" s="50" t="str">
        <f>IFERROR(HYPERLINK(VLOOKUP(A58,Internal_lists_bugs!$A$2:$C$73,3,FALSE()), VLOOKUP(A58,Internal_lists_bugs!$A$2:$C$73,3,FALSE())&amp;Char(10) &amp; Char(10) &amp; VLOOKUP(A58,Internal_lists_bugs!$A$2:$Z$73,26,FALSE())),"please select a BUG ID")</f>
        <v>https://bugs.launchpad.net/nova/+bug/1294939
/network/manager.py</v>
      </c>
      <c r="C58" s="51" t="str">
        <f>IFERROR(__xludf.DUMMYFUNCTION("IFERROR(IF(REGEXMATCH(VLOOKUP(A58,Internal_lists_bugs!$A$2:$R$73,18,FALSE()), ""Yes""), VLOOKUP(A58,Internal_lists_bugs!$A$2:$U$73,21,FALSE()), VLOOKUP(A58,Internal_lists_bugs!$A$2:$R$73,18,FALSE())),""please select a BUG ID"")"),"No, however, check in the right corner of the bug description")</f>
        <v>No, however, check in the right corner of the bug description</v>
      </c>
      <c r="D58" s="16" t="s">
        <v>119</v>
      </c>
      <c r="E58" s="16" t="s">
        <v>133</v>
      </c>
      <c r="F58" s="52" t="s">
        <v>121</v>
      </c>
      <c r="G58" s="56"/>
      <c r="H58" s="16" t="s">
        <v>123</v>
      </c>
      <c r="J58" s="52" t="s">
        <v>123</v>
      </c>
      <c r="K58" s="56"/>
    </row>
    <row r="59">
      <c r="A59" s="18" t="s">
        <v>38</v>
      </c>
      <c r="B59" s="50" t="str">
        <f>IFERROR(HYPERLINK(VLOOKUP(A59,Internal_lists_bugs!$A$2:$C$73,3,FALSE()), VLOOKUP(A59,Internal_lists_bugs!$A$2:$C$73,3,FALSE())&amp;Char(10) &amp; Char(10) &amp; VLOOKUP(A59,Internal_lists_bugs!$A$2:$Z$73,26,FALSE())),"please select a BUG ID")</f>
        <v>https://bugs.launchpad.net/nova/+bug/1294939
/network/manager.py</v>
      </c>
      <c r="C59" s="51" t="str">
        <f>IFERROR(__xludf.DUMMYFUNCTION("IFERROR(IF(REGEXMATCH(VLOOKUP(A59,Internal_lists_bugs!$A$2:$R$73,18,FALSE()), ""Yes""), VLOOKUP(A59,Internal_lists_bugs!$A$2:$U$73,21,FALSE()), VLOOKUP(A59,Internal_lists_bugs!$A$2:$R$73,18,FALSE())),""please select a BUG ID"")"),"No, however, check in the right corner of the bug description")</f>
        <v>No, however, check in the right corner of the bug description</v>
      </c>
      <c r="D59" s="16" t="s">
        <v>134</v>
      </c>
      <c r="E59" s="16" t="s">
        <v>196</v>
      </c>
      <c r="F59" s="55"/>
      <c r="G59" s="56"/>
      <c r="H59" s="54"/>
      <c r="J59" s="55"/>
      <c r="K59" s="56"/>
    </row>
    <row r="60">
      <c r="A60" s="18" t="s">
        <v>38</v>
      </c>
      <c r="B60" s="50" t="str">
        <f>IFERROR(HYPERLINK(VLOOKUP(A60,Internal_lists_bugs!$A$2:$C$73,3,FALSE()), VLOOKUP(A60,Internal_lists_bugs!$A$2:$C$73,3,FALSE())&amp;Char(10) &amp; Char(10) &amp; VLOOKUP(A60,Internal_lists_bugs!$A$2:$Z$73,26,FALSE())),"please select a BUG ID")</f>
        <v>https://bugs.launchpad.net/nova/+bug/1294939
/network/manager.py</v>
      </c>
      <c r="C60" s="51" t="str">
        <f>IFERROR(__xludf.DUMMYFUNCTION("IFERROR(IF(REGEXMATCH(VLOOKUP(A60,Internal_lists_bugs!$A$2:$R$73,18,FALSE()), ""Yes""), VLOOKUP(A60,Internal_lists_bugs!$A$2:$U$73,21,FALSE()), VLOOKUP(A60,Internal_lists_bugs!$A$2:$R$73,18,FALSE())),""please select a BUG ID"")"),"No, however, check in the right corner of the bug description")</f>
        <v>No, however, check in the right corner of the bug description</v>
      </c>
      <c r="D60" s="16" t="s">
        <v>159</v>
      </c>
      <c r="E60" s="16" t="s">
        <v>133</v>
      </c>
      <c r="F60" s="55"/>
      <c r="G60" s="56"/>
      <c r="H60" s="54"/>
      <c r="J60" s="55"/>
      <c r="K60" s="56"/>
    </row>
    <row r="61">
      <c r="A61" s="18" t="s">
        <v>38</v>
      </c>
      <c r="B61" s="50" t="str">
        <f>IFERROR(HYPERLINK(VLOOKUP(A61,Internal_lists_bugs!$A$2:$C$73,3,FALSE()), VLOOKUP(A61,Internal_lists_bugs!$A$2:$C$73,3,FALSE())&amp;Char(10) &amp; Char(10) &amp; VLOOKUP(A61,Internal_lists_bugs!$A$2:$Z$73,26,FALSE())),"please select a BUG ID")</f>
        <v>https://bugs.launchpad.net/nova/+bug/1294939
/network/manager.py</v>
      </c>
      <c r="C61" s="51" t="str">
        <f>IFERROR(__xludf.DUMMYFUNCTION("IFERROR(IF(REGEXMATCH(VLOOKUP(A61,Internal_lists_bugs!$A$2:$R$73,18,FALSE()), ""Yes""), VLOOKUP(A61,Internal_lists_bugs!$A$2:$U$73,21,FALSE()), VLOOKUP(A61,Internal_lists_bugs!$A$2:$R$73,18,FALSE())),""please select a BUG ID"")"),"No, however, check in the right corner of the bug description")</f>
        <v>No, however, check in the right corner of the bug description</v>
      </c>
      <c r="D61" s="16" t="s">
        <v>129</v>
      </c>
      <c r="E61" s="16" t="s">
        <v>197</v>
      </c>
      <c r="F61" s="55"/>
      <c r="G61" s="56"/>
      <c r="H61" s="54"/>
      <c r="J61" s="55"/>
      <c r="K61" s="56"/>
    </row>
    <row r="62">
      <c r="A62" s="18" t="s">
        <v>38</v>
      </c>
      <c r="B62" s="50" t="str">
        <f>IFERROR(HYPERLINK(VLOOKUP(A62,Internal_lists_bugs!$A$2:$C$73,3,FALSE()), VLOOKUP(A62,Internal_lists_bugs!$A$2:$C$73,3,FALSE())&amp;Char(10) &amp; Char(10) &amp; VLOOKUP(A62,Internal_lists_bugs!$A$2:$Z$73,26,FALSE())),"please select a BUG ID")</f>
        <v>https://bugs.launchpad.net/nova/+bug/1294939
/network/manager.py</v>
      </c>
      <c r="C62" s="51" t="str">
        <f>IFERROR(__xludf.DUMMYFUNCTION("IFERROR(IF(REGEXMATCH(VLOOKUP(A62,Internal_lists_bugs!$A$2:$R$73,18,FALSE()), ""Yes""), VLOOKUP(A62,Internal_lists_bugs!$A$2:$U$73,21,FALSE()), VLOOKUP(A62,Internal_lists_bugs!$A$2:$R$73,18,FALSE())),""please select a BUG ID"")"),"No, however, check in the right corner of the bug description")</f>
        <v>No, however, check in the right corner of the bug description</v>
      </c>
      <c r="D62" s="16" t="s">
        <v>131</v>
      </c>
      <c r="E62" s="16" t="s">
        <v>198</v>
      </c>
      <c r="F62" s="55"/>
      <c r="G62" s="56"/>
      <c r="H62" s="54"/>
      <c r="J62" s="55"/>
      <c r="K62" s="56"/>
    </row>
    <row r="63">
      <c r="A63" s="18" t="s">
        <v>38</v>
      </c>
      <c r="B63" s="50" t="str">
        <f>IFERROR(HYPERLINK(VLOOKUP(A63,Internal_lists_bugs!$A$2:$C$73,3,FALSE()), VLOOKUP(A63,Internal_lists_bugs!$A$2:$C$73,3,FALSE())&amp;Char(10) &amp; Char(10) &amp; VLOOKUP(A63,Internal_lists_bugs!$A$2:$Z$73,26,FALSE())),"please select a BUG ID")</f>
        <v>https://bugs.launchpad.net/nova/+bug/1294939
/network/manager.py</v>
      </c>
      <c r="C63" s="51" t="str">
        <f>IFERROR(__xludf.DUMMYFUNCTION("IFERROR(IF(REGEXMATCH(VLOOKUP(A63,Internal_lists_bugs!$A$2:$R$73,18,FALSE()), ""Yes""), VLOOKUP(A63,Internal_lists_bugs!$A$2:$U$73,21,FALSE()), VLOOKUP(A63,Internal_lists_bugs!$A$2:$R$73,18,FALSE())),""please select a BUG ID"")"),"No, however, check in the right corner of the bug description")</f>
        <v>No, however, check in the right corner of the bug description</v>
      </c>
      <c r="D63" s="16" t="s">
        <v>153</v>
      </c>
      <c r="E63" s="16" t="s">
        <v>199</v>
      </c>
      <c r="F63" s="55"/>
      <c r="G63" s="56"/>
      <c r="H63" s="54"/>
      <c r="J63" s="55"/>
      <c r="K63" s="56"/>
    </row>
    <row r="64">
      <c r="A64" s="18" t="s">
        <v>38</v>
      </c>
      <c r="B64" s="50" t="str">
        <f>IFERROR(HYPERLINK(VLOOKUP(A64,Internal_lists_bugs!$A$2:$C$73,3,FALSE()), VLOOKUP(A64,Internal_lists_bugs!$A$2:$C$73,3,FALSE())&amp;Char(10) &amp; Char(10) &amp; VLOOKUP(A64,Internal_lists_bugs!$A$2:$Z$73,26,FALSE())),"please select a BUG ID")</f>
        <v>https://bugs.launchpad.net/nova/+bug/1294939
/network/manager.py</v>
      </c>
      <c r="C64" s="51" t="str">
        <f>IFERROR(__xludf.DUMMYFUNCTION("IFERROR(IF(REGEXMATCH(VLOOKUP(A64,Internal_lists_bugs!$A$2:$R$73,18,FALSE()), ""Yes""), VLOOKUP(A64,Internal_lists_bugs!$A$2:$U$73,21,FALSE()), VLOOKUP(A64,Internal_lists_bugs!$A$2:$R$73,18,FALSE())),""please select a BUG ID"")"),"No, however, check in the right corner of the bug description")</f>
        <v>No, however, check in the right corner of the bug description</v>
      </c>
      <c r="D64" s="16" t="s">
        <v>155</v>
      </c>
      <c r="E64" s="16" t="s">
        <v>200</v>
      </c>
      <c r="F64" s="55"/>
      <c r="G64" s="56"/>
      <c r="H64" s="54"/>
      <c r="J64" s="55"/>
      <c r="K64" s="56"/>
    </row>
    <row r="65">
      <c r="A65" s="18" t="s">
        <v>38</v>
      </c>
      <c r="B65" s="50" t="str">
        <f>IFERROR(HYPERLINK(VLOOKUP(A65,Internal_lists_bugs!$A$2:$C$73,3,FALSE()), VLOOKUP(A65,Internal_lists_bugs!$A$2:$C$73,3,FALSE())&amp;Char(10) &amp; Char(10) &amp; VLOOKUP(A65,Internal_lists_bugs!$A$2:$Z$73,26,FALSE())),"please select a BUG ID")</f>
        <v>https://bugs.launchpad.net/nova/+bug/1294939
/network/manager.py</v>
      </c>
      <c r="C65" s="51" t="str">
        <f>IFERROR(__xludf.DUMMYFUNCTION("IFERROR(IF(REGEXMATCH(VLOOKUP(A65,Internal_lists_bugs!$A$2:$R$73,18,FALSE()), ""Yes""), VLOOKUP(A65,Internal_lists_bugs!$A$2:$U$73,21,FALSE()), VLOOKUP(A65,Internal_lists_bugs!$A$2:$R$73,18,FALSE())),""please select a BUG ID"")"),"No, however, check in the right corner of the bug description")</f>
        <v>No, however, check in the right corner of the bug description</v>
      </c>
      <c r="D65" s="16" t="s">
        <v>149</v>
      </c>
      <c r="E65" s="16" t="s">
        <v>144</v>
      </c>
      <c r="F65" s="55"/>
      <c r="G65" s="56"/>
      <c r="H65" s="16"/>
      <c r="J65" s="52"/>
      <c r="K65" s="56"/>
    </row>
    <row r="66">
      <c r="A66" s="18" t="s">
        <v>39</v>
      </c>
      <c r="B66" s="50" t="str">
        <f>IFERROR(HYPERLINK(VLOOKUP(A66,Internal_lists_bugs!$A$2:$C$73,3,FALSE()), VLOOKUP(A66,Internal_lists_bugs!$A$2:$C$73,3,FALSE())&amp;Char(10) &amp; Char(10) &amp; VLOOKUP(A66,Internal_lists_bugs!$A$2:$Z$73,26,FALSE())),"please select a BUG ID")</f>
        <v>https://bugs.launchpad.net/nova/+bug/1443697
/vmwareapi/vmops.py</v>
      </c>
      <c r="C66" s="51" t="str">
        <f>IFERROR(__xludf.DUMMYFUNCTION("IFERROR(IF(REGEXMATCH(VLOOKUP(A66,Internal_lists_bugs!$A$2:$R$73,18,FALSE()), ""Yes""), VLOOKUP(A66,Internal_lists_bugs!$A$2:$U$73,21,FALSE()), VLOOKUP(A66,Internal_lists_bugs!$A$2:$R$73,18,FALSE())),""please select a BUG ID"")"),"No, however, check in the right corner of the bug description")</f>
        <v>No, however, check in the right corner of the bug description</v>
      </c>
      <c r="D66" s="16" t="s">
        <v>119</v>
      </c>
      <c r="E66" s="16" t="s">
        <v>201</v>
      </c>
      <c r="F66" s="52" t="s">
        <v>121</v>
      </c>
      <c r="G66" s="56"/>
      <c r="H66" s="16" t="s">
        <v>123</v>
      </c>
      <c r="J66" s="52" t="s">
        <v>123</v>
      </c>
      <c r="K66" s="56"/>
    </row>
    <row r="67">
      <c r="A67" s="18" t="s">
        <v>39</v>
      </c>
      <c r="B67" s="50" t="str">
        <f>IFERROR(HYPERLINK(VLOOKUP(A67,Internal_lists_bugs!$A$2:$C$73,3,FALSE()), VLOOKUP(A67,Internal_lists_bugs!$A$2:$C$73,3,FALSE())&amp;Char(10) &amp; Char(10) &amp; VLOOKUP(A67,Internal_lists_bugs!$A$2:$Z$73,26,FALSE())),"please select a BUG ID")</f>
        <v>https://bugs.launchpad.net/nova/+bug/1443697
/vmwareapi/vmops.py</v>
      </c>
      <c r="C67" s="51" t="str">
        <f>IFERROR(__xludf.DUMMYFUNCTION("IFERROR(IF(REGEXMATCH(VLOOKUP(A67,Internal_lists_bugs!$A$2:$R$73,18,FALSE()), ""Yes""), VLOOKUP(A67,Internal_lists_bugs!$A$2:$U$73,21,FALSE()), VLOOKUP(A67,Internal_lists_bugs!$A$2:$R$73,18,FALSE())),""please select a BUG ID"")"),"No, however, check in the right corner of the bug description")</f>
        <v>No, however, check in the right corner of the bug description</v>
      </c>
      <c r="D67" s="16" t="s">
        <v>127</v>
      </c>
      <c r="E67" s="16" t="s">
        <v>201</v>
      </c>
      <c r="F67" s="55"/>
      <c r="G67" s="56"/>
      <c r="H67" s="54"/>
      <c r="J67" s="55"/>
      <c r="K67" s="56"/>
    </row>
    <row r="68">
      <c r="A68" s="18" t="s">
        <v>39</v>
      </c>
      <c r="B68" s="50" t="str">
        <f>IFERROR(HYPERLINK(VLOOKUP(A68,Internal_lists_bugs!$A$2:$C$73,3,FALSE()), VLOOKUP(A68,Internal_lists_bugs!$A$2:$C$73,3,FALSE())&amp;Char(10) &amp; Char(10) &amp; VLOOKUP(A68,Internal_lists_bugs!$A$2:$Z$73,26,FALSE())),"please select a BUG ID")</f>
        <v>https://bugs.launchpad.net/nova/+bug/1443697
/vmwareapi/vmops.py</v>
      </c>
      <c r="C68" s="51" t="str">
        <f>IFERROR(__xludf.DUMMYFUNCTION("IFERROR(IF(REGEXMATCH(VLOOKUP(A68,Internal_lists_bugs!$A$2:$R$73,18,FALSE()), ""Yes""), VLOOKUP(A68,Internal_lists_bugs!$A$2:$U$73,21,FALSE()), VLOOKUP(A68,Internal_lists_bugs!$A$2:$R$73,18,FALSE())),""please select a BUG ID"")"),"No, however, check in the right corner of the bug description")</f>
        <v>No, however, check in the right corner of the bug description</v>
      </c>
      <c r="D68" s="16" t="s">
        <v>159</v>
      </c>
      <c r="E68" s="16" t="s">
        <v>202</v>
      </c>
      <c r="F68" s="55"/>
      <c r="G68" s="56"/>
      <c r="H68" s="54"/>
      <c r="J68" s="55"/>
      <c r="K68" s="56"/>
    </row>
    <row r="69">
      <c r="A69" s="18" t="s">
        <v>39</v>
      </c>
      <c r="B69" s="50" t="str">
        <f>IFERROR(HYPERLINK(VLOOKUP(A69,Internal_lists_bugs!$A$2:$C$73,3,FALSE()), VLOOKUP(A69,Internal_lists_bugs!$A$2:$C$73,3,FALSE())&amp;Char(10) &amp; Char(10) &amp; VLOOKUP(A69,Internal_lists_bugs!$A$2:$Z$73,26,FALSE())),"please select a BUG ID")</f>
        <v>https://bugs.launchpad.net/nova/+bug/1443697
/vmwareapi/vmops.py</v>
      </c>
      <c r="C69" s="51" t="str">
        <f>IFERROR(__xludf.DUMMYFUNCTION("IFERROR(IF(REGEXMATCH(VLOOKUP(A69,Internal_lists_bugs!$A$2:$R$73,18,FALSE()), ""Yes""), VLOOKUP(A69,Internal_lists_bugs!$A$2:$U$73,21,FALSE()), VLOOKUP(A69,Internal_lists_bugs!$A$2:$R$73,18,FALSE())),""please select a BUG ID"")"),"No, however, check in the right corner of the bug description")</f>
        <v>No, however, check in the right corner of the bug description</v>
      </c>
      <c r="D69" s="16" t="s">
        <v>134</v>
      </c>
      <c r="E69" s="16" t="s">
        <v>203</v>
      </c>
      <c r="F69" s="55"/>
      <c r="G69" s="56"/>
      <c r="H69" s="54"/>
      <c r="J69" s="55"/>
      <c r="K69" s="56"/>
    </row>
    <row r="70">
      <c r="A70" s="18" t="s">
        <v>39</v>
      </c>
      <c r="B70" s="50" t="str">
        <f>IFERROR(HYPERLINK(VLOOKUP(A70,Internal_lists_bugs!$A$2:$C$73,3,FALSE()), VLOOKUP(A70,Internal_lists_bugs!$A$2:$C$73,3,FALSE())&amp;Char(10) &amp; Char(10) &amp; VLOOKUP(A70,Internal_lists_bugs!$A$2:$Z$73,26,FALSE())),"please select a BUG ID")</f>
        <v>https://bugs.launchpad.net/nova/+bug/1443697
/vmwareapi/vmops.py</v>
      </c>
      <c r="C70" s="51" t="str">
        <f>IFERROR(__xludf.DUMMYFUNCTION("IFERROR(IF(REGEXMATCH(VLOOKUP(A70,Internal_lists_bugs!$A$2:$R$73,18,FALSE()), ""Yes""), VLOOKUP(A70,Internal_lists_bugs!$A$2:$U$73,21,FALSE()), VLOOKUP(A70,Internal_lists_bugs!$A$2:$R$73,18,FALSE())),""please select a BUG ID"")"),"No, however, check in the right corner of the bug description")</f>
        <v>No, however, check in the right corner of the bug description</v>
      </c>
      <c r="D70" s="16" t="s">
        <v>129</v>
      </c>
      <c r="E70" s="16" t="s">
        <v>204</v>
      </c>
      <c r="F70" s="55"/>
      <c r="G70" s="56"/>
      <c r="H70" s="54"/>
      <c r="J70" s="55"/>
      <c r="K70" s="56"/>
    </row>
    <row r="71">
      <c r="A71" s="18" t="s">
        <v>39</v>
      </c>
      <c r="B71" s="50" t="str">
        <f>IFERROR(HYPERLINK(VLOOKUP(A71,Internal_lists_bugs!$A$2:$C$73,3,FALSE()), VLOOKUP(A71,Internal_lists_bugs!$A$2:$C$73,3,FALSE())&amp;Char(10) &amp; Char(10) &amp; VLOOKUP(A71,Internal_lists_bugs!$A$2:$Z$73,26,FALSE())),"please select a BUG ID")</f>
        <v>https://bugs.launchpad.net/nova/+bug/1443697
/vmwareapi/vmops.py</v>
      </c>
      <c r="C71" s="51" t="str">
        <f>IFERROR(__xludf.DUMMYFUNCTION("IFERROR(IF(REGEXMATCH(VLOOKUP(A71,Internal_lists_bugs!$A$2:$R$73,18,FALSE()), ""Yes""), VLOOKUP(A71,Internal_lists_bugs!$A$2:$U$73,21,FALSE()), VLOOKUP(A71,Internal_lists_bugs!$A$2:$R$73,18,FALSE())),""please select a BUG ID"")"),"No, however, check in the right corner of the bug description")</f>
        <v>No, however, check in the right corner of the bug description</v>
      </c>
      <c r="D71" s="16" t="s">
        <v>131</v>
      </c>
      <c r="E71" s="16" t="s">
        <v>205</v>
      </c>
      <c r="F71" s="55"/>
      <c r="G71" s="56"/>
      <c r="H71" s="54"/>
      <c r="J71" s="55"/>
      <c r="K71" s="56"/>
    </row>
    <row r="72">
      <c r="A72" s="18" t="s">
        <v>39</v>
      </c>
      <c r="B72" s="50" t="str">
        <f>IFERROR(HYPERLINK(VLOOKUP(A72,Internal_lists_bugs!$A$2:$C$73,3,FALSE()), VLOOKUP(A72,Internal_lists_bugs!$A$2:$C$73,3,FALSE())&amp;Char(10) &amp; Char(10) &amp; VLOOKUP(A72,Internal_lists_bugs!$A$2:$Z$73,26,FALSE())),"please select a BUG ID")</f>
        <v>https://bugs.launchpad.net/nova/+bug/1443697
/vmwareapi/vmops.py</v>
      </c>
      <c r="C72" s="51" t="str">
        <f>IFERROR(__xludf.DUMMYFUNCTION("IFERROR(IF(REGEXMATCH(VLOOKUP(A72,Internal_lists_bugs!$A$2:$R$73,18,FALSE()), ""Yes""), VLOOKUP(A72,Internal_lists_bugs!$A$2:$U$73,21,FALSE()), VLOOKUP(A72,Internal_lists_bugs!$A$2:$R$73,18,FALSE())),""please select a BUG ID"")"),"No, however, check in the right corner of the bug description")</f>
        <v>No, however, check in the right corner of the bug description</v>
      </c>
      <c r="D72" s="16" t="s">
        <v>119</v>
      </c>
      <c r="E72" s="16" t="s">
        <v>144</v>
      </c>
      <c r="F72" s="52"/>
      <c r="G72" s="56"/>
      <c r="H72" s="16"/>
      <c r="J72" s="52"/>
      <c r="K72" s="56"/>
    </row>
    <row r="73">
      <c r="A73" s="18" t="s">
        <v>39</v>
      </c>
      <c r="B73" s="60" t="str">
        <f>IFERROR(HYPERLINK(VLOOKUP(A73,Internal_lists_bugs!$A$2:$C$73,3,FALSE()), VLOOKUP(A73,Internal_lists_bugs!$A$2:$C$73,3,FALSE())&amp;Char(10) &amp; Char(10) &amp; VLOOKUP(A73,Internal_lists_bugs!$A$2:$Z$73,26,FALSE())),"please select a BUG ID")</f>
        <v>https://bugs.launchpad.net/nova/+bug/1443697
/vmwareapi/vmops.py</v>
      </c>
      <c r="C73" s="61" t="str">
        <f>IFERROR(__xludf.DUMMYFUNCTION("IFERROR(IF(REGEXMATCH(VLOOKUP(A73,Internal_lists_bugs!$A$2:$R$73,18,FALSE()), ""Yes""), VLOOKUP(A73,Internal_lists_bugs!$A$2:$U$73,21,FALSE()), VLOOKUP(A73,Internal_lists_bugs!$A$2:$R$73,18,FALSE())),""please select a BUG ID"")"),"No, however, check in the right corner of the bug description")</f>
        <v>No, however, check in the right corner of the bug description</v>
      </c>
      <c r="D73" s="16" t="s">
        <v>149</v>
      </c>
      <c r="E73" s="16" t="s">
        <v>144</v>
      </c>
      <c r="F73" s="52"/>
      <c r="G73" s="56"/>
      <c r="H73" s="16"/>
      <c r="J73" s="52"/>
      <c r="K73" s="56"/>
    </row>
    <row r="74">
      <c r="A74" s="62" t="s">
        <v>40</v>
      </c>
      <c r="B74" s="50" t="str">
        <f>IFERROR(HYPERLINK(VLOOKUP(A74,Internal_lists_bugs!$A$2:$C$73,3,FALSE()), VLOOKUP(A74,Internal_lists_bugs!$A$2:$C$73,3,FALSE())&amp;Char(10) &amp; Char(10) &amp; VLOOKUP(A74,Internal_lists_bugs!$A$2:$Z$73,26,FALSE())),"please select a BUG ID")</f>
        <v>https://bugs.launchpad.net/nova/+bug/1300788
/vmwareapi/vmops.py</v>
      </c>
      <c r="C74" s="51" t="str">
        <f>IFERROR(__xludf.DUMMYFUNCTION("IFERROR(IF(REGEXMATCH(VLOOKUP(A74,Internal_lists_bugs!$A$2:$R$73,18,FALSE()), ""Yes""), VLOOKUP(A74,Internal_lists_bugs!$A$2:$U$73,21,FALSE()), VLOOKUP(A74,Internal_lists_bugs!$A$2:$R$73,18,FALSE())),""please select a BUG ID"")"),"No, however, check in the right corner of the bug description")</f>
        <v>No, however, check in the right corner of the bug description</v>
      </c>
      <c r="D74" s="16" t="s">
        <v>149</v>
      </c>
      <c r="E74" s="16" t="s">
        <v>206</v>
      </c>
      <c r="F74" s="52" t="s">
        <v>121</v>
      </c>
      <c r="G74" s="56"/>
      <c r="H74" s="16" t="s">
        <v>123</v>
      </c>
      <c r="J74" s="52" t="s">
        <v>123</v>
      </c>
      <c r="K74" s="56"/>
    </row>
    <row r="75">
      <c r="A75" s="62" t="s">
        <v>40</v>
      </c>
      <c r="B75" s="50" t="str">
        <f>IFERROR(HYPERLINK(VLOOKUP(A75,Internal_lists_bugs!$A$2:$C$73,3,FALSE()), VLOOKUP(A75,Internal_lists_bugs!$A$2:$C$73,3,FALSE())&amp;Char(10) &amp; Char(10) &amp; VLOOKUP(A75,Internal_lists_bugs!$A$2:$Z$73,26,FALSE())),"please select a BUG ID")</f>
        <v>https://bugs.launchpad.net/nova/+bug/1300788
/vmwareapi/vmops.py</v>
      </c>
      <c r="C75" s="51" t="str">
        <f>IFERROR(__xludf.DUMMYFUNCTION("IFERROR(IF(REGEXMATCH(VLOOKUP(A75,Internal_lists_bugs!$A$2:$R$73,18,FALSE()), ""Yes""), VLOOKUP(A75,Internal_lists_bugs!$A$2:$U$73,21,FALSE()), VLOOKUP(A75,Internal_lists_bugs!$A$2:$R$73,18,FALSE())),""please select a BUG ID"")"),"No, however, check in the right corner of the bug description")</f>
        <v>No, however, check in the right corner of the bug description</v>
      </c>
      <c r="D75" s="16" t="s">
        <v>119</v>
      </c>
      <c r="E75" s="16" t="s">
        <v>207</v>
      </c>
      <c r="F75" s="55"/>
      <c r="G75" s="56"/>
      <c r="H75" s="54"/>
      <c r="J75" s="55"/>
      <c r="K75" s="56"/>
    </row>
    <row r="76">
      <c r="A76" s="62" t="s">
        <v>40</v>
      </c>
      <c r="B76" s="50" t="str">
        <f>IFERROR(HYPERLINK(VLOOKUP(A76,Internal_lists_bugs!$A$2:$C$73,3,FALSE()), VLOOKUP(A76,Internal_lists_bugs!$A$2:$C$73,3,FALSE())&amp;Char(10) &amp; Char(10) &amp; VLOOKUP(A76,Internal_lists_bugs!$A$2:$Z$73,26,FALSE())),"please select a BUG ID")</f>
        <v>https://bugs.launchpad.net/nova/+bug/1300788
/vmwareapi/vmops.py</v>
      </c>
      <c r="C76" s="51" t="str">
        <f>IFERROR(__xludf.DUMMYFUNCTION("IFERROR(IF(REGEXMATCH(VLOOKUP(A76,Internal_lists_bugs!$A$2:$R$73,18,FALSE()), ""Yes""), VLOOKUP(A76,Internal_lists_bugs!$A$2:$U$73,21,FALSE()), VLOOKUP(A76,Internal_lists_bugs!$A$2:$R$73,18,FALSE())),""please select a BUG ID"")"),"No, however, check in the right corner of the bug description")</f>
        <v>No, however, check in the right corner of the bug description</v>
      </c>
      <c r="D76" s="16" t="s">
        <v>208</v>
      </c>
      <c r="E76" s="16" t="s">
        <v>209</v>
      </c>
      <c r="F76" s="55"/>
      <c r="G76" s="56"/>
      <c r="H76" s="54"/>
      <c r="J76" s="55"/>
      <c r="K76" s="56"/>
    </row>
    <row r="77">
      <c r="A77" s="62" t="s">
        <v>40</v>
      </c>
      <c r="B77" s="50" t="str">
        <f>IFERROR(HYPERLINK(VLOOKUP(A77,Internal_lists_bugs!$A$2:$C$73,3,FALSE()), VLOOKUP(A77,Internal_lists_bugs!$A$2:$C$73,3,FALSE())&amp;Char(10) &amp; Char(10) &amp; VLOOKUP(A77,Internal_lists_bugs!$A$2:$Z$73,26,FALSE())),"please select a BUG ID")</f>
        <v>https://bugs.launchpad.net/nova/+bug/1300788
/vmwareapi/vmops.py</v>
      </c>
      <c r="C77" s="51" t="str">
        <f>IFERROR(__xludf.DUMMYFUNCTION("IFERROR(IF(REGEXMATCH(VLOOKUP(A77,Internal_lists_bugs!$A$2:$R$73,18,FALSE()), ""Yes""), VLOOKUP(A77,Internal_lists_bugs!$A$2:$U$73,21,FALSE()), VLOOKUP(A77,Internal_lists_bugs!$A$2:$R$73,18,FALSE())),""please select a BUG ID"")"),"No, however, check in the right corner of the bug description")</f>
        <v>No, however, check in the right corner of the bug description</v>
      </c>
      <c r="D77" s="16" t="s">
        <v>119</v>
      </c>
      <c r="E77" s="16" t="s">
        <v>210</v>
      </c>
      <c r="F77" s="55"/>
      <c r="G77" s="56"/>
      <c r="H77" s="54"/>
      <c r="J77" s="55"/>
      <c r="K77" s="56"/>
    </row>
    <row r="78">
      <c r="A78" s="62" t="s">
        <v>40</v>
      </c>
      <c r="B78" s="50" t="str">
        <f>IFERROR(HYPERLINK(VLOOKUP(A78,Internal_lists_bugs!$A$2:$C$73,3,FALSE()), VLOOKUP(A78,Internal_lists_bugs!$A$2:$C$73,3,FALSE())&amp;Char(10) &amp; Char(10) &amp; VLOOKUP(A78,Internal_lists_bugs!$A$2:$Z$73,26,FALSE())),"please select a BUG ID")</f>
        <v>https://bugs.launchpad.net/nova/+bug/1300788
/vmwareapi/vmops.py</v>
      </c>
      <c r="C78" s="51" t="str">
        <f>IFERROR(__xludf.DUMMYFUNCTION("IFERROR(IF(REGEXMATCH(VLOOKUP(A78,Internal_lists_bugs!$A$2:$R$73,18,FALSE()), ""Yes""), VLOOKUP(A78,Internal_lists_bugs!$A$2:$U$73,21,FALSE()), VLOOKUP(A78,Internal_lists_bugs!$A$2:$R$73,18,FALSE())),""please select a BUG ID"")"),"No, however, check in the right corner of the bug description")</f>
        <v>No, however, check in the right corner of the bug description</v>
      </c>
      <c r="D78" s="16" t="s">
        <v>211</v>
      </c>
      <c r="E78" s="16" t="s">
        <v>212</v>
      </c>
      <c r="F78" s="55"/>
      <c r="G78" s="56"/>
      <c r="H78" s="54"/>
      <c r="J78" s="55"/>
      <c r="K78" s="56"/>
    </row>
    <row r="79">
      <c r="A79" s="62" t="s">
        <v>40</v>
      </c>
      <c r="B79" s="50" t="str">
        <f>IFERROR(HYPERLINK(VLOOKUP(A79,Internal_lists_bugs!$A$2:$C$73,3,FALSE()), VLOOKUP(A79,Internal_lists_bugs!$A$2:$C$73,3,FALSE())&amp;Char(10) &amp; Char(10) &amp; VLOOKUP(A79,Internal_lists_bugs!$A$2:$Z$73,26,FALSE())),"please select a BUG ID")</f>
        <v>https://bugs.launchpad.net/nova/+bug/1300788
/vmwareapi/vmops.py</v>
      </c>
      <c r="C79" s="51" t="str">
        <f>IFERROR(__xludf.DUMMYFUNCTION("IFERROR(IF(REGEXMATCH(VLOOKUP(A79,Internal_lists_bugs!$A$2:$R$73,18,FALSE()), ""Yes""), VLOOKUP(A79,Internal_lists_bugs!$A$2:$U$73,21,FALSE()), VLOOKUP(A79,Internal_lists_bugs!$A$2:$R$73,18,FALSE())),""please select a BUG ID"")"),"No, however, check in the right corner of the bug description")</f>
        <v>No, however, check in the right corner of the bug description</v>
      </c>
      <c r="D79" s="16" t="s">
        <v>129</v>
      </c>
      <c r="E79" s="16" t="s">
        <v>204</v>
      </c>
      <c r="F79" s="55"/>
      <c r="G79" s="56"/>
      <c r="H79" s="54"/>
      <c r="J79" s="55"/>
      <c r="K79" s="56"/>
    </row>
    <row r="80">
      <c r="A80" s="62" t="s">
        <v>40</v>
      </c>
      <c r="B80" s="50" t="str">
        <f>IFERROR(HYPERLINK(VLOOKUP(A80,Internal_lists_bugs!$A$2:$C$73,3,FALSE()), VLOOKUP(A80,Internal_lists_bugs!$A$2:$C$73,3,FALSE())&amp;Char(10) &amp; Char(10) &amp; VLOOKUP(A80,Internal_lists_bugs!$A$2:$Z$73,26,FALSE())),"please select a BUG ID")</f>
        <v>https://bugs.launchpad.net/nova/+bug/1300788
/vmwareapi/vmops.py</v>
      </c>
      <c r="C80" s="51" t="str">
        <f>IFERROR(__xludf.DUMMYFUNCTION("IFERROR(IF(REGEXMATCH(VLOOKUP(A80,Internal_lists_bugs!$A$2:$R$73,18,FALSE()), ""Yes""), VLOOKUP(A80,Internal_lists_bugs!$A$2:$U$73,21,FALSE()), VLOOKUP(A80,Internal_lists_bugs!$A$2:$R$73,18,FALSE())),""please select a BUG ID"")"),"No, however, check in the right corner of the bug description")</f>
        <v>No, however, check in the right corner of the bug description</v>
      </c>
      <c r="D80" s="16" t="s">
        <v>213</v>
      </c>
      <c r="E80" s="16" t="s">
        <v>205</v>
      </c>
      <c r="F80" s="55"/>
      <c r="G80" s="56"/>
      <c r="H80" s="54"/>
      <c r="J80" s="55"/>
      <c r="K80" s="56"/>
    </row>
    <row r="81">
      <c r="A81" s="62" t="s">
        <v>40</v>
      </c>
      <c r="B81" s="50" t="str">
        <f>IFERROR(HYPERLINK(VLOOKUP(A81,Internal_lists_bugs!$A$2:$C$73,3,FALSE()), VLOOKUP(A81,Internal_lists_bugs!$A$2:$C$73,3,FALSE())&amp;Char(10) &amp; Char(10) &amp; VLOOKUP(A81,Internal_lists_bugs!$A$2:$Z$73,26,FALSE())),"please select a BUG ID")</f>
        <v>https://bugs.launchpad.net/nova/+bug/1300788
/vmwareapi/vmops.py</v>
      </c>
      <c r="C81" s="51" t="str">
        <f>IFERROR(__xludf.DUMMYFUNCTION("IFERROR(IF(REGEXMATCH(VLOOKUP(A81,Internal_lists_bugs!$A$2:$R$73,18,FALSE()), ""Yes""), VLOOKUP(A81,Internal_lists_bugs!$A$2:$U$73,21,FALSE()), VLOOKUP(A81,Internal_lists_bugs!$A$2:$R$73,18,FALSE())),""please select a BUG ID"")"),"No, however, check in the right corner of the bug description")</f>
        <v>No, however, check in the right corner of the bug description</v>
      </c>
      <c r="D81" s="16" t="s">
        <v>214</v>
      </c>
      <c r="E81" s="16" t="s">
        <v>215</v>
      </c>
      <c r="F81" s="55"/>
      <c r="G81" s="56"/>
      <c r="H81" s="54"/>
      <c r="J81" s="55"/>
      <c r="K81" s="56"/>
    </row>
    <row r="82">
      <c r="A82" s="62" t="s">
        <v>40</v>
      </c>
      <c r="B82" s="50" t="str">
        <f>IFERROR(HYPERLINK(VLOOKUP(A82,Internal_lists_bugs!$A$2:$C$73,3,FALSE()), VLOOKUP(A82,Internal_lists_bugs!$A$2:$C$73,3,FALSE())&amp;Char(10) &amp; Char(10) &amp; VLOOKUP(A82,Internal_lists_bugs!$A$2:$Z$73,26,FALSE())),"please select a BUG ID")</f>
        <v>https://bugs.launchpad.net/nova/+bug/1300788
/vmwareapi/vmops.py</v>
      </c>
      <c r="C82" s="51" t="str">
        <f>IFERROR(__xludf.DUMMYFUNCTION("IFERROR(IF(REGEXMATCH(VLOOKUP(A82,Internal_lists_bugs!$A$2:$R$73,18,FALSE()), ""Yes""), VLOOKUP(A82,Internal_lists_bugs!$A$2:$U$73,21,FALSE()), VLOOKUP(A82,Internal_lists_bugs!$A$2:$R$73,18,FALSE())),""please select a BUG ID"")"),"No, however, check in the right corner of the bug description")</f>
        <v>No, however, check in the right corner of the bug description</v>
      </c>
      <c r="D82" s="16" t="s">
        <v>131</v>
      </c>
      <c r="E82" s="16" t="s">
        <v>216</v>
      </c>
      <c r="F82" s="52"/>
      <c r="G82" s="56"/>
      <c r="H82" s="16"/>
      <c r="J82" s="52"/>
      <c r="K82" s="56"/>
    </row>
    <row r="83">
      <c r="A83" s="62" t="s">
        <v>40</v>
      </c>
      <c r="B83" s="50" t="str">
        <f>IFERROR(HYPERLINK(VLOOKUP(A83,Internal_lists_bugs!$A$2:$C$73,3,FALSE()), VLOOKUP(A83,Internal_lists_bugs!$A$2:$C$73,3,FALSE())&amp;Char(10) &amp; Char(10) &amp; VLOOKUP(A83,Internal_lists_bugs!$A$2:$Z$73,26,FALSE())),"please select a BUG ID")</f>
        <v>https://bugs.launchpad.net/nova/+bug/1300788
/vmwareapi/vmops.py</v>
      </c>
      <c r="C83" s="51" t="str">
        <f>IFERROR(__xludf.DUMMYFUNCTION("IFERROR(IF(REGEXMATCH(VLOOKUP(A83,Internal_lists_bugs!$A$2:$R$73,18,FALSE()), ""Yes""), VLOOKUP(A83,Internal_lists_bugs!$A$2:$U$73,21,FALSE()), VLOOKUP(A83,Internal_lists_bugs!$A$2:$R$73,18,FALSE())),""please select a BUG ID"")"),"No, however, check in the right corner of the bug description")</f>
        <v>No, however, check in the right corner of the bug description</v>
      </c>
      <c r="D83" s="16" t="s">
        <v>153</v>
      </c>
      <c r="E83" s="16" t="s">
        <v>217</v>
      </c>
      <c r="F83" s="52"/>
      <c r="G83" s="56"/>
      <c r="H83" s="16"/>
      <c r="J83" s="52"/>
      <c r="K83" s="56"/>
    </row>
    <row r="84">
      <c r="A84" s="62" t="s">
        <v>40</v>
      </c>
      <c r="B84" s="50" t="str">
        <f>IFERROR(HYPERLINK(VLOOKUP(A84,Internal_lists_bugs!$A$2:$C$73,3,FALSE()), VLOOKUP(A84,Internal_lists_bugs!$A$2:$C$73,3,FALSE())&amp;Char(10) &amp; Char(10) &amp; VLOOKUP(A84,Internal_lists_bugs!$A$2:$Z$73,26,FALSE())),"please select a BUG ID")</f>
        <v>https://bugs.launchpad.net/nova/+bug/1300788
/vmwareapi/vmops.py</v>
      </c>
      <c r="C84" s="51" t="str">
        <f>IFERROR(__xludf.DUMMYFUNCTION("IFERROR(IF(REGEXMATCH(VLOOKUP(A84,Internal_lists_bugs!$A$2:$R$73,18,FALSE()), ""Yes""), VLOOKUP(A84,Internal_lists_bugs!$A$2:$U$73,21,FALSE()), VLOOKUP(A84,Internal_lists_bugs!$A$2:$R$73,18,FALSE())),""please select a BUG ID"")"),"No, however, check in the right corner of the bug description")</f>
        <v>No, however, check in the right corner of the bug description</v>
      </c>
      <c r="D84" s="16" t="s">
        <v>218</v>
      </c>
      <c r="E84" s="16" t="s">
        <v>183</v>
      </c>
      <c r="F84" s="52"/>
      <c r="G84" s="56"/>
      <c r="H84" s="16"/>
      <c r="J84" s="52"/>
      <c r="K84" s="56"/>
    </row>
    <row r="85">
      <c r="A85" s="62" t="s">
        <v>40</v>
      </c>
      <c r="B85" s="50" t="str">
        <f>IFERROR(HYPERLINK(VLOOKUP(A85,Internal_lists_bugs!$A$2:$C$73,3,FALSE()), VLOOKUP(A85,Internal_lists_bugs!$A$2:$C$73,3,FALSE())&amp;Char(10) &amp; Char(10) &amp; VLOOKUP(A85,Internal_lists_bugs!$A$2:$Z$73,26,FALSE())),"please select a BUG ID")</f>
        <v>https://bugs.launchpad.net/nova/+bug/1300788
/vmwareapi/vmops.py</v>
      </c>
      <c r="C85" s="51" t="str">
        <f>IFERROR(__xludf.DUMMYFUNCTION("IFERROR(IF(REGEXMATCH(VLOOKUP(A85,Internal_lists_bugs!$A$2:$R$73,18,FALSE()), ""Yes""), VLOOKUP(A85,Internal_lists_bugs!$A$2:$U$73,21,FALSE()), VLOOKUP(A85,Internal_lists_bugs!$A$2:$R$73,18,FALSE())),""please select a BUG ID"")"),"No, however, check in the right corner of the bug description")</f>
        <v>No, however, check in the right corner of the bug description</v>
      </c>
      <c r="D85" s="16" t="s">
        <v>219</v>
      </c>
      <c r="E85" s="16" t="s">
        <v>185</v>
      </c>
      <c r="F85" s="52"/>
      <c r="G85" s="56"/>
      <c r="H85" s="16"/>
      <c r="J85" s="52"/>
      <c r="K85" s="56"/>
    </row>
    <row r="86">
      <c r="A86" s="62" t="s">
        <v>40</v>
      </c>
      <c r="B86" s="50" t="str">
        <f>IFERROR(HYPERLINK(VLOOKUP(A86,Internal_lists_bugs!$A$2:$C$73,3,FALSE()), VLOOKUP(A86,Internal_lists_bugs!$A$2:$C$73,3,FALSE())&amp;Char(10) &amp; Char(10) &amp; VLOOKUP(A86,Internal_lists_bugs!$A$2:$Z$73,26,FALSE())),"please select a BUG ID")</f>
        <v>https://bugs.launchpad.net/nova/+bug/1300788
/vmwareapi/vmops.py</v>
      </c>
      <c r="C86" s="51" t="str">
        <f>IFERROR(__xludf.DUMMYFUNCTION("IFERROR(IF(REGEXMATCH(VLOOKUP(A86,Internal_lists_bugs!$A$2:$R$73,18,FALSE()), ""Yes""), VLOOKUP(A86,Internal_lists_bugs!$A$2:$U$73,21,FALSE()), VLOOKUP(A86,Internal_lists_bugs!$A$2:$R$73,18,FALSE())),""please select a BUG ID"")"),"No, however, check in the right corner of the bug description")</f>
        <v>No, however, check in the right corner of the bug description</v>
      </c>
      <c r="D86" s="16" t="s">
        <v>220</v>
      </c>
      <c r="E86" s="16" t="s">
        <v>185</v>
      </c>
      <c r="F86" s="52"/>
      <c r="G86" s="56"/>
      <c r="H86" s="16"/>
      <c r="J86" s="52"/>
      <c r="K86" s="56"/>
    </row>
    <row r="87">
      <c r="A87" s="62" t="s">
        <v>40</v>
      </c>
      <c r="B87" s="50" t="str">
        <f>IFERROR(HYPERLINK(VLOOKUP(A87,Internal_lists_bugs!$A$2:$C$73,3,FALSE()), VLOOKUP(A87,Internal_lists_bugs!$A$2:$C$73,3,FALSE())&amp;Char(10) &amp; Char(10) &amp; VLOOKUP(A87,Internal_lists_bugs!$A$2:$Z$73,26,FALSE())),"please select a BUG ID")</f>
        <v>https://bugs.launchpad.net/nova/+bug/1300788
/vmwareapi/vmops.py</v>
      </c>
      <c r="C87" s="51" t="str">
        <f>IFERROR(__xludf.DUMMYFUNCTION("IFERROR(IF(REGEXMATCH(VLOOKUP(A87,Internal_lists_bugs!$A$2:$R$73,18,FALSE()), ""Yes""), VLOOKUP(A87,Internal_lists_bugs!$A$2:$U$73,21,FALSE()), VLOOKUP(A87,Internal_lists_bugs!$A$2:$R$73,18,FALSE())),""please select a BUG ID"")"),"No, however, check in the right corner of the bug description")</f>
        <v>No, however, check in the right corner of the bug description</v>
      </c>
      <c r="D87" s="16" t="s">
        <v>221</v>
      </c>
      <c r="E87" s="16" t="s">
        <v>187</v>
      </c>
      <c r="F87" s="52"/>
      <c r="G87" s="56"/>
      <c r="H87" s="16"/>
      <c r="J87" s="52"/>
      <c r="K87" s="56"/>
    </row>
    <row r="88">
      <c r="A88" s="62" t="s">
        <v>41</v>
      </c>
      <c r="B88" s="50" t="str">
        <f>IFERROR(HYPERLINK(VLOOKUP(A88,Internal_lists_bugs!$A$2:$C$73,3,FALSE()), VLOOKUP(A88,Internal_lists_bugs!$A$2:$C$73,3,FALSE())&amp;Char(10) &amp; Char(10) &amp; VLOOKUP(A88,Internal_lists_bugs!$A$2:$Z$73,26,FALSE())),"please select a BUG ID")</f>
        <v>https://bugs.launchpad.net/nova/+bug/1466390
/sqlalchemy/api.py</v>
      </c>
      <c r="C88" s="51" t="str">
        <f>IFERROR(__xludf.DUMMYFUNCTION("IFERROR(IF(REGEXMATCH(VLOOKUP(A88,Internal_lists_bugs!$A$2:$R$73,18,FALSE()), ""Yes""), VLOOKUP(A88,Internal_lists_bugs!$A$2:$U$73,21,FALSE()), VLOOKUP(A88,Internal_lists_bugs!$A$2:$R$73,18,FALSE())),""please select a BUG ID"")"),"No, however, check in the right corner of the bug description")</f>
        <v>No, however, check in the right corner of the bug description</v>
      </c>
      <c r="D88" s="16" t="s">
        <v>127</v>
      </c>
      <c r="E88" s="16" t="s">
        <v>222</v>
      </c>
      <c r="F88" s="52" t="s">
        <v>150</v>
      </c>
      <c r="G88" s="56"/>
      <c r="H88" s="16" t="s">
        <v>123</v>
      </c>
      <c r="J88" s="52" t="s">
        <v>123</v>
      </c>
      <c r="K88" s="56"/>
    </row>
    <row r="89">
      <c r="A89" s="62" t="s">
        <v>41</v>
      </c>
      <c r="B89" s="50" t="str">
        <f>IFERROR(HYPERLINK(VLOOKUP(A89,Internal_lists_bugs!$A$2:$C$73,3,FALSE()), VLOOKUP(A89,Internal_lists_bugs!$A$2:$C$73,3,FALSE())&amp;Char(10) &amp; Char(10) &amp; VLOOKUP(A89,Internal_lists_bugs!$A$2:$Z$73,26,FALSE())),"please select a BUG ID")</f>
        <v>https://bugs.launchpad.net/nova/+bug/1466390
/sqlalchemy/api.py</v>
      </c>
      <c r="C89" s="51" t="str">
        <f>IFERROR(__xludf.DUMMYFUNCTION("IFERROR(IF(REGEXMATCH(VLOOKUP(A89,Internal_lists_bugs!$A$2:$R$73,18,FALSE()), ""Yes""), VLOOKUP(A89,Internal_lists_bugs!$A$2:$U$73,21,FALSE()), VLOOKUP(A89,Internal_lists_bugs!$A$2:$R$73,18,FALSE())),""please select a BUG ID"")"),"No, however, check in the right corner of the bug description")</f>
        <v>No, however, check in the right corner of the bug description</v>
      </c>
      <c r="D89" s="16" t="s">
        <v>119</v>
      </c>
      <c r="E89" s="16" t="s">
        <v>223</v>
      </c>
      <c r="F89" s="55"/>
      <c r="G89" s="56"/>
      <c r="H89" s="54"/>
      <c r="J89" s="55"/>
      <c r="K89" s="56"/>
    </row>
    <row r="90">
      <c r="A90" s="62" t="s">
        <v>41</v>
      </c>
      <c r="B90" s="50" t="str">
        <f>IFERROR(HYPERLINK(VLOOKUP(A90,Internal_lists_bugs!$A$2:$C$73,3,FALSE()), VLOOKUP(A90,Internal_lists_bugs!$A$2:$C$73,3,FALSE())&amp;Char(10) &amp; Char(10) &amp; VLOOKUP(A90,Internal_lists_bugs!$A$2:$Z$73,26,FALSE())),"please select a BUG ID")</f>
        <v>https://bugs.launchpad.net/nova/+bug/1466390
/sqlalchemy/api.py</v>
      </c>
      <c r="C90" s="51" t="str">
        <f>IFERROR(__xludf.DUMMYFUNCTION("IFERROR(IF(REGEXMATCH(VLOOKUP(A90,Internal_lists_bugs!$A$2:$R$73,18,FALSE()), ""Yes""), VLOOKUP(A90,Internal_lists_bugs!$A$2:$U$73,21,FALSE()), VLOOKUP(A90,Internal_lists_bugs!$A$2:$R$73,18,FALSE())),""please select a BUG ID"")"),"No, however, check in the right corner of the bug description")</f>
        <v>No, however, check in the right corner of the bug description</v>
      </c>
      <c r="D90" s="16" t="s">
        <v>224</v>
      </c>
      <c r="E90" s="16" t="s">
        <v>225</v>
      </c>
      <c r="F90" s="55"/>
      <c r="G90" s="56"/>
      <c r="H90" s="54"/>
      <c r="J90" s="55"/>
      <c r="K90" s="56"/>
    </row>
    <row r="91">
      <c r="A91" s="62" t="s">
        <v>41</v>
      </c>
      <c r="B91" s="50" t="str">
        <f>IFERROR(HYPERLINK(VLOOKUP(A91,Internal_lists_bugs!$A$2:$C$73,3,FALSE()), VLOOKUP(A91,Internal_lists_bugs!$A$2:$C$73,3,FALSE())&amp;Char(10) &amp; Char(10) &amp; VLOOKUP(A91,Internal_lists_bugs!$A$2:$Z$73,26,FALSE())),"please select a BUG ID")</f>
        <v>https://bugs.launchpad.net/nova/+bug/1466390
/sqlalchemy/api.py</v>
      </c>
      <c r="C91" s="51" t="str">
        <f>IFERROR(__xludf.DUMMYFUNCTION("IFERROR(IF(REGEXMATCH(VLOOKUP(A91,Internal_lists_bugs!$A$2:$R$73,18,FALSE()), ""Yes""), VLOOKUP(A91,Internal_lists_bugs!$A$2:$U$73,21,FALSE()), VLOOKUP(A91,Internal_lists_bugs!$A$2:$R$73,18,FALSE())),""please select a BUG ID"")"),"No, however, check in the right corner of the bug description")</f>
        <v>No, however, check in the right corner of the bug description</v>
      </c>
      <c r="D91" s="16" t="s">
        <v>129</v>
      </c>
      <c r="E91" s="16" t="s">
        <v>204</v>
      </c>
      <c r="F91" s="55"/>
      <c r="G91" s="56"/>
      <c r="H91" s="54"/>
      <c r="J91" s="55"/>
      <c r="K91" s="56"/>
    </row>
    <row r="92">
      <c r="A92" s="62" t="s">
        <v>41</v>
      </c>
      <c r="B92" s="50" t="str">
        <f>IFERROR(HYPERLINK(VLOOKUP(A92,Internal_lists_bugs!$A$2:$C$73,3,FALSE()), VLOOKUP(A92,Internal_lists_bugs!$A$2:$C$73,3,FALSE())&amp;Char(10) &amp; Char(10) &amp; VLOOKUP(A92,Internal_lists_bugs!$A$2:$Z$73,26,FALSE())),"please select a BUG ID")</f>
        <v>https://bugs.launchpad.net/nova/+bug/1466390
/sqlalchemy/api.py</v>
      </c>
      <c r="C92" s="51" t="str">
        <f>IFERROR(__xludf.DUMMYFUNCTION("IFERROR(IF(REGEXMATCH(VLOOKUP(A92,Internal_lists_bugs!$A$2:$R$73,18,FALSE()), ""Yes""), VLOOKUP(A92,Internal_lists_bugs!$A$2:$U$73,21,FALSE()), VLOOKUP(A92,Internal_lists_bugs!$A$2:$R$73,18,FALSE())),""please select a BUG ID"")"),"No, however, check in the right corner of the bug description")</f>
        <v>No, however, check in the right corner of the bug description</v>
      </c>
      <c r="D92" s="16" t="s">
        <v>131</v>
      </c>
      <c r="E92" s="16" t="s">
        <v>205</v>
      </c>
      <c r="F92" s="55"/>
      <c r="G92" s="56"/>
      <c r="H92" s="54"/>
      <c r="J92" s="55"/>
      <c r="K92" s="56"/>
    </row>
    <row r="93">
      <c r="A93" s="62" t="s">
        <v>41</v>
      </c>
      <c r="B93" s="50" t="str">
        <f>IFERROR(HYPERLINK(VLOOKUP(A93,Internal_lists_bugs!$A$2:$C$73,3,FALSE()), VLOOKUP(A93,Internal_lists_bugs!$A$2:$C$73,3,FALSE())&amp;Char(10) &amp; Char(10) &amp; VLOOKUP(A93,Internal_lists_bugs!$A$2:$Z$73,26,FALSE())),"please select a BUG ID")</f>
        <v>https://bugs.launchpad.net/nova/+bug/1466390
/sqlalchemy/api.py</v>
      </c>
      <c r="C93" s="51" t="str">
        <f>IFERROR(__xludf.DUMMYFUNCTION("IFERROR(IF(REGEXMATCH(VLOOKUP(A93,Internal_lists_bugs!$A$2:$R$73,18,FALSE()), ""Yes""), VLOOKUP(A93,Internal_lists_bugs!$A$2:$U$73,21,FALSE()), VLOOKUP(A93,Internal_lists_bugs!$A$2:$R$73,18,FALSE())),""please select a BUG ID"")"),"No, however, check in the right corner of the bug description")</f>
        <v>No, however, check in the right corner of the bug description</v>
      </c>
      <c r="D93" s="16" t="s">
        <v>119</v>
      </c>
      <c r="E93" s="16" t="s">
        <v>144</v>
      </c>
      <c r="F93" s="52"/>
      <c r="G93" s="56"/>
      <c r="H93" s="16"/>
      <c r="J93" s="52"/>
      <c r="K93" s="56"/>
    </row>
    <row r="94">
      <c r="A94" s="62" t="s">
        <v>42</v>
      </c>
      <c r="B94" s="50" t="str">
        <f>IFERROR(HYPERLINK(VLOOKUP(A94,Internal_lists_bugs!$A$2:$C$73,3,FALSE()), VLOOKUP(A94,Internal_lists_bugs!$A$2:$C$73,3,FALSE())&amp;Char(10) &amp; Char(10) &amp; VLOOKUP(A94,Internal_lists_bugs!$A$2:$Z$73,26,FALSE())),"please select a BUG ID")</f>
        <v>https://bugs.launchpad.net/nova/+bug/1467451
/hyperv/vmutils.py
/virt/hyperv/vmutilsv2.py </v>
      </c>
      <c r="C94" s="51" t="str">
        <f>IFERROR(__xludf.DUMMYFUNCTION("IFERROR(IF(REGEXMATCH(VLOOKUP(A94,Internal_lists_bugs!$A$2:$R$73,18,FALSE()), ""Yes""), VLOOKUP(A94,Internal_lists_bugs!$A$2:$U$73,21,FALSE()), VLOOKUP(A94,Internal_lists_bugs!$A$2:$R$73,18,FALSE())),""please select a BUG ID"")"),"No, however, check in the right corner of the bug description")</f>
        <v>No, however, check in the right corner of the bug description</v>
      </c>
      <c r="D94" s="16" t="s">
        <v>119</v>
      </c>
      <c r="E94" s="16" t="s">
        <v>226</v>
      </c>
      <c r="F94" s="52" t="s">
        <v>121</v>
      </c>
      <c r="G94" s="56"/>
      <c r="H94" s="16" t="s">
        <v>123</v>
      </c>
      <c r="J94" s="52" t="s">
        <v>123</v>
      </c>
      <c r="K94" s="56"/>
    </row>
    <row r="95">
      <c r="A95" s="62" t="s">
        <v>42</v>
      </c>
      <c r="B95" s="50" t="str">
        <f>IFERROR(HYPERLINK(VLOOKUP(A95,Internal_lists_bugs!$A$2:$C$73,3,FALSE()), VLOOKUP(A95,Internal_lists_bugs!$A$2:$C$73,3,FALSE())&amp;Char(10) &amp; Char(10) &amp; VLOOKUP(A95,Internal_lists_bugs!$A$2:$Z$73,26,FALSE())),"please select a BUG ID")</f>
        <v>https://bugs.launchpad.net/nova/+bug/1467451
/hyperv/vmutils.py
/virt/hyperv/vmutilsv2.py </v>
      </c>
      <c r="C95" s="51" t="str">
        <f>IFERROR(__xludf.DUMMYFUNCTION("IFERROR(IF(REGEXMATCH(VLOOKUP(A95,Internal_lists_bugs!$A$2:$R$73,18,FALSE()), ""Yes""), VLOOKUP(A95,Internal_lists_bugs!$A$2:$U$73,21,FALSE()), VLOOKUP(A95,Internal_lists_bugs!$A$2:$R$73,18,FALSE())),""please select a BUG ID"")"),"No, however, check in the right corner of the bug description")</f>
        <v>No, however, check in the right corner of the bug description</v>
      </c>
      <c r="D95" s="16" t="s">
        <v>227</v>
      </c>
      <c r="E95" s="16" t="s">
        <v>228</v>
      </c>
      <c r="F95" s="55"/>
      <c r="G95" s="56"/>
      <c r="H95" s="54"/>
      <c r="J95" s="55"/>
      <c r="K95" s="56"/>
    </row>
    <row r="96">
      <c r="A96" s="62" t="s">
        <v>42</v>
      </c>
      <c r="B96" s="50" t="str">
        <f>IFERROR(HYPERLINK(VLOOKUP(A96,Internal_lists_bugs!$A$2:$C$73,3,FALSE()), VLOOKUP(A96,Internal_lists_bugs!$A$2:$C$73,3,FALSE())&amp;Char(10) &amp; Char(10) &amp; VLOOKUP(A96,Internal_lists_bugs!$A$2:$Z$73,26,FALSE())),"please select a BUG ID")</f>
        <v>https://bugs.launchpad.net/nova/+bug/1467451
/hyperv/vmutils.py
/virt/hyperv/vmutilsv2.py </v>
      </c>
      <c r="C96" s="51" t="str">
        <f>IFERROR(__xludf.DUMMYFUNCTION("IFERROR(IF(REGEXMATCH(VLOOKUP(A96,Internal_lists_bugs!$A$2:$R$73,18,FALSE()), ""Yes""), VLOOKUP(A96,Internal_lists_bugs!$A$2:$U$73,21,FALSE()), VLOOKUP(A96,Internal_lists_bugs!$A$2:$R$73,18,FALSE())),""please select a BUG ID"")"),"No, however, check in the right corner of the bug description")</f>
        <v>No, however, check in the right corner of the bug description</v>
      </c>
      <c r="D96" s="16" t="s">
        <v>131</v>
      </c>
      <c r="E96" s="16" t="s">
        <v>204</v>
      </c>
      <c r="F96" s="55"/>
      <c r="G96" s="56"/>
      <c r="H96" s="54"/>
      <c r="J96" s="55"/>
      <c r="K96" s="56"/>
    </row>
    <row r="97">
      <c r="A97" s="62" t="s">
        <v>42</v>
      </c>
      <c r="B97" s="50" t="str">
        <f>IFERROR(HYPERLINK(VLOOKUP(A97,Internal_lists_bugs!$A$2:$C$73,3,FALSE()), VLOOKUP(A97,Internal_lists_bugs!$A$2:$C$73,3,FALSE())&amp;Char(10) &amp; Char(10) &amp; VLOOKUP(A97,Internal_lists_bugs!$A$2:$Z$73,26,FALSE())),"please select a BUG ID")</f>
        <v>https://bugs.launchpad.net/nova/+bug/1467451
/hyperv/vmutils.py
/virt/hyperv/vmutilsv2.py </v>
      </c>
      <c r="C97" s="51" t="str">
        <f>IFERROR(__xludf.DUMMYFUNCTION("IFERROR(IF(REGEXMATCH(VLOOKUP(A97,Internal_lists_bugs!$A$2:$R$73,18,FALSE()), ""Yes""), VLOOKUP(A97,Internal_lists_bugs!$A$2:$U$73,21,FALSE()), VLOOKUP(A97,Internal_lists_bugs!$A$2:$R$73,18,FALSE())),""please select a BUG ID"")"),"No, however, check in the right corner of the bug description")</f>
        <v>No, however, check in the right corner of the bug description</v>
      </c>
      <c r="D97" s="16" t="s">
        <v>180</v>
      </c>
      <c r="E97" s="16" t="s">
        <v>205</v>
      </c>
      <c r="F97" s="55"/>
      <c r="G97" s="56"/>
      <c r="H97" s="54"/>
      <c r="J97" s="55"/>
      <c r="K97" s="56"/>
    </row>
    <row r="98">
      <c r="A98" s="62" t="s">
        <v>42</v>
      </c>
      <c r="B98" s="50" t="str">
        <f>IFERROR(HYPERLINK(VLOOKUP(A98,Internal_lists_bugs!$A$2:$C$73,3,FALSE()), VLOOKUP(A98,Internal_lists_bugs!$A$2:$C$73,3,FALSE())&amp;Char(10) &amp; Char(10) &amp; VLOOKUP(A98,Internal_lists_bugs!$A$2:$Z$73,26,FALSE())),"please select a BUG ID")</f>
        <v>https://bugs.launchpad.net/nova/+bug/1467451
/hyperv/vmutils.py
/virt/hyperv/vmutilsv2.py </v>
      </c>
      <c r="C98" s="51" t="str">
        <f>IFERROR(__xludf.DUMMYFUNCTION("IFERROR(IF(REGEXMATCH(VLOOKUP(A98,Internal_lists_bugs!$A$2:$R$73,18,FALSE()), ""Yes""), VLOOKUP(A98,Internal_lists_bugs!$A$2:$U$73,21,FALSE()), VLOOKUP(A98,Internal_lists_bugs!$A$2:$R$73,18,FALSE())),""please select a BUG ID"")"),"No, however, check in the right corner of the bug description")</f>
        <v>No, however, check in the right corner of the bug description</v>
      </c>
      <c r="D98" s="16" t="s">
        <v>155</v>
      </c>
      <c r="E98" s="16" t="s">
        <v>229</v>
      </c>
      <c r="F98" s="55"/>
      <c r="G98" s="56"/>
      <c r="H98" s="54"/>
      <c r="J98" s="55"/>
      <c r="K98" s="56"/>
    </row>
    <row r="99">
      <c r="A99" s="62" t="s">
        <v>42</v>
      </c>
      <c r="B99" s="50" t="str">
        <f>IFERROR(HYPERLINK(VLOOKUP(A99,Internal_lists_bugs!$A$2:$C$73,3,FALSE()), VLOOKUP(A99,Internal_lists_bugs!$A$2:$C$73,3,FALSE())&amp;Char(10) &amp; Char(10) &amp; VLOOKUP(A99,Internal_lists_bugs!$A$2:$Z$73,26,FALSE())),"please select a BUG ID")</f>
        <v>https://bugs.launchpad.net/nova/+bug/1467451
/hyperv/vmutils.py
/virt/hyperv/vmutilsv2.py </v>
      </c>
      <c r="C99" s="51" t="str">
        <f>IFERROR(__xludf.DUMMYFUNCTION("IFERROR(IF(REGEXMATCH(VLOOKUP(A99,Internal_lists_bugs!$A$2:$R$73,18,FALSE()), ""Yes""), VLOOKUP(A99,Internal_lists_bugs!$A$2:$U$73,21,FALSE()), VLOOKUP(A99,Internal_lists_bugs!$A$2:$R$73,18,FALSE())),""please select a BUG ID"")"),"No, however, check in the right corner of the bug description")</f>
        <v>No, however, check in the right corner of the bug description</v>
      </c>
      <c r="D99" s="16" t="s">
        <v>119</v>
      </c>
      <c r="E99" s="16" t="s">
        <v>144</v>
      </c>
      <c r="F99" s="52"/>
      <c r="G99" s="56"/>
      <c r="H99" s="16"/>
      <c r="J99" s="52"/>
      <c r="K99" s="56"/>
    </row>
    <row r="100">
      <c r="A100" s="62" t="s">
        <v>43</v>
      </c>
      <c r="B100" s="50" t="str">
        <f>IFERROR(HYPERLINK(VLOOKUP(A100,Internal_lists_bugs!$A$2:$C$73,3,FALSE()), VLOOKUP(A100,Internal_lists_bugs!$A$2:$C$73,3,FALSE())&amp;Char(10) &amp; Char(10) &amp; VLOOKUP(A100,Internal_lists_bugs!$A$2:$Z$73,26,FALSE())),"please select a BUG ID")</f>
        <v>https://bugs.launchpad.net/nova/+bug/1392798
/compute/manager.py</v>
      </c>
      <c r="C100" s="51" t="str">
        <f>IFERROR(__xludf.DUMMYFUNCTION("IFERROR(IF(REGEXMATCH(VLOOKUP(A100,Internal_lists_bugs!$A$2:$R$73,18,FALSE()), ""Yes""), VLOOKUP(A100,Internal_lists_bugs!$A$2:$U$73,21,FALSE()), VLOOKUP(A100,Internal_lists_bugs!$A$2:$R$73,18,FALSE())),""please select a BUG ID"")"),"No, however, check in the right corner of the bug description")</f>
        <v>No, however, check in the right corner of the bug description</v>
      </c>
      <c r="D100" s="16" t="s">
        <v>119</v>
      </c>
      <c r="E100" s="16" t="s">
        <v>230</v>
      </c>
      <c r="F100" s="52" t="s">
        <v>121</v>
      </c>
      <c r="G100" s="56"/>
      <c r="H100" s="16" t="s">
        <v>123</v>
      </c>
      <c r="J100" s="52" t="s">
        <v>123</v>
      </c>
      <c r="K100" s="56"/>
    </row>
    <row r="101">
      <c r="A101" s="62" t="s">
        <v>43</v>
      </c>
      <c r="B101" s="50" t="str">
        <f>IFERROR(HYPERLINK(VLOOKUP(A101,Internal_lists_bugs!$A$2:$C$73,3,FALSE()), VLOOKUP(A101,Internal_lists_bugs!$A$2:$C$73,3,FALSE())&amp;Char(10) &amp; Char(10) &amp; VLOOKUP(A101,Internal_lists_bugs!$A$2:$Z$73,26,FALSE())),"please select a BUG ID")</f>
        <v>https://bugs.launchpad.net/nova/+bug/1392798
/compute/manager.py</v>
      </c>
      <c r="C101" s="51" t="str">
        <f>IFERROR(__xludf.DUMMYFUNCTION("IFERROR(IF(REGEXMATCH(VLOOKUP(A101,Internal_lists_bugs!$A$2:$R$73,18,FALSE()), ""Yes""), VLOOKUP(A101,Internal_lists_bugs!$A$2:$U$73,21,FALSE()), VLOOKUP(A101,Internal_lists_bugs!$A$2:$R$73,18,FALSE())),""please select a BUG ID"")"),"No, however, check in the right corner of the bug description")</f>
        <v>No, however, check in the right corner of the bug description</v>
      </c>
      <c r="D101" s="16" t="s">
        <v>127</v>
      </c>
      <c r="E101" s="16" t="s">
        <v>231</v>
      </c>
      <c r="F101" s="55"/>
      <c r="G101" s="56"/>
      <c r="H101" s="54"/>
      <c r="J101" s="55"/>
      <c r="K101" s="56"/>
    </row>
    <row r="102">
      <c r="A102" s="62" t="s">
        <v>43</v>
      </c>
      <c r="B102" s="50" t="str">
        <f>IFERROR(HYPERLINK(VLOOKUP(A102,Internal_lists_bugs!$A$2:$C$73,3,FALSE()), VLOOKUP(A102,Internal_lists_bugs!$A$2:$C$73,3,FALSE())&amp;Char(10) &amp; Char(10) &amp; VLOOKUP(A102,Internal_lists_bugs!$A$2:$Z$73,26,FALSE())),"please select a BUG ID")</f>
        <v>https://bugs.launchpad.net/nova/+bug/1392798
/compute/manager.py</v>
      </c>
      <c r="C102" s="51" t="str">
        <f>IFERROR(__xludf.DUMMYFUNCTION("IFERROR(IF(REGEXMATCH(VLOOKUP(A102,Internal_lists_bugs!$A$2:$R$73,18,FALSE()), ""Yes""), VLOOKUP(A102,Internal_lists_bugs!$A$2:$U$73,21,FALSE()), VLOOKUP(A102,Internal_lists_bugs!$A$2:$R$73,18,FALSE())),""please select a BUG ID"")"),"No, however, check in the right corner of the bug description")</f>
        <v>No, however, check in the right corner of the bug description</v>
      </c>
      <c r="D102" s="16" t="s">
        <v>129</v>
      </c>
      <c r="E102" s="16" t="s">
        <v>204</v>
      </c>
      <c r="F102" s="55"/>
      <c r="G102" s="56"/>
      <c r="H102" s="54"/>
      <c r="J102" s="55"/>
      <c r="K102" s="56"/>
    </row>
    <row r="103">
      <c r="A103" s="62" t="s">
        <v>43</v>
      </c>
      <c r="B103" s="50" t="str">
        <f>IFERROR(HYPERLINK(VLOOKUP(A103,Internal_lists_bugs!$A$2:$C$73,3,FALSE()), VLOOKUP(A103,Internal_lists_bugs!$A$2:$C$73,3,FALSE())&amp;Char(10) &amp; Char(10) &amp; VLOOKUP(A103,Internal_lists_bugs!$A$2:$Z$73,26,FALSE())),"please select a BUG ID")</f>
        <v>https://bugs.launchpad.net/nova/+bug/1392798
/compute/manager.py</v>
      </c>
      <c r="C103" s="51" t="str">
        <f>IFERROR(__xludf.DUMMYFUNCTION("IFERROR(IF(REGEXMATCH(VLOOKUP(A103,Internal_lists_bugs!$A$2:$R$73,18,FALSE()), ""Yes""), VLOOKUP(A103,Internal_lists_bugs!$A$2:$U$73,21,FALSE()), VLOOKUP(A103,Internal_lists_bugs!$A$2:$R$73,18,FALSE())),""please select a BUG ID"")"),"No, however, check in the right corner of the bug description")</f>
        <v>No, however, check in the right corner of the bug description</v>
      </c>
      <c r="D103" s="16" t="s">
        <v>131</v>
      </c>
      <c r="E103" s="16" t="s">
        <v>205</v>
      </c>
      <c r="F103" s="55"/>
      <c r="G103" s="56"/>
      <c r="H103" s="54"/>
      <c r="J103" s="55"/>
      <c r="K103" s="56"/>
    </row>
    <row r="104">
      <c r="A104" s="62" t="s">
        <v>43</v>
      </c>
      <c r="B104" s="50" t="str">
        <f>IFERROR(HYPERLINK(VLOOKUP(A104,Internal_lists_bugs!$A$2:$C$73,3,FALSE()), VLOOKUP(A104,Internal_lists_bugs!$A$2:$C$73,3,FALSE())&amp;Char(10) &amp; Char(10) &amp; VLOOKUP(A104,Internal_lists_bugs!$A$2:$Z$73,26,FALSE())),"please select a BUG ID")</f>
        <v>https://bugs.launchpad.net/nova/+bug/1392798
/compute/manager.py</v>
      </c>
      <c r="C104" s="51" t="str">
        <f>IFERROR(__xludf.DUMMYFUNCTION("IFERROR(IF(REGEXMATCH(VLOOKUP(A104,Internal_lists_bugs!$A$2:$R$73,18,FALSE()), ""Yes""), VLOOKUP(A104,Internal_lists_bugs!$A$2:$U$73,21,FALSE()), VLOOKUP(A104,Internal_lists_bugs!$A$2:$R$73,18,FALSE())),""please select a BUG ID"")"),"No, however, check in the right corner of the bug description")</f>
        <v>No, however, check in the right corner of the bug description</v>
      </c>
      <c r="D104" s="16" t="s">
        <v>119</v>
      </c>
      <c r="E104" s="16" t="s">
        <v>144</v>
      </c>
      <c r="F104" s="52"/>
      <c r="G104" s="56"/>
      <c r="H104" s="16"/>
      <c r="J104" s="52"/>
      <c r="K104" s="56"/>
    </row>
    <row r="105">
      <c r="A105" s="62" t="s">
        <v>44</v>
      </c>
      <c r="B105" s="50" t="str">
        <f>IFERROR(HYPERLINK(VLOOKUP(A105,Internal_lists_bugs!$A$2:$C$73,3,FALSE()), VLOOKUP(A105,Internal_lists_bugs!$A$2:$C$73,3,FALSE())&amp;Char(10) &amp; Char(10) &amp; VLOOKUP(A105,Internal_lists_bugs!$A$2:$Z$73,26,FALSE())),"please select a BUG ID")</f>
        <v>https://bugs.launchpad.net/nova/+bug/1475911
cmd/idmapshift.py</v>
      </c>
      <c r="C105" s="51" t="str">
        <f>IFERROR(__xludf.DUMMYFUNCTION("IFERROR(IF(REGEXMATCH(VLOOKUP(A105,Internal_lists_bugs!$A$2:$R$73,18,FALSE()), ""Yes""), VLOOKUP(A105,Internal_lists_bugs!$A$2:$U$73,21,FALSE()), VLOOKUP(A105,Internal_lists_bugs!$A$2:$R$73,18,FALSE())),""please select a BUG ID"")"),"No, however, check in the right corner of the bug description")</f>
        <v>No, however, check in the right corner of the bug description</v>
      </c>
      <c r="D105" s="16" t="s">
        <v>119</v>
      </c>
      <c r="E105" s="16" t="s">
        <v>232</v>
      </c>
      <c r="F105" s="52" t="s">
        <v>121</v>
      </c>
      <c r="G105" s="56"/>
      <c r="H105" s="16" t="s">
        <v>123</v>
      </c>
      <c r="J105" s="52" t="s">
        <v>123</v>
      </c>
      <c r="K105" s="56"/>
    </row>
    <row r="106">
      <c r="A106" s="62" t="s">
        <v>44</v>
      </c>
      <c r="B106" s="50" t="str">
        <f>IFERROR(HYPERLINK(VLOOKUP(A106,Internal_lists_bugs!$A$2:$C$73,3,FALSE()), VLOOKUP(A106,Internal_lists_bugs!$A$2:$C$73,3,FALSE())&amp;Char(10) &amp; Char(10) &amp; VLOOKUP(A106,Internal_lists_bugs!$A$2:$Z$73,26,FALSE())),"please select a BUG ID")</f>
        <v>https://bugs.launchpad.net/nova/+bug/1475911
cmd/idmapshift.py</v>
      </c>
      <c r="C106" s="51" t="str">
        <f>IFERROR(__xludf.DUMMYFUNCTION("IFERROR(IF(REGEXMATCH(VLOOKUP(A106,Internal_lists_bugs!$A$2:$R$73,18,FALSE()), ""Yes""), VLOOKUP(A106,Internal_lists_bugs!$A$2:$U$73,21,FALSE()), VLOOKUP(A106,Internal_lists_bugs!$A$2:$R$73,18,FALSE())),""please select a BUG ID"")"),"No, however, check in the right corner of the bug description")</f>
        <v>No, however, check in the right corner of the bug description</v>
      </c>
      <c r="D106" s="16" t="s">
        <v>159</v>
      </c>
      <c r="E106" s="16" t="s">
        <v>233</v>
      </c>
      <c r="F106" s="55"/>
      <c r="G106" s="56"/>
      <c r="H106" s="54"/>
      <c r="J106" s="55"/>
      <c r="K106" s="56"/>
    </row>
    <row r="107">
      <c r="A107" s="62" t="s">
        <v>44</v>
      </c>
      <c r="B107" s="50" t="str">
        <f>IFERROR(HYPERLINK(VLOOKUP(A107,Internal_lists_bugs!$A$2:$C$73,3,FALSE()), VLOOKUP(A107,Internal_lists_bugs!$A$2:$C$73,3,FALSE())&amp;Char(10) &amp; Char(10) &amp; VLOOKUP(A107,Internal_lists_bugs!$A$2:$Z$73,26,FALSE())),"please select a BUG ID")</f>
        <v>https://bugs.launchpad.net/nova/+bug/1475911
cmd/idmapshift.py</v>
      </c>
      <c r="C107" s="51" t="str">
        <f>IFERROR(__xludf.DUMMYFUNCTION("IFERROR(IF(REGEXMATCH(VLOOKUP(A107,Internal_lists_bugs!$A$2:$R$73,18,FALSE()), ""Yes""), VLOOKUP(A107,Internal_lists_bugs!$A$2:$U$73,21,FALSE()), VLOOKUP(A107,Internal_lists_bugs!$A$2:$R$73,18,FALSE())),""please select a BUG ID"")"),"No, however, check in the right corner of the bug description")</f>
        <v>No, however, check in the right corner of the bug description</v>
      </c>
      <c r="D107" s="16" t="s">
        <v>227</v>
      </c>
      <c r="E107" s="16" t="s">
        <v>204</v>
      </c>
      <c r="F107" s="55"/>
      <c r="G107" s="56"/>
      <c r="H107" s="54"/>
      <c r="J107" s="55"/>
      <c r="K107" s="56"/>
    </row>
    <row r="108">
      <c r="A108" s="62" t="s">
        <v>44</v>
      </c>
      <c r="B108" s="50" t="str">
        <f>IFERROR(HYPERLINK(VLOOKUP(A108,Internal_lists_bugs!$A$2:$C$73,3,FALSE()), VLOOKUP(A108,Internal_lists_bugs!$A$2:$C$73,3,FALSE())&amp;Char(10) &amp; Char(10) &amp; VLOOKUP(A108,Internal_lists_bugs!$A$2:$Z$73,26,FALSE())),"please select a BUG ID")</f>
        <v>https://bugs.launchpad.net/nova/+bug/1475911
cmd/idmapshift.py</v>
      </c>
      <c r="C108" s="51" t="str">
        <f>IFERROR(__xludf.DUMMYFUNCTION("IFERROR(IF(REGEXMATCH(VLOOKUP(A108,Internal_lists_bugs!$A$2:$R$73,18,FALSE()), ""Yes""), VLOOKUP(A108,Internal_lists_bugs!$A$2:$U$73,21,FALSE()), VLOOKUP(A108,Internal_lists_bugs!$A$2:$R$73,18,FALSE())),""please select a BUG ID"")"),"No, however, check in the right corner of the bug description")</f>
        <v>No, however, check in the right corner of the bug description</v>
      </c>
      <c r="D108" s="16" t="s">
        <v>234</v>
      </c>
      <c r="E108" s="16" t="s">
        <v>205</v>
      </c>
      <c r="F108" s="55"/>
      <c r="G108" s="56"/>
      <c r="H108" s="54"/>
      <c r="J108" s="55"/>
      <c r="K108" s="56"/>
    </row>
    <row r="109">
      <c r="A109" s="62" t="s">
        <v>44</v>
      </c>
      <c r="B109" s="50" t="str">
        <f>IFERROR(HYPERLINK(VLOOKUP(A109,Internal_lists_bugs!$A$2:$C$73,3,FALSE()), VLOOKUP(A109,Internal_lists_bugs!$A$2:$C$73,3,FALSE())&amp;Char(10) &amp; Char(10) &amp; VLOOKUP(A109,Internal_lists_bugs!$A$2:$Z$73,26,FALSE())),"please select a BUG ID")</f>
        <v>https://bugs.launchpad.net/nova/+bug/1475911
cmd/idmapshift.py</v>
      </c>
      <c r="C109" s="51" t="str">
        <f>IFERROR(__xludf.DUMMYFUNCTION("IFERROR(IF(REGEXMATCH(VLOOKUP(A109,Internal_lists_bugs!$A$2:$R$73,18,FALSE()), ""Yes""), VLOOKUP(A109,Internal_lists_bugs!$A$2:$U$73,21,FALSE()), VLOOKUP(A109,Internal_lists_bugs!$A$2:$R$73,18,FALSE())),""please select a BUG ID"")"),"No, however, check in the right corner of the bug description")</f>
        <v>No, however, check in the right corner of the bug description</v>
      </c>
      <c r="D109" s="16" t="s">
        <v>129</v>
      </c>
      <c r="E109" s="16" t="s">
        <v>229</v>
      </c>
      <c r="F109" s="55"/>
      <c r="G109" s="56"/>
      <c r="H109" s="54"/>
      <c r="J109" s="55"/>
      <c r="K109" s="56"/>
    </row>
    <row r="110">
      <c r="A110" s="62" t="s">
        <v>44</v>
      </c>
      <c r="B110" s="50" t="str">
        <f>IFERROR(HYPERLINK(VLOOKUP(A110,Internal_lists_bugs!$A$2:$C$73,3,FALSE()), VLOOKUP(A110,Internal_lists_bugs!$A$2:$C$73,3,FALSE())&amp;Char(10) &amp; Char(10) &amp; VLOOKUP(A110,Internal_lists_bugs!$A$2:$Z$73,26,FALSE())),"please select a BUG ID")</f>
        <v>https://bugs.launchpad.net/nova/+bug/1475911
cmd/idmapshift.py</v>
      </c>
      <c r="C110" s="51" t="str">
        <f>IFERROR(__xludf.DUMMYFUNCTION("IFERROR(IF(REGEXMATCH(VLOOKUP(A110,Internal_lists_bugs!$A$2:$R$73,18,FALSE()), ""Yes""), VLOOKUP(A110,Internal_lists_bugs!$A$2:$U$73,21,FALSE()), VLOOKUP(A110,Internal_lists_bugs!$A$2:$R$73,18,FALSE())),""please select a BUG ID"")"),"No, however, check in the right corner of the bug description")</f>
        <v>No, however, check in the right corner of the bug description</v>
      </c>
      <c r="D110" s="16" t="s">
        <v>235</v>
      </c>
      <c r="E110" s="16" t="s">
        <v>216</v>
      </c>
      <c r="F110" s="55"/>
      <c r="G110" s="56"/>
      <c r="H110" s="54"/>
      <c r="J110" s="55"/>
      <c r="K110" s="56"/>
    </row>
    <row r="111">
      <c r="A111" s="62" t="s">
        <v>44</v>
      </c>
      <c r="B111" s="50" t="str">
        <f>IFERROR(HYPERLINK(VLOOKUP(A111,Internal_lists_bugs!$A$2:$C$73,3,FALSE()), VLOOKUP(A111,Internal_lists_bugs!$A$2:$C$73,3,FALSE())&amp;Char(10) &amp; Char(10) &amp; VLOOKUP(A111,Internal_lists_bugs!$A$2:$Z$73,26,FALSE())),"please select a BUG ID")</f>
        <v>https://bugs.launchpad.net/nova/+bug/1475911
cmd/idmapshift.py</v>
      </c>
      <c r="C111" s="51" t="str">
        <f>IFERROR(__xludf.DUMMYFUNCTION("IFERROR(IF(REGEXMATCH(VLOOKUP(A111,Internal_lists_bugs!$A$2:$R$73,18,FALSE()), ""Yes""), VLOOKUP(A111,Internal_lists_bugs!$A$2:$U$73,21,FALSE()), VLOOKUP(A111,Internal_lists_bugs!$A$2:$R$73,18,FALSE())),""please select a BUG ID"")"),"No, however, check in the right corner of the bug description")</f>
        <v>No, however, check in the right corner of the bug description</v>
      </c>
      <c r="D111" s="16" t="s">
        <v>236</v>
      </c>
      <c r="E111" s="16" t="s">
        <v>217</v>
      </c>
      <c r="F111" s="55"/>
      <c r="G111" s="56"/>
      <c r="H111" s="54"/>
      <c r="J111" s="55"/>
      <c r="K111" s="56"/>
    </row>
    <row r="112">
      <c r="A112" s="62" t="s">
        <v>44</v>
      </c>
      <c r="B112" s="50" t="str">
        <f>IFERROR(HYPERLINK(VLOOKUP(A112,Internal_lists_bugs!$A$2:$C$73,3,FALSE()), VLOOKUP(A112,Internal_lists_bugs!$A$2:$C$73,3,FALSE())&amp;Char(10) &amp; Char(10) &amp; VLOOKUP(A112,Internal_lists_bugs!$A$2:$Z$73,26,FALSE())),"please select a BUG ID")</f>
        <v>https://bugs.launchpad.net/nova/+bug/1475911
cmd/idmapshift.py</v>
      </c>
      <c r="C112" s="51" t="str">
        <f>IFERROR(__xludf.DUMMYFUNCTION("IFERROR(IF(REGEXMATCH(VLOOKUP(A112,Internal_lists_bugs!$A$2:$R$73,18,FALSE()), ""Yes""), VLOOKUP(A112,Internal_lists_bugs!$A$2:$U$73,21,FALSE()), VLOOKUP(A112,Internal_lists_bugs!$A$2:$R$73,18,FALSE())),""please select a BUG ID"")"),"No, however, check in the right corner of the bug description")</f>
        <v>No, however, check in the right corner of the bug description</v>
      </c>
      <c r="D112" s="16" t="s">
        <v>237</v>
      </c>
      <c r="E112" s="16" t="s">
        <v>183</v>
      </c>
      <c r="F112" s="55"/>
      <c r="G112" s="56"/>
      <c r="H112" s="54"/>
      <c r="J112" s="55"/>
      <c r="K112" s="56"/>
    </row>
    <row r="113">
      <c r="A113" s="62" t="s">
        <v>44</v>
      </c>
      <c r="B113" s="50" t="str">
        <f>IFERROR(HYPERLINK(VLOOKUP(A113,Internal_lists_bugs!$A$2:$C$73,3,FALSE()), VLOOKUP(A113,Internal_lists_bugs!$A$2:$C$73,3,FALSE())&amp;Char(10) &amp; Char(10) &amp; VLOOKUP(A113,Internal_lists_bugs!$A$2:$Z$73,26,FALSE())),"please select a BUG ID")</f>
        <v>https://bugs.launchpad.net/nova/+bug/1475911
cmd/idmapshift.py</v>
      </c>
      <c r="C113" s="51" t="str">
        <f>IFERROR(__xludf.DUMMYFUNCTION("IFERROR(IF(REGEXMATCH(VLOOKUP(A113,Internal_lists_bugs!$A$2:$R$73,18,FALSE()), ""Yes""), VLOOKUP(A113,Internal_lists_bugs!$A$2:$U$73,21,FALSE()), VLOOKUP(A113,Internal_lists_bugs!$A$2:$R$73,18,FALSE())),""please select a BUG ID"")"),"No, however, check in the right corner of the bug description")</f>
        <v>No, however, check in the right corner of the bug description</v>
      </c>
      <c r="D113" s="16" t="s">
        <v>238</v>
      </c>
      <c r="E113" s="16" t="s">
        <v>185</v>
      </c>
      <c r="F113" s="55"/>
      <c r="G113" s="56"/>
      <c r="H113" s="54"/>
      <c r="J113" s="55"/>
      <c r="K113" s="56"/>
    </row>
    <row r="114">
      <c r="A114" s="62" t="s">
        <v>44</v>
      </c>
      <c r="B114" s="50" t="str">
        <f>IFERROR(HYPERLINK(VLOOKUP(A114,Internal_lists_bugs!$A$2:$C$73,3,FALSE()), VLOOKUP(A114,Internal_lists_bugs!$A$2:$C$73,3,FALSE())&amp;Char(10) &amp; Char(10) &amp; VLOOKUP(A114,Internal_lists_bugs!$A$2:$Z$73,26,FALSE())),"please select a BUG ID")</f>
        <v>https://bugs.launchpad.net/nova/+bug/1475911
cmd/idmapshift.py</v>
      </c>
      <c r="C114" s="51" t="str">
        <f>IFERROR(__xludf.DUMMYFUNCTION("IFERROR(IF(REGEXMATCH(VLOOKUP(A114,Internal_lists_bugs!$A$2:$R$73,18,FALSE()), ""Yes""), VLOOKUP(A114,Internal_lists_bugs!$A$2:$U$73,21,FALSE()), VLOOKUP(A114,Internal_lists_bugs!$A$2:$R$73,18,FALSE())),""please select a BUG ID"")"),"No, however, check in the right corner of the bug description")</f>
        <v>No, however, check in the right corner of the bug description</v>
      </c>
      <c r="D114" s="16" t="s">
        <v>119</v>
      </c>
      <c r="E114" s="16" t="s">
        <v>144</v>
      </c>
      <c r="F114" s="55"/>
      <c r="G114" s="56"/>
      <c r="H114" s="54"/>
      <c r="J114" s="55"/>
      <c r="K114" s="56"/>
    </row>
    <row r="115">
      <c r="A115" s="62" t="s">
        <v>45</v>
      </c>
      <c r="B115" s="50" t="str">
        <f>IFERROR(HYPERLINK(VLOOKUP(A115,Internal_lists_bugs!$A$2:$C$73,3,FALSE()), VLOOKUP(A115,Internal_lists_bugs!$A$2:$C$73,3,FALSE())&amp;Char(10) &amp; Char(10) &amp; VLOOKUP(A115,Internal_lists_bugs!$A$2:$Z$73,26,FALSE())),"please select a BUG ID")</f>
        <v>https://bugs.launchpad.net/nova/+bug/1437855
/contrib/floating_ips.py
/v3/floating_ips.py </v>
      </c>
      <c r="C115" s="51" t="str">
        <f>IFERROR(__xludf.DUMMYFUNCTION("IFERROR(IF(REGEXMATCH(VLOOKUP(A115,Internal_lists_bugs!$A$2:$R$73,18,FALSE()), ""Yes""), VLOOKUP(A115,Internal_lists_bugs!$A$2:$U$73,21,FALSE()), VLOOKUP(A115,Internal_lists_bugs!$A$2:$R$73,18,FALSE())),""please select a BUG ID"")"),"No, however, check in the right corner of the bug description")</f>
        <v>No, however, check in the right corner of the bug description</v>
      </c>
      <c r="D115" s="16" t="s">
        <v>119</v>
      </c>
      <c r="E115" s="16" t="s">
        <v>239</v>
      </c>
      <c r="F115" s="52" t="s">
        <v>121</v>
      </c>
      <c r="G115" s="53" t="s">
        <v>163</v>
      </c>
      <c r="H115" s="16" t="s">
        <v>123</v>
      </c>
      <c r="J115" s="55"/>
      <c r="K115" s="56"/>
    </row>
    <row r="116">
      <c r="A116" s="62" t="s">
        <v>45</v>
      </c>
      <c r="B116" s="50" t="str">
        <f>IFERROR(HYPERLINK(VLOOKUP(A116,Internal_lists_bugs!$A$2:$C$73,3,FALSE()), VLOOKUP(A116,Internal_lists_bugs!$A$2:$C$73,3,FALSE())&amp;Char(10) &amp; Char(10) &amp; VLOOKUP(A116,Internal_lists_bugs!$A$2:$Z$73,26,FALSE())),"please select a BUG ID")</f>
        <v>https://bugs.launchpad.net/nova/+bug/1437855
/contrib/floating_ips.py
/v3/floating_ips.py </v>
      </c>
      <c r="C116" s="51" t="str">
        <f>IFERROR(__xludf.DUMMYFUNCTION("IFERROR(IF(REGEXMATCH(VLOOKUP(A116,Internal_lists_bugs!$A$2:$R$73,18,FALSE()), ""Yes""), VLOOKUP(A116,Internal_lists_bugs!$A$2:$U$73,21,FALSE()), VLOOKUP(A116,Internal_lists_bugs!$A$2:$R$73,18,FALSE())),""please select a BUG ID"")"),"No, however, check in the right corner of the bug description")</f>
        <v>No, however, check in the right corner of the bug description</v>
      </c>
      <c r="D116" s="16" t="s">
        <v>227</v>
      </c>
      <c r="E116" s="16" t="s">
        <v>240</v>
      </c>
      <c r="F116" s="55"/>
      <c r="G116" s="56"/>
      <c r="H116" s="54"/>
      <c r="J116" s="55"/>
      <c r="K116" s="56"/>
    </row>
    <row r="117">
      <c r="A117" s="62" t="s">
        <v>45</v>
      </c>
      <c r="B117" s="50" t="str">
        <f>IFERROR(HYPERLINK(VLOOKUP(A117,Internal_lists_bugs!$A$2:$C$73,3,FALSE()), VLOOKUP(A117,Internal_lists_bugs!$A$2:$C$73,3,FALSE())&amp;Char(10) &amp; Char(10) &amp; VLOOKUP(A117,Internal_lists_bugs!$A$2:$Z$73,26,FALSE())),"please select a BUG ID")</f>
        <v>https://bugs.launchpad.net/nova/+bug/1437855
/contrib/floating_ips.py
/v3/floating_ips.py </v>
      </c>
      <c r="C117" s="51" t="str">
        <f>IFERROR(__xludf.DUMMYFUNCTION("IFERROR(IF(REGEXMATCH(VLOOKUP(A117,Internal_lists_bugs!$A$2:$R$73,18,FALSE()), ""Yes""), VLOOKUP(A117,Internal_lists_bugs!$A$2:$U$73,21,FALSE()), VLOOKUP(A117,Internal_lists_bugs!$A$2:$R$73,18,FALSE())),""please select a BUG ID"")"),"No, however, check in the right corner of the bug description")</f>
        <v>No, however, check in the right corner of the bug description</v>
      </c>
      <c r="D117" s="16" t="s">
        <v>129</v>
      </c>
      <c r="E117" s="16" t="s">
        <v>204</v>
      </c>
      <c r="F117" s="55"/>
      <c r="G117" s="56"/>
      <c r="H117" s="54"/>
      <c r="J117" s="55"/>
      <c r="K117" s="56"/>
    </row>
    <row r="118">
      <c r="A118" s="62" t="s">
        <v>45</v>
      </c>
      <c r="B118" s="50" t="str">
        <f>IFERROR(HYPERLINK(VLOOKUP(A118,Internal_lists_bugs!$A$2:$C$73,3,FALSE()), VLOOKUP(A118,Internal_lists_bugs!$A$2:$C$73,3,FALSE())&amp;Char(10) &amp; Char(10) &amp; VLOOKUP(A118,Internal_lists_bugs!$A$2:$Z$73,26,FALSE())),"please select a BUG ID")</f>
        <v>https://bugs.launchpad.net/nova/+bug/1437855
/contrib/floating_ips.py
/v3/floating_ips.py </v>
      </c>
      <c r="C118" s="51" t="str">
        <f>IFERROR(__xludf.DUMMYFUNCTION("IFERROR(IF(REGEXMATCH(VLOOKUP(A118,Internal_lists_bugs!$A$2:$R$73,18,FALSE()), ""Yes""), VLOOKUP(A118,Internal_lists_bugs!$A$2:$U$73,21,FALSE()), VLOOKUP(A118,Internal_lists_bugs!$A$2:$R$73,18,FALSE())),""please select a BUG ID"")"),"No, however, check in the right corner of the bug description")</f>
        <v>No, however, check in the right corner of the bug description</v>
      </c>
      <c r="D118" s="16" t="s">
        <v>131</v>
      </c>
      <c r="E118" s="16" t="s">
        <v>205</v>
      </c>
      <c r="F118" s="55"/>
      <c r="G118" s="56"/>
      <c r="H118" s="54"/>
      <c r="J118" s="55"/>
      <c r="K118" s="56"/>
    </row>
    <row r="119">
      <c r="A119" s="62" t="s">
        <v>45</v>
      </c>
      <c r="B119" s="50" t="str">
        <f>IFERROR(HYPERLINK(VLOOKUP(A119,Internal_lists_bugs!$A$2:$C$73,3,FALSE()), VLOOKUP(A119,Internal_lists_bugs!$A$2:$C$73,3,FALSE())&amp;Char(10) &amp; Char(10) &amp; VLOOKUP(A119,Internal_lists_bugs!$A$2:$Z$73,26,FALSE())),"please select a BUG ID")</f>
        <v>https://bugs.launchpad.net/nova/+bug/1437855
/contrib/floating_ips.py
/v3/floating_ips.py </v>
      </c>
      <c r="C119" s="51" t="str">
        <f>IFERROR(__xludf.DUMMYFUNCTION("IFERROR(IF(REGEXMATCH(VLOOKUP(A119,Internal_lists_bugs!$A$2:$R$73,18,FALSE()), ""Yes""), VLOOKUP(A119,Internal_lists_bugs!$A$2:$U$73,21,FALSE()), VLOOKUP(A119,Internal_lists_bugs!$A$2:$R$73,18,FALSE())),""please select a BUG ID"")"),"No, however, check in the right corner of the bug description")</f>
        <v>No, however, check in the right corner of the bug description</v>
      </c>
      <c r="D119" s="16" t="s">
        <v>241</v>
      </c>
      <c r="E119" s="16" t="s">
        <v>229</v>
      </c>
      <c r="F119" s="55"/>
      <c r="G119" s="56"/>
      <c r="H119" s="54"/>
      <c r="J119" s="55"/>
      <c r="K119" s="56"/>
    </row>
    <row r="120">
      <c r="A120" s="62" t="s">
        <v>45</v>
      </c>
      <c r="B120" s="50" t="str">
        <f>IFERROR(HYPERLINK(VLOOKUP(A120,Internal_lists_bugs!$A$2:$C$73,3,FALSE()), VLOOKUP(A120,Internal_lists_bugs!$A$2:$C$73,3,FALSE())&amp;Char(10) &amp; Char(10) &amp; VLOOKUP(A120,Internal_lists_bugs!$A$2:$Z$73,26,FALSE())),"please select a BUG ID")</f>
        <v>https://bugs.launchpad.net/nova/+bug/1437855
/contrib/floating_ips.py
/v3/floating_ips.py </v>
      </c>
      <c r="C120" s="51" t="str">
        <f>IFERROR(__xludf.DUMMYFUNCTION("IFERROR(IF(REGEXMATCH(VLOOKUP(A120,Internal_lists_bugs!$A$2:$R$73,18,FALSE()), ""Yes""), VLOOKUP(A120,Internal_lists_bugs!$A$2:$U$73,21,FALSE()), VLOOKUP(A120,Internal_lists_bugs!$A$2:$R$73,18,FALSE())),""please select a BUG ID"")"),"No, however, check in the right corner of the bug description")</f>
        <v>No, however, check in the right corner of the bug description</v>
      </c>
      <c r="D120" s="16" t="s">
        <v>129</v>
      </c>
      <c r="E120" s="16" t="s">
        <v>216</v>
      </c>
      <c r="F120" s="55"/>
      <c r="G120" s="56"/>
      <c r="H120" s="54"/>
      <c r="J120" s="55"/>
      <c r="K120" s="56"/>
    </row>
    <row r="121">
      <c r="A121" s="62" t="s">
        <v>45</v>
      </c>
      <c r="B121" s="50" t="str">
        <f>IFERROR(HYPERLINK(VLOOKUP(A121,Internal_lists_bugs!$A$2:$C$73,3,FALSE()), VLOOKUP(A121,Internal_lists_bugs!$A$2:$C$73,3,FALSE())&amp;Char(10) &amp; Char(10) &amp; VLOOKUP(A121,Internal_lists_bugs!$A$2:$Z$73,26,FALSE())),"please select a BUG ID")</f>
        <v>https://bugs.launchpad.net/nova/+bug/1437855
/contrib/floating_ips.py
/v3/floating_ips.py </v>
      </c>
      <c r="C121" s="51" t="str">
        <f>IFERROR(__xludf.DUMMYFUNCTION("IFERROR(IF(REGEXMATCH(VLOOKUP(A121,Internal_lists_bugs!$A$2:$R$73,18,FALSE()), ""Yes""), VLOOKUP(A121,Internal_lists_bugs!$A$2:$U$73,21,FALSE()), VLOOKUP(A121,Internal_lists_bugs!$A$2:$R$73,18,FALSE())),""please select a BUG ID"")"),"No, however, check in the right corner of the bug description")</f>
        <v>No, however, check in the right corner of the bug description</v>
      </c>
      <c r="D121" s="16" t="s">
        <v>155</v>
      </c>
      <c r="E121" s="16" t="s">
        <v>217</v>
      </c>
      <c r="F121" s="55"/>
      <c r="G121" s="56"/>
      <c r="H121" s="54"/>
      <c r="J121" s="55"/>
      <c r="K121" s="56"/>
    </row>
    <row r="122">
      <c r="A122" s="62" t="s">
        <v>46</v>
      </c>
      <c r="B122" s="50" t="str">
        <f>IFERROR(HYPERLINK(VLOOKUP(A122,Internal_lists_bugs!$A$2:$C$73,3,FALSE()), VLOOKUP(A122,Internal_lists_bugs!$A$2:$C$73,3,FALSE())&amp;Char(10) &amp; Char(10) &amp; VLOOKUP(A122,Internal_lists_bugs!$A$2:$Z$73,26,FALSE())),"please select a BUG ID")</f>
        <v>https://bugs.launchpad.net/nova/+bug/1434855
/os-extended-volumes/v2.3/server-get-resp.json
/os-extended-volumes/v2.3/servers-detail-resp.json </v>
      </c>
      <c r="C122" s="51" t="str">
        <f>IFERROR(__xludf.DUMMYFUNCTION("IFERROR(IF(REGEXMATCH(VLOOKUP(A122,Internal_lists_bugs!$A$2:$R$73,18,FALSE()), ""Yes""), VLOOKUP(A122,Internal_lists_bugs!$A$2:$U$73,21,FALSE()), VLOOKUP(A122,Internal_lists_bugs!$A$2:$R$73,18,FALSE())),""please select a BUG ID"")"),"No, however, check in the right corner of the bug description")</f>
        <v>No, however, check in the right corner of the bug description</v>
      </c>
      <c r="D122" s="16" t="s">
        <v>159</v>
      </c>
      <c r="E122" s="16" t="s">
        <v>242</v>
      </c>
      <c r="F122" s="52" t="s">
        <v>121</v>
      </c>
      <c r="G122" s="56"/>
      <c r="H122" s="16" t="s">
        <v>123</v>
      </c>
      <c r="J122" s="52" t="s">
        <v>123</v>
      </c>
      <c r="K122" s="56"/>
    </row>
    <row r="123">
      <c r="A123" s="62" t="s">
        <v>46</v>
      </c>
      <c r="B123" s="50" t="str">
        <f>IFERROR(HYPERLINK(VLOOKUP(A123,Internal_lists_bugs!$A$2:$C$73,3,FALSE()), VLOOKUP(A123,Internal_lists_bugs!$A$2:$C$73,3,FALSE())&amp;Char(10) &amp; Char(10) &amp; VLOOKUP(A123,Internal_lists_bugs!$A$2:$Z$73,26,FALSE())),"please select a BUG ID")</f>
        <v>https://bugs.launchpad.net/nova/+bug/1434855
/os-extended-volumes/v2.3/server-get-resp.json
/os-extended-volumes/v2.3/servers-detail-resp.json </v>
      </c>
      <c r="C123" s="51" t="str">
        <f>IFERROR(__xludf.DUMMYFUNCTION("IFERROR(IF(REGEXMATCH(VLOOKUP(A123,Internal_lists_bugs!$A$2:$R$73,18,FALSE()), ""Yes""), VLOOKUP(A123,Internal_lists_bugs!$A$2:$U$73,21,FALSE()), VLOOKUP(A123,Internal_lists_bugs!$A$2:$R$73,18,FALSE())),""please select a BUG ID"")"),"No, however, check in the right corner of the bug description")</f>
        <v>No, however, check in the right corner of the bug description</v>
      </c>
      <c r="D123" s="16" t="s">
        <v>119</v>
      </c>
      <c r="E123" s="16" t="s">
        <v>243</v>
      </c>
      <c r="F123" s="55"/>
      <c r="G123" s="56"/>
      <c r="H123" s="54"/>
      <c r="J123" s="55"/>
      <c r="K123" s="56"/>
    </row>
    <row r="124">
      <c r="A124" s="62" t="s">
        <v>46</v>
      </c>
      <c r="B124" s="50" t="str">
        <f>IFERROR(HYPERLINK(VLOOKUP(A124,Internal_lists_bugs!$A$2:$C$73,3,FALSE()), VLOOKUP(A124,Internal_lists_bugs!$A$2:$C$73,3,FALSE())&amp;Char(10) &amp; Char(10) &amp; VLOOKUP(A124,Internal_lists_bugs!$A$2:$Z$73,26,FALSE())),"please select a BUG ID")</f>
        <v>https://bugs.launchpad.net/nova/+bug/1434855
/os-extended-volumes/v2.3/server-get-resp.json
/os-extended-volumes/v2.3/servers-detail-resp.json </v>
      </c>
      <c r="C124" s="51" t="str">
        <f>IFERROR(__xludf.DUMMYFUNCTION("IFERROR(IF(REGEXMATCH(VLOOKUP(A124,Internal_lists_bugs!$A$2:$R$73,18,FALSE()), ""Yes""), VLOOKUP(A124,Internal_lists_bugs!$A$2:$U$73,21,FALSE()), VLOOKUP(A124,Internal_lists_bugs!$A$2:$R$73,18,FALSE())),""please select a BUG ID"")"),"No, however, check in the right corner of the bug description")</f>
        <v>No, however, check in the right corner of the bug description</v>
      </c>
      <c r="D124" s="16" t="s">
        <v>129</v>
      </c>
      <c r="E124" s="16" t="s">
        <v>204</v>
      </c>
      <c r="F124" s="55"/>
      <c r="G124" s="56"/>
      <c r="H124" s="54"/>
      <c r="J124" s="55"/>
      <c r="K124" s="56"/>
    </row>
    <row r="125">
      <c r="A125" s="62" t="s">
        <v>46</v>
      </c>
      <c r="B125" s="50" t="str">
        <f>IFERROR(HYPERLINK(VLOOKUP(A125,Internal_lists_bugs!$A$2:$C$73,3,FALSE()), VLOOKUP(A125,Internal_lists_bugs!$A$2:$C$73,3,FALSE())&amp;Char(10) &amp; Char(10) &amp; VLOOKUP(A125,Internal_lists_bugs!$A$2:$Z$73,26,FALSE())),"please select a BUG ID")</f>
        <v>https://bugs.launchpad.net/nova/+bug/1434855
/os-extended-volumes/v2.3/server-get-resp.json
/os-extended-volumes/v2.3/servers-detail-resp.json </v>
      </c>
      <c r="C125" s="51" t="str">
        <f>IFERROR(__xludf.DUMMYFUNCTION("IFERROR(IF(REGEXMATCH(VLOOKUP(A125,Internal_lists_bugs!$A$2:$R$73,18,FALSE()), ""Yes""), VLOOKUP(A125,Internal_lists_bugs!$A$2:$U$73,21,FALSE()), VLOOKUP(A125,Internal_lists_bugs!$A$2:$R$73,18,FALSE())),""please select a BUG ID"")"),"No, however, check in the right corner of the bug description")</f>
        <v>No, however, check in the right corner of the bug description</v>
      </c>
      <c r="D125" s="16" t="s">
        <v>131</v>
      </c>
      <c r="E125" s="16" t="s">
        <v>204</v>
      </c>
      <c r="F125" s="55"/>
      <c r="G125" s="56"/>
      <c r="H125" s="54"/>
      <c r="J125" s="55"/>
      <c r="K125" s="56"/>
    </row>
    <row r="126">
      <c r="A126" s="62" t="s">
        <v>46</v>
      </c>
      <c r="B126" s="50" t="str">
        <f>IFERROR(HYPERLINK(VLOOKUP(A126,Internal_lists_bugs!$A$2:$C$73,3,FALSE()), VLOOKUP(A126,Internal_lists_bugs!$A$2:$C$73,3,FALSE())&amp;Char(10) &amp; Char(10) &amp; VLOOKUP(A126,Internal_lists_bugs!$A$2:$Z$73,26,FALSE())),"please select a BUG ID")</f>
        <v>https://bugs.launchpad.net/nova/+bug/1434855
/os-extended-volumes/v2.3/server-get-resp.json
/os-extended-volumes/v2.3/servers-detail-resp.json </v>
      </c>
      <c r="C126" s="51" t="str">
        <f>IFERROR(__xludf.DUMMYFUNCTION("IFERROR(IF(REGEXMATCH(VLOOKUP(A126,Internal_lists_bugs!$A$2:$R$73,18,FALSE()), ""Yes""), VLOOKUP(A126,Internal_lists_bugs!$A$2:$U$73,21,FALSE()), VLOOKUP(A126,Internal_lists_bugs!$A$2:$R$73,18,FALSE())),""please select a BUG ID"")"),"No, however, check in the right corner of the bug description")</f>
        <v>No, however, check in the right corner of the bug description</v>
      </c>
      <c r="D126" s="16" t="s">
        <v>227</v>
      </c>
      <c r="E126" s="16" t="s">
        <v>144</v>
      </c>
      <c r="F126" s="52"/>
      <c r="G126" s="56"/>
      <c r="H126" s="16"/>
      <c r="J126" s="52"/>
      <c r="K126" s="56"/>
    </row>
    <row r="127">
      <c r="A127" s="62" t="s">
        <v>47</v>
      </c>
      <c r="B127" s="50" t="str">
        <f>IFERROR(HYPERLINK(VLOOKUP(A127,Internal_lists_bugs!$A$2:$C$73,3,FALSE()), VLOOKUP(A127,Internal_lists_bugs!$A$2:$C$73,3,FALSE())&amp;Char(10) &amp; Char(10) &amp; VLOOKUP(A127,Internal_lists_bugs!$A$2:$Z$73,26,FALSE())),"please select a BUG ID")</f>
        <v>https://bugs.launchpad.net/nova/+bug/1447249
/virt/ironic/driver.py</v>
      </c>
      <c r="C127" s="51" t="str">
        <f>IFERROR(__xludf.DUMMYFUNCTION("IFERROR(IF(REGEXMATCH(VLOOKUP(A127,Internal_lists_bugs!$A$2:$R$73,18,FALSE()), ""Yes""), VLOOKUP(A127,Internal_lists_bugs!$A$2:$U$73,21,FALSE()), VLOOKUP(A127,Internal_lists_bugs!$A$2:$R$73,18,FALSE())),""please select a BUG ID"")"),"No, however, check in the right corner of the bug description")</f>
        <v>No, however, check in the right corner of the bug description</v>
      </c>
      <c r="D127" s="16" t="s">
        <v>227</v>
      </c>
      <c r="E127" s="16" t="s">
        <v>244</v>
      </c>
      <c r="F127" s="52" t="s">
        <v>121</v>
      </c>
      <c r="G127" s="56"/>
      <c r="H127" s="16" t="s">
        <v>123</v>
      </c>
      <c r="J127" s="52" t="s">
        <v>123</v>
      </c>
      <c r="K127" s="56"/>
    </row>
    <row r="128">
      <c r="A128" s="62" t="s">
        <v>47</v>
      </c>
      <c r="B128" s="50" t="str">
        <f>IFERROR(HYPERLINK(VLOOKUP(A128,Internal_lists_bugs!$A$2:$C$73,3,FALSE()), VLOOKUP(A128,Internal_lists_bugs!$A$2:$C$73,3,FALSE())&amp;Char(10) &amp; Char(10) &amp; VLOOKUP(A128,Internal_lists_bugs!$A$2:$Z$73,26,FALSE())),"please select a BUG ID")</f>
        <v>https://bugs.launchpad.net/nova/+bug/1447249
/virt/ironic/driver.py</v>
      </c>
      <c r="C128" s="51" t="str">
        <f>IFERROR(__xludf.DUMMYFUNCTION("IFERROR(IF(REGEXMATCH(VLOOKUP(A128,Internal_lists_bugs!$A$2:$R$73,18,FALSE()), ""Yes""), VLOOKUP(A128,Internal_lists_bugs!$A$2:$U$73,21,FALSE()), VLOOKUP(A128,Internal_lists_bugs!$A$2:$R$73,18,FALSE())),""please select a BUG ID"")"),"No, however, check in the right corner of the bug description")</f>
        <v>No, however, check in the right corner of the bug description</v>
      </c>
      <c r="D128" s="16" t="s">
        <v>119</v>
      </c>
      <c r="E128" s="16" t="s">
        <v>245</v>
      </c>
      <c r="F128" s="55"/>
      <c r="G128" s="56"/>
      <c r="H128" s="54"/>
      <c r="J128" s="55"/>
      <c r="K128" s="56"/>
    </row>
    <row r="129">
      <c r="A129" s="62" t="s">
        <v>47</v>
      </c>
      <c r="B129" s="50" t="str">
        <f>IFERROR(HYPERLINK(VLOOKUP(A129,Internal_lists_bugs!$A$2:$C$73,3,FALSE()), VLOOKUP(A129,Internal_lists_bugs!$A$2:$C$73,3,FALSE())&amp;Char(10) &amp; Char(10) &amp; VLOOKUP(A129,Internal_lists_bugs!$A$2:$Z$73,26,FALSE())),"please select a BUG ID")</f>
        <v>https://bugs.launchpad.net/nova/+bug/1447249
/virt/ironic/driver.py</v>
      </c>
      <c r="C129" s="51" t="str">
        <f>IFERROR(__xludf.DUMMYFUNCTION("IFERROR(IF(REGEXMATCH(VLOOKUP(A129,Internal_lists_bugs!$A$2:$R$73,18,FALSE()), ""Yes""), VLOOKUP(A129,Internal_lists_bugs!$A$2:$U$73,21,FALSE()), VLOOKUP(A129,Internal_lists_bugs!$A$2:$R$73,18,FALSE())),""please select a BUG ID"")"),"No, however, check in the right corner of the bug description")</f>
        <v>No, however, check in the right corner of the bug description</v>
      </c>
      <c r="D129" s="16" t="s">
        <v>129</v>
      </c>
      <c r="E129" s="16" t="s">
        <v>204</v>
      </c>
      <c r="F129" s="55"/>
      <c r="G129" s="56"/>
      <c r="H129" s="54"/>
      <c r="J129" s="55"/>
      <c r="K129" s="56"/>
    </row>
    <row r="130">
      <c r="A130" s="62" t="s">
        <v>47</v>
      </c>
      <c r="B130" s="50" t="str">
        <f>IFERROR(HYPERLINK(VLOOKUP(A130,Internal_lists_bugs!$A$2:$C$73,3,FALSE()), VLOOKUP(A130,Internal_lists_bugs!$A$2:$C$73,3,FALSE())&amp;Char(10) &amp; Char(10) &amp; VLOOKUP(A130,Internal_lists_bugs!$A$2:$Z$73,26,FALSE())),"please select a BUG ID")</f>
        <v>https://bugs.launchpad.net/nova/+bug/1447249
/virt/ironic/driver.py</v>
      </c>
      <c r="C130" s="51" t="str">
        <f>IFERROR(__xludf.DUMMYFUNCTION("IFERROR(IF(REGEXMATCH(VLOOKUP(A130,Internal_lists_bugs!$A$2:$R$73,18,FALSE()), ""Yes""), VLOOKUP(A130,Internal_lists_bugs!$A$2:$U$73,21,FALSE()), VLOOKUP(A130,Internal_lists_bugs!$A$2:$R$73,18,FALSE())),""please select a BUG ID"")"),"No, however, check in the right corner of the bug description")</f>
        <v>No, however, check in the right corner of the bug description</v>
      </c>
      <c r="D130" s="16" t="s">
        <v>153</v>
      </c>
      <c r="E130" s="16" t="s">
        <v>205</v>
      </c>
      <c r="F130" s="55"/>
      <c r="G130" s="56"/>
      <c r="H130" s="54"/>
      <c r="J130" s="55"/>
      <c r="K130" s="56"/>
    </row>
    <row r="131">
      <c r="A131" s="62" t="s">
        <v>47</v>
      </c>
      <c r="B131" s="50" t="str">
        <f>IFERROR(HYPERLINK(VLOOKUP(A131,Internal_lists_bugs!$A$2:$C$73,3,FALSE()), VLOOKUP(A131,Internal_lists_bugs!$A$2:$C$73,3,FALSE())&amp;Char(10) &amp; Char(10) &amp; VLOOKUP(A131,Internal_lists_bugs!$A$2:$Z$73,26,FALSE())),"please select a BUG ID")</f>
        <v>https://bugs.launchpad.net/nova/+bug/1447249
/virt/ironic/driver.py</v>
      </c>
      <c r="C131" s="51" t="str">
        <f>IFERROR(__xludf.DUMMYFUNCTION("IFERROR(IF(REGEXMATCH(VLOOKUP(A131,Internal_lists_bugs!$A$2:$R$73,18,FALSE()), ""Yes""), VLOOKUP(A131,Internal_lists_bugs!$A$2:$U$73,21,FALSE()), VLOOKUP(A131,Internal_lists_bugs!$A$2:$R$73,18,FALSE())),""please select a BUG ID"")"),"No, however, check in the right corner of the bug description")</f>
        <v>No, however, check in the right corner of the bug description</v>
      </c>
      <c r="D131" s="16" t="s">
        <v>131</v>
      </c>
      <c r="E131" s="16" t="s">
        <v>229</v>
      </c>
      <c r="F131" s="55"/>
      <c r="G131" s="56"/>
      <c r="H131" s="54"/>
      <c r="J131" s="55"/>
      <c r="K131" s="56"/>
    </row>
    <row r="132">
      <c r="A132" s="62" t="s">
        <v>47</v>
      </c>
      <c r="B132" s="50" t="str">
        <f>IFERROR(HYPERLINK(VLOOKUP(A132,Internal_lists_bugs!$A$2:$C$73,3,FALSE()), VLOOKUP(A132,Internal_lists_bugs!$A$2:$C$73,3,FALSE())&amp;Char(10) &amp; Char(10) &amp; VLOOKUP(A132,Internal_lists_bugs!$A$2:$Z$73,26,FALSE())),"please select a BUG ID")</f>
        <v>https://bugs.launchpad.net/nova/+bug/1447249
/virt/ironic/driver.py</v>
      </c>
      <c r="C132" s="51" t="str">
        <f>IFERROR(__xludf.DUMMYFUNCTION("IFERROR(IF(REGEXMATCH(VLOOKUP(A132,Internal_lists_bugs!$A$2:$R$73,18,FALSE()), ""Yes""), VLOOKUP(A132,Internal_lists_bugs!$A$2:$U$73,21,FALSE()), VLOOKUP(A132,Internal_lists_bugs!$A$2:$R$73,18,FALSE())),""please select a BUG ID"")"),"No, however, check in the right corner of the bug description")</f>
        <v>No, however, check in the right corner of the bug description</v>
      </c>
      <c r="D132" s="16" t="s">
        <v>155</v>
      </c>
      <c r="E132" s="16" t="s">
        <v>216</v>
      </c>
      <c r="F132" s="55"/>
      <c r="G132" s="56"/>
      <c r="H132" s="54"/>
      <c r="J132" s="55"/>
      <c r="K132" s="56"/>
    </row>
    <row r="133">
      <c r="A133" s="62" t="s">
        <v>47</v>
      </c>
      <c r="B133" s="50" t="str">
        <f>IFERROR(HYPERLINK(VLOOKUP(A133,Internal_lists_bugs!$A$2:$C$73,3,FALSE()), VLOOKUP(A133,Internal_lists_bugs!$A$2:$C$73,3,FALSE())&amp;Char(10) &amp; Char(10) &amp; VLOOKUP(A133,Internal_lists_bugs!$A$2:$Z$73,26,FALSE())),"please select a BUG ID")</f>
        <v>https://bugs.launchpad.net/nova/+bug/1447249
/virt/ironic/driver.py</v>
      </c>
      <c r="C133" s="51" t="str">
        <f>IFERROR(__xludf.DUMMYFUNCTION("IFERROR(IF(REGEXMATCH(VLOOKUP(A133,Internal_lists_bugs!$A$2:$R$73,18,FALSE()), ""Yes""), VLOOKUP(A133,Internal_lists_bugs!$A$2:$U$73,21,FALSE()), VLOOKUP(A133,Internal_lists_bugs!$A$2:$R$73,18,FALSE())),""please select a BUG ID"")"),"No, however, check in the right corner of the bug description")</f>
        <v>No, however, check in the right corner of the bug description</v>
      </c>
      <c r="D133" s="16" t="s">
        <v>119</v>
      </c>
      <c r="E133" s="16" t="s">
        <v>144</v>
      </c>
      <c r="F133" s="52"/>
      <c r="G133" s="56"/>
      <c r="H133" s="16"/>
      <c r="J133" s="52"/>
      <c r="K133" s="56"/>
    </row>
    <row r="134">
      <c r="A134" s="62" t="s">
        <v>48</v>
      </c>
      <c r="B134" s="50" t="str">
        <f>IFERROR(HYPERLINK(VLOOKUP(A134,Internal_lists_bugs!$A$2:$C$73,3,FALSE()), VLOOKUP(A134,Internal_lists_bugs!$A$2:$C$73,3,FALSE())&amp;Char(10) &amp; Char(10) &amp; VLOOKUP(A134,Internal_lists_bugs!$A$2:$Z$73,26,FALSE())),"please select a BUG ID")</f>
        <v>https://bugs.launchpad.net/nova/+bug/1475356
/objects/base.py</v>
      </c>
      <c r="C134" s="51" t="str">
        <f>IFERROR(__xludf.DUMMYFUNCTION("IFERROR(IF(REGEXMATCH(VLOOKUP(A134,Internal_lists_bugs!$A$2:$R$73,18,FALSE()), ""Yes""), VLOOKUP(A134,Internal_lists_bugs!$A$2:$U$73,21,FALSE()), VLOOKUP(A134,Internal_lists_bugs!$A$2:$R$73,18,FALSE())),""please select a BUG ID"")"),"No, however, check in the right corner of the bug description")</f>
        <v>No, however, check in the right corner of the bug description</v>
      </c>
      <c r="D134" s="16" t="s">
        <v>119</v>
      </c>
      <c r="E134" s="16" t="s">
        <v>246</v>
      </c>
      <c r="F134" s="52" t="s">
        <v>121</v>
      </c>
      <c r="G134" s="56"/>
      <c r="H134" s="16" t="s">
        <v>123</v>
      </c>
      <c r="J134" s="52" t="s">
        <v>123</v>
      </c>
      <c r="K134" s="56"/>
    </row>
    <row r="135">
      <c r="A135" s="62" t="s">
        <v>48</v>
      </c>
      <c r="B135" s="50" t="str">
        <f>IFERROR(HYPERLINK(VLOOKUP(A135,Internal_lists_bugs!$A$2:$C$73,3,FALSE()), VLOOKUP(A135,Internal_lists_bugs!$A$2:$C$73,3,FALSE())&amp;Char(10) &amp; Char(10) &amp; VLOOKUP(A135,Internal_lists_bugs!$A$2:$Z$73,26,FALSE())),"please select a BUG ID")</f>
        <v>https://bugs.launchpad.net/nova/+bug/1475356
/objects/base.py</v>
      </c>
      <c r="C135" s="51" t="str">
        <f>IFERROR(__xludf.DUMMYFUNCTION("IFERROR(IF(REGEXMATCH(VLOOKUP(A135,Internal_lists_bugs!$A$2:$R$73,18,FALSE()), ""Yes""), VLOOKUP(A135,Internal_lists_bugs!$A$2:$U$73,21,FALSE()), VLOOKUP(A135,Internal_lists_bugs!$A$2:$R$73,18,FALSE())),""please select a BUG ID"")"),"No, however, check in the right corner of the bug description")</f>
        <v>No, however, check in the right corner of the bug description</v>
      </c>
      <c r="D135" s="16" t="s">
        <v>227</v>
      </c>
      <c r="E135" s="16" t="s">
        <v>247</v>
      </c>
      <c r="F135" s="55"/>
      <c r="G135" s="56"/>
      <c r="H135" s="54"/>
      <c r="J135" s="55"/>
      <c r="K135" s="56"/>
    </row>
    <row r="136">
      <c r="A136" s="62" t="s">
        <v>48</v>
      </c>
      <c r="B136" s="50" t="str">
        <f>IFERROR(HYPERLINK(VLOOKUP(A136,Internal_lists_bugs!$A$2:$C$73,3,FALSE()), VLOOKUP(A136,Internal_lists_bugs!$A$2:$C$73,3,FALSE())&amp;Char(10) &amp; Char(10) &amp; VLOOKUP(A136,Internal_lists_bugs!$A$2:$Z$73,26,FALSE())),"please select a BUG ID")</f>
        <v>https://bugs.launchpad.net/nova/+bug/1475356
/objects/base.py</v>
      </c>
      <c r="C136" s="51" t="str">
        <f>IFERROR(__xludf.DUMMYFUNCTION("IFERROR(IF(REGEXMATCH(VLOOKUP(A136,Internal_lists_bugs!$A$2:$R$73,18,FALSE()), ""Yes""), VLOOKUP(A136,Internal_lists_bugs!$A$2:$U$73,21,FALSE()), VLOOKUP(A136,Internal_lists_bugs!$A$2:$R$73,18,FALSE())),""please select a BUG ID"")"),"No, however, check in the right corner of the bug description")</f>
        <v>No, however, check in the right corner of the bug description</v>
      </c>
      <c r="D136" s="16" t="s">
        <v>248</v>
      </c>
      <c r="E136" s="16" t="s">
        <v>204</v>
      </c>
      <c r="F136" s="55"/>
      <c r="G136" s="56"/>
      <c r="H136" s="54"/>
      <c r="J136" s="55"/>
      <c r="K136" s="56"/>
    </row>
    <row r="137">
      <c r="A137" s="62" t="s">
        <v>48</v>
      </c>
      <c r="B137" s="50" t="str">
        <f>IFERROR(HYPERLINK(VLOOKUP(A137,Internal_lists_bugs!$A$2:$C$73,3,FALSE()), VLOOKUP(A137,Internal_lists_bugs!$A$2:$C$73,3,FALSE())&amp;Char(10) &amp; Char(10) &amp; VLOOKUP(A137,Internal_lists_bugs!$A$2:$Z$73,26,FALSE())),"please select a BUG ID")</f>
        <v>https://bugs.launchpad.net/nova/+bug/1475356
/objects/base.py</v>
      </c>
      <c r="C137" s="51" t="str">
        <f>IFERROR(__xludf.DUMMYFUNCTION("IFERROR(IF(REGEXMATCH(VLOOKUP(A137,Internal_lists_bugs!$A$2:$R$73,18,FALSE()), ""Yes""), VLOOKUP(A137,Internal_lists_bugs!$A$2:$U$73,21,FALSE()), VLOOKUP(A137,Internal_lists_bugs!$A$2:$R$73,18,FALSE())),""please select a BUG ID"")"),"No, however, check in the right corner of the bug description")</f>
        <v>No, however, check in the right corner of the bug description</v>
      </c>
      <c r="D137" s="16" t="s">
        <v>129</v>
      </c>
      <c r="E137" s="16" t="s">
        <v>205</v>
      </c>
      <c r="F137" s="55"/>
      <c r="G137" s="56"/>
      <c r="H137" s="54"/>
      <c r="J137" s="55"/>
      <c r="K137" s="56"/>
    </row>
    <row r="138">
      <c r="A138" s="62" t="s">
        <v>48</v>
      </c>
      <c r="B138" s="50" t="str">
        <f>IFERROR(HYPERLINK(VLOOKUP(A138,Internal_lists_bugs!$A$2:$C$73,3,FALSE()), VLOOKUP(A138,Internal_lists_bugs!$A$2:$C$73,3,FALSE())&amp;Char(10) &amp; Char(10) &amp; VLOOKUP(A138,Internal_lists_bugs!$A$2:$Z$73,26,FALSE())),"please select a BUG ID")</f>
        <v>https://bugs.launchpad.net/nova/+bug/1475356
/objects/base.py</v>
      </c>
      <c r="C138" s="51" t="str">
        <f>IFERROR(__xludf.DUMMYFUNCTION("IFERROR(IF(REGEXMATCH(VLOOKUP(A138,Internal_lists_bugs!$A$2:$R$73,18,FALSE()), ""Yes""), VLOOKUP(A138,Internal_lists_bugs!$A$2:$U$73,21,FALSE()), VLOOKUP(A138,Internal_lists_bugs!$A$2:$R$73,18,FALSE())),""please select a BUG ID"")"),"No, however, check in the right corner of the bug description")</f>
        <v>No, however, check in the right corner of the bug description</v>
      </c>
      <c r="D138" s="16" t="s">
        <v>180</v>
      </c>
      <c r="E138" s="16" t="s">
        <v>229</v>
      </c>
      <c r="F138" s="55"/>
      <c r="G138" s="56"/>
      <c r="H138" s="54"/>
      <c r="J138" s="55"/>
      <c r="K138" s="56"/>
    </row>
    <row r="139">
      <c r="A139" s="62" t="s">
        <v>48</v>
      </c>
      <c r="B139" s="50" t="str">
        <f>IFERROR(HYPERLINK(VLOOKUP(A139,Internal_lists_bugs!$A$2:$C$73,3,FALSE()), VLOOKUP(A139,Internal_lists_bugs!$A$2:$C$73,3,FALSE())&amp;Char(10) &amp; Char(10) &amp; VLOOKUP(A139,Internal_lists_bugs!$A$2:$Z$73,26,FALSE())),"please select a BUG ID")</f>
        <v>https://bugs.launchpad.net/nova/+bug/1475356
/objects/base.py</v>
      </c>
      <c r="C139" s="51" t="str">
        <f>IFERROR(__xludf.DUMMYFUNCTION("IFERROR(IF(REGEXMATCH(VLOOKUP(A139,Internal_lists_bugs!$A$2:$R$73,18,FALSE()), ""Yes""), VLOOKUP(A139,Internal_lists_bugs!$A$2:$U$73,21,FALSE()), VLOOKUP(A139,Internal_lists_bugs!$A$2:$R$73,18,FALSE())),""please select a BUG ID"")"),"No, however, check in the right corner of the bug description")</f>
        <v>No, however, check in the right corner of the bug description</v>
      </c>
      <c r="D139" s="16" t="s">
        <v>131</v>
      </c>
      <c r="E139" s="16" t="s">
        <v>216</v>
      </c>
      <c r="F139" s="55"/>
      <c r="G139" s="56"/>
      <c r="H139" s="54"/>
      <c r="J139" s="55"/>
      <c r="K139" s="56"/>
    </row>
    <row r="140">
      <c r="A140" s="62" t="s">
        <v>48</v>
      </c>
      <c r="B140" s="50" t="str">
        <f>IFERROR(HYPERLINK(VLOOKUP(A140,Internal_lists_bugs!$A$2:$C$73,3,FALSE()), VLOOKUP(A140,Internal_lists_bugs!$A$2:$C$73,3,FALSE())&amp;Char(10) &amp; Char(10) &amp; VLOOKUP(A140,Internal_lists_bugs!$A$2:$Z$73,26,FALSE())),"please select a BUG ID")</f>
        <v>https://bugs.launchpad.net/nova/+bug/1475356
/objects/base.py</v>
      </c>
      <c r="C140" s="51" t="str">
        <f>IFERROR(__xludf.DUMMYFUNCTION("IFERROR(IF(REGEXMATCH(VLOOKUP(A140,Internal_lists_bugs!$A$2:$R$73,18,FALSE()), ""Yes""), VLOOKUP(A140,Internal_lists_bugs!$A$2:$U$73,21,FALSE()), VLOOKUP(A140,Internal_lists_bugs!$A$2:$R$73,18,FALSE())),""please select a BUG ID"")"),"No, however, check in the right corner of the bug description")</f>
        <v>No, however, check in the right corner of the bug description</v>
      </c>
      <c r="D140" s="16" t="s">
        <v>155</v>
      </c>
      <c r="E140" s="16" t="s">
        <v>217</v>
      </c>
      <c r="F140" s="55"/>
      <c r="G140" s="56"/>
      <c r="H140" s="54"/>
      <c r="J140" s="55"/>
      <c r="K140" s="56"/>
    </row>
    <row r="141">
      <c r="A141" s="62" t="s">
        <v>48</v>
      </c>
      <c r="B141" s="50" t="str">
        <f>IFERROR(HYPERLINK(VLOOKUP(A141,Internal_lists_bugs!$A$2:$C$73,3,FALSE()), VLOOKUP(A141,Internal_lists_bugs!$A$2:$C$73,3,FALSE())&amp;Char(10) &amp; Char(10) &amp; VLOOKUP(A141,Internal_lists_bugs!$A$2:$Z$73,26,FALSE())),"please select a BUG ID")</f>
        <v>https://bugs.launchpad.net/nova/+bug/1475356
/objects/base.py</v>
      </c>
      <c r="C141" s="51" t="str">
        <f>IFERROR(__xludf.DUMMYFUNCTION("IFERROR(IF(REGEXMATCH(VLOOKUP(A141,Internal_lists_bugs!$A$2:$R$73,18,FALSE()), ""Yes""), VLOOKUP(A141,Internal_lists_bugs!$A$2:$U$73,21,FALSE()), VLOOKUP(A141,Internal_lists_bugs!$A$2:$R$73,18,FALSE())),""please select a BUG ID"")"),"No, however, check in the right corner of the bug description")</f>
        <v>No, however, check in the right corner of the bug description</v>
      </c>
      <c r="D141" s="16" t="s">
        <v>119</v>
      </c>
      <c r="E141" s="16" t="s">
        <v>144</v>
      </c>
      <c r="F141" s="52"/>
      <c r="G141" s="56"/>
      <c r="H141" s="16"/>
      <c r="I141" s="16"/>
      <c r="J141" s="52"/>
      <c r="K141" s="53"/>
    </row>
    <row r="142">
      <c r="A142" s="62" t="s">
        <v>49</v>
      </c>
      <c r="B142" s="50" t="str">
        <f>IFERROR(HYPERLINK(VLOOKUP(A142,Internal_lists_bugs!$A$2:$C$73,3,FALSE()), VLOOKUP(A142,Internal_lists_bugs!$A$2:$C$73,3,FALSE())&amp;Char(10) &amp; Char(10) &amp; VLOOKUP(A142,Internal_lists_bugs!$A$2:$Z$73,26,FALSE())),"please select a BUG ID")</f>
        <v>https://bugs.launchpad.net/nova/+bug/1370177
nova/block_device.py</v>
      </c>
      <c r="C142" s="51">
        <f>IFERROR(__xludf.DUMMYFUNCTION("IFERROR(IF(REGEXMATCH(VLOOKUP(A142,Internal_lists_bugs!$A$2:$R$73,18,FALSE()), ""Yes""), VLOOKUP(A142,Internal_lists_bugs!$A$2:$U$73,21,FALSE()), VLOOKUP(A142,Internal_lists_bugs!$A$2:$R$73,18,FALSE())),""please select a BUG ID"")"),1470834.0)</f>
        <v>1470834</v>
      </c>
      <c r="D142" s="16" t="s">
        <v>249</v>
      </c>
      <c r="E142" s="16" t="s">
        <v>250</v>
      </c>
      <c r="F142" s="52" t="s">
        <v>121</v>
      </c>
      <c r="G142" s="56"/>
      <c r="H142" s="16" t="s">
        <v>251</v>
      </c>
      <c r="I142" s="63" t="s">
        <v>252</v>
      </c>
      <c r="J142" s="52" t="s">
        <v>123</v>
      </c>
      <c r="K142" s="53"/>
      <c r="L142" s="16">
        <v>1370177.0</v>
      </c>
    </row>
    <row r="143">
      <c r="A143" s="62" t="s">
        <v>49</v>
      </c>
      <c r="B143" s="50" t="str">
        <f>IFERROR(HYPERLINK(VLOOKUP(A143,Internal_lists_bugs!$A$2:$C$73,3,FALSE()), VLOOKUP(A143,Internal_lists_bugs!$A$2:$C$73,3,FALSE())&amp;Char(10) &amp; Char(10) &amp; VLOOKUP(A143,Internal_lists_bugs!$A$2:$Z$73,26,FALSE())),"please select a BUG ID")</f>
        <v>https://bugs.launchpad.net/nova/+bug/1370177
nova/block_device.py</v>
      </c>
      <c r="C143" s="51">
        <f>IFERROR(__xludf.DUMMYFUNCTION("IFERROR(IF(REGEXMATCH(VLOOKUP(A143,Internal_lists_bugs!$A$2:$R$73,18,FALSE()), ""Yes""), VLOOKUP(A143,Internal_lists_bugs!$A$2:$U$73,21,FALSE()), VLOOKUP(A143,Internal_lists_bugs!$A$2:$R$73,18,FALSE())),""please select a BUG ID"")"),1470834.0)</f>
        <v>1470834</v>
      </c>
      <c r="D143" s="16" t="s">
        <v>127</v>
      </c>
      <c r="E143" s="16" t="s">
        <v>253</v>
      </c>
      <c r="F143" s="55"/>
      <c r="G143" s="56"/>
      <c r="H143" s="54"/>
      <c r="J143" s="55"/>
      <c r="K143" s="56"/>
      <c r="L143" s="16">
        <v>1370177.0</v>
      </c>
    </row>
    <row r="144">
      <c r="A144" s="62" t="s">
        <v>49</v>
      </c>
      <c r="B144" s="50" t="str">
        <f>IFERROR(HYPERLINK(VLOOKUP(A144,Internal_lists_bugs!$A$2:$C$73,3,FALSE()), VLOOKUP(A144,Internal_lists_bugs!$A$2:$C$73,3,FALSE())&amp;Char(10) &amp; Char(10) &amp; VLOOKUP(A144,Internal_lists_bugs!$A$2:$Z$73,26,FALSE())),"please select a BUG ID")</f>
        <v>https://bugs.launchpad.net/nova/+bug/1370177
nova/block_device.py</v>
      </c>
      <c r="C144" s="51">
        <f>IFERROR(__xludf.DUMMYFUNCTION("IFERROR(IF(REGEXMATCH(VLOOKUP(A144,Internal_lists_bugs!$A$2:$R$73,18,FALSE()), ""Yes""), VLOOKUP(A144,Internal_lists_bugs!$A$2:$U$73,21,FALSE()), VLOOKUP(A144,Internal_lists_bugs!$A$2:$R$73,18,FALSE())),""please select a BUG ID"")"),1470834.0)</f>
        <v>1470834</v>
      </c>
      <c r="D144" s="16" t="s">
        <v>119</v>
      </c>
      <c r="E144" s="16" t="s">
        <v>254</v>
      </c>
      <c r="F144" s="55"/>
      <c r="G144" s="56"/>
      <c r="H144" s="54"/>
      <c r="J144" s="55"/>
      <c r="K144" s="56"/>
      <c r="L144" s="16">
        <v>1370177.0</v>
      </c>
    </row>
    <row r="145">
      <c r="A145" s="62" t="s">
        <v>49</v>
      </c>
      <c r="B145" s="50" t="str">
        <f>IFERROR(HYPERLINK(VLOOKUP(A145,Internal_lists_bugs!$A$2:$C$73,3,FALSE()), VLOOKUP(A145,Internal_lists_bugs!$A$2:$C$73,3,FALSE())&amp;Char(10) &amp; Char(10) &amp; VLOOKUP(A145,Internal_lists_bugs!$A$2:$Z$73,26,FALSE())),"please select a BUG ID")</f>
        <v>https://bugs.launchpad.net/nova/+bug/1370177
nova/block_device.py</v>
      </c>
      <c r="C145" s="51">
        <f>IFERROR(__xludf.DUMMYFUNCTION("IFERROR(IF(REGEXMATCH(VLOOKUP(A145,Internal_lists_bugs!$A$2:$R$73,18,FALSE()), ""Yes""), VLOOKUP(A145,Internal_lists_bugs!$A$2:$U$73,21,FALSE()), VLOOKUP(A145,Internal_lists_bugs!$A$2:$R$73,18,FALSE())),""please select a BUG ID"")"),1470834.0)</f>
        <v>1470834</v>
      </c>
      <c r="D145" s="16" t="s">
        <v>255</v>
      </c>
      <c r="E145" s="16" t="s">
        <v>256</v>
      </c>
      <c r="F145" s="55"/>
      <c r="G145" s="56"/>
      <c r="H145" s="54"/>
      <c r="J145" s="55"/>
      <c r="K145" s="56"/>
      <c r="L145" s="16">
        <v>1370177.0</v>
      </c>
    </row>
    <row r="146">
      <c r="A146" s="62" t="s">
        <v>49</v>
      </c>
      <c r="B146" s="50" t="str">
        <f>IFERROR(HYPERLINK(VLOOKUP(A146,Internal_lists_bugs!$A$2:$C$73,3,FALSE()), VLOOKUP(A146,Internal_lists_bugs!$A$2:$C$73,3,FALSE())&amp;Char(10) &amp; Char(10) &amp; VLOOKUP(A146,Internal_lists_bugs!$A$2:$Z$73,26,FALSE())),"please select a BUG ID")</f>
        <v>https://bugs.launchpad.net/nova/+bug/1370177
nova/block_device.py</v>
      </c>
      <c r="C146" s="51">
        <f>IFERROR(__xludf.DUMMYFUNCTION("IFERROR(IF(REGEXMATCH(VLOOKUP(A146,Internal_lists_bugs!$A$2:$R$73,18,FALSE()), ""Yes""), VLOOKUP(A146,Internal_lists_bugs!$A$2:$U$73,21,FALSE()), VLOOKUP(A146,Internal_lists_bugs!$A$2:$R$73,18,FALSE())),""please select a BUG ID"")"),1470834.0)</f>
        <v>1470834</v>
      </c>
      <c r="D146" s="16" t="s">
        <v>257</v>
      </c>
      <c r="E146" s="16" t="s">
        <v>258</v>
      </c>
      <c r="F146" s="55"/>
      <c r="G146" s="56"/>
      <c r="H146" s="54"/>
      <c r="J146" s="55"/>
      <c r="K146" s="56"/>
      <c r="L146" s="16">
        <v>1370177.0</v>
      </c>
    </row>
    <row r="147">
      <c r="A147" s="62" t="s">
        <v>49</v>
      </c>
      <c r="B147" s="50" t="str">
        <f>IFERROR(HYPERLINK(VLOOKUP(A147,Internal_lists_bugs!$A$2:$C$73,3,FALSE()), VLOOKUP(A147,Internal_lists_bugs!$A$2:$C$73,3,FALSE())&amp;Char(10) &amp; Char(10) &amp; VLOOKUP(A147,Internal_lists_bugs!$A$2:$Z$73,26,FALSE())),"please select a BUG ID")</f>
        <v>https://bugs.launchpad.net/nova/+bug/1370177
nova/block_device.py</v>
      </c>
      <c r="C147" s="51">
        <f>IFERROR(__xludf.DUMMYFUNCTION("IFERROR(IF(REGEXMATCH(VLOOKUP(A147,Internal_lists_bugs!$A$2:$R$73,18,FALSE()), ""Yes""), VLOOKUP(A147,Internal_lists_bugs!$A$2:$U$73,21,FALSE()), VLOOKUP(A147,Internal_lists_bugs!$A$2:$R$73,18,FALSE())),""please select a BUG ID"")"),1470834.0)</f>
        <v>1470834</v>
      </c>
      <c r="D147" s="16" t="s">
        <v>259</v>
      </c>
      <c r="E147" s="16" t="s">
        <v>260</v>
      </c>
      <c r="F147" s="55"/>
      <c r="G147" s="56"/>
      <c r="H147" s="54"/>
      <c r="J147" s="55"/>
      <c r="K147" s="56"/>
      <c r="L147" s="16">
        <v>1370177.0</v>
      </c>
    </row>
    <row r="148">
      <c r="A148" s="62" t="s">
        <v>49</v>
      </c>
      <c r="B148" s="50" t="str">
        <f>IFERROR(HYPERLINK(VLOOKUP(A148,Internal_lists_bugs!$A$2:$C$73,3,FALSE()), VLOOKUP(A148,Internal_lists_bugs!$A$2:$C$73,3,FALSE())&amp;Char(10) &amp; Char(10) &amp; VLOOKUP(A148,Internal_lists_bugs!$A$2:$Z$73,26,FALSE())),"please select a BUG ID")</f>
        <v>https://bugs.launchpad.net/nova/+bug/1370177
nova/block_device.py</v>
      </c>
      <c r="C148" s="51">
        <f>IFERROR(__xludf.DUMMYFUNCTION("IFERROR(IF(REGEXMATCH(VLOOKUP(A148,Internal_lists_bugs!$A$2:$R$73,18,FALSE()), ""Yes""), VLOOKUP(A148,Internal_lists_bugs!$A$2:$U$73,21,FALSE()), VLOOKUP(A148,Internal_lists_bugs!$A$2:$R$73,18,FALSE())),""please select a BUG ID"")"),1470834.0)</f>
        <v>1470834</v>
      </c>
      <c r="D148" s="16" t="s">
        <v>261</v>
      </c>
      <c r="E148" s="16" t="s">
        <v>204</v>
      </c>
      <c r="F148" s="55"/>
      <c r="G148" s="56"/>
      <c r="H148" s="54"/>
      <c r="J148" s="55"/>
      <c r="K148" s="56"/>
      <c r="L148" s="16">
        <v>1370177.0</v>
      </c>
    </row>
    <row r="149">
      <c r="A149" s="62" t="s">
        <v>49</v>
      </c>
      <c r="B149" s="50" t="str">
        <f>IFERROR(HYPERLINK(VLOOKUP(A149,Internal_lists_bugs!$A$2:$C$73,3,FALSE()), VLOOKUP(A149,Internal_lists_bugs!$A$2:$C$73,3,FALSE())&amp;Char(10) &amp; Char(10) &amp; VLOOKUP(A149,Internal_lists_bugs!$A$2:$Z$73,26,FALSE())),"please select a BUG ID")</f>
        <v>https://bugs.launchpad.net/nova/+bug/1370177
nova/block_device.py</v>
      </c>
      <c r="C149" s="51">
        <f>IFERROR(__xludf.DUMMYFUNCTION("IFERROR(IF(REGEXMATCH(VLOOKUP(A149,Internal_lists_bugs!$A$2:$R$73,18,FALSE()), ""Yes""), VLOOKUP(A149,Internal_lists_bugs!$A$2:$U$73,21,FALSE()), VLOOKUP(A149,Internal_lists_bugs!$A$2:$R$73,18,FALSE())),""please select a BUG ID"")"),1470834.0)</f>
        <v>1470834</v>
      </c>
      <c r="D149" s="16" t="s">
        <v>262</v>
      </c>
      <c r="E149" s="16" t="s">
        <v>205</v>
      </c>
      <c r="F149" s="55"/>
      <c r="G149" s="56"/>
      <c r="H149" s="54"/>
      <c r="J149" s="55"/>
      <c r="K149" s="56"/>
      <c r="L149" s="16">
        <v>1370177.0</v>
      </c>
    </row>
    <row r="150">
      <c r="A150" s="62" t="s">
        <v>49</v>
      </c>
      <c r="B150" s="50" t="str">
        <f>IFERROR(HYPERLINK(VLOOKUP(A150,Internal_lists_bugs!$A$2:$C$73,3,FALSE()), VLOOKUP(A150,Internal_lists_bugs!$A$2:$C$73,3,FALSE())&amp;Char(10) &amp; Char(10) &amp; VLOOKUP(A150,Internal_lists_bugs!$A$2:$Z$73,26,FALSE())),"please select a BUG ID")</f>
        <v>https://bugs.launchpad.net/nova/+bug/1370177
nova/block_device.py</v>
      </c>
      <c r="C150" s="51">
        <f>IFERROR(__xludf.DUMMYFUNCTION("IFERROR(IF(REGEXMATCH(VLOOKUP(A150,Internal_lists_bugs!$A$2:$R$73,18,FALSE()), ""Yes""), VLOOKUP(A150,Internal_lists_bugs!$A$2:$U$73,21,FALSE()), VLOOKUP(A150,Internal_lists_bugs!$A$2:$R$73,18,FALSE())),""please select a BUG ID"")"),1470834.0)</f>
        <v>1470834</v>
      </c>
      <c r="D150" s="16" t="s">
        <v>259</v>
      </c>
      <c r="E150" s="16" t="s">
        <v>229</v>
      </c>
      <c r="F150" s="55"/>
      <c r="G150" s="56"/>
      <c r="H150" s="54"/>
      <c r="J150" s="55"/>
      <c r="K150" s="56"/>
      <c r="L150" s="16">
        <v>1370177.0</v>
      </c>
    </row>
    <row r="151">
      <c r="A151" s="62" t="s">
        <v>49</v>
      </c>
      <c r="B151" s="50" t="str">
        <f>IFERROR(HYPERLINK(VLOOKUP(A151,Internal_lists_bugs!$A$2:$C$73,3,FALSE()), VLOOKUP(A151,Internal_lists_bugs!$A$2:$C$73,3,FALSE())&amp;Char(10) &amp; Char(10) &amp; VLOOKUP(A151,Internal_lists_bugs!$A$2:$Z$73,26,FALSE())),"please select a BUG ID")</f>
        <v>https://bugs.launchpad.net/nova/+bug/1370177
nova/block_device.py</v>
      </c>
      <c r="C151" s="51">
        <f>IFERROR(__xludf.DUMMYFUNCTION("IFERROR(IF(REGEXMATCH(VLOOKUP(A151,Internal_lists_bugs!$A$2:$R$73,18,FALSE()), ""Yes""), VLOOKUP(A151,Internal_lists_bugs!$A$2:$U$73,21,FALSE()), VLOOKUP(A151,Internal_lists_bugs!$A$2:$R$73,18,FALSE())),""please select a BUG ID"")"),1470834.0)</f>
        <v>1470834</v>
      </c>
      <c r="D151" s="16" t="s">
        <v>227</v>
      </c>
      <c r="E151" s="16" t="s">
        <v>216</v>
      </c>
      <c r="F151" s="55"/>
      <c r="G151" s="56"/>
      <c r="H151" s="54"/>
      <c r="J151" s="55"/>
      <c r="K151" s="56"/>
      <c r="L151" s="16">
        <v>1370177.0</v>
      </c>
    </row>
    <row r="152">
      <c r="A152" s="62" t="s">
        <v>49</v>
      </c>
      <c r="B152" s="50" t="str">
        <f>IFERROR(HYPERLINK(VLOOKUP(A152,Internal_lists_bugs!$A$2:$C$73,3,FALSE()), VLOOKUP(A152,Internal_lists_bugs!$A$2:$C$73,3,FALSE())&amp;Char(10) &amp; Char(10) &amp; VLOOKUP(A152,Internal_lists_bugs!$A$2:$Z$73,26,FALSE())),"please select a BUG ID")</f>
        <v>https://bugs.launchpad.net/nova/+bug/1370177
nova/block_device.py</v>
      </c>
      <c r="C152" s="51">
        <f>IFERROR(__xludf.DUMMYFUNCTION("IFERROR(IF(REGEXMATCH(VLOOKUP(A152,Internal_lists_bugs!$A$2:$R$73,18,FALSE()), ""Yes""), VLOOKUP(A152,Internal_lists_bugs!$A$2:$U$73,21,FALSE()), VLOOKUP(A152,Internal_lists_bugs!$A$2:$R$73,18,FALSE())),""please select a BUG ID"")"),1470834.0)</f>
        <v>1470834</v>
      </c>
      <c r="D152" s="16" t="s">
        <v>263</v>
      </c>
      <c r="E152" s="16" t="s">
        <v>216</v>
      </c>
      <c r="F152" s="55"/>
      <c r="G152" s="56"/>
      <c r="H152" s="54"/>
      <c r="J152" s="55"/>
      <c r="K152" s="56"/>
      <c r="L152" s="16">
        <v>1370177.0</v>
      </c>
    </row>
    <row r="153">
      <c r="A153" s="62" t="s">
        <v>49</v>
      </c>
      <c r="B153" s="50" t="str">
        <f>IFERROR(HYPERLINK(VLOOKUP(A153,Internal_lists_bugs!$A$2:$C$73,3,FALSE()), VLOOKUP(A153,Internal_lists_bugs!$A$2:$C$73,3,FALSE())&amp;Char(10) &amp; Char(10) &amp; VLOOKUP(A153,Internal_lists_bugs!$A$2:$Z$73,26,FALSE())),"please select a BUG ID")</f>
        <v>https://bugs.launchpad.net/nova/+bug/1370177
nova/block_device.py</v>
      </c>
      <c r="C153" s="51">
        <f>IFERROR(__xludf.DUMMYFUNCTION("IFERROR(IF(REGEXMATCH(VLOOKUP(A153,Internal_lists_bugs!$A$2:$R$73,18,FALSE()), ""Yes""), VLOOKUP(A153,Internal_lists_bugs!$A$2:$U$73,21,FALSE()), VLOOKUP(A153,Internal_lists_bugs!$A$2:$R$73,18,FALSE())),""please select a BUG ID"")"),1470834.0)</f>
        <v>1470834</v>
      </c>
      <c r="D153" s="16" t="s">
        <v>129</v>
      </c>
      <c r="E153" s="16" t="s">
        <v>217</v>
      </c>
      <c r="F153" s="55"/>
      <c r="G153" s="56"/>
      <c r="H153" s="54"/>
      <c r="J153" s="55"/>
      <c r="K153" s="56"/>
      <c r="L153" s="16">
        <v>1370177.0</v>
      </c>
    </row>
    <row r="154">
      <c r="A154" s="62" t="s">
        <v>49</v>
      </c>
      <c r="B154" s="50" t="str">
        <f>IFERROR(HYPERLINK(VLOOKUP(A154,Internal_lists_bugs!$A$2:$C$73,3,FALSE()), VLOOKUP(A154,Internal_lists_bugs!$A$2:$C$73,3,FALSE())&amp;Char(10) &amp; Char(10) &amp; VLOOKUP(A154,Internal_lists_bugs!$A$2:$Z$73,26,FALSE())),"please select a BUG ID")</f>
        <v>https://bugs.launchpad.net/nova/+bug/1370177
nova/block_device.py</v>
      </c>
      <c r="C154" s="51">
        <f>IFERROR(__xludf.DUMMYFUNCTION("IFERROR(IF(REGEXMATCH(VLOOKUP(A154,Internal_lists_bugs!$A$2:$R$73,18,FALSE()), ""Yes""), VLOOKUP(A154,Internal_lists_bugs!$A$2:$U$73,21,FALSE()), VLOOKUP(A154,Internal_lists_bugs!$A$2:$R$73,18,FALSE())),""please select a BUG ID"")"),1470834.0)</f>
        <v>1470834</v>
      </c>
      <c r="D154" s="16" t="s">
        <v>235</v>
      </c>
      <c r="E154" s="16" t="s">
        <v>183</v>
      </c>
      <c r="F154" s="55"/>
      <c r="G154" s="56"/>
      <c r="H154" s="54"/>
      <c r="J154" s="55"/>
      <c r="K154" s="56"/>
      <c r="L154" s="16">
        <v>1370177.0</v>
      </c>
    </row>
    <row r="155">
      <c r="A155" s="62" t="s">
        <v>49</v>
      </c>
      <c r="B155" s="50" t="str">
        <f>IFERROR(HYPERLINK(VLOOKUP(A155,Internal_lists_bugs!$A$2:$C$73,3,FALSE()), VLOOKUP(A155,Internal_lists_bugs!$A$2:$C$73,3,FALSE())&amp;Char(10) &amp; Char(10) &amp; VLOOKUP(A155,Internal_lists_bugs!$A$2:$Z$73,26,FALSE())),"please select a BUG ID")</f>
        <v>https://bugs.launchpad.net/nova/+bug/1370177
nova/block_device.py</v>
      </c>
      <c r="C155" s="51">
        <f>IFERROR(__xludf.DUMMYFUNCTION("IFERROR(IF(REGEXMATCH(VLOOKUP(A155,Internal_lists_bugs!$A$2:$R$73,18,FALSE()), ""Yes""), VLOOKUP(A155,Internal_lists_bugs!$A$2:$U$73,21,FALSE()), VLOOKUP(A155,Internal_lists_bugs!$A$2:$R$73,18,FALSE())),""please select a BUG ID"")"),1470834.0)</f>
        <v>1470834</v>
      </c>
      <c r="D155" s="16" t="s">
        <v>131</v>
      </c>
      <c r="E155" s="16" t="s">
        <v>185</v>
      </c>
      <c r="F155" s="55"/>
      <c r="G155" s="56"/>
      <c r="H155" s="54"/>
      <c r="J155" s="55"/>
      <c r="K155" s="56"/>
      <c r="L155" s="16">
        <v>1370177.0</v>
      </c>
    </row>
    <row r="156">
      <c r="A156" s="62" t="s">
        <v>49</v>
      </c>
      <c r="B156" s="50" t="str">
        <f>IFERROR(HYPERLINK(VLOOKUP(A156,Internal_lists_bugs!$A$2:$C$73,3,FALSE()), VLOOKUP(A156,Internal_lists_bugs!$A$2:$C$73,3,FALSE())&amp;Char(10) &amp; Char(10) &amp; VLOOKUP(A156,Internal_lists_bugs!$A$2:$Z$73,26,FALSE())),"please select a BUG ID")</f>
        <v>https://bugs.launchpad.net/nova/+bug/1370177
nova/block_device.py</v>
      </c>
      <c r="C156" s="51">
        <f>IFERROR(__xludf.DUMMYFUNCTION("IFERROR(IF(REGEXMATCH(VLOOKUP(A156,Internal_lists_bugs!$A$2:$R$73,18,FALSE()), ""Yes""), VLOOKUP(A156,Internal_lists_bugs!$A$2:$U$73,21,FALSE()), VLOOKUP(A156,Internal_lists_bugs!$A$2:$R$73,18,FALSE())),""please select a BUG ID"")"),1470834.0)</f>
        <v>1470834</v>
      </c>
      <c r="D156" s="16" t="s">
        <v>264</v>
      </c>
      <c r="E156" s="16" t="s">
        <v>187</v>
      </c>
      <c r="F156" s="55"/>
      <c r="G156" s="56"/>
      <c r="H156" s="54"/>
      <c r="J156" s="55"/>
      <c r="K156" s="56"/>
      <c r="L156" s="16">
        <v>1370177.0</v>
      </c>
    </row>
    <row r="157">
      <c r="A157" s="62" t="s">
        <v>49</v>
      </c>
      <c r="B157" s="50" t="str">
        <f>IFERROR(HYPERLINK(VLOOKUP(A157,Internal_lists_bugs!$A$2:$C$73,3,FALSE()), VLOOKUP(A157,Internal_lists_bugs!$A$2:$C$73,3,FALSE())&amp;Char(10) &amp; Char(10) &amp; VLOOKUP(A157,Internal_lists_bugs!$A$2:$Z$73,26,FALSE())),"please select a BUG ID")</f>
        <v>https://bugs.launchpad.net/nova/+bug/1370177
nova/block_device.py</v>
      </c>
      <c r="C157" s="51">
        <f>IFERROR(__xludf.DUMMYFUNCTION("IFERROR(IF(REGEXMATCH(VLOOKUP(A157,Internal_lists_bugs!$A$2:$R$73,18,FALSE()), ""Yes""), VLOOKUP(A157,Internal_lists_bugs!$A$2:$U$73,21,FALSE()), VLOOKUP(A157,Internal_lists_bugs!$A$2:$R$73,18,FALSE())),""please select a BUG ID"")"),1470834.0)</f>
        <v>1470834</v>
      </c>
      <c r="D157" s="16" t="s">
        <v>237</v>
      </c>
      <c r="E157" s="16" t="s">
        <v>189</v>
      </c>
      <c r="F157" s="55"/>
      <c r="G157" s="56"/>
      <c r="H157" s="54"/>
      <c r="J157" s="55"/>
      <c r="K157" s="56"/>
      <c r="L157" s="16">
        <v>1370177.0</v>
      </c>
    </row>
    <row r="158">
      <c r="A158" s="62" t="s">
        <v>49</v>
      </c>
      <c r="B158" s="50" t="str">
        <f>IFERROR(HYPERLINK(VLOOKUP(A158,Internal_lists_bugs!$A$2:$C$73,3,FALSE()), VLOOKUP(A158,Internal_lists_bugs!$A$2:$C$73,3,FALSE())&amp;Char(10) &amp; Char(10) &amp; VLOOKUP(A158,Internal_lists_bugs!$A$2:$Z$73,26,FALSE())),"please select a BUG ID")</f>
        <v>https://bugs.launchpad.net/nova/+bug/1370177
nova/block_device.py</v>
      </c>
      <c r="C158" s="51">
        <f>IFERROR(__xludf.DUMMYFUNCTION("IFERROR(IF(REGEXMATCH(VLOOKUP(A158,Internal_lists_bugs!$A$2:$R$73,18,FALSE()), ""Yes""), VLOOKUP(A158,Internal_lists_bugs!$A$2:$U$73,21,FALSE()), VLOOKUP(A158,Internal_lists_bugs!$A$2:$R$73,18,FALSE())),""please select a BUG ID"")"),1470834.0)</f>
        <v>1470834</v>
      </c>
      <c r="D158" s="16" t="s">
        <v>265</v>
      </c>
      <c r="E158" s="16" t="s">
        <v>192</v>
      </c>
      <c r="F158" s="55"/>
      <c r="G158" s="56"/>
      <c r="H158" s="54"/>
      <c r="J158" s="55"/>
      <c r="K158" s="56"/>
      <c r="L158" s="16">
        <v>1370177.0</v>
      </c>
    </row>
    <row r="159">
      <c r="A159" s="62" t="s">
        <v>49</v>
      </c>
      <c r="B159" s="50" t="str">
        <f>IFERROR(HYPERLINK(VLOOKUP(A159,Internal_lists_bugs!$A$2:$C$73,3,FALSE()), VLOOKUP(A159,Internal_lists_bugs!$A$2:$C$73,3,FALSE())&amp;Char(10) &amp; Char(10) &amp; VLOOKUP(A159,Internal_lists_bugs!$A$2:$Z$73,26,FALSE())),"please select a BUG ID")</f>
        <v>https://bugs.launchpad.net/nova/+bug/1370177
nova/block_device.py</v>
      </c>
      <c r="C159" s="51">
        <f>IFERROR(__xludf.DUMMYFUNCTION("IFERROR(IF(REGEXMATCH(VLOOKUP(A159,Internal_lists_bugs!$A$2:$R$73,18,FALSE()), ""Yes""), VLOOKUP(A159,Internal_lists_bugs!$A$2:$U$73,21,FALSE()), VLOOKUP(A159,Internal_lists_bugs!$A$2:$R$73,18,FALSE())),""please select a BUG ID"")"),1470834.0)</f>
        <v>1470834</v>
      </c>
      <c r="D159" s="16" t="s">
        <v>266</v>
      </c>
      <c r="E159" s="16" t="s">
        <v>267</v>
      </c>
      <c r="F159" s="55"/>
      <c r="G159" s="56"/>
      <c r="H159" s="54"/>
      <c r="J159" s="55"/>
      <c r="K159" s="56"/>
      <c r="L159" s="16">
        <v>1370177.0</v>
      </c>
    </row>
    <row r="160">
      <c r="A160" s="62" t="s">
        <v>49</v>
      </c>
      <c r="B160" s="50" t="str">
        <f>IFERROR(HYPERLINK(VLOOKUP(A160,Internal_lists_bugs!$A$2:$C$73,3,FALSE()), VLOOKUP(A160,Internal_lists_bugs!$A$2:$C$73,3,FALSE())&amp;Char(10) &amp; Char(10) &amp; VLOOKUP(A160,Internal_lists_bugs!$A$2:$Z$73,26,FALSE())),"please select a BUG ID")</f>
        <v>https://bugs.launchpad.net/nova/+bug/1370177
nova/block_device.py</v>
      </c>
      <c r="C160" s="51">
        <f>IFERROR(__xludf.DUMMYFUNCTION("IFERROR(IF(REGEXMATCH(VLOOKUP(A160,Internal_lists_bugs!$A$2:$R$73,18,FALSE()), ""Yes""), VLOOKUP(A160,Internal_lists_bugs!$A$2:$U$73,21,FALSE()), VLOOKUP(A160,Internal_lists_bugs!$A$2:$R$73,18,FALSE())),""please select a BUG ID"")"),1470834.0)</f>
        <v>1470834</v>
      </c>
      <c r="D160" s="16" t="s">
        <v>268</v>
      </c>
      <c r="E160" s="16" t="s">
        <v>269</v>
      </c>
      <c r="F160" s="55"/>
      <c r="G160" s="56"/>
      <c r="H160" s="54"/>
      <c r="J160" s="55"/>
      <c r="K160" s="56"/>
      <c r="L160" s="16">
        <v>1370177.0</v>
      </c>
    </row>
    <row r="161">
      <c r="A161" s="62" t="s">
        <v>49</v>
      </c>
      <c r="B161" s="50" t="str">
        <f>IFERROR(HYPERLINK(VLOOKUP(A161,Internal_lists_bugs!$A$2:$C$73,3,FALSE()), VLOOKUP(A161,Internal_lists_bugs!$A$2:$C$73,3,FALSE())&amp;Char(10) &amp; Char(10) &amp; VLOOKUP(A161,Internal_lists_bugs!$A$2:$Z$73,26,FALSE())),"please select a BUG ID")</f>
        <v>https://bugs.launchpad.net/nova/+bug/1370177
nova/block_device.py</v>
      </c>
      <c r="C161" s="51">
        <f>IFERROR(__xludf.DUMMYFUNCTION("IFERROR(IF(REGEXMATCH(VLOOKUP(A161,Internal_lists_bugs!$A$2:$R$73,18,FALSE()), ""Yes""), VLOOKUP(A161,Internal_lists_bugs!$A$2:$U$73,21,FALSE()), VLOOKUP(A161,Internal_lists_bugs!$A$2:$R$73,18,FALSE())),""please select a BUG ID"")"),1470834.0)</f>
        <v>1470834</v>
      </c>
      <c r="D161" s="16" t="s">
        <v>270</v>
      </c>
      <c r="E161" s="16" t="s">
        <v>195</v>
      </c>
      <c r="F161" s="55"/>
      <c r="G161" s="56"/>
      <c r="H161" s="54"/>
      <c r="J161" s="55"/>
      <c r="K161" s="56"/>
      <c r="L161" s="16">
        <v>1370177.0</v>
      </c>
    </row>
    <row r="162">
      <c r="A162" s="62" t="s">
        <v>49</v>
      </c>
      <c r="B162" s="50" t="str">
        <f>IFERROR(HYPERLINK(VLOOKUP(A162,Internal_lists_bugs!$A$2:$C$73,3,FALSE()), VLOOKUP(A162,Internal_lists_bugs!$A$2:$C$73,3,FALSE())&amp;Char(10) &amp; Char(10) &amp; VLOOKUP(A162,Internal_lists_bugs!$A$2:$Z$73,26,FALSE())),"please select a BUG ID")</f>
        <v>https://bugs.launchpad.net/nova/+bug/1370177
nova/block_device.py</v>
      </c>
      <c r="C162" s="51">
        <f>IFERROR(__xludf.DUMMYFUNCTION("IFERROR(IF(REGEXMATCH(VLOOKUP(A162,Internal_lists_bugs!$A$2:$R$73,18,FALSE()), ""Yes""), VLOOKUP(A162,Internal_lists_bugs!$A$2:$U$73,21,FALSE()), VLOOKUP(A162,Internal_lists_bugs!$A$2:$R$73,18,FALSE())),""please select a BUG ID"")"),1470834.0)</f>
        <v>1470834</v>
      </c>
      <c r="D162" s="16" t="s">
        <v>119</v>
      </c>
      <c r="E162" s="16" t="s">
        <v>271</v>
      </c>
      <c r="F162" s="52" t="s">
        <v>121</v>
      </c>
      <c r="G162" s="53" t="s">
        <v>163</v>
      </c>
      <c r="H162" s="16" t="s">
        <v>251</v>
      </c>
      <c r="J162" s="55"/>
      <c r="K162" s="56"/>
      <c r="L162" s="54">
        <v>1470834.0</v>
      </c>
    </row>
    <row r="163">
      <c r="A163" s="62" t="s">
        <v>49</v>
      </c>
      <c r="B163" s="50" t="str">
        <f>IFERROR(HYPERLINK(VLOOKUP(A163,Internal_lists_bugs!$A$2:$C$73,3,FALSE()), VLOOKUP(A163,Internal_lists_bugs!$A$2:$C$73,3,FALSE())&amp;Char(10) &amp; Char(10) &amp; VLOOKUP(A163,Internal_lists_bugs!$A$2:$Z$73,26,FALSE())),"please select a BUG ID")</f>
        <v>https://bugs.launchpad.net/nova/+bug/1370177
nova/block_device.py</v>
      </c>
      <c r="C163" s="51">
        <f>IFERROR(__xludf.DUMMYFUNCTION("IFERROR(IF(REGEXMATCH(VLOOKUP(A163,Internal_lists_bugs!$A$2:$R$73,18,FALSE()), ""Yes""), VLOOKUP(A163,Internal_lists_bugs!$A$2:$U$73,21,FALSE()), VLOOKUP(A163,Internal_lists_bugs!$A$2:$R$73,18,FALSE())),""please select a BUG ID"")"),1470834.0)</f>
        <v>1470834</v>
      </c>
      <c r="D163" s="16" t="s">
        <v>272</v>
      </c>
      <c r="E163" s="16" t="s">
        <v>273</v>
      </c>
      <c r="F163" s="55"/>
      <c r="G163" s="56"/>
      <c r="H163" s="54"/>
      <c r="J163" s="55"/>
      <c r="K163" s="56"/>
      <c r="L163" s="54">
        <v>1470834.0</v>
      </c>
    </row>
    <row r="164">
      <c r="A164" s="62" t="s">
        <v>49</v>
      </c>
      <c r="B164" s="50" t="str">
        <f>IFERROR(HYPERLINK(VLOOKUP(A164,Internal_lists_bugs!$A$2:$C$73,3,FALSE()), VLOOKUP(A164,Internal_lists_bugs!$A$2:$C$73,3,FALSE())&amp;Char(10) &amp; Char(10) &amp; VLOOKUP(A164,Internal_lists_bugs!$A$2:$Z$73,26,FALSE())),"please select a BUG ID")</f>
        <v>https://bugs.launchpad.net/nova/+bug/1370177
nova/block_device.py</v>
      </c>
      <c r="C164" s="51">
        <f>IFERROR(__xludf.DUMMYFUNCTION("IFERROR(IF(REGEXMATCH(VLOOKUP(A164,Internal_lists_bugs!$A$2:$R$73,18,FALSE()), ""Yes""), VLOOKUP(A164,Internal_lists_bugs!$A$2:$U$73,21,FALSE()), VLOOKUP(A164,Internal_lists_bugs!$A$2:$R$73,18,FALSE())),""please select a BUG ID"")"),1470834.0)</f>
        <v>1470834</v>
      </c>
      <c r="D164" s="16" t="s">
        <v>274</v>
      </c>
      <c r="E164" s="16" t="s">
        <v>275</v>
      </c>
      <c r="F164" s="55"/>
      <c r="G164" s="56"/>
      <c r="H164" s="54"/>
      <c r="J164" s="55"/>
      <c r="K164" s="56"/>
      <c r="L164" s="54">
        <v>1470834.0</v>
      </c>
    </row>
    <row r="165">
      <c r="A165" s="62" t="s">
        <v>49</v>
      </c>
      <c r="B165" s="50" t="str">
        <f>IFERROR(HYPERLINK(VLOOKUP(A165,Internal_lists_bugs!$A$2:$C$73,3,FALSE()), VLOOKUP(A165,Internal_lists_bugs!$A$2:$C$73,3,FALSE())&amp;Char(10) &amp; Char(10) &amp; VLOOKUP(A165,Internal_lists_bugs!$A$2:$Z$73,26,FALSE())),"please select a BUG ID")</f>
        <v>https://bugs.launchpad.net/nova/+bug/1370177
nova/block_device.py</v>
      </c>
      <c r="C165" s="51">
        <f>IFERROR(__xludf.DUMMYFUNCTION("IFERROR(IF(REGEXMATCH(VLOOKUP(A165,Internal_lists_bugs!$A$2:$R$73,18,FALSE()), ""Yes""), VLOOKUP(A165,Internal_lists_bugs!$A$2:$U$73,21,FALSE()), VLOOKUP(A165,Internal_lists_bugs!$A$2:$R$73,18,FALSE())),""please select a BUG ID"")"),1470834.0)</f>
        <v>1470834</v>
      </c>
      <c r="D165" s="16" t="s">
        <v>276</v>
      </c>
      <c r="E165" s="16" t="s">
        <v>277</v>
      </c>
      <c r="F165" s="55"/>
      <c r="G165" s="56"/>
      <c r="H165" s="54"/>
      <c r="J165" s="55"/>
      <c r="K165" s="56"/>
      <c r="L165" s="54">
        <v>1470834.0</v>
      </c>
    </row>
    <row r="166">
      <c r="A166" s="62" t="s">
        <v>49</v>
      </c>
      <c r="B166" s="50" t="str">
        <f>IFERROR(HYPERLINK(VLOOKUP(A166,Internal_lists_bugs!$A$2:$C$73,3,FALSE()), VLOOKUP(A166,Internal_lists_bugs!$A$2:$C$73,3,FALSE())&amp;Char(10) &amp; Char(10) &amp; VLOOKUP(A166,Internal_lists_bugs!$A$2:$Z$73,26,FALSE())),"please select a BUG ID")</f>
        <v>https://bugs.launchpad.net/nova/+bug/1370177
nova/block_device.py</v>
      </c>
      <c r="C166" s="51">
        <f>IFERROR(__xludf.DUMMYFUNCTION("IFERROR(IF(REGEXMATCH(VLOOKUP(A166,Internal_lists_bugs!$A$2:$R$73,18,FALSE()), ""Yes""), VLOOKUP(A166,Internal_lists_bugs!$A$2:$U$73,21,FALSE()), VLOOKUP(A166,Internal_lists_bugs!$A$2:$R$73,18,FALSE())),""please select a BUG ID"")"),1470834.0)</f>
        <v>1470834</v>
      </c>
      <c r="D166" s="16" t="s">
        <v>278</v>
      </c>
      <c r="E166" s="16" t="s">
        <v>279</v>
      </c>
      <c r="F166" s="55"/>
      <c r="G166" s="56"/>
      <c r="H166" s="54"/>
      <c r="J166" s="55"/>
      <c r="K166" s="56"/>
      <c r="L166" s="54">
        <v>1470834.0</v>
      </c>
    </row>
    <row r="167">
      <c r="A167" s="62" t="s">
        <v>49</v>
      </c>
      <c r="B167" s="50" t="str">
        <f>IFERROR(HYPERLINK(VLOOKUP(A167,Internal_lists_bugs!$A$2:$C$73,3,FALSE()), VLOOKUP(A167,Internal_lists_bugs!$A$2:$C$73,3,FALSE())&amp;Char(10) &amp; Char(10) &amp; VLOOKUP(A167,Internal_lists_bugs!$A$2:$Z$73,26,FALSE())),"please select a BUG ID")</f>
        <v>https://bugs.launchpad.net/nova/+bug/1370177
nova/block_device.py</v>
      </c>
      <c r="C167" s="51">
        <f>IFERROR(__xludf.DUMMYFUNCTION("IFERROR(IF(REGEXMATCH(VLOOKUP(A167,Internal_lists_bugs!$A$2:$R$73,18,FALSE()), ""Yes""), VLOOKUP(A167,Internal_lists_bugs!$A$2:$U$73,21,FALSE()), VLOOKUP(A167,Internal_lists_bugs!$A$2:$R$73,18,FALSE())),""please select a BUG ID"")"),1470834.0)</f>
        <v>1470834</v>
      </c>
      <c r="D167" s="16" t="s">
        <v>280</v>
      </c>
      <c r="E167" s="16" t="s">
        <v>281</v>
      </c>
      <c r="F167" s="55"/>
      <c r="G167" s="56"/>
      <c r="H167" s="54"/>
      <c r="J167" s="55"/>
      <c r="K167" s="56"/>
      <c r="L167" s="54">
        <v>1470834.0</v>
      </c>
    </row>
    <row r="168">
      <c r="A168" s="62" t="s">
        <v>49</v>
      </c>
      <c r="B168" s="50" t="str">
        <f>IFERROR(HYPERLINK(VLOOKUP(A168,Internal_lists_bugs!$A$2:$C$73,3,FALSE()), VLOOKUP(A168,Internal_lists_bugs!$A$2:$C$73,3,FALSE())&amp;Char(10) &amp; Char(10) &amp; VLOOKUP(A168,Internal_lists_bugs!$A$2:$Z$73,26,FALSE())),"please select a BUG ID")</f>
        <v>https://bugs.launchpad.net/nova/+bug/1370177
nova/block_device.py</v>
      </c>
      <c r="C168" s="51">
        <f>IFERROR(__xludf.DUMMYFUNCTION("IFERROR(IF(REGEXMATCH(VLOOKUP(A168,Internal_lists_bugs!$A$2:$R$73,18,FALSE()), ""Yes""), VLOOKUP(A168,Internal_lists_bugs!$A$2:$U$73,21,FALSE()), VLOOKUP(A168,Internal_lists_bugs!$A$2:$R$73,18,FALSE())),""please select a BUG ID"")"),1470834.0)</f>
        <v>1470834</v>
      </c>
      <c r="D168" s="16" t="s">
        <v>119</v>
      </c>
      <c r="E168" s="16" t="s">
        <v>144</v>
      </c>
      <c r="F168" s="52"/>
      <c r="G168" s="53"/>
      <c r="H168" s="16"/>
      <c r="J168" s="64"/>
      <c r="K168" s="65"/>
      <c r="L168" s="54">
        <v>1470834.0</v>
      </c>
    </row>
    <row r="169">
      <c r="A169" s="62" t="s">
        <v>50</v>
      </c>
      <c r="B169" s="50" t="str">
        <f>IFERROR(HYPERLINK(VLOOKUP(A169,Internal_lists_bugs!$A$2:$C$73,3,FALSE()), VLOOKUP(A169,Internal_lists_bugs!$A$2:$C$73,3,FALSE())&amp;Char(10) &amp; Char(10) &amp; VLOOKUP(A169,Internal_lists_bugs!$A$2:$Z$73,26,FALSE())),"please select a BUG ID")</f>
        <v>https://bugs.launchpad.net/nova/+bug/1403544
/compute/api.py</v>
      </c>
      <c r="C169" s="51" t="str">
        <f>IFERROR(__xludf.DUMMYFUNCTION("IFERROR(IF(REGEXMATCH(VLOOKUP(A169,Internal_lists_bugs!$A$2:$R$73,18,FALSE()), ""Yes""), VLOOKUP(A169,Internal_lists_bugs!$A$2:$U$73,21,FALSE()), VLOOKUP(A169,Internal_lists_bugs!$A$2:$R$73,18,FALSE())),""please select a BUG ID"")"),"No, however, check in the right corner of the bug description")</f>
        <v>No, however, check in the right corner of the bug description</v>
      </c>
      <c r="D169" s="16" t="s">
        <v>227</v>
      </c>
      <c r="E169" s="16" t="s">
        <v>282</v>
      </c>
      <c r="F169" s="52" t="s">
        <v>121</v>
      </c>
      <c r="G169" s="53" t="s">
        <v>283</v>
      </c>
      <c r="H169" s="16" t="s">
        <v>123</v>
      </c>
      <c r="J169" s="64" t="s">
        <v>123</v>
      </c>
      <c r="K169" s="65"/>
    </row>
    <row r="170">
      <c r="A170" s="62" t="s">
        <v>50</v>
      </c>
      <c r="B170" s="50" t="str">
        <f>IFERROR(HYPERLINK(VLOOKUP(A170,Internal_lists_bugs!$A$2:$C$73,3,FALSE()), VLOOKUP(A170,Internal_lists_bugs!$A$2:$C$73,3,FALSE())&amp;Char(10) &amp; Char(10) &amp; VLOOKUP(A170,Internal_lists_bugs!$A$2:$Z$73,26,FALSE())),"please select a BUG ID")</f>
        <v>https://bugs.launchpad.net/nova/+bug/1403544
/compute/api.py</v>
      </c>
      <c r="C170" s="51" t="str">
        <f>IFERROR(__xludf.DUMMYFUNCTION("IFERROR(IF(REGEXMATCH(VLOOKUP(A170,Internal_lists_bugs!$A$2:$R$73,18,FALSE()), ""Yes""), VLOOKUP(A170,Internal_lists_bugs!$A$2:$U$73,21,FALSE()), VLOOKUP(A170,Internal_lists_bugs!$A$2:$R$73,18,FALSE())),""please select a BUG ID"")"),"No, however, check in the right corner of the bug description")</f>
        <v>No, however, check in the right corner of the bug description</v>
      </c>
      <c r="D170" s="16" t="s">
        <v>129</v>
      </c>
      <c r="E170" s="16" t="s">
        <v>204</v>
      </c>
      <c r="F170" s="55"/>
      <c r="G170" s="56"/>
      <c r="H170" s="54"/>
      <c r="J170" s="55"/>
      <c r="K170" s="56"/>
    </row>
    <row r="171">
      <c r="A171" s="62" t="s">
        <v>50</v>
      </c>
      <c r="B171" s="50" t="str">
        <f>IFERROR(HYPERLINK(VLOOKUP(A171,Internal_lists_bugs!$A$2:$C$73,3,FALSE()), VLOOKUP(A171,Internal_lists_bugs!$A$2:$C$73,3,FALSE())&amp;Char(10) &amp; Char(10) &amp; VLOOKUP(A171,Internal_lists_bugs!$A$2:$Z$73,26,FALSE())),"please select a BUG ID")</f>
        <v>https://bugs.launchpad.net/nova/+bug/1403544
/compute/api.py</v>
      </c>
      <c r="C171" s="51" t="str">
        <f>IFERROR(__xludf.DUMMYFUNCTION("IFERROR(IF(REGEXMATCH(VLOOKUP(A171,Internal_lists_bugs!$A$2:$R$73,18,FALSE()), ""Yes""), VLOOKUP(A171,Internal_lists_bugs!$A$2:$U$73,21,FALSE()), VLOOKUP(A171,Internal_lists_bugs!$A$2:$R$73,18,FALSE())),""please select a BUG ID"")"),"No, however, check in the right corner of the bug description")</f>
        <v>No, however, check in the right corner of the bug description</v>
      </c>
      <c r="D171" s="16" t="s">
        <v>235</v>
      </c>
      <c r="E171" s="16" t="s">
        <v>205</v>
      </c>
      <c r="F171" s="55"/>
      <c r="G171" s="56"/>
      <c r="H171" s="54"/>
      <c r="J171" s="55"/>
      <c r="K171" s="56"/>
    </row>
    <row r="172">
      <c r="A172" s="62" t="s">
        <v>50</v>
      </c>
      <c r="B172" s="50" t="str">
        <f>IFERROR(HYPERLINK(VLOOKUP(A172,Internal_lists_bugs!$A$2:$C$73,3,FALSE()), VLOOKUP(A172,Internal_lists_bugs!$A$2:$C$73,3,FALSE())&amp;Char(10) &amp; Char(10) &amp; VLOOKUP(A172,Internal_lists_bugs!$A$2:$Z$73,26,FALSE())),"please select a BUG ID")</f>
        <v>https://bugs.launchpad.net/nova/+bug/1403544
/compute/api.py</v>
      </c>
      <c r="C172" s="51" t="str">
        <f>IFERROR(__xludf.DUMMYFUNCTION("IFERROR(IF(REGEXMATCH(VLOOKUP(A172,Internal_lists_bugs!$A$2:$R$73,18,FALSE()), ""Yes""), VLOOKUP(A172,Internal_lists_bugs!$A$2:$U$73,21,FALSE()), VLOOKUP(A172,Internal_lists_bugs!$A$2:$R$73,18,FALSE())),""please select a BUG ID"")"),"No, however, check in the right corner of the bug description")</f>
        <v>No, however, check in the right corner of the bug description</v>
      </c>
      <c r="D172" s="16" t="s">
        <v>284</v>
      </c>
      <c r="E172" s="16" t="s">
        <v>229</v>
      </c>
      <c r="F172" s="55"/>
      <c r="G172" s="56"/>
      <c r="H172" s="54"/>
      <c r="J172" s="55"/>
      <c r="K172" s="56"/>
    </row>
    <row r="173">
      <c r="A173" s="62" t="s">
        <v>50</v>
      </c>
      <c r="B173" s="50" t="str">
        <f>IFERROR(HYPERLINK(VLOOKUP(A173,Internal_lists_bugs!$A$2:$C$73,3,FALSE()), VLOOKUP(A173,Internal_lists_bugs!$A$2:$C$73,3,FALSE())&amp;Char(10) &amp; Char(10) &amp; VLOOKUP(A173,Internal_lists_bugs!$A$2:$Z$73,26,FALSE())),"please select a BUG ID")</f>
        <v>https://bugs.launchpad.net/nova/+bug/1403544
/compute/api.py</v>
      </c>
      <c r="C173" s="51" t="str">
        <f>IFERROR(__xludf.DUMMYFUNCTION("IFERROR(IF(REGEXMATCH(VLOOKUP(A173,Internal_lists_bugs!$A$2:$R$73,18,FALSE()), ""Yes""), VLOOKUP(A173,Internal_lists_bugs!$A$2:$U$73,21,FALSE()), VLOOKUP(A173,Internal_lists_bugs!$A$2:$R$73,18,FALSE())),""please select a BUG ID"")"),"No, however, check in the right corner of the bug description")</f>
        <v>No, however, check in the right corner of the bug description</v>
      </c>
      <c r="D173" s="16" t="s">
        <v>285</v>
      </c>
      <c r="E173" s="16" t="s">
        <v>216</v>
      </c>
      <c r="F173" s="55"/>
      <c r="G173" s="56"/>
      <c r="H173" s="54"/>
      <c r="J173" s="55"/>
      <c r="K173" s="56"/>
    </row>
    <row r="174">
      <c r="A174" s="62" t="s">
        <v>50</v>
      </c>
      <c r="B174" s="50" t="str">
        <f>IFERROR(HYPERLINK(VLOOKUP(A174,Internal_lists_bugs!$A$2:$C$73,3,FALSE()), VLOOKUP(A174,Internal_lists_bugs!$A$2:$C$73,3,FALSE())&amp;Char(10) &amp; Char(10) &amp; VLOOKUP(A174,Internal_lists_bugs!$A$2:$Z$73,26,FALSE())),"please select a BUG ID")</f>
        <v>https://bugs.launchpad.net/nova/+bug/1403544
/compute/api.py</v>
      </c>
      <c r="C174" s="51" t="str">
        <f>IFERROR(__xludf.DUMMYFUNCTION("IFERROR(IF(REGEXMATCH(VLOOKUP(A174,Internal_lists_bugs!$A$2:$R$73,18,FALSE()), ""Yes""), VLOOKUP(A174,Internal_lists_bugs!$A$2:$U$73,21,FALSE()), VLOOKUP(A174,Internal_lists_bugs!$A$2:$R$73,18,FALSE())),""please select a BUG ID"")"),"No, however, check in the right corner of the bug description")</f>
        <v>No, however, check in the right corner of the bug description</v>
      </c>
      <c r="D174" s="16" t="s">
        <v>131</v>
      </c>
      <c r="E174" s="16" t="s">
        <v>217</v>
      </c>
      <c r="F174" s="55"/>
      <c r="G174" s="56"/>
      <c r="H174" s="54"/>
      <c r="J174" s="55"/>
      <c r="K174" s="56"/>
    </row>
    <row r="175">
      <c r="A175" s="62" t="s">
        <v>50</v>
      </c>
      <c r="B175" s="50" t="str">
        <f>IFERROR(HYPERLINK(VLOOKUP(A175,Internal_lists_bugs!$A$2:$C$73,3,FALSE()), VLOOKUP(A175,Internal_lists_bugs!$A$2:$C$73,3,FALSE())&amp;Char(10) &amp; Char(10) &amp; VLOOKUP(A175,Internal_lists_bugs!$A$2:$Z$73,26,FALSE())),"please select a BUG ID")</f>
        <v>https://bugs.launchpad.net/nova/+bug/1403544
/compute/api.py</v>
      </c>
      <c r="C175" s="51" t="str">
        <f>IFERROR(__xludf.DUMMYFUNCTION("IFERROR(IF(REGEXMATCH(VLOOKUP(A175,Internal_lists_bugs!$A$2:$R$73,18,FALSE()), ""Yes""), VLOOKUP(A175,Internal_lists_bugs!$A$2:$U$73,21,FALSE()), VLOOKUP(A175,Internal_lists_bugs!$A$2:$R$73,18,FALSE())),""please select a BUG ID"")"),"No, however, check in the right corner of the bug description")</f>
        <v>No, however, check in the right corner of the bug description</v>
      </c>
      <c r="D175" s="16" t="s">
        <v>237</v>
      </c>
      <c r="E175" s="16" t="s">
        <v>183</v>
      </c>
      <c r="F175" s="55"/>
      <c r="G175" s="56"/>
      <c r="H175" s="54"/>
      <c r="J175" s="55"/>
      <c r="K175" s="56"/>
    </row>
    <row r="176">
      <c r="A176" s="62" t="s">
        <v>50</v>
      </c>
      <c r="B176" s="50" t="str">
        <f>IFERROR(HYPERLINK(VLOOKUP(A176,Internal_lists_bugs!$A$2:$C$73,3,FALSE()), VLOOKUP(A176,Internal_lists_bugs!$A$2:$C$73,3,FALSE())&amp;Char(10) &amp; Char(10) &amp; VLOOKUP(A176,Internal_lists_bugs!$A$2:$Z$73,26,FALSE())),"please select a BUG ID")</f>
        <v>https://bugs.launchpad.net/nova/+bug/1403544
/compute/api.py</v>
      </c>
      <c r="C176" s="51" t="str">
        <f>IFERROR(__xludf.DUMMYFUNCTION("IFERROR(IF(REGEXMATCH(VLOOKUP(A176,Internal_lists_bugs!$A$2:$R$73,18,FALSE()), ""Yes""), VLOOKUP(A176,Internal_lists_bugs!$A$2:$U$73,21,FALSE()), VLOOKUP(A176,Internal_lists_bugs!$A$2:$R$73,18,FALSE())),""please select a BUG ID"")"),"No, however, check in the right corner of the bug description")</f>
        <v>No, however, check in the right corner of the bug description</v>
      </c>
      <c r="D176" s="16" t="s">
        <v>238</v>
      </c>
      <c r="E176" s="16" t="s">
        <v>185</v>
      </c>
      <c r="F176" s="55"/>
      <c r="G176" s="56"/>
      <c r="H176" s="54"/>
      <c r="J176" s="55"/>
      <c r="K176" s="56"/>
    </row>
    <row r="177">
      <c r="A177" s="62" t="s">
        <v>50</v>
      </c>
      <c r="B177" s="50" t="str">
        <f>IFERROR(HYPERLINK(VLOOKUP(A177,Internal_lists_bugs!$A$2:$C$73,3,FALSE()), VLOOKUP(A177,Internal_lists_bugs!$A$2:$C$73,3,FALSE())&amp;Char(10) &amp; Char(10) &amp; VLOOKUP(A177,Internal_lists_bugs!$A$2:$Z$73,26,FALSE())),"please select a BUG ID")</f>
        <v>https://bugs.launchpad.net/nova/+bug/1403544
/compute/api.py</v>
      </c>
      <c r="C177" s="51" t="str">
        <f>IFERROR(__xludf.DUMMYFUNCTION("IFERROR(IF(REGEXMATCH(VLOOKUP(A177,Internal_lists_bugs!$A$2:$R$73,18,FALSE()), ""Yes""), VLOOKUP(A177,Internal_lists_bugs!$A$2:$U$73,21,FALSE()), VLOOKUP(A177,Internal_lists_bugs!$A$2:$R$73,18,FALSE())),""please select a BUG ID"")"),"No, however, check in the right corner of the bug description")</f>
        <v>No, however, check in the right corner of the bug description</v>
      </c>
      <c r="D177" s="16" t="s">
        <v>119</v>
      </c>
      <c r="E177" s="66" t="s">
        <v>144</v>
      </c>
      <c r="F177" s="52"/>
      <c r="G177" s="56"/>
      <c r="H177" s="16"/>
      <c r="I177" s="16"/>
      <c r="J177" s="67"/>
      <c r="K177" s="68"/>
    </row>
    <row r="178">
      <c r="A178" s="62" t="s">
        <v>50</v>
      </c>
      <c r="B178" s="50" t="str">
        <f>IFERROR(HYPERLINK(VLOOKUP(A178,Internal_lists_bugs!$A$2:$C$73,3,FALSE()), VLOOKUP(A178,Internal_lists_bugs!$A$2:$C$73,3,FALSE())&amp;Char(10) &amp; Char(10) &amp; VLOOKUP(A178,Internal_lists_bugs!$A$2:$Z$73,26,FALSE())),"please select a BUG ID")</f>
        <v>https://bugs.launchpad.net/nova/+bug/1403544
/compute/api.py</v>
      </c>
      <c r="C178" s="51" t="str">
        <f>IFERROR(__xludf.DUMMYFUNCTION("IFERROR(IF(REGEXMATCH(VLOOKUP(A178,Internal_lists_bugs!$A$2:$R$73,18,FALSE()), ""Yes""), VLOOKUP(A178,Internal_lists_bugs!$A$2:$U$73,21,FALSE()), VLOOKUP(A178,Internal_lists_bugs!$A$2:$R$73,18,FALSE())),""please select a BUG ID"")"),"No, however, check in the right corner of the bug description")</f>
        <v>No, however, check in the right corner of the bug description</v>
      </c>
      <c r="D178" s="16" t="s">
        <v>227</v>
      </c>
      <c r="E178" s="66" t="s">
        <v>144</v>
      </c>
      <c r="F178" s="52"/>
      <c r="G178" s="56"/>
      <c r="H178" s="16"/>
      <c r="I178" s="16"/>
      <c r="J178" s="67"/>
      <c r="K178" s="68"/>
    </row>
    <row r="179">
      <c r="A179" s="62" t="s">
        <v>51</v>
      </c>
      <c r="B179" s="50" t="str">
        <f>IFERROR(HYPERLINK(VLOOKUP(A179,Internal_lists_bugs!$A$2:$C$73,3,FALSE()), VLOOKUP(A179,Internal_lists_bugs!$A$2:$C$73,3,FALSE())&amp;Char(10) &amp; Char(10) &amp; VLOOKUP(A179,Internal_lists_bugs!$A$2:$Z$73,26,FALSE())),"please select a BUG ID")</f>
        <v>https://bugs.launchpad.net/nova/+bug/1370590
/libvirt/driver.py</v>
      </c>
      <c r="C179" s="51">
        <f>IFERROR(__xludf.DUMMYFUNCTION("IFERROR(IF(REGEXMATCH(VLOOKUP(A179,Internal_lists_bugs!$A$2:$R$73,18,FALSE()), ""Yes""), VLOOKUP(A179,Internal_lists_bugs!$A$2:$U$73,21,FALSE()), VLOOKUP(A179,Internal_lists_bugs!$A$2:$R$73,18,FALSE())),""please select a BUG ID"")"),1387539.0)</f>
        <v>1387539</v>
      </c>
      <c r="D179" s="16" t="s">
        <v>127</v>
      </c>
      <c r="E179" s="14" t="s">
        <v>286</v>
      </c>
      <c r="F179" s="52" t="s">
        <v>121</v>
      </c>
      <c r="G179" s="56"/>
      <c r="H179" s="16" t="s">
        <v>251</v>
      </c>
      <c r="I179" s="63" t="s">
        <v>287</v>
      </c>
      <c r="J179" s="67" t="s">
        <v>251</v>
      </c>
      <c r="K179" s="68" t="s">
        <v>185</v>
      </c>
      <c r="L179" s="16">
        <v>1370590.0</v>
      </c>
    </row>
    <row r="180">
      <c r="A180" s="62" t="s">
        <v>51</v>
      </c>
      <c r="B180" s="50" t="str">
        <f>IFERROR(HYPERLINK(VLOOKUP(A180,Internal_lists_bugs!$A$2:$C$73,3,FALSE()), VLOOKUP(A180,Internal_lists_bugs!$A$2:$C$73,3,FALSE())&amp;Char(10) &amp; Char(10) &amp; VLOOKUP(A180,Internal_lists_bugs!$A$2:$Z$73,26,FALSE())),"please select a BUG ID")</f>
        <v>https://bugs.launchpad.net/nova/+bug/1370590
/libvirt/driver.py</v>
      </c>
      <c r="C180" s="51">
        <f>IFERROR(__xludf.DUMMYFUNCTION("IFERROR(IF(REGEXMATCH(VLOOKUP(A180,Internal_lists_bugs!$A$2:$R$73,18,FALSE()), ""Yes""), VLOOKUP(A180,Internal_lists_bugs!$A$2:$U$73,21,FALSE()), VLOOKUP(A180,Internal_lists_bugs!$A$2:$R$73,18,FALSE())),""please select a BUG ID"")"),1387539.0)</f>
        <v>1387539</v>
      </c>
      <c r="D180" s="16" t="s">
        <v>227</v>
      </c>
      <c r="E180" s="16" t="s">
        <v>288</v>
      </c>
      <c r="F180" s="55"/>
      <c r="G180" s="56"/>
      <c r="H180" s="54"/>
      <c r="J180" s="55"/>
      <c r="K180" s="56"/>
      <c r="L180" s="16">
        <v>1370590.0</v>
      </c>
    </row>
    <row r="181">
      <c r="A181" s="62" t="s">
        <v>51</v>
      </c>
      <c r="B181" s="50" t="str">
        <f>IFERROR(HYPERLINK(VLOOKUP(A181,Internal_lists_bugs!$A$2:$C$73,3,FALSE()), VLOOKUP(A181,Internal_lists_bugs!$A$2:$C$73,3,FALSE())&amp;Char(10) &amp; Char(10) &amp; VLOOKUP(A181,Internal_lists_bugs!$A$2:$Z$73,26,FALSE())),"please select a BUG ID")</f>
        <v>https://bugs.launchpad.net/nova/+bug/1370590
/libvirt/driver.py</v>
      </c>
      <c r="C181" s="51">
        <f>IFERROR(__xludf.DUMMYFUNCTION("IFERROR(IF(REGEXMATCH(VLOOKUP(A181,Internal_lists_bugs!$A$2:$R$73,18,FALSE()), ""Yes""), VLOOKUP(A181,Internal_lists_bugs!$A$2:$U$73,21,FALSE()), VLOOKUP(A181,Internal_lists_bugs!$A$2:$R$73,18,FALSE())),""please select a BUG ID"")"),1387539.0)</f>
        <v>1387539</v>
      </c>
      <c r="D181" s="16" t="s">
        <v>119</v>
      </c>
      <c r="E181" s="16" t="s">
        <v>289</v>
      </c>
      <c r="F181" s="55"/>
      <c r="G181" s="56"/>
      <c r="H181" s="54"/>
      <c r="J181" s="55"/>
      <c r="K181" s="56"/>
      <c r="L181" s="16">
        <v>1370590.0</v>
      </c>
    </row>
    <row r="182">
      <c r="A182" s="62" t="s">
        <v>51</v>
      </c>
      <c r="B182" s="50" t="str">
        <f>IFERROR(HYPERLINK(VLOOKUP(A182,Internal_lists_bugs!$A$2:$C$73,3,FALSE()), VLOOKUP(A182,Internal_lists_bugs!$A$2:$C$73,3,FALSE())&amp;Char(10) &amp; Char(10) &amp; VLOOKUP(A182,Internal_lists_bugs!$A$2:$Z$73,26,FALSE())),"please select a BUG ID")</f>
        <v>https://bugs.launchpad.net/nova/+bug/1370590
/libvirt/driver.py</v>
      </c>
      <c r="C182" s="51">
        <f>IFERROR(__xludf.DUMMYFUNCTION("IFERROR(IF(REGEXMATCH(VLOOKUP(A182,Internal_lists_bugs!$A$2:$R$73,18,FALSE()), ""Yes""), VLOOKUP(A182,Internal_lists_bugs!$A$2:$U$73,21,FALSE()), VLOOKUP(A182,Internal_lists_bugs!$A$2:$R$73,18,FALSE())),""please select a BUG ID"")"),1387539.0)</f>
        <v>1387539</v>
      </c>
      <c r="D182" s="16" t="s">
        <v>129</v>
      </c>
      <c r="E182" s="16" t="s">
        <v>204</v>
      </c>
      <c r="F182" s="55"/>
      <c r="G182" s="56"/>
      <c r="H182" s="54"/>
      <c r="J182" s="55"/>
      <c r="K182" s="56"/>
      <c r="L182" s="16">
        <v>1370590.0</v>
      </c>
    </row>
    <row r="183">
      <c r="A183" s="62" t="s">
        <v>51</v>
      </c>
      <c r="B183" s="50" t="str">
        <f>IFERROR(HYPERLINK(VLOOKUP(A183,Internal_lists_bugs!$A$2:$C$73,3,FALSE()), VLOOKUP(A183,Internal_lists_bugs!$A$2:$C$73,3,FALSE())&amp;Char(10) &amp; Char(10) &amp; VLOOKUP(A183,Internal_lists_bugs!$A$2:$Z$73,26,FALSE())),"please select a BUG ID")</f>
        <v>https://bugs.launchpad.net/nova/+bug/1370590
/libvirt/driver.py</v>
      </c>
      <c r="C183" s="51">
        <f>IFERROR(__xludf.DUMMYFUNCTION("IFERROR(IF(REGEXMATCH(VLOOKUP(A183,Internal_lists_bugs!$A$2:$R$73,18,FALSE()), ""Yes""), VLOOKUP(A183,Internal_lists_bugs!$A$2:$U$73,21,FALSE()), VLOOKUP(A183,Internal_lists_bugs!$A$2:$R$73,18,FALSE())),""please select a BUG ID"")"),1387539.0)</f>
        <v>1387539</v>
      </c>
      <c r="D183" s="16" t="s">
        <v>235</v>
      </c>
      <c r="E183" s="16" t="s">
        <v>205</v>
      </c>
      <c r="F183" s="55"/>
      <c r="G183" s="56"/>
      <c r="H183" s="54"/>
      <c r="J183" s="55"/>
      <c r="K183" s="56"/>
      <c r="L183" s="16">
        <v>1370590.0</v>
      </c>
    </row>
    <row r="184">
      <c r="A184" s="62" t="s">
        <v>51</v>
      </c>
      <c r="B184" s="50" t="str">
        <f>IFERROR(HYPERLINK(VLOOKUP(A184,Internal_lists_bugs!$A$2:$C$73,3,FALSE()), VLOOKUP(A184,Internal_lists_bugs!$A$2:$C$73,3,FALSE())&amp;Char(10) &amp; Char(10) &amp; VLOOKUP(A184,Internal_lists_bugs!$A$2:$Z$73,26,FALSE())),"please select a BUG ID")</f>
        <v>https://bugs.launchpad.net/nova/+bug/1370590
/libvirt/driver.py</v>
      </c>
      <c r="C184" s="51">
        <f>IFERROR(__xludf.DUMMYFUNCTION("IFERROR(IF(REGEXMATCH(VLOOKUP(A184,Internal_lists_bugs!$A$2:$R$73,18,FALSE()), ""Yes""), VLOOKUP(A184,Internal_lists_bugs!$A$2:$U$73,21,FALSE()), VLOOKUP(A184,Internal_lists_bugs!$A$2:$R$73,18,FALSE())),""please select a BUG ID"")"),1387539.0)</f>
        <v>1387539</v>
      </c>
      <c r="D184" s="16" t="s">
        <v>237</v>
      </c>
      <c r="E184" s="16" t="s">
        <v>229</v>
      </c>
      <c r="F184" s="55"/>
      <c r="G184" s="56"/>
      <c r="H184" s="54"/>
      <c r="J184" s="55"/>
      <c r="K184" s="56"/>
      <c r="L184" s="16">
        <v>1370590.0</v>
      </c>
    </row>
    <row r="185">
      <c r="A185" s="62" t="s">
        <v>51</v>
      </c>
      <c r="B185" s="50" t="str">
        <f>IFERROR(HYPERLINK(VLOOKUP(A185,Internal_lists_bugs!$A$2:$C$73,3,FALSE()), VLOOKUP(A185,Internal_lists_bugs!$A$2:$C$73,3,FALSE())&amp;Char(10) &amp; Char(10) &amp; VLOOKUP(A185,Internal_lists_bugs!$A$2:$Z$73,26,FALSE())),"please select a BUG ID")</f>
        <v>https://bugs.launchpad.net/nova/+bug/1370590
/libvirt/driver.py</v>
      </c>
      <c r="C185" s="51">
        <f>IFERROR(__xludf.DUMMYFUNCTION("IFERROR(IF(REGEXMATCH(VLOOKUP(A185,Internal_lists_bugs!$A$2:$R$73,18,FALSE()), ""Yes""), VLOOKUP(A185,Internal_lists_bugs!$A$2:$U$73,21,FALSE()), VLOOKUP(A185,Internal_lists_bugs!$A$2:$R$73,18,FALSE())),""please select a BUG ID"")"),1387539.0)</f>
        <v>1387539</v>
      </c>
      <c r="D185" s="16" t="s">
        <v>238</v>
      </c>
      <c r="E185" s="16" t="s">
        <v>216</v>
      </c>
      <c r="F185" s="55"/>
      <c r="G185" s="56"/>
      <c r="H185" s="54"/>
      <c r="J185" s="55"/>
      <c r="K185" s="56"/>
      <c r="L185" s="16">
        <v>1370590.0</v>
      </c>
    </row>
    <row r="186">
      <c r="A186" s="62" t="s">
        <v>51</v>
      </c>
      <c r="B186" s="50" t="str">
        <f>IFERROR(HYPERLINK(VLOOKUP(A186,Internal_lists_bugs!$A$2:$C$73,3,FALSE()), VLOOKUP(A186,Internal_lists_bugs!$A$2:$C$73,3,FALSE())&amp;Char(10) &amp; Char(10) &amp; VLOOKUP(A186,Internal_lists_bugs!$A$2:$Z$73,26,FALSE())),"please select a BUG ID")</f>
        <v>https://bugs.launchpad.net/nova/+bug/1370590
/libvirt/driver.py</v>
      </c>
      <c r="C186" s="51">
        <f>IFERROR(__xludf.DUMMYFUNCTION("IFERROR(IF(REGEXMATCH(VLOOKUP(A186,Internal_lists_bugs!$A$2:$R$73,18,FALSE()), ""Yes""), VLOOKUP(A186,Internal_lists_bugs!$A$2:$U$73,21,FALSE()), VLOOKUP(A186,Internal_lists_bugs!$A$2:$R$73,18,FALSE())),""please select a BUG ID"")"),1387539.0)</f>
        <v>1387539</v>
      </c>
      <c r="D186" s="16" t="s">
        <v>290</v>
      </c>
      <c r="E186" s="16" t="s">
        <v>217</v>
      </c>
      <c r="F186" s="55"/>
      <c r="G186" s="56"/>
      <c r="H186" s="54"/>
      <c r="J186" s="55"/>
      <c r="K186" s="56"/>
      <c r="L186" s="16">
        <v>1370590.0</v>
      </c>
    </row>
    <row r="187">
      <c r="A187" s="62" t="s">
        <v>51</v>
      </c>
      <c r="B187" s="50" t="str">
        <f>IFERROR(HYPERLINK(VLOOKUP(A187,Internal_lists_bugs!$A$2:$C$73,3,FALSE()), VLOOKUP(A187,Internal_lists_bugs!$A$2:$C$73,3,FALSE())&amp;Char(10) &amp; Char(10) &amp; VLOOKUP(A187,Internal_lists_bugs!$A$2:$Z$73,26,FALSE())),"please select a BUG ID")</f>
        <v>https://bugs.launchpad.net/nova/+bug/1370590
/libvirt/driver.py</v>
      </c>
      <c r="C187" s="51">
        <f>IFERROR(__xludf.DUMMYFUNCTION("IFERROR(IF(REGEXMATCH(VLOOKUP(A187,Internal_lists_bugs!$A$2:$R$73,18,FALSE()), ""Yes""), VLOOKUP(A187,Internal_lists_bugs!$A$2:$U$73,21,FALSE()), VLOOKUP(A187,Internal_lists_bugs!$A$2:$R$73,18,FALSE())),""please select a BUG ID"")"),1387539.0)</f>
        <v>1387539</v>
      </c>
      <c r="D187" s="16" t="s">
        <v>291</v>
      </c>
      <c r="E187" s="16" t="s">
        <v>217</v>
      </c>
      <c r="F187" s="55"/>
      <c r="G187" s="56"/>
      <c r="H187" s="54"/>
      <c r="J187" s="55"/>
      <c r="K187" s="56"/>
      <c r="L187" s="16">
        <v>1370590.0</v>
      </c>
    </row>
    <row r="188">
      <c r="A188" s="62" t="s">
        <v>51</v>
      </c>
      <c r="B188" s="50" t="str">
        <f>IFERROR(HYPERLINK(VLOOKUP(A188,Internal_lists_bugs!$A$2:$C$73,3,FALSE()), VLOOKUP(A188,Internal_lists_bugs!$A$2:$C$73,3,FALSE())&amp;Char(10) &amp; Char(10) &amp; VLOOKUP(A188,Internal_lists_bugs!$A$2:$Z$73,26,FALSE())),"please select a BUG ID")</f>
        <v>https://bugs.launchpad.net/nova/+bug/1370590
/libvirt/driver.py</v>
      </c>
      <c r="C188" s="51">
        <f>IFERROR(__xludf.DUMMYFUNCTION("IFERROR(IF(REGEXMATCH(VLOOKUP(A188,Internal_lists_bugs!$A$2:$R$73,18,FALSE()), ""Yes""), VLOOKUP(A188,Internal_lists_bugs!$A$2:$U$73,21,FALSE()), VLOOKUP(A188,Internal_lists_bugs!$A$2:$R$73,18,FALSE())),""please select a BUG ID"")"),1387539.0)</f>
        <v>1387539</v>
      </c>
      <c r="D188" s="16" t="s">
        <v>292</v>
      </c>
      <c r="E188" s="16" t="s">
        <v>183</v>
      </c>
      <c r="F188" s="55"/>
      <c r="G188" s="56"/>
      <c r="H188" s="54"/>
      <c r="J188" s="55"/>
      <c r="K188" s="56"/>
      <c r="L188" s="16">
        <v>1370590.0</v>
      </c>
    </row>
    <row r="189">
      <c r="A189" s="62" t="s">
        <v>51</v>
      </c>
      <c r="B189" s="50" t="str">
        <f>IFERROR(HYPERLINK(VLOOKUP(A189,Internal_lists_bugs!$A$2:$C$73,3,FALSE()), VLOOKUP(A189,Internal_lists_bugs!$A$2:$C$73,3,FALSE())&amp;Char(10) &amp; Char(10) &amp; VLOOKUP(A189,Internal_lists_bugs!$A$2:$Z$73,26,FALSE())),"please select a BUG ID")</f>
        <v>https://bugs.launchpad.net/nova/+bug/1370590
/libvirt/driver.py</v>
      </c>
      <c r="C189" s="51">
        <f>IFERROR(__xludf.DUMMYFUNCTION("IFERROR(IF(REGEXMATCH(VLOOKUP(A189,Internal_lists_bugs!$A$2:$R$73,18,FALSE()), ""Yes""), VLOOKUP(A189,Internal_lists_bugs!$A$2:$U$73,21,FALSE()), VLOOKUP(A189,Internal_lists_bugs!$A$2:$R$73,18,FALSE())),""please select a BUG ID"")"),1387539.0)</f>
        <v>1387539</v>
      </c>
      <c r="D189" s="16" t="s">
        <v>293</v>
      </c>
      <c r="E189" s="16" t="s">
        <v>183</v>
      </c>
      <c r="F189" s="55"/>
      <c r="G189" s="56"/>
      <c r="H189" s="54"/>
      <c r="J189" s="55"/>
      <c r="K189" s="56"/>
      <c r="L189" s="16">
        <v>1370590.0</v>
      </c>
    </row>
    <row r="190">
      <c r="A190" s="62" t="s">
        <v>51</v>
      </c>
      <c r="B190" s="50" t="str">
        <f>IFERROR(HYPERLINK(VLOOKUP(A190,Internal_lists_bugs!$A$2:$C$73,3,FALSE()), VLOOKUP(A190,Internal_lists_bugs!$A$2:$C$73,3,FALSE())&amp;Char(10) &amp; Char(10) &amp; VLOOKUP(A190,Internal_lists_bugs!$A$2:$Z$73,26,FALSE())),"please select a BUG ID")</f>
        <v>https://bugs.launchpad.net/nova/+bug/1370590
/libvirt/driver.py</v>
      </c>
      <c r="C190" s="51">
        <f>IFERROR(__xludf.DUMMYFUNCTION("IFERROR(IF(REGEXMATCH(VLOOKUP(A190,Internal_lists_bugs!$A$2:$R$73,18,FALSE()), ""Yes""), VLOOKUP(A190,Internal_lists_bugs!$A$2:$U$73,21,FALSE()), VLOOKUP(A190,Internal_lists_bugs!$A$2:$R$73,18,FALSE())),""please select a BUG ID"")"),1387539.0)</f>
        <v>1387539</v>
      </c>
      <c r="D190" s="16" t="s">
        <v>294</v>
      </c>
      <c r="E190" s="16" t="s">
        <v>185</v>
      </c>
      <c r="F190" s="55"/>
      <c r="G190" s="56"/>
      <c r="H190" s="54"/>
      <c r="J190" s="55"/>
      <c r="K190" s="56"/>
      <c r="L190" s="16">
        <v>1370590.0</v>
      </c>
    </row>
    <row r="191">
      <c r="A191" s="62" t="s">
        <v>51</v>
      </c>
      <c r="B191" s="50" t="str">
        <f>IFERROR(HYPERLINK(VLOOKUP(A191,Internal_lists_bugs!$A$2:$C$73,3,FALSE()), VLOOKUP(A191,Internal_lists_bugs!$A$2:$C$73,3,FALSE())&amp;Char(10) &amp; Char(10) &amp; VLOOKUP(A191,Internal_lists_bugs!$A$2:$Z$73,26,FALSE())),"please select a BUG ID")</f>
        <v>https://bugs.launchpad.net/nova/+bug/1370590
/libvirt/driver.py</v>
      </c>
      <c r="C191" s="51">
        <f>IFERROR(__xludf.DUMMYFUNCTION("IFERROR(IF(REGEXMATCH(VLOOKUP(A191,Internal_lists_bugs!$A$2:$R$73,18,FALSE()), ""Yes""), VLOOKUP(A191,Internal_lists_bugs!$A$2:$U$73,21,FALSE()), VLOOKUP(A191,Internal_lists_bugs!$A$2:$R$73,18,FALSE())),""please select a BUG ID"")"),1387539.0)</f>
        <v>1387539</v>
      </c>
      <c r="D191" s="16" t="s">
        <v>295</v>
      </c>
      <c r="E191" s="16" t="s">
        <v>185</v>
      </c>
      <c r="F191" s="55"/>
      <c r="G191" s="56"/>
      <c r="H191" s="54"/>
      <c r="J191" s="55"/>
      <c r="K191" s="56"/>
      <c r="L191" s="16">
        <v>1370590.0</v>
      </c>
    </row>
    <row r="192">
      <c r="A192" s="62" t="s">
        <v>51</v>
      </c>
      <c r="B192" s="50" t="str">
        <f>IFERROR(HYPERLINK(VLOOKUP(A192,Internal_lists_bugs!$A$2:$C$73,3,FALSE()), VLOOKUP(A192,Internal_lists_bugs!$A$2:$C$73,3,FALSE())&amp;Char(10) &amp; Char(10) &amp; VLOOKUP(A192,Internal_lists_bugs!$A$2:$Z$73,26,FALSE())),"please select a BUG ID")</f>
        <v>https://bugs.launchpad.net/nova/+bug/1370590
/libvirt/driver.py</v>
      </c>
      <c r="C192" s="51">
        <f>IFERROR(__xludf.DUMMYFUNCTION("IFERROR(IF(REGEXMATCH(VLOOKUP(A192,Internal_lists_bugs!$A$2:$R$73,18,FALSE()), ""Yes""), VLOOKUP(A192,Internal_lists_bugs!$A$2:$U$73,21,FALSE()), VLOOKUP(A192,Internal_lists_bugs!$A$2:$R$73,18,FALSE())),""please select a BUG ID"")"),1387539.0)</f>
        <v>1387539</v>
      </c>
      <c r="D192" s="16" t="s">
        <v>296</v>
      </c>
      <c r="E192" s="16" t="s">
        <v>185</v>
      </c>
      <c r="F192" s="55"/>
      <c r="G192" s="56"/>
      <c r="H192" s="54"/>
      <c r="J192" s="55"/>
      <c r="K192" s="56"/>
      <c r="L192" s="16">
        <v>1370590.0</v>
      </c>
    </row>
    <row r="193">
      <c r="A193" s="62" t="s">
        <v>51</v>
      </c>
      <c r="B193" s="50" t="str">
        <f>IFERROR(HYPERLINK(VLOOKUP(A193,Internal_lists_bugs!$A$2:$C$73,3,FALSE()), VLOOKUP(A193,Internal_lists_bugs!$A$2:$C$73,3,FALSE())&amp;Char(10) &amp; Char(10) &amp; VLOOKUP(A193,Internal_lists_bugs!$A$2:$Z$73,26,FALSE())),"please select a BUG ID")</f>
        <v>https://bugs.launchpad.net/nova/+bug/1370590
/libvirt/driver.py</v>
      </c>
      <c r="C193" s="51">
        <f>IFERROR(__xludf.DUMMYFUNCTION("IFERROR(IF(REGEXMATCH(VLOOKUP(A193,Internal_lists_bugs!$A$2:$R$73,18,FALSE()), ""Yes""), VLOOKUP(A193,Internal_lists_bugs!$A$2:$U$73,21,FALSE()), VLOOKUP(A193,Internal_lists_bugs!$A$2:$R$73,18,FALSE())),""please select a BUG ID"")"),1387539.0)</f>
        <v>1387539</v>
      </c>
      <c r="D193" s="16" t="s">
        <v>297</v>
      </c>
      <c r="E193" s="16" t="s">
        <v>185</v>
      </c>
      <c r="F193" s="55"/>
      <c r="G193" s="56"/>
      <c r="H193" s="54"/>
      <c r="J193" s="55"/>
      <c r="K193" s="56"/>
      <c r="L193" s="16">
        <v>1370590.0</v>
      </c>
    </row>
    <row r="194">
      <c r="A194" s="62" t="s">
        <v>51</v>
      </c>
      <c r="B194" s="50" t="str">
        <f>IFERROR(HYPERLINK(VLOOKUP(A194,Internal_lists_bugs!$A$2:$C$73,3,FALSE()), VLOOKUP(A194,Internal_lists_bugs!$A$2:$C$73,3,FALSE())&amp;Char(10) &amp; Char(10) &amp; VLOOKUP(A194,Internal_lists_bugs!$A$2:$Z$73,26,FALSE())),"please select a BUG ID")</f>
        <v>https://bugs.launchpad.net/nova/+bug/1370590
/libvirt/driver.py</v>
      </c>
      <c r="C194" s="51">
        <f>IFERROR(__xludf.DUMMYFUNCTION("IFERROR(IF(REGEXMATCH(VLOOKUP(A194,Internal_lists_bugs!$A$2:$R$73,18,FALSE()), ""Yes""), VLOOKUP(A194,Internal_lists_bugs!$A$2:$U$73,21,FALSE()), VLOOKUP(A194,Internal_lists_bugs!$A$2:$R$73,18,FALSE())),""please select a BUG ID"")"),1387539.0)</f>
        <v>1387539</v>
      </c>
      <c r="D194" s="16" t="s">
        <v>298</v>
      </c>
      <c r="E194" s="16" t="s">
        <v>185</v>
      </c>
      <c r="F194" s="55"/>
      <c r="G194" s="56"/>
      <c r="H194" s="54"/>
      <c r="J194" s="55"/>
      <c r="K194" s="56"/>
      <c r="L194" s="16">
        <v>1370590.0</v>
      </c>
    </row>
    <row r="195">
      <c r="A195" s="62" t="s">
        <v>51</v>
      </c>
      <c r="B195" s="50" t="str">
        <f>IFERROR(HYPERLINK(VLOOKUP(A195,Internal_lists_bugs!$A$2:$C$73,3,FALSE()), VLOOKUP(A195,Internal_lists_bugs!$A$2:$C$73,3,FALSE())&amp;Char(10) &amp; Char(10) &amp; VLOOKUP(A195,Internal_lists_bugs!$A$2:$Z$73,26,FALSE())),"please select a BUG ID")</f>
        <v>https://bugs.launchpad.net/nova/+bug/1370590
/libvirt/driver.py</v>
      </c>
      <c r="C195" s="51">
        <f>IFERROR(__xludf.DUMMYFUNCTION("IFERROR(IF(REGEXMATCH(VLOOKUP(A195,Internal_lists_bugs!$A$2:$R$73,18,FALSE()), ""Yes""), VLOOKUP(A195,Internal_lists_bugs!$A$2:$U$73,21,FALSE()), VLOOKUP(A195,Internal_lists_bugs!$A$2:$R$73,18,FALSE())),""please select a BUG ID"")"),1387539.0)</f>
        <v>1387539</v>
      </c>
      <c r="D195" s="16" t="s">
        <v>299</v>
      </c>
      <c r="E195" s="16" t="s">
        <v>187</v>
      </c>
      <c r="F195" s="55"/>
      <c r="G195" s="56"/>
      <c r="H195" s="54"/>
      <c r="J195" s="55"/>
      <c r="K195" s="56"/>
      <c r="L195" s="16">
        <v>1370590.0</v>
      </c>
    </row>
    <row r="196">
      <c r="A196" s="62" t="s">
        <v>51</v>
      </c>
      <c r="B196" s="50" t="str">
        <f>IFERROR(HYPERLINK(VLOOKUP(A196,Internal_lists_bugs!$A$2:$C$73,3,FALSE()), VLOOKUP(A196,Internal_lists_bugs!$A$2:$C$73,3,FALSE())&amp;Char(10) &amp; Char(10) &amp; VLOOKUP(A196,Internal_lists_bugs!$A$2:$Z$73,26,FALSE())),"please select a BUG ID")</f>
        <v>https://bugs.launchpad.net/nova/+bug/1370590
/libvirt/driver.py</v>
      </c>
      <c r="C196" s="51">
        <f>IFERROR(__xludf.DUMMYFUNCTION("IFERROR(IF(REGEXMATCH(VLOOKUP(A196,Internal_lists_bugs!$A$2:$R$73,18,FALSE()), ""Yes""), VLOOKUP(A196,Internal_lists_bugs!$A$2:$U$73,21,FALSE()), VLOOKUP(A196,Internal_lists_bugs!$A$2:$R$73,18,FALSE())),""please select a BUG ID"")"),1387539.0)</f>
        <v>1387539</v>
      </c>
      <c r="D196" s="16" t="s">
        <v>300</v>
      </c>
      <c r="E196" s="16" t="s">
        <v>192</v>
      </c>
      <c r="F196" s="55"/>
      <c r="G196" s="56"/>
      <c r="H196" s="54"/>
      <c r="J196" s="55"/>
      <c r="K196" s="56"/>
      <c r="L196" s="16">
        <v>1370590.0</v>
      </c>
    </row>
    <row r="197">
      <c r="A197" s="62" t="s">
        <v>51</v>
      </c>
      <c r="B197" s="50" t="str">
        <f>IFERROR(HYPERLINK(VLOOKUP(A197,Internal_lists_bugs!$A$2:$C$73,3,FALSE()), VLOOKUP(A197,Internal_lists_bugs!$A$2:$C$73,3,FALSE())&amp;Char(10) &amp; Char(10) &amp; VLOOKUP(A197,Internal_lists_bugs!$A$2:$Z$73,26,FALSE())),"please select a BUG ID")</f>
        <v>https://bugs.launchpad.net/nova/+bug/1370590
/libvirt/driver.py</v>
      </c>
      <c r="C197" s="51">
        <f>IFERROR(__xludf.DUMMYFUNCTION("IFERROR(IF(REGEXMATCH(VLOOKUP(A197,Internal_lists_bugs!$A$2:$R$73,18,FALSE()), ""Yes""), VLOOKUP(A197,Internal_lists_bugs!$A$2:$U$73,21,FALSE()), VLOOKUP(A197,Internal_lists_bugs!$A$2:$R$73,18,FALSE())),""please select a BUG ID"")"),1387539.0)</f>
        <v>1387539</v>
      </c>
      <c r="D197" s="16" t="s">
        <v>301</v>
      </c>
      <c r="E197" s="16" t="s">
        <v>192</v>
      </c>
      <c r="F197" s="55"/>
      <c r="G197" s="56"/>
      <c r="H197" s="54"/>
      <c r="J197" s="55"/>
      <c r="K197" s="56"/>
      <c r="L197" s="16">
        <v>1370590.0</v>
      </c>
    </row>
    <row r="198">
      <c r="A198" s="62" t="s">
        <v>51</v>
      </c>
      <c r="B198" s="50" t="str">
        <f>IFERROR(HYPERLINK(VLOOKUP(A198,Internal_lists_bugs!$A$2:$C$73,3,FALSE()), VLOOKUP(A198,Internal_lists_bugs!$A$2:$C$73,3,FALSE())&amp;Char(10) &amp; Char(10) &amp; VLOOKUP(A198,Internal_lists_bugs!$A$2:$Z$73,26,FALSE())),"please select a BUG ID")</f>
        <v>https://bugs.launchpad.net/nova/+bug/1370590
/libvirt/driver.py</v>
      </c>
      <c r="C198" s="51">
        <f>IFERROR(__xludf.DUMMYFUNCTION("IFERROR(IF(REGEXMATCH(VLOOKUP(A198,Internal_lists_bugs!$A$2:$R$73,18,FALSE()), ""Yes""), VLOOKUP(A198,Internal_lists_bugs!$A$2:$U$73,21,FALSE()), VLOOKUP(A198,Internal_lists_bugs!$A$2:$R$73,18,FALSE())),""please select a BUG ID"")"),1387539.0)</f>
        <v>1387539</v>
      </c>
      <c r="D198" s="16" t="s">
        <v>302</v>
      </c>
      <c r="E198" s="16" t="s">
        <v>192</v>
      </c>
      <c r="F198" s="55"/>
      <c r="G198" s="56"/>
      <c r="H198" s="54"/>
      <c r="J198" s="55"/>
      <c r="K198" s="56"/>
      <c r="L198" s="16">
        <v>1370590.0</v>
      </c>
    </row>
    <row r="199">
      <c r="A199" s="62" t="s">
        <v>51</v>
      </c>
      <c r="B199" s="50" t="str">
        <f>IFERROR(HYPERLINK(VLOOKUP(A199,Internal_lists_bugs!$A$2:$C$73,3,FALSE()), VLOOKUP(A199,Internal_lists_bugs!$A$2:$C$73,3,FALSE())&amp;Char(10) &amp; Char(10) &amp; VLOOKUP(A199,Internal_lists_bugs!$A$2:$Z$73,26,FALSE())),"please select a BUG ID")</f>
        <v>https://bugs.launchpad.net/nova/+bug/1370590
/libvirt/driver.py</v>
      </c>
      <c r="C199" s="51">
        <f>IFERROR(__xludf.DUMMYFUNCTION("IFERROR(IF(REGEXMATCH(VLOOKUP(A199,Internal_lists_bugs!$A$2:$R$73,18,FALSE()), ""Yes""), VLOOKUP(A199,Internal_lists_bugs!$A$2:$U$73,21,FALSE()), VLOOKUP(A199,Internal_lists_bugs!$A$2:$R$73,18,FALSE())),""please select a BUG ID"")"),1387539.0)</f>
        <v>1387539</v>
      </c>
      <c r="D199" s="16" t="s">
        <v>300</v>
      </c>
      <c r="E199" s="16" t="s">
        <v>267</v>
      </c>
      <c r="F199" s="55"/>
      <c r="G199" s="56"/>
      <c r="H199" s="54"/>
      <c r="J199" s="55"/>
      <c r="K199" s="56"/>
      <c r="L199" s="16">
        <v>1370590.0</v>
      </c>
    </row>
    <row r="200">
      <c r="A200" s="62" t="s">
        <v>51</v>
      </c>
      <c r="B200" s="50" t="str">
        <f>IFERROR(HYPERLINK(VLOOKUP(A200,Internal_lists_bugs!$A$2:$C$73,3,FALSE()), VLOOKUP(A200,Internal_lists_bugs!$A$2:$C$73,3,FALSE())&amp;Char(10) &amp; Char(10) &amp; VLOOKUP(A200,Internal_lists_bugs!$A$2:$Z$73,26,FALSE())),"please select a BUG ID")</f>
        <v>https://bugs.launchpad.net/nova/+bug/1370590
/libvirt/driver.py</v>
      </c>
      <c r="C200" s="51">
        <f>IFERROR(__xludf.DUMMYFUNCTION("IFERROR(IF(REGEXMATCH(VLOOKUP(A200,Internal_lists_bugs!$A$2:$R$73,18,FALSE()), ""Yes""), VLOOKUP(A200,Internal_lists_bugs!$A$2:$U$73,21,FALSE()), VLOOKUP(A200,Internal_lists_bugs!$A$2:$R$73,18,FALSE())),""please select a BUG ID"")"),1387539.0)</f>
        <v>1387539</v>
      </c>
      <c r="D200" s="16" t="s">
        <v>303</v>
      </c>
      <c r="E200" s="16" t="s">
        <v>267</v>
      </c>
      <c r="F200" s="55"/>
      <c r="G200" s="56"/>
      <c r="H200" s="54"/>
      <c r="J200" s="55"/>
      <c r="K200" s="56"/>
      <c r="L200" s="16">
        <v>1370590.0</v>
      </c>
    </row>
    <row r="201">
      <c r="A201" s="62" t="s">
        <v>51</v>
      </c>
      <c r="B201" s="50" t="str">
        <f>IFERROR(HYPERLINK(VLOOKUP(A201,Internal_lists_bugs!$A$2:$C$73,3,FALSE()), VLOOKUP(A201,Internal_lists_bugs!$A$2:$C$73,3,FALSE())&amp;Char(10) &amp; Char(10) &amp; VLOOKUP(A201,Internal_lists_bugs!$A$2:$Z$73,26,FALSE())),"please select a BUG ID")</f>
        <v>https://bugs.launchpad.net/nova/+bug/1370590
/libvirt/driver.py</v>
      </c>
      <c r="C201" s="51">
        <f>IFERROR(__xludf.DUMMYFUNCTION("IFERROR(IF(REGEXMATCH(VLOOKUP(A201,Internal_lists_bugs!$A$2:$R$73,18,FALSE()), ""Yes""), VLOOKUP(A201,Internal_lists_bugs!$A$2:$U$73,21,FALSE()), VLOOKUP(A201,Internal_lists_bugs!$A$2:$R$73,18,FALSE())),""please select a BUG ID"")"),1387539.0)</f>
        <v>1387539</v>
      </c>
      <c r="D201" s="16" t="s">
        <v>304</v>
      </c>
      <c r="E201" s="16" t="s">
        <v>267</v>
      </c>
      <c r="F201" s="55"/>
      <c r="G201" s="56"/>
      <c r="H201" s="54"/>
      <c r="J201" s="55"/>
      <c r="K201" s="56"/>
      <c r="L201" s="16">
        <v>1370590.0</v>
      </c>
    </row>
    <row r="202">
      <c r="A202" s="62" t="s">
        <v>51</v>
      </c>
      <c r="B202" s="50" t="str">
        <f>IFERROR(HYPERLINK(VLOOKUP(A202,Internal_lists_bugs!$A$2:$C$73,3,FALSE()), VLOOKUP(A202,Internal_lists_bugs!$A$2:$C$73,3,FALSE())&amp;Char(10) &amp; Char(10) &amp; VLOOKUP(A202,Internal_lists_bugs!$A$2:$Z$73,26,FALSE())),"please select a BUG ID")</f>
        <v>https://bugs.launchpad.net/nova/+bug/1370590
/libvirt/driver.py</v>
      </c>
      <c r="C202" s="51">
        <f>IFERROR(__xludf.DUMMYFUNCTION("IFERROR(IF(REGEXMATCH(VLOOKUP(A202,Internal_lists_bugs!$A$2:$R$73,18,FALSE()), ""Yes""), VLOOKUP(A202,Internal_lists_bugs!$A$2:$U$73,21,FALSE()), VLOOKUP(A202,Internal_lists_bugs!$A$2:$R$73,18,FALSE())),""please select a BUG ID"")"),1387539.0)</f>
        <v>1387539</v>
      </c>
      <c r="D202" s="16" t="s">
        <v>305</v>
      </c>
      <c r="E202" s="16" t="s">
        <v>269</v>
      </c>
      <c r="F202" s="55"/>
      <c r="G202" s="56"/>
      <c r="H202" s="54"/>
      <c r="J202" s="55"/>
      <c r="K202" s="56"/>
      <c r="L202" s="16">
        <v>1370590.0</v>
      </c>
    </row>
    <row r="203">
      <c r="A203" s="62" t="s">
        <v>51</v>
      </c>
      <c r="B203" s="50" t="str">
        <f>IFERROR(HYPERLINK(VLOOKUP(A203,Internal_lists_bugs!$A$2:$C$73,3,FALSE()), VLOOKUP(A203,Internal_lists_bugs!$A$2:$C$73,3,FALSE())&amp;Char(10) &amp; Char(10) &amp; VLOOKUP(A203,Internal_lists_bugs!$A$2:$Z$73,26,FALSE())),"please select a BUG ID")</f>
        <v>https://bugs.launchpad.net/nova/+bug/1370590
/libvirt/driver.py</v>
      </c>
      <c r="C203" s="51">
        <f>IFERROR(__xludf.DUMMYFUNCTION("IFERROR(IF(REGEXMATCH(VLOOKUP(A203,Internal_lists_bugs!$A$2:$R$73,18,FALSE()), ""Yes""), VLOOKUP(A203,Internal_lists_bugs!$A$2:$U$73,21,FALSE()), VLOOKUP(A203,Internal_lists_bugs!$A$2:$R$73,18,FALSE())),""please select a BUG ID"")"),1387539.0)</f>
        <v>1387539</v>
      </c>
      <c r="D203" s="16" t="s">
        <v>129</v>
      </c>
      <c r="E203" s="16" t="s">
        <v>195</v>
      </c>
      <c r="F203" s="55"/>
      <c r="G203" s="56"/>
      <c r="H203" s="54"/>
      <c r="J203" s="55"/>
      <c r="K203" s="56"/>
      <c r="L203" s="16">
        <v>1370590.0</v>
      </c>
    </row>
    <row r="204">
      <c r="A204" s="62" t="s">
        <v>51</v>
      </c>
      <c r="B204" s="50" t="str">
        <f>IFERROR(HYPERLINK(VLOOKUP(A204,Internal_lists_bugs!$A$2:$C$73,3,FALSE()), VLOOKUP(A204,Internal_lists_bugs!$A$2:$C$73,3,FALSE())&amp;Char(10) &amp; Char(10) &amp; VLOOKUP(A204,Internal_lists_bugs!$A$2:$Z$73,26,FALSE())),"please select a BUG ID")</f>
        <v>https://bugs.launchpad.net/nova/+bug/1370590
/libvirt/driver.py</v>
      </c>
      <c r="C204" s="51">
        <f>IFERROR(__xludf.DUMMYFUNCTION("IFERROR(IF(REGEXMATCH(VLOOKUP(A204,Internal_lists_bugs!$A$2:$R$73,18,FALSE()), ""Yes""), VLOOKUP(A204,Internal_lists_bugs!$A$2:$U$73,21,FALSE()), VLOOKUP(A204,Internal_lists_bugs!$A$2:$R$73,18,FALSE())),""please select a BUG ID"")"),1387539.0)</f>
        <v>1387539</v>
      </c>
      <c r="D204" s="16" t="s">
        <v>305</v>
      </c>
      <c r="E204" s="16" t="s">
        <v>306</v>
      </c>
      <c r="F204" s="55"/>
      <c r="G204" s="56"/>
      <c r="H204" s="54"/>
      <c r="J204" s="55"/>
      <c r="K204" s="56"/>
      <c r="L204" s="16">
        <v>1370590.0</v>
      </c>
    </row>
    <row r="205">
      <c r="A205" s="62" t="s">
        <v>51</v>
      </c>
      <c r="B205" s="50" t="str">
        <f>IFERROR(HYPERLINK(VLOOKUP(A205,Internal_lists_bugs!$A$2:$C$73,3,FALSE()), VLOOKUP(A205,Internal_lists_bugs!$A$2:$C$73,3,FALSE())&amp;Char(10) &amp; Char(10) &amp; VLOOKUP(A205,Internal_lists_bugs!$A$2:$Z$73,26,FALSE())),"please select a BUG ID")</f>
        <v>https://bugs.launchpad.net/nova/+bug/1370590
/libvirt/driver.py</v>
      </c>
      <c r="C205" s="51">
        <f>IFERROR(__xludf.DUMMYFUNCTION("IFERROR(IF(REGEXMATCH(VLOOKUP(A205,Internal_lists_bugs!$A$2:$R$73,18,FALSE()), ""Yes""), VLOOKUP(A205,Internal_lists_bugs!$A$2:$U$73,21,FALSE()), VLOOKUP(A205,Internal_lists_bugs!$A$2:$R$73,18,FALSE())),""please select a BUG ID"")"),1387539.0)</f>
        <v>1387539</v>
      </c>
      <c r="D205" s="16" t="s">
        <v>235</v>
      </c>
      <c r="E205" s="16" t="s">
        <v>307</v>
      </c>
      <c r="F205" s="55"/>
      <c r="G205" s="56"/>
      <c r="H205" s="54"/>
      <c r="J205" s="55"/>
      <c r="K205" s="56"/>
      <c r="L205" s="16">
        <v>1370590.0</v>
      </c>
    </row>
    <row r="206">
      <c r="A206" s="62" t="s">
        <v>51</v>
      </c>
      <c r="B206" s="50" t="str">
        <f>IFERROR(HYPERLINK(VLOOKUP(A206,Internal_lists_bugs!$A$2:$C$73,3,FALSE()), VLOOKUP(A206,Internal_lists_bugs!$A$2:$C$73,3,FALSE())&amp;Char(10) &amp; Char(10) &amp; VLOOKUP(A206,Internal_lists_bugs!$A$2:$Z$73,26,FALSE())),"please select a BUG ID")</f>
        <v>https://bugs.launchpad.net/nova/+bug/1370590
/libvirt/driver.py</v>
      </c>
      <c r="C206" s="51">
        <f>IFERROR(__xludf.DUMMYFUNCTION("IFERROR(IF(REGEXMATCH(VLOOKUP(A206,Internal_lists_bugs!$A$2:$R$73,18,FALSE()), ""Yes""), VLOOKUP(A206,Internal_lists_bugs!$A$2:$U$73,21,FALSE()), VLOOKUP(A206,Internal_lists_bugs!$A$2:$R$73,18,FALSE())),""please select a BUG ID"")"),1387539.0)</f>
        <v>1387539</v>
      </c>
      <c r="D206" s="16" t="s">
        <v>237</v>
      </c>
      <c r="E206" s="16" t="s">
        <v>308</v>
      </c>
      <c r="F206" s="55"/>
      <c r="G206" s="56"/>
      <c r="H206" s="54"/>
      <c r="J206" s="55"/>
      <c r="K206" s="56"/>
      <c r="L206" s="16">
        <v>1370590.0</v>
      </c>
    </row>
    <row r="207">
      <c r="A207" s="62" t="s">
        <v>51</v>
      </c>
      <c r="B207" s="50" t="str">
        <f>IFERROR(HYPERLINK(VLOOKUP(A207,Internal_lists_bugs!$A$2:$C$73,3,FALSE()), VLOOKUP(A207,Internal_lists_bugs!$A$2:$C$73,3,FALSE())&amp;Char(10) &amp; Char(10) &amp; VLOOKUP(A207,Internal_lists_bugs!$A$2:$Z$73,26,FALSE())),"please select a BUG ID")</f>
        <v>https://bugs.launchpad.net/nova/+bug/1370590
/libvirt/driver.py</v>
      </c>
      <c r="C207" s="51">
        <f>IFERROR(__xludf.DUMMYFUNCTION("IFERROR(IF(REGEXMATCH(VLOOKUP(A207,Internal_lists_bugs!$A$2:$R$73,18,FALSE()), ""Yes""), VLOOKUP(A207,Internal_lists_bugs!$A$2:$U$73,21,FALSE()), VLOOKUP(A207,Internal_lists_bugs!$A$2:$R$73,18,FALSE())),""please select a BUG ID"")"),1387539.0)</f>
        <v>1387539</v>
      </c>
      <c r="D207" s="16" t="s">
        <v>265</v>
      </c>
      <c r="E207" s="16" t="s">
        <v>309</v>
      </c>
      <c r="F207" s="55"/>
      <c r="G207" s="56"/>
      <c r="H207" s="54"/>
      <c r="J207" s="55"/>
      <c r="K207" s="56"/>
      <c r="L207" s="16">
        <v>1370590.0</v>
      </c>
    </row>
    <row r="208">
      <c r="A208" s="62" t="s">
        <v>51</v>
      </c>
      <c r="B208" s="50" t="str">
        <f>IFERROR(HYPERLINK(VLOOKUP(A208,Internal_lists_bugs!$A$2:$C$73,3,FALSE()), VLOOKUP(A208,Internal_lists_bugs!$A$2:$C$73,3,FALSE())&amp;Char(10) &amp; Char(10) &amp; VLOOKUP(A208,Internal_lists_bugs!$A$2:$Z$73,26,FALSE())),"please select a BUG ID")</f>
        <v>https://bugs.launchpad.net/nova/+bug/1370590
/libvirt/driver.py</v>
      </c>
      <c r="C208" s="51">
        <f>IFERROR(__xludf.DUMMYFUNCTION("IFERROR(IF(REGEXMATCH(VLOOKUP(A208,Internal_lists_bugs!$A$2:$R$73,18,FALSE()), ""Yes""), VLOOKUP(A208,Internal_lists_bugs!$A$2:$U$73,21,FALSE()), VLOOKUP(A208,Internal_lists_bugs!$A$2:$R$73,18,FALSE())),""please select a BUG ID"")"),1387539.0)</f>
        <v>1387539</v>
      </c>
      <c r="D208" s="16" t="s">
        <v>159</v>
      </c>
      <c r="E208" s="16" t="s">
        <v>310</v>
      </c>
      <c r="F208" s="55"/>
      <c r="G208" s="56"/>
      <c r="H208" s="54"/>
      <c r="J208" s="55"/>
      <c r="K208" s="56"/>
      <c r="L208" s="16">
        <v>1370590.0</v>
      </c>
    </row>
    <row r="209">
      <c r="A209" s="62" t="s">
        <v>51</v>
      </c>
      <c r="B209" s="50" t="str">
        <f>IFERROR(HYPERLINK(VLOOKUP(A209,Internal_lists_bugs!$A$2:$C$73,3,FALSE()), VLOOKUP(A209,Internal_lists_bugs!$A$2:$C$73,3,FALSE())&amp;Char(10) &amp; Char(10) &amp; VLOOKUP(A209,Internal_lists_bugs!$A$2:$Z$73,26,FALSE())),"please select a BUG ID")</f>
        <v>https://bugs.launchpad.net/nova/+bug/1370590
/libvirt/driver.py</v>
      </c>
      <c r="C209" s="51">
        <f>IFERROR(__xludf.DUMMYFUNCTION("IFERROR(IF(REGEXMATCH(VLOOKUP(A209,Internal_lists_bugs!$A$2:$R$73,18,FALSE()), ""Yes""), VLOOKUP(A209,Internal_lists_bugs!$A$2:$U$73,21,FALSE()), VLOOKUP(A209,Internal_lists_bugs!$A$2:$R$73,18,FALSE())),""please select a BUG ID"")"),1387539.0)</f>
        <v>1387539</v>
      </c>
      <c r="D209" s="16" t="s">
        <v>236</v>
      </c>
      <c r="E209" s="16" t="s">
        <v>311</v>
      </c>
      <c r="F209" s="55"/>
      <c r="G209" s="56"/>
      <c r="H209" s="54"/>
      <c r="J209" s="55"/>
      <c r="K209" s="56"/>
      <c r="L209" s="16">
        <v>1370590.0</v>
      </c>
    </row>
    <row r="210">
      <c r="A210" s="62" t="s">
        <v>51</v>
      </c>
      <c r="B210" s="50" t="str">
        <f>IFERROR(HYPERLINK(VLOOKUP(A210,Internal_lists_bugs!$A$2:$C$73,3,FALSE()), VLOOKUP(A210,Internal_lists_bugs!$A$2:$C$73,3,FALSE())&amp;Char(10) &amp; Char(10) &amp; VLOOKUP(A210,Internal_lists_bugs!$A$2:$Z$73,26,FALSE())),"please select a BUG ID")</f>
        <v>https://bugs.launchpad.net/nova/+bug/1370590
/libvirt/driver.py</v>
      </c>
      <c r="C210" s="51">
        <f>IFERROR(__xludf.DUMMYFUNCTION("IFERROR(IF(REGEXMATCH(VLOOKUP(A210,Internal_lists_bugs!$A$2:$R$73,18,FALSE()), ""Yes""), VLOOKUP(A210,Internal_lists_bugs!$A$2:$U$73,21,FALSE()), VLOOKUP(A210,Internal_lists_bugs!$A$2:$R$73,18,FALSE())),""please select a BUG ID"")"),1387539.0)</f>
        <v>1387539</v>
      </c>
      <c r="D210" s="16" t="s">
        <v>312</v>
      </c>
      <c r="E210" s="16" t="s">
        <v>311</v>
      </c>
      <c r="F210" s="55"/>
      <c r="G210" s="56"/>
      <c r="H210" s="54"/>
      <c r="J210" s="55"/>
      <c r="K210" s="56"/>
      <c r="L210" s="16">
        <v>1370590.0</v>
      </c>
    </row>
    <row r="211">
      <c r="A211" s="62" t="s">
        <v>51</v>
      </c>
      <c r="B211" s="50" t="str">
        <f>IFERROR(HYPERLINK(VLOOKUP(A211,Internal_lists_bugs!$A$2:$C$73,3,FALSE()), VLOOKUP(A211,Internal_lists_bugs!$A$2:$C$73,3,FALSE())&amp;Char(10) &amp; Char(10) &amp; VLOOKUP(A211,Internal_lists_bugs!$A$2:$Z$73,26,FALSE())),"please select a BUG ID")</f>
        <v>https://bugs.launchpad.net/nova/+bug/1370590
/libvirt/driver.py</v>
      </c>
      <c r="C211" s="51">
        <f>IFERROR(__xludf.DUMMYFUNCTION("IFERROR(IF(REGEXMATCH(VLOOKUP(A211,Internal_lists_bugs!$A$2:$R$73,18,FALSE()), ""Yes""), VLOOKUP(A211,Internal_lists_bugs!$A$2:$U$73,21,FALSE()), VLOOKUP(A211,Internal_lists_bugs!$A$2:$R$73,18,FALSE())),""please select a BUG ID"")"),1387539.0)</f>
        <v>1387539</v>
      </c>
      <c r="D211" s="16" t="s">
        <v>264</v>
      </c>
      <c r="E211" s="16" t="s">
        <v>313</v>
      </c>
      <c r="F211" s="55"/>
      <c r="G211" s="56"/>
      <c r="H211" s="54"/>
      <c r="J211" s="55"/>
      <c r="K211" s="56"/>
      <c r="L211" s="16">
        <v>1370590.0</v>
      </c>
    </row>
    <row r="212">
      <c r="A212" s="62" t="s">
        <v>51</v>
      </c>
      <c r="B212" s="50" t="str">
        <f>IFERROR(HYPERLINK(VLOOKUP(A212,Internal_lists_bugs!$A$2:$C$73,3,FALSE()), VLOOKUP(A212,Internal_lists_bugs!$A$2:$C$73,3,FALSE())&amp;Char(10) &amp; Char(10) &amp; VLOOKUP(A212,Internal_lists_bugs!$A$2:$Z$73,26,FALSE())),"please select a BUG ID")</f>
        <v>https://bugs.launchpad.net/nova/+bug/1370590
/libvirt/driver.py</v>
      </c>
      <c r="C212" s="51">
        <f>IFERROR(__xludf.DUMMYFUNCTION("IFERROR(IF(REGEXMATCH(VLOOKUP(A212,Internal_lists_bugs!$A$2:$R$73,18,FALSE()), ""Yes""), VLOOKUP(A212,Internal_lists_bugs!$A$2:$U$73,21,FALSE()), VLOOKUP(A212,Internal_lists_bugs!$A$2:$R$73,18,FALSE())),""please select a BUG ID"")"),1387539.0)</f>
        <v>1387539</v>
      </c>
      <c r="D212" s="16" t="s">
        <v>131</v>
      </c>
      <c r="E212" s="16" t="s">
        <v>314</v>
      </c>
      <c r="F212" s="55"/>
      <c r="G212" s="56"/>
      <c r="H212" s="54"/>
      <c r="J212" s="55"/>
      <c r="K212" s="56"/>
      <c r="L212" s="16">
        <v>1370590.0</v>
      </c>
    </row>
    <row r="213">
      <c r="A213" s="62" t="s">
        <v>51</v>
      </c>
      <c r="B213" s="50" t="str">
        <f>IFERROR(HYPERLINK(VLOOKUP(A213,Internal_lists_bugs!$A$2:$C$73,3,FALSE()), VLOOKUP(A213,Internal_lists_bugs!$A$2:$C$73,3,FALSE())&amp;Char(10) &amp; Char(10) &amp; VLOOKUP(A213,Internal_lists_bugs!$A$2:$Z$73,26,FALSE())),"please select a BUG ID")</f>
        <v>https://bugs.launchpad.net/nova/+bug/1370590
/libvirt/driver.py</v>
      </c>
      <c r="C213" s="51">
        <f>IFERROR(__xludf.DUMMYFUNCTION("IFERROR(IF(REGEXMATCH(VLOOKUP(A213,Internal_lists_bugs!$A$2:$R$73,18,FALSE()), ""Yes""), VLOOKUP(A213,Internal_lists_bugs!$A$2:$U$73,21,FALSE()), VLOOKUP(A213,Internal_lists_bugs!$A$2:$R$73,18,FALSE())),""please select a BUG ID"")"),1387539.0)</f>
        <v>1387539</v>
      </c>
      <c r="D213" s="16" t="s">
        <v>315</v>
      </c>
      <c r="E213" s="16" t="s">
        <v>316</v>
      </c>
      <c r="F213" s="55"/>
      <c r="G213" s="56"/>
      <c r="H213" s="54"/>
      <c r="J213" s="55"/>
      <c r="K213" s="56"/>
      <c r="L213" s="16">
        <v>1370590.0</v>
      </c>
    </row>
    <row r="214">
      <c r="A214" s="62" t="s">
        <v>51</v>
      </c>
      <c r="B214" s="50" t="str">
        <f>IFERROR(HYPERLINK(VLOOKUP(A214,Internal_lists_bugs!$A$2:$C$73,3,FALSE()), VLOOKUP(A214,Internal_lists_bugs!$A$2:$C$73,3,FALSE())&amp;Char(10) &amp; Char(10) &amp; VLOOKUP(A214,Internal_lists_bugs!$A$2:$Z$73,26,FALSE())),"please select a BUG ID")</f>
        <v>https://bugs.launchpad.net/nova/+bug/1370590
/libvirt/driver.py</v>
      </c>
      <c r="C214" s="51">
        <f>IFERROR(__xludf.DUMMYFUNCTION("IFERROR(IF(REGEXMATCH(VLOOKUP(A214,Internal_lists_bugs!$A$2:$R$73,18,FALSE()), ""Yes""), VLOOKUP(A214,Internal_lists_bugs!$A$2:$U$73,21,FALSE()), VLOOKUP(A214,Internal_lists_bugs!$A$2:$R$73,18,FALSE())),""please select a BUG ID"")"),1387539.0)</f>
        <v>1387539</v>
      </c>
      <c r="D214" s="16" t="s">
        <v>157</v>
      </c>
      <c r="E214" s="16" t="s">
        <v>317</v>
      </c>
      <c r="F214" s="52" t="s">
        <v>121</v>
      </c>
      <c r="G214" s="53" t="s">
        <v>163</v>
      </c>
      <c r="H214" s="16" t="s">
        <v>251</v>
      </c>
      <c r="J214" s="55"/>
      <c r="K214" s="56"/>
      <c r="L214" s="16">
        <v>1387539.0</v>
      </c>
    </row>
    <row r="215">
      <c r="A215" s="62" t="s">
        <v>51</v>
      </c>
      <c r="B215" s="50" t="str">
        <f>IFERROR(HYPERLINK(VLOOKUP(A215,Internal_lists_bugs!$A$2:$C$73,3,FALSE()), VLOOKUP(A215,Internal_lists_bugs!$A$2:$C$73,3,FALSE())&amp;Char(10) &amp; Char(10) &amp; VLOOKUP(A215,Internal_lists_bugs!$A$2:$Z$73,26,FALSE())),"please select a BUG ID")</f>
        <v>https://bugs.launchpad.net/nova/+bug/1370590
/libvirt/driver.py</v>
      </c>
      <c r="C215" s="51">
        <f>IFERROR(__xludf.DUMMYFUNCTION("IFERROR(IF(REGEXMATCH(VLOOKUP(A215,Internal_lists_bugs!$A$2:$R$73,18,FALSE()), ""Yes""), VLOOKUP(A215,Internal_lists_bugs!$A$2:$U$73,21,FALSE()), VLOOKUP(A215,Internal_lists_bugs!$A$2:$R$73,18,FALSE())),""please select a BUG ID"")"),1387539.0)</f>
        <v>1387539</v>
      </c>
      <c r="D215" s="16" t="s">
        <v>149</v>
      </c>
      <c r="E215" s="16" t="s">
        <v>318</v>
      </c>
      <c r="F215" s="55"/>
      <c r="G215" s="56"/>
      <c r="H215" s="54"/>
      <c r="J215" s="55"/>
      <c r="K215" s="56"/>
      <c r="L215" s="16">
        <v>1387539.0</v>
      </c>
    </row>
    <row r="216">
      <c r="A216" s="62" t="s">
        <v>51</v>
      </c>
      <c r="B216" s="50" t="str">
        <f>IFERROR(HYPERLINK(VLOOKUP(A216,Internal_lists_bugs!$A$2:$C$73,3,FALSE()), VLOOKUP(A216,Internal_lists_bugs!$A$2:$C$73,3,FALSE())&amp;Char(10) &amp; Char(10) &amp; VLOOKUP(A216,Internal_lists_bugs!$A$2:$Z$73,26,FALSE())),"please select a BUG ID")</f>
        <v>https://bugs.launchpad.net/nova/+bug/1370590
/libvirt/driver.py</v>
      </c>
      <c r="C216" s="51">
        <f>IFERROR(__xludf.DUMMYFUNCTION("IFERROR(IF(REGEXMATCH(VLOOKUP(A216,Internal_lists_bugs!$A$2:$R$73,18,FALSE()), ""Yes""), VLOOKUP(A216,Internal_lists_bugs!$A$2:$U$73,21,FALSE()), VLOOKUP(A216,Internal_lists_bugs!$A$2:$R$73,18,FALSE())),""please select a BUG ID"")"),1387539.0)</f>
        <v>1387539</v>
      </c>
      <c r="D216" s="16" t="s">
        <v>319</v>
      </c>
      <c r="E216" s="16" t="s">
        <v>277</v>
      </c>
      <c r="F216" s="55"/>
      <c r="G216" s="56"/>
      <c r="H216" s="54"/>
      <c r="J216" s="55"/>
      <c r="K216" s="56"/>
      <c r="L216" s="16">
        <v>1387539.0</v>
      </c>
    </row>
    <row r="217">
      <c r="A217" s="62" t="s">
        <v>51</v>
      </c>
      <c r="B217" s="50" t="str">
        <f>IFERROR(HYPERLINK(VLOOKUP(A217,Internal_lists_bugs!$A$2:$C$73,3,FALSE()), VLOOKUP(A217,Internal_lists_bugs!$A$2:$C$73,3,FALSE())&amp;Char(10) &amp; Char(10) &amp; VLOOKUP(A217,Internal_lists_bugs!$A$2:$Z$73,26,FALSE())),"please select a BUG ID")</f>
        <v>https://bugs.launchpad.net/nova/+bug/1370590
/libvirt/driver.py</v>
      </c>
      <c r="C217" s="51">
        <f>IFERROR(__xludf.DUMMYFUNCTION("IFERROR(IF(REGEXMATCH(VLOOKUP(A217,Internal_lists_bugs!$A$2:$R$73,18,FALSE()), ""Yes""), VLOOKUP(A217,Internal_lists_bugs!$A$2:$U$73,21,FALSE()), VLOOKUP(A217,Internal_lists_bugs!$A$2:$R$73,18,FALSE())),""please select a BUG ID"")"),1387539.0)</f>
        <v>1387539</v>
      </c>
      <c r="D217" s="16" t="s">
        <v>320</v>
      </c>
      <c r="E217" s="16" t="s">
        <v>275</v>
      </c>
      <c r="F217" s="55"/>
      <c r="G217" s="56"/>
      <c r="H217" s="54"/>
      <c r="J217" s="55"/>
      <c r="K217" s="56"/>
      <c r="L217" s="16">
        <v>1387539.0</v>
      </c>
    </row>
    <row r="218">
      <c r="A218" s="62" t="s">
        <v>51</v>
      </c>
      <c r="B218" s="50" t="str">
        <f>IFERROR(HYPERLINK(VLOOKUP(A218,Internal_lists_bugs!$A$2:$C$73,3,FALSE()), VLOOKUP(A218,Internal_lists_bugs!$A$2:$C$73,3,FALSE())&amp;Char(10) &amp; Char(10) &amp; VLOOKUP(A218,Internal_lists_bugs!$A$2:$Z$73,26,FALSE())),"please select a BUG ID")</f>
        <v>https://bugs.launchpad.net/nova/+bug/1370590
/libvirt/driver.py</v>
      </c>
      <c r="C218" s="51">
        <f>IFERROR(__xludf.DUMMYFUNCTION("IFERROR(IF(REGEXMATCH(VLOOKUP(A218,Internal_lists_bugs!$A$2:$R$73,18,FALSE()), ""Yes""), VLOOKUP(A218,Internal_lists_bugs!$A$2:$U$73,21,FALSE()), VLOOKUP(A218,Internal_lists_bugs!$A$2:$R$73,18,FALSE())),""please select a BUG ID"")"),1387539.0)</f>
        <v>1387539</v>
      </c>
      <c r="D218" s="16" t="s">
        <v>224</v>
      </c>
      <c r="E218" s="16" t="s">
        <v>279</v>
      </c>
      <c r="F218" s="55"/>
      <c r="G218" s="56"/>
      <c r="H218" s="54"/>
      <c r="J218" s="55"/>
      <c r="K218" s="56"/>
      <c r="L218" s="16">
        <v>1387539.0</v>
      </c>
    </row>
    <row r="219">
      <c r="A219" s="62" t="s">
        <v>51</v>
      </c>
      <c r="B219" s="50" t="str">
        <f>IFERROR(HYPERLINK(VLOOKUP(A219,Internal_lists_bugs!$A$2:$C$73,3,FALSE()), VLOOKUP(A219,Internal_lists_bugs!$A$2:$C$73,3,FALSE())&amp;Char(10) &amp; Char(10) &amp; VLOOKUP(A219,Internal_lists_bugs!$A$2:$Z$73,26,FALSE())),"please select a BUG ID")</f>
        <v>https://bugs.launchpad.net/nova/+bug/1370590
/libvirt/driver.py</v>
      </c>
      <c r="C219" s="51">
        <f>IFERROR(__xludf.DUMMYFUNCTION("IFERROR(IF(REGEXMATCH(VLOOKUP(A219,Internal_lists_bugs!$A$2:$R$73,18,FALSE()), ""Yes""), VLOOKUP(A219,Internal_lists_bugs!$A$2:$U$73,21,FALSE()), VLOOKUP(A219,Internal_lists_bugs!$A$2:$R$73,18,FALSE())),""please select a BUG ID"")"),1387539.0)</f>
        <v>1387539</v>
      </c>
      <c r="D219" s="16" t="s">
        <v>119</v>
      </c>
      <c r="E219" s="16" t="s">
        <v>144</v>
      </c>
      <c r="F219" s="55"/>
      <c r="G219" s="56"/>
      <c r="H219" s="54"/>
      <c r="J219" s="55"/>
      <c r="K219" s="56"/>
      <c r="L219" s="16">
        <v>1387539.0</v>
      </c>
    </row>
    <row r="220">
      <c r="A220" s="62" t="s">
        <v>52</v>
      </c>
      <c r="B220" s="50" t="str">
        <f>IFERROR(HYPERLINK(VLOOKUP(A220,Internal_lists_bugs!$A$2:$C$73,3,FALSE()), VLOOKUP(A220,Internal_lists_bugs!$A$2:$C$73,3,FALSE())&amp;Char(10) &amp; Char(10) &amp; VLOOKUP(A220,Internal_lists_bugs!$A$2:$Z$73,26,FALSE())),"please select a BUG ID")</f>
        <v>https://bugs.launchpad.net/nova/+bug/1419002
/libvirt/driver.py
/compute/utils.py</v>
      </c>
      <c r="C220" s="51" t="str">
        <f>IFERROR(__xludf.DUMMYFUNCTION("IFERROR(IF(REGEXMATCH(VLOOKUP(A220,Internal_lists_bugs!$A$2:$R$73,18,FALSE()), ""Yes""), VLOOKUP(A220,Internal_lists_bugs!$A$2:$U$73,21,FALSE()), VLOOKUP(A220,Internal_lists_bugs!$A$2:$R$73,18,FALSE())),""please select a BUG ID"")"),"No, however, check in the right corner of the bug description")</f>
        <v>No, however, check in the right corner of the bug description</v>
      </c>
      <c r="D220" s="16" t="s">
        <v>227</v>
      </c>
      <c r="E220" s="16" t="s">
        <v>321</v>
      </c>
      <c r="F220" s="52" t="s">
        <v>121</v>
      </c>
      <c r="G220" s="56"/>
      <c r="H220" s="16" t="s">
        <v>123</v>
      </c>
      <c r="J220" s="52" t="s">
        <v>123</v>
      </c>
      <c r="K220" s="56"/>
    </row>
    <row r="221">
      <c r="A221" s="62" t="s">
        <v>52</v>
      </c>
      <c r="B221" s="50" t="str">
        <f>IFERROR(HYPERLINK(VLOOKUP(A221,Internal_lists_bugs!$A$2:$C$73,3,FALSE()), VLOOKUP(A221,Internal_lists_bugs!$A$2:$C$73,3,FALSE())&amp;Char(10) &amp; Char(10) &amp; VLOOKUP(A221,Internal_lists_bugs!$A$2:$Z$73,26,FALSE())),"please select a BUG ID")</f>
        <v>https://bugs.launchpad.net/nova/+bug/1419002
/libvirt/driver.py
/compute/utils.py</v>
      </c>
      <c r="C221" s="51" t="str">
        <f>IFERROR(__xludf.DUMMYFUNCTION("IFERROR(IF(REGEXMATCH(VLOOKUP(A221,Internal_lists_bugs!$A$2:$R$73,18,FALSE()), ""Yes""), VLOOKUP(A221,Internal_lists_bugs!$A$2:$U$73,21,FALSE()), VLOOKUP(A221,Internal_lists_bugs!$A$2:$R$73,18,FALSE())),""please select a BUG ID"")"),"No, however, check in the right corner of the bug description")</f>
        <v>No, however, check in the right corner of the bug description</v>
      </c>
      <c r="D221" s="16" t="s">
        <v>119</v>
      </c>
      <c r="E221" s="16" t="s">
        <v>321</v>
      </c>
      <c r="F221" s="55"/>
      <c r="G221" s="56"/>
      <c r="H221" s="54"/>
      <c r="J221" s="55"/>
      <c r="K221" s="56"/>
    </row>
    <row r="222">
      <c r="A222" s="62" t="s">
        <v>52</v>
      </c>
      <c r="B222" s="50" t="str">
        <f>IFERROR(HYPERLINK(VLOOKUP(A222,Internal_lists_bugs!$A$2:$C$73,3,FALSE()), VLOOKUP(A222,Internal_lists_bugs!$A$2:$C$73,3,FALSE())&amp;Char(10) &amp; Char(10) &amp; VLOOKUP(A222,Internal_lists_bugs!$A$2:$Z$73,26,FALSE())),"please select a BUG ID")</f>
        <v>https://bugs.launchpad.net/nova/+bug/1419002
/libvirt/driver.py
/compute/utils.py</v>
      </c>
      <c r="C222" s="51" t="str">
        <f>IFERROR(__xludf.DUMMYFUNCTION("IFERROR(IF(REGEXMATCH(VLOOKUP(A222,Internal_lists_bugs!$A$2:$R$73,18,FALSE()), ""Yes""), VLOOKUP(A222,Internal_lists_bugs!$A$2:$U$73,21,FALSE()), VLOOKUP(A222,Internal_lists_bugs!$A$2:$R$73,18,FALSE())),""please select a BUG ID"")"),"No, however, check in the right corner of the bug description")</f>
        <v>No, however, check in the right corner of the bug description</v>
      </c>
      <c r="D222" s="16" t="s">
        <v>119</v>
      </c>
      <c r="E222" s="16" t="s">
        <v>322</v>
      </c>
      <c r="F222" s="55"/>
      <c r="G222" s="56"/>
      <c r="H222" s="54"/>
      <c r="J222" s="55"/>
      <c r="K222" s="56"/>
    </row>
    <row r="223">
      <c r="A223" s="62" t="s">
        <v>52</v>
      </c>
      <c r="B223" s="50" t="str">
        <f>IFERROR(HYPERLINK(VLOOKUP(A223,Internal_lists_bugs!$A$2:$C$73,3,FALSE()), VLOOKUP(A223,Internal_lists_bugs!$A$2:$C$73,3,FALSE())&amp;Char(10) &amp; Char(10) &amp; VLOOKUP(A223,Internal_lists_bugs!$A$2:$Z$73,26,FALSE())),"please select a BUG ID")</f>
        <v>https://bugs.launchpad.net/nova/+bug/1419002
/libvirt/driver.py
/compute/utils.py</v>
      </c>
      <c r="C223" s="51" t="str">
        <f>IFERROR(__xludf.DUMMYFUNCTION("IFERROR(IF(REGEXMATCH(VLOOKUP(A223,Internal_lists_bugs!$A$2:$R$73,18,FALSE()), ""Yes""), VLOOKUP(A223,Internal_lists_bugs!$A$2:$U$73,21,FALSE()), VLOOKUP(A223,Internal_lists_bugs!$A$2:$R$73,18,FALSE())),""please select a BUG ID"")"),"No, however, check in the right corner of the bug description")</f>
        <v>No, however, check in the right corner of the bug description</v>
      </c>
      <c r="D223" s="16" t="s">
        <v>227</v>
      </c>
      <c r="E223" s="16" t="s">
        <v>323</v>
      </c>
      <c r="F223" s="55"/>
      <c r="G223" s="56"/>
      <c r="H223" s="54"/>
      <c r="J223" s="55"/>
      <c r="K223" s="56"/>
    </row>
    <row r="224">
      <c r="A224" s="62" t="s">
        <v>52</v>
      </c>
      <c r="B224" s="50" t="str">
        <f>IFERROR(HYPERLINK(VLOOKUP(A224,Internal_lists_bugs!$A$2:$C$73,3,FALSE()), VLOOKUP(A224,Internal_lists_bugs!$A$2:$C$73,3,FALSE())&amp;Char(10) &amp; Char(10) &amp; VLOOKUP(A224,Internal_lists_bugs!$A$2:$Z$73,26,FALSE())),"please select a BUG ID")</f>
        <v>https://bugs.launchpad.net/nova/+bug/1419002
/libvirt/driver.py
/compute/utils.py</v>
      </c>
      <c r="C224" s="51" t="str">
        <f>IFERROR(__xludf.DUMMYFUNCTION("IFERROR(IF(REGEXMATCH(VLOOKUP(A224,Internal_lists_bugs!$A$2:$R$73,18,FALSE()), ""Yes""), VLOOKUP(A224,Internal_lists_bugs!$A$2:$U$73,21,FALSE()), VLOOKUP(A224,Internal_lists_bugs!$A$2:$R$73,18,FALSE())),""please select a BUG ID"")"),"No, however, check in the right corner of the bug description")</f>
        <v>No, however, check in the right corner of the bug description</v>
      </c>
      <c r="D224" s="16" t="s">
        <v>129</v>
      </c>
      <c r="E224" s="16" t="s">
        <v>204</v>
      </c>
      <c r="F224" s="55"/>
      <c r="G224" s="56"/>
      <c r="H224" s="54"/>
      <c r="J224" s="55"/>
      <c r="K224" s="56"/>
    </row>
    <row r="225">
      <c r="A225" s="62" t="s">
        <v>52</v>
      </c>
      <c r="B225" s="50" t="str">
        <f>IFERROR(HYPERLINK(VLOOKUP(A225,Internal_lists_bugs!$A$2:$C$73,3,FALSE()), VLOOKUP(A225,Internal_lists_bugs!$A$2:$C$73,3,FALSE())&amp;Char(10) &amp; Char(10) &amp; VLOOKUP(A225,Internal_lists_bugs!$A$2:$Z$73,26,FALSE())),"please select a BUG ID")</f>
        <v>https://bugs.launchpad.net/nova/+bug/1419002
/libvirt/driver.py
/compute/utils.py</v>
      </c>
      <c r="C225" s="51" t="str">
        <f>IFERROR(__xludf.DUMMYFUNCTION("IFERROR(IF(REGEXMATCH(VLOOKUP(A225,Internal_lists_bugs!$A$2:$R$73,18,FALSE()), ""Yes""), VLOOKUP(A225,Internal_lists_bugs!$A$2:$U$73,21,FALSE()), VLOOKUP(A225,Internal_lists_bugs!$A$2:$R$73,18,FALSE())),""please select a BUG ID"")"),"No, however, check in the right corner of the bug description")</f>
        <v>No, however, check in the right corner of the bug description</v>
      </c>
      <c r="D225" s="16" t="s">
        <v>131</v>
      </c>
      <c r="E225" s="16" t="s">
        <v>205</v>
      </c>
      <c r="F225" s="55"/>
      <c r="G225" s="56"/>
      <c r="H225" s="54"/>
      <c r="J225" s="55"/>
      <c r="K225" s="56"/>
    </row>
    <row r="226">
      <c r="A226" s="62" t="s">
        <v>53</v>
      </c>
      <c r="B226" s="50" t="str">
        <f>IFERROR(HYPERLINK(VLOOKUP(A226,Internal_lists_bugs!$A$2:$C$73,3,FALSE()), VLOOKUP(A226,Internal_lists_bugs!$A$2:$C$73,3,FALSE())&amp;Char(10) &amp; Char(10) &amp; VLOOKUP(A226,Internal_lists_bugs!$A$2:$Z$73,26,FALSE())),"please select a BUG ID")</f>
        <v>https://bugs.launchpad.net/nova/+bug/1336127
/compute/manager.py</v>
      </c>
      <c r="C226" s="51">
        <f>IFERROR(__xludf.DUMMYFUNCTION("IFERROR(IF(REGEXMATCH(VLOOKUP(A226,Internal_lists_bugs!$A$2:$R$73,18,FALSE()), ""Yes""), VLOOKUP(A226,Internal_lists_bugs!$A$2:$U$73,21,FALSE()), VLOOKUP(A226,Internal_lists_bugs!$A$2:$R$73,18,FALSE())),""please select a BUG ID"")"),1437516.0)</f>
        <v>1437516</v>
      </c>
      <c r="D226" s="16" t="s">
        <v>119</v>
      </c>
      <c r="E226" s="16" t="s">
        <v>144</v>
      </c>
      <c r="F226" s="52" t="s">
        <v>121</v>
      </c>
      <c r="G226" s="56"/>
      <c r="H226" s="16" t="s">
        <v>123</v>
      </c>
      <c r="J226" s="52" t="s">
        <v>123</v>
      </c>
      <c r="K226" s="56"/>
      <c r="L226" s="69">
        <v>1336127.0</v>
      </c>
    </row>
    <row r="227">
      <c r="A227" s="62" t="s">
        <v>53</v>
      </c>
      <c r="B227" s="50" t="str">
        <f>IFERROR(HYPERLINK(VLOOKUP(A227,Internal_lists_bugs!$A$2:$C$73,3,FALSE()), VLOOKUP(A227,Internal_lists_bugs!$A$2:$C$73,3,FALSE())&amp;Char(10) &amp; Char(10) &amp; VLOOKUP(A227,Internal_lists_bugs!$A$2:$Z$73,26,FALSE())),"please select a BUG ID")</f>
        <v>https://bugs.launchpad.net/nova/+bug/1336127
/compute/manager.py</v>
      </c>
      <c r="C227" s="51">
        <f>IFERROR(__xludf.DUMMYFUNCTION("IFERROR(IF(REGEXMATCH(VLOOKUP(A227,Internal_lists_bugs!$A$2:$R$73,18,FALSE()), ""Yes""), VLOOKUP(A227,Internal_lists_bugs!$A$2:$U$73,21,FALSE()), VLOOKUP(A227,Internal_lists_bugs!$A$2:$R$73,18,FALSE())),""please select a BUG ID"")"),1437516.0)</f>
        <v>1437516</v>
      </c>
      <c r="D227" s="16" t="s">
        <v>149</v>
      </c>
      <c r="E227" s="16" t="s">
        <v>144</v>
      </c>
      <c r="F227" s="55"/>
      <c r="G227" s="56"/>
      <c r="H227" s="54"/>
      <c r="J227" s="55"/>
      <c r="K227" s="56"/>
      <c r="L227" s="69">
        <v>1336127.0</v>
      </c>
    </row>
    <row r="228">
      <c r="A228" s="62" t="s">
        <v>53</v>
      </c>
      <c r="B228" s="50" t="str">
        <f>IFERROR(HYPERLINK(VLOOKUP(A228,Internal_lists_bugs!$A$2:$C$73,3,FALSE()), VLOOKUP(A228,Internal_lists_bugs!$A$2:$C$73,3,FALSE())&amp;Char(10) &amp; Char(10) &amp; VLOOKUP(A228,Internal_lists_bugs!$A$2:$Z$73,26,FALSE())),"please select a BUG ID")</f>
        <v>https://bugs.launchpad.net/nova/+bug/1336127
/compute/manager.py</v>
      </c>
      <c r="C228" s="51">
        <f>IFERROR(__xludf.DUMMYFUNCTION("IFERROR(IF(REGEXMATCH(VLOOKUP(A228,Internal_lists_bugs!$A$2:$R$73,18,FALSE()), ""Yes""), VLOOKUP(A228,Internal_lists_bugs!$A$2:$U$73,21,FALSE()), VLOOKUP(A228,Internal_lists_bugs!$A$2:$R$73,18,FALSE())),""please select a BUG ID"")"),1437516.0)</f>
        <v>1437516</v>
      </c>
      <c r="D228" s="16" t="s">
        <v>249</v>
      </c>
      <c r="E228" s="16" t="s">
        <v>324</v>
      </c>
      <c r="F228" s="55"/>
      <c r="G228" s="56"/>
      <c r="H228" s="54"/>
      <c r="J228" s="55"/>
      <c r="K228" s="56"/>
      <c r="L228" s="69">
        <v>1336127.0</v>
      </c>
    </row>
    <row r="229">
      <c r="A229" s="62" t="s">
        <v>53</v>
      </c>
      <c r="B229" s="50" t="str">
        <f>IFERROR(HYPERLINK(VLOOKUP(A229,Internal_lists_bugs!$A$2:$C$73,3,FALSE()), VLOOKUP(A229,Internal_lists_bugs!$A$2:$C$73,3,FALSE())&amp;Char(10) &amp; Char(10) &amp; VLOOKUP(A229,Internal_lists_bugs!$A$2:$Z$73,26,FALSE())),"please select a BUG ID")</f>
        <v>https://bugs.launchpad.net/nova/+bug/1336127
/compute/manager.py</v>
      </c>
      <c r="C229" s="51">
        <f>IFERROR(__xludf.DUMMYFUNCTION("IFERROR(IF(REGEXMATCH(VLOOKUP(A229,Internal_lists_bugs!$A$2:$R$73,18,FALSE()), ""Yes""), VLOOKUP(A229,Internal_lists_bugs!$A$2:$U$73,21,FALSE()), VLOOKUP(A229,Internal_lists_bugs!$A$2:$R$73,18,FALSE())),""please select a BUG ID"")"),1437516.0)</f>
        <v>1437516</v>
      </c>
      <c r="D229" s="16" t="s">
        <v>127</v>
      </c>
      <c r="E229" s="16" t="s">
        <v>325</v>
      </c>
      <c r="F229" s="55"/>
      <c r="G229" s="56"/>
      <c r="H229" s="54"/>
      <c r="J229" s="55"/>
      <c r="K229" s="56"/>
      <c r="L229" s="69">
        <v>1336127.0</v>
      </c>
    </row>
    <row r="230">
      <c r="A230" s="62" t="s">
        <v>53</v>
      </c>
      <c r="B230" s="50" t="str">
        <f>IFERROR(HYPERLINK(VLOOKUP(A230,Internal_lists_bugs!$A$2:$C$73,3,FALSE()), VLOOKUP(A230,Internal_lists_bugs!$A$2:$C$73,3,FALSE())&amp;Char(10) &amp; Char(10) &amp; VLOOKUP(A230,Internal_lists_bugs!$A$2:$Z$73,26,FALSE())),"please select a BUG ID")</f>
        <v>https://bugs.launchpad.net/nova/+bug/1336127
/compute/manager.py</v>
      </c>
      <c r="C230" s="51">
        <f>IFERROR(__xludf.DUMMYFUNCTION("IFERROR(IF(REGEXMATCH(VLOOKUP(A230,Internal_lists_bugs!$A$2:$R$73,18,FALSE()), ""Yes""), VLOOKUP(A230,Internal_lists_bugs!$A$2:$U$73,21,FALSE()), VLOOKUP(A230,Internal_lists_bugs!$A$2:$R$73,18,FALSE())),""please select a BUG ID"")"),1437516.0)</f>
        <v>1437516</v>
      </c>
      <c r="D230" s="16" t="s">
        <v>149</v>
      </c>
      <c r="E230" s="16" t="s">
        <v>326</v>
      </c>
      <c r="F230" s="55"/>
      <c r="G230" s="56"/>
      <c r="H230" s="54"/>
      <c r="J230" s="55"/>
      <c r="K230" s="56"/>
      <c r="L230" s="69">
        <v>1336127.0</v>
      </c>
    </row>
    <row r="231">
      <c r="A231" s="62" t="s">
        <v>53</v>
      </c>
      <c r="B231" s="50" t="str">
        <f>IFERROR(HYPERLINK(VLOOKUP(A231,Internal_lists_bugs!$A$2:$C$73,3,FALSE()), VLOOKUP(A231,Internal_lists_bugs!$A$2:$C$73,3,FALSE())&amp;Char(10) &amp; Char(10) &amp; VLOOKUP(A231,Internal_lists_bugs!$A$2:$Z$73,26,FALSE())),"please select a BUG ID")</f>
        <v>https://bugs.launchpad.net/nova/+bug/1336127
/compute/manager.py</v>
      </c>
      <c r="C231" s="51">
        <f>IFERROR(__xludf.DUMMYFUNCTION("IFERROR(IF(REGEXMATCH(VLOOKUP(A231,Internal_lists_bugs!$A$2:$R$73,18,FALSE()), ""Yes""), VLOOKUP(A231,Internal_lists_bugs!$A$2:$U$73,21,FALSE()), VLOOKUP(A231,Internal_lists_bugs!$A$2:$R$73,18,FALSE())),""please select a BUG ID"")"),1437516.0)</f>
        <v>1437516</v>
      </c>
      <c r="D231" s="16" t="s">
        <v>119</v>
      </c>
      <c r="E231" s="16" t="s">
        <v>327</v>
      </c>
      <c r="F231" s="55"/>
      <c r="G231" s="56"/>
      <c r="H231" s="54"/>
      <c r="J231" s="55"/>
      <c r="K231" s="56"/>
      <c r="L231" s="69">
        <v>1336127.0</v>
      </c>
    </row>
    <row r="232">
      <c r="A232" s="62" t="s">
        <v>53</v>
      </c>
      <c r="B232" s="50" t="str">
        <f>IFERROR(HYPERLINK(VLOOKUP(A232,Internal_lists_bugs!$A$2:$C$73,3,FALSE()), VLOOKUP(A232,Internal_lists_bugs!$A$2:$C$73,3,FALSE())&amp;Char(10) &amp; Char(10) &amp; VLOOKUP(A232,Internal_lists_bugs!$A$2:$Z$73,26,FALSE())),"please select a BUG ID")</f>
        <v>https://bugs.launchpad.net/nova/+bug/1336127
/compute/manager.py</v>
      </c>
      <c r="C232" s="51">
        <f>IFERROR(__xludf.DUMMYFUNCTION("IFERROR(IF(REGEXMATCH(VLOOKUP(A232,Internal_lists_bugs!$A$2:$R$73,18,FALSE()), ""Yes""), VLOOKUP(A232,Internal_lists_bugs!$A$2:$U$73,21,FALSE()), VLOOKUP(A232,Internal_lists_bugs!$A$2:$R$73,18,FALSE())),""please select a BUG ID"")"),1437516.0)</f>
        <v>1437516</v>
      </c>
      <c r="D232" s="16" t="s">
        <v>129</v>
      </c>
      <c r="E232" s="16" t="s">
        <v>204</v>
      </c>
      <c r="F232" s="55"/>
      <c r="G232" s="56"/>
      <c r="H232" s="54"/>
      <c r="J232" s="55"/>
      <c r="K232" s="56"/>
      <c r="L232" s="69">
        <v>1336127.0</v>
      </c>
    </row>
    <row r="233">
      <c r="A233" s="62" t="s">
        <v>53</v>
      </c>
      <c r="B233" s="50" t="str">
        <f>IFERROR(HYPERLINK(VLOOKUP(A233,Internal_lists_bugs!$A$2:$C$73,3,FALSE()), VLOOKUP(A233,Internal_lists_bugs!$A$2:$C$73,3,FALSE())&amp;Char(10) &amp; Char(10) &amp; VLOOKUP(A233,Internal_lists_bugs!$A$2:$Z$73,26,FALSE())),"please select a BUG ID")</f>
        <v>https://bugs.launchpad.net/nova/+bug/1336127
/compute/manager.py</v>
      </c>
      <c r="C233" s="51">
        <f>IFERROR(__xludf.DUMMYFUNCTION("IFERROR(IF(REGEXMATCH(VLOOKUP(A233,Internal_lists_bugs!$A$2:$R$73,18,FALSE()), ""Yes""), VLOOKUP(A233,Internal_lists_bugs!$A$2:$U$73,21,FALSE()), VLOOKUP(A233,Internal_lists_bugs!$A$2:$R$73,18,FALSE())),""please select a BUG ID"")"),1437516.0)</f>
        <v>1437516</v>
      </c>
      <c r="D233" s="16" t="s">
        <v>131</v>
      </c>
      <c r="E233" s="16" t="s">
        <v>205</v>
      </c>
      <c r="F233" s="55"/>
      <c r="G233" s="56"/>
      <c r="H233" s="54"/>
      <c r="J233" s="55"/>
      <c r="K233" s="56"/>
      <c r="L233" s="69">
        <v>1336127.0</v>
      </c>
    </row>
    <row r="234">
      <c r="A234" s="62" t="s">
        <v>54</v>
      </c>
      <c r="B234" s="50" t="str">
        <f>IFERROR(HYPERLINK(VLOOKUP(A234,Internal_lists_bugs!$A$2:$C$73,3,FALSE()), VLOOKUP(A234,Internal_lists_bugs!$A$2:$C$73,3,FALSE())&amp;Char(10) &amp; Char(10) &amp; VLOOKUP(A234,Internal_lists_bugs!$A$2:$Z$73,26,FALSE())),"please select a BUG ID")</f>
        <v>https://bugs.launchpad.net/nova/+bug/1307791
/compute/api.py</v>
      </c>
      <c r="C234" s="51" t="str">
        <f>IFERROR(__xludf.DUMMYFUNCTION("IFERROR(IF(REGEXMATCH(VLOOKUP(A234,Internal_lists_bugs!$A$2:$R$73,18,FALSE()), ""Yes""), VLOOKUP(A234,Internal_lists_bugs!$A$2:$U$73,21,FALSE()), VLOOKUP(A234,Internal_lists_bugs!$A$2:$R$73,18,FALSE())),""please select a BUG ID"")"),"No, however, check in the right corner of the bug description")</f>
        <v>No, however, check in the right corner of the bug description</v>
      </c>
      <c r="D234" s="16" t="s">
        <v>119</v>
      </c>
      <c r="E234" s="16" t="s">
        <v>144</v>
      </c>
      <c r="F234" s="52" t="s">
        <v>121</v>
      </c>
      <c r="G234" s="56"/>
      <c r="H234" s="16" t="s">
        <v>123</v>
      </c>
      <c r="J234" s="52" t="s">
        <v>123</v>
      </c>
      <c r="K234" s="56"/>
    </row>
    <row r="235">
      <c r="A235" s="62" t="s">
        <v>54</v>
      </c>
      <c r="B235" s="50" t="str">
        <f>IFERROR(HYPERLINK(VLOOKUP(A235,Internal_lists_bugs!$A$2:$C$73,3,FALSE()), VLOOKUP(A235,Internal_lists_bugs!$A$2:$C$73,3,FALSE())&amp;Char(10) &amp; Char(10) &amp; VLOOKUP(A235,Internal_lists_bugs!$A$2:$Z$73,26,FALSE())),"please select a BUG ID")</f>
        <v>https://bugs.launchpad.net/nova/+bug/1307791
/compute/api.py</v>
      </c>
      <c r="C235" s="51" t="str">
        <f>IFERROR(__xludf.DUMMYFUNCTION("IFERROR(IF(REGEXMATCH(VLOOKUP(A235,Internal_lists_bugs!$A$2:$R$73,18,FALSE()), ""Yes""), VLOOKUP(A235,Internal_lists_bugs!$A$2:$U$73,21,FALSE()), VLOOKUP(A235,Internal_lists_bugs!$A$2:$R$73,18,FALSE())),""please select a BUG ID"")"),"No, however, check in the right corner of the bug description")</f>
        <v>No, however, check in the right corner of the bug description</v>
      </c>
      <c r="D235" s="16" t="s">
        <v>119</v>
      </c>
      <c r="E235" s="16" t="s">
        <v>328</v>
      </c>
      <c r="F235" s="55"/>
      <c r="G235" s="56"/>
      <c r="H235" s="54"/>
      <c r="J235" s="55"/>
      <c r="K235" s="56"/>
    </row>
    <row r="236">
      <c r="A236" s="62" t="s">
        <v>54</v>
      </c>
      <c r="B236" s="50" t="str">
        <f>IFERROR(HYPERLINK(VLOOKUP(A236,Internal_lists_bugs!$A$2:$C$73,3,FALSE()), VLOOKUP(A236,Internal_lists_bugs!$A$2:$C$73,3,FALSE())&amp;Char(10) &amp; Char(10) &amp; VLOOKUP(A236,Internal_lists_bugs!$A$2:$Z$73,26,FALSE())),"please select a BUG ID")</f>
        <v>https://bugs.launchpad.net/nova/+bug/1307791
/compute/api.py</v>
      </c>
      <c r="C236" s="51" t="str">
        <f>IFERROR(__xludf.DUMMYFUNCTION("IFERROR(IF(REGEXMATCH(VLOOKUP(A236,Internal_lists_bugs!$A$2:$R$73,18,FALSE()), ""Yes""), VLOOKUP(A236,Internal_lists_bugs!$A$2:$U$73,21,FALSE()), VLOOKUP(A236,Internal_lists_bugs!$A$2:$R$73,18,FALSE())),""please select a BUG ID"")"),"No, however, check in the right corner of the bug description")</f>
        <v>No, however, check in the right corner of the bug description</v>
      </c>
      <c r="D236" s="16" t="s">
        <v>149</v>
      </c>
      <c r="E236" s="16" t="s">
        <v>329</v>
      </c>
      <c r="F236" s="55"/>
      <c r="G236" s="56"/>
      <c r="H236" s="54"/>
      <c r="J236" s="55"/>
      <c r="K236" s="56"/>
    </row>
    <row r="237">
      <c r="A237" s="62" t="s">
        <v>54</v>
      </c>
      <c r="B237" s="50" t="str">
        <f>IFERROR(HYPERLINK(VLOOKUP(A237,Internal_lists_bugs!$A$2:$C$73,3,FALSE()), VLOOKUP(A237,Internal_lists_bugs!$A$2:$C$73,3,FALSE())&amp;Char(10) &amp; Char(10) &amp; VLOOKUP(A237,Internal_lists_bugs!$A$2:$Z$73,26,FALSE())),"please select a BUG ID")</f>
        <v>https://bugs.launchpad.net/nova/+bug/1307791
/compute/api.py</v>
      </c>
      <c r="C237" s="51" t="str">
        <f>IFERROR(__xludf.DUMMYFUNCTION("IFERROR(IF(REGEXMATCH(VLOOKUP(A237,Internal_lists_bugs!$A$2:$R$73,18,FALSE()), ""Yes""), VLOOKUP(A237,Internal_lists_bugs!$A$2:$U$73,21,FALSE()), VLOOKUP(A237,Internal_lists_bugs!$A$2:$R$73,18,FALSE())),""please select a BUG ID"")"),"No, however, check in the right corner of the bug description")</f>
        <v>No, however, check in the right corner of the bug description</v>
      </c>
      <c r="D237" s="16" t="s">
        <v>129</v>
      </c>
      <c r="E237" s="16" t="s">
        <v>204</v>
      </c>
      <c r="F237" s="55"/>
      <c r="G237" s="56"/>
      <c r="H237" s="54"/>
      <c r="J237" s="55"/>
      <c r="K237" s="56"/>
    </row>
    <row r="238">
      <c r="A238" s="62" t="s">
        <v>54</v>
      </c>
      <c r="B238" s="50" t="str">
        <f>IFERROR(HYPERLINK(VLOOKUP(A238,Internal_lists_bugs!$A$2:$C$73,3,FALSE()), VLOOKUP(A238,Internal_lists_bugs!$A$2:$C$73,3,FALSE())&amp;Char(10) &amp; Char(10) &amp; VLOOKUP(A238,Internal_lists_bugs!$A$2:$Z$73,26,FALSE())),"please select a BUG ID")</f>
        <v>https://bugs.launchpad.net/nova/+bug/1307791
/compute/api.py</v>
      </c>
      <c r="C238" s="51" t="str">
        <f>IFERROR(__xludf.DUMMYFUNCTION("IFERROR(IF(REGEXMATCH(VLOOKUP(A238,Internal_lists_bugs!$A$2:$R$73,18,FALSE()), ""Yes""), VLOOKUP(A238,Internal_lists_bugs!$A$2:$U$73,21,FALSE()), VLOOKUP(A238,Internal_lists_bugs!$A$2:$R$73,18,FALSE())),""please select a BUG ID"")"),"No, however, check in the right corner of the bug description")</f>
        <v>No, however, check in the right corner of the bug description</v>
      </c>
      <c r="D238" s="16" t="s">
        <v>330</v>
      </c>
      <c r="E238" s="16" t="s">
        <v>205</v>
      </c>
      <c r="F238" s="55"/>
      <c r="G238" s="56"/>
      <c r="H238" s="54"/>
      <c r="J238" s="55"/>
      <c r="K238" s="56"/>
    </row>
    <row r="239">
      <c r="A239" s="62" t="s">
        <v>54</v>
      </c>
      <c r="B239" s="50" t="str">
        <f>IFERROR(HYPERLINK(VLOOKUP(A239,Internal_lists_bugs!$A$2:$C$73,3,FALSE()), VLOOKUP(A239,Internal_lists_bugs!$A$2:$C$73,3,FALSE())&amp;Char(10) &amp; Char(10) &amp; VLOOKUP(A239,Internal_lists_bugs!$A$2:$Z$73,26,FALSE())),"please select a BUG ID")</f>
        <v>https://bugs.launchpad.net/nova/+bug/1307791
/compute/api.py</v>
      </c>
      <c r="C239" s="51" t="str">
        <f>IFERROR(__xludf.DUMMYFUNCTION("IFERROR(IF(REGEXMATCH(VLOOKUP(A239,Internal_lists_bugs!$A$2:$R$73,18,FALSE()), ""Yes""), VLOOKUP(A239,Internal_lists_bugs!$A$2:$U$73,21,FALSE()), VLOOKUP(A239,Internal_lists_bugs!$A$2:$R$73,18,FALSE())),""please select a BUG ID"")"),"No, however, check in the right corner of the bug description")</f>
        <v>No, however, check in the right corner of the bug description</v>
      </c>
      <c r="D239" s="16" t="s">
        <v>131</v>
      </c>
      <c r="E239" s="16" t="s">
        <v>229</v>
      </c>
      <c r="F239" s="55"/>
      <c r="G239" s="56"/>
      <c r="H239" s="54"/>
      <c r="J239" s="55"/>
      <c r="K239" s="56"/>
    </row>
    <row r="240">
      <c r="A240" s="62" t="s">
        <v>54</v>
      </c>
      <c r="B240" s="50" t="str">
        <f>IFERROR(HYPERLINK(VLOOKUP(A240,Internal_lists_bugs!$A$2:$C$73,3,FALSE()), VLOOKUP(A240,Internal_lists_bugs!$A$2:$C$73,3,FALSE())&amp;Char(10) &amp; Char(10) &amp; VLOOKUP(A240,Internal_lists_bugs!$A$2:$Z$73,26,FALSE())),"please select a BUG ID")</f>
        <v>https://bugs.launchpad.net/nova/+bug/1307791
/compute/api.py</v>
      </c>
      <c r="C240" s="51" t="str">
        <f>IFERROR(__xludf.DUMMYFUNCTION("IFERROR(IF(REGEXMATCH(VLOOKUP(A240,Internal_lists_bugs!$A$2:$R$73,18,FALSE()), ""Yes""), VLOOKUP(A240,Internal_lists_bugs!$A$2:$U$73,21,FALSE()), VLOOKUP(A240,Internal_lists_bugs!$A$2:$R$73,18,FALSE())),""please select a BUG ID"")"),"No, however, check in the right corner of the bug description")</f>
        <v>No, however, check in the right corner of the bug description</v>
      </c>
      <c r="D240" s="16" t="s">
        <v>153</v>
      </c>
      <c r="E240" s="16" t="s">
        <v>216</v>
      </c>
      <c r="F240" s="55"/>
      <c r="G240" s="56"/>
      <c r="H240" s="54"/>
      <c r="J240" s="55"/>
      <c r="K240" s="56"/>
    </row>
    <row r="241">
      <c r="A241" s="62" t="s">
        <v>54</v>
      </c>
      <c r="B241" s="50" t="str">
        <f>IFERROR(HYPERLINK(VLOOKUP(A241,Internal_lists_bugs!$A$2:$C$73,3,FALSE()), VLOOKUP(A241,Internal_lists_bugs!$A$2:$C$73,3,FALSE())&amp;Char(10) &amp; Char(10) &amp; VLOOKUP(A241,Internal_lists_bugs!$A$2:$Z$73,26,FALSE())),"please select a BUG ID")</f>
        <v>https://bugs.launchpad.net/nova/+bug/1307791
/compute/api.py</v>
      </c>
      <c r="C241" s="51" t="str">
        <f>IFERROR(__xludf.DUMMYFUNCTION("IFERROR(IF(REGEXMATCH(VLOOKUP(A241,Internal_lists_bugs!$A$2:$R$73,18,FALSE()), ""Yes""), VLOOKUP(A241,Internal_lists_bugs!$A$2:$U$73,21,FALSE()), VLOOKUP(A241,Internal_lists_bugs!$A$2:$R$73,18,FALSE())),""please select a BUG ID"")"),"No, however, check in the right corner of the bug description")</f>
        <v>No, however, check in the right corner of the bug description</v>
      </c>
      <c r="D241" s="16" t="s">
        <v>331</v>
      </c>
      <c r="E241" s="16" t="s">
        <v>217</v>
      </c>
      <c r="F241" s="55"/>
      <c r="G241" s="56"/>
      <c r="H241" s="54"/>
      <c r="J241" s="55"/>
      <c r="K241" s="56"/>
    </row>
    <row r="242">
      <c r="A242" s="62" t="s">
        <v>55</v>
      </c>
      <c r="B242" s="50" t="str">
        <f>IFERROR(HYPERLINK(VLOOKUP(A242,Internal_lists_bugs!$A$2:$C$73,3,FALSE()), VLOOKUP(A242,Internal_lists_bugs!$A$2:$C$73,3,FALSE())&amp;Char(10) &amp; Char(10) &amp; VLOOKUP(A242,Internal_lists_bugs!$A$2:$Z$73,26,FALSE())),"please select a BUG ID")</f>
        <v>https://bugs.launchpad.net/nova/+bug/1402535
/virt/libvirt/volume.py</v>
      </c>
      <c r="C242" s="51" t="str">
        <f>IFERROR(__xludf.DUMMYFUNCTION("IFERROR(IF(REGEXMATCH(VLOOKUP(A242,Internal_lists_bugs!$A$2:$R$73,18,FALSE()), ""Yes""), VLOOKUP(A242,Internal_lists_bugs!$A$2:$U$73,21,FALSE()), VLOOKUP(A242,Internal_lists_bugs!$A$2:$R$73,18,FALSE())),""please select a BUG ID"")"),"No, however, check in the right corner of the bug description")</f>
        <v>No, however, check in the right corner of the bug description</v>
      </c>
      <c r="D242" s="16" t="s">
        <v>119</v>
      </c>
      <c r="E242" s="16" t="s">
        <v>144</v>
      </c>
      <c r="F242" s="52" t="s">
        <v>332</v>
      </c>
      <c r="G242" s="53" t="s">
        <v>163</v>
      </c>
      <c r="H242" s="16" t="s">
        <v>123</v>
      </c>
      <c r="J242" s="55"/>
      <c r="K242" s="56"/>
    </row>
    <row r="243">
      <c r="A243" s="62" t="s">
        <v>55</v>
      </c>
      <c r="B243" s="50" t="str">
        <f>IFERROR(HYPERLINK(VLOOKUP(A243,Internal_lists_bugs!$A$2:$C$73,3,FALSE()), VLOOKUP(A243,Internal_lists_bugs!$A$2:$C$73,3,FALSE())&amp;Char(10) &amp; Char(10) &amp; VLOOKUP(A243,Internal_lists_bugs!$A$2:$Z$73,26,FALSE())),"please select a BUG ID")</f>
        <v>https://bugs.launchpad.net/nova/+bug/1402535
/virt/libvirt/volume.py</v>
      </c>
      <c r="C243" s="51" t="str">
        <f>IFERROR(__xludf.DUMMYFUNCTION("IFERROR(IF(REGEXMATCH(VLOOKUP(A243,Internal_lists_bugs!$A$2:$R$73,18,FALSE()), ""Yes""), VLOOKUP(A243,Internal_lists_bugs!$A$2:$U$73,21,FALSE()), VLOOKUP(A243,Internal_lists_bugs!$A$2:$R$73,18,FALSE())),""please select a BUG ID"")"),"No, however, check in the right corner of the bug description")</f>
        <v>No, however, check in the right corner of the bug description</v>
      </c>
      <c r="D243" s="16" t="s">
        <v>127</v>
      </c>
      <c r="E243" s="16" t="s">
        <v>333</v>
      </c>
      <c r="F243" s="55"/>
      <c r="G243" s="56"/>
      <c r="H243" s="54"/>
      <c r="J243" s="55"/>
      <c r="K243" s="56"/>
    </row>
    <row r="244">
      <c r="A244" s="62" t="s">
        <v>55</v>
      </c>
      <c r="B244" s="50" t="str">
        <f>IFERROR(HYPERLINK(VLOOKUP(A244,Internal_lists_bugs!$A$2:$C$73,3,FALSE()), VLOOKUP(A244,Internal_lists_bugs!$A$2:$C$73,3,FALSE())&amp;Char(10) &amp; Char(10) &amp; VLOOKUP(A244,Internal_lists_bugs!$A$2:$Z$73,26,FALSE())),"please select a BUG ID")</f>
        <v>https://bugs.launchpad.net/nova/+bug/1402535
/virt/libvirt/volume.py</v>
      </c>
      <c r="C244" s="51" t="str">
        <f>IFERROR(__xludf.DUMMYFUNCTION("IFERROR(IF(REGEXMATCH(VLOOKUP(A244,Internal_lists_bugs!$A$2:$R$73,18,FALSE()), ""Yes""), VLOOKUP(A244,Internal_lists_bugs!$A$2:$U$73,21,FALSE()), VLOOKUP(A244,Internal_lists_bugs!$A$2:$R$73,18,FALSE())),""please select a BUG ID"")"),"No, however, check in the right corner of the bug description")</f>
        <v>No, however, check in the right corner of the bug description</v>
      </c>
      <c r="D244" s="16" t="s">
        <v>227</v>
      </c>
      <c r="E244" s="16" t="s">
        <v>204</v>
      </c>
      <c r="F244" s="55"/>
      <c r="G244" s="56"/>
      <c r="H244" s="54"/>
      <c r="J244" s="55"/>
      <c r="K244" s="56"/>
    </row>
    <row r="245">
      <c r="A245" s="62" t="s">
        <v>55</v>
      </c>
      <c r="B245" s="50" t="str">
        <f>IFERROR(HYPERLINK(VLOOKUP(A245,Internal_lists_bugs!$A$2:$C$73,3,FALSE()), VLOOKUP(A245,Internal_lists_bugs!$A$2:$C$73,3,FALSE())&amp;Char(10) &amp; Char(10) &amp; VLOOKUP(A245,Internal_lists_bugs!$A$2:$Z$73,26,FALSE())),"please select a BUG ID")</f>
        <v>https://bugs.launchpad.net/nova/+bug/1402535
/virt/libvirt/volume.py</v>
      </c>
      <c r="C245" s="51" t="str">
        <f>IFERROR(__xludf.DUMMYFUNCTION("IFERROR(IF(REGEXMATCH(VLOOKUP(A245,Internal_lists_bugs!$A$2:$R$73,18,FALSE()), ""Yes""), VLOOKUP(A245,Internal_lists_bugs!$A$2:$U$73,21,FALSE()), VLOOKUP(A245,Internal_lists_bugs!$A$2:$R$73,18,FALSE())),""please select a BUG ID"")"),"No, however, check in the right corner of the bug description")</f>
        <v>No, however, check in the right corner of the bug description</v>
      </c>
      <c r="D245" s="16" t="s">
        <v>157</v>
      </c>
      <c r="E245" s="16" t="s">
        <v>204</v>
      </c>
      <c r="F245" s="55"/>
      <c r="G245" s="56"/>
      <c r="H245" s="54"/>
      <c r="J245" s="55"/>
      <c r="K245" s="56"/>
    </row>
    <row r="246">
      <c r="A246" s="62" t="s">
        <v>55</v>
      </c>
      <c r="B246" s="50" t="str">
        <f>IFERROR(HYPERLINK(VLOOKUP(A246,Internal_lists_bugs!$A$2:$C$73,3,FALSE()), VLOOKUP(A246,Internal_lists_bugs!$A$2:$C$73,3,FALSE())&amp;Char(10) &amp; Char(10) &amp; VLOOKUP(A246,Internal_lists_bugs!$A$2:$Z$73,26,FALSE())),"please select a BUG ID")</f>
        <v>https://bugs.launchpad.net/nova/+bug/1402535
/virt/libvirt/volume.py</v>
      </c>
      <c r="C246" s="51" t="str">
        <f>IFERROR(__xludf.DUMMYFUNCTION("IFERROR(IF(REGEXMATCH(VLOOKUP(A246,Internal_lists_bugs!$A$2:$R$73,18,FALSE()), ""Yes""), VLOOKUP(A246,Internal_lists_bugs!$A$2:$U$73,21,FALSE()), VLOOKUP(A246,Internal_lists_bugs!$A$2:$R$73,18,FALSE())),""please select a BUG ID"")"),"No, however, check in the right corner of the bug description")</f>
        <v>No, however, check in the right corner of the bug description</v>
      </c>
      <c r="D246" s="16" t="s">
        <v>334</v>
      </c>
      <c r="E246" s="16" t="s">
        <v>205</v>
      </c>
      <c r="F246" s="55"/>
      <c r="G246" s="56"/>
      <c r="H246" s="54"/>
      <c r="J246" s="55"/>
      <c r="K246" s="56"/>
    </row>
    <row r="247">
      <c r="A247" s="62" t="s">
        <v>55</v>
      </c>
      <c r="B247" s="50" t="str">
        <f>IFERROR(HYPERLINK(VLOOKUP(A247,Internal_lists_bugs!$A$2:$C$73,3,FALSE()), VLOOKUP(A247,Internal_lists_bugs!$A$2:$C$73,3,FALSE())&amp;Char(10) &amp; Char(10) &amp; VLOOKUP(A247,Internal_lists_bugs!$A$2:$Z$73,26,FALSE())),"please select a BUG ID")</f>
        <v>https://bugs.launchpad.net/nova/+bug/1402535
/virt/libvirt/volume.py</v>
      </c>
      <c r="C247" s="51" t="str">
        <f>IFERROR(__xludf.DUMMYFUNCTION("IFERROR(IF(REGEXMATCH(VLOOKUP(A247,Internal_lists_bugs!$A$2:$R$73,18,FALSE()), ""Yes""), VLOOKUP(A247,Internal_lists_bugs!$A$2:$U$73,21,FALSE()), VLOOKUP(A247,Internal_lists_bugs!$A$2:$R$73,18,FALSE())),""please select a BUG ID"")"),"No, however, check in the right corner of the bug description")</f>
        <v>No, however, check in the right corner of the bug description</v>
      </c>
      <c r="D247" s="16" t="s">
        <v>129</v>
      </c>
      <c r="E247" s="16" t="s">
        <v>229</v>
      </c>
      <c r="F247" s="55"/>
      <c r="G247" s="56"/>
      <c r="H247" s="54"/>
      <c r="J247" s="55"/>
      <c r="K247" s="56"/>
    </row>
    <row r="248">
      <c r="A248" s="62" t="s">
        <v>55</v>
      </c>
      <c r="B248" s="50" t="str">
        <f>IFERROR(HYPERLINK(VLOOKUP(A248,Internal_lists_bugs!$A$2:$C$73,3,FALSE()), VLOOKUP(A248,Internal_lists_bugs!$A$2:$C$73,3,FALSE())&amp;Char(10) &amp; Char(10) &amp; VLOOKUP(A248,Internal_lists_bugs!$A$2:$Z$73,26,FALSE())),"please select a BUG ID")</f>
        <v>https://bugs.launchpad.net/nova/+bug/1402535
/virt/libvirt/volume.py</v>
      </c>
      <c r="C248" s="51" t="str">
        <f>IFERROR(__xludf.DUMMYFUNCTION("IFERROR(IF(REGEXMATCH(VLOOKUP(A248,Internal_lists_bugs!$A$2:$R$73,18,FALSE()), ""Yes""), VLOOKUP(A248,Internal_lists_bugs!$A$2:$U$73,21,FALSE()), VLOOKUP(A248,Internal_lists_bugs!$A$2:$R$73,18,FALSE())),""please select a BUG ID"")"),"No, however, check in the right corner of the bug description")</f>
        <v>No, however, check in the right corner of the bug description</v>
      </c>
      <c r="D248" s="16" t="s">
        <v>131</v>
      </c>
      <c r="E248" s="16" t="s">
        <v>216</v>
      </c>
      <c r="F248" s="55"/>
      <c r="G248" s="56"/>
      <c r="H248" s="54"/>
      <c r="J248" s="55"/>
      <c r="K248" s="56"/>
    </row>
    <row r="249">
      <c r="A249" s="62" t="s">
        <v>56</v>
      </c>
      <c r="B249" s="50" t="str">
        <f>IFERROR(HYPERLINK(VLOOKUP(A249,Internal_lists_bugs!$A$2:$C$73,3,FALSE()), VLOOKUP(A249,Internal_lists_bugs!$A$2:$C$73,3,FALSE())&amp;Char(10) &amp; Char(10) &amp; VLOOKUP(A249,Internal_lists_bugs!$A$2:$Z$73,26,FALSE())),"please select a BUG ID")</f>
        <v>https://bugs.launchpad.net/nova/+bug/1371677
/libvirt/driver.py</v>
      </c>
      <c r="C249" s="51" t="str">
        <f>IFERROR(__xludf.DUMMYFUNCTION("IFERROR(IF(REGEXMATCH(VLOOKUP(A249,Internal_lists_bugs!$A$2:$R$73,18,FALSE()), ""Yes""), VLOOKUP(A249,Internal_lists_bugs!$A$2:$U$73,21,FALSE()), VLOOKUP(A249,Internal_lists_bugs!$A$2:$R$73,18,FALSE())),""please select a BUG ID"")"),"1372369, 1448333")</f>
        <v>1372369, 1448333</v>
      </c>
      <c r="D249" s="16" t="s">
        <v>119</v>
      </c>
      <c r="E249" s="16" t="s">
        <v>144</v>
      </c>
      <c r="F249" s="52" t="s">
        <v>335</v>
      </c>
      <c r="G249" s="53" t="s">
        <v>163</v>
      </c>
      <c r="H249" s="16" t="s">
        <v>251</v>
      </c>
      <c r="I249" s="54" t="s">
        <v>336</v>
      </c>
      <c r="J249" s="52" t="s">
        <v>123</v>
      </c>
      <c r="K249" s="56"/>
      <c r="L249" s="69">
        <v>1371677.0</v>
      </c>
    </row>
    <row r="250">
      <c r="A250" s="62" t="s">
        <v>56</v>
      </c>
      <c r="B250" s="50" t="str">
        <f>IFERROR(HYPERLINK(VLOOKUP(A250,Internal_lists_bugs!$A$2:$C$73,3,FALSE()), VLOOKUP(A250,Internal_lists_bugs!$A$2:$C$73,3,FALSE())&amp;Char(10) &amp; Char(10) &amp; VLOOKUP(A250,Internal_lists_bugs!$A$2:$Z$73,26,FALSE())),"please select a BUG ID")</f>
        <v>https://bugs.launchpad.net/nova/+bug/1371677
/libvirt/driver.py</v>
      </c>
      <c r="C250" s="51" t="str">
        <f>IFERROR(__xludf.DUMMYFUNCTION("IFERROR(IF(REGEXMATCH(VLOOKUP(A250,Internal_lists_bugs!$A$2:$R$73,18,FALSE()), ""Yes""), VLOOKUP(A250,Internal_lists_bugs!$A$2:$U$73,21,FALSE()), VLOOKUP(A250,Internal_lists_bugs!$A$2:$R$73,18,FALSE())),""please select a BUG ID"")"),"1372369, 1448333")</f>
        <v>1372369, 1448333</v>
      </c>
      <c r="D250" s="16" t="s">
        <v>149</v>
      </c>
      <c r="E250" s="16" t="s">
        <v>337</v>
      </c>
      <c r="F250" s="55"/>
      <c r="G250" s="56"/>
      <c r="H250" s="54"/>
      <c r="J250" s="55"/>
      <c r="K250" s="56"/>
      <c r="L250" s="69">
        <v>1371677.0</v>
      </c>
    </row>
    <row r="251">
      <c r="A251" s="62" t="s">
        <v>56</v>
      </c>
      <c r="B251" s="50" t="str">
        <f>IFERROR(HYPERLINK(VLOOKUP(A251,Internal_lists_bugs!$A$2:$C$73,3,FALSE()), VLOOKUP(A251,Internal_lists_bugs!$A$2:$C$73,3,FALSE())&amp;Char(10) &amp; Char(10) &amp; VLOOKUP(A251,Internal_lists_bugs!$A$2:$Z$73,26,FALSE())),"please select a BUG ID")</f>
        <v>https://bugs.launchpad.net/nova/+bug/1371677
/libvirt/driver.py</v>
      </c>
      <c r="C251" s="51" t="str">
        <f>IFERROR(__xludf.DUMMYFUNCTION("IFERROR(IF(REGEXMATCH(VLOOKUP(A251,Internal_lists_bugs!$A$2:$R$73,18,FALSE()), ""Yes""), VLOOKUP(A251,Internal_lists_bugs!$A$2:$U$73,21,FALSE()), VLOOKUP(A251,Internal_lists_bugs!$A$2:$R$73,18,FALSE())),""please select a BUG ID"")"),"1372369, 1448333")</f>
        <v>1372369, 1448333</v>
      </c>
      <c r="D251" s="16" t="s">
        <v>227</v>
      </c>
      <c r="E251" s="16" t="s">
        <v>338</v>
      </c>
      <c r="F251" s="55"/>
      <c r="G251" s="56"/>
      <c r="H251" s="54"/>
      <c r="J251" s="55"/>
      <c r="K251" s="56"/>
      <c r="L251" s="69">
        <v>1371677.0</v>
      </c>
    </row>
    <row r="252">
      <c r="A252" s="62" t="s">
        <v>56</v>
      </c>
      <c r="B252" s="50" t="str">
        <f>IFERROR(HYPERLINK(VLOOKUP(A252,Internal_lists_bugs!$A$2:$C$73,3,FALSE()), VLOOKUP(A252,Internal_lists_bugs!$A$2:$C$73,3,FALSE())&amp;Char(10) &amp; Char(10) &amp; VLOOKUP(A252,Internal_lists_bugs!$A$2:$Z$73,26,FALSE())),"please select a BUG ID")</f>
        <v>https://bugs.launchpad.net/nova/+bug/1371677
/libvirt/driver.py</v>
      </c>
      <c r="C252" s="51" t="str">
        <f>IFERROR(__xludf.DUMMYFUNCTION("IFERROR(IF(REGEXMATCH(VLOOKUP(A252,Internal_lists_bugs!$A$2:$R$73,18,FALSE()), ""Yes""), VLOOKUP(A252,Internal_lists_bugs!$A$2:$U$73,21,FALSE()), VLOOKUP(A252,Internal_lists_bugs!$A$2:$R$73,18,FALSE())),""please select a BUG ID"")"),"1372369, 1448333")</f>
        <v>1372369, 1448333</v>
      </c>
      <c r="D252" s="16" t="s">
        <v>208</v>
      </c>
      <c r="E252" s="14" t="s">
        <v>339</v>
      </c>
      <c r="F252" s="55"/>
      <c r="G252" s="56"/>
      <c r="H252" s="54"/>
      <c r="J252" s="55"/>
      <c r="K252" s="56"/>
      <c r="L252" s="69">
        <v>1371677.0</v>
      </c>
    </row>
    <row r="253">
      <c r="A253" s="62" t="s">
        <v>56</v>
      </c>
      <c r="B253" s="50" t="str">
        <f>IFERROR(HYPERLINK(VLOOKUP(A253,Internal_lists_bugs!$A$2:$C$73,3,FALSE()), VLOOKUP(A253,Internal_lists_bugs!$A$2:$C$73,3,FALSE())&amp;Char(10) &amp; Char(10) &amp; VLOOKUP(A253,Internal_lists_bugs!$A$2:$Z$73,26,FALSE())),"please select a BUG ID")</f>
        <v>https://bugs.launchpad.net/nova/+bug/1371677
/libvirt/driver.py</v>
      </c>
      <c r="C253" s="51" t="str">
        <f>IFERROR(__xludf.DUMMYFUNCTION("IFERROR(IF(REGEXMATCH(VLOOKUP(A253,Internal_lists_bugs!$A$2:$R$73,18,FALSE()), ""Yes""), VLOOKUP(A253,Internal_lists_bugs!$A$2:$U$73,21,FALSE()), VLOOKUP(A253,Internal_lists_bugs!$A$2:$R$73,18,FALSE())),""please select a BUG ID"")"),"1372369, 1448333")</f>
        <v>1372369, 1448333</v>
      </c>
      <c r="D253" s="16" t="s">
        <v>208</v>
      </c>
      <c r="E253" s="66" t="s">
        <v>204</v>
      </c>
      <c r="F253" s="55"/>
      <c r="G253" s="56"/>
      <c r="H253" s="54"/>
      <c r="J253" s="55"/>
      <c r="K253" s="56"/>
      <c r="L253" s="69">
        <v>1371677.0</v>
      </c>
    </row>
    <row r="254">
      <c r="A254" s="62" t="s">
        <v>56</v>
      </c>
      <c r="B254" s="50" t="str">
        <f>IFERROR(HYPERLINK(VLOOKUP(A254,Internal_lists_bugs!$A$2:$C$73,3,FALSE()), VLOOKUP(A254,Internal_lists_bugs!$A$2:$C$73,3,FALSE())&amp;Char(10) &amp; Char(10) &amp; VLOOKUP(A254,Internal_lists_bugs!$A$2:$Z$73,26,FALSE())),"please select a BUG ID")</f>
        <v>https://bugs.launchpad.net/nova/+bug/1371677
/libvirt/driver.py</v>
      </c>
      <c r="C254" s="51" t="str">
        <f>IFERROR(__xludf.DUMMYFUNCTION("IFERROR(IF(REGEXMATCH(VLOOKUP(A254,Internal_lists_bugs!$A$2:$R$73,18,FALSE()), ""Yes""), VLOOKUP(A254,Internal_lists_bugs!$A$2:$U$73,21,FALSE()), VLOOKUP(A254,Internal_lists_bugs!$A$2:$R$73,18,FALSE())),""please select a BUG ID"")"),"1372369, 1448333")</f>
        <v>1372369, 1448333</v>
      </c>
      <c r="D254" s="16" t="s">
        <v>340</v>
      </c>
      <c r="E254" s="66" t="s">
        <v>204</v>
      </c>
      <c r="F254" s="55"/>
      <c r="G254" s="56"/>
      <c r="H254" s="54"/>
      <c r="J254" s="55"/>
      <c r="K254" s="56"/>
      <c r="L254" s="69">
        <v>1371677.0</v>
      </c>
    </row>
    <row r="255">
      <c r="A255" s="62" t="s">
        <v>56</v>
      </c>
      <c r="B255" s="50" t="str">
        <f>IFERROR(HYPERLINK(VLOOKUP(A255,Internal_lists_bugs!$A$2:$C$73,3,FALSE()), VLOOKUP(A255,Internal_lists_bugs!$A$2:$C$73,3,FALSE())&amp;Char(10) &amp; Char(10) &amp; VLOOKUP(A255,Internal_lists_bugs!$A$2:$Z$73,26,FALSE())),"please select a BUG ID")</f>
        <v>https://bugs.launchpad.net/nova/+bug/1371677
/libvirt/driver.py</v>
      </c>
      <c r="C255" s="51" t="str">
        <f>IFERROR(__xludf.DUMMYFUNCTION("IFERROR(IF(REGEXMATCH(VLOOKUP(A255,Internal_lists_bugs!$A$2:$R$73,18,FALSE()), ""Yes""), VLOOKUP(A255,Internal_lists_bugs!$A$2:$U$73,21,FALSE()), VLOOKUP(A255,Internal_lists_bugs!$A$2:$R$73,18,FALSE())),""please select a BUG ID"")"),"1372369, 1448333")</f>
        <v>1372369, 1448333</v>
      </c>
      <c r="D255" s="16" t="s">
        <v>208</v>
      </c>
      <c r="E255" s="66" t="s">
        <v>205</v>
      </c>
      <c r="F255" s="55"/>
      <c r="G255" s="56"/>
      <c r="H255" s="54"/>
      <c r="J255" s="55"/>
      <c r="K255" s="56"/>
      <c r="L255" s="69">
        <v>1371677.0</v>
      </c>
    </row>
    <row r="256">
      <c r="A256" s="62" t="s">
        <v>56</v>
      </c>
      <c r="B256" s="50" t="str">
        <f>IFERROR(HYPERLINK(VLOOKUP(A256,Internal_lists_bugs!$A$2:$C$73,3,FALSE()), VLOOKUP(A256,Internal_lists_bugs!$A$2:$C$73,3,FALSE())&amp;Char(10) &amp; Char(10) &amp; VLOOKUP(A256,Internal_lists_bugs!$A$2:$Z$73,26,FALSE())),"please select a BUG ID")</f>
        <v>https://bugs.launchpad.net/nova/+bug/1371677
/libvirt/driver.py</v>
      </c>
      <c r="C256" s="51" t="str">
        <f>IFERROR(__xludf.DUMMYFUNCTION("IFERROR(IF(REGEXMATCH(VLOOKUP(A256,Internal_lists_bugs!$A$2:$R$73,18,FALSE()), ""Yes""), VLOOKUP(A256,Internal_lists_bugs!$A$2:$U$73,21,FALSE()), VLOOKUP(A256,Internal_lists_bugs!$A$2:$R$73,18,FALSE())),""please select a BUG ID"")"),"1372369, 1448333")</f>
        <v>1372369, 1448333</v>
      </c>
      <c r="D256" s="16" t="s">
        <v>208</v>
      </c>
      <c r="E256" s="66" t="s">
        <v>229</v>
      </c>
      <c r="F256" s="55"/>
      <c r="G256" s="56"/>
      <c r="H256" s="54"/>
      <c r="J256" s="55"/>
      <c r="K256" s="56"/>
      <c r="L256" s="69">
        <v>1371677.0</v>
      </c>
    </row>
    <row r="257">
      <c r="A257" s="62" t="s">
        <v>56</v>
      </c>
      <c r="B257" s="50" t="str">
        <f>IFERROR(HYPERLINK(VLOOKUP(A257,Internal_lists_bugs!$A$2:$C$73,3,FALSE()), VLOOKUP(A257,Internal_lists_bugs!$A$2:$C$73,3,FALSE())&amp;Char(10) &amp; Char(10) &amp; VLOOKUP(A257,Internal_lists_bugs!$A$2:$Z$73,26,FALSE())),"please select a BUG ID")</f>
        <v>https://bugs.launchpad.net/nova/+bug/1371677
/libvirt/driver.py</v>
      </c>
      <c r="C257" s="51" t="str">
        <f>IFERROR(__xludf.DUMMYFUNCTION("IFERROR(IF(REGEXMATCH(VLOOKUP(A257,Internal_lists_bugs!$A$2:$R$73,18,FALSE()), ""Yes""), VLOOKUP(A257,Internal_lists_bugs!$A$2:$U$73,21,FALSE()), VLOOKUP(A257,Internal_lists_bugs!$A$2:$R$73,18,FALSE())),""please select a BUG ID"")"),"1372369, 1448333")</f>
        <v>1372369, 1448333</v>
      </c>
      <c r="D257" s="16" t="s">
        <v>341</v>
      </c>
      <c r="E257" s="66" t="s">
        <v>216</v>
      </c>
      <c r="F257" s="55"/>
      <c r="G257" s="56"/>
      <c r="H257" s="54"/>
      <c r="J257" s="55"/>
      <c r="K257" s="56"/>
      <c r="L257" s="69">
        <v>1371677.0</v>
      </c>
    </row>
    <row r="258">
      <c r="A258" s="62" t="s">
        <v>56</v>
      </c>
      <c r="B258" s="50" t="str">
        <f>IFERROR(HYPERLINK(VLOOKUP(A258,Internal_lists_bugs!$A$2:$C$73,3,FALSE()), VLOOKUP(A258,Internal_lists_bugs!$A$2:$C$73,3,FALSE())&amp;Char(10) &amp; Char(10) &amp; VLOOKUP(A258,Internal_lists_bugs!$A$2:$Z$73,26,FALSE())),"please select a BUG ID")</f>
        <v>https://bugs.launchpad.net/nova/+bug/1371677
/libvirt/driver.py</v>
      </c>
      <c r="C258" s="51" t="str">
        <f>IFERROR(__xludf.DUMMYFUNCTION("IFERROR(IF(REGEXMATCH(VLOOKUP(A258,Internal_lists_bugs!$A$2:$R$73,18,FALSE()), ""Yes""), VLOOKUP(A258,Internal_lists_bugs!$A$2:$U$73,21,FALSE()), VLOOKUP(A258,Internal_lists_bugs!$A$2:$R$73,18,FALSE())),""please select a BUG ID"")"),"1372369, 1448333")</f>
        <v>1372369, 1448333</v>
      </c>
      <c r="D258" s="16" t="s">
        <v>342</v>
      </c>
      <c r="E258" s="66" t="s">
        <v>217</v>
      </c>
      <c r="F258" s="55"/>
      <c r="G258" s="56"/>
      <c r="H258" s="54"/>
      <c r="J258" s="55"/>
      <c r="K258" s="56"/>
      <c r="L258" s="69">
        <v>1371677.0</v>
      </c>
    </row>
    <row r="259">
      <c r="A259" s="62" t="s">
        <v>56</v>
      </c>
      <c r="B259" s="50" t="str">
        <f>IFERROR(HYPERLINK(VLOOKUP(A259,Internal_lists_bugs!$A$2:$C$73,3,FALSE()), VLOOKUP(A259,Internal_lists_bugs!$A$2:$C$73,3,FALSE())&amp;Char(10) &amp; Char(10) &amp; VLOOKUP(A259,Internal_lists_bugs!$A$2:$Z$73,26,FALSE())),"please select a BUG ID")</f>
        <v>https://bugs.launchpad.net/nova/+bug/1371677
/libvirt/driver.py</v>
      </c>
      <c r="C259" s="51" t="str">
        <f>IFERROR(__xludf.DUMMYFUNCTION("IFERROR(IF(REGEXMATCH(VLOOKUP(A259,Internal_lists_bugs!$A$2:$R$73,18,FALSE()), ""Yes""), VLOOKUP(A259,Internal_lists_bugs!$A$2:$U$73,21,FALSE()), VLOOKUP(A259,Internal_lists_bugs!$A$2:$R$73,18,FALSE())),""please select a BUG ID"")"),"1372369, 1448333")</f>
        <v>1372369, 1448333</v>
      </c>
      <c r="D259" s="16" t="s">
        <v>208</v>
      </c>
      <c r="E259" s="66" t="s">
        <v>183</v>
      </c>
      <c r="F259" s="55"/>
      <c r="G259" s="56"/>
      <c r="H259" s="54"/>
      <c r="J259" s="55"/>
      <c r="K259" s="56"/>
      <c r="L259" s="69">
        <v>1371677.0</v>
      </c>
    </row>
    <row r="260">
      <c r="A260" s="62" t="s">
        <v>56</v>
      </c>
      <c r="B260" s="50" t="str">
        <f>IFERROR(HYPERLINK(VLOOKUP(A260,Internal_lists_bugs!$A$2:$C$73,3,FALSE()), VLOOKUP(A260,Internal_lists_bugs!$A$2:$C$73,3,FALSE())&amp;Char(10) &amp; Char(10) &amp; VLOOKUP(A260,Internal_lists_bugs!$A$2:$Z$73,26,FALSE())),"please select a BUG ID")</f>
        <v>https://bugs.launchpad.net/nova/+bug/1371677
/libvirt/driver.py</v>
      </c>
      <c r="C260" s="51" t="str">
        <f>IFERROR(__xludf.DUMMYFUNCTION("IFERROR(IF(REGEXMATCH(VLOOKUP(A260,Internal_lists_bugs!$A$2:$R$73,18,FALSE()), ""Yes""), VLOOKUP(A260,Internal_lists_bugs!$A$2:$U$73,21,FALSE()), VLOOKUP(A260,Internal_lists_bugs!$A$2:$R$73,18,FALSE())),""please select a BUG ID"")"),"1372369, 1448333")</f>
        <v>1372369, 1448333</v>
      </c>
      <c r="D260" s="16" t="s">
        <v>343</v>
      </c>
      <c r="E260" s="66" t="s">
        <v>185</v>
      </c>
      <c r="F260" s="55"/>
      <c r="G260" s="56"/>
      <c r="H260" s="54"/>
      <c r="J260" s="55"/>
      <c r="K260" s="56"/>
      <c r="L260" s="69">
        <v>1371677.0</v>
      </c>
    </row>
    <row r="261">
      <c r="A261" s="62" t="s">
        <v>56</v>
      </c>
      <c r="B261" s="50" t="str">
        <f>IFERROR(HYPERLINK(VLOOKUP(A261,Internal_lists_bugs!$A$2:$C$73,3,FALSE()), VLOOKUP(A261,Internal_lists_bugs!$A$2:$C$73,3,FALSE())&amp;Char(10) &amp; Char(10) &amp; VLOOKUP(A261,Internal_lists_bugs!$A$2:$Z$73,26,FALSE())),"please select a BUG ID")</f>
        <v>https://bugs.launchpad.net/nova/+bug/1371677
/libvirt/driver.py</v>
      </c>
      <c r="C261" s="51" t="str">
        <f>IFERROR(__xludf.DUMMYFUNCTION("IFERROR(IF(REGEXMATCH(VLOOKUP(A261,Internal_lists_bugs!$A$2:$R$73,18,FALSE()), ""Yes""), VLOOKUP(A261,Internal_lists_bugs!$A$2:$U$73,21,FALSE()), VLOOKUP(A261,Internal_lists_bugs!$A$2:$R$73,18,FALSE())),""please select a BUG ID"")"),"1372369, 1448333")</f>
        <v>1372369, 1448333</v>
      </c>
      <c r="D261" s="16" t="s">
        <v>149</v>
      </c>
      <c r="E261" s="66" t="s">
        <v>185</v>
      </c>
      <c r="F261" s="55"/>
      <c r="G261" s="56"/>
      <c r="H261" s="54"/>
      <c r="J261" s="55"/>
      <c r="K261" s="56"/>
      <c r="L261" s="69">
        <v>1371677.0</v>
      </c>
    </row>
    <row r="262">
      <c r="A262" s="62" t="s">
        <v>56</v>
      </c>
      <c r="B262" s="50" t="str">
        <f>IFERROR(HYPERLINK(VLOOKUP(A262,Internal_lists_bugs!$A$2:$C$73,3,FALSE()), VLOOKUP(A262,Internal_lists_bugs!$A$2:$C$73,3,FALSE())&amp;Char(10) &amp; Char(10) &amp; VLOOKUP(A262,Internal_lists_bugs!$A$2:$Z$73,26,FALSE())),"please select a BUG ID")</f>
        <v>https://bugs.launchpad.net/nova/+bug/1371677
/libvirt/driver.py</v>
      </c>
      <c r="C262" s="51" t="str">
        <f>IFERROR(__xludf.DUMMYFUNCTION("IFERROR(IF(REGEXMATCH(VLOOKUP(A262,Internal_lists_bugs!$A$2:$R$73,18,FALSE()), ""Yes""), VLOOKUP(A262,Internal_lists_bugs!$A$2:$U$73,21,FALSE()), VLOOKUP(A262,Internal_lists_bugs!$A$2:$R$73,18,FALSE())),""please select a BUG ID"")"),"1372369, 1448333")</f>
        <v>1372369, 1448333</v>
      </c>
      <c r="D262" s="16" t="s">
        <v>344</v>
      </c>
      <c r="E262" s="66" t="s">
        <v>187</v>
      </c>
      <c r="F262" s="55"/>
      <c r="G262" s="56"/>
      <c r="H262" s="54"/>
      <c r="J262" s="55"/>
      <c r="K262" s="56"/>
      <c r="L262" s="69">
        <v>1371677.0</v>
      </c>
    </row>
    <row r="263">
      <c r="A263" s="62" t="s">
        <v>56</v>
      </c>
      <c r="B263" s="50" t="str">
        <f>IFERROR(HYPERLINK(VLOOKUP(A263,Internal_lists_bugs!$A$2:$C$73,3,FALSE()), VLOOKUP(A263,Internal_lists_bugs!$A$2:$C$73,3,FALSE())&amp;Char(10) &amp; Char(10) &amp; VLOOKUP(A263,Internal_lists_bugs!$A$2:$Z$73,26,FALSE())),"please select a BUG ID")</f>
        <v>https://bugs.launchpad.net/nova/+bug/1371677
/libvirt/driver.py</v>
      </c>
      <c r="C263" s="51" t="str">
        <f>IFERROR(__xludf.DUMMYFUNCTION("IFERROR(IF(REGEXMATCH(VLOOKUP(A263,Internal_lists_bugs!$A$2:$R$73,18,FALSE()), ""Yes""), VLOOKUP(A263,Internal_lists_bugs!$A$2:$U$73,21,FALSE()), VLOOKUP(A263,Internal_lists_bugs!$A$2:$R$73,18,FALSE())),""please select a BUG ID"")"),"1372369, 1448333")</f>
        <v>1372369, 1448333</v>
      </c>
      <c r="D263" s="16" t="s">
        <v>129</v>
      </c>
      <c r="E263" s="66" t="s">
        <v>189</v>
      </c>
      <c r="F263" s="55"/>
      <c r="G263" s="56"/>
      <c r="H263" s="54"/>
      <c r="J263" s="55"/>
      <c r="K263" s="56"/>
      <c r="L263" s="69">
        <v>1371677.0</v>
      </c>
    </row>
    <row r="264">
      <c r="A264" s="62" t="s">
        <v>56</v>
      </c>
      <c r="B264" s="50" t="str">
        <f>IFERROR(HYPERLINK(VLOOKUP(A264,Internal_lists_bugs!$A$2:$C$73,3,FALSE()), VLOOKUP(A264,Internal_lists_bugs!$A$2:$C$73,3,FALSE())&amp;Char(10) &amp; Char(10) &amp; VLOOKUP(A264,Internal_lists_bugs!$A$2:$Z$73,26,FALSE())),"please select a BUG ID")</f>
        <v>https://bugs.launchpad.net/nova/+bug/1371677
/libvirt/driver.py</v>
      </c>
      <c r="C264" s="51" t="str">
        <f>IFERROR(__xludf.DUMMYFUNCTION("IFERROR(IF(REGEXMATCH(VLOOKUP(A264,Internal_lists_bugs!$A$2:$R$73,18,FALSE()), ""Yes""), VLOOKUP(A264,Internal_lists_bugs!$A$2:$U$73,21,FALSE()), VLOOKUP(A264,Internal_lists_bugs!$A$2:$R$73,18,FALSE())),""please select a BUG ID"")"),"1372369, 1448333")</f>
        <v>1372369, 1448333</v>
      </c>
      <c r="D264" s="16" t="s">
        <v>235</v>
      </c>
      <c r="E264" s="66" t="s">
        <v>192</v>
      </c>
      <c r="F264" s="55"/>
      <c r="G264" s="56"/>
      <c r="H264" s="54"/>
      <c r="J264" s="55"/>
      <c r="K264" s="56"/>
      <c r="L264" s="69">
        <v>1371677.0</v>
      </c>
    </row>
    <row r="265">
      <c r="A265" s="62" t="s">
        <v>56</v>
      </c>
      <c r="B265" s="50" t="str">
        <f>IFERROR(HYPERLINK(VLOOKUP(A265,Internal_lists_bugs!$A$2:$C$73,3,FALSE()), VLOOKUP(A265,Internal_lists_bugs!$A$2:$C$73,3,FALSE())&amp;Char(10) &amp; Char(10) &amp; VLOOKUP(A265,Internal_lists_bugs!$A$2:$Z$73,26,FALSE())),"please select a BUG ID")</f>
        <v>https://bugs.launchpad.net/nova/+bug/1371677
/libvirt/driver.py</v>
      </c>
      <c r="C265" s="51" t="str">
        <f>IFERROR(__xludf.DUMMYFUNCTION("IFERROR(IF(REGEXMATCH(VLOOKUP(A265,Internal_lists_bugs!$A$2:$R$73,18,FALSE()), ""Yes""), VLOOKUP(A265,Internal_lists_bugs!$A$2:$U$73,21,FALSE()), VLOOKUP(A265,Internal_lists_bugs!$A$2:$R$73,18,FALSE())),""please select a BUG ID"")"),"1372369, 1448333")</f>
        <v>1372369, 1448333</v>
      </c>
      <c r="D265" s="16" t="s">
        <v>345</v>
      </c>
      <c r="E265" s="66" t="s">
        <v>267</v>
      </c>
      <c r="F265" s="55"/>
      <c r="G265" s="56"/>
      <c r="H265" s="54"/>
      <c r="J265" s="55"/>
      <c r="K265" s="56"/>
      <c r="L265" s="69">
        <v>1371677.0</v>
      </c>
    </row>
    <row r="266">
      <c r="A266" s="62" t="s">
        <v>56</v>
      </c>
      <c r="B266" s="50" t="str">
        <f>IFERROR(HYPERLINK(VLOOKUP(A266,Internal_lists_bugs!$A$2:$C$73,3,FALSE()), VLOOKUP(A266,Internal_lists_bugs!$A$2:$C$73,3,FALSE())&amp;Char(10) &amp; Char(10) &amp; VLOOKUP(A266,Internal_lists_bugs!$A$2:$Z$73,26,FALSE())),"please select a BUG ID")</f>
        <v>https://bugs.launchpad.net/nova/+bug/1371677
/libvirt/driver.py</v>
      </c>
      <c r="C266" s="51" t="str">
        <f>IFERROR(__xludf.DUMMYFUNCTION("IFERROR(IF(REGEXMATCH(VLOOKUP(A266,Internal_lists_bugs!$A$2:$R$73,18,FALSE()), ""Yes""), VLOOKUP(A266,Internal_lists_bugs!$A$2:$U$73,21,FALSE()), VLOOKUP(A266,Internal_lists_bugs!$A$2:$R$73,18,FALSE())),""please select a BUG ID"")"),"1372369, 1448333")</f>
        <v>1372369, 1448333</v>
      </c>
      <c r="D266" s="16" t="s">
        <v>131</v>
      </c>
      <c r="E266" s="66" t="s">
        <v>269</v>
      </c>
      <c r="F266" s="55"/>
      <c r="G266" s="56"/>
      <c r="H266" s="54"/>
      <c r="J266" s="55"/>
      <c r="K266" s="56"/>
      <c r="L266" s="69">
        <v>1371677.0</v>
      </c>
    </row>
    <row r="267">
      <c r="A267" s="62" t="s">
        <v>56</v>
      </c>
      <c r="B267" s="50" t="str">
        <f>IFERROR(HYPERLINK(VLOOKUP(A267,Internal_lists_bugs!$A$2:$C$73,3,FALSE()), VLOOKUP(A267,Internal_lists_bugs!$A$2:$C$73,3,FALSE())&amp;Char(10) &amp; Char(10) &amp; VLOOKUP(A267,Internal_lists_bugs!$A$2:$Z$73,26,FALSE())),"please select a BUG ID")</f>
        <v>https://bugs.launchpad.net/nova/+bug/1371677
/libvirt/driver.py</v>
      </c>
      <c r="C267" s="51" t="str">
        <f>IFERROR(__xludf.DUMMYFUNCTION("IFERROR(IF(REGEXMATCH(VLOOKUP(A267,Internal_lists_bugs!$A$2:$R$73,18,FALSE()), ""Yes""), VLOOKUP(A267,Internal_lists_bugs!$A$2:$U$73,21,FALSE()), VLOOKUP(A267,Internal_lists_bugs!$A$2:$R$73,18,FALSE())),""please select a BUG ID"")"),"1372369, 1448333")</f>
        <v>1372369, 1448333</v>
      </c>
      <c r="D267" s="16" t="s">
        <v>264</v>
      </c>
      <c r="E267" s="66" t="s">
        <v>195</v>
      </c>
      <c r="F267" s="55"/>
      <c r="G267" s="56"/>
      <c r="H267" s="54"/>
      <c r="J267" s="55"/>
      <c r="K267" s="56"/>
      <c r="L267" s="69">
        <v>1371677.0</v>
      </c>
    </row>
    <row r="268">
      <c r="A268" s="62" t="s">
        <v>56</v>
      </c>
      <c r="B268" s="50" t="str">
        <f>IFERROR(HYPERLINK(VLOOKUP(A268,Internal_lists_bugs!$A$2:$C$73,3,FALSE()), VLOOKUP(A268,Internal_lists_bugs!$A$2:$C$73,3,FALSE())&amp;Char(10) &amp; Char(10) &amp; VLOOKUP(A268,Internal_lists_bugs!$A$2:$Z$73,26,FALSE())),"please select a BUG ID")</f>
        <v>https://bugs.launchpad.net/nova/+bug/1371677
/libvirt/driver.py</v>
      </c>
      <c r="C268" s="51" t="str">
        <f>IFERROR(__xludf.DUMMYFUNCTION("IFERROR(IF(REGEXMATCH(VLOOKUP(A268,Internal_lists_bugs!$A$2:$R$73,18,FALSE()), ""Yes""), VLOOKUP(A268,Internal_lists_bugs!$A$2:$U$73,21,FALSE()), VLOOKUP(A268,Internal_lists_bugs!$A$2:$R$73,18,FALSE())),""please select a BUG ID"")"),"1372369, 1448333")</f>
        <v>1372369, 1448333</v>
      </c>
      <c r="D268" s="16" t="s">
        <v>159</v>
      </c>
      <c r="E268" s="66" t="s">
        <v>306</v>
      </c>
      <c r="F268" s="55"/>
      <c r="G268" s="56"/>
      <c r="H268" s="54"/>
      <c r="J268" s="55"/>
      <c r="K268" s="56"/>
      <c r="L268" s="69">
        <v>1371677.0</v>
      </c>
    </row>
    <row r="269">
      <c r="A269" s="62" t="s">
        <v>56</v>
      </c>
      <c r="B269" s="50" t="str">
        <f>IFERROR(HYPERLINK(VLOOKUP(A269,Internal_lists_bugs!$A$2:$C$73,3,FALSE()), VLOOKUP(A269,Internal_lists_bugs!$A$2:$C$73,3,FALSE())&amp;Char(10) &amp; Char(10) &amp; VLOOKUP(A269,Internal_lists_bugs!$A$2:$Z$73,26,FALSE())),"please select a BUG ID")</f>
        <v>https://bugs.launchpad.net/nova/+bug/1371677
/libvirt/driver.py</v>
      </c>
      <c r="C269" s="51" t="str">
        <f>IFERROR(__xludf.DUMMYFUNCTION("IFERROR(IF(REGEXMATCH(VLOOKUP(A269,Internal_lists_bugs!$A$2:$R$73,18,FALSE()), ""Yes""), VLOOKUP(A269,Internal_lists_bugs!$A$2:$U$73,21,FALSE()), VLOOKUP(A269,Internal_lists_bugs!$A$2:$R$73,18,FALSE())),""please select a BUG ID"")"),"1372369, 1448333")</f>
        <v>1372369, 1448333</v>
      </c>
      <c r="D269" s="16" t="s">
        <v>208</v>
      </c>
      <c r="E269" s="66" t="s">
        <v>306</v>
      </c>
      <c r="F269" s="55"/>
      <c r="G269" s="56"/>
      <c r="H269" s="54"/>
      <c r="J269" s="55"/>
      <c r="K269" s="56"/>
      <c r="L269" s="69">
        <v>1371677.0</v>
      </c>
    </row>
    <row r="270">
      <c r="A270" s="62" t="s">
        <v>56</v>
      </c>
      <c r="B270" s="50" t="str">
        <f>IFERROR(HYPERLINK(VLOOKUP(A270,Internal_lists_bugs!$A$2:$C$73,3,FALSE()), VLOOKUP(A270,Internal_lists_bugs!$A$2:$C$73,3,FALSE())&amp;Char(10) &amp; Char(10) &amp; VLOOKUP(A270,Internal_lists_bugs!$A$2:$Z$73,26,FALSE())),"please select a BUG ID")</f>
        <v>https://bugs.launchpad.net/nova/+bug/1371677
/libvirt/driver.py</v>
      </c>
      <c r="C270" s="51" t="str">
        <f>IFERROR(__xludf.DUMMYFUNCTION("IFERROR(IF(REGEXMATCH(VLOOKUP(A270,Internal_lists_bugs!$A$2:$R$73,18,FALSE()), ""Yes""), VLOOKUP(A270,Internal_lists_bugs!$A$2:$U$73,21,FALSE()), VLOOKUP(A270,Internal_lists_bugs!$A$2:$R$73,18,FALSE())),""please select a BUG ID"")"),"1372369, 1448333")</f>
        <v>1372369, 1448333</v>
      </c>
      <c r="D270" s="16" t="s">
        <v>346</v>
      </c>
      <c r="E270" s="66" t="s">
        <v>306</v>
      </c>
      <c r="F270" s="55"/>
      <c r="G270" s="56"/>
      <c r="H270" s="54"/>
      <c r="J270" s="55"/>
      <c r="K270" s="56"/>
      <c r="L270" s="69">
        <v>1371677.0</v>
      </c>
    </row>
    <row r="271">
      <c r="A271" s="62" t="s">
        <v>56</v>
      </c>
      <c r="B271" s="50" t="str">
        <f>IFERROR(HYPERLINK(VLOOKUP(A271,Internal_lists_bugs!$A$2:$C$73,3,FALSE()), VLOOKUP(A271,Internal_lists_bugs!$A$2:$C$73,3,FALSE())&amp;Char(10) &amp; Char(10) &amp; VLOOKUP(A271,Internal_lists_bugs!$A$2:$Z$73,26,FALSE())),"please select a BUG ID")</f>
        <v>https://bugs.launchpad.net/nova/+bug/1371677
/libvirt/driver.py</v>
      </c>
      <c r="C271" s="51" t="str">
        <f>IFERROR(__xludf.DUMMYFUNCTION("IFERROR(IF(REGEXMATCH(VLOOKUP(A271,Internal_lists_bugs!$A$2:$R$73,18,FALSE()), ""Yes""), VLOOKUP(A271,Internal_lists_bugs!$A$2:$U$73,21,FALSE()), VLOOKUP(A271,Internal_lists_bugs!$A$2:$R$73,18,FALSE())),""please select a BUG ID"")"),"1372369, 1448333")</f>
        <v>1372369, 1448333</v>
      </c>
      <c r="D271" s="16" t="s">
        <v>347</v>
      </c>
      <c r="E271" s="66" t="s">
        <v>307</v>
      </c>
      <c r="F271" s="55"/>
      <c r="G271" s="56"/>
      <c r="H271" s="54"/>
      <c r="J271" s="55"/>
      <c r="K271" s="56"/>
      <c r="L271" s="69">
        <v>1371677.0</v>
      </c>
    </row>
    <row r="272">
      <c r="A272" s="62" t="s">
        <v>56</v>
      </c>
      <c r="B272" s="50" t="str">
        <f>IFERROR(HYPERLINK(VLOOKUP(A272,Internal_lists_bugs!$A$2:$C$73,3,FALSE()), VLOOKUP(A272,Internal_lists_bugs!$A$2:$C$73,3,FALSE())&amp;Char(10) &amp; Char(10) &amp; VLOOKUP(A272,Internal_lists_bugs!$A$2:$Z$73,26,FALSE())),"please select a BUG ID")</f>
        <v>https://bugs.launchpad.net/nova/+bug/1371677
/libvirt/driver.py</v>
      </c>
      <c r="C272" s="51" t="str">
        <f>IFERROR(__xludf.DUMMYFUNCTION("IFERROR(IF(REGEXMATCH(VLOOKUP(A272,Internal_lists_bugs!$A$2:$R$73,18,FALSE()), ""Yes""), VLOOKUP(A272,Internal_lists_bugs!$A$2:$U$73,21,FALSE()), VLOOKUP(A272,Internal_lists_bugs!$A$2:$R$73,18,FALSE())),""please select a BUG ID"")"),"1372369, 1448333")</f>
        <v>1372369, 1448333</v>
      </c>
      <c r="D272" s="16" t="s">
        <v>208</v>
      </c>
      <c r="E272" s="66" t="s">
        <v>307</v>
      </c>
      <c r="F272" s="55"/>
      <c r="G272" s="56"/>
      <c r="H272" s="54"/>
      <c r="J272" s="55"/>
      <c r="K272" s="56"/>
      <c r="L272" s="69">
        <v>1371677.0</v>
      </c>
    </row>
    <row r="273">
      <c r="A273" s="62" t="s">
        <v>56</v>
      </c>
      <c r="B273" s="50" t="str">
        <f>IFERROR(HYPERLINK(VLOOKUP(A273,Internal_lists_bugs!$A$2:$C$73,3,FALSE()), VLOOKUP(A273,Internal_lists_bugs!$A$2:$C$73,3,FALSE())&amp;Char(10) &amp; Char(10) &amp; VLOOKUP(A273,Internal_lists_bugs!$A$2:$Z$73,26,FALSE())),"please select a BUG ID")</f>
        <v>https://bugs.launchpad.net/nova/+bug/1371677
/libvirt/driver.py</v>
      </c>
      <c r="C273" s="51" t="str">
        <f>IFERROR(__xludf.DUMMYFUNCTION("IFERROR(IF(REGEXMATCH(VLOOKUP(A273,Internal_lists_bugs!$A$2:$R$73,18,FALSE()), ""Yes""), VLOOKUP(A273,Internal_lists_bugs!$A$2:$U$73,21,FALSE()), VLOOKUP(A273,Internal_lists_bugs!$A$2:$R$73,18,FALSE())),""please select a BUG ID"")"),"1372369, 1448333")</f>
        <v>1372369, 1448333</v>
      </c>
      <c r="D273" s="16" t="s">
        <v>347</v>
      </c>
      <c r="E273" s="66" t="s">
        <v>307</v>
      </c>
      <c r="F273" s="55"/>
      <c r="G273" s="56"/>
      <c r="H273" s="54"/>
      <c r="J273" s="55"/>
      <c r="K273" s="56"/>
      <c r="L273" s="69">
        <v>1371677.0</v>
      </c>
    </row>
    <row r="274">
      <c r="A274" s="62" t="s">
        <v>56</v>
      </c>
      <c r="B274" s="50" t="str">
        <f>IFERROR(HYPERLINK(VLOOKUP(A274,Internal_lists_bugs!$A$2:$C$73,3,FALSE()), VLOOKUP(A274,Internal_lists_bugs!$A$2:$C$73,3,FALSE())&amp;Char(10) &amp; Char(10) &amp; VLOOKUP(A274,Internal_lists_bugs!$A$2:$Z$73,26,FALSE())),"please select a BUG ID")</f>
        <v>https://bugs.launchpad.net/nova/+bug/1371677
/libvirt/driver.py</v>
      </c>
      <c r="C274" s="51" t="str">
        <f>IFERROR(__xludf.DUMMYFUNCTION("IFERROR(IF(REGEXMATCH(VLOOKUP(A274,Internal_lists_bugs!$A$2:$R$73,18,FALSE()), ""Yes""), VLOOKUP(A274,Internal_lists_bugs!$A$2:$U$73,21,FALSE()), VLOOKUP(A274,Internal_lists_bugs!$A$2:$R$73,18,FALSE())),""please select a BUG ID"")"),"1372369, 1448333")</f>
        <v>1372369, 1448333</v>
      </c>
      <c r="D274" s="16" t="s">
        <v>347</v>
      </c>
      <c r="E274" s="66" t="s">
        <v>308</v>
      </c>
      <c r="F274" s="55"/>
      <c r="G274" s="56"/>
      <c r="H274" s="54"/>
      <c r="J274" s="55"/>
      <c r="K274" s="56"/>
      <c r="L274" s="69">
        <v>1371677.0</v>
      </c>
    </row>
    <row r="275">
      <c r="A275" s="62" t="s">
        <v>56</v>
      </c>
      <c r="B275" s="50" t="str">
        <f>IFERROR(HYPERLINK(VLOOKUP(A275,Internal_lists_bugs!$A$2:$C$73,3,FALSE()), VLOOKUP(A275,Internal_lists_bugs!$A$2:$C$73,3,FALSE())&amp;Char(10) &amp; Char(10) &amp; VLOOKUP(A275,Internal_lists_bugs!$A$2:$Z$73,26,FALSE())),"please select a BUG ID")</f>
        <v>https://bugs.launchpad.net/nova/+bug/1371677
/libvirt/driver.py</v>
      </c>
      <c r="C275" s="51" t="str">
        <f>IFERROR(__xludf.DUMMYFUNCTION("IFERROR(IF(REGEXMATCH(VLOOKUP(A275,Internal_lists_bugs!$A$2:$R$73,18,FALSE()), ""Yes""), VLOOKUP(A275,Internal_lists_bugs!$A$2:$U$73,21,FALSE()), VLOOKUP(A275,Internal_lists_bugs!$A$2:$R$73,18,FALSE())),""please select a BUG ID"")"),"1372369, 1448333")</f>
        <v>1372369, 1448333</v>
      </c>
      <c r="D275" s="16" t="s">
        <v>348</v>
      </c>
      <c r="E275" s="66" t="s">
        <v>309</v>
      </c>
      <c r="F275" s="55"/>
      <c r="G275" s="56"/>
      <c r="H275" s="54"/>
      <c r="J275" s="55"/>
      <c r="K275" s="56"/>
      <c r="L275" s="69">
        <v>1371677.0</v>
      </c>
    </row>
    <row r="276">
      <c r="A276" s="62" t="s">
        <v>56</v>
      </c>
      <c r="B276" s="50" t="str">
        <f>IFERROR(HYPERLINK(VLOOKUP(A276,Internal_lists_bugs!$A$2:$C$73,3,FALSE()), VLOOKUP(A276,Internal_lists_bugs!$A$2:$C$73,3,FALSE())&amp;Char(10) &amp; Char(10) &amp; VLOOKUP(A276,Internal_lists_bugs!$A$2:$Z$73,26,FALSE())),"please select a BUG ID")</f>
        <v>https://bugs.launchpad.net/nova/+bug/1371677
/libvirt/driver.py</v>
      </c>
      <c r="C276" s="51" t="str">
        <f>IFERROR(__xludf.DUMMYFUNCTION("IFERROR(IF(REGEXMATCH(VLOOKUP(A276,Internal_lists_bugs!$A$2:$R$73,18,FALSE()), ""Yes""), VLOOKUP(A276,Internal_lists_bugs!$A$2:$U$73,21,FALSE()), VLOOKUP(A276,Internal_lists_bugs!$A$2:$R$73,18,FALSE())),""please select a BUG ID"")"),"1372369, 1448333")</f>
        <v>1372369, 1448333</v>
      </c>
      <c r="D276" s="16" t="s">
        <v>208</v>
      </c>
      <c r="E276" s="66" t="s">
        <v>309</v>
      </c>
      <c r="F276" s="55"/>
      <c r="G276" s="56"/>
      <c r="H276" s="54"/>
      <c r="J276" s="55"/>
      <c r="K276" s="56"/>
      <c r="L276" s="69">
        <v>1371677.0</v>
      </c>
    </row>
    <row r="277">
      <c r="A277" s="62" t="s">
        <v>56</v>
      </c>
      <c r="B277" s="50" t="str">
        <f>IFERROR(HYPERLINK(VLOOKUP(A277,Internal_lists_bugs!$A$2:$C$73,3,FALSE()), VLOOKUP(A277,Internal_lists_bugs!$A$2:$C$73,3,FALSE())&amp;Char(10) &amp; Char(10) &amp; VLOOKUP(A277,Internal_lists_bugs!$A$2:$Z$73,26,FALSE())),"please select a BUG ID")</f>
        <v>https://bugs.launchpad.net/nova/+bug/1371677
/libvirt/driver.py</v>
      </c>
      <c r="C277" s="51" t="str">
        <f>IFERROR(__xludf.DUMMYFUNCTION("IFERROR(IF(REGEXMATCH(VLOOKUP(A277,Internal_lists_bugs!$A$2:$R$73,18,FALSE()), ""Yes""), VLOOKUP(A277,Internal_lists_bugs!$A$2:$U$73,21,FALSE()), VLOOKUP(A277,Internal_lists_bugs!$A$2:$R$73,18,FALSE())),""please select a BUG ID"")"),"1372369, 1448333")</f>
        <v>1372369, 1448333</v>
      </c>
      <c r="D277" s="16" t="s">
        <v>349</v>
      </c>
      <c r="E277" s="66" t="s">
        <v>310</v>
      </c>
      <c r="F277" s="55"/>
      <c r="G277" s="56"/>
      <c r="H277" s="54"/>
      <c r="J277" s="55"/>
      <c r="K277" s="56"/>
      <c r="L277" s="69">
        <v>1371677.0</v>
      </c>
    </row>
    <row r="278">
      <c r="A278" s="62" t="s">
        <v>56</v>
      </c>
      <c r="B278" s="50" t="str">
        <f>IFERROR(HYPERLINK(VLOOKUP(A278,Internal_lists_bugs!$A$2:$C$73,3,FALSE()), VLOOKUP(A278,Internal_lists_bugs!$A$2:$C$73,3,FALSE())&amp;Char(10) &amp; Char(10) &amp; VLOOKUP(A278,Internal_lists_bugs!$A$2:$Z$73,26,FALSE())),"please select a BUG ID")</f>
        <v>https://bugs.launchpad.net/nova/+bug/1371677
/libvirt/driver.py</v>
      </c>
      <c r="C278" s="51" t="str">
        <f>IFERROR(__xludf.DUMMYFUNCTION("IFERROR(IF(REGEXMATCH(VLOOKUP(A278,Internal_lists_bugs!$A$2:$R$73,18,FALSE()), ""Yes""), VLOOKUP(A278,Internal_lists_bugs!$A$2:$U$73,21,FALSE()), VLOOKUP(A278,Internal_lists_bugs!$A$2:$R$73,18,FALSE())),""please select a BUG ID"")"),"1372369, 1448333")</f>
        <v>1372369, 1448333</v>
      </c>
      <c r="D278" s="16" t="s">
        <v>237</v>
      </c>
      <c r="E278" s="66" t="s">
        <v>311</v>
      </c>
      <c r="F278" s="55"/>
      <c r="G278" s="56"/>
      <c r="H278" s="54"/>
      <c r="J278" s="55"/>
      <c r="K278" s="56"/>
      <c r="L278" s="69">
        <v>1371677.0</v>
      </c>
    </row>
    <row r="279">
      <c r="A279" s="62" t="s">
        <v>56</v>
      </c>
      <c r="B279" s="50" t="str">
        <f>IFERROR(HYPERLINK(VLOOKUP(A279,Internal_lists_bugs!$A$2:$C$73,3,FALSE()), VLOOKUP(A279,Internal_lists_bugs!$A$2:$C$73,3,FALSE())&amp;Char(10) &amp; Char(10) &amp; VLOOKUP(A279,Internal_lists_bugs!$A$2:$Z$73,26,FALSE())),"please select a BUG ID")</f>
        <v>https://bugs.launchpad.net/nova/+bug/1371677
/libvirt/driver.py</v>
      </c>
      <c r="C279" s="51" t="str">
        <f>IFERROR(__xludf.DUMMYFUNCTION("IFERROR(IF(REGEXMATCH(VLOOKUP(A279,Internal_lists_bugs!$A$2:$R$73,18,FALSE()), ""Yes""), VLOOKUP(A279,Internal_lists_bugs!$A$2:$U$73,21,FALSE()), VLOOKUP(A279,Internal_lists_bugs!$A$2:$R$73,18,FALSE())),""please select a BUG ID"")"),"1372369, 1448333")</f>
        <v>1372369, 1448333</v>
      </c>
      <c r="D279" s="16" t="s">
        <v>238</v>
      </c>
      <c r="E279" s="66" t="s">
        <v>313</v>
      </c>
      <c r="F279" s="55"/>
      <c r="G279" s="56"/>
      <c r="H279" s="54"/>
      <c r="J279" s="55"/>
      <c r="K279" s="56"/>
      <c r="L279" s="69">
        <v>1371677.0</v>
      </c>
    </row>
    <row r="280">
      <c r="A280" s="62" t="s">
        <v>56</v>
      </c>
      <c r="B280" s="50" t="str">
        <f>IFERROR(HYPERLINK(VLOOKUP(A280,Internal_lists_bugs!$A$2:$C$73,3,FALSE()), VLOOKUP(A280,Internal_lists_bugs!$A$2:$C$73,3,FALSE())&amp;Char(10) &amp; Char(10) &amp; VLOOKUP(A280,Internal_lists_bugs!$A$2:$Z$73,26,FALSE())),"please select a BUG ID")</f>
        <v>https://bugs.launchpad.net/nova/+bug/1371677
/libvirt/driver.py</v>
      </c>
      <c r="C280" s="51" t="str">
        <f>IFERROR(__xludf.DUMMYFUNCTION("IFERROR(IF(REGEXMATCH(VLOOKUP(A280,Internal_lists_bugs!$A$2:$R$73,18,FALSE()), ""Yes""), VLOOKUP(A280,Internal_lists_bugs!$A$2:$U$73,21,FALSE()), VLOOKUP(A280,Internal_lists_bugs!$A$2:$R$73,18,FALSE())),""please select a BUG ID"")"),"1372369, 1448333")</f>
        <v>1372369, 1448333</v>
      </c>
      <c r="D280" s="16" t="s">
        <v>350</v>
      </c>
      <c r="E280" s="66" t="s">
        <v>314</v>
      </c>
      <c r="F280" s="55"/>
      <c r="G280" s="56"/>
      <c r="H280" s="54"/>
      <c r="J280" s="55"/>
      <c r="K280" s="56"/>
      <c r="L280" s="69">
        <v>1371677.0</v>
      </c>
    </row>
    <row r="281">
      <c r="A281" s="62" t="s">
        <v>56</v>
      </c>
      <c r="B281" s="50" t="str">
        <f>IFERROR(HYPERLINK(VLOOKUP(A281,Internal_lists_bugs!$A$2:$C$73,3,FALSE()), VLOOKUP(A281,Internal_lists_bugs!$A$2:$C$73,3,FALSE())&amp;Char(10) &amp; Char(10) &amp; VLOOKUP(A281,Internal_lists_bugs!$A$2:$Z$73,26,FALSE())),"please select a BUG ID")</f>
        <v>https://bugs.launchpad.net/nova/+bug/1371677
/libvirt/driver.py</v>
      </c>
      <c r="C281" s="51" t="str">
        <f>IFERROR(__xludf.DUMMYFUNCTION("IFERROR(IF(REGEXMATCH(VLOOKUP(A281,Internal_lists_bugs!$A$2:$R$73,18,FALSE()), ""Yes""), VLOOKUP(A281,Internal_lists_bugs!$A$2:$U$73,21,FALSE()), VLOOKUP(A281,Internal_lists_bugs!$A$2:$R$73,18,FALSE())),""please select a BUG ID"")"),"1372369, 1448333")</f>
        <v>1372369, 1448333</v>
      </c>
      <c r="D281" s="16" t="s">
        <v>351</v>
      </c>
      <c r="E281" s="66" t="s">
        <v>316</v>
      </c>
      <c r="F281" s="55"/>
      <c r="G281" s="56"/>
      <c r="H281" s="54"/>
      <c r="J281" s="55"/>
      <c r="K281" s="56"/>
      <c r="L281" s="69">
        <v>1371677.0</v>
      </c>
    </row>
    <row r="282">
      <c r="A282" s="62" t="s">
        <v>56</v>
      </c>
      <c r="B282" s="50" t="str">
        <f>IFERROR(HYPERLINK(VLOOKUP(A282,Internal_lists_bugs!$A$2:$C$73,3,FALSE()), VLOOKUP(A282,Internal_lists_bugs!$A$2:$C$73,3,FALSE())&amp;Char(10) &amp; Char(10) &amp; VLOOKUP(A282,Internal_lists_bugs!$A$2:$Z$73,26,FALSE())),"please select a BUG ID")</f>
        <v>https://bugs.launchpad.net/nova/+bug/1371677
/libvirt/driver.py</v>
      </c>
      <c r="C282" s="51" t="str">
        <f>IFERROR(__xludf.DUMMYFUNCTION("IFERROR(IF(REGEXMATCH(VLOOKUP(A282,Internal_lists_bugs!$A$2:$R$73,18,FALSE()), ""Yes""), VLOOKUP(A282,Internal_lists_bugs!$A$2:$U$73,21,FALSE()), VLOOKUP(A282,Internal_lists_bugs!$A$2:$R$73,18,FALSE())),""please select a BUG ID"")"),"1372369, 1448333")</f>
        <v>1372369, 1448333</v>
      </c>
      <c r="D282" s="16" t="s">
        <v>208</v>
      </c>
      <c r="E282" s="66" t="s">
        <v>352</v>
      </c>
      <c r="F282" s="55"/>
      <c r="G282" s="56"/>
      <c r="H282" s="54"/>
      <c r="J282" s="55"/>
      <c r="K282" s="56"/>
      <c r="L282" s="69">
        <v>1371677.0</v>
      </c>
    </row>
    <row r="283">
      <c r="A283" s="62" t="s">
        <v>56</v>
      </c>
      <c r="B283" s="50" t="str">
        <f>IFERROR(HYPERLINK(VLOOKUP(A283,Internal_lists_bugs!$A$2:$C$73,3,FALSE()), VLOOKUP(A283,Internal_lists_bugs!$A$2:$C$73,3,FALSE())&amp;Char(10) &amp; Char(10) &amp; VLOOKUP(A283,Internal_lists_bugs!$A$2:$Z$73,26,FALSE())),"please select a BUG ID")</f>
        <v>https://bugs.launchpad.net/nova/+bug/1371677
/libvirt/driver.py</v>
      </c>
      <c r="C283" s="51" t="str">
        <f>IFERROR(__xludf.DUMMYFUNCTION("IFERROR(IF(REGEXMATCH(VLOOKUP(A283,Internal_lists_bugs!$A$2:$R$73,18,FALSE()), ""Yes""), VLOOKUP(A283,Internal_lists_bugs!$A$2:$U$73,21,FALSE()), VLOOKUP(A283,Internal_lists_bugs!$A$2:$R$73,18,FALSE())),""please select a BUG ID"")"),"1372369, 1448333")</f>
        <v>1372369, 1448333</v>
      </c>
      <c r="D283" s="16" t="s">
        <v>353</v>
      </c>
      <c r="E283" s="66" t="s">
        <v>352</v>
      </c>
      <c r="F283" s="55"/>
      <c r="G283" s="56"/>
      <c r="H283" s="54"/>
      <c r="J283" s="55"/>
      <c r="K283" s="56"/>
      <c r="L283" s="69">
        <v>1371677.0</v>
      </c>
    </row>
    <row r="284">
      <c r="A284" s="62" t="s">
        <v>56</v>
      </c>
      <c r="B284" s="50" t="str">
        <f>IFERROR(HYPERLINK(VLOOKUP(A284,Internal_lists_bugs!$A$2:$C$73,3,FALSE()), VLOOKUP(A284,Internal_lists_bugs!$A$2:$C$73,3,FALSE())&amp;Char(10) &amp; Char(10) &amp; VLOOKUP(A284,Internal_lists_bugs!$A$2:$Z$73,26,FALSE())),"please select a BUG ID")</f>
        <v>https://bugs.launchpad.net/nova/+bug/1371677
/libvirt/driver.py</v>
      </c>
      <c r="C284" s="51" t="str">
        <f>IFERROR(__xludf.DUMMYFUNCTION("IFERROR(IF(REGEXMATCH(VLOOKUP(A284,Internal_lists_bugs!$A$2:$R$73,18,FALSE()), ""Yes""), VLOOKUP(A284,Internal_lists_bugs!$A$2:$U$73,21,FALSE()), VLOOKUP(A284,Internal_lists_bugs!$A$2:$R$73,18,FALSE())),""please select a BUG ID"")"),"1372369, 1448333")</f>
        <v>1372369, 1448333</v>
      </c>
      <c r="D284" s="16" t="s">
        <v>354</v>
      </c>
      <c r="E284" s="66" t="s">
        <v>355</v>
      </c>
      <c r="F284" s="55"/>
      <c r="G284" s="56"/>
      <c r="H284" s="54"/>
      <c r="J284" s="55"/>
      <c r="K284" s="56"/>
      <c r="L284" s="69">
        <v>1371677.0</v>
      </c>
    </row>
    <row r="285">
      <c r="A285" s="62" t="s">
        <v>56</v>
      </c>
      <c r="B285" s="50" t="str">
        <f>IFERROR(HYPERLINK(VLOOKUP(A285,Internal_lists_bugs!$A$2:$C$73,3,FALSE()), VLOOKUP(A285,Internal_lists_bugs!$A$2:$C$73,3,FALSE())&amp;Char(10) &amp; Char(10) &amp; VLOOKUP(A285,Internal_lists_bugs!$A$2:$Z$73,26,FALSE())),"please select a BUG ID")</f>
        <v>https://bugs.launchpad.net/nova/+bug/1371677
/libvirt/driver.py</v>
      </c>
      <c r="C285" s="51" t="str">
        <f>IFERROR(__xludf.DUMMYFUNCTION("IFERROR(IF(REGEXMATCH(VLOOKUP(A285,Internal_lists_bugs!$A$2:$R$73,18,FALSE()), ""Yes""), VLOOKUP(A285,Internal_lists_bugs!$A$2:$U$73,21,FALSE()), VLOOKUP(A285,Internal_lists_bugs!$A$2:$R$73,18,FALSE())),""please select a BUG ID"")"),"1372369, 1448333")</f>
        <v>1372369, 1448333</v>
      </c>
      <c r="D285" s="16" t="s">
        <v>356</v>
      </c>
      <c r="E285" s="66" t="s">
        <v>357</v>
      </c>
      <c r="F285" s="55"/>
      <c r="G285" s="56"/>
      <c r="H285" s="54"/>
      <c r="J285" s="55"/>
      <c r="K285" s="56"/>
      <c r="L285" s="69">
        <v>1371677.0</v>
      </c>
    </row>
    <row r="286">
      <c r="A286" s="62" t="s">
        <v>56</v>
      </c>
      <c r="B286" s="50" t="str">
        <f>IFERROR(HYPERLINK(VLOOKUP(A286,Internal_lists_bugs!$A$2:$C$73,3,FALSE()), VLOOKUP(A286,Internal_lists_bugs!$A$2:$C$73,3,FALSE())&amp;Char(10) &amp; Char(10) &amp; VLOOKUP(A286,Internal_lists_bugs!$A$2:$Z$73,26,FALSE())),"please select a BUG ID")</f>
        <v>https://bugs.launchpad.net/nova/+bug/1371677
/libvirt/driver.py</v>
      </c>
      <c r="C286" s="51" t="str">
        <f>IFERROR(__xludf.DUMMYFUNCTION("IFERROR(IF(REGEXMATCH(VLOOKUP(A286,Internal_lists_bugs!$A$2:$R$73,18,FALSE()), ""Yes""), VLOOKUP(A286,Internal_lists_bugs!$A$2:$U$73,21,FALSE()), VLOOKUP(A286,Internal_lists_bugs!$A$2:$R$73,18,FALSE())),""please select a BUG ID"")"),"1372369, 1448333")</f>
        <v>1372369, 1448333</v>
      </c>
      <c r="D286" s="16" t="s">
        <v>358</v>
      </c>
      <c r="E286" s="66" t="s">
        <v>359</v>
      </c>
      <c r="F286" s="55"/>
      <c r="G286" s="56"/>
      <c r="H286" s="54"/>
      <c r="J286" s="55"/>
      <c r="K286" s="56"/>
      <c r="L286" s="69">
        <v>1371677.0</v>
      </c>
    </row>
    <row r="287">
      <c r="A287" s="62" t="s">
        <v>56</v>
      </c>
      <c r="B287" s="50" t="str">
        <f>IFERROR(HYPERLINK(VLOOKUP(A287,Internal_lists_bugs!$A$2:$C$73,3,FALSE()), VLOOKUP(A287,Internal_lists_bugs!$A$2:$C$73,3,FALSE())&amp;Char(10) &amp; Char(10) &amp; VLOOKUP(A287,Internal_lists_bugs!$A$2:$Z$73,26,FALSE())),"please select a BUG ID")</f>
        <v>https://bugs.launchpad.net/nova/+bug/1371677
/libvirt/driver.py</v>
      </c>
      <c r="C287" s="51" t="str">
        <f>IFERROR(__xludf.DUMMYFUNCTION("IFERROR(IF(REGEXMATCH(VLOOKUP(A287,Internal_lists_bugs!$A$2:$R$73,18,FALSE()), ""Yes""), VLOOKUP(A287,Internal_lists_bugs!$A$2:$U$73,21,FALSE()), VLOOKUP(A287,Internal_lists_bugs!$A$2:$R$73,18,FALSE())),""please select a BUG ID"")"),"1372369, 1448333")</f>
        <v>1372369, 1448333</v>
      </c>
      <c r="D287" s="16" t="s">
        <v>360</v>
      </c>
      <c r="E287" s="66" t="s">
        <v>361</v>
      </c>
      <c r="F287" s="55"/>
      <c r="G287" s="56"/>
      <c r="H287" s="54"/>
      <c r="J287" s="55"/>
      <c r="K287" s="56"/>
      <c r="L287" s="69">
        <v>1371677.0</v>
      </c>
    </row>
    <row r="288">
      <c r="A288" s="62" t="s">
        <v>56</v>
      </c>
      <c r="B288" s="50" t="str">
        <f>IFERROR(HYPERLINK(VLOOKUP(A288,Internal_lists_bugs!$A$2:$C$73,3,FALSE()), VLOOKUP(A288,Internal_lists_bugs!$A$2:$C$73,3,FALSE())&amp;Char(10) &amp; Char(10) &amp; VLOOKUP(A288,Internal_lists_bugs!$A$2:$Z$73,26,FALSE())),"please select a BUG ID")</f>
        <v>https://bugs.launchpad.net/nova/+bug/1371677
/libvirt/driver.py</v>
      </c>
      <c r="C288" s="51" t="str">
        <f>IFERROR(__xludf.DUMMYFUNCTION("IFERROR(IF(REGEXMATCH(VLOOKUP(A288,Internal_lists_bugs!$A$2:$R$73,18,FALSE()), ""Yes""), VLOOKUP(A288,Internal_lists_bugs!$A$2:$U$73,21,FALSE()), VLOOKUP(A288,Internal_lists_bugs!$A$2:$R$73,18,FALSE())),""please select a BUG ID"")"),"1372369, 1448333")</f>
        <v>1372369, 1448333</v>
      </c>
      <c r="D288" s="16" t="s">
        <v>362</v>
      </c>
      <c r="E288" s="66" t="s">
        <v>363</v>
      </c>
      <c r="F288" s="55"/>
      <c r="G288" s="56"/>
      <c r="H288" s="54"/>
      <c r="J288" s="55"/>
      <c r="K288" s="56"/>
      <c r="L288" s="69">
        <v>1371677.0</v>
      </c>
    </row>
    <row r="289">
      <c r="A289" s="62" t="s">
        <v>56</v>
      </c>
      <c r="B289" s="50" t="str">
        <f>IFERROR(HYPERLINK(VLOOKUP(A289,Internal_lists_bugs!$A$2:$C$73,3,FALSE()), VLOOKUP(A289,Internal_lists_bugs!$A$2:$C$73,3,FALSE())&amp;Char(10) &amp; Char(10) &amp; VLOOKUP(A289,Internal_lists_bugs!$A$2:$Z$73,26,FALSE())),"please select a BUG ID")</f>
        <v>https://bugs.launchpad.net/nova/+bug/1371677
/libvirt/driver.py</v>
      </c>
      <c r="C289" s="51" t="str">
        <f>IFERROR(__xludf.DUMMYFUNCTION("IFERROR(IF(REGEXMATCH(VLOOKUP(A289,Internal_lists_bugs!$A$2:$R$73,18,FALSE()), ""Yes""), VLOOKUP(A289,Internal_lists_bugs!$A$2:$U$73,21,FALSE()), VLOOKUP(A289,Internal_lists_bugs!$A$2:$R$73,18,FALSE())),""please select a BUG ID"")"),"1372369, 1448333")</f>
        <v>1372369, 1448333</v>
      </c>
      <c r="D289" s="16" t="s">
        <v>364</v>
      </c>
      <c r="E289" s="66" t="s">
        <v>365</v>
      </c>
      <c r="F289" s="55"/>
      <c r="G289" s="56"/>
      <c r="H289" s="54"/>
      <c r="J289" s="55"/>
      <c r="K289" s="56"/>
      <c r="L289" s="69">
        <v>1371677.0</v>
      </c>
    </row>
    <row r="290">
      <c r="A290" s="62" t="s">
        <v>56</v>
      </c>
      <c r="B290" s="50" t="str">
        <f>IFERROR(HYPERLINK(VLOOKUP(A290,Internal_lists_bugs!$A$2:$C$73,3,FALSE()), VLOOKUP(A290,Internal_lists_bugs!$A$2:$C$73,3,FALSE())&amp;Char(10) &amp; Char(10) &amp; VLOOKUP(A290,Internal_lists_bugs!$A$2:$Z$73,26,FALSE())),"please select a BUG ID")</f>
        <v>https://bugs.launchpad.net/nova/+bug/1371677
/libvirt/driver.py</v>
      </c>
      <c r="C290" s="51" t="str">
        <f>IFERROR(__xludf.DUMMYFUNCTION("IFERROR(IF(REGEXMATCH(VLOOKUP(A290,Internal_lists_bugs!$A$2:$R$73,18,FALSE()), ""Yes""), VLOOKUP(A290,Internal_lists_bugs!$A$2:$U$73,21,FALSE()), VLOOKUP(A290,Internal_lists_bugs!$A$2:$R$73,18,FALSE())),""please select a BUG ID"")"),"1372369, 1448333")</f>
        <v>1372369, 1448333</v>
      </c>
      <c r="D290" s="16" t="s">
        <v>366</v>
      </c>
      <c r="E290" s="66" t="s">
        <v>367</v>
      </c>
      <c r="F290" s="55"/>
      <c r="G290" s="56"/>
      <c r="H290" s="54"/>
      <c r="J290" s="55"/>
      <c r="K290" s="56"/>
      <c r="L290" s="69">
        <v>1371677.0</v>
      </c>
    </row>
    <row r="291">
      <c r="A291" s="62" t="s">
        <v>56</v>
      </c>
      <c r="B291" s="50" t="str">
        <f>IFERROR(HYPERLINK(VLOOKUP(A291,Internal_lists_bugs!$A$2:$C$73,3,FALSE()), VLOOKUP(A291,Internal_lists_bugs!$A$2:$C$73,3,FALSE())&amp;Char(10) &amp; Char(10) &amp; VLOOKUP(A291,Internal_lists_bugs!$A$2:$Z$73,26,FALSE())),"please select a BUG ID")</f>
        <v>https://bugs.launchpad.net/nova/+bug/1371677
/libvirt/driver.py</v>
      </c>
      <c r="C291" s="51" t="str">
        <f>IFERROR(__xludf.DUMMYFUNCTION("IFERROR(IF(REGEXMATCH(VLOOKUP(A291,Internal_lists_bugs!$A$2:$R$73,18,FALSE()), ""Yes""), VLOOKUP(A291,Internal_lists_bugs!$A$2:$U$73,21,FALSE()), VLOOKUP(A291,Internal_lists_bugs!$A$2:$R$73,18,FALSE())),""please select a BUG ID"")"),"1372369, 1448333")</f>
        <v>1372369, 1448333</v>
      </c>
      <c r="D291" s="16" t="s">
        <v>368</v>
      </c>
      <c r="E291" s="66" t="s">
        <v>369</v>
      </c>
      <c r="F291" s="55"/>
      <c r="G291" s="56"/>
      <c r="H291" s="54"/>
      <c r="J291" s="55"/>
      <c r="K291" s="56"/>
      <c r="L291" s="69">
        <v>1371677.0</v>
      </c>
    </row>
    <row r="292">
      <c r="A292" s="62" t="s">
        <v>56</v>
      </c>
      <c r="B292" s="50" t="str">
        <f>IFERROR(HYPERLINK(VLOOKUP(A292,Internal_lists_bugs!$A$2:$C$73,3,FALSE()), VLOOKUP(A292,Internal_lists_bugs!$A$2:$C$73,3,FALSE())&amp;Char(10) &amp; Char(10) &amp; VLOOKUP(A292,Internal_lists_bugs!$A$2:$Z$73,26,FALSE())),"please select a BUG ID")</f>
        <v>https://bugs.launchpad.net/nova/+bug/1371677
/libvirt/driver.py</v>
      </c>
      <c r="C292" s="51" t="str">
        <f>IFERROR(__xludf.DUMMYFUNCTION("IFERROR(IF(REGEXMATCH(VLOOKUP(A292,Internal_lists_bugs!$A$2:$R$73,18,FALSE()), ""Yes""), VLOOKUP(A292,Internal_lists_bugs!$A$2:$U$73,21,FALSE()), VLOOKUP(A292,Internal_lists_bugs!$A$2:$R$73,18,FALSE())),""please select a BUG ID"")"),"1372369, 1448333")</f>
        <v>1372369, 1448333</v>
      </c>
      <c r="D292" s="16" t="s">
        <v>153</v>
      </c>
      <c r="E292" s="66" t="s">
        <v>370</v>
      </c>
      <c r="F292" s="55"/>
      <c r="G292" s="56"/>
      <c r="H292" s="54"/>
      <c r="J292" s="55"/>
      <c r="K292" s="56"/>
      <c r="L292" s="69">
        <v>1371677.0</v>
      </c>
    </row>
    <row r="293">
      <c r="A293" s="62" t="s">
        <v>56</v>
      </c>
      <c r="B293" s="50" t="str">
        <f>IFERROR(HYPERLINK(VLOOKUP(A293,Internal_lists_bugs!$A$2:$C$73,3,FALSE()), VLOOKUP(A293,Internal_lists_bugs!$A$2:$C$73,3,FALSE())&amp;Char(10) &amp; Char(10) &amp; VLOOKUP(A293,Internal_lists_bugs!$A$2:$Z$73,26,FALSE())),"please select a BUG ID")</f>
        <v>https://bugs.launchpad.net/nova/+bug/1371677
/libvirt/driver.py</v>
      </c>
      <c r="C293" s="51" t="str">
        <f>IFERROR(__xludf.DUMMYFUNCTION("IFERROR(IF(REGEXMATCH(VLOOKUP(A293,Internal_lists_bugs!$A$2:$R$73,18,FALSE()), ""Yes""), VLOOKUP(A293,Internal_lists_bugs!$A$2:$U$73,21,FALSE()), VLOOKUP(A293,Internal_lists_bugs!$A$2:$R$73,18,FALSE())),""please select a BUG ID"")"),"1372369, 1448333")</f>
        <v>1372369, 1448333</v>
      </c>
      <c r="D293" s="16" t="s">
        <v>155</v>
      </c>
      <c r="E293" s="66" t="s">
        <v>371</v>
      </c>
      <c r="F293" s="55"/>
      <c r="G293" s="56"/>
      <c r="H293" s="54"/>
      <c r="J293" s="55"/>
      <c r="K293" s="56"/>
      <c r="L293" s="69">
        <v>1371677.0</v>
      </c>
    </row>
    <row r="294">
      <c r="A294" s="62" t="s">
        <v>56</v>
      </c>
      <c r="B294" s="50" t="str">
        <f>IFERROR(HYPERLINK(VLOOKUP(A294,Internal_lists_bugs!$A$2:$C$73,3,FALSE()), VLOOKUP(A294,Internal_lists_bugs!$A$2:$C$73,3,FALSE())&amp;Char(10) &amp; Char(10) &amp; VLOOKUP(A294,Internal_lists_bugs!$A$2:$Z$73,26,FALSE())),"please select a BUG ID")</f>
        <v>https://bugs.launchpad.net/nova/+bug/1371677
/libvirt/driver.py</v>
      </c>
      <c r="C294" s="51" t="str">
        <f>IFERROR(__xludf.DUMMYFUNCTION("IFERROR(IF(REGEXMATCH(VLOOKUP(A294,Internal_lists_bugs!$A$2:$R$73,18,FALSE()), ""Yes""), VLOOKUP(A294,Internal_lists_bugs!$A$2:$U$73,21,FALSE()), VLOOKUP(A294,Internal_lists_bugs!$A$2:$R$73,18,FALSE())),""please select a BUG ID"")"),"1372369, 1448333")</f>
        <v>1372369, 1448333</v>
      </c>
      <c r="D294" s="16" t="s">
        <v>119</v>
      </c>
      <c r="E294" s="16" t="s">
        <v>372</v>
      </c>
      <c r="F294" s="52" t="s">
        <v>335</v>
      </c>
      <c r="G294" s="53" t="s">
        <v>163</v>
      </c>
      <c r="H294" s="16" t="s">
        <v>251</v>
      </c>
      <c r="J294" s="55"/>
      <c r="K294" s="56"/>
      <c r="L294" s="69">
        <v>1372369.0</v>
      </c>
    </row>
    <row r="295">
      <c r="A295" s="62" t="s">
        <v>56</v>
      </c>
      <c r="B295" s="50" t="str">
        <f>IFERROR(HYPERLINK(VLOOKUP(A295,Internal_lists_bugs!$A$2:$C$73,3,FALSE()), VLOOKUP(A295,Internal_lists_bugs!$A$2:$C$73,3,FALSE())&amp;Char(10) &amp; Char(10) &amp; VLOOKUP(A295,Internal_lists_bugs!$A$2:$Z$73,26,FALSE())),"please select a BUG ID")</f>
        <v>https://bugs.launchpad.net/nova/+bug/1371677
/libvirt/driver.py</v>
      </c>
      <c r="C295" s="51" t="str">
        <f>IFERROR(__xludf.DUMMYFUNCTION("IFERROR(IF(REGEXMATCH(VLOOKUP(A295,Internal_lists_bugs!$A$2:$R$73,18,FALSE()), ""Yes""), VLOOKUP(A295,Internal_lists_bugs!$A$2:$U$73,21,FALSE()), VLOOKUP(A295,Internal_lists_bugs!$A$2:$R$73,18,FALSE())),""please select a BUG ID"")"),"1372369, 1448333")</f>
        <v>1372369, 1448333</v>
      </c>
      <c r="D295" s="16" t="s">
        <v>208</v>
      </c>
      <c r="E295" s="16" t="s">
        <v>373</v>
      </c>
      <c r="F295" s="55"/>
      <c r="G295" s="56"/>
      <c r="H295" s="54"/>
      <c r="J295" s="55"/>
      <c r="K295" s="56"/>
      <c r="L295" s="69">
        <v>1372369.0</v>
      </c>
    </row>
    <row r="296">
      <c r="A296" s="62" t="s">
        <v>56</v>
      </c>
      <c r="B296" s="50" t="str">
        <f>IFERROR(HYPERLINK(VLOOKUP(A296,Internal_lists_bugs!$A$2:$C$73,3,FALSE()), VLOOKUP(A296,Internal_lists_bugs!$A$2:$C$73,3,FALSE())&amp;Char(10) &amp; Char(10) &amp; VLOOKUP(A296,Internal_lists_bugs!$A$2:$Z$73,26,FALSE())),"please select a BUG ID")</f>
        <v>https://bugs.launchpad.net/nova/+bug/1371677
/libvirt/driver.py</v>
      </c>
      <c r="C296" s="51" t="str">
        <f>IFERROR(__xludf.DUMMYFUNCTION("IFERROR(IF(REGEXMATCH(VLOOKUP(A296,Internal_lists_bugs!$A$2:$R$73,18,FALSE()), ""Yes""), VLOOKUP(A296,Internal_lists_bugs!$A$2:$U$73,21,FALSE()), VLOOKUP(A296,Internal_lists_bugs!$A$2:$R$73,18,FALSE())),""please select a BUG ID"")"),"1372369, 1448333")</f>
        <v>1372369, 1448333</v>
      </c>
      <c r="D296" s="16" t="s">
        <v>159</v>
      </c>
      <c r="E296" s="16" t="s">
        <v>373</v>
      </c>
      <c r="F296" s="55"/>
      <c r="G296" s="56"/>
      <c r="H296" s="54"/>
      <c r="J296" s="55"/>
      <c r="K296" s="56"/>
      <c r="L296" s="69">
        <v>1372369.0</v>
      </c>
    </row>
    <row r="297">
      <c r="A297" s="62" t="s">
        <v>56</v>
      </c>
      <c r="B297" s="50" t="str">
        <f>IFERROR(HYPERLINK(VLOOKUP(A297,Internal_lists_bugs!$A$2:$C$73,3,FALSE()), VLOOKUP(A297,Internal_lists_bugs!$A$2:$C$73,3,FALSE())&amp;Char(10) &amp; Char(10) &amp; VLOOKUP(A297,Internal_lists_bugs!$A$2:$Z$73,26,FALSE())),"please select a BUG ID")</f>
        <v>https://bugs.launchpad.net/nova/+bug/1371677
/libvirt/driver.py</v>
      </c>
      <c r="C297" s="51" t="str">
        <f>IFERROR(__xludf.DUMMYFUNCTION("IFERROR(IF(REGEXMATCH(VLOOKUP(A297,Internal_lists_bugs!$A$2:$R$73,18,FALSE()), ""Yes""), VLOOKUP(A297,Internal_lists_bugs!$A$2:$U$73,21,FALSE()), VLOOKUP(A297,Internal_lists_bugs!$A$2:$R$73,18,FALSE())),""please select a BUG ID"")"),"1372369, 1448333")</f>
        <v>1372369, 1448333</v>
      </c>
      <c r="D297" s="16" t="s">
        <v>374</v>
      </c>
      <c r="E297" s="16" t="s">
        <v>373</v>
      </c>
      <c r="F297" s="55"/>
      <c r="G297" s="56"/>
      <c r="H297" s="54"/>
      <c r="J297" s="55"/>
      <c r="K297" s="56"/>
      <c r="L297" s="69">
        <v>1372369.0</v>
      </c>
    </row>
    <row r="298">
      <c r="A298" s="62" t="s">
        <v>56</v>
      </c>
      <c r="B298" s="50" t="str">
        <f>IFERROR(HYPERLINK(VLOOKUP(A298,Internal_lists_bugs!$A$2:$C$73,3,FALSE()), VLOOKUP(A298,Internal_lists_bugs!$A$2:$C$73,3,FALSE())&amp;Char(10) &amp; Char(10) &amp; VLOOKUP(A298,Internal_lists_bugs!$A$2:$Z$73,26,FALSE())),"please select a BUG ID")</f>
        <v>https://bugs.launchpad.net/nova/+bug/1371677
/libvirt/driver.py</v>
      </c>
      <c r="C298" s="51" t="str">
        <f>IFERROR(__xludf.DUMMYFUNCTION("IFERROR(IF(REGEXMATCH(VLOOKUP(A298,Internal_lists_bugs!$A$2:$R$73,18,FALSE()), ""Yes""), VLOOKUP(A298,Internal_lists_bugs!$A$2:$U$73,21,FALSE()), VLOOKUP(A298,Internal_lists_bugs!$A$2:$R$73,18,FALSE())),""please select a BUG ID"")"),"1372369, 1448333")</f>
        <v>1372369, 1448333</v>
      </c>
      <c r="D298" s="16" t="s">
        <v>249</v>
      </c>
      <c r="E298" s="14" t="s">
        <v>375</v>
      </c>
      <c r="F298" s="55"/>
      <c r="G298" s="56"/>
      <c r="H298" s="54"/>
      <c r="J298" s="55"/>
      <c r="K298" s="56"/>
      <c r="L298" s="69">
        <v>1372369.0</v>
      </c>
    </row>
    <row r="299">
      <c r="A299" s="62" t="s">
        <v>56</v>
      </c>
      <c r="B299" s="50" t="str">
        <f>IFERROR(HYPERLINK(VLOOKUP(A299,Internal_lists_bugs!$A$2:$C$73,3,FALSE()), VLOOKUP(A299,Internal_lists_bugs!$A$2:$C$73,3,FALSE())&amp;Char(10) &amp; Char(10) &amp; VLOOKUP(A299,Internal_lists_bugs!$A$2:$Z$73,26,FALSE())),"please select a BUG ID")</f>
        <v>https://bugs.launchpad.net/nova/+bug/1371677
/libvirt/driver.py</v>
      </c>
      <c r="C299" s="51" t="str">
        <f>IFERROR(__xludf.DUMMYFUNCTION("IFERROR(IF(REGEXMATCH(VLOOKUP(A299,Internal_lists_bugs!$A$2:$R$73,18,FALSE()), ""Yes""), VLOOKUP(A299,Internal_lists_bugs!$A$2:$U$73,21,FALSE()), VLOOKUP(A299,Internal_lists_bugs!$A$2:$R$73,18,FALSE())),""please select a BUG ID"")"),"1372369, 1448333")</f>
        <v>1372369, 1448333</v>
      </c>
      <c r="D299" s="16" t="s">
        <v>376</v>
      </c>
      <c r="E299" s="16" t="s">
        <v>377</v>
      </c>
      <c r="F299" s="55"/>
      <c r="G299" s="56"/>
      <c r="H299" s="54"/>
      <c r="J299" s="55"/>
      <c r="K299" s="56"/>
      <c r="L299" s="69">
        <v>1372369.0</v>
      </c>
    </row>
    <row r="300">
      <c r="A300" s="62" t="s">
        <v>56</v>
      </c>
      <c r="B300" s="50" t="str">
        <f>IFERROR(HYPERLINK(VLOOKUP(A300,Internal_lists_bugs!$A$2:$C$73,3,FALSE()), VLOOKUP(A300,Internal_lists_bugs!$A$2:$C$73,3,FALSE())&amp;Char(10) &amp; Char(10) &amp; VLOOKUP(A300,Internal_lists_bugs!$A$2:$Z$73,26,FALSE())),"please select a BUG ID")</f>
        <v>https://bugs.launchpad.net/nova/+bug/1371677
/libvirt/driver.py</v>
      </c>
      <c r="C300" s="51" t="str">
        <f>IFERROR(__xludf.DUMMYFUNCTION("IFERROR(IF(REGEXMATCH(VLOOKUP(A300,Internal_lists_bugs!$A$2:$R$73,18,FALSE()), ""Yes""), VLOOKUP(A300,Internal_lists_bugs!$A$2:$U$73,21,FALSE()), VLOOKUP(A300,Internal_lists_bugs!$A$2:$R$73,18,FALSE())),""please select a BUG ID"")"),"1372369, 1448333")</f>
        <v>1372369, 1448333</v>
      </c>
      <c r="D300" s="16" t="s">
        <v>208</v>
      </c>
      <c r="E300" s="16" t="s">
        <v>378</v>
      </c>
      <c r="F300" s="55"/>
      <c r="G300" s="56"/>
      <c r="H300" s="54"/>
      <c r="J300" s="55"/>
      <c r="K300" s="56"/>
      <c r="L300" s="69">
        <v>1372369.0</v>
      </c>
    </row>
    <row r="301">
      <c r="A301" s="62" t="s">
        <v>56</v>
      </c>
      <c r="B301" s="50" t="str">
        <f>IFERROR(HYPERLINK(VLOOKUP(A301,Internal_lists_bugs!$A$2:$C$73,3,FALSE()), VLOOKUP(A301,Internal_lists_bugs!$A$2:$C$73,3,FALSE())&amp;Char(10) &amp; Char(10) &amp; VLOOKUP(A301,Internal_lists_bugs!$A$2:$Z$73,26,FALSE())),"please select a BUG ID")</f>
        <v>https://bugs.launchpad.net/nova/+bug/1371677
/libvirt/driver.py</v>
      </c>
      <c r="C301" s="51" t="str">
        <f>IFERROR(__xludf.DUMMYFUNCTION("IFERROR(IF(REGEXMATCH(VLOOKUP(A301,Internal_lists_bugs!$A$2:$R$73,18,FALSE()), ""Yes""), VLOOKUP(A301,Internal_lists_bugs!$A$2:$U$73,21,FALSE()), VLOOKUP(A301,Internal_lists_bugs!$A$2:$R$73,18,FALSE())),""please select a BUG ID"")"),"1372369, 1448333")</f>
        <v>1372369, 1448333</v>
      </c>
      <c r="D301" s="16" t="s">
        <v>119</v>
      </c>
      <c r="E301" s="16" t="s">
        <v>379</v>
      </c>
      <c r="F301" s="52" t="s">
        <v>335</v>
      </c>
      <c r="G301" s="53" t="s">
        <v>163</v>
      </c>
      <c r="H301" s="16" t="s">
        <v>251</v>
      </c>
      <c r="J301" s="55"/>
      <c r="K301" s="56"/>
      <c r="L301" s="69">
        <v>1448333.0</v>
      </c>
    </row>
    <row r="302">
      <c r="A302" s="62" t="s">
        <v>56</v>
      </c>
      <c r="B302" s="50" t="str">
        <f>IFERROR(HYPERLINK(VLOOKUP(A302,Internal_lists_bugs!$A$2:$C$73,3,FALSE()), VLOOKUP(A302,Internal_lists_bugs!$A$2:$C$73,3,FALSE())&amp;Char(10) &amp; Char(10) &amp; VLOOKUP(A302,Internal_lists_bugs!$A$2:$Z$73,26,FALSE())),"please select a BUG ID")</f>
        <v>https://bugs.launchpad.net/nova/+bug/1371677
/libvirt/driver.py</v>
      </c>
      <c r="C302" s="51" t="str">
        <f>IFERROR(__xludf.DUMMYFUNCTION("IFERROR(IF(REGEXMATCH(VLOOKUP(A302,Internal_lists_bugs!$A$2:$R$73,18,FALSE()), ""Yes""), VLOOKUP(A302,Internal_lists_bugs!$A$2:$U$73,21,FALSE()), VLOOKUP(A302,Internal_lists_bugs!$A$2:$R$73,18,FALSE())),""please select a BUG ID"")"),"1372369, 1448333")</f>
        <v>1372369, 1448333</v>
      </c>
      <c r="D302" s="16" t="s">
        <v>149</v>
      </c>
      <c r="E302" s="16" t="s">
        <v>379</v>
      </c>
      <c r="F302" s="55"/>
      <c r="G302" s="56"/>
      <c r="H302" s="54"/>
      <c r="J302" s="55"/>
      <c r="K302" s="56"/>
      <c r="L302" s="69">
        <v>1448333.0</v>
      </c>
    </row>
    <row r="303">
      <c r="A303" s="62" t="s">
        <v>56</v>
      </c>
      <c r="B303" s="50" t="str">
        <f>IFERROR(HYPERLINK(VLOOKUP(A303,Internal_lists_bugs!$A$2:$C$73,3,FALSE()), VLOOKUP(A303,Internal_lists_bugs!$A$2:$C$73,3,FALSE())&amp;Char(10) &amp; Char(10) &amp; VLOOKUP(A303,Internal_lists_bugs!$A$2:$Z$73,26,FALSE())),"please select a BUG ID")</f>
        <v>https://bugs.launchpad.net/nova/+bug/1371677
/libvirt/driver.py</v>
      </c>
      <c r="C303" s="51" t="str">
        <f>IFERROR(__xludf.DUMMYFUNCTION("IFERROR(IF(REGEXMATCH(VLOOKUP(A303,Internal_lists_bugs!$A$2:$R$73,18,FALSE()), ""Yes""), VLOOKUP(A303,Internal_lists_bugs!$A$2:$U$73,21,FALSE()), VLOOKUP(A303,Internal_lists_bugs!$A$2:$R$73,18,FALSE())),""please select a BUG ID"")"),"1372369, 1448333")</f>
        <v>1372369, 1448333</v>
      </c>
      <c r="D303" s="16" t="s">
        <v>157</v>
      </c>
      <c r="E303" s="16" t="s">
        <v>380</v>
      </c>
      <c r="F303" s="55"/>
      <c r="G303" s="56"/>
      <c r="H303" s="54"/>
      <c r="J303" s="55"/>
      <c r="K303" s="56"/>
      <c r="L303" s="69">
        <v>1448333.0</v>
      </c>
    </row>
    <row r="304">
      <c r="A304" s="62" t="s">
        <v>56</v>
      </c>
      <c r="B304" s="50" t="str">
        <f>IFERROR(HYPERLINK(VLOOKUP(A304,Internal_lists_bugs!$A$2:$C$73,3,FALSE()), VLOOKUP(A304,Internal_lists_bugs!$A$2:$C$73,3,FALSE())&amp;Char(10) &amp; Char(10) &amp; VLOOKUP(A304,Internal_lists_bugs!$A$2:$Z$73,26,FALSE())),"please select a BUG ID")</f>
        <v>https://bugs.launchpad.net/nova/+bug/1371677
/libvirt/driver.py</v>
      </c>
      <c r="C304" s="51" t="str">
        <f>IFERROR(__xludf.DUMMYFUNCTION("IFERROR(IF(REGEXMATCH(VLOOKUP(A304,Internal_lists_bugs!$A$2:$R$73,18,FALSE()), ""Yes""), VLOOKUP(A304,Internal_lists_bugs!$A$2:$U$73,21,FALSE()), VLOOKUP(A304,Internal_lists_bugs!$A$2:$R$73,18,FALSE())),""please select a BUG ID"")"),"1372369, 1448333")</f>
        <v>1372369, 1448333</v>
      </c>
      <c r="D304" s="16" t="s">
        <v>227</v>
      </c>
      <c r="E304" s="16" t="s">
        <v>380</v>
      </c>
      <c r="F304" s="55"/>
      <c r="G304" s="56"/>
      <c r="H304" s="54"/>
      <c r="J304" s="55"/>
      <c r="K304" s="56"/>
      <c r="L304" s="69">
        <v>1448333.0</v>
      </c>
    </row>
    <row r="305">
      <c r="A305" s="62" t="s">
        <v>56</v>
      </c>
      <c r="B305" s="50" t="str">
        <f>IFERROR(HYPERLINK(VLOOKUP(A305,Internal_lists_bugs!$A$2:$C$73,3,FALSE()), VLOOKUP(A305,Internal_lists_bugs!$A$2:$C$73,3,FALSE())&amp;Char(10) &amp; Char(10) &amp; VLOOKUP(A305,Internal_lists_bugs!$A$2:$Z$73,26,FALSE())),"please select a BUG ID")</f>
        <v>https://bugs.launchpad.net/nova/+bug/1371677
/libvirt/driver.py</v>
      </c>
      <c r="C305" s="51" t="str">
        <f>IFERROR(__xludf.DUMMYFUNCTION("IFERROR(IF(REGEXMATCH(VLOOKUP(A305,Internal_lists_bugs!$A$2:$R$73,18,FALSE()), ""Yes""), VLOOKUP(A305,Internal_lists_bugs!$A$2:$U$73,21,FALSE()), VLOOKUP(A305,Internal_lists_bugs!$A$2:$R$73,18,FALSE())),""please select a BUG ID"")"),"1372369, 1448333")</f>
        <v>1372369, 1448333</v>
      </c>
      <c r="D305" s="16" t="s">
        <v>381</v>
      </c>
      <c r="E305" s="16" t="s">
        <v>380</v>
      </c>
      <c r="F305" s="55"/>
      <c r="G305" s="56"/>
      <c r="H305" s="54"/>
      <c r="J305" s="55"/>
      <c r="K305" s="56"/>
      <c r="L305" s="69">
        <v>1448333.0</v>
      </c>
    </row>
    <row r="306">
      <c r="A306" s="62" t="s">
        <v>56</v>
      </c>
      <c r="B306" s="50" t="str">
        <f>IFERROR(HYPERLINK(VLOOKUP(A306,Internal_lists_bugs!$A$2:$C$73,3,FALSE()), VLOOKUP(A306,Internal_lists_bugs!$A$2:$C$73,3,FALSE())&amp;Char(10) &amp; Char(10) &amp; VLOOKUP(A306,Internal_lists_bugs!$A$2:$Z$73,26,FALSE())),"please select a BUG ID")</f>
        <v>https://bugs.launchpad.net/nova/+bug/1371677
/libvirt/driver.py</v>
      </c>
      <c r="C306" s="51" t="str">
        <f>IFERROR(__xludf.DUMMYFUNCTION("IFERROR(IF(REGEXMATCH(VLOOKUP(A306,Internal_lists_bugs!$A$2:$R$73,18,FALSE()), ""Yes""), VLOOKUP(A306,Internal_lists_bugs!$A$2:$U$73,21,FALSE()), VLOOKUP(A306,Internal_lists_bugs!$A$2:$R$73,18,FALSE())),""please select a BUG ID"")"),"1372369, 1448333")</f>
        <v>1372369, 1448333</v>
      </c>
      <c r="D306" s="16" t="s">
        <v>334</v>
      </c>
      <c r="E306" s="16" t="s">
        <v>382</v>
      </c>
      <c r="F306" s="55"/>
      <c r="G306" s="56"/>
      <c r="H306" s="54"/>
      <c r="J306" s="55"/>
      <c r="K306" s="56"/>
      <c r="L306" s="69">
        <v>1448333.0</v>
      </c>
    </row>
    <row r="307">
      <c r="A307" s="62" t="s">
        <v>56</v>
      </c>
      <c r="B307" s="50" t="str">
        <f>IFERROR(HYPERLINK(VLOOKUP(A307,Internal_lists_bugs!$A$2:$C$73,3,FALSE()), VLOOKUP(A307,Internal_lists_bugs!$A$2:$C$73,3,FALSE())&amp;Char(10) &amp; Char(10) &amp; VLOOKUP(A307,Internal_lists_bugs!$A$2:$Z$73,26,FALSE())),"please select a BUG ID")</f>
        <v>https://bugs.launchpad.net/nova/+bug/1371677
/libvirt/driver.py</v>
      </c>
      <c r="C307" s="51" t="str">
        <f>IFERROR(__xludf.DUMMYFUNCTION("IFERROR(IF(REGEXMATCH(VLOOKUP(A307,Internal_lists_bugs!$A$2:$R$73,18,FALSE()), ""Yes""), VLOOKUP(A307,Internal_lists_bugs!$A$2:$U$73,21,FALSE()), VLOOKUP(A307,Internal_lists_bugs!$A$2:$R$73,18,FALSE())),""please select a BUG ID"")"),"1372369, 1448333")</f>
        <v>1372369, 1448333</v>
      </c>
      <c r="D307" s="16" t="s">
        <v>334</v>
      </c>
      <c r="E307" s="16" t="s">
        <v>383</v>
      </c>
      <c r="F307" s="55"/>
      <c r="G307" s="56"/>
      <c r="H307" s="54"/>
      <c r="J307" s="55"/>
      <c r="K307" s="56"/>
      <c r="L307" s="69">
        <v>1448333.0</v>
      </c>
    </row>
    <row r="308">
      <c r="A308" s="62" t="s">
        <v>56</v>
      </c>
      <c r="B308" s="50" t="str">
        <f>IFERROR(HYPERLINK(VLOOKUP(A308,Internal_lists_bugs!$A$2:$C$73,3,FALSE()), VLOOKUP(A308,Internal_lists_bugs!$A$2:$C$73,3,FALSE())&amp;Char(10) &amp; Char(10) &amp; VLOOKUP(A308,Internal_lists_bugs!$A$2:$Z$73,26,FALSE())),"please select a BUG ID")</f>
        <v>https://bugs.launchpad.net/nova/+bug/1371677
/libvirt/driver.py</v>
      </c>
      <c r="C308" s="51" t="str">
        <f>IFERROR(__xludf.DUMMYFUNCTION("IFERROR(IF(REGEXMATCH(VLOOKUP(A308,Internal_lists_bugs!$A$2:$R$73,18,FALSE()), ""Yes""), VLOOKUP(A308,Internal_lists_bugs!$A$2:$U$73,21,FALSE()), VLOOKUP(A308,Internal_lists_bugs!$A$2:$R$73,18,FALSE())),""please select a BUG ID"")"),"1372369, 1448333")</f>
        <v>1372369, 1448333</v>
      </c>
      <c r="D308" s="16" t="s">
        <v>384</v>
      </c>
      <c r="E308" s="16" t="s">
        <v>385</v>
      </c>
      <c r="F308" s="55"/>
      <c r="G308" s="56"/>
      <c r="H308" s="54"/>
      <c r="J308" s="55"/>
      <c r="K308" s="56"/>
      <c r="L308" s="69">
        <v>1448333.0</v>
      </c>
    </row>
    <row r="309">
      <c r="A309" s="62" t="s">
        <v>56</v>
      </c>
      <c r="B309" s="50" t="str">
        <f>IFERROR(HYPERLINK(VLOOKUP(A309,Internal_lists_bugs!$A$2:$C$73,3,FALSE()), VLOOKUP(A309,Internal_lists_bugs!$A$2:$C$73,3,FALSE())&amp;Char(10) &amp; Char(10) &amp; VLOOKUP(A309,Internal_lists_bugs!$A$2:$Z$73,26,FALSE())),"please select a BUG ID")</f>
        <v>https://bugs.launchpad.net/nova/+bug/1371677
/libvirt/driver.py</v>
      </c>
      <c r="C309" s="51" t="str">
        <f>IFERROR(__xludf.DUMMYFUNCTION("IFERROR(IF(REGEXMATCH(VLOOKUP(A309,Internal_lists_bugs!$A$2:$R$73,18,FALSE()), ""Yes""), VLOOKUP(A309,Internal_lists_bugs!$A$2:$U$73,21,FALSE()), VLOOKUP(A309,Internal_lists_bugs!$A$2:$R$73,18,FALSE())),""please select a BUG ID"")"),"1372369, 1448333")</f>
        <v>1372369, 1448333</v>
      </c>
      <c r="D309" s="16" t="s">
        <v>276</v>
      </c>
      <c r="E309" s="16" t="s">
        <v>386</v>
      </c>
      <c r="F309" s="55"/>
      <c r="G309" s="56"/>
      <c r="H309" s="54"/>
      <c r="J309" s="55"/>
      <c r="K309" s="56"/>
      <c r="L309" s="69">
        <v>1448333.0</v>
      </c>
    </row>
    <row r="310">
      <c r="A310" s="62" t="s">
        <v>56</v>
      </c>
      <c r="B310" s="50" t="str">
        <f>IFERROR(HYPERLINK(VLOOKUP(A310,Internal_lists_bugs!$A$2:$C$73,3,FALSE()), VLOOKUP(A310,Internal_lists_bugs!$A$2:$C$73,3,FALSE())&amp;Char(10) &amp; Char(10) &amp; VLOOKUP(A310,Internal_lists_bugs!$A$2:$Z$73,26,FALSE())),"please select a BUG ID")</f>
        <v>https://bugs.launchpad.net/nova/+bug/1371677
/libvirt/driver.py</v>
      </c>
      <c r="C310" s="51" t="str">
        <f>IFERROR(__xludf.DUMMYFUNCTION("IFERROR(IF(REGEXMATCH(VLOOKUP(A310,Internal_lists_bugs!$A$2:$R$73,18,FALSE()), ""Yes""), VLOOKUP(A310,Internal_lists_bugs!$A$2:$U$73,21,FALSE()), VLOOKUP(A310,Internal_lists_bugs!$A$2:$R$73,18,FALSE())),""please select a BUG ID"")"),"1372369, 1448333")</f>
        <v>1372369, 1448333</v>
      </c>
      <c r="D310" s="16" t="s">
        <v>280</v>
      </c>
      <c r="E310" s="16" t="s">
        <v>387</v>
      </c>
      <c r="F310" s="55"/>
      <c r="G310" s="56"/>
      <c r="H310" s="54"/>
      <c r="J310" s="55"/>
      <c r="K310" s="56"/>
      <c r="L310" s="69">
        <v>1448333.0</v>
      </c>
    </row>
    <row r="311">
      <c r="A311" s="62" t="s">
        <v>57</v>
      </c>
      <c r="B311" s="50" t="str">
        <f>IFERROR(HYPERLINK(VLOOKUP(A311,Internal_lists_bugs!$A$2:$C$73,3,FALSE()), VLOOKUP(A311,Internal_lists_bugs!$A$2:$C$73,3,FALSE())&amp;Char(10) &amp; Char(10) &amp; VLOOKUP(A311,Internal_lists_bugs!$A$2:$Z$73,26,FALSE())),"please select a BUG ID")</f>
        <v>https://bugs.launchpad.net/nova/+bug/1481078
/xenapi/vmops.py</v>
      </c>
      <c r="C311" s="51" t="str">
        <f>IFERROR(__xludf.DUMMYFUNCTION("IFERROR(IF(REGEXMATCH(VLOOKUP(A311,Internal_lists_bugs!$A$2:$R$73,18,FALSE()), ""Yes""), VLOOKUP(A311,Internal_lists_bugs!$A$2:$U$73,21,FALSE()), VLOOKUP(A311,Internal_lists_bugs!$A$2:$R$73,18,FALSE())),""please select a BUG ID"")"),"No, however, check in the right corner of the bug description")</f>
        <v>No, however, check in the right corner of the bug description</v>
      </c>
      <c r="D311" s="16" t="s">
        <v>119</v>
      </c>
      <c r="E311" s="16" t="s">
        <v>144</v>
      </c>
      <c r="F311" s="52" t="s">
        <v>121</v>
      </c>
      <c r="G311" s="56"/>
      <c r="H311" s="16" t="s">
        <v>123</v>
      </c>
      <c r="J311" s="52" t="s">
        <v>123</v>
      </c>
      <c r="K311" s="56"/>
    </row>
    <row r="312">
      <c r="A312" s="62" t="s">
        <v>57</v>
      </c>
      <c r="B312" s="50" t="str">
        <f>IFERROR(HYPERLINK(VLOOKUP(A312,Internal_lists_bugs!$A$2:$C$73,3,FALSE()), VLOOKUP(A312,Internal_lists_bugs!$A$2:$C$73,3,FALSE())&amp;Char(10) &amp; Char(10) &amp; VLOOKUP(A312,Internal_lists_bugs!$A$2:$Z$73,26,FALSE())),"please select a BUG ID")</f>
        <v>https://bugs.launchpad.net/nova/+bug/1481078
/xenapi/vmops.py</v>
      </c>
      <c r="C312" s="51" t="str">
        <f>IFERROR(__xludf.DUMMYFUNCTION("IFERROR(IF(REGEXMATCH(VLOOKUP(A312,Internal_lists_bugs!$A$2:$R$73,18,FALSE()), ""Yes""), VLOOKUP(A312,Internal_lists_bugs!$A$2:$U$73,21,FALSE()), VLOOKUP(A312,Internal_lists_bugs!$A$2:$R$73,18,FALSE())),""please select a BUG ID"")"),"No, however, check in the right corner of the bug description")</f>
        <v>No, however, check in the right corner of the bug description</v>
      </c>
      <c r="D312" s="16" t="s">
        <v>149</v>
      </c>
      <c r="E312" s="16" t="s">
        <v>144</v>
      </c>
      <c r="F312" s="55"/>
      <c r="G312" s="56"/>
      <c r="H312" s="54"/>
      <c r="J312" s="55"/>
      <c r="K312" s="56"/>
    </row>
    <row r="313">
      <c r="A313" s="62" t="s">
        <v>57</v>
      </c>
      <c r="B313" s="50" t="str">
        <f>IFERROR(HYPERLINK(VLOOKUP(A313,Internal_lists_bugs!$A$2:$C$73,3,FALSE()), VLOOKUP(A313,Internal_lists_bugs!$A$2:$C$73,3,FALSE())&amp;Char(10) &amp; Char(10) &amp; VLOOKUP(A313,Internal_lists_bugs!$A$2:$Z$73,26,FALSE())),"please select a BUG ID")</f>
        <v>https://bugs.launchpad.net/nova/+bug/1481078
/xenapi/vmops.py</v>
      </c>
      <c r="C313" s="51" t="str">
        <f>IFERROR(__xludf.DUMMYFUNCTION("IFERROR(IF(REGEXMATCH(VLOOKUP(A313,Internal_lists_bugs!$A$2:$R$73,18,FALSE()), ""Yes""), VLOOKUP(A313,Internal_lists_bugs!$A$2:$U$73,21,FALSE()), VLOOKUP(A313,Internal_lists_bugs!$A$2:$R$73,18,FALSE())),""please select a BUG ID"")"),"No, however, check in the right corner of the bug description")</f>
        <v>No, however, check in the right corner of the bug description</v>
      </c>
      <c r="D313" s="16" t="s">
        <v>388</v>
      </c>
      <c r="E313" s="16" t="s">
        <v>389</v>
      </c>
      <c r="F313" s="55"/>
      <c r="G313" s="56"/>
      <c r="H313" s="54"/>
      <c r="J313" s="55"/>
      <c r="K313" s="56"/>
    </row>
    <row r="314">
      <c r="A314" s="62" t="s">
        <v>57</v>
      </c>
      <c r="B314" s="50" t="str">
        <f>IFERROR(HYPERLINK(VLOOKUP(A314,Internal_lists_bugs!$A$2:$C$73,3,FALSE()), VLOOKUP(A314,Internal_lists_bugs!$A$2:$C$73,3,FALSE())&amp;Char(10) &amp; Char(10) &amp; VLOOKUP(A314,Internal_lists_bugs!$A$2:$Z$73,26,FALSE())),"please select a BUG ID")</f>
        <v>https://bugs.launchpad.net/nova/+bug/1481078
/xenapi/vmops.py</v>
      </c>
      <c r="C314" s="51" t="str">
        <f>IFERROR(__xludf.DUMMYFUNCTION("IFERROR(IF(REGEXMATCH(VLOOKUP(A314,Internal_lists_bugs!$A$2:$R$73,18,FALSE()), ""Yes""), VLOOKUP(A314,Internal_lists_bugs!$A$2:$U$73,21,FALSE()), VLOOKUP(A314,Internal_lists_bugs!$A$2:$R$73,18,FALSE())),""please select a BUG ID"")"),"No, however, check in the right corner of the bug description")</f>
        <v>No, however, check in the right corner of the bug description</v>
      </c>
      <c r="D314" s="16" t="s">
        <v>227</v>
      </c>
      <c r="E314" s="16" t="s">
        <v>389</v>
      </c>
      <c r="F314" s="55"/>
      <c r="G314" s="56"/>
      <c r="H314" s="54"/>
      <c r="J314" s="55"/>
      <c r="K314" s="56"/>
    </row>
    <row r="315">
      <c r="A315" s="62" t="s">
        <v>57</v>
      </c>
      <c r="B315" s="50" t="str">
        <f>IFERROR(HYPERLINK(VLOOKUP(A315,Internal_lists_bugs!$A$2:$C$73,3,FALSE()), VLOOKUP(A315,Internal_lists_bugs!$A$2:$C$73,3,FALSE())&amp;Char(10) &amp; Char(10) &amp; VLOOKUP(A315,Internal_lists_bugs!$A$2:$Z$73,26,FALSE())),"please select a BUG ID")</f>
        <v>https://bugs.launchpad.net/nova/+bug/1481078
/xenapi/vmops.py</v>
      </c>
      <c r="C315" s="51" t="str">
        <f>IFERROR(__xludf.DUMMYFUNCTION("IFERROR(IF(REGEXMATCH(VLOOKUP(A315,Internal_lists_bugs!$A$2:$R$73,18,FALSE()), ""Yes""), VLOOKUP(A315,Internal_lists_bugs!$A$2:$U$73,21,FALSE()), VLOOKUP(A315,Internal_lists_bugs!$A$2:$R$73,18,FALSE())),""please select a BUG ID"")"),"No, however, check in the right corner of the bug description")</f>
        <v>No, however, check in the right corner of the bug description</v>
      </c>
      <c r="D315" s="16" t="s">
        <v>129</v>
      </c>
      <c r="E315" s="16" t="s">
        <v>204</v>
      </c>
      <c r="F315" s="55"/>
      <c r="G315" s="56"/>
      <c r="H315" s="54"/>
      <c r="J315" s="55"/>
      <c r="K315" s="56"/>
    </row>
    <row r="316">
      <c r="A316" s="62" t="s">
        <v>57</v>
      </c>
      <c r="B316" s="50" t="str">
        <f>IFERROR(HYPERLINK(VLOOKUP(A316,Internal_lists_bugs!$A$2:$C$73,3,FALSE()), VLOOKUP(A316,Internal_lists_bugs!$A$2:$C$73,3,FALSE())&amp;Char(10) &amp; Char(10) &amp; VLOOKUP(A316,Internal_lists_bugs!$A$2:$Z$73,26,FALSE())),"please select a BUG ID")</f>
        <v>https://bugs.launchpad.net/nova/+bug/1481078
/xenapi/vmops.py</v>
      </c>
      <c r="C316" s="51" t="str">
        <f>IFERROR(__xludf.DUMMYFUNCTION("IFERROR(IF(REGEXMATCH(VLOOKUP(A316,Internal_lists_bugs!$A$2:$R$73,18,FALSE()), ""Yes""), VLOOKUP(A316,Internal_lists_bugs!$A$2:$U$73,21,FALSE()), VLOOKUP(A316,Internal_lists_bugs!$A$2:$R$73,18,FALSE())),""please select a BUG ID"")"),"No, however, check in the right corner of the bug description")</f>
        <v>No, however, check in the right corner of the bug description</v>
      </c>
      <c r="D316" s="16" t="s">
        <v>131</v>
      </c>
      <c r="E316" s="16" t="s">
        <v>205</v>
      </c>
      <c r="F316" s="55"/>
      <c r="G316" s="56"/>
      <c r="H316" s="54"/>
      <c r="J316" s="55"/>
      <c r="K316" s="56"/>
    </row>
    <row r="317">
      <c r="A317" s="62" t="s">
        <v>58</v>
      </c>
      <c r="B317" s="50" t="str">
        <f>IFERROR(HYPERLINK(VLOOKUP(A317,Internal_lists_bugs!$A$2:$C$73,3,FALSE()), VLOOKUP(A317,Internal_lists_bugs!$A$2:$C$73,3,FALSE())&amp;Char(10) &amp; Char(10) &amp; VLOOKUP(A317,Internal_lists_bugs!$A$2:$Z$73,26,FALSE())),"please select a BUG ID")</f>
        <v>https://bugs.launchpad.net/nova/+bug/1402728
/vmwareapi/vm_util.py
/vmwareapi/vmops.py </v>
      </c>
      <c r="C317" s="51" t="str">
        <f>IFERROR(__xludf.DUMMYFUNCTION("IFERROR(IF(REGEXMATCH(VLOOKUP(A317,Internal_lists_bugs!$A$2:$R$73,18,FALSE()), ""Yes""), VLOOKUP(A317,Internal_lists_bugs!$A$2:$U$73,21,FALSE()), VLOOKUP(A317,Internal_lists_bugs!$A$2:$R$73,18,FALSE())),""please select a BUG ID"")"),"No, however, check in the right corner of the bug description")</f>
        <v>No, however, check in the right corner of the bug description</v>
      </c>
      <c r="D317" s="16" t="s">
        <v>119</v>
      </c>
      <c r="E317" s="16" t="s">
        <v>144</v>
      </c>
      <c r="F317" s="52" t="s">
        <v>121</v>
      </c>
      <c r="G317" s="56"/>
      <c r="H317" s="16" t="s">
        <v>123</v>
      </c>
      <c r="J317" s="52" t="s">
        <v>123</v>
      </c>
      <c r="K317" s="56"/>
    </row>
    <row r="318">
      <c r="A318" s="62" t="s">
        <v>58</v>
      </c>
      <c r="B318" s="50" t="str">
        <f>IFERROR(HYPERLINK(VLOOKUP(A318,Internal_lists_bugs!$A$2:$C$73,3,FALSE()), VLOOKUP(A318,Internal_lists_bugs!$A$2:$C$73,3,FALSE())&amp;Char(10) &amp; Char(10) &amp; VLOOKUP(A318,Internal_lists_bugs!$A$2:$Z$73,26,FALSE())),"please select a BUG ID")</f>
        <v>https://bugs.launchpad.net/nova/+bug/1402728
/vmwareapi/vm_util.py
/vmwareapi/vmops.py </v>
      </c>
      <c r="C318" s="51" t="str">
        <f>IFERROR(__xludf.DUMMYFUNCTION("IFERROR(IF(REGEXMATCH(VLOOKUP(A318,Internal_lists_bugs!$A$2:$R$73,18,FALSE()), ""Yes""), VLOOKUP(A318,Internal_lists_bugs!$A$2:$U$73,21,FALSE()), VLOOKUP(A318,Internal_lists_bugs!$A$2:$R$73,18,FALSE())),""please select a BUG ID"")"),"No, however, check in the right corner of the bug description")</f>
        <v>No, however, check in the right corner of the bug description</v>
      </c>
      <c r="D318" s="16" t="s">
        <v>119</v>
      </c>
      <c r="E318" s="16" t="s">
        <v>389</v>
      </c>
      <c r="F318" s="55"/>
      <c r="G318" s="56"/>
      <c r="H318" s="54"/>
      <c r="J318" s="55"/>
      <c r="K318" s="56"/>
    </row>
    <row r="319">
      <c r="A319" s="62" t="s">
        <v>58</v>
      </c>
      <c r="B319" s="50" t="str">
        <f>IFERROR(HYPERLINK(VLOOKUP(A319,Internal_lists_bugs!$A$2:$C$73,3,FALSE()), VLOOKUP(A319,Internal_lists_bugs!$A$2:$C$73,3,FALSE())&amp;Char(10) &amp; Char(10) &amp; VLOOKUP(A319,Internal_lists_bugs!$A$2:$Z$73,26,FALSE())),"please select a BUG ID")</f>
        <v>https://bugs.launchpad.net/nova/+bug/1402728
/vmwareapi/vm_util.py
/vmwareapi/vmops.py </v>
      </c>
      <c r="C319" s="51" t="str">
        <f>IFERROR(__xludf.DUMMYFUNCTION("IFERROR(IF(REGEXMATCH(VLOOKUP(A319,Internal_lists_bugs!$A$2:$R$73,18,FALSE()), ""Yes""), VLOOKUP(A319,Internal_lists_bugs!$A$2:$U$73,21,FALSE()), VLOOKUP(A319,Internal_lists_bugs!$A$2:$R$73,18,FALSE())),""please select a BUG ID"")"),"No, however, check in the right corner of the bug description")</f>
        <v>No, however, check in the right corner of the bug description</v>
      </c>
      <c r="D319" s="16" t="s">
        <v>149</v>
      </c>
      <c r="E319" s="16" t="s">
        <v>389</v>
      </c>
      <c r="F319" s="55"/>
      <c r="G319" s="56"/>
      <c r="H319" s="54"/>
      <c r="J319" s="55"/>
      <c r="K319" s="56"/>
    </row>
    <row r="320">
      <c r="A320" s="62" t="s">
        <v>58</v>
      </c>
      <c r="B320" s="50" t="str">
        <f>IFERROR(HYPERLINK(VLOOKUP(A320,Internal_lists_bugs!$A$2:$C$73,3,FALSE()), VLOOKUP(A320,Internal_lists_bugs!$A$2:$C$73,3,FALSE())&amp;Char(10) &amp; Char(10) &amp; VLOOKUP(A320,Internal_lists_bugs!$A$2:$Z$73,26,FALSE())),"please select a BUG ID")</f>
        <v>https://bugs.launchpad.net/nova/+bug/1402728
/vmwareapi/vm_util.py
/vmwareapi/vmops.py </v>
      </c>
      <c r="C320" s="51" t="str">
        <f>IFERROR(__xludf.DUMMYFUNCTION("IFERROR(IF(REGEXMATCH(VLOOKUP(A320,Internal_lists_bugs!$A$2:$R$73,18,FALSE()), ""Yes""), VLOOKUP(A320,Internal_lists_bugs!$A$2:$U$73,21,FALSE()), VLOOKUP(A320,Internal_lists_bugs!$A$2:$R$73,18,FALSE())),""please select a BUG ID"")"),"No, however, check in the right corner of the bug description")</f>
        <v>No, however, check in the right corner of the bug description</v>
      </c>
      <c r="D320" s="16" t="s">
        <v>341</v>
      </c>
      <c r="E320" s="16" t="s">
        <v>205</v>
      </c>
      <c r="F320" s="55"/>
      <c r="G320" s="56"/>
      <c r="H320" s="54"/>
      <c r="J320" s="55"/>
      <c r="K320" s="56"/>
    </row>
    <row r="321">
      <c r="A321" s="62" t="s">
        <v>58</v>
      </c>
      <c r="B321" s="50" t="str">
        <f>IFERROR(HYPERLINK(VLOOKUP(A321,Internal_lists_bugs!$A$2:$C$73,3,FALSE()), VLOOKUP(A321,Internal_lists_bugs!$A$2:$C$73,3,FALSE())&amp;Char(10) &amp; Char(10) &amp; VLOOKUP(A321,Internal_lists_bugs!$A$2:$Z$73,26,FALSE())),"please select a BUG ID")</f>
        <v>https://bugs.launchpad.net/nova/+bug/1402728
/vmwareapi/vm_util.py
/vmwareapi/vmops.py </v>
      </c>
      <c r="C321" s="51" t="str">
        <f>IFERROR(__xludf.DUMMYFUNCTION("IFERROR(IF(REGEXMATCH(VLOOKUP(A321,Internal_lists_bugs!$A$2:$R$73,18,FALSE()), ""Yes""), VLOOKUP(A321,Internal_lists_bugs!$A$2:$U$73,21,FALSE()), VLOOKUP(A321,Internal_lists_bugs!$A$2:$R$73,18,FALSE())),""please select a BUG ID"")"),"No, however, check in the right corner of the bug description")</f>
        <v>No, however, check in the right corner of the bug description</v>
      </c>
      <c r="D321" s="16" t="s">
        <v>131</v>
      </c>
      <c r="E321" s="16" t="s">
        <v>229</v>
      </c>
      <c r="F321" s="55"/>
      <c r="G321" s="56"/>
      <c r="H321" s="54"/>
      <c r="J321" s="55"/>
      <c r="K321" s="56"/>
    </row>
    <row r="322">
      <c r="A322" s="62" t="s">
        <v>59</v>
      </c>
      <c r="B322" s="50" t="str">
        <f>IFERROR(HYPERLINK(VLOOKUP(A322,Internal_lists_bugs!$A$2:$C$73,3,FALSE()), VLOOKUP(A322,Internal_lists_bugs!$A$2:$C$73,3,FALSE())&amp;Char(10) &amp; Char(10) &amp; VLOOKUP(A322,Internal_lists_bugs!$A$2:$Z$73,26,FALSE())),"please select a BUG ID")</f>
        <v>https://bugs.launchpad.net/nova/+bug/1441000
/libvirt/driver.py</v>
      </c>
      <c r="C322" s="51" t="str">
        <f>IFERROR(__xludf.DUMMYFUNCTION("IFERROR(IF(REGEXMATCH(VLOOKUP(A322,Internal_lists_bugs!$A$2:$R$73,18,FALSE()), ""Yes""), VLOOKUP(A322,Internal_lists_bugs!$A$2:$U$73,21,FALSE()), VLOOKUP(A322,Internal_lists_bugs!$A$2:$R$73,18,FALSE())),""please select a BUG ID"")"),"No, however, check in the right corner of the bug description")</f>
        <v>No, however, check in the right corner of the bug description</v>
      </c>
      <c r="D322" s="16" t="s">
        <v>119</v>
      </c>
      <c r="E322" s="16" t="s">
        <v>144</v>
      </c>
      <c r="F322" s="52" t="s">
        <v>121</v>
      </c>
      <c r="G322" s="56"/>
      <c r="H322" s="16" t="s">
        <v>123</v>
      </c>
      <c r="J322" s="52" t="s">
        <v>123</v>
      </c>
      <c r="K322" s="56"/>
    </row>
    <row r="323">
      <c r="A323" s="62" t="s">
        <v>59</v>
      </c>
      <c r="B323" s="50" t="str">
        <f>IFERROR(HYPERLINK(VLOOKUP(A323,Internal_lists_bugs!$A$2:$C$73,3,FALSE()), VLOOKUP(A323,Internal_lists_bugs!$A$2:$C$73,3,FALSE())&amp;Char(10) &amp; Char(10) &amp; VLOOKUP(A323,Internal_lists_bugs!$A$2:$Z$73,26,FALSE())),"please select a BUG ID")</f>
        <v>https://bugs.launchpad.net/nova/+bug/1441000
/libvirt/driver.py</v>
      </c>
      <c r="C323" s="51" t="str">
        <f>IFERROR(__xludf.DUMMYFUNCTION("IFERROR(IF(REGEXMATCH(VLOOKUP(A323,Internal_lists_bugs!$A$2:$R$73,18,FALSE()), ""Yes""), VLOOKUP(A323,Internal_lists_bugs!$A$2:$U$73,21,FALSE()), VLOOKUP(A323,Internal_lists_bugs!$A$2:$R$73,18,FALSE())),""please select a BUG ID"")"),"No, however, check in the right corner of the bug description")</f>
        <v>No, however, check in the right corner of the bug description</v>
      </c>
      <c r="D323" s="16" t="s">
        <v>249</v>
      </c>
      <c r="E323" s="16" t="s">
        <v>389</v>
      </c>
      <c r="F323" s="55"/>
      <c r="G323" s="56"/>
      <c r="H323" s="54"/>
      <c r="J323" s="55"/>
      <c r="K323" s="56"/>
    </row>
    <row r="324">
      <c r="A324" s="62" t="s">
        <v>59</v>
      </c>
      <c r="B324" s="50" t="str">
        <f>IFERROR(HYPERLINK(VLOOKUP(A324,Internal_lists_bugs!$A$2:$C$73,3,FALSE()), VLOOKUP(A324,Internal_lists_bugs!$A$2:$C$73,3,FALSE())&amp;Char(10) &amp; Char(10) &amp; VLOOKUP(A324,Internal_lists_bugs!$A$2:$Z$73,26,FALSE())),"please select a BUG ID")</f>
        <v>https://bugs.launchpad.net/nova/+bug/1441000
/libvirt/driver.py</v>
      </c>
      <c r="C324" s="51" t="str">
        <f>IFERROR(__xludf.DUMMYFUNCTION("IFERROR(IF(REGEXMATCH(VLOOKUP(A324,Internal_lists_bugs!$A$2:$R$73,18,FALSE()), ""Yes""), VLOOKUP(A324,Internal_lists_bugs!$A$2:$U$73,21,FALSE()), VLOOKUP(A324,Internal_lists_bugs!$A$2:$R$73,18,FALSE())),""please select a BUG ID"")"),"No, however, check in the right corner of the bug description")</f>
        <v>No, however, check in the right corner of the bug description</v>
      </c>
      <c r="D324" s="16" t="s">
        <v>149</v>
      </c>
      <c r="E324" s="16" t="s">
        <v>389</v>
      </c>
      <c r="F324" s="55"/>
      <c r="G324" s="56"/>
      <c r="H324" s="54"/>
      <c r="J324" s="55"/>
      <c r="K324" s="56"/>
    </row>
    <row r="325">
      <c r="A325" s="62" t="s">
        <v>59</v>
      </c>
      <c r="B325" s="50" t="str">
        <f>IFERROR(HYPERLINK(VLOOKUP(A325,Internal_lists_bugs!$A$2:$C$73,3,FALSE()), VLOOKUP(A325,Internal_lists_bugs!$A$2:$C$73,3,FALSE())&amp;Char(10) &amp; Char(10) &amp; VLOOKUP(A325,Internal_lists_bugs!$A$2:$Z$73,26,FALSE())),"please select a BUG ID")</f>
        <v>https://bugs.launchpad.net/nova/+bug/1441000
/libvirt/driver.py</v>
      </c>
      <c r="C325" s="51" t="str">
        <f>IFERROR(__xludf.DUMMYFUNCTION("IFERROR(IF(REGEXMATCH(VLOOKUP(A325,Internal_lists_bugs!$A$2:$R$73,18,FALSE()), ""Yes""), VLOOKUP(A325,Internal_lists_bugs!$A$2:$U$73,21,FALSE()), VLOOKUP(A325,Internal_lists_bugs!$A$2:$R$73,18,FALSE())),""please select a BUG ID"")"),"No, however, check in the right corner of the bug description")</f>
        <v>No, however, check in the right corner of the bug description</v>
      </c>
      <c r="D325" s="16" t="s">
        <v>119</v>
      </c>
      <c r="E325" s="16" t="s">
        <v>390</v>
      </c>
      <c r="F325" s="55"/>
      <c r="G325" s="56"/>
      <c r="H325" s="54"/>
      <c r="J325" s="55"/>
      <c r="K325" s="56"/>
    </row>
    <row r="326">
      <c r="A326" s="62" t="s">
        <v>59</v>
      </c>
      <c r="B326" s="50" t="str">
        <f>IFERROR(HYPERLINK(VLOOKUP(A326,Internal_lists_bugs!$A$2:$C$73,3,FALSE()), VLOOKUP(A326,Internal_lists_bugs!$A$2:$C$73,3,FALSE())&amp;Char(10) &amp; Char(10) &amp; VLOOKUP(A326,Internal_lists_bugs!$A$2:$Z$73,26,FALSE())),"please select a BUG ID")</f>
        <v>https://bugs.launchpad.net/nova/+bug/1441000
/libvirt/driver.py</v>
      </c>
      <c r="C326" s="51" t="str">
        <f>IFERROR(__xludf.DUMMYFUNCTION("IFERROR(IF(REGEXMATCH(VLOOKUP(A326,Internal_lists_bugs!$A$2:$R$73,18,FALSE()), ""Yes""), VLOOKUP(A326,Internal_lists_bugs!$A$2:$U$73,21,FALSE()), VLOOKUP(A326,Internal_lists_bugs!$A$2:$R$73,18,FALSE())),""please select a BUG ID"")"),"No, however, check in the right corner of the bug description")</f>
        <v>No, however, check in the right corner of the bug description</v>
      </c>
      <c r="D326" s="16" t="s">
        <v>157</v>
      </c>
      <c r="E326" s="16" t="s">
        <v>390</v>
      </c>
      <c r="F326" s="55"/>
      <c r="G326" s="56"/>
      <c r="H326" s="54"/>
      <c r="J326" s="55"/>
      <c r="K326" s="56"/>
    </row>
    <row r="327">
      <c r="A327" s="62" t="s">
        <v>59</v>
      </c>
      <c r="B327" s="50" t="str">
        <f>IFERROR(HYPERLINK(VLOOKUP(A327,Internal_lists_bugs!$A$2:$C$73,3,FALSE()), VLOOKUP(A327,Internal_lists_bugs!$A$2:$C$73,3,FALSE())&amp;Char(10) &amp; Char(10) &amp; VLOOKUP(A327,Internal_lists_bugs!$A$2:$Z$73,26,FALSE())),"please select a BUG ID")</f>
        <v>https://bugs.launchpad.net/nova/+bug/1441000
/libvirt/driver.py</v>
      </c>
      <c r="C327" s="51" t="str">
        <f>IFERROR(__xludf.DUMMYFUNCTION("IFERROR(IF(REGEXMATCH(VLOOKUP(A327,Internal_lists_bugs!$A$2:$R$73,18,FALSE()), ""Yes""), VLOOKUP(A327,Internal_lists_bugs!$A$2:$U$73,21,FALSE()), VLOOKUP(A327,Internal_lists_bugs!$A$2:$R$73,18,FALSE())),""please select a BUG ID"")"),"No, however, check in the right corner of the bug description")</f>
        <v>No, however, check in the right corner of the bug description</v>
      </c>
      <c r="D327" s="16" t="s">
        <v>391</v>
      </c>
      <c r="E327" s="16" t="s">
        <v>204</v>
      </c>
      <c r="F327" s="55"/>
      <c r="G327" s="56"/>
      <c r="H327" s="54"/>
      <c r="J327" s="55"/>
      <c r="K327" s="56"/>
    </row>
    <row r="328">
      <c r="A328" s="62" t="s">
        <v>59</v>
      </c>
      <c r="B328" s="50" t="str">
        <f>IFERROR(HYPERLINK(VLOOKUP(A328,Internal_lists_bugs!$A$2:$C$73,3,FALSE()), VLOOKUP(A328,Internal_lists_bugs!$A$2:$C$73,3,FALSE())&amp;Char(10) &amp; Char(10) &amp; VLOOKUP(A328,Internal_lists_bugs!$A$2:$Z$73,26,FALSE())),"please select a BUG ID")</f>
        <v>https://bugs.launchpad.net/nova/+bug/1441000
/libvirt/driver.py</v>
      </c>
      <c r="C328" s="51" t="str">
        <f>IFERROR(__xludf.DUMMYFUNCTION("IFERROR(IF(REGEXMATCH(VLOOKUP(A328,Internal_lists_bugs!$A$2:$R$73,18,FALSE()), ""Yes""), VLOOKUP(A328,Internal_lists_bugs!$A$2:$U$73,21,FALSE()), VLOOKUP(A328,Internal_lists_bugs!$A$2:$R$73,18,FALSE())),""please select a BUG ID"")"),"No, however, check in the right corner of the bug description")</f>
        <v>No, however, check in the right corner of the bug description</v>
      </c>
      <c r="D328" s="16" t="s">
        <v>129</v>
      </c>
      <c r="E328" s="16" t="s">
        <v>205</v>
      </c>
      <c r="F328" s="55"/>
      <c r="G328" s="56"/>
      <c r="H328" s="54"/>
      <c r="J328" s="55"/>
      <c r="K328" s="56"/>
    </row>
    <row r="329">
      <c r="A329" s="62" t="s">
        <v>59</v>
      </c>
      <c r="B329" s="50" t="str">
        <f>IFERROR(HYPERLINK(VLOOKUP(A329,Internal_lists_bugs!$A$2:$C$73,3,FALSE()), VLOOKUP(A329,Internal_lists_bugs!$A$2:$C$73,3,FALSE())&amp;Char(10) &amp; Char(10) &amp; VLOOKUP(A329,Internal_lists_bugs!$A$2:$Z$73,26,FALSE())),"please select a BUG ID")</f>
        <v>https://bugs.launchpad.net/nova/+bug/1441000
/libvirt/driver.py</v>
      </c>
      <c r="C329" s="51" t="str">
        <f>IFERROR(__xludf.DUMMYFUNCTION("IFERROR(IF(REGEXMATCH(VLOOKUP(A329,Internal_lists_bugs!$A$2:$R$73,18,FALSE()), ""Yes""), VLOOKUP(A329,Internal_lists_bugs!$A$2:$U$73,21,FALSE()), VLOOKUP(A329,Internal_lists_bugs!$A$2:$R$73,18,FALSE())),""please select a BUG ID"")"),"No, however, check in the right corner of the bug description")</f>
        <v>No, however, check in the right corner of the bug description</v>
      </c>
      <c r="D329" s="16" t="s">
        <v>392</v>
      </c>
      <c r="E329" s="16" t="s">
        <v>229</v>
      </c>
      <c r="F329" s="55"/>
      <c r="G329" s="56"/>
      <c r="H329" s="54"/>
      <c r="J329" s="55"/>
      <c r="K329" s="56"/>
    </row>
    <row r="330">
      <c r="A330" s="62" t="s">
        <v>59</v>
      </c>
      <c r="B330" s="50" t="str">
        <f>IFERROR(HYPERLINK(VLOOKUP(A330,Internal_lists_bugs!$A$2:$C$73,3,FALSE()), VLOOKUP(A330,Internal_lists_bugs!$A$2:$C$73,3,FALSE())&amp;Char(10) &amp; Char(10) &amp; VLOOKUP(A330,Internal_lists_bugs!$A$2:$Z$73,26,FALSE())),"please select a BUG ID")</f>
        <v>https://bugs.launchpad.net/nova/+bug/1441000
/libvirt/driver.py</v>
      </c>
      <c r="C330" s="51" t="str">
        <f>IFERROR(__xludf.DUMMYFUNCTION("IFERROR(IF(REGEXMATCH(VLOOKUP(A330,Internal_lists_bugs!$A$2:$R$73,18,FALSE()), ""Yes""), VLOOKUP(A330,Internal_lists_bugs!$A$2:$U$73,21,FALSE()), VLOOKUP(A330,Internal_lists_bugs!$A$2:$R$73,18,FALSE())),""please select a BUG ID"")"),"No, however, check in the right corner of the bug description")</f>
        <v>No, however, check in the right corner of the bug description</v>
      </c>
      <c r="D330" s="16" t="s">
        <v>131</v>
      </c>
      <c r="E330" s="16" t="s">
        <v>216</v>
      </c>
      <c r="F330" s="55"/>
      <c r="G330" s="56"/>
      <c r="H330" s="54"/>
      <c r="J330" s="55"/>
      <c r="K330" s="56"/>
    </row>
    <row r="331">
      <c r="A331" s="62" t="s">
        <v>60</v>
      </c>
      <c r="B331" s="50" t="str">
        <f>IFERROR(HYPERLINK(VLOOKUP(A331,Internal_lists_bugs!$A$2:$C$73,3,FALSE()), VLOOKUP(A331,Internal_lists_bugs!$A$2:$C$73,3,FALSE())&amp;Char(10) &amp; Char(10) &amp; VLOOKUP(A331,Internal_lists_bugs!$A$2:$Z$73,26,FALSE())),"please select a BUG ID")</f>
        <v>https://bugs.launchpad.net/nova/+bug/1505471
/servicegroup/drivers/db.py</v>
      </c>
      <c r="C331" s="51" t="str">
        <f>IFERROR(__xludf.DUMMYFUNCTION("IFERROR(IF(REGEXMATCH(VLOOKUP(A331,Internal_lists_bugs!$A$2:$R$73,18,FALSE()), ""Yes""), VLOOKUP(A331,Internal_lists_bugs!$A$2:$U$73,21,FALSE()), VLOOKUP(A331,Internal_lists_bugs!$A$2:$R$73,18,FALSE())),""please select a BUG ID"")"),"No, however, check in the right corner of the bug description")</f>
        <v>No, however, check in the right corner of the bug description</v>
      </c>
      <c r="D331" s="16" t="s">
        <v>119</v>
      </c>
      <c r="E331" s="16" t="s">
        <v>144</v>
      </c>
      <c r="F331" s="52" t="s">
        <v>121</v>
      </c>
      <c r="G331" s="56"/>
      <c r="H331" s="16" t="s">
        <v>123</v>
      </c>
      <c r="J331" s="52" t="s">
        <v>123</v>
      </c>
      <c r="K331" s="56"/>
    </row>
    <row r="332">
      <c r="A332" s="62" t="s">
        <v>60</v>
      </c>
      <c r="B332" s="50" t="str">
        <f>IFERROR(HYPERLINK(VLOOKUP(A332,Internal_lists_bugs!$A$2:$C$73,3,FALSE()), VLOOKUP(A332,Internal_lists_bugs!$A$2:$C$73,3,FALSE())&amp;Char(10) &amp; Char(10) &amp; VLOOKUP(A332,Internal_lists_bugs!$A$2:$Z$73,26,FALSE())),"please select a BUG ID")</f>
        <v>https://bugs.launchpad.net/nova/+bug/1505471
/servicegroup/drivers/db.py</v>
      </c>
      <c r="C332" s="51" t="str">
        <f>IFERROR(__xludf.DUMMYFUNCTION("IFERROR(IF(REGEXMATCH(VLOOKUP(A332,Internal_lists_bugs!$A$2:$R$73,18,FALSE()), ""Yes""), VLOOKUP(A332,Internal_lists_bugs!$A$2:$U$73,21,FALSE()), VLOOKUP(A332,Internal_lists_bugs!$A$2:$R$73,18,FALSE())),""please select a BUG ID"")"),"No, however, check in the right corner of the bug description")</f>
        <v>No, however, check in the right corner of the bug description</v>
      </c>
      <c r="D332" s="16" t="s">
        <v>149</v>
      </c>
      <c r="E332" s="16" t="s">
        <v>393</v>
      </c>
      <c r="F332" s="55"/>
      <c r="G332" s="56"/>
      <c r="H332" s="54"/>
      <c r="J332" s="55"/>
      <c r="K332" s="56"/>
    </row>
    <row r="333">
      <c r="A333" s="62" t="s">
        <v>60</v>
      </c>
      <c r="B333" s="50" t="str">
        <f>IFERROR(HYPERLINK(VLOOKUP(A333,Internal_lists_bugs!$A$2:$C$73,3,FALSE()), VLOOKUP(A333,Internal_lists_bugs!$A$2:$C$73,3,FALSE())&amp;Char(10) &amp; Char(10) &amp; VLOOKUP(A333,Internal_lists_bugs!$A$2:$Z$73,26,FALSE())),"please select a BUG ID")</f>
        <v>https://bugs.launchpad.net/nova/+bug/1505471
/servicegroup/drivers/db.py</v>
      </c>
      <c r="C333" s="51" t="str">
        <f>IFERROR(__xludf.DUMMYFUNCTION("IFERROR(IF(REGEXMATCH(VLOOKUP(A333,Internal_lists_bugs!$A$2:$R$73,18,FALSE()), ""Yes""), VLOOKUP(A333,Internal_lists_bugs!$A$2:$U$73,21,FALSE()), VLOOKUP(A333,Internal_lists_bugs!$A$2:$R$73,18,FALSE())),""please select a BUG ID"")"),"No, however, check in the right corner of the bug description")</f>
        <v>No, however, check in the right corner of the bug description</v>
      </c>
      <c r="D333" s="16" t="s">
        <v>149</v>
      </c>
      <c r="E333" s="16" t="s">
        <v>394</v>
      </c>
      <c r="F333" s="55"/>
      <c r="G333" s="56"/>
      <c r="H333" s="54"/>
      <c r="J333" s="55"/>
      <c r="K333" s="56"/>
    </row>
    <row r="334">
      <c r="A334" s="62" t="s">
        <v>60</v>
      </c>
      <c r="B334" s="50" t="str">
        <f>IFERROR(HYPERLINK(VLOOKUP(A334,Internal_lists_bugs!$A$2:$C$73,3,FALSE()), VLOOKUP(A334,Internal_lists_bugs!$A$2:$C$73,3,FALSE())&amp;Char(10) &amp; Char(10) &amp; VLOOKUP(A334,Internal_lists_bugs!$A$2:$Z$73,26,FALSE())),"please select a BUG ID")</f>
        <v>https://bugs.launchpad.net/nova/+bug/1505471
/servicegroup/drivers/db.py</v>
      </c>
      <c r="C334" s="51" t="str">
        <f>IFERROR(__xludf.DUMMYFUNCTION("IFERROR(IF(REGEXMATCH(VLOOKUP(A334,Internal_lists_bugs!$A$2:$R$73,18,FALSE()), ""Yes""), VLOOKUP(A334,Internal_lists_bugs!$A$2:$U$73,21,FALSE()), VLOOKUP(A334,Internal_lists_bugs!$A$2:$R$73,18,FALSE())),""please select a BUG ID"")"),"No, however, check in the right corner of the bug description")</f>
        <v>No, however, check in the right corner of the bug description</v>
      </c>
      <c r="D334" s="16" t="s">
        <v>227</v>
      </c>
      <c r="E334" s="16" t="s">
        <v>395</v>
      </c>
      <c r="F334" s="55"/>
      <c r="G334" s="56"/>
      <c r="H334" s="54"/>
      <c r="J334" s="55"/>
      <c r="K334" s="56"/>
    </row>
    <row r="335">
      <c r="A335" s="62" t="s">
        <v>60</v>
      </c>
      <c r="B335" s="50" t="str">
        <f>IFERROR(HYPERLINK(VLOOKUP(A335,Internal_lists_bugs!$A$2:$C$73,3,FALSE()), VLOOKUP(A335,Internal_lists_bugs!$A$2:$C$73,3,FALSE())&amp;Char(10) &amp; Char(10) &amp; VLOOKUP(A335,Internal_lists_bugs!$A$2:$Z$73,26,FALSE())),"please select a BUG ID")</f>
        <v>https://bugs.launchpad.net/nova/+bug/1505471
/servicegroup/drivers/db.py</v>
      </c>
      <c r="C335" s="51" t="str">
        <f>IFERROR(__xludf.DUMMYFUNCTION("IFERROR(IF(REGEXMATCH(VLOOKUP(A335,Internal_lists_bugs!$A$2:$R$73,18,FALSE()), ""Yes""), VLOOKUP(A335,Internal_lists_bugs!$A$2:$U$73,21,FALSE()), VLOOKUP(A335,Internal_lists_bugs!$A$2:$R$73,18,FALSE())),""please select a BUG ID"")"),"No, however, check in the right corner of the bug description")</f>
        <v>No, however, check in the right corner of the bug description</v>
      </c>
      <c r="D335" s="16" t="s">
        <v>119</v>
      </c>
      <c r="E335" s="16" t="s">
        <v>396</v>
      </c>
      <c r="F335" s="55"/>
      <c r="G335" s="56"/>
      <c r="H335" s="54"/>
      <c r="J335" s="55"/>
      <c r="K335" s="56"/>
    </row>
    <row r="336">
      <c r="A336" s="62" t="s">
        <v>60</v>
      </c>
      <c r="B336" s="50" t="str">
        <f>IFERROR(HYPERLINK(VLOOKUP(A336,Internal_lists_bugs!$A$2:$C$73,3,FALSE()), VLOOKUP(A336,Internal_lists_bugs!$A$2:$C$73,3,FALSE())&amp;Char(10) &amp; Char(10) &amp; VLOOKUP(A336,Internal_lists_bugs!$A$2:$Z$73,26,FALSE())),"please select a BUG ID")</f>
        <v>https://bugs.launchpad.net/nova/+bug/1505471
/servicegroup/drivers/db.py</v>
      </c>
      <c r="C336" s="51" t="str">
        <f>IFERROR(__xludf.DUMMYFUNCTION("IFERROR(IF(REGEXMATCH(VLOOKUP(A336,Internal_lists_bugs!$A$2:$R$73,18,FALSE()), ""Yes""), VLOOKUP(A336,Internal_lists_bugs!$A$2:$U$73,21,FALSE()), VLOOKUP(A336,Internal_lists_bugs!$A$2:$R$73,18,FALSE())),""please select a BUG ID"")"),"No, however, check in the right corner of the bug description")</f>
        <v>No, however, check in the right corner of the bug description</v>
      </c>
      <c r="D336" s="16" t="s">
        <v>129</v>
      </c>
      <c r="E336" s="16" t="s">
        <v>204</v>
      </c>
      <c r="F336" s="55"/>
      <c r="G336" s="56"/>
      <c r="H336" s="54"/>
      <c r="J336" s="55"/>
      <c r="K336" s="56"/>
    </row>
    <row r="337">
      <c r="A337" s="62" t="s">
        <v>60</v>
      </c>
      <c r="B337" s="50" t="str">
        <f>IFERROR(HYPERLINK(VLOOKUP(A337,Internal_lists_bugs!$A$2:$C$73,3,FALSE()), VLOOKUP(A337,Internal_lists_bugs!$A$2:$C$73,3,FALSE())&amp;Char(10) &amp; Char(10) &amp; VLOOKUP(A337,Internal_lists_bugs!$A$2:$Z$73,26,FALSE())),"please select a BUG ID")</f>
        <v>https://bugs.launchpad.net/nova/+bug/1505471
/servicegroup/drivers/db.py</v>
      </c>
      <c r="C337" s="51" t="str">
        <f>IFERROR(__xludf.DUMMYFUNCTION("IFERROR(IF(REGEXMATCH(VLOOKUP(A337,Internal_lists_bugs!$A$2:$R$73,18,FALSE()), ""Yes""), VLOOKUP(A337,Internal_lists_bugs!$A$2:$U$73,21,FALSE()), VLOOKUP(A337,Internal_lists_bugs!$A$2:$R$73,18,FALSE())),""please select a BUG ID"")"),"No, however, check in the right corner of the bug description")</f>
        <v>No, however, check in the right corner of the bug description</v>
      </c>
      <c r="D337" s="16" t="s">
        <v>131</v>
      </c>
      <c r="E337" s="16" t="s">
        <v>205</v>
      </c>
      <c r="F337" s="55"/>
      <c r="G337" s="56"/>
      <c r="H337" s="54"/>
      <c r="J337" s="55"/>
      <c r="K337" s="56"/>
    </row>
    <row r="338">
      <c r="A338" s="62" t="s">
        <v>60</v>
      </c>
      <c r="B338" s="50" t="str">
        <f>IFERROR(HYPERLINK(VLOOKUP(A338,Internal_lists_bugs!$A$2:$C$73,3,FALSE()), VLOOKUP(A338,Internal_lists_bugs!$A$2:$C$73,3,FALSE())&amp;Char(10) &amp; Char(10) &amp; VLOOKUP(A338,Internal_lists_bugs!$A$2:$Z$73,26,FALSE())),"please select a BUG ID")</f>
        <v>https://bugs.launchpad.net/nova/+bug/1505471
/servicegroup/drivers/db.py</v>
      </c>
      <c r="C338" s="51" t="str">
        <f>IFERROR(__xludf.DUMMYFUNCTION("IFERROR(IF(REGEXMATCH(VLOOKUP(A338,Internal_lists_bugs!$A$2:$R$73,18,FALSE()), ""Yes""), VLOOKUP(A338,Internal_lists_bugs!$A$2:$U$73,21,FALSE()), VLOOKUP(A338,Internal_lists_bugs!$A$2:$R$73,18,FALSE())),""please select a BUG ID"")"),"No, however, check in the right corner of the bug description")</f>
        <v>No, however, check in the right corner of the bug description</v>
      </c>
      <c r="D338" s="16" t="s">
        <v>153</v>
      </c>
      <c r="E338" s="16" t="s">
        <v>229</v>
      </c>
      <c r="F338" s="55"/>
      <c r="G338" s="56"/>
      <c r="H338" s="54"/>
      <c r="J338" s="55"/>
      <c r="K338" s="56"/>
    </row>
    <row r="339">
      <c r="A339" s="62" t="s">
        <v>60</v>
      </c>
      <c r="B339" s="50" t="str">
        <f>IFERROR(HYPERLINK(VLOOKUP(A339,Internal_lists_bugs!$A$2:$C$73,3,FALSE()), VLOOKUP(A339,Internal_lists_bugs!$A$2:$C$73,3,FALSE())&amp;Char(10) &amp; Char(10) &amp; VLOOKUP(A339,Internal_lists_bugs!$A$2:$Z$73,26,FALSE())),"please select a BUG ID")</f>
        <v>https://bugs.launchpad.net/nova/+bug/1505471
/servicegroup/drivers/db.py</v>
      </c>
      <c r="C339" s="51" t="str">
        <f>IFERROR(__xludf.DUMMYFUNCTION("IFERROR(IF(REGEXMATCH(VLOOKUP(A339,Internal_lists_bugs!$A$2:$R$73,18,FALSE()), ""Yes""), VLOOKUP(A339,Internal_lists_bugs!$A$2:$U$73,21,FALSE()), VLOOKUP(A339,Internal_lists_bugs!$A$2:$R$73,18,FALSE())),""please select a BUG ID"")"),"No, however, check in the right corner of the bug description")</f>
        <v>No, however, check in the right corner of the bug description</v>
      </c>
      <c r="D339" s="16" t="s">
        <v>397</v>
      </c>
      <c r="E339" s="16" t="s">
        <v>216</v>
      </c>
      <c r="F339" s="55"/>
      <c r="G339" s="56"/>
      <c r="H339" s="54"/>
      <c r="J339" s="55"/>
      <c r="K339" s="56"/>
    </row>
    <row r="340">
      <c r="A340" s="62" t="s">
        <v>60</v>
      </c>
      <c r="B340" s="50" t="str">
        <f>IFERROR(HYPERLINK(VLOOKUP(A340,Internal_lists_bugs!$A$2:$C$73,3,FALSE()), VLOOKUP(A340,Internal_lists_bugs!$A$2:$C$73,3,FALSE())&amp;Char(10) &amp; Char(10) &amp; VLOOKUP(A340,Internal_lists_bugs!$A$2:$Z$73,26,FALSE())),"please select a BUG ID")</f>
        <v>https://bugs.launchpad.net/nova/+bug/1505471
/servicegroup/drivers/db.py</v>
      </c>
      <c r="C340" s="51" t="str">
        <f>IFERROR(__xludf.DUMMYFUNCTION("IFERROR(IF(REGEXMATCH(VLOOKUP(A340,Internal_lists_bugs!$A$2:$R$73,18,FALSE()), ""Yes""), VLOOKUP(A340,Internal_lists_bugs!$A$2:$U$73,21,FALSE()), VLOOKUP(A340,Internal_lists_bugs!$A$2:$R$73,18,FALSE())),""please select a BUG ID"")"),"No, however, check in the right corner of the bug description")</f>
        <v>No, however, check in the right corner of the bug description</v>
      </c>
      <c r="D340" s="16" t="s">
        <v>155</v>
      </c>
      <c r="E340" s="16" t="s">
        <v>217</v>
      </c>
      <c r="F340" s="55"/>
      <c r="G340" s="56"/>
      <c r="H340" s="54"/>
      <c r="J340" s="55"/>
      <c r="K340" s="56"/>
    </row>
    <row r="341">
      <c r="A341" s="62" t="s">
        <v>60</v>
      </c>
      <c r="B341" s="50" t="str">
        <f>IFERROR(HYPERLINK(VLOOKUP(A341,Internal_lists_bugs!$A$2:$C$73,3,FALSE()), VLOOKUP(A341,Internal_lists_bugs!$A$2:$C$73,3,FALSE())&amp;Char(10) &amp; Char(10) &amp; VLOOKUP(A341,Internal_lists_bugs!$A$2:$Z$73,26,FALSE())),"please select a BUG ID")</f>
        <v>https://bugs.launchpad.net/nova/+bug/1505471
/servicegroup/drivers/db.py</v>
      </c>
      <c r="C341" s="51" t="str">
        <f>IFERROR(__xludf.DUMMYFUNCTION("IFERROR(IF(REGEXMATCH(VLOOKUP(A341,Internal_lists_bugs!$A$2:$R$73,18,FALSE()), ""Yes""), VLOOKUP(A341,Internal_lists_bugs!$A$2:$U$73,21,FALSE()), VLOOKUP(A341,Internal_lists_bugs!$A$2:$R$73,18,FALSE())),""please select a BUG ID"")"),"No, however, check in the right corner of the bug description")</f>
        <v>No, however, check in the right corner of the bug description</v>
      </c>
      <c r="D341" s="16" t="s">
        <v>398</v>
      </c>
      <c r="E341" s="16" t="s">
        <v>183</v>
      </c>
      <c r="F341" s="55"/>
      <c r="G341" s="56"/>
      <c r="H341" s="54"/>
      <c r="J341" s="55"/>
      <c r="K341" s="56"/>
    </row>
    <row r="342">
      <c r="A342" s="62" t="s">
        <v>60</v>
      </c>
      <c r="B342" s="50" t="str">
        <f>IFERROR(HYPERLINK(VLOOKUP(A342,Internal_lists_bugs!$A$2:$C$73,3,FALSE()), VLOOKUP(A342,Internal_lists_bugs!$A$2:$C$73,3,FALSE())&amp;Char(10) &amp; Char(10) &amp; VLOOKUP(A342,Internal_lists_bugs!$A$2:$Z$73,26,FALSE())),"please select a BUG ID")</f>
        <v>https://bugs.launchpad.net/nova/+bug/1505471
/servicegroup/drivers/db.py</v>
      </c>
      <c r="C342" s="51" t="str">
        <f>IFERROR(__xludf.DUMMYFUNCTION("IFERROR(IF(REGEXMATCH(VLOOKUP(A342,Internal_lists_bugs!$A$2:$R$73,18,FALSE()), ""Yes""), VLOOKUP(A342,Internal_lists_bugs!$A$2:$U$73,21,FALSE()), VLOOKUP(A342,Internal_lists_bugs!$A$2:$R$73,18,FALSE())),""please select a BUG ID"")"),"No, however, check in the right corner of the bug description")</f>
        <v>No, however, check in the right corner of the bug description</v>
      </c>
      <c r="D342" s="16" t="s">
        <v>221</v>
      </c>
      <c r="E342" s="16" t="s">
        <v>185</v>
      </c>
      <c r="F342" s="55"/>
      <c r="G342" s="56"/>
      <c r="H342" s="54"/>
      <c r="J342" s="55"/>
      <c r="K342" s="56"/>
    </row>
    <row r="343">
      <c r="A343" s="62" t="s">
        <v>61</v>
      </c>
      <c r="B343" s="50" t="str">
        <f>IFERROR(HYPERLINK(VLOOKUP(A343,Internal_lists_bugs!$A$2:$C$73,3,FALSE()), VLOOKUP(A343,Internal_lists_bugs!$A$2:$C$73,3,FALSE())&amp;Char(10) &amp; Char(10) &amp; VLOOKUP(A343,Internal_lists_bugs!$A$2:$Z$73,26,FALSE())),"please select a BUG ID")</f>
        <v>https://bugs.launchpad.net/nova/+bug/1453274
/libvirt/driver.py</v>
      </c>
      <c r="C343" s="51" t="str">
        <f>IFERROR(__xludf.DUMMYFUNCTION("IFERROR(IF(REGEXMATCH(VLOOKUP(A343,Internal_lists_bugs!$A$2:$R$73,18,FALSE()), ""Yes""), VLOOKUP(A343,Internal_lists_bugs!$A$2:$U$73,21,FALSE()), VLOOKUP(A343,Internal_lists_bugs!$A$2:$R$73,18,FALSE())),""please select a BUG ID"")"),"No, however, check in the right corner of the bug description")</f>
        <v>No, however, check in the right corner of the bug description</v>
      </c>
      <c r="D343" s="16" t="s">
        <v>227</v>
      </c>
      <c r="E343" s="16" t="s">
        <v>144</v>
      </c>
      <c r="F343" s="52" t="s">
        <v>121</v>
      </c>
      <c r="G343" s="56"/>
      <c r="H343" s="16" t="s">
        <v>123</v>
      </c>
      <c r="J343" s="52" t="s">
        <v>123</v>
      </c>
      <c r="K343" s="56"/>
    </row>
    <row r="344">
      <c r="A344" s="62" t="s">
        <v>61</v>
      </c>
      <c r="B344" s="50" t="str">
        <f>IFERROR(HYPERLINK(VLOOKUP(A344,Internal_lists_bugs!$A$2:$C$73,3,FALSE()), VLOOKUP(A344,Internal_lists_bugs!$A$2:$C$73,3,FALSE())&amp;Char(10) &amp; Char(10) &amp; VLOOKUP(A344,Internal_lists_bugs!$A$2:$Z$73,26,FALSE())),"please select a BUG ID")</f>
        <v>https://bugs.launchpad.net/nova/+bug/1453274
/libvirt/driver.py</v>
      </c>
      <c r="C344" s="51" t="str">
        <f>IFERROR(__xludf.DUMMYFUNCTION("IFERROR(IF(REGEXMATCH(VLOOKUP(A344,Internal_lists_bugs!$A$2:$R$73,18,FALSE()), ""Yes""), VLOOKUP(A344,Internal_lists_bugs!$A$2:$U$73,21,FALSE()), VLOOKUP(A344,Internal_lists_bugs!$A$2:$R$73,18,FALSE())),""please select a BUG ID"")"),"No, however, check in the right corner of the bug description")</f>
        <v>No, however, check in the right corner of the bug description</v>
      </c>
      <c r="D344" s="16" t="s">
        <v>119</v>
      </c>
      <c r="E344" s="16" t="s">
        <v>144</v>
      </c>
      <c r="F344" s="55"/>
      <c r="G344" s="56"/>
      <c r="H344" s="54"/>
      <c r="J344" s="55"/>
      <c r="K344" s="56"/>
    </row>
    <row r="345">
      <c r="A345" s="62" t="s">
        <v>61</v>
      </c>
      <c r="B345" s="50" t="str">
        <f>IFERROR(HYPERLINK(VLOOKUP(A345,Internal_lists_bugs!$A$2:$C$73,3,FALSE()), VLOOKUP(A345,Internal_lists_bugs!$A$2:$C$73,3,FALSE())&amp;Char(10) &amp; Char(10) &amp; VLOOKUP(A345,Internal_lists_bugs!$A$2:$Z$73,26,FALSE())),"please select a BUG ID")</f>
        <v>https://bugs.launchpad.net/nova/+bug/1453274
/libvirt/driver.py</v>
      </c>
      <c r="C345" s="51" t="str">
        <f>IFERROR(__xludf.DUMMYFUNCTION("IFERROR(IF(REGEXMATCH(VLOOKUP(A345,Internal_lists_bugs!$A$2:$R$73,18,FALSE()), ""Yes""), VLOOKUP(A345,Internal_lists_bugs!$A$2:$U$73,21,FALSE()), VLOOKUP(A345,Internal_lists_bugs!$A$2:$R$73,18,FALSE())),""please select a BUG ID"")"),"No, however, check in the right corner of the bug description")</f>
        <v>No, however, check in the right corner of the bug description</v>
      </c>
      <c r="D345" s="16" t="s">
        <v>157</v>
      </c>
      <c r="E345" s="16" t="s">
        <v>389</v>
      </c>
      <c r="F345" s="55"/>
      <c r="G345" s="56"/>
      <c r="H345" s="54"/>
      <c r="J345" s="55"/>
      <c r="K345" s="56"/>
    </row>
    <row r="346">
      <c r="A346" s="62" t="s">
        <v>61</v>
      </c>
      <c r="B346" s="50" t="str">
        <f>IFERROR(HYPERLINK(VLOOKUP(A346,Internal_lists_bugs!$A$2:$C$73,3,FALSE()), VLOOKUP(A346,Internal_lists_bugs!$A$2:$C$73,3,FALSE())&amp;Char(10) &amp; Char(10) &amp; VLOOKUP(A346,Internal_lists_bugs!$A$2:$Z$73,26,FALSE())),"please select a BUG ID")</f>
        <v>https://bugs.launchpad.net/nova/+bug/1453274
/libvirt/driver.py</v>
      </c>
      <c r="C346" s="51" t="str">
        <f>IFERROR(__xludf.DUMMYFUNCTION("IFERROR(IF(REGEXMATCH(VLOOKUP(A346,Internal_lists_bugs!$A$2:$R$73,18,FALSE()), ""Yes""), VLOOKUP(A346,Internal_lists_bugs!$A$2:$U$73,21,FALSE()), VLOOKUP(A346,Internal_lists_bugs!$A$2:$R$73,18,FALSE())),""please select a BUG ID"")"),"No, however, check in the right corner of the bug description")</f>
        <v>No, however, check in the right corner of the bug description</v>
      </c>
      <c r="D346" s="16" t="s">
        <v>374</v>
      </c>
      <c r="E346" s="16" t="s">
        <v>399</v>
      </c>
      <c r="F346" s="55"/>
      <c r="G346" s="56"/>
      <c r="H346" s="54"/>
      <c r="J346" s="55"/>
      <c r="K346" s="56"/>
    </row>
    <row r="347">
      <c r="A347" s="62" t="s">
        <v>61</v>
      </c>
      <c r="B347" s="50" t="str">
        <f>IFERROR(HYPERLINK(VLOOKUP(A347,Internal_lists_bugs!$A$2:$C$73,3,FALSE()), VLOOKUP(A347,Internal_lists_bugs!$A$2:$C$73,3,FALSE())&amp;Char(10) &amp; Char(10) &amp; VLOOKUP(A347,Internal_lists_bugs!$A$2:$Z$73,26,FALSE())),"please select a BUG ID")</f>
        <v>https://bugs.launchpad.net/nova/+bug/1453274
/libvirt/driver.py</v>
      </c>
      <c r="C347" s="51" t="str">
        <f>IFERROR(__xludf.DUMMYFUNCTION("IFERROR(IF(REGEXMATCH(VLOOKUP(A347,Internal_lists_bugs!$A$2:$R$73,18,FALSE()), ""Yes""), VLOOKUP(A347,Internal_lists_bugs!$A$2:$U$73,21,FALSE()), VLOOKUP(A347,Internal_lists_bugs!$A$2:$R$73,18,FALSE())),""please select a BUG ID"")"),"No, however, check in the right corner of the bug description")</f>
        <v>No, however, check in the right corner of the bug description</v>
      </c>
      <c r="D347" s="16" t="s">
        <v>400</v>
      </c>
      <c r="E347" s="16" t="s">
        <v>401</v>
      </c>
      <c r="F347" s="55"/>
      <c r="G347" s="56"/>
      <c r="H347" s="54"/>
      <c r="J347" s="55"/>
      <c r="K347" s="56"/>
    </row>
    <row r="348">
      <c r="A348" s="62" t="s">
        <v>61</v>
      </c>
      <c r="B348" s="50" t="str">
        <f>IFERROR(HYPERLINK(VLOOKUP(A348,Internal_lists_bugs!$A$2:$C$73,3,FALSE()), VLOOKUP(A348,Internal_lists_bugs!$A$2:$C$73,3,FALSE())&amp;Char(10) &amp; Char(10) &amp; VLOOKUP(A348,Internal_lists_bugs!$A$2:$Z$73,26,FALSE())),"please select a BUG ID")</f>
        <v>https://bugs.launchpad.net/nova/+bug/1453274
/libvirt/driver.py</v>
      </c>
      <c r="C348" s="51" t="str">
        <f>IFERROR(__xludf.DUMMYFUNCTION("IFERROR(IF(REGEXMATCH(VLOOKUP(A348,Internal_lists_bugs!$A$2:$R$73,18,FALSE()), ""Yes""), VLOOKUP(A348,Internal_lists_bugs!$A$2:$U$73,21,FALSE()), VLOOKUP(A348,Internal_lists_bugs!$A$2:$R$73,18,FALSE())),""please select a BUG ID"")"),"No, however, check in the right corner of the bug description")</f>
        <v>No, however, check in the right corner of the bug description</v>
      </c>
      <c r="D348" s="16" t="s">
        <v>343</v>
      </c>
      <c r="E348" s="16" t="s">
        <v>402</v>
      </c>
      <c r="F348" s="55"/>
      <c r="G348" s="56"/>
      <c r="H348" s="54"/>
      <c r="J348" s="55"/>
      <c r="K348" s="56"/>
    </row>
    <row r="349">
      <c r="A349" s="62" t="s">
        <v>61</v>
      </c>
      <c r="B349" s="50" t="str">
        <f>IFERROR(HYPERLINK(VLOOKUP(A349,Internal_lists_bugs!$A$2:$C$73,3,FALSE()), VLOOKUP(A349,Internal_lists_bugs!$A$2:$C$73,3,FALSE())&amp;Char(10) &amp; Char(10) &amp; VLOOKUP(A349,Internal_lists_bugs!$A$2:$Z$73,26,FALSE())),"please select a BUG ID")</f>
        <v>https://bugs.launchpad.net/nova/+bug/1453274
/libvirt/driver.py</v>
      </c>
      <c r="C349" s="51" t="str">
        <f>IFERROR(__xludf.DUMMYFUNCTION("IFERROR(IF(REGEXMATCH(VLOOKUP(A349,Internal_lists_bugs!$A$2:$R$73,18,FALSE()), ""Yes""), VLOOKUP(A349,Internal_lists_bugs!$A$2:$U$73,21,FALSE()), VLOOKUP(A349,Internal_lists_bugs!$A$2:$R$73,18,FALSE())),""please select a BUG ID"")"),"No, however, check in the right corner of the bug description")</f>
        <v>No, however, check in the right corner of the bug description</v>
      </c>
      <c r="D349" s="16" t="s">
        <v>403</v>
      </c>
      <c r="E349" s="16" t="s">
        <v>404</v>
      </c>
      <c r="F349" s="55"/>
      <c r="G349" s="56"/>
      <c r="H349" s="54"/>
      <c r="J349" s="55"/>
      <c r="K349" s="56"/>
    </row>
    <row r="350">
      <c r="A350" s="62" t="s">
        <v>61</v>
      </c>
      <c r="B350" s="50" t="str">
        <f>IFERROR(HYPERLINK(VLOOKUP(A350,Internal_lists_bugs!$A$2:$C$73,3,FALSE()), VLOOKUP(A350,Internal_lists_bugs!$A$2:$C$73,3,FALSE())&amp;Char(10) &amp; Char(10) &amp; VLOOKUP(A350,Internal_lists_bugs!$A$2:$Z$73,26,FALSE())),"please select a BUG ID")</f>
        <v>https://bugs.launchpad.net/nova/+bug/1453274
/libvirt/driver.py</v>
      </c>
      <c r="C350" s="51" t="str">
        <f>IFERROR(__xludf.DUMMYFUNCTION("IFERROR(IF(REGEXMATCH(VLOOKUP(A350,Internal_lists_bugs!$A$2:$R$73,18,FALSE()), ""Yes""), VLOOKUP(A350,Internal_lists_bugs!$A$2:$U$73,21,FALSE()), VLOOKUP(A350,Internal_lists_bugs!$A$2:$R$73,18,FALSE())),""please select a BUG ID"")"),"No, however, check in the right corner of the bug description")</f>
        <v>No, however, check in the right corner of the bug description</v>
      </c>
      <c r="D350" s="16" t="s">
        <v>405</v>
      </c>
      <c r="E350" s="14" t="s">
        <v>406</v>
      </c>
      <c r="F350" s="55"/>
      <c r="G350" s="56"/>
      <c r="H350" s="54"/>
      <c r="J350" s="55"/>
      <c r="K350" s="56"/>
    </row>
    <row r="351">
      <c r="A351" s="62" t="s">
        <v>61</v>
      </c>
      <c r="B351" s="50" t="str">
        <f>IFERROR(HYPERLINK(VLOOKUP(A351,Internal_lists_bugs!$A$2:$C$73,3,FALSE()), VLOOKUP(A351,Internal_lists_bugs!$A$2:$C$73,3,FALSE())&amp;Char(10) &amp; Char(10) &amp; VLOOKUP(A351,Internal_lists_bugs!$A$2:$Z$73,26,FALSE())),"please select a BUG ID")</f>
        <v>https://bugs.launchpad.net/nova/+bug/1453274
/libvirt/driver.py</v>
      </c>
      <c r="C351" s="51" t="str">
        <f>IFERROR(__xludf.DUMMYFUNCTION("IFERROR(IF(REGEXMATCH(VLOOKUP(A351,Internal_lists_bugs!$A$2:$R$73,18,FALSE()), ""Yes""), VLOOKUP(A351,Internal_lists_bugs!$A$2:$U$73,21,FALSE()), VLOOKUP(A351,Internal_lists_bugs!$A$2:$R$73,18,FALSE())),""please select a BUG ID"")"),"No, however, check in the right corner of the bug description")</f>
        <v>No, however, check in the right corner of the bug description</v>
      </c>
      <c r="D351" s="16" t="s">
        <v>129</v>
      </c>
      <c r="E351" s="16" t="s">
        <v>204</v>
      </c>
      <c r="F351" s="55"/>
      <c r="G351" s="56"/>
      <c r="H351" s="54"/>
      <c r="J351" s="55"/>
      <c r="K351" s="56"/>
    </row>
    <row r="352">
      <c r="A352" s="62" t="s">
        <v>61</v>
      </c>
      <c r="B352" s="50" t="str">
        <f>IFERROR(HYPERLINK(VLOOKUP(A352,Internal_lists_bugs!$A$2:$C$73,3,FALSE()), VLOOKUP(A352,Internal_lists_bugs!$A$2:$C$73,3,FALSE())&amp;Char(10) &amp; Char(10) &amp; VLOOKUP(A352,Internal_lists_bugs!$A$2:$Z$73,26,FALSE())),"please select a BUG ID")</f>
        <v>https://bugs.launchpad.net/nova/+bug/1453274
/libvirt/driver.py</v>
      </c>
      <c r="C352" s="51" t="str">
        <f>IFERROR(__xludf.DUMMYFUNCTION("IFERROR(IF(REGEXMATCH(VLOOKUP(A352,Internal_lists_bugs!$A$2:$R$73,18,FALSE()), ""Yes""), VLOOKUP(A352,Internal_lists_bugs!$A$2:$U$73,21,FALSE()), VLOOKUP(A352,Internal_lists_bugs!$A$2:$R$73,18,FALSE())),""please select a BUG ID"")"),"No, however, check in the right corner of the bug description")</f>
        <v>No, however, check in the right corner of the bug description</v>
      </c>
      <c r="D352" s="16" t="s">
        <v>131</v>
      </c>
      <c r="E352" s="16" t="s">
        <v>205</v>
      </c>
      <c r="F352" s="55"/>
      <c r="G352" s="56"/>
      <c r="H352" s="54"/>
      <c r="J352" s="55"/>
      <c r="K352" s="56"/>
    </row>
    <row r="353">
      <c r="A353" s="62" t="s">
        <v>61</v>
      </c>
      <c r="B353" s="50" t="str">
        <f>IFERROR(HYPERLINK(VLOOKUP(A353,Internal_lists_bugs!$A$2:$C$73,3,FALSE()), VLOOKUP(A353,Internal_lists_bugs!$A$2:$C$73,3,FALSE())&amp;Char(10) &amp; Char(10) &amp; VLOOKUP(A353,Internal_lists_bugs!$A$2:$Z$73,26,FALSE())),"please select a BUG ID")</f>
        <v>https://bugs.launchpad.net/nova/+bug/1453274
/libvirt/driver.py</v>
      </c>
      <c r="C353" s="51" t="str">
        <f>IFERROR(__xludf.DUMMYFUNCTION("IFERROR(IF(REGEXMATCH(VLOOKUP(A353,Internal_lists_bugs!$A$2:$R$73,18,FALSE()), ""Yes""), VLOOKUP(A353,Internal_lists_bugs!$A$2:$U$73,21,FALSE()), VLOOKUP(A353,Internal_lists_bugs!$A$2:$R$73,18,FALSE())),""please select a BUG ID"")"),"No, however, check in the right corner of the bug description")</f>
        <v>No, however, check in the right corner of the bug description</v>
      </c>
      <c r="D353" s="16" t="s">
        <v>153</v>
      </c>
      <c r="E353" s="16" t="s">
        <v>229</v>
      </c>
      <c r="F353" s="55"/>
      <c r="G353" s="56"/>
      <c r="H353" s="54"/>
      <c r="J353" s="55"/>
      <c r="K353" s="56"/>
    </row>
    <row r="354">
      <c r="A354" s="62" t="s">
        <v>61</v>
      </c>
      <c r="B354" s="50" t="str">
        <f>IFERROR(HYPERLINK(VLOOKUP(A354,Internal_lists_bugs!$A$2:$C$73,3,FALSE()), VLOOKUP(A354,Internal_lists_bugs!$A$2:$C$73,3,FALSE())&amp;Char(10) &amp; Char(10) &amp; VLOOKUP(A354,Internal_lists_bugs!$A$2:$Z$73,26,FALSE())),"please select a BUG ID")</f>
        <v>https://bugs.launchpad.net/nova/+bug/1453274
/libvirt/driver.py</v>
      </c>
      <c r="C354" s="51" t="str">
        <f>IFERROR(__xludf.DUMMYFUNCTION("IFERROR(IF(REGEXMATCH(VLOOKUP(A354,Internal_lists_bugs!$A$2:$R$73,18,FALSE()), ""Yes""), VLOOKUP(A354,Internal_lists_bugs!$A$2:$U$73,21,FALSE()), VLOOKUP(A354,Internal_lists_bugs!$A$2:$R$73,18,FALSE())),""please select a BUG ID"")"),"No, however, check in the right corner of the bug description")</f>
        <v>No, however, check in the right corner of the bug description</v>
      </c>
      <c r="D354" s="16" t="s">
        <v>218</v>
      </c>
      <c r="E354" s="16" t="s">
        <v>216</v>
      </c>
      <c r="F354" s="55"/>
      <c r="G354" s="56"/>
      <c r="H354" s="54"/>
      <c r="J354" s="55"/>
      <c r="K354" s="56"/>
    </row>
    <row r="355">
      <c r="A355" s="62" t="s">
        <v>61</v>
      </c>
      <c r="B355" s="50" t="str">
        <f>IFERROR(HYPERLINK(VLOOKUP(A355,Internal_lists_bugs!$A$2:$C$73,3,FALSE()), VLOOKUP(A355,Internal_lists_bugs!$A$2:$C$73,3,FALSE())&amp;Char(10) &amp; Char(10) &amp; VLOOKUP(A355,Internal_lists_bugs!$A$2:$Z$73,26,FALSE())),"please select a BUG ID")</f>
        <v>https://bugs.launchpad.net/nova/+bug/1453274
/libvirt/driver.py</v>
      </c>
      <c r="C355" s="51" t="str">
        <f>IFERROR(__xludf.DUMMYFUNCTION("IFERROR(IF(REGEXMATCH(VLOOKUP(A355,Internal_lists_bugs!$A$2:$R$73,18,FALSE()), ""Yes""), VLOOKUP(A355,Internal_lists_bugs!$A$2:$U$73,21,FALSE()), VLOOKUP(A355,Internal_lists_bugs!$A$2:$R$73,18,FALSE())),""please select a BUG ID"")"),"No, however, check in the right corner of the bug description")</f>
        <v>No, however, check in the right corner of the bug description</v>
      </c>
      <c r="D355" s="16" t="s">
        <v>221</v>
      </c>
      <c r="E355" s="16" t="s">
        <v>217</v>
      </c>
      <c r="F355" s="55"/>
      <c r="G355" s="56"/>
      <c r="H355" s="54"/>
      <c r="J355" s="55"/>
      <c r="K355" s="56"/>
    </row>
    <row r="356">
      <c r="A356" s="62" t="s">
        <v>61</v>
      </c>
      <c r="B356" s="50" t="str">
        <f>IFERROR(HYPERLINK(VLOOKUP(A356,Internal_lists_bugs!$A$2:$C$73,3,FALSE()), VLOOKUP(A356,Internal_lists_bugs!$A$2:$C$73,3,FALSE())&amp;Char(10) &amp; Char(10) &amp; VLOOKUP(A356,Internal_lists_bugs!$A$2:$Z$73,26,FALSE())),"please select a BUG ID")</f>
        <v>https://bugs.launchpad.net/nova/+bug/1453274
/libvirt/driver.py</v>
      </c>
      <c r="C356" s="51" t="str">
        <f>IFERROR(__xludf.DUMMYFUNCTION("IFERROR(IF(REGEXMATCH(VLOOKUP(A356,Internal_lists_bugs!$A$2:$R$73,18,FALSE()), ""Yes""), VLOOKUP(A356,Internal_lists_bugs!$A$2:$U$73,21,FALSE()), VLOOKUP(A356,Internal_lists_bugs!$A$2:$R$73,18,FALSE())),""please select a BUG ID"")"),"No, however, check in the right corner of the bug description")</f>
        <v>No, however, check in the right corner of the bug description</v>
      </c>
      <c r="D356" s="16" t="s">
        <v>155</v>
      </c>
      <c r="E356" s="16" t="s">
        <v>183</v>
      </c>
      <c r="F356" s="55"/>
      <c r="G356" s="56"/>
      <c r="H356" s="54"/>
      <c r="J356" s="55"/>
      <c r="K356" s="56"/>
    </row>
    <row r="357">
      <c r="A357" s="62" t="s">
        <v>62</v>
      </c>
      <c r="B357" s="50" t="str">
        <f>IFERROR(HYPERLINK(VLOOKUP(A357,Internal_lists_bugs!$A$2:$C$73,3,FALSE()), VLOOKUP(A357,Internal_lists_bugs!$A$2:$C$73,3,FALSE())&amp;Char(10) &amp; Char(10) &amp; VLOOKUP(A357,Internal_lists_bugs!$A$2:$Z$73,26,FALSE())),"please select a BUG ID")</f>
        <v>https://bugs.launchpad.net/nova/+bug/1424647
/cmd/baseproxy.py
/cmd/novncproxy.py
/cmd/serialproxy.py
/cmd/spicehtml5proxy.py </v>
      </c>
      <c r="C357" s="51">
        <f>IFERROR(__xludf.DUMMYFUNCTION("IFERROR(IF(REGEXMATCH(VLOOKUP(A357,Internal_lists_bugs!$A$2:$R$73,18,FALSE()), ""Yes""), VLOOKUP(A357,Internal_lists_bugs!$A$2:$U$73,21,FALSE()), VLOOKUP(A357,Internal_lists_bugs!$A$2:$R$73,18,FALSE())),""please select a BUG ID"")"),1425178.0)</f>
        <v>1425178</v>
      </c>
      <c r="D357" s="16" t="s">
        <v>227</v>
      </c>
      <c r="E357" s="16" t="s">
        <v>144</v>
      </c>
      <c r="F357" s="52" t="s">
        <v>121</v>
      </c>
      <c r="G357" s="56"/>
      <c r="H357" s="16" t="s">
        <v>251</v>
      </c>
      <c r="I357" s="54">
        <v>1425178.0</v>
      </c>
      <c r="J357" s="52" t="s">
        <v>123</v>
      </c>
      <c r="K357" s="56"/>
      <c r="L357" s="16">
        <v>1424647.0</v>
      </c>
    </row>
    <row r="358">
      <c r="A358" s="62" t="s">
        <v>62</v>
      </c>
      <c r="B358" s="50" t="str">
        <f>IFERROR(HYPERLINK(VLOOKUP(A358,Internal_lists_bugs!$A$2:$C$73,3,FALSE()), VLOOKUP(A358,Internal_lists_bugs!$A$2:$C$73,3,FALSE())&amp;Char(10) &amp; Char(10) &amp; VLOOKUP(A358,Internal_lists_bugs!$A$2:$Z$73,26,FALSE())),"please select a BUG ID")</f>
        <v>https://bugs.launchpad.net/nova/+bug/1424647
/cmd/baseproxy.py
/cmd/novncproxy.py
/cmd/serialproxy.py
/cmd/spicehtml5proxy.py </v>
      </c>
      <c r="C358" s="51">
        <f>IFERROR(__xludf.DUMMYFUNCTION("IFERROR(IF(REGEXMATCH(VLOOKUP(A358,Internal_lists_bugs!$A$2:$R$73,18,FALSE()), ""Yes""), VLOOKUP(A358,Internal_lists_bugs!$A$2:$U$73,21,FALSE()), VLOOKUP(A358,Internal_lists_bugs!$A$2:$R$73,18,FALSE())),""please select a BUG ID"")"),1425178.0)</f>
        <v>1425178</v>
      </c>
      <c r="D358" s="16" t="s">
        <v>119</v>
      </c>
      <c r="E358" s="16" t="s">
        <v>407</v>
      </c>
      <c r="F358" s="55"/>
      <c r="G358" s="56"/>
      <c r="H358" s="54"/>
      <c r="J358" s="55"/>
      <c r="K358" s="56"/>
      <c r="L358" s="16">
        <v>1424647.0</v>
      </c>
    </row>
    <row r="359">
      <c r="A359" s="62" t="s">
        <v>62</v>
      </c>
      <c r="B359" s="50" t="str">
        <f>IFERROR(HYPERLINK(VLOOKUP(A359,Internal_lists_bugs!$A$2:$C$73,3,FALSE()), VLOOKUP(A359,Internal_lists_bugs!$A$2:$C$73,3,FALSE())&amp;Char(10) &amp; Char(10) &amp; VLOOKUP(A359,Internal_lists_bugs!$A$2:$Z$73,26,FALSE())),"please select a BUG ID")</f>
        <v>https://bugs.launchpad.net/nova/+bug/1424647
/cmd/baseproxy.py
/cmd/novncproxy.py
/cmd/serialproxy.py
/cmd/spicehtml5proxy.py </v>
      </c>
      <c r="C359" s="51">
        <f>IFERROR(__xludf.DUMMYFUNCTION("IFERROR(IF(REGEXMATCH(VLOOKUP(A359,Internal_lists_bugs!$A$2:$R$73,18,FALSE()), ""Yes""), VLOOKUP(A359,Internal_lists_bugs!$A$2:$U$73,21,FALSE()), VLOOKUP(A359,Internal_lists_bugs!$A$2:$R$73,18,FALSE())),""please select a BUG ID"")"),1425178.0)</f>
        <v>1425178</v>
      </c>
      <c r="D359" s="16" t="s">
        <v>408</v>
      </c>
      <c r="E359" s="16" t="s">
        <v>409</v>
      </c>
      <c r="F359" s="55"/>
      <c r="G359" s="56"/>
      <c r="H359" s="54"/>
      <c r="J359" s="55"/>
      <c r="K359" s="56"/>
      <c r="L359" s="16">
        <v>1424647.0</v>
      </c>
    </row>
    <row r="360">
      <c r="A360" s="62" t="s">
        <v>62</v>
      </c>
      <c r="B360" s="50" t="str">
        <f>IFERROR(HYPERLINK(VLOOKUP(A360,Internal_lists_bugs!$A$2:$C$73,3,FALSE()), VLOOKUP(A360,Internal_lists_bugs!$A$2:$C$73,3,FALSE())&amp;Char(10) &amp; Char(10) &amp; VLOOKUP(A360,Internal_lists_bugs!$A$2:$Z$73,26,FALSE())),"please select a BUG ID")</f>
        <v>https://bugs.launchpad.net/nova/+bug/1424647
/cmd/baseproxy.py
/cmd/novncproxy.py
/cmd/serialproxy.py
/cmd/spicehtml5proxy.py </v>
      </c>
      <c r="C360" s="51">
        <f>IFERROR(__xludf.DUMMYFUNCTION("IFERROR(IF(REGEXMATCH(VLOOKUP(A360,Internal_lists_bugs!$A$2:$R$73,18,FALSE()), ""Yes""), VLOOKUP(A360,Internal_lists_bugs!$A$2:$U$73,21,FALSE()), VLOOKUP(A360,Internal_lists_bugs!$A$2:$R$73,18,FALSE())),""please select a BUG ID"")"),1425178.0)</f>
        <v>1425178</v>
      </c>
      <c r="D360" s="16" t="s">
        <v>129</v>
      </c>
      <c r="E360" s="16" t="s">
        <v>204</v>
      </c>
      <c r="F360" s="55"/>
      <c r="G360" s="56"/>
      <c r="H360" s="54"/>
      <c r="J360" s="55"/>
      <c r="K360" s="56"/>
      <c r="L360" s="16">
        <v>1424647.0</v>
      </c>
    </row>
    <row r="361">
      <c r="A361" s="62" t="s">
        <v>62</v>
      </c>
      <c r="B361" s="50" t="str">
        <f>IFERROR(HYPERLINK(VLOOKUP(A361,Internal_lists_bugs!$A$2:$C$73,3,FALSE()), VLOOKUP(A361,Internal_lists_bugs!$A$2:$C$73,3,FALSE())&amp;Char(10) &amp; Char(10) &amp; VLOOKUP(A361,Internal_lists_bugs!$A$2:$Z$73,26,FALSE())),"please select a BUG ID")</f>
        <v>https://bugs.launchpad.net/nova/+bug/1424647
/cmd/baseproxy.py
/cmd/novncproxy.py
/cmd/serialproxy.py
/cmd/spicehtml5proxy.py </v>
      </c>
      <c r="C361" s="51">
        <f>IFERROR(__xludf.DUMMYFUNCTION("IFERROR(IF(REGEXMATCH(VLOOKUP(A361,Internal_lists_bugs!$A$2:$R$73,18,FALSE()), ""Yes""), VLOOKUP(A361,Internal_lists_bugs!$A$2:$U$73,21,FALSE()), VLOOKUP(A361,Internal_lists_bugs!$A$2:$R$73,18,FALSE())),""please select a BUG ID"")"),1425178.0)</f>
        <v>1425178</v>
      </c>
      <c r="D361" s="16" t="s">
        <v>131</v>
      </c>
      <c r="E361" s="16" t="s">
        <v>205</v>
      </c>
      <c r="F361" s="55"/>
      <c r="G361" s="56"/>
      <c r="H361" s="54"/>
      <c r="J361" s="55"/>
      <c r="K361" s="56"/>
      <c r="L361" s="16">
        <v>1424647.0</v>
      </c>
    </row>
    <row r="362">
      <c r="A362" s="62" t="s">
        <v>62</v>
      </c>
      <c r="B362" s="50" t="str">
        <f>IFERROR(HYPERLINK(VLOOKUP(A362,Internal_lists_bugs!$A$2:$C$73,3,FALSE()), VLOOKUP(A362,Internal_lists_bugs!$A$2:$C$73,3,FALSE())&amp;Char(10) &amp; Char(10) &amp; VLOOKUP(A362,Internal_lists_bugs!$A$2:$Z$73,26,FALSE())),"please select a BUG ID")</f>
        <v>https://bugs.launchpad.net/nova/+bug/1424647
/cmd/baseproxy.py
/cmd/novncproxy.py
/cmd/serialproxy.py
/cmd/spicehtml5proxy.py </v>
      </c>
      <c r="C362" s="51">
        <f>IFERROR(__xludf.DUMMYFUNCTION("IFERROR(IF(REGEXMATCH(VLOOKUP(A362,Internal_lists_bugs!$A$2:$R$73,18,FALSE()), ""Yes""), VLOOKUP(A362,Internal_lists_bugs!$A$2:$U$73,21,FALSE()), VLOOKUP(A362,Internal_lists_bugs!$A$2:$R$73,18,FALSE())),""please select a BUG ID"")"),1425178.0)</f>
        <v>1425178</v>
      </c>
      <c r="D362" s="16" t="s">
        <v>134</v>
      </c>
      <c r="E362" s="16" t="s">
        <v>410</v>
      </c>
      <c r="F362" s="52" t="s">
        <v>121</v>
      </c>
      <c r="G362" s="53" t="s">
        <v>163</v>
      </c>
      <c r="H362" s="16" t="s">
        <v>251</v>
      </c>
      <c r="J362" s="55"/>
      <c r="K362" s="56"/>
      <c r="L362" s="54">
        <v>1425178.0</v>
      </c>
    </row>
    <row r="363">
      <c r="A363" s="62" t="s">
        <v>62</v>
      </c>
      <c r="B363" s="50" t="str">
        <f>IFERROR(HYPERLINK(VLOOKUP(A363,Internal_lists_bugs!$A$2:$C$73,3,FALSE()), VLOOKUP(A363,Internal_lists_bugs!$A$2:$C$73,3,FALSE())&amp;Char(10) &amp; Char(10) &amp; VLOOKUP(A363,Internal_lists_bugs!$A$2:$Z$73,26,FALSE())),"please select a BUG ID")</f>
        <v>https://bugs.launchpad.net/nova/+bug/1424647
/cmd/baseproxy.py
/cmd/novncproxy.py
/cmd/serialproxy.py
/cmd/spicehtml5proxy.py </v>
      </c>
      <c r="C363" s="51">
        <f>IFERROR(__xludf.DUMMYFUNCTION("IFERROR(IF(REGEXMATCH(VLOOKUP(A363,Internal_lists_bugs!$A$2:$R$73,18,FALSE()), ""Yes""), VLOOKUP(A363,Internal_lists_bugs!$A$2:$U$73,21,FALSE()), VLOOKUP(A363,Internal_lists_bugs!$A$2:$R$73,18,FALSE())),""please select a BUG ID"")"),1425178.0)</f>
        <v>1425178</v>
      </c>
      <c r="D363" s="16" t="s">
        <v>125</v>
      </c>
      <c r="E363" s="14" t="s">
        <v>411</v>
      </c>
      <c r="F363" s="55"/>
      <c r="G363" s="56"/>
      <c r="H363" s="54"/>
      <c r="J363" s="55"/>
      <c r="K363" s="56"/>
      <c r="L363" s="54">
        <v>1425178.0</v>
      </c>
    </row>
    <row r="364">
      <c r="A364" s="62" t="s">
        <v>62</v>
      </c>
      <c r="B364" s="50" t="str">
        <f>IFERROR(HYPERLINK(VLOOKUP(A364,Internal_lists_bugs!$A$2:$C$73,3,FALSE()), VLOOKUP(A364,Internal_lists_bugs!$A$2:$C$73,3,FALSE())&amp;Char(10) &amp; Char(10) &amp; VLOOKUP(A364,Internal_lists_bugs!$A$2:$Z$73,26,FALSE())),"please select a BUG ID")</f>
        <v>https://bugs.launchpad.net/nova/+bug/1424647
/cmd/baseproxy.py
/cmd/novncproxy.py
/cmd/serialproxy.py
/cmd/spicehtml5proxy.py </v>
      </c>
      <c r="C364" s="51">
        <f>IFERROR(__xludf.DUMMYFUNCTION("IFERROR(IF(REGEXMATCH(VLOOKUP(A364,Internal_lists_bugs!$A$2:$R$73,18,FALSE()), ""Yes""), VLOOKUP(A364,Internal_lists_bugs!$A$2:$U$73,21,FALSE()), VLOOKUP(A364,Internal_lists_bugs!$A$2:$R$73,18,FALSE())),""please select a BUG ID"")"),1425178.0)</f>
        <v>1425178</v>
      </c>
      <c r="D364" s="16" t="s">
        <v>119</v>
      </c>
      <c r="E364" s="16" t="s">
        <v>412</v>
      </c>
      <c r="F364" s="55"/>
      <c r="G364" s="56"/>
      <c r="H364" s="54"/>
      <c r="J364" s="55"/>
      <c r="K364" s="56"/>
      <c r="L364" s="54">
        <v>1425178.0</v>
      </c>
    </row>
    <row r="365">
      <c r="A365" s="62" t="s">
        <v>62</v>
      </c>
      <c r="B365" s="50" t="str">
        <f>IFERROR(HYPERLINK(VLOOKUP(A365,Internal_lists_bugs!$A$2:$C$73,3,FALSE()), VLOOKUP(A365,Internal_lists_bugs!$A$2:$C$73,3,FALSE())&amp;Char(10) &amp; Char(10) &amp; VLOOKUP(A365,Internal_lists_bugs!$A$2:$Z$73,26,FALSE())),"please select a BUG ID")</f>
        <v>https://bugs.launchpad.net/nova/+bug/1424647
/cmd/baseproxy.py
/cmd/novncproxy.py
/cmd/serialproxy.py
/cmd/spicehtml5proxy.py </v>
      </c>
      <c r="C365" s="51">
        <f>IFERROR(__xludf.DUMMYFUNCTION("IFERROR(IF(REGEXMATCH(VLOOKUP(A365,Internal_lists_bugs!$A$2:$R$73,18,FALSE()), ""Yes""), VLOOKUP(A365,Internal_lists_bugs!$A$2:$U$73,21,FALSE()), VLOOKUP(A365,Internal_lists_bugs!$A$2:$R$73,18,FALSE())),""please select a BUG ID"")"),1425178.0)</f>
        <v>1425178</v>
      </c>
      <c r="D365" s="16" t="s">
        <v>343</v>
      </c>
      <c r="E365" s="16" t="s">
        <v>413</v>
      </c>
      <c r="F365" s="55"/>
      <c r="G365" s="56"/>
      <c r="H365" s="54"/>
      <c r="J365" s="55"/>
      <c r="K365" s="56"/>
      <c r="L365" s="54">
        <v>1425178.0</v>
      </c>
    </row>
    <row r="366">
      <c r="A366" s="62" t="s">
        <v>62</v>
      </c>
      <c r="B366" s="50" t="str">
        <f>IFERROR(HYPERLINK(VLOOKUP(A366,Internal_lists_bugs!$A$2:$C$73,3,FALSE()), VLOOKUP(A366,Internal_lists_bugs!$A$2:$C$73,3,FALSE())&amp;Char(10) &amp; Char(10) &amp; VLOOKUP(A366,Internal_lists_bugs!$A$2:$Z$73,26,FALSE())),"please select a BUG ID")</f>
        <v>https://bugs.launchpad.net/nova/+bug/1424647
/cmd/baseproxy.py
/cmd/novncproxy.py
/cmd/serialproxy.py
/cmd/spicehtml5proxy.py </v>
      </c>
      <c r="C366" s="51">
        <f>IFERROR(__xludf.DUMMYFUNCTION("IFERROR(IF(REGEXMATCH(VLOOKUP(A366,Internal_lists_bugs!$A$2:$R$73,18,FALSE()), ""Yes""), VLOOKUP(A366,Internal_lists_bugs!$A$2:$U$73,21,FALSE()), VLOOKUP(A366,Internal_lists_bugs!$A$2:$R$73,18,FALSE())),""please select a BUG ID"")"),1425178.0)</f>
        <v>1425178</v>
      </c>
      <c r="D366" s="16" t="s">
        <v>129</v>
      </c>
      <c r="E366" s="16" t="s">
        <v>414</v>
      </c>
      <c r="F366" s="55"/>
      <c r="G366" s="56"/>
      <c r="H366" s="54"/>
      <c r="J366" s="55"/>
      <c r="K366" s="56"/>
      <c r="L366" s="54">
        <v>1425178.0</v>
      </c>
    </row>
    <row r="367">
      <c r="A367" s="62" t="s">
        <v>62</v>
      </c>
      <c r="B367" s="50" t="str">
        <f>IFERROR(HYPERLINK(VLOOKUP(A367,Internal_lists_bugs!$A$2:$C$73,3,FALSE()), VLOOKUP(A367,Internal_lists_bugs!$A$2:$C$73,3,FALSE())&amp;Char(10) &amp; Char(10) &amp; VLOOKUP(A367,Internal_lists_bugs!$A$2:$Z$73,26,FALSE())),"please select a BUG ID")</f>
        <v>https://bugs.launchpad.net/nova/+bug/1424647
/cmd/baseproxy.py
/cmd/novncproxy.py
/cmd/serialproxy.py
/cmd/spicehtml5proxy.py </v>
      </c>
      <c r="C367" s="51">
        <f>IFERROR(__xludf.DUMMYFUNCTION("IFERROR(IF(REGEXMATCH(VLOOKUP(A367,Internal_lists_bugs!$A$2:$R$73,18,FALSE()), ""Yes""), VLOOKUP(A367,Internal_lists_bugs!$A$2:$U$73,21,FALSE()), VLOOKUP(A367,Internal_lists_bugs!$A$2:$R$73,18,FALSE())),""please select a BUG ID"")"),1425178.0)</f>
        <v>1425178</v>
      </c>
      <c r="D367" s="16" t="s">
        <v>415</v>
      </c>
      <c r="E367" s="16" t="s">
        <v>416</v>
      </c>
      <c r="F367" s="55"/>
      <c r="G367" s="56"/>
      <c r="H367" s="54"/>
      <c r="J367" s="55"/>
      <c r="K367" s="56"/>
      <c r="L367" s="54">
        <v>1425178.0</v>
      </c>
    </row>
    <row r="368">
      <c r="A368" s="62" t="s">
        <v>62</v>
      </c>
      <c r="B368" s="50" t="str">
        <f>IFERROR(HYPERLINK(VLOOKUP(A368,Internal_lists_bugs!$A$2:$C$73,3,FALSE()), VLOOKUP(A368,Internal_lists_bugs!$A$2:$C$73,3,FALSE())&amp;Char(10) &amp; Char(10) &amp; VLOOKUP(A368,Internal_lists_bugs!$A$2:$Z$73,26,FALSE())),"please select a BUG ID")</f>
        <v>https://bugs.launchpad.net/nova/+bug/1424647
/cmd/baseproxy.py
/cmd/novncproxy.py
/cmd/serialproxy.py
/cmd/spicehtml5proxy.py </v>
      </c>
      <c r="C368" s="51">
        <f>IFERROR(__xludf.DUMMYFUNCTION("IFERROR(IF(REGEXMATCH(VLOOKUP(A368,Internal_lists_bugs!$A$2:$R$73,18,FALSE()), ""Yes""), VLOOKUP(A368,Internal_lists_bugs!$A$2:$U$73,21,FALSE()), VLOOKUP(A368,Internal_lists_bugs!$A$2:$R$73,18,FALSE())),""please select a BUG ID"")"),1425178.0)</f>
        <v>1425178</v>
      </c>
      <c r="D368" s="16" t="s">
        <v>236</v>
      </c>
      <c r="E368" s="16" t="s">
        <v>416</v>
      </c>
      <c r="F368" s="55"/>
      <c r="G368" s="56"/>
      <c r="H368" s="54"/>
      <c r="J368" s="55"/>
      <c r="K368" s="56"/>
      <c r="L368" s="54">
        <v>1425178.0</v>
      </c>
    </row>
    <row r="369">
      <c r="A369" s="62" t="s">
        <v>63</v>
      </c>
      <c r="B369" s="50" t="str">
        <f>IFERROR(HYPERLINK(VLOOKUP(A369,Internal_lists_bugs!$A$2:$C$73,3,FALSE()), VLOOKUP(A369,Internal_lists_bugs!$A$2:$C$73,3,FALSE())&amp;Char(10) &amp; Char(10) &amp; VLOOKUP(A369,Internal_lists_bugs!$A$2:$Z$73,26,FALSE())),"please select a BUG ID")</f>
        <v>https://bugs.launchpad.net/nova/+bug/1443970
/network/manager.py</v>
      </c>
      <c r="C369" s="51">
        <f>IFERROR(__xludf.DUMMYFUNCTION("IFERROR(IF(REGEXMATCH(VLOOKUP(A369,Internal_lists_bugs!$A$2:$R$73,18,FALSE()), ""Yes""), VLOOKUP(A369,Internal_lists_bugs!$A$2:$U$73,21,FALSE()), VLOOKUP(A369,Internal_lists_bugs!$A$2:$R$73,18,FALSE())),""please select a BUG ID"")"),1456321.0)</f>
        <v>1456321</v>
      </c>
      <c r="D369" s="16" t="s">
        <v>119</v>
      </c>
      <c r="E369" s="16" t="s">
        <v>144</v>
      </c>
      <c r="F369" s="52" t="s">
        <v>417</v>
      </c>
      <c r="G369" s="56"/>
      <c r="H369" s="16" t="s">
        <v>251</v>
      </c>
      <c r="I369" s="16">
        <v>1456321.0</v>
      </c>
      <c r="J369" s="52" t="s">
        <v>123</v>
      </c>
      <c r="K369" s="56"/>
      <c r="L369" s="16">
        <v>1443970.0</v>
      </c>
    </row>
    <row r="370">
      <c r="A370" s="62" t="s">
        <v>63</v>
      </c>
      <c r="B370" s="50" t="str">
        <f>IFERROR(HYPERLINK(VLOOKUP(A370,Internal_lists_bugs!$A$2:$C$73,3,FALSE()), VLOOKUP(A370,Internal_lists_bugs!$A$2:$C$73,3,FALSE())&amp;Char(10) &amp; Char(10) &amp; VLOOKUP(A370,Internal_lists_bugs!$A$2:$Z$73,26,FALSE())),"please select a BUG ID")</f>
        <v>https://bugs.launchpad.net/nova/+bug/1443970
/network/manager.py</v>
      </c>
      <c r="C370" s="51">
        <f>IFERROR(__xludf.DUMMYFUNCTION("IFERROR(IF(REGEXMATCH(VLOOKUP(A370,Internal_lists_bugs!$A$2:$R$73,18,FALSE()), ""Yes""), VLOOKUP(A370,Internal_lists_bugs!$A$2:$U$73,21,FALSE()), VLOOKUP(A370,Internal_lists_bugs!$A$2:$R$73,18,FALSE())),""please select a BUG ID"")"),1456321.0)</f>
        <v>1456321</v>
      </c>
      <c r="D370" s="16" t="s">
        <v>149</v>
      </c>
      <c r="E370" s="16" t="s">
        <v>418</v>
      </c>
      <c r="F370" s="55"/>
      <c r="G370" s="56"/>
      <c r="H370" s="54"/>
      <c r="J370" s="55"/>
      <c r="K370" s="56"/>
      <c r="L370" s="16">
        <v>1443970.0</v>
      </c>
    </row>
    <row r="371">
      <c r="A371" s="62" t="s">
        <v>63</v>
      </c>
      <c r="B371" s="50" t="str">
        <f>IFERROR(HYPERLINK(VLOOKUP(A371,Internal_lists_bugs!$A$2:$C$73,3,FALSE()), VLOOKUP(A371,Internal_lists_bugs!$A$2:$C$73,3,FALSE())&amp;Char(10) &amp; Char(10) &amp; VLOOKUP(A371,Internal_lists_bugs!$A$2:$Z$73,26,FALSE())),"please select a BUG ID")</f>
        <v>https://bugs.launchpad.net/nova/+bug/1443970
/network/manager.py</v>
      </c>
      <c r="C371" s="51">
        <f>IFERROR(__xludf.DUMMYFUNCTION("IFERROR(IF(REGEXMATCH(VLOOKUP(A371,Internal_lists_bugs!$A$2:$R$73,18,FALSE()), ""Yes""), VLOOKUP(A371,Internal_lists_bugs!$A$2:$U$73,21,FALSE()), VLOOKUP(A371,Internal_lists_bugs!$A$2:$R$73,18,FALSE())),""please select a BUG ID"")"),1456321.0)</f>
        <v>1456321</v>
      </c>
      <c r="D371" s="16" t="s">
        <v>119</v>
      </c>
      <c r="E371" s="16" t="s">
        <v>419</v>
      </c>
      <c r="F371" s="55"/>
      <c r="G371" s="56"/>
      <c r="H371" s="54"/>
      <c r="J371" s="55"/>
      <c r="K371" s="56"/>
      <c r="L371" s="16">
        <v>1443970.0</v>
      </c>
    </row>
    <row r="372">
      <c r="A372" s="62" t="s">
        <v>63</v>
      </c>
      <c r="B372" s="50" t="str">
        <f>IFERROR(HYPERLINK(VLOOKUP(A372,Internal_lists_bugs!$A$2:$C$73,3,FALSE()), VLOOKUP(A372,Internal_lists_bugs!$A$2:$C$73,3,FALSE())&amp;Char(10) &amp; Char(10) &amp; VLOOKUP(A372,Internal_lists_bugs!$A$2:$Z$73,26,FALSE())),"please select a BUG ID")</f>
        <v>https://bugs.launchpad.net/nova/+bug/1443970
/network/manager.py</v>
      </c>
      <c r="C372" s="51">
        <f>IFERROR(__xludf.DUMMYFUNCTION("IFERROR(IF(REGEXMATCH(VLOOKUP(A372,Internal_lists_bugs!$A$2:$R$73,18,FALSE()), ""Yes""), VLOOKUP(A372,Internal_lists_bugs!$A$2:$U$73,21,FALSE()), VLOOKUP(A372,Internal_lists_bugs!$A$2:$R$73,18,FALSE())),""please select a BUG ID"")"),1456321.0)</f>
        <v>1456321</v>
      </c>
      <c r="D372" s="16" t="s">
        <v>400</v>
      </c>
      <c r="E372" s="16" t="s">
        <v>420</v>
      </c>
      <c r="F372" s="55"/>
      <c r="G372" s="56"/>
      <c r="H372" s="54"/>
      <c r="J372" s="55"/>
      <c r="K372" s="56"/>
      <c r="L372" s="16">
        <v>1443970.0</v>
      </c>
    </row>
    <row r="373">
      <c r="A373" s="62" t="s">
        <v>63</v>
      </c>
      <c r="B373" s="50" t="str">
        <f>IFERROR(HYPERLINK(VLOOKUP(A373,Internal_lists_bugs!$A$2:$C$73,3,FALSE()), VLOOKUP(A373,Internal_lists_bugs!$A$2:$C$73,3,FALSE())&amp;Char(10) &amp; Char(10) &amp; VLOOKUP(A373,Internal_lists_bugs!$A$2:$Z$73,26,FALSE())),"please select a BUG ID")</f>
        <v>https://bugs.launchpad.net/nova/+bug/1443970
/network/manager.py</v>
      </c>
      <c r="C373" s="51">
        <f>IFERROR(__xludf.DUMMYFUNCTION("IFERROR(IF(REGEXMATCH(VLOOKUP(A373,Internal_lists_bugs!$A$2:$R$73,18,FALSE()), ""Yes""), VLOOKUP(A373,Internal_lists_bugs!$A$2:$U$73,21,FALSE()), VLOOKUP(A373,Internal_lists_bugs!$A$2:$R$73,18,FALSE())),""please select a BUG ID"")"),1456321.0)</f>
        <v>1456321</v>
      </c>
      <c r="D373" s="16" t="s">
        <v>129</v>
      </c>
      <c r="E373" s="16" t="s">
        <v>204</v>
      </c>
      <c r="F373" s="55"/>
      <c r="G373" s="56"/>
      <c r="H373" s="54"/>
      <c r="J373" s="55"/>
      <c r="K373" s="56"/>
      <c r="L373" s="16">
        <v>1443970.0</v>
      </c>
    </row>
    <row r="374">
      <c r="A374" s="62" t="s">
        <v>63</v>
      </c>
      <c r="B374" s="50" t="str">
        <f>IFERROR(HYPERLINK(VLOOKUP(A374,Internal_lists_bugs!$A$2:$C$73,3,FALSE()), VLOOKUP(A374,Internal_lists_bugs!$A$2:$C$73,3,FALSE())&amp;Char(10) &amp; Char(10) &amp; VLOOKUP(A374,Internal_lists_bugs!$A$2:$Z$73,26,FALSE())),"please select a BUG ID")</f>
        <v>https://bugs.launchpad.net/nova/+bug/1443970
/network/manager.py</v>
      </c>
      <c r="C374" s="51">
        <f>IFERROR(__xludf.DUMMYFUNCTION("IFERROR(IF(REGEXMATCH(VLOOKUP(A374,Internal_lists_bugs!$A$2:$R$73,18,FALSE()), ""Yes""), VLOOKUP(A374,Internal_lists_bugs!$A$2:$U$73,21,FALSE()), VLOOKUP(A374,Internal_lists_bugs!$A$2:$R$73,18,FALSE())),""please select a BUG ID"")"),1456321.0)</f>
        <v>1456321</v>
      </c>
      <c r="D374" s="16" t="s">
        <v>131</v>
      </c>
      <c r="E374" s="16" t="s">
        <v>205</v>
      </c>
      <c r="F374" s="55"/>
      <c r="G374" s="56"/>
      <c r="H374" s="54"/>
      <c r="J374" s="55"/>
      <c r="K374" s="56"/>
      <c r="L374" s="16">
        <v>1443970.0</v>
      </c>
    </row>
    <row r="375">
      <c r="A375" s="62" t="s">
        <v>63</v>
      </c>
      <c r="B375" s="50" t="str">
        <f>IFERROR(HYPERLINK(VLOOKUP(A375,Internal_lists_bugs!$A$2:$C$73,3,FALSE()), VLOOKUP(A375,Internal_lists_bugs!$A$2:$C$73,3,FALSE())&amp;Char(10) &amp; Char(10) &amp; VLOOKUP(A375,Internal_lists_bugs!$A$2:$Z$73,26,FALSE())),"please select a BUG ID")</f>
        <v>https://bugs.launchpad.net/nova/+bug/1443970
/network/manager.py</v>
      </c>
      <c r="C375" s="51">
        <f>IFERROR(__xludf.DUMMYFUNCTION("IFERROR(IF(REGEXMATCH(VLOOKUP(A375,Internal_lists_bugs!$A$2:$R$73,18,FALSE()), ""Yes""), VLOOKUP(A375,Internal_lists_bugs!$A$2:$U$73,21,FALSE()), VLOOKUP(A375,Internal_lists_bugs!$A$2:$R$73,18,FALSE())),""please select a BUG ID"")"),1456321.0)</f>
        <v>1456321</v>
      </c>
      <c r="D375" s="16" t="s">
        <v>153</v>
      </c>
      <c r="E375" s="16" t="s">
        <v>229</v>
      </c>
      <c r="F375" s="55"/>
      <c r="G375" s="56"/>
      <c r="H375" s="54"/>
      <c r="J375" s="55"/>
      <c r="K375" s="56"/>
      <c r="L375" s="16">
        <v>1443970.0</v>
      </c>
    </row>
    <row r="376">
      <c r="A376" s="62" t="s">
        <v>63</v>
      </c>
      <c r="B376" s="50" t="str">
        <f>IFERROR(HYPERLINK(VLOOKUP(A376,Internal_lists_bugs!$A$2:$C$73,3,FALSE()), VLOOKUP(A376,Internal_lists_bugs!$A$2:$C$73,3,FALSE())&amp;Char(10) &amp; Char(10) &amp; VLOOKUP(A376,Internal_lists_bugs!$A$2:$Z$73,26,FALSE())),"please select a BUG ID")</f>
        <v>https://bugs.launchpad.net/nova/+bug/1443970
/network/manager.py</v>
      </c>
      <c r="C376" s="51">
        <f>IFERROR(__xludf.DUMMYFUNCTION("IFERROR(IF(REGEXMATCH(VLOOKUP(A376,Internal_lists_bugs!$A$2:$R$73,18,FALSE()), ""Yes""), VLOOKUP(A376,Internal_lists_bugs!$A$2:$U$73,21,FALSE()), VLOOKUP(A376,Internal_lists_bugs!$A$2:$R$73,18,FALSE())),""please select a BUG ID"")"),1456321.0)</f>
        <v>1456321</v>
      </c>
      <c r="D376" s="16" t="s">
        <v>155</v>
      </c>
      <c r="E376" s="16" t="s">
        <v>216</v>
      </c>
      <c r="F376" s="55"/>
      <c r="G376" s="56"/>
      <c r="H376" s="54"/>
      <c r="J376" s="55"/>
      <c r="K376" s="56"/>
      <c r="L376" s="16">
        <v>1443970.0</v>
      </c>
    </row>
    <row r="377">
      <c r="A377" s="62" t="s">
        <v>63</v>
      </c>
      <c r="B377" s="50" t="str">
        <f>IFERROR(HYPERLINK(VLOOKUP(A377,Internal_lists_bugs!$A$2:$C$73,3,FALSE()), VLOOKUP(A377,Internal_lists_bugs!$A$2:$C$73,3,FALSE())&amp;Char(10) &amp; Char(10) &amp; VLOOKUP(A377,Internal_lists_bugs!$A$2:$Z$73,26,FALSE())),"please select a BUG ID")</f>
        <v>https://bugs.launchpad.net/nova/+bug/1443970
/network/manager.py</v>
      </c>
      <c r="C377" s="51">
        <f>IFERROR(__xludf.DUMMYFUNCTION("IFERROR(IF(REGEXMATCH(VLOOKUP(A377,Internal_lists_bugs!$A$2:$R$73,18,FALSE()), ""Yes""), VLOOKUP(A377,Internal_lists_bugs!$A$2:$U$73,21,FALSE()), VLOOKUP(A377,Internal_lists_bugs!$A$2:$R$73,18,FALSE())),""please select a BUG ID"")"),1456321.0)</f>
        <v>1456321</v>
      </c>
      <c r="D377" s="16" t="s">
        <v>119</v>
      </c>
      <c r="E377" s="16" t="s">
        <v>421</v>
      </c>
      <c r="F377" s="55"/>
      <c r="G377" s="56"/>
      <c r="H377" s="54"/>
      <c r="J377" s="55"/>
      <c r="K377" s="56"/>
      <c r="L377" s="16">
        <v>1443970.0</v>
      </c>
    </row>
    <row r="378">
      <c r="A378" s="62" t="s">
        <v>63</v>
      </c>
      <c r="B378" s="50" t="str">
        <f>IFERROR(HYPERLINK(VLOOKUP(A378,Internal_lists_bugs!$A$2:$C$73,3,FALSE()), VLOOKUP(A378,Internal_lists_bugs!$A$2:$C$73,3,FALSE())&amp;Char(10) &amp; Char(10) &amp; VLOOKUP(A378,Internal_lists_bugs!$A$2:$Z$73,26,FALSE())),"please select a BUG ID")</f>
        <v>https://bugs.launchpad.net/nova/+bug/1443970
/network/manager.py</v>
      </c>
      <c r="C378" s="51">
        <f>IFERROR(__xludf.DUMMYFUNCTION("IFERROR(IF(REGEXMATCH(VLOOKUP(A378,Internal_lists_bugs!$A$2:$R$73,18,FALSE()), ""Yes""), VLOOKUP(A378,Internal_lists_bugs!$A$2:$U$73,21,FALSE()), VLOOKUP(A378,Internal_lists_bugs!$A$2:$R$73,18,FALSE())),""please select a BUG ID"")"),1456321.0)</f>
        <v>1456321</v>
      </c>
      <c r="D378" s="16" t="s">
        <v>403</v>
      </c>
      <c r="E378" s="16" t="s">
        <v>422</v>
      </c>
      <c r="F378" s="52" t="s">
        <v>417</v>
      </c>
      <c r="G378" s="53" t="s">
        <v>163</v>
      </c>
      <c r="H378" s="16" t="s">
        <v>251</v>
      </c>
      <c r="J378" s="55"/>
      <c r="K378" s="56"/>
      <c r="L378" s="54">
        <v>1456321.0</v>
      </c>
    </row>
    <row r="379">
      <c r="A379" s="62" t="s">
        <v>63</v>
      </c>
      <c r="B379" s="50" t="str">
        <f>IFERROR(HYPERLINK(VLOOKUP(A379,Internal_lists_bugs!$A$2:$C$73,3,FALSE()), VLOOKUP(A379,Internal_lists_bugs!$A$2:$C$73,3,FALSE())&amp;Char(10) &amp; Char(10) &amp; VLOOKUP(A379,Internal_lists_bugs!$A$2:$Z$73,26,FALSE())),"please select a BUG ID")</f>
        <v>https://bugs.launchpad.net/nova/+bug/1443970
/network/manager.py</v>
      </c>
      <c r="C379" s="51">
        <f>IFERROR(__xludf.DUMMYFUNCTION("IFERROR(IF(REGEXMATCH(VLOOKUP(A379,Internal_lists_bugs!$A$2:$R$73,18,FALSE()), ""Yes""), VLOOKUP(A379,Internal_lists_bugs!$A$2:$U$73,21,FALSE()), VLOOKUP(A379,Internal_lists_bugs!$A$2:$R$73,18,FALSE())),""please select a BUG ID"")"),1456321.0)</f>
        <v>1456321</v>
      </c>
      <c r="D379" s="16" t="s">
        <v>423</v>
      </c>
      <c r="E379" s="16" t="s">
        <v>424</v>
      </c>
      <c r="F379" s="55"/>
      <c r="G379" s="56"/>
      <c r="H379" s="54"/>
      <c r="J379" s="55"/>
      <c r="K379" s="56"/>
      <c r="L379" s="54">
        <v>1456321.0</v>
      </c>
    </row>
    <row r="380">
      <c r="A380" s="62" t="s">
        <v>63</v>
      </c>
      <c r="B380" s="50" t="str">
        <f>IFERROR(HYPERLINK(VLOOKUP(A380,Internal_lists_bugs!$A$2:$C$73,3,FALSE()), VLOOKUP(A380,Internal_lists_bugs!$A$2:$C$73,3,FALSE())&amp;Char(10) &amp; Char(10) &amp; VLOOKUP(A380,Internal_lists_bugs!$A$2:$Z$73,26,FALSE())),"please select a BUG ID")</f>
        <v>https://bugs.launchpad.net/nova/+bug/1443970
/network/manager.py</v>
      </c>
      <c r="C380" s="51">
        <f>IFERROR(__xludf.DUMMYFUNCTION("IFERROR(IF(REGEXMATCH(VLOOKUP(A380,Internal_lists_bugs!$A$2:$R$73,18,FALSE()), ""Yes""), VLOOKUP(A380,Internal_lists_bugs!$A$2:$U$73,21,FALSE()), VLOOKUP(A380,Internal_lists_bugs!$A$2:$R$73,18,FALSE())),""please select a BUG ID"")"),1456321.0)</f>
        <v>1456321</v>
      </c>
      <c r="D380" s="16" t="s">
        <v>425</v>
      </c>
      <c r="E380" s="16" t="s">
        <v>426</v>
      </c>
      <c r="F380" s="55"/>
      <c r="G380" s="56"/>
      <c r="H380" s="54"/>
      <c r="J380" s="55"/>
      <c r="K380" s="56"/>
      <c r="L380" s="54">
        <v>1456321.0</v>
      </c>
    </row>
    <row r="381">
      <c r="A381" s="62" t="s">
        <v>63</v>
      </c>
      <c r="B381" s="50" t="str">
        <f>IFERROR(HYPERLINK(VLOOKUP(A381,Internal_lists_bugs!$A$2:$C$73,3,FALSE()), VLOOKUP(A381,Internal_lists_bugs!$A$2:$C$73,3,FALSE())&amp;Char(10) &amp; Char(10) &amp; VLOOKUP(A381,Internal_lists_bugs!$A$2:$Z$73,26,FALSE())),"please select a BUG ID")</f>
        <v>https://bugs.launchpad.net/nova/+bug/1443970
/network/manager.py</v>
      </c>
      <c r="C381" s="51">
        <f>IFERROR(__xludf.DUMMYFUNCTION("IFERROR(IF(REGEXMATCH(VLOOKUP(A381,Internal_lists_bugs!$A$2:$R$73,18,FALSE()), ""Yes""), VLOOKUP(A381,Internal_lists_bugs!$A$2:$U$73,21,FALSE()), VLOOKUP(A381,Internal_lists_bugs!$A$2:$R$73,18,FALSE())),""please select a BUG ID"")"),1456321.0)</f>
        <v>1456321</v>
      </c>
      <c r="D381" s="16" t="s">
        <v>149</v>
      </c>
      <c r="E381" s="16" t="s">
        <v>427</v>
      </c>
      <c r="F381" s="55"/>
      <c r="G381" s="56"/>
      <c r="H381" s="54"/>
      <c r="J381" s="55"/>
      <c r="K381" s="56"/>
      <c r="L381" s="54">
        <v>1456321.0</v>
      </c>
    </row>
    <row r="382">
      <c r="A382" s="62" t="s">
        <v>63</v>
      </c>
      <c r="B382" s="50" t="str">
        <f>IFERROR(HYPERLINK(VLOOKUP(A382,Internal_lists_bugs!$A$2:$C$73,3,FALSE()), VLOOKUP(A382,Internal_lists_bugs!$A$2:$C$73,3,FALSE())&amp;Char(10) &amp; Char(10) &amp; VLOOKUP(A382,Internal_lists_bugs!$A$2:$Z$73,26,FALSE())),"please select a BUG ID")</f>
        <v>https://bugs.launchpad.net/nova/+bug/1443970
/network/manager.py</v>
      </c>
      <c r="C382" s="51">
        <f>IFERROR(__xludf.DUMMYFUNCTION("IFERROR(IF(REGEXMATCH(VLOOKUP(A382,Internal_lists_bugs!$A$2:$R$73,18,FALSE()), ""Yes""), VLOOKUP(A382,Internal_lists_bugs!$A$2:$U$73,21,FALSE()), VLOOKUP(A382,Internal_lists_bugs!$A$2:$R$73,18,FALSE())),""please select a BUG ID"")"),1456321.0)</f>
        <v>1456321</v>
      </c>
      <c r="D382" s="16" t="s">
        <v>119</v>
      </c>
      <c r="E382" s="16" t="s">
        <v>428</v>
      </c>
      <c r="F382" s="55"/>
      <c r="G382" s="56"/>
      <c r="H382" s="54"/>
      <c r="J382" s="55"/>
      <c r="K382" s="56"/>
      <c r="L382" s="54">
        <v>1456321.0</v>
      </c>
    </row>
    <row r="383">
      <c r="A383" s="62" t="s">
        <v>63</v>
      </c>
      <c r="B383" s="50" t="str">
        <f>IFERROR(HYPERLINK(VLOOKUP(A383,Internal_lists_bugs!$A$2:$C$73,3,FALSE()), VLOOKUP(A383,Internal_lists_bugs!$A$2:$C$73,3,FALSE())&amp;Char(10) &amp; Char(10) &amp; VLOOKUP(A383,Internal_lists_bugs!$A$2:$Z$73,26,FALSE())),"please select a BUG ID")</f>
        <v>https://bugs.launchpad.net/nova/+bug/1443970
/network/manager.py</v>
      </c>
      <c r="C383" s="51">
        <f>IFERROR(__xludf.DUMMYFUNCTION("IFERROR(IF(REGEXMATCH(VLOOKUP(A383,Internal_lists_bugs!$A$2:$R$73,18,FALSE()), ""Yes""), VLOOKUP(A383,Internal_lists_bugs!$A$2:$U$73,21,FALSE()), VLOOKUP(A383,Internal_lists_bugs!$A$2:$R$73,18,FALSE())),""please select a BUG ID"")"),1456321.0)</f>
        <v>1456321</v>
      </c>
      <c r="D383" s="16" t="s">
        <v>429</v>
      </c>
      <c r="E383" s="16" t="s">
        <v>430</v>
      </c>
      <c r="F383" s="55"/>
      <c r="G383" s="56"/>
      <c r="H383" s="54"/>
      <c r="J383" s="55"/>
      <c r="K383" s="56"/>
      <c r="L383" s="54">
        <v>1456321.0</v>
      </c>
    </row>
    <row r="384">
      <c r="A384" s="62" t="s">
        <v>63</v>
      </c>
      <c r="B384" s="50" t="str">
        <f>IFERROR(HYPERLINK(VLOOKUP(A384,Internal_lists_bugs!$A$2:$C$73,3,FALSE()), VLOOKUP(A384,Internal_lists_bugs!$A$2:$C$73,3,FALSE())&amp;Char(10) &amp; Char(10) &amp; VLOOKUP(A384,Internal_lists_bugs!$A$2:$Z$73,26,FALSE())),"please select a BUG ID")</f>
        <v>https://bugs.launchpad.net/nova/+bug/1443970
/network/manager.py</v>
      </c>
      <c r="C384" s="51">
        <f>IFERROR(__xludf.DUMMYFUNCTION("IFERROR(IF(REGEXMATCH(VLOOKUP(A384,Internal_lists_bugs!$A$2:$R$73,18,FALSE()), ""Yes""), VLOOKUP(A384,Internal_lists_bugs!$A$2:$U$73,21,FALSE()), VLOOKUP(A384,Internal_lists_bugs!$A$2:$R$73,18,FALSE())),""please select a BUG ID"")"),1456321.0)</f>
        <v>1456321</v>
      </c>
      <c r="D384" s="16" t="s">
        <v>137</v>
      </c>
      <c r="E384" s="16" t="s">
        <v>275</v>
      </c>
      <c r="F384" s="55"/>
      <c r="G384" s="56"/>
      <c r="H384" s="54"/>
      <c r="J384" s="55"/>
      <c r="K384" s="56"/>
      <c r="L384" s="54">
        <v>1456321.0</v>
      </c>
    </row>
    <row r="385">
      <c r="A385" s="62" t="s">
        <v>63</v>
      </c>
      <c r="B385" s="50" t="str">
        <f>IFERROR(HYPERLINK(VLOOKUP(A385,Internal_lists_bugs!$A$2:$C$73,3,FALSE()), VLOOKUP(A385,Internal_lists_bugs!$A$2:$C$73,3,FALSE())&amp;Char(10) &amp; Char(10) &amp; VLOOKUP(A385,Internal_lists_bugs!$A$2:$Z$73,26,FALSE())),"please select a BUG ID")</f>
        <v>https://bugs.launchpad.net/nova/+bug/1443970
/network/manager.py</v>
      </c>
      <c r="C385" s="51">
        <f>IFERROR(__xludf.DUMMYFUNCTION("IFERROR(IF(REGEXMATCH(VLOOKUP(A385,Internal_lists_bugs!$A$2:$R$73,18,FALSE()), ""Yes""), VLOOKUP(A385,Internal_lists_bugs!$A$2:$U$73,21,FALSE()), VLOOKUP(A385,Internal_lists_bugs!$A$2:$R$73,18,FALSE())),""please select a BUG ID"")"),1456321.0)</f>
        <v>1456321</v>
      </c>
      <c r="D385" s="16" t="s">
        <v>153</v>
      </c>
      <c r="E385" s="16" t="s">
        <v>277</v>
      </c>
      <c r="F385" s="55"/>
      <c r="G385" s="56"/>
      <c r="H385" s="54"/>
      <c r="J385" s="55"/>
      <c r="K385" s="56"/>
      <c r="L385" s="54">
        <v>1456321.0</v>
      </c>
    </row>
    <row r="386">
      <c r="A386" s="62" t="s">
        <v>63</v>
      </c>
      <c r="B386" s="50" t="str">
        <f>IFERROR(HYPERLINK(VLOOKUP(A386,Internal_lists_bugs!$A$2:$C$73,3,FALSE()), VLOOKUP(A386,Internal_lists_bugs!$A$2:$C$73,3,FALSE())&amp;Char(10) &amp; Char(10) &amp; VLOOKUP(A386,Internal_lists_bugs!$A$2:$Z$73,26,FALSE())),"please select a BUG ID")</f>
        <v>https://bugs.launchpad.net/nova/+bug/1443970
/network/manager.py</v>
      </c>
      <c r="C386" s="51">
        <f>IFERROR(__xludf.DUMMYFUNCTION("IFERROR(IF(REGEXMATCH(VLOOKUP(A386,Internal_lists_bugs!$A$2:$R$73,18,FALSE()), ""Yes""), VLOOKUP(A386,Internal_lists_bugs!$A$2:$U$73,21,FALSE()), VLOOKUP(A386,Internal_lists_bugs!$A$2:$R$73,18,FALSE())),""please select a BUG ID"")"),1456321.0)</f>
        <v>1456321</v>
      </c>
      <c r="D386" s="16" t="s">
        <v>129</v>
      </c>
      <c r="E386" s="16" t="s">
        <v>279</v>
      </c>
      <c r="F386" s="55"/>
      <c r="G386" s="56"/>
      <c r="H386" s="54"/>
      <c r="J386" s="55"/>
      <c r="K386" s="56"/>
      <c r="L386" s="54">
        <v>1456321.0</v>
      </c>
    </row>
    <row r="387">
      <c r="A387" s="62" t="s">
        <v>63</v>
      </c>
      <c r="B387" s="50" t="str">
        <f>IFERROR(HYPERLINK(VLOOKUP(A387,Internal_lists_bugs!$A$2:$C$73,3,FALSE()), VLOOKUP(A387,Internal_lists_bugs!$A$2:$C$73,3,FALSE())&amp;Char(10) &amp; Char(10) &amp; VLOOKUP(A387,Internal_lists_bugs!$A$2:$Z$73,26,FALSE())),"please select a BUG ID")</f>
        <v>https://bugs.launchpad.net/nova/+bug/1443970
/network/manager.py</v>
      </c>
      <c r="C387" s="51">
        <f>IFERROR(__xludf.DUMMYFUNCTION("IFERROR(IF(REGEXMATCH(VLOOKUP(A387,Internal_lists_bugs!$A$2:$R$73,18,FALSE()), ""Yes""), VLOOKUP(A387,Internal_lists_bugs!$A$2:$U$73,21,FALSE()), VLOOKUP(A387,Internal_lists_bugs!$A$2:$R$73,18,FALSE())),""please select a BUG ID"")"),1456321.0)</f>
        <v>1456321</v>
      </c>
      <c r="D387" s="16" t="s">
        <v>236</v>
      </c>
      <c r="E387" s="16" t="s">
        <v>431</v>
      </c>
      <c r="F387" s="55"/>
      <c r="G387" s="56"/>
      <c r="H387" s="54"/>
      <c r="J387" s="55"/>
      <c r="K387" s="56"/>
      <c r="L387" s="54">
        <v>1456321.0</v>
      </c>
    </row>
    <row r="388">
      <c r="A388" s="62" t="s">
        <v>63</v>
      </c>
      <c r="B388" s="50" t="str">
        <f>IFERROR(HYPERLINK(VLOOKUP(A388,Internal_lists_bugs!$A$2:$C$73,3,FALSE()), VLOOKUP(A388,Internal_lists_bugs!$A$2:$C$73,3,FALSE())&amp;Char(10) &amp; Char(10) &amp; VLOOKUP(A388,Internal_lists_bugs!$A$2:$Z$73,26,FALSE())),"please select a BUG ID")</f>
        <v>https://bugs.launchpad.net/nova/+bug/1443970
/network/manager.py</v>
      </c>
      <c r="C388" s="51">
        <f>IFERROR(__xludf.DUMMYFUNCTION("IFERROR(IF(REGEXMATCH(VLOOKUP(A388,Internal_lists_bugs!$A$2:$R$73,18,FALSE()), ""Yes""), VLOOKUP(A388,Internal_lists_bugs!$A$2:$U$73,21,FALSE()), VLOOKUP(A388,Internal_lists_bugs!$A$2:$R$73,18,FALSE())),""please select a BUG ID"")"),1456321.0)</f>
        <v>1456321</v>
      </c>
      <c r="D388" s="16" t="s">
        <v>331</v>
      </c>
      <c r="E388" s="16" t="s">
        <v>281</v>
      </c>
      <c r="F388" s="55"/>
      <c r="G388" s="56"/>
      <c r="H388" s="54"/>
      <c r="J388" s="55"/>
      <c r="K388" s="56"/>
      <c r="L388" s="54">
        <v>1456321.0</v>
      </c>
    </row>
    <row r="389">
      <c r="A389" s="62" t="s">
        <v>64</v>
      </c>
      <c r="B389" s="50" t="str">
        <f>IFERROR(HYPERLINK(VLOOKUP(A389,Internal_lists_bugs!$A$2:$C$73,3,FALSE()), VLOOKUP(A389,Internal_lists_bugs!$A$2:$C$73,3,FALSE())&amp;Char(10) &amp; Char(10) &amp; VLOOKUP(A389,Internal_lists_bugs!$A$2:$Z$73,26,FALSE())),"please select a BUG ID")</f>
        <v>https://bugs.launchpad.net/nova/+bug/1381468
/filters/trusted_filter.py</v>
      </c>
      <c r="C389" s="51" t="str">
        <f>IFERROR(__xludf.DUMMYFUNCTION("IFERROR(IF(REGEXMATCH(VLOOKUP(A389,Internal_lists_bugs!$A$2:$R$73,18,FALSE()), ""Yes""), VLOOKUP(A389,Internal_lists_bugs!$A$2:$U$73,21,FALSE()), VLOOKUP(A389,Internal_lists_bugs!$A$2:$R$73,18,FALSE())),""please select a BUG ID"")"),"No, however, check in the right corner of the bug description")</f>
        <v>No, however, check in the right corner of the bug description</v>
      </c>
      <c r="D389" s="16" t="s">
        <v>432</v>
      </c>
      <c r="E389" s="16" t="s">
        <v>144</v>
      </c>
      <c r="F389" s="52" t="s">
        <v>121</v>
      </c>
      <c r="G389" s="56"/>
      <c r="H389" s="16" t="s">
        <v>123</v>
      </c>
      <c r="J389" s="52" t="s">
        <v>123</v>
      </c>
      <c r="K389" s="56"/>
    </row>
    <row r="390">
      <c r="A390" s="62" t="s">
        <v>64</v>
      </c>
      <c r="B390" s="50" t="str">
        <f>IFERROR(HYPERLINK(VLOOKUP(A390,Internal_lists_bugs!$A$2:$C$73,3,FALSE()), VLOOKUP(A390,Internal_lists_bugs!$A$2:$C$73,3,FALSE())&amp;Char(10) &amp; Char(10) &amp; VLOOKUP(A390,Internal_lists_bugs!$A$2:$Z$73,26,FALSE())),"please select a BUG ID")</f>
        <v>https://bugs.launchpad.net/nova/+bug/1381468
/filters/trusted_filter.py</v>
      </c>
      <c r="C390" s="51" t="str">
        <f>IFERROR(__xludf.DUMMYFUNCTION("IFERROR(IF(REGEXMATCH(VLOOKUP(A390,Internal_lists_bugs!$A$2:$R$73,18,FALSE()), ""Yes""), VLOOKUP(A390,Internal_lists_bugs!$A$2:$U$73,21,FALSE()), VLOOKUP(A390,Internal_lists_bugs!$A$2:$R$73,18,FALSE())),""please select a BUG ID"")"),"No, however, check in the right corner of the bug description")</f>
        <v>No, however, check in the right corner of the bug description</v>
      </c>
      <c r="D390" s="16" t="s">
        <v>149</v>
      </c>
      <c r="E390" s="16" t="s">
        <v>433</v>
      </c>
      <c r="F390" s="55"/>
      <c r="G390" s="56"/>
      <c r="H390" s="54"/>
      <c r="J390" s="55"/>
      <c r="K390" s="56"/>
    </row>
    <row r="391">
      <c r="A391" s="62" t="s">
        <v>64</v>
      </c>
      <c r="B391" s="50" t="str">
        <f>IFERROR(HYPERLINK(VLOOKUP(A391,Internal_lists_bugs!$A$2:$C$73,3,FALSE()), VLOOKUP(A391,Internal_lists_bugs!$A$2:$C$73,3,FALSE())&amp;Char(10) &amp; Char(10) &amp; VLOOKUP(A391,Internal_lists_bugs!$A$2:$Z$73,26,FALSE())),"please select a BUG ID")</f>
        <v>https://bugs.launchpad.net/nova/+bug/1381468
/filters/trusted_filter.py</v>
      </c>
      <c r="C391" s="51" t="str">
        <f>IFERROR(__xludf.DUMMYFUNCTION("IFERROR(IF(REGEXMATCH(VLOOKUP(A391,Internal_lists_bugs!$A$2:$R$73,18,FALSE()), ""Yes""), VLOOKUP(A391,Internal_lists_bugs!$A$2:$U$73,21,FALSE()), VLOOKUP(A391,Internal_lists_bugs!$A$2:$R$73,18,FALSE())),""please select a BUG ID"")"),"No, however, check in the right corner of the bug description")</f>
        <v>No, however, check in the right corner of the bug description</v>
      </c>
      <c r="D391" s="16" t="s">
        <v>400</v>
      </c>
      <c r="E391" s="16" t="s">
        <v>434</v>
      </c>
      <c r="F391" s="55"/>
      <c r="G391" s="56"/>
      <c r="H391" s="54"/>
      <c r="J391" s="55"/>
      <c r="K391" s="56"/>
    </row>
    <row r="392">
      <c r="A392" s="62" t="s">
        <v>64</v>
      </c>
      <c r="B392" s="50" t="str">
        <f>IFERROR(HYPERLINK(VLOOKUP(A392,Internal_lists_bugs!$A$2:$C$73,3,FALSE()), VLOOKUP(A392,Internal_lists_bugs!$A$2:$C$73,3,FALSE())&amp;Char(10) &amp; Char(10) &amp; VLOOKUP(A392,Internal_lists_bugs!$A$2:$Z$73,26,FALSE())),"please select a BUG ID")</f>
        <v>https://bugs.launchpad.net/nova/+bug/1381468
/filters/trusted_filter.py</v>
      </c>
      <c r="C392" s="51" t="str">
        <f>IFERROR(__xludf.DUMMYFUNCTION("IFERROR(IF(REGEXMATCH(VLOOKUP(A392,Internal_lists_bugs!$A$2:$R$73,18,FALSE()), ""Yes""), VLOOKUP(A392,Internal_lists_bugs!$A$2:$U$73,21,FALSE()), VLOOKUP(A392,Internal_lists_bugs!$A$2:$R$73,18,FALSE())),""please select a BUG ID"")"),"No, however, check in the right corner of the bug description")</f>
        <v>No, however, check in the right corner of the bug description</v>
      </c>
      <c r="D392" s="16" t="s">
        <v>119</v>
      </c>
      <c r="E392" s="16" t="s">
        <v>435</v>
      </c>
      <c r="F392" s="55"/>
      <c r="G392" s="56"/>
      <c r="H392" s="54"/>
      <c r="J392" s="55"/>
      <c r="K392" s="56"/>
    </row>
    <row r="393">
      <c r="A393" s="62" t="s">
        <v>64</v>
      </c>
      <c r="B393" s="50" t="str">
        <f>IFERROR(HYPERLINK(VLOOKUP(A393,Internal_lists_bugs!$A$2:$C$73,3,FALSE()), VLOOKUP(A393,Internal_lists_bugs!$A$2:$C$73,3,FALSE())&amp;Char(10) &amp; Char(10) &amp; VLOOKUP(A393,Internal_lists_bugs!$A$2:$Z$73,26,FALSE())),"please select a BUG ID")</f>
        <v>https://bugs.launchpad.net/nova/+bug/1381468
/filters/trusted_filter.py</v>
      </c>
      <c r="C393" s="51" t="str">
        <f>IFERROR(__xludf.DUMMYFUNCTION("IFERROR(IF(REGEXMATCH(VLOOKUP(A393,Internal_lists_bugs!$A$2:$R$73,18,FALSE()), ""Yes""), VLOOKUP(A393,Internal_lists_bugs!$A$2:$U$73,21,FALSE()), VLOOKUP(A393,Internal_lists_bugs!$A$2:$R$73,18,FALSE())),""please select a BUG ID"")"),"No, however, check in the right corner of the bug description")</f>
        <v>No, however, check in the right corner of the bug description</v>
      </c>
      <c r="D393" s="16" t="s">
        <v>129</v>
      </c>
      <c r="E393" s="16" t="s">
        <v>204</v>
      </c>
      <c r="F393" s="55"/>
      <c r="G393" s="56"/>
      <c r="H393" s="54"/>
      <c r="J393" s="55"/>
      <c r="K393" s="56"/>
    </row>
    <row r="394">
      <c r="A394" s="62" t="s">
        <v>64</v>
      </c>
      <c r="B394" s="50" t="str">
        <f>IFERROR(HYPERLINK(VLOOKUP(A394,Internal_lists_bugs!$A$2:$C$73,3,FALSE()), VLOOKUP(A394,Internal_lists_bugs!$A$2:$C$73,3,FALSE())&amp;Char(10) &amp; Char(10) &amp; VLOOKUP(A394,Internal_lists_bugs!$A$2:$Z$73,26,FALSE())),"please select a BUG ID")</f>
        <v>https://bugs.launchpad.net/nova/+bug/1381468
/filters/trusted_filter.py</v>
      </c>
      <c r="C394" s="51" t="str">
        <f>IFERROR(__xludf.DUMMYFUNCTION("IFERROR(IF(REGEXMATCH(VLOOKUP(A394,Internal_lists_bugs!$A$2:$R$73,18,FALSE()), ""Yes""), VLOOKUP(A394,Internal_lists_bugs!$A$2:$U$73,21,FALSE()), VLOOKUP(A394,Internal_lists_bugs!$A$2:$R$73,18,FALSE())),""please select a BUG ID"")"),"No, however, check in the right corner of the bug description")</f>
        <v>No, however, check in the right corner of the bug description</v>
      </c>
      <c r="D394" s="16" t="s">
        <v>436</v>
      </c>
      <c r="E394" s="16" t="s">
        <v>205</v>
      </c>
      <c r="F394" s="55"/>
      <c r="G394" s="56"/>
      <c r="H394" s="54"/>
      <c r="J394" s="55"/>
      <c r="K394" s="56"/>
    </row>
    <row r="395">
      <c r="A395" s="62" t="s">
        <v>64</v>
      </c>
      <c r="B395" s="50" t="str">
        <f>IFERROR(HYPERLINK(VLOOKUP(A395,Internal_lists_bugs!$A$2:$C$73,3,FALSE()), VLOOKUP(A395,Internal_lists_bugs!$A$2:$C$73,3,FALSE())&amp;Char(10) &amp; Char(10) &amp; VLOOKUP(A395,Internal_lists_bugs!$A$2:$Z$73,26,FALSE())),"please select a BUG ID")</f>
        <v>https://bugs.launchpad.net/nova/+bug/1381468
/filters/trusted_filter.py</v>
      </c>
      <c r="C395" s="51" t="str">
        <f>IFERROR(__xludf.DUMMYFUNCTION("IFERROR(IF(REGEXMATCH(VLOOKUP(A395,Internal_lists_bugs!$A$2:$R$73,18,FALSE()), ""Yes""), VLOOKUP(A395,Internal_lists_bugs!$A$2:$U$73,21,FALSE()), VLOOKUP(A395,Internal_lists_bugs!$A$2:$R$73,18,FALSE())),""please select a BUG ID"")"),"No, however, check in the right corner of the bug description")</f>
        <v>No, however, check in the right corner of the bug description</v>
      </c>
      <c r="D395" s="16" t="s">
        <v>131</v>
      </c>
      <c r="E395" s="16" t="s">
        <v>229</v>
      </c>
      <c r="F395" s="55"/>
      <c r="G395" s="56"/>
      <c r="H395" s="54"/>
      <c r="J395" s="55"/>
      <c r="K395" s="56"/>
    </row>
    <row r="396">
      <c r="A396" s="62" t="s">
        <v>64</v>
      </c>
      <c r="B396" s="50" t="str">
        <f>IFERROR(HYPERLINK(VLOOKUP(A396,Internal_lists_bugs!$A$2:$C$73,3,FALSE()), VLOOKUP(A396,Internal_lists_bugs!$A$2:$C$73,3,FALSE())&amp;Char(10) &amp; Char(10) &amp; VLOOKUP(A396,Internal_lists_bugs!$A$2:$Z$73,26,FALSE())),"please select a BUG ID")</f>
        <v>https://bugs.launchpad.net/nova/+bug/1381468
/filters/trusted_filter.py</v>
      </c>
      <c r="C396" s="51" t="str">
        <f>IFERROR(__xludf.DUMMYFUNCTION("IFERROR(IF(REGEXMATCH(VLOOKUP(A396,Internal_lists_bugs!$A$2:$R$73,18,FALSE()), ""Yes""), VLOOKUP(A396,Internal_lists_bugs!$A$2:$U$73,21,FALSE()), VLOOKUP(A396,Internal_lists_bugs!$A$2:$R$73,18,FALSE())),""please select a BUG ID"")"),"No, however, check in the right corner of the bug description")</f>
        <v>No, however, check in the right corner of the bug description</v>
      </c>
      <c r="D396" s="16" t="s">
        <v>153</v>
      </c>
      <c r="E396" s="16" t="s">
        <v>216</v>
      </c>
      <c r="F396" s="55"/>
      <c r="G396" s="56"/>
      <c r="H396" s="54"/>
      <c r="J396" s="55"/>
      <c r="K396" s="56"/>
    </row>
    <row r="397">
      <c r="A397" s="62" t="s">
        <v>64</v>
      </c>
      <c r="B397" s="50" t="str">
        <f>IFERROR(HYPERLINK(VLOOKUP(A397,Internal_lists_bugs!$A$2:$C$73,3,FALSE()), VLOOKUP(A397,Internal_lists_bugs!$A$2:$C$73,3,FALSE())&amp;Char(10) &amp; Char(10) &amp; VLOOKUP(A397,Internal_lists_bugs!$A$2:$Z$73,26,FALSE())),"please select a BUG ID")</f>
        <v>https://bugs.launchpad.net/nova/+bug/1381468
/filters/trusted_filter.py</v>
      </c>
      <c r="C397" s="51" t="str">
        <f>IFERROR(__xludf.DUMMYFUNCTION("IFERROR(IF(REGEXMATCH(VLOOKUP(A397,Internal_lists_bugs!$A$2:$R$73,18,FALSE()), ""Yes""), VLOOKUP(A397,Internal_lists_bugs!$A$2:$U$73,21,FALSE()), VLOOKUP(A397,Internal_lists_bugs!$A$2:$R$73,18,FALSE())),""please select a BUG ID"")"),"No, however, check in the right corner of the bug description")</f>
        <v>No, however, check in the right corner of the bug description</v>
      </c>
      <c r="D397" s="16" t="s">
        <v>218</v>
      </c>
      <c r="E397" s="16" t="s">
        <v>217</v>
      </c>
      <c r="F397" s="55"/>
      <c r="G397" s="56"/>
      <c r="H397" s="54"/>
      <c r="J397" s="55"/>
      <c r="K397" s="56"/>
    </row>
    <row r="398">
      <c r="A398" s="62" t="s">
        <v>64</v>
      </c>
      <c r="B398" s="50" t="str">
        <f>IFERROR(HYPERLINK(VLOOKUP(A398,Internal_lists_bugs!$A$2:$C$73,3,FALSE()), VLOOKUP(A398,Internal_lists_bugs!$A$2:$C$73,3,FALSE())&amp;Char(10) &amp; Char(10) &amp; VLOOKUP(A398,Internal_lists_bugs!$A$2:$Z$73,26,FALSE())),"please select a BUG ID")</f>
        <v>https://bugs.launchpad.net/nova/+bug/1381468
/filters/trusted_filter.py</v>
      </c>
      <c r="C398" s="51" t="str">
        <f>IFERROR(__xludf.DUMMYFUNCTION("IFERROR(IF(REGEXMATCH(VLOOKUP(A398,Internal_lists_bugs!$A$2:$R$73,18,FALSE()), ""Yes""), VLOOKUP(A398,Internal_lists_bugs!$A$2:$U$73,21,FALSE()), VLOOKUP(A398,Internal_lists_bugs!$A$2:$R$73,18,FALSE())),""please select a BUG ID"")"),"No, however, check in the right corner of the bug description")</f>
        <v>No, however, check in the right corner of the bug description</v>
      </c>
      <c r="D398" s="16" t="s">
        <v>155</v>
      </c>
      <c r="E398" s="16" t="s">
        <v>183</v>
      </c>
      <c r="F398" s="55"/>
      <c r="G398" s="56"/>
      <c r="H398" s="54"/>
      <c r="J398" s="55"/>
      <c r="K398" s="56"/>
    </row>
    <row r="399">
      <c r="A399" s="62" t="s">
        <v>64</v>
      </c>
      <c r="B399" s="50" t="str">
        <f>IFERROR(HYPERLINK(VLOOKUP(A399,Internal_lists_bugs!$A$2:$C$73,3,FALSE()), VLOOKUP(A399,Internal_lists_bugs!$A$2:$C$73,3,FALSE())&amp;Char(10) &amp; Char(10) &amp; VLOOKUP(A399,Internal_lists_bugs!$A$2:$Z$73,26,FALSE())),"please select a BUG ID")</f>
        <v>https://bugs.launchpad.net/nova/+bug/1381468
/filters/trusted_filter.py</v>
      </c>
      <c r="C399" s="51" t="str">
        <f>IFERROR(__xludf.DUMMYFUNCTION("IFERROR(IF(REGEXMATCH(VLOOKUP(A399,Internal_lists_bugs!$A$2:$R$73,18,FALSE()), ""Yes""), VLOOKUP(A399,Internal_lists_bugs!$A$2:$U$73,21,FALSE()), VLOOKUP(A399,Internal_lists_bugs!$A$2:$R$73,18,FALSE())),""please select a BUG ID"")"),"No, however, check in the right corner of the bug description")</f>
        <v>No, however, check in the right corner of the bug description</v>
      </c>
      <c r="D399" s="16" t="s">
        <v>221</v>
      </c>
      <c r="E399" s="16" t="s">
        <v>185</v>
      </c>
      <c r="F399" s="55"/>
      <c r="G399" s="56"/>
      <c r="H399" s="54"/>
      <c r="J399" s="55"/>
      <c r="K399" s="56"/>
    </row>
    <row r="400">
      <c r="A400" s="62" t="s">
        <v>65</v>
      </c>
      <c r="B400" s="50" t="str">
        <f>IFERROR(HYPERLINK(VLOOKUP(A400,Internal_lists_bugs!$A$2:$C$73,3,FALSE()), VLOOKUP(A400,Internal_lists_bugs!$A$2:$C$73,3,FALSE())&amp;Char(10) &amp; Char(10) &amp; VLOOKUP(A400,Internal_lists_bugs!$A$2:$Z$73,26,FALSE())),"please select a BUG ID")</f>
        <v>https://github.com/elastic/elasticsearch/issues/2566
/classic/MapperQueryParser.java</v>
      </c>
      <c r="C400" s="51" t="str">
        <f>IFERROR(__xludf.DUMMYFUNCTION("IFERROR(IF(REGEXMATCH(VLOOKUP(A400,Internal_lists_bugs!$A$2:$R$73,18,FALSE()), ""Yes""), VLOOKUP(A400,Internal_lists_bugs!$A$2:$U$73,21,FALSE()), VLOOKUP(A400,Internal_lists_bugs!$A$2:$R$73,18,FALSE())),""please select a BUG ID"")"),"No, however, check in the comments something like dup #ID or duplicate #ID")</f>
        <v>No, however, check in the comments something like dup #ID or duplicate #ID</v>
      </c>
      <c r="D400" s="16" t="s">
        <v>437</v>
      </c>
      <c r="E400" s="69" t="s">
        <v>144</v>
      </c>
      <c r="F400" s="52" t="s">
        <v>121</v>
      </c>
      <c r="G400" s="56"/>
      <c r="H400" s="16" t="s">
        <v>123</v>
      </c>
      <c r="J400" s="52" t="s">
        <v>123</v>
      </c>
      <c r="K400" s="56"/>
    </row>
    <row r="401">
      <c r="A401" s="62" t="s">
        <v>65</v>
      </c>
      <c r="B401" s="50" t="str">
        <f>IFERROR(HYPERLINK(VLOOKUP(A401,Internal_lists_bugs!$A$2:$C$73,3,FALSE()), VLOOKUP(A401,Internal_lists_bugs!$A$2:$C$73,3,FALSE())&amp;Char(10) &amp; Char(10) &amp; VLOOKUP(A401,Internal_lists_bugs!$A$2:$Z$73,26,FALSE())),"please select a BUG ID")</f>
        <v>https://github.com/elastic/elasticsearch/issues/2566
/classic/MapperQueryParser.java</v>
      </c>
      <c r="C401" s="51" t="str">
        <f>IFERROR(__xludf.DUMMYFUNCTION("IFERROR(IF(REGEXMATCH(VLOOKUP(A401,Internal_lists_bugs!$A$2:$R$73,18,FALSE()), ""Yes""), VLOOKUP(A401,Internal_lists_bugs!$A$2:$U$73,21,FALSE()), VLOOKUP(A401,Internal_lists_bugs!$A$2:$R$73,18,FALSE())),""please select a BUG ID"")"),"No, however, check in the comments something like dup #ID or duplicate #ID")</f>
        <v>No, however, check in the comments something like dup #ID or duplicate #ID</v>
      </c>
      <c r="D401" s="16" t="s">
        <v>134</v>
      </c>
      <c r="E401" s="16" t="s">
        <v>324</v>
      </c>
      <c r="F401" s="55"/>
      <c r="G401" s="56"/>
      <c r="H401" s="54"/>
      <c r="J401" s="55"/>
      <c r="K401" s="56"/>
    </row>
    <row r="402">
      <c r="A402" s="62" t="s">
        <v>65</v>
      </c>
      <c r="B402" s="50" t="str">
        <f>IFERROR(HYPERLINK(VLOOKUP(A402,Internal_lists_bugs!$A$2:$C$73,3,FALSE()), VLOOKUP(A402,Internal_lists_bugs!$A$2:$C$73,3,FALSE())&amp;Char(10) &amp; Char(10) &amp; VLOOKUP(A402,Internal_lists_bugs!$A$2:$Z$73,26,FALSE())),"please select a BUG ID")</f>
        <v>https://github.com/elastic/elasticsearch/issues/2566
/classic/MapperQueryParser.java</v>
      </c>
      <c r="C402" s="51" t="str">
        <f>IFERROR(__xludf.DUMMYFUNCTION("IFERROR(IF(REGEXMATCH(VLOOKUP(A402,Internal_lists_bugs!$A$2:$R$73,18,FALSE()), ""Yes""), VLOOKUP(A402,Internal_lists_bugs!$A$2:$U$73,21,FALSE()), VLOOKUP(A402,Internal_lists_bugs!$A$2:$R$73,18,FALSE())),""please select a BUG ID"")"),"No, however, check in the comments something like dup #ID or duplicate #ID")</f>
        <v>No, however, check in the comments something like dup #ID or duplicate #ID</v>
      </c>
      <c r="D402" s="16" t="s">
        <v>400</v>
      </c>
      <c r="E402" s="16" t="s">
        <v>324</v>
      </c>
      <c r="F402" s="55"/>
      <c r="G402" s="56"/>
      <c r="H402" s="54"/>
      <c r="J402" s="55"/>
      <c r="K402" s="56"/>
    </row>
    <row r="403">
      <c r="A403" s="62" t="s">
        <v>65</v>
      </c>
      <c r="B403" s="50" t="str">
        <f>IFERROR(HYPERLINK(VLOOKUP(A403,Internal_lists_bugs!$A$2:$C$73,3,FALSE()), VLOOKUP(A403,Internal_lists_bugs!$A$2:$C$73,3,FALSE())&amp;Char(10) &amp; Char(10) &amp; VLOOKUP(A403,Internal_lists_bugs!$A$2:$Z$73,26,FALSE())),"please select a BUG ID")</f>
        <v>https://github.com/elastic/elasticsearch/issues/2566
/classic/MapperQueryParser.java</v>
      </c>
      <c r="C403" s="51" t="str">
        <f>IFERROR(__xludf.DUMMYFUNCTION("IFERROR(IF(REGEXMATCH(VLOOKUP(A403,Internal_lists_bugs!$A$2:$R$73,18,FALSE()), ""Yes""), VLOOKUP(A403,Internal_lists_bugs!$A$2:$U$73,21,FALSE()), VLOOKUP(A403,Internal_lists_bugs!$A$2:$R$73,18,FALSE())),""please select a BUG ID"")"),"No, however, check in the comments something like dup #ID or duplicate #ID")</f>
        <v>No, however, check in the comments something like dup #ID or duplicate #ID</v>
      </c>
      <c r="D403" s="16" t="s">
        <v>119</v>
      </c>
      <c r="E403" s="16" t="s">
        <v>324</v>
      </c>
      <c r="F403" s="55"/>
      <c r="G403" s="56"/>
      <c r="H403" s="54"/>
      <c r="J403" s="55"/>
      <c r="K403" s="56"/>
    </row>
    <row r="404">
      <c r="A404" s="62" t="s">
        <v>66</v>
      </c>
      <c r="B404" s="50" t="str">
        <f>IFERROR(HYPERLINK(VLOOKUP(A404,Internal_lists_bugs!$A$2:$C$73,3,FALSE()), VLOOKUP(A404,Internal_lists_bugs!$A$2:$C$73,3,FALSE())&amp;Char(10) &amp; Char(10) &amp; VLOOKUP(A404,Internal_lists_bugs!$A$2:$Z$73,26,FALSE())),"please select a BUG ID")</f>
        <v>https://github.com/elastic/elasticsearch/issues/864
/ElasticSearchIllegalArgumentException.java
/alias/RestIndicesAliasesAction.java</v>
      </c>
      <c r="C404" s="51" t="str">
        <f>IFERROR(__xludf.DUMMYFUNCTION("IFERROR(IF(REGEXMATCH(VLOOKUP(A404,Internal_lists_bugs!$A$2:$R$73,18,FALSE()), ""Yes""), VLOOKUP(A404,Internal_lists_bugs!$A$2:$U$73,21,FALSE()), VLOOKUP(A404,Internal_lists_bugs!$A$2:$R$73,18,FALSE())),""please select a BUG ID"")"),"No, however, check in the comments something like dup #ID or duplicate #ID")</f>
        <v>No, however, check in the comments something like dup #ID or duplicate #ID</v>
      </c>
      <c r="D404" s="16" t="s">
        <v>149</v>
      </c>
      <c r="E404" s="16" t="s">
        <v>324</v>
      </c>
      <c r="F404" s="52" t="s">
        <v>121</v>
      </c>
      <c r="G404" s="56"/>
      <c r="H404" s="16" t="s">
        <v>123</v>
      </c>
      <c r="J404" s="52" t="s">
        <v>123</v>
      </c>
      <c r="K404" s="56"/>
    </row>
    <row r="405">
      <c r="A405" s="62" t="s">
        <v>66</v>
      </c>
      <c r="B405" s="50" t="str">
        <f>IFERROR(HYPERLINK(VLOOKUP(A405,Internal_lists_bugs!$A$2:$C$73,3,FALSE()), VLOOKUP(A405,Internal_lists_bugs!$A$2:$C$73,3,FALSE())&amp;Char(10) &amp; Char(10) &amp; VLOOKUP(A405,Internal_lists_bugs!$A$2:$Z$73,26,FALSE())),"please select a BUG ID")</f>
        <v>https://github.com/elastic/elasticsearch/issues/864
/ElasticSearchIllegalArgumentException.java
/alias/RestIndicesAliasesAction.java</v>
      </c>
      <c r="C405" s="51" t="str">
        <f>IFERROR(__xludf.DUMMYFUNCTION("IFERROR(IF(REGEXMATCH(VLOOKUP(A405,Internal_lists_bugs!$A$2:$R$73,18,FALSE()), ""Yes""), VLOOKUP(A405,Internal_lists_bugs!$A$2:$U$73,21,FALSE()), VLOOKUP(A405,Internal_lists_bugs!$A$2:$R$73,18,FALSE())),""please select a BUG ID"")"),"No, however, check in the comments something like dup #ID or duplicate #ID")</f>
        <v>No, however, check in the comments something like dup #ID or duplicate #ID</v>
      </c>
      <c r="D405" s="16" t="s">
        <v>119</v>
      </c>
      <c r="E405" s="16" t="s">
        <v>324</v>
      </c>
      <c r="F405" s="55"/>
      <c r="G405" s="56"/>
      <c r="H405" s="54"/>
      <c r="J405" s="55"/>
      <c r="K405" s="56"/>
    </row>
    <row r="406">
      <c r="A406" s="62" t="s">
        <v>66</v>
      </c>
      <c r="B406" s="50" t="str">
        <f>IFERROR(HYPERLINK(VLOOKUP(A406,Internal_lists_bugs!$A$2:$C$73,3,FALSE()), VLOOKUP(A406,Internal_lists_bugs!$A$2:$C$73,3,FALSE())&amp;Char(10) &amp; Char(10) &amp; VLOOKUP(A406,Internal_lists_bugs!$A$2:$Z$73,26,FALSE())),"please select a BUG ID")</f>
        <v>https://github.com/elastic/elasticsearch/issues/864
/ElasticSearchIllegalArgumentException.java
/alias/RestIndicesAliasesAction.java</v>
      </c>
      <c r="C406" s="51" t="str">
        <f>IFERROR(__xludf.DUMMYFUNCTION("IFERROR(IF(REGEXMATCH(VLOOKUP(A406,Internal_lists_bugs!$A$2:$R$73,18,FALSE()), ""Yes""), VLOOKUP(A406,Internal_lists_bugs!$A$2:$U$73,21,FALSE()), VLOOKUP(A406,Internal_lists_bugs!$A$2:$R$73,18,FALSE())),""please select a BUG ID"")"),"No, however, check in the comments something like dup #ID or duplicate #ID")</f>
        <v>No, however, check in the comments something like dup #ID or duplicate #ID</v>
      </c>
      <c r="D406" s="16" t="s">
        <v>159</v>
      </c>
      <c r="E406" s="16" t="s">
        <v>324</v>
      </c>
      <c r="F406" s="55"/>
      <c r="G406" s="56"/>
      <c r="H406" s="54"/>
      <c r="J406" s="55"/>
      <c r="K406" s="56"/>
    </row>
    <row r="407">
      <c r="A407" s="62" t="s">
        <v>66</v>
      </c>
      <c r="B407" s="50" t="str">
        <f>IFERROR(HYPERLINK(VLOOKUP(A407,Internal_lists_bugs!$A$2:$C$73,3,FALSE()), VLOOKUP(A407,Internal_lists_bugs!$A$2:$C$73,3,FALSE())&amp;Char(10) &amp; Char(10) &amp; VLOOKUP(A407,Internal_lists_bugs!$A$2:$Z$73,26,FALSE())),"please select a BUG ID")</f>
        <v>https://github.com/elastic/elasticsearch/issues/864
/ElasticSearchIllegalArgumentException.java
/alias/RestIndicesAliasesAction.java</v>
      </c>
      <c r="C407" s="51" t="str">
        <f>IFERROR(__xludf.DUMMYFUNCTION("IFERROR(IF(REGEXMATCH(VLOOKUP(A407,Internal_lists_bugs!$A$2:$R$73,18,FALSE()), ""Yes""), VLOOKUP(A407,Internal_lists_bugs!$A$2:$U$73,21,FALSE()), VLOOKUP(A407,Internal_lists_bugs!$A$2:$R$73,18,FALSE())),""please select a BUG ID"")"),"No, however, check in the comments something like dup #ID or duplicate #ID")</f>
        <v>No, however, check in the comments something like dup #ID or duplicate #ID</v>
      </c>
      <c r="D407" s="16" t="s">
        <v>374</v>
      </c>
      <c r="E407" s="16" t="s">
        <v>324</v>
      </c>
      <c r="F407" s="55"/>
      <c r="G407" s="56"/>
      <c r="H407" s="54"/>
      <c r="J407" s="55"/>
      <c r="K407" s="56"/>
    </row>
    <row r="408">
      <c r="A408" s="62" t="s">
        <v>66</v>
      </c>
      <c r="B408" s="50" t="str">
        <f>IFERROR(HYPERLINK(VLOOKUP(A408,Internal_lists_bugs!$A$2:$C$73,3,FALSE()), VLOOKUP(A408,Internal_lists_bugs!$A$2:$C$73,3,FALSE())&amp;Char(10) &amp; Char(10) &amp; VLOOKUP(A408,Internal_lists_bugs!$A$2:$Z$73,26,FALSE())),"please select a BUG ID")</f>
        <v>https://github.com/elastic/elasticsearch/issues/864
/ElasticSearchIllegalArgumentException.java
/alias/RestIndicesAliasesAction.java</v>
      </c>
      <c r="C408" s="51" t="str">
        <f>IFERROR(__xludf.DUMMYFUNCTION("IFERROR(IF(REGEXMATCH(VLOOKUP(A408,Internal_lists_bugs!$A$2:$R$73,18,FALSE()), ""Yes""), VLOOKUP(A408,Internal_lists_bugs!$A$2:$U$73,21,FALSE()), VLOOKUP(A408,Internal_lists_bugs!$A$2:$R$73,18,FALSE())),""please select a BUG ID"")"),"No, however, check in the comments something like dup #ID or duplicate #ID")</f>
        <v>No, however, check in the comments something like dup #ID or duplicate #ID</v>
      </c>
      <c r="D408" s="16" t="s">
        <v>438</v>
      </c>
      <c r="E408" s="16" t="s">
        <v>144</v>
      </c>
      <c r="F408" s="55"/>
      <c r="G408" s="56"/>
      <c r="H408" s="54"/>
      <c r="J408" s="55"/>
      <c r="K408" s="56"/>
    </row>
    <row r="409">
      <c r="A409" s="62" t="s">
        <v>66</v>
      </c>
      <c r="B409" s="50" t="str">
        <f>IFERROR(HYPERLINK(VLOOKUP(A409,Internal_lists_bugs!$A$2:$C$73,3,FALSE()), VLOOKUP(A409,Internal_lists_bugs!$A$2:$C$73,3,FALSE())&amp;Char(10) &amp; Char(10) &amp; VLOOKUP(A409,Internal_lists_bugs!$A$2:$Z$73,26,FALSE())),"please select a BUG ID")</f>
        <v>https://github.com/elastic/elasticsearch/issues/864
/ElasticSearchIllegalArgumentException.java
/alias/RestIndicesAliasesAction.java</v>
      </c>
      <c r="C409" s="51" t="str">
        <f>IFERROR(__xludf.DUMMYFUNCTION("IFERROR(IF(REGEXMATCH(VLOOKUP(A409,Internal_lists_bugs!$A$2:$R$73,18,FALSE()), ""Yes""), VLOOKUP(A409,Internal_lists_bugs!$A$2:$U$73,21,FALSE()), VLOOKUP(A409,Internal_lists_bugs!$A$2:$R$73,18,FALSE())),""please select a BUG ID"")"),"No, however, check in the comments something like dup #ID or duplicate #ID")</f>
        <v>No, however, check in the comments something like dup #ID or duplicate #ID</v>
      </c>
      <c r="D409" s="16" t="s">
        <v>439</v>
      </c>
      <c r="E409" s="16" t="s">
        <v>324</v>
      </c>
      <c r="F409" s="52"/>
      <c r="G409" s="56"/>
      <c r="H409" s="16"/>
      <c r="J409" s="52"/>
      <c r="K409" s="56"/>
    </row>
    <row r="410">
      <c r="A410" s="62" t="s">
        <v>67</v>
      </c>
      <c r="B410" s="50" t="str">
        <f>IFERROR(HYPERLINK(VLOOKUP(A410,Internal_lists_bugs!$A$2:$C$73,3,FALSE()), VLOOKUP(A410,Internal_lists_bugs!$A$2:$C$73,3,FALSE())&amp;Char(10) &amp; Char(10) &amp; VLOOKUP(A410,Internal_lists_bugs!$A$2:$Z$73,26,FALSE())),"please select a BUG ID")</f>
        <v>https://github.com/elastic/elasticsearch/issues/8526
/geo/GeoHashUtils.java</v>
      </c>
      <c r="C410" s="51" t="str">
        <f>IFERROR(__xludf.DUMMYFUNCTION("IFERROR(IF(REGEXMATCH(VLOOKUP(A410,Internal_lists_bugs!$A$2:$R$73,18,FALSE()), ""Yes""), VLOOKUP(A410,Internal_lists_bugs!$A$2:$U$73,21,FALSE()), VLOOKUP(A410,Internal_lists_bugs!$A$2:$R$73,18,FALSE())),""please select a BUG ID"")"),"No, however, check in the comments something like dup #ID or duplicate #ID")</f>
        <v>No, however, check in the comments something like dup #ID or duplicate #ID</v>
      </c>
      <c r="D410" s="16" t="s">
        <v>438</v>
      </c>
      <c r="E410" s="16" t="s">
        <v>144</v>
      </c>
      <c r="F410" s="52" t="s">
        <v>121</v>
      </c>
      <c r="G410" s="56"/>
      <c r="H410" s="16" t="s">
        <v>123</v>
      </c>
      <c r="J410" s="52" t="s">
        <v>123</v>
      </c>
      <c r="K410" s="56"/>
    </row>
    <row r="411">
      <c r="A411" s="62" t="s">
        <v>67</v>
      </c>
      <c r="B411" s="50" t="str">
        <f>IFERROR(HYPERLINK(VLOOKUP(A411,Internal_lists_bugs!$A$2:$C$73,3,FALSE()), VLOOKUP(A411,Internal_lists_bugs!$A$2:$C$73,3,FALSE())&amp;Char(10) &amp; Char(10) &amp; VLOOKUP(A411,Internal_lists_bugs!$A$2:$Z$73,26,FALSE())),"please select a BUG ID")</f>
        <v>https://github.com/elastic/elasticsearch/issues/8526
/geo/GeoHashUtils.java</v>
      </c>
      <c r="C411" s="51" t="str">
        <f>IFERROR(__xludf.DUMMYFUNCTION("IFERROR(IF(REGEXMATCH(VLOOKUP(A411,Internal_lists_bugs!$A$2:$R$73,18,FALSE()), ""Yes""), VLOOKUP(A411,Internal_lists_bugs!$A$2:$U$73,21,FALSE()), VLOOKUP(A411,Internal_lists_bugs!$A$2:$R$73,18,FALSE())),""please select a BUG ID"")"),"No, however, check in the comments something like dup #ID or duplicate #ID")</f>
        <v>No, however, check in the comments something like dup #ID or duplicate #ID</v>
      </c>
      <c r="D411" s="16" t="s">
        <v>149</v>
      </c>
      <c r="E411" s="16" t="s">
        <v>324</v>
      </c>
      <c r="F411" s="55"/>
      <c r="G411" s="56"/>
      <c r="H411" s="54"/>
      <c r="J411" s="55"/>
      <c r="K411" s="56"/>
    </row>
    <row r="412">
      <c r="A412" s="62" t="s">
        <v>67</v>
      </c>
      <c r="B412" s="50" t="str">
        <f>IFERROR(HYPERLINK(VLOOKUP(A412,Internal_lists_bugs!$A$2:$C$73,3,FALSE()), VLOOKUP(A412,Internal_lists_bugs!$A$2:$C$73,3,FALSE())&amp;Char(10) &amp; Char(10) &amp; VLOOKUP(A412,Internal_lists_bugs!$A$2:$Z$73,26,FALSE())),"please select a BUG ID")</f>
        <v>https://github.com/elastic/elasticsearch/issues/8526
/geo/GeoHashUtils.java</v>
      </c>
      <c r="C412" s="51" t="str">
        <f>IFERROR(__xludf.DUMMYFUNCTION("IFERROR(IF(REGEXMATCH(VLOOKUP(A412,Internal_lists_bugs!$A$2:$R$73,18,FALSE()), ""Yes""), VLOOKUP(A412,Internal_lists_bugs!$A$2:$U$73,21,FALSE()), VLOOKUP(A412,Internal_lists_bugs!$A$2:$R$73,18,FALSE())),""please select a BUG ID"")"),"No, however, check in the comments something like dup #ID or duplicate #ID")</f>
        <v>No, however, check in the comments something like dup #ID or duplicate #ID</v>
      </c>
      <c r="D412" s="16" t="s">
        <v>439</v>
      </c>
      <c r="E412" s="16" t="s">
        <v>324</v>
      </c>
      <c r="F412" s="55"/>
      <c r="G412" s="56"/>
      <c r="H412" s="54"/>
      <c r="J412" s="55"/>
      <c r="K412" s="56"/>
    </row>
    <row r="413">
      <c r="A413" s="62" t="s">
        <v>68</v>
      </c>
      <c r="B413" s="50" t="str">
        <f>IFERROR(HYPERLINK(VLOOKUP(A413,Internal_lists_bugs!$A$2:$C$73,3,FALSE()), VLOOKUP(A413,Internal_lists_bugs!$A$2:$C$73,3,FALSE())&amp;Char(10) &amp; Char(10) &amp; VLOOKUP(A413,Internal_lists_bugs!$A$2:$Z$73,26,FALSE())),"please select a BUG ID")</f>
        <v>https://github.com/elastic/elasticsearch/issues/5048
/aggregations/AggregatorFactories.java</v>
      </c>
      <c r="C413" s="51" t="str">
        <f>IFERROR(__xludf.DUMMYFUNCTION("IFERROR(IF(REGEXMATCH(VLOOKUP(A413,Internal_lists_bugs!$A$2:$R$73,18,FALSE()), ""Yes""), VLOOKUP(A413,Internal_lists_bugs!$A$2:$U$73,21,FALSE()), VLOOKUP(A413,Internal_lists_bugs!$A$2:$R$73,18,FALSE())),""please select a BUG ID"")"),"No, however, check in the comments something like dup #ID or duplicate #ID")</f>
        <v>No, however, check in the comments something like dup #ID or duplicate #ID</v>
      </c>
      <c r="D413" s="16" t="s">
        <v>159</v>
      </c>
      <c r="E413" s="16" t="s">
        <v>144</v>
      </c>
      <c r="F413" s="55"/>
      <c r="G413" s="56"/>
      <c r="H413" s="54"/>
      <c r="J413" s="55"/>
      <c r="K413" s="56"/>
    </row>
    <row r="414">
      <c r="A414" s="62" t="s">
        <v>68</v>
      </c>
      <c r="B414" s="50" t="str">
        <f>IFERROR(HYPERLINK(VLOOKUP(A414,Internal_lists_bugs!$A$2:$C$73,3,FALSE()), VLOOKUP(A414,Internal_lists_bugs!$A$2:$C$73,3,FALSE())&amp;Char(10) &amp; Char(10) &amp; VLOOKUP(A414,Internal_lists_bugs!$A$2:$Z$73,26,FALSE())),"please select a BUG ID")</f>
        <v>https://github.com/elastic/elasticsearch/issues/5048
/aggregations/AggregatorFactories.java</v>
      </c>
      <c r="C414" s="51" t="str">
        <f>IFERROR(__xludf.DUMMYFUNCTION("IFERROR(IF(REGEXMATCH(VLOOKUP(A414,Internal_lists_bugs!$A$2:$R$73,18,FALSE()), ""Yes""), VLOOKUP(A414,Internal_lists_bugs!$A$2:$U$73,21,FALSE()), VLOOKUP(A414,Internal_lists_bugs!$A$2:$R$73,18,FALSE())),""please select a BUG ID"")"),"No, however, check in the comments something like dup #ID or duplicate #ID")</f>
        <v>No, however, check in the comments something like dup #ID or duplicate #ID</v>
      </c>
      <c r="D414" s="16" t="s">
        <v>439</v>
      </c>
      <c r="E414" s="16" t="s">
        <v>324</v>
      </c>
      <c r="F414" s="52" t="s">
        <v>121</v>
      </c>
      <c r="G414" s="56"/>
      <c r="H414" s="16" t="s">
        <v>123</v>
      </c>
      <c r="J414" s="52" t="s">
        <v>123</v>
      </c>
      <c r="K414" s="56"/>
    </row>
    <row r="415">
      <c r="A415" s="62" t="s">
        <v>68</v>
      </c>
      <c r="B415" s="50" t="str">
        <f>IFERROR(HYPERLINK(VLOOKUP(A415,Internal_lists_bugs!$A$2:$C$73,3,FALSE()), VLOOKUP(A415,Internal_lists_bugs!$A$2:$C$73,3,FALSE())&amp;Char(10) &amp; Char(10) &amp; VLOOKUP(A415,Internal_lists_bugs!$A$2:$Z$73,26,FALSE())),"please select a BUG ID")</f>
        <v>https://github.com/elastic/elasticsearch/issues/5048
/aggregations/AggregatorFactories.java</v>
      </c>
      <c r="C415" s="51" t="str">
        <f>IFERROR(__xludf.DUMMYFUNCTION("IFERROR(IF(REGEXMATCH(VLOOKUP(A415,Internal_lists_bugs!$A$2:$R$73,18,FALSE()), ""Yes""), VLOOKUP(A415,Internal_lists_bugs!$A$2:$U$73,21,FALSE()), VLOOKUP(A415,Internal_lists_bugs!$A$2:$R$73,18,FALSE())),""please select a BUG ID"")"),"No, however, check in the comments something like dup #ID or duplicate #ID")</f>
        <v>No, however, check in the comments something like dup #ID or duplicate #ID</v>
      </c>
      <c r="D415" s="16" t="s">
        <v>440</v>
      </c>
      <c r="E415" s="16" t="s">
        <v>324</v>
      </c>
      <c r="F415" s="55"/>
      <c r="G415" s="56"/>
      <c r="H415" s="54"/>
      <c r="J415" s="55"/>
      <c r="K415" s="56"/>
    </row>
    <row r="416">
      <c r="A416" s="62" t="s">
        <v>68</v>
      </c>
      <c r="B416" s="50" t="str">
        <f>IFERROR(HYPERLINK(VLOOKUP(A416,Internal_lists_bugs!$A$2:$C$73,3,FALSE()), VLOOKUP(A416,Internal_lists_bugs!$A$2:$C$73,3,FALSE())&amp;Char(10) &amp; Char(10) &amp; VLOOKUP(A416,Internal_lists_bugs!$A$2:$Z$73,26,FALSE())),"please select a BUG ID")</f>
        <v>https://github.com/elastic/elasticsearch/issues/5048
/aggregations/AggregatorFactories.java</v>
      </c>
      <c r="C416" s="51" t="str">
        <f>IFERROR(__xludf.DUMMYFUNCTION("IFERROR(IF(REGEXMATCH(VLOOKUP(A416,Internal_lists_bugs!$A$2:$R$73,18,FALSE()), ""Yes""), VLOOKUP(A416,Internal_lists_bugs!$A$2:$U$73,21,FALSE()), VLOOKUP(A416,Internal_lists_bugs!$A$2:$R$73,18,FALSE())),""please select a BUG ID"")"),"No, however, check in the comments something like dup #ID or duplicate #ID")</f>
        <v>No, however, check in the comments something like dup #ID or duplicate #ID</v>
      </c>
      <c r="D416" s="16" t="s">
        <v>374</v>
      </c>
      <c r="E416" s="16" t="s">
        <v>324</v>
      </c>
      <c r="F416" s="55"/>
      <c r="G416" s="56"/>
      <c r="H416" s="54"/>
      <c r="J416" s="55"/>
      <c r="K416" s="56"/>
    </row>
    <row r="417">
      <c r="A417" s="62" t="s">
        <v>68</v>
      </c>
      <c r="B417" s="50" t="str">
        <f>IFERROR(HYPERLINK(VLOOKUP(A417,Internal_lists_bugs!$A$2:$C$73,3,FALSE()), VLOOKUP(A417,Internal_lists_bugs!$A$2:$C$73,3,FALSE())&amp;Char(10) &amp; Char(10) &amp; VLOOKUP(A417,Internal_lists_bugs!$A$2:$Z$73,26,FALSE())),"please select a BUG ID")</f>
        <v>https://github.com/elastic/elasticsearch/issues/5048
/aggregations/AggregatorFactories.java</v>
      </c>
      <c r="C417" s="51" t="str">
        <f>IFERROR(__xludf.DUMMYFUNCTION("IFERROR(IF(REGEXMATCH(VLOOKUP(A417,Internal_lists_bugs!$A$2:$R$73,18,FALSE()), ""Yes""), VLOOKUP(A417,Internal_lists_bugs!$A$2:$U$73,21,FALSE()), VLOOKUP(A417,Internal_lists_bugs!$A$2:$R$73,18,FALSE())),""please select a BUG ID"")"),"No, however, check in the comments something like dup #ID or duplicate #ID")</f>
        <v>No, however, check in the comments something like dup #ID or duplicate #ID</v>
      </c>
      <c r="D417" s="16" t="s">
        <v>441</v>
      </c>
      <c r="E417" s="16" t="s">
        <v>442</v>
      </c>
      <c r="F417" s="55"/>
      <c r="G417" s="56"/>
      <c r="H417" s="54"/>
      <c r="J417" s="55"/>
      <c r="K417" s="56"/>
    </row>
    <row r="418">
      <c r="A418" s="62" t="s">
        <v>68</v>
      </c>
      <c r="B418" s="50" t="str">
        <f>IFERROR(HYPERLINK(VLOOKUP(A418,Internal_lists_bugs!$A$2:$C$73,3,FALSE()), VLOOKUP(A418,Internal_lists_bugs!$A$2:$C$73,3,FALSE())&amp;Char(10) &amp; Char(10) &amp; VLOOKUP(A418,Internal_lists_bugs!$A$2:$Z$73,26,FALSE())),"please select a BUG ID")</f>
        <v>https://github.com/elastic/elasticsearch/issues/5048
/aggregations/AggregatorFactories.java</v>
      </c>
      <c r="C418" s="51" t="str">
        <f>IFERROR(__xludf.DUMMYFUNCTION("IFERROR(IF(REGEXMATCH(VLOOKUP(A418,Internal_lists_bugs!$A$2:$R$73,18,FALSE()), ""Yes""), VLOOKUP(A418,Internal_lists_bugs!$A$2:$U$73,21,FALSE()), VLOOKUP(A418,Internal_lists_bugs!$A$2:$R$73,18,FALSE())),""please select a BUG ID"")"),"No, however, check in the comments something like dup #ID or duplicate #ID")</f>
        <v>No, however, check in the comments something like dup #ID or duplicate #ID</v>
      </c>
      <c r="D418" s="16" t="s">
        <v>443</v>
      </c>
      <c r="E418" s="16" t="s">
        <v>444</v>
      </c>
      <c r="F418" s="55"/>
      <c r="G418" s="56"/>
      <c r="H418" s="54"/>
      <c r="J418" s="55"/>
      <c r="K418" s="56"/>
    </row>
    <row r="419">
      <c r="A419" s="62" t="s">
        <v>68</v>
      </c>
      <c r="B419" s="50" t="str">
        <f>IFERROR(HYPERLINK(VLOOKUP(A419,Internal_lists_bugs!$A$2:$C$73,3,FALSE()), VLOOKUP(A419,Internal_lists_bugs!$A$2:$C$73,3,FALSE())&amp;Char(10) &amp; Char(10) &amp; VLOOKUP(A419,Internal_lists_bugs!$A$2:$Z$73,26,FALSE())),"please select a BUG ID")</f>
        <v>https://github.com/elastic/elasticsearch/issues/5048
/aggregations/AggregatorFactories.java</v>
      </c>
      <c r="C419" s="51" t="str">
        <f>IFERROR(__xludf.DUMMYFUNCTION("IFERROR(IF(REGEXMATCH(VLOOKUP(A419,Internal_lists_bugs!$A$2:$R$73,18,FALSE()), ""Yes""), VLOOKUP(A419,Internal_lists_bugs!$A$2:$U$73,21,FALSE()), VLOOKUP(A419,Internal_lists_bugs!$A$2:$R$73,18,FALSE())),""please select a BUG ID"")"),"No, however, check in the comments something like dup #ID or duplicate #ID")</f>
        <v>No, however, check in the comments something like dup #ID or duplicate #ID</v>
      </c>
      <c r="D419" s="16" t="s">
        <v>445</v>
      </c>
      <c r="E419" s="16" t="s">
        <v>442</v>
      </c>
      <c r="F419" s="55"/>
      <c r="G419" s="56"/>
      <c r="H419" s="54"/>
      <c r="J419" s="55"/>
      <c r="K419" s="56"/>
    </row>
    <row r="420">
      <c r="A420" s="62" t="s">
        <v>68</v>
      </c>
      <c r="B420" s="50" t="str">
        <f>IFERROR(HYPERLINK(VLOOKUP(A420,Internal_lists_bugs!$A$2:$C$73,3,FALSE()), VLOOKUP(A420,Internal_lists_bugs!$A$2:$C$73,3,FALSE())&amp;Char(10) &amp; Char(10) &amp; VLOOKUP(A420,Internal_lists_bugs!$A$2:$Z$73,26,FALSE())),"please select a BUG ID")</f>
        <v>https://github.com/elastic/elasticsearch/issues/5048
/aggregations/AggregatorFactories.java</v>
      </c>
      <c r="C420" s="51" t="str">
        <f>IFERROR(__xludf.DUMMYFUNCTION("IFERROR(IF(REGEXMATCH(VLOOKUP(A420,Internal_lists_bugs!$A$2:$R$73,18,FALSE()), ""Yes""), VLOOKUP(A420,Internal_lists_bugs!$A$2:$U$73,21,FALSE()), VLOOKUP(A420,Internal_lists_bugs!$A$2:$R$73,18,FALSE())),""please select a BUG ID"")"),"No, however, check in the comments something like dup #ID or duplicate #ID")</f>
        <v>No, however, check in the comments something like dup #ID or duplicate #ID</v>
      </c>
      <c r="D420" s="16" t="s">
        <v>446</v>
      </c>
      <c r="E420" s="16" t="s">
        <v>442</v>
      </c>
      <c r="F420" s="55"/>
      <c r="G420" s="56"/>
      <c r="H420" s="54"/>
      <c r="J420" s="55"/>
      <c r="K420" s="56"/>
    </row>
    <row r="421">
      <c r="A421" s="62" t="s">
        <v>68</v>
      </c>
      <c r="B421" s="50" t="str">
        <f>IFERROR(HYPERLINK(VLOOKUP(A421,Internal_lists_bugs!$A$2:$C$73,3,FALSE()), VLOOKUP(A421,Internal_lists_bugs!$A$2:$C$73,3,FALSE())&amp;Char(10) &amp; Char(10) &amp; VLOOKUP(A421,Internal_lists_bugs!$A$2:$Z$73,26,FALSE())),"please select a BUG ID")</f>
        <v>https://github.com/elastic/elasticsearch/issues/5048
/aggregations/AggregatorFactories.java</v>
      </c>
      <c r="C421" s="51" t="str">
        <f>IFERROR(__xludf.DUMMYFUNCTION("IFERROR(IF(REGEXMATCH(VLOOKUP(A421,Internal_lists_bugs!$A$2:$R$73,18,FALSE()), ""Yes""), VLOOKUP(A421,Internal_lists_bugs!$A$2:$U$73,21,FALSE()), VLOOKUP(A421,Internal_lists_bugs!$A$2:$R$73,18,FALSE())),""please select a BUG ID"")"),"No, however, check in the comments something like dup #ID or duplicate #ID")</f>
        <v>No, however, check in the comments something like dup #ID or duplicate #ID</v>
      </c>
      <c r="D421" s="16" t="s">
        <v>374</v>
      </c>
      <c r="E421" s="16" t="s">
        <v>447</v>
      </c>
      <c r="F421" s="55"/>
      <c r="G421" s="56"/>
      <c r="H421" s="54"/>
      <c r="J421" s="55"/>
      <c r="K421" s="56"/>
    </row>
    <row r="422">
      <c r="A422" s="62" t="s">
        <v>68</v>
      </c>
      <c r="B422" s="50" t="str">
        <f>IFERROR(HYPERLINK(VLOOKUP(A422,Internal_lists_bugs!$A$2:$C$73,3,FALSE()), VLOOKUP(A422,Internal_lists_bugs!$A$2:$C$73,3,FALSE())&amp;Char(10) &amp; Char(10) &amp; VLOOKUP(A422,Internal_lists_bugs!$A$2:$Z$73,26,FALSE())),"please select a BUG ID")</f>
        <v>https://github.com/elastic/elasticsearch/issues/5048
/aggregations/AggregatorFactories.java</v>
      </c>
      <c r="C422" s="51" t="str">
        <f>IFERROR(__xludf.DUMMYFUNCTION("IFERROR(IF(REGEXMATCH(VLOOKUP(A422,Internal_lists_bugs!$A$2:$R$73,18,FALSE()), ""Yes""), VLOOKUP(A422,Internal_lists_bugs!$A$2:$U$73,21,FALSE()), VLOOKUP(A422,Internal_lists_bugs!$A$2:$R$73,18,FALSE())),""please select a BUG ID"")"),"No, however, check in the comments something like dup #ID or duplicate #ID")</f>
        <v>No, however, check in the comments something like dup #ID or duplicate #ID</v>
      </c>
      <c r="D422" s="16" t="s">
        <v>448</v>
      </c>
      <c r="E422" s="16" t="s">
        <v>447</v>
      </c>
      <c r="F422" s="55"/>
      <c r="G422" s="56"/>
      <c r="H422" s="54"/>
      <c r="J422" s="55"/>
      <c r="K422" s="56"/>
    </row>
    <row r="423">
      <c r="A423" s="62" t="s">
        <v>68</v>
      </c>
      <c r="B423" s="50" t="str">
        <f>IFERROR(HYPERLINK(VLOOKUP(A423,Internal_lists_bugs!$A$2:$C$73,3,FALSE()), VLOOKUP(A423,Internal_lists_bugs!$A$2:$C$73,3,FALSE())&amp;Char(10) &amp; Char(10) &amp; VLOOKUP(A423,Internal_lists_bugs!$A$2:$Z$73,26,FALSE())),"please select a BUG ID")</f>
        <v>https://github.com/elastic/elasticsearch/issues/5048
/aggregations/AggregatorFactories.java</v>
      </c>
      <c r="C423" s="51" t="str">
        <f>IFERROR(__xludf.DUMMYFUNCTION("IFERROR(IF(REGEXMATCH(VLOOKUP(A423,Internal_lists_bugs!$A$2:$R$73,18,FALSE()), ""Yes""), VLOOKUP(A423,Internal_lists_bugs!$A$2:$U$73,21,FALSE()), VLOOKUP(A423,Internal_lists_bugs!$A$2:$R$73,18,FALSE())),""please select a BUG ID"")"),"No, however, check in the comments something like dup #ID or duplicate #ID")</f>
        <v>No, however, check in the comments something like dup #ID or duplicate #ID</v>
      </c>
      <c r="D423" s="16" t="s">
        <v>119</v>
      </c>
      <c r="E423" s="16" t="s">
        <v>324</v>
      </c>
      <c r="F423" s="55"/>
      <c r="G423" s="56"/>
      <c r="H423" s="54"/>
      <c r="J423" s="55"/>
      <c r="K423" s="56"/>
    </row>
    <row r="424">
      <c r="A424" s="62" t="s">
        <v>69</v>
      </c>
      <c r="B424" s="50" t="str">
        <f>IFERROR(HYPERLINK(VLOOKUP(A424,Internal_lists_bugs!$A$2:$C$73,3,FALSE()), VLOOKUP(A424,Internal_lists_bugs!$A$2:$C$73,3,FALSE())&amp;Char(10) &amp; Char(10) &amp; VLOOKUP(A424,Internal_lists_bugs!$A$2:$Z$73,26,FALSE())),"please select a BUG ID")</f>
        <v>https://github.com/elastic/elasticsearch/issues/1814
/internal/InternalSearchHit.java</v>
      </c>
      <c r="C424" s="51" t="str">
        <f>IFERROR(__xludf.DUMMYFUNCTION("IFERROR(IF(REGEXMATCH(VLOOKUP(A424,Internal_lists_bugs!$A$2:$R$73,18,FALSE()), ""Yes""), VLOOKUP(A424,Internal_lists_bugs!$A$2:$U$73,21,FALSE()), VLOOKUP(A424,Internal_lists_bugs!$A$2:$R$73,18,FALSE())),""please select a BUG ID"")"),"No, however, check in the comments something like dup #ID or duplicate #ID")</f>
        <v>No, however, check in the comments something like dup #ID or duplicate #ID</v>
      </c>
      <c r="D424" s="16" t="s">
        <v>119</v>
      </c>
      <c r="E424" s="16" t="s">
        <v>144</v>
      </c>
      <c r="F424" s="52" t="s">
        <v>121</v>
      </c>
      <c r="G424" s="56"/>
      <c r="H424" s="16" t="s">
        <v>123</v>
      </c>
      <c r="J424" s="52" t="s">
        <v>123</v>
      </c>
      <c r="K424" s="56"/>
    </row>
    <row r="425">
      <c r="A425" s="62" t="s">
        <v>69</v>
      </c>
      <c r="B425" s="50" t="str">
        <f>IFERROR(HYPERLINK(VLOOKUP(A425,Internal_lists_bugs!$A$2:$C$73,3,FALSE()), VLOOKUP(A425,Internal_lists_bugs!$A$2:$C$73,3,FALSE())&amp;Char(10) &amp; Char(10) &amp; VLOOKUP(A425,Internal_lists_bugs!$A$2:$Z$73,26,FALSE())),"please select a BUG ID")</f>
        <v>https://github.com/elastic/elasticsearch/issues/1814
/internal/InternalSearchHit.java</v>
      </c>
      <c r="C425" s="51" t="str">
        <f>IFERROR(__xludf.DUMMYFUNCTION("IFERROR(IF(REGEXMATCH(VLOOKUP(A425,Internal_lists_bugs!$A$2:$R$73,18,FALSE()), ""Yes""), VLOOKUP(A425,Internal_lists_bugs!$A$2:$U$73,21,FALSE()), VLOOKUP(A425,Internal_lists_bugs!$A$2:$R$73,18,FALSE())),""please select a BUG ID"")"),"No, however, check in the comments something like dup #ID or duplicate #ID")</f>
        <v>No, however, check in the comments something like dup #ID or duplicate #ID</v>
      </c>
      <c r="D425" s="16" t="s">
        <v>438</v>
      </c>
      <c r="E425" s="16" t="s">
        <v>144</v>
      </c>
      <c r="F425" s="55"/>
      <c r="G425" s="56"/>
      <c r="H425" s="54"/>
      <c r="J425" s="55"/>
      <c r="K425" s="56"/>
    </row>
    <row r="426">
      <c r="A426" s="62" t="s">
        <v>70</v>
      </c>
      <c r="B426" s="50" t="str">
        <f>IFERROR(HYPERLINK(VLOOKUP(A426,Internal_lists_bugs!$A$2:$C$73,3,FALSE()), VLOOKUP(A426,Internal_lists_bugs!$A$2:$C$73,3,FALSE())&amp;Char(10) &amp; Char(10) &amp; VLOOKUP(A426,Internal_lists_bugs!$A$2:$Z$73,26,FALSE())),"please select a BUG ID")</f>
        <v>https://github.com/elastic/elasticsearch/issues/16246
/core/IngestDocument.java</v>
      </c>
      <c r="C426" s="51" t="str">
        <f>IFERROR(__xludf.DUMMYFUNCTION("IFERROR(IF(REGEXMATCH(VLOOKUP(A426,Internal_lists_bugs!$A$2:$R$73,18,FALSE()), ""Yes""), VLOOKUP(A426,Internal_lists_bugs!$A$2:$U$73,21,FALSE()), VLOOKUP(A426,Internal_lists_bugs!$A$2:$R$73,18,FALSE())),""please select a BUG ID"")"),"No, however, check in the comments something like dup #ID or duplicate #ID")</f>
        <v>No, however, check in the comments something like dup #ID or duplicate #ID</v>
      </c>
      <c r="D426" s="16" t="s">
        <v>211</v>
      </c>
      <c r="E426" s="16" t="s">
        <v>144</v>
      </c>
      <c r="F426" s="52" t="s">
        <v>121</v>
      </c>
      <c r="G426" s="56"/>
      <c r="H426" s="16" t="s">
        <v>123</v>
      </c>
      <c r="J426" s="52" t="s">
        <v>123</v>
      </c>
      <c r="K426" s="56"/>
    </row>
    <row r="427">
      <c r="A427" s="62" t="s">
        <v>70</v>
      </c>
      <c r="B427" s="50" t="str">
        <f>IFERROR(HYPERLINK(VLOOKUP(A427,Internal_lists_bugs!$A$2:$C$73,3,FALSE()), VLOOKUP(A427,Internal_lists_bugs!$A$2:$C$73,3,FALSE())&amp;Char(10) &amp; Char(10) &amp; VLOOKUP(A427,Internal_lists_bugs!$A$2:$Z$73,26,FALSE())),"please select a BUG ID")</f>
        <v>https://github.com/elastic/elasticsearch/issues/16246
/core/IngestDocument.java</v>
      </c>
      <c r="C427" s="51" t="str">
        <f>IFERROR(__xludf.DUMMYFUNCTION("IFERROR(IF(REGEXMATCH(VLOOKUP(A427,Internal_lists_bugs!$A$2:$R$73,18,FALSE()), ""Yes""), VLOOKUP(A427,Internal_lists_bugs!$A$2:$U$73,21,FALSE()), VLOOKUP(A427,Internal_lists_bugs!$A$2:$R$73,18,FALSE())),""please select a BUG ID"")"),"No, however, check in the comments something like dup #ID or duplicate #ID")</f>
        <v>No, however, check in the comments something like dup #ID or duplicate #ID</v>
      </c>
      <c r="D427" s="16" t="s">
        <v>439</v>
      </c>
      <c r="E427" s="16" t="s">
        <v>324</v>
      </c>
      <c r="F427" s="55"/>
      <c r="G427" s="56"/>
      <c r="H427" s="54"/>
      <c r="J427" s="55"/>
      <c r="K427" s="56"/>
    </row>
    <row r="428">
      <c r="A428" s="62" t="s">
        <v>70</v>
      </c>
      <c r="B428" s="50" t="str">
        <f>IFERROR(HYPERLINK(VLOOKUP(A428,Internal_lists_bugs!$A$2:$C$73,3,FALSE()), VLOOKUP(A428,Internal_lists_bugs!$A$2:$C$73,3,FALSE())&amp;Char(10) &amp; Char(10) &amp; VLOOKUP(A428,Internal_lists_bugs!$A$2:$Z$73,26,FALSE())),"please select a BUG ID")</f>
        <v>https://github.com/elastic/elasticsearch/issues/16246
/core/IngestDocument.java</v>
      </c>
      <c r="C428" s="51" t="str">
        <f>IFERROR(__xludf.DUMMYFUNCTION("IFERROR(IF(REGEXMATCH(VLOOKUP(A428,Internal_lists_bugs!$A$2:$R$73,18,FALSE()), ""Yes""), VLOOKUP(A428,Internal_lists_bugs!$A$2:$U$73,21,FALSE()), VLOOKUP(A428,Internal_lists_bugs!$A$2:$R$73,18,FALSE())),""please select a BUG ID"")"),"No, however, check in the comments something like dup #ID or duplicate #ID")</f>
        <v>No, however, check in the comments something like dup #ID or duplicate #ID</v>
      </c>
      <c r="D428" s="16" t="s">
        <v>119</v>
      </c>
      <c r="E428" s="16" t="s">
        <v>144</v>
      </c>
      <c r="F428" s="55"/>
      <c r="G428" s="56"/>
      <c r="H428" s="54"/>
      <c r="J428" s="55"/>
      <c r="K428" s="56"/>
    </row>
    <row r="429">
      <c r="A429" s="62" t="s">
        <v>70</v>
      </c>
      <c r="B429" s="50" t="str">
        <f>IFERROR(HYPERLINK(VLOOKUP(A429,Internal_lists_bugs!$A$2:$C$73,3,FALSE()), VLOOKUP(A429,Internal_lists_bugs!$A$2:$C$73,3,FALSE())&amp;Char(10) &amp; Char(10) &amp; VLOOKUP(A429,Internal_lists_bugs!$A$2:$Z$73,26,FALSE())),"please select a BUG ID")</f>
        <v>https://github.com/elastic/elasticsearch/issues/16246
/core/IngestDocument.java</v>
      </c>
      <c r="C429" s="51" t="str">
        <f>IFERROR(__xludf.DUMMYFUNCTION("IFERROR(IF(REGEXMATCH(VLOOKUP(A429,Internal_lists_bugs!$A$2:$R$73,18,FALSE()), ""Yes""), VLOOKUP(A429,Internal_lists_bugs!$A$2:$U$73,21,FALSE()), VLOOKUP(A429,Internal_lists_bugs!$A$2:$R$73,18,FALSE())),""please select a BUG ID"")"),"No, however, check in the comments something like dup #ID or duplicate #ID")</f>
        <v>No, however, check in the comments something like dup #ID or duplicate #ID</v>
      </c>
      <c r="D429" s="16" t="s">
        <v>149</v>
      </c>
      <c r="E429" s="16" t="s">
        <v>324</v>
      </c>
      <c r="F429" s="55"/>
      <c r="G429" s="56"/>
      <c r="H429" s="54"/>
      <c r="J429" s="55"/>
      <c r="K429" s="56"/>
    </row>
    <row r="430">
      <c r="A430" s="62" t="s">
        <v>70</v>
      </c>
      <c r="B430" s="50" t="str">
        <f>IFERROR(HYPERLINK(VLOOKUP(A430,Internal_lists_bugs!$A$2:$C$73,3,FALSE()), VLOOKUP(A430,Internal_lists_bugs!$A$2:$C$73,3,FALSE())&amp;Char(10) &amp; Char(10) &amp; VLOOKUP(A430,Internal_lists_bugs!$A$2:$Z$73,26,FALSE())),"please select a BUG ID")</f>
        <v>https://github.com/elastic/elasticsearch/issues/16246
/core/IngestDocument.java</v>
      </c>
      <c r="C430" s="51" t="str">
        <f>IFERROR(__xludf.DUMMYFUNCTION("IFERROR(IF(REGEXMATCH(VLOOKUP(A430,Internal_lists_bugs!$A$2:$R$73,18,FALSE()), ""Yes""), VLOOKUP(A430,Internal_lists_bugs!$A$2:$U$73,21,FALSE()), VLOOKUP(A430,Internal_lists_bugs!$A$2:$R$73,18,FALSE())),""please select a BUG ID"")"),"No, however, check in the comments something like dup #ID or duplicate #ID")</f>
        <v>No, however, check in the comments something like dup #ID or duplicate #ID</v>
      </c>
      <c r="D430" s="16" t="s">
        <v>439</v>
      </c>
      <c r="E430" s="16" t="s">
        <v>324</v>
      </c>
      <c r="F430" s="55"/>
      <c r="G430" s="56"/>
      <c r="H430" s="54"/>
      <c r="J430" s="55"/>
      <c r="K430" s="56"/>
    </row>
    <row r="431">
      <c r="A431" s="62" t="s">
        <v>70</v>
      </c>
      <c r="B431" s="50" t="str">
        <f>IFERROR(HYPERLINK(VLOOKUP(A431,Internal_lists_bugs!$A$2:$C$73,3,FALSE()), VLOOKUP(A431,Internal_lists_bugs!$A$2:$C$73,3,FALSE())&amp;Char(10) &amp; Char(10) &amp; VLOOKUP(A431,Internal_lists_bugs!$A$2:$Z$73,26,FALSE())),"please select a BUG ID")</f>
        <v>https://github.com/elastic/elasticsearch/issues/16246
/core/IngestDocument.java</v>
      </c>
      <c r="C431" s="51" t="str">
        <f>IFERROR(__xludf.DUMMYFUNCTION("IFERROR(IF(REGEXMATCH(VLOOKUP(A431,Internal_lists_bugs!$A$2:$R$73,18,FALSE()), ""Yes""), VLOOKUP(A431,Internal_lists_bugs!$A$2:$U$73,21,FALSE()), VLOOKUP(A431,Internal_lists_bugs!$A$2:$R$73,18,FALSE())),""please select a BUG ID"")"),"No, however, check in the comments something like dup #ID or duplicate #ID")</f>
        <v>No, however, check in the comments something like dup #ID or duplicate #ID</v>
      </c>
      <c r="D431" s="16" t="s">
        <v>449</v>
      </c>
      <c r="E431" s="16" t="s">
        <v>324</v>
      </c>
      <c r="F431" s="55"/>
      <c r="G431" s="56"/>
      <c r="H431" s="54"/>
      <c r="J431" s="55"/>
      <c r="K431" s="56"/>
    </row>
    <row r="432">
      <c r="A432" s="62" t="s">
        <v>70</v>
      </c>
      <c r="B432" s="50" t="str">
        <f>IFERROR(HYPERLINK(VLOOKUP(A432,Internal_lists_bugs!$A$2:$C$73,3,FALSE()), VLOOKUP(A432,Internal_lists_bugs!$A$2:$C$73,3,FALSE())&amp;Char(10) &amp; Char(10) &amp; VLOOKUP(A432,Internal_lists_bugs!$A$2:$Z$73,26,FALSE())),"please select a BUG ID")</f>
        <v>https://github.com/elastic/elasticsearch/issues/16246
/core/IngestDocument.java</v>
      </c>
      <c r="C432" s="51" t="str">
        <f>IFERROR(__xludf.DUMMYFUNCTION("IFERROR(IF(REGEXMATCH(VLOOKUP(A432,Internal_lists_bugs!$A$2:$R$73,18,FALSE()), ""Yes""), VLOOKUP(A432,Internal_lists_bugs!$A$2:$U$73,21,FALSE()), VLOOKUP(A432,Internal_lists_bugs!$A$2:$R$73,18,FALSE())),""please select a BUG ID"")"),"No, however, check in the comments something like dup #ID or duplicate #ID")</f>
        <v>No, however, check in the comments something like dup #ID or duplicate #ID</v>
      </c>
      <c r="D432" s="16" t="s">
        <v>149</v>
      </c>
      <c r="E432" s="16" t="s">
        <v>442</v>
      </c>
      <c r="F432" s="55"/>
      <c r="G432" s="56"/>
      <c r="H432" s="54"/>
      <c r="J432" s="55"/>
      <c r="K432" s="56"/>
    </row>
    <row r="433">
      <c r="A433" s="62" t="s">
        <v>70</v>
      </c>
      <c r="B433" s="50" t="str">
        <f>IFERROR(HYPERLINK(VLOOKUP(A433,Internal_lists_bugs!$A$2:$C$73,3,FALSE()), VLOOKUP(A433,Internal_lists_bugs!$A$2:$C$73,3,FALSE())&amp;Char(10) &amp; Char(10) &amp; VLOOKUP(A433,Internal_lists_bugs!$A$2:$Z$73,26,FALSE())),"please select a BUG ID")</f>
        <v>https://github.com/elastic/elasticsearch/issues/16246
/core/IngestDocument.java</v>
      </c>
      <c r="C433" s="51" t="str">
        <f>IFERROR(__xludf.DUMMYFUNCTION("IFERROR(IF(REGEXMATCH(VLOOKUP(A433,Internal_lists_bugs!$A$2:$R$73,18,FALSE()), ""Yes""), VLOOKUP(A433,Internal_lists_bugs!$A$2:$U$73,21,FALSE()), VLOOKUP(A433,Internal_lists_bugs!$A$2:$R$73,18,FALSE())),""please select a BUG ID"")"),"No, however, check in the comments something like dup #ID or duplicate #ID")</f>
        <v>No, however, check in the comments something like dup #ID or duplicate #ID</v>
      </c>
      <c r="D433" s="16" t="s">
        <v>227</v>
      </c>
      <c r="E433" s="16" t="s">
        <v>444</v>
      </c>
      <c r="F433" s="55"/>
      <c r="G433" s="56"/>
      <c r="H433" s="54"/>
      <c r="J433" s="55"/>
      <c r="K433" s="56"/>
    </row>
    <row r="434">
      <c r="A434" s="62" t="s">
        <v>70</v>
      </c>
      <c r="B434" s="50" t="str">
        <f>IFERROR(HYPERLINK(VLOOKUP(A434,Internal_lists_bugs!$A$2:$C$73,3,FALSE()), VLOOKUP(A434,Internal_lists_bugs!$A$2:$C$73,3,FALSE())&amp;Char(10) &amp; Char(10) &amp; VLOOKUP(A434,Internal_lists_bugs!$A$2:$Z$73,26,FALSE())),"please select a BUG ID")</f>
        <v>https://github.com/elastic/elasticsearch/issues/16246
/core/IngestDocument.java</v>
      </c>
      <c r="C434" s="51" t="str">
        <f>IFERROR(__xludf.DUMMYFUNCTION("IFERROR(IF(REGEXMATCH(VLOOKUP(A434,Internal_lists_bugs!$A$2:$R$73,18,FALSE()), ""Yes""), VLOOKUP(A434,Internal_lists_bugs!$A$2:$U$73,21,FALSE()), VLOOKUP(A434,Internal_lists_bugs!$A$2:$R$73,18,FALSE())),""please select a BUG ID"")"),"No, however, check in the comments something like dup #ID or duplicate #ID")</f>
        <v>No, however, check in the comments something like dup #ID or duplicate #ID</v>
      </c>
      <c r="D434" s="16" t="s">
        <v>134</v>
      </c>
      <c r="E434" s="16" t="s">
        <v>444</v>
      </c>
      <c r="F434" s="55"/>
      <c r="G434" s="56"/>
      <c r="H434" s="54"/>
      <c r="J434" s="55"/>
      <c r="K434" s="56"/>
    </row>
    <row r="435">
      <c r="A435" s="62" t="s">
        <v>70</v>
      </c>
      <c r="B435" s="50" t="str">
        <f>IFERROR(HYPERLINK(VLOOKUP(A435,Internal_lists_bugs!$A$2:$C$73,3,FALSE()), VLOOKUP(A435,Internal_lists_bugs!$A$2:$C$73,3,FALSE())&amp;Char(10) &amp; Char(10) &amp; VLOOKUP(A435,Internal_lists_bugs!$A$2:$Z$73,26,FALSE())),"please select a BUG ID")</f>
        <v>https://github.com/elastic/elasticsearch/issues/16246
/core/IngestDocument.java</v>
      </c>
      <c r="C435" s="51" t="str">
        <f>IFERROR(__xludf.DUMMYFUNCTION("IFERROR(IF(REGEXMATCH(VLOOKUP(A435,Internal_lists_bugs!$A$2:$R$73,18,FALSE()), ""Yes""), VLOOKUP(A435,Internal_lists_bugs!$A$2:$U$73,21,FALSE()), VLOOKUP(A435,Internal_lists_bugs!$A$2:$R$73,18,FALSE())),""please select a BUG ID"")"),"No, however, check in the comments something like dup #ID or duplicate #ID")</f>
        <v>No, however, check in the comments something like dup #ID or duplicate #ID</v>
      </c>
      <c r="D435" s="16" t="s">
        <v>450</v>
      </c>
      <c r="E435" s="16" t="s">
        <v>451</v>
      </c>
      <c r="F435" s="55"/>
      <c r="G435" s="56"/>
      <c r="H435" s="54"/>
      <c r="J435" s="55"/>
      <c r="K435" s="56"/>
    </row>
    <row r="436">
      <c r="A436" s="62" t="s">
        <v>71</v>
      </c>
      <c r="B436" s="50" t="str">
        <f>IFERROR(HYPERLINK(VLOOKUP(A436,Internal_lists_bugs!$A$2:$C$73,3,FALSE()), VLOOKUP(A436,Internal_lists_bugs!$A$2:$C$73,3,FALSE())&amp;Char(10) &amp; Char(10) &amp; VLOOKUP(A436,Internal_lists_bugs!$A$2:$Z$73,26,FALSE())),"please select a BUG ID")</f>
        <v>https://github.com/elastic/elasticsearch/issues/764
/xcontent/DynamicTemplate.java</v>
      </c>
      <c r="C436" s="51" t="str">
        <f>IFERROR(__xludf.DUMMYFUNCTION("IFERROR(IF(REGEXMATCH(VLOOKUP(A436,Internal_lists_bugs!$A$2:$R$73,18,FALSE()), ""Yes""), VLOOKUP(A436,Internal_lists_bugs!$A$2:$U$73,21,FALSE()), VLOOKUP(A436,Internal_lists_bugs!$A$2:$R$73,18,FALSE())),""please select a BUG ID"")"),"No, however, check in the comments something like dup #ID or duplicate #ID")</f>
        <v>No, however, check in the comments something like dup #ID or duplicate #ID</v>
      </c>
      <c r="D436" s="16" t="s">
        <v>119</v>
      </c>
      <c r="E436" s="16" t="s">
        <v>452</v>
      </c>
      <c r="F436" s="52" t="s">
        <v>121</v>
      </c>
      <c r="G436" s="56"/>
      <c r="H436" s="16" t="s">
        <v>123</v>
      </c>
      <c r="J436" s="52" t="s">
        <v>123</v>
      </c>
      <c r="K436" s="56"/>
    </row>
    <row r="437">
      <c r="A437" s="62" t="s">
        <v>71</v>
      </c>
      <c r="B437" s="50" t="str">
        <f>IFERROR(HYPERLINK(VLOOKUP(A437,Internal_lists_bugs!$A$2:$C$73,3,FALSE()), VLOOKUP(A437,Internal_lists_bugs!$A$2:$C$73,3,FALSE())&amp;Char(10) &amp; Char(10) &amp; VLOOKUP(A437,Internal_lists_bugs!$A$2:$Z$73,26,FALSE())),"please select a BUG ID")</f>
        <v>https://github.com/elastic/elasticsearch/issues/764
/xcontent/DynamicTemplate.java</v>
      </c>
      <c r="C437" s="51" t="str">
        <f>IFERROR(__xludf.DUMMYFUNCTION("IFERROR(IF(REGEXMATCH(VLOOKUP(A437,Internal_lists_bugs!$A$2:$R$73,18,FALSE()), ""Yes""), VLOOKUP(A437,Internal_lists_bugs!$A$2:$U$73,21,FALSE()), VLOOKUP(A437,Internal_lists_bugs!$A$2:$R$73,18,FALSE())),""please select a BUG ID"")"),"No, however, check in the comments something like dup #ID or duplicate #ID")</f>
        <v>No, however, check in the comments something like dup #ID or duplicate #ID</v>
      </c>
      <c r="D437" s="16" t="s">
        <v>438</v>
      </c>
      <c r="E437" s="16" t="s">
        <v>442</v>
      </c>
      <c r="F437" s="55"/>
      <c r="G437" s="56"/>
      <c r="H437" s="54"/>
      <c r="J437" s="55"/>
      <c r="K437" s="56"/>
    </row>
    <row r="438">
      <c r="A438" s="62" t="s">
        <v>72</v>
      </c>
      <c r="B438" s="50" t="str">
        <f>IFERROR(HYPERLINK(VLOOKUP(A438,Internal_lists_bugs!$A$2:$C$73,3,FALSE()), VLOOKUP(A438,Internal_lists_bugs!$A$2:$C$73,3,FALSE())&amp;Char(10) &amp; Char(10) &amp; VLOOKUP(A438,Internal_lists_bugs!$A$2:$Z$73,26,FALSE())),"please select a BUG ID")</f>
        <v>https://github.com/elastic/elasticsearch/issues/1134
/network/NetworkService.java</v>
      </c>
      <c r="C438" s="51" t="str">
        <f>IFERROR(__xludf.DUMMYFUNCTION("IFERROR(IF(REGEXMATCH(VLOOKUP(A438,Internal_lists_bugs!$A$2:$R$73,18,FALSE()), ""Yes""), VLOOKUP(A438,Internal_lists_bugs!$A$2:$U$73,21,FALSE()), VLOOKUP(A438,Internal_lists_bugs!$A$2:$R$73,18,FALSE())),""please select a BUG ID"")"),"No, however, check in the comments something like dup #ID or duplicate #ID")</f>
        <v>No, however, check in the comments something like dup #ID or duplicate #ID</v>
      </c>
      <c r="D438" s="16" t="s">
        <v>159</v>
      </c>
      <c r="E438" s="16" t="s">
        <v>144</v>
      </c>
      <c r="F438" s="52" t="s">
        <v>453</v>
      </c>
      <c r="G438" s="56"/>
      <c r="H438" s="16" t="s">
        <v>123</v>
      </c>
      <c r="J438" s="52" t="s">
        <v>123</v>
      </c>
      <c r="K438" s="56"/>
    </row>
    <row r="439">
      <c r="A439" s="62" t="s">
        <v>72</v>
      </c>
      <c r="B439" s="50" t="str">
        <f>IFERROR(HYPERLINK(VLOOKUP(A439,Internal_lists_bugs!$A$2:$C$73,3,FALSE()), VLOOKUP(A439,Internal_lists_bugs!$A$2:$C$73,3,FALSE())&amp;Char(10) &amp; Char(10) &amp; VLOOKUP(A439,Internal_lists_bugs!$A$2:$Z$73,26,FALSE())),"please select a BUG ID")</f>
        <v>https://github.com/elastic/elasticsearch/issues/1134
/network/NetworkService.java</v>
      </c>
      <c r="C439" s="51" t="str">
        <f>IFERROR(__xludf.DUMMYFUNCTION("IFERROR(IF(REGEXMATCH(VLOOKUP(A439,Internal_lists_bugs!$A$2:$R$73,18,FALSE()), ""Yes""), VLOOKUP(A439,Internal_lists_bugs!$A$2:$U$73,21,FALSE()), VLOOKUP(A439,Internal_lists_bugs!$A$2:$R$73,18,FALSE())),""please select a BUG ID"")"),"No, however, check in the comments something like dup #ID or duplicate #ID")</f>
        <v>No, however, check in the comments something like dup #ID or duplicate #ID</v>
      </c>
      <c r="D439" s="16" t="s">
        <v>343</v>
      </c>
      <c r="E439" s="16" t="s">
        <v>324</v>
      </c>
      <c r="F439" s="55"/>
      <c r="G439" s="56"/>
      <c r="H439" s="54"/>
      <c r="J439" s="55"/>
      <c r="K439" s="56"/>
    </row>
    <row r="440">
      <c r="A440" s="62" t="s">
        <v>72</v>
      </c>
      <c r="B440" s="50" t="str">
        <f>IFERROR(HYPERLINK(VLOOKUP(A440,Internal_lists_bugs!$A$2:$C$73,3,FALSE()), VLOOKUP(A440,Internal_lists_bugs!$A$2:$C$73,3,FALSE())&amp;Char(10) &amp; Char(10) &amp; VLOOKUP(A440,Internal_lists_bugs!$A$2:$Z$73,26,FALSE())),"please select a BUG ID")</f>
        <v>https://github.com/elastic/elasticsearch/issues/1134
/network/NetworkService.java</v>
      </c>
      <c r="C440" s="51" t="str">
        <f>IFERROR(__xludf.DUMMYFUNCTION("IFERROR(IF(REGEXMATCH(VLOOKUP(A440,Internal_lists_bugs!$A$2:$R$73,18,FALSE()), ""Yes""), VLOOKUP(A440,Internal_lists_bugs!$A$2:$U$73,21,FALSE()), VLOOKUP(A440,Internal_lists_bugs!$A$2:$R$73,18,FALSE())),""please select a BUG ID"")"),"No, however, check in the comments something like dup #ID or duplicate #ID")</f>
        <v>No, however, check in the comments something like dup #ID or duplicate #ID</v>
      </c>
      <c r="D440" s="16" t="s">
        <v>119</v>
      </c>
      <c r="E440" s="16" t="s">
        <v>144</v>
      </c>
      <c r="F440" s="55"/>
      <c r="G440" s="56"/>
      <c r="H440" s="54"/>
      <c r="J440" s="55"/>
      <c r="K440" s="56"/>
    </row>
    <row r="441">
      <c r="A441" s="62" t="s">
        <v>73</v>
      </c>
      <c r="B441" s="50" t="str">
        <f>IFERROR(HYPERLINK(VLOOKUP(A441,Internal_lists_bugs!$A$2:$C$73,3,FALSE()), VLOOKUP(A441,Internal_lists_bugs!$A$2:$C$73,3,FALSE())&amp;Char(10) &amp; Char(10) &amp; VLOOKUP(A441,Internal_lists_bugs!$A$2:$Z$73,26,FALSE())),"please select a BUG ID")</f>
        <v>https://github.com/elastic/elasticsearch/issues/7686
/query/IdsQueryParser.java</v>
      </c>
      <c r="C441" s="51" t="str">
        <f>IFERROR(__xludf.DUMMYFUNCTION("IFERROR(IF(REGEXMATCH(VLOOKUP(A441,Internal_lists_bugs!$A$2:$R$73,18,FALSE()), ""Yes""), VLOOKUP(A441,Internal_lists_bugs!$A$2:$U$73,21,FALSE()), VLOOKUP(A441,Internal_lists_bugs!$A$2:$R$73,18,FALSE())),""please select a BUG ID"")"),"No, however, check in the comments something like dup #ID or duplicate #ID")</f>
        <v>No, however, check in the comments something like dup #ID or duplicate #ID</v>
      </c>
      <c r="D441" s="16" t="s">
        <v>119</v>
      </c>
      <c r="E441" s="16" t="s">
        <v>144</v>
      </c>
      <c r="F441" s="52" t="s">
        <v>121</v>
      </c>
      <c r="G441" s="56"/>
      <c r="H441" s="16" t="s">
        <v>123</v>
      </c>
      <c r="J441" s="52" t="s">
        <v>123</v>
      </c>
      <c r="K441" s="56"/>
    </row>
    <row r="442">
      <c r="A442" s="62" t="s">
        <v>73</v>
      </c>
      <c r="B442" s="50" t="str">
        <f>IFERROR(HYPERLINK(VLOOKUP(A442,Internal_lists_bugs!$A$2:$C$73,3,FALSE()), VLOOKUP(A442,Internal_lists_bugs!$A$2:$C$73,3,FALSE())&amp;Char(10) &amp; Char(10) &amp; VLOOKUP(A442,Internal_lists_bugs!$A$2:$Z$73,26,FALSE())),"please select a BUG ID")</f>
        <v>https://github.com/elastic/elasticsearch/issues/7686
/query/IdsQueryParser.java</v>
      </c>
      <c r="C442" s="51" t="str">
        <f>IFERROR(__xludf.DUMMYFUNCTION("IFERROR(IF(REGEXMATCH(VLOOKUP(A442,Internal_lists_bugs!$A$2:$R$73,18,FALSE()), ""Yes""), VLOOKUP(A442,Internal_lists_bugs!$A$2:$U$73,21,FALSE()), VLOOKUP(A442,Internal_lists_bugs!$A$2:$R$73,18,FALSE())),""please select a BUG ID"")"),"No, however, check in the comments something like dup #ID or duplicate #ID")</f>
        <v>No, however, check in the comments something like dup #ID or duplicate #ID</v>
      </c>
      <c r="D442" s="16" t="s">
        <v>454</v>
      </c>
      <c r="E442" s="16" t="s">
        <v>324</v>
      </c>
      <c r="F442" s="55"/>
      <c r="G442" s="56"/>
      <c r="H442" s="54"/>
      <c r="J442" s="55"/>
      <c r="K442" s="56"/>
    </row>
    <row r="443">
      <c r="A443" s="62" t="s">
        <v>73</v>
      </c>
      <c r="B443" s="50" t="str">
        <f>IFERROR(HYPERLINK(VLOOKUP(A443,Internal_lists_bugs!$A$2:$C$73,3,FALSE()), VLOOKUP(A443,Internal_lists_bugs!$A$2:$C$73,3,FALSE())&amp;Char(10) &amp; Char(10) &amp; VLOOKUP(A443,Internal_lists_bugs!$A$2:$Z$73,26,FALSE())),"please select a BUG ID")</f>
        <v>https://github.com/elastic/elasticsearch/issues/7686
/query/IdsQueryParser.java</v>
      </c>
      <c r="C443" s="51" t="str">
        <f>IFERROR(__xludf.DUMMYFUNCTION("IFERROR(IF(REGEXMATCH(VLOOKUP(A443,Internal_lists_bugs!$A$2:$R$73,18,FALSE()), ""Yes""), VLOOKUP(A443,Internal_lists_bugs!$A$2:$U$73,21,FALSE()), VLOOKUP(A443,Internal_lists_bugs!$A$2:$R$73,18,FALSE())),""please select a BUG ID"")"),"No, however, check in the comments something like dup #ID or duplicate #ID")</f>
        <v>No, however, check in the comments something like dup #ID or duplicate #ID</v>
      </c>
      <c r="D443" s="16" t="s">
        <v>455</v>
      </c>
      <c r="E443" s="16" t="s">
        <v>442</v>
      </c>
      <c r="F443" s="55"/>
      <c r="G443" s="56"/>
      <c r="H443" s="54"/>
      <c r="J443" s="55"/>
      <c r="K443" s="56"/>
    </row>
    <row r="444">
      <c r="A444" s="62" t="s">
        <v>73</v>
      </c>
      <c r="B444" s="50" t="str">
        <f>IFERROR(HYPERLINK(VLOOKUP(A444,Internal_lists_bugs!$A$2:$C$73,3,FALSE()), VLOOKUP(A444,Internal_lists_bugs!$A$2:$C$73,3,FALSE())&amp;Char(10) &amp; Char(10) &amp; VLOOKUP(A444,Internal_lists_bugs!$A$2:$Z$73,26,FALSE())),"please select a BUG ID")</f>
        <v>https://github.com/elastic/elasticsearch/issues/7686
/query/IdsQueryParser.java</v>
      </c>
      <c r="C444" s="51" t="str">
        <f>IFERROR(__xludf.DUMMYFUNCTION("IFERROR(IF(REGEXMATCH(VLOOKUP(A444,Internal_lists_bugs!$A$2:$R$73,18,FALSE()), ""Yes""), VLOOKUP(A444,Internal_lists_bugs!$A$2:$U$73,21,FALSE()), VLOOKUP(A444,Internal_lists_bugs!$A$2:$R$73,18,FALSE())),""please select a BUG ID"")"),"No, however, check in the comments something like dup #ID or duplicate #ID")</f>
        <v>No, however, check in the comments something like dup #ID or duplicate #ID</v>
      </c>
      <c r="D444" s="16" t="s">
        <v>456</v>
      </c>
      <c r="E444" s="16" t="s">
        <v>444</v>
      </c>
      <c r="F444" s="55"/>
      <c r="G444" s="56"/>
      <c r="H444" s="54"/>
      <c r="J444" s="55"/>
      <c r="K444" s="56"/>
    </row>
    <row r="445">
      <c r="A445" s="62" t="s">
        <v>73</v>
      </c>
      <c r="B445" s="50" t="str">
        <f>IFERROR(HYPERLINK(VLOOKUP(A445,Internal_lists_bugs!$A$2:$C$73,3,FALSE()), VLOOKUP(A445,Internal_lists_bugs!$A$2:$C$73,3,FALSE())&amp;Char(10) &amp; Char(10) &amp; VLOOKUP(A445,Internal_lists_bugs!$A$2:$Z$73,26,FALSE())),"please select a BUG ID")</f>
        <v>https://github.com/elastic/elasticsearch/issues/7686
/query/IdsQueryParser.java</v>
      </c>
      <c r="C445" s="51" t="str">
        <f>IFERROR(__xludf.DUMMYFUNCTION("IFERROR(IF(REGEXMATCH(VLOOKUP(A445,Internal_lists_bugs!$A$2:$R$73,18,FALSE()), ""Yes""), VLOOKUP(A445,Internal_lists_bugs!$A$2:$U$73,21,FALSE()), VLOOKUP(A445,Internal_lists_bugs!$A$2:$R$73,18,FALSE())),""please select a BUG ID"")"),"No, however, check in the comments something like dup #ID or duplicate #ID")</f>
        <v>No, however, check in the comments something like dup #ID or duplicate #ID</v>
      </c>
      <c r="D445" s="16" t="s">
        <v>439</v>
      </c>
      <c r="E445" s="16" t="s">
        <v>447</v>
      </c>
      <c r="F445" s="55"/>
      <c r="G445" s="56"/>
      <c r="H445" s="54"/>
      <c r="J445" s="55"/>
      <c r="K445" s="56"/>
    </row>
    <row r="446">
      <c r="A446" s="62" t="s">
        <v>74</v>
      </c>
      <c r="B446" s="50" t="str">
        <f>IFERROR(HYPERLINK(VLOOKUP(A446,Internal_lists_bugs!$A$2:$C$73,3,FALSE()), VLOOKUP(A446,Internal_lists_bugs!$A$2:$C$73,3,FALSE())&amp;Char(10) &amp; Char(10) &amp; VLOOKUP(A446,Internal_lists_bugs!$A$2:$Z$73,26,FALSE())),"please select a BUG ID")</f>
        <v>https://github.com/elastic/elasticsearch/issues/1725
/search/DeletionAwareConstantScoreQuery.java
/search/NotDeletedFilter.java </v>
      </c>
      <c r="C446" s="51" t="str">
        <f>IFERROR(__xludf.DUMMYFUNCTION("IFERROR(IF(REGEXMATCH(VLOOKUP(A446,Internal_lists_bugs!$A$2:$R$73,18,FALSE()), ""Yes""), VLOOKUP(A446,Internal_lists_bugs!$A$2:$U$73,21,FALSE()), VLOOKUP(A446,Internal_lists_bugs!$A$2:$R$73,18,FALSE())),""please select a BUG ID"")"),"No, however, check in the comments something like dup #ID or duplicate #ID")</f>
        <v>No, however, check in the comments something like dup #ID or duplicate #ID</v>
      </c>
      <c r="D446" s="16" t="s">
        <v>119</v>
      </c>
      <c r="E446" s="16" t="s">
        <v>144</v>
      </c>
      <c r="F446" s="52" t="s">
        <v>121</v>
      </c>
      <c r="G446" s="56"/>
      <c r="H446" s="16" t="s">
        <v>123</v>
      </c>
      <c r="J446" s="52" t="s">
        <v>123</v>
      </c>
      <c r="K446" s="56"/>
    </row>
    <row r="447">
      <c r="A447" s="62" t="s">
        <v>74</v>
      </c>
      <c r="B447" s="50" t="str">
        <f>IFERROR(HYPERLINK(VLOOKUP(A447,Internal_lists_bugs!$A$2:$C$73,3,FALSE()), VLOOKUP(A447,Internal_lists_bugs!$A$2:$C$73,3,FALSE())&amp;Char(10) &amp; Char(10) &amp; VLOOKUP(A447,Internal_lists_bugs!$A$2:$Z$73,26,FALSE())),"please select a BUG ID")</f>
        <v>https://github.com/elastic/elasticsearch/issues/1725
/search/DeletionAwareConstantScoreQuery.java
/search/NotDeletedFilter.java </v>
      </c>
      <c r="C447" s="51" t="str">
        <f>IFERROR(__xludf.DUMMYFUNCTION("IFERROR(IF(REGEXMATCH(VLOOKUP(A447,Internal_lists_bugs!$A$2:$R$73,18,FALSE()), ""Yes""), VLOOKUP(A447,Internal_lists_bugs!$A$2:$U$73,21,FALSE()), VLOOKUP(A447,Internal_lists_bugs!$A$2:$R$73,18,FALSE())),""please select a BUG ID"")"),"No, however, check in the comments something like dup #ID or duplicate #ID")</f>
        <v>No, however, check in the comments something like dup #ID or duplicate #ID</v>
      </c>
      <c r="D447" s="16" t="s">
        <v>149</v>
      </c>
      <c r="E447" s="16" t="s">
        <v>324</v>
      </c>
      <c r="F447" s="55"/>
      <c r="G447" s="56"/>
      <c r="H447" s="54"/>
      <c r="J447" s="55"/>
      <c r="K447" s="56"/>
    </row>
    <row r="448">
      <c r="A448" s="62" t="s">
        <v>74</v>
      </c>
      <c r="B448" s="50" t="str">
        <f>IFERROR(HYPERLINK(VLOOKUP(A448,Internal_lists_bugs!$A$2:$C$73,3,FALSE()), VLOOKUP(A448,Internal_lists_bugs!$A$2:$C$73,3,FALSE())&amp;Char(10) &amp; Char(10) &amp; VLOOKUP(A448,Internal_lists_bugs!$A$2:$Z$73,26,FALSE())),"please select a BUG ID")</f>
        <v>https://github.com/elastic/elasticsearch/issues/1725
/search/DeletionAwareConstantScoreQuery.java
/search/NotDeletedFilter.java </v>
      </c>
      <c r="C448" s="51" t="str">
        <f>IFERROR(__xludf.DUMMYFUNCTION("IFERROR(IF(REGEXMATCH(VLOOKUP(A448,Internal_lists_bugs!$A$2:$R$73,18,FALSE()), ""Yes""), VLOOKUP(A448,Internal_lists_bugs!$A$2:$U$73,21,FALSE()), VLOOKUP(A448,Internal_lists_bugs!$A$2:$R$73,18,FALSE())),""please select a BUG ID"")"),"No, however, check in the comments something like dup #ID or duplicate #ID")</f>
        <v>No, however, check in the comments something like dup #ID or duplicate #ID</v>
      </c>
      <c r="D448" s="16" t="s">
        <v>457</v>
      </c>
      <c r="E448" s="16" t="s">
        <v>442</v>
      </c>
      <c r="F448" s="55"/>
      <c r="G448" s="56"/>
      <c r="H448" s="54"/>
      <c r="J448" s="55"/>
      <c r="K448" s="56"/>
    </row>
    <row r="449">
      <c r="A449" s="62" t="s">
        <v>74</v>
      </c>
      <c r="B449" s="50" t="str">
        <f>IFERROR(HYPERLINK(VLOOKUP(A449,Internal_lists_bugs!$A$2:$C$73,3,FALSE()), VLOOKUP(A449,Internal_lists_bugs!$A$2:$C$73,3,FALSE())&amp;Char(10) &amp; Char(10) &amp; VLOOKUP(A449,Internal_lists_bugs!$A$2:$Z$73,26,FALSE())),"please select a BUG ID")</f>
        <v>https://github.com/elastic/elasticsearch/issues/1725
/search/DeletionAwareConstantScoreQuery.java
/search/NotDeletedFilter.java </v>
      </c>
      <c r="C449" s="51" t="str">
        <f>IFERROR(__xludf.DUMMYFUNCTION("IFERROR(IF(REGEXMATCH(VLOOKUP(A449,Internal_lists_bugs!$A$2:$R$73,18,FALSE()), ""Yes""), VLOOKUP(A449,Internal_lists_bugs!$A$2:$U$73,21,FALSE()), VLOOKUP(A449,Internal_lists_bugs!$A$2:$R$73,18,FALSE())),""please select a BUG ID"")"),"No, however, check in the comments something like dup #ID or duplicate #ID")</f>
        <v>No, however, check in the comments something like dup #ID or duplicate #ID</v>
      </c>
      <c r="D449" s="16" t="s">
        <v>458</v>
      </c>
      <c r="E449" s="16" t="s">
        <v>324</v>
      </c>
      <c r="F449" s="55"/>
      <c r="G449" s="56"/>
      <c r="H449" s="54"/>
      <c r="J449" s="55"/>
      <c r="K449" s="56"/>
    </row>
    <row r="450">
      <c r="A450" s="62" t="s">
        <v>75</v>
      </c>
      <c r="B450" s="50" t="str">
        <f>IFERROR(HYPERLINK(VLOOKUP(A450,Internal_lists_bugs!$A$2:$C$73,3,FALSE()), VLOOKUP(A450,Internal_lists_bugs!$A$2:$C$73,3,FALSE())&amp;Char(10) &amp; Char(10) &amp; VLOOKUP(A450,Internal_lists_bugs!$A$2:$Z$73,26,FALSE())),"please select a BUG ID")</f>
        <v>https://github.com/elastic/elasticsearch/issues/8438
/filter/FilterParser.java
/filters/FiltersParser.java</v>
      </c>
      <c r="C450" s="51" t="str">
        <f>IFERROR(__xludf.DUMMYFUNCTION("IFERROR(IF(REGEXMATCH(VLOOKUP(A450,Internal_lists_bugs!$A$2:$R$73,18,FALSE()), ""Yes""), VLOOKUP(A450,Internal_lists_bugs!$A$2:$U$73,21,FALSE()), VLOOKUP(A450,Internal_lists_bugs!$A$2:$R$73,18,FALSE())),""please select a BUG ID"")"),"No, however, check in the comments something like dup #ID or duplicate #ID")</f>
        <v>No, however, check in the comments something like dup #ID or duplicate #ID</v>
      </c>
      <c r="D450" s="16" t="s">
        <v>159</v>
      </c>
      <c r="E450" s="16" t="s">
        <v>144</v>
      </c>
      <c r="F450" s="52" t="s">
        <v>121</v>
      </c>
      <c r="G450" s="56"/>
      <c r="H450" s="16" t="s">
        <v>123</v>
      </c>
      <c r="J450" s="55"/>
      <c r="K450" s="56"/>
    </row>
    <row r="451">
      <c r="A451" s="62" t="s">
        <v>75</v>
      </c>
      <c r="B451" s="50" t="str">
        <f>IFERROR(HYPERLINK(VLOOKUP(A451,Internal_lists_bugs!$A$2:$C$73,3,FALSE()), VLOOKUP(A451,Internal_lists_bugs!$A$2:$C$73,3,FALSE())&amp;Char(10) &amp; Char(10) &amp; VLOOKUP(A451,Internal_lists_bugs!$A$2:$Z$73,26,FALSE())),"please select a BUG ID")</f>
        <v>https://github.com/elastic/elasticsearch/issues/8438
/filter/FilterParser.java
/filters/FiltersParser.java</v>
      </c>
      <c r="C451" s="51" t="str">
        <f>IFERROR(__xludf.DUMMYFUNCTION("IFERROR(IF(REGEXMATCH(VLOOKUP(A451,Internal_lists_bugs!$A$2:$R$73,18,FALSE()), ""Yes""), VLOOKUP(A451,Internal_lists_bugs!$A$2:$U$73,21,FALSE()), VLOOKUP(A451,Internal_lists_bugs!$A$2:$R$73,18,FALSE())),""please select a BUG ID"")"),"No, however, check in the comments something like dup #ID or duplicate #ID")</f>
        <v>No, however, check in the comments something like dup #ID or duplicate #ID</v>
      </c>
      <c r="D451" s="16" t="s">
        <v>374</v>
      </c>
      <c r="E451" s="16" t="s">
        <v>324</v>
      </c>
      <c r="F451" s="55"/>
      <c r="G451" s="56"/>
      <c r="H451" s="54"/>
      <c r="J451" s="55"/>
      <c r="K451" s="56"/>
    </row>
    <row r="452">
      <c r="A452" s="62" t="s">
        <v>75</v>
      </c>
      <c r="B452" s="50" t="str">
        <f>IFERROR(HYPERLINK(VLOOKUP(A452,Internal_lists_bugs!$A$2:$C$73,3,FALSE()), VLOOKUP(A452,Internal_lists_bugs!$A$2:$C$73,3,FALSE())&amp;Char(10) &amp; Char(10) &amp; VLOOKUP(A452,Internal_lists_bugs!$A$2:$Z$73,26,FALSE())),"please select a BUG ID")</f>
        <v>https://github.com/elastic/elasticsearch/issues/8438
/filter/FilterParser.java
/filters/FiltersParser.java</v>
      </c>
      <c r="C452" s="51" t="str">
        <f>IFERROR(__xludf.DUMMYFUNCTION("IFERROR(IF(REGEXMATCH(VLOOKUP(A452,Internal_lists_bugs!$A$2:$R$73,18,FALSE()), ""Yes""), VLOOKUP(A452,Internal_lists_bugs!$A$2:$U$73,21,FALSE()), VLOOKUP(A452,Internal_lists_bugs!$A$2:$R$73,18,FALSE())),""please select a BUG ID"")"),"No, however, check in the comments something like dup #ID or duplicate #ID")</f>
        <v>No, however, check in the comments something like dup #ID or duplicate #ID</v>
      </c>
      <c r="D452" s="16" t="s">
        <v>343</v>
      </c>
      <c r="E452" s="16" t="s">
        <v>324</v>
      </c>
      <c r="F452" s="55"/>
      <c r="G452" s="56"/>
      <c r="H452" s="54"/>
      <c r="J452" s="55"/>
      <c r="K452" s="56"/>
    </row>
    <row r="453">
      <c r="A453" s="62" t="s">
        <v>75</v>
      </c>
      <c r="B453" s="50" t="str">
        <f>IFERROR(HYPERLINK(VLOOKUP(A453,Internal_lists_bugs!$A$2:$C$73,3,FALSE()), VLOOKUP(A453,Internal_lists_bugs!$A$2:$C$73,3,FALSE())&amp;Char(10) &amp; Char(10) &amp; VLOOKUP(A453,Internal_lists_bugs!$A$2:$Z$73,26,FALSE())),"please select a BUG ID")</f>
        <v>https://github.com/elastic/elasticsearch/issues/8438
/filter/FilterParser.java
/filters/FiltersParser.java</v>
      </c>
      <c r="C453" s="51" t="str">
        <f>IFERROR(__xludf.DUMMYFUNCTION("IFERROR(IF(REGEXMATCH(VLOOKUP(A453,Internal_lists_bugs!$A$2:$R$73,18,FALSE()), ""Yes""), VLOOKUP(A453,Internal_lists_bugs!$A$2:$U$73,21,FALSE()), VLOOKUP(A453,Internal_lists_bugs!$A$2:$R$73,18,FALSE())),""please select a BUG ID"")"),"No, however, check in the comments something like dup #ID or duplicate #ID")</f>
        <v>No, however, check in the comments something like dup #ID or duplicate #ID</v>
      </c>
      <c r="D453" s="16" t="s">
        <v>455</v>
      </c>
      <c r="E453" s="16" t="s">
        <v>442</v>
      </c>
      <c r="F453" s="55"/>
      <c r="G453" s="56"/>
      <c r="H453" s="54"/>
      <c r="J453" s="55"/>
      <c r="K453" s="56"/>
    </row>
    <row r="454">
      <c r="A454" s="62" t="s">
        <v>75</v>
      </c>
      <c r="B454" s="50" t="str">
        <f>IFERROR(HYPERLINK(VLOOKUP(A454,Internal_lists_bugs!$A$2:$C$73,3,FALSE()), VLOOKUP(A454,Internal_lists_bugs!$A$2:$C$73,3,FALSE())&amp;Char(10) &amp; Char(10) &amp; VLOOKUP(A454,Internal_lists_bugs!$A$2:$Z$73,26,FALSE())),"please select a BUG ID")</f>
        <v>https://github.com/elastic/elasticsearch/issues/8438
/filter/FilterParser.java
/filters/FiltersParser.java</v>
      </c>
      <c r="C454" s="51" t="str">
        <f>IFERROR(__xludf.DUMMYFUNCTION("IFERROR(IF(REGEXMATCH(VLOOKUP(A454,Internal_lists_bugs!$A$2:$R$73,18,FALSE()), ""Yes""), VLOOKUP(A454,Internal_lists_bugs!$A$2:$U$73,21,FALSE()), VLOOKUP(A454,Internal_lists_bugs!$A$2:$R$73,18,FALSE())),""please select a BUG ID"")"),"No, however, check in the comments something like dup #ID or duplicate #ID")</f>
        <v>No, however, check in the comments something like dup #ID or duplicate #ID</v>
      </c>
      <c r="D454" s="16" t="s">
        <v>456</v>
      </c>
      <c r="E454" s="16" t="s">
        <v>444</v>
      </c>
      <c r="F454" s="55"/>
      <c r="G454" s="56"/>
      <c r="H454" s="54"/>
      <c r="J454" s="55"/>
      <c r="K454" s="56"/>
    </row>
    <row r="455">
      <c r="A455" s="62" t="s">
        <v>75</v>
      </c>
      <c r="B455" s="50" t="str">
        <f>IFERROR(HYPERLINK(VLOOKUP(A455,Internal_lists_bugs!$A$2:$C$73,3,FALSE()), VLOOKUP(A455,Internal_lists_bugs!$A$2:$C$73,3,FALSE())&amp;Char(10) &amp; Char(10) &amp; VLOOKUP(A455,Internal_lists_bugs!$A$2:$Z$73,26,FALSE())),"please select a BUG ID")</f>
        <v>https://github.com/elastic/elasticsearch/issues/8438
/filter/FilterParser.java
/filters/FiltersParser.java</v>
      </c>
      <c r="C455" s="51" t="str">
        <f>IFERROR(__xludf.DUMMYFUNCTION("IFERROR(IF(REGEXMATCH(VLOOKUP(A455,Internal_lists_bugs!$A$2:$R$73,18,FALSE()), ""Yes""), VLOOKUP(A455,Internal_lists_bugs!$A$2:$U$73,21,FALSE()), VLOOKUP(A455,Internal_lists_bugs!$A$2:$R$73,18,FALSE())),""please select a BUG ID"")"),"No, however, check in the comments something like dup #ID or duplicate #ID")</f>
        <v>No, however, check in the comments something like dup #ID or duplicate #ID</v>
      </c>
      <c r="D455" s="16" t="s">
        <v>459</v>
      </c>
      <c r="E455" s="16" t="s">
        <v>444</v>
      </c>
      <c r="F455" s="55"/>
      <c r="G455" s="56"/>
      <c r="H455" s="54"/>
      <c r="J455" s="55"/>
      <c r="K455" s="56"/>
    </row>
    <row r="456">
      <c r="A456" s="62" t="s">
        <v>75</v>
      </c>
      <c r="B456" s="50" t="str">
        <f>IFERROR(HYPERLINK(VLOOKUP(A456,Internal_lists_bugs!$A$2:$C$73,3,FALSE()), VLOOKUP(A456,Internal_lists_bugs!$A$2:$C$73,3,FALSE())&amp;Char(10) &amp; Char(10) &amp; VLOOKUP(A456,Internal_lists_bugs!$A$2:$Z$73,26,FALSE())),"please select a BUG ID")</f>
        <v>https://github.com/elastic/elasticsearch/issues/8438
/filter/FilterParser.java
/filters/FiltersParser.java</v>
      </c>
      <c r="C456" s="51" t="str">
        <f>IFERROR(__xludf.DUMMYFUNCTION("IFERROR(IF(REGEXMATCH(VLOOKUP(A456,Internal_lists_bugs!$A$2:$R$73,18,FALSE()), ""Yes""), VLOOKUP(A456,Internal_lists_bugs!$A$2:$U$73,21,FALSE()), VLOOKUP(A456,Internal_lists_bugs!$A$2:$R$73,18,FALSE())),""please select a BUG ID"")"),"No, however, check in the comments something like dup #ID or duplicate #ID")</f>
        <v>No, however, check in the comments something like dup #ID or duplicate #ID</v>
      </c>
      <c r="D456" s="16" t="s">
        <v>460</v>
      </c>
      <c r="E456" s="16" t="s">
        <v>461</v>
      </c>
      <c r="F456" s="55"/>
      <c r="G456" s="56"/>
      <c r="H456" s="54"/>
      <c r="J456" s="55"/>
      <c r="K456" s="56"/>
    </row>
    <row r="457">
      <c r="A457" s="62" t="s">
        <v>75</v>
      </c>
      <c r="B457" s="50" t="str">
        <f>IFERROR(HYPERLINK(VLOOKUP(A457,Internal_lists_bugs!$A$2:$C$73,3,FALSE()), VLOOKUP(A457,Internal_lists_bugs!$A$2:$C$73,3,FALSE())&amp;Char(10) &amp; Char(10) &amp; VLOOKUP(A457,Internal_lists_bugs!$A$2:$Z$73,26,FALSE())),"please select a BUG ID")</f>
        <v>https://github.com/elastic/elasticsearch/issues/8438
/filter/FilterParser.java
/filters/FiltersParser.java</v>
      </c>
      <c r="C457" s="51" t="str">
        <f>IFERROR(__xludf.DUMMYFUNCTION("IFERROR(IF(REGEXMATCH(VLOOKUP(A457,Internal_lists_bugs!$A$2:$R$73,18,FALSE()), ""Yes""), VLOOKUP(A457,Internal_lists_bugs!$A$2:$U$73,21,FALSE()), VLOOKUP(A457,Internal_lists_bugs!$A$2:$R$73,18,FALSE())),""please select a BUG ID"")"),"No, however, check in the comments something like dup #ID or duplicate #ID")</f>
        <v>No, however, check in the comments something like dup #ID or duplicate #ID</v>
      </c>
      <c r="D457" s="16" t="s">
        <v>456</v>
      </c>
      <c r="E457" s="16" t="s">
        <v>462</v>
      </c>
      <c r="F457" s="55"/>
      <c r="G457" s="56"/>
      <c r="H457" s="54"/>
      <c r="J457" s="55"/>
      <c r="K457" s="56"/>
    </row>
    <row r="458">
      <c r="A458" s="62" t="s">
        <v>75</v>
      </c>
      <c r="B458" s="50" t="str">
        <f>IFERROR(HYPERLINK(VLOOKUP(A458,Internal_lists_bugs!$A$2:$C$73,3,FALSE()), VLOOKUP(A458,Internal_lists_bugs!$A$2:$C$73,3,FALSE())&amp;Char(10) &amp; Char(10) &amp; VLOOKUP(A458,Internal_lists_bugs!$A$2:$Z$73,26,FALSE())),"please select a BUG ID")</f>
        <v>https://github.com/elastic/elasticsearch/issues/8438
/filter/FilterParser.java
/filters/FiltersParser.java</v>
      </c>
      <c r="C458" s="51" t="str">
        <f>IFERROR(__xludf.DUMMYFUNCTION("IFERROR(IF(REGEXMATCH(VLOOKUP(A458,Internal_lists_bugs!$A$2:$R$73,18,FALSE()), ""Yes""), VLOOKUP(A458,Internal_lists_bugs!$A$2:$U$73,21,FALSE()), VLOOKUP(A458,Internal_lists_bugs!$A$2:$R$73,18,FALSE())),""please select a BUG ID"")"),"No, however, check in the comments something like dup #ID or duplicate #ID")</f>
        <v>No, however, check in the comments something like dup #ID or duplicate #ID</v>
      </c>
      <c r="D458" s="16" t="s">
        <v>463</v>
      </c>
      <c r="E458" s="16" t="s">
        <v>451</v>
      </c>
      <c r="F458" s="55"/>
      <c r="G458" s="56"/>
      <c r="H458" s="54"/>
      <c r="J458" s="55"/>
      <c r="K458" s="56"/>
    </row>
    <row r="459">
      <c r="A459" s="62" t="s">
        <v>75</v>
      </c>
      <c r="B459" s="50" t="str">
        <f>IFERROR(HYPERLINK(VLOOKUP(A459,Internal_lists_bugs!$A$2:$C$73,3,FALSE()), VLOOKUP(A459,Internal_lists_bugs!$A$2:$C$73,3,FALSE())&amp;Char(10) &amp; Char(10) &amp; VLOOKUP(A459,Internal_lists_bugs!$A$2:$Z$73,26,FALSE())),"please select a BUG ID")</f>
        <v>https://github.com/elastic/elasticsearch/issues/8438
/filter/FilterParser.java
/filters/FiltersParser.java</v>
      </c>
      <c r="C459" s="51" t="str">
        <f>IFERROR(__xludf.DUMMYFUNCTION("IFERROR(IF(REGEXMATCH(VLOOKUP(A459,Internal_lists_bugs!$A$2:$R$73,18,FALSE()), ""Yes""), VLOOKUP(A459,Internal_lists_bugs!$A$2:$U$73,21,FALSE()), VLOOKUP(A459,Internal_lists_bugs!$A$2:$R$73,18,FALSE())),""please select a BUG ID"")"),"No, however, check in the comments something like dup #ID or duplicate #ID")</f>
        <v>No, however, check in the comments something like dup #ID or duplicate #ID</v>
      </c>
      <c r="D459" s="16" t="s">
        <v>272</v>
      </c>
      <c r="E459" s="16" t="s">
        <v>464</v>
      </c>
      <c r="F459" s="55"/>
      <c r="G459" s="56"/>
      <c r="H459" s="54"/>
      <c r="J459" s="55"/>
      <c r="K459" s="56"/>
    </row>
    <row r="460">
      <c r="A460" s="62" t="s">
        <v>75</v>
      </c>
      <c r="B460" s="50" t="str">
        <f>IFERROR(HYPERLINK(VLOOKUP(A460,Internal_lists_bugs!$A$2:$C$73,3,FALSE()), VLOOKUP(A460,Internal_lists_bugs!$A$2:$C$73,3,FALSE())&amp;Char(10) &amp; Char(10) &amp; VLOOKUP(A460,Internal_lists_bugs!$A$2:$Z$73,26,FALSE())),"please select a BUG ID")</f>
        <v>https://github.com/elastic/elasticsearch/issues/8438
/filter/FilterParser.java
/filters/FiltersParser.java</v>
      </c>
      <c r="C460" s="51" t="str">
        <f>IFERROR(__xludf.DUMMYFUNCTION("IFERROR(IF(REGEXMATCH(VLOOKUP(A460,Internal_lists_bugs!$A$2:$R$73,18,FALSE()), ""Yes""), VLOOKUP(A460,Internal_lists_bugs!$A$2:$U$73,21,FALSE()), VLOOKUP(A460,Internal_lists_bugs!$A$2:$R$73,18,FALSE())),""please select a BUG ID"")"),"No, however, check in the comments something like dup #ID or duplicate #ID")</f>
        <v>No, however, check in the comments something like dup #ID or duplicate #ID</v>
      </c>
      <c r="D460" s="16" t="s">
        <v>441</v>
      </c>
      <c r="E460" s="16" t="s">
        <v>465</v>
      </c>
      <c r="F460" s="55"/>
      <c r="G460" s="56"/>
      <c r="H460" s="54"/>
      <c r="J460" s="55"/>
      <c r="K460" s="56"/>
    </row>
    <row r="461">
      <c r="A461" s="62" t="s">
        <v>75</v>
      </c>
      <c r="B461" s="50" t="str">
        <f>IFERROR(HYPERLINK(VLOOKUP(A461,Internal_lists_bugs!$A$2:$C$73,3,FALSE()), VLOOKUP(A461,Internal_lists_bugs!$A$2:$C$73,3,FALSE())&amp;Char(10) &amp; Char(10) &amp; VLOOKUP(A461,Internal_lists_bugs!$A$2:$Z$73,26,FALSE())),"please select a BUG ID")</f>
        <v>https://github.com/elastic/elasticsearch/issues/8438
/filter/FilterParser.java
/filters/FiltersParser.java</v>
      </c>
      <c r="C461" s="51" t="str">
        <f>IFERROR(__xludf.DUMMYFUNCTION("IFERROR(IF(REGEXMATCH(VLOOKUP(A461,Internal_lists_bugs!$A$2:$R$73,18,FALSE()), ""Yes""), VLOOKUP(A461,Internal_lists_bugs!$A$2:$U$73,21,FALSE()), VLOOKUP(A461,Internal_lists_bugs!$A$2:$R$73,18,FALSE())),""please select a BUG ID"")"),"No, however, check in the comments something like dup #ID or duplicate #ID")</f>
        <v>No, however, check in the comments something like dup #ID or duplicate #ID</v>
      </c>
      <c r="D461" s="16" t="s">
        <v>466</v>
      </c>
      <c r="E461" s="16" t="s">
        <v>467</v>
      </c>
      <c r="F461" s="55"/>
      <c r="G461" s="56"/>
      <c r="H461" s="54"/>
      <c r="J461" s="55"/>
      <c r="K461" s="56"/>
    </row>
    <row r="462">
      <c r="A462" s="62" t="s">
        <v>75</v>
      </c>
      <c r="B462" s="50" t="str">
        <f>IFERROR(HYPERLINK(VLOOKUP(A462,Internal_lists_bugs!$A$2:$C$73,3,FALSE()), VLOOKUP(A462,Internal_lists_bugs!$A$2:$C$73,3,FALSE())&amp;Char(10) &amp; Char(10) &amp; VLOOKUP(A462,Internal_lists_bugs!$A$2:$Z$73,26,FALSE())),"please select a BUG ID")</f>
        <v>https://github.com/elastic/elasticsearch/issues/8438
/filter/FilterParser.java
/filters/FiltersParser.java</v>
      </c>
      <c r="C462" s="51" t="str">
        <f>IFERROR(__xludf.DUMMYFUNCTION("IFERROR(IF(REGEXMATCH(VLOOKUP(A462,Internal_lists_bugs!$A$2:$R$73,18,FALSE()), ""Yes""), VLOOKUP(A462,Internal_lists_bugs!$A$2:$U$73,21,FALSE()), VLOOKUP(A462,Internal_lists_bugs!$A$2:$R$73,18,FALSE())),""please select a BUG ID"")"),"No, however, check in the comments something like dup #ID or duplicate #ID")</f>
        <v>No, however, check in the comments something like dup #ID or duplicate #ID</v>
      </c>
      <c r="D462" s="16" t="s">
        <v>272</v>
      </c>
      <c r="E462" s="16" t="s">
        <v>468</v>
      </c>
      <c r="F462" s="55"/>
      <c r="G462" s="56"/>
      <c r="H462" s="54"/>
      <c r="J462" s="55"/>
      <c r="K462" s="56"/>
    </row>
    <row r="463">
      <c r="A463" s="62" t="s">
        <v>75</v>
      </c>
      <c r="B463" s="50" t="str">
        <f>IFERROR(HYPERLINK(VLOOKUP(A463,Internal_lists_bugs!$A$2:$C$73,3,FALSE()), VLOOKUP(A463,Internal_lists_bugs!$A$2:$C$73,3,FALSE())&amp;Char(10) &amp; Char(10) &amp; VLOOKUP(A463,Internal_lists_bugs!$A$2:$Z$73,26,FALSE())),"please select a BUG ID")</f>
        <v>https://github.com/elastic/elasticsearch/issues/8438
/filter/FilterParser.java
/filters/FiltersParser.java</v>
      </c>
      <c r="C463" s="51" t="str">
        <f>IFERROR(__xludf.DUMMYFUNCTION("IFERROR(IF(REGEXMATCH(VLOOKUP(A463,Internal_lists_bugs!$A$2:$R$73,18,FALSE()), ""Yes""), VLOOKUP(A463,Internal_lists_bugs!$A$2:$U$73,21,FALSE()), VLOOKUP(A463,Internal_lists_bugs!$A$2:$R$73,18,FALSE())),""please select a BUG ID"")"),"No, however, check in the comments something like dup #ID or duplicate #ID")</f>
        <v>No, however, check in the comments something like dup #ID or duplicate #ID</v>
      </c>
      <c r="D463" s="16" t="s">
        <v>262</v>
      </c>
      <c r="E463" s="16" t="s">
        <v>469</v>
      </c>
      <c r="F463" s="55"/>
      <c r="G463" s="56"/>
      <c r="H463" s="54"/>
      <c r="J463" s="55"/>
      <c r="K463" s="56"/>
    </row>
    <row r="464">
      <c r="A464" s="62" t="s">
        <v>75</v>
      </c>
      <c r="B464" s="50" t="str">
        <f>IFERROR(HYPERLINK(VLOOKUP(A464,Internal_lists_bugs!$A$2:$C$73,3,FALSE()), VLOOKUP(A464,Internal_lists_bugs!$A$2:$C$73,3,FALSE())&amp;Char(10) &amp; Char(10) &amp; VLOOKUP(A464,Internal_lists_bugs!$A$2:$Z$73,26,FALSE())),"please select a BUG ID")</f>
        <v>https://github.com/elastic/elasticsearch/issues/8438
/filter/FilterParser.java
/filters/FiltersParser.java</v>
      </c>
      <c r="C464" s="51" t="str">
        <f>IFERROR(__xludf.DUMMYFUNCTION("IFERROR(IF(REGEXMATCH(VLOOKUP(A464,Internal_lists_bugs!$A$2:$R$73,18,FALSE()), ""Yes""), VLOOKUP(A464,Internal_lists_bugs!$A$2:$U$73,21,FALSE()), VLOOKUP(A464,Internal_lists_bugs!$A$2:$R$73,18,FALSE())),""please select a BUG ID"")"),"No, however, check in the comments something like dup #ID or duplicate #ID")</f>
        <v>No, however, check in the comments something like dup #ID or duplicate #ID</v>
      </c>
      <c r="D464" s="16" t="s">
        <v>439</v>
      </c>
      <c r="E464" s="16" t="s">
        <v>470</v>
      </c>
      <c r="F464" s="55"/>
      <c r="G464" s="56"/>
      <c r="H464" s="54"/>
      <c r="J464" s="55"/>
      <c r="K464" s="56"/>
    </row>
    <row r="465">
      <c r="A465" s="62" t="s">
        <v>75</v>
      </c>
      <c r="B465" s="50" t="str">
        <f>IFERROR(HYPERLINK(VLOOKUP(A465,Internal_lists_bugs!$A$2:$C$73,3,FALSE()), VLOOKUP(A465,Internal_lists_bugs!$A$2:$C$73,3,FALSE())&amp;Char(10) &amp; Char(10) &amp; VLOOKUP(A465,Internal_lists_bugs!$A$2:$Z$73,26,FALSE())),"please select a BUG ID")</f>
        <v>https://github.com/elastic/elasticsearch/issues/8438
/filter/FilterParser.java
/filters/FiltersParser.java</v>
      </c>
      <c r="C465" s="51" t="str">
        <f>IFERROR(__xludf.DUMMYFUNCTION("IFERROR(IF(REGEXMATCH(VLOOKUP(A465,Internal_lists_bugs!$A$2:$R$73,18,FALSE()), ""Yes""), VLOOKUP(A465,Internal_lists_bugs!$A$2:$U$73,21,FALSE()), VLOOKUP(A465,Internal_lists_bugs!$A$2:$R$73,18,FALSE())),""please select a BUG ID"")"),"No, however, check in the comments something like dup #ID or duplicate #ID")</f>
        <v>No, however, check in the comments something like dup #ID or duplicate #ID</v>
      </c>
      <c r="D465" s="16" t="s">
        <v>400</v>
      </c>
      <c r="E465" s="16" t="s">
        <v>470</v>
      </c>
      <c r="F465" s="55"/>
      <c r="G465" s="56"/>
      <c r="H465" s="54"/>
      <c r="J465" s="55"/>
      <c r="K465" s="56"/>
    </row>
    <row r="466">
      <c r="A466" s="62" t="s">
        <v>75</v>
      </c>
      <c r="B466" s="50" t="str">
        <f>IFERROR(HYPERLINK(VLOOKUP(A466,Internal_lists_bugs!$A$2:$C$73,3,FALSE()), VLOOKUP(A466,Internal_lists_bugs!$A$2:$C$73,3,FALSE())&amp;Char(10) &amp; Char(10) &amp; VLOOKUP(A466,Internal_lists_bugs!$A$2:$Z$73,26,FALSE())),"please select a BUG ID")</f>
        <v>https://github.com/elastic/elasticsearch/issues/8438
/filter/FilterParser.java
/filters/FiltersParser.java</v>
      </c>
      <c r="C466" s="51" t="str">
        <f>IFERROR(__xludf.DUMMYFUNCTION("IFERROR(IF(REGEXMATCH(VLOOKUP(A466,Internal_lists_bugs!$A$2:$R$73,18,FALSE()), ""Yes""), VLOOKUP(A466,Internal_lists_bugs!$A$2:$U$73,21,FALSE()), VLOOKUP(A466,Internal_lists_bugs!$A$2:$R$73,18,FALSE())),""please select a BUG ID"")"),"No, however, check in the comments something like dup #ID or duplicate #ID")</f>
        <v>No, however, check in the comments something like dup #ID or duplicate #ID</v>
      </c>
      <c r="D466" s="16" t="s">
        <v>471</v>
      </c>
      <c r="E466" s="16" t="s">
        <v>470</v>
      </c>
      <c r="F466" s="55"/>
      <c r="G466" s="56"/>
      <c r="H466" s="54"/>
      <c r="J466" s="55"/>
      <c r="K466" s="56"/>
    </row>
    <row r="467">
      <c r="A467" s="62" t="s">
        <v>75</v>
      </c>
      <c r="B467" s="50" t="str">
        <f>IFERROR(HYPERLINK(VLOOKUP(A467,Internal_lists_bugs!$A$2:$C$73,3,FALSE()), VLOOKUP(A467,Internal_lists_bugs!$A$2:$C$73,3,FALSE())&amp;Char(10) &amp; Char(10) &amp; VLOOKUP(A467,Internal_lists_bugs!$A$2:$Z$73,26,FALSE())),"please select a BUG ID")</f>
        <v>https://github.com/elastic/elasticsearch/issues/8438
/filter/FilterParser.java
/filters/FiltersParser.java</v>
      </c>
      <c r="C467" s="51" t="str">
        <f>IFERROR(__xludf.DUMMYFUNCTION("IFERROR(IF(REGEXMATCH(VLOOKUP(A467,Internal_lists_bugs!$A$2:$R$73,18,FALSE()), ""Yes""), VLOOKUP(A467,Internal_lists_bugs!$A$2:$U$73,21,FALSE()), VLOOKUP(A467,Internal_lists_bugs!$A$2:$R$73,18,FALSE())),""please select a BUG ID"")"),"No, however, check in the comments something like dup #ID or duplicate #ID")</f>
        <v>No, however, check in the comments something like dup #ID or duplicate #ID</v>
      </c>
      <c r="D467" s="16" t="s">
        <v>381</v>
      </c>
      <c r="E467" s="16" t="s">
        <v>472</v>
      </c>
      <c r="F467" s="55"/>
      <c r="G467" s="56"/>
      <c r="H467" s="54"/>
      <c r="J467" s="55"/>
      <c r="K467" s="56"/>
    </row>
    <row r="468">
      <c r="A468" s="62" t="s">
        <v>75</v>
      </c>
      <c r="B468" s="50" t="str">
        <f>IFERROR(HYPERLINK(VLOOKUP(A468,Internal_lists_bugs!$A$2:$C$73,3,FALSE()), VLOOKUP(A468,Internal_lists_bugs!$A$2:$C$73,3,FALSE())&amp;Char(10) &amp; Char(10) &amp; VLOOKUP(A468,Internal_lists_bugs!$A$2:$Z$73,26,FALSE())),"please select a BUG ID")</f>
        <v>https://github.com/elastic/elasticsearch/issues/8438
/filter/FilterParser.java
/filters/FiltersParser.java</v>
      </c>
      <c r="C468" s="51" t="str">
        <f>IFERROR(__xludf.DUMMYFUNCTION("IFERROR(IF(REGEXMATCH(VLOOKUP(A468,Internal_lists_bugs!$A$2:$R$73,18,FALSE()), ""Yes""), VLOOKUP(A468,Internal_lists_bugs!$A$2:$U$73,21,FALSE()), VLOOKUP(A468,Internal_lists_bugs!$A$2:$R$73,18,FALSE())),""please select a BUG ID"")"),"No, however, check in the comments something like dup #ID or duplicate #ID")</f>
        <v>No, however, check in the comments something like dup #ID or duplicate #ID</v>
      </c>
      <c r="D468" s="16" t="s">
        <v>473</v>
      </c>
      <c r="E468" s="16" t="s">
        <v>474</v>
      </c>
      <c r="F468" s="55"/>
      <c r="G468" s="56"/>
      <c r="H468" s="54"/>
      <c r="J468" s="55"/>
      <c r="K468" s="56"/>
    </row>
    <row r="469">
      <c r="A469" s="62" t="s">
        <v>75</v>
      </c>
      <c r="B469" s="50" t="str">
        <f>IFERROR(HYPERLINK(VLOOKUP(A469,Internal_lists_bugs!$A$2:$C$73,3,FALSE()), VLOOKUP(A469,Internal_lists_bugs!$A$2:$C$73,3,FALSE())&amp;Char(10) &amp; Char(10) &amp; VLOOKUP(A469,Internal_lists_bugs!$A$2:$Z$73,26,FALSE())),"please select a BUG ID")</f>
        <v>https://github.com/elastic/elasticsearch/issues/8438
/filter/FilterParser.java
/filters/FiltersParser.java</v>
      </c>
      <c r="C469" s="51" t="str">
        <f>IFERROR(__xludf.DUMMYFUNCTION("IFERROR(IF(REGEXMATCH(VLOOKUP(A469,Internal_lists_bugs!$A$2:$R$73,18,FALSE()), ""Yes""), VLOOKUP(A469,Internal_lists_bugs!$A$2:$U$73,21,FALSE()), VLOOKUP(A469,Internal_lists_bugs!$A$2:$R$73,18,FALSE())),""please select a BUG ID"")"),"No, however, check in the comments something like dup #ID or duplicate #ID")</f>
        <v>No, however, check in the comments something like dup #ID or duplicate #ID</v>
      </c>
      <c r="D469" s="16" t="s">
        <v>334</v>
      </c>
      <c r="E469" s="16" t="s">
        <v>475</v>
      </c>
      <c r="F469" s="55"/>
      <c r="G469" s="56"/>
      <c r="H469" s="54"/>
      <c r="J469" s="55"/>
      <c r="K469" s="56"/>
    </row>
    <row r="470">
      <c r="A470" s="62" t="s">
        <v>75</v>
      </c>
      <c r="B470" s="50" t="str">
        <f>IFERROR(HYPERLINK(VLOOKUP(A470,Internal_lists_bugs!$A$2:$C$73,3,FALSE()), VLOOKUP(A470,Internal_lists_bugs!$A$2:$C$73,3,FALSE())&amp;Char(10) &amp; Char(10) &amp; VLOOKUP(A470,Internal_lists_bugs!$A$2:$Z$73,26,FALSE())),"please select a BUG ID")</f>
        <v>https://github.com/elastic/elasticsearch/issues/8438
/filter/FilterParser.java
/filters/FiltersParser.java</v>
      </c>
      <c r="C470" s="51" t="str">
        <f>IFERROR(__xludf.DUMMYFUNCTION("IFERROR(IF(REGEXMATCH(VLOOKUP(A470,Internal_lists_bugs!$A$2:$R$73,18,FALSE()), ""Yes""), VLOOKUP(A470,Internal_lists_bugs!$A$2:$U$73,21,FALSE()), VLOOKUP(A470,Internal_lists_bugs!$A$2:$R$73,18,FALSE())),""please select a BUG ID"")"),"No, however, check in the comments something like dup #ID or duplicate #ID")</f>
        <v>No, however, check in the comments something like dup #ID or duplicate #ID</v>
      </c>
      <c r="D470" s="16" t="s">
        <v>476</v>
      </c>
      <c r="E470" s="16" t="s">
        <v>477</v>
      </c>
      <c r="F470" s="55"/>
      <c r="G470" s="56"/>
      <c r="H470" s="54"/>
      <c r="J470" s="55"/>
      <c r="K470" s="56"/>
    </row>
    <row r="471">
      <c r="A471" s="62" t="s">
        <v>75</v>
      </c>
      <c r="B471" s="50" t="str">
        <f>IFERROR(HYPERLINK(VLOOKUP(A471,Internal_lists_bugs!$A$2:$C$73,3,FALSE()), VLOOKUP(A471,Internal_lists_bugs!$A$2:$C$73,3,FALSE())&amp;Char(10) &amp; Char(10) &amp; VLOOKUP(A471,Internal_lists_bugs!$A$2:$Z$73,26,FALSE())),"please select a BUG ID")</f>
        <v>https://github.com/elastic/elasticsearch/issues/8438
/filter/FilterParser.java
/filters/FiltersParser.java</v>
      </c>
      <c r="C471" s="51" t="str">
        <f>IFERROR(__xludf.DUMMYFUNCTION("IFERROR(IF(REGEXMATCH(VLOOKUP(A471,Internal_lists_bugs!$A$2:$R$73,18,FALSE()), ""Yes""), VLOOKUP(A471,Internal_lists_bugs!$A$2:$U$73,21,FALSE()), VLOOKUP(A471,Internal_lists_bugs!$A$2:$R$73,18,FALSE())),""please select a BUG ID"")"),"No, however, check in the comments something like dup #ID or duplicate #ID")</f>
        <v>No, however, check in the comments something like dup #ID or duplicate #ID</v>
      </c>
      <c r="D471" s="16" t="s">
        <v>478</v>
      </c>
      <c r="E471" s="16" t="s">
        <v>479</v>
      </c>
      <c r="F471" s="55"/>
      <c r="G471" s="56"/>
      <c r="H471" s="54"/>
      <c r="J471" s="55"/>
      <c r="K471" s="56"/>
    </row>
    <row r="472">
      <c r="A472" s="62" t="s">
        <v>76</v>
      </c>
      <c r="B472" s="50" t="str">
        <f>IFERROR(HYPERLINK(VLOOKUP(A472,Internal_lists_bugs!$A$2:$C$73,3,FALSE()), VLOOKUP(A472,Internal_lists_bugs!$A$2:$C$73,3,FALSE())&amp;Char(10) &amp; Char(10) &amp; VLOOKUP(A472,Internal_lists_bugs!$A$2:$Z$73,26,FALSE())),"please select a BUG ID")</f>
        <v>https://github.com/elastic/elasticsearch/issues/9317
/nested/NestedAggregator.java</v>
      </c>
      <c r="C472" s="51" t="str">
        <f>IFERROR(__xludf.DUMMYFUNCTION("IFERROR(IF(REGEXMATCH(VLOOKUP(A472,Internal_lists_bugs!$A$2:$R$73,18,FALSE()), ""Yes""), VLOOKUP(A472,Internal_lists_bugs!$A$2:$U$73,21,FALSE()), VLOOKUP(A472,Internal_lists_bugs!$A$2:$R$73,18,FALSE())),""please select a BUG ID"")"),"No, however, check in the comments something like dup #ID or duplicate #ID")</f>
        <v>No, however, check in the comments something like dup #ID or duplicate #ID</v>
      </c>
      <c r="D472" s="16" t="s">
        <v>211</v>
      </c>
      <c r="E472" s="16" t="s">
        <v>144</v>
      </c>
      <c r="F472" s="52" t="s">
        <v>121</v>
      </c>
      <c r="G472" s="56"/>
      <c r="H472" s="16" t="s">
        <v>123</v>
      </c>
      <c r="J472" s="52" t="s">
        <v>123</v>
      </c>
      <c r="K472" s="56"/>
    </row>
    <row r="473">
      <c r="A473" s="62" t="s">
        <v>76</v>
      </c>
      <c r="B473" s="50" t="str">
        <f>IFERROR(HYPERLINK(VLOOKUP(A473,Internal_lists_bugs!$A$2:$C$73,3,FALSE()), VLOOKUP(A473,Internal_lists_bugs!$A$2:$C$73,3,FALSE())&amp;Char(10) &amp; Char(10) &amp; VLOOKUP(A473,Internal_lists_bugs!$A$2:$Z$73,26,FALSE())),"please select a BUG ID")</f>
        <v>https://github.com/elastic/elasticsearch/issues/9317
/nested/NestedAggregator.java</v>
      </c>
      <c r="C473" s="51" t="str">
        <f>IFERROR(__xludf.DUMMYFUNCTION("IFERROR(IF(REGEXMATCH(VLOOKUP(A473,Internal_lists_bugs!$A$2:$R$73,18,FALSE()), ""Yes""), VLOOKUP(A473,Internal_lists_bugs!$A$2:$U$73,21,FALSE()), VLOOKUP(A473,Internal_lists_bugs!$A$2:$R$73,18,FALSE())),""please select a BUG ID"")"),"No, however, check in the comments something like dup #ID or duplicate #ID")</f>
        <v>No, however, check in the comments something like dup #ID or duplicate #ID</v>
      </c>
      <c r="D473" s="16" t="s">
        <v>443</v>
      </c>
      <c r="E473" s="16" t="s">
        <v>324</v>
      </c>
      <c r="F473" s="55"/>
      <c r="G473" s="56"/>
      <c r="H473" s="54"/>
      <c r="J473" s="55"/>
      <c r="K473" s="56"/>
    </row>
    <row r="474">
      <c r="A474" s="62" t="s">
        <v>76</v>
      </c>
      <c r="B474" s="50" t="str">
        <f>IFERROR(HYPERLINK(VLOOKUP(A474,Internal_lists_bugs!$A$2:$C$73,3,FALSE()), VLOOKUP(A474,Internal_lists_bugs!$A$2:$C$73,3,FALSE())&amp;Char(10) &amp; Char(10) &amp; VLOOKUP(A474,Internal_lists_bugs!$A$2:$Z$73,26,FALSE())),"please select a BUG ID")</f>
        <v>https://github.com/elastic/elasticsearch/issues/9317
/nested/NestedAggregator.java</v>
      </c>
      <c r="C474" s="51" t="str">
        <f>IFERROR(__xludf.DUMMYFUNCTION("IFERROR(IF(REGEXMATCH(VLOOKUP(A474,Internal_lists_bugs!$A$2:$R$73,18,FALSE()), ""Yes""), VLOOKUP(A474,Internal_lists_bugs!$A$2:$U$73,21,FALSE()), VLOOKUP(A474,Internal_lists_bugs!$A$2:$R$73,18,FALSE())),""please select a BUG ID"")"),"No, however, check in the comments something like dup #ID or duplicate #ID")</f>
        <v>No, however, check in the comments something like dup #ID or duplicate #ID</v>
      </c>
      <c r="D474" s="16" t="s">
        <v>127</v>
      </c>
      <c r="E474" s="16" t="s">
        <v>324</v>
      </c>
      <c r="F474" s="55"/>
      <c r="G474" s="56"/>
      <c r="H474" s="54"/>
      <c r="J474" s="55"/>
      <c r="K474" s="56"/>
    </row>
    <row r="475">
      <c r="A475" s="62" t="s">
        <v>76</v>
      </c>
      <c r="B475" s="50" t="str">
        <f>IFERROR(HYPERLINK(VLOOKUP(A475,Internal_lists_bugs!$A$2:$C$73,3,FALSE()), VLOOKUP(A475,Internal_lists_bugs!$A$2:$C$73,3,FALSE())&amp;Char(10) &amp; Char(10) &amp; VLOOKUP(A475,Internal_lists_bugs!$A$2:$Z$73,26,FALSE())),"please select a BUG ID")</f>
        <v>https://github.com/elastic/elasticsearch/issues/9317
/nested/NestedAggregator.java</v>
      </c>
      <c r="C475" s="51" t="str">
        <f>IFERROR(__xludf.DUMMYFUNCTION("IFERROR(IF(REGEXMATCH(VLOOKUP(A475,Internal_lists_bugs!$A$2:$R$73,18,FALSE()), ""Yes""), VLOOKUP(A475,Internal_lists_bugs!$A$2:$U$73,21,FALSE()), VLOOKUP(A475,Internal_lists_bugs!$A$2:$R$73,18,FALSE())),""please select a BUG ID"")"),"No, however, check in the comments something like dup #ID or duplicate #ID")</f>
        <v>No, however, check in the comments something like dup #ID or duplicate #ID</v>
      </c>
      <c r="D475" s="16" t="s">
        <v>119</v>
      </c>
      <c r="E475" s="16" t="s">
        <v>324</v>
      </c>
      <c r="F475" s="55"/>
      <c r="G475" s="56"/>
      <c r="H475" s="54"/>
      <c r="J475" s="55"/>
      <c r="K475" s="56"/>
    </row>
    <row r="476">
      <c r="A476" s="62" t="s">
        <v>76</v>
      </c>
      <c r="B476" s="50" t="str">
        <f>IFERROR(HYPERLINK(VLOOKUP(A476,Internal_lists_bugs!$A$2:$C$73,3,FALSE()), VLOOKUP(A476,Internal_lists_bugs!$A$2:$C$73,3,FALSE())&amp;Char(10) &amp; Char(10) &amp; VLOOKUP(A476,Internal_lists_bugs!$A$2:$Z$73,26,FALSE())),"please select a BUG ID")</f>
        <v>https://github.com/elastic/elasticsearch/issues/9317
/nested/NestedAggregator.java</v>
      </c>
      <c r="C476" s="51" t="str">
        <f>IFERROR(__xludf.DUMMYFUNCTION("IFERROR(IF(REGEXMATCH(VLOOKUP(A476,Internal_lists_bugs!$A$2:$R$73,18,FALSE()), ""Yes""), VLOOKUP(A476,Internal_lists_bugs!$A$2:$U$73,21,FALSE()), VLOOKUP(A476,Internal_lists_bugs!$A$2:$R$73,18,FALSE())),""please select a BUG ID"")"),"No, however, check in the comments something like dup #ID or duplicate #ID")</f>
        <v>No, however, check in the comments something like dup #ID or duplicate #ID</v>
      </c>
      <c r="D476" s="16" t="s">
        <v>480</v>
      </c>
      <c r="E476" s="16" t="s">
        <v>481</v>
      </c>
      <c r="F476" s="55"/>
      <c r="G476" s="56"/>
      <c r="H476" s="54"/>
      <c r="J476" s="55"/>
      <c r="K476" s="56"/>
    </row>
    <row r="477">
      <c r="A477" s="62" t="s">
        <v>76</v>
      </c>
      <c r="B477" s="50" t="str">
        <f>IFERROR(HYPERLINK(VLOOKUP(A477,Internal_lists_bugs!$A$2:$C$73,3,FALSE()), VLOOKUP(A477,Internal_lists_bugs!$A$2:$C$73,3,FALSE())&amp;Char(10) &amp; Char(10) &amp; VLOOKUP(A477,Internal_lists_bugs!$A$2:$Z$73,26,FALSE())),"please select a BUG ID")</f>
        <v>https://github.com/elastic/elasticsearch/issues/9317
/nested/NestedAggregator.java</v>
      </c>
      <c r="C477" s="51" t="str">
        <f>IFERROR(__xludf.DUMMYFUNCTION("IFERROR(IF(REGEXMATCH(VLOOKUP(A477,Internal_lists_bugs!$A$2:$R$73,18,FALSE()), ""Yes""), VLOOKUP(A477,Internal_lists_bugs!$A$2:$U$73,21,FALSE()), VLOOKUP(A477,Internal_lists_bugs!$A$2:$R$73,18,FALSE())),""please select a BUG ID"")"),"No, however, check in the comments something like dup #ID or duplicate #ID")</f>
        <v>No, however, check in the comments something like dup #ID or duplicate #ID</v>
      </c>
      <c r="D477" s="16" t="s">
        <v>476</v>
      </c>
      <c r="E477" s="16" t="s">
        <v>482</v>
      </c>
      <c r="F477" s="55"/>
      <c r="G477" s="56"/>
      <c r="H477" s="54"/>
      <c r="J477" s="55"/>
      <c r="K477" s="56"/>
    </row>
    <row r="478">
      <c r="A478" s="62" t="s">
        <v>76</v>
      </c>
      <c r="B478" s="50" t="str">
        <f>IFERROR(HYPERLINK(VLOOKUP(A478,Internal_lists_bugs!$A$2:$C$73,3,FALSE()), VLOOKUP(A478,Internal_lists_bugs!$A$2:$C$73,3,FALSE())&amp;Char(10) &amp; Char(10) &amp; VLOOKUP(A478,Internal_lists_bugs!$A$2:$Z$73,26,FALSE())),"please select a BUG ID")</f>
        <v>https://github.com/elastic/elasticsearch/issues/9317
/nested/NestedAggregator.java</v>
      </c>
      <c r="C478" s="51" t="str">
        <f>IFERROR(__xludf.DUMMYFUNCTION("IFERROR(IF(REGEXMATCH(VLOOKUP(A478,Internal_lists_bugs!$A$2:$R$73,18,FALSE()), ""Yes""), VLOOKUP(A478,Internal_lists_bugs!$A$2:$U$73,21,FALSE()), VLOOKUP(A478,Internal_lists_bugs!$A$2:$R$73,18,FALSE())),""please select a BUG ID"")"),"No, however, check in the comments something like dup #ID or duplicate #ID")</f>
        <v>No, however, check in the comments something like dup #ID or duplicate #ID</v>
      </c>
      <c r="D478" s="16" t="s">
        <v>343</v>
      </c>
      <c r="E478" s="16" t="s">
        <v>483</v>
      </c>
      <c r="F478" s="55"/>
      <c r="G478" s="56"/>
      <c r="H478" s="54"/>
      <c r="J478" s="55"/>
      <c r="K478" s="56"/>
    </row>
    <row r="479">
      <c r="A479" s="62" t="s">
        <v>77</v>
      </c>
      <c r="B479" s="50" t="str">
        <f>IFERROR(HYPERLINK(VLOOKUP(A479,Internal_lists_bugs!$A$2:$C$73,3,FALSE()), VLOOKUP(A479,Internal_lists_bugs!$A$2:$C$73,3,FALSE())&amp;Char(10) &amp; Char(10) &amp; VLOOKUP(A479,Internal_lists_bugs!$A$2:$Z$73,26,FALSE())),"please select a BUG ID")</f>
        <v>https://github.com/elastic/elasticsearch/issues/8893
/core/AbstractFieldMapper.java
/internal/TimestampFieldMapper.java</v>
      </c>
      <c r="C479" s="51" t="str">
        <f>IFERROR(__xludf.DUMMYFUNCTION("IFERROR(IF(REGEXMATCH(VLOOKUP(A479,Internal_lists_bugs!$A$2:$R$73,18,FALSE()), ""Yes""), VLOOKUP(A479,Internal_lists_bugs!$A$2:$U$73,21,FALSE()), VLOOKUP(A479,Internal_lists_bugs!$A$2:$R$73,18,FALSE())),""please select a BUG ID"")"),"No, however, check in the comments something like dup #ID or duplicate #ID")</f>
        <v>No, however, check in the comments something like dup #ID or duplicate #ID</v>
      </c>
      <c r="D479" s="16" t="s">
        <v>119</v>
      </c>
      <c r="E479" s="16" t="s">
        <v>144</v>
      </c>
      <c r="F479" s="52" t="s">
        <v>121</v>
      </c>
      <c r="G479" s="56"/>
      <c r="H479" s="16" t="s">
        <v>123</v>
      </c>
      <c r="J479" s="52" t="s">
        <v>123</v>
      </c>
      <c r="K479" s="56"/>
    </row>
    <row r="480">
      <c r="A480" s="62" t="s">
        <v>77</v>
      </c>
      <c r="B480" s="50" t="str">
        <f>IFERROR(HYPERLINK(VLOOKUP(A480,Internal_lists_bugs!$A$2:$C$73,3,FALSE()), VLOOKUP(A480,Internal_lists_bugs!$A$2:$C$73,3,FALSE())&amp;Char(10) &amp; Char(10) &amp; VLOOKUP(A480,Internal_lists_bugs!$A$2:$Z$73,26,FALSE())),"please select a BUG ID")</f>
        <v>https://github.com/elastic/elasticsearch/issues/8893
/core/AbstractFieldMapper.java
/internal/TimestampFieldMapper.java</v>
      </c>
      <c r="C480" s="51" t="str">
        <f>IFERROR(__xludf.DUMMYFUNCTION("IFERROR(IF(REGEXMATCH(VLOOKUP(A480,Internal_lists_bugs!$A$2:$R$73,18,FALSE()), ""Yes""), VLOOKUP(A480,Internal_lists_bugs!$A$2:$U$73,21,FALSE()), VLOOKUP(A480,Internal_lists_bugs!$A$2:$R$73,18,FALSE())),""please select a BUG ID"")"),"No, however, check in the comments something like dup #ID or duplicate #ID")</f>
        <v>No, however, check in the comments something like dup #ID or duplicate #ID</v>
      </c>
      <c r="D480" s="16" t="s">
        <v>119</v>
      </c>
      <c r="E480" s="16" t="s">
        <v>324</v>
      </c>
      <c r="F480" s="55"/>
      <c r="G480" s="56"/>
      <c r="H480" s="54"/>
      <c r="J480" s="55"/>
      <c r="K480" s="56"/>
    </row>
    <row r="481">
      <c r="A481" s="62" t="s">
        <v>77</v>
      </c>
      <c r="B481" s="50" t="str">
        <f>IFERROR(HYPERLINK(VLOOKUP(A481,Internal_lists_bugs!$A$2:$C$73,3,FALSE()), VLOOKUP(A481,Internal_lists_bugs!$A$2:$C$73,3,FALSE())&amp;Char(10) &amp; Char(10) &amp; VLOOKUP(A481,Internal_lists_bugs!$A$2:$Z$73,26,FALSE())),"please select a BUG ID")</f>
        <v>https://github.com/elastic/elasticsearch/issues/8893
/core/AbstractFieldMapper.java
/internal/TimestampFieldMapper.java</v>
      </c>
      <c r="C481" s="51" t="str">
        <f>IFERROR(__xludf.DUMMYFUNCTION("IFERROR(IF(REGEXMATCH(VLOOKUP(A481,Internal_lists_bugs!$A$2:$R$73,18,FALSE()), ""Yes""), VLOOKUP(A481,Internal_lists_bugs!$A$2:$U$73,21,FALSE()), VLOOKUP(A481,Internal_lists_bugs!$A$2:$R$73,18,FALSE())),""please select a BUG ID"")"),"No, however, check in the comments something like dup #ID or duplicate #ID")</f>
        <v>No, however, check in the comments something like dup #ID or duplicate #ID</v>
      </c>
      <c r="D481" s="16" t="s">
        <v>484</v>
      </c>
      <c r="E481" s="16" t="s">
        <v>481</v>
      </c>
      <c r="F481" s="55"/>
      <c r="G481" s="56"/>
      <c r="H481" s="54"/>
      <c r="J481" s="55"/>
      <c r="K481" s="56"/>
    </row>
    <row r="482">
      <c r="A482" s="62" t="s">
        <v>77</v>
      </c>
      <c r="B482" s="50" t="str">
        <f>IFERROR(HYPERLINK(VLOOKUP(A482,Internal_lists_bugs!$A$2:$C$73,3,FALSE()), VLOOKUP(A482,Internal_lists_bugs!$A$2:$C$73,3,FALSE())&amp;Char(10) &amp; Char(10) &amp; VLOOKUP(A482,Internal_lists_bugs!$A$2:$Z$73,26,FALSE())),"please select a BUG ID")</f>
        <v>https://github.com/elastic/elasticsearch/issues/8893
/core/AbstractFieldMapper.java
/internal/TimestampFieldMapper.java</v>
      </c>
      <c r="C482" s="51" t="str">
        <f>IFERROR(__xludf.DUMMYFUNCTION("IFERROR(IF(REGEXMATCH(VLOOKUP(A482,Internal_lists_bugs!$A$2:$R$73,18,FALSE()), ""Yes""), VLOOKUP(A482,Internal_lists_bugs!$A$2:$U$73,21,FALSE()), VLOOKUP(A482,Internal_lists_bugs!$A$2:$R$73,18,FALSE())),""please select a BUG ID"")"),"No, however, check in the comments something like dup #ID or duplicate #ID")</f>
        <v>No, however, check in the comments something like dup #ID or duplicate #ID</v>
      </c>
      <c r="D482" s="16" t="s">
        <v>227</v>
      </c>
      <c r="E482" s="16" t="s">
        <v>324</v>
      </c>
      <c r="F482" s="55"/>
      <c r="G482" s="56"/>
      <c r="H482" s="54"/>
      <c r="J482" s="55"/>
      <c r="K482" s="56"/>
    </row>
    <row r="483">
      <c r="A483" s="62" t="s">
        <v>78</v>
      </c>
      <c r="B483" s="50" t="str">
        <f>IFERROR(HYPERLINK(VLOOKUP(A483,Internal_lists_bugs!$A$2:$C$73,3,FALSE()), VLOOKUP(A483,Internal_lists_bugs!$A$2:$C$73,3,FALSE())&amp;Char(10) &amp; Char(10) &amp; VLOOKUP(A483,Internal_lists_bugs!$A$2:$Z$73,26,FALSE())),"please select a BUG ID")</f>
        <v>https://github.com/elastic/elasticsearch/issues/200
/zen/ZenDiscovery.java
/MasterFaultDetection.java
/zen/fd/NodesFaultDetection.java </v>
      </c>
      <c r="C483" s="51" t="str">
        <f>IFERROR(__xludf.DUMMYFUNCTION("IFERROR(IF(REGEXMATCH(VLOOKUP(A483,Internal_lists_bugs!$A$2:$R$73,18,FALSE()), ""Yes""), VLOOKUP(A483,Internal_lists_bugs!$A$2:$U$73,21,FALSE()), VLOOKUP(A483,Internal_lists_bugs!$A$2:$R$73,18,FALSE())),""please select a BUG ID"")"),"No, however, check in the comments something like dup #ID or duplicate #ID")</f>
        <v>No, however, check in the comments something like dup #ID or duplicate #ID</v>
      </c>
      <c r="D483" s="16" t="s">
        <v>119</v>
      </c>
      <c r="E483" s="16" t="s">
        <v>144</v>
      </c>
      <c r="F483" s="52" t="s">
        <v>485</v>
      </c>
      <c r="G483" s="56"/>
      <c r="H483" s="16" t="s">
        <v>123</v>
      </c>
      <c r="J483" s="55"/>
      <c r="K483" s="56"/>
    </row>
    <row r="484">
      <c r="A484" s="62" t="s">
        <v>78</v>
      </c>
      <c r="B484" s="50" t="str">
        <f>IFERROR(HYPERLINK(VLOOKUP(A484,Internal_lists_bugs!$A$2:$C$73,3,FALSE()), VLOOKUP(A484,Internal_lists_bugs!$A$2:$C$73,3,FALSE())&amp;Char(10) &amp; Char(10) &amp; VLOOKUP(A484,Internal_lists_bugs!$A$2:$Z$73,26,FALSE())),"please select a BUG ID")</f>
        <v>https://github.com/elastic/elasticsearch/issues/200
/zen/ZenDiscovery.java
/MasterFaultDetection.java
/zen/fd/NodesFaultDetection.java </v>
      </c>
      <c r="C484" s="51" t="str">
        <f>IFERROR(__xludf.DUMMYFUNCTION("IFERROR(IF(REGEXMATCH(VLOOKUP(A484,Internal_lists_bugs!$A$2:$R$73,18,FALSE()), ""Yes""), VLOOKUP(A484,Internal_lists_bugs!$A$2:$U$73,21,FALSE()), VLOOKUP(A484,Internal_lists_bugs!$A$2:$R$73,18,FALSE())),""please select a BUG ID"")"),"No, however, check in the comments something like dup #ID or duplicate #ID")</f>
        <v>No, however, check in the comments something like dup #ID or duplicate #ID</v>
      </c>
      <c r="D484" s="16" t="s">
        <v>227</v>
      </c>
      <c r="E484" s="16" t="s">
        <v>324</v>
      </c>
      <c r="F484" s="55"/>
      <c r="G484" s="56"/>
      <c r="H484" s="54"/>
      <c r="J484" s="55"/>
      <c r="K484" s="56"/>
    </row>
    <row r="485">
      <c r="A485" s="62" t="s">
        <v>78</v>
      </c>
      <c r="B485" s="50" t="str">
        <f>IFERROR(HYPERLINK(VLOOKUP(A485,Internal_lists_bugs!$A$2:$C$73,3,FALSE()), VLOOKUP(A485,Internal_lists_bugs!$A$2:$C$73,3,FALSE())&amp;Char(10) &amp; Char(10) &amp; VLOOKUP(A485,Internal_lists_bugs!$A$2:$Z$73,26,FALSE())),"please select a BUG ID")</f>
        <v>https://github.com/elastic/elasticsearch/issues/200
/zen/ZenDiscovery.java
/MasterFaultDetection.java
/zen/fd/NodesFaultDetection.java </v>
      </c>
      <c r="C485" s="51" t="str">
        <f>IFERROR(__xludf.DUMMYFUNCTION("IFERROR(IF(REGEXMATCH(VLOOKUP(A485,Internal_lists_bugs!$A$2:$R$73,18,FALSE()), ""Yes""), VLOOKUP(A485,Internal_lists_bugs!$A$2:$U$73,21,FALSE()), VLOOKUP(A485,Internal_lists_bugs!$A$2:$R$73,18,FALSE())),""please select a BUG ID"")"),"No, however, check in the comments something like dup #ID or duplicate #ID")</f>
        <v>No, however, check in the comments something like dup #ID or duplicate #ID</v>
      </c>
      <c r="D485" s="16" t="s">
        <v>149</v>
      </c>
      <c r="E485" s="16" t="s">
        <v>324</v>
      </c>
      <c r="F485" s="55"/>
      <c r="G485" s="56"/>
      <c r="H485" s="54"/>
      <c r="J485" s="55"/>
      <c r="K485" s="56"/>
    </row>
    <row r="486">
      <c r="A486" s="62" t="s">
        <v>78</v>
      </c>
      <c r="B486" s="50" t="str">
        <f>IFERROR(HYPERLINK(VLOOKUP(A486,Internal_lists_bugs!$A$2:$C$73,3,FALSE()), VLOOKUP(A486,Internal_lists_bugs!$A$2:$C$73,3,FALSE())&amp;Char(10) &amp; Char(10) &amp; VLOOKUP(A486,Internal_lists_bugs!$A$2:$Z$73,26,FALSE())),"please select a BUG ID")</f>
        <v>https://github.com/elastic/elasticsearch/issues/200
/zen/ZenDiscovery.java
/MasterFaultDetection.java
/zen/fd/NodesFaultDetection.java </v>
      </c>
      <c r="C486" s="51" t="str">
        <f>IFERROR(__xludf.DUMMYFUNCTION("IFERROR(IF(REGEXMATCH(VLOOKUP(A486,Internal_lists_bugs!$A$2:$R$73,18,FALSE()), ""Yes""), VLOOKUP(A486,Internal_lists_bugs!$A$2:$U$73,21,FALSE()), VLOOKUP(A486,Internal_lists_bugs!$A$2:$R$73,18,FALSE())),""please select a BUG ID"")"),"No, however, check in the comments something like dup #ID or duplicate #ID")</f>
        <v>No, however, check in the comments something like dup #ID or duplicate #ID</v>
      </c>
      <c r="D486" s="16" t="s">
        <v>438</v>
      </c>
      <c r="E486" s="16" t="s">
        <v>481</v>
      </c>
      <c r="F486" s="55"/>
      <c r="G486" s="56"/>
      <c r="H486" s="54"/>
      <c r="J486" s="55"/>
      <c r="K486" s="56"/>
    </row>
    <row r="487">
      <c r="A487" s="62" t="s">
        <v>79</v>
      </c>
      <c r="B487" s="50" t="str">
        <f>IFERROR(HYPERLINK(VLOOKUP(A487,Internal_lists_bugs!$A$2:$C$73,3,FALSE()), VLOOKUP(A487,Internal_lists_bugs!$A$2:$C$73,3,FALSE())&amp;Char(10) &amp; Char(10) &amp; VLOOKUP(A487,Internal_lists_bugs!$A$2:$Z$73,26,FALSE())),"please select a BUG ID")</f>
        <v>https://github.com/elastic/elasticsearch/issues/1960
/metadata/IndexMetaData.java
/metadata/IndexTemplateMetaData.java
/metadata/MetaData.java
/loader/SettingsLoader.java
/loader/YamlSettingsLoader.java</v>
      </c>
      <c r="C487" s="51" t="str">
        <f>IFERROR(__xludf.DUMMYFUNCTION("IFERROR(IF(REGEXMATCH(VLOOKUP(A487,Internal_lists_bugs!$A$2:$R$73,18,FALSE()), ""Yes""), VLOOKUP(A487,Internal_lists_bugs!$A$2:$U$73,21,FALSE()), VLOOKUP(A487,Internal_lists_bugs!$A$2:$R$73,18,FALSE())),""please select a BUG ID"")"),"No, however, check in the comments something like dup #ID or duplicate #ID")</f>
        <v>No, however, check in the comments something like dup #ID or duplicate #ID</v>
      </c>
      <c r="D487" s="16" t="s">
        <v>458</v>
      </c>
      <c r="E487" s="16" t="s">
        <v>324</v>
      </c>
      <c r="F487" s="52" t="s">
        <v>486</v>
      </c>
      <c r="G487" s="56"/>
      <c r="H487" s="16" t="s">
        <v>123</v>
      </c>
      <c r="J487" s="52" t="s">
        <v>123</v>
      </c>
      <c r="K487" s="56"/>
    </row>
    <row r="488">
      <c r="A488" s="62" t="s">
        <v>79</v>
      </c>
      <c r="B488" s="50" t="str">
        <f>IFERROR(HYPERLINK(VLOOKUP(A488,Internal_lists_bugs!$A$2:$C$73,3,FALSE()), VLOOKUP(A488,Internal_lists_bugs!$A$2:$C$73,3,FALSE())&amp;Char(10) &amp; Char(10) &amp; VLOOKUP(A488,Internal_lists_bugs!$A$2:$Z$73,26,FALSE())),"please select a BUG ID")</f>
        <v>https://github.com/elastic/elasticsearch/issues/1960
/metadata/IndexMetaData.java
/metadata/IndexTemplateMetaData.java
/metadata/MetaData.java
/loader/SettingsLoader.java
/loader/YamlSettingsLoader.java</v>
      </c>
      <c r="C488" s="51" t="str">
        <f>IFERROR(__xludf.DUMMYFUNCTION("IFERROR(IF(REGEXMATCH(VLOOKUP(A488,Internal_lists_bugs!$A$2:$R$73,18,FALSE()), ""Yes""), VLOOKUP(A488,Internal_lists_bugs!$A$2:$U$73,21,FALSE()), VLOOKUP(A488,Internal_lists_bugs!$A$2:$R$73,18,FALSE())),""please select a BUG ID"")"),"No, however, check in the comments something like dup #ID or duplicate #ID")</f>
        <v>No, however, check in the comments something like dup #ID or duplicate #ID</v>
      </c>
      <c r="D488" s="16" t="s">
        <v>119</v>
      </c>
      <c r="E488" s="16" t="s">
        <v>144</v>
      </c>
      <c r="F488" s="55"/>
      <c r="G488" s="56"/>
      <c r="H488" s="54"/>
      <c r="J488" s="55"/>
      <c r="K488" s="56"/>
    </row>
    <row r="489">
      <c r="A489" s="62" t="s">
        <v>79</v>
      </c>
      <c r="B489" s="50" t="str">
        <f>IFERROR(HYPERLINK(VLOOKUP(A489,Internal_lists_bugs!$A$2:$C$73,3,FALSE()), VLOOKUP(A489,Internal_lists_bugs!$A$2:$C$73,3,FALSE())&amp;Char(10) &amp; Char(10) &amp; VLOOKUP(A489,Internal_lists_bugs!$A$2:$Z$73,26,FALSE())),"please select a BUG ID")</f>
        <v>https://github.com/elastic/elasticsearch/issues/1960
/metadata/IndexMetaData.java
/metadata/IndexTemplateMetaData.java
/metadata/MetaData.java
/loader/SettingsLoader.java
/loader/YamlSettingsLoader.java</v>
      </c>
      <c r="C489" s="51" t="str">
        <f>IFERROR(__xludf.DUMMYFUNCTION("IFERROR(IF(REGEXMATCH(VLOOKUP(A489,Internal_lists_bugs!$A$2:$R$73,18,FALSE()), ""Yes""), VLOOKUP(A489,Internal_lists_bugs!$A$2:$U$73,21,FALSE()), VLOOKUP(A489,Internal_lists_bugs!$A$2:$R$73,18,FALSE())),""please select a BUG ID"")"),"No, however, check in the comments something like dup #ID or duplicate #ID")</f>
        <v>No, however, check in the comments something like dup #ID or duplicate #ID</v>
      </c>
      <c r="D489" s="16" t="s">
        <v>211</v>
      </c>
      <c r="E489" s="16" t="s">
        <v>144</v>
      </c>
      <c r="F489" s="55"/>
      <c r="G489" s="56"/>
      <c r="H489" s="54"/>
      <c r="J489" s="55"/>
      <c r="K489" s="56"/>
    </row>
    <row r="490">
      <c r="A490" s="62" t="s">
        <v>80</v>
      </c>
      <c r="B490" s="50" t="str">
        <f>IFERROR(HYPERLINK(VLOOKUP(A490,Internal_lists_bugs!$A$2:$C$73,3,FALSE()), VLOOKUP(A490,Internal_lists_bugs!$A$2:$C$73,3,FALSE())&amp;Char(10) &amp; Char(10) &amp; VLOOKUP(A490,Internal_lists_bugs!$A$2:$Z$73,26,FALSE())),"please select a BUG ID")</f>
        <v>https://github.com/elastic/elasticsearch/issues/14782
/mapper/MappedFieldType.java</v>
      </c>
      <c r="C490" s="51" t="str">
        <f>IFERROR(__xludf.DUMMYFUNCTION("IFERROR(IF(REGEXMATCH(VLOOKUP(A490,Internal_lists_bugs!$A$2:$R$73,18,FALSE()), ""Yes""), VLOOKUP(A490,Internal_lists_bugs!$A$2:$U$73,21,FALSE()), VLOOKUP(A490,Internal_lists_bugs!$A$2:$R$73,18,FALSE())),""please select a BUG ID"")"),"No, however, check in the comments something like dup #ID or duplicate #ID")</f>
        <v>No, however, check in the comments something like dup #ID or duplicate #ID</v>
      </c>
      <c r="D490" s="16" t="s">
        <v>149</v>
      </c>
      <c r="E490" s="16" t="s">
        <v>144</v>
      </c>
      <c r="F490" s="52" t="s">
        <v>121</v>
      </c>
      <c r="G490" s="56"/>
      <c r="H490" s="16" t="s">
        <v>123</v>
      </c>
      <c r="J490" s="52" t="s">
        <v>123</v>
      </c>
      <c r="K490" s="56"/>
    </row>
    <row r="491">
      <c r="A491" s="62" t="s">
        <v>80</v>
      </c>
      <c r="B491" s="50" t="str">
        <f>IFERROR(HYPERLINK(VLOOKUP(A491,Internal_lists_bugs!$A$2:$C$73,3,FALSE()), VLOOKUP(A491,Internal_lists_bugs!$A$2:$C$73,3,FALSE())&amp;Char(10) &amp; Char(10) &amp; VLOOKUP(A491,Internal_lists_bugs!$A$2:$Z$73,26,FALSE())),"please select a BUG ID")</f>
        <v>https://github.com/elastic/elasticsearch/issues/14782
/mapper/MappedFieldType.java</v>
      </c>
      <c r="C491" s="51" t="str">
        <f>IFERROR(__xludf.DUMMYFUNCTION("IFERROR(IF(REGEXMATCH(VLOOKUP(A491,Internal_lists_bugs!$A$2:$R$73,18,FALSE()), ""Yes""), VLOOKUP(A491,Internal_lists_bugs!$A$2:$U$73,21,FALSE()), VLOOKUP(A491,Internal_lists_bugs!$A$2:$R$73,18,FALSE())),""please select a BUG ID"")"),"No, however, check in the comments something like dup #ID or duplicate #ID")</f>
        <v>No, however, check in the comments something like dup #ID or duplicate #ID</v>
      </c>
      <c r="D491" s="16" t="s">
        <v>119</v>
      </c>
      <c r="E491" s="16" t="s">
        <v>144</v>
      </c>
      <c r="F491" s="55"/>
      <c r="G491" s="56"/>
      <c r="H491" s="54"/>
      <c r="J491" s="55"/>
      <c r="K491" s="56"/>
    </row>
    <row r="492">
      <c r="A492" s="62" t="s">
        <v>80</v>
      </c>
      <c r="B492" s="50" t="str">
        <f>IFERROR(HYPERLINK(VLOOKUP(A492,Internal_lists_bugs!$A$2:$C$73,3,FALSE()), VLOOKUP(A492,Internal_lists_bugs!$A$2:$C$73,3,FALSE())&amp;Char(10) &amp; Char(10) &amp; VLOOKUP(A492,Internal_lists_bugs!$A$2:$Z$73,26,FALSE())),"please select a BUG ID")</f>
        <v>https://github.com/elastic/elasticsearch/issues/14782
/mapper/MappedFieldType.java</v>
      </c>
      <c r="C492" s="51" t="str">
        <f>IFERROR(__xludf.DUMMYFUNCTION("IFERROR(IF(REGEXMATCH(VLOOKUP(A492,Internal_lists_bugs!$A$2:$R$73,18,FALSE()), ""Yes""), VLOOKUP(A492,Internal_lists_bugs!$A$2:$U$73,21,FALSE()), VLOOKUP(A492,Internal_lists_bugs!$A$2:$R$73,18,FALSE())),""please select a BUG ID"")"),"No, however, check in the comments something like dup #ID or duplicate #ID")</f>
        <v>No, however, check in the comments something like dup #ID or duplicate #ID</v>
      </c>
      <c r="D492" s="16" t="s">
        <v>127</v>
      </c>
      <c r="E492" s="16" t="s">
        <v>324</v>
      </c>
      <c r="F492" s="55"/>
      <c r="G492" s="56"/>
      <c r="H492" s="54"/>
      <c r="J492" s="55"/>
      <c r="K492" s="56"/>
    </row>
    <row r="493">
      <c r="A493" s="62" t="s">
        <v>80</v>
      </c>
      <c r="B493" s="50" t="str">
        <f>IFERROR(HYPERLINK(VLOOKUP(A493,Internal_lists_bugs!$A$2:$C$73,3,FALSE()), VLOOKUP(A493,Internal_lists_bugs!$A$2:$C$73,3,FALSE())&amp;Char(10) &amp; Char(10) &amp; VLOOKUP(A493,Internal_lists_bugs!$A$2:$Z$73,26,FALSE())),"please select a BUG ID")</f>
        <v>https://github.com/elastic/elasticsearch/issues/14782
/mapper/MappedFieldType.java</v>
      </c>
      <c r="C493" s="51" t="str">
        <f>IFERROR(__xludf.DUMMYFUNCTION("IFERROR(IF(REGEXMATCH(VLOOKUP(A493,Internal_lists_bugs!$A$2:$R$73,18,FALSE()), ""Yes""), VLOOKUP(A493,Internal_lists_bugs!$A$2:$U$73,21,FALSE()), VLOOKUP(A493,Internal_lists_bugs!$A$2:$R$73,18,FALSE())),""please select a BUG ID"")"),"No, however, check in the comments something like dup #ID or duplicate #ID")</f>
        <v>No, however, check in the comments something like dup #ID or duplicate #ID</v>
      </c>
      <c r="D493" s="16" t="s">
        <v>159</v>
      </c>
      <c r="E493" s="16" t="s">
        <v>324</v>
      </c>
      <c r="F493" s="55"/>
      <c r="G493" s="56"/>
      <c r="H493" s="54"/>
      <c r="J493" s="55"/>
      <c r="K493" s="56"/>
    </row>
    <row r="494">
      <c r="A494" s="62" t="s">
        <v>80</v>
      </c>
      <c r="B494" s="50" t="str">
        <f>IFERROR(HYPERLINK(VLOOKUP(A494,Internal_lists_bugs!$A$2:$C$73,3,FALSE()), VLOOKUP(A494,Internal_lists_bugs!$A$2:$C$73,3,FALSE())&amp;Char(10) &amp; Char(10) &amp; VLOOKUP(A494,Internal_lists_bugs!$A$2:$Z$73,26,FALSE())),"please select a BUG ID")</f>
        <v>https://github.com/elastic/elasticsearch/issues/14782
/mapper/MappedFieldType.java</v>
      </c>
      <c r="C494" s="51" t="str">
        <f>IFERROR(__xludf.DUMMYFUNCTION("IFERROR(IF(REGEXMATCH(VLOOKUP(A494,Internal_lists_bugs!$A$2:$R$73,18,FALSE()), ""Yes""), VLOOKUP(A494,Internal_lists_bugs!$A$2:$U$73,21,FALSE()), VLOOKUP(A494,Internal_lists_bugs!$A$2:$R$73,18,FALSE())),""please select a BUG ID"")"),"No, however, check in the comments something like dup #ID or duplicate #ID")</f>
        <v>No, however, check in the comments something like dup #ID or duplicate #ID</v>
      </c>
      <c r="D494" s="16" t="s">
        <v>437</v>
      </c>
      <c r="E494" s="16" t="s">
        <v>481</v>
      </c>
      <c r="F494" s="55"/>
      <c r="G494" s="56"/>
      <c r="H494" s="54"/>
      <c r="J494" s="55"/>
      <c r="K494" s="56"/>
    </row>
    <row r="495">
      <c r="A495" s="62" t="s">
        <v>81</v>
      </c>
      <c r="B495" s="50" t="str">
        <f>IFERROR(HYPERLINK(VLOOKUP(A495,Internal_lists_bugs!$A$2:$C$73,3,FALSE()), VLOOKUP(A495,Internal_lists_bugs!$A$2:$C$73,3,FALSE())&amp;Char(10) &amp; Char(10) &amp; VLOOKUP(A495,Internal_lists_bugs!$A$2:$Z$73,26,FALSE())),"please select a BUG ID")</f>
        <v>https://github.com/elastic/elasticsearch/issues/1380
/highlight/HighlightPhase.java</v>
      </c>
      <c r="C495" s="51" t="str">
        <f>IFERROR(__xludf.DUMMYFUNCTION("IFERROR(IF(REGEXMATCH(VLOOKUP(A495,Internal_lists_bugs!$A$2:$R$73,18,FALSE()), ""Yes""), VLOOKUP(A495,Internal_lists_bugs!$A$2:$U$73,21,FALSE()), VLOOKUP(A495,Internal_lists_bugs!$A$2:$R$73,18,FALSE())),""please select a BUG ID"")"),"No, however, check in the comments something like dup #ID or duplicate #ID")</f>
        <v>No, however, check in the comments something like dup #ID or duplicate #ID</v>
      </c>
      <c r="D495" s="16" t="s">
        <v>374</v>
      </c>
      <c r="E495" s="16" t="s">
        <v>324</v>
      </c>
      <c r="F495" s="52" t="s">
        <v>121</v>
      </c>
      <c r="G495" s="56"/>
      <c r="H495" s="16" t="s">
        <v>123</v>
      </c>
      <c r="J495" s="52" t="s">
        <v>123</v>
      </c>
      <c r="K495" s="56"/>
    </row>
    <row r="496">
      <c r="A496" s="62" t="s">
        <v>81</v>
      </c>
      <c r="B496" s="50" t="str">
        <f>IFERROR(HYPERLINK(VLOOKUP(A496,Internal_lists_bugs!$A$2:$C$73,3,FALSE()), VLOOKUP(A496,Internal_lists_bugs!$A$2:$C$73,3,FALSE())&amp;Char(10) &amp; Char(10) &amp; VLOOKUP(A496,Internal_lists_bugs!$A$2:$Z$73,26,FALSE())),"please select a BUG ID")</f>
        <v>https://github.com/elastic/elasticsearch/issues/1380
/highlight/HighlightPhase.java</v>
      </c>
      <c r="C496" s="51" t="str">
        <f>IFERROR(__xludf.DUMMYFUNCTION("IFERROR(IF(REGEXMATCH(VLOOKUP(A496,Internal_lists_bugs!$A$2:$R$73,18,FALSE()), ""Yes""), VLOOKUP(A496,Internal_lists_bugs!$A$2:$U$73,21,FALSE()), VLOOKUP(A496,Internal_lists_bugs!$A$2:$R$73,18,FALSE())),""please select a BUG ID"")"),"No, however, check in the comments something like dup #ID or duplicate #ID")</f>
        <v>No, however, check in the comments something like dup #ID or duplicate #ID</v>
      </c>
      <c r="D496" s="16" t="s">
        <v>127</v>
      </c>
      <c r="E496" s="16" t="s">
        <v>324</v>
      </c>
      <c r="F496" s="55"/>
      <c r="G496" s="56"/>
      <c r="H496" s="54"/>
      <c r="J496" s="55"/>
      <c r="K496" s="56"/>
    </row>
    <row r="497">
      <c r="A497" s="62" t="s">
        <v>81</v>
      </c>
      <c r="B497" s="50" t="str">
        <f>IFERROR(HYPERLINK(VLOOKUP(A497,Internal_lists_bugs!$A$2:$C$73,3,FALSE()), VLOOKUP(A497,Internal_lists_bugs!$A$2:$C$73,3,FALSE())&amp;Char(10) &amp; Char(10) &amp; VLOOKUP(A497,Internal_lists_bugs!$A$2:$Z$73,26,FALSE())),"please select a BUG ID")</f>
        <v>https://github.com/elastic/elasticsearch/issues/1380
/highlight/HighlightPhase.java</v>
      </c>
      <c r="C497" s="51" t="str">
        <f>IFERROR(__xludf.DUMMYFUNCTION("IFERROR(IF(REGEXMATCH(VLOOKUP(A497,Internal_lists_bugs!$A$2:$R$73,18,FALSE()), ""Yes""), VLOOKUP(A497,Internal_lists_bugs!$A$2:$U$73,21,FALSE()), VLOOKUP(A497,Internal_lists_bugs!$A$2:$R$73,18,FALSE())),""please select a BUG ID"")"),"No, however, check in the comments something like dup #ID or duplicate #ID")</f>
        <v>No, however, check in the comments something like dup #ID or duplicate #ID</v>
      </c>
      <c r="D497" s="16" t="s">
        <v>119</v>
      </c>
      <c r="E497" s="16" t="s">
        <v>324</v>
      </c>
      <c r="F497" s="55"/>
      <c r="G497" s="56"/>
      <c r="H497" s="54"/>
      <c r="J497" s="55"/>
      <c r="K497" s="56"/>
    </row>
    <row r="498">
      <c r="A498" s="62" t="s">
        <v>81</v>
      </c>
      <c r="B498" s="50" t="str">
        <f>IFERROR(HYPERLINK(VLOOKUP(A498,Internal_lists_bugs!$A$2:$C$73,3,FALSE()), VLOOKUP(A498,Internal_lists_bugs!$A$2:$C$73,3,FALSE())&amp;Char(10) &amp; Char(10) &amp; VLOOKUP(A498,Internal_lists_bugs!$A$2:$Z$73,26,FALSE())),"please select a BUG ID")</f>
        <v>https://github.com/elastic/elasticsearch/issues/1380
/highlight/HighlightPhase.java</v>
      </c>
      <c r="C498" s="51" t="str">
        <f>IFERROR(__xludf.DUMMYFUNCTION("IFERROR(IF(REGEXMATCH(VLOOKUP(A498,Internal_lists_bugs!$A$2:$R$73,18,FALSE()), ""Yes""), VLOOKUP(A498,Internal_lists_bugs!$A$2:$U$73,21,FALSE()), VLOOKUP(A498,Internal_lists_bugs!$A$2:$R$73,18,FALSE())),""please select a BUG ID"")"),"No, however, check in the comments something like dup #ID or duplicate #ID")</f>
        <v>No, however, check in the comments something like dup #ID or duplicate #ID</v>
      </c>
      <c r="D498" s="16" t="s">
        <v>149</v>
      </c>
      <c r="E498" s="16" t="s">
        <v>324</v>
      </c>
      <c r="F498" s="55"/>
      <c r="G498" s="56"/>
      <c r="H498" s="54"/>
      <c r="J498" s="55"/>
      <c r="K498" s="56"/>
    </row>
    <row r="499">
      <c r="A499" s="62" t="s">
        <v>82</v>
      </c>
      <c r="B499" s="50" t="str">
        <f>IFERROR(HYPERLINK(VLOOKUP(A499,Internal_lists_bugs!$A$2:$C$73,3,FALSE()), VLOOKUP(A499,Internal_lists_bugs!$A$2:$C$73,3,FALSE())&amp;Char(10) &amp; Char(10) &amp; VLOOKUP(A499,Internal_lists_bugs!$A$2:$Z$73,26,FALSE())),"please select a BUG ID")</f>
        <v>https://github.com/elastic/elasticsearch/issues/1948
/percolator/PercolatorExecutor.java</v>
      </c>
      <c r="C499" s="51" t="str">
        <f>IFERROR(__xludf.DUMMYFUNCTION("IFERROR(IF(REGEXMATCH(VLOOKUP(A499,Internal_lists_bugs!$A$2:$R$73,18,FALSE()), ""Yes""), VLOOKUP(A499,Internal_lists_bugs!$A$2:$U$73,21,FALSE()), VLOOKUP(A499,Internal_lists_bugs!$A$2:$R$73,18,FALSE())),""please select a BUG ID"")"),"No, however, check in the comments something like dup #ID or duplicate #ID")</f>
        <v>No, however, check in the comments something like dup #ID or duplicate #ID</v>
      </c>
      <c r="D499" s="16" t="s">
        <v>119</v>
      </c>
      <c r="E499" s="16" t="s">
        <v>324</v>
      </c>
      <c r="F499" s="52" t="s">
        <v>121</v>
      </c>
      <c r="G499" s="56"/>
      <c r="H499" s="16" t="s">
        <v>123</v>
      </c>
      <c r="J499" s="52" t="s">
        <v>123</v>
      </c>
      <c r="K499" s="56"/>
    </row>
    <row r="500">
      <c r="A500" s="62" t="s">
        <v>82</v>
      </c>
      <c r="B500" s="50" t="str">
        <f>IFERROR(HYPERLINK(VLOOKUP(A500,Internal_lists_bugs!$A$2:$C$73,3,FALSE()), VLOOKUP(A500,Internal_lists_bugs!$A$2:$C$73,3,FALSE())&amp;Char(10) &amp; Char(10) &amp; VLOOKUP(A500,Internal_lists_bugs!$A$2:$Z$73,26,FALSE())),"please select a BUG ID")</f>
        <v>https://github.com/elastic/elasticsearch/issues/1948
/percolator/PercolatorExecutor.java</v>
      </c>
      <c r="C500" s="51" t="str">
        <f>IFERROR(__xludf.DUMMYFUNCTION("IFERROR(IF(REGEXMATCH(VLOOKUP(A500,Internal_lists_bugs!$A$2:$R$73,18,FALSE()), ""Yes""), VLOOKUP(A500,Internal_lists_bugs!$A$2:$U$73,21,FALSE()), VLOOKUP(A500,Internal_lists_bugs!$A$2:$R$73,18,FALSE())),""please select a BUG ID"")"),"No, however, check in the comments something like dup #ID or duplicate #ID")</f>
        <v>No, however, check in the comments something like dup #ID or duplicate #ID</v>
      </c>
      <c r="D500" s="16" t="s">
        <v>149</v>
      </c>
      <c r="E500" s="16" t="s">
        <v>324</v>
      </c>
      <c r="F500" s="55"/>
      <c r="G500" s="56"/>
      <c r="H500" s="54"/>
      <c r="J500" s="55"/>
      <c r="K500" s="56"/>
    </row>
    <row r="501">
      <c r="A501" s="62" t="s">
        <v>82</v>
      </c>
      <c r="B501" s="50" t="str">
        <f>IFERROR(HYPERLINK(VLOOKUP(A501,Internal_lists_bugs!$A$2:$C$73,3,FALSE()), VLOOKUP(A501,Internal_lists_bugs!$A$2:$C$73,3,FALSE())&amp;Char(10) &amp; Char(10) &amp; VLOOKUP(A501,Internal_lists_bugs!$A$2:$Z$73,26,FALSE())),"please select a BUG ID")</f>
        <v>https://github.com/elastic/elasticsearch/issues/1948
/percolator/PercolatorExecutor.java</v>
      </c>
      <c r="C501" s="51" t="str">
        <f>IFERROR(__xludf.DUMMYFUNCTION("IFERROR(IF(REGEXMATCH(VLOOKUP(A501,Internal_lists_bugs!$A$2:$R$73,18,FALSE()), ""Yes""), VLOOKUP(A501,Internal_lists_bugs!$A$2:$U$73,21,FALSE()), VLOOKUP(A501,Internal_lists_bugs!$A$2:$R$73,18,FALSE())),""please select a BUG ID"")"),"No, however, check in the comments something like dup #ID or duplicate #ID")</f>
        <v>No, however, check in the comments something like dup #ID or duplicate #ID</v>
      </c>
      <c r="D501" s="16" t="s">
        <v>227</v>
      </c>
      <c r="E501" s="16" t="s">
        <v>324</v>
      </c>
      <c r="F501" s="55"/>
      <c r="G501" s="56"/>
      <c r="H501" s="54"/>
      <c r="J501" s="55"/>
      <c r="K501" s="56"/>
    </row>
    <row r="502">
      <c r="A502" s="62" t="s">
        <v>83</v>
      </c>
      <c r="B502" s="50" t="str">
        <f>IFERROR(HYPERLINK(VLOOKUP(A502,Internal_lists_bugs!$A$2:$C$73,3,FALSE()), VLOOKUP(A502,Internal_lists_bugs!$A$2:$C$73,3,FALSE())&amp;Char(10) &amp; Char(10) &amp; VLOOKUP(A502,Internal_lists_bugs!$A$2:$Z$73,26,FALSE())),"please select a BUG ID")</f>
        <v>https://github.com/elastic/elasticsearch/issues/3242
/shape/ShapeFetchService.java</v>
      </c>
      <c r="C502" s="51" t="str">
        <f>IFERROR(__xludf.DUMMYFUNCTION("IFERROR(IF(REGEXMATCH(VLOOKUP(A502,Internal_lists_bugs!$A$2:$R$73,18,FALSE()), ""Yes""), VLOOKUP(A502,Internal_lists_bugs!$A$2:$U$73,21,FALSE()), VLOOKUP(A502,Internal_lists_bugs!$A$2:$R$73,18,FALSE())),""please select a BUG ID"")"),"No, however, check in the comments something like dup #ID or duplicate #ID")</f>
        <v>No, however, check in the comments something like dup #ID or duplicate #ID</v>
      </c>
      <c r="D502" s="16" t="s">
        <v>119</v>
      </c>
      <c r="E502" s="16" t="s">
        <v>144</v>
      </c>
      <c r="F502" s="52" t="s">
        <v>121</v>
      </c>
      <c r="G502" s="56"/>
      <c r="H502" s="16" t="s">
        <v>123</v>
      </c>
      <c r="J502" s="52" t="s">
        <v>123</v>
      </c>
      <c r="K502" s="56"/>
    </row>
    <row r="503">
      <c r="A503" s="62" t="s">
        <v>83</v>
      </c>
      <c r="B503" s="50" t="str">
        <f>IFERROR(HYPERLINK(VLOOKUP(A503,Internal_lists_bugs!$A$2:$C$73,3,FALSE()), VLOOKUP(A503,Internal_lists_bugs!$A$2:$C$73,3,FALSE())&amp;Char(10) &amp; Char(10) &amp; VLOOKUP(A503,Internal_lists_bugs!$A$2:$Z$73,26,FALSE())),"please select a BUG ID")</f>
        <v>https://github.com/elastic/elasticsearch/issues/3242
/shape/ShapeFetchService.java</v>
      </c>
      <c r="C503" s="51" t="str">
        <f>IFERROR(__xludf.DUMMYFUNCTION("IFERROR(IF(REGEXMATCH(VLOOKUP(A503,Internal_lists_bugs!$A$2:$R$73,18,FALSE()), ""Yes""), VLOOKUP(A503,Internal_lists_bugs!$A$2:$U$73,21,FALSE()), VLOOKUP(A503,Internal_lists_bugs!$A$2:$R$73,18,FALSE())),""please select a BUG ID"")"),"No, however, check in the comments something like dup #ID or duplicate #ID")</f>
        <v>No, however, check in the comments something like dup #ID or duplicate #ID</v>
      </c>
      <c r="D503" s="16" t="s">
        <v>119</v>
      </c>
      <c r="E503" s="16" t="s">
        <v>324</v>
      </c>
      <c r="F503" s="55"/>
      <c r="G503" s="56"/>
      <c r="H503" s="54"/>
      <c r="J503" s="55"/>
      <c r="K503" s="56"/>
    </row>
    <row r="504">
      <c r="A504" s="62" t="s">
        <v>83</v>
      </c>
      <c r="B504" s="50" t="str">
        <f>IFERROR(HYPERLINK(VLOOKUP(A504,Internal_lists_bugs!$A$2:$C$73,3,FALSE()), VLOOKUP(A504,Internal_lists_bugs!$A$2:$C$73,3,FALSE())&amp;Char(10) &amp; Char(10) &amp; VLOOKUP(A504,Internal_lists_bugs!$A$2:$Z$73,26,FALSE())),"please select a BUG ID")</f>
        <v>https://github.com/elastic/elasticsearch/issues/3242
/shape/ShapeFetchService.java</v>
      </c>
      <c r="C504" s="51" t="str">
        <f>IFERROR(__xludf.DUMMYFUNCTION("IFERROR(IF(REGEXMATCH(VLOOKUP(A504,Internal_lists_bugs!$A$2:$R$73,18,FALSE()), ""Yes""), VLOOKUP(A504,Internal_lists_bugs!$A$2:$U$73,21,FALSE()), VLOOKUP(A504,Internal_lists_bugs!$A$2:$R$73,18,FALSE())),""please select a BUG ID"")"),"No, however, check in the comments something like dup #ID or duplicate #ID")</f>
        <v>No, however, check in the comments something like dup #ID or duplicate #ID</v>
      </c>
      <c r="D504" s="16" t="s">
        <v>159</v>
      </c>
      <c r="E504" s="16" t="s">
        <v>324</v>
      </c>
      <c r="F504" s="55"/>
      <c r="G504" s="56"/>
      <c r="H504" s="54"/>
      <c r="J504" s="55"/>
      <c r="K504" s="56"/>
    </row>
    <row r="505">
      <c r="A505" s="62" t="s">
        <v>83</v>
      </c>
      <c r="B505" s="50" t="str">
        <f>IFERROR(HYPERLINK(VLOOKUP(A505,Internal_lists_bugs!$A$2:$C$73,3,FALSE()), VLOOKUP(A505,Internal_lists_bugs!$A$2:$C$73,3,FALSE())&amp;Char(10) &amp; Char(10) &amp; VLOOKUP(A505,Internal_lists_bugs!$A$2:$Z$73,26,FALSE())),"please select a BUG ID")</f>
        <v>https://github.com/elastic/elasticsearch/issues/3242
/shape/ShapeFetchService.java</v>
      </c>
      <c r="C505" s="51" t="str">
        <f>IFERROR(__xludf.DUMMYFUNCTION("IFERROR(IF(REGEXMATCH(VLOOKUP(A505,Internal_lists_bugs!$A$2:$R$73,18,FALSE()), ""Yes""), VLOOKUP(A505,Internal_lists_bugs!$A$2:$U$73,21,FALSE()), VLOOKUP(A505,Internal_lists_bugs!$A$2:$R$73,18,FALSE())),""please select a BUG ID"")"),"No, however, check in the comments something like dup #ID or duplicate #ID")</f>
        <v>No, however, check in the comments something like dup #ID or duplicate #ID</v>
      </c>
      <c r="D505" s="16" t="s">
        <v>439</v>
      </c>
      <c r="E505" s="16" t="s">
        <v>324</v>
      </c>
      <c r="F505" s="55"/>
      <c r="G505" s="56"/>
      <c r="H505" s="54"/>
      <c r="J505" s="55"/>
      <c r="K505" s="56"/>
    </row>
    <row r="506">
      <c r="A506" s="62" t="s">
        <v>83</v>
      </c>
      <c r="B506" s="50" t="str">
        <f>IFERROR(HYPERLINK(VLOOKUP(A506,Internal_lists_bugs!$A$2:$C$73,3,FALSE()), VLOOKUP(A506,Internal_lists_bugs!$A$2:$C$73,3,FALSE())&amp;Char(10) &amp; Char(10) &amp; VLOOKUP(A506,Internal_lists_bugs!$A$2:$Z$73,26,FALSE())),"please select a BUG ID")</f>
        <v>https://github.com/elastic/elasticsearch/issues/3242
/shape/ShapeFetchService.java</v>
      </c>
      <c r="C506" s="51" t="str">
        <f>IFERROR(__xludf.DUMMYFUNCTION("IFERROR(IF(REGEXMATCH(VLOOKUP(A506,Internal_lists_bugs!$A$2:$R$73,18,FALSE()), ""Yes""), VLOOKUP(A506,Internal_lists_bugs!$A$2:$U$73,21,FALSE()), VLOOKUP(A506,Internal_lists_bugs!$A$2:$R$73,18,FALSE())),""please select a BUG ID"")"),"No, however, check in the comments something like dup #ID or duplicate #ID")</f>
        <v>No, however, check in the comments something like dup #ID or duplicate #ID</v>
      </c>
      <c r="D506" s="16" t="s">
        <v>487</v>
      </c>
      <c r="E506" s="16" t="s">
        <v>481</v>
      </c>
      <c r="F506" s="55"/>
      <c r="G506" s="56"/>
      <c r="H506" s="54"/>
      <c r="J506" s="55"/>
      <c r="K506" s="56"/>
    </row>
    <row r="507">
      <c r="A507" s="62" t="s">
        <v>83</v>
      </c>
      <c r="B507" s="50" t="str">
        <f>IFERROR(HYPERLINK(VLOOKUP(A507,Internal_lists_bugs!$A$2:$C$73,3,FALSE()), VLOOKUP(A507,Internal_lists_bugs!$A$2:$C$73,3,FALSE())&amp;Char(10) &amp; Char(10) &amp; VLOOKUP(A507,Internal_lists_bugs!$A$2:$Z$73,26,FALSE())),"please select a BUG ID")</f>
        <v>https://github.com/elastic/elasticsearch/issues/3242
/shape/ShapeFetchService.java</v>
      </c>
      <c r="C507" s="51" t="str">
        <f>IFERROR(__xludf.DUMMYFUNCTION("IFERROR(IF(REGEXMATCH(VLOOKUP(A507,Internal_lists_bugs!$A$2:$R$73,18,FALSE()), ""Yes""), VLOOKUP(A507,Internal_lists_bugs!$A$2:$U$73,21,FALSE()), VLOOKUP(A507,Internal_lists_bugs!$A$2:$R$73,18,FALSE())),""please select a BUG ID"")"),"No, however, check in the comments something like dup #ID or duplicate #ID")</f>
        <v>No, however, check in the comments something like dup #ID or duplicate #ID</v>
      </c>
      <c r="D507" s="16" t="s">
        <v>457</v>
      </c>
      <c r="E507" s="16" t="s">
        <v>483</v>
      </c>
      <c r="F507" s="55"/>
      <c r="G507" s="56"/>
      <c r="H507" s="54"/>
      <c r="J507" s="55"/>
      <c r="K507" s="56"/>
    </row>
    <row r="508">
      <c r="A508" s="62" t="s">
        <v>83</v>
      </c>
      <c r="B508" s="50" t="str">
        <f>IFERROR(HYPERLINK(VLOOKUP(A508,Internal_lists_bugs!$A$2:$C$73,3,FALSE()), VLOOKUP(A508,Internal_lists_bugs!$A$2:$C$73,3,FALSE())&amp;Char(10) &amp; Char(10) &amp; VLOOKUP(A508,Internal_lists_bugs!$A$2:$Z$73,26,FALSE())),"please select a BUG ID")</f>
        <v>https://github.com/elastic/elasticsearch/issues/3242
/shape/ShapeFetchService.java</v>
      </c>
      <c r="C508" s="51" t="str">
        <f>IFERROR(__xludf.DUMMYFUNCTION("IFERROR(IF(REGEXMATCH(VLOOKUP(A508,Internal_lists_bugs!$A$2:$R$73,18,FALSE()), ""Yes""), VLOOKUP(A508,Internal_lists_bugs!$A$2:$U$73,21,FALSE()), VLOOKUP(A508,Internal_lists_bugs!$A$2:$R$73,18,FALSE())),""please select a BUG ID"")"),"No, however, check in the comments something like dup #ID or duplicate #ID")</f>
        <v>No, however, check in the comments something like dup #ID or duplicate #ID</v>
      </c>
      <c r="D508" s="16" t="s">
        <v>488</v>
      </c>
      <c r="E508" s="16" t="s">
        <v>482</v>
      </c>
      <c r="F508" s="55"/>
      <c r="G508" s="56"/>
      <c r="H508" s="54"/>
      <c r="J508" s="55"/>
      <c r="K508" s="56"/>
    </row>
    <row r="509">
      <c r="A509" s="62" t="s">
        <v>83</v>
      </c>
      <c r="B509" s="50" t="str">
        <f>IFERROR(HYPERLINK(VLOOKUP(A509,Internal_lists_bugs!$A$2:$C$73,3,FALSE()), VLOOKUP(A509,Internal_lists_bugs!$A$2:$C$73,3,FALSE())&amp;Char(10) &amp; Char(10) &amp; VLOOKUP(A509,Internal_lists_bugs!$A$2:$Z$73,26,FALSE())),"please select a BUG ID")</f>
        <v>https://github.com/elastic/elasticsearch/issues/3242
/shape/ShapeFetchService.java</v>
      </c>
      <c r="C509" s="51" t="str">
        <f>IFERROR(__xludf.DUMMYFUNCTION("IFERROR(IF(REGEXMATCH(VLOOKUP(A509,Internal_lists_bugs!$A$2:$R$73,18,FALSE()), ""Yes""), VLOOKUP(A509,Internal_lists_bugs!$A$2:$U$73,21,FALSE()), VLOOKUP(A509,Internal_lists_bugs!$A$2:$R$73,18,FALSE())),""please select a BUG ID"")"),"No, however, check in the comments something like dup #ID or duplicate #ID")</f>
        <v>No, however, check in the comments something like dup #ID or duplicate #ID</v>
      </c>
      <c r="D509" s="16" t="s">
        <v>489</v>
      </c>
      <c r="E509" s="16" t="s">
        <v>490</v>
      </c>
      <c r="F509" s="55"/>
      <c r="G509" s="56"/>
      <c r="H509" s="54"/>
      <c r="J509" s="55"/>
      <c r="K509" s="56"/>
    </row>
    <row r="510">
      <c r="A510" s="62" t="s">
        <v>83</v>
      </c>
      <c r="B510" s="50" t="str">
        <f>IFERROR(HYPERLINK(VLOOKUP(A510,Internal_lists_bugs!$A$2:$C$73,3,FALSE()), VLOOKUP(A510,Internal_lists_bugs!$A$2:$C$73,3,FALSE())&amp;Char(10) &amp; Char(10) &amp; VLOOKUP(A510,Internal_lists_bugs!$A$2:$Z$73,26,FALSE())),"please select a BUG ID")</f>
        <v>https://github.com/elastic/elasticsearch/issues/3242
/shape/ShapeFetchService.java</v>
      </c>
      <c r="C510" s="51" t="str">
        <f>IFERROR(__xludf.DUMMYFUNCTION("IFERROR(IF(REGEXMATCH(VLOOKUP(A510,Internal_lists_bugs!$A$2:$R$73,18,FALSE()), ""Yes""), VLOOKUP(A510,Internal_lists_bugs!$A$2:$U$73,21,FALSE()), VLOOKUP(A510,Internal_lists_bugs!$A$2:$R$73,18,FALSE())),""please select a BUG ID"")"),"No, however, check in the comments something like dup #ID or duplicate #ID")</f>
        <v>No, however, check in the comments something like dup #ID or duplicate #ID</v>
      </c>
      <c r="D510" s="16" t="s">
        <v>491</v>
      </c>
      <c r="E510" s="16" t="s">
        <v>492</v>
      </c>
      <c r="F510" s="55"/>
      <c r="G510" s="56"/>
      <c r="H510" s="54"/>
      <c r="J510" s="55"/>
      <c r="K510" s="56"/>
    </row>
    <row r="511">
      <c r="A511" s="62" t="s">
        <v>83</v>
      </c>
      <c r="B511" s="50" t="str">
        <f>IFERROR(HYPERLINK(VLOOKUP(A511,Internal_lists_bugs!$A$2:$C$73,3,FALSE()), VLOOKUP(A511,Internal_lists_bugs!$A$2:$C$73,3,FALSE())&amp;Char(10) &amp; Char(10) &amp; VLOOKUP(A511,Internal_lists_bugs!$A$2:$Z$73,26,FALSE())),"please select a BUG ID")</f>
        <v>https://github.com/elastic/elasticsearch/issues/3242
/shape/ShapeFetchService.java</v>
      </c>
      <c r="C511" s="51" t="str">
        <f>IFERROR(__xludf.DUMMYFUNCTION("IFERROR(IF(REGEXMATCH(VLOOKUP(A511,Internal_lists_bugs!$A$2:$R$73,18,FALSE()), ""Yes""), VLOOKUP(A511,Internal_lists_bugs!$A$2:$U$73,21,FALSE()), VLOOKUP(A511,Internal_lists_bugs!$A$2:$R$73,18,FALSE())),""please select a BUG ID"")"),"No, however, check in the comments something like dup #ID or duplicate #ID")</f>
        <v>No, however, check in the comments something like dup #ID or duplicate #ID</v>
      </c>
      <c r="D511" s="16" t="s">
        <v>443</v>
      </c>
      <c r="E511" s="16" t="s">
        <v>490</v>
      </c>
      <c r="F511" s="55"/>
      <c r="G511" s="56"/>
      <c r="H511" s="54"/>
      <c r="J511" s="55"/>
      <c r="K511" s="56"/>
    </row>
    <row r="512">
      <c r="A512" s="62" t="s">
        <v>84</v>
      </c>
      <c r="B512" s="50" t="str">
        <f>IFERROR(HYPERLINK(VLOOKUP(A512,Internal_lists_bugs!$A$2:$C$73,3,FALSE()), VLOOKUP(A512,Internal_lists_bugs!$A$2:$C$73,3,FALSE())&amp;Char(10) &amp; Char(10) &amp; VLOOKUP(A512,Internal_lists_bugs!$A$2:$Z$73,26,FALSE())),"please select a BUG ID")</f>
        <v>https://github.com/elastic/elasticsearch/issues/8507
/fielddata/SortingNumericDocValues.java
/geogrid/GeoHashGridParser.java
/support/ValuesSource.java
/values/ScriptLongValues.java</v>
      </c>
      <c r="C512" s="51" t="str">
        <f>IFERROR(__xludf.DUMMYFUNCTION("IFERROR(IF(REGEXMATCH(VLOOKUP(A512,Internal_lists_bugs!$A$2:$R$73,18,FALSE()), ""Yes""), VLOOKUP(A512,Internal_lists_bugs!$A$2:$U$73,21,FALSE()), VLOOKUP(A512,Internal_lists_bugs!$A$2:$R$73,18,FALSE())),""please select a BUG ID"")"),"No, however, check in the comments something like dup #ID or duplicate #ID")</f>
        <v>No, however, check in the comments something like dup #ID or duplicate #ID</v>
      </c>
      <c r="D512" s="16" t="s">
        <v>443</v>
      </c>
      <c r="E512" s="16" t="s">
        <v>144</v>
      </c>
      <c r="F512" s="52" t="s">
        <v>121</v>
      </c>
      <c r="G512" s="56"/>
      <c r="H512" s="16" t="s">
        <v>123</v>
      </c>
      <c r="J512" s="52" t="s">
        <v>123</v>
      </c>
      <c r="K512" s="56"/>
    </row>
    <row r="513">
      <c r="A513" s="62" t="s">
        <v>84</v>
      </c>
      <c r="B513" s="50" t="str">
        <f>IFERROR(HYPERLINK(VLOOKUP(A513,Internal_lists_bugs!$A$2:$C$73,3,FALSE()), VLOOKUP(A513,Internal_lists_bugs!$A$2:$C$73,3,FALSE())&amp;Char(10) &amp; Char(10) &amp; VLOOKUP(A513,Internal_lists_bugs!$A$2:$Z$73,26,FALSE())),"please select a BUG ID")</f>
        <v>https://github.com/elastic/elasticsearch/issues/8507
/fielddata/SortingNumericDocValues.java
/geogrid/GeoHashGridParser.java
/support/ValuesSource.java
/values/ScriptLongValues.java</v>
      </c>
      <c r="C513" s="51" t="str">
        <f>IFERROR(__xludf.DUMMYFUNCTION("IFERROR(IF(REGEXMATCH(VLOOKUP(A513,Internal_lists_bugs!$A$2:$R$73,18,FALSE()), ""Yes""), VLOOKUP(A513,Internal_lists_bugs!$A$2:$U$73,21,FALSE()), VLOOKUP(A513,Internal_lists_bugs!$A$2:$R$73,18,FALSE())),""please select a BUG ID"")"),"No, however, check in the comments something like dup #ID or duplicate #ID")</f>
        <v>No, however, check in the comments something like dup #ID or duplicate #ID</v>
      </c>
      <c r="D513" s="16" t="s">
        <v>119</v>
      </c>
      <c r="E513" s="16" t="s">
        <v>144</v>
      </c>
      <c r="F513" s="55"/>
      <c r="G513" s="56"/>
      <c r="H513" s="54"/>
      <c r="J513" s="55"/>
      <c r="K513" s="56"/>
    </row>
    <row r="514">
      <c r="A514" s="62" t="s">
        <v>84</v>
      </c>
      <c r="B514" s="50" t="str">
        <f>IFERROR(HYPERLINK(VLOOKUP(A514,Internal_lists_bugs!$A$2:$C$73,3,FALSE()), VLOOKUP(A514,Internal_lists_bugs!$A$2:$C$73,3,FALSE())&amp;Char(10) &amp; Char(10) &amp; VLOOKUP(A514,Internal_lists_bugs!$A$2:$Z$73,26,FALSE())),"please select a BUG ID")</f>
        <v>https://github.com/elastic/elasticsearch/issues/8507
/fielddata/SortingNumericDocValues.java
/geogrid/GeoHashGridParser.java
/support/ValuesSource.java
/values/ScriptLongValues.java</v>
      </c>
      <c r="C514" s="51" t="str">
        <f>IFERROR(__xludf.DUMMYFUNCTION("IFERROR(IF(REGEXMATCH(VLOOKUP(A514,Internal_lists_bugs!$A$2:$R$73,18,FALSE()), ""Yes""), VLOOKUP(A514,Internal_lists_bugs!$A$2:$U$73,21,FALSE()), VLOOKUP(A514,Internal_lists_bugs!$A$2:$R$73,18,FALSE())),""please select a BUG ID"")"),"No, however, check in the comments something like dup #ID or duplicate #ID")</f>
        <v>No, however, check in the comments something like dup #ID or duplicate #ID</v>
      </c>
      <c r="D514" s="16" t="s">
        <v>127</v>
      </c>
      <c r="E514" s="16" t="s">
        <v>324</v>
      </c>
      <c r="F514" s="55"/>
      <c r="G514" s="56"/>
      <c r="H514" s="54"/>
      <c r="J514" s="55"/>
      <c r="K514" s="56"/>
    </row>
    <row r="515">
      <c r="A515" s="62" t="s">
        <v>84</v>
      </c>
      <c r="B515" s="50" t="str">
        <f>IFERROR(HYPERLINK(VLOOKUP(A515,Internal_lists_bugs!$A$2:$C$73,3,FALSE()), VLOOKUP(A515,Internal_lists_bugs!$A$2:$C$73,3,FALSE())&amp;Char(10) &amp; Char(10) &amp; VLOOKUP(A515,Internal_lists_bugs!$A$2:$Z$73,26,FALSE())),"please select a BUG ID")</f>
        <v>https://github.com/elastic/elasticsearch/issues/8507
/fielddata/SortingNumericDocValues.java
/geogrid/GeoHashGridParser.java
/support/ValuesSource.java
/values/ScriptLongValues.java</v>
      </c>
      <c r="C515" s="51" t="str">
        <f>IFERROR(__xludf.DUMMYFUNCTION("IFERROR(IF(REGEXMATCH(VLOOKUP(A515,Internal_lists_bugs!$A$2:$R$73,18,FALSE()), ""Yes""), VLOOKUP(A515,Internal_lists_bugs!$A$2:$U$73,21,FALSE()), VLOOKUP(A515,Internal_lists_bugs!$A$2:$R$73,18,FALSE())),""please select a BUG ID"")"),"No, however, check in the comments something like dup #ID or duplicate #ID")</f>
        <v>No, however, check in the comments something like dup #ID or duplicate #ID</v>
      </c>
      <c r="D515" s="16" t="s">
        <v>374</v>
      </c>
      <c r="E515" s="16" t="s">
        <v>324</v>
      </c>
      <c r="F515" s="55"/>
      <c r="G515" s="56"/>
      <c r="H515" s="54"/>
      <c r="J515" s="55"/>
      <c r="K515" s="56"/>
    </row>
    <row r="516">
      <c r="A516" s="62" t="s">
        <v>84</v>
      </c>
      <c r="B516" s="50" t="str">
        <f>IFERROR(HYPERLINK(VLOOKUP(A516,Internal_lists_bugs!$A$2:$C$73,3,FALSE()), VLOOKUP(A516,Internal_lists_bugs!$A$2:$C$73,3,FALSE())&amp;Char(10) &amp; Char(10) &amp; VLOOKUP(A516,Internal_lists_bugs!$A$2:$Z$73,26,FALSE())),"please select a BUG ID")</f>
        <v>https://github.com/elastic/elasticsearch/issues/8507
/fielddata/SortingNumericDocValues.java
/geogrid/GeoHashGridParser.java
/support/ValuesSource.java
/values/ScriptLongValues.java</v>
      </c>
      <c r="C516" s="51" t="str">
        <f>IFERROR(__xludf.DUMMYFUNCTION("IFERROR(IF(REGEXMATCH(VLOOKUP(A516,Internal_lists_bugs!$A$2:$R$73,18,FALSE()), ""Yes""), VLOOKUP(A516,Internal_lists_bugs!$A$2:$U$73,21,FALSE()), VLOOKUP(A516,Internal_lists_bugs!$A$2:$R$73,18,FALSE())),""please select a BUG ID"")"),"No, however, check in the comments something like dup #ID or duplicate #ID")</f>
        <v>No, however, check in the comments something like dup #ID or duplicate #ID</v>
      </c>
      <c r="D516" s="16" t="s">
        <v>493</v>
      </c>
      <c r="E516" s="16" t="s">
        <v>324</v>
      </c>
      <c r="F516" s="55"/>
      <c r="G516" s="56"/>
      <c r="H516" s="54"/>
      <c r="J516" s="55"/>
      <c r="K516" s="56"/>
    </row>
    <row r="517">
      <c r="A517" s="62" t="s">
        <v>84</v>
      </c>
      <c r="B517" s="50" t="str">
        <f>IFERROR(HYPERLINK(VLOOKUP(A517,Internal_lists_bugs!$A$2:$C$73,3,FALSE()), VLOOKUP(A517,Internal_lists_bugs!$A$2:$C$73,3,FALSE())&amp;Char(10) &amp; Char(10) &amp; VLOOKUP(A517,Internal_lists_bugs!$A$2:$Z$73,26,FALSE())),"please select a BUG ID")</f>
        <v>https://github.com/elastic/elasticsearch/issues/8507
/fielddata/SortingNumericDocValues.java
/geogrid/GeoHashGridParser.java
/support/ValuesSource.java
/values/ScriptLongValues.java</v>
      </c>
      <c r="C517" s="51" t="str">
        <f>IFERROR(__xludf.DUMMYFUNCTION("IFERROR(IF(REGEXMATCH(VLOOKUP(A517,Internal_lists_bugs!$A$2:$R$73,18,FALSE()), ""Yes""), VLOOKUP(A517,Internal_lists_bugs!$A$2:$U$73,21,FALSE()), VLOOKUP(A517,Internal_lists_bugs!$A$2:$R$73,18,FALSE())),""please select a BUG ID"")"),"No, however, check in the comments something like dup #ID or duplicate #ID")</f>
        <v>No, however, check in the comments something like dup #ID or duplicate #ID</v>
      </c>
      <c r="D517" s="16" t="s">
        <v>295</v>
      </c>
      <c r="E517" s="16" t="s">
        <v>481</v>
      </c>
      <c r="F517" s="55"/>
      <c r="G517" s="56"/>
      <c r="H517" s="54"/>
      <c r="J517" s="55"/>
      <c r="K517" s="56"/>
    </row>
    <row r="518">
      <c r="A518" s="62" t="s">
        <v>85</v>
      </c>
      <c r="B518" s="50" t="str">
        <f>IFERROR(HYPERLINK(VLOOKUP(A518,Internal_lists_bugs!$A$2:$C$73,3,FALSE()), VLOOKUP(A518,Internal_lists_bugs!$A$2:$C$73,3,FALSE())&amp;Char(10) &amp; Char(10) &amp; VLOOKUP(A518,Internal_lists_bugs!$A$2:$Z$73,26,FALSE())),"please select a BUG ID")</f>
        <v>https://github.com/elastic/elasticsearch/issues/5021
/terms/StringTerms.java
/terms/StringTerms.java
/terms/StringTermsAggregator.java </v>
      </c>
      <c r="C518" s="51" t="str">
        <f>IFERROR(__xludf.DUMMYFUNCTION("IFERROR(IF(REGEXMATCH(VLOOKUP(A518,Internal_lists_bugs!$A$2:$R$73,18,FALSE()), ""Yes""), VLOOKUP(A518,Internal_lists_bugs!$A$2:$U$73,21,FALSE()), VLOOKUP(A518,Internal_lists_bugs!$A$2:$R$73,18,FALSE())),""please select a BUG ID"")"),"No, however, check in the comments something like dup #ID or duplicate #ID")</f>
        <v>No, however, check in the comments something like dup #ID or duplicate #ID</v>
      </c>
      <c r="D518" s="16" t="s">
        <v>119</v>
      </c>
      <c r="E518" s="16" t="s">
        <v>144</v>
      </c>
      <c r="F518" s="52" t="s">
        <v>121</v>
      </c>
      <c r="G518" s="56"/>
      <c r="H518" s="16" t="s">
        <v>123</v>
      </c>
      <c r="J518" s="52" t="s">
        <v>123</v>
      </c>
      <c r="K518" s="56"/>
    </row>
    <row r="519">
      <c r="A519" s="62" t="s">
        <v>85</v>
      </c>
      <c r="B519" s="50" t="str">
        <f>IFERROR(HYPERLINK(VLOOKUP(A519,Internal_lists_bugs!$A$2:$C$73,3,FALSE()), VLOOKUP(A519,Internal_lists_bugs!$A$2:$C$73,3,FALSE())&amp;Char(10) &amp; Char(10) &amp; VLOOKUP(A519,Internal_lists_bugs!$A$2:$Z$73,26,FALSE())),"please select a BUG ID")</f>
        <v>https://github.com/elastic/elasticsearch/issues/5021
/terms/StringTerms.java
/terms/StringTerms.java
/terms/StringTermsAggregator.java </v>
      </c>
      <c r="C519" s="51" t="str">
        <f>IFERROR(__xludf.DUMMYFUNCTION("IFERROR(IF(REGEXMATCH(VLOOKUP(A519,Internal_lists_bugs!$A$2:$R$73,18,FALSE()), ""Yes""), VLOOKUP(A519,Internal_lists_bugs!$A$2:$U$73,21,FALSE()), VLOOKUP(A519,Internal_lists_bugs!$A$2:$R$73,18,FALSE())),""please select a BUG ID"")"),"No, however, check in the comments something like dup #ID or duplicate #ID")</f>
        <v>No, however, check in the comments something like dup #ID or duplicate #ID</v>
      </c>
      <c r="D519" s="16" t="s">
        <v>149</v>
      </c>
      <c r="E519" s="16" t="s">
        <v>144</v>
      </c>
      <c r="F519" s="55"/>
      <c r="G519" s="56"/>
      <c r="H519" s="54"/>
      <c r="J519" s="55"/>
      <c r="K519" s="56"/>
    </row>
    <row r="520">
      <c r="A520" s="62" t="s">
        <v>85</v>
      </c>
      <c r="B520" s="50" t="str">
        <f>IFERROR(HYPERLINK(VLOOKUP(A520,Internal_lists_bugs!$A$2:$C$73,3,FALSE()), VLOOKUP(A520,Internal_lists_bugs!$A$2:$C$73,3,FALSE())&amp;Char(10) &amp; Char(10) &amp; VLOOKUP(A520,Internal_lists_bugs!$A$2:$Z$73,26,FALSE())),"please select a BUG ID")</f>
        <v>https://github.com/elastic/elasticsearch/issues/5021
/terms/StringTerms.java
/terms/StringTerms.java
/terms/StringTermsAggregator.java </v>
      </c>
      <c r="C520" s="51" t="str">
        <f>IFERROR(__xludf.DUMMYFUNCTION("IFERROR(IF(REGEXMATCH(VLOOKUP(A520,Internal_lists_bugs!$A$2:$R$73,18,FALSE()), ""Yes""), VLOOKUP(A520,Internal_lists_bugs!$A$2:$U$73,21,FALSE()), VLOOKUP(A520,Internal_lists_bugs!$A$2:$R$73,18,FALSE())),""please select a BUG ID"")"),"No, however, check in the comments something like dup #ID or duplicate #ID")</f>
        <v>No, however, check in the comments something like dup #ID or duplicate #ID</v>
      </c>
      <c r="D520" s="16" t="s">
        <v>484</v>
      </c>
      <c r="E520" s="16" t="s">
        <v>324</v>
      </c>
      <c r="F520" s="55"/>
      <c r="G520" s="56"/>
      <c r="H520" s="54"/>
      <c r="J520" s="55"/>
      <c r="K520" s="56"/>
    </row>
    <row r="521">
      <c r="A521" s="62" t="s">
        <v>85</v>
      </c>
      <c r="B521" s="50" t="str">
        <f>IFERROR(HYPERLINK(VLOOKUP(A521,Internal_lists_bugs!$A$2:$C$73,3,FALSE()), VLOOKUP(A521,Internal_lists_bugs!$A$2:$C$73,3,FALSE())&amp;Char(10) &amp; Char(10) &amp; VLOOKUP(A521,Internal_lists_bugs!$A$2:$Z$73,26,FALSE())),"please select a BUG ID")</f>
        <v>https://github.com/elastic/elasticsearch/issues/5021
/terms/StringTerms.java
/terms/StringTerms.java
/terms/StringTermsAggregator.java </v>
      </c>
      <c r="C521" s="51" t="str">
        <f>IFERROR(__xludf.DUMMYFUNCTION("IFERROR(IF(REGEXMATCH(VLOOKUP(A521,Internal_lists_bugs!$A$2:$R$73,18,FALSE()), ""Yes""), VLOOKUP(A521,Internal_lists_bugs!$A$2:$U$73,21,FALSE()), VLOOKUP(A521,Internal_lists_bugs!$A$2:$R$73,18,FALSE())),""please select a BUG ID"")"),"No, however, check in the comments something like dup #ID or duplicate #ID")</f>
        <v>No, however, check in the comments something like dup #ID or duplicate #ID</v>
      </c>
      <c r="D521" s="16" t="s">
        <v>443</v>
      </c>
      <c r="E521" s="16" t="s">
        <v>324</v>
      </c>
      <c r="F521" s="55"/>
      <c r="G521" s="56"/>
      <c r="H521" s="54"/>
      <c r="J521" s="55"/>
      <c r="K521" s="56"/>
    </row>
    <row r="522">
      <c r="A522" s="62" t="s">
        <v>85</v>
      </c>
      <c r="B522" s="50" t="str">
        <f>IFERROR(HYPERLINK(VLOOKUP(A522,Internal_lists_bugs!$A$2:$C$73,3,FALSE()), VLOOKUP(A522,Internal_lists_bugs!$A$2:$C$73,3,FALSE())&amp;Char(10) &amp; Char(10) &amp; VLOOKUP(A522,Internal_lists_bugs!$A$2:$Z$73,26,FALSE())),"please select a BUG ID")</f>
        <v>https://github.com/elastic/elasticsearch/issues/5021
/terms/StringTerms.java
/terms/StringTerms.java
/terms/StringTermsAggregator.java </v>
      </c>
      <c r="C522" s="51" t="str">
        <f>IFERROR(__xludf.DUMMYFUNCTION("IFERROR(IF(REGEXMATCH(VLOOKUP(A522,Internal_lists_bugs!$A$2:$R$73,18,FALSE()), ""Yes""), VLOOKUP(A522,Internal_lists_bugs!$A$2:$U$73,21,FALSE()), VLOOKUP(A522,Internal_lists_bugs!$A$2:$R$73,18,FALSE())),""please select a BUG ID"")"),"No, however, check in the comments something like dup #ID or duplicate #ID")</f>
        <v>No, however, check in the comments something like dup #ID or duplicate #ID</v>
      </c>
      <c r="D522" s="16" t="s">
        <v>458</v>
      </c>
      <c r="E522" s="16" t="s">
        <v>324</v>
      </c>
      <c r="F522" s="52"/>
      <c r="G522" s="56"/>
      <c r="H522" s="54"/>
      <c r="J522" s="55"/>
      <c r="K522" s="56"/>
    </row>
    <row r="523">
      <c r="A523" s="62" t="s">
        <v>85</v>
      </c>
      <c r="B523" s="50" t="str">
        <f>IFERROR(HYPERLINK(VLOOKUP(A523,Internal_lists_bugs!$A$2:$C$73,3,FALSE()), VLOOKUP(A523,Internal_lists_bugs!$A$2:$C$73,3,FALSE())&amp;Char(10) &amp; Char(10) &amp; VLOOKUP(A523,Internal_lists_bugs!$A$2:$Z$73,26,FALSE())),"please select a BUG ID")</f>
        <v>https://github.com/elastic/elasticsearch/issues/5021
/terms/StringTerms.java
/terms/StringTerms.java
/terms/StringTermsAggregator.java </v>
      </c>
      <c r="C523" s="51" t="str">
        <f>IFERROR(__xludf.DUMMYFUNCTION("IFERROR(IF(REGEXMATCH(VLOOKUP(A523,Internal_lists_bugs!$A$2:$R$73,18,FALSE()), ""Yes""), VLOOKUP(A523,Internal_lists_bugs!$A$2:$U$73,21,FALSE()), VLOOKUP(A523,Internal_lists_bugs!$A$2:$R$73,18,FALSE())),""please select a BUG ID"")"),"No, however, check in the comments something like dup #ID or duplicate #ID")</f>
        <v>No, however, check in the comments something like dup #ID or duplicate #ID</v>
      </c>
      <c r="D523" s="16" t="s">
        <v>494</v>
      </c>
      <c r="E523" s="16" t="s">
        <v>324</v>
      </c>
      <c r="F523" s="55"/>
      <c r="G523" s="56"/>
      <c r="H523" s="54"/>
      <c r="J523" s="55"/>
      <c r="K523" s="56"/>
    </row>
    <row r="524">
      <c r="A524" s="62" t="s">
        <v>85</v>
      </c>
      <c r="B524" s="50" t="str">
        <f>IFERROR(HYPERLINK(VLOOKUP(A524,Internal_lists_bugs!$A$2:$C$73,3,FALSE()), VLOOKUP(A524,Internal_lists_bugs!$A$2:$C$73,3,FALSE())&amp;Char(10) &amp; Char(10) &amp; VLOOKUP(A524,Internal_lists_bugs!$A$2:$Z$73,26,FALSE())),"please select a BUG ID")</f>
        <v>https://github.com/elastic/elasticsearch/issues/5021
/terms/StringTerms.java
/terms/StringTerms.java
/terms/StringTermsAggregator.java </v>
      </c>
      <c r="C524" s="51" t="str">
        <f>IFERROR(__xludf.DUMMYFUNCTION("IFERROR(IF(REGEXMATCH(VLOOKUP(A524,Internal_lists_bugs!$A$2:$R$73,18,FALSE()), ""Yes""), VLOOKUP(A524,Internal_lists_bugs!$A$2:$U$73,21,FALSE()), VLOOKUP(A524,Internal_lists_bugs!$A$2:$R$73,18,FALSE())),""please select a BUG ID"")"),"No, however, check in the comments something like dup #ID or duplicate #ID")</f>
        <v>No, however, check in the comments something like dup #ID or duplicate #ID</v>
      </c>
      <c r="D524" s="16" t="s">
        <v>495</v>
      </c>
      <c r="E524" s="16" t="s">
        <v>482</v>
      </c>
      <c r="F524" s="55"/>
      <c r="G524" s="56"/>
      <c r="H524" s="54"/>
      <c r="J524" s="55"/>
      <c r="K524" s="56"/>
    </row>
    <row r="525">
      <c r="A525" s="62" t="s">
        <v>85</v>
      </c>
      <c r="B525" s="50" t="str">
        <f>IFERROR(HYPERLINK(VLOOKUP(A525,Internal_lists_bugs!$A$2:$C$73,3,FALSE()), VLOOKUP(A525,Internal_lists_bugs!$A$2:$C$73,3,FALSE())&amp;Char(10) &amp; Char(10) &amp; VLOOKUP(A525,Internal_lists_bugs!$A$2:$Z$73,26,FALSE())),"please select a BUG ID")</f>
        <v>https://github.com/elastic/elasticsearch/issues/5021
/terms/StringTerms.java
/terms/StringTerms.java
/terms/StringTermsAggregator.java </v>
      </c>
      <c r="C525" s="51" t="str">
        <f>IFERROR(__xludf.DUMMYFUNCTION("IFERROR(IF(REGEXMATCH(VLOOKUP(A525,Internal_lists_bugs!$A$2:$R$73,18,FALSE()), ""Yes""), VLOOKUP(A525,Internal_lists_bugs!$A$2:$U$73,21,FALSE()), VLOOKUP(A525,Internal_lists_bugs!$A$2:$R$73,18,FALSE())),""please select a BUG ID"")"),"No, however, check in the comments something like dup #ID or duplicate #ID")</f>
        <v>No, however, check in the comments something like dup #ID or duplicate #ID</v>
      </c>
      <c r="D525" s="16" t="s">
        <v>496</v>
      </c>
      <c r="E525" s="16" t="s">
        <v>483</v>
      </c>
      <c r="F525" s="55"/>
      <c r="G525" s="56"/>
      <c r="H525" s="54"/>
      <c r="J525" s="55"/>
      <c r="K525" s="56"/>
    </row>
    <row r="526">
      <c r="A526" s="62" t="s">
        <v>86</v>
      </c>
      <c r="B526" s="50" t="str">
        <f>IFERROR(HYPERLINK(VLOOKUP(A526,Internal_lists_bugs!$A$2:$C$73,3,FALSE()), VLOOKUP(A526,Internal_lists_bugs!$A$2:$C$73,3,FALSE())&amp;Char(10) &amp; Char(10) &amp; VLOOKUP(A526,Internal_lists_bugs!$A$2:$Z$73,26,FALSE())),"please select a BUG ID")</f>
        <v>https://github.com/elastic/elasticsearch/issues/4581
/internal/AllFieldMapper.java</v>
      </c>
      <c r="C526" s="51" t="str">
        <f>IFERROR(__xludf.DUMMYFUNCTION("IFERROR(IF(REGEXMATCH(VLOOKUP(A526,Internal_lists_bugs!$A$2:$R$73,18,FALSE()), ""Yes""), VLOOKUP(A526,Internal_lists_bugs!$A$2:$U$73,21,FALSE()), VLOOKUP(A526,Internal_lists_bugs!$A$2:$R$73,18,FALSE())),""please select a BUG ID"")"),"No, however, check in the comments something like dup #ID or duplicate #ID")</f>
        <v>No, however, check in the comments something like dup #ID or duplicate #ID</v>
      </c>
      <c r="D526" s="16" t="s">
        <v>211</v>
      </c>
      <c r="E526" s="16" t="s">
        <v>144</v>
      </c>
      <c r="F526" s="52" t="s">
        <v>121</v>
      </c>
      <c r="G526" s="56"/>
      <c r="H526" s="16" t="s">
        <v>123</v>
      </c>
      <c r="J526" s="52" t="s">
        <v>123</v>
      </c>
      <c r="K526" s="56"/>
    </row>
    <row r="527">
      <c r="A527" s="62" t="s">
        <v>87</v>
      </c>
      <c r="B527" s="50" t="str">
        <f>IFERROR(HYPERLINK(VLOOKUP(A527,Internal_lists_bugs!$A$2:$C$73,3,FALSE()), VLOOKUP(A527,Internal_lists_bugs!$A$2:$C$73,3,FALSE())&amp;Char(10) &amp; Char(10) &amp; VLOOKUP(A527,Internal_lists_bugs!$A$2:$Z$73,26,FALSE())),"please select a BUG ID")</f>
        <v>https://github.com/elastic/elasticsearch/issues/16790
/bin/elasticsearch-plugin
/bin/elasticsearch-plugin.bat </v>
      </c>
      <c r="C527" s="51" t="str">
        <f>IFERROR(__xludf.DUMMYFUNCTION("IFERROR(IF(REGEXMATCH(VLOOKUP(A527,Internal_lists_bugs!$A$2:$R$73,18,FALSE()), ""Yes""), VLOOKUP(A527,Internal_lists_bugs!$A$2:$U$73,21,FALSE()), VLOOKUP(A527,Internal_lists_bugs!$A$2:$R$73,18,FALSE())),""please select a BUG ID"")"),"No, however, check in the comments something like dup #ID or duplicate #ID")</f>
        <v>No, however, check in the comments something like dup #ID or duplicate #ID</v>
      </c>
      <c r="D527" s="16" t="s">
        <v>149</v>
      </c>
      <c r="E527" s="16" t="s">
        <v>144</v>
      </c>
      <c r="F527" s="52" t="s">
        <v>332</v>
      </c>
      <c r="G527" s="53" t="s">
        <v>163</v>
      </c>
      <c r="H527" s="16" t="s">
        <v>123</v>
      </c>
      <c r="J527" s="55"/>
      <c r="K527" s="56"/>
    </row>
    <row r="528">
      <c r="A528" s="62" t="s">
        <v>87</v>
      </c>
      <c r="B528" s="50" t="str">
        <f>IFERROR(HYPERLINK(VLOOKUP(A528,Internal_lists_bugs!$A$2:$C$73,3,FALSE()), VLOOKUP(A528,Internal_lists_bugs!$A$2:$C$73,3,FALSE())&amp;Char(10) &amp; Char(10) &amp; VLOOKUP(A528,Internal_lists_bugs!$A$2:$Z$73,26,FALSE())),"please select a BUG ID")</f>
        <v>https://github.com/elastic/elasticsearch/issues/16790
/bin/elasticsearch-plugin
/bin/elasticsearch-plugin.bat </v>
      </c>
      <c r="C528" s="51" t="str">
        <f>IFERROR(__xludf.DUMMYFUNCTION("IFERROR(IF(REGEXMATCH(VLOOKUP(A528,Internal_lists_bugs!$A$2:$R$73,18,FALSE()), ""Yes""), VLOOKUP(A528,Internal_lists_bugs!$A$2:$U$73,21,FALSE()), VLOOKUP(A528,Internal_lists_bugs!$A$2:$R$73,18,FALSE())),""please select a BUG ID"")"),"No, however, check in the comments something like dup #ID or duplicate #ID")</f>
        <v>No, however, check in the comments something like dup #ID or duplicate #ID</v>
      </c>
      <c r="D528" s="16" t="s">
        <v>495</v>
      </c>
      <c r="E528" s="16" t="s">
        <v>324</v>
      </c>
      <c r="F528" s="55"/>
      <c r="G528" s="56"/>
      <c r="H528" s="54"/>
      <c r="J528" s="55"/>
      <c r="K528" s="56"/>
    </row>
    <row r="529">
      <c r="A529" s="62" t="s">
        <v>87</v>
      </c>
      <c r="B529" s="50" t="str">
        <f>IFERROR(HYPERLINK(VLOOKUP(A529,Internal_lists_bugs!$A$2:$C$73,3,FALSE()), VLOOKUP(A529,Internal_lists_bugs!$A$2:$C$73,3,FALSE())&amp;Char(10) &amp; Char(10) &amp; VLOOKUP(A529,Internal_lists_bugs!$A$2:$Z$73,26,FALSE())),"please select a BUG ID")</f>
        <v>https://github.com/elastic/elasticsearch/issues/16790
/bin/elasticsearch-plugin
/bin/elasticsearch-plugin.bat </v>
      </c>
      <c r="C529" s="51" t="str">
        <f>IFERROR(__xludf.DUMMYFUNCTION("IFERROR(IF(REGEXMATCH(VLOOKUP(A529,Internal_lists_bugs!$A$2:$R$73,18,FALSE()), ""Yes""), VLOOKUP(A529,Internal_lists_bugs!$A$2:$U$73,21,FALSE()), VLOOKUP(A529,Internal_lists_bugs!$A$2:$R$73,18,FALSE())),""please select a BUG ID"")"),"No, however, check in the comments something like dup #ID or duplicate #ID")</f>
        <v>No, however, check in the comments something like dup #ID or duplicate #ID</v>
      </c>
      <c r="D529" s="16" t="s">
        <v>443</v>
      </c>
      <c r="E529" s="16" t="s">
        <v>324</v>
      </c>
      <c r="F529" s="55"/>
      <c r="G529" s="56"/>
      <c r="H529" s="54"/>
      <c r="J529" s="55"/>
      <c r="K529" s="56"/>
    </row>
    <row r="530">
      <c r="A530" s="62" t="s">
        <v>87</v>
      </c>
      <c r="B530" s="50" t="str">
        <f>IFERROR(HYPERLINK(VLOOKUP(A530,Internal_lists_bugs!$A$2:$C$73,3,FALSE()), VLOOKUP(A530,Internal_lists_bugs!$A$2:$C$73,3,FALSE())&amp;Char(10) &amp; Char(10) &amp; VLOOKUP(A530,Internal_lists_bugs!$A$2:$Z$73,26,FALSE())),"please select a BUG ID")</f>
        <v>https://github.com/elastic/elasticsearch/issues/16790
/bin/elasticsearch-plugin
/bin/elasticsearch-plugin.bat </v>
      </c>
      <c r="C530" s="51" t="str">
        <f>IFERROR(__xludf.DUMMYFUNCTION("IFERROR(IF(REGEXMATCH(VLOOKUP(A530,Internal_lists_bugs!$A$2:$R$73,18,FALSE()), ""Yes""), VLOOKUP(A530,Internal_lists_bugs!$A$2:$U$73,21,FALSE()), VLOOKUP(A530,Internal_lists_bugs!$A$2:$R$73,18,FALSE())),""please select a BUG ID"")"),"No, however, check in the comments something like dup #ID or duplicate #ID")</f>
        <v>No, however, check in the comments something like dup #ID or duplicate #ID</v>
      </c>
      <c r="D530" s="16" t="s">
        <v>127</v>
      </c>
      <c r="E530" s="16" t="s">
        <v>324</v>
      </c>
      <c r="F530" s="55"/>
      <c r="G530" s="56"/>
      <c r="H530" s="54"/>
      <c r="J530" s="55"/>
      <c r="K530" s="56"/>
    </row>
    <row r="531">
      <c r="A531" s="62" t="s">
        <v>87</v>
      </c>
      <c r="B531" s="50" t="str">
        <f>IFERROR(HYPERLINK(VLOOKUP(A531,Internal_lists_bugs!$A$2:$C$73,3,FALSE()), VLOOKUP(A531,Internal_lists_bugs!$A$2:$C$73,3,FALSE())&amp;Char(10) &amp; Char(10) &amp; VLOOKUP(A531,Internal_lists_bugs!$A$2:$Z$73,26,FALSE())),"please select a BUG ID")</f>
        <v>https://github.com/elastic/elasticsearch/issues/16790
/bin/elasticsearch-plugin
/bin/elasticsearch-plugin.bat </v>
      </c>
      <c r="C531" s="51" t="str">
        <f>IFERROR(__xludf.DUMMYFUNCTION("IFERROR(IF(REGEXMATCH(VLOOKUP(A531,Internal_lists_bugs!$A$2:$R$73,18,FALSE()), ""Yes""), VLOOKUP(A531,Internal_lists_bugs!$A$2:$U$73,21,FALSE()), VLOOKUP(A531,Internal_lists_bugs!$A$2:$R$73,18,FALSE())),""please select a BUG ID"")"),"No, however, check in the comments something like dup #ID or duplicate #ID")</f>
        <v>No, however, check in the comments something like dup #ID or duplicate #ID</v>
      </c>
      <c r="D531" s="16" t="s">
        <v>334</v>
      </c>
      <c r="E531" s="16" t="s">
        <v>324</v>
      </c>
      <c r="F531" s="55"/>
      <c r="G531" s="56"/>
      <c r="H531" s="54"/>
      <c r="J531" s="55"/>
      <c r="K531" s="56"/>
    </row>
    <row r="532">
      <c r="A532" s="62" t="s">
        <v>87</v>
      </c>
      <c r="B532" s="50" t="str">
        <f>IFERROR(HYPERLINK(VLOOKUP(A532,Internal_lists_bugs!$A$2:$C$73,3,FALSE()), VLOOKUP(A532,Internal_lists_bugs!$A$2:$C$73,3,FALSE())&amp;Char(10) &amp; Char(10) &amp; VLOOKUP(A532,Internal_lists_bugs!$A$2:$Z$73,26,FALSE())),"please select a BUG ID")</f>
        <v>https://github.com/elastic/elasticsearch/issues/16790
/bin/elasticsearch-plugin
/bin/elasticsearch-plugin.bat </v>
      </c>
      <c r="C532" s="51" t="str">
        <f>IFERROR(__xludf.DUMMYFUNCTION("IFERROR(IF(REGEXMATCH(VLOOKUP(A532,Internal_lists_bugs!$A$2:$R$73,18,FALSE()), ""Yes""), VLOOKUP(A532,Internal_lists_bugs!$A$2:$U$73,21,FALSE()), VLOOKUP(A532,Internal_lists_bugs!$A$2:$R$73,18,FALSE())),""please select a BUG ID"")"),"No, however, check in the comments something like dup #ID or duplicate #ID")</f>
        <v>No, however, check in the comments something like dup #ID or duplicate #ID</v>
      </c>
      <c r="D532" s="16" t="s">
        <v>119</v>
      </c>
      <c r="E532" s="16" t="s">
        <v>324</v>
      </c>
      <c r="F532" s="55"/>
      <c r="G532" s="56"/>
      <c r="H532" s="54"/>
      <c r="J532" s="55"/>
      <c r="K532" s="56"/>
    </row>
    <row r="533">
      <c r="A533" s="62" t="s">
        <v>87</v>
      </c>
      <c r="B533" s="50" t="str">
        <f>IFERROR(HYPERLINK(VLOOKUP(A533,Internal_lists_bugs!$A$2:$C$73,3,FALSE()), VLOOKUP(A533,Internal_lists_bugs!$A$2:$C$73,3,FALSE())&amp;Char(10) &amp; Char(10) &amp; VLOOKUP(A533,Internal_lists_bugs!$A$2:$Z$73,26,FALSE())),"please select a BUG ID")</f>
        <v>https://github.com/elastic/elasticsearch/issues/16790
/bin/elasticsearch-plugin
/bin/elasticsearch-plugin.bat </v>
      </c>
      <c r="C533" s="51" t="str">
        <f>IFERROR(__xludf.DUMMYFUNCTION("IFERROR(IF(REGEXMATCH(VLOOKUP(A533,Internal_lists_bugs!$A$2:$R$73,18,FALSE()), ""Yes""), VLOOKUP(A533,Internal_lists_bugs!$A$2:$U$73,21,FALSE()), VLOOKUP(A533,Internal_lists_bugs!$A$2:$R$73,18,FALSE())),""please select a BUG ID"")"),"No, however, check in the comments something like dup #ID or duplicate #ID")</f>
        <v>No, however, check in the comments something like dup #ID or duplicate #ID</v>
      </c>
      <c r="D533" s="16" t="s">
        <v>496</v>
      </c>
      <c r="E533" s="16" t="s">
        <v>442</v>
      </c>
      <c r="F533" s="55"/>
      <c r="G533" s="56"/>
      <c r="H533" s="54"/>
      <c r="J533" s="55"/>
      <c r="K533" s="56"/>
    </row>
    <row r="534">
      <c r="A534" s="62" t="s">
        <v>87</v>
      </c>
      <c r="B534" s="50" t="str">
        <f>IFERROR(HYPERLINK(VLOOKUP(A534,Internal_lists_bugs!$A$2:$C$73,3,FALSE()), VLOOKUP(A534,Internal_lists_bugs!$A$2:$C$73,3,FALSE())&amp;Char(10) &amp; Char(10) &amp; VLOOKUP(A534,Internal_lists_bugs!$A$2:$Z$73,26,FALSE())),"please select a BUG ID")</f>
        <v>https://github.com/elastic/elasticsearch/issues/16790
/bin/elasticsearch-plugin
/bin/elasticsearch-plugin.bat </v>
      </c>
      <c r="C534" s="51" t="str">
        <f>IFERROR(__xludf.DUMMYFUNCTION("IFERROR(IF(REGEXMATCH(VLOOKUP(A534,Internal_lists_bugs!$A$2:$R$73,18,FALSE()), ""Yes""), VLOOKUP(A534,Internal_lists_bugs!$A$2:$U$73,21,FALSE()), VLOOKUP(A534,Internal_lists_bugs!$A$2:$R$73,18,FALSE())),""please select a BUG ID"")"),"No, however, check in the comments something like dup #ID or duplicate #ID")</f>
        <v>No, however, check in the comments something like dup #ID or duplicate #ID</v>
      </c>
      <c r="D534" s="16" t="s">
        <v>476</v>
      </c>
      <c r="E534" s="16" t="s">
        <v>442</v>
      </c>
      <c r="F534" s="55"/>
      <c r="G534" s="56"/>
      <c r="H534" s="54"/>
      <c r="J534" s="55"/>
      <c r="K534" s="56"/>
    </row>
    <row r="535">
      <c r="A535" s="62" t="s">
        <v>88</v>
      </c>
      <c r="B535" s="50" t="str">
        <f>IFERROR(HYPERLINK(VLOOKUP(A535,Internal_lists_bugs!$A$2:$C$73,3,FALSE()), VLOOKUP(A535,Internal_lists_bugs!$A$2:$C$73,3,FALSE())&amp;Char(10) &amp; Char(10) &amp; VLOOKUP(A535,Internal_lists_bugs!$A$2:$Z$73,26,FALSE())),"please select a BUG ID")</f>
        <v>https://github.com/elastic/elasticsearch/issues/1626
/routing/RoutingNode.java
/routing/RoutingNodes.java
/routing/allocation/AllocationService.java </v>
      </c>
      <c r="C535" s="51" t="str">
        <f>IFERROR(__xludf.DUMMYFUNCTION("IFERROR(IF(REGEXMATCH(VLOOKUP(A535,Internal_lists_bugs!$A$2:$R$73,18,FALSE()), ""Yes""), VLOOKUP(A535,Internal_lists_bugs!$A$2:$U$73,21,FALSE()), VLOOKUP(A535,Internal_lists_bugs!$A$2:$R$73,18,FALSE())),""please select a BUG ID"")"),"No, however, check in the comments something like dup #ID or duplicate #ID")</f>
        <v>No, however, check in the comments something like dup #ID or duplicate #ID</v>
      </c>
      <c r="D535" s="16" t="s">
        <v>149</v>
      </c>
      <c r="E535" s="16" t="s">
        <v>144</v>
      </c>
      <c r="F535" s="52" t="s">
        <v>121</v>
      </c>
      <c r="G535" s="56"/>
      <c r="H535" s="16" t="s">
        <v>123</v>
      </c>
      <c r="J535" s="52" t="s">
        <v>123</v>
      </c>
      <c r="K535" s="56"/>
    </row>
    <row r="536">
      <c r="A536" s="62" t="s">
        <v>88</v>
      </c>
      <c r="B536" s="50" t="str">
        <f>IFERROR(HYPERLINK(VLOOKUP(A536,Internal_lists_bugs!$A$2:$C$73,3,FALSE()), VLOOKUP(A536,Internal_lists_bugs!$A$2:$C$73,3,FALSE())&amp;Char(10) &amp; Char(10) &amp; VLOOKUP(A536,Internal_lists_bugs!$A$2:$Z$73,26,FALSE())),"please select a BUG ID")</f>
        <v>https://github.com/elastic/elasticsearch/issues/1626
/routing/RoutingNode.java
/routing/RoutingNodes.java
/routing/allocation/AllocationService.java </v>
      </c>
      <c r="C536" s="51" t="str">
        <f>IFERROR(__xludf.DUMMYFUNCTION("IFERROR(IF(REGEXMATCH(VLOOKUP(A536,Internal_lists_bugs!$A$2:$R$73,18,FALSE()), ""Yes""), VLOOKUP(A536,Internal_lists_bugs!$A$2:$U$73,21,FALSE()), VLOOKUP(A536,Internal_lists_bugs!$A$2:$R$73,18,FALSE())),""please select a BUG ID"")"),"No, however, check in the comments something like dup #ID or duplicate #ID")</f>
        <v>No, however, check in the comments something like dup #ID or duplicate #ID</v>
      </c>
      <c r="D536" s="16" t="s">
        <v>119</v>
      </c>
      <c r="E536" s="16" t="s">
        <v>144</v>
      </c>
      <c r="F536" s="55"/>
      <c r="G536" s="56"/>
      <c r="H536" s="54"/>
      <c r="J536" s="55"/>
      <c r="K536" s="56"/>
    </row>
    <row r="537">
      <c r="A537" s="62" t="s">
        <v>89</v>
      </c>
      <c r="B537" s="50" t="str">
        <f>IFERROR(HYPERLINK(VLOOKUP(A537,Internal_lists_bugs!$A$2:$C$73,3,FALSE()), VLOOKUP(A537,Internal_lists_bugs!$A$2:$C$73,3,FALSE())&amp;Char(10) &amp; Char(10) &amp; VLOOKUP(A537,Internal_lists_bugs!$A$2:$Z$73,26,FALSE())),"please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537" s="51" t="str">
        <f>IFERROR(__xludf.DUMMYFUNCTION("IFERROR(IF(REGEXMATCH(VLOOKUP(A537,Internal_lists_bugs!$A$2:$R$73,18,FALSE()), ""Yes""), VLOOKUP(A537,Internal_lists_bugs!$A$2:$U$73,21,FALSE()), VLOOKUP(A537,Internal_lists_bugs!$A$2:$R$73,18,FALSE())),""please select a BUG ID"")"),"No, however, check in the comments something like dup #ID or duplicate #ID")</f>
        <v>No, however, check in the comments something like dup #ID or duplicate #ID</v>
      </c>
      <c r="D537" s="16" t="s">
        <v>374</v>
      </c>
      <c r="E537" s="16" t="s">
        <v>324</v>
      </c>
      <c r="F537" s="52" t="s">
        <v>121</v>
      </c>
      <c r="G537" s="56"/>
      <c r="H537" s="16" t="s">
        <v>123</v>
      </c>
      <c r="J537" s="52" t="s">
        <v>123</v>
      </c>
      <c r="K537" s="56"/>
    </row>
    <row r="538">
      <c r="A538" s="62" t="s">
        <v>89</v>
      </c>
      <c r="B538" s="50" t="str">
        <f>IFERROR(HYPERLINK(VLOOKUP(A538,Internal_lists_bugs!$A$2:$C$73,3,FALSE()), VLOOKUP(A538,Internal_lists_bugs!$A$2:$C$73,3,FALSE())&amp;Char(10) &amp; Char(10) &amp; VLOOKUP(A538,Internal_lists_bugs!$A$2:$Z$73,26,FALSE())),"please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538" s="51" t="str">
        <f>IFERROR(__xludf.DUMMYFUNCTION("IFERROR(IF(REGEXMATCH(VLOOKUP(A538,Internal_lists_bugs!$A$2:$R$73,18,FALSE()), ""Yes""), VLOOKUP(A538,Internal_lists_bugs!$A$2:$U$73,21,FALSE()), VLOOKUP(A538,Internal_lists_bugs!$A$2:$R$73,18,FALSE())),""please select a BUG ID"")"),"No, however, check in the comments something like dup #ID or duplicate #ID")</f>
        <v>No, however, check in the comments something like dup #ID or duplicate #ID</v>
      </c>
      <c r="D538" s="16" t="s">
        <v>227</v>
      </c>
      <c r="E538" s="16" t="s">
        <v>324</v>
      </c>
      <c r="F538" s="55"/>
      <c r="G538" s="56"/>
      <c r="H538" s="54"/>
      <c r="J538" s="55"/>
      <c r="K538" s="56"/>
    </row>
    <row r="539">
      <c r="A539" s="62" t="s">
        <v>89</v>
      </c>
      <c r="B539" s="50" t="str">
        <f>IFERROR(HYPERLINK(VLOOKUP(A539,Internal_lists_bugs!$A$2:$C$73,3,FALSE()), VLOOKUP(A539,Internal_lists_bugs!$A$2:$C$73,3,FALSE())&amp;Char(10) &amp; Char(10) &amp; VLOOKUP(A539,Internal_lists_bugs!$A$2:$Z$73,26,FALSE())),"please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539" s="51" t="str">
        <f>IFERROR(__xludf.DUMMYFUNCTION("IFERROR(IF(REGEXMATCH(VLOOKUP(A539,Internal_lists_bugs!$A$2:$R$73,18,FALSE()), ""Yes""), VLOOKUP(A539,Internal_lists_bugs!$A$2:$U$73,21,FALSE()), VLOOKUP(A539,Internal_lists_bugs!$A$2:$R$73,18,FALSE())),""please select a BUG ID"")"),"No, however, check in the comments something like dup #ID or duplicate #ID")</f>
        <v>No, however, check in the comments something like dup #ID or duplicate #ID</v>
      </c>
      <c r="D539" s="16" t="s">
        <v>343</v>
      </c>
      <c r="E539" s="16" t="s">
        <v>324</v>
      </c>
      <c r="F539" s="55"/>
      <c r="G539" s="56"/>
      <c r="H539" s="54"/>
      <c r="J539" s="55"/>
      <c r="K539" s="56"/>
    </row>
    <row r="540">
      <c r="A540" s="62" t="s">
        <v>89</v>
      </c>
      <c r="B540" s="50" t="str">
        <f>IFERROR(HYPERLINK(VLOOKUP(A540,Internal_lists_bugs!$A$2:$C$73,3,FALSE()), VLOOKUP(A540,Internal_lists_bugs!$A$2:$C$73,3,FALSE())&amp;Char(10) &amp; Char(10) &amp; VLOOKUP(A540,Internal_lists_bugs!$A$2:$Z$73,26,FALSE())),"please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540" s="51" t="str">
        <f>IFERROR(__xludf.DUMMYFUNCTION("IFERROR(IF(REGEXMATCH(VLOOKUP(A540,Internal_lists_bugs!$A$2:$R$73,18,FALSE()), ""Yes""), VLOOKUP(A540,Internal_lists_bugs!$A$2:$U$73,21,FALSE()), VLOOKUP(A540,Internal_lists_bugs!$A$2:$R$73,18,FALSE())),""please select a BUG ID"")"),"No, however, check in the comments something like dup #ID or duplicate #ID")</f>
        <v>No, however, check in the comments something like dup #ID or duplicate #ID</v>
      </c>
      <c r="D540" s="16" t="s">
        <v>119</v>
      </c>
      <c r="E540" s="16" t="s">
        <v>144</v>
      </c>
      <c r="F540" s="55"/>
      <c r="G540" s="56"/>
      <c r="H540" s="54"/>
      <c r="J540" s="55"/>
      <c r="K540" s="56"/>
    </row>
    <row r="541">
      <c r="A541" s="62" t="s">
        <v>90</v>
      </c>
      <c r="B541" s="50" t="str">
        <f>IFERROR(HYPERLINK(VLOOKUP(A541,Internal_lists_bugs!$A$2:$C$73,3,FALSE()), VLOOKUP(A541,Internal_lists_bugs!$A$2:$C$73,3,FALSE())&amp;Char(10) &amp; Char(10) &amp; VLOOKUP(A541,Internal_lists_bugs!$A$2:$Z$73,26,FALSE())),"please select a BUG ID")</f>
        <v>https://github.com/elastic/elasticsearch/issues/8125
/bulk/TransportBulkAction.java</v>
      </c>
      <c r="C541" s="51" t="str">
        <f>IFERROR(__xludf.DUMMYFUNCTION("IFERROR(IF(REGEXMATCH(VLOOKUP(A541,Internal_lists_bugs!$A$2:$R$73,18,FALSE()), ""Yes""), VLOOKUP(A541,Internal_lists_bugs!$A$2:$U$73,21,FALSE()), VLOOKUP(A541,Internal_lists_bugs!$A$2:$R$73,18,FALSE())),""please select a BUG ID"")"),"No, however, check in the comments something like dup #ID or duplicate #ID")</f>
        <v>No, however, check in the comments something like dup #ID or duplicate #ID</v>
      </c>
      <c r="D541" s="16" t="s">
        <v>119</v>
      </c>
      <c r="E541" s="16" t="s">
        <v>144</v>
      </c>
      <c r="F541" s="52" t="s">
        <v>121</v>
      </c>
      <c r="G541" s="56"/>
      <c r="H541" s="16" t="s">
        <v>123</v>
      </c>
      <c r="J541" s="52" t="s">
        <v>123</v>
      </c>
      <c r="K541" s="56"/>
    </row>
    <row r="542">
      <c r="A542" s="62" t="s">
        <v>90</v>
      </c>
      <c r="B542" s="50" t="str">
        <f>IFERROR(HYPERLINK(VLOOKUP(A542,Internal_lists_bugs!$A$2:$C$73,3,FALSE()), VLOOKUP(A542,Internal_lists_bugs!$A$2:$C$73,3,FALSE())&amp;Char(10) &amp; Char(10) &amp; VLOOKUP(A542,Internal_lists_bugs!$A$2:$Z$73,26,FALSE())),"please select a BUG ID")</f>
        <v>https://github.com/elastic/elasticsearch/issues/8125
/bulk/TransportBulkAction.java</v>
      </c>
      <c r="C542" s="51" t="str">
        <f>IFERROR(__xludf.DUMMYFUNCTION("IFERROR(IF(REGEXMATCH(VLOOKUP(A542,Internal_lists_bugs!$A$2:$R$73,18,FALSE()), ""Yes""), VLOOKUP(A542,Internal_lists_bugs!$A$2:$U$73,21,FALSE()), VLOOKUP(A542,Internal_lists_bugs!$A$2:$R$73,18,FALSE())),""please select a BUG ID"")"),"No, however, check in the comments something like dup #ID or duplicate #ID")</f>
        <v>No, however, check in the comments something like dup #ID or duplicate #ID</v>
      </c>
      <c r="D542" s="16" t="s">
        <v>149</v>
      </c>
      <c r="E542" s="16" t="s">
        <v>144</v>
      </c>
      <c r="F542" s="55"/>
      <c r="G542" s="56"/>
      <c r="H542" s="54"/>
      <c r="J542" s="55"/>
      <c r="K542" s="56"/>
    </row>
    <row r="543">
      <c r="A543" s="62" t="s">
        <v>90</v>
      </c>
      <c r="B543" s="50" t="str">
        <f>IFERROR(HYPERLINK(VLOOKUP(A543,Internal_lists_bugs!$A$2:$C$73,3,FALSE()), VLOOKUP(A543,Internal_lists_bugs!$A$2:$C$73,3,FALSE())&amp;Char(10) &amp; Char(10) &amp; VLOOKUP(A543,Internal_lists_bugs!$A$2:$Z$73,26,FALSE())),"please select a BUG ID")</f>
        <v>https://github.com/elastic/elasticsearch/issues/8125
/bulk/TransportBulkAction.java</v>
      </c>
      <c r="C543" s="51" t="str">
        <f>IFERROR(__xludf.DUMMYFUNCTION("IFERROR(IF(REGEXMATCH(VLOOKUP(A543,Internal_lists_bugs!$A$2:$R$73,18,FALSE()), ""Yes""), VLOOKUP(A543,Internal_lists_bugs!$A$2:$U$73,21,FALSE()), VLOOKUP(A543,Internal_lists_bugs!$A$2:$R$73,18,FALSE())),""please select a BUG ID"")"),"No, however, check in the comments something like dup #ID or duplicate #ID")</f>
        <v>No, however, check in the comments something like dup #ID or duplicate #ID</v>
      </c>
      <c r="D543" s="16" t="s">
        <v>443</v>
      </c>
      <c r="E543" s="16" t="s">
        <v>324</v>
      </c>
      <c r="F543" s="55"/>
      <c r="G543" s="56"/>
      <c r="H543" s="54"/>
      <c r="J543" s="55"/>
      <c r="K543" s="56"/>
    </row>
    <row r="544">
      <c r="A544" s="62" t="s">
        <v>90</v>
      </c>
      <c r="B544" s="50" t="str">
        <f>IFERROR(HYPERLINK(VLOOKUP(A544,Internal_lists_bugs!$A$2:$C$73,3,FALSE()), VLOOKUP(A544,Internal_lists_bugs!$A$2:$C$73,3,FALSE())&amp;Char(10) &amp; Char(10) &amp; VLOOKUP(A544,Internal_lists_bugs!$A$2:$Z$73,26,FALSE())),"please select a BUG ID")</f>
        <v>https://github.com/elastic/elasticsearch/issues/8125
/bulk/TransportBulkAction.java</v>
      </c>
      <c r="C544" s="51" t="str">
        <f>IFERROR(__xludf.DUMMYFUNCTION("IFERROR(IF(REGEXMATCH(VLOOKUP(A544,Internal_lists_bugs!$A$2:$R$73,18,FALSE()), ""Yes""), VLOOKUP(A544,Internal_lists_bugs!$A$2:$U$73,21,FALSE()), VLOOKUP(A544,Internal_lists_bugs!$A$2:$R$73,18,FALSE())),""please select a BUG ID"")"),"No, however, check in the comments something like dup #ID or duplicate #ID")</f>
        <v>No, however, check in the comments something like dup #ID or duplicate #ID</v>
      </c>
      <c r="D544" s="16" t="s">
        <v>127</v>
      </c>
      <c r="E544" s="16" t="s">
        <v>324</v>
      </c>
      <c r="F544" s="55"/>
      <c r="G544" s="56"/>
      <c r="H544" s="54"/>
      <c r="J544" s="55"/>
      <c r="K544" s="56"/>
    </row>
    <row r="545">
      <c r="A545" s="62" t="s">
        <v>90</v>
      </c>
      <c r="B545" s="50" t="str">
        <f>IFERROR(HYPERLINK(VLOOKUP(A545,Internal_lists_bugs!$A$2:$C$73,3,FALSE()), VLOOKUP(A545,Internal_lists_bugs!$A$2:$C$73,3,FALSE())&amp;Char(10) &amp; Char(10) &amp; VLOOKUP(A545,Internal_lists_bugs!$A$2:$Z$73,26,FALSE())),"please select a BUG ID")</f>
        <v>https://github.com/elastic/elasticsearch/issues/8125
/bulk/TransportBulkAction.java</v>
      </c>
      <c r="C545" s="51" t="str">
        <f>IFERROR(__xludf.DUMMYFUNCTION("IFERROR(IF(REGEXMATCH(VLOOKUP(A545,Internal_lists_bugs!$A$2:$R$73,18,FALSE()), ""Yes""), VLOOKUP(A545,Internal_lists_bugs!$A$2:$U$73,21,FALSE()), VLOOKUP(A545,Internal_lists_bugs!$A$2:$R$73,18,FALSE())),""please select a BUG ID"")"),"No, however, check in the comments something like dup #ID or duplicate #ID")</f>
        <v>No, however, check in the comments something like dup #ID or duplicate #ID</v>
      </c>
      <c r="D545" s="16" t="s">
        <v>457</v>
      </c>
      <c r="E545" s="16" t="s">
        <v>444</v>
      </c>
      <c r="F545" s="55"/>
      <c r="G545" s="56"/>
      <c r="H545" s="54"/>
      <c r="J545" s="55"/>
      <c r="K545" s="56"/>
    </row>
    <row r="546">
      <c r="A546" s="62" t="s">
        <v>90</v>
      </c>
      <c r="B546" s="50" t="str">
        <f>IFERROR(HYPERLINK(VLOOKUP(A546,Internal_lists_bugs!$A$2:$C$73,3,FALSE()), VLOOKUP(A546,Internal_lists_bugs!$A$2:$C$73,3,FALSE())&amp;Char(10) &amp; Char(10) &amp; VLOOKUP(A546,Internal_lists_bugs!$A$2:$Z$73,26,FALSE())),"please select a BUG ID")</f>
        <v>https://github.com/elastic/elasticsearch/issues/8125
/bulk/TransportBulkAction.java</v>
      </c>
      <c r="C546" s="51" t="str">
        <f>IFERROR(__xludf.DUMMYFUNCTION("IFERROR(IF(REGEXMATCH(VLOOKUP(A546,Internal_lists_bugs!$A$2:$R$73,18,FALSE()), ""Yes""), VLOOKUP(A546,Internal_lists_bugs!$A$2:$U$73,21,FALSE()), VLOOKUP(A546,Internal_lists_bugs!$A$2:$R$73,18,FALSE())),""please select a BUG ID"")"),"No, however, check in the comments something like dup #ID or duplicate #ID")</f>
        <v>No, however, check in the comments something like dup #ID or duplicate #ID</v>
      </c>
      <c r="D546" s="16" t="s">
        <v>497</v>
      </c>
      <c r="E546" s="16" t="s">
        <v>444</v>
      </c>
      <c r="F546" s="55"/>
      <c r="G546" s="56"/>
      <c r="H546" s="54"/>
      <c r="J546" s="55"/>
      <c r="K546" s="56"/>
    </row>
    <row r="547">
      <c r="A547" s="62" t="s">
        <v>91</v>
      </c>
      <c r="B547" s="50" t="str">
        <f>IFERROR(HYPERLINK(VLOOKUP(A547,Internal_lists_bugs!$A$2:$C$73,3,FALSE()), VLOOKUP(A547,Internal_lists_bugs!$A$2:$C$73,3,FALSE())&amp;Char(10) &amp; Char(10) &amp; VLOOKUP(A547,Internal_lists_bugs!$A$2:$Z$73,26,FALSE())),"please select a BUG ID")</f>
        <v>https://github.com/elastic/elasticsearch/issues/2608
/query/TermsQueryParser.java</v>
      </c>
      <c r="C547" s="51" t="str">
        <f>IFERROR(__xludf.DUMMYFUNCTION("IFERROR(IF(REGEXMATCH(VLOOKUP(A547,Internal_lists_bugs!$A$2:$R$73,18,FALSE()), ""Yes""), VLOOKUP(A547,Internal_lists_bugs!$A$2:$U$73,21,FALSE()), VLOOKUP(A547,Internal_lists_bugs!$A$2:$R$73,18,FALSE())),""please select a BUG ID"")"),"No, however, check in the comments something like dup #ID or duplicate #ID")</f>
        <v>No, however, check in the comments something like dup #ID or duplicate #ID</v>
      </c>
      <c r="D547" s="16" t="s">
        <v>159</v>
      </c>
      <c r="E547" s="16" t="s">
        <v>144</v>
      </c>
      <c r="F547" s="52" t="s">
        <v>121</v>
      </c>
      <c r="G547" s="56"/>
      <c r="H547" s="16" t="s">
        <v>123</v>
      </c>
      <c r="J547" s="52" t="s">
        <v>123</v>
      </c>
      <c r="K547" s="56"/>
    </row>
    <row r="548">
      <c r="A548" s="62" t="s">
        <v>91</v>
      </c>
      <c r="B548" s="50" t="str">
        <f>IFERROR(HYPERLINK(VLOOKUP(A548,Internal_lists_bugs!$A$2:$C$73,3,FALSE()), VLOOKUP(A548,Internal_lists_bugs!$A$2:$C$73,3,FALSE())&amp;Char(10) &amp; Char(10) &amp; VLOOKUP(A548,Internal_lists_bugs!$A$2:$Z$73,26,FALSE())),"please select a BUG ID")</f>
        <v>https://github.com/elastic/elasticsearch/issues/2608
/query/TermsQueryParser.java</v>
      </c>
      <c r="C548" s="51" t="str">
        <f>IFERROR(__xludf.DUMMYFUNCTION("IFERROR(IF(REGEXMATCH(VLOOKUP(A548,Internal_lists_bugs!$A$2:$R$73,18,FALSE()), ""Yes""), VLOOKUP(A548,Internal_lists_bugs!$A$2:$U$73,21,FALSE()), VLOOKUP(A548,Internal_lists_bugs!$A$2:$R$73,18,FALSE())),""please select a BUG ID"")"),"No, however, check in the comments something like dup #ID or duplicate #ID")</f>
        <v>No, however, check in the comments something like dup #ID or duplicate #ID</v>
      </c>
      <c r="D548" s="16" t="s">
        <v>374</v>
      </c>
      <c r="E548" s="16" t="s">
        <v>324</v>
      </c>
      <c r="F548" s="55"/>
      <c r="G548" s="56"/>
      <c r="H548" s="54"/>
      <c r="J548" s="55"/>
      <c r="K548" s="56"/>
    </row>
    <row r="549">
      <c r="A549" s="62" t="s">
        <v>91</v>
      </c>
      <c r="B549" s="50" t="str">
        <f>IFERROR(HYPERLINK(VLOOKUP(A549,Internal_lists_bugs!$A$2:$C$73,3,FALSE()), VLOOKUP(A549,Internal_lists_bugs!$A$2:$C$73,3,FALSE())&amp;Char(10) &amp; Char(10) &amp; VLOOKUP(A549,Internal_lists_bugs!$A$2:$Z$73,26,FALSE())),"please select a BUG ID")</f>
        <v>https://github.com/elastic/elasticsearch/issues/2608
/query/TermsQueryParser.java</v>
      </c>
      <c r="C549" s="51" t="str">
        <f>IFERROR(__xludf.DUMMYFUNCTION("IFERROR(IF(REGEXMATCH(VLOOKUP(A549,Internal_lists_bugs!$A$2:$R$73,18,FALSE()), ""Yes""), VLOOKUP(A549,Internal_lists_bugs!$A$2:$U$73,21,FALSE()), VLOOKUP(A549,Internal_lists_bugs!$A$2:$R$73,18,FALSE())),""please select a BUG ID"")"),"No, however, check in the comments something like dup #ID or duplicate #ID")</f>
        <v>No, however, check in the comments something like dup #ID or duplicate #ID</v>
      </c>
      <c r="D549" s="16" t="s">
        <v>443</v>
      </c>
      <c r="E549" s="16" t="s">
        <v>324</v>
      </c>
      <c r="F549" s="55"/>
      <c r="G549" s="56"/>
      <c r="H549" s="54"/>
      <c r="J549" s="55"/>
      <c r="K549" s="56"/>
    </row>
    <row r="550">
      <c r="A550" s="62" t="s">
        <v>91</v>
      </c>
      <c r="B550" s="50" t="str">
        <f>IFERROR(HYPERLINK(VLOOKUP(A550,Internal_lists_bugs!$A$2:$C$73,3,FALSE()), VLOOKUP(A550,Internal_lists_bugs!$A$2:$C$73,3,FALSE())&amp;Char(10) &amp; Char(10) &amp; VLOOKUP(A550,Internal_lists_bugs!$A$2:$Z$73,26,FALSE())),"please select a BUG ID")</f>
        <v>https://github.com/elastic/elasticsearch/issues/2608
/query/TermsQueryParser.java</v>
      </c>
      <c r="C550" s="51" t="str">
        <f>IFERROR(__xludf.DUMMYFUNCTION("IFERROR(IF(REGEXMATCH(VLOOKUP(A550,Internal_lists_bugs!$A$2:$R$73,18,FALSE()), ""Yes""), VLOOKUP(A550,Internal_lists_bugs!$A$2:$U$73,21,FALSE()), VLOOKUP(A550,Internal_lists_bugs!$A$2:$R$73,18,FALSE())),""please select a BUG ID"")"),"No, however, check in the comments something like dup #ID or duplicate #ID")</f>
        <v>No, however, check in the comments something like dup #ID or duplicate #ID</v>
      </c>
      <c r="D550" s="16" t="s">
        <v>439</v>
      </c>
      <c r="E550" s="16" t="s">
        <v>324</v>
      </c>
      <c r="F550" s="55"/>
      <c r="G550" s="56"/>
      <c r="H550" s="54"/>
      <c r="J550" s="55"/>
      <c r="K550" s="56"/>
    </row>
    <row r="551">
      <c r="A551" s="62" t="s">
        <v>92</v>
      </c>
      <c r="B551" s="50" t="str">
        <f>IFERROR(HYPERLINK(VLOOKUP(A551,Internal_lists_bugs!$A$2:$C$73,3,FALSE()), VLOOKUP(A551,Internal_lists_bugs!$A$2:$C$73,3,FALSE())&amp;Char(10) &amp; Char(10) &amp; VLOOKUP(A551,Internal_lists_bugs!$A$2:$Z$73,26,FALSE())),"please select a BUG ID")</f>
        <v>https://github.com/elastic/elasticsearch/issues/12193
core/pom.xml</v>
      </c>
      <c r="C551" s="51" t="str">
        <f>IFERROR(__xludf.DUMMYFUNCTION("IFERROR(IF(REGEXMATCH(VLOOKUP(A551,Internal_lists_bugs!$A$2:$R$73,18,FALSE()), ""Yes""), VLOOKUP(A551,Internal_lists_bugs!$A$2:$U$73,21,FALSE()), VLOOKUP(A551,Internal_lists_bugs!$A$2:$R$73,18,FALSE())),""please select a BUG ID"")"),"No, however, check in the comments something like dup #ID or duplicate #ID")</f>
        <v>No, however, check in the comments something like dup #ID or duplicate #ID</v>
      </c>
      <c r="D551" s="16" t="s">
        <v>159</v>
      </c>
      <c r="E551" s="16" t="s">
        <v>144</v>
      </c>
      <c r="F551" s="52" t="s">
        <v>486</v>
      </c>
      <c r="G551" s="56"/>
      <c r="H551" s="16" t="s">
        <v>123</v>
      </c>
      <c r="J551" s="52" t="s">
        <v>123</v>
      </c>
      <c r="K551" s="56"/>
    </row>
    <row r="552">
      <c r="A552" s="62" t="s">
        <v>92</v>
      </c>
      <c r="B552" s="50" t="str">
        <f>IFERROR(HYPERLINK(VLOOKUP(A552,Internal_lists_bugs!$A$2:$C$73,3,FALSE()), VLOOKUP(A552,Internal_lists_bugs!$A$2:$C$73,3,FALSE())&amp;Char(10) &amp; Char(10) &amp; VLOOKUP(A552,Internal_lists_bugs!$A$2:$Z$73,26,FALSE())),"please select a BUG ID")</f>
        <v>https://github.com/elastic/elasticsearch/issues/12193
core/pom.xml</v>
      </c>
      <c r="C552" s="51" t="str">
        <f>IFERROR(__xludf.DUMMYFUNCTION("IFERROR(IF(REGEXMATCH(VLOOKUP(A552,Internal_lists_bugs!$A$2:$R$73,18,FALSE()), ""Yes""), VLOOKUP(A552,Internal_lists_bugs!$A$2:$U$73,21,FALSE()), VLOOKUP(A552,Internal_lists_bugs!$A$2:$R$73,18,FALSE())),""please select a BUG ID"")"),"No, however, check in the comments something like dup #ID or duplicate #ID")</f>
        <v>No, however, check in the comments something like dup #ID or duplicate #ID</v>
      </c>
      <c r="D552" s="16" t="s">
        <v>374</v>
      </c>
      <c r="E552" s="16" t="s">
        <v>324</v>
      </c>
      <c r="F552" s="55"/>
      <c r="G552" s="56"/>
      <c r="H552" s="54"/>
      <c r="J552" s="55"/>
      <c r="K552" s="56"/>
    </row>
    <row r="553">
      <c r="A553" s="62" t="s">
        <v>92</v>
      </c>
      <c r="B553" s="50" t="str">
        <f>IFERROR(HYPERLINK(VLOOKUP(A553,Internal_lists_bugs!$A$2:$C$73,3,FALSE()), VLOOKUP(A553,Internal_lists_bugs!$A$2:$C$73,3,FALSE())&amp;Char(10) &amp; Char(10) &amp; VLOOKUP(A553,Internal_lists_bugs!$A$2:$Z$73,26,FALSE())),"please select a BUG ID")</f>
        <v>https://github.com/elastic/elasticsearch/issues/12193
core/pom.xml</v>
      </c>
      <c r="C553" s="51" t="str">
        <f>IFERROR(__xludf.DUMMYFUNCTION("IFERROR(IF(REGEXMATCH(VLOOKUP(A553,Internal_lists_bugs!$A$2:$R$73,18,FALSE()), ""Yes""), VLOOKUP(A553,Internal_lists_bugs!$A$2:$U$73,21,FALSE()), VLOOKUP(A553,Internal_lists_bugs!$A$2:$R$73,18,FALSE())),""please select a BUG ID"")"),"No, however, check in the comments something like dup #ID or duplicate #ID")</f>
        <v>No, however, check in the comments something like dup #ID or duplicate #ID</v>
      </c>
      <c r="D553" s="16" t="s">
        <v>149</v>
      </c>
      <c r="E553" s="16" t="s">
        <v>324</v>
      </c>
      <c r="F553" s="55"/>
      <c r="G553" s="56"/>
      <c r="H553" s="54"/>
      <c r="J553" s="55"/>
      <c r="K553" s="56"/>
    </row>
    <row r="554">
      <c r="A554" s="62" t="s">
        <v>92</v>
      </c>
      <c r="B554" s="50" t="str">
        <f>IFERROR(HYPERLINK(VLOOKUP(A554,Internal_lists_bugs!$A$2:$C$73,3,FALSE()), VLOOKUP(A554,Internal_lists_bugs!$A$2:$C$73,3,FALSE())&amp;Char(10) &amp; Char(10) &amp; VLOOKUP(A554,Internal_lists_bugs!$A$2:$Z$73,26,FALSE())),"please select a BUG ID")</f>
        <v>https://github.com/elastic/elasticsearch/issues/12193
core/pom.xml</v>
      </c>
      <c r="C554" s="51" t="str">
        <f>IFERROR(__xludf.DUMMYFUNCTION("IFERROR(IF(REGEXMATCH(VLOOKUP(A554,Internal_lists_bugs!$A$2:$R$73,18,FALSE()), ""Yes""), VLOOKUP(A554,Internal_lists_bugs!$A$2:$U$73,21,FALSE()), VLOOKUP(A554,Internal_lists_bugs!$A$2:$R$73,18,FALSE())),""please select a BUG ID"")"),"No, however, check in the comments something like dup #ID or duplicate #ID")</f>
        <v>No, however, check in the comments something like dup #ID or duplicate #ID</v>
      </c>
      <c r="D554" s="16" t="s">
        <v>498</v>
      </c>
      <c r="E554" s="16" t="s">
        <v>324</v>
      </c>
      <c r="F554" s="55"/>
      <c r="G554" s="56"/>
      <c r="H554" s="54"/>
      <c r="J554" s="55"/>
      <c r="K554" s="56"/>
    </row>
    <row r="555">
      <c r="A555" s="62" t="s">
        <v>92</v>
      </c>
      <c r="B555" s="50" t="str">
        <f>IFERROR(HYPERLINK(VLOOKUP(A555,Internal_lists_bugs!$A$2:$C$73,3,FALSE()), VLOOKUP(A555,Internal_lists_bugs!$A$2:$C$73,3,FALSE())&amp;Char(10) &amp; Char(10) &amp; VLOOKUP(A555,Internal_lists_bugs!$A$2:$Z$73,26,FALSE())),"please select a BUG ID")</f>
        <v>https://github.com/elastic/elasticsearch/issues/12193
core/pom.xml</v>
      </c>
      <c r="C555" s="51" t="str">
        <f>IFERROR(__xludf.DUMMYFUNCTION("IFERROR(IF(REGEXMATCH(VLOOKUP(A555,Internal_lists_bugs!$A$2:$R$73,18,FALSE()), ""Yes""), VLOOKUP(A555,Internal_lists_bugs!$A$2:$U$73,21,FALSE()), VLOOKUP(A555,Internal_lists_bugs!$A$2:$R$73,18,FALSE())),""please select a BUG ID"")"),"No, however, check in the comments something like dup #ID or duplicate #ID")</f>
        <v>No, however, check in the comments something like dup #ID or duplicate #ID</v>
      </c>
      <c r="D555" s="16" t="s">
        <v>227</v>
      </c>
      <c r="E555" s="16" t="s">
        <v>324</v>
      </c>
      <c r="F555" s="55"/>
      <c r="G555" s="56"/>
      <c r="H555" s="54"/>
      <c r="J555" s="55"/>
      <c r="K555" s="56"/>
    </row>
    <row r="556">
      <c r="A556" s="62" t="s">
        <v>92</v>
      </c>
      <c r="B556" s="50" t="str">
        <f>IFERROR(HYPERLINK(VLOOKUP(A556,Internal_lists_bugs!$A$2:$C$73,3,FALSE()), VLOOKUP(A556,Internal_lists_bugs!$A$2:$C$73,3,FALSE())&amp;Char(10) &amp; Char(10) &amp; VLOOKUP(A556,Internal_lists_bugs!$A$2:$Z$73,26,FALSE())),"please select a BUG ID")</f>
        <v>https://github.com/elastic/elasticsearch/issues/12193
core/pom.xml</v>
      </c>
      <c r="C556" s="51" t="str">
        <f>IFERROR(__xludf.DUMMYFUNCTION("IFERROR(IF(REGEXMATCH(VLOOKUP(A556,Internal_lists_bugs!$A$2:$R$73,18,FALSE()), ""Yes""), VLOOKUP(A556,Internal_lists_bugs!$A$2:$U$73,21,FALSE()), VLOOKUP(A556,Internal_lists_bugs!$A$2:$R$73,18,FALSE())),""please select a BUG ID"")"),"No, however, check in the comments something like dup #ID or duplicate #ID")</f>
        <v>No, however, check in the comments something like dup #ID or duplicate #ID</v>
      </c>
      <c r="D556" s="16" t="s">
        <v>400</v>
      </c>
      <c r="E556" s="16" t="s">
        <v>324</v>
      </c>
      <c r="F556" s="55"/>
      <c r="G556" s="56"/>
      <c r="H556" s="54"/>
      <c r="J556" s="55"/>
      <c r="K556" s="56"/>
    </row>
    <row r="557">
      <c r="A557" s="62" t="s">
        <v>92</v>
      </c>
      <c r="B557" s="50" t="str">
        <f>IFERROR(HYPERLINK(VLOOKUP(A557,Internal_lists_bugs!$A$2:$C$73,3,FALSE()), VLOOKUP(A557,Internal_lists_bugs!$A$2:$C$73,3,FALSE())&amp;Char(10) &amp; Char(10) &amp; VLOOKUP(A557,Internal_lists_bugs!$A$2:$Z$73,26,FALSE())),"please select a BUG ID")</f>
        <v>https://github.com/elastic/elasticsearch/issues/12193
core/pom.xml</v>
      </c>
      <c r="C557" s="51" t="str">
        <f>IFERROR(__xludf.DUMMYFUNCTION("IFERROR(IF(REGEXMATCH(VLOOKUP(A557,Internal_lists_bugs!$A$2:$R$73,18,FALSE()), ""Yes""), VLOOKUP(A557,Internal_lists_bugs!$A$2:$U$73,21,FALSE()), VLOOKUP(A557,Internal_lists_bugs!$A$2:$R$73,18,FALSE())),""please select a BUG ID"")"),"No, however, check in the comments something like dup #ID or duplicate #ID")</f>
        <v>No, however, check in the comments something like dup #ID or duplicate #ID</v>
      </c>
      <c r="D557" s="16" t="s">
        <v>227</v>
      </c>
      <c r="E557" s="16" t="s">
        <v>442</v>
      </c>
      <c r="F557" s="55"/>
      <c r="G557" s="56"/>
      <c r="H557" s="54"/>
      <c r="J557" s="55"/>
      <c r="K557" s="56"/>
    </row>
    <row r="558">
      <c r="A558" s="62" t="s">
        <v>92</v>
      </c>
      <c r="B558" s="50" t="str">
        <f>IFERROR(HYPERLINK(VLOOKUP(A558,Internal_lists_bugs!$A$2:$C$73,3,FALSE()), VLOOKUP(A558,Internal_lists_bugs!$A$2:$C$73,3,FALSE())&amp;Char(10) &amp; Char(10) &amp; VLOOKUP(A558,Internal_lists_bugs!$A$2:$Z$73,26,FALSE())),"please select a BUG ID")</f>
        <v>https://github.com/elastic/elasticsearch/issues/12193
core/pom.xml</v>
      </c>
      <c r="C558" s="51" t="str">
        <f>IFERROR(__xludf.DUMMYFUNCTION("IFERROR(IF(REGEXMATCH(VLOOKUP(A558,Internal_lists_bugs!$A$2:$R$73,18,FALSE()), ""Yes""), VLOOKUP(A558,Internal_lists_bugs!$A$2:$U$73,21,FALSE()), VLOOKUP(A558,Internal_lists_bugs!$A$2:$R$73,18,FALSE())),""please select a BUG ID"")"),"No, however, check in the comments something like dup #ID or duplicate #ID")</f>
        <v>No, however, check in the comments something like dup #ID or duplicate #ID</v>
      </c>
      <c r="D558" s="16" t="s">
        <v>334</v>
      </c>
      <c r="E558" s="16" t="s">
        <v>442</v>
      </c>
      <c r="F558" s="55"/>
      <c r="G558" s="56"/>
      <c r="H558" s="54"/>
      <c r="J558" s="55"/>
      <c r="K558" s="56"/>
    </row>
    <row r="559">
      <c r="A559" s="62" t="s">
        <v>93</v>
      </c>
      <c r="B559" s="50" t="str">
        <f>IFERROR(HYPERLINK(VLOOKUP(A559,Internal_lists_bugs!$A$2:$C$73,3,FALSE()), VLOOKUP(A559,Internal_lists_bugs!$A$2:$C$73,3,FALSE())&amp;Char(10) &amp; Char(10) &amp; VLOOKUP(A559,Internal_lists_bugs!$A$2:$Z$73,26,FALSE())),"please select a BUG ID")</f>
        <v>https://github.com/elastic/elasticsearch/issues/15858
/lucene/search/Queries.java</v>
      </c>
      <c r="C559" s="51" t="str">
        <f>IFERROR(__xludf.DUMMYFUNCTION("IFERROR(IF(REGEXMATCH(VLOOKUP(A559,Internal_lists_bugs!$A$2:$R$73,18,FALSE()), ""Yes""), VLOOKUP(A559,Internal_lists_bugs!$A$2:$U$73,21,FALSE()), VLOOKUP(A559,Internal_lists_bugs!$A$2:$R$73,18,FALSE())),""please select a BUG ID"")"),"No, however, check in the comments something like dup #ID or duplicate #ID")</f>
        <v>No, however, check in the comments something like dup #ID or duplicate #ID</v>
      </c>
      <c r="D559" s="16" t="s">
        <v>439</v>
      </c>
      <c r="E559" s="16" t="s">
        <v>324</v>
      </c>
      <c r="F559" s="55"/>
      <c r="G559" s="56"/>
      <c r="H559" s="54"/>
      <c r="J559" s="55"/>
      <c r="K559" s="56"/>
    </row>
    <row r="560">
      <c r="A560" s="62" t="s">
        <v>93</v>
      </c>
      <c r="B560" s="50" t="str">
        <f>IFERROR(HYPERLINK(VLOOKUP(A560,Internal_lists_bugs!$A$2:$C$73,3,FALSE()), VLOOKUP(A560,Internal_lists_bugs!$A$2:$C$73,3,FALSE())&amp;Char(10) &amp; Char(10) &amp; VLOOKUP(A560,Internal_lists_bugs!$A$2:$Z$73,26,FALSE())),"please select a BUG ID")</f>
        <v>https://github.com/elastic/elasticsearch/issues/15858
/lucene/search/Queries.java</v>
      </c>
      <c r="C560" s="51" t="str">
        <f>IFERROR(__xludf.DUMMYFUNCTION("IFERROR(IF(REGEXMATCH(VLOOKUP(A560,Internal_lists_bugs!$A$2:$R$73,18,FALSE()), ""Yes""), VLOOKUP(A560,Internal_lists_bugs!$A$2:$U$73,21,FALSE()), VLOOKUP(A560,Internal_lists_bugs!$A$2:$R$73,18,FALSE())),""please select a BUG ID"")"),"No, however, check in the comments something like dup #ID or duplicate #ID")</f>
        <v>No, however, check in the comments something like dup #ID or duplicate #ID</v>
      </c>
      <c r="D560" s="16" t="s">
        <v>149</v>
      </c>
      <c r="E560" s="16" t="s">
        <v>324</v>
      </c>
      <c r="F560" s="52" t="s">
        <v>121</v>
      </c>
      <c r="G560" s="56"/>
      <c r="H560" s="16" t="s">
        <v>123</v>
      </c>
      <c r="J560" s="52" t="s">
        <v>123</v>
      </c>
      <c r="K560" s="56"/>
    </row>
    <row r="561">
      <c r="A561" s="62" t="s">
        <v>93</v>
      </c>
      <c r="B561" s="50" t="str">
        <f>IFERROR(HYPERLINK(VLOOKUP(A561,Internal_lists_bugs!$A$2:$C$73,3,FALSE()), VLOOKUP(A561,Internal_lists_bugs!$A$2:$C$73,3,FALSE())&amp;Char(10) &amp; Char(10) &amp; VLOOKUP(A561,Internal_lists_bugs!$A$2:$Z$73,26,FALSE())),"please select a BUG ID")</f>
        <v>https://github.com/elastic/elasticsearch/issues/15858
/lucene/search/Queries.java</v>
      </c>
      <c r="C561" s="51" t="str">
        <f>IFERROR(__xludf.DUMMYFUNCTION("IFERROR(IF(REGEXMATCH(VLOOKUP(A561,Internal_lists_bugs!$A$2:$R$73,18,FALSE()), ""Yes""), VLOOKUP(A561,Internal_lists_bugs!$A$2:$U$73,21,FALSE()), VLOOKUP(A561,Internal_lists_bugs!$A$2:$R$73,18,FALSE())),""please select a BUG ID"")"),"No, however, check in the comments something like dup #ID or duplicate #ID")</f>
        <v>No, however, check in the comments something like dup #ID or duplicate #ID</v>
      </c>
      <c r="D561" s="16" t="s">
        <v>119</v>
      </c>
      <c r="E561" s="16" t="s">
        <v>324</v>
      </c>
      <c r="F561" s="55"/>
      <c r="G561" s="56"/>
      <c r="H561" s="54"/>
      <c r="J561" s="55"/>
      <c r="K561" s="56"/>
    </row>
    <row r="562">
      <c r="A562" s="62" t="s">
        <v>93</v>
      </c>
      <c r="B562" s="50" t="str">
        <f>IFERROR(HYPERLINK(VLOOKUP(A562,Internal_lists_bugs!$A$2:$C$73,3,FALSE()), VLOOKUP(A562,Internal_lists_bugs!$A$2:$C$73,3,FALSE())&amp;Char(10) &amp; Char(10) &amp; VLOOKUP(A562,Internal_lists_bugs!$A$2:$Z$73,26,FALSE())),"please select a BUG ID")</f>
        <v>https://github.com/elastic/elasticsearch/issues/15858
/lucene/search/Queries.java</v>
      </c>
      <c r="C562" s="51" t="str">
        <f>IFERROR(__xludf.DUMMYFUNCTION("IFERROR(IF(REGEXMATCH(VLOOKUP(A562,Internal_lists_bugs!$A$2:$R$73,18,FALSE()), ""Yes""), VLOOKUP(A562,Internal_lists_bugs!$A$2:$U$73,21,FALSE()), VLOOKUP(A562,Internal_lists_bugs!$A$2:$R$73,18,FALSE())),""please select a BUG ID"")"),"No, however, check in the comments something like dup #ID or duplicate #ID")</f>
        <v>No, however, check in the comments something like dup #ID or duplicate #ID</v>
      </c>
      <c r="D562" s="16" t="s">
        <v>127</v>
      </c>
      <c r="E562" s="16" t="s">
        <v>442</v>
      </c>
      <c r="F562" s="55"/>
      <c r="G562" s="56"/>
      <c r="H562" s="54"/>
      <c r="J562" s="55"/>
      <c r="K562" s="56"/>
    </row>
    <row r="563">
      <c r="A563" s="62" t="s">
        <v>93</v>
      </c>
      <c r="B563" s="50" t="str">
        <f>IFERROR(HYPERLINK(VLOOKUP(A563,Internal_lists_bugs!$A$2:$C$73,3,FALSE()), VLOOKUP(A563,Internal_lists_bugs!$A$2:$C$73,3,FALSE())&amp;Char(10) &amp; Char(10) &amp; VLOOKUP(A563,Internal_lists_bugs!$A$2:$Z$73,26,FALSE())),"please select a BUG ID")</f>
        <v>https://github.com/elastic/elasticsearch/issues/15858
/lucene/search/Queries.java</v>
      </c>
      <c r="C563" s="51" t="str">
        <f>IFERROR(__xludf.DUMMYFUNCTION("IFERROR(IF(REGEXMATCH(VLOOKUP(A563,Internal_lists_bugs!$A$2:$R$73,18,FALSE()), ""Yes""), VLOOKUP(A563,Internal_lists_bugs!$A$2:$U$73,21,FALSE()), VLOOKUP(A563,Internal_lists_bugs!$A$2:$R$73,18,FALSE())),""please select a BUG ID"")"),"No, however, check in the comments something like dup #ID or duplicate #ID")</f>
        <v>No, however, check in the comments something like dup #ID or duplicate #ID</v>
      </c>
      <c r="D563" s="16" t="s">
        <v>499</v>
      </c>
      <c r="E563" s="16" t="s">
        <v>442</v>
      </c>
      <c r="F563" s="55"/>
      <c r="G563" s="56"/>
      <c r="H563" s="54"/>
      <c r="J563" s="55"/>
      <c r="K563" s="56"/>
    </row>
    <row r="564">
      <c r="A564" s="62" t="s">
        <v>93</v>
      </c>
      <c r="B564" s="50" t="str">
        <f>IFERROR(HYPERLINK(VLOOKUP(A564,Internal_lists_bugs!$A$2:$C$73,3,FALSE()), VLOOKUP(A564,Internal_lists_bugs!$A$2:$C$73,3,FALSE())&amp;Char(10) &amp; Char(10) &amp; VLOOKUP(A564,Internal_lists_bugs!$A$2:$Z$73,26,FALSE())),"please select a BUG ID")</f>
        <v>https://github.com/elastic/elasticsearch/issues/15858
/lucene/search/Queries.java</v>
      </c>
      <c r="C564" s="51" t="str">
        <f>IFERROR(__xludf.DUMMYFUNCTION("IFERROR(IF(REGEXMATCH(VLOOKUP(A564,Internal_lists_bugs!$A$2:$R$73,18,FALSE()), ""Yes""), VLOOKUP(A564,Internal_lists_bugs!$A$2:$U$73,21,FALSE()), VLOOKUP(A564,Internal_lists_bugs!$A$2:$R$73,18,FALSE())),""please select a BUG ID"")"),"No, however, check in the comments something like dup #ID or duplicate #ID")</f>
        <v>No, however, check in the comments something like dup #ID or duplicate #ID</v>
      </c>
      <c r="D564" s="16" t="s">
        <v>473</v>
      </c>
      <c r="E564" s="16" t="s">
        <v>447</v>
      </c>
      <c r="F564" s="55"/>
      <c r="G564" s="56"/>
      <c r="H564" s="54"/>
      <c r="J564" s="55"/>
      <c r="K564" s="56"/>
    </row>
    <row r="565">
      <c r="A565" s="62" t="s">
        <v>93</v>
      </c>
      <c r="B565" s="50" t="str">
        <f>IFERROR(HYPERLINK(VLOOKUP(A565,Internal_lists_bugs!$A$2:$C$73,3,FALSE()), VLOOKUP(A565,Internal_lists_bugs!$A$2:$C$73,3,FALSE())&amp;Char(10) &amp; Char(10) &amp; VLOOKUP(A565,Internal_lists_bugs!$A$2:$Z$73,26,FALSE())),"please select a BUG ID")</f>
        <v>https://github.com/elastic/elasticsearch/issues/15858
/lucene/search/Queries.java</v>
      </c>
      <c r="C565" s="51" t="str">
        <f>IFERROR(__xludf.DUMMYFUNCTION("IFERROR(IF(REGEXMATCH(VLOOKUP(A565,Internal_lists_bugs!$A$2:$R$73,18,FALSE()), ""Yes""), VLOOKUP(A565,Internal_lists_bugs!$A$2:$U$73,21,FALSE()), VLOOKUP(A565,Internal_lists_bugs!$A$2:$R$73,18,FALSE())),""please select a BUG ID"")"),"No, however, check in the comments something like dup #ID or duplicate #ID")</f>
        <v>No, however, check in the comments something like dup #ID or duplicate #ID</v>
      </c>
      <c r="D565" s="16" t="s">
        <v>496</v>
      </c>
      <c r="E565" s="16" t="s">
        <v>447</v>
      </c>
      <c r="F565" s="55"/>
      <c r="G565" s="56"/>
      <c r="H565" s="54"/>
      <c r="J565" s="55"/>
      <c r="K565" s="56"/>
    </row>
    <row r="566">
      <c r="A566" s="62" t="s">
        <v>93</v>
      </c>
      <c r="B566" s="50" t="str">
        <f>IFERROR(HYPERLINK(VLOOKUP(A566,Internal_lists_bugs!$A$2:$C$73,3,FALSE()), VLOOKUP(A566,Internal_lists_bugs!$A$2:$C$73,3,FALSE())&amp;Char(10) &amp; Char(10) &amp; VLOOKUP(A566,Internal_lists_bugs!$A$2:$Z$73,26,FALSE())),"please select a BUG ID")</f>
        <v>https://github.com/elastic/elasticsearch/issues/15858
/lucene/search/Queries.java</v>
      </c>
      <c r="C566" s="51" t="str">
        <f>IFERROR(__xludf.DUMMYFUNCTION("IFERROR(IF(REGEXMATCH(VLOOKUP(A566,Internal_lists_bugs!$A$2:$R$73,18,FALSE()), ""Yes""), VLOOKUP(A566,Internal_lists_bugs!$A$2:$U$73,21,FALSE()), VLOOKUP(A566,Internal_lists_bugs!$A$2:$R$73,18,FALSE())),""please select a BUG ID"")"),"No, however, check in the comments something like dup #ID or duplicate #ID")</f>
        <v>No, however, check in the comments something like dup #ID or duplicate #ID</v>
      </c>
      <c r="D566" s="16" t="s">
        <v>455</v>
      </c>
      <c r="E566" s="16" t="s">
        <v>451</v>
      </c>
      <c r="F566" s="55"/>
      <c r="G566" s="56"/>
      <c r="H566" s="54"/>
      <c r="J566" s="55"/>
      <c r="K566" s="56"/>
    </row>
    <row r="567">
      <c r="A567" s="62" t="s">
        <v>93</v>
      </c>
      <c r="B567" s="50" t="str">
        <f>IFERROR(HYPERLINK(VLOOKUP(A567,Internal_lists_bugs!$A$2:$C$73,3,FALSE()), VLOOKUP(A567,Internal_lists_bugs!$A$2:$C$73,3,FALSE())&amp;Char(10) &amp; Char(10) &amp; VLOOKUP(A567,Internal_lists_bugs!$A$2:$Z$73,26,FALSE())),"please select a BUG ID")</f>
        <v>https://github.com/elastic/elasticsearch/issues/15858
/lucene/search/Queries.java</v>
      </c>
      <c r="C567" s="51" t="str">
        <f>IFERROR(__xludf.DUMMYFUNCTION("IFERROR(IF(REGEXMATCH(VLOOKUP(A567,Internal_lists_bugs!$A$2:$R$73,18,FALSE()), ""Yes""), VLOOKUP(A567,Internal_lists_bugs!$A$2:$U$73,21,FALSE()), VLOOKUP(A567,Internal_lists_bugs!$A$2:$R$73,18,FALSE())),""please select a BUG ID"")"),"No, however, check in the comments something like dup #ID or duplicate #ID")</f>
        <v>No, however, check in the comments something like dup #ID or duplicate #ID</v>
      </c>
      <c r="D567" s="16" t="s">
        <v>455</v>
      </c>
      <c r="E567" s="16" t="s">
        <v>500</v>
      </c>
      <c r="F567" s="55"/>
      <c r="G567" s="56"/>
      <c r="H567" s="54"/>
      <c r="J567" s="55"/>
      <c r="K567" s="56"/>
    </row>
    <row r="568">
      <c r="A568" s="62" t="s">
        <v>93</v>
      </c>
      <c r="B568" s="50" t="str">
        <f>IFERROR(HYPERLINK(VLOOKUP(A568,Internal_lists_bugs!$A$2:$C$73,3,FALSE()), VLOOKUP(A568,Internal_lists_bugs!$A$2:$C$73,3,FALSE())&amp;Char(10) &amp; Char(10) &amp; VLOOKUP(A568,Internal_lists_bugs!$A$2:$Z$73,26,FALSE())),"please select a BUG ID")</f>
        <v>https://github.com/elastic/elasticsearch/issues/15858
/lucene/search/Queries.java</v>
      </c>
      <c r="C568" s="51" t="str">
        <f>IFERROR(__xludf.DUMMYFUNCTION("IFERROR(IF(REGEXMATCH(VLOOKUP(A568,Internal_lists_bugs!$A$2:$R$73,18,FALSE()), ""Yes""), VLOOKUP(A568,Internal_lists_bugs!$A$2:$U$73,21,FALSE()), VLOOKUP(A568,Internal_lists_bugs!$A$2:$R$73,18,FALSE())),""please select a BUG ID"")"),"No, however, check in the comments something like dup #ID or duplicate #ID")</f>
        <v>No, however, check in the comments something like dup #ID or duplicate #ID</v>
      </c>
      <c r="D568" s="16" t="s">
        <v>456</v>
      </c>
      <c r="E568" s="16" t="s">
        <v>461</v>
      </c>
      <c r="F568" s="55"/>
      <c r="G568" s="56"/>
      <c r="H568" s="54"/>
      <c r="J568" s="55"/>
      <c r="K568" s="56"/>
    </row>
    <row r="569">
      <c r="A569" s="62" t="s">
        <v>93</v>
      </c>
      <c r="B569" s="50" t="str">
        <f>IFERROR(HYPERLINK(VLOOKUP(A569,Internal_lists_bugs!$A$2:$C$73,3,FALSE()), VLOOKUP(A569,Internal_lists_bugs!$A$2:$C$73,3,FALSE())&amp;Char(10) &amp; Char(10) &amp; VLOOKUP(A569,Internal_lists_bugs!$A$2:$Z$73,26,FALSE())),"please select a BUG ID")</f>
        <v>https://github.com/elastic/elasticsearch/issues/15858
/lucene/search/Queries.java</v>
      </c>
      <c r="C569" s="51" t="str">
        <f>IFERROR(__xludf.DUMMYFUNCTION("IFERROR(IF(REGEXMATCH(VLOOKUP(A569,Internal_lists_bugs!$A$2:$R$73,18,FALSE()), ""Yes""), VLOOKUP(A569,Internal_lists_bugs!$A$2:$U$73,21,FALSE()), VLOOKUP(A569,Internal_lists_bugs!$A$2:$R$73,18,FALSE())),""please select a BUG ID"")"),"No, however, check in the comments something like dup #ID or duplicate #ID")</f>
        <v>No, however, check in the comments something like dup #ID or duplicate #ID</v>
      </c>
      <c r="D569" s="16" t="s">
        <v>501</v>
      </c>
      <c r="E569" s="16" t="s">
        <v>462</v>
      </c>
      <c r="F569" s="55"/>
      <c r="G569" s="56"/>
      <c r="H569" s="54"/>
      <c r="J569" s="55"/>
      <c r="K569" s="56"/>
    </row>
    <row r="570">
      <c r="A570" s="62" t="s">
        <v>93</v>
      </c>
      <c r="B570" s="50" t="str">
        <f>IFERROR(HYPERLINK(VLOOKUP(A570,Internal_lists_bugs!$A$2:$C$73,3,FALSE()), VLOOKUP(A570,Internal_lists_bugs!$A$2:$C$73,3,FALSE())&amp;Char(10) &amp; Char(10) &amp; VLOOKUP(A570,Internal_lists_bugs!$A$2:$Z$73,26,FALSE())),"please select a BUG ID")</f>
        <v>https://github.com/elastic/elasticsearch/issues/15858
/lucene/search/Queries.java</v>
      </c>
      <c r="C570" s="51" t="str">
        <f>IFERROR(__xludf.DUMMYFUNCTION("IFERROR(IF(REGEXMATCH(VLOOKUP(A570,Internal_lists_bugs!$A$2:$R$73,18,FALSE()), ""Yes""), VLOOKUP(A570,Internal_lists_bugs!$A$2:$U$73,21,FALSE()), VLOOKUP(A570,Internal_lists_bugs!$A$2:$R$73,18,FALSE())),""please select a BUG ID"")"),"No, however, check in the comments something like dup #ID or duplicate #ID")</f>
        <v>No, however, check in the comments something like dup #ID or duplicate #ID</v>
      </c>
      <c r="D570" s="16" t="s">
        <v>161</v>
      </c>
      <c r="E570" s="16" t="s">
        <v>462</v>
      </c>
      <c r="F570" s="55"/>
      <c r="G570" s="56"/>
      <c r="H570" s="54"/>
      <c r="J570" s="55"/>
      <c r="K570" s="56"/>
    </row>
    <row r="571">
      <c r="A571" s="62" t="s">
        <v>94</v>
      </c>
      <c r="B571" s="50" t="str">
        <f>IFERROR(HYPERLINK(VLOOKUP(A571,Internal_lists_bugs!$A$2:$C$73,3,FALSE()), VLOOKUP(A571,Internal_lists_bugs!$A$2:$C$73,3,FALSE())&amp;Char(10) &amp; Char(10) &amp; VLOOKUP(A571,Internal_lists_bugs!$A$2:$Z$73,26,FALSE())),"please select a BUG ID")</f>
        <v>https://github.com/elastic/elasticsearch/issues/5165
/search/SearchService.java
/internal/DefaultSearchContext.java</v>
      </c>
      <c r="C571" s="51" t="str">
        <f>IFERROR(__xludf.DUMMYFUNCTION("IFERROR(IF(REGEXMATCH(VLOOKUP(A571,Internal_lists_bugs!$A$2:$R$73,18,FALSE()), ""Yes""), VLOOKUP(A571,Internal_lists_bugs!$A$2:$U$73,21,FALSE()), VLOOKUP(A571,Internal_lists_bugs!$A$2:$R$73,18,FALSE())),""please select a BUG ID"")"),"No, however, check in the comments something like dup #ID or duplicate #ID")</f>
        <v>No, however, check in the comments something like dup #ID or duplicate #ID</v>
      </c>
      <c r="D571" s="16" t="s">
        <v>119</v>
      </c>
      <c r="E571" s="16" t="s">
        <v>144</v>
      </c>
      <c r="F571" s="52" t="s">
        <v>121</v>
      </c>
      <c r="G571" s="56"/>
      <c r="H571" s="16" t="s">
        <v>123</v>
      </c>
      <c r="J571" s="52" t="s">
        <v>123</v>
      </c>
      <c r="K571" s="56"/>
    </row>
    <row r="572">
      <c r="A572" s="62" t="s">
        <v>94</v>
      </c>
      <c r="B572" s="50" t="str">
        <f>IFERROR(HYPERLINK(VLOOKUP(A572,Internal_lists_bugs!$A$2:$C$73,3,FALSE()), VLOOKUP(A572,Internal_lists_bugs!$A$2:$C$73,3,FALSE())&amp;Char(10) &amp; Char(10) &amp; VLOOKUP(A572,Internal_lists_bugs!$A$2:$Z$73,26,FALSE())),"please select a BUG ID")</f>
        <v>https://github.com/elastic/elasticsearch/issues/5165
/search/SearchService.java
/internal/DefaultSearchContext.java</v>
      </c>
      <c r="C572" s="51" t="str">
        <f>IFERROR(__xludf.DUMMYFUNCTION("IFERROR(IF(REGEXMATCH(VLOOKUP(A572,Internal_lists_bugs!$A$2:$R$73,18,FALSE()), ""Yes""), VLOOKUP(A572,Internal_lists_bugs!$A$2:$U$73,21,FALSE()), VLOOKUP(A572,Internal_lists_bugs!$A$2:$R$73,18,FALSE())),""please select a BUG ID"")"),"No, however, check in the comments something like dup #ID or duplicate #ID")</f>
        <v>No, however, check in the comments something like dup #ID or duplicate #ID</v>
      </c>
      <c r="D572" s="16" t="s">
        <v>374</v>
      </c>
      <c r="E572" s="16" t="s">
        <v>324</v>
      </c>
      <c r="F572" s="55"/>
      <c r="G572" s="56"/>
      <c r="H572" s="54"/>
      <c r="J572" s="55"/>
      <c r="K572" s="56"/>
    </row>
    <row r="573">
      <c r="A573" s="62" t="s">
        <v>94</v>
      </c>
      <c r="B573" s="50" t="str">
        <f>IFERROR(HYPERLINK(VLOOKUP(A573,Internal_lists_bugs!$A$2:$C$73,3,FALSE()), VLOOKUP(A573,Internal_lists_bugs!$A$2:$C$73,3,FALSE())&amp;Char(10) &amp; Char(10) &amp; VLOOKUP(A573,Internal_lists_bugs!$A$2:$Z$73,26,FALSE())),"please select a BUG ID")</f>
        <v>https://github.com/elastic/elasticsearch/issues/5165
/search/SearchService.java
/internal/DefaultSearchContext.java</v>
      </c>
      <c r="C573" s="51" t="str">
        <f>IFERROR(__xludf.DUMMYFUNCTION("IFERROR(IF(REGEXMATCH(VLOOKUP(A573,Internal_lists_bugs!$A$2:$R$73,18,FALSE()), ""Yes""), VLOOKUP(A573,Internal_lists_bugs!$A$2:$U$73,21,FALSE()), VLOOKUP(A573,Internal_lists_bugs!$A$2:$R$73,18,FALSE())),""please select a BUG ID"")"),"No, however, check in the comments something like dup #ID or duplicate #ID")</f>
        <v>No, however, check in the comments something like dup #ID or duplicate #ID</v>
      </c>
      <c r="D573" s="16" t="s">
        <v>149</v>
      </c>
      <c r="E573" s="16" t="s">
        <v>324</v>
      </c>
      <c r="F573" s="55"/>
      <c r="G573" s="56"/>
      <c r="H573" s="54"/>
      <c r="J573" s="55"/>
      <c r="K573" s="56"/>
    </row>
    <row r="574">
      <c r="A574" s="62" t="s">
        <v>94</v>
      </c>
      <c r="B574" s="50" t="str">
        <f>IFERROR(HYPERLINK(VLOOKUP(A574,Internal_lists_bugs!$A$2:$C$73,3,FALSE()), VLOOKUP(A574,Internal_lists_bugs!$A$2:$C$73,3,FALSE())&amp;Char(10) &amp; Char(10) &amp; VLOOKUP(A574,Internal_lists_bugs!$A$2:$Z$73,26,FALSE())),"please select a BUG ID")</f>
        <v>https://github.com/elastic/elasticsearch/issues/5165
/search/SearchService.java
/internal/DefaultSearchContext.java</v>
      </c>
      <c r="C574" s="51" t="str">
        <f>IFERROR(__xludf.DUMMYFUNCTION("IFERROR(IF(REGEXMATCH(VLOOKUP(A574,Internal_lists_bugs!$A$2:$R$73,18,FALSE()), ""Yes""), VLOOKUP(A574,Internal_lists_bugs!$A$2:$U$73,21,FALSE()), VLOOKUP(A574,Internal_lists_bugs!$A$2:$R$73,18,FALSE())),""please select a BUG ID"")"),"No, however, check in the comments something like dup #ID or duplicate #ID")</f>
        <v>No, however, check in the comments something like dup #ID or duplicate #ID</v>
      </c>
      <c r="D574" s="16" t="s">
        <v>227</v>
      </c>
      <c r="E574" s="16" t="s">
        <v>324</v>
      </c>
      <c r="F574" s="55"/>
      <c r="G574" s="56"/>
      <c r="H574" s="54"/>
      <c r="J574" s="55"/>
      <c r="K574" s="56"/>
    </row>
    <row r="575">
      <c r="A575" s="62" t="s">
        <v>94</v>
      </c>
      <c r="B575" s="50" t="str">
        <f>IFERROR(HYPERLINK(VLOOKUP(A575,Internal_lists_bugs!$A$2:$C$73,3,FALSE()), VLOOKUP(A575,Internal_lists_bugs!$A$2:$C$73,3,FALSE())&amp;Char(10) &amp; Char(10) &amp; VLOOKUP(A575,Internal_lists_bugs!$A$2:$Z$73,26,FALSE())),"please select a BUG ID")</f>
        <v>https://github.com/elastic/elasticsearch/issues/5165
/search/SearchService.java
/internal/DefaultSearchContext.java</v>
      </c>
      <c r="C575" s="51" t="str">
        <f>IFERROR(__xludf.DUMMYFUNCTION("IFERROR(IF(REGEXMATCH(VLOOKUP(A575,Internal_lists_bugs!$A$2:$R$73,18,FALSE()), ""Yes""), VLOOKUP(A575,Internal_lists_bugs!$A$2:$U$73,21,FALSE()), VLOOKUP(A575,Internal_lists_bugs!$A$2:$R$73,18,FALSE())),""please select a BUG ID"")"),"No, however, check in the comments something like dup #ID or duplicate #ID")</f>
        <v>No, however, check in the comments something like dup #ID or duplicate #ID</v>
      </c>
      <c r="D575" s="16" t="s">
        <v>502</v>
      </c>
      <c r="E575" s="16" t="s">
        <v>324</v>
      </c>
      <c r="F575" s="55"/>
      <c r="G575" s="56"/>
      <c r="H575" s="54"/>
      <c r="J575" s="55"/>
      <c r="K575" s="56"/>
    </row>
    <row r="576">
      <c r="A576" s="62" t="s">
        <v>94</v>
      </c>
      <c r="B576" s="50" t="str">
        <f>IFERROR(HYPERLINK(VLOOKUP(A576,Internal_lists_bugs!$A$2:$C$73,3,FALSE()), VLOOKUP(A576,Internal_lists_bugs!$A$2:$C$73,3,FALSE())&amp;Char(10) &amp; Char(10) &amp; VLOOKUP(A576,Internal_lists_bugs!$A$2:$Z$73,26,FALSE())),"please select a BUG ID")</f>
        <v>https://github.com/elastic/elasticsearch/issues/5165
/search/SearchService.java
/internal/DefaultSearchContext.java</v>
      </c>
      <c r="C576" s="51" t="str">
        <f>IFERROR(__xludf.DUMMYFUNCTION("IFERROR(IF(REGEXMATCH(VLOOKUP(A576,Internal_lists_bugs!$A$2:$R$73,18,FALSE()), ""Yes""), VLOOKUP(A576,Internal_lists_bugs!$A$2:$U$73,21,FALSE()), VLOOKUP(A576,Internal_lists_bugs!$A$2:$R$73,18,FALSE())),""please select a BUG ID"")"),"No, however, check in the comments something like dup #ID or duplicate #ID")</f>
        <v>No, however, check in the comments something like dup #ID or duplicate #ID</v>
      </c>
      <c r="D576" s="16" t="s">
        <v>478</v>
      </c>
      <c r="E576" s="16" t="s">
        <v>481</v>
      </c>
      <c r="F576" s="55"/>
      <c r="G576" s="56"/>
      <c r="H576" s="54"/>
      <c r="J576" s="55"/>
      <c r="K576" s="56"/>
    </row>
    <row r="577">
      <c r="A577" s="62" t="s">
        <v>94</v>
      </c>
      <c r="B577" s="50" t="str">
        <f>IFERROR(HYPERLINK(VLOOKUP(A577,Internal_lists_bugs!$A$2:$C$73,3,FALSE()), VLOOKUP(A577,Internal_lists_bugs!$A$2:$C$73,3,FALSE())&amp;Char(10) &amp; Char(10) &amp; VLOOKUP(A577,Internal_lists_bugs!$A$2:$Z$73,26,FALSE())),"please select a BUG ID")</f>
        <v>https://github.com/elastic/elasticsearch/issues/5165
/search/SearchService.java
/internal/DefaultSearchContext.java</v>
      </c>
      <c r="C577" s="51" t="str">
        <f>IFERROR(__xludf.DUMMYFUNCTION("IFERROR(IF(REGEXMATCH(VLOOKUP(A577,Internal_lists_bugs!$A$2:$R$73,18,FALSE()), ""Yes""), VLOOKUP(A577,Internal_lists_bugs!$A$2:$U$73,21,FALSE()), VLOOKUP(A577,Internal_lists_bugs!$A$2:$R$73,18,FALSE())),""please select a BUG ID"")"),"No, however, check in the comments something like dup #ID or duplicate #ID")</f>
        <v>No, however, check in the comments something like dup #ID or duplicate #ID</v>
      </c>
      <c r="D577" s="16" t="s">
        <v>503</v>
      </c>
      <c r="E577" s="16" t="s">
        <v>481</v>
      </c>
      <c r="F577" s="55"/>
      <c r="G577" s="56"/>
      <c r="H577" s="54"/>
      <c r="J577" s="55"/>
      <c r="K577" s="56"/>
    </row>
    <row r="578">
      <c r="A578" s="62" t="s">
        <v>94</v>
      </c>
      <c r="B578" s="50" t="str">
        <f>IFERROR(HYPERLINK(VLOOKUP(A578,Internal_lists_bugs!$A$2:$C$73,3,FALSE()), VLOOKUP(A578,Internal_lists_bugs!$A$2:$C$73,3,FALSE())&amp;Char(10) &amp; Char(10) &amp; VLOOKUP(A578,Internal_lists_bugs!$A$2:$Z$73,26,FALSE())),"please select a BUG ID")</f>
        <v>https://github.com/elastic/elasticsearch/issues/5165
/search/SearchService.java
/internal/DefaultSearchContext.java</v>
      </c>
      <c r="C578" s="51" t="str">
        <f>IFERROR(__xludf.DUMMYFUNCTION("IFERROR(IF(REGEXMATCH(VLOOKUP(A578,Internal_lists_bugs!$A$2:$R$73,18,FALSE()), ""Yes""), VLOOKUP(A578,Internal_lists_bugs!$A$2:$U$73,21,FALSE()), VLOOKUP(A578,Internal_lists_bugs!$A$2:$R$73,18,FALSE())),""please select a BUG ID"")"),"No, however, check in the comments something like dup #ID or duplicate #ID")</f>
        <v>No, however, check in the comments something like dup #ID or duplicate #ID</v>
      </c>
      <c r="D578" s="16" t="s">
        <v>384</v>
      </c>
      <c r="E578" s="16" t="s">
        <v>483</v>
      </c>
      <c r="F578" s="55"/>
      <c r="G578" s="56"/>
      <c r="H578" s="54"/>
      <c r="J578" s="55"/>
      <c r="K578" s="56"/>
    </row>
    <row r="579">
      <c r="A579" s="62" t="s">
        <v>94</v>
      </c>
      <c r="B579" s="50" t="str">
        <f>IFERROR(HYPERLINK(VLOOKUP(A579,Internal_lists_bugs!$A$2:$C$73,3,FALSE()), VLOOKUP(A579,Internal_lists_bugs!$A$2:$C$73,3,FALSE())&amp;Char(10) &amp; Char(10) &amp; VLOOKUP(A579,Internal_lists_bugs!$A$2:$Z$73,26,FALSE())),"please select a BUG ID")</f>
        <v>https://github.com/elastic/elasticsearch/issues/5165
/search/SearchService.java
/internal/DefaultSearchContext.java</v>
      </c>
      <c r="C579" s="51" t="str">
        <f>IFERROR(__xludf.DUMMYFUNCTION("IFERROR(IF(REGEXMATCH(VLOOKUP(A579,Internal_lists_bugs!$A$2:$R$73,18,FALSE()), ""Yes""), VLOOKUP(A579,Internal_lists_bugs!$A$2:$U$73,21,FALSE()), VLOOKUP(A579,Internal_lists_bugs!$A$2:$R$73,18,FALSE())),""please select a BUG ID"")"),"No, however, check in the comments something like dup #ID or duplicate #ID")</f>
        <v>No, however, check in the comments something like dup #ID or duplicate #ID</v>
      </c>
      <c r="D579" s="16" t="s">
        <v>476</v>
      </c>
      <c r="E579" s="16" t="s">
        <v>482</v>
      </c>
      <c r="F579" s="55"/>
      <c r="G579" s="56"/>
      <c r="H579" s="54"/>
      <c r="J579" s="55"/>
      <c r="K579" s="56"/>
    </row>
    <row r="580">
      <c r="A580" s="62" t="s">
        <v>95</v>
      </c>
      <c r="B580" s="50" t="str">
        <f>IFERROR(HYPERLINK(VLOOKUP(A580,Internal_lists_bugs!$A$2:$C$73,3,FALSE()), VLOOKUP(A580,Internal_lists_bugs!$A$2:$C$73,3,FALSE())&amp;Char(10) &amp; Char(10) &amp; VLOOKUP(A580,Internal_lists_bugs!$A$2:$Z$73,26,FALSE())),"please select a BUG ID")</f>
        <v>https://github.com/elastic/elasticsearch/issues/1162
/MetaDataUpdateSettingsService.java</v>
      </c>
      <c r="C580" s="51" t="str">
        <f>IFERROR(__xludf.DUMMYFUNCTION("IFERROR(IF(REGEXMATCH(VLOOKUP(A580,Internal_lists_bugs!$A$2:$R$73,18,FALSE()), ""Yes""), VLOOKUP(A580,Internal_lists_bugs!$A$2:$U$73,21,FALSE()), VLOOKUP(A580,Internal_lists_bugs!$A$2:$R$73,18,FALSE())),""please select a BUG ID"")"),"No, however, check in the comments something like dup #ID or duplicate #ID")</f>
        <v>No, however, check in the comments something like dup #ID or duplicate #ID</v>
      </c>
      <c r="D580" s="16" t="s">
        <v>119</v>
      </c>
      <c r="E580" s="16" t="s">
        <v>144</v>
      </c>
      <c r="F580" s="52" t="s">
        <v>332</v>
      </c>
      <c r="G580" s="56"/>
      <c r="H580" s="16" t="s">
        <v>123</v>
      </c>
      <c r="J580" s="52" t="s">
        <v>123</v>
      </c>
      <c r="K580" s="56"/>
    </row>
    <row r="581">
      <c r="A581" s="62" t="s">
        <v>95</v>
      </c>
      <c r="B581" s="50" t="str">
        <f>IFERROR(HYPERLINK(VLOOKUP(A581,Internal_lists_bugs!$A$2:$C$73,3,FALSE()), VLOOKUP(A581,Internal_lists_bugs!$A$2:$C$73,3,FALSE())&amp;Char(10) &amp; Char(10) &amp; VLOOKUP(A581,Internal_lists_bugs!$A$2:$Z$73,26,FALSE())),"please select a BUG ID")</f>
        <v>https://github.com/elastic/elasticsearch/issues/1162
/MetaDataUpdateSettingsService.java</v>
      </c>
      <c r="C581" s="51" t="str">
        <f>IFERROR(__xludf.DUMMYFUNCTION("IFERROR(IF(REGEXMATCH(VLOOKUP(A581,Internal_lists_bugs!$A$2:$R$73,18,FALSE()), ""Yes""), VLOOKUP(A581,Internal_lists_bugs!$A$2:$U$73,21,FALSE()), VLOOKUP(A581,Internal_lists_bugs!$A$2:$R$73,18,FALSE())),""please select a BUG ID"")"),"No, however, check in the comments something like dup #ID or duplicate #ID")</f>
        <v>No, however, check in the comments something like dup #ID or duplicate #ID</v>
      </c>
      <c r="D581" s="16" t="s">
        <v>149</v>
      </c>
      <c r="E581" s="16" t="s">
        <v>324</v>
      </c>
      <c r="F581" s="55"/>
      <c r="G581" s="56"/>
      <c r="H581" s="54"/>
      <c r="J581" s="55"/>
      <c r="K581" s="56"/>
    </row>
    <row r="582">
      <c r="A582" s="62" t="s">
        <v>96</v>
      </c>
      <c r="B582" s="50" t="str">
        <f>IFERROR(HYPERLINK(VLOOKUP(A582,Internal_lists_bugs!$A$2:$C$73,3,FALSE()), VLOOKUP(A582,Internal_lists_bugs!$A$2:$C$73,3,FALSE())&amp;Char(10) &amp; Char(10) &amp; VLOOKUP(A582,Internal_lists_bugs!$A$2:$Z$73,26,FALSE())),"please select a BUG ID")</f>
        <v>https://github.com/elastic/elasticsearch/issues/8580
/index/fielddata/AbstractRandomAccessOrds.java</v>
      </c>
      <c r="C582" s="51" t="str">
        <f>IFERROR(__xludf.DUMMYFUNCTION("IFERROR(IF(REGEXMATCH(VLOOKUP(A582,Internal_lists_bugs!$A$2:$R$73,18,FALSE()), ""Yes""), VLOOKUP(A582,Internal_lists_bugs!$A$2:$U$73,21,FALSE()), VLOOKUP(A582,Internal_lists_bugs!$A$2:$R$73,18,FALSE())),""please select a BUG ID"")"),"No, however, check in the comments something like dup #ID or duplicate #ID")</f>
        <v>No, however, check in the comments something like dup #ID or duplicate #ID</v>
      </c>
      <c r="D582" s="16" t="s">
        <v>443</v>
      </c>
      <c r="E582" s="16" t="s">
        <v>144</v>
      </c>
      <c r="F582" s="52" t="s">
        <v>121</v>
      </c>
      <c r="G582" s="56"/>
      <c r="H582" s="16" t="s">
        <v>123</v>
      </c>
      <c r="J582" s="52" t="s">
        <v>123</v>
      </c>
      <c r="K582" s="56"/>
    </row>
    <row r="583">
      <c r="A583" s="62" t="s">
        <v>96</v>
      </c>
      <c r="B583" s="50" t="str">
        <f>IFERROR(HYPERLINK(VLOOKUP(A583,Internal_lists_bugs!$A$2:$C$73,3,FALSE()), VLOOKUP(A583,Internal_lists_bugs!$A$2:$C$73,3,FALSE())&amp;Char(10) &amp; Char(10) &amp; VLOOKUP(A583,Internal_lists_bugs!$A$2:$Z$73,26,FALSE())),"please select a BUG ID")</f>
        <v>https://github.com/elastic/elasticsearch/issues/8580
/index/fielddata/AbstractRandomAccessOrds.java</v>
      </c>
      <c r="C583" s="51" t="str">
        <f>IFERROR(__xludf.DUMMYFUNCTION("IFERROR(IF(REGEXMATCH(VLOOKUP(A583,Internal_lists_bugs!$A$2:$R$73,18,FALSE()), ""Yes""), VLOOKUP(A583,Internal_lists_bugs!$A$2:$U$73,21,FALSE()), VLOOKUP(A583,Internal_lists_bugs!$A$2:$R$73,18,FALSE())),""please select a BUG ID"")"),"No, however, check in the comments something like dup #ID or duplicate #ID")</f>
        <v>No, however, check in the comments something like dup #ID or duplicate #ID</v>
      </c>
      <c r="D583" s="16" t="s">
        <v>159</v>
      </c>
      <c r="E583" s="16" t="s">
        <v>144</v>
      </c>
      <c r="F583" s="55"/>
      <c r="G583" s="56"/>
      <c r="H583" s="54"/>
      <c r="J583" s="55"/>
      <c r="K583" s="56"/>
    </row>
    <row r="584">
      <c r="A584" s="62" t="s">
        <v>96</v>
      </c>
      <c r="B584" s="50" t="str">
        <f>IFERROR(HYPERLINK(VLOOKUP(A584,Internal_lists_bugs!$A$2:$C$73,3,FALSE()), VLOOKUP(A584,Internal_lists_bugs!$A$2:$C$73,3,FALSE())&amp;Char(10) &amp; Char(10) &amp; VLOOKUP(A584,Internal_lists_bugs!$A$2:$Z$73,26,FALSE())),"please select a BUG ID")</f>
        <v>https://github.com/elastic/elasticsearch/issues/8580
/index/fielddata/AbstractRandomAccessOrds.java</v>
      </c>
      <c r="C584" s="51" t="str">
        <f>IFERROR(__xludf.DUMMYFUNCTION("IFERROR(IF(REGEXMATCH(VLOOKUP(A584,Internal_lists_bugs!$A$2:$R$73,18,FALSE()), ""Yes""), VLOOKUP(A584,Internal_lists_bugs!$A$2:$U$73,21,FALSE()), VLOOKUP(A584,Internal_lists_bugs!$A$2:$R$73,18,FALSE())),""please select a BUG ID"")"),"No, however, check in the comments something like dup #ID or duplicate #ID")</f>
        <v>No, however, check in the comments something like dup #ID or duplicate #ID</v>
      </c>
      <c r="D584" s="16" t="s">
        <v>119</v>
      </c>
      <c r="E584" s="16" t="s">
        <v>144</v>
      </c>
      <c r="F584" s="55"/>
      <c r="G584" s="56"/>
      <c r="H584" s="54"/>
      <c r="J584" s="55"/>
      <c r="K584" s="56"/>
    </row>
    <row r="585">
      <c r="A585" s="62" t="s">
        <v>96</v>
      </c>
      <c r="B585" s="50" t="str">
        <f>IFERROR(HYPERLINK(VLOOKUP(A585,Internal_lists_bugs!$A$2:$C$73,3,FALSE()), VLOOKUP(A585,Internal_lists_bugs!$A$2:$C$73,3,FALSE())&amp;Char(10) &amp; Char(10) &amp; VLOOKUP(A585,Internal_lists_bugs!$A$2:$Z$73,26,FALSE())),"please select a BUG ID")</f>
        <v>https://github.com/elastic/elasticsearch/issues/8580
/index/fielddata/AbstractRandomAccessOrds.java</v>
      </c>
      <c r="C585" s="51" t="str">
        <f>IFERROR(__xludf.DUMMYFUNCTION("IFERROR(IF(REGEXMATCH(VLOOKUP(A585,Internal_lists_bugs!$A$2:$R$73,18,FALSE()), ""Yes""), VLOOKUP(A585,Internal_lists_bugs!$A$2:$U$73,21,FALSE()), VLOOKUP(A585,Internal_lists_bugs!$A$2:$R$73,18,FALSE())),""please select a BUG ID"")"),"No, however, check in the comments something like dup #ID or duplicate #ID")</f>
        <v>No, however, check in the comments something like dup #ID or duplicate #ID</v>
      </c>
      <c r="D585" s="16" t="s">
        <v>504</v>
      </c>
      <c r="E585" s="16" t="s">
        <v>324</v>
      </c>
      <c r="F585" s="55"/>
      <c r="G585" s="56"/>
      <c r="H585" s="54"/>
      <c r="J585" s="55"/>
      <c r="K585" s="56"/>
    </row>
    <row r="586">
      <c r="A586" s="62" t="s">
        <v>96</v>
      </c>
      <c r="B586" s="50" t="str">
        <f>IFERROR(HYPERLINK(VLOOKUP(A586,Internal_lists_bugs!$A$2:$C$73,3,FALSE()), VLOOKUP(A586,Internal_lists_bugs!$A$2:$C$73,3,FALSE())&amp;Char(10) &amp; Char(10) &amp; VLOOKUP(A586,Internal_lists_bugs!$A$2:$Z$73,26,FALSE())),"please select a BUG ID")</f>
        <v>https://github.com/elastic/elasticsearch/issues/8580
/index/fielddata/AbstractRandomAccessOrds.java</v>
      </c>
      <c r="C586" s="51" t="str">
        <f>IFERROR(__xludf.DUMMYFUNCTION("IFERROR(IF(REGEXMATCH(VLOOKUP(A586,Internal_lists_bugs!$A$2:$R$73,18,FALSE()), ""Yes""), VLOOKUP(A586,Internal_lists_bugs!$A$2:$U$73,21,FALSE()), VLOOKUP(A586,Internal_lists_bugs!$A$2:$R$73,18,FALSE())),""please select a BUG ID"")"),"No, however, check in the comments something like dup #ID or duplicate #ID")</f>
        <v>No, however, check in the comments something like dup #ID or duplicate #ID</v>
      </c>
      <c r="D586" s="16" t="s">
        <v>374</v>
      </c>
      <c r="E586" s="16" t="s">
        <v>324</v>
      </c>
      <c r="F586" s="55"/>
      <c r="G586" s="56"/>
      <c r="H586" s="54"/>
      <c r="J586" s="55"/>
      <c r="K586" s="56"/>
    </row>
    <row r="587">
      <c r="A587" s="62" t="s">
        <v>96</v>
      </c>
      <c r="B587" s="50" t="str">
        <f>IFERROR(HYPERLINK(VLOOKUP(A587,Internal_lists_bugs!$A$2:$C$73,3,FALSE()), VLOOKUP(A587,Internal_lists_bugs!$A$2:$C$73,3,FALSE())&amp;Char(10) &amp; Char(10) &amp; VLOOKUP(A587,Internal_lists_bugs!$A$2:$Z$73,26,FALSE())),"please select a BUG ID")</f>
        <v>https://github.com/elastic/elasticsearch/issues/8580
/index/fielddata/AbstractRandomAccessOrds.java</v>
      </c>
      <c r="C587" s="51" t="str">
        <f>IFERROR(__xludf.DUMMYFUNCTION("IFERROR(IF(REGEXMATCH(VLOOKUP(A587,Internal_lists_bugs!$A$2:$R$73,18,FALSE()), ""Yes""), VLOOKUP(A587,Internal_lists_bugs!$A$2:$U$73,21,FALSE()), VLOOKUP(A587,Internal_lists_bugs!$A$2:$R$73,18,FALSE())),""please select a BUG ID"")"),"No, however, check in the comments something like dup #ID or duplicate #ID")</f>
        <v>No, however, check in the comments something like dup #ID or duplicate #ID</v>
      </c>
      <c r="D587" s="16" t="s">
        <v>139</v>
      </c>
      <c r="E587" s="16" t="s">
        <v>442</v>
      </c>
      <c r="F587" s="55"/>
      <c r="G587" s="56"/>
      <c r="H587" s="54"/>
      <c r="J587" s="55"/>
      <c r="K587" s="56"/>
    </row>
    <row r="588">
      <c r="A588" s="62" t="s">
        <v>96</v>
      </c>
      <c r="B588" s="50" t="str">
        <f>IFERROR(HYPERLINK(VLOOKUP(A588,Internal_lists_bugs!$A$2:$C$73,3,FALSE()), VLOOKUP(A588,Internal_lists_bugs!$A$2:$C$73,3,FALSE())&amp;Char(10) &amp; Char(10) &amp; VLOOKUP(A588,Internal_lists_bugs!$A$2:$Z$73,26,FALSE())),"please select a BUG ID")</f>
        <v>https://github.com/elastic/elasticsearch/issues/8580
/index/fielddata/AbstractRandomAccessOrds.java</v>
      </c>
      <c r="C588" s="51" t="str">
        <f>IFERROR(__xludf.DUMMYFUNCTION("IFERROR(IF(REGEXMATCH(VLOOKUP(A588,Internal_lists_bugs!$A$2:$R$73,18,FALSE()), ""Yes""), VLOOKUP(A588,Internal_lists_bugs!$A$2:$U$73,21,FALSE()), VLOOKUP(A588,Internal_lists_bugs!$A$2:$R$73,18,FALSE())),""please select a BUG ID"")"),"No, however, check in the comments something like dup #ID or duplicate #ID")</f>
        <v>No, however, check in the comments something like dup #ID or duplicate #ID</v>
      </c>
      <c r="D588" s="16" t="s">
        <v>499</v>
      </c>
      <c r="E588" s="16" t="s">
        <v>444</v>
      </c>
      <c r="F588" s="55"/>
      <c r="G588" s="56"/>
      <c r="H588" s="54"/>
      <c r="J588" s="55"/>
      <c r="K588" s="56"/>
    </row>
    <row r="589">
      <c r="A589" s="62" t="s">
        <v>96</v>
      </c>
      <c r="B589" s="50" t="str">
        <f>IFERROR(HYPERLINK(VLOOKUP(A589,Internal_lists_bugs!$A$2:$C$73,3,FALSE()), VLOOKUP(A589,Internal_lists_bugs!$A$2:$C$73,3,FALSE())&amp;Char(10) &amp; Char(10) &amp; VLOOKUP(A589,Internal_lists_bugs!$A$2:$Z$73,26,FALSE())),"please select a BUG ID")</f>
        <v>https://github.com/elastic/elasticsearch/issues/8580
/index/fielddata/AbstractRandomAccessOrds.java</v>
      </c>
      <c r="C589" s="51" t="str">
        <f>IFERROR(__xludf.DUMMYFUNCTION("IFERROR(IF(REGEXMATCH(VLOOKUP(A589,Internal_lists_bugs!$A$2:$R$73,18,FALSE()), ""Yes""), VLOOKUP(A589,Internal_lists_bugs!$A$2:$U$73,21,FALSE()), VLOOKUP(A589,Internal_lists_bugs!$A$2:$R$73,18,FALSE())),""please select a BUG ID"")"),"No, however, check in the comments something like dup #ID or duplicate #ID")</f>
        <v>No, however, check in the comments something like dup #ID or duplicate #ID</v>
      </c>
      <c r="D589" s="16" t="s">
        <v>505</v>
      </c>
      <c r="E589" s="16" t="s">
        <v>447</v>
      </c>
      <c r="F589" s="55"/>
      <c r="G589" s="56"/>
      <c r="H589" s="54"/>
      <c r="J589" s="55"/>
      <c r="K589" s="56"/>
    </row>
    <row r="590">
      <c r="A590" s="62" t="s">
        <v>96</v>
      </c>
      <c r="B590" s="50" t="str">
        <f>IFERROR(HYPERLINK(VLOOKUP(A590,Internal_lists_bugs!$A$2:$C$73,3,FALSE()), VLOOKUP(A590,Internal_lists_bugs!$A$2:$C$73,3,FALSE())&amp;Char(10) &amp; Char(10) &amp; VLOOKUP(A590,Internal_lists_bugs!$A$2:$Z$73,26,FALSE())),"please select a BUG ID")</f>
        <v>https://github.com/elastic/elasticsearch/issues/8580
/index/fielddata/AbstractRandomAccessOrds.java</v>
      </c>
      <c r="C590" s="51" t="str">
        <f>IFERROR(__xludf.DUMMYFUNCTION("IFERROR(IF(REGEXMATCH(VLOOKUP(A590,Internal_lists_bugs!$A$2:$R$73,18,FALSE()), ""Yes""), VLOOKUP(A590,Internal_lists_bugs!$A$2:$U$73,21,FALSE()), VLOOKUP(A590,Internal_lists_bugs!$A$2:$R$73,18,FALSE())),""please select a BUG ID"")"),"No, however, check in the comments something like dup #ID or duplicate #ID")</f>
        <v>No, however, check in the comments something like dup #ID or duplicate #ID</v>
      </c>
      <c r="D590" s="16" t="s">
        <v>344</v>
      </c>
      <c r="E590" s="16" t="s">
        <v>447</v>
      </c>
      <c r="F590" s="55"/>
      <c r="G590" s="56"/>
      <c r="H590" s="54"/>
      <c r="J590" s="55"/>
      <c r="K590" s="56"/>
    </row>
    <row r="591">
      <c r="A591" s="62" t="s">
        <v>97</v>
      </c>
      <c r="B591" s="50" t="str">
        <f>IFERROR(HYPERLINK(VLOOKUP(A591,Internal_lists_bugs!$A$2:$C$73,3,FALSE()), VLOOKUP(A591,Internal_lists_bugs!$A$2:$C$73,3,FALSE())&amp;Char(10) &amp; Char(10) &amp; VLOOKUP(A591,Internal_lists_bugs!$A$2:$Z$73,26,FALSE())),"please select a BUG ID")</f>
        <v>https://github.com/elastic/elasticsearch/issues/1154
/RestSearchScrollAction.java 
/search/SearchOperationThreading.java
/search/RestSearchAction.java</v>
      </c>
      <c r="C591" s="51" t="str">
        <f>IFERROR(__xludf.DUMMYFUNCTION("IFERROR(IF(REGEXMATCH(VLOOKUP(A591,Internal_lists_bugs!$A$2:$R$73,18,FALSE()), ""Yes""), VLOOKUP(A591,Internal_lists_bugs!$A$2:$U$73,21,FALSE()), VLOOKUP(A591,Internal_lists_bugs!$A$2:$R$73,18,FALSE())),""please select a BUG ID"")"),"No, however, check in the comments something like dup #ID or duplicate #ID")</f>
        <v>No, however, check in the comments something like dup #ID or duplicate #ID</v>
      </c>
      <c r="D591" s="16" t="s">
        <v>211</v>
      </c>
      <c r="E591" s="16" t="s">
        <v>144</v>
      </c>
      <c r="F591" s="52" t="s">
        <v>121</v>
      </c>
      <c r="G591" s="56"/>
      <c r="H591" s="16" t="s">
        <v>123</v>
      </c>
      <c r="J591" s="52" t="s">
        <v>123</v>
      </c>
      <c r="K591" s="56"/>
    </row>
    <row r="592">
      <c r="A592" s="62" t="s">
        <v>97</v>
      </c>
      <c r="B592" s="50" t="str">
        <f>IFERROR(HYPERLINK(VLOOKUP(A592,Internal_lists_bugs!$A$2:$C$73,3,FALSE()), VLOOKUP(A592,Internal_lists_bugs!$A$2:$C$73,3,FALSE())&amp;Char(10) &amp; Char(10) &amp; VLOOKUP(A592,Internal_lists_bugs!$A$2:$Z$73,26,FALSE())),"please select a BUG ID")</f>
        <v>https://github.com/elastic/elasticsearch/issues/1154
/RestSearchScrollAction.java 
/search/SearchOperationThreading.java
/search/RestSearchAction.java</v>
      </c>
      <c r="C592" s="51" t="str">
        <f>IFERROR(__xludf.DUMMYFUNCTION("IFERROR(IF(REGEXMATCH(VLOOKUP(A592,Internal_lists_bugs!$A$2:$R$73,18,FALSE()), ""Yes""), VLOOKUP(A592,Internal_lists_bugs!$A$2:$U$73,21,FALSE()), VLOOKUP(A592,Internal_lists_bugs!$A$2:$R$73,18,FALSE())),""please select a BUG ID"")"),"No, however, check in the comments something like dup #ID or duplicate #ID")</f>
        <v>No, however, check in the comments something like dup #ID or duplicate #ID</v>
      </c>
      <c r="D592" s="16" t="s">
        <v>119</v>
      </c>
      <c r="E592" s="16" t="s">
        <v>324</v>
      </c>
      <c r="F592" s="55"/>
      <c r="G592" s="56"/>
      <c r="H592" s="54"/>
      <c r="J592" s="55"/>
      <c r="K592" s="56"/>
    </row>
    <row r="593">
      <c r="A593" s="62" t="s">
        <v>98</v>
      </c>
      <c r="B593" s="50" t="str">
        <f>IFERROR(HYPERLINK(VLOOKUP(A593,Internal_lists_bugs!$A$2:$C$73,3,FALSE()), VLOOKUP(A593,Internal_lists_bugs!$A$2:$C$73,3,FALSE())&amp;Char(10) &amp; Char(10) &amp; VLOOKUP(A593,Internal_lists_bugs!$A$2:$Z$73,26,FALSE())),"please select a BUG ID")</f>
        <v>https://github.com/elastic/elasticsearch/issues/5948
/cat/RestAllocationAction.java</v>
      </c>
      <c r="C593" s="51" t="str">
        <f>IFERROR(__xludf.DUMMYFUNCTION("IFERROR(IF(REGEXMATCH(VLOOKUP(A593,Internal_lists_bugs!$A$2:$R$73,18,FALSE()), ""Yes""), VLOOKUP(A593,Internal_lists_bugs!$A$2:$U$73,21,FALSE()), VLOOKUP(A593,Internal_lists_bugs!$A$2:$R$73,18,FALSE())),""please select a BUG ID"")"),"No, however, check in the comments something like dup #ID or duplicate #ID")</f>
        <v>No, however, check in the comments something like dup #ID or duplicate #ID</v>
      </c>
      <c r="D593" s="16" t="s">
        <v>119</v>
      </c>
      <c r="E593" s="16" t="s">
        <v>144</v>
      </c>
      <c r="F593" s="52" t="s">
        <v>121</v>
      </c>
      <c r="G593" s="56"/>
      <c r="H593" s="16" t="s">
        <v>123</v>
      </c>
      <c r="J593" s="52" t="s">
        <v>123</v>
      </c>
      <c r="K593" s="56"/>
    </row>
    <row r="594">
      <c r="A594" s="62" t="s">
        <v>98</v>
      </c>
      <c r="B594" s="50" t="str">
        <f>IFERROR(HYPERLINK(VLOOKUP(A594,Internal_lists_bugs!$A$2:$C$73,3,FALSE()), VLOOKUP(A594,Internal_lists_bugs!$A$2:$C$73,3,FALSE())&amp;Char(10) &amp; Char(10) &amp; VLOOKUP(A594,Internal_lists_bugs!$A$2:$Z$73,26,FALSE())),"please select a BUG ID")</f>
        <v>https://github.com/elastic/elasticsearch/issues/5948
/cat/RestAllocationAction.java</v>
      </c>
      <c r="C594" s="51" t="str">
        <f>IFERROR(__xludf.DUMMYFUNCTION("IFERROR(IF(REGEXMATCH(VLOOKUP(A594,Internal_lists_bugs!$A$2:$R$73,18,FALSE()), ""Yes""), VLOOKUP(A594,Internal_lists_bugs!$A$2:$U$73,21,FALSE()), VLOOKUP(A594,Internal_lists_bugs!$A$2:$R$73,18,FALSE())),""please select a BUG ID"")"),"No, however, check in the comments something like dup #ID or duplicate #ID")</f>
        <v>No, however, check in the comments something like dup #ID or duplicate #ID</v>
      </c>
      <c r="D594" s="16" t="s">
        <v>119</v>
      </c>
      <c r="E594" s="16" t="s">
        <v>324</v>
      </c>
      <c r="F594" s="55"/>
      <c r="G594" s="56"/>
      <c r="H594" s="54"/>
      <c r="J594" s="55"/>
      <c r="K594" s="56"/>
    </row>
    <row r="595">
      <c r="A595" s="62" t="s">
        <v>98</v>
      </c>
      <c r="B595" s="50" t="str">
        <f>IFERROR(HYPERLINK(VLOOKUP(A595,Internal_lists_bugs!$A$2:$C$73,3,FALSE()), VLOOKUP(A595,Internal_lists_bugs!$A$2:$C$73,3,FALSE())&amp;Char(10) &amp; Char(10) &amp; VLOOKUP(A595,Internal_lists_bugs!$A$2:$Z$73,26,FALSE())),"please select a BUG ID")</f>
        <v>https://github.com/elastic/elasticsearch/issues/5948
/cat/RestAllocationAction.java</v>
      </c>
      <c r="C595" s="51" t="str">
        <f>IFERROR(__xludf.DUMMYFUNCTION("IFERROR(IF(REGEXMATCH(VLOOKUP(A595,Internal_lists_bugs!$A$2:$R$73,18,FALSE()), ""Yes""), VLOOKUP(A595,Internal_lists_bugs!$A$2:$U$73,21,FALSE()), VLOOKUP(A595,Internal_lists_bugs!$A$2:$R$73,18,FALSE())),""please select a BUG ID"")"),"No, however, check in the comments something like dup #ID or duplicate #ID")</f>
        <v>No, however, check in the comments something like dup #ID or duplicate #ID</v>
      </c>
      <c r="D595" s="16" t="s">
        <v>227</v>
      </c>
      <c r="E595" s="16" t="s">
        <v>324</v>
      </c>
      <c r="F595" s="55"/>
      <c r="G595" s="56"/>
      <c r="H595" s="54"/>
      <c r="J595" s="55"/>
      <c r="K595" s="56"/>
    </row>
    <row r="596">
      <c r="A596" s="62" t="s">
        <v>98</v>
      </c>
      <c r="B596" s="50" t="str">
        <f>IFERROR(HYPERLINK(VLOOKUP(A596,Internal_lists_bugs!$A$2:$C$73,3,FALSE()), VLOOKUP(A596,Internal_lists_bugs!$A$2:$C$73,3,FALSE())&amp;Char(10) &amp; Char(10) &amp; VLOOKUP(A596,Internal_lists_bugs!$A$2:$Z$73,26,FALSE())),"please select a BUG ID")</f>
        <v>https://github.com/elastic/elasticsearch/issues/5948
/cat/RestAllocationAction.java</v>
      </c>
      <c r="C596" s="51" t="str">
        <f>IFERROR(__xludf.DUMMYFUNCTION("IFERROR(IF(REGEXMATCH(VLOOKUP(A596,Internal_lists_bugs!$A$2:$R$73,18,FALSE()), ""Yes""), VLOOKUP(A596,Internal_lists_bugs!$A$2:$U$73,21,FALSE()), VLOOKUP(A596,Internal_lists_bugs!$A$2:$R$73,18,FALSE())),""please select a BUG ID"")"),"No, however, check in the comments something like dup #ID or duplicate #ID")</f>
        <v>No, however, check in the comments something like dup #ID or duplicate #ID</v>
      </c>
      <c r="D596" s="16" t="s">
        <v>506</v>
      </c>
      <c r="E596" s="16" t="s">
        <v>324</v>
      </c>
      <c r="F596" s="55"/>
      <c r="G596" s="56"/>
      <c r="H596" s="54"/>
      <c r="J596" s="55"/>
      <c r="K596" s="56"/>
    </row>
    <row r="597">
      <c r="A597" s="62" t="s">
        <v>98</v>
      </c>
      <c r="B597" s="50" t="str">
        <f>IFERROR(HYPERLINK(VLOOKUP(A597,Internal_lists_bugs!$A$2:$C$73,3,FALSE()), VLOOKUP(A597,Internal_lists_bugs!$A$2:$C$73,3,FALSE())&amp;Char(10) &amp; Char(10) &amp; VLOOKUP(A597,Internal_lists_bugs!$A$2:$Z$73,26,FALSE())),"please select a BUG ID")</f>
        <v>https://github.com/elastic/elasticsearch/issues/5948
/cat/RestAllocationAction.java</v>
      </c>
      <c r="C597" s="51" t="str">
        <f>IFERROR(__xludf.DUMMYFUNCTION("IFERROR(IF(REGEXMATCH(VLOOKUP(A597,Internal_lists_bugs!$A$2:$R$73,18,FALSE()), ""Yes""), VLOOKUP(A597,Internal_lists_bugs!$A$2:$U$73,21,FALSE()), VLOOKUP(A597,Internal_lists_bugs!$A$2:$R$73,18,FALSE())),""please select a BUG ID"")"),"No, however, check in the comments something like dup #ID or duplicate #ID")</f>
        <v>No, however, check in the comments something like dup #ID or duplicate #ID</v>
      </c>
      <c r="D597" s="16" t="s">
        <v>505</v>
      </c>
      <c r="E597" s="16" t="s">
        <v>324</v>
      </c>
      <c r="F597" s="55"/>
      <c r="G597" s="56"/>
      <c r="H597" s="54"/>
      <c r="J597" s="55"/>
      <c r="K597" s="56"/>
    </row>
    <row r="598">
      <c r="A598" s="62" t="s">
        <v>99</v>
      </c>
      <c r="B598" s="50" t="str">
        <f>IFERROR(HYPERLINK(VLOOKUP(A598,Internal_lists_bugs!$A$2:$C$73,3,FALSE()), VLOOKUP(A598,Internal_lists_bugs!$A$2:$C$73,3,FALSE())&amp;Char(10) &amp; Char(10) &amp; VLOOKUP(A598,Internal_lists_bugs!$A$2:$Z$73,26,FALSE())),"please select a BUG ID")</f>
        <v>https://github.com/elastic/elasticsearch/issues/3560
/settings/TransportClusterUpdateSettingsAction.java</v>
      </c>
      <c r="C598" s="51" t="str">
        <f>IFERROR(__xludf.DUMMYFUNCTION("IFERROR(IF(REGEXMATCH(VLOOKUP(A598,Internal_lists_bugs!$A$2:$R$73,18,FALSE()), ""Yes""), VLOOKUP(A598,Internal_lists_bugs!$A$2:$U$73,21,FALSE()), VLOOKUP(A598,Internal_lists_bugs!$A$2:$R$73,18,FALSE())),""please select a BUG ID"")"),"No, however, check in the comments something like dup #ID or duplicate #ID")</f>
        <v>No, however, check in the comments something like dup #ID or duplicate #ID</v>
      </c>
      <c r="D598" s="16" t="s">
        <v>149</v>
      </c>
      <c r="E598" s="16" t="s">
        <v>144</v>
      </c>
      <c r="F598" s="52" t="s">
        <v>332</v>
      </c>
      <c r="G598" s="56"/>
      <c r="H598" s="16" t="s">
        <v>123</v>
      </c>
      <c r="J598" s="52" t="s">
        <v>123</v>
      </c>
      <c r="K598" s="56"/>
    </row>
    <row r="599">
      <c r="A599" s="62" t="s">
        <v>99</v>
      </c>
      <c r="B599" s="50" t="str">
        <f>IFERROR(HYPERLINK(VLOOKUP(A599,Internal_lists_bugs!$A$2:$C$73,3,FALSE()), VLOOKUP(A599,Internal_lists_bugs!$A$2:$C$73,3,FALSE())&amp;Char(10) &amp; Char(10) &amp; VLOOKUP(A599,Internal_lists_bugs!$A$2:$Z$73,26,FALSE())),"please select a BUG ID")</f>
        <v>https://github.com/elastic/elasticsearch/issues/3560
/settings/TransportClusterUpdateSettingsAction.java</v>
      </c>
      <c r="C599" s="51" t="str">
        <f>IFERROR(__xludf.DUMMYFUNCTION("IFERROR(IF(REGEXMATCH(VLOOKUP(A599,Internal_lists_bugs!$A$2:$R$73,18,FALSE()), ""Yes""), VLOOKUP(A599,Internal_lists_bugs!$A$2:$U$73,21,FALSE()), VLOOKUP(A599,Internal_lists_bugs!$A$2:$R$73,18,FALSE())),""please select a BUG ID"")"),"No, however, check in the comments something like dup #ID or duplicate #ID")</f>
        <v>No, however, check in the comments something like dup #ID or duplicate #ID</v>
      </c>
      <c r="D599" s="16" t="s">
        <v>119</v>
      </c>
      <c r="E599" s="16" t="s">
        <v>144</v>
      </c>
      <c r="F599" s="55"/>
      <c r="G599" s="56"/>
      <c r="H599" s="54"/>
      <c r="J599" s="55"/>
      <c r="K599" s="56"/>
    </row>
    <row r="600">
      <c r="A600" s="62" t="s">
        <v>99</v>
      </c>
      <c r="B600" s="50" t="str">
        <f>IFERROR(HYPERLINK(VLOOKUP(A600,Internal_lists_bugs!$A$2:$C$73,3,FALSE()), VLOOKUP(A600,Internal_lists_bugs!$A$2:$C$73,3,FALSE())&amp;Char(10) &amp; Char(10) &amp; VLOOKUP(A600,Internal_lists_bugs!$A$2:$Z$73,26,FALSE())),"please select a BUG ID")</f>
        <v>https://github.com/elastic/elasticsearch/issues/3560
/settings/TransportClusterUpdateSettingsAction.java</v>
      </c>
      <c r="C600" s="51" t="str">
        <f>IFERROR(__xludf.DUMMYFUNCTION("IFERROR(IF(REGEXMATCH(VLOOKUP(A600,Internal_lists_bugs!$A$2:$R$73,18,FALSE()), ""Yes""), VLOOKUP(A600,Internal_lists_bugs!$A$2:$U$73,21,FALSE()), VLOOKUP(A600,Internal_lists_bugs!$A$2:$R$73,18,FALSE())),""please select a BUG ID"")"),"No, however, check in the comments something like dup #ID or duplicate #ID")</f>
        <v>No, however, check in the comments something like dup #ID or duplicate #ID</v>
      </c>
      <c r="D600" s="16" t="s">
        <v>119</v>
      </c>
      <c r="E600" s="16" t="s">
        <v>324</v>
      </c>
      <c r="F600" s="55"/>
      <c r="G600" s="56"/>
      <c r="H600" s="54"/>
      <c r="J600" s="55"/>
      <c r="K600" s="56"/>
    </row>
    <row r="601">
      <c r="A601" s="62" t="s">
        <v>99</v>
      </c>
      <c r="B601" s="50" t="str">
        <f>IFERROR(HYPERLINK(VLOOKUP(A601,Internal_lists_bugs!$A$2:$C$73,3,FALSE()), VLOOKUP(A601,Internal_lists_bugs!$A$2:$C$73,3,FALSE())&amp;Char(10) &amp; Char(10) &amp; VLOOKUP(A601,Internal_lists_bugs!$A$2:$Z$73,26,FALSE())),"please select a BUG ID")</f>
        <v>https://github.com/elastic/elasticsearch/issues/3560
/settings/TransportClusterUpdateSettingsAction.java</v>
      </c>
      <c r="C601" s="51" t="str">
        <f>IFERROR(__xludf.DUMMYFUNCTION("IFERROR(IF(REGEXMATCH(VLOOKUP(A601,Internal_lists_bugs!$A$2:$R$73,18,FALSE()), ""Yes""), VLOOKUP(A601,Internal_lists_bugs!$A$2:$U$73,21,FALSE()), VLOOKUP(A601,Internal_lists_bugs!$A$2:$R$73,18,FALSE())),""please select a BUG ID"")"),"No, however, check in the comments something like dup #ID or duplicate #ID")</f>
        <v>No, however, check in the comments something like dup #ID or duplicate #ID</v>
      </c>
      <c r="D601" s="16" t="s">
        <v>439</v>
      </c>
      <c r="E601" s="16" t="s">
        <v>324</v>
      </c>
      <c r="F601" s="55"/>
      <c r="G601" s="56"/>
      <c r="H601" s="54"/>
      <c r="J601" s="55"/>
      <c r="K601" s="56"/>
    </row>
    <row r="602">
      <c r="A602" s="62" t="s">
        <v>100</v>
      </c>
      <c r="B602" s="50" t="str">
        <f>IFERROR(HYPERLINK(VLOOKUP(A602,Internal_lists_bugs!$A$2:$C$73,3,FALSE()), VLOOKUP(A602,Internal_lists_bugs!$A$2:$C$73,3,FALSE())&amp;Char(10) &amp; Char(10) &amp; VLOOKUP(A602,Internal_lists_bugs!$A$2:$Z$73,26,FALSE())),"please select a BUG ID")</f>
        <v>https://github.com/elastic/elasticsearch/issues/4814
/bucket/BytesRefHash.java</v>
      </c>
      <c r="C602" s="51" t="str">
        <f>IFERROR(__xludf.DUMMYFUNCTION("IFERROR(IF(REGEXMATCH(VLOOKUP(A602,Internal_lists_bugs!$A$2:$R$73,18,FALSE()), ""Yes""), VLOOKUP(A602,Internal_lists_bugs!$A$2:$U$73,21,FALSE()), VLOOKUP(A602,Internal_lists_bugs!$A$2:$R$73,18,FALSE())),""please select a BUG ID"")"),"No, however, check in the comments something like dup #ID or duplicate #ID")</f>
        <v>No, however, check in the comments something like dup #ID or duplicate #ID</v>
      </c>
      <c r="D602" s="16" t="s">
        <v>119</v>
      </c>
      <c r="E602" s="16" t="s">
        <v>324</v>
      </c>
      <c r="F602" s="52" t="s">
        <v>121</v>
      </c>
      <c r="G602" s="56"/>
      <c r="H602" s="16" t="s">
        <v>123</v>
      </c>
      <c r="J602" s="52" t="s">
        <v>123</v>
      </c>
      <c r="K602" s="56"/>
    </row>
    <row r="603">
      <c r="A603" s="62" t="s">
        <v>101</v>
      </c>
      <c r="B603" s="50" t="str">
        <f>IFERROR(HYPERLINK(VLOOKUP(A603,Internal_lists_bugs!$A$2:$C$73,3,FALSE()), VLOOKUP(A603,Internal_lists_bugs!$A$2:$C$73,3,FALSE())&amp;Char(10) &amp; Char(10) &amp; VLOOKUP(A603,Internal_lists_bugs!$A$2:$Z$73,26,FALSE())),"please select a BUG ID")</f>
        <v>https://github.com/elastic/elasticsearch/issues/2991
/BytesRefOrdValComparator.java </v>
      </c>
      <c r="C603" s="51" t="str">
        <f>IFERROR(__xludf.DUMMYFUNCTION("IFERROR(IF(REGEXMATCH(VLOOKUP(A603,Internal_lists_bugs!$A$2:$R$73,18,FALSE()), ""Yes""), VLOOKUP(A603,Internal_lists_bugs!$A$2:$U$73,21,FALSE()), VLOOKUP(A603,Internal_lists_bugs!$A$2:$R$73,18,FALSE())),""please select a BUG ID"")"),"No, however, check in the comments something like dup #ID or duplicate #ID")</f>
        <v>No, however, check in the comments something like dup #ID or duplicate #ID</v>
      </c>
      <c r="D603" s="16" t="s">
        <v>149</v>
      </c>
      <c r="E603" s="16" t="s">
        <v>144</v>
      </c>
      <c r="F603" s="52" t="s">
        <v>121</v>
      </c>
      <c r="G603" s="56"/>
      <c r="H603" s="16" t="s">
        <v>123</v>
      </c>
      <c r="J603" s="52" t="s">
        <v>123</v>
      </c>
      <c r="K603" s="56"/>
    </row>
    <row r="604">
      <c r="A604" s="62" t="s">
        <v>101</v>
      </c>
      <c r="B604" s="50" t="str">
        <f>IFERROR(HYPERLINK(VLOOKUP(A604,Internal_lists_bugs!$A$2:$C$73,3,FALSE()), VLOOKUP(A604,Internal_lists_bugs!$A$2:$C$73,3,FALSE())&amp;Char(10) &amp; Char(10) &amp; VLOOKUP(A604,Internal_lists_bugs!$A$2:$Z$73,26,FALSE())),"please select a BUG ID")</f>
        <v>https://github.com/elastic/elasticsearch/issues/2991
/BytesRefOrdValComparator.java </v>
      </c>
      <c r="C604" s="51" t="str">
        <f>IFERROR(__xludf.DUMMYFUNCTION("IFERROR(IF(REGEXMATCH(VLOOKUP(A604,Internal_lists_bugs!$A$2:$R$73,18,FALSE()), ""Yes""), VLOOKUP(A604,Internal_lists_bugs!$A$2:$U$73,21,FALSE()), VLOOKUP(A604,Internal_lists_bugs!$A$2:$R$73,18,FALSE())),""please select a BUG ID"")"),"No, however, check in the comments something like dup #ID or duplicate #ID")</f>
        <v>No, however, check in the comments something like dup #ID or duplicate #ID</v>
      </c>
      <c r="D604" s="16" t="s">
        <v>211</v>
      </c>
      <c r="E604" s="16" t="s">
        <v>144</v>
      </c>
      <c r="F604" s="55"/>
      <c r="G604" s="56"/>
      <c r="H604" s="54"/>
      <c r="J604" s="55"/>
      <c r="K604" s="56"/>
    </row>
    <row r="605">
      <c r="A605" s="62" t="s">
        <v>101</v>
      </c>
      <c r="B605" s="50" t="str">
        <f>IFERROR(HYPERLINK(VLOOKUP(A605,Internal_lists_bugs!$A$2:$C$73,3,FALSE()), VLOOKUP(A605,Internal_lists_bugs!$A$2:$C$73,3,FALSE())&amp;Char(10) &amp; Char(10) &amp; VLOOKUP(A605,Internal_lists_bugs!$A$2:$Z$73,26,FALSE())),"please select a BUG ID")</f>
        <v>https://github.com/elastic/elasticsearch/issues/2991
/BytesRefOrdValComparator.java </v>
      </c>
      <c r="C605" s="51" t="str">
        <f>IFERROR(__xludf.DUMMYFUNCTION("IFERROR(IF(REGEXMATCH(VLOOKUP(A605,Internal_lists_bugs!$A$2:$R$73,18,FALSE()), ""Yes""), VLOOKUP(A605,Internal_lists_bugs!$A$2:$U$73,21,FALSE()), VLOOKUP(A605,Internal_lists_bugs!$A$2:$R$73,18,FALSE())),""please select a BUG ID"")"),"No, however, check in the comments something like dup #ID or duplicate #ID")</f>
        <v>No, however, check in the comments something like dup #ID or duplicate #ID</v>
      </c>
      <c r="D605" s="16" t="s">
        <v>119</v>
      </c>
      <c r="E605" s="16" t="s">
        <v>144</v>
      </c>
      <c r="F605" s="55"/>
      <c r="G605" s="56"/>
      <c r="H605" s="54"/>
      <c r="J605" s="55"/>
      <c r="K605" s="56"/>
    </row>
    <row r="606">
      <c r="A606" s="62" t="s">
        <v>101</v>
      </c>
      <c r="B606" s="50" t="str">
        <f>IFERROR(HYPERLINK(VLOOKUP(A606,Internal_lists_bugs!$A$2:$C$73,3,FALSE()), VLOOKUP(A606,Internal_lists_bugs!$A$2:$C$73,3,FALSE())&amp;Char(10) &amp; Char(10) &amp; VLOOKUP(A606,Internal_lists_bugs!$A$2:$Z$73,26,FALSE())),"please select a BUG ID")</f>
        <v>https://github.com/elastic/elasticsearch/issues/2991
/BytesRefOrdValComparator.java </v>
      </c>
      <c r="C606" s="51" t="str">
        <f>IFERROR(__xludf.DUMMYFUNCTION("IFERROR(IF(REGEXMATCH(VLOOKUP(A606,Internal_lists_bugs!$A$2:$R$73,18,FALSE()), ""Yes""), VLOOKUP(A606,Internal_lists_bugs!$A$2:$U$73,21,FALSE()), VLOOKUP(A606,Internal_lists_bugs!$A$2:$R$73,18,FALSE())),""please select a BUG ID"")"),"No, however, check in the comments something like dup #ID or duplicate #ID")</f>
        <v>No, however, check in the comments something like dup #ID or duplicate #ID</v>
      </c>
      <c r="D606" s="16" t="s">
        <v>227</v>
      </c>
      <c r="E606" s="16" t="s">
        <v>324</v>
      </c>
      <c r="F606" s="55"/>
      <c r="G606" s="56"/>
      <c r="H606" s="54"/>
      <c r="J606" s="55"/>
      <c r="K606" s="56"/>
    </row>
    <row r="607">
      <c r="A607" s="62" t="s">
        <v>101</v>
      </c>
      <c r="B607" s="50" t="str">
        <f>IFERROR(HYPERLINK(VLOOKUP(A607,Internal_lists_bugs!$A$2:$C$73,3,FALSE()), VLOOKUP(A607,Internal_lists_bugs!$A$2:$C$73,3,FALSE())&amp;Char(10) &amp; Char(10) &amp; VLOOKUP(A607,Internal_lists_bugs!$A$2:$Z$73,26,FALSE())),"please select a BUG ID")</f>
        <v>https://github.com/elastic/elasticsearch/issues/2991
/BytesRefOrdValComparator.java </v>
      </c>
      <c r="C607" s="51" t="str">
        <f>IFERROR(__xludf.DUMMYFUNCTION("IFERROR(IF(REGEXMATCH(VLOOKUP(A607,Internal_lists_bugs!$A$2:$R$73,18,FALSE()), ""Yes""), VLOOKUP(A607,Internal_lists_bugs!$A$2:$U$73,21,FALSE()), VLOOKUP(A607,Internal_lists_bugs!$A$2:$R$73,18,FALSE())),""please select a BUG ID"")"),"No, however, check in the comments something like dup #ID or duplicate #ID")</f>
        <v>No, however, check in the comments something like dup #ID or duplicate #ID</v>
      </c>
      <c r="D607" s="16" t="s">
        <v>484</v>
      </c>
      <c r="E607" s="16" t="s">
        <v>324</v>
      </c>
      <c r="F607" s="55"/>
      <c r="G607" s="56"/>
      <c r="H607" s="54"/>
      <c r="J607" s="55"/>
      <c r="K607" s="56"/>
    </row>
    <row r="608">
      <c r="A608" s="62" t="s">
        <v>102</v>
      </c>
      <c r="B608" s="50" t="str">
        <f>IFERROR(HYPERLINK(VLOOKUP(A608,Internal_lists_bugs!$A$2:$C$73,3,FALSE()), VLOOKUP(A608,Internal_lists_bugs!$A$2:$C$73,3,FALSE())&amp;Char(10) &amp; Char(10) &amp; VLOOKUP(A608,Internal_lists_bugs!$A$2:$Z$73,26,FALSE())),"please select a BUG ID")</f>
        <v>https://github.com/elastic/elasticsearch/issues/3267
/get/TransportMultiGetAction.java</v>
      </c>
      <c r="C608" s="51" t="str">
        <f>IFERROR(__xludf.DUMMYFUNCTION("IFERROR(IF(REGEXMATCH(VLOOKUP(A608,Internal_lists_bugs!$A$2:$R$73,18,FALSE()), ""Yes""), VLOOKUP(A608,Internal_lists_bugs!$A$2:$U$73,21,FALSE()), VLOOKUP(A608,Internal_lists_bugs!$A$2:$R$73,18,FALSE())),""please select a BUG ID"")"),"No, however, check in the comments something like dup #ID or duplicate #ID")</f>
        <v>No, however, check in the comments something like dup #ID or duplicate #ID</v>
      </c>
      <c r="D608" s="16" t="s">
        <v>211</v>
      </c>
      <c r="E608" s="16" t="s">
        <v>144</v>
      </c>
      <c r="F608" s="52" t="s">
        <v>121</v>
      </c>
      <c r="G608" s="56"/>
      <c r="H608" s="16" t="s">
        <v>123</v>
      </c>
      <c r="J608" s="52" t="s">
        <v>123</v>
      </c>
      <c r="K608" s="56"/>
    </row>
    <row r="609">
      <c r="A609" s="62" t="s">
        <v>102</v>
      </c>
      <c r="B609" s="50" t="str">
        <f>IFERROR(HYPERLINK(VLOOKUP(A609,Internal_lists_bugs!$A$2:$C$73,3,FALSE()), VLOOKUP(A609,Internal_lists_bugs!$A$2:$C$73,3,FALSE())&amp;Char(10) &amp; Char(10) &amp; VLOOKUP(A609,Internal_lists_bugs!$A$2:$Z$73,26,FALSE())),"please select a BUG ID")</f>
        <v>https://github.com/elastic/elasticsearch/issues/3267
/get/TransportMultiGetAction.java</v>
      </c>
      <c r="C609" s="51" t="str">
        <f>IFERROR(__xludf.DUMMYFUNCTION("IFERROR(IF(REGEXMATCH(VLOOKUP(A609,Internal_lists_bugs!$A$2:$R$73,18,FALSE()), ""Yes""), VLOOKUP(A609,Internal_lists_bugs!$A$2:$U$73,21,FALSE()), VLOOKUP(A609,Internal_lists_bugs!$A$2:$R$73,18,FALSE())),""please select a BUG ID"")"),"No, however, check in the comments something like dup #ID or duplicate #ID")</f>
        <v>No, however, check in the comments something like dup #ID or duplicate #ID</v>
      </c>
      <c r="D609" s="16" t="s">
        <v>119</v>
      </c>
      <c r="E609" s="16" t="s">
        <v>144</v>
      </c>
      <c r="F609" s="55"/>
      <c r="G609" s="56"/>
      <c r="H609" s="54"/>
      <c r="J609" s="55"/>
      <c r="K609" s="56"/>
    </row>
    <row r="610">
      <c r="A610" s="62" t="s">
        <v>102</v>
      </c>
      <c r="B610" s="50" t="str">
        <f>IFERROR(HYPERLINK(VLOOKUP(A610,Internal_lists_bugs!$A$2:$C$73,3,FALSE()), VLOOKUP(A610,Internal_lists_bugs!$A$2:$C$73,3,FALSE())&amp;Char(10) &amp; Char(10) &amp; VLOOKUP(A610,Internal_lists_bugs!$A$2:$Z$73,26,FALSE())),"please select a BUG ID")</f>
        <v>https://github.com/elastic/elasticsearch/issues/3267
/get/TransportMultiGetAction.java</v>
      </c>
      <c r="C610" s="51" t="str">
        <f>IFERROR(__xludf.DUMMYFUNCTION("IFERROR(IF(REGEXMATCH(VLOOKUP(A610,Internal_lists_bugs!$A$2:$R$73,18,FALSE()), ""Yes""), VLOOKUP(A610,Internal_lists_bugs!$A$2:$U$73,21,FALSE()), VLOOKUP(A610,Internal_lists_bugs!$A$2:$R$73,18,FALSE())),""please select a BUG ID"")"),"No, however, check in the comments something like dup #ID or duplicate #ID")</f>
        <v>No, however, check in the comments something like dup #ID or duplicate #ID</v>
      </c>
      <c r="D610" s="16" t="s">
        <v>149</v>
      </c>
      <c r="E610" s="16" t="s">
        <v>144</v>
      </c>
      <c r="F610" s="55"/>
      <c r="G610" s="56"/>
      <c r="H610" s="54"/>
      <c r="J610" s="55"/>
      <c r="K610" s="56"/>
    </row>
    <row r="611">
      <c r="A611" s="62" t="s">
        <v>102</v>
      </c>
      <c r="B611" s="50" t="str">
        <f>IFERROR(HYPERLINK(VLOOKUP(A611,Internal_lists_bugs!$A$2:$C$73,3,FALSE()), VLOOKUP(A611,Internal_lists_bugs!$A$2:$C$73,3,FALSE())&amp;Char(10) &amp; Char(10) &amp; VLOOKUP(A611,Internal_lists_bugs!$A$2:$Z$73,26,FALSE())),"please select a BUG ID")</f>
        <v>https://github.com/elastic/elasticsearch/issues/3267
/get/TransportMultiGetAction.java</v>
      </c>
      <c r="C611" s="51" t="str">
        <f>IFERROR(__xludf.DUMMYFUNCTION("IFERROR(IF(REGEXMATCH(VLOOKUP(A611,Internal_lists_bugs!$A$2:$R$73,18,FALSE()), ""Yes""), VLOOKUP(A611,Internal_lists_bugs!$A$2:$U$73,21,FALSE()), VLOOKUP(A611,Internal_lists_bugs!$A$2:$R$73,18,FALSE())),""please select a BUG ID"")"),"No, however, check in the comments something like dup #ID or duplicate #ID")</f>
        <v>No, however, check in the comments something like dup #ID or duplicate #ID</v>
      </c>
      <c r="D611" s="16" t="s">
        <v>119</v>
      </c>
      <c r="E611" s="16" t="s">
        <v>324</v>
      </c>
      <c r="F611" s="55"/>
      <c r="G611" s="56"/>
      <c r="H611" s="54"/>
      <c r="J611" s="55"/>
      <c r="K611" s="56"/>
    </row>
    <row r="612">
      <c r="A612" s="62" t="s">
        <v>102</v>
      </c>
      <c r="B612" s="50" t="str">
        <f>IFERROR(HYPERLINK(VLOOKUP(A612,Internal_lists_bugs!$A$2:$C$73,3,FALSE()), VLOOKUP(A612,Internal_lists_bugs!$A$2:$C$73,3,FALSE())&amp;Char(10) &amp; Char(10) &amp; VLOOKUP(A612,Internal_lists_bugs!$A$2:$Z$73,26,FALSE())),"please select a BUG ID")</f>
        <v>https://github.com/elastic/elasticsearch/issues/3267
/get/TransportMultiGetAction.java</v>
      </c>
      <c r="C612" s="51" t="str">
        <f>IFERROR(__xludf.DUMMYFUNCTION("IFERROR(IF(REGEXMATCH(VLOOKUP(A612,Internal_lists_bugs!$A$2:$R$73,18,FALSE()), ""Yes""), VLOOKUP(A612,Internal_lists_bugs!$A$2:$U$73,21,FALSE()), VLOOKUP(A612,Internal_lists_bugs!$A$2:$R$73,18,FALSE())),""please select a BUG ID"")"),"No, however, check in the comments something like dup #ID or duplicate #ID")</f>
        <v>No, however, check in the comments something like dup #ID or duplicate #ID</v>
      </c>
      <c r="D612" s="16" t="s">
        <v>127</v>
      </c>
      <c r="E612" s="16" t="s">
        <v>324</v>
      </c>
      <c r="F612" s="55"/>
      <c r="G612" s="56"/>
      <c r="H612" s="54"/>
      <c r="J612" s="55"/>
      <c r="K612" s="56"/>
    </row>
    <row r="613">
      <c r="A613" s="62" t="s">
        <v>102</v>
      </c>
      <c r="B613" s="50" t="str">
        <f>IFERROR(HYPERLINK(VLOOKUP(A613,Internal_lists_bugs!$A$2:$C$73,3,FALSE()), VLOOKUP(A613,Internal_lists_bugs!$A$2:$C$73,3,FALSE())&amp;Char(10) &amp; Char(10) &amp; VLOOKUP(A613,Internal_lists_bugs!$A$2:$Z$73,26,FALSE())),"please select a BUG ID")</f>
        <v>https://github.com/elastic/elasticsearch/issues/3267
/get/TransportMultiGetAction.java</v>
      </c>
      <c r="C613" s="51" t="str">
        <f>IFERROR(__xludf.DUMMYFUNCTION("IFERROR(IF(REGEXMATCH(VLOOKUP(A613,Internal_lists_bugs!$A$2:$R$73,18,FALSE()), ""Yes""), VLOOKUP(A613,Internal_lists_bugs!$A$2:$U$73,21,FALSE()), VLOOKUP(A613,Internal_lists_bugs!$A$2:$R$73,18,FALSE())),""please select a BUG ID"")"),"No, however, check in the comments something like dup #ID or duplicate #ID")</f>
        <v>No, however, check in the comments something like dup #ID or duplicate #ID</v>
      </c>
      <c r="D613" s="16" t="s">
        <v>159</v>
      </c>
      <c r="E613" s="16" t="s">
        <v>324</v>
      </c>
      <c r="F613" s="55"/>
      <c r="G613" s="56"/>
      <c r="H613" s="54"/>
      <c r="J613" s="55"/>
      <c r="K613" s="56"/>
    </row>
    <row r="614">
      <c r="A614" s="70"/>
      <c r="B614" s="71" t="str">
        <f>IFERROR(HYPERLINK(VLOOKUP(A614,Internal_lists_bugs!$A$2:$C$73,3,FALSE()), VLOOKUP(A614,Internal_lists_bugs!$A$2:$C$73,3,FALSE())&amp;Char(10) &amp; Char(10) &amp; VLOOKUP(A614,Internal_lists_bugs!$A$2:$Z$73,26,FALSE())),"please select a BUG ID")</f>
        <v>please select a BUG ID</v>
      </c>
      <c r="C614" s="51" t="str">
        <f>IFERROR(__xludf.DUMMYFUNCTION("IFERROR(IF(REGEXMATCH(VLOOKUP(A614,Internal_lists_bugs!$A$2:$R$73,18,FALSE()), ""Yes""), VLOOKUP(A614,Internal_lists_bugs!$A$2:$U$73,21,FALSE()), VLOOKUP(A614,Internal_lists_bugs!$A$2:$R$73,18,FALSE())),""please select a BUG ID"")"),"please select a BUG ID")</f>
        <v>please select a BUG ID</v>
      </c>
      <c r="D614" s="54"/>
      <c r="F614" s="55"/>
      <c r="G614" s="56"/>
      <c r="H614" s="54"/>
      <c r="J614" s="55"/>
      <c r="K614" s="56"/>
    </row>
    <row r="615">
      <c r="A615" s="70"/>
      <c r="B615" s="71" t="str">
        <f>IFERROR(HYPERLINK(VLOOKUP(A615,Internal_lists_bugs!$A$2:$C$73,3,FALSE()), VLOOKUP(A615,Internal_lists_bugs!$A$2:$C$73,3,FALSE())&amp;Char(10) &amp; Char(10) &amp; VLOOKUP(A615,Internal_lists_bugs!$A$2:$Z$73,26,FALSE())),"please select a BUG ID")</f>
        <v>please select a BUG ID</v>
      </c>
      <c r="C615" s="51" t="str">
        <f>IFERROR(__xludf.DUMMYFUNCTION("IFERROR(IF(REGEXMATCH(VLOOKUP(A615,Internal_lists_bugs!$A$2:$R$73,18,FALSE()), ""Yes""), VLOOKUP(A615,Internal_lists_bugs!$A$2:$U$73,21,FALSE()), VLOOKUP(A615,Internal_lists_bugs!$A$2:$R$73,18,FALSE())),""please select a BUG ID"")"),"please select a BUG ID")</f>
        <v>please select a BUG ID</v>
      </c>
      <c r="D615" s="54"/>
      <c r="F615" s="55"/>
      <c r="G615" s="56"/>
      <c r="H615" s="54"/>
      <c r="J615" s="55"/>
      <c r="K615" s="56"/>
    </row>
    <row r="616">
      <c r="A616" s="70"/>
      <c r="B616" s="71" t="str">
        <f>IFERROR(HYPERLINK(VLOOKUP(A616,Internal_lists_bugs!$A$2:$C$73,3,FALSE()), VLOOKUP(A616,Internal_lists_bugs!$A$2:$C$73,3,FALSE())&amp;Char(10) &amp; Char(10) &amp; VLOOKUP(A616,Internal_lists_bugs!$A$2:$Z$73,26,FALSE())),"please select a BUG ID")</f>
        <v>please select a BUG ID</v>
      </c>
      <c r="C616" s="51" t="str">
        <f>IFERROR(__xludf.DUMMYFUNCTION("IFERROR(IF(REGEXMATCH(VLOOKUP(A616,Internal_lists_bugs!$A$2:$R$73,18,FALSE()), ""Yes""), VLOOKUP(A616,Internal_lists_bugs!$A$2:$U$73,21,FALSE()), VLOOKUP(A616,Internal_lists_bugs!$A$2:$R$73,18,FALSE())),""please select a BUG ID"")"),"please select a BUG ID")</f>
        <v>please select a BUG ID</v>
      </c>
      <c r="D616" s="54"/>
      <c r="F616" s="55"/>
      <c r="G616" s="56"/>
      <c r="H616" s="54"/>
      <c r="J616" s="55"/>
      <c r="K616" s="56"/>
    </row>
    <row r="617">
      <c r="A617" s="70"/>
      <c r="B617" s="71" t="str">
        <f>IFERROR(HYPERLINK(VLOOKUP(A617,Internal_lists_bugs!$A$2:$C$73,3,FALSE()), VLOOKUP(A617,Internal_lists_bugs!$A$2:$C$73,3,FALSE())&amp;Char(10) &amp; Char(10) &amp; VLOOKUP(A617,Internal_lists_bugs!$A$2:$Z$73,26,FALSE())),"please select a BUG ID")</f>
        <v>please select a BUG ID</v>
      </c>
      <c r="C617" s="51" t="str">
        <f>IFERROR(__xludf.DUMMYFUNCTION("IFERROR(IF(REGEXMATCH(VLOOKUP(A617,Internal_lists_bugs!$A$2:$R$73,18,FALSE()), ""Yes""), VLOOKUP(A617,Internal_lists_bugs!$A$2:$U$73,21,FALSE()), VLOOKUP(A617,Internal_lists_bugs!$A$2:$R$73,18,FALSE())),""please select a BUG ID"")"),"please select a BUG ID")</f>
        <v>please select a BUG ID</v>
      </c>
      <c r="D617" s="54"/>
      <c r="F617" s="55"/>
      <c r="G617" s="56"/>
      <c r="H617" s="54"/>
      <c r="J617" s="55"/>
      <c r="K617" s="56"/>
    </row>
    <row r="618">
      <c r="A618" s="70"/>
      <c r="B618" s="71" t="str">
        <f>IFERROR(HYPERLINK(VLOOKUP(A618,Internal_lists_bugs!$A$2:$C$73,3,FALSE()), VLOOKUP(A618,Internal_lists_bugs!$A$2:$C$73,3,FALSE())&amp;Char(10) &amp; Char(10) &amp; VLOOKUP(A618,Internal_lists_bugs!$A$2:$Z$73,26,FALSE())),"please select a BUG ID")</f>
        <v>please select a BUG ID</v>
      </c>
      <c r="C618" s="51" t="str">
        <f>IFERROR(__xludf.DUMMYFUNCTION("IFERROR(IF(REGEXMATCH(VLOOKUP(A618,Internal_lists_bugs!$A$2:$R$73,18,FALSE()), ""Yes""), VLOOKUP(A618,Internal_lists_bugs!$A$2:$U$73,21,FALSE()), VLOOKUP(A618,Internal_lists_bugs!$A$2:$R$73,18,FALSE())),""please select a BUG ID"")"),"please select a BUG ID")</f>
        <v>please select a BUG ID</v>
      </c>
      <c r="D618" s="54"/>
      <c r="F618" s="55"/>
      <c r="G618" s="56"/>
      <c r="H618" s="54"/>
      <c r="J618" s="55"/>
      <c r="K618" s="56"/>
    </row>
    <row r="619">
      <c r="A619" s="70"/>
      <c r="B619" s="71" t="str">
        <f>IFERROR(HYPERLINK(VLOOKUP(A619,Internal_lists_bugs!$A$2:$C$73,3,FALSE()), VLOOKUP(A619,Internal_lists_bugs!$A$2:$C$73,3,FALSE())&amp;Char(10) &amp; Char(10) &amp; VLOOKUP(A619,Internal_lists_bugs!$A$2:$Z$73,26,FALSE())),"please select a BUG ID")</f>
        <v>please select a BUG ID</v>
      </c>
      <c r="C619" s="51" t="str">
        <f>IFERROR(__xludf.DUMMYFUNCTION("IFERROR(IF(REGEXMATCH(VLOOKUP(A619,Internal_lists_bugs!$A$2:$R$73,18,FALSE()), ""Yes""), VLOOKUP(A619,Internal_lists_bugs!$A$2:$U$73,21,FALSE()), VLOOKUP(A619,Internal_lists_bugs!$A$2:$R$73,18,FALSE())),""please select a BUG ID"")"),"please select a BUG ID")</f>
        <v>please select a BUG ID</v>
      </c>
      <c r="D619" s="54"/>
      <c r="F619" s="55"/>
      <c r="G619" s="56"/>
      <c r="H619" s="54"/>
      <c r="J619" s="55"/>
      <c r="K619" s="56"/>
    </row>
    <row r="620">
      <c r="A620" s="70"/>
      <c r="B620" s="71" t="str">
        <f>IFERROR(HYPERLINK(VLOOKUP(A620,Internal_lists_bugs!$A$2:$C$73,3,FALSE()), VLOOKUP(A620,Internal_lists_bugs!$A$2:$C$73,3,FALSE())&amp;Char(10) &amp; Char(10) &amp; VLOOKUP(A620,Internal_lists_bugs!$A$2:$Z$73,26,FALSE())),"please select a BUG ID")</f>
        <v>please select a BUG ID</v>
      </c>
      <c r="C620" s="51" t="str">
        <f>IFERROR(__xludf.DUMMYFUNCTION("IFERROR(IF(REGEXMATCH(VLOOKUP(A620,Internal_lists_bugs!$A$2:$R$73,18,FALSE()), ""Yes""), VLOOKUP(A620,Internal_lists_bugs!$A$2:$U$73,21,FALSE()), VLOOKUP(A620,Internal_lists_bugs!$A$2:$R$73,18,FALSE())),""please select a BUG ID"")"),"please select a BUG ID")</f>
        <v>please select a BUG ID</v>
      </c>
      <c r="D620" s="54"/>
      <c r="F620" s="55"/>
      <c r="G620" s="56"/>
      <c r="H620" s="54"/>
      <c r="J620" s="55"/>
      <c r="K620" s="56"/>
    </row>
    <row r="621">
      <c r="A621" s="70"/>
      <c r="B621" s="71" t="str">
        <f>IFERROR(HYPERLINK(VLOOKUP(A621,Internal_lists_bugs!$A$2:$C$73,3,FALSE()), VLOOKUP(A621,Internal_lists_bugs!$A$2:$C$73,3,FALSE())&amp;Char(10) &amp; Char(10) &amp; VLOOKUP(A621,Internal_lists_bugs!$A$2:$Z$73,26,FALSE())),"please select a BUG ID")</f>
        <v>please select a BUG ID</v>
      </c>
      <c r="C621" s="51" t="str">
        <f>IFERROR(__xludf.DUMMYFUNCTION("IFERROR(IF(REGEXMATCH(VLOOKUP(A621,Internal_lists_bugs!$A$2:$R$73,18,FALSE()), ""Yes""), VLOOKUP(A621,Internal_lists_bugs!$A$2:$U$73,21,FALSE()), VLOOKUP(A621,Internal_lists_bugs!$A$2:$R$73,18,FALSE())),""please select a BUG ID"")"),"please select a BUG ID")</f>
        <v>please select a BUG ID</v>
      </c>
      <c r="D621" s="54"/>
      <c r="F621" s="55"/>
      <c r="G621" s="56"/>
      <c r="H621" s="54"/>
      <c r="J621" s="55"/>
      <c r="K621" s="56"/>
    </row>
    <row r="622">
      <c r="A622" s="70"/>
      <c r="B622" s="71" t="str">
        <f>IFERROR(HYPERLINK(VLOOKUP(A622,Internal_lists_bugs!$A$2:$C$73,3,FALSE()), VLOOKUP(A622,Internal_lists_bugs!$A$2:$C$73,3,FALSE())&amp;Char(10) &amp; Char(10) &amp; VLOOKUP(A622,Internal_lists_bugs!$A$2:$Z$73,26,FALSE())),"please select a BUG ID")</f>
        <v>please select a BUG ID</v>
      </c>
      <c r="C622" s="51" t="str">
        <f>IFERROR(__xludf.DUMMYFUNCTION("IFERROR(IF(REGEXMATCH(VLOOKUP(A622,Internal_lists_bugs!$A$2:$R$73,18,FALSE()), ""Yes""), VLOOKUP(A622,Internal_lists_bugs!$A$2:$U$73,21,FALSE()), VLOOKUP(A622,Internal_lists_bugs!$A$2:$R$73,18,FALSE())),""please select a BUG ID"")"),"please select a BUG ID")</f>
        <v>please select a BUG ID</v>
      </c>
      <c r="D622" s="54"/>
      <c r="F622" s="55"/>
      <c r="G622" s="56"/>
      <c r="H622" s="54"/>
      <c r="J622" s="55"/>
      <c r="K622" s="56"/>
    </row>
    <row r="623">
      <c r="A623" s="70"/>
      <c r="B623" s="71" t="str">
        <f>IFERROR(HYPERLINK(VLOOKUP(A623,Internal_lists_bugs!$A$2:$C$73,3,FALSE()), VLOOKUP(A623,Internal_lists_bugs!$A$2:$C$73,3,FALSE())&amp;Char(10) &amp; Char(10) &amp; VLOOKUP(A623,Internal_lists_bugs!$A$2:$Z$73,26,FALSE())),"please select a BUG ID")</f>
        <v>please select a BUG ID</v>
      </c>
      <c r="C623" s="51" t="str">
        <f>IFERROR(__xludf.DUMMYFUNCTION("IFERROR(IF(REGEXMATCH(VLOOKUP(A623,Internal_lists_bugs!$A$2:$R$73,18,FALSE()), ""Yes""), VLOOKUP(A623,Internal_lists_bugs!$A$2:$U$73,21,FALSE()), VLOOKUP(A623,Internal_lists_bugs!$A$2:$R$73,18,FALSE())),""please select a BUG ID"")"),"please select a BUG ID")</f>
        <v>please select a BUG ID</v>
      </c>
      <c r="D623" s="54"/>
      <c r="F623" s="55"/>
      <c r="G623" s="56"/>
      <c r="H623" s="54"/>
      <c r="J623" s="55"/>
      <c r="K623" s="56"/>
    </row>
    <row r="624">
      <c r="A624" s="70"/>
      <c r="B624" s="71" t="str">
        <f>IFERROR(HYPERLINK(VLOOKUP(A624,Internal_lists_bugs!$A$2:$C$73,3,FALSE()), VLOOKUP(A624,Internal_lists_bugs!$A$2:$C$73,3,FALSE())&amp;Char(10) &amp; Char(10) &amp; VLOOKUP(A624,Internal_lists_bugs!$A$2:$Z$73,26,FALSE())),"please select a BUG ID")</f>
        <v>please select a BUG ID</v>
      </c>
      <c r="C624" s="51" t="str">
        <f>IFERROR(__xludf.DUMMYFUNCTION("IFERROR(IF(REGEXMATCH(VLOOKUP(A624,Internal_lists_bugs!$A$2:$R$73,18,FALSE()), ""Yes""), VLOOKUP(A624,Internal_lists_bugs!$A$2:$U$73,21,FALSE()), VLOOKUP(A624,Internal_lists_bugs!$A$2:$R$73,18,FALSE())),""please select a BUG ID"")"),"please select a BUG ID")</f>
        <v>please select a BUG ID</v>
      </c>
      <c r="D624" s="54"/>
      <c r="F624" s="55"/>
      <c r="G624" s="56"/>
      <c r="H624" s="54"/>
      <c r="J624" s="55"/>
      <c r="K624" s="56"/>
    </row>
    <row r="625">
      <c r="A625" s="70"/>
      <c r="B625" s="71" t="str">
        <f>IFERROR(HYPERLINK(VLOOKUP(A625,Internal_lists_bugs!$A$2:$C$73,3,FALSE()), VLOOKUP(A625,Internal_lists_bugs!$A$2:$C$73,3,FALSE())&amp;Char(10) &amp; Char(10) &amp; VLOOKUP(A625,Internal_lists_bugs!$A$2:$Z$73,26,FALSE())),"please select a BUG ID")</f>
        <v>please select a BUG ID</v>
      </c>
      <c r="C625" s="51" t="str">
        <f>IFERROR(__xludf.DUMMYFUNCTION("IFERROR(IF(REGEXMATCH(VLOOKUP(A625,Internal_lists_bugs!$A$2:$R$73,18,FALSE()), ""Yes""), VLOOKUP(A625,Internal_lists_bugs!$A$2:$U$73,21,FALSE()), VLOOKUP(A625,Internal_lists_bugs!$A$2:$R$73,18,FALSE())),""please select a BUG ID"")"),"please select a BUG ID")</f>
        <v>please select a BUG ID</v>
      </c>
      <c r="D625" s="54"/>
      <c r="F625" s="55"/>
      <c r="G625" s="56"/>
      <c r="H625" s="54"/>
      <c r="J625" s="55"/>
      <c r="K625" s="56"/>
    </row>
    <row r="626">
      <c r="A626" s="70"/>
      <c r="B626" s="71" t="str">
        <f>IFERROR(HYPERLINK(VLOOKUP(A626,Internal_lists_bugs!$A$2:$C$73,3,FALSE()), VLOOKUP(A626,Internal_lists_bugs!$A$2:$C$73,3,FALSE())&amp;Char(10) &amp; Char(10) &amp; VLOOKUP(A626,Internal_lists_bugs!$A$2:$Z$73,26,FALSE())),"please select a BUG ID")</f>
        <v>please select a BUG ID</v>
      </c>
      <c r="C626" s="51" t="str">
        <f>IFERROR(__xludf.DUMMYFUNCTION("IFERROR(IF(REGEXMATCH(VLOOKUP(A626,Internal_lists_bugs!$A$2:$R$73,18,FALSE()), ""Yes""), VLOOKUP(A626,Internal_lists_bugs!$A$2:$U$73,21,FALSE()), VLOOKUP(A626,Internal_lists_bugs!$A$2:$R$73,18,FALSE())),""please select a BUG ID"")"),"please select a BUG ID")</f>
        <v>please select a BUG ID</v>
      </c>
      <c r="D626" s="54"/>
      <c r="F626" s="55"/>
      <c r="G626" s="56"/>
      <c r="H626" s="54"/>
      <c r="J626" s="55"/>
      <c r="K626" s="56"/>
    </row>
    <row r="627">
      <c r="A627" s="70"/>
      <c r="B627" s="71" t="str">
        <f>IFERROR(HYPERLINK(VLOOKUP(A627,Internal_lists_bugs!$A$2:$C$73,3,FALSE()), VLOOKUP(A627,Internal_lists_bugs!$A$2:$C$73,3,FALSE())&amp;Char(10) &amp; Char(10) &amp; VLOOKUP(A627,Internal_lists_bugs!$A$2:$Z$73,26,FALSE())),"please select a BUG ID")</f>
        <v>please select a BUG ID</v>
      </c>
      <c r="C627" s="51" t="str">
        <f>IFERROR(__xludf.DUMMYFUNCTION("IFERROR(IF(REGEXMATCH(VLOOKUP(A627,Internal_lists_bugs!$A$2:$R$73,18,FALSE()), ""Yes""), VLOOKUP(A627,Internal_lists_bugs!$A$2:$U$73,21,FALSE()), VLOOKUP(A627,Internal_lists_bugs!$A$2:$R$73,18,FALSE())),""please select a BUG ID"")"),"please select a BUG ID")</f>
        <v>please select a BUG ID</v>
      </c>
      <c r="D627" s="54"/>
      <c r="F627" s="55"/>
      <c r="G627" s="56"/>
      <c r="H627" s="54"/>
      <c r="J627" s="55"/>
      <c r="K627" s="56"/>
    </row>
    <row r="628">
      <c r="A628" s="70"/>
      <c r="B628" s="71" t="str">
        <f>IFERROR(HYPERLINK(VLOOKUP(A628,Internal_lists_bugs!$A$2:$C$73,3,FALSE()), VLOOKUP(A628,Internal_lists_bugs!$A$2:$C$73,3,FALSE())&amp;Char(10) &amp; Char(10) &amp; VLOOKUP(A628,Internal_lists_bugs!$A$2:$Z$73,26,FALSE())),"please select a BUG ID")</f>
        <v>please select a BUG ID</v>
      </c>
      <c r="C628" s="51" t="str">
        <f>IFERROR(__xludf.DUMMYFUNCTION("IFERROR(IF(REGEXMATCH(VLOOKUP(A628,Internal_lists_bugs!$A$2:$R$73,18,FALSE()), ""Yes""), VLOOKUP(A628,Internal_lists_bugs!$A$2:$U$73,21,FALSE()), VLOOKUP(A628,Internal_lists_bugs!$A$2:$R$73,18,FALSE())),""please select a BUG ID"")"),"please select a BUG ID")</f>
        <v>please select a BUG ID</v>
      </c>
      <c r="D628" s="54"/>
      <c r="F628" s="55"/>
      <c r="G628" s="56"/>
      <c r="H628" s="54"/>
      <c r="J628" s="55"/>
      <c r="K628" s="56"/>
    </row>
    <row r="629">
      <c r="A629" s="70"/>
      <c r="B629" s="71" t="str">
        <f>IFERROR(HYPERLINK(VLOOKUP(A629,Internal_lists_bugs!$A$2:$C$73,3,FALSE()), VLOOKUP(A629,Internal_lists_bugs!$A$2:$C$73,3,FALSE())&amp;Char(10) &amp; Char(10) &amp; VLOOKUP(A629,Internal_lists_bugs!$A$2:$Z$73,26,FALSE())),"please select a BUG ID")</f>
        <v>please select a BUG ID</v>
      </c>
      <c r="C629" s="51" t="str">
        <f>IFERROR(__xludf.DUMMYFUNCTION("IFERROR(IF(REGEXMATCH(VLOOKUP(A629,Internal_lists_bugs!$A$2:$R$73,18,FALSE()), ""Yes""), VLOOKUP(A629,Internal_lists_bugs!$A$2:$U$73,21,FALSE()), VLOOKUP(A629,Internal_lists_bugs!$A$2:$R$73,18,FALSE())),""please select a BUG ID"")"),"please select a BUG ID")</f>
        <v>please select a BUG ID</v>
      </c>
      <c r="D629" s="54"/>
      <c r="F629" s="55"/>
      <c r="G629" s="56"/>
      <c r="H629" s="54"/>
      <c r="J629" s="55"/>
      <c r="K629" s="56"/>
    </row>
    <row r="630">
      <c r="A630" s="70"/>
      <c r="B630" s="71" t="str">
        <f>IFERROR(HYPERLINK(VLOOKUP(A630,Internal_lists_bugs!$A$2:$C$73,3,FALSE()), VLOOKUP(A630,Internal_lists_bugs!$A$2:$C$73,3,FALSE())&amp;Char(10) &amp; Char(10) &amp; VLOOKUP(A630,Internal_lists_bugs!$A$2:$Z$73,26,FALSE())),"please select a BUG ID")</f>
        <v>please select a BUG ID</v>
      </c>
      <c r="C630" s="51" t="str">
        <f>IFERROR(__xludf.DUMMYFUNCTION("IFERROR(IF(REGEXMATCH(VLOOKUP(A630,Internal_lists_bugs!$A$2:$R$73,18,FALSE()), ""Yes""), VLOOKUP(A630,Internal_lists_bugs!$A$2:$U$73,21,FALSE()), VLOOKUP(A630,Internal_lists_bugs!$A$2:$R$73,18,FALSE())),""please select a BUG ID"")"),"please select a BUG ID")</f>
        <v>please select a BUG ID</v>
      </c>
      <c r="D630" s="54"/>
      <c r="F630" s="55"/>
      <c r="G630" s="56"/>
      <c r="H630" s="54"/>
      <c r="J630" s="55"/>
      <c r="K630" s="56"/>
    </row>
    <row r="631">
      <c r="A631" s="70"/>
      <c r="B631" s="71" t="str">
        <f>IFERROR(HYPERLINK(VLOOKUP(A631,Internal_lists_bugs!$A$2:$C$73,3,FALSE()), VLOOKUP(A631,Internal_lists_bugs!$A$2:$C$73,3,FALSE())&amp;Char(10) &amp; Char(10) &amp; VLOOKUP(A631,Internal_lists_bugs!$A$2:$Z$73,26,FALSE())),"please select a BUG ID")</f>
        <v>please select a BUG ID</v>
      </c>
      <c r="C631" s="51" t="str">
        <f>IFERROR(__xludf.DUMMYFUNCTION("IFERROR(IF(REGEXMATCH(VLOOKUP(A631,Internal_lists_bugs!$A$2:$R$73,18,FALSE()), ""Yes""), VLOOKUP(A631,Internal_lists_bugs!$A$2:$U$73,21,FALSE()), VLOOKUP(A631,Internal_lists_bugs!$A$2:$R$73,18,FALSE())),""please select a BUG ID"")"),"please select a BUG ID")</f>
        <v>please select a BUG ID</v>
      </c>
      <c r="D631" s="54"/>
      <c r="F631" s="55"/>
      <c r="G631" s="56"/>
      <c r="H631" s="54"/>
      <c r="J631" s="55"/>
      <c r="K631" s="56"/>
    </row>
    <row r="632">
      <c r="A632" s="70"/>
      <c r="B632" s="71" t="str">
        <f>IFERROR(HYPERLINK(VLOOKUP(A632,Internal_lists_bugs!$A$2:$C$73,3,FALSE()), VLOOKUP(A632,Internal_lists_bugs!$A$2:$C$73,3,FALSE())&amp;Char(10) &amp; Char(10) &amp; VLOOKUP(A632,Internal_lists_bugs!$A$2:$Z$73,26,FALSE())),"please select a BUG ID")</f>
        <v>please select a BUG ID</v>
      </c>
      <c r="C632" s="51" t="str">
        <f>IFERROR(__xludf.DUMMYFUNCTION("IFERROR(IF(REGEXMATCH(VLOOKUP(A632,Internal_lists_bugs!$A$2:$R$73,18,FALSE()), ""Yes""), VLOOKUP(A632,Internal_lists_bugs!$A$2:$U$73,21,FALSE()), VLOOKUP(A632,Internal_lists_bugs!$A$2:$R$73,18,FALSE())),""please select a BUG ID"")"),"please select a BUG ID")</f>
        <v>please select a BUG ID</v>
      </c>
      <c r="D632" s="54"/>
      <c r="F632" s="55"/>
      <c r="G632" s="56"/>
      <c r="H632" s="54"/>
      <c r="J632" s="55"/>
      <c r="K632" s="56"/>
    </row>
    <row r="633">
      <c r="A633" s="70"/>
      <c r="B633" s="71" t="str">
        <f>IFERROR(HYPERLINK(VLOOKUP(A633,Internal_lists_bugs!$A$2:$C$73,3,FALSE()), VLOOKUP(A633,Internal_lists_bugs!$A$2:$C$73,3,FALSE())&amp;Char(10) &amp; Char(10) &amp; VLOOKUP(A633,Internal_lists_bugs!$A$2:$Z$73,26,FALSE())),"please select a BUG ID")</f>
        <v>please select a BUG ID</v>
      </c>
      <c r="C633" s="51" t="str">
        <f>IFERROR(__xludf.DUMMYFUNCTION("IFERROR(IF(REGEXMATCH(VLOOKUP(A633,Internal_lists_bugs!$A$2:$R$73,18,FALSE()), ""Yes""), VLOOKUP(A633,Internal_lists_bugs!$A$2:$U$73,21,FALSE()), VLOOKUP(A633,Internal_lists_bugs!$A$2:$R$73,18,FALSE())),""please select a BUG ID"")"),"please select a BUG ID")</f>
        <v>please select a BUG ID</v>
      </c>
      <c r="D633" s="54"/>
      <c r="F633" s="55"/>
      <c r="G633" s="56"/>
      <c r="H633" s="54"/>
      <c r="J633" s="55"/>
      <c r="K633" s="56"/>
    </row>
    <row r="634">
      <c r="A634" s="70"/>
      <c r="B634" s="71" t="str">
        <f>IFERROR(HYPERLINK(VLOOKUP(A634,Internal_lists_bugs!$A$2:$C$73,3,FALSE()), VLOOKUP(A634,Internal_lists_bugs!$A$2:$C$73,3,FALSE())&amp;Char(10) &amp; Char(10) &amp; VLOOKUP(A634,Internal_lists_bugs!$A$2:$Z$73,26,FALSE())),"please select a BUG ID")</f>
        <v>please select a BUG ID</v>
      </c>
      <c r="C634" s="51" t="str">
        <f>IFERROR(__xludf.DUMMYFUNCTION("IFERROR(IF(REGEXMATCH(VLOOKUP(A634,Internal_lists_bugs!$A$2:$R$73,18,FALSE()), ""Yes""), VLOOKUP(A634,Internal_lists_bugs!$A$2:$U$73,21,FALSE()), VLOOKUP(A634,Internal_lists_bugs!$A$2:$R$73,18,FALSE())),""please select a BUG ID"")"),"please select a BUG ID")</f>
        <v>please select a BUG ID</v>
      </c>
      <c r="D634" s="54"/>
      <c r="F634" s="55"/>
      <c r="G634" s="56"/>
      <c r="H634" s="54"/>
      <c r="J634" s="55"/>
      <c r="K634" s="56"/>
    </row>
    <row r="635">
      <c r="A635" s="70"/>
      <c r="B635" s="71" t="str">
        <f>IFERROR(HYPERLINK(VLOOKUP(A635,Internal_lists_bugs!$A$2:$C$73,3,FALSE()), VLOOKUP(A635,Internal_lists_bugs!$A$2:$C$73,3,FALSE())&amp;Char(10) &amp; Char(10) &amp; VLOOKUP(A635,Internal_lists_bugs!$A$2:$Z$73,26,FALSE())),"please select a BUG ID")</f>
        <v>please select a BUG ID</v>
      </c>
      <c r="C635" s="51" t="str">
        <f>IFERROR(__xludf.DUMMYFUNCTION("IFERROR(IF(REGEXMATCH(VLOOKUP(A635,Internal_lists_bugs!$A$2:$R$73,18,FALSE()), ""Yes""), VLOOKUP(A635,Internal_lists_bugs!$A$2:$U$73,21,FALSE()), VLOOKUP(A635,Internal_lists_bugs!$A$2:$R$73,18,FALSE())),""please select a BUG ID"")"),"please select a BUG ID")</f>
        <v>please select a BUG ID</v>
      </c>
      <c r="D635" s="54"/>
      <c r="F635" s="55"/>
      <c r="G635" s="56"/>
      <c r="H635" s="54"/>
      <c r="J635" s="55"/>
      <c r="K635" s="56"/>
    </row>
    <row r="636">
      <c r="A636" s="70"/>
      <c r="B636" s="71" t="str">
        <f>IFERROR(HYPERLINK(VLOOKUP(A636,Internal_lists_bugs!$A$2:$C$73,3,FALSE()), VLOOKUP(A636,Internal_lists_bugs!$A$2:$C$73,3,FALSE())&amp;Char(10) &amp; Char(10) &amp; VLOOKUP(A636,Internal_lists_bugs!$A$2:$Z$73,26,FALSE())),"please select a BUG ID")</f>
        <v>please select a BUG ID</v>
      </c>
      <c r="C636" s="51" t="str">
        <f>IFERROR(__xludf.DUMMYFUNCTION("IFERROR(IF(REGEXMATCH(VLOOKUP(A636,Internal_lists_bugs!$A$2:$R$73,18,FALSE()), ""Yes""), VLOOKUP(A636,Internal_lists_bugs!$A$2:$U$73,21,FALSE()), VLOOKUP(A636,Internal_lists_bugs!$A$2:$R$73,18,FALSE())),""please select a BUG ID"")"),"please select a BUG ID")</f>
        <v>please select a BUG ID</v>
      </c>
      <c r="D636" s="54"/>
      <c r="F636" s="55"/>
      <c r="G636" s="56"/>
      <c r="H636" s="54"/>
      <c r="J636" s="55"/>
      <c r="K636" s="56"/>
    </row>
    <row r="637">
      <c r="A637" s="70"/>
      <c r="B637" s="71" t="str">
        <f>IFERROR(HYPERLINK(VLOOKUP(A637,Internal_lists_bugs!$A$2:$C$73,3,FALSE()), VLOOKUP(A637,Internal_lists_bugs!$A$2:$C$73,3,FALSE())&amp;Char(10) &amp; Char(10) &amp; VLOOKUP(A637,Internal_lists_bugs!$A$2:$Z$73,26,FALSE())),"please select a BUG ID")</f>
        <v>please select a BUG ID</v>
      </c>
      <c r="C637" s="51" t="str">
        <f>IFERROR(__xludf.DUMMYFUNCTION("IFERROR(IF(REGEXMATCH(VLOOKUP(A637,Internal_lists_bugs!$A$2:$R$73,18,FALSE()), ""Yes""), VLOOKUP(A637,Internal_lists_bugs!$A$2:$U$73,21,FALSE()), VLOOKUP(A637,Internal_lists_bugs!$A$2:$R$73,18,FALSE())),""please select a BUG ID"")"),"please select a BUG ID")</f>
        <v>please select a BUG ID</v>
      </c>
      <c r="D637" s="54"/>
      <c r="F637" s="55"/>
      <c r="G637" s="56"/>
      <c r="H637" s="54"/>
      <c r="J637" s="55"/>
      <c r="K637" s="56"/>
    </row>
    <row r="638">
      <c r="A638" s="70"/>
      <c r="B638" s="71" t="str">
        <f>IFERROR(HYPERLINK(VLOOKUP(A638,Internal_lists_bugs!$A$2:$C$73,3,FALSE()), VLOOKUP(A638,Internal_lists_bugs!$A$2:$C$73,3,FALSE())&amp;Char(10) &amp; Char(10) &amp; VLOOKUP(A638,Internal_lists_bugs!$A$2:$Z$73,26,FALSE())),"please select a BUG ID")</f>
        <v>please select a BUG ID</v>
      </c>
      <c r="C638" s="51" t="str">
        <f>IFERROR(__xludf.DUMMYFUNCTION("IFERROR(IF(REGEXMATCH(VLOOKUP(A638,Internal_lists_bugs!$A$2:$R$73,18,FALSE()), ""Yes""), VLOOKUP(A638,Internal_lists_bugs!$A$2:$U$73,21,FALSE()), VLOOKUP(A638,Internal_lists_bugs!$A$2:$R$73,18,FALSE())),""please select a BUG ID"")"),"please select a BUG ID")</f>
        <v>please select a BUG ID</v>
      </c>
      <c r="D638" s="54"/>
      <c r="F638" s="55"/>
      <c r="G638" s="56"/>
      <c r="H638" s="54"/>
      <c r="J638" s="55"/>
      <c r="K638" s="56"/>
    </row>
    <row r="639">
      <c r="A639" s="70"/>
      <c r="B639" s="71" t="str">
        <f>IFERROR(HYPERLINK(VLOOKUP(A639,Internal_lists_bugs!$A$2:$C$73,3,FALSE()), VLOOKUP(A639,Internal_lists_bugs!$A$2:$C$73,3,FALSE())&amp;Char(10) &amp; Char(10) &amp; VLOOKUP(A639,Internal_lists_bugs!$A$2:$Z$73,26,FALSE())),"please select a BUG ID")</f>
        <v>please select a BUG ID</v>
      </c>
      <c r="C639" s="51" t="str">
        <f>IFERROR(__xludf.DUMMYFUNCTION("IFERROR(IF(REGEXMATCH(VLOOKUP(A639,Internal_lists_bugs!$A$2:$R$73,18,FALSE()), ""Yes""), VLOOKUP(A639,Internal_lists_bugs!$A$2:$U$73,21,FALSE()), VLOOKUP(A639,Internal_lists_bugs!$A$2:$R$73,18,FALSE())),""please select a BUG ID"")"),"please select a BUG ID")</f>
        <v>please select a BUG ID</v>
      </c>
      <c r="D639" s="54"/>
      <c r="F639" s="55"/>
      <c r="G639" s="56"/>
      <c r="H639" s="54"/>
      <c r="J639" s="55"/>
      <c r="K639" s="56"/>
    </row>
    <row r="640">
      <c r="A640" s="70"/>
      <c r="B640" s="71" t="str">
        <f>IFERROR(HYPERLINK(VLOOKUP(A640,Internal_lists_bugs!$A$2:$C$73,3,FALSE()), VLOOKUP(A640,Internal_lists_bugs!$A$2:$C$73,3,FALSE())&amp;Char(10) &amp; Char(10) &amp; VLOOKUP(A640,Internal_lists_bugs!$A$2:$Z$73,26,FALSE())),"please select a BUG ID")</f>
        <v>please select a BUG ID</v>
      </c>
      <c r="C640" s="51" t="str">
        <f>IFERROR(__xludf.DUMMYFUNCTION("IFERROR(IF(REGEXMATCH(VLOOKUP(A640,Internal_lists_bugs!$A$2:$R$73,18,FALSE()), ""Yes""), VLOOKUP(A640,Internal_lists_bugs!$A$2:$U$73,21,FALSE()), VLOOKUP(A640,Internal_lists_bugs!$A$2:$R$73,18,FALSE())),""please select a BUG ID"")"),"please select a BUG ID")</f>
        <v>please select a BUG ID</v>
      </c>
      <c r="D640" s="54"/>
      <c r="F640" s="55"/>
      <c r="G640" s="56"/>
      <c r="H640" s="54"/>
      <c r="J640" s="55"/>
      <c r="K640" s="56"/>
    </row>
    <row r="641">
      <c r="A641" s="70"/>
      <c r="B641" s="71" t="str">
        <f>IFERROR(HYPERLINK(VLOOKUP(A641,Internal_lists_bugs!$A$2:$C$73,3,FALSE()), VLOOKUP(A641,Internal_lists_bugs!$A$2:$C$73,3,FALSE())&amp;Char(10) &amp; Char(10) &amp; VLOOKUP(A641,Internal_lists_bugs!$A$2:$Z$73,26,FALSE())),"please select a BUG ID")</f>
        <v>please select a BUG ID</v>
      </c>
      <c r="C641" s="51" t="str">
        <f>IFERROR(__xludf.DUMMYFUNCTION("IFERROR(IF(REGEXMATCH(VLOOKUP(A641,Internal_lists_bugs!$A$2:$R$73,18,FALSE()), ""Yes""), VLOOKUP(A641,Internal_lists_bugs!$A$2:$U$73,21,FALSE()), VLOOKUP(A641,Internal_lists_bugs!$A$2:$R$73,18,FALSE())),""please select a BUG ID"")"),"please select a BUG ID")</f>
        <v>please select a BUG ID</v>
      </c>
      <c r="D641" s="54"/>
      <c r="F641" s="55"/>
      <c r="G641" s="56"/>
      <c r="H641" s="54"/>
      <c r="J641" s="55"/>
      <c r="K641" s="56"/>
    </row>
    <row r="642">
      <c r="A642" s="70"/>
      <c r="B642" s="71" t="str">
        <f>IFERROR(HYPERLINK(VLOOKUP(A642,Internal_lists_bugs!$A$2:$C$73,3,FALSE()), VLOOKUP(A642,Internal_lists_bugs!$A$2:$C$73,3,FALSE())&amp;Char(10) &amp; Char(10) &amp; VLOOKUP(A642,Internal_lists_bugs!$A$2:$Z$73,26,FALSE())),"please select a BUG ID")</f>
        <v>please select a BUG ID</v>
      </c>
      <c r="C642" s="51" t="str">
        <f>IFERROR(__xludf.DUMMYFUNCTION("IFERROR(IF(REGEXMATCH(VLOOKUP(A642,Internal_lists_bugs!$A$2:$R$73,18,FALSE()), ""Yes""), VLOOKUP(A642,Internal_lists_bugs!$A$2:$U$73,21,FALSE()), VLOOKUP(A642,Internal_lists_bugs!$A$2:$R$73,18,FALSE())),""please select a BUG ID"")"),"please select a BUG ID")</f>
        <v>please select a BUG ID</v>
      </c>
      <c r="D642" s="54"/>
      <c r="F642" s="55"/>
      <c r="G642" s="56"/>
      <c r="H642" s="54"/>
      <c r="J642" s="55"/>
      <c r="K642" s="56"/>
    </row>
    <row r="643">
      <c r="A643" s="70"/>
      <c r="B643" s="71" t="str">
        <f>IFERROR(HYPERLINK(VLOOKUP(A643,Internal_lists_bugs!$A$2:$C$73,3,FALSE()), VLOOKUP(A643,Internal_lists_bugs!$A$2:$C$73,3,FALSE())&amp;Char(10) &amp; Char(10) &amp; VLOOKUP(A643,Internal_lists_bugs!$A$2:$Z$73,26,FALSE())),"please select a BUG ID")</f>
        <v>please select a BUG ID</v>
      </c>
      <c r="C643" s="51" t="str">
        <f>IFERROR(__xludf.DUMMYFUNCTION("IFERROR(IF(REGEXMATCH(VLOOKUP(A643,Internal_lists_bugs!$A$2:$R$73,18,FALSE()), ""Yes""), VLOOKUP(A643,Internal_lists_bugs!$A$2:$U$73,21,FALSE()), VLOOKUP(A643,Internal_lists_bugs!$A$2:$R$73,18,FALSE())),""please select a BUG ID"")"),"please select a BUG ID")</f>
        <v>please select a BUG ID</v>
      </c>
      <c r="D643" s="54"/>
      <c r="F643" s="55"/>
      <c r="G643" s="56"/>
      <c r="H643" s="54"/>
      <c r="J643" s="55"/>
      <c r="K643" s="56"/>
    </row>
    <row r="644">
      <c r="A644" s="70"/>
      <c r="B644" s="71" t="str">
        <f>IFERROR(HYPERLINK(VLOOKUP(A644,Internal_lists_bugs!$A$2:$C$73,3,FALSE()), VLOOKUP(A644,Internal_lists_bugs!$A$2:$C$73,3,FALSE())&amp;Char(10) &amp; Char(10) &amp; VLOOKUP(A644,Internal_lists_bugs!$A$2:$Z$73,26,FALSE())),"please select a BUG ID")</f>
        <v>please select a BUG ID</v>
      </c>
      <c r="C644" s="51" t="str">
        <f>IFERROR(__xludf.DUMMYFUNCTION("IFERROR(IF(REGEXMATCH(VLOOKUP(A644,Internal_lists_bugs!$A$2:$R$73,18,FALSE()), ""Yes""), VLOOKUP(A644,Internal_lists_bugs!$A$2:$U$73,21,FALSE()), VLOOKUP(A644,Internal_lists_bugs!$A$2:$R$73,18,FALSE())),""please select a BUG ID"")"),"please select a BUG ID")</f>
        <v>please select a BUG ID</v>
      </c>
      <c r="D644" s="54"/>
      <c r="F644" s="55"/>
      <c r="G644" s="56"/>
      <c r="H644" s="54"/>
      <c r="J644" s="55"/>
      <c r="K644" s="56"/>
    </row>
    <row r="645">
      <c r="A645" s="70"/>
      <c r="B645" s="71" t="str">
        <f>IFERROR(HYPERLINK(VLOOKUP(A645,Internal_lists_bugs!$A$2:$C$73,3,FALSE()), VLOOKUP(A645,Internal_lists_bugs!$A$2:$C$73,3,FALSE())&amp;Char(10) &amp; Char(10) &amp; VLOOKUP(A645,Internal_lists_bugs!$A$2:$Z$73,26,FALSE())),"please select a BUG ID")</f>
        <v>please select a BUG ID</v>
      </c>
      <c r="C645" s="51" t="str">
        <f>IFERROR(__xludf.DUMMYFUNCTION("IFERROR(IF(REGEXMATCH(VLOOKUP(A645,Internal_lists_bugs!$A$2:$R$73,18,FALSE()), ""Yes""), VLOOKUP(A645,Internal_lists_bugs!$A$2:$U$73,21,FALSE()), VLOOKUP(A645,Internal_lists_bugs!$A$2:$R$73,18,FALSE())),""please select a BUG ID"")"),"please select a BUG ID")</f>
        <v>please select a BUG ID</v>
      </c>
      <c r="D645" s="54"/>
      <c r="F645" s="55"/>
      <c r="G645" s="56"/>
      <c r="H645" s="54"/>
      <c r="J645" s="55"/>
      <c r="K645" s="56"/>
    </row>
    <row r="646">
      <c r="A646" s="70"/>
      <c r="B646" s="71" t="str">
        <f>IFERROR(HYPERLINK(VLOOKUP(A646,Internal_lists_bugs!$A$2:$C$73,3,FALSE()), VLOOKUP(A646,Internal_lists_bugs!$A$2:$C$73,3,FALSE())&amp;Char(10) &amp; Char(10) &amp; VLOOKUP(A646,Internal_lists_bugs!$A$2:$Z$73,26,FALSE())),"please select a BUG ID")</f>
        <v>please select a BUG ID</v>
      </c>
      <c r="C646" s="51" t="str">
        <f>IFERROR(__xludf.DUMMYFUNCTION("IFERROR(IF(REGEXMATCH(VLOOKUP(A646,Internal_lists_bugs!$A$2:$R$73,18,FALSE()), ""Yes""), VLOOKUP(A646,Internal_lists_bugs!$A$2:$U$73,21,FALSE()), VLOOKUP(A646,Internal_lists_bugs!$A$2:$R$73,18,FALSE())),""please select a BUG ID"")"),"please select a BUG ID")</f>
        <v>please select a BUG ID</v>
      </c>
      <c r="D646" s="54"/>
      <c r="F646" s="55"/>
      <c r="G646" s="56"/>
      <c r="H646" s="54"/>
      <c r="J646" s="55"/>
      <c r="K646" s="56"/>
    </row>
    <row r="647">
      <c r="A647" s="70"/>
      <c r="B647" s="71" t="str">
        <f>IFERROR(HYPERLINK(VLOOKUP(A647,Internal_lists_bugs!$A$2:$C$73,3,FALSE()), VLOOKUP(A647,Internal_lists_bugs!$A$2:$C$73,3,FALSE())&amp;Char(10) &amp; Char(10) &amp; VLOOKUP(A647,Internal_lists_bugs!$A$2:$Z$73,26,FALSE())),"please select a BUG ID")</f>
        <v>please select a BUG ID</v>
      </c>
      <c r="C647" s="51" t="str">
        <f>IFERROR(__xludf.DUMMYFUNCTION("IFERROR(IF(REGEXMATCH(VLOOKUP(A647,Internal_lists_bugs!$A$2:$R$73,18,FALSE()), ""Yes""), VLOOKUP(A647,Internal_lists_bugs!$A$2:$U$73,21,FALSE()), VLOOKUP(A647,Internal_lists_bugs!$A$2:$R$73,18,FALSE())),""please select a BUG ID"")"),"please select a BUG ID")</f>
        <v>please select a BUG ID</v>
      </c>
      <c r="D647" s="54"/>
      <c r="F647" s="55"/>
      <c r="G647" s="56"/>
      <c r="H647" s="54"/>
      <c r="J647" s="55"/>
      <c r="K647" s="56"/>
    </row>
    <row r="648">
      <c r="A648" s="70"/>
      <c r="B648" s="71" t="str">
        <f>IFERROR(HYPERLINK(VLOOKUP(A648,Internal_lists_bugs!$A$2:$C$73,3,FALSE()), VLOOKUP(A648,Internal_lists_bugs!$A$2:$C$73,3,FALSE())&amp;Char(10) &amp; Char(10) &amp; VLOOKUP(A648,Internal_lists_bugs!$A$2:$Z$73,26,FALSE())),"please select a BUG ID")</f>
        <v>please select a BUG ID</v>
      </c>
      <c r="C648" s="51" t="str">
        <f>IFERROR(__xludf.DUMMYFUNCTION("IFERROR(IF(REGEXMATCH(VLOOKUP(A648,Internal_lists_bugs!$A$2:$R$73,18,FALSE()), ""Yes""), VLOOKUP(A648,Internal_lists_bugs!$A$2:$U$73,21,FALSE()), VLOOKUP(A648,Internal_lists_bugs!$A$2:$R$73,18,FALSE())),""please select a BUG ID"")"),"please select a BUG ID")</f>
        <v>please select a BUG ID</v>
      </c>
      <c r="D648" s="54"/>
      <c r="F648" s="55"/>
      <c r="G648" s="56"/>
      <c r="H648" s="54"/>
      <c r="J648" s="55"/>
      <c r="K648" s="56"/>
    </row>
    <row r="649">
      <c r="A649" s="70"/>
      <c r="B649" s="71" t="str">
        <f>IFERROR(HYPERLINK(VLOOKUP(A649,Internal_lists_bugs!$A$2:$C$73,3,FALSE()), VLOOKUP(A649,Internal_lists_bugs!$A$2:$C$73,3,FALSE())&amp;Char(10) &amp; Char(10) &amp; VLOOKUP(A649,Internal_lists_bugs!$A$2:$Z$73,26,FALSE())),"please select a BUG ID")</f>
        <v>please select a BUG ID</v>
      </c>
      <c r="C649" s="51" t="str">
        <f>IFERROR(__xludf.DUMMYFUNCTION("IFERROR(IF(REGEXMATCH(VLOOKUP(A649,Internal_lists_bugs!$A$2:$R$73,18,FALSE()), ""Yes""), VLOOKUP(A649,Internal_lists_bugs!$A$2:$U$73,21,FALSE()), VLOOKUP(A649,Internal_lists_bugs!$A$2:$R$73,18,FALSE())),""please select a BUG ID"")"),"please select a BUG ID")</f>
        <v>please select a BUG ID</v>
      </c>
      <c r="D649" s="54"/>
      <c r="F649" s="55"/>
      <c r="G649" s="56"/>
      <c r="H649" s="54"/>
      <c r="J649" s="55"/>
      <c r="K649" s="56"/>
    </row>
    <row r="650">
      <c r="A650" s="70"/>
      <c r="B650" s="71" t="str">
        <f>IFERROR(HYPERLINK(VLOOKUP(A650,Internal_lists_bugs!$A$2:$C$73,3,FALSE()), VLOOKUP(A650,Internal_lists_bugs!$A$2:$C$73,3,FALSE())&amp;Char(10) &amp; Char(10) &amp; VLOOKUP(A650,Internal_lists_bugs!$A$2:$Z$73,26,FALSE())),"please select a BUG ID")</f>
        <v>please select a BUG ID</v>
      </c>
      <c r="C650" s="51" t="str">
        <f>IFERROR(__xludf.DUMMYFUNCTION("IFERROR(IF(REGEXMATCH(VLOOKUP(A650,Internal_lists_bugs!$A$2:$R$73,18,FALSE()), ""Yes""), VLOOKUP(A650,Internal_lists_bugs!$A$2:$U$73,21,FALSE()), VLOOKUP(A650,Internal_lists_bugs!$A$2:$R$73,18,FALSE())),""please select a BUG ID"")"),"please select a BUG ID")</f>
        <v>please select a BUG ID</v>
      </c>
      <c r="D650" s="54"/>
      <c r="F650" s="55"/>
      <c r="G650" s="56"/>
      <c r="H650" s="54"/>
      <c r="J650" s="55"/>
      <c r="K650" s="56"/>
    </row>
    <row r="651">
      <c r="A651" s="70"/>
      <c r="B651" s="71" t="str">
        <f>IFERROR(HYPERLINK(VLOOKUP(A651,Internal_lists_bugs!$A$2:$C$73,3,FALSE()), VLOOKUP(A651,Internal_lists_bugs!$A$2:$C$73,3,FALSE())&amp;Char(10) &amp; Char(10) &amp; VLOOKUP(A651,Internal_lists_bugs!$A$2:$Z$73,26,FALSE())),"please select a BUG ID")</f>
        <v>please select a BUG ID</v>
      </c>
      <c r="C651" s="51" t="str">
        <f>IFERROR(__xludf.DUMMYFUNCTION("IFERROR(IF(REGEXMATCH(VLOOKUP(A651,Internal_lists_bugs!$A$2:$R$73,18,FALSE()), ""Yes""), VLOOKUP(A651,Internal_lists_bugs!$A$2:$U$73,21,FALSE()), VLOOKUP(A651,Internal_lists_bugs!$A$2:$R$73,18,FALSE())),""please select a BUG ID"")"),"please select a BUG ID")</f>
        <v>please select a BUG ID</v>
      </c>
      <c r="D651" s="54"/>
      <c r="F651" s="55"/>
      <c r="G651" s="56"/>
      <c r="H651" s="54"/>
      <c r="J651" s="55"/>
      <c r="K651" s="56"/>
    </row>
    <row r="652">
      <c r="A652" s="70"/>
      <c r="B652" s="71" t="str">
        <f>IFERROR(HYPERLINK(VLOOKUP(A652,Internal_lists_bugs!$A$2:$C$73,3,FALSE()), VLOOKUP(A652,Internal_lists_bugs!$A$2:$C$73,3,FALSE())&amp;Char(10) &amp; Char(10) &amp; VLOOKUP(A652,Internal_lists_bugs!$A$2:$Z$73,26,FALSE())),"please select a BUG ID")</f>
        <v>please select a BUG ID</v>
      </c>
      <c r="C652" s="51" t="str">
        <f>IFERROR(__xludf.DUMMYFUNCTION("IFERROR(IF(REGEXMATCH(VLOOKUP(A652,Internal_lists_bugs!$A$2:$R$73,18,FALSE()), ""Yes""), VLOOKUP(A652,Internal_lists_bugs!$A$2:$U$73,21,FALSE()), VLOOKUP(A652,Internal_lists_bugs!$A$2:$R$73,18,FALSE())),""please select a BUG ID"")"),"please select a BUG ID")</f>
        <v>please select a BUG ID</v>
      </c>
      <c r="D652" s="54"/>
      <c r="F652" s="55"/>
      <c r="G652" s="56"/>
      <c r="H652" s="54"/>
      <c r="J652" s="55"/>
      <c r="K652" s="56"/>
    </row>
    <row r="653">
      <c r="A653" s="70"/>
      <c r="B653" s="71" t="str">
        <f>IFERROR(HYPERLINK(VLOOKUP(A653,Internal_lists_bugs!$A$2:$C$73,3,FALSE()), VLOOKUP(A653,Internal_lists_bugs!$A$2:$C$73,3,FALSE())&amp;Char(10) &amp; Char(10) &amp; VLOOKUP(A653,Internal_lists_bugs!$A$2:$Z$73,26,FALSE())),"please select a BUG ID")</f>
        <v>please select a BUG ID</v>
      </c>
      <c r="C653" s="51" t="str">
        <f>IFERROR(__xludf.DUMMYFUNCTION("IFERROR(IF(REGEXMATCH(VLOOKUP(A653,Internal_lists_bugs!$A$2:$R$73,18,FALSE()), ""Yes""), VLOOKUP(A653,Internal_lists_bugs!$A$2:$U$73,21,FALSE()), VLOOKUP(A653,Internal_lists_bugs!$A$2:$R$73,18,FALSE())),""please select a BUG ID"")"),"please select a BUG ID")</f>
        <v>please select a BUG ID</v>
      </c>
      <c r="D653" s="54"/>
      <c r="F653" s="55"/>
      <c r="G653" s="56"/>
      <c r="H653" s="54"/>
      <c r="J653" s="55"/>
      <c r="K653" s="56"/>
    </row>
    <row r="654">
      <c r="A654" s="70"/>
      <c r="B654" s="71" t="str">
        <f>IFERROR(HYPERLINK(VLOOKUP(A654,Internal_lists_bugs!$A$2:$C$73,3,FALSE()), VLOOKUP(A654,Internal_lists_bugs!$A$2:$C$73,3,FALSE())&amp;Char(10) &amp; Char(10) &amp; VLOOKUP(A654,Internal_lists_bugs!$A$2:$Z$73,26,FALSE())),"please select a BUG ID")</f>
        <v>please select a BUG ID</v>
      </c>
      <c r="C654" s="51" t="str">
        <f>IFERROR(__xludf.DUMMYFUNCTION("IFERROR(IF(REGEXMATCH(VLOOKUP(A654,Internal_lists_bugs!$A$2:$R$73,18,FALSE()), ""Yes""), VLOOKUP(A654,Internal_lists_bugs!$A$2:$U$73,21,FALSE()), VLOOKUP(A654,Internal_lists_bugs!$A$2:$R$73,18,FALSE())),""please select a BUG ID"")"),"please select a BUG ID")</f>
        <v>please select a BUG ID</v>
      </c>
      <c r="D654" s="54"/>
      <c r="F654" s="55"/>
      <c r="G654" s="56"/>
      <c r="H654" s="54"/>
      <c r="J654" s="55"/>
      <c r="K654" s="56"/>
    </row>
    <row r="655">
      <c r="A655" s="70"/>
      <c r="B655" s="71" t="str">
        <f>IFERROR(HYPERLINK(VLOOKUP(A655,Internal_lists_bugs!$A$2:$C$73,3,FALSE()), VLOOKUP(A655,Internal_lists_bugs!$A$2:$C$73,3,FALSE())&amp;Char(10) &amp; Char(10) &amp; VLOOKUP(A655,Internal_lists_bugs!$A$2:$Z$73,26,FALSE())),"please select a BUG ID")</f>
        <v>please select a BUG ID</v>
      </c>
      <c r="C655" s="51" t="str">
        <f>IFERROR(__xludf.DUMMYFUNCTION("IFERROR(IF(REGEXMATCH(VLOOKUP(A655,Internal_lists_bugs!$A$2:$R$73,18,FALSE()), ""Yes""), VLOOKUP(A655,Internal_lists_bugs!$A$2:$U$73,21,FALSE()), VLOOKUP(A655,Internal_lists_bugs!$A$2:$R$73,18,FALSE())),""please select a BUG ID"")"),"please select a BUG ID")</f>
        <v>please select a BUG ID</v>
      </c>
      <c r="D655" s="54"/>
      <c r="F655" s="55"/>
      <c r="G655" s="56"/>
      <c r="H655" s="54"/>
      <c r="J655" s="55"/>
      <c r="K655" s="56"/>
    </row>
    <row r="656">
      <c r="A656" s="70"/>
      <c r="B656" s="71" t="str">
        <f>IFERROR(HYPERLINK(VLOOKUP(A656,Internal_lists_bugs!$A$2:$C$73,3,FALSE()), VLOOKUP(A656,Internal_lists_bugs!$A$2:$C$73,3,FALSE())&amp;Char(10) &amp; Char(10) &amp; VLOOKUP(A656,Internal_lists_bugs!$A$2:$Z$73,26,FALSE())),"please select a BUG ID")</f>
        <v>please select a BUG ID</v>
      </c>
      <c r="C656" s="51" t="str">
        <f>IFERROR(__xludf.DUMMYFUNCTION("IFERROR(IF(REGEXMATCH(VLOOKUP(A656,Internal_lists_bugs!$A$2:$R$73,18,FALSE()), ""Yes""), VLOOKUP(A656,Internal_lists_bugs!$A$2:$U$73,21,FALSE()), VLOOKUP(A656,Internal_lists_bugs!$A$2:$R$73,18,FALSE())),""please select a BUG ID"")"),"please select a BUG ID")</f>
        <v>please select a BUG ID</v>
      </c>
      <c r="D656" s="54"/>
      <c r="F656" s="55"/>
      <c r="G656" s="56"/>
      <c r="H656" s="54"/>
      <c r="J656" s="55"/>
      <c r="K656" s="56"/>
    </row>
    <row r="657">
      <c r="A657" s="70"/>
      <c r="B657" s="71" t="str">
        <f>IFERROR(HYPERLINK(VLOOKUP(A657,Internal_lists_bugs!$A$2:$C$73,3,FALSE()), VLOOKUP(A657,Internal_lists_bugs!$A$2:$C$73,3,FALSE())&amp;Char(10) &amp; Char(10) &amp; VLOOKUP(A657,Internal_lists_bugs!$A$2:$Z$73,26,FALSE())),"please select a BUG ID")</f>
        <v>please select a BUG ID</v>
      </c>
      <c r="C657" s="51" t="str">
        <f>IFERROR(__xludf.DUMMYFUNCTION("IFERROR(IF(REGEXMATCH(VLOOKUP(A657,Internal_lists_bugs!$A$2:$R$73,18,FALSE()), ""Yes""), VLOOKUP(A657,Internal_lists_bugs!$A$2:$U$73,21,FALSE()), VLOOKUP(A657,Internal_lists_bugs!$A$2:$R$73,18,FALSE())),""please select a BUG ID"")"),"please select a BUG ID")</f>
        <v>please select a BUG ID</v>
      </c>
      <c r="D657" s="54"/>
      <c r="F657" s="55"/>
      <c r="G657" s="56"/>
      <c r="H657" s="54"/>
      <c r="J657" s="55"/>
      <c r="K657" s="56"/>
    </row>
    <row r="658">
      <c r="A658" s="70"/>
      <c r="B658" s="71" t="str">
        <f>IFERROR(HYPERLINK(VLOOKUP(A658,Internal_lists_bugs!$A$2:$C$73,3,FALSE()), VLOOKUP(A658,Internal_lists_bugs!$A$2:$C$73,3,FALSE())&amp;Char(10) &amp; Char(10) &amp; VLOOKUP(A658,Internal_lists_bugs!$A$2:$Z$73,26,FALSE())),"please select a BUG ID")</f>
        <v>please select a BUG ID</v>
      </c>
      <c r="C658" s="51" t="str">
        <f>IFERROR(__xludf.DUMMYFUNCTION("IFERROR(IF(REGEXMATCH(VLOOKUP(A658,Internal_lists_bugs!$A$2:$R$73,18,FALSE()), ""Yes""), VLOOKUP(A658,Internal_lists_bugs!$A$2:$U$73,21,FALSE()), VLOOKUP(A658,Internal_lists_bugs!$A$2:$R$73,18,FALSE())),""please select a BUG ID"")"),"please select a BUG ID")</f>
        <v>please select a BUG ID</v>
      </c>
      <c r="D658" s="54"/>
      <c r="F658" s="55"/>
      <c r="G658" s="56"/>
      <c r="H658" s="54"/>
      <c r="J658" s="55"/>
      <c r="K658" s="56"/>
    </row>
    <row r="659">
      <c r="A659" s="70"/>
      <c r="B659" s="71" t="str">
        <f>IFERROR(HYPERLINK(VLOOKUP(A659,Internal_lists_bugs!$A$2:$C$73,3,FALSE()), VLOOKUP(A659,Internal_lists_bugs!$A$2:$C$73,3,FALSE())&amp;Char(10) &amp; Char(10) &amp; VLOOKUP(A659,Internal_lists_bugs!$A$2:$Z$73,26,FALSE())),"please select a BUG ID")</f>
        <v>please select a BUG ID</v>
      </c>
      <c r="C659" s="51" t="str">
        <f>IFERROR(__xludf.DUMMYFUNCTION("IFERROR(IF(REGEXMATCH(VLOOKUP(A659,Internal_lists_bugs!$A$2:$R$73,18,FALSE()), ""Yes""), VLOOKUP(A659,Internal_lists_bugs!$A$2:$U$73,21,FALSE()), VLOOKUP(A659,Internal_lists_bugs!$A$2:$R$73,18,FALSE())),""please select a BUG ID"")"),"please select a BUG ID")</f>
        <v>please select a BUG ID</v>
      </c>
      <c r="D659" s="54"/>
      <c r="F659" s="55"/>
      <c r="G659" s="56"/>
      <c r="H659" s="54"/>
      <c r="J659" s="55"/>
      <c r="K659" s="56"/>
    </row>
    <row r="660">
      <c r="A660" s="70"/>
      <c r="B660" s="71" t="str">
        <f>IFERROR(HYPERLINK(VLOOKUP(A660,Internal_lists_bugs!$A$2:$C$73,3,FALSE()), VLOOKUP(A660,Internal_lists_bugs!$A$2:$C$73,3,FALSE())&amp;Char(10) &amp; Char(10) &amp; VLOOKUP(A660,Internal_lists_bugs!$A$2:$Z$73,26,FALSE())),"please select a BUG ID")</f>
        <v>please select a BUG ID</v>
      </c>
      <c r="C660" s="51" t="str">
        <f>IFERROR(__xludf.DUMMYFUNCTION("IFERROR(IF(REGEXMATCH(VLOOKUP(A660,Internal_lists_bugs!$A$2:$R$73,18,FALSE()), ""Yes""), VLOOKUP(A660,Internal_lists_bugs!$A$2:$U$73,21,FALSE()), VLOOKUP(A660,Internal_lists_bugs!$A$2:$R$73,18,FALSE())),""please select a BUG ID"")"),"please select a BUG ID")</f>
        <v>please select a BUG ID</v>
      </c>
      <c r="D660" s="54"/>
      <c r="F660" s="55"/>
      <c r="G660" s="56"/>
      <c r="H660" s="54"/>
      <c r="J660" s="55"/>
      <c r="K660" s="56"/>
    </row>
    <row r="661">
      <c r="A661" s="70"/>
      <c r="B661" s="71" t="str">
        <f>IFERROR(HYPERLINK(VLOOKUP(A661,Internal_lists_bugs!$A$2:$C$73,3,FALSE()), VLOOKUP(A661,Internal_lists_bugs!$A$2:$C$73,3,FALSE())&amp;Char(10) &amp; Char(10) &amp; VLOOKUP(A661,Internal_lists_bugs!$A$2:$Z$73,26,FALSE())),"please select a BUG ID")</f>
        <v>please select a BUG ID</v>
      </c>
      <c r="C661" s="51" t="str">
        <f>IFERROR(__xludf.DUMMYFUNCTION("IFERROR(IF(REGEXMATCH(VLOOKUP(A661,Internal_lists_bugs!$A$2:$R$73,18,FALSE()), ""Yes""), VLOOKUP(A661,Internal_lists_bugs!$A$2:$U$73,21,FALSE()), VLOOKUP(A661,Internal_lists_bugs!$A$2:$R$73,18,FALSE())),""please select a BUG ID"")"),"please select a BUG ID")</f>
        <v>please select a BUG ID</v>
      </c>
      <c r="D661" s="54"/>
      <c r="F661" s="55"/>
      <c r="G661" s="56"/>
      <c r="H661" s="54"/>
      <c r="J661" s="55"/>
      <c r="K661" s="56"/>
    </row>
    <row r="662">
      <c r="A662" s="70"/>
      <c r="B662" s="71" t="str">
        <f>IFERROR(HYPERLINK(VLOOKUP(A662,Internal_lists_bugs!$A$2:$C$73,3,FALSE()), VLOOKUP(A662,Internal_lists_bugs!$A$2:$C$73,3,FALSE())&amp;Char(10) &amp; Char(10) &amp; VLOOKUP(A662,Internal_lists_bugs!$A$2:$Z$73,26,FALSE())),"please select a BUG ID")</f>
        <v>please select a BUG ID</v>
      </c>
      <c r="C662" s="51" t="str">
        <f>IFERROR(__xludf.DUMMYFUNCTION("IFERROR(IF(REGEXMATCH(VLOOKUP(A662,Internal_lists_bugs!$A$2:$R$73,18,FALSE()), ""Yes""), VLOOKUP(A662,Internal_lists_bugs!$A$2:$U$73,21,FALSE()), VLOOKUP(A662,Internal_lists_bugs!$A$2:$R$73,18,FALSE())),""please select a BUG ID"")"),"please select a BUG ID")</f>
        <v>please select a BUG ID</v>
      </c>
      <c r="D662" s="54"/>
      <c r="F662" s="55"/>
      <c r="G662" s="56"/>
      <c r="H662" s="54"/>
      <c r="J662" s="55"/>
      <c r="K662" s="56"/>
    </row>
    <row r="663">
      <c r="A663" s="70"/>
      <c r="B663" s="71" t="str">
        <f>IFERROR(HYPERLINK(VLOOKUP(A663,Internal_lists_bugs!$A$2:$C$73,3,FALSE()), VLOOKUP(A663,Internal_lists_bugs!$A$2:$C$73,3,FALSE())&amp;Char(10) &amp; Char(10) &amp; VLOOKUP(A663,Internal_lists_bugs!$A$2:$Z$73,26,FALSE())),"please select a BUG ID")</f>
        <v>please select a BUG ID</v>
      </c>
      <c r="C663" s="51" t="str">
        <f>IFERROR(__xludf.DUMMYFUNCTION("IFERROR(IF(REGEXMATCH(VLOOKUP(A663,Internal_lists_bugs!$A$2:$R$73,18,FALSE()), ""Yes""), VLOOKUP(A663,Internal_lists_bugs!$A$2:$U$73,21,FALSE()), VLOOKUP(A663,Internal_lists_bugs!$A$2:$R$73,18,FALSE())),""please select a BUG ID"")"),"please select a BUG ID")</f>
        <v>please select a BUG ID</v>
      </c>
      <c r="D663" s="54"/>
      <c r="F663" s="55"/>
      <c r="G663" s="56"/>
      <c r="H663" s="54"/>
      <c r="J663" s="55"/>
      <c r="K663" s="56"/>
    </row>
    <row r="664">
      <c r="A664" s="70"/>
      <c r="B664" s="71" t="str">
        <f>IFERROR(HYPERLINK(VLOOKUP(A664,Internal_lists_bugs!$A$2:$C$73,3,FALSE()), VLOOKUP(A664,Internal_lists_bugs!$A$2:$C$73,3,FALSE())&amp;Char(10) &amp; Char(10) &amp; VLOOKUP(A664,Internal_lists_bugs!$A$2:$Z$73,26,FALSE())),"please select a BUG ID")</f>
        <v>please select a BUG ID</v>
      </c>
      <c r="C664" s="51" t="str">
        <f>IFERROR(__xludf.DUMMYFUNCTION("IFERROR(IF(REGEXMATCH(VLOOKUP(A664,Internal_lists_bugs!$A$2:$R$73,18,FALSE()), ""Yes""), VLOOKUP(A664,Internal_lists_bugs!$A$2:$U$73,21,FALSE()), VLOOKUP(A664,Internal_lists_bugs!$A$2:$R$73,18,FALSE())),""please select a BUG ID"")"),"please select a BUG ID")</f>
        <v>please select a BUG ID</v>
      </c>
      <c r="D664" s="54"/>
      <c r="F664" s="55"/>
      <c r="G664" s="56"/>
      <c r="H664" s="54"/>
      <c r="J664" s="55"/>
      <c r="K664" s="56"/>
    </row>
    <row r="665">
      <c r="A665" s="70"/>
      <c r="B665" s="71" t="str">
        <f>IFERROR(HYPERLINK(VLOOKUP(A665,Internal_lists_bugs!$A$2:$C$73,3,FALSE()), VLOOKUP(A665,Internal_lists_bugs!$A$2:$C$73,3,FALSE())&amp;Char(10) &amp; Char(10) &amp; VLOOKUP(A665,Internal_lists_bugs!$A$2:$Z$73,26,FALSE())),"please select a BUG ID")</f>
        <v>please select a BUG ID</v>
      </c>
      <c r="C665" s="51" t="str">
        <f>IFERROR(__xludf.DUMMYFUNCTION("IFERROR(IF(REGEXMATCH(VLOOKUP(A665,Internal_lists_bugs!$A$2:$R$73,18,FALSE()), ""Yes""), VLOOKUP(A665,Internal_lists_bugs!$A$2:$U$73,21,FALSE()), VLOOKUP(A665,Internal_lists_bugs!$A$2:$R$73,18,FALSE())),""please select a BUG ID"")"),"please select a BUG ID")</f>
        <v>please select a BUG ID</v>
      </c>
      <c r="D665" s="54"/>
      <c r="F665" s="55"/>
      <c r="G665" s="56"/>
      <c r="H665" s="54"/>
      <c r="J665" s="55"/>
      <c r="K665" s="56"/>
    </row>
    <row r="666">
      <c r="A666" s="70"/>
      <c r="B666" s="71" t="str">
        <f>IFERROR(HYPERLINK(VLOOKUP(A666,Internal_lists_bugs!$A$2:$C$73,3,FALSE()), VLOOKUP(A666,Internal_lists_bugs!$A$2:$C$73,3,FALSE())&amp;Char(10) &amp; Char(10) &amp; VLOOKUP(A666,Internal_lists_bugs!$A$2:$Z$73,26,FALSE())),"please select a BUG ID")</f>
        <v>please select a BUG ID</v>
      </c>
      <c r="C666" s="51" t="str">
        <f>IFERROR(__xludf.DUMMYFUNCTION("IFERROR(IF(REGEXMATCH(VLOOKUP(A666,Internal_lists_bugs!$A$2:$R$73,18,FALSE()), ""Yes""), VLOOKUP(A666,Internal_lists_bugs!$A$2:$U$73,21,FALSE()), VLOOKUP(A666,Internal_lists_bugs!$A$2:$R$73,18,FALSE())),""please select a BUG ID"")"),"please select a BUG ID")</f>
        <v>please select a BUG ID</v>
      </c>
      <c r="D666" s="54"/>
      <c r="F666" s="55"/>
      <c r="G666" s="56"/>
      <c r="H666" s="54"/>
      <c r="J666" s="55"/>
      <c r="K666" s="56"/>
    </row>
    <row r="667">
      <c r="A667" s="70"/>
      <c r="B667" s="71" t="str">
        <f>IFERROR(HYPERLINK(VLOOKUP(A667,Internal_lists_bugs!$A$2:$C$73,3,FALSE()), VLOOKUP(A667,Internal_lists_bugs!$A$2:$C$73,3,FALSE())&amp;Char(10) &amp; Char(10) &amp; VLOOKUP(A667,Internal_lists_bugs!$A$2:$Z$73,26,FALSE())),"please select a BUG ID")</f>
        <v>please select a BUG ID</v>
      </c>
      <c r="C667" s="51" t="str">
        <f>IFERROR(__xludf.DUMMYFUNCTION("IFERROR(IF(REGEXMATCH(VLOOKUP(A667,Internal_lists_bugs!$A$2:$R$73,18,FALSE()), ""Yes""), VLOOKUP(A667,Internal_lists_bugs!$A$2:$U$73,21,FALSE()), VLOOKUP(A667,Internal_lists_bugs!$A$2:$R$73,18,FALSE())),""please select a BUG ID"")"),"please select a BUG ID")</f>
        <v>please select a BUG ID</v>
      </c>
      <c r="D667" s="54"/>
      <c r="F667" s="55"/>
      <c r="G667" s="56"/>
      <c r="H667" s="54"/>
      <c r="J667" s="55"/>
      <c r="K667" s="56"/>
    </row>
    <row r="668">
      <c r="A668" s="70"/>
      <c r="B668" s="71" t="str">
        <f>IFERROR(HYPERLINK(VLOOKUP(A668,Internal_lists_bugs!$A$2:$C$73,3,FALSE()), VLOOKUP(A668,Internal_lists_bugs!$A$2:$C$73,3,FALSE())&amp;Char(10) &amp; Char(10) &amp; VLOOKUP(A668,Internal_lists_bugs!$A$2:$Z$73,26,FALSE())),"please select a BUG ID")</f>
        <v>please select a BUG ID</v>
      </c>
      <c r="C668" s="51" t="str">
        <f>IFERROR(__xludf.DUMMYFUNCTION("IFERROR(IF(REGEXMATCH(VLOOKUP(A668,Internal_lists_bugs!$A$2:$R$73,18,FALSE()), ""Yes""), VLOOKUP(A668,Internal_lists_bugs!$A$2:$U$73,21,FALSE()), VLOOKUP(A668,Internal_lists_bugs!$A$2:$R$73,18,FALSE())),""please select a BUG ID"")"),"please select a BUG ID")</f>
        <v>please select a BUG ID</v>
      </c>
      <c r="D668" s="54"/>
      <c r="F668" s="55"/>
      <c r="G668" s="56"/>
      <c r="H668" s="54"/>
      <c r="J668" s="55"/>
      <c r="K668" s="56"/>
    </row>
    <row r="669">
      <c r="A669" s="70"/>
      <c r="B669" s="71" t="str">
        <f>IFERROR(HYPERLINK(VLOOKUP(A669,Internal_lists_bugs!$A$2:$C$73,3,FALSE()), VLOOKUP(A669,Internal_lists_bugs!$A$2:$C$73,3,FALSE())&amp;Char(10) &amp; Char(10) &amp; VLOOKUP(A669,Internal_lists_bugs!$A$2:$Z$73,26,FALSE())),"please select a BUG ID")</f>
        <v>please select a BUG ID</v>
      </c>
      <c r="C669" s="51" t="str">
        <f>IFERROR(__xludf.DUMMYFUNCTION("IFERROR(IF(REGEXMATCH(VLOOKUP(A669,Internal_lists_bugs!$A$2:$R$73,18,FALSE()), ""Yes""), VLOOKUP(A669,Internal_lists_bugs!$A$2:$U$73,21,FALSE()), VLOOKUP(A669,Internal_lists_bugs!$A$2:$R$73,18,FALSE())),""please select a BUG ID"")"),"please select a BUG ID")</f>
        <v>please select a BUG ID</v>
      </c>
      <c r="D669" s="54"/>
      <c r="F669" s="55"/>
      <c r="G669" s="56"/>
      <c r="H669" s="54"/>
      <c r="J669" s="55"/>
      <c r="K669" s="56"/>
    </row>
    <row r="670">
      <c r="A670" s="70"/>
      <c r="B670" s="71" t="str">
        <f>IFERROR(HYPERLINK(VLOOKUP(A670,Internal_lists_bugs!$A$2:$C$73,3,FALSE()), VLOOKUP(A670,Internal_lists_bugs!$A$2:$C$73,3,FALSE())&amp;Char(10) &amp; Char(10) &amp; VLOOKUP(A670,Internal_lists_bugs!$A$2:$Z$73,26,FALSE())),"please select a BUG ID")</f>
        <v>please select a BUG ID</v>
      </c>
      <c r="C670" s="51" t="str">
        <f>IFERROR(__xludf.DUMMYFUNCTION("IFERROR(IF(REGEXMATCH(VLOOKUP(A670,Internal_lists_bugs!$A$2:$R$73,18,FALSE()), ""Yes""), VLOOKUP(A670,Internal_lists_bugs!$A$2:$U$73,21,FALSE()), VLOOKUP(A670,Internal_lists_bugs!$A$2:$R$73,18,FALSE())),""please select a BUG ID"")"),"please select a BUG ID")</f>
        <v>please select a BUG ID</v>
      </c>
      <c r="D670" s="54"/>
      <c r="F670" s="55"/>
      <c r="G670" s="56"/>
      <c r="H670" s="54"/>
      <c r="J670" s="55"/>
      <c r="K670" s="56"/>
    </row>
    <row r="671">
      <c r="A671" s="70"/>
      <c r="B671" s="71" t="str">
        <f>IFERROR(HYPERLINK(VLOOKUP(A671,Internal_lists_bugs!$A$2:$C$73,3,FALSE()), VLOOKUP(A671,Internal_lists_bugs!$A$2:$C$73,3,FALSE())&amp;Char(10) &amp; Char(10) &amp; VLOOKUP(A671,Internal_lists_bugs!$A$2:$Z$73,26,FALSE())),"please select a BUG ID")</f>
        <v>please select a BUG ID</v>
      </c>
      <c r="C671" s="51" t="str">
        <f>IFERROR(__xludf.DUMMYFUNCTION("IFERROR(IF(REGEXMATCH(VLOOKUP(A671,Internal_lists_bugs!$A$2:$R$73,18,FALSE()), ""Yes""), VLOOKUP(A671,Internal_lists_bugs!$A$2:$U$73,21,FALSE()), VLOOKUP(A671,Internal_lists_bugs!$A$2:$R$73,18,FALSE())),""please select a BUG ID"")"),"please select a BUG ID")</f>
        <v>please select a BUG ID</v>
      </c>
      <c r="D671" s="54"/>
      <c r="F671" s="55"/>
      <c r="G671" s="56"/>
      <c r="H671" s="54"/>
      <c r="J671" s="55"/>
      <c r="K671" s="56"/>
    </row>
    <row r="672">
      <c r="A672" s="70"/>
      <c r="B672" s="71" t="str">
        <f>IFERROR(HYPERLINK(VLOOKUP(A672,Internal_lists_bugs!$A$2:$C$73,3,FALSE()), VLOOKUP(A672,Internal_lists_bugs!$A$2:$C$73,3,FALSE())&amp;Char(10) &amp; Char(10) &amp; VLOOKUP(A672,Internal_lists_bugs!$A$2:$Z$73,26,FALSE())),"please select a BUG ID")</f>
        <v>please select a BUG ID</v>
      </c>
      <c r="C672" s="51" t="str">
        <f>IFERROR(__xludf.DUMMYFUNCTION("IFERROR(IF(REGEXMATCH(VLOOKUP(A672,Internal_lists_bugs!$A$2:$R$73,18,FALSE()), ""Yes""), VLOOKUP(A672,Internal_lists_bugs!$A$2:$U$73,21,FALSE()), VLOOKUP(A672,Internal_lists_bugs!$A$2:$R$73,18,FALSE())),""please select a BUG ID"")"),"please select a BUG ID")</f>
        <v>please select a BUG ID</v>
      </c>
      <c r="D672" s="54"/>
      <c r="F672" s="55"/>
      <c r="G672" s="56"/>
      <c r="H672" s="54"/>
      <c r="J672" s="55"/>
      <c r="K672" s="56"/>
    </row>
    <row r="673">
      <c r="A673" s="70"/>
      <c r="B673" s="71" t="str">
        <f>IFERROR(HYPERLINK(VLOOKUP(A673,Internal_lists_bugs!$A$2:$C$73,3,FALSE()), VLOOKUP(A673,Internal_lists_bugs!$A$2:$C$73,3,FALSE())&amp;Char(10) &amp; Char(10) &amp; VLOOKUP(A673,Internal_lists_bugs!$A$2:$Z$73,26,FALSE())),"please select a BUG ID")</f>
        <v>please select a BUG ID</v>
      </c>
      <c r="C673" s="51" t="str">
        <f>IFERROR(__xludf.DUMMYFUNCTION("IFERROR(IF(REGEXMATCH(VLOOKUP(A673,Internal_lists_bugs!$A$2:$R$73,18,FALSE()), ""Yes""), VLOOKUP(A673,Internal_lists_bugs!$A$2:$U$73,21,FALSE()), VLOOKUP(A673,Internal_lists_bugs!$A$2:$R$73,18,FALSE())),""please select a BUG ID"")"),"please select a BUG ID")</f>
        <v>please select a BUG ID</v>
      </c>
      <c r="D673" s="54"/>
      <c r="F673" s="55"/>
      <c r="G673" s="56"/>
      <c r="H673" s="54"/>
      <c r="J673" s="55"/>
      <c r="K673" s="56"/>
    </row>
    <row r="674">
      <c r="A674" s="70"/>
      <c r="B674" s="71" t="str">
        <f>IFERROR(HYPERLINK(VLOOKUP(A674,Internal_lists_bugs!$A$2:$C$73,3,FALSE()), VLOOKUP(A674,Internal_lists_bugs!$A$2:$C$73,3,FALSE())&amp;Char(10) &amp; Char(10) &amp; VLOOKUP(A674,Internal_lists_bugs!$A$2:$Z$73,26,FALSE())),"please select a BUG ID")</f>
        <v>please select a BUG ID</v>
      </c>
      <c r="C674" s="51" t="str">
        <f>IFERROR(__xludf.DUMMYFUNCTION("IFERROR(IF(REGEXMATCH(VLOOKUP(A674,Internal_lists_bugs!$A$2:$R$73,18,FALSE()), ""Yes""), VLOOKUP(A674,Internal_lists_bugs!$A$2:$U$73,21,FALSE()), VLOOKUP(A674,Internal_lists_bugs!$A$2:$R$73,18,FALSE())),""please select a BUG ID"")"),"please select a BUG ID")</f>
        <v>please select a BUG ID</v>
      </c>
      <c r="D674" s="54"/>
      <c r="F674" s="55"/>
      <c r="G674" s="56"/>
      <c r="H674" s="54"/>
      <c r="J674" s="55"/>
      <c r="K674" s="56"/>
    </row>
    <row r="675">
      <c r="A675" s="70"/>
      <c r="B675" s="71" t="str">
        <f>IFERROR(HYPERLINK(VLOOKUP(A675,Internal_lists_bugs!$A$2:$C$73,3,FALSE()), VLOOKUP(A675,Internal_lists_bugs!$A$2:$C$73,3,FALSE())&amp;Char(10) &amp; Char(10) &amp; VLOOKUP(A675,Internal_lists_bugs!$A$2:$Z$73,26,FALSE())),"please select a BUG ID")</f>
        <v>please select a BUG ID</v>
      </c>
      <c r="C675" s="51" t="str">
        <f>IFERROR(__xludf.DUMMYFUNCTION("IFERROR(IF(REGEXMATCH(VLOOKUP(A675,Internal_lists_bugs!$A$2:$R$73,18,FALSE()), ""Yes""), VLOOKUP(A675,Internal_lists_bugs!$A$2:$U$73,21,FALSE()), VLOOKUP(A675,Internal_lists_bugs!$A$2:$R$73,18,FALSE())),""please select a BUG ID"")"),"please select a BUG ID")</f>
        <v>please select a BUG ID</v>
      </c>
      <c r="D675" s="54"/>
      <c r="F675" s="55"/>
      <c r="G675" s="56"/>
      <c r="H675" s="54"/>
      <c r="J675" s="55"/>
      <c r="K675" s="56"/>
    </row>
    <row r="676">
      <c r="A676" s="70"/>
      <c r="B676" s="71" t="str">
        <f>IFERROR(HYPERLINK(VLOOKUP(A676,Internal_lists_bugs!$A$2:$C$73,3,FALSE()), VLOOKUP(A676,Internal_lists_bugs!$A$2:$C$73,3,FALSE())&amp;Char(10) &amp; Char(10) &amp; VLOOKUP(A676,Internal_lists_bugs!$A$2:$Z$73,26,FALSE())),"please select a BUG ID")</f>
        <v>please select a BUG ID</v>
      </c>
      <c r="C676" s="51" t="str">
        <f>IFERROR(__xludf.DUMMYFUNCTION("IFERROR(IF(REGEXMATCH(VLOOKUP(A676,Internal_lists_bugs!$A$2:$R$73,18,FALSE()), ""Yes""), VLOOKUP(A676,Internal_lists_bugs!$A$2:$U$73,21,FALSE()), VLOOKUP(A676,Internal_lists_bugs!$A$2:$R$73,18,FALSE())),""please select a BUG ID"")"),"please select a BUG ID")</f>
        <v>please select a BUG ID</v>
      </c>
      <c r="D676" s="54"/>
      <c r="F676" s="55"/>
      <c r="G676" s="56"/>
      <c r="H676" s="54"/>
      <c r="J676" s="55"/>
      <c r="K676" s="56"/>
    </row>
    <row r="677">
      <c r="A677" s="70"/>
      <c r="B677" s="71" t="str">
        <f>IFERROR(HYPERLINK(VLOOKUP(A677,Internal_lists_bugs!$A$2:$C$73,3,FALSE()), VLOOKUP(A677,Internal_lists_bugs!$A$2:$C$73,3,FALSE())&amp;Char(10) &amp; Char(10) &amp; VLOOKUP(A677,Internal_lists_bugs!$A$2:$Z$73,26,FALSE())),"please select a BUG ID")</f>
        <v>please select a BUG ID</v>
      </c>
      <c r="C677" s="51" t="str">
        <f>IFERROR(__xludf.DUMMYFUNCTION("IFERROR(IF(REGEXMATCH(VLOOKUP(A677,Internal_lists_bugs!$A$2:$R$73,18,FALSE()), ""Yes""), VLOOKUP(A677,Internal_lists_bugs!$A$2:$U$73,21,FALSE()), VLOOKUP(A677,Internal_lists_bugs!$A$2:$R$73,18,FALSE())),""please select a BUG ID"")"),"please select a BUG ID")</f>
        <v>please select a BUG ID</v>
      </c>
      <c r="D677" s="54"/>
      <c r="F677" s="55"/>
      <c r="G677" s="56"/>
      <c r="H677" s="54"/>
      <c r="J677" s="55"/>
      <c r="K677" s="56"/>
    </row>
    <row r="678">
      <c r="A678" s="70"/>
      <c r="B678" s="71" t="str">
        <f>IFERROR(HYPERLINK(VLOOKUP(A678,Internal_lists_bugs!$A$2:$C$73,3,FALSE()), VLOOKUP(A678,Internal_lists_bugs!$A$2:$C$73,3,FALSE())&amp;Char(10) &amp; Char(10) &amp; VLOOKUP(A678,Internal_lists_bugs!$A$2:$Z$73,26,FALSE())),"please select a BUG ID")</f>
        <v>please select a BUG ID</v>
      </c>
      <c r="C678" s="51" t="str">
        <f>IFERROR(__xludf.DUMMYFUNCTION("IFERROR(IF(REGEXMATCH(VLOOKUP(A678,Internal_lists_bugs!$A$2:$R$73,18,FALSE()), ""Yes""), VLOOKUP(A678,Internal_lists_bugs!$A$2:$U$73,21,FALSE()), VLOOKUP(A678,Internal_lists_bugs!$A$2:$R$73,18,FALSE())),""please select a BUG ID"")"),"please select a BUG ID")</f>
        <v>please select a BUG ID</v>
      </c>
      <c r="D678" s="54"/>
      <c r="F678" s="55"/>
      <c r="G678" s="56"/>
      <c r="H678" s="54"/>
      <c r="J678" s="55"/>
      <c r="K678" s="56"/>
    </row>
    <row r="679">
      <c r="A679" s="70"/>
      <c r="B679" s="71" t="str">
        <f>IFERROR(HYPERLINK(VLOOKUP(A679,Internal_lists_bugs!$A$2:$C$73,3,FALSE()), VLOOKUP(A679,Internal_lists_bugs!$A$2:$C$73,3,FALSE())&amp;Char(10) &amp; Char(10) &amp; VLOOKUP(A679,Internal_lists_bugs!$A$2:$Z$73,26,FALSE())),"please select a BUG ID")</f>
        <v>please select a BUG ID</v>
      </c>
      <c r="C679" s="51" t="str">
        <f>IFERROR(__xludf.DUMMYFUNCTION("IFERROR(IF(REGEXMATCH(VLOOKUP(A679,Internal_lists_bugs!$A$2:$R$73,18,FALSE()), ""Yes""), VLOOKUP(A679,Internal_lists_bugs!$A$2:$U$73,21,FALSE()), VLOOKUP(A679,Internal_lists_bugs!$A$2:$R$73,18,FALSE())),""please select a BUG ID"")"),"please select a BUG ID")</f>
        <v>please select a BUG ID</v>
      </c>
      <c r="D679" s="54"/>
      <c r="F679" s="55"/>
      <c r="G679" s="56"/>
      <c r="H679" s="54"/>
      <c r="J679" s="55"/>
      <c r="K679" s="56"/>
    </row>
    <row r="680">
      <c r="A680" s="70"/>
      <c r="B680" s="71" t="str">
        <f>IFERROR(HYPERLINK(VLOOKUP(A680,Internal_lists_bugs!$A$2:$C$73,3,FALSE()), VLOOKUP(A680,Internal_lists_bugs!$A$2:$C$73,3,FALSE())&amp;Char(10) &amp; Char(10) &amp; VLOOKUP(A680,Internal_lists_bugs!$A$2:$Z$73,26,FALSE())),"please select a BUG ID")</f>
        <v>please select a BUG ID</v>
      </c>
      <c r="C680" s="51" t="str">
        <f>IFERROR(__xludf.DUMMYFUNCTION("IFERROR(IF(REGEXMATCH(VLOOKUP(A680,Internal_lists_bugs!$A$2:$R$73,18,FALSE()), ""Yes""), VLOOKUP(A680,Internal_lists_bugs!$A$2:$U$73,21,FALSE()), VLOOKUP(A680,Internal_lists_bugs!$A$2:$R$73,18,FALSE())),""please select a BUG ID"")"),"please select a BUG ID")</f>
        <v>please select a BUG ID</v>
      </c>
      <c r="D680" s="54"/>
      <c r="F680" s="55"/>
      <c r="G680" s="56"/>
      <c r="H680" s="54"/>
      <c r="J680" s="55"/>
      <c r="K680" s="56"/>
    </row>
    <row r="681">
      <c r="A681" s="70"/>
      <c r="B681" s="71" t="str">
        <f>IFERROR(HYPERLINK(VLOOKUP(A681,Internal_lists_bugs!$A$2:$C$73,3,FALSE()), VLOOKUP(A681,Internal_lists_bugs!$A$2:$C$73,3,FALSE())&amp;Char(10) &amp; Char(10) &amp; VLOOKUP(A681,Internal_lists_bugs!$A$2:$Z$73,26,FALSE())),"please select a BUG ID")</f>
        <v>please select a BUG ID</v>
      </c>
      <c r="C681" s="51" t="str">
        <f>IFERROR(__xludf.DUMMYFUNCTION("IFERROR(IF(REGEXMATCH(VLOOKUP(A681,Internal_lists_bugs!$A$2:$R$73,18,FALSE()), ""Yes""), VLOOKUP(A681,Internal_lists_bugs!$A$2:$U$73,21,FALSE()), VLOOKUP(A681,Internal_lists_bugs!$A$2:$R$73,18,FALSE())),""please select a BUG ID"")"),"please select a BUG ID")</f>
        <v>please select a BUG ID</v>
      </c>
      <c r="D681" s="54"/>
      <c r="F681" s="55"/>
      <c r="G681" s="56"/>
      <c r="H681" s="54"/>
      <c r="J681" s="55"/>
      <c r="K681" s="56"/>
    </row>
    <row r="682">
      <c r="A682" s="70"/>
      <c r="B682" s="71" t="str">
        <f>IFERROR(HYPERLINK(VLOOKUP(A682,Internal_lists_bugs!$A$2:$C$73,3,FALSE()), VLOOKUP(A682,Internal_lists_bugs!$A$2:$C$73,3,FALSE())&amp;Char(10) &amp; Char(10) &amp; VLOOKUP(A682,Internal_lists_bugs!$A$2:$Z$73,26,FALSE())),"please select a BUG ID")</f>
        <v>please select a BUG ID</v>
      </c>
      <c r="C682" s="51" t="str">
        <f>IFERROR(__xludf.DUMMYFUNCTION("IFERROR(IF(REGEXMATCH(VLOOKUP(A682,Internal_lists_bugs!$A$2:$R$73,18,FALSE()), ""Yes""), VLOOKUP(A682,Internal_lists_bugs!$A$2:$U$73,21,FALSE()), VLOOKUP(A682,Internal_lists_bugs!$A$2:$R$73,18,FALSE())),""please select a BUG ID"")"),"please select a BUG ID")</f>
        <v>please select a BUG ID</v>
      </c>
      <c r="D682" s="54"/>
      <c r="F682" s="55"/>
      <c r="G682" s="56"/>
      <c r="H682" s="54"/>
      <c r="J682" s="55"/>
      <c r="K682" s="56"/>
    </row>
    <row r="683">
      <c r="A683" s="70"/>
      <c r="B683" s="71" t="str">
        <f>IFERROR(HYPERLINK(VLOOKUP(A683,Internal_lists_bugs!$A$2:$C$73,3,FALSE()), VLOOKUP(A683,Internal_lists_bugs!$A$2:$C$73,3,FALSE())&amp;Char(10) &amp; Char(10) &amp; VLOOKUP(A683,Internal_lists_bugs!$A$2:$Z$73,26,FALSE())),"please select a BUG ID")</f>
        <v>please select a BUG ID</v>
      </c>
      <c r="C683" s="51" t="str">
        <f>IFERROR(__xludf.DUMMYFUNCTION("IFERROR(IF(REGEXMATCH(VLOOKUP(A683,Internal_lists_bugs!$A$2:$R$73,18,FALSE()), ""Yes""), VLOOKUP(A683,Internal_lists_bugs!$A$2:$U$73,21,FALSE()), VLOOKUP(A683,Internal_lists_bugs!$A$2:$R$73,18,FALSE())),""please select a BUG ID"")"),"please select a BUG ID")</f>
        <v>please select a BUG ID</v>
      </c>
      <c r="D683" s="54"/>
      <c r="F683" s="55"/>
      <c r="G683" s="56"/>
      <c r="H683" s="54"/>
      <c r="J683" s="55"/>
      <c r="K683" s="56"/>
    </row>
    <row r="684">
      <c r="A684" s="70"/>
      <c r="B684" s="71" t="str">
        <f>IFERROR(HYPERLINK(VLOOKUP(A684,Internal_lists_bugs!$A$2:$C$73,3,FALSE()), VLOOKUP(A684,Internal_lists_bugs!$A$2:$C$73,3,FALSE())&amp;Char(10) &amp; Char(10) &amp; VLOOKUP(A684,Internal_lists_bugs!$A$2:$Z$73,26,FALSE())),"please select a BUG ID")</f>
        <v>please select a BUG ID</v>
      </c>
      <c r="C684" s="51" t="str">
        <f>IFERROR(__xludf.DUMMYFUNCTION("IFERROR(IF(REGEXMATCH(VLOOKUP(A684,Internal_lists_bugs!$A$2:$R$73,18,FALSE()), ""Yes""), VLOOKUP(A684,Internal_lists_bugs!$A$2:$U$73,21,FALSE()), VLOOKUP(A684,Internal_lists_bugs!$A$2:$R$73,18,FALSE())),""please select a BUG ID"")"),"please select a BUG ID")</f>
        <v>please select a BUG ID</v>
      </c>
      <c r="D684" s="54"/>
      <c r="F684" s="55"/>
      <c r="G684" s="56"/>
      <c r="H684" s="54"/>
      <c r="J684" s="55"/>
      <c r="K684" s="56"/>
    </row>
    <row r="685">
      <c r="A685" s="70"/>
      <c r="B685" s="71" t="str">
        <f>IFERROR(HYPERLINK(VLOOKUP(A685,Internal_lists_bugs!$A$2:$C$73,3,FALSE()), VLOOKUP(A685,Internal_lists_bugs!$A$2:$C$73,3,FALSE())&amp;Char(10) &amp; Char(10) &amp; VLOOKUP(A685,Internal_lists_bugs!$A$2:$Z$73,26,FALSE())),"please select a BUG ID")</f>
        <v>please select a BUG ID</v>
      </c>
      <c r="C685" s="51" t="str">
        <f>IFERROR(__xludf.DUMMYFUNCTION("IFERROR(IF(REGEXMATCH(VLOOKUP(A685,Internal_lists_bugs!$A$2:$R$73,18,FALSE()), ""Yes""), VLOOKUP(A685,Internal_lists_bugs!$A$2:$U$73,21,FALSE()), VLOOKUP(A685,Internal_lists_bugs!$A$2:$R$73,18,FALSE())),""please select a BUG ID"")"),"please select a BUG ID")</f>
        <v>please select a BUG ID</v>
      </c>
      <c r="D685" s="54"/>
      <c r="F685" s="55"/>
      <c r="G685" s="56"/>
      <c r="H685" s="54"/>
      <c r="J685" s="55"/>
      <c r="K685" s="56"/>
    </row>
    <row r="686">
      <c r="A686" s="70"/>
      <c r="B686" s="71" t="str">
        <f>IFERROR(HYPERLINK(VLOOKUP(A686,Internal_lists_bugs!$A$2:$C$73,3,FALSE()), VLOOKUP(A686,Internal_lists_bugs!$A$2:$C$73,3,FALSE())&amp;Char(10) &amp; Char(10) &amp; VLOOKUP(A686,Internal_lists_bugs!$A$2:$Z$73,26,FALSE())),"please select a BUG ID")</f>
        <v>please select a BUG ID</v>
      </c>
      <c r="C686" s="51" t="str">
        <f>IFERROR(__xludf.DUMMYFUNCTION("IFERROR(IF(REGEXMATCH(VLOOKUP(A686,Internal_lists_bugs!$A$2:$R$73,18,FALSE()), ""Yes""), VLOOKUP(A686,Internal_lists_bugs!$A$2:$U$73,21,FALSE()), VLOOKUP(A686,Internal_lists_bugs!$A$2:$R$73,18,FALSE())),""please select a BUG ID"")"),"please select a BUG ID")</f>
        <v>please select a BUG ID</v>
      </c>
      <c r="D686" s="54"/>
      <c r="F686" s="55"/>
      <c r="G686" s="56"/>
      <c r="H686" s="54"/>
      <c r="J686" s="55"/>
      <c r="K686" s="56"/>
    </row>
    <row r="687">
      <c r="A687" s="70"/>
      <c r="B687" s="71" t="str">
        <f>IFERROR(HYPERLINK(VLOOKUP(A687,Internal_lists_bugs!$A$2:$C$73,3,FALSE()), VLOOKUP(A687,Internal_lists_bugs!$A$2:$C$73,3,FALSE())&amp;Char(10) &amp; Char(10) &amp; VLOOKUP(A687,Internal_lists_bugs!$A$2:$Z$73,26,FALSE())),"please select a BUG ID")</f>
        <v>please select a BUG ID</v>
      </c>
      <c r="C687" s="51" t="str">
        <f>IFERROR(__xludf.DUMMYFUNCTION("IFERROR(IF(REGEXMATCH(VLOOKUP(A687,Internal_lists_bugs!$A$2:$R$73,18,FALSE()), ""Yes""), VLOOKUP(A687,Internal_lists_bugs!$A$2:$U$73,21,FALSE()), VLOOKUP(A687,Internal_lists_bugs!$A$2:$R$73,18,FALSE())),""please select a BUG ID"")"),"please select a BUG ID")</f>
        <v>please select a BUG ID</v>
      </c>
      <c r="D687" s="54"/>
      <c r="F687" s="55"/>
      <c r="G687" s="56"/>
      <c r="H687" s="54"/>
      <c r="J687" s="55"/>
      <c r="K687" s="56"/>
    </row>
    <row r="688">
      <c r="A688" s="70"/>
      <c r="B688" s="71" t="str">
        <f>IFERROR(HYPERLINK(VLOOKUP(A688,Internal_lists_bugs!$A$2:$C$73,3,FALSE()), VLOOKUP(A688,Internal_lists_bugs!$A$2:$C$73,3,FALSE())&amp;Char(10) &amp; Char(10) &amp; VLOOKUP(A688,Internal_lists_bugs!$A$2:$Z$73,26,FALSE())),"please select a BUG ID")</f>
        <v>please select a BUG ID</v>
      </c>
      <c r="C688" s="51" t="str">
        <f>IFERROR(__xludf.DUMMYFUNCTION("IFERROR(IF(REGEXMATCH(VLOOKUP(A688,Internal_lists_bugs!$A$2:$R$73,18,FALSE()), ""Yes""), VLOOKUP(A688,Internal_lists_bugs!$A$2:$U$73,21,FALSE()), VLOOKUP(A688,Internal_lists_bugs!$A$2:$R$73,18,FALSE())),""please select a BUG ID"")"),"please select a BUG ID")</f>
        <v>please select a BUG ID</v>
      </c>
      <c r="D688" s="54"/>
      <c r="F688" s="55"/>
      <c r="G688" s="56"/>
      <c r="H688" s="54"/>
      <c r="J688" s="55"/>
      <c r="K688" s="56"/>
    </row>
    <row r="689">
      <c r="A689" s="70"/>
      <c r="B689" s="71" t="str">
        <f>IFERROR(HYPERLINK(VLOOKUP(A689,Internal_lists_bugs!$A$2:$C$73,3,FALSE()), VLOOKUP(A689,Internal_lists_bugs!$A$2:$C$73,3,FALSE())&amp;Char(10) &amp; Char(10) &amp; VLOOKUP(A689,Internal_lists_bugs!$A$2:$Z$73,26,FALSE())),"please select a BUG ID")</f>
        <v>please select a BUG ID</v>
      </c>
      <c r="C689" s="51" t="str">
        <f>IFERROR(__xludf.DUMMYFUNCTION("IFERROR(IF(REGEXMATCH(VLOOKUP(A689,Internal_lists_bugs!$A$2:$R$73,18,FALSE()), ""Yes""), VLOOKUP(A689,Internal_lists_bugs!$A$2:$U$73,21,FALSE()), VLOOKUP(A689,Internal_lists_bugs!$A$2:$R$73,18,FALSE())),""please select a BUG ID"")"),"please select a BUG ID")</f>
        <v>please select a BUG ID</v>
      </c>
      <c r="D689" s="54"/>
      <c r="F689" s="55"/>
      <c r="G689" s="56"/>
      <c r="H689" s="54"/>
      <c r="J689" s="55"/>
      <c r="K689" s="56"/>
    </row>
    <row r="690">
      <c r="A690" s="70"/>
      <c r="B690" s="71" t="str">
        <f>IFERROR(HYPERLINK(VLOOKUP(A690,Internal_lists_bugs!$A$2:$C$73,3,FALSE()), VLOOKUP(A690,Internal_lists_bugs!$A$2:$C$73,3,FALSE())&amp;Char(10) &amp; Char(10) &amp; VLOOKUP(A690,Internal_lists_bugs!$A$2:$Z$73,26,FALSE())),"please select a BUG ID")</f>
        <v>please select a BUG ID</v>
      </c>
      <c r="C690" s="51" t="str">
        <f>IFERROR(__xludf.DUMMYFUNCTION("IFERROR(IF(REGEXMATCH(VLOOKUP(A690,Internal_lists_bugs!$A$2:$R$73,18,FALSE()), ""Yes""), VLOOKUP(A690,Internal_lists_bugs!$A$2:$U$73,21,FALSE()), VLOOKUP(A690,Internal_lists_bugs!$A$2:$R$73,18,FALSE())),""please select a BUG ID"")"),"please select a BUG ID")</f>
        <v>please select a BUG ID</v>
      </c>
      <c r="D690" s="54"/>
      <c r="F690" s="55"/>
      <c r="G690" s="56"/>
      <c r="H690" s="54"/>
      <c r="J690" s="55"/>
      <c r="K690" s="56"/>
    </row>
    <row r="691">
      <c r="A691" s="70"/>
      <c r="B691" s="71" t="str">
        <f>IFERROR(HYPERLINK(VLOOKUP(A691,Internal_lists_bugs!$A$2:$C$73,3,FALSE()), VLOOKUP(A691,Internal_lists_bugs!$A$2:$C$73,3,FALSE())&amp;Char(10) &amp; Char(10) &amp; VLOOKUP(A691,Internal_lists_bugs!$A$2:$Z$73,26,FALSE())),"please select a BUG ID")</f>
        <v>please select a BUG ID</v>
      </c>
      <c r="C691" s="51" t="str">
        <f>IFERROR(__xludf.DUMMYFUNCTION("IFERROR(IF(REGEXMATCH(VLOOKUP(A691,Internal_lists_bugs!$A$2:$R$73,18,FALSE()), ""Yes""), VLOOKUP(A691,Internal_lists_bugs!$A$2:$U$73,21,FALSE()), VLOOKUP(A691,Internal_lists_bugs!$A$2:$R$73,18,FALSE())),""please select a BUG ID"")"),"please select a BUG ID")</f>
        <v>please select a BUG ID</v>
      </c>
      <c r="D691" s="54"/>
      <c r="F691" s="55"/>
      <c r="G691" s="56"/>
      <c r="H691" s="54"/>
      <c r="J691" s="55"/>
      <c r="K691" s="56"/>
    </row>
    <row r="692">
      <c r="A692" s="70"/>
      <c r="B692" s="71" t="str">
        <f>IFERROR(HYPERLINK(VLOOKUP(A692,Internal_lists_bugs!$A$2:$C$73,3,FALSE()), VLOOKUP(A692,Internal_lists_bugs!$A$2:$C$73,3,FALSE())&amp;Char(10) &amp; Char(10) &amp; VLOOKUP(A692,Internal_lists_bugs!$A$2:$Z$73,26,FALSE())),"please select a BUG ID")</f>
        <v>please select a BUG ID</v>
      </c>
      <c r="C692" s="51" t="str">
        <f>IFERROR(__xludf.DUMMYFUNCTION("IFERROR(IF(REGEXMATCH(VLOOKUP(A692,Internal_lists_bugs!$A$2:$R$73,18,FALSE()), ""Yes""), VLOOKUP(A692,Internal_lists_bugs!$A$2:$U$73,21,FALSE()), VLOOKUP(A692,Internal_lists_bugs!$A$2:$R$73,18,FALSE())),""please select a BUG ID"")"),"please select a BUG ID")</f>
        <v>please select a BUG ID</v>
      </c>
      <c r="D692" s="54"/>
      <c r="F692" s="55"/>
      <c r="G692" s="56"/>
      <c r="H692" s="54"/>
      <c r="J692" s="55"/>
      <c r="K692" s="56"/>
    </row>
    <row r="693">
      <c r="A693" s="70"/>
      <c r="B693" s="71" t="str">
        <f>IFERROR(HYPERLINK(VLOOKUP(A693,Internal_lists_bugs!$A$2:$C$73,3,FALSE()), VLOOKUP(A693,Internal_lists_bugs!$A$2:$C$73,3,FALSE())&amp;Char(10) &amp; Char(10) &amp; VLOOKUP(A693,Internal_lists_bugs!$A$2:$Z$73,26,FALSE())),"please select a BUG ID")</f>
        <v>please select a BUG ID</v>
      </c>
      <c r="C693" s="51" t="str">
        <f>IFERROR(__xludf.DUMMYFUNCTION("IFERROR(IF(REGEXMATCH(VLOOKUP(A693,Internal_lists_bugs!$A$2:$R$73,18,FALSE()), ""Yes""), VLOOKUP(A693,Internal_lists_bugs!$A$2:$U$73,21,FALSE()), VLOOKUP(A693,Internal_lists_bugs!$A$2:$R$73,18,FALSE())),""please select a BUG ID"")"),"please select a BUG ID")</f>
        <v>please select a BUG ID</v>
      </c>
      <c r="D693" s="54"/>
      <c r="F693" s="55"/>
      <c r="G693" s="56"/>
      <c r="H693" s="54"/>
      <c r="J693" s="55"/>
      <c r="K693" s="56"/>
    </row>
    <row r="694">
      <c r="A694" s="70"/>
      <c r="B694" s="71" t="str">
        <f>IFERROR(HYPERLINK(VLOOKUP(A694,Internal_lists_bugs!$A$2:$C$73,3,FALSE()), VLOOKUP(A694,Internal_lists_bugs!$A$2:$C$73,3,FALSE())&amp;Char(10) &amp; Char(10) &amp; VLOOKUP(A694,Internal_lists_bugs!$A$2:$Z$73,26,FALSE())),"please select a BUG ID")</f>
        <v>please select a BUG ID</v>
      </c>
      <c r="C694" s="51" t="str">
        <f>IFERROR(__xludf.DUMMYFUNCTION("IFERROR(IF(REGEXMATCH(VLOOKUP(A694,Internal_lists_bugs!$A$2:$R$73,18,FALSE()), ""Yes""), VLOOKUP(A694,Internal_lists_bugs!$A$2:$U$73,21,FALSE()), VLOOKUP(A694,Internal_lists_bugs!$A$2:$R$73,18,FALSE())),""please select a BUG ID"")"),"please select a BUG ID")</f>
        <v>please select a BUG ID</v>
      </c>
      <c r="D694" s="54"/>
      <c r="F694" s="55"/>
      <c r="G694" s="56"/>
      <c r="H694" s="54"/>
      <c r="J694" s="55"/>
      <c r="K694" s="56"/>
    </row>
    <row r="695">
      <c r="A695" s="70"/>
      <c r="B695" s="71" t="str">
        <f>IFERROR(HYPERLINK(VLOOKUP(A695,Internal_lists_bugs!$A$2:$C$73,3,FALSE()), VLOOKUP(A695,Internal_lists_bugs!$A$2:$C$73,3,FALSE())&amp;Char(10) &amp; Char(10) &amp; VLOOKUP(A695,Internal_lists_bugs!$A$2:$Z$73,26,FALSE())),"please select a BUG ID")</f>
        <v>please select a BUG ID</v>
      </c>
      <c r="C695" s="51" t="str">
        <f>IFERROR(__xludf.DUMMYFUNCTION("IFERROR(IF(REGEXMATCH(VLOOKUP(A695,Internal_lists_bugs!$A$2:$R$73,18,FALSE()), ""Yes""), VLOOKUP(A695,Internal_lists_bugs!$A$2:$U$73,21,FALSE()), VLOOKUP(A695,Internal_lists_bugs!$A$2:$R$73,18,FALSE())),""please select a BUG ID"")"),"please select a BUG ID")</f>
        <v>please select a BUG ID</v>
      </c>
      <c r="D695" s="54"/>
      <c r="F695" s="55"/>
      <c r="G695" s="56"/>
      <c r="H695" s="54"/>
      <c r="J695" s="55"/>
      <c r="K695" s="56"/>
    </row>
    <row r="696">
      <c r="A696" s="70"/>
      <c r="B696" s="71" t="str">
        <f>IFERROR(HYPERLINK(VLOOKUP(A696,Internal_lists_bugs!$A$2:$C$73,3,FALSE()), VLOOKUP(A696,Internal_lists_bugs!$A$2:$C$73,3,FALSE())&amp;Char(10) &amp; Char(10) &amp; VLOOKUP(A696,Internal_lists_bugs!$A$2:$Z$73,26,FALSE())),"please select a BUG ID")</f>
        <v>please select a BUG ID</v>
      </c>
      <c r="C696" s="51" t="str">
        <f>IFERROR(__xludf.DUMMYFUNCTION("IFERROR(IF(REGEXMATCH(VLOOKUP(A696,Internal_lists_bugs!$A$2:$R$73,18,FALSE()), ""Yes""), VLOOKUP(A696,Internal_lists_bugs!$A$2:$U$73,21,FALSE()), VLOOKUP(A696,Internal_lists_bugs!$A$2:$R$73,18,FALSE())),""please select a BUG ID"")"),"please select a BUG ID")</f>
        <v>please select a BUG ID</v>
      </c>
      <c r="D696" s="54"/>
      <c r="F696" s="55"/>
      <c r="G696" s="56"/>
      <c r="H696" s="54"/>
      <c r="J696" s="55"/>
      <c r="K696" s="56"/>
    </row>
    <row r="697">
      <c r="A697" s="70"/>
      <c r="B697" s="71" t="str">
        <f>IFERROR(HYPERLINK(VLOOKUP(A697,Internal_lists_bugs!$A$2:$C$73,3,FALSE()), VLOOKUP(A697,Internal_lists_bugs!$A$2:$C$73,3,FALSE())&amp;Char(10) &amp; Char(10) &amp; VLOOKUP(A697,Internal_lists_bugs!$A$2:$Z$73,26,FALSE())),"please select a BUG ID")</f>
        <v>please select a BUG ID</v>
      </c>
      <c r="C697" s="51" t="str">
        <f>IFERROR(__xludf.DUMMYFUNCTION("IFERROR(IF(REGEXMATCH(VLOOKUP(A697,Internal_lists_bugs!$A$2:$R$73,18,FALSE()), ""Yes""), VLOOKUP(A697,Internal_lists_bugs!$A$2:$U$73,21,FALSE()), VLOOKUP(A697,Internal_lists_bugs!$A$2:$R$73,18,FALSE())),""please select a BUG ID"")"),"please select a BUG ID")</f>
        <v>please select a BUG ID</v>
      </c>
      <c r="D697" s="54"/>
      <c r="F697" s="55"/>
      <c r="G697" s="56"/>
      <c r="H697" s="54"/>
      <c r="J697" s="55"/>
      <c r="K697" s="56"/>
    </row>
    <row r="698">
      <c r="A698" s="70"/>
      <c r="B698" s="71" t="str">
        <f>IFERROR(HYPERLINK(VLOOKUP(A698,Internal_lists_bugs!$A$2:$C$73,3,FALSE()), VLOOKUP(A698,Internal_lists_bugs!$A$2:$C$73,3,FALSE())&amp;Char(10) &amp; Char(10) &amp; VLOOKUP(A698,Internal_lists_bugs!$A$2:$Z$73,26,FALSE())),"please select a BUG ID")</f>
        <v>please select a BUG ID</v>
      </c>
      <c r="C698" s="51" t="str">
        <f>IFERROR(__xludf.DUMMYFUNCTION("IFERROR(IF(REGEXMATCH(VLOOKUP(A698,Internal_lists_bugs!$A$2:$R$73,18,FALSE()), ""Yes""), VLOOKUP(A698,Internal_lists_bugs!$A$2:$U$73,21,FALSE()), VLOOKUP(A698,Internal_lists_bugs!$A$2:$R$73,18,FALSE())),""please select a BUG ID"")"),"please select a BUG ID")</f>
        <v>please select a BUG ID</v>
      </c>
      <c r="D698" s="54"/>
      <c r="F698" s="55"/>
      <c r="G698" s="56"/>
      <c r="H698" s="54"/>
      <c r="J698" s="55"/>
      <c r="K698" s="56"/>
    </row>
    <row r="699">
      <c r="A699" s="70"/>
      <c r="B699" s="71" t="str">
        <f>IFERROR(HYPERLINK(VLOOKUP(A699,Internal_lists_bugs!$A$2:$C$73,3,FALSE()), VLOOKUP(A699,Internal_lists_bugs!$A$2:$C$73,3,FALSE())&amp;Char(10) &amp; Char(10) &amp; VLOOKUP(A699,Internal_lists_bugs!$A$2:$Z$73,26,FALSE())),"please select a BUG ID")</f>
        <v>please select a BUG ID</v>
      </c>
      <c r="C699" s="51" t="str">
        <f>IFERROR(__xludf.DUMMYFUNCTION("IFERROR(IF(REGEXMATCH(VLOOKUP(A699,Internal_lists_bugs!$A$2:$R$73,18,FALSE()), ""Yes""), VLOOKUP(A699,Internal_lists_bugs!$A$2:$U$73,21,FALSE()), VLOOKUP(A699,Internal_lists_bugs!$A$2:$R$73,18,FALSE())),""please select a BUG ID"")"),"please select a BUG ID")</f>
        <v>please select a BUG ID</v>
      </c>
      <c r="D699" s="54"/>
      <c r="F699" s="55"/>
      <c r="G699" s="56"/>
      <c r="H699" s="54"/>
      <c r="J699" s="55"/>
      <c r="K699" s="56"/>
    </row>
    <row r="700">
      <c r="A700" s="70"/>
      <c r="B700" s="71" t="str">
        <f>IFERROR(HYPERLINK(VLOOKUP(A700,Internal_lists_bugs!$A$2:$C$73,3,FALSE()), VLOOKUP(A700,Internal_lists_bugs!$A$2:$C$73,3,FALSE())&amp;Char(10) &amp; Char(10) &amp; VLOOKUP(A700,Internal_lists_bugs!$A$2:$Z$73,26,FALSE())),"please select a BUG ID")</f>
        <v>please select a BUG ID</v>
      </c>
      <c r="C700" s="51" t="str">
        <f>IFERROR(__xludf.DUMMYFUNCTION("IFERROR(IF(REGEXMATCH(VLOOKUP(A700,Internal_lists_bugs!$A$2:$R$73,18,FALSE()), ""Yes""), VLOOKUP(A700,Internal_lists_bugs!$A$2:$U$73,21,FALSE()), VLOOKUP(A700,Internal_lists_bugs!$A$2:$R$73,18,FALSE())),""please select a BUG ID"")"),"please select a BUG ID")</f>
        <v>please select a BUG ID</v>
      </c>
      <c r="D700" s="54"/>
      <c r="F700" s="55"/>
      <c r="G700" s="56"/>
      <c r="H700" s="54"/>
      <c r="J700" s="55"/>
      <c r="K700" s="56"/>
    </row>
    <row r="701">
      <c r="A701" s="70"/>
      <c r="B701" s="71" t="str">
        <f>IFERROR(HYPERLINK(VLOOKUP(A701,Internal_lists_bugs!$A$2:$C$73,3,FALSE()), VLOOKUP(A701,Internal_lists_bugs!$A$2:$C$73,3,FALSE())&amp;Char(10) &amp; Char(10) &amp; VLOOKUP(A701,Internal_lists_bugs!$A$2:$Z$73,26,FALSE())),"please select a BUG ID")</f>
        <v>please select a BUG ID</v>
      </c>
      <c r="C701" s="51" t="str">
        <f>IFERROR(__xludf.DUMMYFUNCTION("IFERROR(IF(REGEXMATCH(VLOOKUP(A701,Internal_lists_bugs!$A$2:$R$73,18,FALSE()), ""Yes""), VLOOKUP(A701,Internal_lists_bugs!$A$2:$U$73,21,FALSE()), VLOOKUP(A701,Internal_lists_bugs!$A$2:$R$73,18,FALSE())),""please select a BUG ID"")"),"please select a BUG ID")</f>
        <v>please select a BUG ID</v>
      </c>
      <c r="D701" s="54"/>
      <c r="F701" s="55"/>
      <c r="G701" s="56"/>
      <c r="H701" s="54"/>
      <c r="J701" s="55"/>
      <c r="K701" s="56"/>
    </row>
    <row r="702">
      <c r="A702" s="70"/>
      <c r="B702" s="71" t="str">
        <f>IFERROR(HYPERLINK(VLOOKUP(A702,Internal_lists_bugs!$A$2:$C$73,3,FALSE()), VLOOKUP(A702,Internal_lists_bugs!$A$2:$C$73,3,FALSE())&amp;Char(10) &amp; Char(10) &amp; VLOOKUP(A702,Internal_lists_bugs!$A$2:$Z$73,26,FALSE())),"please select a BUG ID")</f>
        <v>please select a BUG ID</v>
      </c>
      <c r="C702" s="51" t="str">
        <f>IFERROR(__xludf.DUMMYFUNCTION("IFERROR(IF(REGEXMATCH(VLOOKUP(A702,Internal_lists_bugs!$A$2:$R$73,18,FALSE()), ""Yes""), VLOOKUP(A702,Internal_lists_bugs!$A$2:$U$73,21,FALSE()), VLOOKUP(A702,Internal_lists_bugs!$A$2:$R$73,18,FALSE())),""please select a BUG ID"")"),"please select a BUG ID")</f>
        <v>please select a BUG ID</v>
      </c>
      <c r="D702" s="54"/>
      <c r="F702" s="55"/>
      <c r="G702" s="56"/>
      <c r="H702" s="54"/>
      <c r="J702" s="55"/>
      <c r="K702" s="56"/>
    </row>
    <row r="703">
      <c r="A703" s="70"/>
      <c r="B703" s="71" t="str">
        <f>IFERROR(HYPERLINK(VLOOKUP(A703,Internal_lists_bugs!$A$2:$C$73,3,FALSE()), VLOOKUP(A703,Internal_lists_bugs!$A$2:$C$73,3,FALSE())&amp;Char(10) &amp; Char(10) &amp; VLOOKUP(A703,Internal_lists_bugs!$A$2:$Z$73,26,FALSE())),"please select a BUG ID")</f>
        <v>please select a BUG ID</v>
      </c>
      <c r="C703" s="51" t="str">
        <f>IFERROR(__xludf.DUMMYFUNCTION("IFERROR(IF(REGEXMATCH(VLOOKUP(A703,Internal_lists_bugs!$A$2:$R$73,18,FALSE()), ""Yes""), VLOOKUP(A703,Internal_lists_bugs!$A$2:$U$73,21,FALSE()), VLOOKUP(A703,Internal_lists_bugs!$A$2:$R$73,18,FALSE())),""please select a BUG ID"")"),"please select a BUG ID")</f>
        <v>please select a BUG ID</v>
      </c>
      <c r="D703" s="54"/>
      <c r="F703" s="55"/>
      <c r="G703" s="56"/>
      <c r="H703" s="54"/>
      <c r="J703" s="55"/>
      <c r="K703" s="56"/>
    </row>
    <row r="704">
      <c r="A704" s="70"/>
      <c r="B704" s="71" t="str">
        <f>IFERROR(HYPERLINK(VLOOKUP(A704,Internal_lists_bugs!$A$2:$C$73,3,FALSE()), VLOOKUP(A704,Internal_lists_bugs!$A$2:$C$73,3,FALSE())&amp;Char(10) &amp; Char(10) &amp; VLOOKUP(A704,Internal_lists_bugs!$A$2:$Z$73,26,FALSE())),"please select a BUG ID")</f>
        <v>please select a BUG ID</v>
      </c>
      <c r="C704" s="51" t="str">
        <f>IFERROR(__xludf.DUMMYFUNCTION("IFERROR(IF(REGEXMATCH(VLOOKUP(A704,Internal_lists_bugs!$A$2:$R$73,18,FALSE()), ""Yes""), VLOOKUP(A704,Internal_lists_bugs!$A$2:$U$73,21,FALSE()), VLOOKUP(A704,Internal_lists_bugs!$A$2:$R$73,18,FALSE())),""please select a BUG ID"")"),"please select a BUG ID")</f>
        <v>please select a BUG ID</v>
      </c>
      <c r="D704" s="54"/>
      <c r="F704" s="55"/>
      <c r="G704" s="56"/>
      <c r="H704" s="54"/>
      <c r="J704" s="55"/>
      <c r="K704" s="56"/>
    </row>
    <row r="705">
      <c r="A705" s="70"/>
      <c r="B705" s="71" t="str">
        <f>IFERROR(HYPERLINK(VLOOKUP(A705,Internal_lists_bugs!$A$2:$C$73,3,FALSE()), VLOOKUP(A705,Internal_lists_bugs!$A$2:$C$73,3,FALSE())&amp;Char(10) &amp; Char(10) &amp; VLOOKUP(A705,Internal_lists_bugs!$A$2:$Z$73,26,FALSE())),"please select a BUG ID")</f>
        <v>please select a BUG ID</v>
      </c>
      <c r="C705" s="51" t="str">
        <f>IFERROR(__xludf.DUMMYFUNCTION("IFERROR(IF(REGEXMATCH(VLOOKUP(A705,Internal_lists_bugs!$A$2:$R$73,18,FALSE()), ""Yes""), VLOOKUP(A705,Internal_lists_bugs!$A$2:$U$73,21,FALSE()), VLOOKUP(A705,Internal_lists_bugs!$A$2:$R$73,18,FALSE())),""please select a BUG ID"")"),"please select a BUG ID")</f>
        <v>please select a BUG ID</v>
      </c>
      <c r="D705" s="54"/>
      <c r="F705" s="55"/>
      <c r="G705" s="56"/>
      <c r="H705" s="54"/>
      <c r="J705" s="55"/>
      <c r="K705" s="56"/>
    </row>
    <row r="706">
      <c r="A706" s="70"/>
      <c r="B706" s="71" t="str">
        <f>IFERROR(HYPERLINK(VLOOKUP(A706,Internal_lists_bugs!$A$2:$C$73,3,FALSE()), VLOOKUP(A706,Internal_lists_bugs!$A$2:$C$73,3,FALSE())&amp;Char(10) &amp; Char(10) &amp; VLOOKUP(A706,Internal_lists_bugs!$A$2:$Z$73,26,FALSE())),"please select a BUG ID")</f>
        <v>please select a BUG ID</v>
      </c>
      <c r="C706" s="51" t="str">
        <f>IFERROR(__xludf.DUMMYFUNCTION("IFERROR(IF(REGEXMATCH(VLOOKUP(A706,Internal_lists_bugs!$A$2:$R$73,18,FALSE()), ""Yes""), VLOOKUP(A706,Internal_lists_bugs!$A$2:$U$73,21,FALSE()), VLOOKUP(A706,Internal_lists_bugs!$A$2:$R$73,18,FALSE())),""please select a BUG ID"")"),"please select a BUG ID")</f>
        <v>please select a BUG ID</v>
      </c>
      <c r="D706" s="54"/>
      <c r="F706" s="55"/>
      <c r="G706" s="56"/>
      <c r="H706" s="54"/>
      <c r="J706" s="55"/>
      <c r="K706" s="56"/>
    </row>
    <row r="707">
      <c r="A707" s="70"/>
      <c r="B707" s="71" t="str">
        <f>IFERROR(HYPERLINK(VLOOKUP(A707,Internal_lists_bugs!$A$2:$C$73,3,FALSE()), VLOOKUP(A707,Internal_lists_bugs!$A$2:$C$73,3,FALSE())&amp;Char(10) &amp; Char(10) &amp; VLOOKUP(A707,Internal_lists_bugs!$A$2:$Z$73,26,FALSE())),"please select a BUG ID")</f>
        <v>please select a BUG ID</v>
      </c>
      <c r="C707" s="51" t="str">
        <f>IFERROR(__xludf.DUMMYFUNCTION("IFERROR(IF(REGEXMATCH(VLOOKUP(A707,Internal_lists_bugs!$A$2:$R$73,18,FALSE()), ""Yes""), VLOOKUP(A707,Internal_lists_bugs!$A$2:$U$73,21,FALSE()), VLOOKUP(A707,Internal_lists_bugs!$A$2:$R$73,18,FALSE())),""please select a BUG ID"")"),"please select a BUG ID")</f>
        <v>please select a BUG ID</v>
      </c>
      <c r="D707" s="54"/>
      <c r="F707" s="55"/>
      <c r="G707" s="56"/>
      <c r="H707" s="54"/>
      <c r="J707" s="55"/>
      <c r="K707" s="56"/>
    </row>
    <row r="708">
      <c r="A708" s="70"/>
      <c r="B708" s="71" t="str">
        <f>IFERROR(HYPERLINK(VLOOKUP(A708,Internal_lists_bugs!$A$2:$C$73,3,FALSE()), VLOOKUP(A708,Internal_lists_bugs!$A$2:$C$73,3,FALSE())&amp;Char(10) &amp; Char(10) &amp; VLOOKUP(A708,Internal_lists_bugs!$A$2:$Z$73,26,FALSE())),"please select a BUG ID")</f>
        <v>please select a BUG ID</v>
      </c>
      <c r="C708" s="51" t="str">
        <f>IFERROR(__xludf.DUMMYFUNCTION("IFERROR(IF(REGEXMATCH(VLOOKUP(A708,Internal_lists_bugs!$A$2:$R$73,18,FALSE()), ""Yes""), VLOOKUP(A708,Internal_lists_bugs!$A$2:$U$73,21,FALSE()), VLOOKUP(A708,Internal_lists_bugs!$A$2:$R$73,18,FALSE())),""please select a BUG ID"")"),"please select a BUG ID")</f>
        <v>please select a BUG ID</v>
      </c>
      <c r="D708" s="54"/>
      <c r="F708" s="55"/>
      <c r="G708" s="56"/>
      <c r="H708" s="54"/>
      <c r="J708" s="55"/>
      <c r="K708" s="56"/>
    </row>
    <row r="709">
      <c r="A709" s="70"/>
      <c r="B709" s="71" t="str">
        <f>IFERROR(HYPERLINK(VLOOKUP(A709,Internal_lists_bugs!$A$2:$C$73,3,FALSE()), VLOOKUP(A709,Internal_lists_bugs!$A$2:$C$73,3,FALSE())&amp;Char(10) &amp; Char(10) &amp; VLOOKUP(A709,Internal_lists_bugs!$A$2:$Z$73,26,FALSE())),"please select a BUG ID")</f>
        <v>please select a BUG ID</v>
      </c>
      <c r="C709" s="51" t="str">
        <f>IFERROR(__xludf.DUMMYFUNCTION("IFERROR(IF(REGEXMATCH(VLOOKUP(A709,Internal_lists_bugs!$A$2:$R$73,18,FALSE()), ""Yes""), VLOOKUP(A709,Internal_lists_bugs!$A$2:$U$73,21,FALSE()), VLOOKUP(A709,Internal_lists_bugs!$A$2:$R$73,18,FALSE())),""please select a BUG ID"")"),"please select a BUG ID")</f>
        <v>please select a BUG ID</v>
      </c>
      <c r="D709" s="54"/>
      <c r="F709" s="55"/>
      <c r="G709" s="56"/>
      <c r="H709" s="54"/>
      <c r="J709" s="55"/>
      <c r="K709" s="56"/>
    </row>
    <row r="710">
      <c r="A710" s="70"/>
      <c r="B710" s="71" t="str">
        <f>IFERROR(HYPERLINK(VLOOKUP(A710,Internal_lists_bugs!$A$2:$C$73,3,FALSE()), VLOOKUP(A710,Internal_lists_bugs!$A$2:$C$73,3,FALSE())&amp;Char(10) &amp; Char(10) &amp; VLOOKUP(A710,Internal_lists_bugs!$A$2:$Z$73,26,FALSE())),"please select a BUG ID")</f>
        <v>please select a BUG ID</v>
      </c>
      <c r="C710" s="51" t="str">
        <f>IFERROR(__xludf.DUMMYFUNCTION("IFERROR(IF(REGEXMATCH(VLOOKUP(A710,Internal_lists_bugs!$A$2:$R$73,18,FALSE()), ""Yes""), VLOOKUP(A710,Internal_lists_bugs!$A$2:$U$73,21,FALSE()), VLOOKUP(A710,Internal_lists_bugs!$A$2:$R$73,18,FALSE())),""please select a BUG ID"")"),"please select a BUG ID")</f>
        <v>please select a BUG ID</v>
      </c>
      <c r="D710" s="54"/>
      <c r="F710" s="55"/>
      <c r="G710" s="56"/>
      <c r="H710" s="54"/>
      <c r="J710" s="55"/>
      <c r="K710" s="56"/>
    </row>
    <row r="711">
      <c r="A711" s="70"/>
      <c r="B711" s="71" t="str">
        <f>IFERROR(HYPERLINK(VLOOKUP(A711,Internal_lists_bugs!$A$2:$C$73,3,FALSE()), VLOOKUP(A711,Internal_lists_bugs!$A$2:$C$73,3,FALSE())&amp;Char(10) &amp; Char(10) &amp; VLOOKUP(A711,Internal_lists_bugs!$A$2:$Z$73,26,FALSE())),"please select a BUG ID")</f>
        <v>please select a BUG ID</v>
      </c>
      <c r="C711" s="51" t="str">
        <f>IFERROR(__xludf.DUMMYFUNCTION("IFERROR(IF(REGEXMATCH(VLOOKUP(A711,Internal_lists_bugs!$A$2:$R$73,18,FALSE()), ""Yes""), VLOOKUP(A711,Internal_lists_bugs!$A$2:$U$73,21,FALSE()), VLOOKUP(A711,Internal_lists_bugs!$A$2:$R$73,18,FALSE())),""please select a BUG ID"")"),"please select a BUG ID")</f>
        <v>please select a BUG ID</v>
      </c>
      <c r="D711" s="54"/>
      <c r="F711" s="55"/>
      <c r="G711" s="56"/>
      <c r="H711" s="54"/>
      <c r="J711" s="55"/>
      <c r="K711" s="56"/>
    </row>
    <row r="712">
      <c r="A712" s="70"/>
      <c r="B712" s="71" t="str">
        <f>IFERROR(HYPERLINK(VLOOKUP(A712,Internal_lists_bugs!$A$2:$C$73,3,FALSE()), VLOOKUP(A712,Internal_lists_bugs!$A$2:$C$73,3,FALSE())&amp;Char(10) &amp; Char(10) &amp; VLOOKUP(A712,Internal_lists_bugs!$A$2:$Z$73,26,FALSE())),"please select a BUG ID")</f>
        <v>please select a BUG ID</v>
      </c>
      <c r="C712" s="51" t="str">
        <f>IFERROR(__xludf.DUMMYFUNCTION("IFERROR(IF(REGEXMATCH(VLOOKUP(A712,Internal_lists_bugs!$A$2:$R$73,18,FALSE()), ""Yes""), VLOOKUP(A712,Internal_lists_bugs!$A$2:$U$73,21,FALSE()), VLOOKUP(A712,Internal_lists_bugs!$A$2:$R$73,18,FALSE())),""please select a BUG ID"")"),"please select a BUG ID")</f>
        <v>please select a BUG ID</v>
      </c>
      <c r="D712" s="54"/>
      <c r="F712" s="55"/>
      <c r="G712" s="56"/>
      <c r="H712" s="54"/>
      <c r="J712" s="55"/>
      <c r="K712" s="56"/>
    </row>
    <row r="713">
      <c r="A713" s="70"/>
      <c r="B713" s="71" t="str">
        <f>IFERROR(HYPERLINK(VLOOKUP(A713,Internal_lists_bugs!$A$2:$C$73,3,FALSE()), VLOOKUP(A713,Internal_lists_bugs!$A$2:$C$73,3,FALSE())&amp;Char(10) &amp; Char(10) &amp; VLOOKUP(A713,Internal_lists_bugs!$A$2:$Z$73,26,FALSE())),"please select a BUG ID")</f>
        <v>please select a BUG ID</v>
      </c>
      <c r="C713" s="51" t="str">
        <f>IFERROR(__xludf.DUMMYFUNCTION("IFERROR(IF(REGEXMATCH(VLOOKUP(A713,Internal_lists_bugs!$A$2:$R$73,18,FALSE()), ""Yes""), VLOOKUP(A713,Internal_lists_bugs!$A$2:$U$73,21,FALSE()), VLOOKUP(A713,Internal_lists_bugs!$A$2:$R$73,18,FALSE())),""please select a BUG ID"")"),"please select a BUG ID")</f>
        <v>please select a BUG ID</v>
      </c>
      <c r="D713" s="54"/>
      <c r="F713" s="55"/>
      <c r="G713" s="56"/>
      <c r="H713" s="54"/>
      <c r="J713" s="55"/>
      <c r="K713" s="56"/>
    </row>
    <row r="714">
      <c r="A714" s="70"/>
      <c r="B714" s="71" t="str">
        <f>IFERROR(HYPERLINK(VLOOKUP(A714,Internal_lists_bugs!$A$2:$C$73,3,FALSE()), VLOOKUP(A714,Internal_lists_bugs!$A$2:$C$73,3,FALSE())&amp;Char(10) &amp; Char(10) &amp; VLOOKUP(A714,Internal_lists_bugs!$A$2:$Z$73,26,FALSE())),"please select a BUG ID")</f>
        <v>please select a BUG ID</v>
      </c>
      <c r="C714" s="51" t="str">
        <f>IFERROR(__xludf.DUMMYFUNCTION("IFERROR(IF(REGEXMATCH(VLOOKUP(A714,Internal_lists_bugs!$A$2:$R$73,18,FALSE()), ""Yes""), VLOOKUP(A714,Internal_lists_bugs!$A$2:$U$73,21,FALSE()), VLOOKUP(A714,Internal_lists_bugs!$A$2:$R$73,18,FALSE())),""please select a BUG ID"")"),"please select a BUG ID")</f>
        <v>please select a BUG ID</v>
      </c>
      <c r="D714" s="54"/>
      <c r="F714" s="55"/>
      <c r="G714" s="56"/>
      <c r="H714" s="54"/>
      <c r="J714" s="55"/>
      <c r="K714" s="56"/>
    </row>
    <row r="715">
      <c r="A715" s="70"/>
      <c r="B715" s="71" t="str">
        <f>IFERROR(HYPERLINK(VLOOKUP(A715,Internal_lists_bugs!$A$2:$C$73,3,FALSE()), VLOOKUP(A715,Internal_lists_bugs!$A$2:$C$73,3,FALSE())&amp;Char(10) &amp; Char(10) &amp; VLOOKUP(A715,Internal_lists_bugs!$A$2:$Z$73,26,FALSE())),"please select a BUG ID")</f>
        <v>please select a BUG ID</v>
      </c>
      <c r="C715" s="51" t="str">
        <f>IFERROR(__xludf.DUMMYFUNCTION("IFERROR(IF(REGEXMATCH(VLOOKUP(A715,Internal_lists_bugs!$A$2:$R$73,18,FALSE()), ""Yes""), VLOOKUP(A715,Internal_lists_bugs!$A$2:$U$73,21,FALSE()), VLOOKUP(A715,Internal_lists_bugs!$A$2:$R$73,18,FALSE())),""please select a BUG ID"")"),"please select a BUG ID")</f>
        <v>please select a BUG ID</v>
      </c>
      <c r="D715" s="54"/>
      <c r="F715" s="55"/>
      <c r="G715" s="56"/>
      <c r="H715" s="54"/>
      <c r="J715" s="55"/>
      <c r="K715" s="56"/>
    </row>
    <row r="716">
      <c r="A716" s="70"/>
      <c r="B716" s="71" t="str">
        <f>IFERROR(HYPERLINK(VLOOKUP(A716,Internal_lists_bugs!$A$2:$C$73,3,FALSE()), VLOOKUP(A716,Internal_lists_bugs!$A$2:$C$73,3,FALSE())&amp;Char(10) &amp; Char(10) &amp; VLOOKUP(A716,Internal_lists_bugs!$A$2:$Z$73,26,FALSE())),"please select a BUG ID")</f>
        <v>please select a BUG ID</v>
      </c>
      <c r="C716" s="51" t="str">
        <f>IFERROR(__xludf.DUMMYFUNCTION("IFERROR(IF(REGEXMATCH(VLOOKUP(A716,Internal_lists_bugs!$A$2:$R$73,18,FALSE()), ""Yes""), VLOOKUP(A716,Internal_lists_bugs!$A$2:$U$73,21,FALSE()), VLOOKUP(A716,Internal_lists_bugs!$A$2:$R$73,18,FALSE())),""please select a BUG ID"")"),"please select a BUG ID")</f>
        <v>please select a BUG ID</v>
      </c>
      <c r="D716" s="54"/>
      <c r="F716" s="55"/>
      <c r="G716" s="56"/>
      <c r="H716" s="54"/>
      <c r="J716" s="55"/>
      <c r="K716" s="56"/>
    </row>
    <row r="717">
      <c r="A717" s="70"/>
      <c r="B717" s="71" t="str">
        <f>IFERROR(HYPERLINK(VLOOKUP(A717,Internal_lists_bugs!$A$2:$C$73,3,FALSE()), VLOOKUP(A717,Internal_lists_bugs!$A$2:$C$73,3,FALSE())&amp;Char(10) &amp; Char(10) &amp; VLOOKUP(A717,Internal_lists_bugs!$A$2:$Z$73,26,FALSE())),"please select a BUG ID")</f>
        <v>please select a BUG ID</v>
      </c>
      <c r="C717" s="51" t="str">
        <f>IFERROR(__xludf.DUMMYFUNCTION("IFERROR(IF(REGEXMATCH(VLOOKUP(A717,Internal_lists_bugs!$A$2:$R$73,18,FALSE()), ""Yes""), VLOOKUP(A717,Internal_lists_bugs!$A$2:$U$73,21,FALSE()), VLOOKUP(A717,Internal_lists_bugs!$A$2:$R$73,18,FALSE())),""please select a BUG ID"")"),"please select a BUG ID")</f>
        <v>please select a BUG ID</v>
      </c>
      <c r="D717" s="54"/>
      <c r="F717" s="55"/>
      <c r="G717" s="56"/>
      <c r="H717" s="54"/>
      <c r="J717" s="55"/>
      <c r="K717" s="56"/>
    </row>
    <row r="718">
      <c r="A718" s="70"/>
      <c r="B718" s="71" t="str">
        <f>IFERROR(HYPERLINK(VLOOKUP(A718,Internal_lists_bugs!$A$2:$C$73,3,FALSE()), VLOOKUP(A718,Internal_lists_bugs!$A$2:$C$73,3,FALSE())&amp;Char(10) &amp; Char(10) &amp; VLOOKUP(A718,Internal_lists_bugs!$A$2:$Z$73,26,FALSE())),"please select a BUG ID")</f>
        <v>please select a BUG ID</v>
      </c>
      <c r="C718" s="51" t="str">
        <f>IFERROR(__xludf.DUMMYFUNCTION("IFERROR(IF(REGEXMATCH(VLOOKUP(A718,Internal_lists_bugs!$A$2:$R$73,18,FALSE()), ""Yes""), VLOOKUP(A718,Internal_lists_bugs!$A$2:$U$73,21,FALSE()), VLOOKUP(A718,Internal_lists_bugs!$A$2:$R$73,18,FALSE())),""please select a BUG ID"")"),"please select a BUG ID")</f>
        <v>please select a BUG ID</v>
      </c>
      <c r="D718" s="54"/>
      <c r="F718" s="55"/>
      <c r="G718" s="56"/>
      <c r="H718" s="54"/>
      <c r="J718" s="55"/>
      <c r="K718" s="56"/>
    </row>
    <row r="719">
      <c r="A719" s="70"/>
      <c r="B719" s="71" t="str">
        <f>IFERROR(HYPERLINK(VLOOKUP(A719,Internal_lists_bugs!$A$2:$C$73,3,FALSE()), VLOOKUP(A719,Internal_lists_bugs!$A$2:$C$73,3,FALSE())&amp;Char(10) &amp; Char(10) &amp; VLOOKUP(A719,Internal_lists_bugs!$A$2:$Z$73,26,FALSE())),"please select a BUG ID")</f>
        <v>please select a BUG ID</v>
      </c>
      <c r="C719" s="51" t="str">
        <f>IFERROR(__xludf.DUMMYFUNCTION("IFERROR(IF(REGEXMATCH(VLOOKUP(A719,Internal_lists_bugs!$A$2:$R$73,18,FALSE()), ""Yes""), VLOOKUP(A719,Internal_lists_bugs!$A$2:$U$73,21,FALSE()), VLOOKUP(A719,Internal_lists_bugs!$A$2:$R$73,18,FALSE())),""please select a BUG ID"")"),"please select a BUG ID")</f>
        <v>please select a BUG ID</v>
      </c>
      <c r="D719" s="54"/>
      <c r="F719" s="55"/>
      <c r="G719" s="56"/>
      <c r="H719" s="54"/>
      <c r="J719" s="55"/>
      <c r="K719" s="56"/>
    </row>
    <row r="720">
      <c r="A720" s="70"/>
      <c r="B720" s="71" t="str">
        <f>IFERROR(HYPERLINK(VLOOKUP(A720,Internal_lists_bugs!$A$2:$C$73,3,FALSE()), VLOOKUP(A720,Internal_lists_bugs!$A$2:$C$73,3,FALSE())&amp;Char(10) &amp; Char(10) &amp; VLOOKUP(A720,Internal_lists_bugs!$A$2:$Z$73,26,FALSE())),"please select a BUG ID")</f>
        <v>please select a BUG ID</v>
      </c>
      <c r="C720" s="51" t="str">
        <f>IFERROR(__xludf.DUMMYFUNCTION("IFERROR(IF(REGEXMATCH(VLOOKUP(A720,Internal_lists_bugs!$A$2:$R$73,18,FALSE()), ""Yes""), VLOOKUP(A720,Internal_lists_bugs!$A$2:$U$73,21,FALSE()), VLOOKUP(A720,Internal_lists_bugs!$A$2:$R$73,18,FALSE())),""please select a BUG ID"")"),"please select a BUG ID")</f>
        <v>please select a BUG ID</v>
      </c>
      <c r="D720" s="54"/>
      <c r="F720" s="55"/>
      <c r="G720" s="56"/>
      <c r="H720" s="54"/>
      <c r="J720" s="55"/>
      <c r="K720" s="56"/>
    </row>
    <row r="721">
      <c r="A721" s="70"/>
      <c r="B721" s="71" t="str">
        <f>IFERROR(HYPERLINK(VLOOKUP(A721,Internal_lists_bugs!$A$2:$C$73,3,FALSE()), VLOOKUP(A721,Internal_lists_bugs!$A$2:$C$73,3,FALSE())&amp;Char(10) &amp; Char(10) &amp; VLOOKUP(A721,Internal_lists_bugs!$A$2:$Z$73,26,FALSE())),"please select a BUG ID")</f>
        <v>please select a BUG ID</v>
      </c>
      <c r="C721" s="51" t="str">
        <f>IFERROR(__xludf.DUMMYFUNCTION("IFERROR(IF(REGEXMATCH(VLOOKUP(A721,Internal_lists_bugs!$A$2:$R$73,18,FALSE()), ""Yes""), VLOOKUP(A721,Internal_lists_bugs!$A$2:$U$73,21,FALSE()), VLOOKUP(A721,Internal_lists_bugs!$A$2:$R$73,18,FALSE())),""please select a BUG ID"")"),"please select a BUG ID")</f>
        <v>please select a BUG ID</v>
      </c>
      <c r="D721" s="54"/>
      <c r="F721" s="55"/>
      <c r="G721" s="56"/>
      <c r="H721" s="54"/>
      <c r="J721" s="55"/>
      <c r="K721" s="56"/>
    </row>
    <row r="722">
      <c r="A722" s="70"/>
      <c r="B722" s="71" t="str">
        <f>IFERROR(HYPERLINK(VLOOKUP(A722,Internal_lists_bugs!$A$2:$C$73,3,FALSE()), VLOOKUP(A722,Internal_lists_bugs!$A$2:$C$73,3,FALSE())&amp;Char(10) &amp; Char(10) &amp; VLOOKUP(A722,Internal_lists_bugs!$A$2:$Z$73,26,FALSE())),"please select a BUG ID")</f>
        <v>please select a BUG ID</v>
      </c>
      <c r="C722" s="51" t="str">
        <f>IFERROR(__xludf.DUMMYFUNCTION("IFERROR(IF(REGEXMATCH(VLOOKUP(A722,Internal_lists_bugs!$A$2:$R$73,18,FALSE()), ""Yes""), VLOOKUP(A722,Internal_lists_bugs!$A$2:$U$73,21,FALSE()), VLOOKUP(A722,Internal_lists_bugs!$A$2:$R$73,18,FALSE())),""please select a BUG ID"")"),"please select a BUG ID")</f>
        <v>please select a BUG ID</v>
      </c>
      <c r="D722" s="54"/>
      <c r="F722" s="55"/>
      <c r="G722" s="56"/>
      <c r="H722" s="54"/>
      <c r="J722" s="55"/>
      <c r="K722" s="56"/>
    </row>
    <row r="723">
      <c r="A723" s="70"/>
      <c r="B723" s="71" t="str">
        <f>IFERROR(HYPERLINK(VLOOKUP(A723,Internal_lists_bugs!$A$2:$C$73,3,FALSE()), VLOOKUP(A723,Internal_lists_bugs!$A$2:$C$73,3,FALSE())&amp;Char(10) &amp; Char(10) &amp; VLOOKUP(A723,Internal_lists_bugs!$A$2:$Z$73,26,FALSE())),"please select a BUG ID")</f>
        <v>please select a BUG ID</v>
      </c>
      <c r="C723" s="51" t="str">
        <f>IFERROR(__xludf.DUMMYFUNCTION("IFERROR(IF(REGEXMATCH(VLOOKUP(A723,Internal_lists_bugs!$A$2:$R$73,18,FALSE()), ""Yes""), VLOOKUP(A723,Internal_lists_bugs!$A$2:$U$73,21,FALSE()), VLOOKUP(A723,Internal_lists_bugs!$A$2:$R$73,18,FALSE())),""please select a BUG ID"")"),"please select a BUG ID")</f>
        <v>please select a BUG ID</v>
      </c>
      <c r="D723" s="54"/>
      <c r="F723" s="55"/>
      <c r="G723" s="56"/>
      <c r="H723" s="54"/>
      <c r="J723" s="55"/>
      <c r="K723" s="56"/>
    </row>
    <row r="724">
      <c r="A724" s="70"/>
      <c r="B724" s="71" t="str">
        <f>IFERROR(HYPERLINK(VLOOKUP(A724,Internal_lists_bugs!$A$2:$C$73,3,FALSE()), VLOOKUP(A724,Internal_lists_bugs!$A$2:$C$73,3,FALSE())&amp;Char(10) &amp; Char(10) &amp; VLOOKUP(A724,Internal_lists_bugs!$A$2:$Z$73,26,FALSE())),"please select a BUG ID")</f>
        <v>please select a BUG ID</v>
      </c>
      <c r="C724" s="51" t="str">
        <f>IFERROR(__xludf.DUMMYFUNCTION("IFERROR(IF(REGEXMATCH(VLOOKUP(A724,Internal_lists_bugs!$A$2:$R$73,18,FALSE()), ""Yes""), VLOOKUP(A724,Internal_lists_bugs!$A$2:$U$73,21,FALSE()), VLOOKUP(A724,Internal_lists_bugs!$A$2:$R$73,18,FALSE())),""please select a BUG ID"")"),"please select a BUG ID")</f>
        <v>please select a BUG ID</v>
      </c>
      <c r="D724" s="54"/>
      <c r="F724" s="55"/>
      <c r="G724" s="56"/>
      <c r="H724" s="54"/>
      <c r="J724" s="55"/>
      <c r="K724" s="56"/>
    </row>
    <row r="725">
      <c r="A725" s="70"/>
      <c r="B725" s="71" t="str">
        <f>IFERROR(HYPERLINK(VLOOKUP(A725,Internal_lists_bugs!$A$2:$C$73,3,FALSE()), VLOOKUP(A725,Internal_lists_bugs!$A$2:$C$73,3,FALSE())&amp;Char(10) &amp; Char(10) &amp; VLOOKUP(A725,Internal_lists_bugs!$A$2:$Z$73,26,FALSE())),"please select a BUG ID")</f>
        <v>please select a BUG ID</v>
      </c>
      <c r="C725" s="51" t="str">
        <f>IFERROR(__xludf.DUMMYFUNCTION("IFERROR(IF(REGEXMATCH(VLOOKUP(A725,Internal_lists_bugs!$A$2:$R$73,18,FALSE()), ""Yes""), VLOOKUP(A725,Internal_lists_bugs!$A$2:$U$73,21,FALSE()), VLOOKUP(A725,Internal_lists_bugs!$A$2:$R$73,18,FALSE())),""please select a BUG ID"")"),"please select a BUG ID")</f>
        <v>please select a BUG ID</v>
      </c>
      <c r="D725" s="54"/>
      <c r="F725" s="55"/>
      <c r="G725" s="56"/>
      <c r="H725" s="54"/>
      <c r="J725" s="55"/>
      <c r="K725" s="56"/>
    </row>
    <row r="726">
      <c r="A726" s="70"/>
      <c r="B726" s="71" t="str">
        <f>IFERROR(HYPERLINK(VLOOKUP(A726,Internal_lists_bugs!$A$2:$C$73,3,FALSE()), VLOOKUP(A726,Internal_lists_bugs!$A$2:$C$73,3,FALSE())&amp;Char(10) &amp; Char(10) &amp; VLOOKUP(A726,Internal_lists_bugs!$A$2:$Z$73,26,FALSE())),"please select a BUG ID")</f>
        <v>please select a BUG ID</v>
      </c>
      <c r="C726" s="51" t="str">
        <f>IFERROR(__xludf.DUMMYFUNCTION("IFERROR(IF(REGEXMATCH(VLOOKUP(A726,Internal_lists_bugs!$A$2:$R$73,18,FALSE()), ""Yes""), VLOOKUP(A726,Internal_lists_bugs!$A$2:$U$73,21,FALSE()), VLOOKUP(A726,Internal_lists_bugs!$A$2:$R$73,18,FALSE())),""please select a BUG ID"")"),"please select a BUG ID")</f>
        <v>please select a BUG ID</v>
      </c>
      <c r="D726" s="54"/>
      <c r="F726" s="55"/>
      <c r="G726" s="56"/>
      <c r="H726" s="54"/>
      <c r="J726" s="55"/>
      <c r="K726" s="56"/>
    </row>
    <row r="727">
      <c r="A727" s="70"/>
      <c r="B727" s="71" t="str">
        <f>IFERROR(HYPERLINK(VLOOKUP(A727,Internal_lists_bugs!$A$2:$C$73,3,FALSE()), VLOOKUP(A727,Internal_lists_bugs!$A$2:$C$73,3,FALSE())&amp;Char(10) &amp; Char(10) &amp; VLOOKUP(A727,Internal_lists_bugs!$A$2:$Z$73,26,FALSE())),"please select a BUG ID")</f>
        <v>please select a BUG ID</v>
      </c>
      <c r="C727" s="51" t="str">
        <f>IFERROR(__xludf.DUMMYFUNCTION("IFERROR(IF(REGEXMATCH(VLOOKUP(A727,Internal_lists_bugs!$A$2:$R$73,18,FALSE()), ""Yes""), VLOOKUP(A727,Internal_lists_bugs!$A$2:$U$73,21,FALSE()), VLOOKUP(A727,Internal_lists_bugs!$A$2:$R$73,18,FALSE())),""please select a BUG ID"")"),"please select a BUG ID")</f>
        <v>please select a BUG ID</v>
      </c>
      <c r="D727" s="54"/>
      <c r="F727" s="55"/>
      <c r="G727" s="56"/>
      <c r="H727" s="54"/>
      <c r="J727" s="55"/>
      <c r="K727" s="56"/>
    </row>
    <row r="728">
      <c r="A728" s="70"/>
      <c r="B728" s="71" t="str">
        <f>IFERROR(HYPERLINK(VLOOKUP(A728,Internal_lists_bugs!$A$2:$C$73,3,FALSE()), VLOOKUP(A728,Internal_lists_bugs!$A$2:$C$73,3,FALSE())&amp;Char(10) &amp; Char(10) &amp; VLOOKUP(A728,Internal_lists_bugs!$A$2:$Z$73,26,FALSE())),"please select a BUG ID")</f>
        <v>please select a BUG ID</v>
      </c>
      <c r="C728" s="51" t="str">
        <f>IFERROR(__xludf.DUMMYFUNCTION("IFERROR(IF(REGEXMATCH(VLOOKUP(A728,Internal_lists_bugs!$A$2:$R$73,18,FALSE()), ""Yes""), VLOOKUP(A728,Internal_lists_bugs!$A$2:$U$73,21,FALSE()), VLOOKUP(A728,Internal_lists_bugs!$A$2:$R$73,18,FALSE())),""please select a BUG ID"")"),"please select a BUG ID")</f>
        <v>please select a BUG ID</v>
      </c>
      <c r="D728" s="54"/>
      <c r="F728" s="55"/>
      <c r="G728" s="56"/>
      <c r="H728" s="54"/>
      <c r="J728" s="55"/>
      <c r="K728" s="56"/>
    </row>
    <row r="729">
      <c r="A729" s="70"/>
      <c r="B729" s="71" t="str">
        <f>IFERROR(HYPERLINK(VLOOKUP(A729,Internal_lists_bugs!$A$2:$C$73,3,FALSE()), VLOOKUP(A729,Internal_lists_bugs!$A$2:$C$73,3,FALSE())&amp;Char(10) &amp; Char(10) &amp; VLOOKUP(A729,Internal_lists_bugs!$A$2:$Z$73,26,FALSE())),"please select a BUG ID")</f>
        <v>please select a BUG ID</v>
      </c>
      <c r="C729" s="51" t="str">
        <f>IFERROR(__xludf.DUMMYFUNCTION("IFERROR(IF(REGEXMATCH(VLOOKUP(A729,Internal_lists_bugs!$A$2:$R$73,18,FALSE()), ""Yes""), VLOOKUP(A729,Internal_lists_bugs!$A$2:$U$73,21,FALSE()), VLOOKUP(A729,Internal_lists_bugs!$A$2:$R$73,18,FALSE())),""please select a BUG ID"")"),"please select a BUG ID")</f>
        <v>please select a BUG ID</v>
      </c>
      <c r="D729" s="54"/>
      <c r="F729" s="55"/>
      <c r="G729" s="56"/>
      <c r="H729" s="54"/>
      <c r="J729" s="55"/>
      <c r="K729" s="56"/>
    </row>
    <row r="730">
      <c r="A730" s="70"/>
      <c r="B730" s="71" t="str">
        <f>IFERROR(HYPERLINK(VLOOKUP(A730,Internal_lists_bugs!$A$2:$C$73,3,FALSE()), VLOOKUP(A730,Internal_lists_bugs!$A$2:$C$73,3,FALSE())&amp;Char(10) &amp; Char(10) &amp; VLOOKUP(A730,Internal_lists_bugs!$A$2:$Z$73,26,FALSE())),"please select a BUG ID")</f>
        <v>please select a BUG ID</v>
      </c>
      <c r="C730" s="51" t="str">
        <f>IFERROR(__xludf.DUMMYFUNCTION("IFERROR(IF(REGEXMATCH(VLOOKUP(A730,Internal_lists_bugs!$A$2:$R$73,18,FALSE()), ""Yes""), VLOOKUP(A730,Internal_lists_bugs!$A$2:$U$73,21,FALSE()), VLOOKUP(A730,Internal_lists_bugs!$A$2:$R$73,18,FALSE())),""please select a BUG ID"")"),"please select a BUG ID")</f>
        <v>please select a BUG ID</v>
      </c>
      <c r="D730" s="54"/>
      <c r="F730" s="55"/>
      <c r="G730" s="56"/>
      <c r="H730" s="54"/>
      <c r="J730" s="55"/>
      <c r="K730" s="56"/>
    </row>
    <row r="731">
      <c r="A731" s="70"/>
      <c r="B731" s="71" t="str">
        <f>IFERROR(HYPERLINK(VLOOKUP(A731,Internal_lists_bugs!$A$2:$C$73,3,FALSE()), VLOOKUP(A731,Internal_lists_bugs!$A$2:$C$73,3,FALSE())&amp;Char(10) &amp; Char(10) &amp; VLOOKUP(A731,Internal_lists_bugs!$A$2:$Z$73,26,FALSE())),"please select a BUG ID")</f>
        <v>please select a BUG ID</v>
      </c>
      <c r="C731" s="51" t="str">
        <f>IFERROR(__xludf.DUMMYFUNCTION("IFERROR(IF(REGEXMATCH(VLOOKUP(A731,Internal_lists_bugs!$A$2:$R$73,18,FALSE()), ""Yes""), VLOOKUP(A731,Internal_lists_bugs!$A$2:$U$73,21,FALSE()), VLOOKUP(A731,Internal_lists_bugs!$A$2:$R$73,18,FALSE())),""please select a BUG ID"")"),"please select a BUG ID")</f>
        <v>please select a BUG ID</v>
      </c>
      <c r="D731" s="54"/>
      <c r="F731" s="55"/>
      <c r="G731" s="56"/>
      <c r="H731" s="54"/>
      <c r="J731" s="55"/>
      <c r="K731" s="56"/>
    </row>
    <row r="732">
      <c r="A732" s="70"/>
      <c r="B732" s="71" t="str">
        <f>IFERROR(HYPERLINK(VLOOKUP(A732,Internal_lists_bugs!$A$2:$C$73,3,FALSE()), VLOOKUP(A732,Internal_lists_bugs!$A$2:$C$73,3,FALSE())&amp;Char(10) &amp; Char(10) &amp; VLOOKUP(A732,Internal_lists_bugs!$A$2:$Z$73,26,FALSE())),"please select a BUG ID")</f>
        <v>please select a BUG ID</v>
      </c>
      <c r="C732" s="51" t="str">
        <f>IFERROR(__xludf.DUMMYFUNCTION("IFERROR(IF(REGEXMATCH(VLOOKUP(A732,Internal_lists_bugs!$A$2:$R$73,18,FALSE()), ""Yes""), VLOOKUP(A732,Internal_lists_bugs!$A$2:$U$73,21,FALSE()), VLOOKUP(A732,Internal_lists_bugs!$A$2:$R$73,18,FALSE())),""please select a BUG ID"")"),"please select a BUG ID")</f>
        <v>please select a BUG ID</v>
      </c>
      <c r="D732" s="54"/>
      <c r="F732" s="55"/>
      <c r="G732" s="56"/>
      <c r="H732" s="54"/>
      <c r="J732" s="55"/>
      <c r="K732" s="56"/>
    </row>
    <row r="733">
      <c r="A733" s="70"/>
      <c r="B733" s="71" t="str">
        <f>IFERROR(HYPERLINK(VLOOKUP(A733,Internal_lists_bugs!$A$2:$C$73,3,FALSE()), VLOOKUP(A733,Internal_lists_bugs!$A$2:$C$73,3,FALSE())&amp;Char(10) &amp; Char(10) &amp; VLOOKUP(A733,Internal_lists_bugs!$A$2:$Z$73,26,FALSE())),"please select a BUG ID")</f>
        <v>please select a BUG ID</v>
      </c>
      <c r="C733" s="51" t="str">
        <f>IFERROR(__xludf.DUMMYFUNCTION("IFERROR(IF(REGEXMATCH(VLOOKUP(A733,Internal_lists_bugs!$A$2:$R$73,18,FALSE()), ""Yes""), VLOOKUP(A733,Internal_lists_bugs!$A$2:$U$73,21,FALSE()), VLOOKUP(A733,Internal_lists_bugs!$A$2:$R$73,18,FALSE())),""please select a BUG ID"")"),"please select a BUG ID")</f>
        <v>please select a BUG ID</v>
      </c>
      <c r="D733" s="54"/>
      <c r="F733" s="55"/>
      <c r="G733" s="56"/>
      <c r="H733" s="54"/>
      <c r="J733" s="55"/>
      <c r="K733" s="56"/>
    </row>
    <row r="734">
      <c r="A734" s="70"/>
      <c r="B734" s="71" t="str">
        <f>IFERROR(HYPERLINK(VLOOKUP(A734,Internal_lists_bugs!$A$2:$C$73,3,FALSE()), VLOOKUP(A734,Internal_lists_bugs!$A$2:$C$73,3,FALSE())&amp;Char(10) &amp; Char(10) &amp; VLOOKUP(A734,Internal_lists_bugs!$A$2:$Z$73,26,FALSE())),"please select a BUG ID")</f>
        <v>please select a BUG ID</v>
      </c>
      <c r="C734" s="51" t="str">
        <f>IFERROR(__xludf.DUMMYFUNCTION("IFERROR(IF(REGEXMATCH(VLOOKUP(A734,Internal_lists_bugs!$A$2:$R$73,18,FALSE()), ""Yes""), VLOOKUP(A734,Internal_lists_bugs!$A$2:$U$73,21,FALSE()), VLOOKUP(A734,Internal_lists_bugs!$A$2:$R$73,18,FALSE())),""please select a BUG ID"")"),"please select a BUG ID")</f>
        <v>please select a BUG ID</v>
      </c>
      <c r="D734" s="54"/>
      <c r="F734" s="55"/>
      <c r="G734" s="56"/>
      <c r="H734" s="54"/>
      <c r="J734" s="55"/>
      <c r="K734" s="56"/>
    </row>
    <row r="735">
      <c r="A735" s="70"/>
      <c r="B735" s="71" t="str">
        <f>IFERROR(HYPERLINK(VLOOKUP(A735,Internal_lists_bugs!$A$2:$C$73,3,FALSE()), VLOOKUP(A735,Internal_lists_bugs!$A$2:$C$73,3,FALSE())&amp;Char(10) &amp; Char(10) &amp; VLOOKUP(A735,Internal_lists_bugs!$A$2:$Z$73,26,FALSE())),"please select a BUG ID")</f>
        <v>please select a BUG ID</v>
      </c>
      <c r="C735" s="51" t="str">
        <f>IFERROR(__xludf.DUMMYFUNCTION("IFERROR(IF(REGEXMATCH(VLOOKUP(A735,Internal_lists_bugs!$A$2:$R$73,18,FALSE()), ""Yes""), VLOOKUP(A735,Internal_lists_bugs!$A$2:$U$73,21,FALSE()), VLOOKUP(A735,Internal_lists_bugs!$A$2:$R$73,18,FALSE())),""please select a BUG ID"")"),"please select a BUG ID")</f>
        <v>please select a BUG ID</v>
      </c>
      <c r="D735" s="54"/>
      <c r="F735" s="55"/>
      <c r="G735" s="56"/>
      <c r="H735" s="54"/>
      <c r="J735" s="55"/>
      <c r="K735" s="56"/>
    </row>
    <row r="736">
      <c r="A736" s="70"/>
      <c r="B736" s="71" t="str">
        <f>IFERROR(HYPERLINK(VLOOKUP(A736,Internal_lists_bugs!$A$2:$C$73,3,FALSE()), VLOOKUP(A736,Internal_lists_bugs!$A$2:$C$73,3,FALSE())&amp;Char(10) &amp; Char(10) &amp; VLOOKUP(A736,Internal_lists_bugs!$A$2:$Z$73,26,FALSE())),"please select a BUG ID")</f>
        <v>please select a BUG ID</v>
      </c>
      <c r="C736" s="51" t="str">
        <f>IFERROR(__xludf.DUMMYFUNCTION("IFERROR(IF(REGEXMATCH(VLOOKUP(A736,Internal_lists_bugs!$A$2:$R$73,18,FALSE()), ""Yes""), VLOOKUP(A736,Internal_lists_bugs!$A$2:$U$73,21,FALSE()), VLOOKUP(A736,Internal_lists_bugs!$A$2:$R$73,18,FALSE())),""please select a BUG ID"")"),"please select a BUG ID")</f>
        <v>please select a BUG ID</v>
      </c>
      <c r="D736" s="54"/>
      <c r="F736" s="55"/>
      <c r="G736" s="56"/>
      <c r="H736" s="54"/>
      <c r="J736" s="55"/>
      <c r="K736" s="56"/>
    </row>
    <row r="737">
      <c r="A737" s="70"/>
      <c r="B737" s="71" t="str">
        <f>IFERROR(HYPERLINK(VLOOKUP(A737,Internal_lists_bugs!$A$2:$C$73,3,FALSE()), VLOOKUP(A737,Internal_lists_bugs!$A$2:$C$73,3,FALSE())&amp;Char(10) &amp; Char(10) &amp; VLOOKUP(A737,Internal_lists_bugs!$A$2:$Z$73,26,FALSE())),"please select a BUG ID")</f>
        <v>please select a BUG ID</v>
      </c>
      <c r="C737" s="51" t="str">
        <f>IFERROR(__xludf.DUMMYFUNCTION("IFERROR(IF(REGEXMATCH(VLOOKUP(A737,Internal_lists_bugs!$A$2:$R$73,18,FALSE()), ""Yes""), VLOOKUP(A737,Internal_lists_bugs!$A$2:$U$73,21,FALSE()), VLOOKUP(A737,Internal_lists_bugs!$A$2:$R$73,18,FALSE())),""please select a BUG ID"")"),"please select a BUG ID")</f>
        <v>please select a BUG ID</v>
      </c>
      <c r="D737" s="54"/>
      <c r="F737" s="55"/>
      <c r="G737" s="56"/>
      <c r="H737" s="54"/>
      <c r="J737" s="55"/>
      <c r="K737" s="56"/>
    </row>
    <row r="738">
      <c r="A738" s="70"/>
      <c r="B738" s="71" t="str">
        <f>IFERROR(HYPERLINK(VLOOKUP(A738,Internal_lists_bugs!$A$2:$C$73,3,FALSE()), VLOOKUP(A738,Internal_lists_bugs!$A$2:$C$73,3,FALSE())&amp;Char(10) &amp; Char(10) &amp; VLOOKUP(A738,Internal_lists_bugs!$A$2:$Z$73,26,FALSE())),"please select a BUG ID")</f>
        <v>please select a BUG ID</v>
      </c>
      <c r="C738" s="51" t="str">
        <f>IFERROR(__xludf.DUMMYFUNCTION("IFERROR(IF(REGEXMATCH(VLOOKUP(A738,Internal_lists_bugs!$A$2:$R$73,18,FALSE()), ""Yes""), VLOOKUP(A738,Internal_lists_bugs!$A$2:$U$73,21,FALSE()), VLOOKUP(A738,Internal_lists_bugs!$A$2:$R$73,18,FALSE())),""please select a BUG ID"")"),"please select a BUG ID")</f>
        <v>please select a BUG ID</v>
      </c>
      <c r="D738" s="54"/>
      <c r="F738" s="55"/>
      <c r="G738" s="56"/>
      <c r="H738" s="54"/>
      <c r="J738" s="55"/>
      <c r="K738" s="56"/>
    </row>
    <row r="739">
      <c r="A739" s="70"/>
      <c r="B739" s="71" t="str">
        <f>IFERROR(HYPERLINK(VLOOKUP(A739,Internal_lists_bugs!$A$2:$C$73,3,FALSE()), VLOOKUP(A739,Internal_lists_bugs!$A$2:$C$73,3,FALSE())&amp;Char(10) &amp; Char(10) &amp; VLOOKUP(A739,Internal_lists_bugs!$A$2:$Z$73,26,FALSE())),"please select a BUG ID")</f>
        <v>please select a BUG ID</v>
      </c>
      <c r="C739" s="51" t="str">
        <f>IFERROR(__xludf.DUMMYFUNCTION("IFERROR(IF(REGEXMATCH(VLOOKUP(A739,Internal_lists_bugs!$A$2:$R$73,18,FALSE()), ""Yes""), VLOOKUP(A739,Internal_lists_bugs!$A$2:$U$73,21,FALSE()), VLOOKUP(A739,Internal_lists_bugs!$A$2:$R$73,18,FALSE())),""please select a BUG ID"")"),"please select a BUG ID")</f>
        <v>please select a BUG ID</v>
      </c>
      <c r="D739" s="54"/>
      <c r="F739" s="55"/>
      <c r="G739" s="56"/>
      <c r="H739" s="54"/>
      <c r="J739" s="55"/>
      <c r="K739" s="56"/>
    </row>
    <row r="740">
      <c r="A740" s="70"/>
      <c r="B740" s="71" t="str">
        <f>IFERROR(HYPERLINK(VLOOKUP(A740,Internal_lists_bugs!$A$2:$C$73,3,FALSE()), VLOOKUP(A740,Internal_lists_bugs!$A$2:$C$73,3,FALSE())&amp;Char(10) &amp; Char(10) &amp; VLOOKUP(A740,Internal_lists_bugs!$A$2:$Z$73,26,FALSE())),"please select a BUG ID")</f>
        <v>please select a BUG ID</v>
      </c>
      <c r="C740" s="51" t="str">
        <f>IFERROR(__xludf.DUMMYFUNCTION("IFERROR(IF(REGEXMATCH(VLOOKUP(A740,Internal_lists_bugs!$A$2:$R$73,18,FALSE()), ""Yes""), VLOOKUP(A740,Internal_lists_bugs!$A$2:$U$73,21,FALSE()), VLOOKUP(A740,Internal_lists_bugs!$A$2:$R$73,18,FALSE())),""please select a BUG ID"")"),"please select a BUG ID")</f>
        <v>please select a BUG ID</v>
      </c>
      <c r="D740" s="54"/>
      <c r="F740" s="55"/>
      <c r="G740" s="56"/>
      <c r="H740" s="54"/>
      <c r="J740" s="55"/>
      <c r="K740" s="56"/>
    </row>
    <row r="741">
      <c r="A741" s="70"/>
      <c r="B741" s="71" t="str">
        <f>IFERROR(HYPERLINK(VLOOKUP(A741,Internal_lists_bugs!$A$2:$C$73,3,FALSE()), VLOOKUP(A741,Internal_lists_bugs!$A$2:$C$73,3,FALSE())&amp;Char(10) &amp; Char(10) &amp; VLOOKUP(A741,Internal_lists_bugs!$A$2:$Z$73,26,FALSE())),"please select a BUG ID")</f>
        <v>please select a BUG ID</v>
      </c>
      <c r="C741" s="51" t="str">
        <f>IFERROR(__xludf.DUMMYFUNCTION("IFERROR(IF(REGEXMATCH(VLOOKUP(A741,Internal_lists_bugs!$A$2:$R$73,18,FALSE()), ""Yes""), VLOOKUP(A741,Internal_lists_bugs!$A$2:$U$73,21,FALSE()), VLOOKUP(A741,Internal_lists_bugs!$A$2:$R$73,18,FALSE())),""please select a BUG ID"")"),"please select a BUG ID")</f>
        <v>please select a BUG ID</v>
      </c>
      <c r="D741" s="54"/>
      <c r="F741" s="55"/>
      <c r="G741" s="56"/>
      <c r="H741" s="54"/>
      <c r="J741" s="55"/>
      <c r="K741" s="56"/>
    </row>
    <row r="742">
      <c r="A742" s="70"/>
      <c r="B742" s="71" t="str">
        <f>IFERROR(HYPERLINK(VLOOKUP(A742,Internal_lists_bugs!$A$2:$C$73,3,FALSE()), VLOOKUP(A742,Internal_lists_bugs!$A$2:$C$73,3,FALSE())&amp;Char(10) &amp; Char(10) &amp; VLOOKUP(A742,Internal_lists_bugs!$A$2:$Z$73,26,FALSE())),"please select a BUG ID")</f>
        <v>please select a BUG ID</v>
      </c>
      <c r="C742" s="51" t="str">
        <f>IFERROR(__xludf.DUMMYFUNCTION("IFERROR(IF(REGEXMATCH(VLOOKUP(A742,Internal_lists_bugs!$A$2:$R$73,18,FALSE()), ""Yes""), VLOOKUP(A742,Internal_lists_bugs!$A$2:$U$73,21,FALSE()), VLOOKUP(A742,Internal_lists_bugs!$A$2:$R$73,18,FALSE())),""please select a BUG ID"")"),"please select a BUG ID")</f>
        <v>please select a BUG ID</v>
      </c>
      <c r="D742" s="54"/>
      <c r="F742" s="55"/>
      <c r="G742" s="56"/>
      <c r="H742" s="54"/>
      <c r="J742" s="55"/>
      <c r="K742" s="56"/>
    </row>
    <row r="743">
      <c r="A743" s="70"/>
      <c r="B743" s="71" t="str">
        <f>IFERROR(HYPERLINK(VLOOKUP(A743,Internal_lists_bugs!$A$2:$C$73,3,FALSE()), VLOOKUP(A743,Internal_lists_bugs!$A$2:$C$73,3,FALSE())&amp;Char(10) &amp; Char(10) &amp; VLOOKUP(A743,Internal_lists_bugs!$A$2:$Z$73,26,FALSE())),"please select a BUG ID")</f>
        <v>please select a BUG ID</v>
      </c>
      <c r="C743" s="51" t="str">
        <f>IFERROR(__xludf.DUMMYFUNCTION("IFERROR(IF(REGEXMATCH(VLOOKUP(A743,Internal_lists_bugs!$A$2:$R$73,18,FALSE()), ""Yes""), VLOOKUP(A743,Internal_lists_bugs!$A$2:$U$73,21,FALSE()), VLOOKUP(A743,Internal_lists_bugs!$A$2:$R$73,18,FALSE())),""please select a BUG ID"")"),"please select a BUG ID")</f>
        <v>please select a BUG ID</v>
      </c>
      <c r="D743" s="54"/>
      <c r="F743" s="55"/>
      <c r="G743" s="56"/>
      <c r="H743" s="54"/>
      <c r="J743" s="55"/>
      <c r="K743" s="56"/>
    </row>
    <row r="744">
      <c r="A744" s="70"/>
      <c r="B744" s="71" t="str">
        <f>IFERROR(HYPERLINK(VLOOKUP(A744,Internal_lists_bugs!$A$2:$C$73,3,FALSE()), VLOOKUP(A744,Internal_lists_bugs!$A$2:$C$73,3,FALSE())&amp;Char(10) &amp; Char(10) &amp; VLOOKUP(A744,Internal_lists_bugs!$A$2:$Z$73,26,FALSE())),"please select a BUG ID")</f>
        <v>please select a BUG ID</v>
      </c>
      <c r="C744" s="51" t="str">
        <f>IFERROR(__xludf.DUMMYFUNCTION("IFERROR(IF(REGEXMATCH(VLOOKUP(A744,Internal_lists_bugs!$A$2:$R$73,18,FALSE()), ""Yes""), VLOOKUP(A744,Internal_lists_bugs!$A$2:$U$73,21,FALSE()), VLOOKUP(A744,Internal_lists_bugs!$A$2:$R$73,18,FALSE())),""please select a BUG ID"")"),"please select a BUG ID")</f>
        <v>please select a BUG ID</v>
      </c>
      <c r="D744" s="54"/>
      <c r="F744" s="55"/>
      <c r="G744" s="56"/>
      <c r="H744" s="54"/>
      <c r="J744" s="55"/>
      <c r="K744" s="56"/>
    </row>
    <row r="745">
      <c r="A745" s="70"/>
      <c r="B745" s="71" t="str">
        <f>IFERROR(HYPERLINK(VLOOKUP(A745,Internal_lists_bugs!$A$2:$C$73,3,FALSE()), VLOOKUP(A745,Internal_lists_bugs!$A$2:$C$73,3,FALSE())&amp;Char(10) &amp; Char(10) &amp; VLOOKUP(A745,Internal_lists_bugs!$A$2:$Z$73,26,FALSE())),"please select a BUG ID")</f>
        <v>please select a BUG ID</v>
      </c>
      <c r="C745" s="51" t="str">
        <f>IFERROR(__xludf.DUMMYFUNCTION("IFERROR(IF(REGEXMATCH(VLOOKUP(A745,Internal_lists_bugs!$A$2:$R$73,18,FALSE()), ""Yes""), VLOOKUP(A745,Internal_lists_bugs!$A$2:$U$73,21,FALSE()), VLOOKUP(A745,Internal_lists_bugs!$A$2:$R$73,18,FALSE())),""please select a BUG ID"")"),"please select a BUG ID")</f>
        <v>please select a BUG ID</v>
      </c>
      <c r="D745" s="54"/>
      <c r="F745" s="55"/>
      <c r="G745" s="56"/>
      <c r="H745" s="54"/>
      <c r="J745" s="55"/>
      <c r="K745" s="56"/>
    </row>
    <row r="746">
      <c r="A746" s="70"/>
      <c r="B746" s="71" t="str">
        <f>IFERROR(HYPERLINK(VLOOKUP(A746,Internal_lists_bugs!$A$2:$C$73,3,FALSE()), VLOOKUP(A746,Internal_lists_bugs!$A$2:$C$73,3,FALSE())&amp;Char(10) &amp; Char(10) &amp; VLOOKUP(A746,Internal_lists_bugs!$A$2:$Z$73,26,FALSE())),"please select a BUG ID")</f>
        <v>please select a BUG ID</v>
      </c>
      <c r="C746" s="51" t="str">
        <f>IFERROR(__xludf.DUMMYFUNCTION("IFERROR(IF(REGEXMATCH(VLOOKUP(A746,Internal_lists_bugs!$A$2:$R$73,18,FALSE()), ""Yes""), VLOOKUP(A746,Internal_lists_bugs!$A$2:$U$73,21,FALSE()), VLOOKUP(A746,Internal_lists_bugs!$A$2:$R$73,18,FALSE())),""please select a BUG ID"")"),"please select a BUG ID")</f>
        <v>please select a BUG ID</v>
      </c>
      <c r="D746" s="54"/>
      <c r="F746" s="55"/>
      <c r="G746" s="56"/>
      <c r="H746" s="54"/>
      <c r="J746" s="55"/>
      <c r="K746" s="56"/>
    </row>
    <row r="747">
      <c r="A747" s="70"/>
      <c r="B747" s="71" t="str">
        <f>IFERROR(HYPERLINK(VLOOKUP(A747,Internal_lists_bugs!$A$2:$C$73,3,FALSE()), VLOOKUP(A747,Internal_lists_bugs!$A$2:$C$73,3,FALSE())&amp;Char(10) &amp; Char(10) &amp; VLOOKUP(A747,Internal_lists_bugs!$A$2:$Z$73,26,FALSE())),"please select a BUG ID")</f>
        <v>please select a BUG ID</v>
      </c>
      <c r="C747" s="51" t="str">
        <f>IFERROR(__xludf.DUMMYFUNCTION("IFERROR(IF(REGEXMATCH(VLOOKUP(A747,Internal_lists_bugs!$A$2:$R$73,18,FALSE()), ""Yes""), VLOOKUP(A747,Internal_lists_bugs!$A$2:$U$73,21,FALSE()), VLOOKUP(A747,Internal_lists_bugs!$A$2:$R$73,18,FALSE())),""please select a BUG ID"")"),"please select a BUG ID")</f>
        <v>please select a BUG ID</v>
      </c>
      <c r="D747" s="54"/>
      <c r="F747" s="55"/>
      <c r="G747" s="56"/>
      <c r="H747" s="54"/>
      <c r="J747" s="55"/>
      <c r="K747" s="56"/>
    </row>
    <row r="748">
      <c r="A748" s="70"/>
      <c r="B748" s="71" t="str">
        <f>IFERROR(HYPERLINK(VLOOKUP(A748,Internal_lists_bugs!$A$2:$C$73,3,FALSE()), VLOOKUP(A748,Internal_lists_bugs!$A$2:$C$73,3,FALSE())&amp;Char(10) &amp; Char(10) &amp; VLOOKUP(A748,Internal_lists_bugs!$A$2:$Z$73,26,FALSE())),"please select a BUG ID")</f>
        <v>please select a BUG ID</v>
      </c>
      <c r="C748" s="51" t="str">
        <f>IFERROR(__xludf.DUMMYFUNCTION("IFERROR(IF(REGEXMATCH(VLOOKUP(A748,Internal_lists_bugs!$A$2:$R$73,18,FALSE()), ""Yes""), VLOOKUP(A748,Internal_lists_bugs!$A$2:$U$73,21,FALSE()), VLOOKUP(A748,Internal_lists_bugs!$A$2:$R$73,18,FALSE())),""please select a BUG ID"")"),"please select a BUG ID")</f>
        <v>please select a BUG ID</v>
      </c>
      <c r="D748" s="54"/>
      <c r="F748" s="55"/>
      <c r="G748" s="56"/>
      <c r="H748" s="54"/>
      <c r="J748" s="55"/>
      <c r="K748" s="56"/>
    </row>
    <row r="749">
      <c r="A749" s="70"/>
      <c r="B749" s="71" t="str">
        <f>IFERROR(HYPERLINK(VLOOKUP(A749,Internal_lists_bugs!$A$2:$C$73,3,FALSE()), VLOOKUP(A749,Internal_lists_bugs!$A$2:$C$73,3,FALSE())&amp;Char(10) &amp; Char(10) &amp; VLOOKUP(A749,Internal_lists_bugs!$A$2:$Z$73,26,FALSE())),"please select a BUG ID")</f>
        <v>please select a BUG ID</v>
      </c>
      <c r="C749" s="51" t="str">
        <f>IFERROR(__xludf.DUMMYFUNCTION("IFERROR(IF(REGEXMATCH(VLOOKUP(A749,Internal_lists_bugs!$A$2:$R$73,18,FALSE()), ""Yes""), VLOOKUP(A749,Internal_lists_bugs!$A$2:$U$73,21,FALSE()), VLOOKUP(A749,Internal_lists_bugs!$A$2:$R$73,18,FALSE())),""please select a BUG ID"")"),"please select a BUG ID")</f>
        <v>please select a BUG ID</v>
      </c>
      <c r="D749" s="54"/>
      <c r="F749" s="55"/>
      <c r="G749" s="56"/>
      <c r="H749" s="54"/>
      <c r="J749" s="55"/>
      <c r="K749" s="56"/>
    </row>
    <row r="750">
      <c r="A750" s="70"/>
      <c r="B750" s="71" t="str">
        <f>IFERROR(HYPERLINK(VLOOKUP(A750,Internal_lists_bugs!$A$2:$C$73,3,FALSE()), VLOOKUP(A750,Internal_lists_bugs!$A$2:$C$73,3,FALSE())&amp;Char(10) &amp; Char(10) &amp; VLOOKUP(A750,Internal_lists_bugs!$A$2:$Z$73,26,FALSE())),"please select a BUG ID")</f>
        <v>please select a BUG ID</v>
      </c>
      <c r="C750" s="51" t="str">
        <f>IFERROR(__xludf.DUMMYFUNCTION("IFERROR(IF(REGEXMATCH(VLOOKUP(A750,Internal_lists_bugs!$A$2:$R$73,18,FALSE()), ""Yes""), VLOOKUP(A750,Internal_lists_bugs!$A$2:$U$73,21,FALSE()), VLOOKUP(A750,Internal_lists_bugs!$A$2:$R$73,18,FALSE())),""please select a BUG ID"")"),"please select a BUG ID")</f>
        <v>please select a BUG ID</v>
      </c>
      <c r="D750" s="54"/>
      <c r="F750" s="55"/>
      <c r="G750" s="56"/>
      <c r="H750" s="54"/>
      <c r="J750" s="55"/>
      <c r="K750" s="56"/>
    </row>
    <row r="751">
      <c r="A751" s="70"/>
      <c r="B751" s="71" t="str">
        <f>IFERROR(HYPERLINK(VLOOKUP(A751,Internal_lists_bugs!$A$2:$C$73,3,FALSE()), VLOOKUP(A751,Internal_lists_bugs!$A$2:$C$73,3,FALSE())&amp;Char(10) &amp; Char(10) &amp; VLOOKUP(A751,Internal_lists_bugs!$A$2:$Z$73,26,FALSE())),"please select a BUG ID")</f>
        <v>please select a BUG ID</v>
      </c>
      <c r="C751" s="51" t="str">
        <f>IFERROR(__xludf.DUMMYFUNCTION("IFERROR(IF(REGEXMATCH(VLOOKUP(A751,Internal_lists_bugs!$A$2:$R$73,18,FALSE()), ""Yes""), VLOOKUP(A751,Internal_lists_bugs!$A$2:$U$73,21,FALSE()), VLOOKUP(A751,Internal_lists_bugs!$A$2:$R$73,18,FALSE())),""please select a BUG ID"")"),"please select a BUG ID")</f>
        <v>please select a BUG ID</v>
      </c>
      <c r="D751" s="54"/>
      <c r="F751" s="55"/>
      <c r="G751" s="56"/>
      <c r="H751" s="54"/>
      <c r="J751" s="55"/>
      <c r="K751" s="56"/>
    </row>
    <row r="752">
      <c r="A752" s="70"/>
      <c r="B752" s="71" t="str">
        <f>IFERROR(HYPERLINK(VLOOKUP(A752,Internal_lists_bugs!$A$2:$C$73,3,FALSE()), VLOOKUP(A752,Internal_lists_bugs!$A$2:$C$73,3,FALSE())&amp;Char(10) &amp; Char(10) &amp; VLOOKUP(A752,Internal_lists_bugs!$A$2:$Z$73,26,FALSE())),"please select a BUG ID")</f>
        <v>please select a BUG ID</v>
      </c>
      <c r="C752" s="51" t="str">
        <f>IFERROR(__xludf.DUMMYFUNCTION("IFERROR(IF(REGEXMATCH(VLOOKUP(A752,Internal_lists_bugs!$A$2:$R$73,18,FALSE()), ""Yes""), VLOOKUP(A752,Internal_lists_bugs!$A$2:$U$73,21,FALSE()), VLOOKUP(A752,Internal_lists_bugs!$A$2:$R$73,18,FALSE())),""please select a BUG ID"")"),"please select a BUG ID")</f>
        <v>please select a BUG ID</v>
      </c>
      <c r="D752" s="54"/>
      <c r="F752" s="55"/>
      <c r="G752" s="56"/>
      <c r="H752" s="54"/>
      <c r="J752" s="55"/>
      <c r="K752" s="56"/>
    </row>
    <row r="753">
      <c r="A753" s="70"/>
      <c r="B753" s="71" t="str">
        <f>IFERROR(HYPERLINK(VLOOKUP(A753,Internal_lists_bugs!$A$2:$C$73,3,FALSE()), VLOOKUP(A753,Internal_lists_bugs!$A$2:$C$73,3,FALSE())&amp;Char(10) &amp; Char(10) &amp; VLOOKUP(A753,Internal_lists_bugs!$A$2:$Z$73,26,FALSE())),"please select a BUG ID")</f>
        <v>please select a BUG ID</v>
      </c>
      <c r="C753" s="51" t="str">
        <f>IFERROR(__xludf.DUMMYFUNCTION("IFERROR(IF(REGEXMATCH(VLOOKUP(A753,Internal_lists_bugs!$A$2:$R$73,18,FALSE()), ""Yes""), VLOOKUP(A753,Internal_lists_bugs!$A$2:$U$73,21,FALSE()), VLOOKUP(A753,Internal_lists_bugs!$A$2:$R$73,18,FALSE())),""please select a BUG ID"")"),"please select a BUG ID")</f>
        <v>please select a BUG ID</v>
      </c>
      <c r="D753" s="54"/>
      <c r="F753" s="55"/>
      <c r="G753" s="56"/>
      <c r="H753" s="54"/>
      <c r="J753" s="55"/>
      <c r="K753" s="56"/>
    </row>
    <row r="754">
      <c r="A754" s="70"/>
      <c r="B754" s="71" t="str">
        <f>IFERROR(HYPERLINK(VLOOKUP(A754,Internal_lists_bugs!$A$2:$C$73,3,FALSE()), VLOOKUP(A754,Internal_lists_bugs!$A$2:$C$73,3,FALSE())&amp;Char(10) &amp; Char(10) &amp; VLOOKUP(A754,Internal_lists_bugs!$A$2:$Z$73,26,FALSE())),"please select a BUG ID")</f>
        <v>please select a BUG ID</v>
      </c>
      <c r="C754" s="51" t="str">
        <f>IFERROR(__xludf.DUMMYFUNCTION("IFERROR(IF(REGEXMATCH(VLOOKUP(A754,Internal_lists_bugs!$A$2:$R$73,18,FALSE()), ""Yes""), VLOOKUP(A754,Internal_lists_bugs!$A$2:$U$73,21,FALSE()), VLOOKUP(A754,Internal_lists_bugs!$A$2:$R$73,18,FALSE())),""please select a BUG ID"")"),"please select a BUG ID")</f>
        <v>please select a BUG ID</v>
      </c>
      <c r="D754" s="54"/>
      <c r="F754" s="55"/>
      <c r="G754" s="56"/>
      <c r="H754" s="54"/>
      <c r="J754" s="55"/>
      <c r="K754" s="56"/>
    </row>
    <row r="755">
      <c r="A755" s="70"/>
      <c r="B755" s="71" t="str">
        <f>IFERROR(HYPERLINK(VLOOKUP(A755,Internal_lists_bugs!$A$2:$C$73,3,FALSE()), VLOOKUP(A755,Internal_lists_bugs!$A$2:$C$73,3,FALSE())&amp;Char(10) &amp; Char(10) &amp; VLOOKUP(A755,Internal_lists_bugs!$A$2:$Z$73,26,FALSE())),"please select a BUG ID")</f>
        <v>please select a BUG ID</v>
      </c>
      <c r="C755" s="51" t="str">
        <f>IFERROR(__xludf.DUMMYFUNCTION("IFERROR(IF(REGEXMATCH(VLOOKUP(A755,Internal_lists_bugs!$A$2:$R$73,18,FALSE()), ""Yes""), VLOOKUP(A755,Internal_lists_bugs!$A$2:$U$73,21,FALSE()), VLOOKUP(A755,Internal_lists_bugs!$A$2:$R$73,18,FALSE())),""please select a BUG ID"")"),"please select a BUG ID")</f>
        <v>please select a BUG ID</v>
      </c>
      <c r="D755" s="54"/>
      <c r="F755" s="55"/>
      <c r="G755" s="56"/>
      <c r="H755" s="54"/>
      <c r="J755" s="55"/>
      <c r="K755" s="56"/>
    </row>
    <row r="756">
      <c r="A756" s="70"/>
      <c r="B756" s="71" t="str">
        <f>IFERROR(HYPERLINK(VLOOKUP(A756,Internal_lists_bugs!$A$2:$C$73,3,FALSE()), VLOOKUP(A756,Internal_lists_bugs!$A$2:$C$73,3,FALSE())&amp;Char(10) &amp; Char(10) &amp; VLOOKUP(A756,Internal_lists_bugs!$A$2:$Z$73,26,FALSE())),"please select a BUG ID")</f>
        <v>please select a BUG ID</v>
      </c>
      <c r="C756" s="51" t="str">
        <f>IFERROR(__xludf.DUMMYFUNCTION("IFERROR(IF(REGEXMATCH(VLOOKUP(A756,Internal_lists_bugs!$A$2:$R$73,18,FALSE()), ""Yes""), VLOOKUP(A756,Internal_lists_bugs!$A$2:$U$73,21,FALSE()), VLOOKUP(A756,Internal_lists_bugs!$A$2:$R$73,18,FALSE())),""please select a BUG ID"")"),"please select a BUG ID")</f>
        <v>please select a BUG ID</v>
      </c>
      <c r="D756" s="54"/>
      <c r="F756" s="55"/>
      <c r="G756" s="56"/>
      <c r="H756" s="54"/>
      <c r="J756" s="55"/>
      <c r="K756" s="56"/>
    </row>
    <row r="757">
      <c r="A757" s="70"/>
      <c r="B757" s="71" t="str">
        <f>IFERROR(HYPERLINK(VLOOKUP(A757,Internal_lists_bugs!$A$2:$C$73,3,FALSE()), VLOOKUP(A757,Internal_lists_bugs!$A$2:$C$73,3,FALSE())&amp;Char(10) &amp; Char(10) &amp; VLOOKUP(A757,Internal_lists_bugs!$A$2:$Z$73,26,FALSE())),"please select a BUG ID")</f>
        <v>please select a BUG ID</v>
      </c>
      <c r="C757" s="51" t="str">
        <f>IFERROR(__xludf.DUMMYFUNCTION("IFERROR(IF(REGEXMATCH(VLOOKUP(A757,Internal_lists_bugs!$A$2:$R$73,18,FALSE()), ""Yes""), VLOOKUP(A757,Internal_lists_bugs!$A$2:$U$73,21,FALSE()), VLOOKUP(A757,Internal_lists_bugs!$A$2:$R$73,18,FALSE())),""please select a BUG ID"")"),"please select a BUG ID")</f>
        <v>please select a BUG ID</v>
      </c>
      <c r="D757" s="54"/>
      <c r="F757" s="55"/>
      <c r="G757" s="56"/>
      <c r="H757" s="54"/>
      <c r="J757" s="55"/>
      <c r="K757" s="56"/>
    </row>
    <row r="758">
      <c r="A758" s="70"/>
      <c r="B758" s="71" t="str">
        <f>IFERROR(HYPERLINK(VLOOKUP(A758,Internal_lists_bugs!$A$2:$C$73,3,FALSE()), VLOOKUP(A758,Internal_lists_bugs!$A$2:$C$73,3,FALSE())&amp;Char(10) &amp; Char(10) &amp; VLOOKUP(A758,Internal_lists_bugs!$A$2:$Z$73,26,FALSE())),"please select a BUG ID")</f>
        <v>please select a BUG ID</v>
      </c>
      <c r="C758" s="51" t="str">
        <f>IFERROR(__xludf.DUMMYFUNCTION("IFERROR(IF(REGEXMATCH(VLOOKUP(A758,Internal_lists_bugs!$A$2:$R$73,18,FALSE()), ""Yes""), VLOOKUP(A758,Internal_lists_bugs!$A$2:$U$73,21,FALSE()), VLOOKUP(A758,Internal_lists_bugs!$A$2:$R$73,18,FALSE())),""please select a BUG ID"")"),"please select a BUG ID")</f>
        <v>please select a BUG ID</v>
      </c>
      <c r="D758" s="54"/>
      <c r="F758" s="55"/>
      <c r="G758" s="56"/>
      <c r="H758" s="54"/>
      <c r="J758" s="55"/>
      <c r="K758" s="56"/>
    </row>
    <row r="759">
      <c r="A759" s="70"/>
      <c r="B759" s="71" t="str">
        <f>IFERROR(HYPERLINK(VLOOKUP(A759,Internal_lists_bugs!$A$2:$C$73,3,FALSE()), VLOOKUP(A759,Internal_lists_bugs!$A$2:$C$73,3,FALSE())&amp;Char(10) &amp; Char(10) &amp; VLOOKUP(A759,Internal_lists_bugs!$A$2:$Z$73,26,FALSE())),"please select a BUG ID")</f>
        <v>please select a BUG ID</v>
      </c>
      <c r="C759" s="51" t="str">
        <f>IFERROR(__xludf.DUMMYFUNCTION("IFERROR(IF(REGEXMATCH(VLOOKUP(A759,Internal_lists_bugs!$A$2:$R$73,18,FALSE()), ""Yes""), VLOOKUP(A759,Internal_lists_bugs!$A$2:$U$73,21,FALSE()), VLOOKUP(A759,Internal_lists_bugs!$A$2:$R$73,18,FALSE())),""please select a BUG ID"")"),"please select a BUG ID")</f>
        <v>please select a BUG ID</v>
      </c>
      <c r="D759" s="54"/>
      <c r="F759" s="55"/>
      <c r="G759" s="56"/>
      <c r="H759" s="54"/>
      <c r="J759" s="55"/>
      <c r="K759" s="56"/>
    </row>
    <row r="760">
      <c r="A760" s="70"/>
      <c r="B760" s="71" t="str">
        <f>IFERROR(HYPERLINK(VLOOKUP(A760,Internal_lists_bugs!$A$2:$C$73,3,FALSE()), VLOOKUP(A760,Internal_lists_bugs!$A$2:$C$73,3,FALSE())&amp;Char(10) &amp; Char(10) &amp; VLOOKUP(A760,Internal_lists_bugs!$A$2:$Z$73,26,FALSE())),"please select a BUG ID")</f>
        <v>please select a BUG ID</v>
      </c>
      <c r="C760" s="51" t="str">
        <f>IFERROR(__xludf.DUMMYFUNCTION("IFERROR(IF(REGEXMATCH(VLOOKUP(A760,Internal_lists_bugs!$A$2:$R$73,18,FALSE()), ""Yes""), VLOOKUP(A760,Internal_lists_bugs!$A$2:$U$73,21,FALSE()), VLOOKUP(A760,Internal_lists_bugs!$A$2:$R$73,18,FALSE())),""please select a BUG ID"")"),"please select a BUG ID")</f>
        <v>please select a BUG ID</v>
      </c>
      <c r="D760" s="54"/>
      <c r="F760" s="55"/>
      <c r="G760" s="56"/>
      <c r="H760" s="54"/>
      <c r="J760" s="55"/>
      <c r="K760" s="56"/>
    </row>
    <row r="761">
      <c r="A761" s="70"/>
      <c r="B761" s="71" t="str">
        <f>IFERROR(HYPERLINK(VLOOKUP(A761,Internal_lists_bugs!$A$2:$C$73,3,FALSE()), VLOOKUP(A761,Internal_lists_bugs!$A$2:$C$73,3,FALSE())&amp;Char(10) &amp; Char(10) &amp; VLOOKUP(A761,Internal_lists_bugs!$A$2:$Z$73,26,FALSE())),"please select a BUG ID")</f>
        <v>please select a BUG ID</v>
      </c>
      <c r="C761" s="51" t="str">
        <f>IFERROR(__xludf.DUMMYFUNCTION("IFERROR(IF(REGEXMATCH(VLOOKUP(A761,Internal_lists_bugs!$A$2:$R$73,18,FALSE()), ""Yes""), VLOOKUP(A761,Internal_lists_bugs!$A$2:$U$73,21,FALSE()), VLOOKUP(A761,Internal_lists_bugs!$A$2:$R$73,18,FALSE())),""please select a BUG ID"")"),"please select a BUG ID")</f>
        <v>please select a BUG ID</v>
      </c>
      <c r="D761" s="54"/>
      <c r="F761" s="55"/>
      <c r="G761" s="56"/>
      <c r="H761" s="54"/>
      <c r="J761" s="55"/>
      <c r="K761" s="56"/>
    </row>
    <row r="762">
      <c r="A762" s="70"/>
      <c r="B762" s="71" t="str">
        <f>IFERROR(HYPERLINK(VLOOKUP(A762,Internal_lists_bugs!$A$2:$C$73,3,FALSE()), VLOOKUP(A762,Internal_lists_bugs!$A$2:$C$73,3,FALSE())&amp;Char(10) &amp; Char(10) &amp; VLOOKUP(A762,Internal_lists_bugs!$A$2:$Z$73,26,FALSE())),"please select a BUG ID")</f>
        <v>please select a BUG ID</v>
      </c>
      <c r="C762" s="51" t="str">
        <f>IFERROR(__xludf.DUMMYFUNCTION("IFERROR(IF(REGEXMATCH(VLOOKUP(A762,Internal_lists_bugs!$A$2:$R$73,18,FALSE()), ""Yes""), VLOOKUP(A762,Internal_lists_bugs!$A$2:$U$73,21,FALSE()), VLOOKUP(A762,Internal_lists_bugs!$A$2:$R$73,18,FALSE())),""please select a BUG ID"")"),"please select a BUG ID")</f>
        <v>please select a BUG ID</v>
      </c>
      <c r="D762" s="54"/>
      <c r="F762" s="55"/>
      <c r="G762" s="56"/>
      <c r="H762" s="54"/>
      <c r="J762" s="55"/>
      <c r="K762" s="56"/>
    </row>
    <row r="763">
      <c r="A763" s="70"/>
      <c r="B763" s="71" t="str">
        <f>IFERROR(HYPERLINK(VLOOKUP(A763,Internal_lists_bugs!$A$2:$C$73,3,FALSE()), VLOOKUP(A763,Internal_lists_bugs!$A$2:$C$73,3,FALSE())&amp;Char(10) &amp; Char(10) &amp; VLOOKUP(A763,Internal_lists_bugs!$A$2:$Z$73,26,FALSE())),"please select a BUG ID")</f>
        <v>please select a BUG ID</v>
      </c>
      <c r="C763" s="51" t="str">
        <f>IFERROR(__xludf.DUMMYFUNCTION("IFERROR(IF(REGEXMATCH(VLOOKUP(A763,Internal_lists_bugs!$A$2:$R$73,18,FALSE()), ""Yes""), VLOOKUP(A763,Internal_lists_bugs!$A$2:$U$73,21,FALSE()), VLOOKUP(A763,Internal_lists_bugs!$A$2:$R$73,18,FALSE())),""please select a BUG ID"")"),"please select a BUG ID")</f>
        <v>please select a BUG ID</v>
      </c>
      <c r="D763" s="54"/>
      <c r="F763" s="55"/>
      <c r="G763" s="56"/>
      <c r="H763" s="54"/>
      <c r="J763" s="55"/>
      <c r="K763" s="56"/>
    </row>
    <row r="764">
      <c r="A764" s="70"/>
      <c r="B764" s="71" t="str">
        <f>IFERROR(HYPERLINK(VLOOKUP(A764,Internal_lists_bugs!$A$2:$C$73,3,FALSE()), VLOOKUP(A764,Internal_lists_bugs!$A$2:$C$73,3,FALSE())&amp;Char(10) &amp; Char(10) &amp; VLOOKUP(A764,Internal_lists_bugs!$A$2:$Z$73,26,FALSE())),"please select a BUG ID")</f>
        <v>please select a BUG ID</v>
      </c>
      <c r="C764" s="51" t="str">
        <f>IFERROR(__xludf.DUMMYFUNCTION("IFERROR(IF(REGEXMATCH(VLOOKUP(A764,Internal_lists_bugs!$A$2:$R$73,18,FALSE()), ""Yes""), VLOOKUP(A764,Internal_lists_bugs!$A$2:$U$73,21,FALSE()), VLOOKUP(A764,Internal_lists_bugs!$A$2:$R$73,18,FALSE())),""please select a BUG ID"")"),"please select a BUG ID")</f>
        <v>please select a BUG ID</v>
      </c>
      <c r="D764" s="54"/>
      <c r="F764" s="55"/>
      <c r="G764" s="56"/>
      <c r="H764" s="54"/>
      <c r="J764" s="55"/>
      <c r="K764" s="56"/>
    </row>
    <row r="765">
      <c r="A765" s="70"/>
      <c r="B765" s="71" t="str">
        <f>IFERROR(HYPERLINK(VLOOKUP(A765,Internal_lists_bugs!$A$2:$C$73,3,FALSE()), VLOOKUP(A765,Internal_lists_bugs!$A$2:$C$73,3,FALSE())&amp;Char(10) &amp; Char(10) &amp; VLOOKUP(A765,Internal_lists_bugs!$A$2:$Z$73,26,FALSE())),"please select a BUG ID")</f>
        <v>please select a BUG ID</v>
      </c>
      <c r="C765" s="51" t="str">
        <f>IFERROR(__xludf.DUMMYFUNCTION("IFERROR(IF(REGEXMATCH(VLOOKUP(A765,Internal_lists_bugs!$A$2:$R$73,18,FALSE()), ""Yes""), VLOOKUP(A765,Internal_lists_bugs!$A$2:$U$73,21,FALSE()), VLOOKUP(A765,Internal_lists_bugs!$A$2:$R$73,18,FALSE())),""please select a BUG ID"")"),"please select a BUG ID")</f>
        <v>please select a BUG ID</v>
      </c>
      <c r="D765" s="54"/>
      <c r="F765" s="55"/>
      <c r="G765" s="56"/>
      <c r="H765" s="54"/>
      <c r="J765" s="55"/>
      <c r="K765" s="56"/>
    </row>
    <row r="766">
      <c r="A766" s="70"/>
      <c r="B766" s="71" t="str">
        <f>IFERROR(HYPERLINK(VLOOKUP(A766,Internal_lists_bugs!$A$2:$C$73,3,FALSE()), VLOOKUP(A766,Internal_lists_bugs!$A$2:$C$73,3,FALSE())&amp;Char(10) &amp; Char(10) &amp; VLOOKUP(A766,Internal_lists_bugs!$A$2:$Z$73,26,FALSE())),"please select a BUG ID")</f>
        <v>please select a BUG ID</v>
      </c>
      <c r="C766" s="51" t="str">
        <f>IFERROR(__xludf.DUMMYFUNCTION("IFERROR(IF(REGEXMATCH(VLOOKUP(A766,Internal_lists_bugs!$A$2:$R$73,18,FALSE()), ""Yes""), VLOOKUP(A766,Internal_lists_bugs!$A$2:$U$73,21,FALSE()), VLOOKUP(A766,Internal_lists_bugs!$A$2:$R$73,18,FALSE())),""please select a BUG ID"")"),"please select a BUG ID")</f>
        <v>please select a BUG ID</v>
      </c>
      <c r="D766" s="54"/>
      <c r="F766" s="55"/>
      <c r="G766" s="56"/>
      <c r="H766" s="54"/>
      <c r="J766" s="55"/>
      <c r="K766" s="56"/>
    </row>
    <row r="767">
      <c r="A767" s="70"/>
      <c r="B767" s="71" t="str">
        <f>IFERROR(HYPERLINK(VLOOKUP(A767,Internal_lists_bugs!$A$2:$C$73,3,FALSE()), VLOOKUP(A767,Internal_lists_bugs!$A$2:$C$73,3,FALSE())&amp;Char(10) &amp; Char(10) &amp; VLOOKUP(A767,Internal_lists_bugs!$A$2:$Z$73,26,FALSE())),"please select a BUG ID")</f>
        <v>please select a BUG ID</v>
      </c>
      <c r="C767" s="51" t="str">
        <f>IFERROR(__xludf.DUMMYFUNCTION("IFERROR(IF(REGEXMATCH(VLOOKUP(A767,Internal_lists_bugs!$A$2:$R$73,18,FALSE()), ""Yes""), VLOOKUP(A767,Internal_lists_bugs!$A$2:$U$73,21,FALSE()), VLOOKUP(A767,Internal_lists_bugs!$A$2:$R$73,18,FALSE())),""please select a BUG ID"")"),"please select a BUG ID")</f>
        <v>please select a BUG ID</v>
      </c>
      <c r="D767" s="54"/>
      <c r="F767" s="55"/>
      <c r="G767" s="56"/>
      <c r="H767" s="54"/>
      <c r="J767" s="55"/>
      <c r="K767" s="56"/>
    </row>
    <row r="768">
      <c r="A768" s="70"/>
      <c r="B768" s="71" t="str">
        <f>IFERROR(HYPERLINK(VLOOKUP(A768,Internal_lists_bugs!$A$2:$C$73,3,FALSE()), VLOOKUP(A768,Internal_lists_bugs!$A$2:$C$73,3,FALSE())&amp;Char(10) &amp; Char(10) &amp; VLOOKUP(A768,Internal_lists_bugs!$A$2:$Z$73,26,FALSE())),"please select a BUG ID")</f>
        <v>please select a BUG ID</v>
      </c>
      <c r="C768" s="51" t="str">
        <f>IFERROR(__xludf.DUMMYFUNCTION("IFERROR(IF(REGEXMATCH(VLOOKUP(A768,Internal_lists_bugs!$A$2:$R$73,18,FALSE()), ""Yes""), VLOOKUP(A768,Internal_lists_bugs!$A$2:$U$73,21,FALSE()), VLOOKUP(A768,Internal_lists_bugs!$A$2:$R$73,18,FALSE())),""please select a BUG ID"")"),"please select a BUG ID")</f>
        <v>please select a BUG ID</v>
      </c>
      <c r="D768" s="54"/>
      <c r="F768" s="55"/>
      <c r="G768" s="56"/>
      <c r="H768" s="54"/>
      <c r="J768" s="55"/>
      <c r="K768" s="56"/>
    </row>
    <row r="769">
      <c r="A769" s="70"/>
      <c r="B769" s="71" t="str">
        <f>IFERROR(HYPERLINK(VLOOKUP(A769,Internal_lists_bugs!$A$2:$C$73,3,FALSE()), VLOOKUP(A769,Internal_lists_bugs!$A$2:$C$73,3,FALSE())&amp;Char(10) &amp; Char(10) &amp; VLOOKUP(A769,Internal_lists_bugs!$A$2:$Z$73,26,FALSE())),"please select a BUG ID")</f>
        <v>please select a BUG ID</v>
      </c>
      <c r="C769" s="51" t="str">
        <f>IFERROR(__xludf.DUMMYFUNCTION("IFERROR(IF(REGEXMATCH(VLOOKUP(A769,Internal_lists_bugs!$A$2:$R$73,18,FALSE()), ""Yes""), VLOOKUP(A769,Internal_lists_bugs!$A$2:$U$73,21,FALSE()), VLOOKUP(A769,Internal_lists_bugs!$A$2:$R$73,18,FALSE())),""please select a BUG ID"")"),"please select a BUG ID")</f>
        <v>please select a BUG ID</v>
      </c>
      <c r="D769" s="54"/>
      <c r="F769" s="55"/>
      <c r="G769" s="56"/>
      <c r="H769" s="54"/>
      <c r="J769" s="55"/>
      <c r="K769" s="56"/>
    </row>
    <row r="770">
      <c r="A770" s="70"/>
      <c r="B770" s="71" t="str">
        <f>IFERROR(HYPERLINK(VLOOKUP(A770,Internal_lists_bugs!$A$2:$C$73,3,FALSE()), VLOOKUP(A770,Internal_lists_bugs!$A$2:$C$73,3,FALSE())&amp;Char(10) &amp; Char(10) &amp; VLOOKUP(A770,Internal_lists_bugs!$A$2:$Z$73,26,FALSE())),"please select a BUG ID")</f>
        <v>please select a BUG ID</v>
      </c>
      <c r="C770" s="51" t="str">
        <f>IFERROR(__xludf.DUMMYFUNCTION("IFERROR(IF(REGEXMATCH(VLOOKUP(A770,Internal_lists_bugs!$A$2:$R$73,18,FALSE()), ""Yes""), VLOOKUP(A770,Internal_lists_bugs!$A$2:$U$73,21,FALSE()), VLOOKUP(A770,Internal_lists_bugs!$A$2:$R$73,18,FALSE())),""please select a BUG ID"")"),"please select a BUG ID")</f>
        <v>please select a BUG ID</v>
      </c>
      <c r="D770" s="54"/>
      <c r="F770" s="55"/>
      <c r="G770" s="56"/>
      <c r="H770" s="54"/>
      <c r="J770" s="55"/>
      <c r="K770" s="56"/>
    </row>
    <row r="771">
      <c r="A771" s="70"/>
      <c r="B771" s="71" t="str">
        <f>IFERROR(HYPERLINK(VLOOKUP(A771,Internal_lists_bugs!$A$2:$C$73,3,FALSE()), VLOOKUP(A771,Internal_lists_bugs!$A$2:$C$73,3,FALSE())&amp;Char(10) &amp; Char(10) &amp; VLOOKUP(A771,Internal_lists_bugs!$A$2:$Z$73,26,FALSE())),"please select a BUG ID")</f>
        <v>please select a BUG ID</v>
      </c>
      <c r="C771" s="51" t="str">
        <f>IFERROR(__xludf.DUMMYFUNCTION("IFERROR(IF(REGEXMATCH(VLOOKUP(A771,Internal_lists_bugs!$A$2:$R$73,18,FALSE()), ""Yes""), VLOOKUP(A771,Internal_lists_bugs!$A$2:$U$73,21,FALSE()), VLOOKUP(A771,Internal_lists_bugs!$A$2:$R$73,18,FALSE())),""please select a BUG ID"")"),"please select a BUG ID")</f>
        <v>please select a BUG ID</v>
      </c>
      <c r="D771" s="54"/>
      <c r="F771" s="55"/>
      <c r="G771" s="56"/>
      <c r="H771" s="54"/>
      <c r="J771" s="55"/>
      <c r="K771" s="56"/>
    </row>
    <row r="772">
      <c r="A772" s="70"/>
      <c r="B772" s="71" t="str">
        <f>IFERROR(HYPERLINK(VLOOKUP(A772,Internal_lists_bugs!$A$2:$C$73,3,FALSE()), VLOOKUP(A772,Internal_lists_bugs!$A$2:$C$73,3,FALSE())&amp;Char(10) &amp; Char(10) &amp; VLOOKUP(A772,Internal_lists_bugs!$A$2:$Z$73,26,FALSE())),"please select a BUG ID")</f>
        <v>please select a BUG ID</v>
      </c>
      <c r="C772" s="51" t="str">
        <f>IFERROR(__xludf.DUMMYFUNCTION("IFERROR(IF(REGEXMATCH(VLOOKUP(A772,Internal_lists_bugs!$A$2:$R$73,18,FALSE()), ""Yes""), VLOOKUP(A772,Internal_lists_bugs!$A$2:$U$73,21,FALSE()), VLOOKUP(A772,Internal_lists_bugs!$A$2:$R$73,18,FALSE())),""please select a BUG ID"")"),"please select a BUG ID")</f>
        <v>please select a BUG ID</v>
      </c>
      <c r="D772" s="54"/>
      <c r="F772" s="55"/>
      <c r="G772" s="56"/>
      <c r="H772" s="54"/>
      <c r="J772" s="55"/>
      <c r="K772" s="56"/>
    </row>
    <row r="773">
      <c r="A773" s="70"/>
      <c r="B773" s="71" t="str">
        <f>IFERROR(HYPERLINK(VLOOKUP(A773,Internal_lists_bugs!$A$2:$C$73,3,FALSE()), VLOOKUP(A773,Internal_lists_bugs!$A$2:$C$73,3,FALSE())&amp;Char(10) &amp; Char(10) &amp; VLOOKUP(A773,Internal_lists_bugs!$A$2:$Z$73,26,FALSE())),"please select a BUG ID")</f>
        <v>please select a BUG ID</v>
      </c>
      <c r="C773" s="51" t="str">
        <f>IFERROR(__xludf.DUMMYFUNCTION("IFERROR(IF(REGEXMATCH(VLOOKUP(A773,Internal_lists_bugs!$A$2:$R$73,18,FALSE()), ""Yes""), VLOOKUP(A773,Internal_lists_bugs!$A$2:$U$73,21,FALSE()), VLOOKUP(A773,Internal_lists_bugs!$A$2:$R$73,18,FALSE())),""please select a BUG ID"")"),"please select a BUG ID")</f>
        <v>please select a BUG ID</v>
      </c>
      <c r="D773" s="54"/>
      <c r="F773" s="55"/>
      <c r="G773" s="56"/>
      <c r="H773" s="54"/>
      <c r="J773" s="55"/>
      <c r="K773" s="56"/>
    </row>
    <row r="774">
      <c r="A774" s="70"/>
      <c r="B774" s="71" t="str">
        <f>IFERROR(HYPERLINK(VLOOKUP(A774,Internal_lists_bugs!$A$2:$C$73,3,FALSE()), VLOOKUP(A774,Internal_lists_bugs!$A$2:$C$73,3,FALSE())&amp;Char(10) &amp; Char(10) &amp; VLOOKUP(A774,Internal_lists_bugs!$A$2:$Z$73,26,FALSE())),"please select a BUG ID")</f>
        <v>please select a BUG ID</v>
      </c>
      <c r="C774" s="51" t="str">
        <f>IFERROR(__xludf.DUMMYFUNCTION("IFERROR(IF(REGEXMATCH(VLOOKUP(A774,Internal_lists_bugs!$A$2:$R$73,18,FALSE()), ""Yes""), VLOOKUP(A774,Internal_lists_bugs!$A$2:$U$73,21,FALSE()), VLOOKUP(A774,Internal_lists_bugs!$A$2:$R$73,18,FALSE())),""please select a BUG ID"")"),"please select a BUG ID")</f>
        <v>please select a BUG ID</v>
      </c>
      <c r="D774" s="54"/>
      <c r="F774" s="55"/>
      <c r="G774" s="56"/>
      <c r="H774" s="54"/>
      <c r="J774" s="55"/>
      <c r="K774" s="56"/>
    </row>
    <row r="775">
      <c r="A775" s="70"/>
      <c r="B775" s="71" t="str">
        <f>IFERROR(HYPERLINK(VLOOKUP(A775,Internal_lists_bugs!$A$2:$C$73,3,FALSE()), VLOOKUP(A775,Internal_lists_bugs!$A$2:$C$73,3,FALSE())&amp;Char(10) &amp; Char(10) &amp; VLOOKUP(A775,Internal_lists_bugs!$A$2:$Z$73,26,FALSE())),"please select a BUG ID")</f>
        <v>please select a BUG ID</v>
      </c>
      <c r="C775" s="51" t="str">
        <f>IFERROR(__xludf.DUMMYFUNCTION("IFERROR(IF(REGEXMATCH(VLOOKUP(A775,Internal_lists_bugs!$A$2:$R$73,18,FALSE()), ""Yes""), VLOOKUP(A775,Internal_lists_bugs!$A$2:$U$73,21,FALSE()), VLOOKUP(A775,Internal_lists_bugs!$A$2:$R$73,18,FALSE())),""please select a BUG ID"")"),"please select a BUG ID")</f>
        <v>please select a BUG ID</v>
      </c>
      <c r="D775" s="54"/>
      <c r="F775" s="55"/>
      <c r="G775" s="56"/>
      <c r="H775" s="54"/>
      <c r="J775" s="55"/>
      <c r="K775" s="56"/>
    </row>
    <row r="776">
      <c r="A776" s="70"/>
      <c r="B776" s="71" t="str">
        <f>IFERROR(HYPERLINK(VLOOKUP(A776,Internal_lists_bugs!$A$2:$C$73,3,FALSE()), VLOOKUP(A776,Internal_lists_bugs!$A$2:$C$73,3,FALSE())&amp;Char(10) &amp; Char(10) &amp; VLOOKUP(A776,Internal_lists_bugs!$A$2:$Z$73,26,FALSE())),"please select a BUG ID")</f>
        <v>please select a BUG ID</v>
      </c>
      <c r="C776" s="51" t="str">
        <f>IFERROR(__xludf.DUMMYFUNCTION("IFERROR(IF(REGEXMATCH(VLOOKUP(A776,Internal_lists_bugs!$A$2:$R$73,18,FALSE()), ""Yes""), VLOOKUP(A776,Internal_lists_bugs!$A$2:$U$73,21,FALSE()), VLOOKUP(A776,Internal_lists_bugs!$A$2:$R$73,18,FALSE())),""please select a BUG ID"")"),"please select a BUG ID")</f>
        <v>please select a BUG ID</v>
      </c>
      <c r="D776" s="54"/>
      <c r="F776" s="55"/>
      <c r="G776" s="56"/>
      <c r="H776" s="54"/>
      <c r="J776" s="55"/>
      <c r="K776" s="56"/>
    </row>
    <row r="777">
      <c r="A777" s="70"/>
      <c r="B777" s="71" t="str">
        <f>IFERROR(HYPERLINK(VLOOKUP(A777,Internal_lists_bugs!$A$2:$C$73,3,FALSE()), VLOOKUP(A777,Internal_lists_bugs!$A$2:$C$73,3,FALSE())&amp;Char(10) &amp; Char(10) &amp; VLOOKUP(A777,Internal_lists_bugs!$A$2:$Z$73,26,FALSE())),"please select a BUG ID")</f>
        <v>please select a BUG ID</v>
      </c>
      <c r="C777" s="51" t="str">
        <f>IFERROR(__xludf.DUMMYFUNCTION("IFERROR(IF(REGEXMATCH(VLOOKUP(A777,Internal_lists_bugs!$A$2:$R$73,18,FALSE()), ""Yes""), VLOOKUP(A777,Internal_lists_bugs!$A$2:$U$73,21,FALSE()), VLOOKUP(A777,Internal_lists_bugs!$A$2:$R$73,18,FALSE())),""please select a BUG ID"")"),"please select a BUG ID")</f>
        <v>please select a BUG ID</v>
      </c>
      <c r="D777" s="54"/>
      <c r="F777" s="55"/>
      <c r="G777" s="56"/>
      <c r="H777" s="54"/>
      <c r="J777" s="55"/>
      <c r="K777" s="56"/>
    </row>
    <row r="778">
      <c r="A778" s="70"/>
      <c r="B778" s="71" t="str">
        <f>IFERROR(HYPERLINK(VLOOKUP(A778,Internal_lists_bugs!$A$2:$C$73,3,FALSE()), VLOOKUP(A778,Internal_lists_bugs!$A$2:$C$73,3,FALSE())&amp;Char(10) &amp; Char(10) &amp; VLOOKUP(A778,Internal_lists_bugs!$A$2:$Z$73,26,FALSE())),"please select a BUG ID")</f>
        <v>please select a BUG ID</v>
      </c>
      <c r="C778" s="51" t="str">
        <f>IFERROR(__xludf.DUMMYFUNCTION("IFERROR(IF(REGEXMATCH(VLOOKUP(A778,Internal_lists_bugs!$A$2:$R$73,18,FALSE()), ""Yes""), VLOOKUP(A778,Internal_lists_bugs!$A$2:$U$73,21,FALSE()), VLOOKUP(A778,Internal_lists_bugs!$A$2:$R$73,18,FALSE())),""please select a BUG ID"")"),"please select a BUG ID")</f>
        <v>please select a BUG ID</v>
      </c>
      <c r="D778" s="54"/>
      <c r="F778" s="55"/>
      <c r="G778" s="56"/>
      <c r="H778" s="54"/>
      <c r="J778" s="55"/>
      <c r="K778" s="56"/>
    </row>
    <row r="779">
      <c r="A779" s="70"/>
      <c r="B779" s="71" t="str">
        <f>IFERROR(HYPERLINK(VLOOKUP(A779,Internal_lists_bugs!$A$2:$C$73,3,FALSE()), VLOOKUP(A779,Internal_lists_bugs!$A$2:$C$73,3,FALSE())&amp;Char(10) &amp; Char(10) &amp; VLOOKUP(A779,Internal_lists_bugs!$A$2:$Z$73,26,FALSE())),"please select a BUG ID")</f>
        <v>please select a BUG ID</v>
      </c>
      <c r="C779" s="51" t="str">
        <f>IFERROR(__xludf.DUMMYFUNCTION("IFERROR(IF(REGEXMATCH(VLOOKUP(A779,Internal_lists_bugs!$A$2:$R$73,18,FALSE()), ""Yes""), VLOOKUP(A779,Internal_lists_bugs!$A$2:$U$73,21,FALSE()), VLOOKUP(A779,Internal_lists_bugs!$A$2:$R$73,18,FALSE())),""please select a BUG ID"")"),"please select a BUG ID")</f>
        <v>please select a BUG ID</v>
      </c>
      <c r="D779" s="54"/>
      <c r="F779" s="55"/>
      <c r="G779" s="56"/>
      <c r="H779" s="54"/>
      <c r="J779" s="55"/>
      <c r="K779" s="56"/>
    </row>
    <row r="780">
      <c r="A780" s="70"/>
      <c r="B780" s="71" t="str">
        <f>IFERROR(HYPERLINK(VLOOKUP(A780,Internal_lists_bugs!$A$2:$C$73,3,FALSE()), VLOOKUP(A780,Internal_lists_bugs!$A$2:$C$73,3,FALSE())&amp;Char(10) &amp; Char(10) &amp; VLOOKUP(A780,Internal_lists_bugs!$A$2:$Z$73,26,FALSE())),"please select a BUG ID")</f>
        <v>please select a BUG ID</v>
      </c>
      <c r="C780" s="51" t="str">
        <f>IFERROR(__xludf.DUMMYFUNCTION("IFERROR(IF(REGEXMATCH(VLOOKUP(A780,Internal_lists_bugs!$A$2:$R$73,18,FALSE()), ""Yes""), VLOOKUP(A780,Internal_lists_bugs!$A$2:$U$73,21,FALSE()), VLOOKUP(A780,Internal_lists_bugs!$A$2:$R$73,18,FALSE())),""please select a BUG ID"")"),"please select a BUG ID")</f>
        <v>please select a BUG ID</v>
      </c>
      <c r="D780" s="54"/>
      <c r="F780" s="55"/>
      <c r="G780" s="56"/>
      <c r="H780" s="54"/>
      <c r="J780" s="55"/>
      <c r="K780" s="56"/>
    </row>
    <row r="781">
      <c r="A781" s="70"/>
      <c r="B781" s="71" t="str">
        <f>IFERROR(HYPERLINK(VLOOKUP(A781,Internal_lists_bugs!$A$2:$C$73,3,FALSE()), VLOOKUP(A781,Internal_lists_bugs!$A$2:$C$73,3,FALSE())&amp;Char(10) &amp; Char(10) &amp; VLOOKUP(A781,Internal_lists_bugs!$A$2:$Z$73,26,FALSE())),"please select a BUG ID")</f>
        <v>please select a BUG ID</v>
      </c>
      <c r="C781" s="51" t="str">
        <f>IFERROR(__xludf.DUMMYFUNCTION("IFERROR(IF(REGEXMATCH(VLOOKUP(A781,Internal_lists_bugs!$A$2:$R$73,18,FALSE()), ""Yes""), VLOOKUP(A781,Internal_lists_bugs!$A$2:$U$73,21,FALSE()), VLOOKUP(A781,Internal_lists_bugs!$A$2:$R$73,18,FALSE())),""please select a BUG ID"")"),"please select a BUG ID")</f>
        <v>please select a BUG ID</v>
      </c>
      <c r="D781" s="54"/>
      <c r="F781" s="55"/>
      <c r="G781" s="56"/>
      <c r="H781" s="54"/>
      <c r="J781" s="55"/>
      <c r="K781" s="56"/>
    </row>
    <row r="782">
      <c r="A782" s="70"/>
      <c r="B782" s="71" t="str">
        <f>IFERROR(HYPERLINK(VLOOKUP(A782,Internal_lists_bugs!$A$2:$C$73,3,FALSE()), VLOOKUP(A782,Internal_lists_bugs!$A$2:$C$73,3,FALSE())&amp;Char(10) &amp; Char(10) &amp; VLOOKUP(A782,Internal_lists_bugs!$A$2:$Z$73,26,FALSE())),"please select a BUG ID")</f>
        <v>please select a BUG ID</v>
      </c>
      <c r="C782" s="51" t="str">
        <f>IFERROR(__xludf.DUMMYFUNCTION("IFERROR(IF(REGEXMATCH(VLOOKUP(A782,Internal_lists_bugs!$A$2:$R$73,18,FALSE()), ""Yes""), VLOOKUP(A782,Internal_lists_bugs!$A$2:$U$73,21,FALSE()), VLOOKUP(A782,Internal_lists_bugs!$A$2:$R$73,18,FALSE())),""please select a BUG ID"")"),"please select a BUG ID")</f>
        <v>please select a BUG ID</v>
      </c>
      <c r="D782" s="54"/>
      <c r="F782" s="55"/>
      <c r="G782" s="56"/>
      <c r="H782" s="54"/>
      <c r="J782" s="55"/>
      <c r="K782" s="56"/>
    </row>
    <row r="783">
      <c r="A783" s="70"/>
      <c r="B783" s="71" t="str">
        <f>IFERROR(HYPERLINK(VLOOKUP(A783,Internal_lists_bugs!$A$2:$C$73,3,FALSE()), VLOOKUP(A783,Internal_lists_bugs!$A$2:$C$73,3,FALSE())&amp;Char(10) &amp; Char(10) &amp; VLOOKUP(A783,Internal_lists_bugs!$A$2:$Z$73,26,FALSE())),"please select a BUG ID")</f>
        <v>please select a BUG ID</v>
      </c>
      <c r="C783" s="51" t="str">
        <f>IFERROR(__xludf.DUMMYFUNCTION("IFERROR(IF(REGEXMATCH(VLOOKUP(A783,Internal_lists_bugs!$A$2:$R$73,18,FALSE()), ""Yes""), VLOOKUP(A783,Internal_lists_bugs!$A$2:$U$73,21,FALSE()), VLOOKUP(A783,Internal_lists_bugs!$A$2:$R$73,18,FALSE())),""please select a BUG ID"")"),"please select a BUG ID")</f>
        <v>please select a BUG ID</v>
      </c>
      <c r="D783" s="54"/>
      <c r="F783" s="55"/>
      <c r="G783" s="56"/>
      <c r="H783" s="54"/>
      <c r="J783" s="55"/>
      <c r="K783" s="56"/>
    </row>
    <row r="784">
      <c r="A784" s="70"/>
      <c r="B784" s="71" t="str">
        <f>IFERROR(HYPERLINK(VLOOKUP(A784,Internal_lists_bugs!$A$2:$C$73,3,FALSE()), VLOOKUP(A784,Internal_lists_bugs!$A$2:$C$73,3,FALSE())&amp;Char(10) &amp; Char(10) &amp; VLOOKUP(A784,Internal_lists_bugs!$A$2:$Z$73,26,FALSE())),"please select a BUG ID")</f>
        <v>please select a BUG ID</v>
      </c>
      <c r="C784" s="51" t="str">
        <f>IFERROR(__xludf.DUMMYFUNCTION("IFERROR(IF(REGEXMATCH(VLOOKUP(A784,Internal_lists_bugs!$A$2:$R$73,18,FALSE()), ""Yes""), VLOOKUP(A784,Internal_lists_bugs!$A$2:$U$73,21,FALSE()), VLOOKUP(A784,Internal_lists_bugs!$A$2:$R$73,18,FALSE())),""please select a BUG ID"")"),"please select a BUG ID")</f>
        <v>please select a BUG ID</v>
      </c>
      <c r="D784" s="54"/>
      <c r="F784" s="55"/>
      <c r="G784" s="56"/>
      <c r="H784" s="54"/>
      <c r="J784" s="55"/>
      <c r="K784" s="56"/>
    </row>
    <row r="785">
      <c r="A785" s="70"/>
      <c r="B785" s="71" t="str">
        <f>IFERROR(HYPERLINK(VLOOKUP(A785,Internal_lists_bugs!$A$2:$C$73,3,FALSE()), VLOOKUP(A785,Internal_lists_bugs!$A$2:$C$73,3,FALSE())&amp;Char(10) &amp; Char(10) &amp; VLOOKUP(A785,Internal_lists_bugs!$A$2:$Z$73,26,FALSE())),"please select a BUG ID")</f>
        <v>please select a BUG ID</v>
      </c>
      <c r="C785" s="51" t="str">
        <f>IFERROR(__xludf.DUMMYFUNCTION("IFERROR(IF(REGEXMATCH(VLOOKUP(A785,Internal_lists_bugs!$A$2:$R$73,18,FALSE()), ""Yes""), VLOOKUP(A785,Internal_lists_bugs!$A$2:$U$73,21,FALSE()), VLOOKUP(A785,Internal_lists_bugs!$A$2:$R$73,18,FALSE())),""please select a BUG ID"")"),"please select a BUG ID")</f>
        <v>please select a BUG ID</v>
      </c>
      <c r="D785" s="54"/>
      <c r="F785" s="55"/>
      <c r="G785" s="56"/>
      <c r="H785" s="54"/>
      <c r="J785" s="55"/>
      <c r="K785" s="56"/>
    </row>
    <row r="786">
      <c r="A786" s="70"/>
      <c r="B786" s="71" t="str">
        <f>IFERROR(HYPERLINK(VLOOKUP(A786,Internal_lists_bugs!$A$2:$C$73,3,FALSE()), VLOOKUP(A786,Internal_lists_bugs!$A$2:$C$73,3,FALSE())&amp;Char(10) &amp; Char(10) &amp; VLOOKUP(A786,Internal_lists_bugs!$A$2:$Z$73,26,FALSE())),"please select a BUG ID")</f>
        <v>please select a BUG ID</v>
      </c>
      <c r="C786" s="51" t="str">
        <f>IFERROR(__xludf.DUMMYFUNCTION("IFERROR(IF(REGEXMATCH(VLOOKUP(A786,Internal_lists_bugs!$A$2:$R$73,18,FALSE()), ""Yes""), VLOOKUP(A786,Internal_lists_bugs!$A$2:$U$73,21,FALSE()), VLOOKUP(A786,Internal_lists_bugs!$A$2:$R$73,18,FALSE())),""please select a BUG ID"")"),"please select a BUG ID")</f>
        <v>please select a BUG ID</v>
      </c>
      <c r="D786" s="54"/>
      <c r="F786" s="55"/>
      <c r="G786" s="56"/>
      <c r="H786" s="54"/>
      <c r="J786" s="55"/>
      <c r="K786" s="56"/>
    </row>
    <row r="787">
      <c r="A787" s="70"/>
      <c r="B787" s="71" t="str">
        <f>IFERROR(HYPERLINK(VLOOKUP(A787,Internal_lists_bugs!$A$2:$C$73,3,FALSE()), VLOOKUP(A787,Internal_lists_bugs!$A$2:$C$73,3,FALSE())&amp;Char(10) &amp; Char(10) &amp; VLOOKUP(A787,Internal_lists_bugs!$A$2:$Z$73,26,FALSE())),"please select a BUG ID")</f>
        <v>please select a BUG ID</v>
      </c>
      <c r="C787" s="51" t="str">
        <f>IFERROR(__xludf.DUMMYFUNCTION("IFERROR(IF(REGEXMATCH(VLOOKUP(A787,Internal_lists_bugs!$A$2:$R$73,18,FALSE()), ""Yes""), VLOOKUP(A787,Internal_lists_bugs!$A$2:$U$73,21,FALSE()), VLOOKUP(A787,Internal_lists_bugs!$A$2:$R$73,18,FALSE())),""please select a BUG ID"")"),"please select a BUG ID")</f>
        <v>please select a BUG ID</v>
      </c>
      <c r="D787" s="54"/>
      <c r="F787" s="55"/>
      <c r="G787" s="56"/>
      <c r="H787" s="54"/>
      <c r="J787" s="55"/>
      <c r="K787" s="56"/>
    </row>
    <row r="788">
      <c r="A788" s="70"/>
      <c r="B788" s="71" t="str">
        <f>IFERROR(HYPERLINK(VLOOKUP(A788,Internal_lists_bugs!$A$2:$C$73,3,FALSE()), VLOOKUP(A788,Internal_lists_bugs!$A$2:$C$73,3,FALSE())&amp;Char(10) &amp; Char(10) &amp; VLOOKUP(A788,Internal_lists_bugs!$A$2:$Z$73,26,FALSE())),"please select a BUG ID")</f>
        <v>please select a BUG ID</v>
      </c>
      <c r="C788" s="51" t="str">
        <f>IFERROR(__xludf.DUMMYFUNCTION("IFERROR(IF(REGEXMATCH(VLOOKUP(A788,Internal_lists_bugs!$A$2:$R$73,18,FALSE()), ""Yes""), VLOOKUP(A788,Internal_lists_bugs!$A$2:$U$73,21,FALSE()), VLOOKUP(A788,Internal_lists_bugs!$A$2:$R$73,18,FALSE())),""please select a BUG ID"")"),"please select a BUG ID")</f>
        <v>please select a BUG ID</v>
      </c>
      <c r="D788" s="54"/>
      <c r="F788" s="55"/>
      <c r="G788" s="56"/>
      <c r="H788" s="54"/>
      <c r="J788" s="55"/>
      <c r="K788" s="56"/>
    </row>
    <row r="789">
      <c r="A789" s="70"/>
      <c r="B789" s="71" t="str">
        <f>IFERROR(HYPERLINK(VLOOKUP(A789,Internal_lists_bugs!$A$2:$C$73,3,FALSE()), VLOOKUP(A789,Internal_lists_bugs!$A$2:$C$73,3,FALSE())&amp;Char(10) &amp; Char(10) &amp; VLOOKUP(A789,Internal_lists_bugs!$A$2:$Z$73,26,FALSE())),"please select a BUG ID")</f>
        <v>please select a BUG ID</v>
      </c>
      <c r="C789" s="51" t="str">
        <f>IFERROR(__xludf.DUMMYFUNCTION("IFERROR(IF(REGEXMATCH(VLOOKUP(A789,Internal_lists_bugs!$A$2:$R$73,18,FALSE()), ""Yes""), VLOOKUP(A789,Internal_lists_bugs!$A$2:$U$73,21,FALSE()), VLOOKUP(A789,Internal_lists_bugs!$A$2:$R$73,18,FALSE())),""please select a BUG ID"")"),"please select a BUG ID")</f>
        <v>please select a BUG ID</v>
      </c>
      <c r="D789" s="54"/>
      <c r="F789" s="55"/>
      <c r="G789" s="56"/>
      <c r="H789" s="54"/>
      <c r="J789" s="55"/>
      <c r="K789" s="56"/>
    </row>
    <row r="790">
      <c r="A790" s="70"/>
      <c r="B790" s="71" t="str">
        <f>IFERROR(HYPERLINK(VLOOKUP(A790,Internal_lists_bugs!$A$2:$C$73,3,FALSE()), VLOOKUP(A790,Internal_lists_bugs!$A$2:$C$73,3,FALSE())&amp;Char(10) &amp; Char(10) &amp; VLOOKUP(A790,Internal_lists_bugs!$A$2:$Z$73,26,FALSE())),"please select a BUG ID")</f>
        <v>please select a BUG ID</v>
      </c>
      <c r="C790" s="51" t="str">
        <f>IFERROR(__xludf.DUMMYFUNCTION("IFERROR(IF(REGEXMATCH(VLOOKUP(A790,Internal_lists_bugs!$A$2:$R$73,18,FALSE()), ""Yes""), VLOOKUP(A790,Internal_lists_bugs!$A$2:$U$73,21,FALSE()), VLOOKUP(A790,Internal_lists_bugs!$A$2:$R$73,18,FALSE())),""please select a BUG ID"")"),"please select a BUG ID")</f>
        <v>please select a BUG ID</v>
      </c>
      <c r="D790" s="54"/>
      <c r="F790" s="55"/>
      <c r="G790" s="56"/>
      <c r="H790" s="54"/>
      <c r="J790" s="55"/>
      <c r="K790" s="56"/>
    </row>
    <row r="791">
      <c r="A791" s="70"/>
      <c r="B791" s="71" t="str">
        <f>IFERROR(HYPERLINK(VLOOKUP(A791,Internal_lists_bugs!$A$2:$C$73,3,FALSE()), VLOOKUP(A791,Internal_lists_bugs!$A$2:$C$73,3,FALSE())&amp;Char(10) &amp; Char(10) &amp; VLOOKUP(A791,Internal_lists_bugs!$A$2:$Z$73,26,FALSE())),"please select a BUG ID")</f>
        <v>please select a BUG ID</v>
      </c>
      <c r="C791" s="51" t="str">
        <f>IFERROR(__xludf.DUMMYFUNCTION("IFERROR(IF(REGEXMATCH(VLOOKUP(A791,Internal_lists_bugs!$A$2:$R$73,18,FALSE()), ""Yes""), VLOOKUP(A791,Internal_lists_bugs!$A$2:$U$73,21,FALSE()), VLOOKUP(A791,Internal_lists_bugs!$A$2:$R$73,18,FALSE())),""please select a BUG ID"")"),"please select a BUG ID")</f>
        <v>please select a BUG ID</v>
      </c>
      <c r="D791" s="54"/>
      <c r="F791" s="55"/>
      <c r="G791" s="56"/>
      <c r="H791" s="54"/>
      <c r="J791" s="55"/>
      <c r="K791" s="56"/>
    </row>
    <row r="792">
      <c r="A792" s="70"/>
      <c r="B792" s="71" t="str">
        <f>IFERROR(HYPERLINK(VLOOKUP(A792,Internal_lists_bugs!$A$2:$C$73,3,FALSE()), VLOOKUP(A792,Internal_lists_bugs!$A$2:$C$73,3,FALSE())&amp;Char(10) &amp; Char(10) &amp; VLOOKUP(A792,Internal_lists_bugs!$A$2:$Z$73,26,FALSE())),"please select a BUG ID")</f>
        <v>please select a BUG ID</v>
      </c>
      <c r="C792" s="51" t="str">
        <f>IFERROR(__xludf.DUMMYFUNCTION("IFERROR(IF(REGEXMATCH(VLOOKUP(A792,Internal_lists_bugs!$A$2:$R$73,18,FALSE()), ""Yes""), VLOOKUP(A792,Internal_lists_bugs!$A$2:$U$73,21,FALSE()), VLOOKUP(A792,Internal_lists_bugs!$A$2:$R$73,18,FALSE())),""please select a BUG ID"")"),"please select a BUG ID")</f>
        <v>please select a BUG ID</v>
      </c>
      <c r="D792" s="54"/>
      <c r="F792" s="55"/>
      <c r="G792" s="56"/>
      <c r="H792" s="54"/>
      <c r="J792" s="55"/>
      <c r="K792" s="56"/>
    </row>
    <row r="793">
      <c r="A793" s="70"/>
      <c r="B793" s="71" t="str">
        <f>IFERROR(HYPERLINK(VLOOKUP(A793,Internal_lists_bugs!$A$2:$C$73,3,FALSE()), VLOOKUP(A793,Internal_lists_bugs!$A$2:$C$73,3,FALSE())&amp;Char(10) &amp; Char(10) &amp; VLOOKUP(A793,Internal_lists_bugs!$A$2:$Z$73,26,FALSE())),"please select a BUG ID")</f>
        <v>please select a BUG ID</v>
      </c>
      <c r="C793" s="51" t="str">
        <f>IFERROR(__xludf.DUMMYFUNCTION("IFERROR(IF(REGEXMATCH(VLOOKUP(A793,Internal_lists_bugs!$A$2:$R$73,18,FALSE()), ""Yes""), VLOOKUP(A793,Internal_lists_bugs!$A$2:$U$73,21,FALSE()), VLOOKUP(A793,Internal_lists_bugs!$A$2:$R$73,18,FALSE())),""please select a BUG ID"")"),"please select a BUG ID")</f>
        <v>please select a BUG ID</v>
      </c>
      <c r="D793" s="54"/>
      <c r="F793" s="55"/>
      <c r="G793" s="56"/>
      <c r="H793" s="54"/>
      <c r="J793" s="55"/>
      <c r="K793" s="56"/>
    </row>
    <row r="794">
      <c r="A794" s="70"/>
      <c r="B794" s="71" t="str">
        <f>IFERROR(HYPERLINK(VLOOKUP(A794,Internal_lists_bugs!$A$2:$C$73,3,FALSE()), VLOOKUP(A794,Internal_lists_bugs!$A$2:$C$73,3,FALSE())&amp;Char(10) &amp; Char(10) &amp; VLOOKUP(A794,Internal_lists_bugs!$A$2:$Z$73,26,FALSE())),"please select a BUG ID")</f>
        <v>please select a BUG ID</v>
      </c>
      <c r="C794" s="51" t="str">
        <f>IFERROR(__xludf.DUMMYFUNCTION("IFERROR(IF(REGEXMATCH(VLOOKUP(A794,Internal_lists_bugs!$A$2:$R$73,18,FALSE()), ""Yes""), VLOOKUP(A794,Internal_lists_bugs!$A$2:$U$73,21,FALSE()), VLOOKUP(A794,Internal_lists_bugs!$A$2:$R$73,18,FALSE())),""please select a BUG ID"")"),"please select a BUG ID")</f>
        <v>please select a BUG ID</v>
      </c>
      <c r="D794" s="54"/>
      <c r="F794" s="55"/>
      <c r="G794" s="56"/>
      <c r="H794" s="54"/>
      <c r="J794" s="55"/>
      <c r="K794" s="56"/>
    </row>
    <row r="795">
      <c r="A795" s="70"/>
      <c r="B795" s="71" t="str">
        <f>IFERROR(HYPERLINK(VLOOKUP(A795,Internal_lists_bugs!$A$2:$C$73,3,FALSE()), VLOOKUP(A795,Internal_lists_bugs!$A$2:$C$73,3,FALSE())&amp;Char(10) &amp; Char(10) &amp; VLOOKUP(A795,Internal_lists_bugs!$A$2:$Z$73,26,FALSE())),"please select a BUG ID")</f>
        <v>please select a BUG ID</v>
      </c>
      <c r="C795" s="51" t="str">
        <f>IFERROR(__xludf.DUMMYFUNCTION("IFERROR(IF(REGEXMATCH(VLOOKUP(A795,Internal_lists_bugs!$A$2:$R$73,18,FALSE()), ""Yes""), VLOOKUP(A795,Internal_lists_bugs!$A$2:$U$73,21,FALSE()), VLOOKUP(A795,Internal_lists_bugs!$A$2:$R$73,18,FALSE())),""please select a BUG ID"")"),"please select a BUG ID")</f>
        <v>please select a BUG ID</v>
      </c>
      <c r="D795" s="54"/>
      <c r="F795" s="55"/>
      <c r="G795" s="56"/>
      <c r="H795" s="54"/>
      <c r="J795" s="55"/>
      <c r="K795" s="56"/>
    </row>
    <row r="796">
      <c r="A796" s="70"/>
      <c r="B796" s="71" t="str">
        <f>IFERROR(HYPERLINK(VLOOKUP(A796,Internal_lists_bugs!$A$2:$C$73,3,FALSE()), VLOOKUP(A796,Internal_lists_bugs!$A$2:$C$73,3,FALSE())&amp;Char(10) &amp; Char(10) &amp; VLOOKUP(A796,Internal_lists_bugs!$A$2:$Z$73,26,FALSE())),"please select a BUG ID")</f>
        <v>please select a BUG ID</v>
      </c>
      <c r="C796" s="51" t="str">
        <f>IFERROR(__xludf.DUMMYFUNCTION("IFERROR(IF(REGEXMATCH(VLOOKUP(A796,Internal_lists_bugs!$A$2:$R$73,18,FALSE()), ""Yes""), VLOOKUP(A796,Internal_lists_bugs!$A$2:$U$73,21,FALSE()), VLOOKUP(A796,Internal_lists_bugs!$A$2:$R$73,18,FALSE())),""please select a BUG ID"")"),"please select a BUG ID")</f>
        <v>please select a BUG ID</v>
      </c>
      <c r="D796" s="54"/>
      <c r="F796" s="55"/>
      <c r="G796" s="56"/>
      <c r="H796" s="54"/>
      <c r="J796" s="55"/>
      <c r="K796" s="56"/>
    </row>
    <row r="797">
      <c r="A797" s="70"/>
      <c r="B797" s="71" t="str">
        <f>IFERROR(HYPERLINK(VLOOKUP(A797,Internal_lists_bugs!$A$2:$C$73,3,FALSE()), VLOOKUP(A797,Internal_lists_bugs!$A$2:$C$73,3,FALSE())&amp;Char(10) &amp; Char(10) &amp; VLOOKUP(A797,Internal_lists_bugs!$A$2:$Z$73,26,FALSE())),"please select a BUG ID")</f>
        <v>please select a BUG ID</v>
      </c>
      <c r="C797" s="51" t="str">
        <f>IFERROR(__xludf.DUMMYFUNCTION("IFERROR(IF(REGEXMATCH(VLOOKUP(A797,Internal_lists_bugs!$A$2:$R$73,18,FALSE()), ""Yes""), VLOOKUP(A797,Internal_lists_bugs!$A$2:$U$73,21,FALSE()), VLOOKUP(A797,Internal_lists_bugs!$A$2:$R$73,18,FALSE())),""please select a BUG ID"")"),"please select a BUG ID")</f>
        <v>please select a BUG ID</v>
      </c>
      <c r="D797" s="54"/>
      <c r="F797" s="55"/>
      <c r="G797" s="56"/>
      <c r="H797" s="54"/>
      <c r="J797" s="55"/>
      <c r="K797" s="56"/>
    </row>
    <row r="798">
      <c r="A798" s="70"/>
      <c r="B798" s="71" t="str">
        <f>IFERROR(HYPERLINK(VLOOKUP(A798,Internal_lists_bugs!$A$2:$C$73,3,FALSE()), VLOOKUP(A798,Internal_lists_bugs!$A$2:$C$73,3,FALSE())&amp;Char(10) &amp; Char(10) &amp; VLOOKUP(A798,Internal_lists_bugs!$A$2:$Z$73,26,FALSE())),"please select a BUG ID")</f>
        <v>please select a BUG ID</v>
      </c>
      <c r="C798" s="51" t="str">
        <f>IFERROR(__xludf.DUMMYFUNCTION("IFERROR(IF(REGEXMATCH(VLOOKUP(A798,Internal_lists_bugs!$A$2:$R$73,18,FALSE()), ""Yes""), VLOOKUP(A798,Internal_lists_bugs!$A$2:$U$73,21,FALSE()), VLOOKUP(A798,Internal_lists_bugs!$A$2:$R$73,18,FALSE())),""please select a BUG ID"")"),"please select a BUG ID")</f>
        <v>please select a BUG ID</v>
      </c>
      <c r="D798" s="54"/>
      <c r="F798" s="55"/>
      <c r="G798" s="56"/>
      <c r="H798" s="54"/>
      <c r="J798" s="55"/>
      <c r="K798" s="56"/>
    </row>
    <row r="799">
      <c r="A799" s="70"/>
      <c r="B799" s="71" t="str">
        <f>IFERROR(HYPERLINK(VLOOKUP(A799,Internal_lists_bugs!$A$2:$C$73,3,FALSE()), VLOOKUP(A799,Internal_lists_bugs!$A$2:$C$73,3,FALSE())&amp;Char(10) &amp; Char(10) &amp; VLOOKUP(A799,Internal_lists_bugs!$A$2:$Z$73,26,FALSE())),"please select a BUG ID")</f>
        <v>please select a BUG ID</v>
      </c>
      <c r="C799" s="51" t="str">
        <f>IFERROR(__xludf.DUMMYFUNCTION("IFERROR(IF(REGEXMATCH(VLOOKUP(A799,Internal_lists_bugs!$A$2:$R$73,18,FALSE()), ""Yes""), VLOOKUP(A799,Internal_lists_bugs!$A$2:$U$73,21,FALSE()), VLOOKUP(A799,Internal_lists_bugs!$A$2:$R$73,18,FALSE())),""please select a BUG ID"")"),"please select a BUG ID")</f>
        <v>please select a BUG ID</v>
      </c>
      <c r="D799" s="54"/>
      <c r="F799" s="55"/>
      <c r="G799" s="56"/>
      <c r="H799" s="54"/>
      <c r="J799" s="55"/>
      <c r="K799" s="56"/>
    </row>
    <row r="800">
      <c r="A800" s="70"/>
      <c r="B800" s="71" t="str">
        <f>IFERROR(HYPERLINK(VLOOKUP(A800,Internal_lists_bugs!$A$2:$C$73,3,FALSE()), VLOOKUP(A800,Internal_lists_bugs!$A$2:$C$73,3,FALSE())&amp;Char(10) &amp; Char(10) &amp; VLOOKUP(A800,Internal_lists_bugs!$A$2:$Z$73,26,FALSE())),"please select a BUG ID")</f>
        <v>please select a BUG ID</v>
      </c>
      <c r="C800" s="51" t="str">
        <f>IFERROR(__xludf.DUMMYFUNCTION("IFERROR(IF(REGEXMATCH(VLOOKUP(A800,Internal_lists_bugs!$A$2:$R$73,18,FALSE()), ""Yes""), VLOOKUP(A800,Internal_lists_bugs!$A$2:$U$73,21,FALSE()), VLOOKUP(A800,Internal_lists_bugs!$A$2:$R$73,18,FALSE())),""please select a BUG ID"")"),"please select a BUG ID")</f>
        <v>please select a BUG ID</v>
      </c>
      <c r="D800" s="54"/>
      <c r="F800" s="55"/>
      <c r="G800" s="56"/>
      <c r="H800" s="54"/>
      <c r="J800" s="55"/>
      <c r="K800" s="56"/>
    </row>
    <row r="801">
      <c r="A801" s="70"/>
      <c r="B801" s="71" t="str">
        <f>IFERROR(HYPERLINK(VLOOKUP(A801,Internal_lists_bugs!$A$2:$C$73,3,FALSE()), VLOOKUP(A801,Internal_lists_bugs!$A$2:$C$73,3,FALSE())&amp;Char(10) &amp; Char(10) &amp; VLOOKUP(A801,Internal_lists_bugs!$A$2:$Z$73,26,FALSE())),"please select a BUG ID")</f>
        <v>please select a BUG ID</v>
      </c>
      <c r="C801" s="51" t="str">
        <f>IFERROR(__xludf.DUMMYFUNCTION("IFERROR(IF(REGEXMATCH(VLOOKUP(A801,Internal_lists_bugs!$A$2:$R$73,18,FALSE()), ""Yes""), VLOOKUP(A801,Internal_lists_bugs!$A$2:$U$73,21,FALSE()), VLOOKUP(A801,Internal_lists_bugs!$A$2:$R$73,18,FALSE())),""please select a BUG ID"")"),"please select a BUG ID")</f>
        <v>please select a BUG ID</v>
      </c>
      <c r="D801" s="54"/>
      <c r="F801" s="55"/>
      <c r="G801" s="56"/>
      <c r="H801" s="54"/>
      <c r="J801" s="55"/>
      <c r="K801" s="56"/>
    </row>
    <row r="802">
      <c r="A802" s="70"/>
      <c r="B802" s="71" t="str">
        <f>IFERROR(HYPERLINK(VLOOKUP(A802,Internal_lists_bugs!$A$2:$C$73,3,FALSE()), VLOOKUP(A802,Internal_lists_bugs!$A$2:$C$73,3,FALSE())&amp;Char(10) &amp; Char(10) &amp; VLOOKUP(A802,Internal_lists_bugs!$A$2:$Z$73,26,FALSE())),"please select a BUG ID")</f>
        <v>please select a BUG ID</v>
      </c>
      <c r="C802" s="51" t="str">
        <f>IFERROR(__xludf.DUMMYFUNCTION("IFERROR(IF(REGEXMATCH(VLOOKUP(A802,Internal_lists_bugs!$A$2:$R$73,18,FALSE()), ""Yes""), VLOOKUP(A802,Internal_lists_bugs!$A$2:$U$73,21,FALSE()), VLOOKUP(A802,Internal_lists_bugs!$A$2:$R$73,18,FALSE())),""please select a BUG ID"")"),"please select a BUG ID")</f>
        <v>please select a BUG ID</v>
      </c>
      <c r="D802" s="54"/>
      <c r="F802" s="55"/>
      <c r="G802" s="56"/>
      <c r="H802" s="54"/>
      <c r="J802" s="55"/>
      <c r="K802" s="56"/>
    </row>
    <row r="803">
      <c r="A803" s="70"/>
      <c r="B803" s="71" t="str">
        <f>IFERROR(HYPERLINK(VLOOKUP(A803,Internal_lists_bugs!$A$2:$C$73,3,FALSE()), VLOOKUP(A803,Internal_lists_bugs!$A$2:$C$73,3,FALSE())&amp;Char(10) &amp; Char(10) &amp; VLOOKUP(A803,Internal_lists_bugs!$A$2:$Z$73,26,FALSE())),"please select a BUG ID")</f>
        <v>please select a BUG ID</v>
      </c>
      <c r="C803" s="51" t="str">
        <f>IFERROR(__xludf.DUMMYFUNCTION("IFERROR(IF(REGEXMATCH(VLOOKUP(A803,Internal_lists_bugs!$A$2:$R$73,18,FALSE()), ""Yes""), VLOOKUP(A803,Internal_lists_bugs!$A$2:$U$73,21,FALSE()), VLOOKUP(A803,Internal_lists_bugs!$A$2:$R$73,18,FALSE())),""please select a BUG ID"")"),"please select a BUG ID")</f>
        <v>please select a BUG ID</v>
      </c>
      <c r="D803" s="54"/>
      <c r="F803" s="55"/>
      <c r="G803" s="56"/>
      <c r="H803" s="54"/>
      <c r="J803" s="55"/>
      <c r="K803" s="56"/>
    </row>
    <row r="804">
      <c r="A804" s="70"/>
      <c r="B804" s="71" t="str">
        <f>IFERROR(HYPERLINK(VLOOKUP(A804,Internal_lists_bugs!$A$2:$C$73,3,FALSE()), VLOOKUP(A804,Internal_lists_bugs!$A$2:$C$73,3,FALSE())&amp;Char(10) &amp; Char(10) &amp; VLOOKUP(A804,Internal_lists_bugs!$A$2:$Z$73,26,FALSE())),"please select a BUG ID")</f>
        <v>please select a BUG ID</v>
      </c>
      <c r="C804" s="51" t="str">
        <f>IFERROR(__xludf.DUMMYFUNCTION("IFERROR(IF(REGEXMATCH(VLOOKUP(A804,Internal_lists_bugs!$A$2:$R$73,18,FALSE()), ""Yes""), VLOOKUP(A804,Internal_lists_bugs!$A$2:$U$73,21,FALSE()), VLOOKUP(A804,Internal_lists_bugs!$A$2:$R$73,18,FALSE())),""please select a BUG ID"")"),"please select a BUG ID")</f>
        <v>please select a BUG ID</v>
      </c>
      <c r="D804" s="54"/>
      <c r="F804" s="55"/>
      <c r="G804" s="56"/>
      <c r="H804" s="54"/>
      <c r="J804" s="55"/>
      <c r="K804" s="56"/>
    </row>
    <row r="805">
      <c r="A805" s="70"/>
      <c r="B805" s="71" t="str">
        <f>IFERROR(HYPERLINK(VLOOKUP(A805,Internal_lists_bugs!$A$2:$C$73,3,FALSE()), VLOOKUP(A805,Internal_lists_bugs!$A$2:$C$73,3,FALSE())&amp;Char(10) &amp; Char(10) &amp; VLOOKUP(A805,Internal_lists_bugs!$A$2:$Z$73,26,FALSE())),"please select a BUG ID")</f>
        <v>please select a BUG ID</v>
      </c>
      <c r="C805" s="51" t="str">
        <f>IFERROR(__xludf.DUMMYFUNCTION("IFERROR(IF(REGEXMATCH(VLOOKUP(A805,Internal_lists_bugs!$A$2:$R$73,18,FALSE()), ""Yes""), VLOOKUP(A805,Internal_lists_bugs!$A$2:$U$73,21,FALSE()), VLOOKUP(A805,Internal_lists_bugs!$A$2:$R$73,18,FALSE())),""please select a BUG ID"")"),"please select a BUG ID")</f>
        <v>please select a BUG ID</v>
      </c>
      <c r="D805" s="54"/>
      <c r="F805" s="55"/>
      <c r="G805" s="56"/>
      <c r="H805" s="54"/>
      <c r="J805" s="55"/>
      <c r="K805" s="56"/>
    </row>
    <row r="806">
      <c r="A806" s="70"/>
      <c r="B806" s="71" t="str">
        <f>IFERROR(HYPERLINK(VLOOKUP(A806,Internal_lists_bugs!$A$2:$C$73,3,FALSE()), VLOOKUP(A806,Internal_lists_bugs!$A$2:$C$73,3,FALSE())&amp;Char(10) &amp; Char(10) &amp; VLOOKUP(A806,Internal_lists_bugs!$A$2:$Z$73,26,FALSE())),"please select a BUG ID")</f>
        <v>please select a BUG ID</v>
      </c>
      <c r="C806" s="51" t="str">
        <f>IFERROR(__xludf.DUMMYFUNCTION("IFERROR(IF(REGEXMATCH(VLOOKUP(A806,Internal_lists_bugs!$A$2:$R$73,18,FALSE()), ""Yes""), VLOOKUP(A806,Internal_lists_bugs!$A$2:$U$73,21,FALSE()), VLOOKUP(A806,Internal_lists_bugs!$A$2:$R$73,18,FALSE())),""please select a BUG ID"")"),"please select a BUG ID")</f>
        <v>please select a BUG ID</v>
      </c>
      <c r="D806" s="54"/>
      <c r="F806" s="55"/>
      <c r="G806" s="56"/>
      <c r="H806" s="54"/>
      <c r="J806" s="55"/>
      <c r="K806" s="56"/>
    </row>
    <row r="807">
      <c r="A807" s="70"/>
      <c r="B807" s="71" t="str">
        <f>IFERROR(HYPERLINK(VLOOKUP(A807,Internal_lists_bugs!$A$2:$C$73,3,FALSE()), VLOOKUP(A807,Internal_lists_bugs!$A$2:$C$73,3,FALSE())&amp;Char(10) &amp; Char(10) &amp; VLOOKUP(A807,Internal_lists_bugs!$A$2:$Z$73,26,FALSE())),"please select a BUG ID")</f>
        <v>please select a BUG ID</v>
      </c>
      <c r="C807" s="51" t="str">
        <f>IFERROR(__xludf.DUMMYFUNCTION("IFERROR(IF(REGEXMATCH(VLOOKUP(A807,Internal_lists_bugs!$A$2:$R$73,18,FALSE()), ""Yes""), VLOOKUP(A807,Internal_lists_bugs!$A$2:$U$73,21,FALSE()), VLOOKUP(A807,Internal_lists_bugs!$A$2:$R$73,18,FALSE())),""please select a BUG ID"")"),"please select a BUG ID")</f>
        <v>please select a BUG ID</v>
      </c>
      <c r="D807" s="54"/>
      <c r="F807" s="55"/>
      <c r="G807" s="56"/>
      <c r="H807" s="54"/>
      <c r="J807" s="55"/>
      <c r="K807" s="56"/>
    </row>
    <row r="808">
      <c r="A808" s="70"/>
      <c r="B808" s="71" t="str">
        <f>IFERROR(HYPERLINK(VLOOKUP(A808,Internal_lists_bugs!$A$2:$C$73,3,FALSE()), VLOOKUP(A808,Internal_lists_bugs!$A$2:$C$73,3,FALSE())&amp;Char(10) &amp; Char(10) &amp; VLOOKUP(A808,Internal_lists_bugs!$A$2:$Z$73,26,FALSE())),"please select a BUG ID")</f>
        <v>please select a BUG ID</v>
      </c>
      <c r="C808" s="51" t="str">
        <f>IFERROR(__xludf.DUMMYFUNCTION("IFERROR(IF(REGEXMATCH(VLOOKUP(A808,Internal_lists_bugs!$A$2:$R$73,18,FALSE()), ""Yes""), VLOOKUP(A808,Internal_lists_bugs!$A$2:$U$73,21,FALSE()), VLOOKUP(A808,Internal_lists_bugs!$A$2:$R$73,18,FALSE())),""please select a BUG ID"")"),"please select a BUG ID")</f>
        <v>please select a BUG ID</v>
      </c>
      <c r="D808" s="54"/>
      <c r="F808" s="55"/>
      <c r="G808" s="56"/>
      <c r="H808" s="54"/>
      <c r="J808" s="55"/>
      <c r="K808" s="56"/>
    </row>
    <row r="809">
      <c r="A809" s="70"/>
      <c r="B809" s="71" t="str">
        <f>IFERROR(HYPERLINK(VLOOKUP(A809,Internal_lists_bugs!$A$2:$C$73,3,FALSE()), VLOOKUP(A809,Internal_lists_bugs!$A$2:$C$73,3,FALSE())&amp;Char(10) &amp; Char(10) &amp; VLOOKUP(A809,Internal_lists_bugs!$A$2:$Z$73,26,FALSE())),"please select a BUG ID")</f>
        <v>please select a BUG ID</v>
      </c>
      <c r="C809" s="51" t="str">
        <f>IFERROR(__xludf.DUMMYFUNCTION("IFERROR(IF(REGEXMATCH(VLOOKUP(A809,Internal_lists_bugs!$A$2:$R$73,18,FALSE()), ""Yes""), VLOOKUP(A809,Internal_lists_bugs!$A$2:$U$73,21,FALSE()), VLOOKUP(A809,Internal_lists_bugs!$A$2:$R$73,18,FALSE())),""please select a BUG ID"")"),"please select a BUG ID")</f>
        <v>please select a BUG ID</v>
      </c>
      <c r="D809" s="54"/>
      <c r="F809" s="55"/>
      <c r="G809" s="56"/>
      <c r="H809" s="54"/>
      <c r="J809" s="55"/>
      <c r="K809" s="56"/>
    </row>
    <row r="810">
      <c r="A810" s="70"/>
      <c r="B810" s="71" t="str">
        <f>IFERROR(HYPERLINK(VLOOKUP(A810,Internal_lists_bugs!$A$2:$C$73,3,FALSE()), VLOOKUP(A810,Internal_lists_bugs!$A$2:$C$73,3,FALSE())&amp;Char(10) &amp; Char(10) &amp; VLOOKUP(A810,Internal_lists_bugs!$A$2:$Z$73,26,FALSE())),"please select a BUG ID")</f>
        <v>please select a BUG ID</v>
      </c>
      <c r="C810" s="51" t="str">
        <f>IFERROR(__xludf.DUMMYFUNCTION("IFERROR(IF(REGEXMATCH(VLOOKUP(A810,Internal_lists_bugs!$A$2:$R$73,18,FALSE()), ""Yes""), VLOOKUP(A810,Internal_lists_bugs!$A$2:$U$73,21,FALSE()), VLOOKUP(A810,Internal_lists_bugs!$A$2:$R$73,18,FALSE())),""please select a BUG ID"")"),"please select a BUG ID")</f>
        <v>please select a BUG ID</v>
      </c>
      <c r="D810" s="54"/>
      <c r="F810" s="55"/>
      <c r="G810" s="56"/>
      <c r="H810" s="54"/>
      <c r="J810" s="55"/>
      <c r="K810" s="56"/>
    </row>
    <row r="811">
      <c r="A811" s="70"/>
      <c r="B811" s="71" t="str">
        <f>IFERROR(HYPERLINK(VLOOKUP(A811,Internal_lists_bugs!$A$2:$C$73,3,FALSE()), VLOOKUP(A811,Internal_lists_bugs!$A$2:$C$73,3,FALSE())&amp;Char(10) &amp; Char(10) &amp; VLOOKUP(A811,Internal_lists_bugs!$A$2:$Z$73,26,FALSE())),"please select a BUG ID")</f>
        <v>please select a BUG ID</v>
      </c>
      <c r="C811" s="51" t="str">
        <f>IFERROR(__xludf.DUMMYFUNCTION("IFERROR(IF(REGEXMATCH(VLOOKUP(A811,Internal_lists_bugs!$A$2:$R$73,18,FALSE()), ""Yes""), VLOOKUP(A811,Internal_lists_bugs!$A$2:$U$73,21,FALSE()), VLOOKUP(A811,Internal_lists_bugs!$A$2:$R$73,18,FALSE())),""please select a BUG ID"")"),"please select a BUG ID")</f>
        <v>please select a BUG ID</v>
      </c>
      <c r="D811" s="54"/>
      <c r="F811" s="55"/>
      <c r="G811" s="56"/>
      <c r="H811" s="54"/>
      <c r="J811" s="55"/>
      <c r="K811" s="56"/>
    </row>
    <row r="812">
      <c r="A812" s="70"/>
      <c r="B812" s="71" t="str">
        <f>IFERROR(HYPERLINK(VLOOKUP(A812,Internal_lists_bugs!$A$2:$C$73,3,FALSE()), VLOOKUP(A812,Internal_lists_bugs!$A$2:$C$73,3,FALSE())&amp;Char(10) &amp; Char(10) &amp; VLOOKUP(A812,Internal_lists_bugs!$A$2:$Z$73,26,FALSE())),"please select a BUG ID")</f>
        <v>please select a BUG ID</v>
      </c>
      <c r="C812" s="51" t="str">
        <f>IFERROR(__xludf.DUMMYFUNCTION("IFERROR(IF(REGEXMATCH(VLOOKUP(A812,Internal_lists_bugs!$A$2:$R$73,18,FALSE()), ""Yes""), VLOOKUP(A812,Internal_lists_bugs!$A$2:$U$73,21,FALSE()), VLOOKUP(A812,Internal_lists_bugs!$A$2:$R$73,18,FALSE())),""please select a BUG ID"")"),"please select a BUG ID")</f>
        <v>please select a BUG ID</v>
      </c>
      <c r="D812" s="54"/>
      <c r="F812" s="55"/>
      <c r="G812" s="56"/>
      <c r="H812" s="54"/>
      <c r="J812" s="55"/>
      <c r="K812" s="56"/>
    </row>
    <row r="813">
      <c r="A813" s="70"/>
      <c r="B813" s="71" t="str">
        <f>IFERROR(HYPERLINK(VLOOKUP(A813,Internal_lists_bugs!$A$2:$C$73,3,FALSE()), VLOOKUP(A813,Internal_lists_bugs!$A$2:$C$73,3,FALSE())&amp;Char(10) &amp; Char(10) &amp; VLOOKUP(A813,Internal_lists_bugs!$A$2:$Z$73,26,FALSE())),"please select a BUG ID")</f>
        <v>please select a BUG ID</v>
      </c>
      <c r="C813" s="51" t="str">
        <f>IFERROR(__xludf.DUMMYFUNCTION("IFERROR(IF(REGEXMATCH(VLOOKUP(A813,Internal_lists_bugs!$A$2:$R$73,18,FALSE()), ""Yes""), VLOOKUP(A813,Internal_lists_bugs!$A$2:$U$73,21,FALSE()), VLOOKUP(A813,Internal_lists_bugs!$A$2:$R$73,18,FALSE())),""please select a BUG ID"")"),"please select a BUG ID")</f>
        <v>please select a BUG ID</v>
      </c>
      <c r="D813" s="54"/>
      <c r="F813" s="55"/>
      <c r="G813" s="56"/>
      <c r="H813" s="54"/>
      <c r="J813" s="55"/>
      <c r="K813" s="56"/>
    </row>
    <row r="814">
      <c r="A814" s="70"/>
      <c r="B814" s="71" t="str">
        <f>IFERROR(HYPERLINK(VLOOKUP(A814,Internal_lists_bugs!$A$2:$C$73,3,FALSE()), VLOOKUP(A814,Internal_lists_bugs!$A$2:$C$73,3,FALSE())&amp;Char(10) &amp; Char(10) &amp; VLOOKUP(A814,Internal_lists_bugs!$A$2:$Z$73,26,FALSE())),"please select a BUG ID")</f>
        <v>please select a BUG ID</v>
      </c>
      <c r="C814" s="51" t="str">
        <f>IFERROR(__xludf.DUMMYFUNCTION("IFERROR(IF(REGEXMATCH(VLOOKUP(A814,Internal_lists_bugs!$A$2:$R$73,18,FALSE()), ""Yes""), VLOOKUP(A814,Internal_lists_bugs!$A$2:$U$73,21,FALSE()), VLOOKUP(A814,Internal_lists_bugs!$A$2:$R$73,18,FALSE())),""please select a BUG ID"")"),"please select a BUG ID")</f>
        <v>please select a BUG ID</v>
      </c>
      <c r="D814" s="54"/>
      <c r="F814" s="55"/>
      <c r="G814" s="56"/>
      <c r="H814" s="54"/>
      <c r="J814" s="55"/>
      <c r="K814" s="56"/>
    </row>
    <row r="815">
      <c r="A815" s="70"/>
      <c r="B815" s="71" t="str">
        <f>IFERROR(HYPERLINK(VLOOKUP(A815,Internal_lists_bugs!$A$2:$C$73,3,FALSE()), VLOOKUP(A815,Internal_lists_bugs!$A$2:$C$73,3,FALSE())&amp;Char(10) &amp; Char(10) &amp; VLOOKUP(A815,Internal_lists_bugs!$A$2:$Z$73,26,FALSE())),"please select a BUG ID")</f>
        <v>please select a BUG ID</v>
      </c>
      <c r="C815" s="51" t="str">
        <f>IFERROR(__xludf.DUMMYFUNCTION("IFERROR(IF(REGEXMATCH(VLOOKUP(A815,Internal_lists_bugs!$A$2:$R$73,18,FALSE()), ""Yes""), VLOOKUP(A815,Internal_lists_bugs!$A$2:$U$73,21,FALSE()), VLOOKUP(A815,Internal_lists_bugs!$A$2:$R$73,18,FALSE())),""please select a BUG ID"")"),"please select a BUG ID")</f>
        <v>please select a BUG ID</v>
      </c>
      <c r="D815" s="54"/>
      <c r="F815" s="55"/>
      <c r="G815" s="56"/>
      <c r="H815" s="54"/>
      <c r="J815" s="55"/>
      <c r="K815" s="56"/>
    </row>
    <row r="816">
      <c r="A816" s="70"/>
      <c r="B816" s="71" t="str">
        <f>IFERROR(HYPERLINK(VLOOKUP(A816,Internal_lists_bugs!$A$2:$C$73,3,FALSE()), VLOOKUP(A816,Internal_lists_bugs!$A$2:$C$73,3,FALSE())&amp;Char(10) &amp; Char(10) &amp; VLOOKUP(A816,Internal_lists_bugs!$A$2:$Z$73,26,FALSE())),"please select a BUG ID")</f>
        <v>please select a BUG ID</v>
      </c>
      <c r="C816" s="51" t="str">
        <f>IFERROR(__xludf.DUMMYFUNCTION("IFERROR(IF(REGEXMATCH(VLOOKUP(A816,Internal_lists_bugs!$A$2:$R$73,18,FALSE()), ""Yes""), VLOOKUP(A816,Internal_lists_bugs!$A$2:$U$73,21,FALSE()), VLOOKUP(A816,Internal_lists_bugs!$A$2:$R$73,18,FALSE())),""please select a BUG ID"")"),"please select a BUG ID")</f>
        <v>please select a BUG ID</v>
      </c>
      <c r="D816" s="54"/>
      <c r="F816" s="55"/>
      <c r="G816" s="56"/>
      <c r="H816" s="54"/>
      <c r="J816" s="55"/>
      <c r="K816" s="56"/>
    </row>
    <row r="817">
      <c r="A817" s="70"/>
      <c r="B817" s="71" t="str">
        <f>IFERROR(HYPERLINK(VLOOKUP(A817,Internal_lists_bugs!$A$2:$C$73,3,FALSE()), VLOOKUP(A817,Internal_lists_bugs!$A$2:$C$73,3,FALSE())&amp;Char(10) &amp; Char(10) &amp; VLOOKUP(A817,Internal_lists_bugs!$A$2:$Z$73,26,FALSE())),"please select a BUG ID")</f>
        <v>please select a BUG ID</v>
      </c>
      <c r="C817" s="51" t="str">
        <f>IFERROR(__xludf.DUMMYFUNCTION("IFERROR(IF(REGEXMATCH(VLOOKUP(A817,Internal_lists_bugs!$A$2:$R$73,18,FALSE()), ""Yes""), VLOOKUP(A817,Internal_lists_bugs!$A$2:$U$73,21,FALSE()), VLOOKUP(A817,Internal_lists_bugs!$A$2:$R$73,18,FALSE())),""please select a BUG ID"")"),"please select a BUG ID")</f>
        <v>please select a BUG ID</v>
      </c>
      <c r="D817" s="54"/>
      <c r="F817" s="55"/>
      <c r="G817" s="56"/>
      <c r="H817" s="54"/>
      <c r="J817" s="55"/>
      <c r="K817" s="56"/>
    </row>
    <row r="818">
      <c r="A818" s="70"/>
      <c r="B818" s="71" t="str">
        <f>IFERROR(HYPERLINK(VLOOKUP(A818,Internal_lists_bugs!$A$2:$C$73,3,FALSE()), VLOOKUP(A818,Internal_lists_bugs!$A$2:$C$73,3,FALSE())&amp;Char(10) &amp; Char(10) &amp; VLOOKUP(A818,Internal_lists_bugs!$A$2:$Z$73,26,FALSE())),"please select a BUG ID")</f>
        <v>please select a BUG ID</v>
      </c>
      <c r="C818" s="51" t="str">
        <f>IFERROR(__xludf.DUMMYFUNCTION("IFERROR(IF(REGEXMATCH(VLOOKUP(A818,Internal_lists_bugs!$A$2:$R$73,18,FALSE()), ""Yes""), VLOOKUP(A818,Internal_lists_bugs!$A$2:$U$73,21,FALSE()), VLOOKUP(A818,Internal_lists_bugs!$A$2:$R$73,18,FALSE())),""please select a BUG ID"")"),"please select a BUG ID")</f>
        <v>please select a BUG ID</v>
      </c>
      <c r="D818" s="54"/>
      <c r="F818" s="55"/>
      <c r="G818" s="56"/>
      <c r="H818" s="54"/>
      <c r="J818" s="55"/>
      <c r="K818" s="56"/>
    </row>
    <row r="819">
      <c r="A819" s="70"/>
      <c r="B819" s="71" t="str">
        <f>IFERROR(HYPERLINK(VLOOKUP(A819,Internal_lists_bugs!$A$2:$C$73,3,FALSE()), VLOOKUP(A819,Internal_lists_bugs!$A$2:$C$73,3,FALSE())&amp;Char(10) &amp; Char(10) &amp; VLOOKUP(A819,Internal_lists_bugs!$A$2:$Z$73,26,FALSE())),"please select a BUG ID")</f>
        <v>please select a BUG ID</v>
      </c>
      <c r="C819" s="51" t="str">
        <f>IFERROR(__xludf.DUMMYFUNCTION("IFERROR(IF(REGEXMATCH(VLOOKUP(A819,Internal_lists_bugs!$A$2:$R$73,18,FALSE()), ""Yes""), VLOOKUP(A819,Internal_lists_bugs!$A$2:$U$73,21,FALSE()), VLOOKUP(A819,Internal_lists_bugs!$A$2:$R$73,18,FALSE())),""please select a BUG ID"")"),"please select a BUG ID")</f>
        <v>please select a BUG ID</v>
      </c>
      <c r="D819" s="54"/>
      <c r="F819" s="55"/>
      <c r="G819" s="56"/>
      <c r="H819" s="54"/>
      <c r="J819" s="55"/>
      <c r="K819" s="56"/>
    </row>
    <row r="820">
      <c r="A820" s="70"/>
      <c r="B820" s="71" t="str">
        <f>IFERROR(HYPERLINK(VLOOKUP(A820,Internal_lists_bugs!$A$2:$C$73,3,FALSE()), VLOOKUP(A820,Internal_lists_bugs!$A$2:$C$73,3,FALSE())&amp;Char(10) &amp; Char(10) &amp; VLOOKUP(A820,Internal_lists_bugs!$A$2:$Z$73,26,FALSE())),"please select a BUG ID")</f>
        <v>please select a BUG ID</v>
      </c>
      <c r="C820" s="51" t="str">
        <f>IFERROR(__xludf.DUMMYFUNCTION("IFERROR(IF(REGEXMATCH(VLOOKUP(A820,Internal_lists_bugs!$A$2:$R$73,18,FALSE()), ""Yes""), VLOOKUP(A820,Internal_lists_bugs!$A$2:$U$73,21,FALSE()), VLOOKUP(A820,Internal_lists_bugs!$A$2:$R$73,18,FALSE())),""please select a BUG ID"")"),"please select a BUG ID")</f>
        <v>please select a BUG ID</v>
      </c>
      <c r="D820" s="54"/>
      <c r="F820" s="55"/>
      <c r="G820" s="56"/>
      <c r="H820" s="54"/>
      <c r="J820" s="55"/>
      <c r="K820" s="56"/>
    </row>
    <row r="821">
      <c r="A821" s="70"/>
      <c r="B821" s="71" t="str">
        <f>IFERROR(HYPERLINK(VLOOKUP(A821,Internal_lists_bugs!$A$2:$C$73,3,FALSE()), VLOOKUP(A821,Internal_lists_bugs!$A$2:$C$73,3,FALSE())&amp;Char(10) &amp; Char(10) &amp; VLOOKUP(A821,Internal_lists_bugs!$A$2:$Z$73,26,FALSE())),"please select a BUG ID")</f>
        <v>please select a BUG ID</v>
      </c>
      <c r="C821" s="51" t="str">
        <f>IFERROR(__xludf.DUMMYFUNCTION("IFERROR(IF(REGEXMATCH(VLOOKUP(A821,Internal_lists_bugs!$A$2:$R$73,18,FALSE()), ""Yes""), VLOOKUP(A821,Internal_lists_bugs!$A$2:$U$73,21,FALSE()), VLOOKUP(A821,Internal_lists_bugs!$A$2:$R$73,18,FALSE())),""please select a BUG ID"")"),"please select a BUG ID")</f>
        <v>please select a BUG ID</v>
      </c>
      <c r="D821" s="54"/>
      <c r="F821" s="55"/>
      <c r="G821" s="56"/>
      <c r="H821" s="54"/>
      <c r="J821" s="55"/>
      <c r="K821" s="56"/>
    </row>
    <row r="822">
      <c r="A822" s="70"/>
      <c r="B822" s="71" t="str">
        <f>IFERROR(HYPERLINK(VLOOKUP(A822,Internal_lists_bugs!$A$2:$C$73,3,FALSE()), VLOOKUP(A822,Internal_lists_bugs!$A$2:$C$73,3,FALSE())&amp;Char(10) &amp; Char(10) &amp; VLOOKUP(A822,Internal_lists_bugs!$A$2:$Z$73,26,FALSE())),"please select a BUG ID")</f>
        <v>please select a BUG ID</v>
      </c>
      <c r="C822" s="51" t="str">
        <f>IFERROR(__xludf.DUMMYFUNCTION("IFERROR(IF(REGEXMATCH(VLOOKUP(A822,Internal_lists_bugs!$A$2:$R$73,18,FALSE()), ""Yes""), VLOOKUP(A822,Internal_lists_bugs!$A$2:$U$73,21,FALSE()), VLOOKUP(A822,Internal_lists_bugs!$A$2:$R$73,18,FALSE())),""please select a BUG ID"")"),"please select a BUG ID")</f>
        <v>please select a BUG ID</v>
      </c>
      <c r="D822" s="54"/>
      <c r="F822" s="55"/>
      <c r="G822" s="56"/>
      <c r="H822" s="54"/>
      <c r="J822" s="55"/>
      <c r="K822" s="56"/>
    </row>
    <row r="823">
      <c r="A823" s="70"/>
      <c r="B823" s="71" t="str">
        <f>IFERROR(HYPERLINK(VLOOKUP(A823,Internal_lists_bugs!$A$2:$C$73,3,FALSE()), VLOOKUP(A823,Internal_lists_bugs!$A$2:$C$73,3,FALSE())&amp;Char(10) &amp; Char(10) &amp; VLOOKUP(A823,Internal_lists_bugs!$A$2:$Z$73,26,FALSE())),"please select a BUG ID")</f>
        <v>please select a BUG ID</v>
      </c>
      <c r="C823" s="51" t="str">
        <f>IFERROR(__xludf.DUMMYFUNCTION("IFERROR(IF(REGEXMATCH(VLOOKUP(A823,Internal_lists_bugs!$A$2:$R$73,18,FALSE()), ""Yes""), VLOOKUP(A823,Internal_lists_bugs!$A$2:$U$73,21,FALSE()), VLOOKUP(A823,Internal_lists_bugs!$A$2:$R$73,18,FALSE())),""please select a BUG ID"")"),"please select a BUG ID")</f>
        <v>please select a BUG ID</v>
      </c>
      <c r="D823" s="54"/>
      <c r="F823" s="55"/>
      <c r="G823" s="56"/>
      <c r="H823" s="54"/>
      <c r="J823" s="55"/>
      <c r="K823" s="56"/>
    </row>
    <row r="824">
      <c r="A824" s="70"/>
      <c r="B824" s="71" t="str">
        <f>IFERROR(HYPERLINK(VLOOKUP(A824,Internal_lists_bugs!$A$2:$C$73,3,FALSE()), VLOOKUP(A824,Internal_lists_bugs!$A$2:$C$73,3,FALSE())&amp;Char(10) &amp; Char(10) &amp; VLOOKUP(A824,Internal_lists_bugs!$A$2:$Z$73,26,FALSE())),"please select a BUG ID")</f>
        <v>please select a BUG ID</v>
      </c>
      <c r="C824" s="51" t="str">
        <f>IFERROR(__xludf.DUMMYFUNCTION("IFERROR(IF(REGEXMATCH(VLOOKUP(A824,Internal_lists_bugs!$A$2:$R$73,18,FALSE()), ""Yes""), VLOOKUP(A824,Internal_lists_bugs!$A$2:$U$73,21,FALSE()), VLOOKUP(A824,Internal_lists_bugs!$A$2:$R$73,18,FALSE())),""please select a BUG ID"")"),"please select a BUG ID")</f>
        <v>please select a BUG ID</v>
      </c>
      <c r="D824" s="54"/>
      <c r="F824" s="55"/>
      <c r="G824" s="56"/>
      <c r="H824" s="54"/>
      <c r="J824" s="55"/>
      <c r="K824" s="56"/>
    </row>
    <row r="825">
      <c r="A825" s="70"/>
      <c r="B825" s="71" t="str">
        <f>IFERROR(HYPERLINK(VLOOKUP(A825,Internal_lists_bugs!$A$2:$C$73,3,FALSE()), VLOOKUP(A825,Internal_lists_bugs!$A$2:$C$73,3,FALSE())&amp;Char(10) &amp; Char(10) &amp; VLOOKUP(A825,Internal_lists_bugs!$A$2:$Z$73,26,FALSE())),"please select a BUG ID")</f>
        <v>please select a BUG ID</v>
      </c>
      <c r="C825" s="51" t="str">
        <f>IFERROR(__xludf.DUMMYFUNCTION("IFERROR(IF(REGEXMATCH(VLOOKUP(A825,Internal_lists_bugs!$A$2:$R$73,18,FALSE()), ""Yes""), VLOOKUP(A825,Internal_lists_bugs!$A$2:$U$73,21,FALSE()), VLOOKUP(A825,Internal_lists_bugs!$A$2:$R$73,18,FALSE())),""please select a BUG ID"")"),"please select a BUG ID")</f>
        <v>please select a BUG ID</v>
      </c>
      <c r="D825" s="54"/>
      <c r="F825" s="55"/>
      <c r="G825" s="56"/>
      <c r="H825" s="54"/>
      <c r="J825" s="55"/>
      <c r="K825" s="56"/>
    </row>
    <row r="826">
      <c r="A826" s="70"/>
      <c r="B826" s="71" t="str">
        <f>IFERROR(HYPERLINK(VLOOKUP(A826,Internal_lists_bugs!$A$2:$C$73,3,FALSE()), VLOOKUP(A826,Internal_lists_bugs!$A$2:$C$73,3,FALSE())&amp;Char(10) &amp; Char(10) &amp; VLOOKUP(A826,Internal_lists_bugs!$A$2:$Z$73,26,FALSE())),"please select a BUG ID")</f>
        <v>please select a BUG ID</v>
      </c>
      <c r="C826" s="51" t="str">
        <f>IFERROR(__xludf.DUMMYFUNCTION("IFERROR(IF(REGEXMATCH(VLOOKUP(A826,Internal_lists_bugs!$A$2:$R$73,18,FALSE()), ""Yes""), VLOOKUP(A826,Internal_lists_bugs!$A$2:$U$73,21,FALSE()), VLOOKUP(A826,Internal_lists_bugs!$A$2:$R$73,18,FALSE())),""please select a BUG ID"")"),"please select a BUG ID")</f>
        <v>please select a BUG ID</v>
      </c>
      <c r="D826" s="54"/>
      <c r="F826" s="55"/>
      <c r="G826" s="56"/>
      <c r="H826" s="54"/>
      <c r="J826" s="55"/>
      <c r="K826" s="56"/>
    </row>
    <row r="827">
      <c r="A827" s="70"/>
      <c r="B827" s="71" t="str">
        <f>IFERROR(HYPERLINK(VLOOKUP(A827,Internal_lists_bugs!$A$2:$C$73,3,FALSE()), VLOOKUP(A827,Internal_lists_bugs!$A$2:$C$73,3,FALSE())&amp;Char(10) &amp; Char(10) &amp; VLOOKUP(A827,Internal_lists_bugs!$A$2:$Z$73,26,FALSE())),"please select a BUG ID")</f>
        <v>please select a BUG ID</v>
      </c>
      <c r="C827" s="51" t="str">
        <f>IFERROR(__xludf.DUMMYFUNCTION("IFERROR(IF(REGEXMATCH(VLOOKUP(A827,Internal_lists_bugs!$A$2:$R$73,18,FALSE()), ""Yes""), VLOOKUP(A827,Internal_lists_bugs!$A$2:$U$73,21,FALSE()), VLOOKUP(A827,Internal_lists_bugs!$A$2:$R$73,18,FALSE())),""please select a BUG ID"")"),"please select a BUG ID")</f>
        <v>please select a BUG ID</v>
      </c>
      <c r="D827" s="54"/>
      <c r="F827" s="55"/>
      <c r="G827" s="56"/>
      <c r="H827" s="54"/>
      <c r="J827" s="55"/>
      <c r="K827" s="56"/>
    </row>
    <row r="828">
      <c r="A828" s="70"/>
      <c r="B828" s="71" t="str">
        <f>IFERROR(HYPERLINK(VLOOKUP(A828,Internal_lists_bugs!$A$2:$C$73,3,FALSE()), VLOOKUP(A828,Internal_lists_bugs!$A$2:$C$73,3,FALSE())&amp;Char(10) &amp; Char(10) &amp; VLOOKUP(A828,Internal_lists_bugs!$A$2:$Z$73,26,FALSE())),"please select a BUG ID")</f>
        <v>please select a BUG ID</v>
      </c>
      <c r="C828" s="51" t="str">
        <f>IFERROR(__xludf.DUMMYFUNCTION("IFERROR(IF(REGEXMATCH(VLOOKUP(A828,Internal_lists_bugs!$A$2:$R$73,18,FALSE()), ""Yes""), VLOOKUP(A828,Internal_lists_bugs!$A$2:$U$73,21,FALSE()), VLOOKUP(A828,Internal_lists_bugs!$A$2:$R$73,18,FALSE())),""please select a BUG ID"")"),"please select a BUG ID")</f>
        <v>please select a BUG ID</v>
      </c>
      <c r="D828" s="54"/>
      <c r="F828" s="55"/>
      <c r="G828" s="56"/>
      <c r="H828" s="54"/>
      <c r="J828" s="55"/>
      <c r="K828" s="56"/>
    </row>
    <row r="829">
      <c r="A829" s="70"/>
      <c r="B829" s="71" t="str">
        <f>IFERROR(HYPERLINK(VLOOKUP(A829,Internal_lists_bugs!$A$2:$C$73,3,FALSE()), VLOOKUP(A829,Internal_lists_bugs!$A$2:$C$73,3,FALSE())&amp;Char(10) &amp; Char(10) &amp; VLOOKUP(A829,Internal_lists_bugs!$A$2:$Z$73,26,FALSE())),"please select a BUG ID")</f>
        <v>please select a BUG ID</v>
      </c>
      <c r="C829" s="51" t="str">
        <f>IFERROR(__xludf.DUMMYFUNCTION("IFERROR(IF(REGEXMATCH(VLOOKUP(A829,Internal_lists_bugs!$A$2:$R$73,18,FALSE()), ""Yes""), VLOOKUP(A829,Internal_lists_bugs!$A$2:$U$73,21,FALSE()), VLOOKUP(A829,Internal_lists_bugs!$A$2:$R$73,18,FALSE())),""please select a BUG ID"")"),"please select a BUG ID")</f>
        <v>please select a BUG ID</v>
      </c>
      <c r="D829" s="54"/>
      <c r="F829" s="55"/>
      <c r="G829" s="56"/>
      <c r="H829" s="54"/>
      <c r="J829" s="55"/>
      <c r="K829" s="56"/>
    </row>
    <row r="830">
      <c r="A830" s="70"/>
      <c r="B830" s="71" t="str">
        <f>IFERROR(HYPERLINK(VLOOKUP(A830,Internal_lists_bugs!$A$2:$C$73,3,FALSE()), VLOOKUP(A830,Internal_lists_bugs!$A$2:$C$73,3,FALSE())&amp;Char(10) &amp; Char(10) &amp; VLOOKUP(A830,Internal_lists_bugs!$A$2:$Z$73,26,FALSE())),"please select a BUG ID")</f>
        <v>please select a BUG ID</v>
      </c>
      <c r="C830" s="51" t="str">
        <f>IFERROR(__xludf.DUMMYFUNCTION("IFERROR(IF(REGEXMATCH(VLOOKUP(A830,Internal_lists_bugs!$A$2:$R$73,18,FALSE()), ""Yes""), VLOOKUP(A830,Internal_lists_bugs!$A$2:$U$73,21,FALSE()), VLOOKUP(A830,Internal_lists_bugs!$A$2:$R$73,18,FALSE())),""please select a BUG ID"")"),"please select a BUG ID")</f>
        <v>please select a BUG ID</v>
      </c>
      <c r="D830" s="54"/>
      <c r="F830" s="55"/>
      <c r="G830" s="56"/>
      <c r="H830" s="54"/>
      <c r="J830" s="55"/>
      <c r="K830" s="56"/>
    </row>
    <row r="831">
      <c r="A831" s="70"/>
      <c r="B831" s="71" t="str">
        <f>IFERROR(HYPERLINK(VLOOKUP(A831,Internal_lists_bugs!$A$2:$C$73,3,FALSE()), VLOOKUP(A831,Internal_lists_bugs!$A$2:$C$73,3,FALSE())&amp;Char(10) &amp; Char(10) &amp; VLOOKUP(A831,Internal_lists_bugs!$A$2:$Z$73,26,FALSE())),"please select a BUG ID")</f>
        <v>please select a BUG ID</v>
      </c>
      <c r="C831" s="51" t="str">
        <f>IFERROR(__xludf.DUMMYFUNCTION("IFERROR(IF(REGEXMATCH(VLOOKUP(A831,Internal_lists_bugs!$A$2:$R$73,18,FALSE()), ""Yes""), VLOOKUP(A831,Internal_lists_bugs!$A$2:$U$73,21,FALSE()), VLOOKUP(A831,Internal_lists_bugs!$A$2:$R$73,18,FALSE())),""please select a BUG ID"")"),"please select a BUG ID")</f>
        <v>please select a BUG ID</v>
      </c>
      <c r="D831" s="54"/>
      <c r="F831" s="55"/>
      <c r="G831" s="56"/>
      <c r="H831" s="54"/>
      <c r="J831" s="55"/>
      <c r="K831" s="56"/>
    </row>
    <row r="832">
      <c r="A832" s="70"/>
      <c r="B832" s="71" t="str">
        <f>IFERROR(HYPERLINK(VLOOKUP(A832,Internal_lists_bugs!$A$2:$C$73,3,FALSE()), VLOOKUP(A832,Internal_lists_bugs!$A$2:$C$73,3,FALSE())&amp;Char(10) &amp; Char(10) &amp; VLOOKUP(A832,Internal_lists_bugs!$A$2:$Z$73,26,FALSE())),"please select a BUG ID")</f>
        <v>please select a BUG ID</v>
      </c>
      <c r="C832" s="51" t="str">
        <f>IFERROR(__xludf.DUMMYFUNCTION("IFERROR(IF(REGEXMATCH(VLOOKUP(A832,Internal_lists_bugs!$A$2:$R$73,18,FALSE()), ""Yes""), VLOOKUP(A832,Internal_lists_bugs!$A$2:$U$73,21,FALSE()), VLOOKUP(A832,Internal_lists_bugs!$A$2:$R$73,18,FALSE())),""please select a BUG ID"")"),"please select a BUG ID")</f>
        <v>please select a BUG ID</v>
      </c>
      <c r="D832" s="54"/>
      <c r="F832" s="55"/>
      <c r="G832" s="56"/>
      <c r="H832" s="54"/>
      <c r="J832" s="55"/>
      <c r="K832" s="56"/>
    </row>
    <row r="833">
      <c r="A833" s="70"/>
      <c r="B833" s="71" t="str">
        <f>IFERROR(HYPERLINK(VLOOKUP(A833,Internal_lists_bugs!$A$2:$C$73,3,FALSE()), VLOOKUP(A833,Internal_lists_bugs!$A$2:$C$73,3,FALSE())&amp;Char(10) &amp; Char(10) &amp; VLOOKUP(A833,Internal_lists_bugs!$A$2:$Z$73,26,FALSE())),"please select a BUG ID")</f>
        <v>please select a BUG ID</v>
      </c>
      <c r="C833" s="51" t="str">
        <f>IFERROR(__xludf.DUMMYFUNCTION("IFERROR(IF(REGEXMATCH(VLOOKUP(A833,Internal_lists_bugs!$A$2:$R$73,18,FALSE()), ""Yes""), VLOOKUP(A833,Internal_lists_bugs!$A$2:$U$73,21,FALSE()), VLOOKUP(A833,Internal_lists_bugs!$A$2:$R$73,18,FALSE())),""please select a BUG ID"")"),"please select a BUG ID")</f>
        <v>please select a BUG ID</v>
      </c>
      <c r="D833" s="54"/>
      <c r="F833" s="55"/>
      <c r="G833" s="56"/>
      <c r="H833" s="54"/>
      <c r="J833" s="55"/>
      <c r="K833" s="56"/>
    </row>
    <row r="834">
      <c r="A834" s="70"/>
      <c r="B834" s="71" t="str">
        <f>IFERROR(HYPERLINK(VLOOKUP(A834,Internal_lists_bugs!$A$2:$C$73,3,FALSE()), VLOOKUP(A834,Internal_lists_bugs!$A$2:$C$73,3,FALSE())&amp;Char(10) &amp; Char(10) &amp; VLOOKUP(A834,Internal_lists_bugs!$A$2:$Z$73,26,FALSE())),"please select a BUG ID")</f>
        <v>please select a BUG ID</v>
      </c>
      <c r="C834" s="51" t="str">
        <f>IFERROR(__xludf.DUMMYFUNCTION("IFERROR(IF(REGEXMATCH(VLOOKUP(A834,Internal_lists_bugs!$A$2:$R$73,18,FALSE()), ""Yes""), VLOOKUP(A834,Internal_lists_bugs!$A$2:$U$73,21,FALSE()), VLOOKUP(A834,Internal_lists_bugs!$A$2:$R$73,18,FALSE())),""please select a BUG ID"")"),"please select a BUG ID")</f>
        <v>please select a BUG ID</v>
      </c>
      <c r="D834" s="54"/>
      <c r="F834" s="55"/>
      <c r="G834" s="56"/>
      <c r="H834" s="54"/>
      <c r="J834" s="55"/>
      <c r="K834" s="56"/>
    </row>
    <row r="835">
      <c r="A835" s="70"/>
      <c r="B835" s="71" t="str">
        <f>IFERROR(HYPERLINK(VLOOKUP(A835,Internal_lists_bugs!$A$2:$C$73,3,FALSE()), VLOOKUP(A835,Internal_lists_bugs!$A$2:$C$73,3,FALSE())&amp;Char(10) &amp; Char(10) &amp; VLOOKUP(A835,Internal_lists_bugs!$A$2:$Z$73,26,FALSE())),"please select a BUG ID")</f>
        <v>please select a BUG ID</v>
      </c>
      <c r="C835" s="51" t="str">
        <f>IFERROR(__xludf.DUMMYFUNCTION("IFERROR(IF(REGEXMATCH(VLOOKUP(A835,Internal_lists_bugs!$A$2:$R$73,18,FALSE()), ""Yes""), VLOOKUP(A835,Internal_lists_bugs!$A$2:$U$73,21,FALSE()), VLOOKUP(A835,Internal_lists_bugs!$A$2:$R$73,18,FALSE())),""please select a BUG ID"")"),"please select a BUG ID")</f>
        <v>please select a BUG ID</v>
      </c>
      <c r="D835" s="54"/>
      <c r="F835" s="55"/>
      <c r="G835" s="56"/>
      <c r="H835" s="54"/>
      <c r="J835" s="55"/>
      <c r="K835" s="56"/>
    </row>
    <row r="836">
      <c r="A836" s="70"/>
      <c r="B836" s="71" t="str">
        <f>IFERROR(HYPERLINK(VLOOKUP(A836,Internal_lists_bugs!$A$2:$C$73,3,FALSE()), VLOOKUP(A836,Internal_lists_bugs!$A$2:$C$73,3,FALSE())&amp;Char(10) &amp; Char(10) &amp; VLOOKUP(A836,Internal_lists_bugs!$A$2:$Z$73,26,FALSE())),"please select a BUG ID")</f>
        <v>please select a BUG ID</v>
      </c>
      <c r="C836" s="51" t="str">
        <f>IFERROR(__xludf.DUMMYFUNCTION("IFERROR(IF(REGEXMATCH(VLOOKUP(A836,Internal_lists_bugs!$A$2:$R$73,18,FALSE()), ""Yes""), VLOOKUP(A836,Internal_lists_bugs!$A$2:$U$73,21,FALSE()), VLOOKUP(A836,Internal_lists_bugs!$A$2:$R$73,18,FALSE())),""please select a BUG ID"")"),"please select a BUG ID")</f>
        <v>please select a BUG ID</v>
      </c>
      <c r="D836" s="54"/>
      <c r="F836" s="55"/>
      <c r="G836" s="56"/>
      <c r="H836" s="54"/>
      <c r="J836" s="55"/>
      <c r="K836" s="56"/>
    </row>
    <row r="837">
      <c r="A837" s="70"/>
      <c r="B837" s="71" t="str">
        <f>IFERROR(HYPERLINK(VLOOKUP(A837,Internal_lists_bugs!$A$2:$C$73,3,FALSE()), VLOOKUP(A837,Internal_lists_bugs!$A$2:$C$73,3,FALSE())&amp;Char(10) &amp; Char(10) &amp; VLOOKUP(A837,Internal_lists_bugs!$A$2:$Z$73,26,FALSE())),"please select a BUG ID")</f>
        <v>please select a BUG ID</v>
      </c>
      <c r="C837" s="51" t="str">
        <f>IFERROR(__xludf.DUMMYFUNCTION("IFERROR(IF(REGEXMATCH(VLOOKUP(A837,Internal_lists_bugs!$A$2:$R$73,18,FALSE()), ""Yes""), VLOOKUP(A837,Internal_lists_bugs!$A$2:$U$73,21,FALSE()), VLOOKUP(A837,Internal_lists_bugs!$A$2:$R$73,18,FALSE())),""please select a BUG ID"")"),"please select a BUG ID")</f>
        <v>please select a BUG ID</v>
      </c>
      <c r="D837" s="54"/>
      <c r="F837" s="55"/>
      <c r="G837" s="56"/>
      <c r="H837" s="54"/>
      <c r="J837" s="55"/>
      <c r="K837" s="56"/>
    </row>
    <row r="838">
      <c r="A838" s="70"/>
      <c r="B838" s="71" t="str">
        <f>IFERROR(HYPERLINK(VLOOKUP(A838,Internal_lists_bugs!$A$2:$C$73,3,FALSE()), VLOOKUP(A838,Internal_lists_bugs!$A$2:$C$73,3,FALSE())&amp;Char(10) &amp; Char(10) &amp; VLOOKUP(A838,Internal_lists_bugs!$A$2:$Z$73,26,FALSE())),"please select a BUG ID")</f>
        <v>please select a BUG ID</v>
      </c>
      <c r="C838" s="51" t="str">
        <f>IFERROR(__xludf.DUMMYFUNCTION("IFERROR(IF(REGEXMATCH(VLOOKUP(A838,Internal_lists_bugs!$A$2:$R$73,18,FALSE()), ""Yes""), VLOOKUP(A838,Internal_lists_bugs!$A$2:$U$73,21,FALSE()), VLOOKUP(A838,Internal_lists_bugs!$A$2:$R$73,18,FALSE())),""please select a BUG ID"")"),"please select a BUG ID")</f>
        <v>please select a BUG ID</v>
      </c>
      <c r="D838" s="54"/>
      <c r="F838" s="55"/>
      <c r="G838" s="56"/>
      <c r="H838" s="54"/>
      <c r="J838" s="55"/>
      <c r="K838" s="56"/>
    </row>
    <row r="839">
      <c r="A839" s="70"/>
      <c r="B839" s="71" t="str">
        <f>IFERROR(HYPERLINK(VLOOKUP(A839,Internal_lists_bugs!$A$2:$C$73,3,FALSE()), VLOOKUP(A839,Internal_lists_bugs!$A$2:$C$73,3,FALSE())&amp;Char(10) &amp; Char(10) &amp; VLOOKUP(A839,Internal_lists_bugs!$A$2:$Z$73,26,FALSE())),"please select a BUG ID")</f>
        <v>please select a BUG ID</v>
      </c>
      <c r="C839" s="51" t="str">
        <f>IFERROR(__xludf.DUMMYFUNCTION("IFERROR(IF(REGEXMATCH(VLOOKUP(A839,Internal_lists_bugs!$A$2:$R$73,18,FALSE()), ""Yes""), VLOOKUP(A839,Internal_lists_bugs!$A$2:$U$73,21,FALSE()), VLOOKUP(A839,Internal_lists_bugs!$A$2:$R$73,18,FALSE())),""please select a BUG ID"")"),"please select a BUG ID")</f>
        <v>please select a BUG ID</v>
      </c>
      <c r="D839" s="54"/>
      <c r="F839" s="55"/>
      <c r="G839" s="56"/>
      <c r="H839" s="54"/>
      <c r="J839" s="55"/>
      <c r="K839" s="56"/>
    </row>
    <row r="840">
      <c r="A840" s="70"/>
      <c r="B840" s="71" t="str">
        <f>IFERROR(HYPERLINK(VLOOKUP(A840,Internal_lists_bugs!$A$2:$C$73,3,FALSE()), VLOOKUP(A840,Internal_lists_bugs!$A$2:$C$73,3,FALSE())&amp;Char(10) &amp; Char(10) &amp; VLOOKUP(A840,Internal_lists_bugs!$A$2:$Z$73,26,FALSE())),"please select a BUG ID")</f>
        <v>please select a BUG ID</v>
      </c>
      <c r="C840" s="51" t="str">
        <f>IFERROR(__xludf.DUMMYFUNCTION("IFERROR(IF(REGEXMATCH(VLOOKUP(A840,Internal_lists_bugs!$A$2:$R$73,18,FALSE()), ""Yes""), VLOOKUP(A840,Internal_lists_bugs!$A$2:$U$73,21,FALSE()), VLOOKUP(A840,Internal_lists_bugs!$A$2:$R$73,18,FALSE())),""please select a BUG ID"")"),"please select a BUG ID")</f>
        <v>please select a BUG ID</v>
      </c>
      <c r="D840" s="54"/>
      <c r="F840" s="55"/>
      <c r="G840" s="56"/>
      <c r="H840" s="54"/>
      <c r="J840" s="55"/>
      <c r="K840" s="56"/>
    </row>
    <row r="841">
      <c r="A841" s="70"/>
      <c r="B841" s="71" t="str">
        <f>IFERROR(HYPERLINK(VLOOKUP(A841,Internal_lists_bugs!$A$2:$C$73,3,FALSE()), VLOOKUP(A841,Internal_lists_bugs!$A$2:$C$73,3,FALSE())&amp;Char(10) &amp; Char(10) &amp; VLOOKUP(A841,Internal_lists_bugs!$A$2:$Z$73,26,FALSE())),"please select a BUG ID")</f>
        <v>please select a BUG ID</v>
      </c>
      <c r="C841" s="51" t="str">
        <f>IFERROR(__xludf.DUMMYFUNCTION("IFERROR(IF(REGEXMATCH(VLOOKUP(A841,Internal_lists_bugs!$A$2:$R$73,18,FALSE()), ""Yes""), VLOOKUP(A841,Internal_lists_bugs!$A$2:$U$73,21,FALSE()), VLOOKUP(A841,Internal_lists_bugs!$A$2:$R$73,18,FALSE())),""please select a BUG ID"")"),"please select a BUG ID")</f>
        <v>please select a BUG ID</v>
      </c>
      <c r="D841" s="54"/>
      <c r="F841" s="55"/>
      <c r="G841" s="56"/>
      <c r="H841" s="54"/>
      <c r="J841" s="55"/>
      <c r="K841" s="56"/>
    </row>
    <row r="842">
      <c r="A842" s="70"/>
      <c r="B842" s="71" t="str">
        <f>IFERROR(HYPERLINK(VLOOKUP(A842,Internal_lists_bugs!$A$2:$C$73,3,FALSE()), VLOOKUP(A842,Internal_lists_bugs!$A$2:$C$73,3,FALSE())&amp;Char(10) &amp; Char(10) &amp; VLOOKUP(A842,Internal_lists_bugs!$A$2:$Z$73,26,FALSE())),"please select a BUG ID")</f>
        <v>please select a BUG ID</v>
      </c>
      <c r="C842" s="51" t="str">
        <f>IFERROR(__xludf.DUMMYFUNCTION("IFERROR(IF(REGEXMATCH(VLOOKUP(A842,Internal_lists_bugs!$A$2:$R$73,18,FALSE()), ""Yes""), VLOOKUP(A842,Internal_lists_bugs!$A$2:$U$73,21,FALSE()), VLOOKUP(A842,Internal_lists_bugs!$A$2:$R$73,18,FALSE())),""please select a BUG ID"")"),"please select a BUG ID")</f>
        <v>please select a BUG ID</v>
      </c>
      <c r="D842" s="54"/>
      <c r="F842" s="55"/>
      <c r="G842" s="56"/>
      <c r="H842" s="54"/>
      <c r="J842" s="55"/>
      <c r="K842" s="56"/>
    </row>
    <row r="843">
      <c r="A843" s="70"/>
      <c r="B843" s="71" t="str">
        <f>IFERROR(HYPERLINK(VLOOKUP(A843,Internal_lists_bugs!$A$2:$C$73,3,FALSE()), VLOOKUP(A843,Internal_lists_bugs!$A$2:$C$73,3,FALSE())&amp;Char(10) &amp; Char(10) &amp; VLOOKUP(A843,Internal_lists_bugs!$A$2:$Z$73,26,FALSE())),"please select a BUG ID")</f>
        <v>please select a BUG ID</v>
      </c>
      <c r="C843" s="51" t="str">
        <f>IFERROR(__xludf.DUMMYFUNCTION("IFERROR(IF(REGEXMATCH(VLOOKUP(A843,Internal_lists_bugs!$A$2:$R$73,18,FALSE()), ""Yes""), VLOOKUP(A843,Internal_lists_bugs!$A$2:$U$73,21,FALSE()), VLOOKUP(A843,Internal_lists_bugs!$A$2:$R$73,18,FALSE())),""please select a BUG ID"")"),"please select a BUG ID")</f>
        <v>please select a BUG ID</v>
      </c>
      <c r="D843" s="54"/>
      <c r="F843" s="55"/>
      <c r="G843" s="56"/>
      <c r="H843" s="54"/>
      <c r="J843" s="55"/>
      <c r="K843" s="56"/>
    </row>
    <row r="844">
      <c r="A844" s="70"/>
      <c r="B844" s="71" t="str">
        <f>IFERROR(HYPERLINK(VLOOKUP(A844,Internal_lists_bugs!$A$2:$C$73,3,FALSE()), VLOOKUP(A844,Internal_lists_bugs!$A$2:$C$73,3,FALSE())&amp;Char(10) &amp; Char(10) &amp; VLOOKUP(A844,Internal_lists_bugs!$A$2:$Z$73,26,FALSE())),"please select a BUG ID")</f>
        <v>please select a BUG ID</v>
      </c>
      <c r="C844" s="51" t="str">
        <f>IFERROR(__xludf.DUMMYFUNCTION("IFERROR(IF(REGEXMATCH(VLOOKUP(A844,Internal_lists_bugs!$A$2:$R$73,18,FALSE()), ""Yes""), VLOOKUP(A844,Internal_lists_bugs!$A$2:$U$73,21,FALSE()), VLOOKUP(A844,Internal_lists_bugs!$A$2:$R$73,18,FALSE())),""please select a BUG ID"")"),"please select a BUG ID")</f>
        <v>please select a BUG ID</v>
      </c>
      <c r="D844" s="54"/>
      <c r="F844" s="55"/>
      <c r="G844" s="56"/>
      <c r="H844" s="54"/>
      <c r="J844" s="55"/>
      <c r="K844" s="56"/>
    </row>
    <row r="845">
      <c r="A845" s="70"/>
      <c r="B845" s="71" t="str">
        <f>IFERROR(HYPERLINK(VLOOKUP(A845,Internal_lists_bugs!$A$2:$C$73,3,FALSE()), VLOOKUP(A845,Internal_lists_bugs!$A$2:$C$73,3,FALSE())&amp;Char(10) &amp; Char(10) &amp; VLOOKUP(A845,Internal_lists_bugs!$A$2:$Z$73,26,FALSE())),"please select a BUG ID")</f>
        <v>please select a BUG ID</v>
      </c>
      <c r="C845" s="51" t="str">
        <f>IFERROR(__xludf.DUMMYFUNCTION("IFERROR(IF(REGEXMATCH(VLOOKUP(A845,Internal_lists_bugs!$A$2:$R$73,18,FALSE()), ""Yes""), VLOOKUP(A845,Internal_lists_bugs!$A$2:$U$73,21,FALSE()), VLOOKUP(A845,Internal_lists_bugs!$A$2:$R$73,18,FALSE())),""please select a BUG ID"")"),"please select a BUG ID")</f>
        <v>please select a BUG ID</v>
      </c>
      <c r="D845" s="54"/>
      <c r="F845" s="55"/>
      <c r="G845" s="56"/>
      <c r="H845" s="54"/>
      <c r="J845" s="55"/>
      <c r="K845" s="56"/>
    </row>
    <row r="846">
      <c r="A846" s="70"/>
      <c r="B846" s="71" t="str">
        <f>IFERROR(HYPERLINK(VLOOKUP(A846,Internal_lists_bugs!$A$2:$C$73,3,FALSE()), VLOOKUP(A846,Internal_lists_bugs!$A$2:$C$73,3,FALSE())&amp;Char(10) &amp; Char(10) &amp; VLOOKUP(A846,Internal_lists_bugs!$A$2:$Z$73,26,FALSE())),"please select a BUG ID")</f>
        <v>please select a BUG ID</v>
      </c>
      <c r="C846" s="51" t="str">
        <f>IFERROR(__xludf.DUMMYFUNCTION("IFERROR(IF(REGEXMATCH(VLOOKUP(A846,Internal_lists_bugs!$A$2:$R$73,18,FALSE()), ""Yes""), VLOOKUP(A846,Internal_lists_bugs!$A$2:$U$73,21,FALSE()), VLOOKUP(A846,Internal_lists_bugs!$A$2:$R$73,18,FALSE())),""please select a BUG ID"")"),"please select a BUG ID")</f>
        <v>please select a BUG ID</v>
      </c>
      <c r="D846" s="54"/>
      <c r="F846" s="55"/>
      <c r="G846" s="56"/>
      <c r="H846" s="54"/>
      <c r="J846" s="55"/>
      <c r="K846" s="56"/>
    </row>
    <row r="847">
      <c r="A847" s="70"/>
      <c r="B847" s="71" t="str">
        <f>IFERROR(HYPERLINK(VLOOKUP(A847,Internal_lists_bugs!$A$2:$C$73,3,FALSE()), VLOOKUP(A847,Internal_lists_bugs!$A$2:$C$73,3,FALSE())&amp;Char(10) &amp; Char(10) &amp; VLOOKUP(A847,Internal_lists_bugs!$A$2:$Z$73,26,FALSE())),"please select a BUG ID")</f>
        <v>please select a BUG ID</v>
      </c>
      <c r="C847" s="51" t="str">
        <f>IFERROR(__xludf.DUMMYFUNCTION("IFERROR(IF(REGEXMATCH(VLOOKUP(A847,Internal_lists_bugs!$A$2:$R$73,18,FALSE()), ""Yes""), VLOOKUP(A847,Internal_lists_bugs!$A$2:$U$73,21,FALSE()), VLOOKUP(A847,Internal_lists_bugs!$A$2:$R$73,18,FALSE())),""please select a BUG ID"")"),"please select a BUG ID")</f>
        <v>please select a BUG ID</v>
      </c>
      <c r="D847" s="54"/>
      <c r="F847" s="55"/>
      <c r="G847" s="56"/>
      <c r="H847" s="54"/>
      <c r="J847" s="55"/>
      <c r="K847" s="56"/>
    </row>
    <row r="848">
      <c r="A848" s="70"/>
      <c r="B848" s="71" t="str">
        <f>IFERROR(HYPERLINK(VLOOKUP(A848,Internal_lists_bugs!$A$2:$C$73,3,FALSE()), VLOOKUP(A848,Internal_lists_bugs!$A$2:$C$73,3,FALSE())&amp;Char(10) &amp; Char(10) &amp; VLOOKUP(A848,Internal_lists_bugs!$A$2:$Z$73,26,FALSE())),"please select a BUG ID")</f>
        <v>please select a BUG ID</v>
      </c>
      <c r="C848" s="51" t="str">
        <f>IFERROR(__xludf.DUMMYFUNCTION("IFERROR(IF(REGEXMATCH(VLOOKUP(A848,Internal_lists_bugs!$A$2:$R$73,18,FALSE()), ""Yes""), VLOOKUP(A848,Internal_lists_bugs!$A$2:$U$73,21,FALSE()), VLOOKUP(A848,Internal_lists_bugs!$A$2:$R$73,18,FALSE())),""please select a BUG ID"")"),"please select a BUG ID")</f>
        <v>please select a BUG ID</v>
      </c>
      <c r="D848" s="54"/>
      <c r="F848" s="55"/>
      <c r="G848" s="56"/>
      <c r="H848" s="54"/>
      <c r="J848" s="55"/>
      <c r="K848" s="56"/>
    </row>
    <row r="849">
      <c r="A849" s="70"/>
      <c r="B849" s="71" t="str">
        <f>IFERROR(HYPERLINK(VLOOKUP(A849,Internal_lists_bugs!$A$2:$C$73,3,FALSE()), VLOOKUP(A849,Internal_lists_bugs!$A$2:$C$73,3,FALSE())&amp;Char(10) &amp; Char(10) &amp; VLOOKUP(A849,Internal_lists_bugs!$A$2:$Z$73,26,FALSE())),"please select a BUG ID")</f>
        <v>please select a BUG ID</v>
      </c>
      <c r="C849" s="51" t="str">
        <f>IFERROR(__xludf.DUMMYFUNCTION("IFERROR(IF(REGEXMATCH(VLOOKUP(A849,Internal_lists_bugs!$A$2:$R$73,18,FALSE()), ""Yes""), VLOOKUP(A849,Internal_lists_bugs!$A$2:$U$73,21,FALSE()), VLOOKUP(A849,Internal_lists_bugs!$A$2:$R$73,18,FALSE())),""please select a BUG ID"")"),"please select a BUG ID")</f>
        <v>please select a BUG ID</v>
      </c>
      <c r="D849" s="54"/>
      <c r="F849" s="55"/>
      <c r="G849" s="56"/>
      <c r="H849" s="54"/>
      <c r="J849" s="55"/>
      <c r="K849" s="56"/>
    </row>
    <row r="850">
      <c r="A850" s="70"/>
      <c r="B850" s="71" t="str">
        <f>IFERROR(HYPERLINK(VLOOKUP(A850,Internal_lists_bugs!$A$2:$C$73,3,FALSE()), VLOOKUP(A850,Internal_lists_bugs!$A$2:$C$73,3,FALSE())&amp;Char(10) &amp; Char(10) &amp; VLOOKUP(A850,Internal_lists_bugs!$A$2:$Z$73,26,FALSE())),"please select a BUG ID")</f>
        <v>please select a BUG ID</v>
      </c>
      <c r="C850" s="51" t="str">
        <f>IFERROR(__xludf.DUMMYFUNCTION("IFERROR(IF(REGEXMATCH(VLOOKUP(A850,Internal_lists_bugs!$A$2:$R$73,18,FALSE()), ""Yes""), VLOOKUP(A850,Internal_lists_bugs!$A$2:$U$73,21,FALSE()), VLOOKUP(A850,Internal_lists_bugs!$A$2:$R$73,18,FALSE())),""please select a BUG ID"")"),"please select a BUG ID")</f>
        <v>please select a BUG ID</v>
      </c>
      <c r="D850" s="54"/>
      <c r="F850" s="55"/>
      <c r="G850" s="56"/>
      <c r="H850" s="54"/>
      <c r="J850" s="55"/>
      <c r="K850" s="56"/>
    </row>
    <row r="851">
      <c r="A851" s="70"/>
      <c r="B851" s="71" t="str">
        <f>IFERROR(HYPERLINK(VLOOKUP(A851,Internal_lists_bugs!$A$2:$C$73,3,FALSE()), VLOOKUP(A851,Internal_lists_bugs!$A$2:$C$73,3,FALSE())&amp;Char(10) &amp; Char(10) &amp; VLOOKUP(A851,Internal_lists_bugs!$A$2:$Z$73,26,FALSE())),"please select a BUG ID")</f>
        <v>please select a BUG ID</v>
      </c>
      <c r="C851" s="51" t="str">
        <f>IFERROR(__xludf.DUMMYFUNCTION("IFERROR(IF(REGEXMATCH(VLOOKUP(A851,Internal_lists_bugs!$A$2:$R$73,18,FALSE()), ""Yes""), VLOOKUP(A851,Internal_lists_bugs!$A$2:$U$73,21,FALSE()), VLOOKUP(A851,Internal_lists_bugs!$A$2:$R$73,18,FALSE())),""please select a BUG ID"")"),"please select a BUG ID")</f>
        <v>please select a BUG ID</v>
      </c>
      <c r="D851" s="54"/>
      <c r="F851" s="55"/>
      <c r="G851" s="56"/>
      <c r="H851" s="54"/>
      <c r="J851" s="55"/>
      <c r="K851" s="56"/>
    </row>
    <row r="852">
      <c r="A852" s="70"/>
      <c r="B852" s="71" t="str">
        <f>IFERROR(HYPERLINK(VLOOKUP(A852,Internal_lists_bugs!$A$2:$C$73,3,FALSE()), VLOOKUP(A852,Internal_lists_bugs!$A$2:$C$73,3,FALSE())&amp;Char(10) &amp; Char(10) &amp; VLOOKUP(A852,Internal_lists_bugs!$A$2:$Z$73,26,FALSE())),"please select a BUG ID")</f>
        <v>please select a BUG ID</v>
      </c>
      <c r="C852" s="51" t="str">
        <f>IFERROR(__xludf.DUMMYFUNCTION("IFERROR(IF(REGEXMATCH(VLOOKUP(A852,Internal_lists_bugs!$A$2:$R$73,18,FALSE()), ""Yes""), VLOOKUP(A852,Internal_lists_bugs!$A$2:$U$73,21,FALSE()), VLOOKUP(A852,Internal_lists_bugs!$A$2:$R$73,18,FALSE())),""please select a BUG ID"")"),"please select a BUG ID")</f>
        <v>please select a BUG ID</v>
      </c>
      <c r="D852" s="54"/>
      <c r="F852" s="55"/>
      <c r="G852" s="56"/>
      <c r="H852" s="54"/>
      <c r="J852" s="55"/>
      <c r="K852" s="56"/>
    </row>
    <row r="853">
      <c r="A853" s="70"/>
      <c r="B853" s="71" t="str">
        <f>IFERROR(HYPERLINK(VLOOKUP(A853,Internal_lists_bugs!$A$2:$C$73,3,FALSE()), VLOOKUP(A853,Internal_lists_bugs!$A$2:$C$73,3,FALSE())&amp;Char(10) &amp; Char(10) &amp; VLOOKUP(A853,Internal_lists_bugs!$A$2:$Z$73,26,FALSE())),"please select a BUG ID")</f>
        <v>please select a BUG ID</v>
      </c>
      <c r="C853" s="51" t="str">
        <f>IFERROR(__xludf.DUMMYFUNCTION("IFERROR(IF(REGEXMATCH(VLOOKUP(A853,Internal_lists_bugs!$A$2:$R$73,18,FALSE()), ""Yes""), VLOOKUP(A853,Internal_lists_bugs!$A$2:$U$73,21,FALSE()), VLOOKUP(A853,Internal_lists_bugs!$A$2:$R$73,18,FALSE())),""please select a BUG ID"")"),"please select a BUG ID")</f>
        <v>please select a BUG ID</v>
      </c>
      <c r="D853" s="54"/>
      <c r="F853" s="55"/>
      <c r="G853" s="56"/>
      <c r="H853" s="54"/>
      <c r="J853" s="55"/>
      <c r="K853" s="56"/>
    </row>
    <row r="854">
      <c r="A854" s="70"/>
      <c r="B854" s="71" t="str">
        <f>IFERROR(HYPERLINK(VLOOKUP(A854,Internal_lists_bugs!$A$2:$C$73,3,FALSE()), VLOOKUP(A854,Internal_lists_bugs!$A$2:$C$73,3,FALSE())&amp;Char(10) &amp; Char(10) &amp; VLOOKUP(A854,Internal_lists_bugs!$A$2:$Z$73,26,FALSE())),"please select a BUG ID")</f>
        <v>please select a BUG ID</v>
      </c>
      <c r="C854" s="51" t="str">
        <f>IFERROR(__xludf.DUMMYFUNCTION("IFERROR(IF(REGEXMATCH(VLOOKUP(A854,Internal_lists_bugs!$A$2:$R$73,18,FALSE()), ""Yes""), VLOOKUP(A854,Internal_lists_bugs!$A$2:$U$73,21,FALSE()), VLOOKUP(A854,Internal_lists_bugs!$A$2:$R$73,18,FALSE())),""please select a BUG ID"")"),"please select a BUG ID")</f>
        <v>please select a BUG ID</v>
      </c>
      <c r="D854" s="54"/>
      <c r="F854" s="55"/>
      <c r="G854" s="56"/>
      <c r="H854" s="54"/>
      <c r="J854" s="55"/>
      <c r="K854" s="56"/>
    </row>
    <row r="855">
      <c r="A855" s="70"/>
      <c r="B855" s="71" t="str">
        <f>IFERROR(HYPERLINK(VLOOKUP(A855,Internal_lists_bugs!$A$2:$C$73,3,FALSE()), VLOOKUP(A855,Internal_lists_bugs!$A$2:$C$73,3,FALSE())&amp;Char(10) &amp; Char(10) &amp; VLOOKUP(A855,Internal_lists_bugs!$A$2:$Z$73,26,FALSE())),"please select a BUG ID")</f>
        <v>please select a BUG ID</v>
      </c>
      <c r="C855" s="51" t="str">
        <f>IFERROR(__xludf.DUMMYFUNCTION("IFERROR(IF(REGEXMATCH(VLOOKUP(A855,Internal_lists_bugs!$A$2:$R$73,18,FALSE()), ""Yes""), VLOOKUP(A855,Internal_lists_bugs!$A$2:$U$73,21,FALSE()), VLOOKUP(A855,Internal_lists_bugs!$A$2:$R$73,18,FALSE())),""please select a BUG ID"")"),"please select a BUG ID")</f>
        <v>please select a BUG ID</v>
      </c>
      <c r="D855" s="54"/>
      <c r="F855" s="55"/>
      <c r="G855" s="56"/>
      <c r="H855" s="54"/>
      <c r="J855" s="55"/>
      <c r="K855" s="56"/>
    </row>
    <row r="856">
      <c r="A856" s="70"/>
      <c r="B856" s="71" t="str">
        <f>IFERROR(HYPERLINK(VLOOKUP(A856,Internal_lists_bugs!$A$2:$C$73,3,FALSE()), VLOOKUP(A856,Internal_lists_bugs!$A$2:$C$73,3,FALSE())&amp;Char(10) &amp; Char(10) &amp; VLOOKUP(A856,Internal_lists_bugs!$A$2:$Z$73,26,FALSE())),"please select a BUG ID")</f>
        <v>please select a BUG ID</v>
      </c>
      <c r="C856" s="51" t="str">
        <f>IFERROR(__xludf.DUMMYFUNCTION("IFERROR(IF(REGEXMATCH(VLOOKUP(A856,Internal_lists_bugs!$A$2:$R$73,18,FALSE()), ""Yes""), VLOOKUP(A856,Internal_lists_bugs!$A$2:$U$73,21,FALSE()), VLOOKUP(A856,Internal_lists_bugs!$A$2:$R$73,18,FALSE())),""please select a BUG ID"")"),"please select a BUG ID")</f>
        <v>please select a BUG ID</v>
      </c>
      <c r="D856" s="54"/>
      <c r="F856" s="55"/>
      <c r="G856" s="56"/>
      <c r="H856" s="54"/>
      <c r="J856" s="55"/>
      <c r="K856" s="56"/>
    </row>
    <row r="857">
      <c r="A857" s="70"/>
      <c r="B857" s="71" t="str">
        <f>IFERROR(HYPERLINK(VLOOKUP(A857,Internal_lists_bugs!$A$2:$C$73,3,FALSE()), VLOOKUP(A857,Internal_lists_bugs!$A$2:$C$73,3,FALSE())&amp;Char(10) &amp; Char(10) &amp; VLOOKUP(A857,Internal_lists_bugs!$A$2:$Z$73,26,FALSE())),"please select a BUG ID")</f>
        <v>please select a BUG ID</v>
      </c>
      <c r="C857" s="51" t="str">
        <f>IFERROR(__xludf.DUMMYFUNCTION("IFERROR(IF(REGEXMATCH(VLOOKUP(A857,Internal_lists_bugs!$A$2:$R$73,18,FALSE()), ""Yes""), VLOOKUP(A857,Internal_lists_bugs!$A$2:$U$73,21,FALSE()), VLOOKUP(A857,Internal_lists_bugs!$A$2:$R$73,18,FALSE())),""please select a BUG ID"")"),"please select a BUG ID")</f>
        <v>please select a BUG ID</v>
      </c>
      <c r="D857" s="54"/>
      <c r="F857" s="55"/>
      <c r="G857" s="56"/>
      <c r="H857" s="54"/>
      <c r="J857" s="55"/>
      <c r="K857" s="56"/>
    </row>
    <row r="858">
      <c r="A858" s="70"/>
      <c r="B858" s="71" t="str">
        <f>IFERROR(HYPERLINK(VLOOKUP(A858,Internal_lists_bugs!$A$2:$C$73,3,FALSE()), VLOOKUP(A858,Internal_lists_bugs!$A$2:$C$73,3,FALSE())&amp;Char(10) &amp; Char(10) &amp; VLOOKUP(A858,Internal_lists_bugs!$A$2:$Z$73,26,FALSE())),"please select a BUG ID")</f>
        <v>please select a BUG ID</v>
      </c>
      <c r="C858" s="51" t="str">
        <f>IFERROR(__xludf.DUMMYFUNCTION("IFERROR(IF(REGEXMATCH(VLOOKUP(A858,Internal_lists_bugs!$A$2:$R$73,18,FALSE()), ""Yes""), VLOOKUP(A858,Internal_lists_bugs!$A$2:$U$73,21,FALSE()), VLOOKUP(A858,Internal_lists_bugs!$A$2:$R$73,18,FALSE())),""please select a BUG ID"")"),"please select a BUG ID")</f>
        <v>please select a BUG ID</v>
      </c>
      <c r="D858" s="54"/>
      <c r="F858" s="55"/>
      <c r="G858" s="56"/>
      <c r="H858" s="54"/>
      <c r="J858" s="55"/>
      <c r="K858" s="56"/>
    </row>
    <row r="859">
      <c r="A859" s="70"/>
      <c r="B859" s="71" t="str">
        <f>IFERROR(HYPERLINK(VLOOKUP(A859,Internal_lists_bugs!$A$2:$C$73,3,FALSE()), VLOOKUP(A859,Internal_lists_bugs!$A$2:$C$73,3,FALSE())&amp;Char(10) &amp; Char(10) &amp; VLOOKUP(A859,Internal_lists_bugs!$A$2:$Z$73,26,FALSE())),"please select a BUG ID")</f>
        <v>please select a BUG ID</v>
      </c>
      <c r="C859" s="51" t="str">
        <f>IFERROR(__xludf.DUMMYFUNCTION("IFERROR(IF(REGEXMATCH(VLOOKUP(A859,Internal_lists_bugs!$A$2:$R$73,18,FALSE()), ""Yes""), VLOOKUP(A859,Internal_lists_bugs!$A$2:$U$73,21,FALSE()), VLOOKUP(A859,Internal_lists_bugs!$A$2:$R$73,18,FALSE())),""please select a BUG ID"")"),"please select a BUG ID")</f>
        <v>please select a BUG ID</v>
      </c>
      <c r="D859" s="54"/>
      <c r="F859" s="55"/>
      <c r="G859" s="56"/>
      <c r="H859" s="54"/>
      <c r="J859" s="55"/>
      <c r="K859" s="56"/>
    </row>
    <row r="860">
      <c r="A860" s="70"/>
      <c r="B860" s="71" t="str">
        <f>IFERROR(HYPERLINK(VLOOKUP(A860,Internal_lists_bugs!$A$2:$C$73,3,FALSE()), VLOOKUP(A860,Internal_lists_bugs!$A$2:$C$73,3,FALSE())&amp;Char(10) &amp; Char(10) &amp; VLOOKUP(A860,Internal_lists_bugs!$A$2:$Z$73,26,FALSE())),"please select a BUG ID")</f>
        <v>please select a BUG ID</v>
      </c>
      <c r="C860" s="51" t="str">
        <f>IFERROR(__xludf.DUMMYFUNCTION("IFERROR(IF(REGEXMATCH(VLOOKUP(A860,Internal_lists_bugs!$A$2:$R$73,18,FALSE()), ""Yes""), VLOOKUP(A860,Internal_lists_bugs!$A$2:$U$73,21,FALSE()), VLOOKUP(A860,Internal_lists_bugs!$A$2:$R$73,18,FALSE())),""please select a BUG ID"")"),"please select a BUG ID")</f>
        <v>please select a BUG ID</v>
      </c>
      <c r="D860" s="54"/>
      <c r="F860" s="55"/>
      <c r="G860" s="56"/>
      <c r="H860" s="54"/>
      <c r="J860" s="55"/>
      <c r="K860" s="56"/>
    </row>
    <row r="861">
      <c r="A861" s="70"/>
      <c r="B861" s="71" t="str">
        <f>IFERROR(HYPERLINK(VLOOKUP(A861,Internal_lists_bugs!$A$2:$C$73,3,FALSE()), VLOOKUP(A861,Internal_lists_bugs!$A$2:$C$73,3,FALSE())&amp;Char(10) &amp; Char(10) &amp; VLOOKUP(A861,Internal_lists_bugs!$A$2:$Z$73,26,FALSE())),"please select a BUG ID")</f>
        <v>please select a BUG ID</v>
      </c>
      <c r="C861" s="51" t="str">
        <f>IFERROR(__xludf.DUMMYFUNCTION("IFERROR(IF(REGEXMATCH(VLOOKUP(A861,Internal_lists_bugs!$A$2:$R$73,18,FALSE()), ""Yes""), VLOOKUP(A861,Internal_lists_bugs!$A$2:$U$73,21,FALSE()), VLOOKUP(A861,Internal_lists_bugs!$A$2:$R$73,18,FALSE())),""please select a BUG ID"")"),"please select a BUG ID")</f>
        <v>please select a BUG ID</v>
      </c>
      <c r="D861" s="54"/>
      <c r="F861" s="55"/>
      <c r="G861" s="56"/>
      <c r="H861" s="54"/>
      <c r="J861" s="55"/>
      <c r="K861" s="56"/>
    </row>
    <row r="862">
      <c r="A862" s="70"/>
      <c r="B862" s="71" t="str">
        <f>IFERROR(HYPERLINK(VLOOKUP(A862,Internal_lists_bugs!$A$2:$C$73,3,FALSE()), VLOOKUP(A862,Internal_lists_bugs!$A$2:$C$73,3,FALSE())&amp;Char(10) &amp; Char(10) &amp; VLOOKUP(A862,Internal_lists_bugs!$A$2:$Z$73,26,FALSE())),"please select a BUG ID")</f>
        <v>please select a BUG ID</v>
      </c>
      <c r="C862" s="51" t="str">
        <f>IFERROR(__xludf.DUMMYFUNCTION("IFERROR(IF(REGEXMATCH(VLOOKUP(A862,Internal_lists_bugs!$A$2:$R$73,18,FALSE()), ""Yes""), VLOOKUP(A862,Internal_lists_bugs!$A$2:$U$73,21,FALSE()), VLOOKUP(A862,Internal_lists_bugs!$A$2:$R$73,18,FALSE())),""please select a BUG ID"")"),"please select a BUG ID")</f>
        <v>please select a BUG ID</v>
      </c>
      <c r="D862" s="54"/>
      <c r="F862" s="55"/>
      <c r="G862" s="56"/>
      <c r="H862" s="54"/>
      <c r="J862" s="55"/>
      <c r="K862" s="56"/>
    </row>
    <row r="863">
      <c r="A863" s="70"/>
      <c r="B863" s="71" t="str">
        <f>IFERROR(HYPERLINK(VLOOKUP(A863,Internal_lists_bugs!$A$2:$C$73,3,FALSE()), VLOOKUP(A863,Internal_lists_bugs!$A$2:$C$73,3,FALSE())&amp;Char(10) &amp; Char(10) &amp; VLOOKUP(A863,Internal_lists_bugs!$A$2:$Z$73,26,FALSE())),"please select a BUG ID")</f>
        <v>please select a BUG ID</v>
      </c>
      <c r="C863" s="51" t="str">
        <f>IFERROR(__xludf.DUMMYFUNCTION("IFERROR(IF(REGEXMATCH(VLOOKUP(A863,Internal_lists_bugs!$A$2:$R$73,18,FALSE()), ""Yes""), VLOOKUP(A863,Internal_lists_bugs!$A$2:$U$73,21,FALSE()), VLOOKUP(A863,Internal_lists_bugs!$A$2:$R$73,18,FALSE())),""please select a BUG ID"")"),"please select a BUG ID")</f>
        <v>please select a BUG ID</v>
      </c>
      <c r="D863" s="54"/>
      <c r="F863" s="55"/>
      <c r="G863" s="56"/>
      <c r="H863" s="54"/>
      <c r="J863" s="55"/>
      <c r="K863" s="56"/>
    </row>
    <row r="864">
      <c r="A864" s="70"/>
      <c r="B864" s="71" t="str">
        <f>IFERROR(HYPERLINK(VLOOKUP(A864,Internal_lists_bugs!$A$2:$C$73,3,FALSE()), VLOOKUP(A864,Internal_lists_bugs!$A$2:$C$73,3,FALSE())&amp;Char(10) &amp; Char(10) &amp; VLOOKUP(A864,Internal_lists_bugs!$A$2:$Z$73,26,FALSE())),"please select a BUG ID")</f>
        <v>please select a BUG ID</v>
      </c>
      <c r="C864" s="51" t="str">
        <f>IFERROR(__xludf.DUMMYFUNCTION("IFERROR(IF(REGEXMATCH(VLOOKUP(A864,Internal_lists_bugs!$A$2:$R$73,18,FALSE()), ""Yes""), VLOOKUP(A864,Internal_lists_bugs!$A$2:$U$73,21,FALSE()), VLOOKUP(A864,Internal_lists_bugs!$A$2:$R$73,18,FALSE())),""please select a BUG ID"")"),"please select a BUG ID")</f>
        <v>please select a BUG ID</v>
      </c>
      <c r="D864" s="54"/>
      <c r="F864" s="55"/>
      <c r="G864" s="56"/>
      <c r="H864" s="54"/>
      <c r="J864" s="55"/>
      <c r="K864" s="56"/>
    </row>
    <row r="865">
      <c r="A865" s="70"/>
      <c r="B865" s="71" t="str">
        <f>IFERROR(HYPERLINK(VLOOKUP(A865,Internal_lists_bugs!$A$2:$C$73,3,FALSE()), VLOOKUP(A865,Internal_lists_bugs!$A$2:$C$73,3,FALSE())&amp;Char(10) &amp; Char(10) &amp; VLOOKUP(A865,Internal_lists_bugs!$A$2:$Z$73,26,FALSE())),"please select a BUG ID")</f>
        <v>please select a BUG ID</v>
      </c>
      <c r="C865" s="51" t="str">
        <f>IFERROR(__xludf.DUMMYFUNCTION("IFERROR(IF(REGEXMATCH(VLOOKUP(A865,Internal_lists_bugs!$A$2:$R$73,18,FALSE()), ""Yes""), VLOOKUP(A865,Internal_lists_bugs!$A$2:$U$73,21,FALSE()), VLOOKUP(A865,Internal_lists_bugs!$A$2:$R$73,18,FALSE())),""please select a BUG ID"")"),"please select a BUG ID")</f>
        <v>please select a BUG ID</v>
      </c>
      <c r="D865" s="54"/>
      <c r="F865" s="55"/>
      <c r="G865" s="56"/>
      <c r="H865" s="54"/>
      <c r="J865" s="55"/>
      <c r="K865" s="56"/>
    </row>
    <row r="866">
      <c r="A866" s="70"/>
      <c r="B866" s="71" t="str">
        <f>IFERROR(HYPERLINK(VLOOKUP(A866,Internal_lists_bugs!$A$2:$C$73,3,FALSE()), VLOOKUP(A866,Internal_lists_bugs!$A$2:$C$73,3,FALSE())&amp;Char(10) &amp; Char(10) &amp; VLOOKUP(A866,Internal_lists_bugs!$A$2:$Z$73,26,FALSE())),"please select a BUG ID")</f>
        <v>please select a BUG ID</v>
      </c>
      <c r="C866" s="51" t="str">
        <f>IFERROR(__xludf.DUMMYFUNCTION("IFERROR(IF(REGEXMATCH(VLOOKUP(A866,Internal_lists_bugs!$A$2:$R$73,18,FALSE()), ""Yes""), VLOOKUP(A866,Internal_lists_bugs!$A$2:$U$73,21,FALSE()), VLOOKUP(A866,Internal_lists_bugs!$A$2:$R$73,18,FALSE())),""please select a BUG ID"")"),"please select a BUG ID")</f>
        <v>please select a BUG ID</v>
      </c>
      <c r="D866" s="54"/>
      <c r="F866" s="55"/>
      <c r="G866" s="56"/>
      <c r="H866" s="54"/>
      <c r="J866" s="55"/>
      <c r="K866" s="56"/>
    </row>
    <row r="867">
      <c r="A867" s="70"/>
      <c r="B867" s="71" t="str">
        <f>IFERROR(HYPERLINK(VLOOKUP(A867,Internal_lists_bugs!$A$2:$C$73,3,FALSE()), VLOOKUP(A867,Internal_lists_bugs!$A$2:$C$73,3,FALSE())&amp;Char(10) &amp; Char(10) &amp; VLOOKUP(A867,Internal_lists_bugs!$A$2:$Z$73,26,FALSE())),"please select a BUG ID")</f>
        <v>please select a BUG ID</v>
      </c>
      <c r="C867" s="51" t="str">
        <f>IFERROR(__xludf.DUMMYFUNCTION("IFERROR(IF(REGEXMATCH(VLOOKUP(A867,Internal_lists_bugs!$A$2:$R$73,18,FALSE()), ""Yes""), VLOOKUP(A867,Internal_lists_bugs!$A$2:$U$73,21,FALSE()), VLOOKUP(A867,Internal_lists_bugs!$A$2:$R$73,18,FALSE())),""please select a BUG ID"")"),"please select a BUG ID")</f>
        <v>please select a BUG ID</v>
      </c>
      <c r="D867" s="54"/>
      <c r="F867" s="55"/>
      <c r="G867" s="56"/>
      <c r="H867" s="54"/>
      <c r="J867" s="55"/>
      <c r="K867" s="56"/>
    </row>
    <row r="868">
      <c r="A868" s="70"/>
      <c r="B868" s="71" t="str">
        <f>IFERROR(HYPERLINK(VLOOKUP(A868,Internal_lists_bugs!$A$2:$C$73,3,FALSE()), VLOOKUP(A868,Internal_lists_bugs!$A$2:$C$73,3,FALSE())&amp;Char(10) &amp; Char(10) &amp; VLOOKUP(A868,Internal_lists_bugs!$A$2:$Z$73,26,FALSE())),"please select a BUG ID")</f>
        <v>please select a BUG ID</v>
      </c>
      <c r="C868" s="51" t="str">
        <f>IFERROR(__xludf.DUMMYFUNCTION("IFERROR(IF(REGEXMATCH(VLOOKUP(A868,Internal_lists_bugs!$A$2:$R$73,18,FALSE()), ""Yes""), VLOOKUP(A868,Internal_lists_bugs!$A$2:$U$73,21,FALSE()), VLOOKUP(A868,Internal_lists_bugs!$A$2:$R$73,18,FALSE())),""please select a BUG ID"")"),"please select a BUG ID")</f>
        <v>please select a BUG ID</v>
      </c>
      <c r="D868" s="54"/>
      <c r="F868" s="55"/>
      <c r="G868" s="56"/>
      <c r="H868" s="54"/>
      <c r="J868" s="55"/>
      <c r="K868" s="56"/>
    </row>
    <row r="869">
      <c r="A869" s="70"/>
      <c r="B869" s="71" t="str">
        <f>IFERROR(HYPERLINK(VLOOKUP(A869,Internal_lists_bugs!$A$2:$C$73,3,FALSE()), VLOOKUP(A869,Internal_lists_bugs!$A$2:$C$73,3,FALSE())&amp;Char(10) &amp; Char(10) &amp; VLOOKUP(A869,Internal_lists_bugs!$A$2:$Z$73,26,FALSE())),"please select a BUG ID")</f>
        <v>please select a BUG ID</v>
      </c>
      <c r="C869" s="51" t="str">
        <f>IFERROR(__xludf.DUMMYFUNCTION("IFERROR(IF(REGEXMATCH(VLOOKUP(A869,Internal_lists_bugs!$A$2:$R$73,18,FALSE()), ""Yes""), VLOOKUP(A869,Internal_lists_bugs!$A$2:$U$73,21,FALSE()), VLOOKUP(A869,Internal_lists_bugs!$A$2:$R$73,18,FALSE())),""please select a BUG ID"")"),"please select a BUG ID")</f>
        <v>please select a BUG ID</v>
      </c>
      <c r="D869" s="54"/>
      <c r="F869" s="55"/>
      <c r="G869" s="56"/>
      <c r="H869" s="54"/>
      <c r="J869" s="55"/>
      <c r="K869" s="56"/>
    </row>
    <row r="870">
      <c r="A870" s="70"/>
      <c r="B870" s="71" t="str">
        <f>IFERROR(HYPERLINK(VLOOKUP(A870,Internal_lists_bugs!$A$2:$C$73,3,FALSE()), VLOOKUP(A870,Internal_lists_bugs!$A$2:$C$73,3,FALSE())&amp;Char(10) &amp; Char(10) &amp; VLOOKUP(A870,Internal_lists_bugs!$A$2:$Z$73,26,FALSE())),"please select a BUG ID")</f>
        <v>please select a BUG ID</v>
      </c>
      <c r="C870" s="51" t="str">
        <f>IFERROR(__xludf.DUMMYFUNCTION("IFERROR(IF(REGEXMATCH(VLOOKUP(A870,Internal_lists_bugs!$A$2:$R$73,18,FALSE()), ""Yes""), VLOOKUP(A870,Internal_lists_bugs!$A$2:$U$73,21,FALSE()), VLOOKUP(A870,Internal_lists_bugs!$A$2:$R$73,18,FALSE())),""please select a BUG ID"")"),"please select a BUG ID")</f>
        <v>please select a BUG ID</v>
      </c>
      <c r="D870" s="54"/>
      <c r="F870" s="55"/>
      <c r="G870" s="56"/>
      <c r="H870" s="54"/>
      <c r="J870" s="55"/>
      <c r="K870" s="56"/>
    </row>
    <row r="871">
      <c r="A871" s="70"/>
      <c r="B871" s="71" t="str">
        <f>IFERROR(HYPERLINK(VLOOKUP(A871,Internal_lists_bugs!$A$2:$C$73,3,FALSE()), VLOOKUP(A871,Internal_lists_bugs!$A$2:$C$73,3,FALSE())&amp;Char(10) &amp; Char(10) &amp; VLOOKUP(A871,Internal_lists_bugs!$A$2:$Z$73,26,FALSE())),"please select a BUG ID")</f>
        <v>please select a BUG ID</v>
      </c>
      <c r="C871" s="51" t="str">
        <f>IFERROR(__xludf.DUMMYFUNCTION("IFERROR(IF(REGEXMATCH(VLOOKUP(A871,Internal_lists_bugs!$A$2:$R$73,18,FALSE()), ""Yes""), VLOOKUP(A871,Internal_lists_bugs!$A$2:$U$73,21,FALSE()), VLOOKUP(A871,Internal_lists_bugs!$A$2:$R$73,18,FALSE())),""please select a BUG ID"")"),"please select a BUG ID")</f>
        <v>please select a BUG ID</v>
      </c>
      <c r="D871" s="54"/>
      <c r="F871" s="55"/>
      <c r="G871" s="56"/>
      <c r="H871" s="54"/>
      <c r="J871" s="55"/>
      <c r="K871" s="56"/>
    </row>
    <row r="872">
      <c r="A872" s="70"/>
      <c r="B872" s="71" t="str">
        <f>IFERROR(HYPERLINK(VLOOKUP(A872,Internal_lists_bugs!$A$2:$C$73,3,FALSE()), VLOOKUP(A872,Internal_lists_bugs!$A$2:$C$73,3,FALSE())&amp;Char(10) &amp; Char(10) &amp; VLOOKUP(A872,Internal_lists_bugs!$A$2:$Z$73,26,FALSE())),"please select a BUG ID")</f>
        <v>please select a BUG ID</v>
      </c>
      <c r="C872" s="51" t="str">
        <f>IFERROR(__xludf.DUMMYFUNCTION("IFERROR(IF(REGEXMATCH(VLOOKUP(A872,Internal_lists_bugs!$A$2:$R$73,18,FALSE()), ""Yes""), VLOOKUP(A872,Internal_lists_bugs!$A$2:$U$73,21,FALSE()), VLOOKUP(A872,Internal_lists_bugs!$A$2:$R$73,18,FALSE())),""please select a BUG ID"")"),"please select a BUG ID")</f>
        <v>please select a BUG ID</v>
      </c>
      <c r="D872" s="54"/>
      <c r="F872" s="55"/>
      <c r="G872" s="56"/>
      <c r="H872" s="54"/>
      <c r="J872" s="55"/>
      <c r="K872" s="56"/>
    </row>
    <row r="873">
      <c r="A873" s="70"/>
      <c r="B873" s="71" t="str">
        <f>IFERROR(HYPERLINK(VLOOKUP(A873,Internal_lists_bugs!$A$2:$C$73,3,FALSE()), VLOOKUP(A873,Internal_lists_bugs!$A$2:$C$73,3,FALSE())&amp;Char(10) &amp; Char(10) &amp; VLOOKUP(A873,Internal_lists_bugs!$A$2:$Z$73,26,FALSE())),"please select a BUG ID")</f>
        <v>please select a BUG ID</v>
      </c>
      <c r="C873" s="51" t="str">
        <f>IFERROR(__xludf.DUMMYFUNCTION("IFERROR(IF(REGEXMATCH(VLOOKUP(A873,Internal_lists_bugs!$A$2:$R$73,18,FALSE()), ""Yes""), VLOOKUP(A873,Internal_lists_bugs!$A$2:$U$73,21,FALSE()), VLOOKUP(A873,Internal_lists_bugs!$A$2:$R$73,18,FALSE())),""please select a BUG ID"")"),"please select a BUG ID")</f>
        <v>please select a BUG ID</v>
      </c>
      <c r="D873" s="54"/>
      <c r="F873" s="55"/>
      <c r="G873" s="56"/>
      <c r="H873" s="54"/>
      <c r="J873" s="55"/>
      <c r="K873" s="56"/>
    </row>
    <row r="874">
      <c r="A874" s="70"/>
      <c r="B874" s="71" t="str">
        <f>IFERROR(HYPERLINK(VLOOKUP(A874,Internal_lists_bugs!$A$2:$C$73,3,FALSE()), VLOOKUP(A874,Internal_lists_bugs!$A$2:$C$73,3,FALSE())&amp;Char(10) &amp; Char(10) &amp; VLOOKUP(A874,Internal_lists_bugs!$A$2:$Z$73,26,FALSE())),"please select a BUG ID")</f>
        <v>please select a BUG ID</v>
      </c>
      <c r="C874" s="51" t="str">
        <f>IFERROR(__xludf.DUMMYFUNCTION("IFERROR(IF(REGEXMATCH(VLOOKUP(A874,Internal_lists_bugs!$A$2:$R$73,18,FALSE()), ""Yes""), VLOOKUP(A874,Internal_lists_bugs!$A$2:$U$73,21,FALSE()), VLOOKUP(A874,Internal_lists_bugs!$A$2:$R$73,18,FALSE())),""please select a BUG ID"")"),"please select a BUG ID")</f>
        <v>please select a BUG ID</v>
      </c>
      <c r="D874" s="54"/>
      <c r="F874" s="55"/>
      <c r="G874" s="56"/>
      <c r="H874" s="54"/>
      <c r="J874" s="55"/>
      <c r="K874" s="56"/>
    </row>
    <row r="875">
      <c r="A875" s="70"/>
      <c r="B875" s="71" t="str">
        <f>IFERROR(HYPERLINK(VLOOKUP(A875,Internal_lists_bugs!$A$2:$C$73,3,FALSE()), VLOOKUP(A875,Internal_lists_bugs!$A$2:$C$73,3,FALSE())&amp;Char(10) &amp; Char(10) &amp; VLOOKUP(A875,Internal_lists_bugs!$A$2:$Z$73,26,FALSE())),"please select a BUG ID")</f>
        <v>please select a BUG ID</v>
      </c>
      <c r="C875" s="51" t="str">
        <f>IFERROR(__xludf.DUMMYFUNCTION("IFERROR(IF(REGEXMATCH(VLOOKUP(A875,Internal_lists_bugs!$A$2:$R$73,18,FALSE()), ""Yes""), VLOOKUP(A875,Internal_lists_bugs!$A$2:$U$73,21,FALSE()), VLOOKUP(A875,Internal_lists_bugs!$A$2:$R$73,18,FALSE())),""please select a BUG ID"")"),"please select a BUG ID")</f>
        <v>please select a BUG ID</v>
      </c>
      <c r="D875" s="54"/>
      <c r="F875" s="55"/>
      <c r="G875" s="56"/>
      <c r="H875" s="54"/>
      <c r="J875" s="55"/>
      <c r="K875" s="56"/>
    </row>
    <row r="876">
      <c r="A876" s="70"/>
      <c r="B876" s="71" t="str">
        <f>IFERROR(HYPERLINK(VLOOKUP(A876,Internal_lists_bugs!$A$2:$C$73,3,FALSE()), VLOOKUP(A876,Internal_lists_bugs!$A$2:$C$73,3,FALSE())&amp;Char(10) &amp; Char(10) &amp; VLOOKUP(A876,Internal_lists_bugs!$A$2:$Z$73,26,FALSE())),"please select a BUG ID")</f>
        <v>please select a BUG ID</v>
      </c>
      <c r="C876" s="51" t="str">
        <f>IFERROR(__xludf.DUMMYFUNCTION("IFERROR(IF(REGEXMATCH(VLOOKUP(A876,Internal_lists_bugs!$A$2:$R$73,18,FALSE()), ""Yes""), VLOOKUP(A876,Internal_lists_bugs!$A$2:$U$73,21,FALSE()), VLOOKUP(A876,Internal_lists_bugs!$A$2:$R$73,18,FALSE())),""please select a BUG ID"")"),"please select a BUG ID")</f>
        <v>please select a BUG ID</v>
      </c>
      <c r="D876" s="54"/>
      <c r="F876" s="55"/>
      <c r="G876" s="56"/>
      <c r="H876" s="54"/>
      <c r="J876" s="55"/>
      <c r="K876" s="56"/>
    </row>
    <row r="877">
      <c r="A877" s="70"/>
      <c r="B877" s="71" t="str">
        <f>IFERROR(HYPERLINK(VLOOKUP(A877,Internal_lists_bugs!$A$2:$C$73,3,FALSE()), VLOOKUP(A877,Internal_lists_bugs!$A$2:$C$73,3,FALSE())&amp;Char(10) &amp; Char(10) &amp; VLOOKUP(A877,Internal_lists_bugs!$A$2:$Z$73,26,FALSE())),"please select a BUG ID")</f>
        <v>please select a BUG ID</v>
      </c>
      <c r="C877" s="51" t="str">
        <f>IFERROR(__xludf.DUMMYFUNCTION("IFERROR(IF(REGEXMATCH(VLOOKUP(A877,Internal_lists_bugs!$A$2:$R$73,18,FALSE()), ""Yes""), VLOOKUP(A877,Internal_lists_bugs!$A$2:$U$73,21,FALSE()), VLOOKUP(A877,Internal_lists_bugs!$A$2:$R$73,18,FALSE())),""please select a BUG ID"")"),"please select a BUG ID")</f>
        <v>please select a BUG ID</v>
      </c>
      <c r="D877" s="54"/>
      <c r="F877" s="55"/>
      <c r="G877" s="56"/>
      <c r="H877" s="54"/>
      <c r="J877" s="55"/>
      <c r="K877" s="56"/>
    </row>
    <row r="878">
      <c r="A878" s="70"/>
      <c r="B878" s="71" t="str">
        <f>IFERROR(HYPERLINK(VLOOKUP(A878,Internal_lists_bugs!$A$2:$C$73,3,FALSE()), VLOOKUP(A878,Internal_lists_bugs!$A$2:$C$73,3,FALSE())&amp;Char(10) &amp; Char(10) &amp; VLOOKUP(A878,Internal_lists_bugs!$A$2:$Z$73,26,FALSE())),"please select a BUG ID")</f>
        <v>please select a BUG ID</v>
      </c>
      <c r="C878" s="51" t="str">
        <f>IFERROR(__xludf.DUMMYFUNCTION("IFERROR(IF(REGEXMATCH(VLOOKUP(A878,Internal_lists_bugs!$A$2:$R$73,18,FALSE()), ""Yes""), VLOOKUP(A878,Internal_lists_bugs!$A$2:$U$73,21,FALSE()), VLOOKUP(A878,Internal_lists_bugs!$A$2:$R$73,18,FALSE())),""please select a BUG ID"")"),"please select a BUG ID")</f>
        <v>please select a BUG ID</v>
      </c>
      <c r="D878" s="54"/>
      <c r="F878" s="55"/>
      <c r="G878" s="56"/>
      <c r="H878" s="54"/>
      <c r="J878" s="55"/>
      <c r="K878" s="56"/>
    </row>
    <row r="879">
      <c r="A879" s="70"/>
      <c r="B879" s="71" t="str">
        <f>IFERROR(HYPERLINK(VLOOKUP(A879,Internal_lists_bugs!$A$2:$C$73,3,FALSE()), VLOOKUP(A879,Internal_lists_bugs!$A$2:$C$73,3,FALSE())&amp;Char(10) &amp; Char(10) &amp; VLOOKUP(A879,Internal_lists_bugs!$A$2:$Z$73,26,FALSE())),"please select a BUG ID")</f>
        <v>please select a BUG ID</v>
      </c>
      <c r="C879" s="51" t="str">
        <f>IFERROR(__xludf.DUMMYFUNCTION("IFERROR(IF(REGEXMATCH(VLOOKUP(A879,Internal_lists_bugs!$A$2:$R$73,18,FALSE()), ""Yes""), VLOOKUP(A879,Internal_lists_bugs!$A$2:$U$73,21,FALSE()), VLOOKUP(A879,Internal_lists_bugs!$A$2:$R$73,18,FALSE())),""please select a BUG ID"")"),"please select a BUG ID")</f>
        <v>please select a BUG ID</v>
      </c>
      <c r="D879" s="54"/>
      <c r="F879" s="55"/>
      <c r="G879" s="56"/>
      <c r="H879" s="54"/>
      <c r="J879" s="55"/>
      <c r="K879" s="56"/>
    </row>
    <row r="880">
      <c r="A880" s="70"/>
      <c r="B880" s="71" t="str">
        <f>IFERROR(HYPERLINK(VLOOKUP(A880,Internal_lists_bugs!$A$2:$C$73,3,FALSE()), VLOOKUP(A880,Internal_lists_bugs!$A$2:$C$73,3,FALSE())&amp;Char(10) &amp; Char(10) &amp; VLOOKUP(A880,Internal_lists_bugs!$A$2:$Z$73,26,FALSE())),"please select a BUG ID")</f>
        <v>please select a BUG ID</v>
      </c>
      <c r="C880" s="51" t="str">
        <f>IFERROR(__xludf.DUMMYFUNCTION("IFERROR(IF(REGEXMATCH(VLOOKUP(A880,Internal_lists_bugs!$A$2:$R$73,18,FALSE()), ""Yes""), VLOOKUP(A880,Internal_lists_bugs!$A$2:$U$73,21,FALSE()), VLOOKUP(A880,Internal_lists_bugs!$A$2:$R$73,18,FALSE())),""please select a BUG ID"")"),"please select a BUG ID")</f>
        <v>please select a BUG ID</v>
      </c>
      <c r="D880" s="54"/>
      <c r="F880" s="55"/>
      <c r="G880" s="56"/>
      <c r="H880" s="54"/>
      <c r="J880" s="55"/>
      <c r="K880" s="56"/>
    </row>
    <row r="881">
      <c r="A881" s="70"/>
      <c r="B881" s="71" t="str">
        <f>IFERROR(HYPERLINK(VLOOKUP(A881,Internal_lists_bugs!$A$2:$C$73,3,FALSE()), VLOOKUP(A881,Internal_lists_bugs!$A$2:$C$73,3,FALSE())&amp;Char(10) &amp; Char(10) &amp; VLOOKUP(A881,Internal_lists_bugs!$A$2:$Z$73,26,FALSE())),"please select a BUG ID")</f>
        <v>please select a BUG ID</v>
      </c>
      <c r="C881" s="51" t="str">
        <f>IFERROR(__xludf.DUMMYFUNCTION("IFERROR(IF(REGEXMATCH(VLOOKUP(A881,Internal_lists_bugs!$A$2:$R$73,18,FALSE()), ""Yes""), VLOOKUP(A881,Internal_lists_bugs!$A$2:$U$73,21,FALSE()), VLOOKUP(A881,Internal_lists_bugs!$A$2:$R$73,18,FALSE())),""please select a BUG ID"")"),"please select a BUG ID")</f>
        <v>please select a BUG ID</v>
      </c>
      <c r="D881" s="54"/>
      <c r="F881" s="55"/>
      <c r="G881" s="56"/>
      <c r="H881" s="54"/>
      <c r="J881" s="55"/>
      <c r="K881" s="56"/>
    </row>
    <row r="882">
      <c r="A882" s="70"/>
      <c r="B882" s="71" t="str">
        <f>IFERROR(HYPERLINK(VLOOKUP(A882,Internal_lists_bugs!$A$2:$C$73,3,FALSE()), VLOOKUP(A882,Internal_lists_bugs!$A$2:$C$73,3,FALSE())&amp;Char(10) &amp; Char(10) &amp; VLOOKUP(A882,Internal_lists_bugs!$A$2:$Z$73,26,FALSE())),"please select a BUG ID")</f>
        <v>please select a BUG ID</v>
      </c>
      <c r="C882" s="51" t="str">
        <f>IFERROR(__xludf.DUMMYFUNCTION("IFERROR(IF(REGEXMATCH(VLOOKUP(A882,Internal_lists_bugs!$A$2:$R$73,18,FALSE()), ""Yes""), VLOOKUP(A882,Internal_lists_bugs!$A$2:$U$73,21,FALSE()), VLOOKUP(A882,Internal_lists_bugs!$A$2:$R$73,18,FALSE())),""please select a BUG ID"")"),"please select a BUG ID")</f>
        <v>please select a BUG ID</v>
      </c>
      <c r="D882" s="54"/>
      <c r="F882" s="55"/>
      <c r="G882" s="56"/>
      <c r="H882" s="54"/>
      <c r="J882" s="55"/>
      <c r="K882" s="56"/>
    </row>
    <row r="883">
      <c r="A883" s="70"/>
      <c r="B883" s="71" t="str">
        <f>IFERROR(HYPERLINK(VLOOKUP(A883,Internal_lists_bugs!$A$2:$C$73,3,FALSE()), VLOOKUP(A883,Internal_lists_bugs!$A$2:$C$73,3,FALSE())&amp;Char(10) &amp; Char(10) &amp; VLOOKUP(A883,Internal_lists_bugs!$A$2:$Z$73,26,FALSE())),"please select a BUG ID")</f>
        <v>please select a BUG ID</v>
      </c>
      <c r="C883" s="51" t="str">
        <f>IFERROR(__xludf.DUMMYFUNCTION("IFERROR(IF(REGEXMATCH(VLOOKUP(A883,Internal_lists_bugs!$A$2:$R$73,18,FALSE()), ""Yes""), VLOOKUP(A883,Internal_lists_bugs!$A$2:$U$73,21,FALSE()), VLOOKUP(A883,Internal_lists_bugs!$A$2:$R$73,18,FALSE())),""please select a BUG ID"")"),"please select a BUG ID")</f>
        <v>please select a BUG ID</v>
      </c>
      <c r="D883" s="54"/>
      <c r="F883" s="55"/>
      <c r="G883" s="56"/>
      <c r="H883" s="54"/>
      <c r="J883" s="55"/>
      <c r="K883" s="56"/>
    </row>
    <row r="884">
      <c r="A884" s="70"/>
      <c r="B884" s="71" t="str">
        <f>IFERROR(HYPERLINK(VLOOKUP(A884,Internal_lists_bugs!$A$2:$C$73,3,FALSE()), VLOOKUP(A884,Internal_lists_bugs!$A$2:$C$73,3,FALSE())&amp;Char(10) &amp; Char(10) &amp; VLOOKUP(A884,Internal_lists_bugs!$A$2:$Z$73,26,FALSE())),"please select a BUG ID")</f>
        <v>please select a BUG ID</v>
      </c>
      <c r="C884" s="51" t="str">
        <f>IFERROR(__xludf.DUMMYFUNCTION("IFERROR(IF(REGEXMATCH(VLOOKUP(A884,Internal_lists_bugs!$A$2:$R$73,18,FALSE()), ""Yes""), VLOOKUP(A884,Internal_lists_bugs!$A$2:$U$73,21,FALSE()), VLOOKUP(A884,Internal_lists_bugs!$A$2:$R$73,18,FALSE())),""please select a BUG ID"")"),"please select a BUG ID")</f>
        <v>please select a BUG ID</v>
      </c>
      <c r="D884" s="54"/>
      <c r="F884" s="55"/>
      <c r="G884" s="56"/>
      <c r="H884" s="54"/>
      <c r="J884" s="55"/>
      <c r="K884" s="56"/>
    </row>
    <row r="885">
      <c r="A885" s="70"/>
      <c r="B885" s="71" t="str">
        <f>IFERROR(HYPERLINK(VLOOKUP(A885,Internal_lists_bugs!$A$2:$C$73,3,FALSE()), VLOOKUP(A885,Internal_lists_bugs!$A$2:$C$73,3,FALSE())&amp;Char(10) &amp; Char(10) &amp; VLOOKUP(A885,Internal_lists_bugs!$A$2:$Z$73,26,FALSE())),"please select a BUG ID")</f>
        <v>please select a BUG ID</v>
      </c>
      <c r="C885" s="51" t="str">
        <f>IFERROR(__xludf.DUMMYFUNCTION("IFERROR(IF(REGEXMATCH(VLOOKUP(A885,Internal_lists_bugs!$A$2:$R$73,18,FALSE()), ""Yes""), VLOOKUP(A885,Internal_lists_bugs!$A$2:$U$73,21,FALSE()), VLOOKUP(A885,Internal_lists_bugs!$A$2:$R$73,18,FALSE())),""please select a BUG ID"")"),"please select a BUG ID")</f>
        <v>please select a BUG ID</v>
      </c>
      <c r="D885" s="54"/>
      <c r="F885" s="55"/>
      <c r="G885" s="56"/>
      <c r="H885" s="54"/>
      <c r="J885" s="55"/>
      <c r="K885" s="56"/>
    </row>
    <row r="886">
      <c r="A886" s="70"/>
      <c r="B886" s="71" t="str">
        <f>IFERROR(HYPERLINK(VLOOKUP(A886,Internal_lists_bugs!$A$2:$C$73,3,FALSE()), VLOOKUP(A886,Internal_lists_bugs!$A$2:$C$73,3,FALSE())&amp;Char(10) &amp; Char(10) &amp; VLOOKUP(A886,Internal_lists_bugs!$A$2:$Z$73,26,FALSE())),"please select a BUG ID")</f>
        <v>please select a BUG ID</v>
      </c>
      <c r="C886" s="51" t="str">
        <f>IFERROR(__xludf.DUMMYFUNCTION("IFERROR(IF(REGEXMATCH(VLOOKUP(A886,Internal_lists_bugs!$A$2:$R$73,18,FALSE()), ""Yes""), VLOOKUP(A886,Internal_lists_bugs!$A$2:$U$73,21,FALSE()), VLOOKUP(A886,Internal_lists_bugs!$A$2:$R$73,18,FALSE())),""please select a BUG ID"")"),"please select a BUG ID")</f>
        <v>please select a BUG ID</v>
      </c>
      <c r="D886" s="54"/>
      <c r="F886" s="55"/>
      <c r="G886" s="56"/>
      <c r="H886" s="54"/>
      <c r="J886" s="55"/>
      <c r="K886" s="56"/>
    </row>
    <row r="887">
      <c r="A887" s="70"/>
      <c r="B887" s="71" t="str">
        <f>IFERROR(HYPERLINK(VLOOKUP(A887,Internal_lists_bugs!$A$2:$C$73,3,FALSE()), VLOOKUP(A887,Internal_lists_bugs!$A$2:$C$73,3,FALSE())&amp;Char(10) &amp; Char(10) &amp; VLOOKUP(A887,Internal_lists_bugs!$A$2:$Z$73,26,FALSE())),"please select a BUG ID")</f>
        <v>please select a BUG ID</v>
      </c>
      <c r="C887" s="51" t="str">
        <f>IFERROR(__xludf.DUMMYFUNCTION("IFERROR(IF(REGEXMATCH(VLOOKUP(A887,Internal_lists_bugs!$A$2:$R$73,18,FALSE()), ""Yes""), VLOOKUP(A887,Internal_lists_bugs!$A$2:$U$73,21,FALSE()), VLOOKUP(A887,Internal_lists_bugs!$A$2:$R$73,18,FALSE())),""please select a BUG ID"")"),"please select a BUG ID")</f>
        <v>please select a BUG ID</v>
      </c>
      <c r="D887" s="54"/>
      <c r="F887" s="55"/>
      <c r="G887" s="56"/>
      <c r="H887" s="54"/>
      <c r="J887" s="55"/>
      <c r="K887" s="56"/>
    </row>
    <row r="888">
      <c r="A888" s="70"/>
      <c r="B888" s="71" t="str">
        <f>IFERROR(HYPERLINK(VLOOKUP(A888,Internal_lists_bugs!$A$2:$C$73,3,FALSE()), VLOOKUP(A888,Internal_lists_bugs!$A$2:$C$73,3,FALSE())&amp;Char(10) &amp; Char(10) &amp; VLOOKUP(A888,Internal_lists_bugs!$A$2:$Z$73,26,FALSE())),"please select a BUG ID")</f>
        <v>please select a BUG ID</v>
      </c>
      <c r="C888" s="51" t="str">
        <f>IFERROR(__xludf.DUMMYFUNCTION("IFERROR(IF(REGEXMATCH(VLOOKUP(A888,Internal_lists_bugs!$A$2:$R$73,18,FALSE()), ""Yes""), VLOOKUP(A888,Internal_lists_bugs!$A$2:$U$73,21,FALSE()), VLOOKUP(A888,Internal_lists_bugs!$A$2:$R$73,18,FALSE())),""please select a BUG ID"")"),"please select a BUG ID")</f>
        <v>please select a BUG ID</v>
      </c>
      <c r="D888" s="54"/>
      <c r="F888" s="55"/>
      <c r="G888" s="56"/>
      <c r="H888" s="54"/>
      <c r="J888" s="55"/>
      <c r="K888" s="56"/>
    </row>
    <row r="889">
      <c r="A889" s="70"/>
      <c r="B889" s="71" t="str">
        <f>IFERROR(HYPERLINK(VLOOKUP(A889,Internal_lists_bugs!$A$2:$C$73,3,FALSE()), VLOOKUP(A889,Internal_lists_bugs!$A$2:$C$73,3,FALSE())&amp;Char(10) &amp; Char(10) &amp; VLOOKUP(A889,Internal_lists_bugs!$A$2:$Z$73,26,FALSE())),"please select a BUG ID")</f>
        <v>please select a BUG ID</v>
      </c>
      <c r="C889" s="51" t="str">
        <f>IFERROR(__xludf.DUMMYFUNCTION("IFERROR(IF(REGEXMATCH(VLOOKUP(A889,Internal_lists_bugs!$A$2:$R$73,18,FALSE()), ""Yes""), VLOOKUP(A889,Internal_lists_bugs!$A$2:$U$73,21,FALSE()), VLOOKUP(A889,Internal_lists_bugs!$A$2:$R$73,18,FALSE())),""please select a BUG ID"")"),"please select a BUG ID")</f>
        <v>please select a BUG ID</v>
      </c>
      <c r="D889" s="54"/>
      <c r="F889" s="55"/>
      <c r="G889" s="56"/>
      <c r="H889" s="54"/>
      <c r="J889" s="55"/>
      <c r="K889" s="56"/>
    </row>
    <row r="890">
      <c r="A890" s="70"/>
      <c r="B890" s="71" t="str">
        <f>IFERROR(HYPERLINK(VLOOKUP(A890,Internal_lists_bugs!$A$2:$C$73,3,FALSE()), VLOOKUP(A890,Internal_lists_bugs!$A$2:$C$73,3,FALSE())&amp;Char(10) &amp; Char(10) &amp; VLOOKUP(A890,Internal_lists_bugs!$A$2:$Z$73,26,FALSE())),"please select a BUG ID")</f>
        <v>please select a BUG ID</v>
      </c>
      <c r="C890" s="51" t="str">
        <f>IFERROR(__xludf.DUMMYFUNCTION("IFERROR(IF(REGEXMATCH(VLOOKUP(A890,Internal_lists_bugs!$A$2:$R$73,18,FALSE()), ""Yes""), VLOOKUP(A890,Internal_lists_bugs!$A$2:$U$73,21,FALSE()), VLOOKUP(A890,Internal_lists_bugs!$A$2:$R$73,18,FALSE())),""please select a BUG ID"")"),"please select a BUG ID")</f>
        <v>please select a BUG ID</v>
      </c>
      <c r="D890" s="54"/>
      <c r="F890" s="55"/>
      <c r="G890" s="56"/>
      <c r="H890" s="54"/>
      <c r="J890" s="55"/>
      <c r="K890" s="56"/>
    </row>
    <row r="891">
      <c r="A891" s="70"/>
      <c r="B891" s="71" t="str">
        <f>IFERROR(HYPERLINK(VLOOKUP(A891,Internal_lists_bugs!$A$2:$C$73,3,FALSE()), VLOOKUP(A891,Internal_lists_bugs!$A$2:$C$73,3,FALSE())&amp;Char(10) &amp; Char(10) &amp; VLOOKUP(A891,Internal_lists_bugs!$A$2:$Z$73,26,FALSE())),"please select a BUG ID")</f>
        <v>please select a BUG ID</v>
      </c>
      <c r="C891" s="51" t="str">
        <f>IFERROR(__xludf.DUMMYFUNCTION("IFERROR(IF(REGEXMATCH(VLOOKUP(A891,Internal_lists_bugs!$A$2:$R$73,18,FALSE()), ""Yes""), VLOOKUP(A891,Internal_lists_bugs!$A$2:$U$73,21,FALSE()), VLOOKUP(A891,Internal_lists_bugs!$A$2:$R$73,18,FALSE())),""please select a BUG ID"")"),"please select a BUG ID")</f>
        <v>please select a BUG ID</v>
      </c>
      <c r="D891" s="54"/>
      <c r="F891" s="55"/>
      <c r="G891" s="56"/>
      <c r="H891" s="54"/>
      <c r="J891" s="55"/>
      <c r="K891" s="56"/>
    </row>
    <row r="892">
      <c r="A892" s="70"/>
      <c r="B892" s="71" t="str">
        <f>IFERROR(HYPERLINK(VLOOKUP(A892,Internal_lists_bugs!$A$2:$C$73,3,FALSE()), VLOOKUP(A892,Internal_lists_bugs!$A$2:$C$73,3,FALSE())&amp;Char(10) &amp; Char(10) &amp; VLOOKUP(A892,Internal_lists_bugs!$A$2:$Z$73,26,FALSE())),"please select a BUG ID")</f>
        <v>please select a BUG ID</v>
      </c>
      <c r="C892" s="51" t="str">
        <f>IFERROR(__xludf.DUMMYFUNCTION("IFERROR(IF(REGEXMATCH(VLOOKUP(A892,Internal_lists_bugs!$A$2:$R$73,18,FALSE()), ""Yes""), VLOOKUP(A892,Internal_lists_bugs!$A$2:$U$73,21,FALSE()), VLOOKUP(A892,Internal_lists_bugs!$A$2:$R$73,18,FALSE())),""please select a BUG ID"")"),"please select a BUG ID")</f>
        <v>please select a BUG ID</v>
      </c>
      <c r="D892" s="54"/>
      <c r="F892" s="55"/>
      <c r="G892" s="56"/>
      <c r="H892" s="54"/>
      <c r="J892" s="55"/>
      <c r="K892" s="56"/>
    </row>
    <row r="893">
      <c r="A893" s="70"/>
      <c r="B893" s="71" t="str">
        <f>IFERROR(HYPERLINK(VLOOKUP(A893,Internal_lists_bugs!$A$2:$C$73,3,FALSE()), VLOOKUP(A893,Internal_lists_bugs!$A$2:$C$73,3,FALSE())&amp;Char(10) &amp; Char(10) &amp; VLOOKUP(A893,Internal_lists_bugs!$A$2:$Z$73,26,FALSE())),"please select a BUG ID")</f>
        <v>please select a BUG ID</v>
      </c>
      <c r="C893" s="51" t="str">
        <f>IFERROR(__xludf.DUMMYFUNCTION("IFERROR(IF(REGEXMATCH(VLOOKUP(A893,Internal_lists_bugs!$A$2:$R$73,18,FALSE()), ""Yes""), VLOOKUP(A893,Internal_lists_bugs!$A$2:$U$73,21,FALSE()), VLOOKUP(A893,Internal_lists_bugs!$A$2:$R$73,18,FALSE())),""please select a BUG ID"")"),"please select a BUG ID")</f>
        <v>please select a BUG ID</v>
      </c>
      <c r="D893" s="54"/>
      <c r="F893" s="55"/>
      <c r="G893" s="56"/>
      <c r="H893" s="54"/>
      <c r="J893" s="55"/>
      <c r="K893" s="56"/>
    </row>
    <row r="894">
      <c r="A894" s="70"/>
      <c r="B894" s="71" t="str">
        <f>IFERROR(HYPERLINK(VLOOKUP(A894,Internal_lists_bugs!$A$2:$C$73,3,FALSE()), VLOOKUP(A894,Internal_lists_bugs!$A$2:$C$73,3,FALSE())&amp;Char(10) &amp; Char(10) &amp; VLOOKUP(A894,Internal_lists_bugs!$A$2:$Z$73,26,FALSE())),"please select a BUG ID")</f>
        <v>please select a BUG ID</v>
      </c>
      <c r="C894" s="51" t="str">
        <f>IFERROR(__xludf.DUMMYFUNCTION("IFERROR(IF(REGEXMATCH(VLOOKUP(A894,Internal_lists_bugs!$A$2:$R$73,18,FALSE()), ""Yes""), VLOOKUP(A894,Internal_lists_bugs!$A$2:$U$73,21,FALSE()), VLOOKUP(A894,Internal_lists_bugs!$A$2:$R$73,18,FALSE())),""please select a BUG ID"")"),"please select a BUG ID")</f>
        <v>please select a BUG ID</v>
      </c>
      <c r="D894" s="54"/>
      <c r="F894" s="55"/>
      <c r="G894" s="56"/>
      <c r="H894" s="54"/>
      <c r="J894" s="55"/>
      <c r="K894" s="56"/>
    </row>
    <row r="895">
      <c r="A895" s="70"/>
      <c r="B895" s="71" t="str">
        <f>IFERROR(HYPERLINK(VLOOKUP(A895,Internal_lists_bugs!$A$2:$C$73,3,FALSE()), VLOOKUP(A895,Internal_lists_bugs!$A$2:$C$73,3,FALSE())&amp;Char(10) &amp; Char(10) &amp; VLOOKUP(A895,Internal_lists_bugs!$A$2:$Z$73,26,FALSE())),"please select a BUG ID")</f>
        <v>please select a BUG ID</v>
      </c>
      <c r="C895" s="51" t="str">
        <f>IFERROR(__xludf.DUMMYFUNCTION("IFERROR(IF(REGEXMATCH(VLOOKUP(A895,Internal_lists_bugs!$A$2:$R$73,18,FALSE()), ""Yes""), VLOOKUP(A895,Internal_lists_bugs!$A$2:$U$73,21,FALSE()), VLOOKUP(A895,Internal_lists_bugs!$A$2:$R$73,18,FALSE())),""please select a BUG ID"")"),"please select a BUG ID")</f>
        <v>please select a BUG ID</v>
      </c>
      <c r="D895" s="54"/>
      <c r="F895" s="55"/>
      <c r="G895" s="56"/>
      <c r="H895" s="54"/>
      <c r="J895" s="55"/>
      <c r="K895" s="56"/>
    </row>
    <row r="896">
      <c r="A896" s="70"/>
      <c r="B896" s="71" t="str">
        <f>IFERROR(HYPERLINK(VLOOKUP(A896,Internal_lists_bugs!$A$2:$C$73,3,FALSE()), VLOOKUP(A896,Internal_lists_bugs!$A$2:$C$73,3,FALSE())&amp;Char(10) &amp; Char(10) &amp; VLOOKUP(A896,Internal_lists_bugs!$A$2:$Z$73,26,FALSE())),"please select a BUG ID")</f>
        <v>please select a BUG ID</v>
      </c>
      <c r="C896" s="51" t="str">
        <f>IFERROR(__xludf.DUMMYFUNCTION("IFERROR(IF(REGEXMATCH(VLOOKUP(A896,Internal_lists_bugs!$A$2:$R$73,18,FALSE()), ""Yes""), VLOOKUP(A896,Internal_lists_bugs!$A$2:$U$73,21,FALSE()), VLOOKUP(A896,Internal_lists_bugs!$A$2:$R$73,18,FALSE())),""please select a BUG ID"")"),"please select a BUG ID")</f>
        <v>please select a BUG ID</v>
      </c>
      <c r="D896" s="54"/>
      <c r="F896" s="55"/>
      <c r="G896" s="56"/>
      <c r="H896" s="54"/>
      <c r="J896" s="55"/>
      <c r="K896" s="56"/>
    </row>
    <row r="897">
      <c r="A897" s="70"/>
      <c r="B897" s="71" t="str">
        <f>IFERROR(HYPERLINK(VLOOKUP(A897,Internal_lists_bugs!$A$2:$C$73,3,FALSE()), VLOOKUP(A897,Internal_lists_bugs!$A$2:$C$73,3,FALSE())&amp;Char(10) &amp; Char(10) &amp; VLOOKUP(A897,Internal_lists_bugs!$A$2:$Z$73,26,FALSE())),"please select a BUG ID")</f>
        <v>please select a BUG ID</v>
      </c>
      <c r="C897" s="51" t="str">
        <f>IFERROR(__xludf.DUMMYFUNCTION("IFERROR(IF(REGEXMATCH(VLOOKUP(A897,Internal_lists_bugs!$A$2:$R$73,18,FALSE()), ""Yes""), VLOOKUP(A897,Internal_lists_bugs!$A$2:$U$73,21,FALSE()), VLOOKUP(A897,Internal_lists_bugs!$A$2:$R$73,18,FALSE())),""please select a BUG ID"")"),"please select a BUG ID")</f>
        <v>please select a BUG ID</v>
      </c>
      <c r="D897" s="54"/>
      <c r="F897" s="55"/>
      <c r="G897" s="56"/>
      <c r="H897" s="54"/>
      <c r="J897" s="55"/>
      <c r="K897" s="56"/>
    </row>
    <row r="898">
      <c r="A898" s="70"/>
      <c r="B898" s="71" t="str">
        <f>IFERROR(HYPERLINK(VLOOKUP(A898,Internal_lists_bugs!$A$2:$C$73,3,FALSE()), VLOOKUP(A898,Internal_lists_bugs!$A$2:$C$73,3,FALSE())&amp;Char(10) &amp; Char(10) &amp; VLOOKUP(A898,Internal_lists_bugs!$A$2:$Z$73,26,FALSE())),"please select a BUG ID")</f>
        <v>please select a BUG ID</v>
      </c>
      <c r="C898" s="51" t="str">
        <f>IFERROR(__xludf.DUMMYFUNCTION("IFERROR(IF(REGEXMATCH(VLOOKUP(A898,Internal_lists_bugs!$A$2:$R$73,18,FALSE()), ""Yes""), VLOOKUP(A898,Internal_lists_bugs!$A$2:$U$73,21,FALSE()), VLOOKUP(A898,Internal_lists_bugs!$A$2:$R$73,18,FALSE())),""please select a BUG ID"")"),"please select a BUG ID")</f>
        <v>please select a BUG ID</v>
      </c>
      <c r="D898" s="54"/>
      <c r="F898" s="55"/>
      <c r="G898" s="56"/>
      <c r="H898" s="54"/>
      <c r="J898" s="55"/>
      <c r="K898" s="56"/>
    </row>
    <row r="899">
      <c r="A899" s="70"/>
      <c r="B899" s="71" t="str">
        <f>IFERROR(HYPERLINK(VLOOKUP(A899,Internal_lists_bugs!$A$2:$C$73,3,FALSE()), VLOOKUP(A899,Internal_lists_bugs!$A$2:$C$73,3,FALSE())&amp;Char(10) &amp; Char(10) &amp; VLOOKUP(A899,Internal_lists_bugs!$A$2:$Z$73,26,FALSE())),"please select a BUG ID")</f>
        <v>please select a BUG ID</v>
      </c>
      <c r="C899" s="51" t="str">
        <f>IFERROR(__xludf.DUMMYFUNCTION("IFERROR(IF(REGEXMATCH(VLOOKUP(A899,Internal_lists_bugs!$A$2:$R$73,18,FALSE()), ""Yes""), VLOOKUP(A899,Internal_lists_bugs!$A$2:$U$73,21,FALSE()), VLOOKUP(A899,Internal_lists_bugs!$A$2:$R$73,18,FALSE())),""please select a BUG ID"")"),"please select a BUG ID")</f>
        <v>please select a BUG ID</v>
      </c>
      <c r="D899" s="54"/>
      <c r="F899" s="55"/>
      <c r="G899" s="56"/>
      <c r="H899" s="54"/>
      <c r="J899" s="55"/>
      <c r="K899" s="56"/>
    </row>
    <row r="900">
      <c r="A900" s="70"/>
      <c r="B900" s="71" t="str">
        <f>IFERROR(HYPERLINK(VLOOKUP(A900,Internal_lists_bugs!$A$2:$C$73,3,FALSE()), VLOOKUP(A900,Internal_lists_bugs!$A$2:$C$73,3,FALSE())&amp;Char(10) &amp; Char(10) &amp; VLOOKUP(A900,Internal_lists_bugs!$A$2:$Z$73,26,FALSE())),"please select a BUG ID")</f>
        <v>please select a BUG ID</v>
      </c>
      <c r="C900" s="51" t="str">
        <f>IFERROR(__xludf.DUMMYFUNCTION("IFERROR(IF(REGEXMATCH(VLOOKUP(A900,Internal_lists_bugs!$A$2:$R$73,18,FALSE()), ""Yes""), VLOOKUP(A900,Internal_lists_bugs!$A$2:$U$73,21,FALSE()), VLOOKUP(A900,Internal_lists_bugs!$A$2:$R$73,18,FALSE())),""please select a BUG ID"")"),"please select a BUG ID")</f>
        <v>please select a BUG ID</v>
      </c>
      <c r="D900" s="54"/>
      <c r="F900" s="55"/>
      <c r="G900" s="56"/>
      <c r="H900" s="54"/>
      <c r="J900" s="55"/>
      <c r="K900" s="56"/>
    </row>
    <row r="901">
      <c r="A901" s="70"/>
      <c r="B901" s="71" t="str">
        <f>IFERROR(HYPERLINK(VLOOKUP(A901,Internal_lists_bugs!$A$2:$C$73,3,FALSE()), VLOOKUP(A901,Internal_lists_bugs!$A$2:$C$73,3,FALSE())&amp;Char(10) &amp; Char(10) &amp; VLOOKUP(A901,Internal_lists_bugs!$A$2:$Z$73,26,FALSE())),"please select a BUG ID")</f>
        <v>please select a BUG ID</v>
      </c>
      <c r="C901" s="51" t="str">
        <f>IFERROR(__xludf.DUMMYFUNCTION("IFERROR(IF(REGEXMATCH(VLOOKUP(A901,Internal_lists_bugs!$A$2:$R$73,18,FALSE()), ""Yes""), VLOOKUP(A901,Internal_lists_bugs!$A$2:$U$73,21,FALSE()), VLOOKUP(A901,Internal_lists_bugs!$A$2:$R$73,18,FALSE())),""please select a BUG ID"")"),"please select a BUG ID")</f>
        <v>please select a BUG ID</v>
      </c>
      <c r="D901" s="54"/>
      <c r="F901" s="55"/>
      <c r="G901" s="56"/>
      <c r="H901" s="54"/>
      <c r="J901" s="55"/>
      <c r="K901" s="56"/>
    </row>
    <row r="902">
      <c r="A902" s="70"/>
      <c r="B902" s="71" t="str">
        <f>IFERROR(HYPERLINK(VLOOKUP(A902,Internal_lists_bugs!$A$2:$C$73,3,FALSE()), VLOOKUP(A902,Internal_lists_bugs!$A$2:$C$73,3,FALSE())&amp;Char(10) &amp; Char(10) &amp; VLOOKUP(A902,Internal_lists_bugs!$A$2:$Z$73,26,FALSE())),"please select a BUG ID")</f>
        <v>please select a BUG ID</v>
      </c>
      <c r="C902" s="51" t="str">
        <f>IFERROR(__xludf.DUMMYFUNCTION("IFERROR(IF(REGEXMATCH(VLOOKUP(A902,Internal_lists_bugs!$A$2:$R$73,18,FALSE()), ""Yes""), VLOOKUP(A902,Internal_lists_bugs!$A$2:$U$73,21,FALSE()), VLOOKUP(A902,Internal_lists_bugs!$A$2:$R$73,18,FALSE())),""please select a BUG ID"")"),"please select a BUG ID")</f>
        <v>please select a BUG ID</v>
      </c>
      <c r="D902" s="54"/>
      <c r="F902" s="55"/>
      <c r="G902" s="56"/>
      <c r="H902" s="54"/>
      <c r="J902" s="55"/>
      <c r="K902" s="56"/>
    </row>
    <row r="903">
      <c r="A903" s="70"/>
      <c r="B903" s="71" t="str">
        <f>IFERROR(HYPERLINK(VLOOKUP(A903,Internal_lists_bugs!$A$2:$C$73,3,FALSE()), VLOOKUP(A903,Internal_lists_bugs!$A$2:$C$73,3,FALSE())&amp;Char(10) &amp; Char(10) &amp; VLOOKUP(A903,Internal_lists_bugs!$A$2:$Z$73,26,FALSE())),"please select a BUG ID")</f>
        <v>please select a BUG ID</v>
      </c>
      <c r="C903" s="51" t="str">
        <f>IFERROR(__xludf.DUMMYFUNCTION("IFERROR(IF(REGEXMATCH(VLOOKUP(A903,Internal_lists_bugs!$A$2:$R$73,18,FALSE()), ""Yes""), VLOOKUP(A903,Internal_lists_bugs!$A$2:$U$73,21,FALSE()), VLOOKUP(A903,Internal_lists_bugs!$A$2:$R$73,18,FALSE())),""please select a BUG ID"")"),"please select a BUG ID")</f>
        <v>please select a BUG ID</v>
      </c>
      <c r="D903" s="54"/>
      <c r="F903" s="55"/>
      <c r="G903" s="56"/>
      <c r="H903" s="54"/>
      <c r="J903" s="55"/>
      <c r="K903" s="56"/>
    </row>
    <row r="904">
      <c r="A904" s="70"/>
      <c r="B904" s="71" t="str">
        <f>IFERROR(HYPERLINK(VLOOKUP(A904,Internal_lists_bugs!$A$2:$C$73,3,FALSE()), VLOOKUP(A904,Internal_lists_bugs!$A$2:$C$73,3,FALSE())&amp;Char(10) &amp; Char(10) &amp; VLOOKUP(A904,Internal_lists_bugs!$A$2:$Z$73,26,FALSE())),"please select a BUG ID")</f>
        <v>please select a BUG ID</v>
      </c>
      <c r="C904" s="51" t="str">
        <f>IFERROR(__xludf.DUMMYFUNCTION("IFERROR(IF(REGEXMATCH(VLOOKUP(A904,Internal_lists_bugs!$A$2:$R$73,18,FALSE()), ""Yes""), VLOOKUP(A904,Internal_lists_bugs!$A$2:$U$73,21,FALSE()), VLOOKUP(A904,Internal_lists_bugs!$A$2:$R$73,18,FALSE())),""please select a BUG ID"")"),"please select a BUG ID")</f>
        <v>please select a BUG ID</v>
      </c>
      <c r="D904" s="54"/>
      <c r="F904" s="55"/>
      <c r="G904" s="56"/>
      <c r="H904" s="54"/>
      <c r="J904" s="55"/>
      <c r="K904" s="56"/>
    </row>
    <row r="905">
      <c r="A905" s="70"/>
      <c r="B905" s="71" t="str">
        <f>IFERROR(HYPERLINK(VLOOKUP(A905,Internal_lists_bugs!$A$2:$C$73,3,FALSE()), VLOOKUP(A905,Internal_lists_bugs!$A$2:$C$73,3,FALSE())&amp;Char(10) &amp; Char(10) &amp; VLOOKUP(A905,Internal_lists_bugs!$A$2:$Z$73,26,FALSE())),"please select a BUG ID")</f>
        <v>please select a BUG ID</v>
      </c>
      <c r="C905" s="51" t="str">
        <f>IFERROR(__xludf.DUMMYFUNCTION("IFERROR(IF(REGEXMATCH(VLOOKUP(A905,Internal_lists_bugs!$A$2:$R$73,18,FALSE()), ""Yes""), VLOOKUP(A905,Internal_lists_bugs!$A$2:$U$73,21,FALSE()), VLOOKUP(A905,Internal_lists_bugs!$A$2:$R$73,18,FALSE())),""please select a BUG ID"")"),"please select a BUG ID")</f>
        <v>please select a BUG ID</v>
      </c>
      <c r="D905" s="54"/>
      <c r="F905" s="55"/>
      <c r="G905" s="56"/>
      <c r="H905" s="54"/>
      <c r="J905" s="55"/>
      <c r="K905" s="56"/>
    </row>
    <row r="906">
      <c r="A906" s="70"/>
      <c r="B906" s="71" t="str">
        <f>IFERROR(HYPERLINK(VLOOKUP(A906,Internal_lists_bugs!$A$2:$C$73,3,FALSE()), VLOOKUP(A906,Internal_lists_bugs!$A$2:$C$73,3,FALSE())&amp;Char(10) &amp; Char(10) &amp; VLOOKUP(A906,Internal_lists_bugs!$A$2:$Z$73,26,FALSE())),"please select a BUG ID")</f>
        <v>please select a BUG ID</v>
      </c>
      <c r="C906" s="51" t="str">
        <f>IFERROR(__xludf.DUMMYFUNCTION("IFERROR(IF(REGEXMATCH(VLOOKUP(A906,Internal_lists_bugs!$A$2:$R$73,18,FALSE()), ""Yes""), VLOOKUP(A906,Internal_lists_bugs!$A$2:$U$73,21,FALSE()), VLOOKUP(A906,Internal_lists_bugs!$A$2:$R$73,18,FALSE())),""please select a BUG ID"")"),"please select a BUG ID")</f>
        <v>please select a BUG ID</v>
      </c>
      <c r="D906" s="54"/>
      <c r="F906" s="55"/>
      <c r="G906" s="56"/>
      <c r="H906" s="54"/>
      <c r="J906" s="55"/>
      <c r="K906" s="56"/>
    </row>
    <row r="907">
      <c r="A907" s="70"/>
      <c r="B907" s="71" t="str">
        <f>IFERROR(HYPERLINK(VLOOKUP(A907,Internal_lists_bugs!$A$2:$C$73,3,FALSE()), VLOOKUP(A907,Internal_lists_bugs!$A$2:$C$73,3,FALSE())&amp;Char(10) &amp; Char(10) &amp; VLOOKUP(A907,Internal_lists_bugs!$A$2:$Z$73,26,FALSE())),"please select a BUG ID")</f>
        <v>please select a BUG ID</v>
      </c>
      <c r="C907" s="51" t="str">
        <f>IFERROR(__xludf.DUMMYFUNCTION("IFERROR(IF(REGEXMATCH(VLOOKUP(A907,Internal_lists_bugs!$A$2:$R$73,18,FALSE()), ""Yes""), VLOOKUP(A907,Internal_lists_bugs!$A$2:$U$73,21,FALSE()), VLOOKUP(A907,Internal_lists_bugs!$A$2:$R$73,18,FALSE())),""please select a BUG ID"")"),"please select a BUG ID")</f>
        <v>please select a BUG ID</v>
      </c>
      <c r="D907" s="54"/>
      <c r="F907" s="55"/>
      <c r="G907" s="56"/>
      <c r="H907" s="54"/>
      <c r="J907" s="55"/>
      <c r="K907" s="56"/>
    </row>
    <row r="908">
      <c r="A908" s="70"/>
      <c r="B908" s="71" t="str">
        <f>IFERROR(HYPERLINK(VLOOKUP(A908,Internal_lists_bugs!$A$2:$C$73,3,FALSE()), VLOOKUP(A908,Internal_lists_bugs!$A$2:$C$73,3,FALSE())&amp;Char(10) &amp; Char(10) &amp; VLOOKUP(A908,Internal_lists_bugs!$A$2:$Z$73,26,FALSE())),"please select a BUG ID")</f>
        <v>please select a BUG ID</v>
      </c>
      <c r="C908" s="51" t="str">
        <f>IFERROR(__xludf.DUMMYFUNCTION("IFERROR(IF(REGEXMATCH(VLOOKUP(A908,Internal_lists_bugs!$A$2:$R$73,18,FALSE()), ""Yes""), VLOOKUP(A908,Internal_lists_bugs!$A$2:$U$73,21,FALSE()), VLOOKUP(A908,Internal_lists_bugs!$A$2:$R$73,18,FALSE())),""please select a BUG ID"")"),"please select a BUG ID")</f>
        <v>please select a BUG ID</v>
      </c>
      <c r="D908" s="54"/>
      <c r="F908" s="55"/>
      <c r="G908" s="56"/>
      <c r="H908" s="54"/>
      <c r="J908" s="55"/>
      <c r="K908" s="56"/>
    </row>
    <row r="909">
      <c r="A909" s="70"/>
      <c r="B909" s="71" t="str">
        <f>IFERROR(HYPERLINK(VLOOKUP(A909,Internal_lists_bugs!$A$2:$C$73,3,FALSE()), VLOOKUP(A909,Internal_lists_bugs!$A$2:$C$73,3,FALSE())&amp;Char(10) &amp; Char(10) &amp; VLOOKUP(A909,Internal_lists_bugs!$A$2:$Z$73,26,FALSE())),"please select a BUG ID")</f>
        <v>please select a BUG ID</v>
      </c>
      <c r="C909" s="51" t="str">
        <f>IFERROR(__xludf.DUMMYFUNCTION("IFERROR(IF(REGEXMATCH(VLOOKUP(A909,Internal_lists_bugs!$A$2:$R$73,18,FALSE()), ""Yes""), VLOOKUP(A909,Internal_lists_bugs!$A$2:$U$73,21,FALSE()), VLOOKUP(A909,Internal_lists_bugs!$A$2:$R$73,18,FALSE())),""please select a BUG ID"")"),"please select a BUG ID")</f>
        <v>please select a BUG ID</v>
      </c>
      <c r="D909" s="54"/>
      <c r="F909" s="55"/>
      <c r="G909" s="56"/>
      <c r="H909" s="54"/>
      <c r="J909" s="55"/>
      <c r="K909" s="56"/>
    </row>
    <row r="910">
      <c r="A910" s="70"/>
      <c r="B910" s="71" t="str">
        <f>IFERROR(HYPERLINK(VLOOKUP(A910,Internal_lists_bugs!$A$2:$C$73,3,FALSE()), VLOOKUP(A910,Internal_lists_bugs!$A$2:$C$73,3,FALSE())&amp;Char(10) &amp; Char(10) &amp; VLOOKUP(A910,Internal_lists_bugs!$A$2:$Z$73,26,FALSE())),"please select a BUG ID")</f>
        <v>please select a BUG ID</v>
      </c>
      <c r="C910" s="51" t="str">
        <f>IFERROR(__xludf.DUMMYFUNCTION("IFERROR(IF(REGEXMATCH(VLOOKUP(A910,Internal_lists_bugs!$A$2:$R$73,18,FALSE()), ""Yes""), VLOOKUP(A910,Internal_lists_bugs!$A$2:$U$73,21,FALSE()), VLOOKUP(A910,Internal_lists_bugs!$A$2:$R$73,18,FALSE())),""please select a BUG ID"")"),"please select a BUG ID")</f>
        <v>please select a BUG ID</v>
      </c>
      <c r="D910" s="54"/>
      <c r="F910" s="55"/>
      <c r="G910" s="56"/>
      <c r="H910" s="54"/>
      <c r="J910" s="55"/>
      <c r="K910" s="56"/>
    </row>
    <row r="911">
      <c r="A911" s="70"/>
      <c r="B911" s="71" t="str">
        <f>IFERROR(HYPERLINK(VLOOKUP(A911,Internal_lists_bugs!$A$2:$C$73,3,FALSE()), VLOOKUP(A911,Internal_lists_bugs!$A$2:$C$73,3,FALSE())&amp;Char(10) &amp; Char(10) &amp; VLOOKUP(A911,Internal_lists_bugs!$A$2:$Z$73,26,FALSE())),"please select a BUG ID")</f>
        <v>please select a BUG ID</v>
      </c>
      <c r="C911" s="51" t="str">
        <f>IFERROR(__xludf.DUMMYFUNCTION("IFERROR(IF(REGEXMATCH(VLOOKUP(A911,Internal_lists_bugs!$A$2:$R$73,18,FALSE()), ""Yes""), VLOOKUP(A911,Internal_lists_bugs!$A$2:$U$73,21,FALSE()), VLOOKUP(A911,Internal_lists_bugs!$A$2:$R$73,18,FALSE())),""please select a BUG ID"")"),"please select a BUG ID")</f>
        <v>please select a BUG ID</v>
      </c>
      <c r="D911" s="54"/>
      <c r="F911" s="55"/>
      <c r="G911" s="56"/>
      <c r="H911" s="54"/>
      <c r="J911" s="55"/>
      <c r="K911" s="56"/>
    </row>
    <row r="912">
      <c r="A912" s="70"/>
      <c r="B912" s="71" t="str">
        <f>IFERROR(HYPERLINK(VLOOKUP(A912,Internal_lists_bugs!$A$2:$C$73,3,FALSE()), VLOOKUP(A912,Internal_lists_bugs!$A$2:$C$73,3,FALSE())&amp;Char(10) &amp; Char(10) &amp; VLOOKUP(A912,Internal_lists_bugs!$A$2:$Z$73,26,FALSE())),"please select a BUG ID")</f>
        <v>please select a BUG ID</v>
      </c>
      <c r="C912" s="51" t="str">
        <f>IFERROR(__xludf.DUMMYFUNCTION("IFERROR(IF(REGEXMATCH(VLOOKUP(A912,Internal_lists_bugs!$A$2:$R$73,18,FALSE()), ""Yes""), VLOOKUP(A912,Internal_lists_bugs!$A$2:$U$73,21,FALSE()), VLOOKUP(A912,Internal_lists_bugs!$A$2:$R$73,18,FALSE())),""please select a BUG ID"")"),"please select a BUG ID")</f>
        <v>please select a BUG ID</v>
      </c>
      <c r="D912" s="54"/>
      <c r="F912" s="55"/>
      <c r="G912" s="56"/>
      <c r="H912" s="54"/>
      <c r="J912" s="55"/>
      <c r="K912" s="56"/>
    </row>
    <row r="913">
      <c r="A913" s="70"/>
      <c r="B913" s="71" t="str">
        <f>IFERROR(HYPERLINK(VLOOKUP(A913,Internal_lists_bugs!$A$2:$C$73,3,FALSE()), VLOOKUP(A913,Internal_lists_bugs!$A$2:$C$73,3,FALSE())&amp;Char(10) &amp; Char(10) &amp; VLOOKUP(A913,Internal_lists_bugs!$A$2:$Z$73,26,FALSE())),"please select a BUG ID")</f>
        <v>please select a BUG ID</v>
      </c>
      <c r="C913" s="51" t="str">
        <f>IFERROR(__xludf.DUMMYFUNCTION("IFERROR(IF(REGEXMATCH(VLOOKUP(A913,Internal_lists_bugs!$A$2:$R$73,18,FALSE()), ""Yes""), VLOOKUP(A913,Internal_lists_bugs!$A$2:$U$73,21,FALSE()), VLOOKUP(A913,Internal_lists_bugs!$A$2:$R$73,18,FALSE())),""please select a BUG ID"")"),"please select a BUG ID")</f>
        <v>please select a BUG ID</v>
      </c>
      <c r="D913" s="54"/>
      <c r="F913" s="55"/>
      <c r="G913" s="56"/>
      <c r="H913" s="54"/>
      <c r="J913" s="55"/>
      <c r="K913" s="56"/>
    </row>
    <row r="914">
      <c r="A914" s="70"/>
      <c r="B914" s="71" t="str">
        <f>IFERROR(HYPERLINK(VLOOKUP(A914,Internal_lists_bugs!$A$2:$C$73,3,FALSE()), VLOOKUP(A914,Internal_lists_bugs!$A$2:$C$73,3,FALSE())&amp;Char(10) &amp; Char(10) &amp; VLOOKUP(A914,Internal_lists_bugs!$A$2:$Z$73,26,FALSE())),"please select a BUG ID")</f>
        <v>please select a BUG ID</v>
      </c>
      <c r="C914" s="51" t="str">
        <f>IFERROR(__xludf.DUMMYFUNCTION("IFERROR(IF(REGEXMATCH(VLOOKUP(A914,Internal_lists_bugs!$A$2:$R$73,18,FALSE()), ""Yes""), VLOOKUP(A914,Internal_lists_bugs!$A$2:$U$73,21,FALSE()), VLOOKUP(A914,Internal_lists_bugs!$A$2:$R$73,18,FALSE())),""please select a BUG ID"")"),"please select a BUG ID")</f>
        <v>please select a BUG ID</v>
      </c>
      <c r="D914" s="54"/>
      <c r="F914" s="55"/>
      <c r="G914" s="56"/>
      <c r="H914" s="54"/>
      <c r="J914" s="55"/>
      <c r="K914" s="56"/>
    </row>
    <row r="915">
      <c r="A915" s="70"/>
      <c r="B915" s="71" t="str">
        <f>IFERROR(HYPERLINK(VLOOKUP(A915,Internal_lists_bugs!$A$2:$C$73,3,FALSE()), VLOOKUP(A915,Internal_lists_bugs!$A$2:$C$73,3,FALSE())&amp;Char(10) &amp; Char(10) &amp; VLOOKUP(A915,Internal_lists_bugs!$A$2:$Z$73,26,FALSE())),"please select a BUG ID")</f>
        <v>please select a BUG ID</v>
      </c>
      <c r="C915" s="51" t="str">
        <f>IFERROR(__xludf.DUMMYFUNCTION("IFERROR(IF(REGEXMATCH(VLOOKUP(A915,Internal_lists_bugs!$A$2:$R$73,18,FALSE()), ""Yes""), VLOOKUP(A915,Internal_lists_bugs!$A$2:$U$73,21,FALSE()), VLOOKUP(A915,Internal_lists_bugs!$A$2:$R$73,18,FALSE())),""please select a BUG ID"")"),"please select a BUG ID")</f>
        <v>please select a BUG ID</v>
      </c>
      <c r="D915" s="54"/>
      <c r="F915" s="55"/>
      <c r="G915" s="56"/>
      <c r="H915" s="54"/>
      <c r="J915" s="55"/>
      <c r="K915" s="56"/>
    </row>
    <row r="916">
      <c r="A916" s="70"/>
      <c r="B916" s="71" t="str">
        <f>IFERROR(HYPERLINK(VLOOKUP(A916,Internal_lists_bugs!$A$2:$C$73,3,FALSE()), VLOOKUP(A916,Internal_lists_bugs!$A$2:$C$73,3,FALSE())&amp;Char(10) &amp; Char(10) &amp; VLOOKUP(A916,Internal_lists_bugs!$A$2:$Z$73,26,FALSE())),"please select a BUG ID")</f>
        <v>please select a BUG ID</v>
      </c>
      <c r="C916" s="51" t="str">
        <f>IFERROR(__xludf.DUMMYFUNCTION("IFERROR(IF(REGEXMATCH(VLOOKUP(A916,Internal_lists_bugs!$A$2:$R$73,18,FALSE()), ""Yes""), VLOOKUP(A916,Internal_lists_bugs!$A$2:$U$73,21,FALSE()), VLOOKUP(A916,Internal_lists_bugs!$A$2:$R$73,18,FALSE())),""please select a BUG ID"")"),"please select a BUG ID")</f>
        <v>please select a BUG ID</v>
      </c>
      <c r="D916" s="54"/>
      <c r="F916" s="55"/>
      <c r="G916" s="56"/>
      <c r="H916" s="54"/>
      <c r="J916" s="55"/>
      <c r="K916" s="56"/>
    </row>
    <row r="917">
      <c r="A917" s="70"/>
      <c r="B917" s="71" t="str">
        <f>IFERROR(HYPERLINK(VLOOKUP(A917,Internal_lists_bugs!$A$2:$C$73,3,FALSE()), VLOOKUP(A917,Internal_lists_bugs!$A$2:$C$73,3,FALSE())&amp;Char(10) &amp; Char(10) &amp; VLOOKUP(A917,Internal_lists_bugs!$A$2:$Z$73,26,FALSE())),"please select a BUG ID")</f>
        <v>please select a BUG ID</v>
      </c>
      <c r="C917" s="51" t="str">
        <f>IFERROR(__xludf.DUMMYFUNCTION("IFERROR(IF(REGEXMATCH(VLOOKUP(A917,Internal_lists_bugs!$A$2:$R$73,18,FALSE()), ""Yes""), VLOOKUP(A917,Internal_lists_bugs!$A$2:$U$73,21,FALSE()), VLOOKUP(A917,Internal_lists_bugs!$A$2:$R$73,18,FALSE())),""please select a BUG ID"")"),"please select a BUG ID")</f>
        <v>please select a BUG ID</v>
      </c>
      <c r="D917" s="54"/>
      <c r="F917" s="55"/>
      <c r="G917" s="56"/>
      <c r="H917" s="54"/>
      <c r="J917" s="55"/>
      <c r="K917" s="56"/>
    </row>
    <row r="918">
      <c r="A918" s="70"/>
      <c r="B918" s="71" t="str">
        <f>IFERROR(HYPERLINK(VLOOKUP(A918,Internal_lists_bugs!$A$2:$C$73,3,FALSE()), VLOOKUP(A918,Internal_lists_bugs!$A$2:$C$73,3,FALSE())&amp;Char(10) &amp; Char(10) &amp; VLOOKUP(A918,Internal_lists_bugs!$A$2:$Z$73,26,FALSE())),"please select a BUG ID")</f>
        <v>please select a BUG ID</v>
      </c>
      <c r="C918" s="51" t="str">
        <f>IFERROR(__xludf.DUMMYFUNCTION("IFERROR(IF(REGEXMATCH(VLOOKUP(A918,Internal_lists_bugs!$A$2:$R$73,18,FALSE()), ""Yes""), VLOOKUP(A918,Internal_lists_bugs!$A$2:$U$73,21,FALSE()), VLOOKUP(A918,Internal_lists_bugs!$A$2:$R$73,18,FALSE())),""please select a BUG ID"")"),"please select a BUG ID")</f>
        <v>please select a BUG ID</v>
      </c>
      <c r="D918" s="54"/>
      <c r="F918" s="55"/>
      <c r="G918" s="56"/>
      <c r="H918" s="54"/>
      <c r="J918" s="55"/>
      <c r="K918" s="56"/>
    </row>
    <row r="919">
      <c r="A919" s="70"/>
      <c r="B919" s="71" t="str">
        <f>IFERROR(HYPERLINK(VLOOKUP(A919,Internal_lists_bugs!$A$2:$C$73,3,FALSE()), VLOOKUP(A919,Internal_lists_bugs!$A$2:$C$73,3,FALSE())&amp;Char(10) &amp; Char(10) &amp; VLOOKUP(A919,Internal_lists_bugs!$A$2:$Z$73,26,FALSE())),"please select a BUG ID")</f>
        <v>please select a BUG ID</v>
      </c>
      <c r="C919" s="51" t="str">
        <f>IFERROR(__xludf.DUMMYFUNCTION("IFERROR(IF(REGEXMATCH(VLOOKUP(A919,Internal_lists_bugs!$A$2:$R$73,18,FALSE()), ""Yes""), VLOOKUP(A919,Internal_lists_bugs!$A$2:$U$73,21,FALSE()), VLOOKUP(A919,Internal_lists_bugs!$A$2:$R$73,18,FALSE())),""please select a BUG ID"")"),"please select a BUG ID")</f>
        <v>please select a BUG ID</v>
      </c>
      <c r="D919" s="54"/>
      <c r="F919" s="55"/>
      <c r="G919" s="56"/>
      <c r="H919" s="54"/>
      <c r="J919" s="55"/>
      <c r="K919" s="56"/>
    </row>
    <row r="920">
      <c r="A920" s="70"/>
      <c r="B920" s="71" t="str">
        <f>IFERROR(HYPERLINK(VLOOKUP(A920,Internal_lists_bugs!$A$2:$C$73,3,FALSE()), VLOOKUP(A920,Internal_lists_bugs!$A$2:$C$73,3,FALSE())&amp;Char(10) &amp; Char(10) &amp; VLOOKUP(A920,Internal_lists_bugs!$A$2:$Z$73,26,FALSE())),"please select a BUG ID")</f>
        <v>please select a BUG ID</v>
      </c>
      <c r="C920" s="51" t="str">
        <f>IFERROR(__xludf.DUMMYFUNCTION("IFERROR(IF(REGEXMATCH(VLOOKUP(A920,Internal_lists_bugs!$A$2:$R$73,18,FALSE()), ""Yes""), VLOOKUP(A920,Internal_lists_bugs!$A$2:$U$73,21,FALSE()), VLOOKUP(A920,Internal_lists_bugs!$A$2:$R$73,18,FALSE())),""please select a BUG ID"")"),"please select a BUG ID")</f>
        <v>please select a BUG ID</v>
      </c>
      <c r="D920" s="54"/>
      <c r="F920" s="55"/>
      <c r="G920" s="56"/>
      <c r="H920" s="54"/>
      <c r="J920" s="55"/>
      <c r="K920" s="56"/>
    </row>
    <row r="921">
      <c r="A921" s="70"/>
      <c r="B921" s="71" t="str">
        <f>IFERROR(HYPERLINK(VLOOKUP(A921,Internal_lists_bugs!$A$2:$C$73,3,FALSE()), VLOOKUP(A921,Internal_lists_bugs!$A$2:$C$73,3,FALSE())&amp;Char(10) &amp; Char(10) &amp; VLOOKUP(A921,Internal_lists_bugs!$A$2:$Z$73,26,FALSE())),"please select a BUG ID")</f>
        <v>please select a BUG ID</v>
      </c>
      <c r="C921" s="51" t="str">
        <f>IFERROR(__xludf.DUMMYFUNCTION("IFERROR(IF(REGEXMATCH(VLOOKUP(A921,Internal_lists_bugs!$A$2:$R$73,18,FALSE()), ""Yes""), VLOOKUP(A921,Internal_lists_bugs!$A$2:$U$73,21,FALSE()), VLOOKUP(A921,Internal_lists_bugs!$A$2:$R$73,18,FALSE())),""please select a BUG ID"")"),"please select a BUG ID")</f>
        <v>please select a BUG ID</v>
      </c>
      <c r="D921" s="54"/>
      <c r="F921" s="55"/>
      <c r="G921" s="56"/>
      <c r="H921" s="54"/>
      <c r="J921" s="55"/>
      <c r="K921" s="56"/>
    </row>
    <row r="922">
      <c r="A922" s="70"/>
      <c r="B922" s="71" t="str">
        <f>IFERROR(HYPERLINK(VLOOKUP(A922,Internal_lists_bugs!$A$2:$C$73,3,FALSE()), VLOOKUP(A922,Internal_lists_bugs!$A$2:$C$73,3,FALSE())&amp;Char(10) &amp; Char(10) &amp; VLOOKUP(A922,Internal_lists_bugs!$A$2:$Z$73,26,FALSE())),"please select a BUG ID")</f>
        <v>please select a BUG ID</v>
      </c>
      <c r="C922" s="51" t="str">
        <f>IFERROR(__xludf.DUMMYFUNCTION("IFERROR(IF(REGEXMATCH(VLOOKUP(A922,Internal_lists_bugs!$A$2:$R$73,18,FALSE()), ""Yes""), VLOOKUP(A922,Internal_lists_bugs!$A$2:$U$73,21,FALSE()), VLOOKUP(A922,Internal_lists_bugs!$A$2:$R$73,18,FALSE())),""please select a BUG ID"")"),"please select a BUG ID")</f>
        <v>please select a BUG ID</v>
      </c>
      <c r="D922" s="54"/>
      <c r="F922" s="55"/>
      <c r="G922" s="56"/>
      <c r="H922" s="54"/>
      <c r="J922" s="55"/>
      <c r="K922" s="56"/>
    </row>
    <row r="923">
      <c r="A923" s="70"/>
      <c r="B923" s="71" t="str">
        <f>IFERROR(HYPERLINK(VLOOKUP(A923,Internal_lists_bugs!$A$2:$C$73,3,FALSE()), VLOOKUP(A923,Internal_lists_bugs!$A$2:$C$73,3,FALSE())&amp;Char(10) &amp; Char(10) &amp; VLOOKUP(A923,Internal_lists_bugs!$A$2:$Z$73,26,FALSE())),"please select a BUG ID")</f>
        <v>please select a BUG ID</v>
      </c>
      <c r="C923" s="51" t="str">
        <f>IFERROR(__xludf.DUMMYFUNCTION("IFERROR(IF(REGEXMATCH(VLOOKUP(A923,Internal_lists_bugs!$A$2:$R$73,18,FALSE()), ""Yes""), VLOOKUP(A923,Internal_lists_bugs!$A$2:$U$73,21,FALSE()), VLOOKUP(A923,Internal_lists_bugs!$A$2:$R$73,18,FALSE())),""please select a BUG ID"")"),"please select a BUG ID")</f>
        <v>please select a BUG ID</v>
      </c>
      <c r="D923" s="54"/>
      <c r="F923" s="55"/>
      <c r="G923" s="56"/>
      <c r="H923" s="54"/>
      <c r="J923" s="55"/>
      <c r="K923" s="56"/>
    </row>
    <row r="924">
      <c r="A924" s="70"/>
      <c r="B924" s="71" t="str">
        <f>IFERROR(HYPERLINK(VLOOKUP(A924,Internal_lists_bugs!$A$2:$C$73,3,FALSE()), VLOOKUP(A924,Internal_lists_bugs!$A$2:$C$73,3,FALSE())&amp;Char(10) &amp; Char(10) &amp; VLOOKUP(A924,Internal_lists_bugs!$A$2:$Z$73,26,FALSE())),"please select a BUG ID")</f>
        <v>please select a BUG ID</v>
      </c>
      <c r="C924" s="51" t="str">
        <f>IFERROR(__xludf.DUMMYFUNCTION("IFERROR(IF(REGEXMATCH(VLOOKUP(A924,Internal_lists_bugs!$A$2:$R$73,18,FALSE()), ""Yes""), VLOOKUP(A924,Internal_lists_bugs!$A$2:$U$73,21,FALSE()), VLOOKUP(A924,Internal_lists_bugs!$A$2:$R$73,18,FALSE())),""please select a BUG ID"")"),"please select a BUG ID")</f>
        <v>please select a BUG ID</v>
      </c>
      <c r="D924" s="54"/>
      <c r="F924" s="55"/>
      <c r="G924" s="56"/>
      <c r="H924" s="54"/>
      <c r="J924" s="55"/>
      <c r="K924" s="56"/>
    </row>
    <row r="925">
      <c r="A925" s="70"/>
      <c r="B925" s="71" t="str">
        <f>IFERROR(HYPERLINK(VLOOKUP(A925,Internal_lists_bugs!$A$2:$C$73,3,FALSE()), VLOOKUP(A925,Internal_lists_bugs!$A$2:$C$73,3,FALSE())&amp;Char(10) &amp; Char(10) &amp; VLOOKUP(A925,Internal_lists_bugs!$A$2:$Z$73,26,FALSE())),"please select a BUG ID")</f>
        <v>please select a BUG ID</v>
      </c>
      <c r="C925" s="51" t="str">
        <f>IFERROR(__xludf.DUMMYFUNCTION("IFERROR(IF(REGEXMATCH(VLOOKUP(A925,Internal_lists_bugs!$A$2:$R$73,18,FALSE()), ""Yes""), VLOOKUP(A925,Internal_lists_bugs!$A$2:$U$73,21,FALSE()), VLOOKUP(A925,Internal_lists_bugs!$A$2:$R$73,18,FALSE())),""please select a BUG ID"")"),"please select a BUG ID")</f>
        <v>please select a BUG ID</v>
      </c>
      <c r="D925" s="54"/>
      <c r="F925" s="55"/>
      <c r="G925" s="56"/>
      <c r="H925" s="54"/>
      <c r="J925" s="55"/>
      <c r="K925" s="56"/>
    </row>
    <row r="926">
      <c r="A926" s="70"/>
      <c r="B926" s="71" t="str">
        <f>IFERROR(HYPERLINK(VLOOKUP(A926,Internal_lists_bugs!$A$2:$C$73,3,FALSE()), VLOOKUP(A926,Internal_lists_bugs!$A$2:$C$73,3,FALSE())&amp;Char(10) &amp; Char(10) &amp; VLOOKUP(A926,Internal_lists_bugs!$A$2:$Z$73,26,FALSE())),"please select a BUG ID")</f>
        <v>please select a BUG ID</v>
      </c>
      <c r="C926" s="51" t="str">
        <f>IFERROR(__xludf.DUMMYFUNCTION("IFERROR(IF(REGEXMATCH(VLOOKUP(A926,Internal_lists_bugs!$A$2:$R$73,18,FALSE()), ""Yes""), VLOOKUP(A926,Internal_lists_bugs!$A$2:$U$73,21,FALSE()), VLOOKUP(A926,Internal_lists_bugs!$A$2:$R$73,18,FALSE())),""please select a BUG ID"")"),"please select a BUG ID")</f>
        <v>please select a BUG ID</v>
      </c>
      <c r="D926" s="54"/>
      <c r="F926" s="55"/>
      <c r="G926" s="56"/>
      <c r="H926" s="54"/>
      <c r="J926" s="55"/>
      <c r="K926" s="56"/>
    </row>
    <row r="927">
      <c r="A927" s="70"/>
      <c r="B927" s="71" t="str">
        <f>IFERROR(HYPERLINK(VLOOKUP(A927,Internal_lists_bugs!$A$2:$C$73,3,FALSE()), VLOOKUP(A927,Internal_lists_bugs!$A$2:$C$73,3,FALSE())&amp;Char(10) &amp; Char(10) &amp; VLOOKUP(A927,Internal_lists_bugs!$A$2:$Z$73,26,FALSE())),"please select a BUG ID")</f>
        <v>please select a BUG ID</v>
      </c>
      <c r="C927" s="51" t="str">
        <f>IFERROR(__xludf.DUMMYFUNCTION("IFERROR(IF(REGEXMATCH(VLOOKUP(A927,Internal_lists_bugs!$A$2:$R$73,18,FALSE()), ""Yes""), VLOOKUP(A927,Internal_lists_bugs!$A$2:$U$73,21,FALSE()), VLOOKUP(A927,Internal_lists_bugs!$A$2:$R$73,18,FALSE())),""please select a BUG ID"")"),"please select a BUG ID")</f>
        <v>please select a BUG ID</v>
      </c>
      <c r="D927" s="54"/>
      <c r="F927" s="55"/>
      <c r="G927" s="56"/>
      <c r="H927" s="54"/>
      <c r="J927" s="55"/>
      <c r="K927" s="56"/>
    </row>
    <row r="928">
      <c r="A928" s="70"/>
      <c r="B928" s="71" t="str">
        <f>IFERROR(HYPERLINK(VLOOKUP(A928,Internal_lists_bugs!$A$2:$C$73,3,FALSE()), VLOOKUP(A928,Internal_lists_bugs!$A$2:$C$73,3,FALSE())&amp;Char(10) &amp; Char(10) &amp; VLOOKUP(A928,Internal_lists_bugs!$A$2:$Z$73,26,FALSE())),"please select a BUG ID")</f>
        <v>please select a BUG ID</v>
      </c>
      <c r="C928" s="51" t="str">
        <f>IFERROR(__xludf.DUMMYFUNCTION("IFERROR(IF(REGEXMATCH(VLOOKUP(A928,Internal_lists_bugs!$A$2:$R$73,18,FALSE()), ""Yes""), VLOOKUP(A928,Internal_lists_bugs!$A$2:$U$73,21,FALSE()), VLOOKUP(A928,Internal_lists_bugs!$A$2:$R$73,18,FALSE())),""please select a BUG ID"")"),"please select a BUG ID")</f>
        <v>please select a BUG ID</v>
      </c>
      <c r="D928" s="54"/>
      <c r="F928" s="55"/>
      <c r="G928" s="56"/>
      <c r="H928" s="54"/>
      <c r="J928" s="55"/>
      <c r="K928" s="56"/>
    </row>
    <row r="929">
      <c r="A929" s="70"/>
      <c r="B929" s="71" t="str">
        <f>IFERROR(HYPERLINK(VLOOKUP(A929,Internal_lists_bugs!$A$2:$C$73,3,FALSE()), VLOOKUP(A929,Internal_lists_bugs!$A$2:$C$73,3,FALSE())&amp;Char(10) &amp; Char(10) &amp; VLOOKUP(A929,Internal_lists_bugs!$A$2:$Z$73,26,FALSE())),"please select a BUG ID")</f>
        <v>please select a BUG ID</v>
      </c>
      <c r="C929" s="51" t="str">
        <f>IFERROR(__xludf.DUMMYFUNCTION("IFERROR(IF(REGEXMATCH(VLOOKUP(A929,Internal_lists_bugs!$A$2:$R$73,18,FALSE()), ""Yes""), VLOOKUP(A929,Internal_lists_bugs!$A$2:$U$73,21,FALSE()), VLOOKUP(A929,Internal_lists_bugs!$A$2:$R$73,18,FALSE())),""please select a BUG ID"")"),"please select a BUG ID")</f>
        <v>please select a BUG ID</v>
      </c>
      <c r="D929" s="54"/>
      <c r="F929" s="55"/>
      <c r="G929" s="56"/>
      <c r="H929" s="54"/>
      <c r="J929" s="55"/>
      <c r="K929" s="56"/>
    </row>
    <row r="930">
      <c r="A930" s="70"/>
      <c r="B930" s="71" t="str">
        <f>IFERROR(HYPERLINK(VLOOKUP(A930,Internal_lists_bugs!$A$2:$C$73,3,FALSE()), VLOOKUP(A930,Internal_lists_bugs!$A$2:$C$73,3,FALSE())&amp;Char(10) &amp; Char(10) &amp; VLOOKUP(A930,Internal_lists_bugs!$A$2:$Z$73,26,FALSE())),"please select a BUG ID")</f>
        <v>please select a BUG ID</v>
      </c>
      <c r="C930" s="51" t="str">
        <f>IFERROR(__xludf.DUMMYFUNCTION("IFERROR(IF(REGEXMATCH(VLOOKUP(A930,Internal_lists_bugs!$A$2:$R$73,18,FALSE()), ""Yes""), VLOOKUP(A930,Internal_lists_bugs!$A$2:$U$73,21,FALSE()), VLOOKUP(A930,Internal_lists_bugs!$A$2:$R$73,18,FALSE())),""please select a BUG ID"")"),"please select a BUG ID")</f>
        <v>please select a BUG ID</v>
      </c>
      <c r="D930" s="54"/>
      <c r="F930" s="55"/>
      <c r="G930" s="56"/>
      <c r="H930" s="54"/>
      <c r="J930" s="55"/>
      <c r="K930" s="56"/>
    </row>
    <row r="931">
      <c r="A931" s="70"/>
      <c r="B931" s="71" t="str">
        <f>IFERROR(HYPERLINK(VLOOKUP(A931,Internal_lists_bugs!$A$2:$C$73,3,FALSE()), VLOOKUP(A931,Internal_lists_bugs!$A$2:$C$73,3,FALSE())&amp;Char(10) &amp; Char(10) &amp; VLOOKUP(A931,Internal_lists_bugs!$A$2:$Z$73,26,FALSE())),"please select a BUG ID")</f>
        <v>please select a BUG ID</v>
      </c>
      <c r="C931" s="51" t="str">
        <f>IFERROR(__xludf.DUMMYFUNCTION("IFERROR(IF(REGEXMATCH(VLOOKUP(A931,Internal_lists_bugs!$A$2:$R$73,18,FALSE()), ""Yes""), VLOOKUP(A931,Internal_lists_bugs!$A$2:$U$73,21,FALSE()), VLOOKUP(A931,Internal_lists_bugs!$A$2:$R$73,18,FALSE())),""please select a BUG ID"")"),"please select a BUG ID")</f>
        <v>please select a BUG ID</v>
      </c>
      <c r="D931" s="54"/>
      <c r="F931" s="55"/>
      <c r="G931" s="56"/>
      <c r="H931" s="54"/>
      <c r="J931" s="55"/>
      <c r="K931" s="56"/>
    </row>
    <row r="932">
      <c r="A932" s="70"/>
      <c r="B932" s="71" t="str">
        <f>IFERROR(HYPERLINK(VLOOKUP(A932,Internal_lists_bugs!$A$2:$C$73,3,FALSE()), VLOOKUP(A932,Internal_lists_bugs!$A$2:$C$73,3,FALSE())&amp;Char(10) &amp; Char(10) &amp; VLOOKUP(A932,Internal_lists_bugs!$A$2:$Z$73,26,FALSE())),"please select a BUG ID")</f>
        <v>please select a BUG ID</v>
      </c>
      <c r="C932" s="51" t="str">
        <f>IFERROR(__xludf.DUMMYFUNCTION("IFERROR(IF(REGEXMATCH(VLOOKUP(A932,Internal_lists_bugs!$A$2:$R$73,18,FALSE()), ""Yes""), VLOOKUP(A932,Internal_lists_bugs!$A$2:$U$73,21,FALSE()), VLOOKUP(A932,Internal_lists_bugs!$A$2:$R$73,18,FALSE())),""please select a BUG ID"")"),"please select a BUG ID")</f>
        <v>please select a BUG ID</v>
      </c>
      <c r="D932" s="54"/>
      <c r="F932" s="55"/>
      <c r="G932" s="56"/>
      <c r="H932" s="54"/>
      <c r="J932" s="55"/>
      <c r="K932" s="56"/>
    </row>
    <row r="933">
      <c r="A933" s="70"/>
      <c r="B933" s="71" t="str">
        <f>IFERROR(HYPERLINK(VLOOKUP(A933,Internal_lists_bugs!$A$2:$C$73,3,FALSE()), VLOOKUP(A933,Internal_lists_bugs!$A$2:$C$73,3,FALSE())&amp;Char(10) &amp; Char(10) &amp; VLOOKUP(A933,Internal_lists_bugs!$A$2:$Z$73,26,FALSE())),"please select a BUG ID")</f>
        <v>please select a BUG ID</v>
      </c>
      <c r="C933" s="51" t="str">
        <f>IFERROR(__xludf.DUMMYFUNCTION("IFERROR(IF(REGEXMATCH(VLOOKUP(A933,Internal_lists_bugs!$A$2:$R$73,18,FALSE()), ""Yes""), VLOOKUP(A933,Internal_lists_bugs!$A$2:$U$73,21,FALSE()), VLOOKUP(A933,Internal_lists_bugs!$A$2:$R$73,18,FALSE())),""please select a BUG ID"")"),"please select a BUG ID")</f>
        <v>please select a BUG ID</v>
      </c>
      <c r="D933" s="54"/>
      <c r="F933" s="55"/>
      <c r="G933" s="56"/>
      <c r="H933" s="54"/>
      <c r="J933" s="55"/>
      <c r="K933" s="56"/>
    </row>
    <row r="934">
      <c r="A934" s="70"/>
      <c r="B934" s="71" t="str">
        <f>IFERROR(HYPERLINK(VLOOKUP(A934,Internal_lists_bugs!$A$2:$C$73,3,FALSE()), VLOOKUP(A934,Internal_lists_bugs!$A$2:$C$73,3,FALSE())&amp;Char(10) &amp; Char(10) &amp; VLOOKUP(A934,Internal_lists_bugs!$A$2:$Z$73,26,FALSE())),"please select a BUG ID")</f>
        <v>please select a BUG ID</v>
      </c>
      <c r="C934" s="51" t="str">
        <f>IFERROR(__xludf.DUMMYFUNCTION("IFERROR(IF(REGEXMATCH(VLOOKUP(A934,Internal_lists_bugs!$A$2:$R$73,18,FALSE()), ""Yes""), VLOOKUP(A934,Internal_lists_bugs!$A$2:$U$73,21,FALSE()), VLOOKUP(A934,Internal_lists_bugs!$A$2:$R$73,18,FALSE())),""please select a BUG ID"")"),"please select a BUG ID")</f>
        <v>please select a BUG ID</v>
      </c>
      <c r="D934" s="54"/>
      <c r="F934" s="55"/>
      <c r="G934" s="56"/>
      <c r="H934" s="54"/>
      <c r="J934" s="55"/>
      <c r="K934" s="56"/>
    </row>
    <row r="935">
      <c r="A935" s="70"/>
      <c r="B935" s="71" t="str">
        <f>IFERROR(HYPERLINK(VLOOKUP(A935,Internal_lists_bugs!$A$2:$C$73,3,FALSE()), VLOOKUP(A935,Internal_lists_bugs!$A$2:$C$73,3,FALSE())&amp;Char(10) &amp; Char(10) &amp; VLOOKUP(A935,Internal_lists_bugs!$A$2:$Z$73,26,FALSE())),"please select a BUG ID")</f>
        <v>please select a BUG ID</v>
      </c>
      <c r="C935" s="51" t="str">
        <f>IFERROR(__xludf.DUMMYFUNCTION("IFERROR(IF(REGEXMATCH(VLOOKUP(A935,Internal_lists_bugs!$A$2:$R$73,18,FALSE()), ""Yes""), VLOOKUP(A935,Internal_lists_bugs!$A$2:$U$73,21,FALSE()), VLOOKUP(A935,Internal_lists_bugs!$A$2:$R$73,18,FALSE())),""please select a BUG ID"")"),"please select a BUG ID")</f>
        <v>please select a BUG ID</v>
      </c>
      <c r="D935" s="54"/>
      <c r="F935" s="55"/>
      <c r="G935" s="56"/>
      <c r="H935" s="54"/>
      <c r="J935" s="55"/>
      <c r="K935" s="56"/>
    </row>
    <row r="936">
      <c r="A936" s="70"/>
      <c r="B936" s="71" t="str">
        <f>IFERROR(HYPERLINK(VLOOKUP(A936,Internal_lists_bugs!$A$2:$C$73,3,FALSE()), VLOOKUP(A936,Internal_lists_bugs!$A$2:$C$73,3,FALSE())&amp;Char(10) &amp; Char(10) &amp; VLOOKUP(A936,Internal_lists_bugs!$A$2:$Z$73,26,FALSE())),"please select a BUG ID")</f>
        <v>please select a BUG ID</v>
      </c>
      <c r="C936" s="51" t="str">
        <f>IFERROR(__xludf.DUMMYFUNCTION("IFERROR(IF(REGEXMATCH(VLOOKUP(A936,Internal_lists_bugs!$A$2:$R$73,18,FALSE()), ""Yes""), VLOOKUP(A936,Internal_lists_bugs!$A$2:$U$73,21,FALSE()), VLOOKUP(A936,Internal_lists_bugs!$A$2:$R$73,18,FALSE())),""please select a BUG ID"")"),"please select a BUG ID")</f>
        <v>please select a BUG ID</v>
      </c>
      <c r="D936" s="54"/>
      <c r="F936" s="55"/>
      <c r="G936" s="56"/>
      <c r="H936" s="54"/>
      <c r="J936" s="55"/>
      <c r="K936" s="56"/>
    </row>
    <row r="937">
      <c r="A937" s="70"/>
      <c r="B937" s="71" t="str">
        <f>IFERROR(HYPERLINK(VLOOKUP(A937,Internal_lists_bugs!$A$2:$C$73,3,FALSE()), VLOOKUP(A937,Internal_lists_bugs!$A$2:$C$73,3,FALSE())&amp;Char(10) &amp; Char(10) &amp; VLOOKUP(A937,Internal_lists_bugs!$A$2:$Z$73,26,FALSE())),"please select a BUG ID")</f>
        <v>please select a BUG ID</v>
      </c>
      <c r="C937" s="51" t="str">
        <f>IFERROR(__xludf.DUMMYFUNCTION("IFERROR(IF(REGEXMATCH(VLOOKUP(A937,Internal_lists_bugs!$A$2:$R$73,18,FALSE()), ""Yes""), VLOOKUP(A937,Internal_lists_bugs!$A$2:$U$73,21,FALSE()), VLOOKUP(A937,Internal_lists_bugs!$A$2:$R$73,18,FALSE())),""please select a BUG ID"")"),"please select a BUG ID")</f>
        <v>please select a BUG ID</v>
      </c>
      <c r="D937" s="54"/>
      <c r="F937" s="55"/>
      <c r="G937" s="56"/>
      <c r="H937" s="54"/>
      <c r="J937" s="55"/>
      <c r="K937" s="56"/>
    </row>
    <row r="938">
      <c r="A938" s="70"/>
      <c r="B938" s="71" t="str">
        <f>IFERROR(HYPERLINK(VLOOKUP(A938,Internal_lists_bugs!$A$2:$C$73,3,FALSE()), VLOOKUP(A938,Internal_lists_bugs!$A$2:$C$73,3,FALSE())&amp;Char(10) &amp; Char(10) &amp; VLOOKUP(A938,Internal_lists_bugs!$A$2:$Z$73,26,FALSE())),"please select a BUG ID")</f>
        <v>please select a BUG ID</v>
      </c>
      <c r="C938" s="51" t="str">
        <f>IFERROR(__xludf.DUMMYFUNCTION("IFERROR(IF(REGEXMATCH(VLOOKUP(A938,Internal_lists_bugs!$A$2:$R$73,18,FALSE()), ""Yes""), VLOOKUP(A938,Internal_lists_bugs!$A$2:$U$73,21,FALSE()), VLOOKUP(A938,Internal_lists_bugs!$A$2:$R$73,18,FALSE())),""please select a BUG ID"")"),"please select a BUG ID")</f>
        <v>please select a BUG ID</v>
      </c>
      <c r="D938" s="54"/>
      <c r="F938" s="55"/>
      <c r="G938" s="56"/>
      <c r="H938" s="54"/>
      <c r="J938" s="55"/>
      <c r="K938" s="56"/>
    </row>
    <row r="939">
      <c r="A939" s="70"/>
      <c r="B939" s="71" t="str">
        <f>IFERROR(HYPERLINK(VLOOKUP(A939,Internal_lists_bugs!$A$2:$C$73,3,FALSE()), VLOOKUP(A939,Internal_lists_bugs!$A$2:$C$73,3,FALSE())&amp;Char(10) &amp; Char(10) &amp; VLOOKUP(A939,Internal_lists_bugs!$A$2:$Z$73,26,FALSE())),"please select a BUG ID")</f>
        <v>please select a BUG ID</v>
      </c>
      <c r="C939" s="51" t="str">
        <f>IFERROR(__xludf.DUMMYFUNCTION("IFERROR(IF(REGEXMATCH(VLOOKUP(A939,Internal_lists_bugs!$A$2:$R$73,18,FALSE()), ""Yes""), VLOOKUP(A939,Internal_lists_bugs!$A$2:$U$73,21,FALSE()), VLOOKUP(A939,Internal_lists_bugs!$A$2:$R$73,18,FALSE())),""please select a BUG ID"")"),"please select a BUG ID")</f>
        <v>please select a BUG ID</v>
      </c>
      <c r="D939" s="54"/>
      <c r="F939" s="55"/>
      <c r="G939" s="56"/>
      <c r="H939" s="54"/>
      <c r="J939" s="55"/>
      <c r="K939" s="56"/>
    </row>
    <row r="940">
      <c r="A940" s="70"/>
      <c r="B940" s="71" t="str">
        <f>IFERROR(HYPERLINK(VLOOKUP(A940,Internal_lists_bugs!$A$2:$C$73,3,FALSE()), VLOOKUP(A940,Internal_lists_bugs!$A$2:$C$73,3,FALSE())&amp;Char(10) &amp; Char(10) &amp; VLOOKUP(A940,Internal_lists_bugs!$A$2:$Z$73,26,FALSE())),"please select a BUG ID")</f>
        <v>please select a BUG ID</v>
      </c>
      <c r="C940" s="51" t="str">
        <f>IFERROR(__xludf.DUMMYFUNCTION("IFERROR(IF(REGEXMATCH(VLOOKUP(A940,Internal_lists_bugs!$A$2:$R$73,18,FALSE()), ""Yes""), VLOOKUP(A940,Internal_lists_bugs!$A$2:$U$73,21,FALSE()), VLOOKUP(A940,Internal_lists_bugs!$A$2:$R$73,18,FALSE())),""please select a BUG ID"")"),"please select a BUG ID")</f>
        <v>please select a BUG ID</v>
      </c>
      <c r="D940" s="54"/>
      <c r="F940" s="55"/>
      <c r="G940" s="56"/>
      <c r="H940" s="54"/>
      <c r="J940" s="55"/>
      <c r="K940" s="56"/>
    </row>
    <row r="941">
      <c r="A941" s="70"/>
      <c r="B941" s="71" t="str">
        <f>IFERROR(HYPERLINK(VLOOKUP(A941,Internal_lists_bugs!$A$2:$C$73,3,FALSE()), VLOOKUP(A941,Internal_lists_bugs!$A$2:$C$73,3,FALSE())&amp;Char(10) &amp; Char(10) &amp; VLOOKUP(A941,Internal_lists_bugs!$A$2:$Z$73,26,FALSE())),"please select a BUG ID")</f>
        <v>please select a BUG ID</v>
      </c>
      <c r="C941" s="51" t="str">
        <f>IFERROR(__xludf.DUMMYFUNCTION("IFERROR(IF(REGEXMATCH(VLOOKUP(A941,Internal_lists_bugs!$A$2:$R$73,18,FALSE()), ""Yes""), VLOOKUP(A941,Internal_lists_bugs!$A$2:$U$73,21,FALSE()), VLOOKUP(A941,Internal_lists_bugs!$A$2:$R$73,18,FALSE())),""please select a BUG ID"")"),"please select a BUG ID")</f>
        <v>please select a BUG ID</v>
      </c>
      <c r="D941" s="54"/>
      <c r="F941" s="55"/>
      <c r="G941" s="56"/>
      <c r="H941" s="54"/>
      <c r="J941" s="55"/>
      <c r="K941" s="56"/>
    </row>
    <row r="942">
      <c r="A942" s="70"/>
      <c r="B942" s="71" t="str">
        <f>IFERROR(HYPERLINK(VLOOKUP(A942,Internal_lists_bugs!$A$2:$C$73,3,FALSE()), VLOOKUP(A942,Internal_lists_bugs!$A$2:$C$73,3,FALSE())&amp;Char(10) &amp; Char(10) &amp; VLOOKUP(A942,Internal_lists_bugs!$A$2:$Z$73,26,FALSE())),"please select a BUG ID")</f>
        <v>please select a BUG ID</v>
      </c>
      <c r="C942" s="51" t="str">
        <f>IFERROR(__xludf.DUMMYFUNCTION("IFERROR(IF(REGEXMATCH(VLOOKUP(A942,Internal_lists_bugs!$A$2:$R$73,18,FALSE()), ""Yes""), VLOOKUP(A942,Internal_lists_bugs!$A$2:$U$73,21,FALSE()), VLOOKUP(A942,Internal_lists_bugs!$A$2:$R$73,18,FALSE())),""please select a BUG ID"")"),"please select a BUG ID")</f>
        <v>please select a BUG ID</v>
      </c>
      <c r="D942" s="54"/>
      <c r="F942" s="55"/>
      <c r="G942" s="56"/>
      <c r="H942" s="54"/>
      <c r="J942" s="55"/>
      <c r="K942" s="56"/>
    </row>
    <row r="943">
      <c r="A943" s="70"/>
      <c r="B943" s="71" t="str">
        <f>IFERROR(HYPERLINK(VLOOKUP(A943,Internal_lists_bugs!$A$2:$C$73,3,FALSE()), VLOOKUP(A943,Internal_lists_bugs!$A$2:$C$73,3,FALSE())&amp;Char(10) &amp; Char(10) &amp; VLOOKUP(A943,Internal_lists_bugs!$A$2:$Z$73,26,FALSE())),"please select a BUG ID")</f>
        <v>please select a BUG ID</v>
      </c>
      <c r="C943" s="51" t="str">
        <f>IFERROR(__xludf.DUMMYFUNCTION("IFERROR(IF(REGEXMATCH(VLOOKUP(A943,Internal_lists_bugs!$A$2:$R$73,18,FALSE()), ""Yes""), VLOOKUP(A943,Internal_lists_bugs!$A$2:$U$73,21,FALSE()), VLOOKUP(A943,Internal_lists_bugs!$A$2:$R$73,18,FALSE())),""please select a BUG ID"")"),"please select a BUG ID")</f>
        <v>please select a BUG ID</v>
      </c>
      <c r="D943" s="54"/>
      <c r="F943" s="55"/>
      <c r="G943" s="56"/>
      <c r="H943" s="54"/>
      <c r="J943" s="55"/>
      <c r="K943" s="56"/>
    </row>
    <row r="944">
      <c r="A944" s="70"/>
      <c r="B944" s="71" t="str">
        <f>IFERROR(HYPERLINK(VLOOKUP(A944,Internal_lists_bugs!$A$2:$C$73,3,FALSE()), VLOOKUP(A944,Internal_lists_bugs!$A$2:$C$73,3,FALSE())&amp;Char(10) &amp; Char(10) &amp; VLOOKUP(A944,Internal_lists_bugs!$A$2:$Z$73,26,FALSE())),"please select a BUG ID")</f>
        <v>please select a BUG ID</v>
      </c>
      <c r="C944" s="51" t="str">
        <f>IFERROR(__xludf.DUMMYFUNCTION("IFERROR(IF(REGEXMATCH(VLOOKUP(A944,Internal_lists_bugs!$A$2:$R$73,18,FALSE()), ""Yes""), VLOOKUP(A944,Internal_lists_bugs!$A$2:$U$73,21,FALSE()), VLOOKUP(A944,Internal_lists_bugs!$A$2:$R$73,18,FALSE())),""please select a BUG ID"")"),"please select a BUG ID")</f>
        <v>please select a BUG ID</v>
      </c>
      <c r="D944" s="54"/>
      <c r="F944" s="55"/>
      <c r="G944" s="56"/>
      <c r="H944" s="54"/>
      <c r="J944" s="55"/>
      <c r="K944" s="56"/>
    </row>
    <row r="945">
      <c r="A945" s="70"/>
      <c r="B945" s="71" t="str">
        <f>IFERROR(HYPERLINK(VLOOKUP(A945,Internal_lists_bugs!$A$2:$C$73,3,FALSE()), VLOOKUP(A945,Internal_lists_bugs!$A$2:$C$73,3,FALSE())&amp;Char(10) &amp; Char(10) &amp; VLOOKUP(A945,Internal_lists_bugs!$A$2:$Z$73,26,FALSE())),"please select a BUG ID")</f>
        <v>please select a BUG ID</v>
      </c>
      <c r="C945" s="51" t="str">
        <f>IFERROR(__xludf.DUMMYFUNCTION("IFERROR(IF(REGEXMATCH(VLOOKUP(A945,Internal_lists_bugs!$A$2:$R$73,18,FALSE()), ""Yes""), VLOOKUP(A945,Internal_lists_bugs!$A$2:$U$73,21,FALSE()), VLOOKUP(A945,Internal_lists_bugs!$A$2:$R$73,18,FALSE())),""please select a BUG ID"")"),"please select a BUG ID")</f>
        <v>please select a BUG ID</v>
      </c>
      <c r="D945" s="54"/>
      <c r="F945" s="55"/>
      <c r="G945" s="56"/>
      <c r="H945" s="54"/>
      <c r="J945" s="55"/>
      <c r="K945" s="56"/>
    </row>
    <row r="946">
      <c r="A946" s="70"/>
      <c r="B946" s="71" t="str">
        <f>IFERROR(HYPERLINK(VLOOKUP(A946,Internal_lists_bugs!$A$2:$C$73,3,FALSE()), VLOOKUP(A946,Internal_lists_bugs!$A$2:$C$73,3,FALSE())&amp;Char(10) &amp; Char(10) &amp; VLOOKUP(A946,Internal_lists_bugs!$A$2:$Z$73,26,FALSE())),"please select a BUG ID")</f>
        <v>please select a BUG ID</v>
      </c>
      <c r="C946" s="51" t="str">
        <f>IFERROR(__xludf.DUMMYFUNCTION("IFERROR(IF(REGEXMATCH(VLOOKUP(A946,Internal_lists_bugs!$A$2:$R$73,18,FALSE()), ""Yes""), VLOOKUP(A946,Internal_lists_bugs!$A$2:$U$73,21,FALSE()), VLOOKUP(A946,Internal_lists_bugs!$A$2:$R$73,18,FALSE())),""please select a BUG ID"")"),"please select a BUG ID")</f>
        <v>please select a BUG ID</v>
      </c>
      <c r="D946" s="54"/>
      <c r="F946" s="55"/>
      <c r="G946" s="56"/>
      <c r="H946" s="54"/>
      <c r="J946" s="55"/>
      <c r="K946" s="56"/>
    </row>
    <row r="947">
      <c r="A947" s="70"/>
      <c r="B947" s="71" t="str">
        <f>IFERROR(HYPERLINK(VLOOKUP(A947,Internal_lists_bugs!$A$2:$C$73,3,FALSE()), VLOOKUP(A947,Internal_lists_bugs!$A$2:$C$73,3,FALSE())&amp;Char(10) &amp; Char(10) &amp; VLOOKUP(A947,Internal_lists_bugs!$A$2:$Z$73,26,FALSE())),"please select a BUG ID")</f>
        <v>please select a BUG ID</v>
      </c>
      <c r="C947" s="51" t="str">
        <f>IFERROR(__xludf.DUMMYFUNCTION("IFERROR(IF(REGEXMATCH(VLOOKUP(A947,Internal_lists_bugs!$A$2:$R$73,18,FALSE()), ""Yes""), VLOOKUP(A947,Internal_lists_bugs!$A$2:$U$73,21,FALSE()), VLOOKUP(A947,Internal_lists_bugs!$A$2:$R$73,18,FALSE())),""please select a BUG ID"")"),"please select a BUG ID")</f>
        <v>please select a BUG ID</v>
      </c>
      <c r="D947" s="54"/>
      <c r="F947" s="55"/>
      <c r="G947" s="56"/>
      <c r="H947" s="54"/>
      <c r="J947" s="55"/>
      <c r="K947" s="56"/>
    </row>
    <row r="948">
      <c r="A948" s="70"/>
      <c r="B948" s="71" t="str">
        <f>IFERROR(HYPERLINK(VLOOKUP(A948,Internal_lists_bugs!$A$2:$C$73,3,FALSE()), VLOOKUP(A948,Internal_lists_bugs!$A$2:$C$73,3,FALSE())&amp;Char(10) &amp; Char(10) &amp; VLOOKUP(A948,Internal_lists_bugs!$A$2:$Z$73,26,FALSE())),"please select a BUG ID")</f>
        <v>please select a BUG ID</v>
      </c>
      <c r="C948" s="51" t="str">
        <f>IFERROR(__xludf.DUMMYFUNCTION("IFERROR(IF(REGEXMATCH(VLOOKUP(A948,Internal_lists_bugs!$A$2:$R$73,18,FALSE()), ""Yes""), VLOOKUP(A948,Internal_lists_bugs!$A$2:$U$73,21,FALSE()), VLOOKUP(A948,Internal_lists_bugs!$A$2:$R$73,18,FALSE())),""please select a BUG ID"")"),"please select a BUG ID")</f>
        <v>please select a BUG ID</v>
      </c>
      <c r="D948" s="54"/>
      <c r="F948" s="55"/>
      <c r="G948" s="56"/>
      <c r="H948" s="54"/>
      <c r="J948" s="55"/>
      <c r="K948" s="56"/>
    </row>
    <row r="949">
      <c r="A949" s="70"/>
      <c r="B949" s="71" t="str">
        <f>IFERROR(HYPERLINK(VLOOKUP(A949,Internal_lists_bugs!$A$2:$C$73,3,FALSE()), VLOOKUP(A949,Internal_lists_bugs!$A$2:$C$73,3,FALSE())&amp;Char(10) &amp; Char(10) &amp; VLOOKUP(A949,Internal_lists_bugs!$A$2:$Z$73,26,FALSE())),"please select a BUG ID")</f>
        <v>please select a BUG ID</v>
      </c>
      <c r="C949" s="51" t="str">
        <f>IFERROR(__xludf.DUMMYFUNCTION("IFERROR(IF(REGEXMATCH(VLOOKUP(A949,Internal_lists_bugs!$A$2:$R$73,18,FALSE()), ""Yes""), VLOOKUP(A949,Internal_lists_bugs!$A$2:$U$73,21,FALSE()), VLOOKUP(A949,Internal_lists_bugs!$A$2:$R$73,18,FALSE())),""please select a BUG ID"")"),"please select a BUG ID")</f>
        <v>please select a BUG ID</v>
      </c>
      <c r="D949" s="54"/>
      <c r="F949" s="55"/>
      <c r="G949" s="56"/>
      <c r="H949" s="54"/>
      <c r="J949" s="55"/>
      <c r="K949" s="56"/>
    </row>
    <row r="950">
      <c r="A950" s="70"/>
      <c r="B950" s="71" t="str">
        <f>IFERROR(HYPERLINK(VLOOKUP(A950,Internal_lists_bugs!$A$2:$C$73,3,FALSE()), VLOOKUP(A950,Internal_lists_bugs!$A$2:$C$73,3,FALSE())&amp;Char(10) &amp; Char(10) &amp; VLOOKUP(A950,Internal_lists_bugs!$A$2:$Z$73,26,FALSE())),"please select a BUG ID")</f>
        <v>please select a BUG ID</v>
      </c>
      <c r="C950" s="51" t="str">
        <f>IFERROR(__xludf.DUMMYFUNCTION("IFERROR(IF(REGEXMATCH(VLOOKUP(A950,Internal_lists_bugs!$A$2:$R$73,18,FALSE()), ""Yes""), VLOOKUP(A950,Internal_lists_bugs!$A$2:$U$73,21,FALSE()), VLOOKUP(A950,Internal_lists_bugs!$A$2:$R$73,18,FALSE())),""please select a BUG ID"")"),"please select a BUG ID")</f>
        <v>please select a BUG ID</v>
      </c>
      <c r="D950" s="54"/>
      <c r="F950" s="55"/>
      <c r="G950" s="56"/>
      <c r="H950" s="54"/>
      <c r="J950" s="55"/>
      <c r="K950" s="56"/>
    </row>
    <row r="951">
      <c r="A951" s="70"/>
      <c r="B951" s="71" t="str">
        <f>IFERROR(HYPERLINK(VLOOKUP(A951,Internal_lists_bugs!$A$2:$C$73,3,FALSE()), VLOOKUP(A951,Internal_lists_bugs!$A$2:$C$73,3,FALSE())&amp;Char(10) &amp; Char(10) &amp; VLOOKUP(A951,Internal_lists_bugs!$A$2:$Z$73,26,FALSE())),"please select a BUG ID")</f>
        <v>please select a BUG ID</v>
      </c>
      <c r="C951" s="51" t="str">
        <f>IFERROR(__xludf.DUMMYFUNCTION("IFERROR(IF(REGEXMATCH(VLOOKUP(A951,Internal_lists_bugs!$A$2:$R$73,18,FALSE()), ""Yes""), VLOOKUP(A951,Internal_lists_bugs!$A$2:$U$73,21,FALSE()), VLOOKUP(A951,Internal_lists_bugs!$A$2:$R$73,18,FALSE())),""please select a BUG ID"")"),"please select a BUG ID")</f>
        <v>please select a BUG ID</v>
      </c>
      <c r="D951" s="54"/>
      <c r="F951" s="55"/>
      <c r="G951" s="56"/>
      <c r="H951" s="54"/>
      <c r="J951" s="55"/>
      <c r="K951" s="56"/>
    </row>
    <row r="952">
      <c r="A952" s="70"/>
      <c r="B952" s="71" t="str">
        <f>IFERROR(HYPERLINK(VLOOKUP(A952,Internal_lists_bugs!$A$2:$C$73,3,FALSE()), VLOOKUP(A952,Internal_lists_bugs!$A$2:$C$73,3,FALSE())&amp;Char(10) &amp; Char(10) &amp; VLOOKUP(A952,Internal_lists_bugs!$A$2:$Z$73,26,FALSE())),"please select a BUG ID")</f>
        <v>please select a BUG ID</v>
      </c>
      <c r="C952" s="51" t="str">
        <f>IFERROR(__xludf.DUMMYFUNCTION("IFERROR(IF(REGEXMATCH(VLOOKUP(A952,Internal_lists_bugs!$A$2:$R$73,18,FALSE()), ""Yes""), VLOOKUP(A952,Internal_lists_bugs!$A$2:$U$73,21,FALSE()), VLOOKUP(A952,Internal_lists_bugs!$A$2:$R$73,18,FALSE())),""please select a BUG ID"")"),"please select a BUG ID")</f>
        <v>please select a BUG ID</v>
      </c>
      <c r="D952" s="54"/>
      <c r="F952" s="55"/>
      <c r="G952" s="56"/>
      <c r="H952" s="54"/>
      <c r="J952" s="55"/>
      <c r="K952" s="56"/>
    </row>
    <row r="953">
      <c r="A953" s="70"/>
      <c r="B953" s="71" t="str">
        <f>IFERROR(HYPERLINK(VLOOKUP(A953,Internal_lists_bugs!$A$2:$C$73,3,FALSE()), VLOOKUP(A953,Internal_lists_bugs!$A$2:$C$73,3,FALSE())&amp;Char(10) &amp; Char(10) &amp; VLOOKUP(A953,Internal_lists_bugs!$A$2:$Z$73,26,FALSE())),"please select a BUG ID")</f>
        <v>please select a BUG ID</v>
      </c>
      <c r="C953" s="51" t="str">
        <f>IFERROR(__xludf.DUMMYFUNCTION("IFERROR(IF(REGEXMATCH(VLOOKUP(A953,Internal_lists_bugs!$A$2:$R$73,18,FALSE()), ""Yes""), VLOOKUP(A953,Internal_lists_bugs!$A$2:$U$73,21,FALSE()), VLOOKUP(A953,Internal_lists_bugs!$A$2:$R$73,18,FALSE())),""please select a BUG ID"")"),"please select a BUG ID")</f>
        <v>please select a BUG ID</v>
      </c>
      <c r="D953" s="54"/>
      <c r="F953" s="55"/>
      <c r="G953" s="56"/>
      <c r="H953" s="54"/>
      <c r="J953" s="55"/>
      <c r="K953" s="56"/>
    </row>
    <row r="954">
      <c r="A954" s="70"/>
      <c r="B954" s="71" t="str">
        <f>IFERROR(HYPERLINK(VLOOKUP(A954,Internal_lists_bugs!$A$2:$C$73,3,FALSE()), VLOOKUP(A954,Internal_lists_bugs!$A$2:$C$73,3,FALSE())&amp;Char(10) &amp; Char(10) &amp; VLOOKUP(A954,Internal_lists_bugs!$A$2:$Z$73,26,FALSE())),"please select a BUG ID")</f>
        <v>please select a BUG ID</v>
      </c>
      <c r="C954" s="51" t="str">
        <f>IFERROR(__xludf.DUMMYFUNCTION("IFERROR(IF(REGEXMATCH(VLOOKUP(A954,Internal_lists_bugs!$A$2:$R$73,18,FALSE()), ""Yes""), VLOOKUP(A954,Internal_lists_bugs!$A$2:$U$73,21,FALSE()), VLOOKUP(A954,Internal_lists_bugs!$A$2:$R$73,18,FALSE())),""please select a BUG ID"")"),"please select a BUG ID")</f>
        <v>please select a BUG ID</v>
      </c>
      <c r="D954" s="54"/>
      <c r="F954" s="55"/>
      <c r="G954" s="56"/>
      <c r="H954" s="54"/>
      <c r="J954" s="55"/>
      <c r="K954" s="56"/>
    </row>
    <row r="955">
      <c r="A955" s="70"/>
      <c r="B955" s="71" t="str">
        <f>IFERROR(HYPERLINK(VLOOKUP(A955,Internal_lists_bugs!$A$2:$C$73,3,FALSE()), VLOOKUP(A955,Internal_lists_bugs!$A$2:$C$73,3,FALSE())&amp;Char(10) &amp; Char(10) &amp; VLOOKUP(A955,Internal_lists_bugs!$A$2:$Z$73,26,FALSE())),"please select a BUG ID")</f>
        <v>please select a BUG ID</v>
      </c>
      <c r="C955" s="51" t="str">
        <f>IFERROR(__xludf.DUMMYFUNCTION("IFERROR(IF(REGEXMATCH(VLOOKUP(A955,Internal_lists_bugs!$A$2:$R$73,18,FALSE()), ""Yes""), VLOOKUP(A955,Internal_lists_bugs!$A$2:$U$73,21,FALSE()), VLOOKUP(A955,Internal_lists_bugs!$A$2:$R$73,18,FALSE())),""please select a BUG ID"")"),"please select a BUG ID")</f>
        <v>please select a BUG ID</v>
      </c>
      <c r="D955" s="54"/>
      <c r="F955" s="55"/>
      <c r="G955" s="56"/>
      <c r="H955" s="54"/>
      <c r="J955" s="55"/>
      <c r="K955" s="56"/>
    </row>
    <row r="956">
      <c r="A956" s="70"/>
      <c r="B956" s="71" t="str">
        <f>IFERROR(HYPERLINK(VLOOKUP(A956,Internal_lists_bugs!$A$2:$C$73,3,FALSE()), VLOOKUP(A956,Internal_lists_bugs!$A$2:$C$73,3,FALSE())&amp;Char(10) &amp; Char(10) &amp; VLOOKUP(A956,Internal_lists_bugs!$A$2:$Z$73,26,FALSE())),"please select a BUG ID")</f>
        <v>please select a BUG ID</v>
      </c>
      <c r="C956" s="51" t="str">
        <f>IFERROR(__xludf.DUMMYFUNCTION("IFERROR(IF(REGEXMATCH(VLOOKUP(A956,Internal_lists_bugs!$A$2:$R$73,18,FALSE()), ""Yes""), VLOOKUP(A956,Internal_lists_bugs!$A$2:$U$73,21,FALSE()), VLOOKUP(A956,Internal_lists_bugs!$A$2:$R$73,18,FALSE())),""please select a BUG ID"")"),"please select a BUG ID")</f>
        <v>please select a BUG ID</v>
      </c>
      <c r="D956" s="54"/>
      <c r="F956" s="55"/>
      <c r="G956" s="56"/>
      <c r="H956" s="54"/>
      <c r="J956" s="55"/>
      <c r="K956" s="56"/>
    </row>
    <row r="957">
      <c r="A957" s="70"/>
      <c r="B957" s="71" t="str">
        <f>IFERROR(HYPERLINK(VLOOKUP(A957,Internal_lists_bugs!$A$2:$C$73,3,FALSE()), VLOOKUP(A957,Internal_lists_bugs!$A$2:$C$73,3,FALSE())&amp;Char(10) &amp; Char(10) &amp; VLOOKUP(A957,Internal_lists_bugs!$A$2:$Z$73,26,FALSE())),"please select a BUG ID")</f>
        <v>please select a BUG ID</v>
      </c>
      <c r="C957" s="51" t="str">
        <f>IFERROR(__xludf.DUMMYFUNCTION("IFERROR(IF(REGEXMATCH(VLOOKUP(A957,Internal_lists_bugs!$A$2:$R$73,18,FALSE()), ""Yes""), VLOOKUP(A957,Internal_lists_bugs!$A$2:$U$73,21,FALSE()), VLOOKUP(A957,Internal_lists_bugs!$A$2:$R$73,18,FALSE())),""please select a BUG ID"")"),"please select a BUG ID")</f>
        <v>please select a BUG ID</v>
      </c>
      <c r="D957" s="54"/>
      <c r="F957" s="55"/>
      <c r="G957" s="56"/>
      <c r="H957" s="54"/>
      <c r="J957" s="55"/>
      <c r="K957" s="56"/>
    </row>
    <row r="958">
      <c r="A958" s="70"/>
      <c r="B958" s="71" t="str">
        <f>IFERROR(HYPERLINK(VLOOKUP(A958,Internal_lists_bugs!$A$2:$C$73,3,FALSE()), VLOOKUP(A958,Internal_lists_bugs!$A$2:$C$73,3,FALSE())&amp;Char(10) &amp; Char(10) &amp; VLOOKUP(A958,Internal_lists_bugs!$A$2:$Z$73,26,FALSE())),"please select a BUG ID")</f>
        <v>please select a BUG ID</v>
      </c>
      <c r="C958" s="51" t="str">
        <f>IFERROR(__xludf.DUMMYFUNCTION("IFERROR(IF(REGEXMATCH(VLOOKUP(A958,Internal_lists_bugs!$A$2:$R$73,18,FALSE()), ""Yes""), VLOOKUP(A958,Internal_lists_bugs!$A$2:$U$73,21,FALSE()), VLOOKUP(A958,Internal_lists_bugs!$A$2:$R$73,18,FALSE())),""please select a BUG ID"")"),"please select a BUG ID")</f>
        <v>please select a BUG ID</v>
      </c>
      <c r="D958" s="54"/>
      <c r="F958" s="55"/>
      <c r="G958" s="56"/>
      <c r="H958" s="54"/>
      <c r="J958" s="55"/>
      <c r="K958" s="56"/>
    </row>
    <row r="959">
      <c r="A959" s="70"/>
      <c r="B959" s="71" t="str">
        <f>IFERROR(HYPERLINK(VLOOKUP(A959,Internal_lists_bugs!$A$2:$C$73,3,FALSE()), VLOOKUP(A959,Internal_lists_bugs!$A$2:$C$73,3,FALSE())&amp;Char(10) &amp; Char(10) &amp; VLOOKUP(A959,Internal_lists_bugs!$A$2:$Z$73,26,FALSE())),"please select a BUG ID")</f>
        <v>please select a BUG ID</v>
      </c>
      <c r="C959" s="51" t="str">
        <f>IFERROR(__xludf.DUMMYFUNCTION("IFERROR(IF(REGEXMATCH(VLOOKUP(A959,Internal_lists_bugs!$A$2:$R$73,18,FALSE()), ""Yes""), VLOOKUP(A959,Internal_lists_bugs!$A$2:$U$73,21,FALSE()), VLOOKUP(A959,Internal_lists_bugs!$A$2:$R$73,18,FALSE())),""please select a BUG ID"")"),"please select a BUG ID")</f>
        <v>please select a BUG ID</v>
      </c>
      <c r="D959" s="54"/>
      <c r="F959" s="55"/>
      <c r="G959" s="56"/>
      <c r="H959" s="54"/>
      <c r="J959" s="55"/>
      <c r="K959" s="56"/>
    </row>
    <row r="960">
      <c r="A960" s="70"/>
      <c r="B960" s="71" t="str">
        <f>IFERROR(HYPERLINK(VLOOKUP(A960,Internal_lists_bugs!$A$2:$C$73,3,FALSE()), VLOOKUP(A960,Internal_lists_bugs!$A$2:$C$73,3,FALSE())&amp;Char(10) &amp; Char(10) &amp; VLOOKUP(A960,Internal_lists_bugs!$A$2:$Z$73,26,FALSE())),"please select a BUG ID")</f>
        <v>please select a BUG ID</v>
      </c>
      <c r="C960" s="51" t="str">
        <f>IFERROR(__xludf.DUMMYFUNCTION("IFERROR(IF(REGEXMATCH(VLOOKUP(A960,Internal_lists_bugs!$A$2:$R$73,18,FALSE()), ""Yes""), VLOOKUP(A960,Internal_lists_bugs!$A$2:$U$73,21,FALSE()), VLOOKUP(A960,Internal_lists_bugs!$A$2:$R$73,18,FALSE())),""please select a BUG ID"")"),"please select a BUG ID")</f>
        <v>please select a BUG ID</v>
      </c>
      <c r="D960" s="54"/>
      <c r="F960" s="55"/>
      <c r="G960" s="56"/>
      <c r="H960" s="54"/>
      <c r="J960" s="55"/>
      <c r="K960" s="56"/>
    </row>
    <row r="961">
      <c r="A961" s="70"/>
      <c r="B961" s="71" t="str">
        <f>IFERROR(HYPERLINK(VLOOKUP(A961,Internal_lists_bugs!$A$2:$C$73,3,FALSE()), VLOOKUP(A961,Internal_lists_bugs!$A$2:$C$73,3,FALSE())&amp;Char(10) &amp; Char(10) &amp; VLOOKUP(A961,Internal_lists_bugs!$A$2:$Z$73,26,FALSE())),"please select a BUG ID")</f>
        <v>please select a BUG ID</v>
      </c>
      <c r="C961" s="51" t="str">
        <f>IFERROR(__xludf.DUMMYFUNCTION("IFERROR(IF(REGEXMATCH(VLOOKUP(A961,Internal_lists_bugs!$A$2:$R$73,18,FALSE()), ""Yes""), VLOOKUP(A961,Internal_lists_bugs!$A$2:$U$73,21,FALSE()), VLOOKUP(A961,Internal_lists_bugs!$A$2:$R$73,18,FALSE())),""please select a BUG ID"")"),"please select a BUG ID")</f>
        <v>please select a BUG ID</v>
      </c>
      <c r="D961" s="54"/>
      <c r="F961" s="55"/>
      <c r="G961" s="56"/>
      <c r="H961" s="54"/>
      <c r="J961" s="55"/>
      <c r="K961" s="56"/>
    </row>
    <row r="962">
      <c r="A962" s="70"/>
      <c r="B962" s="71" t="str">
        <f>IFERROR(HYPERLINK(VLOOKUP(A962,Internal_lists_bugs!$A$2:$C$73,3,FALSE()), VLOOKUP(A962,Internal_lists_bugs!$A$2:$C$73,3,FALSE())&amp;Char(10) &amp; Char(10) &amp; VLOOKUP(A962,Internal_lists_bugs!$A$2:$Z$73,26,FALSE())),"please select a BUG ID")</f>
        <v>please select a BUG ID</v>
      </c>
      <c r="C962" s="51" t="str">
        <f>IFERROR(__xludf.DUMMYFUNCTION("IFERROR(IF(REGEXMATCH(VLOOKUP(A962,Internal_lists_bugs!$A$2:$R$73,18,FALSE()), ""Yes""), VLOOKUP(A962,Internal_lists_bugs!$A$2:$U$73,21,FALSE()), VLOOKUP(A962,Internal_lists_bugs!$A$2:$R$73,18,FALSE())),""please select a BUG ID"")"),"please select a BUG ID")</f>
        <v>please select a BUG ID</v>
      </c>
      <c r="D962" s="54"/>
      <c r="F962" s="55"/>
      <c r="G962" s="56"/>
      <c r="H962" s="54"/>
      <c r="J962" s="55"/>
      <c r="K962" s="56"/>
    </row>
    <row r="963">
      <c r="A963" s="70"/>
      <c r="B963" s="71" t="str">
        <f>IFERROR(HYPERLINK(VLOOKUP(A963,Internal_lists_bugs!$A$2:$C$73,3,FALSE()), VLOOKUP(A963,Internal_lists_bugs!$A$2:$C$73,3,FALSE())&amp;Char(10) &amp; Char(10) &amp; VLOOKUP(A963,Internal_lists_bugs!$A$2:$Z$73,26,FALSE())),"please select a BUG ID")</f>
        <v>please select a BUG ID</v>
      </c>
      <c r="C963" s="51" t="str">
        <f>IFERROR(__xludf.DUMMYFUNCTION("IFERROR(IF(REGEXMATCH(VLOOKUP(A963,Internal_lists_bugs!$A$2:$R$73,18,FALSE()), ""Yes""), VLOOKUP(A963,Internal_lists_bugs!$A$2:$U$73,21,FALSE()), VLOOKUP(A963,Internal_lists_bugs!$A$2:$R$73,18,FALSE())),""please select a BUG ID"")"),"please select a BUG ID")</f>
        <v>please select a BUG ID</v>
      </c>
      <c r="D963" s="54"/>
      <c r="F963" s="55"/>
      <c r="G963" s="56"/>
      <c r="H963" s="54"/>
      <c r="J963" s="55"/>
      <c r="K963" s="56"/>
    </row>
    <row r="964">
      <c r="A964" s="70"/>
      <c r="B964" s="71" t="str">
        <f>IFERROR(HYPERLINK(VLOOKUP(A964,Internal_lists_bugs!$A$2:$C$73,3,FALSE()), VLOOKUP(A964,Internal_lists_bugs!$A$2:$C$73,3,FALSE())&amp;Char(10) &amp; Char(10) &amp; VLOOKUP(A964,Internal_lists_bugs!$A$2:$Z$73,26,FALSE())),"please select a BUG ID")</f>
        <v>please select a BUG ID</v>
      </c>
      <c r="C964" s="51" t="str">
        <f>IFERROR(__xludf.DUMMYFUNCTION("IFERROR(IF(REGEXMATCH(VLOOKUP(A964,Internal_lists_bugs!$A$2:$R$73,18,FALSE()), ""Yes""), VLOOKUP(A964,Internal_lists_bugs!$A$2:$U$73,21,FALSE()), VLOOKUP(A964,Internal_lists_bugs!$A$2:$R$73,18,FALSE())),""please select a BUG ID"")"),"please select a BUG ID")</f>
        <v>please select a BUG ID</v>
      </c>
      <c r="D964" s="54"/>
      <c r="F964" s="55"/>
      <c r="G964" s="56"/>
      <c r="H964" s="54"/>
      <c r="J964" s="55"/>
      <c r="K964" s="56"/>
    </row>
    <row r="965">
      <c r="A965" s="70"/>
      <c r="B965" s="71" t="str">
        <f>IFERROR(HYPERLINK(VLOOKUP(A965,Internal_lists_bugs!$A$2:$C$73,3,FALSE()), VLOOKUP(A965,Internal_lists_bugs!$A$2:$C$73,3,FALSE())&amp;Char(10) &amp; Char(10) &amp; VLOOKUP(A965,Internal_lists_bugs!$A$2:$Z$73,26,FALSE())),"please select a BUG ID")</f>
        <v>please select a BUG ID</v>
      </c>
      <c r="C965" s="51" t="str">
        <f>IFERROR(__xludf.DUMMYFUNCTION("IFERROR(IF(REGEXMATCH(VLOOKUP(A965,Internal_lists_bugs!$A$2:$R$73,18,FALSE()), ""Yes""), VLOOKUP(A965,Internal_lists_bugs!$A$2:$U$73,21,FALSE()), VLOOKUP(A965,Internal_lists_bugs!$A$2:$R$73,18,FALSE())),""please select a BUG ID"")"),"please select a BUG ID")</f>
        <v>please select a BUG ID</v>
      </c>
      <c r="D965" s="54"/>
      <c r="F965" s="55"/>
      <c r="G965" s="56"/>
      <c r="H965" s="54"/>
      <c r="J965" s="55"/>
      <c r="K965" s="56"/>
    </row>
    <row r="966">
      <c r="A966" s="70"/>
      <c r="B966" s="71" t="str">
        <f>IFERROR(HYPERLINK(VLOOKUP(A966,Internal_lists_bugs!$A$2:$C$73,3,FALSE()), VLOOKUP(A966,Internal_lists_bugs!$A$2:$C$73,3,FALSE())&amp;Char(10) &amp; Char(10) &amp; VLOOKUP(A966,Internal_lists_bugs!$A$2:$Z$73,26,FALSE())),"please select a BUG ID")</f>
        <v>please select a BUG ID</v>
      </c>
      <c r="C966" s="51" t="str">
        <f>IFERROR(__xludf.DUMMYFUNCTION("IFERROR(IF(REGEXMATCH(VLOOKUP(A966,Internal_lists_bugs!$A$2:$R$73,18,FALSE()), ""Yes""), VLOOKUP(A966,Internal_lists_bugs!$A$2:$U$73,21,FALSE()), VLOOKUP(A966,Internal_lists_bugs!$A$2:$R$73,18,FALSE())),""please select a BUG ID"")"),"please select a BUG ID")</f>
        <v>please select a BUG ID</v>
      </c>
      <c r="D966" s="54"/>
      <c r="F966" s="55"/>
      <c r="G966" s="56"/>
      <c r="H966" s="54"/>
      <c r="J966" s="55"/>
      <c r="K966" s="56"/>
    </row>
    <row r="967">
      <c r="A967" s="70"/>
      <c r="B967" s="71" t="str">
        <f>IFERROR(HYPERLINK(VLOOKUP(A967,Internal_lists_bugs!$A$2:$C$73,3,FALSE()), VLOOKUP(A967,Internal_lists_bugs!$A$2:$C$73,3,FALSE())&amp;Char(10) &amp; Char(10) &amp; VLOOKUP(A967,Internal_lists_bugs!$A$2:$Z$73,26,FALSE())),"please select a BUG ID")</f>
        <v>please select a BUG ID</v>
      </c>
      <c r="C967" s="51" t="str">
        <f>IFERROR(__xludf.DUMMYFUNCTION("IFERROR(IF(REGEXMATCH(VLOOKUP(A967,Internal_lists_bugs!$A$2:$R$73,18,FALSE()), ""Yes""), VLOOKUP(A967,Internal_lists_bugs!$A$2:$U$73,21,FALSE()), VLOOKUP(A967,Internal_lists_bugs!$A$2:$R$73,18,FALSE())),""please select a BUG ID"")"),"please select a BUG ID")</f>
        <v>please select a BUG ID</v>
      </c>
      <c r="D967" s="54"/>
      <c r="F967" s="55"/>
      <c r="G967" s="56"/>
      <c r="H967" s="54"/>
      <c r="J967" s="55"/>
      <c r="K967" s="56"/>
    </row>
    <row r="968">
      <c r="A968" s="70"/>
      <c r="B968" s="71" t="str">
        <f>IFERROR(HYPERLINK(VLOOKUP(A968,Internal_lists_bugs!$A$2:$C$73,3,FALSE()), VLOOKUP(A968,Internal_lists_bugs!$A$2:$C$73,3,FALSE())&amp;Char(10) &amp; Char(10) &amp; VLOOKUP(A968,Internal_lists_bugs!$A$2:$Z$73,26,FALSE())),"please select a BUG ID")</f>
        <v>please select a BUG ID</v>
      </c>
      <c r="C968" s="51" t="str">
        <f>IFERROR(__xludf.DUMMYFUNCTION("IFERROR(IF(REGEXMATCH(VLOOKUP(A968,Internal_lists_bugs!$A$2:$R$73,18,FALSE()), ""Yes""), VLOOKUP(A968,Internal_lists_bugs!$A$2:$U$73,21,FALSE()), VLOOKUP(A968,Internal_lists_bugs!$A$2:$R$73,18,FALSE())),""please select a BUG ID"")"),"please select a BUG ID")</f>
        <v>please select a BUG ID</v>
      </c>
      <c r="D968" s="54"/>
      <c r="F968" s="55"/>
      <c r="G968" s="56"/>
      <c r="H968" s="54"/>
      <c r="J968" s="55"/>
      <c r="K968" s="56"/>
    </row>
    <row r="969">
      <c r="A969" s="70"/>
      <c r="B969" s="71" t="str">
        <f>IFERROR(HYPERLINK(VLOOKUP(A969,Internal_lists_bugs!$A$2:$C$73,3,FALSE()), VLOOKUP(A969,Internal_lists_bugs!$A$2:$C$73,3,FALSE())&amp;Char(10) &amp; Char(10) &amp; VLOOKUP(A969,Internal_lists_bugs!$A$2:$Z$73,26,FALSE())),"please select a BUG ID")</f>
        <v>please select a BUG ID</v>
      </c>
      <c r="C969" s="51" t="str">
        <f>IFERROR(__xludf.DUMMYFUNCTION("IFERROR(IF(REGEXMATCH(VLOOKUP(A969,Internal_lists_bugs!$A$2:$R$73,18,FALSE()), ""Yes""), VLOOKUP(A969,Internal_lists_bugs!$A$2:$U$73,21,FALSE()), VLOOKUP(A969,Internal_lists_bugs!$A$2:$R$73,18,FALSE())),""please select a BUG ID"")"),"please select a BUG ID")</f>
        <v>please select a BUG ID</v>
      </c>
      <c r="D969" s="54"/>
      <c r="F969" s="55"/>
      <c r="G969" s="56"/>
      <c r="H969" s="54"/>
      <c r="J969" s="55"/>
      <c r="K969" s="56"/>
    </row>
    <row r="970">
      <c r="A970" s="70"/>
      <c r="B970" s="71" t="str">
        <f>IFERROR(HYPERLINK(VLOOKUP(A970,Internal_lists_bugs!$A$2:$C$73,3,FALSE()), VLOOKUP(A970,Internal_lists_bugs!$A$2:$C$73,3,FALSE())&amp;Char(10) &amp; Char(10) &amp; VLOOKUP(A970,Internal_lists_bugs!$A$2:$Z$73,26,FALSE())),"please select a BUG ID")</f>
        <v>please select a BUG ID</v>
      </c>
      <c r="C970" s="51" t="str">
        <f>IFERROR(__xludf.DUMMYFUNCTION("IFERROR(IF(REGEXMATCH(VLOOKUP(A970,Internal_lists_bugs!$A$2:$R$73,18,FALSE()), ""Yes""), VLOOKUP(A970,Internal_lists_bugs!$A$2:$U$73,21,FALSE()), VLOOKUP(A970,Internal_lists_bugs!$A$2:$R$73,18,FALSE())),""please select a BUG ID"")"),"please select a BUG ID")</f>
        <v>please select a BUG ID</v>
      </c>
      <c r="D970" s="54"/>
      <c r="F970" s="55"/>
      <c r="G970" s="56"/>
      <c r="H970" s="54"/>
      <c r="J970" s="55"/>
      <c r="K970" s="56"/>
    </row>
    <row r="971">
      <c r="A971" s="70"/>
      <c r="B971" s="71" t="str">
        <f>IFERROR(HYPERLINK(VLOOKUP(A971,Internal_lists_bugs!$A$2:$C$73,3,FALSE()), VLOOKUP(A971,Internal_lists_bugs!$A$2:$C$73,3,FALSE())&amp;Char(10) &amp; Char(10) &amp; VLOOKUP(A971,Internal_lists_bugs!$A$2:$Z$73,26,FALSE())),"please select a BUG ID")</f>
        <v>please select a BUG ID</v>
      </c>
      <c r="C971" s="51" t="str">
        <f>IFERROR(__xludf.DUMMYFUNCTION("IFERROR(IF(REGEXMATCH(VLOOKUP(A971,Internal_lists_bugs!$A$2:$R$73,18,FALSE()), ""Yes""), VLOOKUP(A971,Internal_lists_bugs!$A$2:$U$73,21,FALSE()), VLOOKUP(A971,Internal_lists_bugs!$A$2:$R$73,18,FALSE())),""please select a BUG ID"")"),"please select a BUG ID")</f>
        <v>please select a BUG ID</v>
      </c>
      <c r="D971" s="54"/>
      <c r="F971" s="55"/>
      <c r="G971" s="56"/>
      <c r="H971" s="54"/>
      <c r="J971" s="55"/>
      <c r="K971" s="56"/>
    </row>
    <row r="972">
      <c r="A972" s="70"/>
      <c r="B972" s="71" t="str">
        <f>IFERROR(HYPERLINK(VLOOKUP(A972,Internal_lists_bugs!$A$2:$C$73,3,FALSE()), VLOOKUP(A972,Internal_lists_bugs!$A$2:$C$73,3,FALSE())&amp;Char(10) &amp; Char(10) &amp; VLOOKUP(A972,Internal_lists_bugs!$A$2:$Z$73,26,FALSE())),"please select a BUG ID")</f>
        <v>please select a BUG ID</v>
      </c>
      <c r="C972" s="51" t="str">
        <f>IFERROR(__xludf.DUMMYFUNCTION("IFERROR(IF(REGEXMATCH(VLOOKUP(A972,Internal_lists_bugs!$A$2:$R$73,18,FALSE()), ""Yes""), VLOOKUP(A972,Internal_lists_bugs!$A$2:$U$73,21,FALSE()), VLOOKUP(A972,Internal_lists_bugs!$A$2:$R$73,18,FALSE())),""please select a BUG ID"")"),"please select a BUG ID")</f>
        <v>please select a BUG ID</v>
      </c>
      <c r="D972" s="54"/>
      <c r="F972" s="55"/>
      <c r="G972" s="56"/>
      <c r="H972" s="54"/>
      <c r="J972" s="55"/>
      <c r="K972" s="56"/>
    </row>
    <row r="973">
      <c r="A973" s="70"/>
      <c r="B973" s="71" t="str">
        <f>IFERROR(HYPERLINK(VLOOKUP(A973,Internal_lists_bugs!$A$2:$C$73,3,FALSE()), VLOOKUP(A973,Internal_lists_bugs!$A$2:$C$73,3,FALSE())&amp;Char(10) &amp; Char(10) &amp; VLOOKUP(A973,Internal_lists_bugs!$A$2:$Z$73,26,FALSE())),"please select a BUG ID")</f>
        <v>please select a BUG ID</v>
      </c>
      <c r="C973" s="51" t="str">
        <f>IFERROR(__xludf.DUMMYFUNCTION("IFERROR(IF(REGEXMATCH(VLOOKUP(A973,Internal_lists_bugs!$A$2:$R$73,18,FALSE()), ""Yes""), VLOOKUP(A973,Internal_lists_bugs!$A$2:$U$73,21,FALSE()), VLOOKUP(A973,Internal_lists_bugs!$A$2:$R$73,18,FALSE())),""please select a BUG ID"")"),"please select a BUG ID")</f>
        <v>please select a BUG ID</v>
      </c>
      <c r="D973" s="54"/>
      <c r="F973" s="55"/>
      <c r="G973" s="56"/>
      <c r="H973" s="54"/>
      <c r="J973" s="55"/>
      <c r="K973" s="56"/>
    </row>
    <row r="974">
      <c r="A974" s="70"/>
      <c r="B974" s="71" t="str">
        <f>IFERROR(HYPERLINK(VLOOKUP(A974,Internal_lists_bugs!$A$2:$C$73,3,FALSE()), VLOOKUP(A974,Internal_lists_bugs!$A$2:$C$73,3,FALSE())&amp;Char(10) &amp; Char(10) &amp; VLOOKUP(A974,Internal_lists_bugs!$A$2:$Z$73,26,FALSE())),"please select a BUG ID")</f>
        <v>please select a BUG ID</v>
      </c>
      <c r="C974" s="51" t="str">
        <f>IFERROR(__xludf.DUMMYFUNCTION("IFERROR(IF(REGEXMATCH(VLOOKUP(A974,Internal_lists_bugs!$A$2:$R$73,18,FALSE()), ""Yes""), VLOOKUP(A974,Internal_lists_bugs!$A$2:$U$73,21,FALSE()), VLOOKUP(A974,Internal_lists_bugs!$A$2:$R$73,18,FALSE())),""please select a BUG ID"")"),"please select a BUG ID")</f>
        <v>please select a BUG ID</v>
      </c>
      <c r="D974" s="54"/>
      <c r="F974" s="55"/>
      <c r="G974" s="56"/>
      <c r="H974" s="54"/>
      <c r="J974" s="55"/>
      <c r="K974" s="56"/>
    </row>
    <row r="975">
      <c r="A975" s="70"/>
      <c r="B975" s="71" t="str">
        <f>IFERROR(HYPERLINK(VLOOKUP(A975,Internal_lists_bugs!$A$2:$C$73,3,FALSE()), VLOOKUP(A975,Internal_lists_bugs!$A$2:$C$73,3,FALSE())&amp;Char(10) &amp; Char(10) &amp; VLOOKUP(A975,Internal_lists_bugs!$A$2:$Z$73,26,FALSE())),"please select a BUG ID")</f>
        <v>please select a BUG ID</v>
      </c>
      <c r="C975" s="51" t="str">
        <f>IFERROR(__xludf.DUMMYFUNCTION("IFERROR(IF(REGEXMATCH(VLOOKUP(A975,Internal_lists_bugs!$A$2:$R$73,18,FALSE()), ""Yes""), VLOOKUP(A975,Internal_lists_bugs!$A$2:$U$73,21,FALSE()), VLOOKUP(A975,Internal_lists_bugs!$A$2:$R$73,18,FALSE())),""please select a BUG ID"")"),"please select a BUG ID")</f>
        <v>please select a BUG ID</v>
      </c>
      <c r="D975" s="54"/>
      <c r="F975" s="55"/>
      <c r="G975" s="56"/>
      <c r="H975" s="54"/>
      <c r="J975" s="55"/>
      <c r="K975" s="56"/>
    </row>
    <row r="976">
      <c r="A976" s="70"/>
      <c r="B976" s="71" t="str">
        <f>IFERROR(HYPERLINK(VLOOKUP(A976,Internal_lists_bugs!$A$2:$C$73,3,FALSE()), VLOOKUP(A976,Internal_lists_bugs!$A$2:$C$73,3,FALSE())&amp;Char(10) &amp; Char(10) &amp; VLOOKUP(A976,Internal_lists_bugs!$A$2:$Z$73,26,FALSE())),"please select a BUG ID")</f>
        <v>please select a BUG ID</v>
      </c>
      <c r="C976" s="51" t="str">
        <f>IFERROR(__xludf.DUMMYFUNCTION("IFERROR(IF(REGEXMATCH(VLOOKUP(A976,Internal_lists_bugs!$A$2:$R$73,18,FALSE()), ""Yes""), VLOOKUP(A976,Internal_lists_bugs!$A$2:$U$73,21,FALSE()), VLOOKUP(A976,Internal_lists_bugs!$A$2:$R$73,18,FALSE())),""please select a BUG ID"")"),"please select a BUG ID")</f>
        <v>please select a BUG ID</v>
      </c>
      <c r="D976" s="54"/>
      <c r="F976" s="55"/>
      <c r="G976" s="56"/>
      <c r="H976" s="54"/>
      <c r="J976" s="55"/>
      <c r="K976" s="56"/>
    </row>
    <row r="977">
      <c r="A977" s="70"/>
      <c r="B977" s="71" t="str">
        <f>IFERROR(HYPERLINK(VLOOKUP(A977,Internal_lists_bugs!$A$2:$C$73,3,FALSE()), VLOOKUP(A977,Internal_lists_bugs!$A$2:$C$73,3,FALSE())&amp;Char(10) &amp; Char(10) &amp; VLOOKUP(A977,Internal_lists_bugs!$A$2:$Z$73,26,FALSE())),"please select a BUG ID")</f>
        <v>please select a BUG ID</v>
      </c>
      <c r="C977" s="51" t="str">
        <f>IFERROR(__xludf.DUMMYFUNCTION("IFERROR(IF(REGEXMATCH(VLOOKUP(A977,Internal_lists_bugs!$A$2:$R$73,18,FALSE()), ""Yes""), VLOOKUP(A977,Internal_lists_bugs!$A$2:$U$73,21,FALSE()), VLOOKUP(A977,Internal_lists_bugs!$A$2:$R$73,18,FALSE())),""please select a BUG ID"")"),"please select a BUG ID")</f>
        <v>please select a BUG ID</v>
      </c>
      <c r="D977" s="54"/>
      <c r="F977" s="55"/>
      <c r="G977" s="56"/>
      <c r="H977" s="54"/>
      <c r="J977" s="55"/>
      <c r="K977" s="56"/>
    </row>
    <row r="978">
      <c r="A978" s="70"/>
      <c r="B978" s="71" t="str">
        <f>IFERROR(HYPERLINK(VLOOKUP(A978,Internal_lists_bugs!$A$2:$C$73,3,FALSE()), VLOOKUP(A978,Internal_lists_bugs!$A$2:$C$73,3,FALSE())&amp;Char(10) &amp; Char(10) &amp; VLOOKUP(A978,Internal_lists_bugs!$A$2:$Z$73,26,FALSE())),"please select a BUG ID")</f>
        <v>please select a BUG ID</v>
      </c>
      <c r="C978" s="51" t="str">
        <f>IFERROR(__xludf.DUMMYFUNCTION("IFERROR(IF(REGEXMATCH(VLOOKUP(A978,Internal_lists_bugs!$A$2:$R$73,18,FALSE()), ""Yes""), VLOOKUP(A978,Internal_lists_bugs!$A$2:$U$73,21,FALSE()), VLOOKUP(A978,Internal_lists_bugs!$A$2:$R$73,18,FALSE())),""please select a BUG ID"")"),"please select a BUG ID")</f>
        <v>please select a BUG ID</v>
      </c>
      <c r="D978" s="54"/>
      <c r="F978" s="55"/>
      <c r="G978" s="56"/>
      <c r="H978" s="54"/>
      <c r="J978" s="55"/>
      <c r="K978" s="56"/>
    </row>
    <row r="979">
      <c r="A979" s="70"/>
      <c r="B979" s="71" t="str">
        <f>IFERROR(HYPERLINK(VLOOKUP(A979,Internal_lists_bugs!$A$2:$C$73,3,FALSE()), VLOOKUP(A979,Internal_lists_bugs!$A$2:$C$73,3,FALSE())&amp;Char(10) &amp; Char(10) &amp; VLOOKUP(A979,Internal_lists_bugs!$A$2:$Z$73,26,FALSE())),"please select a BUG ID")</f>
        <v>please select a BUG ID</v>
      </c>
      <c r="C979" s="51" t="str">
        <f>IFERROR(__xludf.DUMMYFUNCTION("IFERROR(IF(REGEXMATCH(VLOOKUP(A979,Internal_lists_bugs!$A$2:$R$73,18,FALSE()), ""Yes""), VLOOKUP(A979,Internal_lists_bugs!$A$2:$U$73,21,FALSE()), VLOOKUP(A979,Internal_lists_bugs!$A$2:$R$73,18,FALSE())),""please select a BUG ID"")"),"please select a BUG ID")</f>
        <v>please select a BUG ID</v>
      </c>
      <c r="D979" s="54"/>
      <c r="F979" s="55"/>
      <c r="G979" s="56"/>
      <c r="H979" s="54"/>
      <c r="J979" s="55"/>
      <c r="K979" s="56"/>
    </row>
    <row r="980">
      <c r="A980" s="70"/>
      <c r="B980" s="71" t="str">
        <f>IFERROR(HYPERLINK(VLOOKUP(A980,Internal_lists_bugs!$A$2:$C$73,3,FALSE()), VLOOKUP(A980,Internal_lists_bugs!$A$2:$C$73,3,FALSE())&amp;Char(10) &amp; Char(10) &amp; VLOOKUP(A980,Internal_lists_bugs!$A$2:$Z$73,26,FALSE())),"please select a BUG ID")</f>
        <v>please select a BUG ID</v>
      </c>
      <c r="C980" s="51" t="str">
        <f>IFERROR(__xludf.DUMMYFUNCTION("IFERROR(IF(REGEXMATCH(VLOOKUP(A980,Internal_lists_bugs!$A$2:$R$73,18,FALSE()), ""Yes""), VLOOKUP(A980,Internal_lists_bugs!$A$2:$U$73,21,FALSE()), VLOOKUP(A980,Internal_lists_bugs!$A$2:$R$73,18,FALSE())),""please select a BUG ID"")"),"please select a BUG ID")</f>
        <v>please select a BUG ID</v>
      </c>
      <c r="D980" s="54"/>
      <c r="F980" s="55"/>
      <c r="G980" s="56"/>
      <c r="H980" s="54"/>
      <c r="J980" s="55"/>
      <c r="K980" s="56"/>
    </row>
    <row r="981">
      <c r="A981" s="70"/>
      <c r="B981" s="71" t="str">
        <f>IFERROR(HYPERLINK(VLOOKUP(A981,Internal_lists_bugs!$A$2:$C$73,3,FALSE()), VLOOKUP(A981,Internal_lists_bugs!$A$2:$C$73,3,FALSE())&amp;Char(10) &amp; Char(10) &amp; VLOOKUP(A981,Internal_lists_bugs!$A$2:$Z$73,26,FALSE())),"please select a BUG ID")</f>
        <v>please select a BUG ID</v>
      </c>
      <c r="C981" s="51" t="str">
        <f>IFERROR(__xludf.DUMMYFUNCTION("IFERROR(IF(REGEXMATCH(VLOOKUP(A981,Internal_lists_bugs!$A$2:$R$73,18,FALSE()), ""Yes""), VLOOKUP(A981,Internal_lists_bugs!$A$2:$U$73,21,FALSE()), VLOOKUP(A981,Internal_lists_bugs!$A$2:$R$73,18,FALSE())),""please select a BUG ID"")"),"please select a BUG ID")</f>
        <v>please select a BUG ID</v>
      </c>
      <c r="D981" s="54"/>
      <c r="F981" s="55"/>
      <c r="G981" s="56"/>
      <c r="H981" s="54"/>
      <c r="J981" s="55"/>
      <c r="K981" s="56"/>
    </row>
    <row r="982">
      <c r="A982" s="70"/>
      <c r="B982" s="71" t="str">
        <f>IFERROR(HYPERLINK(VLOOKUP(A982,Internal_lists_bugs!$A$2:$C$73,3,FALSE()), VLOOKUP(A982,Internal_lists_bugs!$A$2:$C$73,3,FALSE())&amp;Char(10) &amp; Char(10) &amp; VLOOKUP(A982,Internal_lists_bugs!$A$2:$Z$73,26,FALSE())),"please select a BUG ID")</f>
        <v>please select a BUG ID</v>
      </c>
      <c r="C982" s="51" t="str">
        <f>IFERROR(__xludf.DUMMYFUNCTION("IFERROR(IF(REGEXMATCH(VLOOKUP(A982,Internal_lists_bugs!$A$2:$R$73,18,FALSE()), ""Yes""), VLOOKUP(A982,Internal_lists_bugs!$A$2:$U$73,21,FALSE()), VLOOKUP(A982,Internal_lists_bugs!$A$2:$R$73,18,FALSE())),""please select a BUG ID"")"),"please select a BUG ID")</f>
        <v>please select a BUG ID</v>
      </c>
      <c r="D982" s="54"/>
      <c r="F982" s="55"/>
      <c r="G982" s="56"/>
      <c r="H982" s="54"/>
      <c r="J982" s="55"/>
      <c r="K982" s="56"/>
    </row>
    <row r="983">
      <c r="A983" s="70"/>
      <c r="B983" s="71" t="str">
        <f>IFERROR(HYPERLINK(VLOOKUP(A983,Internal_lists_bugs!$A$2:$C$73,3,FALSE()), VLOOKUP(A983,Internal_lists_bugs!$A$2:$C$73,3,FALSE())&amp;Char(10) &amp; Char(10) &amp; VLOOKUP(A983,Internal_lists_bugs!$A$2:$Z$73,26,FALSE())),"please select a BUG ID")</f>
        <v>please select a BUG ID</v>
      </c>
      <c r="C983" s="51" t="str">
        <f>IFERROR(__xludf.DUMMYFUNCTION("IFERROR(IF(REGEXMATCH(VLOOKUP(A983,Internal_lists_bugs!$A$2:$R$73,18,FALSE()), ""Yes""), VLOOKUP(A983,Internal_lists_bugs!$A$2:$U$73,21,FALSE()), VLOOKUP(A983,Internal_lists_bugs!$A$2:$R$73,18,FALSE())),""please select a BUG ID"")"),"please select a BUG ID")</f>
        <v>please select a BUG ID</v>
      </c>
      <c r="D983" s="54"/>
      <c r="F983" s="55"/>
      <c r="G983" s="56"/>
      <c r="H983" s="54"/>
      <c r="J983" s="55"/>
      <c r="K983" s="56"/>
    </row>
    <row r="984">
      <c r="A984" s="70"/>
      <c r="B984" s="71" t="str">
        <f>IFERROR(HYPERLINK(VLOOKUP(A984,Internal_lists_bugs!$A$2:$C$73,3,FALSE()), VLOOKUP(A984,Internal_lists_bugs!$A$2:$C$73,3,FALSE())&amp;Char(10) &amp; Char(10) &amp; VLOOKUP(A984,Internal_lists_bugs!$A$2:$Z$73,26,FALSE())),"please select a BUG ID")</f>
        <v>please select a BUG ID</v>
      </c>
      <c r="C984" s="51" t="str">
        <f>IFERROR(__xludf.DUMMYFUNCTION("IFERROR(IF(REGEXMATCH(VLOOKUP(A984,Internal_lists_bugs!$A$2:$R$73,18,FALSE()), ""Yes""), VLOOKUP(A984,Internal_lists_bugs!$A$2:$U$73,21,FALSE()), VLOOKUP(A984,Internal_lists_bugs!$A$2:$R$73,18,FALSE())),""please select a BUG ID"")"),"please select a BUG ID")</f>
        <v>please select a BUG ID</v>
      </c>
      <c r="D984" s="54"/>
      <c r="F984" s="55"/>
      <c r="G984" s="56"/>
      <c r="H984" s="54"/>
      <c r="J984" s="55"/>
      <c r="K984" s="56"/>
    </row>
    <row r="985">
      <c r="A985" s="70"/>
      <c r="B985" s="71" t="str">
        <f>IFERROR(HYPERLINK(VLOOKUP(A985,Internal_lists_bugs!$A$2:$C$73,3,FALSE()), VLOOKUP(A985,Internal_lists_bugs!$A$2:$C$73,3,FALSE())&amp;Char(10) &amp; Char(10) &amp; VLOOKUP(A985,Internal_lists_bugs!$A$2:$Z$73,26,FALSE())),"please select a BUG ID")</f>
        <v>please select a BUG ID</v>
      </c>
      <c r="C985" s="51" t="str">
        <f>IFERROR(__xludf.DUMMYFUNCTION("IFERROR(IF(REGEXMATCH(VLOOKUP(A985,Internal_lists_bugs!$A$2:$R$73,18,FALSE()), ""Yes""), VLOOKUP(A985,Internal_lists_bugs!$A$2:$U$73,21,FALSE()), VLOOKUP(A985,Internal_lists_bugs!$A$2:$R$73,18,FALSE())),""please select a BUG ID"")"),"please select a BUG ID")</f>
        <v>please select a BUG ID</v>
      </c>
      <c r="D985" s="54"/>
      <c r="F985" s="55"/>
      <c r="G985" s="56"/>
      <c r="H985" s="54"/>
      <c r="J985" s="55"/>
      <c r="K985" s="56"/>
    </row>
    <row r="986">
      <c r="A986" s="70"/>
      <c r="B986" s="71" t="str">
        <f>IFERROR(HYPERLINK(VLOOKUP(A986,Internal_lists_bugs!$A$2:$C$73,3,FALSE()), VLOOKUP(A986,Internal_lists_bugs!$A$2:$C$73,3,FALSE())&amp;Char(10) &amp; Char(10) &amp; VLOOKUP(A986,Internal_lists_bugs!$A$2:$Z$73,26,FALSE())),"please select a BUG ID")</f>
        <v>please select a BUG ID</v>
      </c>
      <c r="C986" s="51" t="str">
        <f>IFERROR(__xludf.DUMMYFUNCTION("IFERROR(IF(REGEXMATCH(VLOOKUP(A986,Internal_lists_bugs!$A$2:$R$73,18,FALSE()), ""Yes""), VLOOKUP(A986,Internal_lists_bugs!$A$2:$U$73,21,FALSE()), VLOOKUP(A986,Internal_lists_bugs!$A$2:$R$73,18,FALSE())),""please select a BUG ID"")"),"please select a BUG ID")</f>
        <v>please select a BUG ID</v>
      </c>
      <c r="D986" s="54"/>
      <c r="F986" s="55"/>
      <c r="G986" s="56"/>
      <c r="H986" s="54"/>
      <c r="J986" s="55"/>
      <c r="K986" s="56"/>
    </row>
    <row r="987">
      <c r="A987" s="70"/>
      <c r="B987" s="71" t="str">
        <f>IFERROR(HYPERLINK(VLOOKUP(A987,Internal_lists_bugs!$A$2:$C$73,3,FALSE()), VLOOKUP(A987,Internal_lists_bugs!$A$2:$C$73,3,FALSE())&amp;Char(10) &amp; Char(10) &amp; VLOOKUP(A987,Internal_lists_bugs!$A$2:$Z$73,26,FALSE())),"please select a BUG ID")</f>
        <v>please select a BUG ID</v>
      </c>
      <c r="C987" s="51" t="str">
        <f>IFERROR(__xludf.DUMMYFUNCTION("IFERROR(IF(REGEXMATCH(VLOOKUP(A987,Internal_lists_bugs!$A$2:$R$73,18,FALSE()), ""Yes""), VLOOKUP(A987,Internal_lists_bugs!$A$2:$U$73,21,FALSE()), VLOOKUP(A987,Internal_lists_bugs!$A$2:$R$73,18,FALSE())),""please select a BUG ID"")"),"please select a BUG ID")</f>
        <v>please select a BUG ID</v>
      </c>
      <c r="D987" s="54"/>
      <c r="F987" s="55"/>
      <c r="G987" s="56"/>
      <c r="H987" s="54"/>
      <c r="J987" s="55"/>
      <c r="K987" s="56"/>
    </row>
    <row r="988">
      <c r="A988" s="70"/>
      <c r="B988" s="71" t="str">
        <f>IFERROR(HYPERLINK(VLOOKUP(A988,Internal_lists_bugs!$A$2:$C$73,3,FALSE()), VLOOKUP(A988,Internal_lists_bugs!$A$2:$C$73,3,FALSE())&amp;Char(10) &amp; Char(10) &amp; VLOOKUP(A988,Internal_lists_bugs!$A$2:$Z$73,26,FALSE())),"please select a BUG ID")</f>
        <v>please select a BUG ID</v>
      </c>
      <c r="C988" s="51" t="str">
        <f>IFERROR(__xludf.DUMMYFUNCTION("IFERROR(IF(REGEXMATCH(VLOOKUP(A988,Internal_lists_bugs!$A$2:$R$73,18,FALSE()), ""Yes""), VLOOKUP(A988,Internal_lists_bugs!$A$2:$U$73,21,FALSE()), VLOOKUP(A988,Internal_lists_bugs!$A$2:$R$73,18,FALSE())),""please select a BUG ID"")"),"please select a BUG ID")</f>
        <v>please select a BUG ID</v>
      </c>
      <c r="D988" s="54"/>
      <c r="F988" s="55"/>
      <c r="G988" s="56"/>
      <c r="H988" s="54"/>
      <c r="J988" s="55"/>
      <c r="K988" s="56"/>
    </row>
    <row r="989">
      <c r="A989" s="70"/>
      <c r="B989" s="71" t="str">
        <f>IFERROR(HYPERLINK(VLOOKUP(A989,Internal_lists_bugs!$A$2:$C$73,3,FALSE()), VLOOKUP(A989,Internal_lists_bugs!$A$2:$C$73,3,FALSE())&amp;Char(10) &amp; Char(10) &amp; VLOOKUP(A989,Internal_lists_bugs!$A$2:$Z$73,26,FALSE())),"please select a BUG ID")</f>
        <v>please select a BUG ID</v>
      </c>
      <c r="C989" s="51" t="str">
        <f>IFERROR(__xludf.DUMMYFUNCTION("IFERROR(IF(REGEXMATCH(VLOOKUP(A989,Internal_lists_bugs!$A$2:$R$73,18,FALSE()), ""Yes""), VLOOKUP(A989,Internal_lists_bugs!$A$2:$U$73,21,FALSE()), VLOOKUP(A989,Internal_lists_bugs!$A$2:$R$73,18,FALSE())),""please select a BUG ID"")"),"please select a BUG ID")</f>
        <v>please select a BUG ID</v>
      </c>
      <c r="D989" s="54"/>
      <c r="F989" s="55"/>
      <c r="G989" s="56"/>
      <c r="H989" s="54"/>
      <c r="J989" s="55"/>
      <c r="K989" s="56"/>
    </row>
    <row r="990">
      <c r="A990" s="70"/>
      <c r="B990" s="71" t="str">
        <f>IFERROR(HYPERLINK(VLOOKUP(A990,Internal_lists_bugs!$A$2:$C$73,3,FALSE()), VLOOKUP(A990,Internal_lists_bugs!$A$2:$C$73,3,FALSE())&amp;Char(10) &amp; Char(10) &amp; VLOOKUP(A990,Internal_lists_bugs!$A$2:$Z$73,26,FALSE())),"please select a BUG ID")</f>
        <v>please select a BUG ID</v>
      </c>
      <c r="C990" s="51" t="str">
        <f>IFERROR(__xludf.DUMMYFUNCTION("IFERROR(IF(REGEXMATCH(VLOOKUP(A990,Internal_lists_bugs!$A$2:$R$73,18,FALSE()), ""Yes""), VLOOKUP(A990,Internal_lists_bugs!$A$2:$U$73,21,FALSE()), VLOOKUP(A990,Internal_lists_bugs!$A$2:$R$73,18,FALSE())),""please select a BUG ID"")"),"please select a BUG ID")</f>
        <v>please select a BUG ID</v>
      </c>
      <c r="D990" s="54"/>
      <c r="F990" s="55"/>
      <c r="G990" s="56"/>
      <c r="H990" s="54"/>
      <c r="J990" s="55"/>
      <c r="K990" s="56"/>
    </row>
    <row r="991">
      <c r="A991" s="70"/>
      <c r="B991" s="71" t="str">
        <f>IFERROR(HYPERLINK(VLOOKUP(A991,Internal_lists_bugs!$A$2:$C$73,3,FALSE()), VLOOKUP(A991,Internal_lists_bugs!$A$2:$C$73,3,FALSE())&amp;Char(10) &amp; Char(10) &amp; VLOOKUP(A991,Internal_lists_bugs!$A$2:$Z$73,26,FALSE())),"please select a BUG ID")</f>
        <v>please select a BUG ID</v>
      </c>
      <c r="C991" s="51" t="str">
        <f>IFERROR(__xludf.DUMMYFUNCTION("IFERROR(IF(REGEXMATCH(VLOOKUP(A991,Internal_lists_bugs!$A$2:$R$73,18,FALSE()), ""Yes""), VLOOKUP(A991,Internal_lists_bugs!$A$2:$U$73,21,FALSE()), VLOOKUP(A991,Internal_lists_bugs!$A$2:$R$73,18,FALSE())),""please select a BUG ID"")"),"please select a BUG ID")</f>
        <v>please select a BUG ID</v>
      </c>
      <c r="D991" s="54"/>
      <c r="F991" s="55"/>
      <c r="G991" s="56"/>
      <c r="H991" s="54"/>
      <c r="J991" s="55"/>
      <c r="K991" s="56"/>
    </row>
    <row r="992">
      <c r="A992" s="70"/>
      <c r="B992" s="71" t="str">
        <f>IFERROR(HYPERLINK(VLOOKUP(A992,Internal_lists_bugs!$A$2:$C$73,3,FALSE()), VLOOKUP(A992,Internal_lists_bugs!$A$2:$C$73,3,FALSE())&amp;Char(10) &amp; Char(10) &amp; VLOOKUP(A992,Internal_lists_bugs!$A$2:$Z$73,26,FALSE())),"please select a BUG ID")</f>
        <v>please select a BUG ID</v>
      </c>
      <c r="C992" s="51" t="str">
        <f>IFERROR(__xludf.DUMMYFUNCTION("IFERROR(IF(REGEXMATCH(VLOOKUP(A992,Internal_lists_bugs!$A$2:$R$73,18,FALSE()), ""Yes""), VLOOKUP(A992,Internal_lists_bugs!$A$2:$U$73,21,FALSE()), VLOOKUP(A992,Internal_lists_bugs!$A$2:$R$73,18,FALSE())),""please select a BUG ID"")"),"please select a BUG ID")</f>
        <v>please select a BUG ID</v>
      </c>
      <c r="D992" s="54"/>
      <c r="F992" s="55"/>
      <c r="G992" s="56"/>
      <c r="H992" s="54"/>
      <c r="J992" s="55"/>
      <c r="K992" s="56"/>
    </row>
    <row r="993">
      <c r="A993" s="70"/>
      <c r="B993" s="71" t="str">
        <f>IFERROR(HYPERLINK(VLOOKUP(A993,Internal_lists_bugs!$A$2:$C$73,3,FALSE()), VLOOKUP(A993,Internal_lists_bugs!$A$2:$C$73,3,FALSE())&amp;Char(10) &amp; Char(10) &amp; VLOOKUP(A993,Internal_lists_bugs!$A$2:$Z$73,26,FALSE())),"please select a BUG ID")</f>
        <v>please select a BUG ID</v>
      </c>
      <c r="C993" s="51" t="str">
        <f>IFERROR(__xludf.DUMMYFUNCTION("IFERROR(IF(REGEXMATCH(VLOOKUP(A993,Internal_lists_bugs!$A$2:$R$73,18,FALSE()), ""Yes""), VLOOKUP(A993,Internal_lists_bugs!$A$2:$U$73,21,FALSE()), VLOOKUP(A993,Internal_lists_bugs!$A$2:$R$73,18,FALSE())),""please select a BUG ID"")"),"please select a BUG ID")</f>
        <v>please select a BUG ID</v>
      </c>
      <c r="D993" s="54"/>
      <c r="F993" s="55"/>
      <c r="G993" s="56"/>
      <c r="H993" s="54"/>
      <c r="J993" s="55"/>
      <c r="K993" s="56"/>
    </row>
    <row r="994">
      <c r="A994" s="70"/>
      <c r="B994" s="71" t="str">
        <f>IFERROR(HYPERLINK(VLOOKUP(A994,Internal_lists_bugs!$A$2:$C$73,3,FALSE()), VLOOKUP(A994,Internal_lists_bugs!$A$2:$C$73,3,FALSE())&amp;Char(10) &amp; Char(10) &amp; VLOOKUP(A994,Internal_lists_bugs!$A$2:$Z$73,26,FALSE())),"please select a BUG ID")</f>
        <v>please select a BUG ID</v>
      </c>
      <c r="C994" s="51" t="str">
        <f>IFERROR(__xludf.DUMMYFUNCTION("IFERROR(IF(REGEXMATCH(VLOOKUP(A994,Internal_lists_bugs!$A$2:$R$73,18,FALSE()), ""Yes""), VLOOKUP(A994,Internal_lists_bugs!$A$2:$U$73,21,FALSE()), VLOOKUP(A994,Internal_lists_bugs!$A$2:$R$73,18,FALSE())),""please select a BUG ID"")"),"please select a BUG ID")</f>
        <v>please select a BUG ID</v>
      </c>
      <c r="D994" s="54"/>
      <c r="F994" s="55"/>
      <c r="G994" s="56"/>
      <c r="H994" s="54"/>
      <c r="J994" s="55"/>
      <c r="K994" s="56"/>
    </row>
    <row r="995">
      <c r="A995" s="70"/>
      <c r="B995" s="71" t="str">
        <f>IFERROR(HYPERLINK(VLOOKUP(A995,Internal_lists_bugs!$A$2:$C$73,3,FALSE()), VLOOKUP(A995,Internal_lists_bugs!$A$2:$C$73,3,FALSE())&amp;Char(10) &amp; Char(10) &amp; VLOOKUP(A995,Internal_lists_bugs!$A$2:$Z$73,26,FALSE())),"please select a BUG ID")</f>
        <v>please select a BUG ID</v>
      </c>
      <c r="C995" s="51" t="str">
        <f>IFERROR(__xludf.DUMMYFUNCTION("IFERROR(IF(REGEXMATCH(VLOOKUP(A995,Internal_lists_bugs!$A$2:$R$73,18,FALSE()), ""Yes""), VLOOKUP(A995,Internal_lists_bugs!$A$2:$U$73,21,FALSE()), VLOOKUP(A995,Internal_lists_bugs!$A$2:$R$73,18,FALSE())),""please select a BUG ID"")"),"please select a BUG ID")</f>
        <v>please select a BUG ID</v>
      </c>
      <c r="D995" s="54"/>
      <c r="F995" s="55"/>
      <c r="G995" s="56"/>
      <c r="H995" s="54"/>
      <c r="J995" s="55"/>
      <c r="K995" s="56"/>
    </row>
    <row r="996">
      <c r="A996" s="70"/>
      <c r="B996" s="71" t="str">
        <f>IFERROR(HYPERLINK(VLOOKUP(A996,Internal_lists_bugs!$A$2:$C$73,3,FALSE()), VLOOKUP(A996,Internal_lists_bugs!$A$2:$C$73,3,FALSE())&amp;Char(10) &amp; Char(10) &amp; VLOOKUP(A996,Internal_lists_bugs!$A$2:$Z$73,26,FALSE())),"please select a BUG ID")</f>
        <v>please select a BUG ID</v>
      </c>
      <c r="C996" s="51" t="str">
        <f>IFERROR(__xludf.DUMMYFUNCTION("IFERROR(IF(REGEXMATCH(VLOOKUP(A996,Internal_lists_bugs!$A$2:$R$73,18,FALSE()), ""Yes""), VLOOKUP(A996,Internal_lists_bugs!$A$2:$U$73,21,FALSE()), VLOOKUP(A996,Internal_lists_bugs!$A$2:$R$73,18,FALSE())),""please select a BUG ID"")"),"please select a BUG ID")</f>
        <v>please select a BUG ID</v>
      </c>
      <c r="D996" s="54"/>
      <c r="F996" s="55"/>
      <c r="G996" s="56"/>
      <c r="H996" s="54"/>
      <c r="J996" s="55"/>
      <c r="K996" s="56"/>
    </row>
    <row r="997">
      <c r="A997" s="70"/>
      <c r="B997" s="71" t="str">
        <f>IFERROR(HYPERLINK(VLOOKUP(A997,Internal_lists_bugs!$A$2:$C$73,3,FALSE()), VLOOKUP(A997,Internal_lists_bugs!$A$2:$C$73,3,FALSE())&amp;Char(10) &amp; Char(10) &amp; VLOOKUP(A997,Internal_lists_bugs!$A$2:$Z$73,26,FALSE())),"please select a BUG ID")</f>
        <v>please select a BUG ID</v>
      </c>
      <c r="C997" s="51" t="str">
        <f>IFERROR(__xludf.DUMMYFUNCTION("IFERROR(IF(REGEXMATCH(VLOOKUP(A997,Internal_lists_bugs!$A$2:$R$73,18,FALSE()), ""Yes""), VLOOKUP(A997,Internal_lists_bugs!$A$2:$U$73,21,FALSE()), VLOOKUP(A997,Internal_lists_bugs!$A$2:$R$73,18,FALSE())),""please select a BUG ID"")"),"please select a BUG ID")</f>
        <v>please select a BUG ID</v>
      </c>
      <c r="D997" s="54"/>
      <c r="F997" s="55"/>
      <c r="G997" s="56"/>
      <c r="H997" s="54"/>
      <c r="J997" s="55"/>
      <c r="K997" s="56"/>
    </row>
    <row r="998">
      <c r="A998" s="70"/>
      <c r="B998" s="71" t="str">
        <f>IFERROR(HYPERLINK(VLOOKUP(A998,Internal_lists_bugs!$A$2:$C$73,3,FALSE()), VLOOKUP(A998,Internal_lists_bugs!$A$2:$C$73,3,FALSE())&amp;Char(10) &amp; Char(10) &amp; VLOOKUP(A998,Internal_lists_bugs!$A$2:$Z$73,26,FALSE())),"please select a BUG ID")</f>
        <v>please select a BUG ID</v>
      </c>
      <c r="C998" s="51" t="str">
        <f>IFERROR(__xludf.DUMMYFUNCTION("IFERROR(IF(REGEXMATCH(VLOOKUP(A998,Internal_lists_bugs!$A$2:$R$73,18,FALSE()), ""Yes""), VLOOKUP(A998,Internal_lists_bugs!$A$2:$U$73,21,FALSE()), VLOOKUP(A998,Internal_lists_bugs!$A$2:$R$73,18,FALSE())),""please select a BUG ID"")"),"please select a BUG ID")</f>
        <v>please select a BUG ID</v>
      </c>
      <c r="D998" s="54"/>
      <c r="F998" s="55"/>
      <c r="G998" s="56"/>
      <c r="H998" s="54"/>
      <c r="J998" s="55"/>
      <c r="K998" s="56"/>
    </row>
    <row r="999">
      <c r="A999" s="70"/>
      <c r="B999" s="71" t="str">
        <f>IFERROR(HYPERLINK(VLOOKUP(A999,Internal_lists_bugs!$A$2:$C$73,3,FALSE()), VLOOKUP(A999,Internal_lists_bugs!$A$2:$C$73,3,FALSE())&amp;Char(10) &amp; Char(10) &amp; VLOOKUP(A999,Internal_lists_bugs!$A$2:$Z$73,26,FALSE())),"please select a BUG ID")</f>
        <v>please select a BUG ID</v>
      </c>
      <c r="C999" s="51" t="str">
        <f>IFERROR(__xludf.DUMMYFUNCTION("IFERROR(IF(REGEXMATCH(VLOOKUP(A999,Internal_lists_bugs!$A$2:$R$73,18,FALSE()), ""Yes""), VLOOKUP(A999,Internal_lists_bugs!$A$2:$U$73,21,FALSE()), VLOOKUP(A999,Internal_lists_bugs!$A$2:$R$73,18,FALSE())),""please select a BUG ID"")"),"please select a BUG ID")</f>
        <v>please select a BUG ID</v>
      </c>
      <c r="D999" s="54"/>
      <c r="F999" s="55"/>
      <c r="G999" s="56"/>
      <c r="H999" s="54"/>
      <c r="J999" s="55"/>
      <c r="K999" s="56"/>
    </row>
    <row r="1000">
      <c r="A1000" s="70"/>
      <c r="B1000" s="71" t="str">
        <f>IFERROR(HYPERLINK(VLOOKUP(A1000,Internal_lists_bugs!$A$2:$C$73,3,FALSE()), VLOOKUP(A1000,Internal_lists_bugs!$A$2:$C$73,3,FALSE())&amp;Char(10) &amp; Char(10) &amp; VLOOKUP(A1000,Internal_lists_bugs!$A$2:$Z$73,26,FALSE())),"please select a BUG ID")</f>
        <v>please select a BUG ID</v>
      </c>
      <c r="C1000" s="51" t="str">
        <f>IFERROR(__xludf.DUMMYFUNCTION("IFERROR(IF(REGEXMATCH(VLOOKUP(A1000,Internal_lists_bugs!$A$2:$R$73,18,FALSE()), ""Yes""), VLOOKUP(A1000,Internal_lists_bugs!$A$2:$U$73,21,FALSE()), VLOOKUP(A1000,Internal_lists_bugs!$A$2:$R$73,18,FALSE())),""please select a BUG ID"")"),"please select a BUG ID")</f>
        <v>please select a BUG ID</v>
      </c>
      <c r="D1000" s="54"/>
      <c r="F1000" s="55"/>
      <c r="G1000" s="56"/>
      <c r="H1000" s="54"/>
      <c r="J1000" s="55"/>
      <c r="K1000" s="56"/>
    </row>
    <row r="1001">
      <c r="A1001" s="70"/>
      <c r="B1001" s="71" t="str">
        <f>IFERROR(HYPERLINK(VLOOKUP(A1001,Internal_lists_bugs!$A$2:$C$73,3,FALSE()), VLOOKUP(A1001,Internal_lists_bugs!$A$2:$C$73,3,FALSE())&amp;Char(10) &amp; Char(10) &amp; VLOOKUP(A1001,Internal_lists_bugs!$A$2:$Z$73,26,FALSE())),"please select a BUG ID")</f>
        <v>please select a BUG ID</v>
      </c>
      <c r="C1001" s="51" t="str">
        <f>IFERROR(__xludf.DUMMYFUNCTION("IFERROR(IF(REGEXMATCH(VLOOKUP(A1001,Internal_lists_bugs!$A$2:$R$73,18,FALSE()), ""Yes""), VLOOKUP(A1001,Internal_lists_bugs!$A$2:$U$73,21,FALSE()), VLOOKUP(A1001,Internal_lists_bugs!$A$2:$R$73,18,FALSE())),""please select a BUG ID"")"),"please select a BUG ID")</f>
        <v>please select a BUG ID</v>
      </c>
      <c r="D1001" s="54"/>
      <c r="F1001" s="55"/>
      <c r="G1001" s="56"/>
      <c r="H1001" s="54"/>
      <c r="J1001" s="55"/>
      <c r="K1001" s="56"/>
    </row>
    <row r="1002">
      <c r="A1002" s="70"/>
      <c r="B1002" s="71" t="str">
        <f>IFERROR(HYPERLINK(VLOOKUP(A1002,Internal_lists_bugs!$A$2:$C$73,3,FALSE()), VLOOKUP(A1002,Internal_lists_bugs!$A$2:$C$73,3,FALSE())&amp;Char(10) &amp; Char(10) &amp; VLOOKUP(A1002,Internal_lists_bugs!$A$2:$Z$73,26,FALSE())),"please select a BUG ID")</f>
        <v>please select a BUG ID</v>
      </c>
      <c r="C1002" s="51" t="str">
        <f>IFERROR(__xludf.DUMMYFUNCTION("IFERROR(IF(REGEXMATCH(VLOOKUP(A1002,Internal_lists_bugs!$A$2:$R$73,18,FALSE()), ""Yes""), VLOOKUP(A1002,Internal_lists_bugs!$A$2:$U$73,21,FALSE()), VLOOKUP(A1002,Internal_lists_bugs!$A$2:$R$73,18,FALSE())),""please select a BUG ID"")"),"please select a BUG ID")</f>
        <v>please select a BUG ID</v>
      </c>
      <c r="D1002" s="54"/>
      <c r="F1002" s="55"/>
      <c r="G1002" s="56"/>
      <c r="H1002" s="54"/>
      <c r="J1002" s="55"/>
      <c r="K1002" s="56"/>
    </row>
    <row r="1003">
      <c r="A1003" s="70"/>
      <c r="B1003" s="71" t="str">
        <f>IFERROR(HYPERLINK(VLOOKUP(A1003,Internal_lists_bugs!$A$2:$C$73,3,FALSE()), VLOOKUP(A1003,Internal_lists_bugs!$A$2:$C$73,3,FALSE())&amp;Char(10) &amp; Char(10) &amp; VLOOKUP(A1003,Internal_lists_bugs!$A$2:$Z$73,26,FALSE())),"please select a BUG ID")</f>
        <v>please select a BUG ID</v>
      </c>
      <c r="C1003" s="51" t="str">
        <f>IFERROR(__xludf.DUMMYFUNCTION("IFERROR(IF(REGEXMATCH(VLOOKUP(A1003,Internal_lists_bugs!$A$2:$R$73,18,FALSE()), ""Yes""), VLOOKUP(A1003,Internal_lists_bugs!$A$2:$U$73,21,FALSE()), VLOOKUP(A1003,Internal_lists_bugs!$A$2:$R$73,18,FALSE())),""please select a BUG ID"")"),"please select a BUG ID")</f>
        <v>please select a BUG ID</v>
      </c>
      <c r="D1003" s="54"/>
      <c r="F1003" s="55"/>
      <c r="G1003" s="56"/>
      <c r="H1003" s="54"/>
      <c r="J1003" s="55"/>
      <c r="K1003" s="56"/>
    </row>
    <row r="1004">
      <c r="A1004" s="70"/>
      <c r="B1004" s="71" t="str">
        <f>IFERROR(HYPERLINK(VLOOKUP(A1004,Internal_lists_bugs!$A$2:$C$73,3,FALSE()), VLOOKUP(A1004,Internal_lists_bugs!$A$2:$C$73,3,FALSE())&amp;Char(10) &amp; Char(10) &amp; VLOOKUP(A1004,Internal_lists_bugs!$A$2:$Z$73,26,FALSE())),"please select a BUG ID")</f>
        <v>please select a BUG ID</v>
      </c>
      <c r="C1004" s="51" t="str">
        <f>IFERROR(__xludf.DUMMYFUNCTION("IFERROR(IF(REGEXMATCH(VLOOKUP(A1004,Internal_lists_bugs!$A$2:$R$73,18,FALSE()), ""Yes""), VLOOKUP(A1004,Internal_lists_bugs!$A$2:$U$73,21,FALSE()), VLOOKUP(A1004,Internal_lists_bugs!$A$2:$R$73,18,FALSE())),""please select a BUG ID"")"),"please select a BUG ID")</f>
        <v>please select a BUG ID</v>
      </c>
      <c r="D1004" s="54"/>
      <c r="F1004" s="55"/>
      <c r="G1004" s="56"/>
      <c r="H1004" s="54"/>
      <c r="J1004" s="55"/>
      <c r="K1004" s="56"/>
    </row>
    <row r="1005">
      <c r="A1005" s="70"/>
      <c r="B1005" s="71" t="str">
        <f>IFERROR(HYPERLINK(VLOOKUP(A1005,Internal_lists_bugs!$A$2:$C$73,3,FALSE()), VLOOKUP(A1005,Internal_lists_bugs!$A$2:$C$73,3,FALSE())&amp;Char(10) &amp; Char(10) &amp; VLOOKUP(A1005,Internal_lists_bugs!$A$2:$Z$73,26,FALSE())),"please select a BUG ID")</f>
        <v>please select a BUG ID</v>
      </c>
      <c r="C1005" s="51" t="str">
        <f>IFERROR(__xludf.DUMMYFUNCTION("IFERROR(IF(REGEXMATCH(VLOOKUP(A1005,Internal_lists_bugs!$A$2:$R$73,18,FALSE()), ""Yes""), VLOOKUP(A1005,Internal_lists_bugs!$A$2:$U$73,21,FALSE()), VLOOKUP(A1005,Internal_lists_bugs!$A$2:$R$73,18,FALSE())),""please select a BUG ID"")"),"please select a BUG ID")</f>
        <v>please select a BUG ID</v>
      </c>
      <c r="D1005" s="54"/>
      <c r="F1005" s="55"/>
      <c r="G1005" s="56"/>
      <c r="H1005" s="54"/>
      <c r="J1005" s="55"/>
      <c r="K1005" s="56"/>
    </row>
    <row r="1006">
      <c r="A1006" s="70"/>
      <c r="B1006" s="71" t="str">
        <f>IFERROR(HYPERLINK(VLOOKUP(A1006,Internal_lists_bugs!$A$2:$C$73,3,FALSE()), VLOOKUP(A1006,Internal_lists_bugs!$A$2:$C$73,3,FALSE())&amp;Char(10) &amp; Char(10) &amp; VLOOKUP(A1006,Internal_lists_bugs!$A$2:$Z$73,26,FALSE())),"please select a BUG ID")</f>
        <v>please select a BUG ID</v>
      </c>
      <c r="C1006" s="51" t="str">
        <f>IFERROR(__xludf.DUMMYFUNCTION("IFERROR(IF(REGEXMATCH(VLOOKUP(A1006,Internal_lists_bugs!$A$2:$R$73,18,FALSE()), ""Yes""), VLOOKUP(A1006,Internal_lists_bugs!$A$2:$U$73,21,FALSE()), VLOOKUP(A1006,Internal_lists_bugs!$A$2:$R$73,18,FALSE())),""please select a BUG ID"")"),"please select a BUG ID")</f>
        <v>please select a BUG ID</v>
      </c>
      <c r="D1006" s="54"/>
      <c r="F1006" s="55"/>
      <c r="G1006" s="56"/>
      <c r="H1006" s="54"/>
      <c r="J1006" s="55"/>
      <c r="K1006" s="56"/>
    </row>
    <row r="1007">
      <c r="A1007" s="70"/>
      <c r="B1007" s="71" t="str">
        <f>IFERROR(HYPERLINK(VLOOKUP(A1007,Internal_lists_bugs!$A$2:$C$73,3,FALSE()), VLOOKUP(A1007,Internal_lists_bugs!$A$2:$C$73,3,FALSE())&amp;Char(10) &amp; Char(10) &amp; VLOOKUP(A1007,Internal_lists_bugs!$A$2:$Z$73,26,FALSE())),"please select a BUG ID")</f>
        <v>please select a BUG ID</v>
      </c>
      <c r="C1007" s="51" t="str">
        <f>IFERROR(__xludf.DUMMYFUNCTION("IFERROR(IF(REGEXMATCH(VLOOKUP(A1007,Internal_lists_bugs!$A$2:$R$73,18,FALSE()), ""Yes""), VLOOKUP(A1007,Internal_lists_bugs!$A$2:$U$73,21,FALSE()), VLOOKUP(A1007,Internal_lists_bugs!$A$2:$R$73,18,FALSE())),""please select a BUG ID"")"),"please select a BUG ID")</f>
        <v>please select a BUG ID</v>
      </c>
      <c r="D1007" s="54"/>
      <c r="F1007" s="55"/>
      <c r="G1007" s="56"/>
      <c r="H1007" s="54"/>
      <c r="J1007" s="55"/>
      <c r="K1007" s="56"/>
    </row>
    <row r="1008">
      <c r="A1008" s="70"/>
      <c r="B1008" s="71" t="str">
        <f>IFERROR(HYPERLINK(VLOOKUP(A1008,Internal_lists_bugs!$A$2:$C$73,3,FALSE()), VLOOKUP(A1008,Internal_lists_bugs!$A$2:$C$73,3,FALSE())&amp;Char(10) &amp; Char(10) &amp; VLOOKUP(A1008,Internal_lists_bugs!$A$2:$Z$73,26,FALSE())),"please select a BUG ID")</f>
        <v>please select a BUG ID</v>
      </c>
      <c r="C1008" s="51" t="str">
        <f>IFERROR(__xludf.DUMMYFUNCTION("IFERROR(IF(REGEXMATCH(VLOOKUP(A1008,Internal_lists_bugs!$A$2:$R$73,18,FALSE()), ""Yes""), VLOOKUP(A1008,Internal_lists_bugs!$A$2:$U$73,21,FALSE()), VLOOKUP(A1008,Internal_lists_bugs!$A$2:$R$73,18,FALSE())),""please select a BUG ID"")"),"please select a BUG ID")</f>
        <v>please select a BUG ID</v>
      </c>
      <c r="D1008" s="54"/>
      <c r="F1008" s="55"/>
      <c r="G1008" s="56"/>
      <c r="H1008" s="54"/>
      <c r="J1008" s="55"/>
      <c r="K1008" s="56"/>
    </row>
    <row r="1009">
      <c r="A1009" s="70"/>
      <c r="B1009" s="71" t="str">
        <f>IFERROR(HYPERLINK(VLOOKUP(A1009,Internal_lists_bugs!$A$2:$C$73,3,FALSE()), VLOOKUP(A1009,Internal_lists_bugs!$A$2:$C$73,3,FALSE())&amp;Char(10) &amp; Char(10) &amp; VLOOKUP(A1009,Internal_lists_bugs!$A$2:$Z$73,26,FALSE())),"please select a BUG ID")</f>
        <v>please select a BUG ID</v>
      </c>
      <c r="C1009" s="51" t="str">
        <f>IFERROR(__xludf.DUMMYFUNCTION("IFERROR(IF(REGEXMATCH(VLOOKUP(A1009,Internal_lists_bugs!$A$2:$R$73,18,FALSE()), ""Yes""), VLOOKUP(A1009,Internal_lists_bugs!$A$2:$U$73,21,FALSE()), VLOOKUP(A1009,Internal_lists_bugs!$A$2:$R$73,18,FALSE())),""please select a BUG ID"")"),"please select a BUG ID")</f>
        <v>please select a BUG ID</v>
      </c>
      <c r="D1009" s="54"/>
      <c r="F1009" s="55"/>
      <c r="G1009" s="56"/>
      <c r="H1009" s="54"/>
      <c r="J1009" s="55"/>
      <c r="K1009" s="56"/>
    </row>
    <row r="1010">
      <c r="A1010" s="70"/>
      <c r="B1010" s="71" t="str">
        <f>IFERROR(HYPERLINK(VLOOKUP(A1010,Internal_lists_bugs!$A$2:$C$73,3,FALSE()), VLOOKUP(A1010,Internal_lists_bugs!$A$2:$C$73,3,FALSE())&amp;Char(10) &amp; Char(10) &amp; VLOOKUP(A1010,Internal_lists_bugs!$A$2:$Z$73,26,FALSE())),"please select a BUG ID")</f>
        <v>please select a BUG ID</v>
      </c>
      <c r="C1010" s="51" t="str">
        <f>IFERROR(__xludf.DUMMYFUNCTION("IFERROR(IF(REGEXMATCH(VLOOKUP(A1010,Internal_lists_bugs!$A$2:$R$73,18,FALSE()), ""Yes""), VLOOKUP(A1010,Internal_lists_bugs!$A$2:$U$73,21,FALSE()), VLOOKUP(A1010,Internal_lists_bugs!$A$2:$R$73,18,FALSE())),""please select a BUG ID"")"),"please select a BUG ID")</f>
        <v>please select a BUG ID</v>
      </c>
      <c r="D1010" s="54"/>
      <c r="F1010" s="55"/>
      <c r="G1010" s="56"/>
      <c r="H1010" s="54"/>
      <c r="J1010" s="55"/>
      <c r="K1010" s="56"/>
    </row>
    <row r="1011">
      <c r="A1011" s="70"/>
      <c r="B1011" s="71" t="str">
        <f>IFERROR(HYPERLINK(VLOOKUP(A1011,Internal_lists_bugs!$A$2:$C$73,3,FALSE()), VLOOKUP(A1011,Internal_lists_bugs!$A$2:$C$73,3,FALSE())&amp;Char(10) &amp; Char(10) &amp; VLOOKUP(A1011,Internal_lists_bugs!$A$2:$Z$73,26,FALSE())),"please select a BUG ID")</f>
        <v>please select a BUG ID</v>
      </c>
      <c r="C1011" s="51" t="str">
        <f>IFERROR(__xludf.DUMMYFUNCTION("IFERROR(IF(REGEXMATCH(VLOOKUP(A1011,Internal_lists_bugs!$A$2:$R$73,18,FALSE()), ""Yes""), VLOOKUP(A1011,Internal_lists_bugs!$A$2:$U$73,21,FALSE()), VLOOKUP(A1011,Internal_lists_bugs!$A$2:$R$73,18,FALSE())),""please select a BUG ID"")"),"please select a BUG ID")</f>
        <v>please select a BUG ID</v>
      </c>
      <c r="D1011" s="54"/>
      <c r="F1011" s="55"/>
      <c r="G1011" s="56"/>
      <c r="H1011" s="54"/>
      <c r="J1011" s="55"/>
      <c r="K1011" s="56"/>
    </row>
    <row r="1012">
      <c r="A1012" s="70"/>
      <c r="B1012" s="71" t="str">
        <f>IFERROR(HYPERLINK(VLOOKUP(A1012,Internal_lists_bugs!$A$2:$C$73,3,FALSE()), VLOOKUP(A1012,Internal_lists_bugs!$A$2:$C$73,3,FALSE())&amp;Char(10) &amp; Char(10) &amp; VLOOKUP(A1012,Internal_lists_bugs!$A$2:$Z$73,26,FALSE())),"please select a BUG ID")</f>
        <v>please select a BUG ID</v>
      </c>
      <c r="C1012" s="51" t="str">
        <f>IFERROR(__xludf.DUMMYFUNCTION("IFERROR(IF(REGEXMATCH(VLOOKUP(A1012,Internal_lists_bugs!$A$2:$R$73,18,FALSE()), ""Yes""), VLOOKUP(A1012,Internal_lists_bugs!$A$2:$U$73,21,FALSE()), VLOOKUP(A1012,Internal_lists_bugs!$A$2:$R$73,18,FALSE())),""please select a BUG ID"")"),"please select a BUG ID")</f>
        <v>please select a BUG ID</v>
      </c>
      <c r="D1012" s="54"/>
      <c r="F1012" s="55"/>
      <c r="G1012" s="56"/>
      <c r="H1012" s="54"/>
      <c r="J1012" s="55"/>
      <c r="K1012" s="56"/>
    </row>
    <row r="1013">
      <c r="A1013" s="70"/>
      <c r="B1013" s="71" t="str">
        <f>IFERROR(HYPERLINK(VLOOKUP(A1013,Internal_lists_bugs!$A$2:$C$73,3,FALSE()), VLOOKUP(A1013,Internal_lists_bugs!$A$2:$C$73,3,FALSE())&amp;Char(10) &amp; Char(10) &amp; VLOOKUP(A1013,Internal_lists_bugs!$A$2:$Z$73,26,FALSE())),"please select a BUG ID")</f>
        <v>please select a BUG ID</v>
      </c>
      <c r="C1013" s="51" t="str">
        <f>IFERROR(__xludf.DUMMYFUNCTION("IFERROR(IF(REGEXMATCH(VLOOKUP(A1013,Internal_lists_bugs!$A$2:$R$73,18,FALSE()), ""Yes""), VLOOKUP(A1013,Internal_lists_bugs!$A$2:$U$73,21,FALSE()), VLOOKUP(A1013,Internal_lists_bugs!$A$2:$R$73,18,FALSE())),""please select a BUG ID"")"),"please select a BUG ID")</f>
        <v>please select a BUG ID</v>
      </c>
      <c r="D1013" s="54"/>
      <c r="F1013" s="55"/>
      <c r="G1013" s="56"/>
      <c r="H1013" s="54"/>
      <c r="J1013" s="55"/>
      <c r="K1013" s="56"/>
    </row>
    <row r="1014">
      <c r="A1014" s="70"/>
      <c r="B1014" s="71" t="str">
        <f>IFERROR(HYPERLINK(VLOOKUP(A1014,Internal_lists_bugs!$A$2:$C$73,3,FALSE()), VLOOKUP(A1014,Internal_lists_bugs!$A$2:$C$73,3,FALSE())&amp;Char(10) &amp; Char(10) &amp; VLOOKUP(A1014,Internal_lists_bugs!$A$2:$Z$73,26,FALSE())),"please select a BUG ID")</f>
        <v>please select a BUG ID</v>
      </c>
      <c r="C1014" s="51" t="str">
        <f>IFERROR(__xludf.DUMMYFUNCTION("IFERROR(IF(REGEXMATCH(VLOOKUP(A1014,Internal_lists_bugs!$A$2:$R$73,18,FALSE()), ""Yes""), VLOOKUP(A1014,Internal_lists_bugs!$A$2:$U$73,21,FALSE()), VLOOKUP(A1014,Internal_lists_bugs!$A$2:$R$73,18,FALSE())),""please select a BUG ID"")"),"please select a BUG ID")</f>
        <v>please select a BUG ID</v>
      </c>
      <c r="D1014" s="54"/>
      <c r="F1014" s="55"/>
      <c r="G1014" s="56"/>
      <c r="H1014" s="54"/>
      <c r="J1014" s="55"/>
      <c r="K1014" s="56"/>
    </row>
    <row r="1015">
      <c r="A1015" s="70"/>
      <c r="B1015" s="71" t="str">
        <f>IFERROR(HYPERLINK(VLOOKUP(A1015,Internal_lists_bugs!$A$2:$C$73,3,FALSE()), VLOOKUP(A1015,Internal_lists_bugs!$A$2:$C$73,3,FALSE())&amp;Char(10) &amp; Char(10) &amp; VLOOKUP(A1015,Internal_lists_bugs!$A$2:$Z$73,26,FALSE())),"please select a BUG ID")</f>
        <v>please select a BUG ID</v>
      </c>
      <c r="C1015" s="51" t="str">
        <f>IFERROR(__xludf.DUMMYFUNCTION("IFERROR(IF(REGEXMATCH(VLOOKUP(A1015,Internal_lists_bugs!$A$2:$R$73,18,FALSE()), ""Yes""), VLOOKUP(A1015,Internal_lists_bugs!$A$2:$U$73,21,FALSE()), VLOOKUP(A1015,Internal_lists_bugs!$A$2:$R$73,18,FALSE())),""please select a BUG ID"")"),"please select a BUG ID")</f>
        <v>please select a BUG ID</v>
      </c>
      <c r="D1015" s="54"/>
      <c r="F1015" s="55"/>
      <c r="G1015" s="56"/>
      <c r="H1015" s="54"/>
      <c r="J1015" s="55"/>
      <c r="K1015" s="56"/>
    </row>
    <row r="1016">
      <c r="A1016" s="70"/>
      <c r="B1016" s="71" t="str">
        <f>IFERROR(HYPERLINK(VLOOKUP(A1016,Internal_lists_bugs!$A$2:$C$73,3,FALSE()), VLOOKUP(A1016,Internal_lists_bugs!$A$2:$C$73,3,FALSE())&amp;Char(10) &amp; Char(10) &amp; VLOOKUP(A1016,Internal_lists_bugs!$A$2:$Z$73,26,FALSE())),"please select a BUG ID")</f>
        <v>please select a BUG ID</v>
      </c>
      <c r="C1016" s="51" t="str">
        <f>IFERROR(__xludf.DUMMYFUNCTION("IFERROR(IF(REGEXMATCH(VLOOKUP(A1016,Internal_lists_bugs!$A$2:$R$73,18,FALSE()), ""Yes""), VLOOKUP(A1016,Internal_lists_bugs!$A$2:$U$73,21,FALSE()), VLOOKUP(A1016,Internal_lists_bugs!$A$2:$R$73,18,FALSE())),""please select a BUG ID"")"),"please select a BUG ID")</f>
        <v>please select a BUG ID</v>
      </c>
      <c r="D1016" s="54"/>
      <c r="F1016" s="55"/>
      <c r="G1016" s="56"/>
      <c r="H1016" s="54"/>
      <c r="J1016" s="55"/>
      <c r="K1016" s="56"/>
    </row>
    <row r="1017">
      <c r="A1017" s="70"/>
      <c r="B1017" s="71" t="str">
        <f>IFERROR(HYPERLINK(VLOOKUP(A1017,Internal_lists_bugs!$A$2:$C$73,3,FALSE()), VLOOKUP(A1017,Internal_lists_bugs!$A$2:$C$73,3,FALSE())&amp;Char(10) &amp; Char(10) &amp; VLOOKUP(A1017,Internal_lists_bugs!$A$2:$Z$73,26,FALSE())),"please select a BUG ID")</f>
        <v>please select a BUG ID</v>
      </c>
      <c r="C1017" s="51" t="str">
        <f>IFERROR(__xludf.DUMMYFUNCTION("IFERROR(IF(REGEXMATCH(VLOOKUP(A1017,Internal_lists_bugs!$A$2:$R$73,18,FALSE()), ""Yes""), VLOOKUP(A1017,Internal_lists_bugs!$A$2:$U$73,21,FALSE()), VLOOKUP(A1017,Internal_lists_bugs!$A$2:$R$73,18,FALSE())),""please select a BUG ID"")"),"please select a BUG ID")</f>
        <v>please select a BUG ID</v>
      </c>
      <c r="D1017" s="54"/>
      <c r="F1017" s="55"/>
      <c r="G1017" s="56"/>
      <c r="H1017" s="54"/>
      <c r="J1017" s="55"/>
      <c r="K1017" s="56"/>
    </row>
    <row r="1018">
      <c r="A1018" s="70"/>
      <c r="B1018" s="71" t="str">
        <f>IFERROR(HYPERLINK(VLOOKUP(A1018,Internal_lists_bugs!$A$2:$C$73,3,FALSE()), VLOOKUP(A1018,Internal_lists_bugs!$A$2:$C$73,3,FALSE())&amp;Char(10) &amp; Char(10) &amp; VLOOKUP(A1018,Internal_lists_bugs!$A$2:$Z$73,26,FALSE())),"please select a BUG ID")</f>
        <v>please select a BUG ID</v>
      </c>
      <c r="C1018" s="51" t="str">
        <f>IFERROR(__xludf.DUMMYFUNCTION("IFERROR(IF(REGEXMATCH(VLOOKUP(A1018,Internal_lists_bugs!$A$2:$R$73,18,FALSE()), ""Yes""), VLOOKUP(A1018,Internal_lists_bugs!$A$2:$U$73,21,FALSE()), VLOOKUP(A1018,Internal_lists_bugs!$A$2:$R$73,18,FALSE())),""please select a BUG ID"")"),"please select a BUG ID")</f>
        <v>please select a BUG ID</v>
      </c>
      <c r="D1018" s="54"/>
      <c r="F1018" s="55"/>
      <c r="G1018" s="56"/>
      <c r="H1018" s="54"/>
      <c r="J1018" s="55"/>
      <c r="K1018" s="56"/>
    </row>
    <row r="1019">
      <c r="A1019" s="70"/>
      <c r="B1019" s="71" t="str">
        <f>IFERROR(HYPERLINK(VLOOKUP(A1019,Internal_lists_bugs!$A$2:$C$73,3,FALSE()), VLOOKUP(A1019,Internal_lists_bugs!$A$2:$C$73,3,FALSE())&amp;Char(10) &amp; Char(10) &amp; VLOOKUP(A1019,Internal_lists_bugs!$A$2:$Z$73,26,FALSE())),"please select a BUG ID")</f>
        <v>please select a BUG ID</v>
      </c>
      <c r="C1019" s="51" t="str">
        <f>IFERROR(__xludf.DUMMYFUNCTION("IFERROR(IF(REGEXMATCH(VLOOKUP(A1019,Internal_lists_bugs!$A$2:$R$73,18,FALSE()), ""Yes""), VLOOKUP(A1019,Internal_lists_bugs!$A$2:$U$73,21,FALSE()), VLOOKUP(A1019,Internal_lists_bugs!$A$2:$R$73,18,FALSE())),""please select a BUG ID"")"),"please select a BUG ID")</f>
        <v>please select a BUG ID</v>
      </c>
      <c r="D1019" s="54"/>
      <c r="F1019" s="55"/>
      <c r="G1019" s="56"/>
      <c r="H1019" s="54"/>
      <c r="J1019" s="55"/>
      <c r="K1019" s="56"/>
    </row>
    <row r="1020">
      <c r="A1020" s="70"/>
      <c r="B1020" s="71" t="str">
        <f>IFERROR(HYPERLINK(VLOOKUP(A1020,Internal_lists_bugs!$A$2:$C$73,3,FALSE()), VLOOKUP(A1020,Internal_lists_bugs!$A$2:$C$73,3,FALSE())&amp;Char(10) &amp; Char(10) &amp; VLOOKUP(A1020,Internal_lists_bugs!$A$2:$Z$73,26,FALSE())),"please select a BUG ID")</f>
        <v>please select a BUG ID</v>
      </c>
      <c r="C1020" s="51" t="str">
        <f>IFERROR(__xludf.DUMMYFUNCTION("IFERROR(IF(REGEXMATCH(VLOOKUP(A1020,Internal_lists_bugs!$A$2:$R$73,18,FALSE()), ""Yes""), VLOOKUP(A1020,Internal_lists_bugs!$A$2:$U$73,21,FALSE()), VLOOKUP(A1020,Internal_lists_bugs!$A$2:$R$73,18,FALSE())),""please select a BUG ID"")"),"please select a BUG ID")</f>
        <v>please select a BUG ID</v>
      </c>
      <c r="D1020" s="54"/>
      <c r="F1020" s="55"/>
      <c r="G1020" s="56"/>
      <c r="H1020" s="54"/>
      <c r="J1020" s="55"/>
      <c r="K1020" s="56"/>
    </row>
    <row r="1021">
      <c r="A1021" s="70"/>
      <c r="B1021" s="71" t="str">
        <f>IFERROR(HYPERLINK(VLOOKUP(A1021,Internal_lists_bugs!$A$2:$C$73,3,FALSE()), VLOOKUP(A1021,Internal_lists_bugs!$A$2:$C$73,3,FALSE())&amp;Char(10) &amp; Char(10) &amp; VLOOKUP(A1021,Internal_lists_bugs!$A$2:$Z$73,26,FALSE())),"please select a BUG ID")</f>
        <v>please select a BUG ID</v>
      </c>
      <c r="C1021" s="51" t="str">
        <f>IFERROR(__xludf.DUMMYFUNCTION("IFERROR(IF(REGEXMATCH(VLOOKUP(A1021,Internal_lists_bugs!$A$2:$R$73,18,FALSE()), ""Yes""), VLOOKUP(A1021,Internal_lists_bugs!$A$2:$U$73,21,FALSE()), VLOOKUP(A1021,Internal_lists_bugs!$A$2:$R$73,18,FALSE())),""please select a BUG ID"")"),"please select a BUG ID")</f>
        <v>please select a BUG ID</v>
      </c>
      <c r="D1021" s="54"/>
      <c r="F1021" s="55"/>
      <c r="G1021" s="56"/>
      <c r="H1021" s="54"/>
      <c r="J1021" s="55"/>
      <c r="K1021" s="56"/>
    </row>
    <row r="1022">
      <c r="A1022" s="70"/>
      <c r="B1022" s="71" t="str">
        <f>IFERROR(HYPERLINK(VLOOKUP(A1022,Internal_lists_bugs!$A$2:$C$73,3,FALSE()), VLOOKUP(A1022,Internal_lists_bugs!$A$2:$C$73,3,FALSE())&amp;Char(10) &amp; Char(10) &amp; VLOOKUP(A1022,Internal_lists_bugs!$A$2:$Z$73,26,FALSE())),"please select a BUG ID")</f>
        <v>please select a BUG ID</v>
      </c>
      <c r="C1022" s="51" t="str">
        <f>IFERROR(__xludf.DUMMYFUNCTION("IFERROR(IF(REGEXMATCH(VLOOKUP(A1022,Internal_lists_bugs!$A$2:$R$73,18,FALSE()), ""Yes""), VLOOKUP(A1022,Internal_lists_bugs!$A$2:$U$73,21,FALSE()), VLOOKUP(A1022,Internal_lists_bugs!$A$2:$R$73,18,FALSE())),""please select a BUG ID"")"),"please select a BUG ID")</f>
        <v>please select a BUG ID</v>
      </c>
      <c r="D1022" s="54"/>
      <c r="F1022" s="55"/>
      <c r="G1022" s="56"/>
      <c r="H1022" s="54"/>
      <c r="J1022" s="55"/>
      <c r="K1022" s="56"/>
    </row>
    <row r="1023">
      <c r="A1023" s="70"/>
      <c r="B1023" s="71" t="str">
        <f>IFERROR(HYPERLINK(VLOOKUP(A1023,Internal_lists_bugs!$A$2:$C$73,3,FALSE()), VLOOKUP(A1023,Internal_lists_bugs!$A$2:$C$73,3,FALSE())&amp;Char(10) &amp; Char(10) &amp; VLOOKUP(A1023,Internal_lists_bugs!$A$2:$Z$73,26,FALSE())),"please select a BUG ID")</f>
        <v>please select a BUG ID</v>
      </c>
      <c r="C1023" s="51" t="str">
        <f>IFERROR(__xludf.DUMMYFUNCTION("IFERROR(IF(REGEXMATCH(VLOOKUP(A1023,Internal_lists_bugs!$A$2:$R$73,18,FALSE()), ""Yes""), VLOOKUP(A1023,Internal_lists_bugs!$A$2:$U$73,21,FALSE()), VLOOKUP(A1023,Internal_lists_bugs!$A$2:$R$73,18,FALSE())),""please select a BUG ID"")"),"please select a BUG ID")</f>
        <v>please select a BUG ID</v>
      </c>
      <c r="D1023" s="54"/>
      <c r="F1023" s="55"/>
      <c r="G1023" s="56"/>
      <c r="H1023" s="54"/>
      <c r="J1023" s="55"/>
      <c r="K1023" s="56"/>
    </row>
    <row r="1024">
      <c r="A1024" s="70"/>
      <c r="B1024" s="71" t="str">
        <f>IFERROR(HYPERLINK(VLOOKUP(A1024,Internal_lists_bugs!$A$2:$C$73,3,FALSE()), VLOOKUP(A1024,Internal_lists_bugs!$A$2:$C$73,3,FALSE())&amp;Char(10) &amp; Char(10) &amp; VLOOKUP(A1024,Internal_lists_bugs!$A$2:$Z$73,26,FALSE())),"please select a BUG ID")</f>
        <v>please select a BUG ID</v>
      </c>
      <c r="C1024" s="51" t="str">
        <f>IFERROR(__xludf.DUMMYFUNCTION("IFERROR(IF(REGEXMATCH(VLOOKUP(A1024,Internal_lists_bugs!$A$2:$R$73,18,FALSE()), ""Yes""), VLOOKUP(A1024,Internal_lists_bugs!$A$2:$U$73,21,FALSE()), VLOOKUP(A1024,Internal_lists_bugs!$A$2:$R$73,18,FALSE())),""please select a BUG ID"")"),"please select a BUG ID")</f>
        <v>please select a BUG ID</v>
      </c>
      <c r="D1024" s="54"/>
      <c r="F1024" s="55"/>
      <c r="G1024" s="56"/>
      <c r="H1024" s="54"/>
      <c r="J1024" s="55"/>
      <c r="K1024" s="56"/>
    </row>
    <row r="1025">
      <c r="A1025" s="70"/>
      <c r="B1025" s="71" t="str">
        <f>IFERROR(HYPERLINK(VLOOKUP(A1025,Internal_lists_bugs!$A$2:$C$73,3,FALSE()), VLOOKUP(A1025,Internal_lists_bugs!$A$2:$C$73,3,FALSE())&amp;Char(10) &amp; Char(10) &amp; VLOOKUP(A1025,Internal_lists_bugs!$A$2:$Z$73,26,FALSE())),"please select a BUG ID")</f>
        <v>please select a BUG ID</v>
      </c>
      <c r="C1025" s="51" t="str">
        <f>IFERROR(__xludf.DUMMYFUNCTION("IFERROR(IF(REGEXMATCH(VLOOKUP(A1025,Internal_lists_bugs!$A$2:$R$73,18,FALSE()), ""Yes""), VLOOKUP(A1025,Internal_lists_bugs!$A$2:$U$73,21,FALSE()), VLOOKUP(A1025,Internal_lists_bugs!$A$2:$R$73,18,FALSE())),""please select a BUG ID"")"),"please select a BUG ID")</f>
        <v>please select a BUG ID</v>
      </c>
      <c r="D1025" s="54"/>
      <c r="F1025" s="55"/>
      <c r="G1025" s="56"/>
      <c r="H1025" s="54"/>
      <c r="J1025" s="55"/>
      <c r="K1025" s="56"/>
    </row>
    <row r="1026">
      <c r="A1026" s="70"/>
      <c r="B1026" s="71" t="str">
        <f>IFERROR(HYPERLINK(VLOOKUP(A1026,Internal_lists_bugs!$A$2:$C$73,3,FALSE()), VLOOKUP(A1026,Internal_lists_bugs!$A$2:$C$73,3,FALSE())&amp;Char(10) &amp; Char(10) &amp; VLOOKUP(A1026,Internal_lists_bugs!$A$2:$Z$73,26,FALSE())),"please select a BUG ID")</f>
        <v>please select a BUG ID</v>
      </c>
      <c r="C1026" s="51" t="str">
        <f>IFERROR(__xludf.DUMMYFUNCTION("IFERROR(IF(REGEXMATCH(VLOOKUP(A1026,Internal_lists_bugs!$A$2:$R$73,18,FALSE()), ""Yes""), VLOOKUP(A1026,Internal_lists_bugs!$A$2:$U$73,21,FALSE()), VLOOKUP(A1026,Internal_lists_bugs!$A$2:$R$73,18,FALSE())),""please select a BUG ID"")"),"please select a BUG ID")</f>
        <v>please select a BUG ID</v>
      </c>
      <c r="D1026" s="54"/>
      <c r="F1026" s="55"/>
      <c r="G1026" s="56"/>
      <c r="H1026" s="54"/>
      <c r="J1026" s="55"/>
      <c r="K1026" s="56"/>
    </row>
    <row r="1027">
      <c r="A1027" s="70"/>
      <c r="B1027" s="71" t="str">
        <f>IFERROR(HYPERLINK(VLOOKUP(A1027,Internal_lists_bugs!$A$2:$C$73,3,FALSE()), VLOOKUP(A1027,Internal_lists_bugs!$A$2:$C$73,3,FALSE())&amp;Char(10) &amp; Char(10) &amp; VLOOKUP(A1027,Internal_lists_bugs!$A$2:$Z$73,26,FALSE())),"please select a BUG ID")</f>
        <v>please select a BUG ID</v>
      </c>
      <c r="C1027" s="51" t="str">
        <f>IFERROR(__xludf.DUMMYFUNCTION("IFERROR(IF(REGEXMATCH(VLOOKUP(A1027,Internal_lists_bugs!$A$2:$R$73,18,FALSE()), ""Yes""), VLOOKUP(A1027,Internal_lists_bugs!$A$2:$U$73,21,FALSE()), VLOOKUP(A1027,Internal_lists_bugs!$A$2:$R$73,18,FALSE())),""please select a BUG ID"")"),"please select a BUG ID")</f>
        <v>please select a BUG ID</v>
      </c>
      <c r="D1027" s="54"/>
      <c r="F1027" s="55"/>
      <c r="G1027" s="56"/>
      <c r="H1027" s="54"/>
      <c r="J1027" s="55"/>
      <c r="K1027" s="56"/>
    </row>
    <row r="1028">
      <c r="A1028" s="70"/>
      <c r="B1028" s="71" t="str">
        <f>IFERROR(HYPERLINK(VLOOKUP(A1028,Internal_lists_bugs!$A$2:$C$73,3,FALSE()), VLOOKUP(A1028,Internal_lists_bugs!$A$2:$C$73,3,FALSE())&amp;Char(10) &amp; Char(10) &amp; VLOOKUP(A1028,Internal_lists_bugs!$A$2:$Z$73,26,FALSE())),"please select a BUG ID")</f>
        <v>please select a BUG ID</v>
      </c>
      <c r="C1028" s="51" t="str">
        <f>IFERROR(__xludf.DUMMYFUNCTION("IFERROR(IF(REGEXMATCH(VLOOKUP(A1028,Internal_lists_bugs!$A$2:$R$73,18,FALSE()), ""Yes""), VLOOKUP(A1028,Internal_lists_bugs!$A$2:$U$73,21,FALSE()), VLOOKUP(A1028,Internal_lists_bugs!$A$2:$R$73,18,FALSE())),""please select a BUG ID"")"),"please select a BUG ID")</f>
        <v>please select a BUG ID</v>
      </c>
      <c r="D1028" s="54"/>
      <c r="F1028" s="55"/>
      <c r="G1028" s="56"/>
      <c r="H1028" s="54"/>
      <c r="J1028" s="55"/>
      <c r="K1028" s="56"/>
    </row>
    <row r="1029">
      <c r="A1029" s="70"/>
      <c r="B1029" s="71" t="str">
        <f>IFERROR(HYPERLINK(VLOOKUP(A1029,Internal_lists_bugs!$A$2:$C$73,3,FALSE()), VLOOKUP(A1029,Internal_lists_bugs!$A$2:$C$73,3,FALSE())&amp;Char(10) &amp; Char(10) &amp; VLOOKUP(A1029,Internal_lists_bugs!$A$2:$Z$73,26,FALSE())),"please select a BUG ID")</f>
        <v>please select a BUG ID</v>
      </c>
      <c r="C1029" s="51" t="str">
        <f>IFERROR(__xludf.DUMMYFUNCTION("IFERROR(IF(REGEXMATCH(VLOOKUP(A1029,Internal_lists_bugs!$A$2:$R$73,18,FALSE()), ""Yes""), VLOOKUP(A1029,Internal_lists_bugs!$A$2:$U$73,21,FALSE()), VLOOKUP(A1029,Internal_lists_bugs!$A$2:$R$73,18,FALSE())),""please select a BUG ID"")"),"please select a BUG ID")</f>
        <v>please select a BUG ID</v>
      </c>
      <c r="D1029" s="54"/>
      <c r="F1029" s="55"/>
      <c r="G1029" s="56"/>
      <c r="H1029" s="54"/>
      <c r="J1029" s="55"/>
      <c r="K1029" s="56"/>
    </row>
    <row r="1030">
      <c r="A1030" s="70"/>
      <c r="B1030" s="71" t="str">
        <f>IFERROR(HYPERLINK(VLOOKUP(A1030,Internal_lists_bugs!$A$2:$C$73,3,FALSE()), VLOOKUP(A1030,Internal_lists_bugs!$A$2:$C$73,3,FALSE())&amp;Char(10) &amp; Char(10) &amp; VLOOKUP(A1030,Internal_lists_bugs!$A$2:$Z$73,26,FALSE())),"please select a BUG ID")</f>
        <v>please select a BUG ID</v>
      </c>
      <c r="C1030" s="51" t="str">
        <f>IFERROR(__xludf.DUMMYFUNCTION("IFERROR(IF(REGEXMATCH(VLOOKUP(A1030,Internal_lists_bugs!$A$2:$R$73,18,FALSE()), ""Yes""), VLOOKUP(A1030,Internal_lists_bugs!$A$2:$U$73,21,FALSE()), VLOOKUP(A1030,Internal_lists_bugs!$A$2:$R$73,18,FALSE())),""please select a BUG ID"")"),"please select a BUG ID")</f>
        <v>please select a BUG ID</v>
      </c>
      <c r="D1030" s="54"/>
      <c r="F1030" s="55"/>
      <c r="G1030" s="56"/>
      <c r="H1030" s="54"/>
      <c r="J1030" s="55"/>
      <c r="K1030" s="56"/>
    </row>
    <row r="1031">
      <c r="A1031" s="70"/>
      <c r="B1031" s="71" t="str">
        <f>IFERROR(HYPERLINK(VLOOKUP(A1031,Internal_lists_bugs!$A$2:$C$73,3,FALSE()), VLOOKUP(A1031,Internal_lists_bugs!$A$2:$C$73,3,FALSE())&amp;Char(10) &amp; Char(10) &amp; VLOOKUP(A1031,Internal_lists_bugs!$A$2:$Z$73,26,FALSE())),"please select a BUG ID")</f>
        <v>please select a BUG ID</v>
      </c>
      <c r="C1031" s="51" t="str">
        <f>IFERROR(__xludf.DUMMYFUNCTION("IFERROR(IF(REGEXMATCH(VLOOKUP(A1031,Internal_lists_bugs!$A$2:$R$73,18,FALSE()), ""Yes""), VLOOKUP(A1031,Internal_lists_bugs!$A$2:$U$73,21,FALSE()), VLOOKUP(A1031,Internal_lists_bugs!$A$2:$R$73,18,FALSE())),""please select a BUG ID"")"),"please select a BUG ID")</f>
        <v>please select a BUG ID</v>
      </c>
      <c r="D1031" s="54"/>
      <c r="F1031" s="55"/>
      <c r="G1031" s="56"/>
      <c r="H1031" s="54"/>
      <c r="J1031" s="55"/>
      <c r="K1031" s="56"/>
    </row>
    <row r="1032">
      <c r="A1032" s="70"/>
      <c r="B1032" s="71" t="str">
        <f>IFERROR(HYPERLINK(VLOOKUP(A1032,Internal_lists_bugs!$A$2:$C$73,3,FALSE()), VLOOKUP(A1032,Internal_lists_bugs!$A$2:$C$73,3,FALSE())&amp;Char(10) &amp; Char(10) &amp; VLOOKUP(A1032,Internal_lists_bugs!$A$2:$Z$73,26,FALSE())),"please select a BUG ID")</f>
        <v>please select a BUG ID</v>
      </c>
      <c r="C1032" s="51" t="str">
        <f>IFERROR(__xludf.DUMMYFUNCTION("IFERROR(IF(REGEXMATCH(VLOOKUP(A1032,Internal_lists_bugs!$A$2:$R$73,18,FALSE()), ""Yes""), VLOOKUP(A1032,Internal_lists_bugs!$A$2:$U$73,21,FALSE()), VLOOKUP(A1032,Internal_lists_bugs!$A$2:$R$73,18,FALSE())),""please select a BUG ID"")"),"please select a BUG ID")</f>
        <v>please select a BUG ID</v>
      </c>
      <c r="D1032" s="54"/>
      <c r="F1032" s="55"/>
      <c r="G1032" s="56"/>
      <c r="H1032" s="54"/>
      <c r="J1032" s="55"/>
      <c r="K1032" s="56"/>
    </row>
    <row r="1033">
      <c r="A1033" s="70"/>
      <c r="B1033" s="71" t="str">
        <f>IFERROR(HYPERLINK(VLOOKUP(A1033,Internal_lists_bugs!$A$2:$C$73,3,FALSE()), VLOOKUP(A1033,Internal_lists_bugs!$A$2:$C$73,3,FALSE())&amp;Char(10) &amp; Char(10) &amp; VLOOKUP(A1033,Internal_lists_bugs!$A$2:$Z$73,26,FALSE())),"please select a BUG ID")</f>
        <v>please select a BUG ID</v>
      </c>
      <c r="C1033" s="51" t="str">
        <f>IFERROR(__xludf.DUMMYFUNCTION("IFERROR(IF(REGEXMATCH(VLOOKUP(A1033,Internal_lists_bugs!$A$2:$R$73,18,FALSE()), ""Yes""), VLOOKUP(A1033,Internal_lists_bugs!$A$2:$U$73,21,FALSE()), VLOOKUP(A1033,Internal_lists_bugs!$A$2:$R$73,18,FALSE())),""please select a BUG ID"")"),"please select a BUG ID")</f>
        <v>please select a BUG ID</v>
      </c>
      <c r="D1033" s="54"/>
      <c r="F1033" s="55"/>
      <c r="G1033" s="56"/>
      <c r="H1033" s="54"/>
      <c r="J1033" s="55"/>
      <c r="K1033" s="56"/>
    </row>
    <row r="1034">
      <c r="A1034" s="70"/>
      <c r="B1034" s="71" t="str">
        <f>IFERROR(HYPERLINK(VLOOKUP(A1034,Internal_lists_bugs!$A$2:$C$73,3,FALSE()), VLOOKUP(A1034,Internal_lists_bugs!$A$2:$C$73,3,FALSE())&amp;Char(10) &amp; Char(10) &amp; VLOOKUP(A1034,Internal_lists_bugs!$A$2:$Z$73,26,FALSE())),"please select a BUG ID")</f>
        <v>please select a BUG ID</v>
      </c>
      <c r="C1034" s="51" t="str">
        <f>IFERROR(__xludf.DUMMYFUNCTION("IFERROR(IF(REGEXMATCH(VLOOKUP(A1034,Internal_lists_bugs!$A$2:$R$73,18,FALSE()), ""Yes""), VLOOKUP(A1034,Internal_lists_bugs!$A$2:$U$73,21,FALSE()), VLOOKUP(A1034,Internal_lists_bugs!$A$2:$R$73,18,FALSE())),""please select a BUG ID"")"),"please select a BUG ID")</f>
        <v>please select a BUG ID</v>
      </c>
      <c r="D1034" s="54"/>
      <c r="F1034" s="55"/>
      <c r="G1034" s="56"/>
      <c r="H1034" s="54"/>
      <c r="J1034" s="55"/>
      <c r="K1034" s="56"/>
    </row>
    <row r="1035">
      <c r="A1035" s="70"/>
      <c r="B1035" s="71" t="str">
        <f>IFERROR(HYPERLINK(VLOOKUP(A1035,Internal_lists_bugs!$A$2:$C$73,3,FALSE()), VLOOKUP(A1035,Internal_lists_bugs!$A$2:$C$73,3,FALSE())&amp;Char(10) &amp; Char(10) &amp; VLOOKUP(A1035,Internal_lists_bugs!$A$2:$Z$73,26,FALSE())),"please select a BUG ID")</f>
        <v>please select a BUG ID</v>
      </c>
      <c r="C1035" s="51" t="str">
        <f>IFERROR(__xludf.DUMMYFUNCTION("IFERROR(IF(REGEXMATCH(VLOOKUP(A1035,Internal_lists_bugs!$A$2:$R$73,18,FALSE()), ""Yes""), VLOOKUP(A1035,Internal_lists_bugs!$A$2:$U$73,21,FALSE()), VLOOKUP(A1035,Internal_lists_bugs!$A$2:$R$73,18,FALSE())),""please select a BUG ID"")"),"please select a BUG ID")</f>
        <v>please select a BUG ID</v>
      </c>
      <c r="D1035" s="54"/>
      <c r="F1035" s="55"/>
      <c r="G1035" s="56"/>
      <c r="H1035" s="54"/>
      <c r="J1035" s="55"/>
      <c r="K1035" s="56"/>
    </row>
    <row r="1036">
      <c r="A1036" s="70"/>
      <c r="B1036" s="71" t="str">
        <f>IFERROR(HYPERLINK(VLOOKUP(A1036,Internal_lists_bugs!$A$2:$C$73,3,FALSE()), VLOOKUP(A1036,Internal_lists_bugs!$A$2:$C$73,3,FALSE())&amp;Char(10) &amp; Char(10) &amp; VLOOKUP(A1036,Internal_lists_bugs!$A$2:$Z$73,26,FALSE())),"please select a BUG ID")</f>
        <v>please select a BUG ID</v>
      </c>
      <c r="C1036" s="51" t="str">
        <f>IFERROR(__xludf.DUMMYFUNCTION("IFERROR(IF(REGEXMATCH(VLOOKUP(A1036,Internal_lists_bugs!$A$2:$R$73,18,FALSE()), ""Yes""), VLOOKUP(A1036,Internal_lists_bugs!$A$2:$U$73,21,FALSE()), VLOOKUP(A1036,Internal_lists_bugs!$A$2:$R$73,18,FALSE())),""please select a BUG ID"")"),"please select a BUG ID")</f>
        <v>please select a BUG ID</v>
      </c>
      <c r="D1036" s="54"/>
      <c r="F1036" s="55"/>
      <c r="G1036" s="56"/>
      <c r="H1036" s="54"/>
      <c r="J1036" s="55"/>
      <c r="K1036" s="56"/>
    </row>
    <row r="1037">
      <c r="A1037" s="70"/>
      <c r="B1037" s="71" t="str">
        <f>IFERROR(HYPERLINK(VLOOKUP(A1037,Internal_lists_bugs!$A$2:$C$73,3,FALSE()), VLOOKUP(A1037,Internal_lists_bugs!$A$2:$C$73,3,FALSE())&amp;Char(10) &amp; Char(10) &amp; VLOOKUP(A1037,Internal_lists_bugs!$A$2:$Z$73,26,FALSE())),"please select a BUG ID")</f>
        <v>please select a BUG ID</v>
      </c>
      <c r="C1037" s="51" t="str">
        <f>IFERROR(__xludf.DUMMYFUNCTION("IFERROR(IF(REGEXMATCH(VLOOKUP(A1037,Internal_lists_bugs!$A$2:$R$73,18,FALSE()), ""Yes""), VLOOKUP(A1037,Internal_lists_bugs!$A$2:$U$73,21,FALSE()), VLOOKUP(A1037,Internal_lists_bugs!$A$2:$R$73,18,FALSE())),""please select a BUG ID"")"),"please select a BUG ID")</f>
        <v>please select a BUG ID</v>
      </c>
      <c r="D1037" s="54"/>
      <c r="F1037" s="55"/>
      <c r="G1037" s="56"/>
      <c r="H1037" s="54"/>
      <c r="J1037" s="55"/>
      <c r="K1037" s="56"/>
    </row>
    <row r="1038">
      <c r="A1038" s="70"/>
      <c r="B1038" s="71" t="str">
        <f>IFERROR(HYPERLINK(VLOOKUP(A1038,Internal_lists_bugs!$A$2:$C$73,3,FALSE()), VLOOKUP(A1038,Internal_lists_bugs!$A$2:$C$73,3,FALSE())&amp;Char(10) &amp; Char(10) &amp; VLOOKUP(A1038,Internal_lists_bugs!$A$2:$Z$73,26,FALSE())),"please select a BUG ID")</f>
        <v>please select a BUG ID</v>
      </c>
      <c r="C1038" s="51" t="str">
        <f>IFERROR(__xludf.DUMMYFUNCTION("IFERROR(IF(REGEXMATCH(VLOOKUP(A1038,Internal_lists_bugs!$A$2:$R$73,18,FALSE()), ""Yes""), VLOOKUP(A1038,Internal_lists_bugs!$A$2:$U$73,21,FALSE()), VLOOKUP(A1038,Internal_lists_bugs!$A$2:$R$73,18,FALSE())),""please select a BUG ID"")"),"please select a BUG ID")</f>
        <v>please select a BUG ID</v>
      </c>
      <c r="D1038" s="54"/>
      <c r="F1038" s="55"/>
      <c r="G1038" s="56"/>
      <c r="H1038" s="54"/>
      <c r="J1038" s="55"/>
      <c r="K1038" s="56"/>
    </row>
    <row r="1039">
      <c r="A1039" s="70"/>
      <c r="B1039" s="71" t="str">
        <f>IFERROR(HYPERLINK(VLOOKUP(A1039,Internal_lists_bugs!$A$2:$C$73,3,FALSE()), VLOOKUP(A1039,Internal_lists_bugs!$A$2:$C$73,3,FALSE())&amp;Char(10) &amp; Char(10) &amp; VLOOKUP(A1039,Internal_lists_bugs!$A$2:$Z$73,26,FALSE())),"please select a BUG ID")</f>
        <v>please select a BUG ID</v>
      </c>
      <c r="C1039" s="51" t="str">
        <f>IFERROR(__xludf.DUMMYFUNCTION("IFERROR(IF(REGEXMATCH(VLOOKUP(A1039,Internal_lists_bugs!$A$2:$R$73,18,FALSE()), ""Yes""), VLOOKUP(A1039,Internal_lists_bugs!$A$2:$U$73,21,FALSE()), VLOOKUP(A1039,Internal_lists_bugs!$A$2:$R$73,18,FALSE())),""please select a BUG ID"")"),"please select a BUG ID")</f>
        <v>please select a BUG ID</v>
      </c>
      <c r="D1039" s="54"/>
      <c r="F1039" s="55"/>
      <c r="G1039" s="56"/>
      <c r="H1039" s="54"/>
      <c r="J1039" s="55"/>
      <c r="K1039" s="56"/>
    </row>
    <row r="1040">
      <c r="A1040" s="70"/>
      <c r="B1040" s="71" t="str">
        <f>IFERROR(HYPERLINK(VLOOKUP(A1040,Internal_lists_bugs!$A$2:$C$73,3,FALSE()), VLOOKUP(A1040,Internal_lists_bugs!$A$2:$C$73,3,FALSE())&amp;Char(10) &amp; Char(10) &amp; VLOOKUP(A1040,Internal_lists_bugs!$A$2:$Z$73,26,FALSE())),"please select a BUG ID")</f>
        <v>please select a BUG ID</v>
      </c>
      <c r="C1040" s="51" t="str">
        <f>IFERROR(__xludf.DUMMYFUNCTION("IFERROR(IF(REGEXMATCH(VLOOKUP(A1040,Internal_lists_bugs!$A$2:$R$73,18,FALSE()), ""Yes""), VLOOKUP(A1040,Internal_lists_bugs!$A$2:$U$73,21,FALSE()), VLOOKUP(A1040,Internal_lists_bugs!$A$2:$R$73,18,FALSE())),""please select a BUG ID"")"),"please select a BUG ID")</f>
        <v>please select a BUG ID</v>
      </c>
      <c r="D1040" s="54"/>
      <c r="F1040" s="55"/>
      <c r="G1040" s="56"/>
      <c r="H1040" s="54"/>
      <c r="J1040" s="55"/>
      <c r="K1040" s="56"/>
    </row>
  </sheetData>
  <mergeCells count="4">
    <mergeCell ref="D1:E1"/>
    <mergeCell ref="F1:G1"/>
    <mergeCell ref="H1:I1"/>
    <mergeCell ref="J1:K1"/>
  </mergeCells>
  <dataValidations>
    <dataValidation type="list" allowBlank="1" showErrorMessage="1" sqref="H3:H1040 J3:J1040">
      <formula1>"YES,NO"</formula1>
    </dataValidation>
    <dataValidation type="list" allowBlank="1" showInputMessage="1" prompt="If code not available, just write it down" sqref="D3:D487 D489:D1040">
      <formula1>Internal_lists_variables!$A$2:$A1040</formula1>
    </dataValidation>
    <dataValidation type="list" allowBlank="1" showInputMessage="1" showErrorMessage="1" prompt="The different types are joined in an alphabetically way" sqref="F3:F1040">
      <formula1>Internal_lists_variables!$B$2:$B1040</formula1>
    </dataValidation>
    <dataValidation type="list" allowBlank="1" showInputMessage="1" prompt="Project BugID" sqref="A3:A1040">
      <formula1>Internal_lists_bugs!$A$2:$A1040</formula1>
    </dataValidation>
  </dataValidations>
  <hyperlinks>
    <hyperlink r:id="rId2" ref="A1"/>
    <hyperlink r:id="rId3" location="gid=405816964" ref="B1"/>
    <hyperlink r:id="rId4" ref="I142"/>
    <hyperlink r:id="rId5" ref="E179"/>
    <hyperlink r:id="rId6" ref="I179"/>
    <hyperlink r:id="rId7" location="_2014-09-19_10_24_07_221" ref="E252"/>
    <hyperlink r:id="rId8" ref="E298"/>
    <hyperlink r:id="rId9" ref="E350"/>
    <hyperlink r:id="rId10" location="/c/119396/." ref="E363"/>
  </hyperlinks>
  <drawing r:id="rId11"/>
  <legacyDrawing r:id="rId1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2.63" defaultRowHeight="15.75" outlineLevelCol="1"/>
  <cols>
    <col customWidth="1" min="1" max="1" width="24.63"/>
    <col customWidth="1" hidden="1" min="2" max="2" width="37.75"/>
    <col customWidth="1" min="3" max="3" width="19.63"/>
    <col min="4" max="4" width="12.63" outlineLevel="1"/>
    <col customWidth="1" min="5" max="5" width="35.63" outlineLevel="1"/>
    <col customWidth="1" min="6" max="6" width="20.0" outlineLevel="1"/>
    <col customWidth="1" min="7" max="7" width="18.25" outlineLevel="1"/>
    <col customWidth="1" min="8" max="8" width="29.25" outlineLevel="1"/>
    <col customWidth="1" min="9" max="9" width="45.75" outlineLevel="1"/>
    <col customWidth="1" min="10" max="10" width="46.88"/>
  </cols>
  <sheetData>
    <row r="1">
      <c r="A1" s="32" t="s">
        <v>103</v>
      </c>
      <c r="B1" s="32" t="s">
        <v>104</v>
      </c>
      <c r="C1" s="33" t="s">
        <v>105</v>
      </c>
      <c r="D1" s="30" t="s">
        <v>507</v>
      </c>
      <c r="E1" s="72" t="s">
        <v>508</v>
      </c>
      <c r="F1" s="36"/>
      <c r="G1" s="30" t="s">
        <v>509</v>
      </c>
      <c r="H1" s="73" t="s">
        <v>510</v>
      </c>
      <c r="I1" s="36"/>
      <c r="J1" s="33" t="s">
        <v>105</v>
      </c>
      <c r="K1" s="16"/>
      <c r="L1" s="16"/>
      <c r="M1" s="16"/>
      <c r="N1" s="16"/>
    </row>
    <row r="2">
      <c r="A2" s="39" t="s">
        <v>111</v>
      </c>
      <c r="B2" s="40" t="s">
        <v>511</v>
      </c>
      <c r="C2" s="74" t="s">
        <v>512</v>
      </c>
      <c r="D2" s="42" t="s">
        <v>513</v>
      </c>
      <c r="E2" s="43" t="s">
        <v>114</v>
      </c>
      <c r="F2" s="75" t="s">
        <v>115</v>
      </c>
      <c r="G2" s="42" t="s">
        <v>514</v>
      </c>
      <c r="H2" s="43" t="s">
        <v>114</v>
      </c>
      <c r="I2" s="75" t="s">
        <v>115</v>
      </c>
      <c r="J2" s="76" t="s">
        <v>515</v>
      </c>
      <c r="K2" s="48"/>
      <c r="L2" s="48"/>
      <c r="M2" s="48"/>
      <c r="N2" s="48"/>
    </row>
    <row r="3">
      <c r="A3" s="49" t="s">
        <v>31</v>
      </c>
      <c r="B3" s="77" t="str">
        <f>IFERROR(HYPERLINK(VLOOKUP(A3,Internal_lists_bugs!$A$2:$C$73,3,FALSE()), VLOOKUP(A3,Internal_lists_bugs!$A$2:$C$73,3,FALSE())&amp;Char(10) &amp; Char(10) &amp; VLOOKUP(A3,Internal_lists_bugs!$A$2:$Z$73,26,FALSE())),"please select a BUG ID")</f>
        <v>https://bugs.launchpad.net/nova/+bug/1481164
/libvirt/blockinfo.py</v>
      </c>
      <c r="C3" s="78" t="str">
        <f>IFERROR(VLOOKUP(A3,Internal_lists_bugs!$A$2:$X1013,24,FALSE()),"please select a BUG ID")</f>
        <v>https://www.mail-archive.com/openstack-dev@lists.openstack.org/ </v>
      </c>
      <c r="D3" s="16" t="s">
        <v>124</v>
      </c>
      <c r="E3" s="79"/>
      <c r="F3" s="80"/>
      <c r="G3" s="16" t="s">
        <v>124</v>
      </c>
      <c r="H3" s="79"/>
      <c r="I3" s="80"/>
      <c r="J3" s="51" t="str">
        <f>IFERROR(Hyperlink(VLOOKUP(A3,Internal_lists_bugs!$A$2:$G1013,7,FALSE()),"BIC: "&amp;VLOOKUP(A3,Internal_lists_bugs!$A$2:$G1013,7,FALSE())&amp;CHAR(10)&amp;"Intro.Issues: "&amp;VLOOKUP(A3,Internal_lists_bugs!$A$2:$P1013,16,FALSE())),"please select a BUG ID")</f>
        <v>BIC: 
Intro.Issues: NA</v>
      </c>
    </row>
    <row r="4" ht="54.0" customHeight="1">
      <c r="A4" s="57" t="s">
        <v>32</v>
      </c>
      <c r="B4" s="77" t="str">
        <f>IFERROR(HYPERLINK(VLOOKUP(A4,Internal_lists_bugs!$A$2:$C$73,3,FALSE()), VLOOKUP(A4,Internal_lists_bugs!$A$2:$C$73,3,FALSE())&amp;Char(10) &amp; Char(10) &amp; VLOOKUP(A4,Internal_lists_bugs!$A$2:$Z$73,26,FALSE())),"please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4" s="78" t="str">
        <f>IFERROR(VLOOKUP(A4,Internal_lists_bugs!$A$2:$X1013,24,FALSE()),"please select a BUG ID")</f>
        <v>https://www.mail-archive.com/openstack-dev@lists.openstack.org/ </v>
      </c>
      <c r="D4" s="16" t="s">
        <v>516</v>
      </c>
      <c r="E4" s="79" t="s">
        <v>517</v>
      </c>
      <c r="F4" s="59" t="s">
        <v>518</v>
      </c>
      <c r="G4" s="16" t="s">
        <v>124</v>
      </c>
      <c r="H4" s="79"/>
      <c r="I4" s="59"/>
      <c r="J4" s="81" t="str">
        <f>IFERROR(Hyperlink(VLOOKUP(A4,Internal_lists_bugs!$A$2:$G1013,7,FALSE()),"BIC: "&amp;VLOOKUP(A4,Internal_lists_bugs!$A$2:$G1013,7,FALSE())&amp;CHAR(10)&amp;"Intro.Issues: "&amp;VLOOKUP(A4,Internal_lists_bugs!$A$2:$P1013,16,FALSE())),"please select a BUG ID")</f>
        <v>BIC: https://opendev.org/openstack/nova/commit/e7aa4022374fb35d2131a7c633212c5d6302db3d
Intro.Issues: NA</v>
      </c>
    </row>
    <row r="5" ht="68.25" customHeight="1">
      <c r="A5" s="57" t="s">
        <v>32</v>
      </c>
      <c r="B5" s="77" t="str">
        <f>IFERROR(HYPERLINK(VLOOKUP(A5,Internal_lists_bugs!$A$2:$C$73,3,FALSE()), VLOOKUP(A5,Internal_lists_bugs!$A$2:$C$73,3,FALSE())&amp;Char(10) &amp; Char(10) &amp; VLOOKUP(A5,Internal_lists_bugs!$A$2:$Z$73,26,FALSE())),"please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5" s="78" t="str">
        <f>IFERROR(VLOOKUP(A5,Internal_lists_bugs!$A$2:$X1013,24,FALSE()),"please select a BUG ID")</f>
        <v>https://www.mail-archive.com/openstack-dev@lists.openstack.org/ </v>
      </c>
      <c r="D5" s="16" t="s">
        <v>516</v>
      </c>
      <c r="E5" s="79" t="s">
        <v>519</v>
      </c>
      <c r="F5" s="59" t="s">
        <v>520</v>
      </c>
      <c r="H5" s="79"/>
      <c r="I5" s="80"/>
      <c r="J5" s="81" t="str">
        <f>IFERROR(Hyperlink(VLOOKUP(A5,Internal_lists_bugs!$A$2:$G1013,7,FALSE()),"BIC: "&amp;VLOOKUP(A5,Internal_lists_bugs!$A$2:$G1013,7,FALSE())&amp;CHAR(10)&amp;"Intro.Issues: "&amp;VLOOKUP(A5,Internal_lists_bugs!$A$2:$P1013,16,FALSE())),"please select a BUG ID")</f>
        <v>BIC: https://opendev.org/openstack/nova/commit/e7aa4022374fb35d2131a7c633212c5d6302db3d
Intro.Issues: NA</v>
      </c>
    </row>
    <row r="6" ht="48.0" customHeight="1">
      <c r="A6" s="57" t="s">
        <v>32</v>
      </c>
      <c r="B6" s="77" t="str">
        <f>IFERROR(HYPERLINK(VLOOKUP(A6,Internal_lists_bugs!$A$2:$C$73,3,FALSE()), VLOOKUP(A6,Internal_lists_bugs!$A$2:$C$73,3,FALSE())&amp;Char(10) &amp; Char(10) &amp; VLOOKUP(A6,Internal_lists_bugs!$A$2:$Z$73,26,FALSE())),"please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6" s="78" t="str">
        <f>IFERROR(VLOOKUP(A6,Internal_lists_bugs!$A$2:$X1013,24,FALSE()),"please select a BUG ID")</f>
        <v>https://www.mail-archive.com/openstack-dev@lists.openstack.org/ </v>
      </c>
      <c r="D6" s="16" t="s">
        <v>516</v>
      </c>
      <c r="E6" s="79" t="s">
        <v>521</v>
      </c>
      <c r="F6" s="59" t="s">
        <v>522</v>
      </c>
      <c r="H6" s="79"/>
      <c r="I6" s="80"/>
      <c r="J6" s="81" t="str">
        <f>IFERROR(Hyperlink(VLOOKUP(A6,Internal_lists_bugs!$A$2:$G1013,7,FALSE()),"BIC: "&amp;VLOOKUP(A6,Internal_lists_bugs!$A$2:$G1013,7,FALSE())&amp;CHAR(10)&amp;"Intro.Issues: "&amp;VLOOKUP(A6,Internal_lists_bugs!$A$2:$P1013,16,FALSE())),"please select a BUG ID")</f>
        <v>BIC: https://opendev.org/openstack/nova/commit/e7aa4022374fb35d2131a7c633212c5d6302db3d
Intro.Issues: NA</v>
      </c>
    </row>
    <row r="7" ht="56.25" customHeight="1">
      <c r="A7" s="57" t="s">
        <v>32</v>
      </c>
      <c r="B7" s="77" t="str">
        <f>IFERROR(HYPERLINK(VLOOKUP(A7,Internal_lists_bugs!$A$2:$C$73,3,FALSE()), VLOOKUP(A7,Internal_lists_bugs!$A$2:$C$73,3,FALSE())&amp;Char(10) &amp; Char(10) &amp; VLOOKUP(A7,Internal_lists_bugs!$A$2:$Z$73,26,FALSE())),"please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7" s="78" t="str">
        <f>IFERROR(VLOOKUP(A7,Internal_lists_bugs!$A$2:$X1013,24,FALSE()),"please select a BUG ID")</f>
        <v>https://www.mail-archive.com/openstack-dev@lists.openstack.org/ </v>
      </c>
      <c r="D7" s="16" t="s">
        <v>516</v>
      </c>
      <c r="E7" s="79" t="s">
        <v>523</v>
      </c>
      <c r="F7" s="59" t="s">
        <v>524</v>
      </c>
      <c r="H7" s="79"/>
      <c r="I7" s="80"/>
      <c r="J7" s="81" t="str">
        <f>IFERROR(Hyperlink(VLOOKUP(A7,Internal_lists_bugs!$A$2:$G1013,7,FALSE()),"BIC: "&amp;VLOOKUP(A7,Internal_lists_bugs!$A$2:$G1013,7,FALSE())&amp;CHAR(10)&amp;"Intro.Issues: "&amp;VLOOKUP(A7,Internal_lists_bugs!$A$2:$P1013,16,FALSE())),"please select a BUG ID")</f>
        <v>BIC: https://opendev.org/openstack/nova/commit/e7aa4022374fb35d2131a7c633212c5d6302db3d
Intro.Issues: NA</v>
      </c>
    </row>
    <row r="8" ht="52.5" customHeight="1">
      <c r="A8" s="57" t="s">
        <v>32</v>
      </c>
      <c r="B8" s="77" t="str">
        <f>IFERROR(HYPERLINK(VLOOKUP(A8,Internal_lists_bugs!$A$2:$C$73,3,FALSE()), VLOOKUP(A8,Internal_lists_bugs!$A$2:$C$73,3,FALSE())&amp;Char(10) &amp; Char(10) &amp; VLOOKUP(A8,Internal_lists_bugs!$A$2:$Z$73,26,FALSE())),"please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8" s="78" t="str">
        <f>IFERROR(VLOOKUP(A8,Internal_lists_bugs!$A$2:$X1013,24,FALSE()),"please select a BUG ID")</f>
        <v>https://www.mail-archive.com/openstack-dev@lists.openstack.org/ </v>
      </c>
      <c r="D8" s="16" t="s">
        <v>516</v>
      </c>
      <c r="E8" s="79" t="s">
        <v>525</v>
      </c>
      <c r="F8" s="59" t="s">
        <v>526</v>
      </c>
      <c r="H8" s="79"/>
      <c r="I8" s="80"/>
      <c r="J8" s="81" t="str">
        <f>IFERROR(Hyperlink(VLOOKUP(A8,Internal_lists_bugs!$A$2:$G1013,7,FALSE()),"BIC: "&amp;VLOOKUP(A8,Internal_lists_bugs!$A$2:$G1013,7,FALSE())&amp;CHAR(10)&amp;"Intro.Issues: "&amp;VLOOKUP(A8,Internal_lists_bugs!$A$2:$P1013,16,FALSE())),"please select a BUG ID")</f>
        <v>BIC: https://opendev.org/openstack/nova/commit/e7aa4022374fb35d2131a7c633212c5d6302db3d
Intro.Issues: NA</v>
      </c>
    </row>
    <row r="9" ht="49.5" customHeight="1">
      <c r="A9" s="57" t="s">
        <v>32</v>
      </c>
      <c r="B9" s="77" t="str">
        <f>IFERROR(HYPERLINK(VLOOKUP(A9,Internal_lists_bugs!$A$2:$C$73,3,FALSE()), VLOOKUP(A9,Internal_lists_bugs!$A$2:$C$73,3,FALSE())&amp;Char(10) &amp; Char(10) &amp; VLOOKUP(A9,Internal_lists_bugs!$A$2:$Z$73,26,FALSE())),"please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9" s="78" t="str">
        <f>IFERROR(VLOOKUP(A9,Internal_lists_bugs!$A$2:$X1013,24,FALSE()),"please select a BUG ID")</f>
        <v>https://www.mail-archive.com/openstack-dev@lists.openstack.org/ </v>
      </c>
      <c r="D9" s="16" t="s">
        <v>527</v>
      </c>
      <c r="E9" s="79" t="s">
        <v>528</v>
      </c>
      <c r="F9" s="59" t="s">
        <v>529</v>
      </c>
      <c r="H9" s="79"/>
      <c r="I9" s="80"/>
      <c r="J9" s="81" t="str">
        <f>IFERROR(Hyperlink(VLOOKUP(A9,Internal_lists_bugs!$A$2:$G1013,7,FALSE()),"BIC: "&amp;VLOOKUP(A9,Internal_lists_bugs!$A$2:$G1013,7,FALSE())&amp;CHAR(10)&amp;"Intro.Issues: "&amp;VLOOKUP(A9,Internal_lists_bugs!$A$2:$P1013,16,FALSE())),"please select a BUG ID")</f>
        <v>BIC: https://opendev.org/openstack/nova/commit/e7aa4022374fb35d2131a7c633212c5d6302db3d
Intro.Issues: NA</v>
      </c>
    </row>
    <row r="10" ht="76.5" customHeight="1">
      <c r="A10" s="18" t="s">
        <v>33</v>
      </c>
      <c r="B10" s="77" t="str">
        <f>IFERROR(HYPERLINK(VLOOKUP(A10,Internal_lists_bugs!$A$2:$C$73,3,FALSE()), VLOOKUP(A10,Internal_lists_bugs!$A$2:$C$73,3,FALSE())&amp;Char(10) &amp; Char(10) &amp; VLOOKUP(A10,Internal_lists_bugs!$A$2:$Z$73,26,FALSE())),"please select a BUG ID")</f>
        <v>https://bugs.launchpad.net/nova/+bug/1367363
/libvirt/driver.py</v>
      </c>
      <c r="C10" s="78" t="str">
        <f>IFERROR(VLOOKUP(A10,Internal_lists_bugs!$A$2:$X1013,24,FALSE()),"please select a BUG ID")</f>
        <v>https://www.mail-archive.com/openstack-dev@lists.openstack.org/ </v>
      </c>
      <c r="D10" s="16" t="s">
        <v>124</v>
      </c>
      <c r="E10" s="82"/>
      <c r="F10" s="80"/>
      <c r="G10" s="16" t="s">
        <v>124</v>
      </c>
      <c r="H10" s="79"/>
      <c r="I10" s="80"/>
      <c r="J10" s="81" t="str">
        <f>IFERROR(Hyperlink(VLOOKUP(A10,Internal_lists_bugs!$A$2:$G1013,7,FALSE()),"BIC: "&amp;VLOOKUP(A10,Internal_lists_bugs!$A$2:$G1013,7,FALSE())&amp;CHAR(10)&amp;"Intro.Issues: "&amp;VLOOKUP(A10,Internal_lists_bugs!$A$2:$P1013,16,FALSE())),"please select a BUG ID")</f>
        <v>BIC: https://opendev.org/openstack/nova/commit/0fcbb7b
Intro.Issues: 1243083</v>
      </c>
    </row>
    <row r="11">
      <c r="A11" s="57" t="s">
        <v>34</v>
      </c>
      <c r="B11" s="77" t="str">
        <f>IFERROR(HYPERLINK(VLOOKUP(A11,Internal_lists_bugs!$A$2:$C$73,3,FALSE()), VLOOKUP(A11,Internal_lists_bugs!$A$2:$C$73,3,FALSE())&amp;Char(10) &amp; Char(10) &amp; VLOOKUP(A11,Internal_lists_bugs!$A$2:$Z$73,26,FALSE())),"please select a BUG ID")</f>
        <v>https://bugs.launchpad.net/nova/+bug/1438331
/libvirt/rbd_utils.py</v>
      </c>
      <c r="C11" s="78" t="str">
        <f>IFERROR(VLOOKUP(A11,Internal_lists_bugs!$A$2:$X1013,24,FALSE()),"please select a BUG ID")</f>
        <v>https://www.mail-archive.com/openstack-dev@lists.openstack.org/ </v>
      </c>
      <c r="D11" s="16" t="s">
        <v>124</v>
      </c>
      <c r="E11" s="82"/>
      <c r="F11" s="80"/>
      <c r="G11" s="16" t="s">
        <v>124</v>
      </c>
      <c r="H11" s="79"/>
      <c r="I11" s="80"/>
      <c r="J11" s="81" t="str">
        <f>IFERROR(Hyperlink(VLOOKUP(A11,Internal_lists_bugs!$A$2:$G1013,7,FALSE()),"BIC: "&amp;VLOOKUP(A11,Internal_lists_bugs!$A$2:$G1013,7,FALSE())&amp;CHAR(10)&amp;"Intro.Issues: "&amp;VLOOKUP(A11,Internal_lists_bugs!$A$2:$P1013,16,FALSE())),"please select a BUG ID")</f>
        <v>BIC: https://opendev.org/openstack/nova/commit/13e2bd0
Intro.Issues: 1346092</v>
      </c>
    </row>
    <row r="12">
      <c r="A12" s="57" t="s">
        <v>35</v>
      </c>
      <c r="B12" s="77" t="str">
        <f>IFERROR(HYPERLINK(VLOOKUP(A12,Internal_lists_bugs!$A$2:$C$73,3,FALSE()), VLOOKUP(A12,Internal_lists_bugs!$A$2:$C$73,3,FALSE())&amp;Char(10) &amp; Char(10) &amp; VLOOKUP(A12,Internal_lists_bugs!$A$2:$Z$73,26,FALSE())),"please select a BUG ID")</f>
        <v>https://bugs.launchpad.net/nova/+bug/1375379
/console/websocketproxy.py</v>
      </c>
      <c r="C12" s="78" t="str">
        <f>IFERROR(VLOOKUP(A12,Internal_lists_bugs!$A$2:$X1013,24,FALSE()),"please select a BUG ID")</f>
        <v>https://www.mail-archive.com/openstack-dev@lists.openstack.org/ </v>
      </c>
      <c r="D12" s="16" t="s">
        <v>124</v>
      </c>
      <c r="E12" s="82"/>
      <c r="F12" s="80"/>
      <c r="G12" s="16" t="s">
        <v>530</v>
      </c>
      <c r="H12" s="79" t="s">
        <v>531</v>
      </c>
      <c r="I12" s="59" t="s">
        <v>532</v>
      </c>
      <c r="J12" s="81" t="str">
        <f>IFERROR(Hyperlink(VLOOKUP(A12,Internal_lists_bugs!$A$2:$G1013,7,FALSE()),"BIC: "&amp;VLOOKUP(A12,Internal_lists_bugs!$A$2:$G1013,7,FALSE())&amp;CHAR(10)&amp;"Intro.Issues: "&amp;VLOOKUP(A12,Internal_lists_bugs!$A$2:$P1013,16,FALSE())),"please select a BUG ID")</f>
        <v>BIC: https://opendev.org/openstack/nova/commit/e71e8c2
Intro.Issues: libvirt-spice</v>
      </c>
    </row>
    <row r="13">
      <c r="A13" s="18" t="s">
        <v>36</v>
      </c>
      <c r="B13" s="77" t="str">
        <f>IFERROR(HYPERLINK(VLOOKUP(A13,Internal_lists_bugs!$A$2:$C$73,3,FALSE()), VLOOKUP(A13,Internal_lists_bugs!$A$2:$C$73,3,FALSE())&amp;Char(10) &amp; Char(10) &amp; VLOOKUP(A13,Internal_lists_bugs!$A$2:$Z$73,26,FALSE())),"please select a BUG ID")</f>
        <v>https://bugs.launchpad.net/nova/+bug/1486541
/compute/cells_api.py</v>
      </c>
      <c r="C13" s="78" t="str">
        <f>IFERROR(VLOOKUP(A13,Internal_lists_bugs!$A$2:$X1013,24,FALSE()),"please select a BUG ID")</f>
        <v>https://www.mail-archive.com/openstack-dev@lists.openstack.org/ </v>
      </c>
      <c r="D13" s="16" t="s">
        <v>124</v>
      </c>
      <c r="E13" s="82"/>
      <c r="F13" s="80"/>
      <c r="G13" s="16" t="s">
        <v>533</v>
      </c>
      <c r="H13" s="79" t="s">
        <v>534</v>
      </c>
      <c r="I13" s="59" t="s">
        <v>535</v>
      </c>
      <c r="J13" s="81" t="str">
        <f>IFERROR(Hyperlink(VLOOKUP(A13,Internal_lists_bugs!$A$2:$G1013,7,FALSE()),"BIC: "&amp;VLOOKUP(A13,Internal_lists_bugs!$A$2:$G1013,7,FALSE())&amp;CHAR(10)&amp;"Intro.Issues: "&amp;VLOOKUP(A13,Internal_lists_bugs!$A$2:$P1013,16,FALSE())),"please select a BUG ID")</f>
        <v>BIC: https://opendev.org/openstack/nova/commit/f5071bd1ac00ed68102d37c8025
Intro.Issues: icehouse-objects, clean-up-legacy-block-device-mapping </v>
      </c>
    </row>
    <row r="14">
      <c r="A14" s="18" t="s">
        <v>36</v>
      </c>
      <c r="B14" s="77" t="str">
        <f>IFERROR(HYPERLINK(VLOOKUP(A14,Internal_lists_bugs!$A$2:$C$73,3,FALSE()), VLOOKUP(A14,Internal_lists_bugs!$A$2:$C$73,3,FALSE())&amp;Char(10) &amp; Char(10) &amp; VLOOKUP(A14,Internal_lists_bugs!$A$2:$Z$73,26,FALSE())),"please select a BUG ID")</f>
        <v>https://bugs.launchpad.net/nova/+bug/1486541
/compute/cells_api.py</v>
      </c>
      <c r="C14" s="78" t="str">
        <f>IFERROR(VLOOKUP(A14,Internal_lists_bugs!$A$2:$X1013,24,FALSE()),"please select a BUG ID")</f>
        <v>https://www.mail-archive.com/openstack-dev@lists.openstack.org/ </v>
      </c>
      <c r="E14" s="82"/>
      <c r="F14" s="80"/>
      <c r="G14" s="16" t="s">
        <v>533</v>
      </c>
      <c r="H14" s="79" t="s">
        <v>536</v>
      </c>
      <c r="I14" s="59" t="s">
        <v>537</v>
      </c>
      <c r="J14" s="81" t="str">
        <f>IFERROR(Hyperlink(VLOOKUP(A14,Internal_lists_bugs!$A$2:$G1013,7,FALSE()),"BIC: "&amp;VLOOKUP(A14,Internal_lists_bugs!$A$2:$G1013,7,FALSE())&amp;CHAR(10)&amp;"Intro.Issues: "&amp;VLOOKUP(A14,Internal_lists_bugs!$A$2:$P1013,16,FALSE())),"please select a BUG ID")</f>
        <v>BIC: https://opendev.org/openstack/nova/commit/f5071bd1ac00ed68102d37c8025
Intro.Issues: icehouse-objects, clean-up-legacy-block-device-mapping </v>
      </c>
    </row>
    <row r="15">
      <c r="A15" s="18" t="s">
        <v>36</v>
      </c>
      <c r="B15" s="77" t="str">
        <f>IFERROR(HYPERLINK(VLOOKUP(A15,Internal_lists_bugs!$A$2:$C$73,3,FALSE()), VLOOKUP(A15,Internal_lists_bugs!$A$2:$C$73,3,FALSE())&amp;Char(10) &amp; Char(10) &amp; VLOOKUP(A15,Internal_lists_bugs!$A$2:$Z$73,26,FALSE())),"please select a BUG ID")</f>
        <v>https://bugs.launchpad.net/nova/+bug/1486541
/compute/cells_api.py</v>
      </c>
      <c r="C15" s="78" t="str">
        <f>IFERROR(VLOOKUP(A15,Internal_lists_bugs!$A$2:$X1013,24,FALSE()),"please select a BUG ID")</f>
        <v>https://www.mail-archive.com/openstack-dev@lists.openstack.org/ </v>
      </c>
      <c r="E15" s="82"/>
      <c r="F15" s="80"/>
      <c r="G15" s="16" t="s">
        <v>538</v>
      </c>
      <c r="H15" s="79" t="s">
        <v>539</v>
      </c>
      <c r="I15" s="59" t="s">
        <v>540</v>
      </c>
      <c r="J15" s="81" t="str">
        <f>IFERROR(Hyperlink(VLOOKUP(A15,Internal_lists_bugs!$A$2:$G1013,7,FALSE()),"BIC: "&amp;VLOOKUP(A15,Internal_lists_bugs!$A$2:$G1013,7,FALSE())&amp;CHAR(10)&amp;"Intro.Issues: "&amp;VLOOKUP(A15,Internal_lists_bugs!$A$2:$P1013,16,FALSE())),"please select a BUG ID")</f>
        <v>BIC: https://opendev.org/openstack/nova/commit/f5071bd1ac00ed68102d37c8025
Intro.Issues: icehouse-objects, clean-up-legacy-block-device-mapping </v>
      </c>
    </row>
    <row r="16">
      <c r="A16" s="18" t="s">
        <v>36</v>
      </c>
      <c r="B16" s="77" t="str">
        <f>IFERROR(HYPERLINK(VLOOKUP(A16,Internal_lists_bugs!$A$2:$C$73,3,FALSE()), VLOOKUP(A16,Internal_lists_bugs!$A$2:$C$73,3,FALSE())&amp;Char(10) &amp; Char(10) &amp; VLOOKUP(A16,Internal_lists_bugs!$A$2:$Z$73,26,FALSE())),"please select a BUG ID")</f>
        <v>https://bugs.launchpad.net/nova/+bug/1486541
/compute/cells_api.py</v>
      </c>
      <c r="C16" s="78" t="str">
        <f>IFERROR(VLOOKUP(A16,Internal_lists_bugs!$A$2:$X1013,24,FALSE()),"please select a BUG ID")</f>
        <v>https://www.mail-archive.com/openstack-dev@lists.openstack.org/ </v>
      </c>
      <c r="E16" s="82"/>
      <c r="F16" s="80"/>
      <c r="G16" s="16" t="s">
        <v>538</v>
      </c>
      <c r="H16" s="79" t="s">
        <v>541</v>
      </c>
      <c r="I16" s="59" t="s">
        <v>542</v>
      </c>
      <c r="J16" s="81" t="str">
        <f>IFERROR(Hyperlink(VLOOKUP(A16,Internal_lists_bugs!$A$2:$G1013,7,FALSE()),"BIC: "&amp;VLOOKUP(A16,Internal_lists_bugs!$A$2:$G1013,7,FALSE())&amp;CHAR(10)&amp;"Intro.Issues: "&amp;VLOOKUP(A16,Internal_lists_bugs!$A$2:$P1013,16,FALSE())),"please select a BUG ID")</f>
        <v>BIC: https://opendev.org/openstack/nova/commit/f5071bd1ac00ed68102d37c8025
Intro.Issues: icehouse-objects, clean-up-legacy-block-device-mapping </v>
      </c>
    </row>
    <row r="17">
      <c r="A17" s="18" t="s">
        <v>36</v>
      </c>
      <c r="B17" s="77" t="str">
        <f>IFERROR(HYPERLINK(VLOOKUP(A17,Internal_lists_bugs!$A$2:$C$73,3,FALSE()), VLOOKUP(A17,Internal_lists_bugs!$A$2:$C$73,3,FALSE())&amp;Char(10) &amp; Char(10) &amp; VLOOKUP(A17,Internal_lists_bugs!$A$2:$Z$73,26,FALSE())),"please select a BUG ID")</f>
        <v>https://bugs.launchpad.net/nova/+bug/1486541
/compute/cells_api.py</v>
      </c>
      <c r="C17" s="78" t="str">
        <f>IFERROR(VLOOKUP(A17,Internal_lists_bugs!$A$2:$X1013,24,FALSE()),"please select a BUG ID")</f>
        <v>https://www.mail-archive.com/openstack-dev@lists.openstack.org/ </v>
      </c>
      <c r="E17" s="82"/>
      <c r="F17" s="80"/>
      <c r="G17" s="16" t="s">
        <v>543</v>
      </c>
      <c r="H17" s="79" t="s">
        <v>541</v>
      </c>
      <c r="I17" s="59" t="s">
        <v>544</v>
      </c>
      <c r="J17" s="81" t="str">
        <f>IFERROR(Hyperlink(VLOOKUP(A17,Internal_lists_bugs!$A$2:$G1013,7,FALSE()),"BIC: "&amp;VLOOKUP(A17,Internal_lists_bugs!$A$2:$G1013,7,FALSE())&amp;CHAR(10)&amp;"Intro.Issues: "&amp;VLOOKUP(A17,Internal_lists_bugs!$A$2:$P1013,16,FALSE())),"please select a BUG ID")</f>
        <v>BIC: https://opendev.org/openstack/nova/commit/f5071bd1ac00ed68102d37c8025
Intro.Issues: icehouse-objects, clean-up-legacy-block-device-mapping </v>
      </c>
    </row>
    <row r="18">
      <c r="A18" s="18" t="s">
        <v>36</v>
      </c>
      <c r="B18" s="77" t="str">
        <f>IFERROR(HYPERLINK(VLOOKUP(A18,Internal_lists_bugs!$A$2:$C$73,3,FALSE()), VLOOKUP(A18,Internal_lists_bugs!$A$2:$C$73,3,FALSE())&amp;Char(10) &amp; Char(10) &amp; VLOOKUP(A18,Internal_lists_bugs!$A$2:$Z$73,26,FALSE())),"please select a BUG ID")</f>
        <v>https://bugs.launchpad.net/nova/+bug/1486541
/compute/cells_api.py</v>
      </c>
      <c r="C18" s="78" t="str">
        <f>IFERROR(VLOOKUP(A18,Internal_lists_bugs!$A$2:$X1013,24,FALSE()),"please select a BUG ID")</f>
        <v>https://www.mail-archive.com/openstack-dev@lists.openstack.org/ </v>
      </c>
      <c r="E18" s="82"/>
      <c r="F18" s="80"/>
      <c r="G18" s="16" t="s">
        <v>545</v>
      </c>
      <c r="H18" s="79" t="s">
        <v>546</v>
      </c>
      <c r="I18" s="59" t="s">
        <v>547</v>
      </c>
      <c r="J18" s="81" t="str">
        <f>IFERROR(Hyperlink(VLOOKUP(A18,Internal_lists_bugs!$A$2:$G1013,7,FALSE()),"BIC: "&amp;VLOOKUP(A18,Internal_lists_bugs!$A$2:$G1013,7,FALSE())&amp;CHAR(10)&amp;"Intro.Issues: "&amp;VLOOKUP(A18,Internal_lists_bugs!$A$2:$P1013,16,FALSE())),"please select a BUG ID")</f>
        <v>BIC: https://opendev.org/openstack/nova/commit/f5071bd1ac00ed68102d37c8025
Intro.Issues: icehouse-objects, clean-up-legacy-block-device-mapping </v>
      </c>
    </row>
    <row r="19">
      <c r="A19" s="57" t="s">
        <v>37</v>
      </c>
      <c r="B19" s="77" t="str">
        <f>IFERROR(HYPERLINK(VLOOKUP(A19,Internal_lists_bugs!$A$2:$C$73,3,FALSE()), VLOOKUP(A19,Internal_lists_bugs!$A$2:$C$73,3,FALSE())&amp;Char(10) &amp; Char(10) &amp; VLOOKUP(A19,Internal_lists_bugs!$A$2:$Z$73,26,FALSE())),"please select a BUG ID")</f>
        <v>https://bugs.launchpad.net/nova/+bug/1314677
/cells/state.py</v>
      </c>
      <c r="C19" s="78" t="str">
        <f>IFERROR(VLOOKUP(A19,Internal_lists_bugs!$A$2:$X1013,24,FALSE()),"please select a BUG ID")</f>
        <v>https://www.mail-archive.com/openstack-dev@lists.openstack.org/ </v>
      </c>
      <c r="D19" s="16" t="s">
        <v>124</v>
      </c>
      <c r="E19" s="82"/>
      <c r="F19" s="80"/>
      <c r="G19" s="16" t="s">
        <v>124</v>
      </c>
      <c r="H19" s="82"/>
      <c r="I19" s="80"/>
      <c r="J19" s="81" t="str">
        <f>IFERROR(Hyperlink(VLOOKUP(A19,Internal_lists_bugs!$A$2:$G1013,7,FALSE()),"BIC: "&amp;VLOOKUP(A19,Internal_lists_bugs!$A$2:$G1013,7,FALSE())&amp;CHAR(10)&amp;"Intro.Issues: "&amp;VLOOKUP(A19,Internal_lists_bugs!$A$2:$P1013,16,FALSE())),"please select a BUG ID")</f>
        <v>BIC: https://opendev.org/openstack/nova/commit/88ab936
Intro.Issues: eliminate-clear-passwords-from-cells-table</v>
      </c>
    </row>
    <row r="20">
      <c r="A20" s="18" t="s">
        <v>38</v>
      </c>
      <c r="B20" s="77" t="str">
        <f>IFERROR(HYPERLINK(VLOOKUP(A20,Internal_lists_bugs!$A$2:$C$73,3,FALSE()), VLOOKUP(A20,Internal_lists_bugs!$A$2:$C$73,3,FALSE())&amp;Char(10) &amp; Char(10) &amp; VLOOKUP(A20,Internal_lists_bugs!$A$2:$Z$73,26,FALSE())),"please select a BUG ID")</f>
        <v>https://bugs.launchpad.net/nova/+bug/1294939
/network/manager.py</v>
      </c>
      <c r="C20" s="78" t="str">
        <f>IFERROR(VLOOKUP(A20,Internal_lists_bugs!$A$2:$X1013,24,FALSE()),"please select a BUG ID")</f>
        <v>https://www.mail-archive.com/openstack-dev@lists.openstack.org/ </v>
      </c>
      <c r="D20" s="16" t="s">
        <v>124</v>
      </c>
      <c r="E20" s="82"/>
      <c r="F20" s="80"/>
      <c r="G20" s="16" t="s">
        <v>548</v>
      </c>
      <c r="H20" s="79" t="s">
        <v>549</v>
      </c>
      <c r="I20" s="59" t="s">
        <v>550</v>
      </c>
      <c r="J20" s="81" t="str">
        <f>IFERROR(Hyperlink(VLOOKUP(A20,Internal_lists_bugs!$A$2:$G1013,7,FALSE()),"BIC: "&amp;VLOOKUP(A20,Internal_lists_bugs!$A$2:$G1013,7,FALSE())&amp;CHAR(10)&amp;"Intro.Issues: "&amp;VLOOKUP(A20,Internal_lists_bugs!$A$2:$P1013,16,FALSE())),"please select a BUG ID")</f>
        <v>BIC: https://opendev.org/openstack/nova/commit/542958fac7445a14dea
Intro.Issues: nova-network-objects</v>
      </c>
    </row>
    <row r="21" ht="39.0" customHeight="1">
      <c r="A21" s="18" t="s">
        <v>38</v>
      </c>
      <c r="B21" s="77" t="str">
        <f>IFERROR(HYPERLINK(VLOOKUP(A21,Internal_lists_bugs!$A$2:$C$73,3,FALSE()), VLOOKUP(A21,Internal_lists_bugs!$A$2:$C$73,3,FALSE())&amp;Char(10) &amp; Char(10) &amp; VLOOKUP(A21,Internal_lists_bugs!$A$2:$Z$73,26,FALSE())),"please select a BUG ID")</f>
        <v>https://bugs.launchpad.net/nova/+bug/1294939
/network/manager.py</v>
      </c>
      <c r="C21" s="78" t="str">
        <f>IFERROR(VLOOKUP(A21,Internal_lists_bugs!$A$2:$X1013,24,FALSE()),"please select a BUG ID")</f>
        <v>https://www.mail-archive.com/openstack-dev@lists.openstack.org/ </v>
      </c>
      <c r="E21" s="82"/>
      <c r="F21" s="80"/>
      <c r="G21" s="16" t="s">
        <v>551</v>
      </c>
      <c r="H21" s="79" t="s">
        <v>552</v>
      </c>
      <c r="I21" s="59"/>
      <c r="J21" s="81" t="str">
        <f>IFERROR(Hyperlink(VLOOKUP(A21,Internal_lists_bugs!$A$2:$G1013,7,FALSE()),"BIC: "&amp;VLOOKUP(A21,Internal_lists_bugs!$A$2:$G1013,7,FALSE())&amp;CHAR(10)&amp;"Intro.Issues: "&amp;VLOOKUP(A21,Internal_lists_bugs!$A$2:$P1013,16,FALSE())),"please select a BUG ID")</f>
        <v>BIC: https://opendev.org/openstack/nova/commit/542958fac7445a14dea
Intro.Issues: nova-network-objects</v>
      </c>
    </row>
    <row r="22" ht="39.0" customHeight="1">
      <c r="A22" s="18" t="s">
        <v>38</v>
      </c>
      <c r="B22" s="77" t="str">
        <f>IFERROR(HYPERLINK(VLOOKUP(A22,Internal_lists_bugs!$A$2:$C$73,3,FALSE()), VLOOKUP(A22,Internal_lists_bugs!$A$2:$C$73,3,FALSE())&amp;Char(10) &amp; Char(10) &amp; VLOOKUP(A22,Internal_lists_bugs!$A$2:$Z$73,26,FALSE())),"please select a BUG ID")</f>
        <v>https://bugs.launchpad.net/nova/+bug/1294939
/network/manager.py</v>
      </c>
      <c r="C22" s="78" t="str">
        <f>IFERROR(VLOOKUP(A22,Internal_lists_bugs!$A$2:$X1013,24,FALSE()),"please select a BUG ID")</f>
        <v>https://www.mail-archive.com/openstack-dev@lists.openstack.org/ </v>
      </c>
      <c r="E22" s="82"/>
      <c r="F22" s="80"/>
      <c r="G22" s="16" t="s">
        <v>553</v>
      </c>
      <c r="H22" s="79" t="s">
        <v>554</v>
      </c>
      <c r="I22" s="59" t="s">
        <v>555</v>
      </c>
      <c r="J22" s="81" t="str">
        <f>IFERROR(Hyperlink(VLOOKUP(A22,Internal_lists_bugs!$A$2:$G1013,7,FALSE()),"BIC: "&amp;VLOOKUP(A22,Internal_lists_bugs!$A$2:$G1013,7,FALSE())&amp;CHAR(10)&amp;"Intro.Issues: "&amp;VLOOKUP(A22,Internal_lists_bugs!$A$2:$P1013,16,FALSE())),"please select a BUG ID")</f>
        <v>BIC: https://opendev.org/openstack/nova/commit/542958fac7445a14dea
Intro.Issues: nova-network-objects</v>
      </c>
    </row>
    <row r="23" ht="39.0" customHeight="1">
      <c r="A23" s="18" t="s">
        <v>38</v>
      </c>
      <c r="B23" s="77" t="str">
        <f>IFERROR(HYPERLINK(VLOOKUP(A23,Internal_lists_bugs!$A$2:$C$73,3,FALSE()), VLOOKUP(A23,Internal_lists_bugs!$A$2:$C$73,3,FALSE())&amp;Char(10) &amp; Char(10) &amp; VLOOKUP(A23,Internal_lists_bugs!$A$2:$Z$73,26,FALSE())),"please select a BUG ID")</f>
        <v>https://bugs.launchpad.net/nova/+bug/1294939
/network/manager.py</v>
      </c>
      <c r="C23" s="78" t="str">
        <f>IFERROR(VLOOKUP(A23,Internal_lists_bugs!$A$2:$X1013,24,FALSE()),"please select a BUG ID")</f>
        <v>https://www.mail-archive.com/openstack-dev@lists.openstack.org/ </v>
      </c>
      <c r="E23" s="82"/>
      <c r="F23" s="80"/>
      <c r="G23" s="16" t="s">
        <v>556</v>
      </c>
      <c r="H23" s="79" t="s">
        <v>554</v>
      </c>
      <c r="I23" s="59" t="s">
        <v>557</v>
      </c>
      <c r="J23" s="81" t="str">
        <f>IFERROR(Hyperlink(VLOOKUP(A23,Internal_lists_bugs!$A$2:$G1013,7,FALSE()),"BIC: "&amp;VLOOKUP(A23,Internal_lists_bugs!$A$2:$G1013,7,FALSE())&amp;CHAR(10)&amp;"Intro.Issues: "&amp;VLOOKUP(A23,Internal_lists_bugs!$A$2:$P1013,16,FALSE())),"please select a BUG ID")</f>
        <v>BIC: https://opendev.org/openstack/nova/commit/542958fac7445a14dea
Intro.Issues: nova-network-objects</v>
      </c>
    </row>
    <row r="24" ht="39.0" customHeight="1">
      <c r="A24" s="18" t="s">
        <v>38</v>
      </c>
      <c r="B24" s="77" t="str">
        <f>IFERROR(HYPERLINK(VLOOKUP(A24,Internal_lists_bugs!$A$2:$C$73,3,FALSE()), VLOOKUP(A24,Internal_lists_bugs!$A$2:$C$73,3,FALSE())&amp;Char(10) &amp; Char(10) &amp; VLOOKUP(A24,Internal_lists_bugs!$A$2:$Z$73,26,FALSE())),"please select a BUG ID")</f>
        <v>https://bugs.launchpad.net/nova/+bug/1294939
/network/manager.py</v>
      </c>
      <c r="C24" s="78" t="str">
        <f>IFERROR(VLOOKUP(A24,Internal_lists_bugs!$A$2:$X1013,24,FALSE()),"please select a BUG ID")</f>
        <v>https://www.mail-archive.com/openstack-dev@lists.openstack.org/ </v>
      </c>
      <c r="E24" s="82"/>
      <c r="F24" s="80"/>
      <c r="G24" s="16" t="s">
        <v>556</v>
      </c>
      <c r="H24" s="79" t="s">
        <v>558</v>
      </c>
      <c r="I24" s="59" t="s">
        <v>559</v>
      </c>
      <c r="J24" s="81" t="str">
        <f>IFERROR(Hyperlink(VLOOKUP(A24,Internal_lists_bugs!$A$2:$G1013,7,FALSE()),"BIC: "&amp;VLOOKUP(A24,Internal_lists_bugs!$A$2:$G1013,7,FALSE())&amp;CHAR(10)&amp;"Intro.Issues: "&amp;VLOOKUP(A24,Internal_lists_bugs!$A$2:$P1013,16,FALSE())),"please select a BUG ID")</f>
        <v>BIC: https://opendev.org/openstack/nova/commit/542958fac7445a14dea
Intro.Issues: nova-network-objects</v>
      </c>
    </row>
    <row r="25" ht="39.0" customHeight="1">
      <c r="A25" s="18" t="s">
        <v>38</v>
      </c>
      <c r="B25" s="77" t="str">
        <f>IFERROR(HYPERLINK(VLOOKUP(A25,Internal_lists_bugs!$A$2:$C$73,3,FALSE()), VLOOKUP(A25,Internal_lists_bugs!$A$2:$C$73,3,FALSE())&amp;Char(10) &amp; Char(10) &amp; VLOOKUP(A25,Internal_lists_bugs!$A$2:$Z$73,26,FALSE())),"please select a BUG ID")</f>
        <v>https://bugs.launchpad.net/nova/+bug/1294939
/network/manager.py</v>
      </c>
      <c r="C25" s="78" t="str">
        <f>IFERROR(VLOOKUP(A25,Internal_lists_bugs!$A$2:$X1013,24,FALSE()),"please select a BUG ID")</f>
        <v>https://www.mail-archive.com/openstack-dev@lists.openstack.org/ </v>
      </c>
      <c r="E25" s="82"/>
      <c r="F25" s="80"/>
      <c r="G25" s="16" t="s">
        <v>556</v>
      </c>
      <c r="H25" s="79" t="s">
        <v>560</v>
      </c>
      <c r="I25" s="59" t="s">
        <v>561</v>
      </c>
      <c r="J25" s="81" t="str">
        <f>IFERROR(Hyperlink(VLOOKUP(A25,Internal_lists_bugs!$A$2:$G1013,7,FALSE()),"BIC: "&amp;VLOOKUP(A25,Internal_lists_bugs!$A$2:$G1013,7,FALSE())&amp;CHAR(10)&amp;"Intro.Issues: "&amp;VLOOKUP(A25,Internal_lists_bugs!$A$2:$P1013,16,FALSE())),"please select a BUG ID")</f>
        <v>BIC: https://opendev.org/openstack/nova/commit/542958fac7445a14dea
Intro.Issues: nova-network-objects</v>
      </c>
    </row>
    <row r="26" ht="39.0" customHeight="1">
      <c r="A26" s="18" t="s">
        <v>38</v>
      </c>
      <c r="B26" s="77" t="str">
        <f>IFERROR(HYPERLINK(VLOOKUP(A26,Internal_lists_bugs!$A$2:$C$73,3,FALSE()), VLOOKUP(A26,Internal_lists_bugs!$A$2:$C$73,3,FALSE())&amp;Char(10) &amp; Char(10) &amp; VLOOKUP(A26,Internal_lists_bugs!$A$2:$Z$73,26,FALSE())),"please select a BUG ID")</f>
        <v>https://bugs.launchpad.net/nova/+bug/1294939
/network/manager.py</v>
      </c>
      <c r="C26" s="78" t="str">
        <f>IFERROR(VLOOKUP(A26,Internal_lists_bugs!$A$2:$X1013,24,FALSE()),"please select a BUG ID")</f>
        <v>https://www.mail-archive.com/openstack-dev@lists.openstack.org/ </v>
      </c>
      <c r="E26" s="82"/>
      <c r="F26" s="80"/>
      <c r="G26" s="16" t="s">
        <v>556</v>
      </c>
      <c r="H26" s="79" t="s">
        <v>562</v>
      </c>
      <c r="I26" s="59" t="s">
        <v>563</v>
      </c>
      <c r="J26" s="81" t="str">
        <f>IFERROR(Hyperlink(VLOOKUP(A26,Internal_lists_bugs!$A$2:$G1013,7,FALSE()),"BIC: "&amp;VLOOKUP(A26,Internal_lists_bugs!$A$2:$G1013,7,FALSE())&amp;CHAR(10)&amp;"Intro.Issues: "&amp;VLOOKUP(A26,Internal_lists_bugs!$A$2:$P1013,16,FALSE())),"please select a BUG ID")</f>
        <v>BIC: https://opendev.org/openstack/nova/commit/542958fac7445a14dea
Intro.Issues: nova-network-objects</v>
      </c>
    </row>
    <row r="27" ht="39.0" customHeight="1">
      <c r="A27" s="18" t="s">
        <v>38</v>
      </c>
      <c r="B27" s="77" t="str">
        <f>IFERROR(HYPERLINK(VLOOKUP(A27,Internal_lists_bugs!$A$2:$C$73,3,FALSE()), VLOOKUP(A27,Internal_lists_bugs!$A$2:$C$73,3,FALSE())&amp;Char(10) &amp; Char(10) &amp; VLOOKUP(A27,Internal_lists_bugs!$A$2:$Z$73,26,FALSE())),"please select a BUG ID")</f>
        <v>https://bugs.launchpad.net/nova/+bug/1294939
/network/manager.py</v>
      </c>
      <c r="C27" s="78" t="str">
        <f>IFERROR(VLOOKUP(A27,Internal_lists_bugs!$A$2:$X1013,24,FALSE()),"please select a BUG ID")</f>
        <v>https://www.mail-archive.com/openstack-dev@lists.openstack.org/ </v>
      </c>
      <c r="E27" s="82"/>
      <c r="F27" s="80"/>
      <c r="G27" s="16" t="s">
        <v>556</v>
      </c>
      <c r="H27" s="79" t="s">
        <v>564</v>
      </c>
      <c r="I27" s="59" t="s">
        <v>565</v>
      </c>
      <c r="J27" s="81" t="str">
        <f>IFERROR(Hyperlink(VLOOKUP(A27,Internal_lists_bugs!$A$2:$G1013,7,FALSE()),"BIC: "&amp;VLOOKUP(A27,Internal_lists_bugs!$A$2:$G1013,7,FALSE())&amp;CHAR(10)&amp;"Intro.Issues: "&amp;VLOOKUP(A27,Internal_lists_bugs!$A$2:$P1013,16,FALSE())),"please select a BUG ID")</f>
        <v>BIC: https://opendev.org/openstack/nova/commit/542958fac7445a14dea
Intro.Issues: nova-network-objects</v>
      </c>
    </row>
    <row r="28" ht="39.0" customHeight="1">
      <c r="A28" s="18" t="s">
        <v>38</v>
      </c>
      <c r="B28" s="77" t="str">
        <f>IFERROR(HYPERLINK(VLOOKUP(A28,Internal_lists_bugs!$A$2:$C$73,3,FALSE()), VLOOKUP(A28,Internal_lists_bugs!$A$2:$C$73,3,FALSE())&amp;Char(10) &amp; Char(10) &amp; VLOOKUP(A28,Internal_lists_bugs!$A$2:$Z$73,26,FALSE())),"please select a BUG ID")</f>
        <v>https://bugs.launchpad.net/nova/+bug/1294939
/network/manager.py</v>
      </c>
      <c r="C28" s="78" t="str">
        <f>IFERROR(VLOOKUP(A28,Internal_lists_bugs!$A$2:$X1013,24,FALSE()),"please select a BUG ID")</f>
        <v>https://www.mail-archive.com/openstack-dev@lists.openstack.org/ </v>
      </c>
      <c r="E28" s="82"/>
      <c r="F28" s="80"/>
      <c r="G28" s="16" t="s">
        <v>566</v>
      </c>
      <c r="H28" s="79" t="s">
        <v>567</v>
      </c>
      <c r="I28" s="59" t="s">
        <v>568</v>
      </c>
      <c r="J28" s="81" t="str">
        <f>IFERROR(Hyperlink(VLOOKUP(A28,Internal_lists_bugs!$A$2:$G1013,7,FALSE()),"BIC: "&amp;VLOOKUP(A28,Internal_lists_bugs!$A$2:$G1013,7,FALSE())&amp;CHAR(10)&amp;"Intro.Issues: "&amp;VLOOKUP(A28,Internal_lists_bugs!$A$2:$P1013,16,FALSE())),"please select a BUG ID")</f>
        <v>BIC: https://opendev.org/openstack/nova/commit/542958fac7445a14dea
Intro.Issues: nova-network-objects</v>
      </c>
    </row>
    <row r="29" ht="39.0" customHeight="1">
      <c r="A29" s="18" t="s">
        <v>38</v>
      </c>
      <c r="B29" s="77" t="str">
        <f>IFERROR(HYPERLINK(VLOOKUP(A29,Internal_lists_bugs!$A$2:$C$73,3,FALSE()), VLOOKUP(A29,Internal_lists_bugs!$A$2:$C$73,3,FALSE())&amp;Char(10) &amp; Char(10) &amp; VLOOKUP(A29,Internal_lists_bugs!$A$2:$Z$73,26,FALSE())),"please select a BUG ID")</f>
        <v>https://bugs.launchpad.net/nova/+bug/1294939
/network/manager.py</v>
      </c>
      <c r="C29" s="78" t="str">
        <f>IFERROR(VLOOKUP(A29,Internal_lists_bugs!$A$2:$X1013,24,FALSE()),"please select a BUG ID")</f>
        <v>https://www.mail-archive.com/openstack-dev@lists.openstack.org/ </v>
      </c>
      <c r="E29" s="82"/>
      <c r="F29" s="80"/>
      <c r="G29" s="16" t="s">
        <v>566</v>
      </c>
      <c r="H29" s="79" t="s">
        <v>569</v>
      </c>
      <c r="I29" s="59" t="s">
        <v>570</v>
      </c>
      <c r="J29" s="81" t="str">
        <f>IFERROR(Hyperlink(VLOOKUP(A29,Internal_lists_bugs!$A$2:$G1013,7,FALSE()),"BIC: "&amp;VLOOKUP(A29,Internal_lists_bugs!$A$2:$G1013,7,FALSE())&amp;CHAR(10)&amp;"Intro.Issues: "&amp;VLOOKUP(A29,Internal_lists_bugs!$A$2:$P1013,16,FALSE())),"please select a BUG ID")</f>
        <v>BIC: https://opendev.org/openstack/nova/commit/542958fac7445a14dea
Intro.Issues: nova-network-objects</v>
      </c>
    </row>
    <row r="30" ht="39.0" customHeight="1">
      <c r="A30" s="18" t="s">
        <v>38</v>
      </c>
      <c r="B30" s="77" t="str">
        <f>IFERROR(HYPERLINK(VLOOKUP(A30,Internal_lists_bugs!$A$2:$C$73,3,FALSE()), VLOOKUP(A30,Internal_lists_bugs!$A$2:$C$73,3,FALSE())&amp;Char(10) &amp; Char(10) &amp; VLOOKUP(A30,Internal_lists_bugs!$A$2:$Z$73,26,FALSE())),"please select a BUG ID")</f>
        <v>https://bugs.launchpad.net/nova/+bug/1294939
/network/manager.py</v>
      </c>
      <c r="C30" s="78" t="str">
        <f>IFERROR(VLOOKUP(A30,Internal_lists_bugs!$A$2:$X1013,24,FALSE()),"please select a BUG ID")</f>
        <v>https://www.mail-archive.com/openstack-dev@lists.openstack.org/ </v>
      </c>
      <c r="E30" s="82"/>
      <c r="F30" s="80"/>
      <c r="G30" s="16" t="s">
        <v>571</v>
      </c>
      <c r="H30" s="79" t="s">
        <v>552</v>
      </c>
      <c r="I30" s="59"/>
      <c r="J30" s="81" t="str">
        <f>IFERROR(Hyperlink(VLOOKUP(A30,Internal_lists_bugs!$A$2:$G1013,7,FALSE()),"BIC: "&amp;VLOOKUP(A30,Internal_lists_bugs!$A$2:$G1013,7,FALSE())&amp;CHAR(10)&amp;"Intro.Issues: "&amp;VLOOKUP(A30,Internal_lists_bugs!$A$2:$P1013,16,FALSE())),"please select a BUG ID")</f>
        <v>BIC: https://opendev.org/openstack/nova/commit/542958fac7445a14dea
Intro.Issues: nova-network-objects</v>
      </c>
    </row>
    <row r="31" ht="39.0" customHeight="1">
      <c r="A31" s="18" t="s">
        <v>38</v>
      </c>
      <c r="B31" s="77" t="str">
        <f>IFERROR(HYPERLINK(VLOOKUP(A31,Internal_lists_bugs!$A$2:$C$73,3,FALSE()), VLOOKUP(A31,Internal_lists_bugs!$A$2:$C$73,3,FALSE())&amp;Char(10) &amp; Char(10) &amp; VLOOKUP(A31,Internal_lists_bugs!$A$2:$Z$73,26,FALSE())),"please select a BUG ID")</f>
        <v>https://bugs.launchpad.net/nova/+bug/1294939
/network/manager.py</v>
      </c>
      <c r="C31" s="78" t="str">
        <f>IFERROR(VLOOKUP(A31,Internal_lists_bugs!$A$2:$X1013,24,FALSE()),"please select a BUG ID")</f>
        <v>https://www.mail-archive.com/openstack-dev@lists.openstack.org/ </v>
      </c>
      <c r="E31" s="82"/>
      <c r="F31" s="80"/>
      <c r="G31" s="16" t="s">
        <v>572</v>
      </c>
      <c r="H31" s="79" t="s">
        <v>573</v>
      </c>
      <c r="I31" s="59" t="s">
        <v>574</v>
      </c>
      <c r="J31" s="81" t="str">
        <f>IFERROR(Hyperlink(VLOOKUP(A31,Internal_lists_bugs!$A$2:$G1013,7,FALSE()),"BIC: "&amp;VLOOKUP(A31,Internal_lists_bugs!$A$2:$G1013,7,FALSE())&amp;CHAR(10)&amp;"Intro.Issues: "&amp;VLOOKUP(A31,Internal_lists_bugs!$A$2:$P1013,16,FALSE())),"please select a BUG ID")</f>
        <v>BIC: https://opendev.org/openstack/nova/commit/542958fac7445a14dea
Intro.Issues: nova-network-objects</v>
      </c>
    </row>
    <row r="32" ht="39.0" customHeight="1">
      <c r="A32" s="18" t="s">
        <v>38</v>
      </c>
      <c r="B32" s="77" t="str">
        <f>IFERROR(HYPERLINK(VLOOKUP(A32,Internal_lists_bugs!$A$2:$C$73,3,FALSE()), VLOOKUP(A32,Internal_lists_bugs!$A$2:$C$73,3,FALSE())&amp;Char(10) &amp; Char(10) &amp; VLOOKUP(A32,Internal_lists_bugs!$A$2:$Z$73,26,FALSE())),"please select a BUG ID")</f>
        <v>https://bugs.launchpad.net/nova/+bug/1294939
/network/manager.py</v>
      </c>
      <c r="C32" s="78" t="str">
        <f>IFERROR(VLOOKUP(A32,Internal_lists_bugs!$A$2:$X1013,24,FALSE()),"please select a BUG ID")</f>
        <v>https://www.mail-archive.com/openstack-dev@lists.openstack.org/ </v>
      </c>
      <c r="E32" s="82"/>
      <c r="F32" s="80"/>
      <c r="G32" s="16" t="s">
        <v>575</v>
      </c>
      <c r="H32" s="79" t="s">
        <v>576</v>
      </c>
      <c r="I32" s="59" t="s">
        <v>577</v>
      </c>
      <c r="J32" s="81" t="str">
        <f>IFERROR(Hyperlink(VLOOKUP(A32,Internal_lists_bugs!$A$2:$G1013,7,FALSE()),"BIC: "&amp;VLOOKUP(A32,Internal_lists_bugs!$A$2:$G1013,7,FALSE())&amp;CHAR(10)&amp;"Intro.Issues: "&amp;VLOOKUP(A32,Internal_lists_bugs!$A$2:$P1013,16,FALSE())),"please select a BUG ID")</f>
        <v>BIC: https://opendev.org/openstack/nova/commit/542958fac7445a14dea
Intro.Issues: nova-network-objects</v>
      </c>
    </row>
    <row r="33">
      <c r="A33" s="18" t="s">
        <v>38</v>
      </c>
      <c r="B33" s="77" t="str">
        <f>IFERROR(HYPERLINK(VLOOKUP(A33,Internal_lists_bugs!$A$2:$C$73,3,FALSE()), VLOOKUP(A33,Internal_lists_bugs!$A$2:$C$73,3,FALSE())&amp;Char(10) &amp; Char(10) &amp; VLOOKUP(A33,Internal_lists_bugs!$A$2:$Z$73,26,FALSE())),"please select a BUG ID")</f>
        <v>https://bugs.launchpad.net/nova/+bug/1294939
/network/manager.py</v>
      </c>
      <c r="C33" s="78" t="str">
        <f>IFERROR(VLOOKUP(A33,Internal_lists_bugs!$A$2:$X1013,24,FALSE()),"please select a BUG ID")</f>
        <v>https://www.mail-archive.com/openstack-dev@lists.openstack.org/ </v>
      </c>
      <c r="E33" s="82"/>
      <c r="F33" s="80"/>
      <c r="G33" s="16" t="s">
        <v>575</v>
      </c>
      <c r="H33" s="79" t="s">
        <v>578</v>
      </c>
      <c r="I33" s="59" t="s">
        <v>579</v>
      </c>
      <c r="J33" s="81" t="str">
        <f>IFERROR(Hyperlink(VLOOKUP(A33,Internal_lists_bugs!$A$2:$G1013,7,FALSE()),"BIC: "&amp;VLOOKUP(A33,Internal_lists_bugs!$A$2:$G1013,7,FALSE())&amp;CHAR(10)&amp;"Intro.Issues: "&amp;VLOOKUP(A33,Internal_lists_bugs!$A$2:$P1013,16,FALSE())),"please select a BUG ID")</f>
        <v>BIC: https://opendev.org/openstack/nova/commit/542958fac7445a14dea
Intro.Issues: nova-network-objects</v>
      </c>
    </row>
    <row r="34">
      <c r="A34" s="18" t="s">
        <v>38</v>
      </c>
      <c r="B34" s="77" t="str">
        <f>IFERROR(HYPERLINK(VLOOKUP(A34,Internal_lists_bugs!$A$2:$C$73,3,FALSE()), VLOOKUP(A34,Internal_lists_bugs!$A$2:$C$73,3,FALSE())&amp;Char(10) &amp; Char(10) &amp; VLOOKUP(A34,Internal_lists_bugs!$A$2:$Z$73,26,FALSE())),"please select a BUG ID")</f>
        <v>https://bugs.launchpad.net/nova/+bug/1294939
/network/manager.py</v>
      </c>
      <c r="C34" s="78" t="str">
        <f>IFERROR(VLOOKUP(A34,Internal_lists_bugs!$A$2:$X1013,24,FALSE()),"please select a BUG ID")</f>
        <v>https://www.mail-archive.com/openstack-dev@lists.openstack.org/ </v>
      </c>
      <c r="E34" s="82"/>
      <c r="F34" s="80"/>
      <c r="G34" s="16" t="s">
        <v>575</v>
      </c>
      <c r="H34" s="79" t="s">
        <v>580</v>
      </c>
      <c r="I34" s="59" t="s">
        <v>581</v>
      </c>
      <c r="J34" s="81" t="str">
        <f>IFERROR(Hyperlink(VLOOKUP(A34,Internal_lists_bugs!$A$2:$G1013,7,FALSE()),"BIC: "&amp;VLOOKUP(A34,Internal_lists_bugs!$A$2:$G1013,7,FALSE())&amp;CHAR(10)&amp;"Intro.Issues: "&amp;VLOOKUP(A34,Internal_lists_bugs!$A$2:$P1013,16,FALSE())),"please select a BUG ID")</f>
        <v>BIC: https://opendev.org/openstack/nova/commit/542958fac7445a14dea
Intro.Issues: nova-network-objects</v>
      </c>
    </row>
    <row r="35">
      <c r="A35" s="18" t="s">
        <v>38</v>
      </c>
      <c r="B35" s="77" t="str">
        <f>IFERROR(HYPERLINK(VLOOKUP(A35,Internal_lists_bugs!$A$2:$C$73,3,FALSE()), VLOOKUP(A35,Internal_lists_bugs!$A$2:$C$73,3,FALSE())&amp;Char(10) &amp; Char(10) &amp; VLOOKUP(A35,Internal_lists_bugs!$A$2:$Z$73,26,FALSE())),"please select a BUG ID")</f>
        <v>https://bugs.launchpad.net/nova/+bug/1294939
/network/manager.py</v>
      </c>
      <c r="C35" s="78" t="str">
        <f>IFERROR(VLOOKUP(A35,Internal_lists_bugs!$A$2:$X1013,24,FALSE()),"please select a BUG ID")</f>
        <v>https://www.mail-archive.com/openstack-dev@lists.openstack.org/ </v>
      </c>
      <c r="E35" s="82"/>
      <c r="F35" s="80"/>
      <c r="G35" s="16" t="s">
        <v>582</v>
      </c>
      <c r="H35" s="79" t="s">
        <v>531</v>
      </c>
      <c r="I35" s="59" t="s">
        <v>583</v>
      </c>
      <c r="J35" s="81" t="str">
        <f>IFERROR(Hyperlink(VLOOKUP(A35,Internal_lists_bugs!$A$2:$G1013,7,FALSE()),"BIC: "&amp;VLOOKUP(A35,Internal_lists_bugs!$A$2:$G1013,7,FALSE())&amp;CHAR(10)&amp;"Intro.Issues: "&amp;VLOOKUP(A35,Internal_lists_bugs!$A$2:$P1013,16,FALSE())),"please select a BUG ID")</f>
        <v>BIC: https://opendev.org/openstack/nova/commit/542958fac7445a14dea
Intro.Issues: nova-network-objects</v>
      </c>
    </row>
    <row r="36">
      <c r="A36" s="18" t="s">
        <v>38</v>
      </c>
      <c r="B36" s="77" t="str">
        <f>IFERROR(HYPERLINK(VLOOKUP(A36,Internal_lists_bugs!$A$2:$C$73,3,FALSE()), VLOOKUP(A36,Internal_lists_bugs!$A$2:$C$73,3,FALSE())&amp;Char(10) &amp; Char(10) &amp; VLOOKUP(A36,Internal_lists_bugs!$A$2:$Z$73,26,FALSE())),"please select a BUG ID")</f>
        <v>https://bugs.launchpad.net/nova/+bug/1294939
/network/manager.py</v>
      </c>
      <c r="C36" s="78" t="str">
        <f>IFERROR(VLOOKUP(A36,Internal_lists_bugs!$A$2:$X1013,24,FALSE()),"please select a BUG ID")</f>
        <v>https://www.mail-archive.com/openstack-dev@lists.openstack.org/ </v>
      </c>
      <c r="E36" s="82"/>
      <c r="F36" s="80"/>
      <c r="G36" s="16" t="s">
        <v>584</v>
      </c>
      <c r="H36" s="79" t="s">
        <v>585</v>
      </c>
      <c r="I36" s="59" t="s">
        <v>586</v>
      </c>
      <c r="J36" s="81" t="str">
        <f>IFERROR(Hyperlink(VLOOKUP(A36,Internal_lists_bugs!$A$2:$G1013,7,FALSE()),"BIC: "&amp;VLOOKUP(A36,Internal_lists_bugs!$A$2:$G1013,7,FALSE())&amp;CHAR(10)&amp;"Intro.Issues: "&amp;VLOOKUP(A36,Internal_lists_bugs!$A$2:$P1013,16,FALSE())),"please select a BUG ID")</f>
        <v>BIC: https://opendev.org/openstack/nova/commit/542958fac7445a14dea
Intro.Issues: nova-network-objects</v>
      </c>
    </row>
    <row r="37">
      <c r="A37" s="18" t="s">
        <v>38</v>
      </c>
      <c r="B37" s="77" t="str">
        <f>IFERROR(HYPERLINK(VLOOKUP(A37,Internal_lists_bugs!$A$2:$C$73,3,FALSE()), VLOOKUP(A37,Internal_lists_bugs!$A$2:$C$73,3,FALSE())&amp;Char(10) &amp; Char(10) &amp; VLOOKUP(A37,Internal_lists_bugs!$A$2:$Z$73,26,FALSE())),"please select a BUG ID")</f>
        <v>https://bugs.launchpad.net/nova/+bug/1294939
/network/manager.py</v>
      </c>
      <c r="C37" s="78" t="str">
        <f>IFERROR(VLOOKUP(A37,Internal_lists_bugs!$A$2:$X1013,24,FALSE()),"please select a BUG ID")</f>
        <v>https://www.mail-archive.com/openstack-dev@lists.openstack.org/ </v>
      </c>
      <c r="E37" s="82"/>
      <c r="F37" s="80"/>
      <c r="G37" s="16" t="s">
        <v>584</v>
      </c>
      <c r="H37" s="79" t="s">
        <v>587</v>
      </c>
      <c r="I37" s="59" t="s">
        <v>588</v>
      </c>
      <c r="J37" s="81" t="str">
        <f>IFERROR(Hyperlink(VLOOKUP(A37,Internal_lists_bugs!$A$2:$G1013,7,FALSE()),"BIC: "&amp;VLOOKUP(A37,Internal_lists_bugs!$A$2:$G1013,7,FALSE())&amp;CHAR(10)&amp;"Intro.Issues: "&amp;VLOOKUP(A37,Internal_lists_bugs!$A$2:$P1013,16,FALSE())),"please select a BUG ID")</f>
        <v>BIC: https://opendev.org/openstack/nova/commit/542958fac7445a14dea
Intro.Issues: nova-network-objects</v>
      </c>
    </row>
    <row r="38">
      <c r="A38" s="18" t="s">
        <v>38</v>
      </c>
      <c r="B38" s="77" t="str">
        <f>IFERROR(HYPERLINK(VLOOKUP(A38,Internal_lists_bugs!$A$2:$C$73,3,FALSE()), VLOOKUP(A38,Internal_lists_bugs!$A$2:$C$73,3,FALSE())&amp;Char(10) &amp; Char(10) &amp; VLOOKUP(A38,Internal_lists_bugs!$A$2:$Z$73,26,FALSE())),"please select a BUG ID")</f>
        <v>https://bugs.launchpad.net/nova/+bug/1294939
/network/manager.py</v>
      </c>
      <c r="C38" s="78" t="str">
        <f>IFERROR(VLOOKUP(A38,Internal_lists_bugs!$A$2:$X1013,24,FALSE()),"please select a BUG ID")</f>
        <v>https://www.mail-archive.com/openstack-dev@lists.openstack.org/ </v>
      </c>
      <c r="E38" s="82"/>
      <c r="F38" s="80"/>
      <c r="G38" s="16" t="s">
        <v>584</v>
      </c>
      <c r="H38" s="79" t="s">
        <v>589</v>
      </c>
      <c r="I38" s="59" t="s">
        <v>590</v>
      </c>
      <c r="J38" s="81" t="str">
        <f>IFERROR(Hyperlink(VLOOKUP(A38,Internal_lists_bugs!$A$2:$G1013,7,FALSE()),"BIC: "&amp;VLOOKUP(A38,Internal_lists_bugs!$A$2:$G1013,7,FALSE())&amp;CHAR(10)&amp;"Intro.Issues: "&amp;VLOOKUP(A38,Internal_lists_bugs!$A$2:$P1013,16,FALSE())),"please select a BUG ID")</f>
        <v>BIC: https://opendev.org/openstack/nova/commit/542958fac7445a14dea
Intro.Issues: nova-network-objects</v>
      </c>
    </row>
    <row r="39">
      <c r="A39" s="18" t="s">
        <v>38</v>
      </c>
      <c r="B39" s="77" t="str">
        <f>IFERROR(HYPERLINK(VLOOKUP(A39,Internal_lists_bugs!$A$2:$C$73,3,FALSE()), VLOOKUP(A39,Internal_lists_bugs!$A$2:$C$73,3,FALSE())&amp;Char(10) &amp; Char(10) &amp; VLOOKUP(A39,Internal_lists_bugs!$A$2:$Z$73,26,FALSE())),"please select a BUG ID")</f>
        <v>https://bugs.launchpad.net/nova/+bug/1294939
/network/manager.py</v>
      </c>
      <c r="C39" s="78" t="str">
        <f>IFERROR(VLOOKUP(A39,Internal_lists_bugs!$A$2:$X1013,24,FALSE()),"please select a BUG ID")</f>
        <v>https://www.mail-archive.com/openstack-dev@lists.openstack.org/ </v>
      </c>
      <c r="E39" s="82"/>
      <c r="F39" s="80"/>
      <c r="G39" s="16" t="s">
        <v>584</v>
      </c>
      <c r="H39" s="79" t="s">
        <v>591</v>
      </c>
      <c r="I39" s="59" t="s">
        <v>592</v>
      </c>
      <c r="J39" s="81" t="str">
        <f>IFERROR(Hyperlink(VLOOKUP(A39,Internal_lists_bugs!$A$2:$G1013,7,FALSE()),"BIC: "&amp;VLOOKUP(A39,Internal_lists_bugs!$A$2:$G1013,7,FALSE())&amp;CHAR(10)&amp;"Intro.Issues: "&amp;VLOOKUP(A39,Internal_lists_bugs!$A$2:$P1013,16,FALSE())),"please select a BUG ID")</f>
        <v>BIC: https://opendev.org/openstack/nova/commit/542958fac7445a14dea
Intro.Issues: nova-network-objects</v>
      </c>
    </row>
    <row r="40">
      <c r="A40" s="18" t="s">
        <v>39</v>
      </c>
      <c r="B40" s="77" t="str">
        <f>IFERROR(HYPERLINK(VLOOKUP(A40,Internal_lists_bugs!$A$2:$C$73,3,FALSE()), VLOOKUP(A40,Internal_lists_bugs!$A$2:$C$73,3,FALSE())&amp;Char(10) &amp; Char(10) &amp; VLOOKUP(A40,Internal_lists_bugs!$A$2:$Z$73,26,FALSE())),"please select a BUG ID")</f>
        <v>https://bugs.launchpad.net/nova/+bug/1443697
/vmwareapi/vmops.py</v>
      </c>
      <c r="C40" s="78" t="str">
        <f>IFERROR(VLOOKUP(A40,Internal_lists_bugs!$A$2:$X1013,24,FALSE()),"please select a BUG ID")</f>
        <v>https://www.mail-archive.com/openstack-dev@lists.openstack.org/ </v>
      </c>
      <c r="D40" s="16" t="s">
        <v>124</v>
      </c>
      <c r="E40" s="82"/>
      <c r="F40" s="80"/>
      <c r="G40" s="16" t="s">
        <v>124</v>
      </c>
      <c r="H40" s="82"/>
      <c r="I40" s="80"/>
      <c r="J40" s="81" t="str">
        <f>IFERROR(Hyperlink(VLOOKUP(A40,Internal_lists_bugs!$A$2:$G1013,7,FALSE()),"BIC: "&amp;VLOOKUP(A40,Internal_lists_bugs!$A$2:$G1013,7,FALSE())&amp;CHAR(10)&amp;"Intro.Issues: "&amp;VLOOKUP(A40,Internal_lists_bugs!$A$2:$P1013,16,FALSE())),"please select a BUG ID")</f>
        <v>BIC: https://opendev.org/openstack/nova/commit/f3f1a53f
Intro.Issues: 1407438, 1407050, 1402784</v>
      </c>
    </row>
    <row r="41">
      <c r="A41" s="18" t="s">
        <v>40</v>
      </c>
      <c r="B41" s="77" t="str">
        <f>IFERROR(HYPERLINK(VLOOKUP(A41,Internal_lists_bugs!$A$2:$C$73,3,FALSE()), VLOOKUP(A41,Internal_lists_bugs!$A$2:$C$73,3,FALSE())&amp;Char(10) &amp; Char(10) &amp; VLOOKUP(A41,Internal_lists_bugs!$A$2:$Z$73,26,FALSE())),"please select a BUG ID")</f>
        <v>https://bugs.launchpad.net/nova/+bug/1300788
/vmwareapi/vmops.py</v>
      </c>
      <c r="C41" s="78" t="str">
        <f>IFERROR(VLOOKUP(A41,Internal_lists_bugs!$A$2:$X1013,24,FALSE()),"please select a BUG ID")</f>
        <v>https://www.mail-archive.com/openstack-dev@lists.openstack.org/ </v>
      </c>
      <c r="D41" s="16" t="s">
        <v>124</v>
      </c>
      <c r="E41" s="82"/>
      <c r="F41" s="80"/>
      <c r="G41" s="16" t="s">
        <v>593</v>
      </c>
      <c r="H41" s="79" t="s">
        <v>580</v>
      </c>
      <c r="I41" s="59" t="s">
        <v>594</v>
      </c>
      <c r="J41" s="81" t="str">
        <f>IFERROR(Hyperlink(VLOOKUP(A41,Internal_lists_bugs!$A$2:$G1013,7,FALSE()),"BIC: "&amp;VLOOKUP(A41,Internal_lists_bugs!$A$2:$G1013,7,FALSE())&amp;CHAR(10)&amp;"Intro.Issues: "&amp;VLOOKUP(A41,Internal_lists_bugs!$A$2:$P1013,16,FALSE())),"please select a BUG ID")</f>
        <v>BIC: https://opendev.org/openstack/nova/commit/e517e5668ab
Intro.Issues: 1186944</v>
      </c>
    </row>
    <row r="42">
      <c r="A42" s="18" t="s">
        <v>40</v>
      </c>
      <c r="B42" s="77" t="str">
        <f>IFERROR(HYPERLINK(VLOOKUP(A42,Internal_lists_bugs!$A$2:$C$73,3,FALSE()), VLOOKUP(A42,Internal_lists_bugs!$A$2:$C$73,3,FALSE())&amp;Char(10) &amp; Char(10) &amp; VLOOKUP(A42,Internal_lists_bugs!$A$2:$Z$73,26,FALSE())),"please select a BUG ID")</f>
        <v>https://bugs.launchpad.net/nova/+bug/1300788
/vmwareapi/vmops.py</v>
      </c>
      <c r="C42" s="78" t="str">
        <f>IFERROR(VLOOKUP(A42,Internal_lists_bugs!$A$2:$X1013,24,FALSE()),"please select a BUG ID")</f>
        <v>https://www.mail-archive.com/openstack-dev@lists.openstack.org/ </v>
      </c>
      <c r="E42" s="82"/>
      <c r="F42" s="80"/>
      <c r="G42" s="16" t="s">
        <v>593</v>
      </c>
      <c r="H42" s="79" t="s">
        <v>595</v>
      </c>
      <c r="I42" s="59" t="s">
        <v>596</v>
      </c>
      <c r="J42" s="81" t="str">
        <f>IFERROR(Hyperlink(VLOOKUP(A42,Internal_lists_bugs!$A$2:$G1013,7,FALSE()),"BIC: "&amp;VLOOKUP(A42,Internal_lists_bugs!$A$2:$G1013,7,FALSE())&amp;CHAR(10)&amp;"Intro.Issues: "&amp;VLOOKUP(A42,Internal_lists_bugs!$A$2:$P1013,16,FALSE())),"please select a BUG ID")</f>
        <v>BIC: https://opendev.org/openstack/nova/commit/e517e5668ab
Intro.Issues: 1186944</v>
      </c>
    </row>
    <row r="43">
      <c r="A43" s="18" t="s">
        <v>40</v>
      </c>
      <c r="B43" s="77" t="str">
        <f>IFERROR(HYPERLINK(VLOOKUP(A43,Internal_lists_bugs!$A$2:$C$73,3,FALSE()), VLOOKUP(A43,Internal_lists_bugs!$A$2:$C$73,3,FALSE())&amp;Char(10) &amp; Char(10) &amp; VLOOKUP(A43,Internal_lists_bugs!$A$2:$Z$73,26,FALSE())),"please select a BUG ID")</f>
        <v>https://bugs.launchpad.net/nova/+bug/1300788
/vmwareapi/vmops.py</v>
      </c>
      <c r="C43" s="78" t="str">
        <f>IFERROR(VLOOKUP(A43,Internal_lists_bugs!$A$2:$X1013,24,FALSE()),"please select a BUG ID")</f>
        <v>https://www.mail-archive.com/openstack-dev@lists.openstack.org/ </v>
      </c>
      <c r="E43" s="82"/>
      <c r="F43" s="80"/>
      <c r="G43" s="16" t="s">
        <v>593</v>
      </c>
      <c r="H43" s="79" t="s">
        <v>597</v>
      </c>
      <c r="I43" s="59" t="s">
        <v>598</v>
      </c>
      <c r="J43" s="81" t="str">
        <f>IFERROR(Hyperlink(VLOOKUP(A43,Internal_lists_bugs!$A$2:$G1013,7,FALSE()),"BIC: "&amp;VLOOKUP(A43,Internal_lists_bugs!$A$2:$G1013,7,FALSE())&amp;CHAR(10)&amp;"Intro.Issues: "&amp;VLOOKUP(A43,Internal_lists_bugs!$A$2:$P1013,16,FALSE())),"please select a BUG ID")</f>
        <v>BIC: https://opendev.org/openstack/nova/commit/e517e5668ab
Intro.Issues: 1186944</v>
      </c>
    </row>
    <row r="44">
      <c r="A44" s="18" t="s">
        <v>40</v>
      </c>
      <c r="B44" s="77" t="str">
        <f>IFERROR(HYPERLINK(VLOOKUP(A44,Internal_lists_bugs!$A$2:$C$73,3,FALSE()), VLOOKUP(A44,Internal_lists_bugs!$A$2:$C$73,3,FALSE())&amp;Char(10) &amp; Char(10) &amp; VLOOKUP(A44,Internal_lists_bugs!$A$2:$Z$73,26,FALSE())),"please select a BUG ID")</f>
        <v>https://bugs.launchpad.net/nova/+bug/1300788
/vmwareapi/vmops.py</v>
      </c>
      <c r="C44" s="78" t="str">
        <f>IFERROR(VLOOKUP(A44,Internal_lists_bugs!$A$2:$X1013,24,FALSE()),"please select a BUG ID")</f>
        <v>https://www.mail-archive.com/openstack-dev@lists.openstack.org/ </v>
      </c>
      <c r="E44" s="82"/>
      <c r="F44" s="80"/>
      <c r="G44" s="16" t="s">
        <v>593</v>
      </c>
      <c r="H44" s="79" t="s">
        <v>599</v>
      </c>
      <c r="I44" s="59" t="s">
        <v>600</v>
      </c>
      <c r="J44" s="81" t="str">
        <f>IFERROR(Hyperlink(VLOOKUP(A44,Internal_lists_bugs!$A$2:$G1013,7,FALSE()),"BIC: "&amp;VLOOKUP(A44,Internal_lists_bugs!$A$2:$G1013,7,FALSE())&amp;CHAR(10)&amp;"Intro.Issues: "&amp;VLOOKUP(A44,Internal_lists_bugs!$A$2:$P1013,16,FALSE())),"please select a BUG ID")</f>
        <v>BIC: https://opendev.org/openstack/nova/commit/e517e5668ab
Intro.Issues: 1186944</v>
      </c>
    </row>
    <row r="45">
      <c r="A45" s="18" t="s">
        <v>40</v>
      </c>
      <c r="B45" s="77" t="str">
        <f>IFERROR(HYPERLINK(VLOOKUP(A45,Internal_lists_bugs!$A$2:$C$73,3,FALSE()), VLOOKUP(A45,Internal_lists_bugs!$A$2:$C$73,3,FALSE())&amp;Char(10) &amp; Char(10) &amp; VLOOKUP(A45,Internal_lists_bugs!$A$2:$Z$73,26,FALSE())),"please select a BUG ID")</f>
        <v>https://bugs.launchpad.net/nova/+bug/1300788
/vmwareapi/vmops.py</v>
      </c>
      <c r="C45" s="78" t="str">
        <f>IFERROR(VLOOKUP(A45,Internal_lists_bugs!$A$2:$X1013,24,FALSE()),"please select a BUG ID")</f>
        <v>https://www.mail-archive.com/openstack-dev@lists.openstack.org/ </v>
      </c>
      <c r="E45" s="82"/>
      <c r="F45" s="80"/>
      <c r="G45" s="16" t="s">
        <v>593</v>
      </c>
      <c r="H45" s="79" t="s">
        <v>601</v>
      </c>
      <c r="I45" s="59" t="s">
        <v>602</v>
      </c>
      <c r="J45" s="81" t="str">
        <f>IFERROR(Hyperlink(VLOOKUP(A45,Internal_lists_bugs!$A$2:$G1013,7,FALSE()),"BIC: "&amp;VLOOKUP(A45,Internal_lists_bugs!$A$2:$G1013,7,FALSE())&amp;CHAR(10)&amp;"Intro.Issues: "&amp;VLOOKUP(A45,Internal_lists_bugs!$A$2:$P1013,16,FALSE())),"please select a BUG ID")</f>
        <v>BIC: https://opendev.org/openstack/nova/commit/e517e5668ab
Intro.Issues: 1186944</v>
      </c>
    </row>
    <row r="46">
      <c r="A46" s="18" t="s">
        <v>41</v>
      </c>
      <c r="B46" s="77" t="str">
        <f>IFERROR(HYPERLINK(VLOOKUP(A46,Internal_lists_bugs!$A$2:$C$73,3,FALSE()), VLOOKUP(A46,Internal_lists_bugs!$A$2:$C$73,3,FALSE())&amp;Char(10) &amp; Char(10) &amp; VLOOKUP(A46,Internal_lists_bugs!$A$2:$Z$73,26,FALSE())),"please select a BUG ID")</f>
        <v>https://bugs.launchpad.net/nova/+bug/1466390
/sqlalchemy/api.py</v>
      </c>
      <c r="C46" s="78" t="str">
        <f>IFERROR(VLOOKUP(A46,Internal_lists_bugs!$A$2:$X1013,24,FALSE()),"please select a BUG ID")</f>
        <v>https://www.mail-archive.com/openstack-dev@lists.openstack.org/ </v>
      </c>
      <c r="D46" s="16" t="s">
        <v>124</v>
      </c>
      <c r="E46" s="82"/>
      <c r="F46" s="80"/>
      <c r="G46" s="16" t="s">
        <v>603</v>
      </c>
      <c r="H46" s="79" t="s">
        <v>604</v>
      </c>
      <c r="I46" s="59" t="s">
        <v>605</v>
      </c>
      <c r="J46" s="81" t="str">
        <f>IFERROR(Hyperlink(VLOOKUP(A46,Internal_lists_bugs!$A$2:$G1013,7,FALSE()),"BIC: "&amp;VLOOKUP(A46,Internal_lists_bugs!$A$2:$G1013,7,FALSE())&amp;CHAR(10)&amp;"Intro.Issues: "&amp;VLOOKUP(A46,Internal_lists_bugs!$A$2:$P1013,16,FALSE())),"please select a BUG ID")</f>
        <v>BIC: https://opendev.org/openstack/nova/commit/501ff41
Intro.Issues: instance-group-api-extension</v>
      </c>
    </row>
    <row r="47">
      <c r="A47" s="18" t="s">
        <v>41</v>
      </c>
      <c r="B47" s="77" t="str">
        <f>IFERROR(HYPERLINK(VLOOKUP(A47,Internal_lists_bugs!$A$2:$C$73,3,FALSE()), VLOOKUP(A47,Internal_lists_bugs!$A$2:$C$73,3,FALSE())&amp;Char(10) &amp; Char(10) &amp; VLOOKUP(A47,Internal_lists_bugs!$A$2:$Z$73,26,FALSE())),"please select a BUG ID")</f>
        <v>https://bugs.launchpad.net/nova/+bug/1466390
/sqlalchemy/api.py</v>
      </c>
      <c r="C47" s="78" t="str">
        <f>IFERROR(VLOOKUP(A47,Internal_lists_bugs!$A$2:$X1013,24,FALSE()),"please select a BUG ID")</f>
        <v>https://www.mail-archive.com/openstack-dev@lists.openstack.org/ </v>
      </c>
      <c r="E47" s="82"/>
      <c r="F47" s="80"/>
      <c r="G47" s="16" t="s">
        <v>603</v>
      </c>
      <c r="H47" s="79" t="s">
        <v>606</v>
      </c>
      <c r="I47" s="59" t="s">
        <v>607</v>
      </c>
      <c r="J47" s="81" t="str">
        <f>IFERROR(Hyperlink(VLOOKUP(A47,Internal_lists_bugs!$A$2:$G1013,7,FALSE()),"BIC: "&amp;VLOOKUP(A47,Internal_lists_bugs!$A$2:$G1013,7,FALSE())&amp;CHAR(10)&amp;"Intro.Issues: "&amp;VLOOKUP(A47,Internal_lists_bugs!$A$2:$P1013,16,FALSE())),"please select a BUG ID")</f>
        <v>BIC: https://opendev.org/openstack/nova/commit/501ff41
Intro.Issues: instance-group-api-extension</v>
      </c>
    </row>
    <row r="48">
      <c r="A48" s="18" t="s">
        <v>41</v>
      </c>
      <c r="B48" s="77" t="str">
        <f>IFERROR(HYPERLINK(VLOOKUP(A48,Internal_lists_bugs!$A$2:$C$73,3,FALSE()), VLOOKUP(A48,Internal_lists_bugs!$A$2:$C$73,3,FALSE())&amp;Char(10) &amp; Char(10) &amp; VLOOKUP(A48,Internal_lists_bugs!$A$2:$Z$73,26,FALSE())),"please select a BUG ID")</f>
        <v>https://bugs.launchpad.net/nova/+bug/1466390
/sqlalchemy/api.py</v>
      </c>
      <c r="C48" s="78" t="str">
        <f>IFERROR(VLOOKUP(A48,Internal_lists_bugs!$A$2:$X1013,24,FALSE()),"please select a BUG ID")</f>
        <v>https://www.mail-archive.com/openstack-dev@lists.openstack.org/ </v>
      </c>
      <c r="E48" s="82"/>
      <c r="F48" s="80"/>
      <c r="G48" s="16" t="s">
        <v>608</v>
      </c>
      <c r="H48" s="79" t="s">
        <v>609</v>
      </c>
      <c r="I48" s="59" t="s">
        <v>610</v>
      </c>
      <c r="J48" s="81" t="str">
        <f>IFERROR(Hyperlink(VLOOKUP(A48,Internal_lists_bugs!$A$2:$G1013,7,FALSE()),"BIC: "&amp;VLOOKUP(A48,Internal_lists_bugs!$A$2:$G1013,7,FALSE())&amp;CHAR(10)&amp;"Intro.Issues: "&amp;VLOOKUP(A48,Internal_lists_bugs!$A$2:$P1013,16,FALSE())),"please select a BUG ID")</f>
        <v>BIC: https://opendev.org/openstack/nova/commit/501ff41
Intro.Issues: instance-group-api-extension</v>
      </c>
    </row>
    <row r="49">
      <c r="A49" s="18" t="s">
        <v>41</v>
      </c>
      <c r="B49" s="77" t="str">
        <f>IFERROR(HYPERLINK(VLOOKUP(A49,Internal_lists_bugs!$A$2:$C$73,3,FALSE()), VLOOKUP(A49,Internal_lists_bugs!$A$2:$C$73,3,FALSE())&amp;Char(10) &amp; Char(10) &amp; VLOOKUP(A49,Internal_lists_bugs!$A$2:$Z$73,26,FALSE())),"please select a BUG ID")</f>
        <v>https://bugs.launchpad.net/nova/+bug/1466390
/sqlalchemy/api.py</v>
      </c>
      <c r="C49" s="78" t="str">
        <f>IFERROR(VLOOKUP(A49,Internal_lists_bugs!$A$2:$X1013,24,FALSE()),"please select a BUG ID")</f>
        <v>https://www.mail-archive.com/openstack-dev@lists.openstack.org/ </v>
      </c>
      <c r="E49" s="82"/>
      <c r="F49" s="80"/>
      <c r="G49" s="16" t="s">
        <v>611</v>
      </c>
      <c r="H49" s="79" t="s">
        <v>609</v>
      </c>
      <c r="I49" s="59" t="s">
        <v>612</v>
      </c>
      <c r="J49" s="81" t="str">
        <f>IFERROR(Hyperlink(VLOOKUP(A49,Internal_lists_bugs!$A$2:$G1013,7,FALSE()),"BIC: "&amp;VLOOKUP(A49,Internal_lists_bugs!$A$2:$G1013,7,FALSE())&amp;CHAR(10)&amp;"Intro.Issues: "&amp;VLOOKUP(A49,Internal_lists_bugs!$A$2:$P1013,16,FALSE())),"please select a BUG ID")</f>
        <v>BIC: https://opendev.org/openstack/nova/commit/501ff41
Intro.Issues: instance-group-api-extension</v>
      </c>
    </row>
    <row r="50">
      <c r="A50" s="18" t="s">
        <v>41</v>
      </c>
      <c r="B50" s="77" t="str">
        <f>IFERROR(HYPERLINK(VLOOKUP(A50,Internal_lists_bugs!$A$2:$C$73,3,FALSE()), VLOOKUP(A50,Internal_lists_bugs!$A$2:$C$73,3,FALSE())&amp;Char(10) &amp; Char(10) &amp; VLOOKUP(A50,Internal_lists_bugs!$A$2:$Z$73,26,FALSE())),"please select a BUG ID")</f>
        <v>https://bugs.launchpad.net/nova/+bug/1466390
/sqlalchemy/api.py</v>
      </c>
      <c r="C50" s="78" t="str">
        <f>IFERROR(VLOOKUP(A50,Internal_lists_bugs!$A$2:$X1013,24,FALSE()),"please select a BUG ID")</f>
        <v>https://www.mail-archive.com/openstack-dev@lists.openstack.org/ </v>
      </c>
      <c r="E50" s="82"/>
      <c r="F50" s="80"/>
      <c r="G50" s="16" t="s">
        <v>611</v>
      </c>
      <c r="H50" s="79" t="s">
        <v>613</v>
      </c>
      <c r="I50" s="59" t="s">
        <v>614</v>
      </c>
      <c r="J50" s="81" t="str">
        <f>IFERROR(Hyperlink(VLOOKUP(A50,Internal_lists_bugs!$A$2:$G1013,7,FALSE()),"BIC: "&amp;VLOOKUP(A50,Internal_lists_bugs!$A$2:$G1013,7,FALSE())&amp;CHAR(10)&amp;"Intro.Issues: "&amp;VLOOKUP(A50,Internal_lists_bugs!$A$2:$P1013,16,FALSE())),"please select a BUG ID")</f>
        <v>BIC: https://opendev.org/openstack/nova/commit/501ff41
Intro.Issues: instance-group-api-extension</v>
      </c>
    </row>
    <row r="51">
      <c r="A51" s="18" t="s">
        <v>41</v>
      </c>
      <c r="B51" s="77" t="str">
        <f>IFERROR(HYPERLINK(VLOOKUP(A51,Internal_lists_bugs!$A$2:$C$73,3,FALSE()), VLOOKUP(A51,Internal_lists_bugs!$A$2:$C$73,3,FALSE())&amp;Char(10) &amp; Char(10) &amp; VLOOKUP(A51,Internal_lists_bugs!$A$2:$Z$73,26,FALSE())),"please select a BUG ID")</f>
        <v>https://bugs.launchpad.net/nova/+bug/1466390
/sqlalchemy/api.py</v>
      </c>
      <c r="C51" s="78" t="str">
        <f>IFERROR(VLOOKUP(A51,Internal_lists_bugs!$A$2:$X1013,24,FALSE()),"please select a BUG ID")</f>
        <v>https://www.mail-archive.com/openstack-dev@lists.openstack.org/ </v>
      </c>
      <c r="E51" s="82"/>
      <c r="F51" s="80"/>
      <c r="G51" s="16" t="s">
        <v>611</v>
      </c>
      <c r="H51" s="79" t="s">
        <v>615</v>
      </c>
      <c r="I51" s="59" t="s">
        <v>616</v>
      </c>
      <c r="J51" s="81" t="str">
        <f>IFERROR(Hyperlink(VLOOKUP(A51,Internal_lists_bugs!$A$2:$G1013,7,FALSE()),"BIC: "&amp;VLOOKUP(A51,Internal_lists_bugs!$A$2:$G1013,7,FALSE())&amp;CHAR(10)&amp;"Intro.Issues: "&amp;VLOOKUP(A51,Internal_lists_bugs!$A$2:$P1013,16,FALSE())),"please select a BUG ID")</f>
        <v>BIC: https://opendev.org/openstack/nova/commit/501ff41
Intro.Issues: instance-group-api-extension</v>
      </c>
    </row>
    <row r="52">
      <c r="A52" s="18" t="s">
        <v>41</v>
      </c>
      <c r="B52" s="77" t="str">
        <f>IFERROR(HYPERLINK(VLOOKUP(A52,Internal_lists_bugs!$A$2:$C$73,3,FALSE()), VLOOKUP(A52,Internal_lists_bugs!$A$2:$C$73,3,FALSE())&amp;Char(10) &amp; Char(10) &amp; VLOOKUP(A52,Internal_lists_bugs!$A$2:$Z$73,26,FALSE())),"please select a BUG ID")</f>
        <v>https://bugs.launchpad.net/nova/+bug/1466390
/sqlalchemy/api.py</v>
      </c>
      <c r="C52" s="78" t="str">
        <f>IFERROR(VLOOKUP(A52,Internal_lists_bugs!$A$2:$X1013,24,FALSE()),"please select a BUG ID")</f>
        <v>https://www.mail-archive.com/openstack-dev@lists.openstack.org/ </v>
      </c>
      <c r="E52" s="82"/>
      <c r="F52" s="80"/>
      <c r="G52" s="16" t="s">
        <v>611</v>
      </c>
      <c r="H52" s="79" t="s">
        <v>617</v>
      </c>
      <c r="I52" s="59" t="s">
        <v>618</v>
      </c>
      <c r="J52" s="81" t="str">
        <f>IFERROR(Hyperlink(VLOOKUP(A52,Internal_lists_bugs!$A$2:$G1013,7,FALSE()),"BIC: "&amp;VLOOKUP(A52,Internal_lists_bugs!$A$2:$G1013,7,FALSE())&amp;CHAR(10)&amp;"Intro.Issues: "&amp;VLOOKUP(A52,Internal_lists_bugs!$A$2:$P1013,16,FALSE())),"please select a BUG ID")</f>
        <v>BIC: https://opendev.org/openstack/nova/commit/501ff41
Intro.Issues: instance-group-api-extension</v>
      </c>
    </row>
    <row r="53">
      <c r="A53" s="18" t="s">
        <v>41</v>
      </c>
      <c r="B53" s="77" t="str">
        <f>IFERROR(HYPERLINK(VLOOKUP(A53,Internal_lists_bugs!$A$2:$C$73,3,FALSE()), VLOOKUP(A53,Internal_lists_bugs!$A$2:$C$73,3,FALSE())&amp;Char(10) &amp; Char(10) &amp; VLOOKUP(A53,Internal_lists_bugs!$A$2:$Z$73,26,FALSE())),"please select a BUG ID")</f>
        <v>https://bugs.launchpad.net/nova/+bug/1466390
/sqlalchemy/api.py</v>
      </c>
      <c r="C53" s="78" t="str">
        <f>IFERROR(VLOOKUP(A53,Internal_lists_bugs!$A$2:$X1013,24,FALSE()),"please select a BUG ID")</f>
        <v>https://www.mail-archive.com/openstack-dev@lists.openstack.org/ </v>
      </c>
      <c r="E53" s="82"/>
      <c r="F53" s="80"/>
      <c r="G53" s="16" t="s">
        <v>611</v>
      </c>
      <c r="H53" s="79" t="s">
        <v>619</v>
      </c>
      <c r="I53" s="59" t="s">
        <v>620</v>
      </c>
      <c r="J53" s="81" t="str">
        <f>IFERROR(Hyperlink(VLOOKUP(A53,Internal_lists_bugs!$A$2:$G1013,7,FALSE()),"BIC: "&amp;VLOOKUP(A53,Internal_lists_bugs!$A$2:$G1013,7,FALSE())&amp;CHAR(10)&amp;"Intro.Issues: "&amp;VLOOKUP(A53,Internal_lists_bugs!$A$2:$P1013,16,FALSE())),"please select a BUG ID")</f>
        <v>BIC: https://opendev.org/openstack/nova/commit/501ff41
Intro.Issues: instance-group-api-extension</v>
      </c>
    </row>
    <row r="54">
      <c r="A54" s="18" t="s">
        <v>41</v>
      </c>
      <c r="B54" s="77" t="str">
        <f>IFERROR(HYPERLINK(VLOOKUP(A54,Internal_lists_bugs!$A$2:$C$73,3,FALSE()), VLOOKUP(A54,Internal_lists_bugs!$A$2:$C$73,3,FALSE())&amp;Char(10) &amp; Char(10) &amp; VLOOKUP(A54,Internal_lists_bugs!$A$2:$Z$73,26,FALSE())),"please select a BUG ID")</f>
        <v>https://bugs.launchpad.net/nova/+bug/1466390
/sqlalchemy/api.py</v>
      </c>
      <c r="C54" s="78" t="str">
        <f>IFERROR(VLOOKUP(A54,Internal_lists_bugs!$A$2:$X1013,24,FALSE()),"please select a BUG ID")</f>
        <v>https://www.mail-archive.com/openstack-dev@lists.openstack.org/ </v>
      </c>
      <c r="E54" s="82"/>
      <c r="F54" s="80"/>
      <c r="G54" s="16" t="s">
        <v>621</v>
      </c>
      <c r="H54" s="79" t="s">
        <v>622</v>
      </c>
      <c r="I54" s="59" t="s">
        <v>623</v>
      </c>
      <c r="J54" s="81" t="str">
        <f>IFERROR(Hyperlink(VLOOKUP(A54,Internal_lists_bugs!$A$2:$G1013,7,FALSE()),"BIC: "&amp;VLOOKUP(A54,Internal_lists_bugs!$A$2:$G1013,7,FALSE())&amp;CHAR(10)&amp;"Intro.Issues: "&amp;VLOOKUP(A54,Internal_lists_bugs!$A$2:$P1013,16,FALSE())),"please select a BUG ID")</f>
        <v>BIC: https://opendev.org/openstack/nova/commit/501ff41
Intro.Issues: instance-group-api-extension</v>
      </c>
    </row>
    <row r="55">
      <c r="A55" s="18" t="s">
        <v>41</v>
      </c>
      <c r="B55" s="77" t="str">
        <f>IFERROR(HYPERLINK(VLOOKUP(A55,Internal_lists_bugs!$A$2:$C$73,3,FALSE()), VLOOKUP(A55,Internal_lists_bugs!$A$2:$C$73,3,FALSE())&amp;Char(10) &amp; Char(10) &amp; VLOOKUP(A55,Internal_lists_bugs!$A$2:$Z$73,26,FALSE())),"please select a BUG ID")</f>
        <v>https://bugs.launchpad.net/nova/+bug/1466390
/sqlalchemy/api.py</v>
      </c>
      <c r="C55" s="78" t="str">
        <f>IFERROR(VLOOKUP(A55,Internal_lists_bugs!$A$2:$X1013,24,FALSE()),"please select a BUG ID")</f>
        <v>https://www.mail-archive.com/openstack-dev@lists.openstack.org/ </v>
      </c>
      <c r="E55" s="82"/>
      <c r="F55" s="80"/>
      <c r="G55" s="16" t="s">
        <v>621</v>
      </c>
      <c r="H55" s="79" t="s">
        <v>606</v>
      </c>
      <c r="I55" s="59" t="s">
        <v>624</v>
      </c>
      <c r="J55" s="81" t="str">
        <f>IFERROR(Hyperlink(VLOOKUP(A55,Internal_lists_bugs!$A$2:$G1013,7,FALSE()),"BIC: "&amp;VLOOKUP(A55,Internal_lists_bugs!$A$2:$G1013,7,FALSE())&amp;CHAR(10)&amp;"Intro.Issues: "&amp;VLOOKUP(A55,Internal_lists_bugs!$A$2:$P1013,16,FALSE())),"please select a BUG ID")</f>
        <v>BIC: https://opendev.org/openstack/nova/commit/501ff41
Intro.Issues: instance-group-api-extension</v>
      </c>
    </row>
    <row r="56">
      <c r="A56" s="18" t="s">
        <v>41</v>
      </c>
      <c r="B56" s="77" t="str">
        <f>IFERROR(HYPERLINK(VLOOKUP(A56,Internal_lists_bugs!$A$2:$C$73,3,FALSE()), VLOOKUP(A56,Internal_lists_bugs!$A$2:$C$73,3,FALSE())&amp;Char(10) &amp; Char(10) &amp; VLOOKUP(A56,Internal_lists_bugs!$A$2:$Z$73,26,FALSE())),"please select a BUG ID")</f>
        <v>https://bugs.launchpad.net/nova/+bug/1466390
/sqlalchemy/api.py</v>
      </c>
      <c r="C56" s="78" t="str">
        <f>IFERROR(VLOOKUP(A56,Internal_lists_bugs!$A$2:$X1013,24,FALSE()),"please select a BUG ID")</f>
        <v>https://www.mail-archive.com/openstack-dev@lists.openstack.org/ </v>
      </c>
      <c r="E56" s="82"/>
      <c r="F56" s="80"/>
      <c r="G56" s="16" t="s">
        <v>625</v>
      </c>
      <c r="H56" s="79" t="s">
        <v>626</v>
      </c>
      <c r="I56" s="83" t="s">
        <v>627</v>
      </c>
      <c r="J56" s="81" t="str">
        <f>IFERROR(Hyperlink(VLOOKUP(A56,Internal_lists_bugs!$A$2:$G1013,7,FALSE()),"BIC: "&amp;VLOOKUP(A56,Internal_lists_bugs!$A$2:$G1013,7,FALSE())&amp;CHAR(10)&amp;"Intro.Issues: "&amp;VLOOKUP(A56,Internal_lists_bugs!$A$2:$P1013,16,FALSE())),"please select a BUG ID")</f>
        <v>BIC: https://opendev.org/openstack/nova/commit/501ff41
Intro.Issues: instance-group-api-extension</v>
      </c>
    </row>
    <row r="57">
      <c r="A57" s="18" t="s">
        <v>41</v>
      </c>
      <c r="B57" s="77" t="str">
        <f>IFERROR(HYPERLINK(VLOOKUP(A57,Internal_lists_bugs!$A$2:$C$73,3,FALSE()), VLOOKUP(A57,Internal_lists_bugs!$A$2:$C$73,3,FALSE())&amp;Char(10) &amp; Char(10) &amp; VLOOKUP(A57,Internal_lists_bugs!$A$2:$Z$73,26,FALSE())),"please select a BUG ID")</f>
        <v>https://bugs.launchpad.net/nova/+bug/1466390
/sqlalchemy/api.py</v>
      </c>
      <c r="C57" s="78" t="str">
        <f>IFERROR(VLOOKUP(A57,Internal_lists_bugs!$A$2:$X1013,24,FALSE()),"please select a BUG ID")</f>
        <v>https://www.mail-archive.com/openstack-dev@lists.openstack.org/ </v>
      </c>
      <c r="E57" s="82"/>
      <c r="F57" s="80"/>
      <c r="G57" s="16" t="s">
        <v>628</v>
      </c>
      <c r="H57" s="79" t="s">
        <v>629</v>
      </c>
      <c r="I57" s="59" t="s">
        <v>630</v>
      </c>
      <c r="J57" s="81" t="str">
        <f>IFERROR(Hyperlink(VLOOKUP(A57,Internal_lists_bugs!$A$2:$G1013,7,FALSE()),"BIC: "&amp;VLOOKUP(A57,Internal_lists_bugs!$A$2:$G1013,7,FALSE())&amp;CHAR(10)&amp;"Intro.Issues: "&amp;VLOOKUP(A57,Internal_lists_bugs!$A$2:$P1013,16,FALSE())),"please select a BUG ID")</f>
        <v>BIC: https://opendev.org/openstack/nova/commit/501ff41
Intro.Issues: instance-group-api-extension</v>
      </c>
    </row>
    <row r="58">
      <c r="A58" s="18" t="s">
        <v>41</v>
      </c>
      <c r="B58" s="77" t="str">
        <f>IFERROR(HYPERLINK(VLOOKUP(A58,Internal_lists_bugs!$A$2:$C$73,3,FALSE()), VLOOKUP(A58,Internal_lists_bugs!$A$2:$C$73,3,FALSE())&amp;Char(10) &amp; Char(10) &amp; VLOOKUP(A58,Internal_lists_bugs!$A$2:$Z$73,26,FALSE())),"please select a BUG ID")</f>
        <v>https://bugs.launchpad.net/nova/+bug/1466390
/sqlalchemy/api.py</v>
      </c>
      <c r="C58" s="78" t="str">
        <f>IFERROR(VLOOKUP(A58,Internal_lists_bugs!$A$2:$X1013,24,FALSE()),"please select a BUG ID")</f>
        <v>https://www.mail-archive.com/openstack-dev@lists.openstack.org/ </v>
      </c>
      <c r="E58" s="82"/>
      <c r="F58" s="80"/>
      <c r="G58" s="16" t="s">
        <v>631</v>
      </c>
      <c r="H58" s="79" t="s">
        <v>632</v>
      </c>
      <c r="I58" s="59" t="s">
        <v>633</v>
      </c>
      <c r="J58" s="81" t="str">
        <f>IFERROR(Hyperlink(VLOOKUP(A58,Internal_lists_bugs!$A$2:$G1013,7,FALSE()),"BIC: "&amp;VLOOKUP(A58,Internal_lists_bugs!$A$2:$G1013,7,FALSE())&amp;CHAR(10)&amp;"Intro.Issues: "&amp;VLOOKUP(A58,Internal_lists_bugs!$A$2:$P1013,16,FALSE())),"please select a BUG ID")</f>
        <v>BIC: https://opendev.org/openstack/nova/commit/501ff41
Intro.Issues: instance-group-api-extension</v>
      </c>
    </row>
    <row r="59">
      <c r="A59" s="18" t="s">
        <v>41</v>
      </c>
      <c r="B59" s="77" t="str">
        <f>IFERROR(HYPERLINK(VLOOKUP(A59,Internal_lists_bugs!$A$2:$C$73,3,FALSE()), VLOOKUP(A59,Internal_lists_bugs!$A$2:$C$73,3,FALSE())&amp;Char(10) &amp; Char(10) &amp; VLOOKUP(A59,Internal_lists_bugs!$A$2:$Z$73,26,FALSE())),"please select a BUG ID")</f>
        <v>https://bugs.launchpad.net/nova/+bug/1466390
/sqlalchemy/api.py</v>
      </c>
      <c r="C59" s="78" t="str">
        <f>IFERROR(VLOOKUP(A59,Internal_lists_bugs!$A$2:$X1013,24,FALSE()),"please select a BUG ID")</f>
        <v>https://www.mail-archive.com/openstack-dev@lists.openstack.org/ </v>
      </c>
      <c r="E59" s="82"/>
      <c r="F59" s="80"/>
      <c r="G59" s="16" t="s">
        <v>634</v>
      </c>
      <c r="H59" s="79" t="s">
        <v>635</v>
      </c>
      <c r="I59" s="59" t="s">
        <v>636</v>
      </c>
      <c r="J59" s="81" t="str">
        <f>IFERROR(Hyperlink(VLOOKUP(A59,Internal_lists_bugs!$A$2:$G1013,7,FALSE()),"BIC: "&amp;VLOOKUP(A59,Internal_lists_bugs!$A$2:$G1013,7,FALSE())&amp;CHAR(10)&amp;"Intro.Issues: "&amp;VLOOKUP(A59,Internal_lists_bugs!$A$2:$P1013,16,FALSE())),"please select a BUG ID")</f>
        <v>BIC: https://opendev.org/openstack/nova/commit/501ff41
Intro.Issues: instance-group-api-extension</v>
      </c>
    </row>
    <row r="60">
      <c r="A60" s="18" t="s">
        <v>41</v>
      </c>
      <c r="B60" s="77" t="str">
        <f>IFERROR(HYPERLINK(VLOOKUP(A60,Internal_lists_bugs!$A$2:$C$73,3,FALSE()), VLOOKUP(A60,Internal_lists_bugs!$A$2:$C$73,3,FALSE())&amp;Char(10) &amp; Char(10) &amp; VLOOKUP(A60,Internal_lists_bugs!$A$2:$Z$73,26,FALSE())),"please select a BUG ID")</f>
        <v>https://bugs.launchpad.net/nova/+bug/1466390
/sqlalchemy/api.py</v>
      </c>
      <c r="C60" s="78" t="str">
        <f>IFERROR(VLOOKUP(A60,Internal_lists_bugs!$A$2:$X1013,24,FALSE()),"please select a BUG ID")</f>
        <v>https://www.mail-archive.com/openstack-dev@lists.openstack.org/ </v>
      </c>
      <c r="E60" s="82"/>
      <c r="F60" s="80"/>
      <c r="G60" s="16" t="s">
        <v>637</v>
      </c>
      <c r="H60" s="79" t="s">
        <v>531</v>
      </c>
      <c r="I60" s="59" t="s">
        <v>638</v>
      </c>
      <c r="J60" s="81" t="str">
        <f>IFERROR(Hyperlink(VLOOKUP(A60,Internal_lists_bugs!$A$2:$G1013,7,FALSE()),"BIC: "&amp;VLOOKUP(A60,Internal_lists_bugs!$A$2:$G1013,7,FALSE())&amp;CHAR(10)&amp;"Intro.Issues: "&amp;VLOOKUP(A60,Internal_lists_bugs!$A$2:$P1013,16,FALSE())),"please select a BUG ID")</f>
        <v>BIC: https://opendev.org/openstack/nova/commit/501ff41
Intro.Issues: instance-group-api-extension</v>
      </c>
    </row>
    <row r="61">
      <c r="A61" s="18" t="s">
        <v>41</v>
      </c>
      <c r="B61" s="77" t="str">
        <f>IFERROR(HYPERLINK(VLOOKUP(A61,Internal_lists_bugs!$A$2:$C$73,3,FALSE()), VLOOKUP(A61,Internal_lists_bugs!$A$2:$C$73,3,FALSE())&amp;Char(10) &amp; Char(10) &amp; VLOOKUP(A61,Internal_lists_bugs!$A$2:$Z$73,26,FALSE())),"please select a BUG ID")</f>
        <v>https://bugs.launchpad.net/nova/+bug/1466390
/sqlalchemy/api.py</v>
      </c>
      <c r="C61" s="78" t="str">
        <f>IFERROR(VLOOKUP(A61,Internal_lists_bugs!$A$2:$X1013,24,FALSE()),"please select a BUG ID")</f>
        <v>https://www.mail-archive.com/openstack-dev@lists.openstack.org/ </v>
      </c>
      <c r="E61" s="82"/>
      <c r="F61" s="80"/>
      <c r="G61" s="16" t="s">
        <v>639</v>
      </c>
      <c r="H61" s="79" t="s">
        <v>640</v>
      </c>
      <c r="I61" s="59" t="s">
        <v>641</v>
      </c>
      <c r="J61" s="81" t="str">
        <f>IFERROR(Hyperlink(VLOOKUP(A61,Internal_lists_bugs!$A$2:$G1013,7,FALSE()),"BIC: "&amp;VLOOKUP(A61,Internal_lists_bugs!$A$2:$G1013,7,FALSE())&amp;CHAR(10)&amp;"Intro.Issues: "&amp;VLOOKUP(A61,Internal_lists_bugs!$A$2:$P1013,16,FALSE())),"please select a BUG ID")</f>
        <v>BIC: https://opendev.org/openstack/nova/commit/501ff41
Intro.Issues: instance-group-api-extension</v>
      </c>
    </row>
    <row r="62">
      <c r="A62" s="18" t="s">
        <v>41</v>
      </c>
      <c r="B62" s="77" t="str">
        <f>IFERROR(HYPERLINK(VLOOKUP(A62,Internal_lists_bugs!$A$2:$C$73,3,FALSE()), VLOOKUP(A62,Internal_lists_bugs!$A$2:$C$73,3,FALSE())&amp;Char(10) &amp; Char(10) &amp; VLOOKUP(A62,Internal_lists_bugs!$A$2:$Z$73,26,FALSE())),"please select a BUG ID")</f>
        <v>https://bugs.launchpad.net/nova/+bug/1466390
/sqlalchemy/api.py</v>
      </c>
      <c r="C62" s="78" t="str">
        <f>IFERROR(VLOOKUP(A62,Internal_lists_bugs!$A$2:$X1013,24,FALSE()),"please select a BUG ID")</f>
        <v>https://www.mail-archive.com/openstack-dev@lists.openstack.org/ </v>
      </c>
      <c r="E62" s="82"/>
      <c r="F62" s="80"/>
      <c r="G62" s="16" t="s">
        <v>642</v>
      </c>
      <c r="H62" s="79" t="s">
        <v>531</v>
      </c>
      <c r="I62" s="80"/>
      <c r="J62" s="81" t="str">
        <f>IFERROR(Hyperlink(VLOOKUP(A62,Internal_lists_bugs!$A$2:$G1013,7,FALSE()),"BIC: "&amp;VLOOKUP(A62,Internal_lists_bugs!$A$2:$G1013,7,FALSE())&amp;CHAR(10)&amp;"Intro.Issues: "&amp;VLOOKUP(A62,Internal_lists_bugs!$A$2:$P1013,16,FALSE())),"please select a BUG ID")</f>
        <v>BIC: https://opendev.org/openstack/nova/commit/501ff41
Intro.Issues: instance-group-api-extension</v>
      </c>
    </row>
    <row r="63">
      <c r="A63" s="18" t="s">
        <v>41</v>
      </c>
      <c r="B63" s="77" t="str">
        <f>IFERROR(HYPERLINK(VLOOKUP(A63,Internal_lists_bugs!$A$2:$C$73,3,FALSE()), VLOOKUP(A63,Internal_lists_bugs!$A$2:$C$73,3,FALSE())&amp;Char(10) &amp; Char(10) &amp; VLOOKUP(A63,Internal_lists_bugs!$A$2:$Z$73,26,FALSE())),"please select a BUG ID")</f>
        <v>https://bugs.launchpad.net/nova/+bug/1466390
/sqlalchemy/api.py</v>
      </c>
      <c r="C63" s="78" t="str">
        <f>IFERROR(VLOOKUP(A63,Internal_lists_bugs!$A$2:$X1013,24,FALSE()),"please select a BUG ID")</f>
        <v>https://www.mail-archive.com/openstack-dev@lists.openstack.org/ </v>
      </c>
      <c r="E63" s="82"/>
      <c r="F63" s="80"/>
      <c r="G63" s="16" t="s">
        <v>643</v>
      </c>
      <c r="H63" s="79" t="s">
        <v>531</v>
      </c>
      <c r="I63" s="80"/>
      <c r="J63" s="81" t="str">
        <f>IFERROR(Hyperlink(VLOOKUP(A63,Internal_lists_bugs!$A$2:$G1013,7,FALSE()),"BIC: "&amp;VLOOKUP(A63,Internal_lists_bugs!$A$2:$G1013,7,FALSE())&amp;CHAR(10)&amp;"Intro.Issues: "&amp;VLOOKUP(A63,Internal_lists_bugs!$A$2:$P1013,16,FALSE())),"please select a BUG ID")</f>
        <v>BIC: https://opendev.org/openstack/nova/commit/501ff41
Intro.Issues: instance-group-api-extension</v>
      </c>
    </row>
    <row r="64">
      <c r="A64" s="18" t="s">
        <v>41</v>
      </c>
      <c r="B64" s="77" t="str">
        <f>IFERROR(HYPERLINK(VLOOKUP(A64,Internal_lists_bugs!$A$2:$C$73,3,FALSE()), VLOOKUP(A64,Internal_lists_bugs!$A$2:$C$73,3,FALSE())&amp;Char(10) &amp; Char(10) &amp; VLOOKUP(A64,Internal_lists_bugs!$A$2:$Z$73,26,FALSE())),"please select a BUG ID")</f>
        <v>https://bugs.launchpad.net/nova/+bug/1466390
/sqlalchemy/api.py</v>
      </c>
      <c r="C64" s="78" t="str">
        <f>IFERROR(VLOOKUP(A64,Internal_lists_bugs!$A$2:$X1013,24,FALSE()),"please select a BUG ID")</f>
        <v>https://www.mail-archive.com/openstack-dev@lists.openstack.org/ </v>
      </c>
      <c r="E64" s="82"/>
      <c r="F64" s="80"/>
      <c r="G64" s="16" t="s">
        <v>644</v>
      </c>
      <c r="H64" s="79" t="s">
        <v>531</v>
      </c>
      <c r="I64" s="80"/>
      <c r="J64" s="81" t="str">
        <f>IFERROR(Hyperlink(VLOOKUP(A64,Internal_lists_bugs!$A$2:$G1013,7,FALSE()),"BIC: "&amp;VLOOKUP(A64,Internal_lists_bugs!$A$2:$G1013,7,FALSE())&amp;CHAR(10)&amp;"Intro.Issues: "&amp;VLOOKUP(A64,Internal_lists_bugs!$A$2:$P1013,16,FALSE())),"please select a BUG ID")</f>
        <v>BIC: https://opendev.org/openstack/nova/commit/501ff41
Intro.Issues: instance-group-api-extension</v>
      </c>
    </row>
    <row r="65">
      <c r="A65" s="18" t="s">
        <v>41</v>
      </c>
      <c r="B65" s="77" t="str">
        <f>IFERROR(HYPERLINK(VLOOKUP(A65,Internal_lists_bugs!$A$2:$C$73,3,FALSE()), VLOOKUP(A65,Internal_lists_bugs!$A$2:$C$73,3,FALSE())&amp;Char(10) &amp; Char(10) &amp; VLOOKUP(A65,Internal_lists_bugs!$A$2:$Z$73,26,FALSE())),"please select a BUG ID")</f>
        <v>https://bugs.launchpad.net/nova/+bug/1466390
/sqlalchemy/api.py</v>
      </c>
      <c r="C65" s="78" t="str">
        <f>IFERROR(VLOOKUP(A65,Internal_lists_bugs!$A$2:$X1013,24,FALSE()),"please select a BUG ID")</f>
        <v>https://www.mail-archive.com/openstack-dev@lists.openstack.org/ </v>
      </c>
      <c r="E65" s="82"/>
      <c r="F65" s="80"/>
      <c r="G65" s="16" t="s">
        <v>645</v>
      </c>
      <c r="H65" s="79" t="s">
        <v>646</v>
      </c>
      <c r="I65" s="59" t="s">
        <v>647</v>
      </c>
      <c r="J65" s="81" t="str">
        <f>IFERROR(Hyperlink(VLOOKUP(A65,Internal_lists_bugs!$A$2:$G1013,7,FALSE()),"BIC: "&amp;VLOOKUP(A65,Internal_lists_bugs!$A$2:$G1013,7,FALSE())&amp;CHAR(10)&amp;"Intro.Issues: "&amp;VLOOKUP(A65,Internal_lists_bugs!$A$2:$P1013,16,FALSE())),"please select a BUG ID")</f>
        <v>BIC: https://opendev.org/openstack/nova/commit/501ff41
Intro.Issues: instance-group-api-extension</v>
      </c>
    </row>
    <row r="66">
      <c r="A66" s="18" t="s">
        <v>41</v>
      </c>
      <c r="B66" s="77" t="str">
        <f>IFERROR(HYPERLINK(VLOOKUP(A66,Internal_lists_bugs!$A$2:$C$73,3,FALSE()), VLOOKUP(A66,Internal_lists_bugs!$A$2:$C$73,3,FALSE())&amp;Char(10) &amp; Char(10) &amp; VLOOKUP(A66,Internal_lists_bugs!$A$2:$Z$73,26,FALSE())),"please select a BUG ID")</f>
        <v>https://bugs.launchpad.net/nova/+bug/1466390
/sqlalchemy/api.py</v>
      </c>
      <c r="C66" s="78" t="str">
        <f>IFERROR(VLOOKUP(A66,Internal_lists_bugs!$A$2:$X1013,24,FALSE()),"please select a BUG ID")</f>
        <v>https://www.mail-archive.com/openstack-dev@lists.openstack.org/ </v>
      </c>
      <c r="E66" s="82"/>
      <c r="F66" s="80"/>
      <c r="G66" s="16" t="s">
        <v>648</v>
      </c>
      <c r="H66" s="79" t="s">
        <v>649</v>
      </c>
      <c r="I66" s="59" t="s">
        <v>650</v>
      </c>
      <c r="J66" s="81" t="str">
        <f>IFERROR(Hyperlink(VLOOKUP(A66,Internal_lists_bugs!$A$2:$G1013,7,FALSE()),"BIC: "&amp;VLOOKUP(A66,Internal_lists_bugs!$A$2:$G1013,7,FALSE())&amp;CHAR(10)&amp;"Intro.Issues: "&amp;VLOOKUP(A66,Internal_lists_bugs!$A$2:$P1013,16,FALSE())),"please select a BUG ID")</f>
        <v>BIC: https://opendev.org/openstack/nova/commit/501ff41
Intro.Issues: instance-group-api-extension</v>
      </c>
    </row>
    <row r="67">
      <c r="A67" s="18" t="s">
        <v>41</v>
      </c>
      <c r="B67" s="77" t="str">
        <f>IFERROR(HYPERLINK(VLOOKUP(A67,Internal_lists_bugs!$A$2:$C$73,3,FALSE()), VLOOKUP(A67,Internal_lists_bugs!$A$2:$C$73,3,FALSE())&amp;Char(10) &amp; Char(10) &amp; VLOOKUP(A67,Internal_lists_bugs!$A$2:$Z$73,26,FALSE())),"please select a BUG ID")</f>
        <v>https://bugs.launchpad.net/nova/+bug/1466390
/sqlalchemy/api.py</v>
      </c>
      <c r="C67" s="78" t="str">
        <f>IFERROR(VLOOKUP(A67,Internal_lists_bugs!$A$2:$X1013,24,FALSE()),"please select a BUG ID")</f>
        <v>https://www.mail-archive.com/openstack-dev@lists.openstack.org/ </v>
      </c>
      <c r="E67" s="82"/>
      <c r="F67" s="80"/>
      <c r="G67" s="16" t="s">
        <v>648</v>
      </c>
      <c r="H67" s="79" t="s">
        <v>651</v>
      </c>
      <c r="I67" s="59" t="s">
        <v>652</v>
      </c>
      <c r="J67" s="81" t="str">
        <f>IFERROR(Hyperlink(VLOOKUP(A67,Internal_lists_bugs!$A$2:$G1013,7,FALSE()),"BIC: "&amp;VLOOKUP(A67,Internal_lists_bugs!$A$2:$G1013,7,FALSE())&amp;CHAR(10)&amp;"Intro.Issues: "&amp;VLOOKUP(A67,Internal_lists_bugs!$A$2:$P1013,16,FALSE())),"please select a BUG ID")</f>
        <v>BIC: https://opendev.org/openstack/nova/commit/501ff41
Intro.Issues: instance-group-api-extension</v>
      </c>
    </row>
    <row r="68">
      <c r="A68" s="18" t="s">
        <v>41</v>
      </c>
      <c r="B68" s="77" t="str">
        <f>IFERROR(HYPERLINK(VLOOKUP(A68,Internal_lists_bugs!$A$2:$C$73,3,FALSE()), VLOOKUP(A68,Internal_lists_bugs!$A$2:$C$73,3,FALSE())&amp;Char(10) &amp; Char(10) &amp; VLOOKUP(A68,Internal_lists_bugs!$A$2:$Z$73,26,FALSE())),"please select a BUG ID")</f>
        <v>https://bugs.launchpad.net/nova/+bug/1466390
/sqlalchemy/api.py</v>
      </c>
      <c r="C68" s="78" t="str">
        <f>IFERROR(VLOOKUP(A68,Internal_lists_bugs!$A$2:$X1013,24,FALSE()),"please select a BUG ID")</f>
        <v>https://www.mail-archive.com/openstack-dev@lists.openstack.org/ </v>
      </c>
      <c r="E68" s="82"/>
      <c r="F68" s="80"/>
      <c r="G68" s="16" t="s">
        <v>648</v>
      </c>
      <c r="H68" s="79" t="s">
        <v>653</v>
      </c>
      <c r="I68" s="59" t="s">
        <v>654</v>
      </c>
      <c r="J68" s="81" t="str">
        <f>IFERROR(Hyperlink(VLOOKUP(A68,Internal_lists_bugs!$A$2:$G1013,7,FALSE()),"BIC: "&amp;VLOOKUP(A68,Internal_lists_bugs!$A$2:$G1013,7,FALSE())&amp;CHAR(10)&amp;"Intro.Issues: "&amp;VLOOKUP(A68,Internal_lists_bugs!$A$2:$P1013,16,FALSE())),"please select a BUG ID")</f>
        <v>BIC: https://opendev.org/openstack/nova/commit/501ff41
Intro.Issues: instance-group-api-extension</v>
      </c>
    </row>
    <row r="69">
      <c r="A69" s="18" t="s">
        <v>41</v>
      </c>
      <c r="B69" s="77" t="str">
        <f>IFERROR(HYPERLINK(VLOOKUP(A69,Internal_lists_bugs!$A$2:$C$73,3,FALSE()), VLOOKUP(A69,Internal_lists_bugs!$A$2:$C$73,3,FALSE())&amp;Char(10) &amp; Char(10) &amp; VLOOKUP(A69,Internal_lists_bugs!$A$2:$Z$73,26,FALSE())),"please select a BUG ID")</f>
        <v>https://bugs.launchpad.net/nova/+bug/1466390
/sqlalchemy/api.py</v>
      </c>
      <c r="C69" s="78" t="str">
        <f>IFERROR(VLOOKUP(A69,Internal_lists_bugs!$A$2:$X1013,24,FALSE()),"please select a BUG ID")</f>
        <v>https://www.mail-archive.com/openstack-dev@lists.openstack.org/ </v>
      </c>
      <c r="E69" s="82"/>
      <c r="F69" s="80"/>
      <c r="G69" s="16" t="s">
        <v>655</v>
      </c>
      <c r="H69" s="79" t="s">
        <v>656</v>
      </c>
      <c r="I69" s="59" t="s">
        <v>657</v>
      </c>
      <c r="J69" s="81" t="str">
        <f>IFERROR(Hyperlink(VLOOKUP(A69,Internal_lists_bugs!$A$2:$G1013,7,FALSE()),"BIC: "&amp;VLOOKUP(A69,Internal_lists_bugs!$A$2:$G1013,7,FALSE())&amp;CHAR(10)&amp;"Intro.Issues: "&amp;VLOOKUP(A69,Internal_lists_bugs!$A$2:$P1013,16,FALSE())),"please select a BUG ID")</f>
        <v>BIC: https://opendev.org/openstack/nova/commit/501ff41
Intro.Issues: instance-group-api-extension</v>
      </c>
    </row>
    <row r="70">
      <c r="A70" s="18" t="s">
        <v>41</v>
      </c>
      <c r="B70" s="77" t="str">
        <f>IFERROR(HYPERLINK(VLOOKUP(A70,Internal_lists_bugs!$A$2:$C$73,3,FALSE()), VLOOKUP(A70,Internal_lists_bugs!$A$2:$C$73,3,FALSE())&amp;Char(10) &amp; Char(10) &amp; VLOOKUP(A70,Internal_lists_bugs!$A$2:$Z$73,26,FALSE())),"please select a BUG ID")</f>
        <v>https://bugs.launchpad.net/nova/+bug/1466390
/sqlalchemy/api.py</v>
      </c>
      <c r="C70" s="78" t="str">
        <f>IFERROR(VLOOKUP(A70,Internal_lists_bugs!$A$2:$X1013,24,FALSE()),"please select a BUG ID")</f>
        <v>https://www.mail-archive.com/openstack-dev@lists.openstack.org/ </v>
      </c>
      <c r="E70" s="82"/>
      <c r="F70" s="80"/>
      <c r="G70" s="16" t="s">
        <v>658</v>
      </c>
      <c r="H70" s="79" t="s">
        <v>659</v>
      </c>
      <c r="I70" s="59" t="s">
        <v>660</v>
      </c>
      <c r="J70" s="81" t="str">
        <f>IFERROR(Hyperlink(VLOOKUP(A70,Internal_lists_bugs!$A$2:$G1013,7,FALSE()),"BIC: "&amp;VLOOKUP(A70,Internal_lists_bugs!$A$2:$G1013,7,FALSE())&amp;CHAR(10)&amp;"Intro.Issues: "&amp;VLOOKUP(A70,Internal_lists_bugs!$A$2:$P1013,16,FALSE())),"please select a BUG ID")</f>
        <v>BIC: https://opendev.org/openstack/nova/commit/501ff41
Intro.Issues: instance-group-api-extension</v>
      </c>
    </row>
    <row r="71">
      <c r="A71" s="18" t="s">
        <v>41</v>
      </c>
      <c r="B71" s="77" t="str">
        <f>IFERROR(HYPERLINK(VLOOKUP(A71,Internal_lists_bugs!$A$2:$C$73,3,FALSE()), VLOOKUP(A71,Internal_lists_bugs!$A$2:$C$73,3,FALSE())&amp;Char(10) &amp; Char(10) &amp; VLOOKUP(A71,Internal_lists_bugs!$A$2:$Z$73,26,FALSE())),"please select a BUG ID")</f>
        <v>https://bugs.launchpad.net/nova/+bug/1466390
/sqlalchemy/api.py</v>
      </c>
      <c r="C71" s="78" t="str">
        <f>IFERROR(VLOOKUP(A71,Internal_lists_bugs!$A$2:$X1013,24,FALSE()),"please select a BUG ID")</f>
        <v>https://www.mail-archive.com/openstack-dev@lists.openstack.org/ </v>
      </c>
      <c r="E71" s="82"/>
      <c r="F71" s="80"/>
      <c r="G71" s="16" t="s">
        <v>661</v>
      </c>
      <c r="H71" s="79" t="s">
        <v>662</v>
      </c>
      <c r="I71" s="59" t="s">
        <v>663</v>
      </c>
      <c r="J71" s="81" t="str">
        <f>IFERROR(Hyperlink(VLOOKUP(A71,Internal_lists_bugs!$A$2:$G1013,7,FALSE()),"BIC: "&amp;VLOOKUP(A71,Internal_lists_bugs!$A$2:$G1013,7,FALSE())&amp;CHAR(10)&amp;"Intro.Issues: "&amp;VLOOKUP(A71,Internal_lists_bugs!$A$2:$P1013,16,FALSE())),"please select a BUG ID")</f>
        <v>BIC: https://opendev.org/openstack/nova/commit/501ff41
Intro.Issues: instance-group-api-extension</v>
      </c>
    </row>
    <row r="72">
      <c r="A72" s="18" t="s">
        <v>41</v>
      </c>
      <c r="B72" s="77" t="str">
        <f>IFERROR(HYPERLINK(VLOOKUP(A72,Internal_lists_bugs!$A$2:$C$73,3,FALSE()), VLOOKUP(A72,Internal_lists_bugs!$A$2:$C$73,3,FALSE())&amp;Char(10) &amp; Char(10) &amp; VLOOKUP(A72,Internal_lists_bugs!$A$2:$Z$73,26,FALSE())),"please select a BUG ID")</f>
        <v>https://bugs.launchpad.net/nova/+bug/1466390
/sqlalchemy/api.py</v>
      </c>
      <c r="C72" s="78" t="str">
        <f>IFERROR(VLOOKUP(A72,Internal_lists_bugs!$A$2:$X1013,24,FALSE()),"please select a BUG ID")</f>
        <v>https://www.mail-archive.com/openstack-dev@lists.openstack.org/ </v>
      </c>
      <c r="E72" s="82"/>
      <c r="F72" s="80"/>
      <c r="G72" s="16" t="s">
        <v>664</v>
      </c>
      <c r="H72" s="79" t="s">
        <v>665</v>
      </c>
      <c r="I72" s="59" t="s">
        <v>666</v>
      </c>
      <c r="J72" s="81" t="str">
        <f>IFERROR(Hyperlink(VLOOKUP(A72,Internal_lists_bugs!$A$2:$G1013,7,FALSE()),"BIC: "&amp;VLOOKUP(A72,Internal_lists_bugs!$A$2:$G1013,7,FALSE())&amp;CHAR(10)&amp;"Intro.Issues: "&amp;VLOOKUP(A72,Internal_lists_bugs!$A$2:$P1013,16,FALSE())),"please select a BUG ID")</f>
        <v>BIC: https://opendev.org/openstack/nova/commit/501ff41
Intro.Issues: instance-group-api-extension</v>
      </c>
    </row>
    <row r="73">
      <c r="A73" s="18" t="s">
        <v>41</v>
      </c>
      <c r="B73" s="77" t="str">
        <f>IFERROR(HYPERLINK(VLOOKUP(A73,Internal_lists_bugs!$A$2:$C$73,3,FALSE()), VLOOKUP(A73,Internal_lists_bugs!$A$2:$C$73,3,FALSE())&amp;Char(10) &amp; Char(10) &amp; VLOOKUP(A73,Internal_lists_bugs!$A$2:$Z$73,26,FALSE())),"please select a BUG ID")</f>
        <v>https://bugs.launchpad.net/nova/+bug/1466390
/sqlalchemy/api.py</v>
      </c>
      <c r="C73" s="78" t="str">
        <f>IFERROR(VLOOKUP(A73,Internal_lists_bugs!$A$2:$X1013,24,FALSE()),"please select a BUG ID")</f>
        <v>https://www.mail-archive.com/openstack-dev@lists.openstack.org/ </v>
      </c>
      <c r="E73" s="82"/>
      <c r="F73" s="80"/>
      <c r="G73" s="16" t="s">
        <v>667</v>
      </c>
      <c r="H73" s="79" t="s">
        <v>668</v>
      </c>
      <c r="I73" s="80"/>
      <c r="J73" s="81" t="str">
        <f>IFERROR(Hyperlink(VLOOKUP(A73,Internal_lists_bugs!$A$2:$G1013,7,FALSE()),"BIC: "&amp;VLOOKUP(A73,Internal_lists_bugs!$A$2:$G1013,7,FALSE())&amp;CHAR(10)&amp;"Intro.Issues: "&amp;VLOOKUP(A73,Internal_lists_bugs!$A$2:$P1013,16,FALSE())),"please select a BUG ID")</f>
        <v>BIC: https://opendev.org/openstack/nova/commit/501ff41
Intro.Issues: instance-group-api-extension</v>
      </c>
    </row>
    <row r="74">
      <c r="A74" s="18" t="s">
        <v>41</v>
      </c>
      <c r="B74" s="77" t="str">
        <f>IFERROR(HYPERLINK(VLOOKUP(A74,Internal_lists_bugs!$A$2:$C$73,3,FALSE()), VLOOKUP(A74,Internal_lists_bugs!$A$2:$C$73,3,FALSE())&amp;Char(10) &amp; Char(10) &amp; VLOOKUP(A74,Internal_lists_bugs!$A$2:$Z$73,26,FALSE())),"please select a BUG ID")</f>
        <v>https://bugs.launchpad.net/nova/+bug/1466390
/sqlalchemy/api.py</v>
      </c>
      <c r="C74" s="78" t="str">
        <f>IFERROR(VLOOKUP(A74,Internal_lists_bugs!$A$2:$X1013,24,FALSE()),"please select a BUG ID")</f>
        <v>https://www.mail-archive.com/openstack-dev@lists.openstack.org/ </v>
      </c>
      <c r="E74" s="82"/>
      <c r="F74" s="80"/>
      <c r="G74" s="16" t="s">
        <v>669</v>
      </c>
      <c r="H74" s="79" t="s">
        <v>670</v>
      </c>
      <c r="I74" s="59" t="s">
        <v>671</v>
      </c>
      <c r="J74" s="81" t="str">
        <f>IFERROR(Hyperlink(VLOOKUP(A74,Internal_lists_bugs!$A$2:$G1013,7,FALSE()),"BIC: "&amp;VLOOKUP(A74,Internal_lists_bugs!$A$2:$G1013,7,FALSE())&amp;CHAR(10)&amp;"Intro.Issues: "&amp;VLOOKUP(A74,Internal_lists_bugs!$A$2:$P1013,16,FALSE())),"please select a BUG ID")</f>
        <v>BIC: https://opendev.org/openstack/nova/commit/501ff41
Intro.Issues: instance-group-api-extension</v>
      </c>
    </row>
    <row r="75">
      <c r="A75" s="18" t="s">
        <v>41</v>
      </c>
      <c r="B75" s="77" t="str">
        <f>IFERROR(HYPERLINK(VLOOKUP(A75,Internal_lists_bugs!$A$2:$C$73,3,FALSE()), VLOOKUP(A75,Internal_lists_bugs!$A$2:$C$73,3,FALSE())&amp;Char(10) &amp; Char(10) &amp; VLOOKUP(A75,Internal_lists_bugs!$A$2:$Z$73,26,FALSE())),"please select a BUG ID")</f>
        <v>https://bugs.launchpad.net/nova/+bug/1466390
/sqlalchemy/api.py</v>
      </c>
      <c r="C75" s="78" t="str">
        <f>IFERROR(VLOOKUP(A75,Internal_lists_bugs!$A$2:$X1013,24,FALSE()),"please select a BUG ID")</f>
        <v>https://www.mail-archive.com/openstack-dev@lists.openstack.org/ </v>
      </c>
      <c r="E75" s="82"/>
      <c r="F75" s="80"/>
      <c r="G75" s="16" t="s">
        <v>672</v>
      </c>
      <c r="H75" s="79" t="s">
        <v>635</v>
      </c>
      <c r="I75" s="59" t="s">
        <v>673</v>
      </c>
      <c r="J75" s="81" t="str">
        <f>IFERROR(Hyperlink(VLOOKUP(A75,Internal_lists_bugs!$A$2:$G1013,7,FALSE()),"BIC: "&amp;VLOOKUP(A75,Internal_lists_bugs!$A$2:$G1013,7,FALSE())&amp;CHAR(10)&amp;"Intro.Issues: "&amp;VLOOKUP(A75,Internal_lists_bugs!$A$2:$P1013,16,FALSE())),"please select a BUG ID")</f>
        <v>BIC: https://opendev.org/openstack/nova/commit/501ff41
Intro.Issues: instance-group-api-extension</v>
      </c>
    </row>
    <row r="76">
      <c r="A76" s="18" t="s">
        <v>41</v>
      </c>
      <c r="B76" s="77" t="str">
        <f>IFERROR(HYPERLINK(VLOOKUP(A76,Internal_lists_bugs!$A$2:$C$73,3,FALSE()), VLOOKUP(A76,Internal_lists_bugs!$A$2:$C$73,3,FALSE())&amp;Char(10) &amp; Char(10) &amp; VLOOKUP(A76,Internal_lists_bugs!$A$2:$Z$73,26,FALSE())),"please select a BUG ID")</f>
        <v>https://bugs.launchpad.net/nova/+bug/1466390
/sqlalchemy/api.py</v>
      </c>
      <c r="C76" s="78" t="str">
        <f>IFERROR(VLOOKUP(A76,Internal_lists_bugs!$A$2:$X1013,24,FALSE()),"please select a BUG ID")</f>
        <v>https://www.mail-archive.com/openstack-dev@lists.openstack.org/ </v>
      </c>
      <c r="E76" s="82"/>
      <c r="F76" s="80"/>
      <c r="G76" s="16" t="s">
        <v>674</v>
      </c>
      <c r="H76" s="79" t="s">
        <v>635</v>
      </c>
      <c r="I76" s="59" t="s">
        <v>675</v>
      </c>
      <c r="J76" s="81" t="str">
        <f>IFERROR(Hyperlink(VLOOKUP(A76,Internal_lists_bugs!$A$2:$G1013,7,FALSE()),"BIC: "&amp;VLOOKUP(A76,Internal_lists_bugs!$A$2:$G1013,7,FALSE())&amp;CHAR(10)&amp;"Intro.Issues: "&amp;VLOOKUP(A76,Internal_lists_bugs!$A$2:$P1013,16,FALSE())),"please select a BUG ID")</f>
        <v>BIC: https://opendev.org/openstack/nova/commit/501ff41
Intro.Issues: instance-group-api-extension</v>
      </c>
    </row>
    <row r="77">
      <c r="A77" s="18" t="s">
        <v>41</v>
      </c>
      <c r="B77" s="77" t="str">
        <f>IFERROR(HYPERLINK(VLOOKUP(A77,Internal_lists_bugs!$A$2:$C$73,3,FALSE()), VLOOKUP(A77,Internal_lists_bugs!$A$2:$C$73,3,FALSE())&amp;Char(10) &amp; Char(10) &amp; VLOOKUP(A77,Internal_lists_bugs!$A$2:$Z$73,26,FALSE())),"please select a BUG ID")</f>
        <v>https://bugs.launchpad.net/nova/+bug/1466390
/sqlalchemy/api.py</v>
      </c>
      <c r="C77" s="78" t="str">
        <f>IFERROR(VLOOKUP(A77,Internal_lists_bugs!$A$2:$X1013,24,FALSE()),"please select a BUG ID")</f>
        <v>https://www.mail-archive.com/openstack-dev@lists.openstack.org/ </v>
      </c>
      <c r="E77" s="82"/>
      <c r="F77" s="80"/>
      <c r="G77" s="16" t="s">
        <v>676</v>
      </c>
      <c r="H77" s="79" t="s">
        <v>677</v>
      </c>
      <c r="I77" s="59" t="s">
        <v>678</v>
      </c>
      <c r="J77" s="81" t="str">
        <f>IFERROR(Hyperlink(VLOOKUP(A77,Internal_lists_bugs!$A$2:$G1013,7,FALSE()),"BIC: "&amp;VLOOKUP(A77,Internal_lists_bugs!$A$2:$G1013,7,FALSE())&amp;CHAR(10)&amp;"Intro.Issues: "&amp;VLOOKUP(A77,Internal_lists_bugs!$A$2:$P1013,16,FALSE())),"please select a BUG ID")</f>
        <v>BIC: https://opendev.org/openstack/nova/commit/501ff41
Intro.Issues: instance-group-api-extension</v>
      </c>
    </row>
    <row r="78">
      <c r="A78" s="18" t="s">
        <v>41</v>
      </c>
      <c r="B78" s="77" t="str">
        <f>IFERROR(HYPERLINK(VLOOKUP(A78,Internal_lists_bugs!$A$2:$C$73,3,FALSE()), VLOOKUP(A78,Internal_lists_bugs!$A$2:$C$73,3,FALSE())&amp;Char(10) &amp; Char(10) &amp; VLOOKUP(A78,Internal_lists_bugs!$A$2:$Z$73,26,FALSE())),"please select a BUG ID")</f>
        <v>https://bugs.launchpad.net/nova/+bug/1466390
/sqlalchemy/api.py</v>
      </c>
      <c r="C78" s="78" t="str">
        <f>IFERROR(VLOOKUP(A78,Internal_lists_bugs!$A$2:$X1013,24,FALSE()),"please select a BUG ID")</f>
        <v>https://www.mail-archive.com/openstack-dev@lists.openstack.org/ </v>
      </c>
      <c r="E78" s="82"/>
      <c r="F78" s="80"/>
      <c r="G78" s="16" t="s">
        <v>679</v>
      </c>
      <c r="H78" s="79" t="s">
        <v>531</v>
      </c>
      <c r="I78" s="59" t="s">
        <v>680</v>
      </c>
      <c r="J78" s="81" t="str">
        <f>IFERROR(Hyperlink(VLOOKUP(A78,Internal_lists_bugs!$A$2:$G1013,7,FALSE()),"BIC: "&amp;VLOOKUP(A78,Internal_lists_bugs!$A$2:$G1013,7,FALSE())&amp;CHAR(10)&amp;"Intro.Issues: "&amp;VLOOKUP(A78,Internal_lists_bugs!$A$2:$P1013,16,FALSE())),"please select a BUG ID")</f>
        <v>BIC: https://opendev.org/openstack/nova/commit/501ff41
Intro.Issues: instance-group-api-extension</v>
      </c>
    </row>
    <row r="79">
      <c r="A79" s="18" t="s">
        <v>41</v>
      </c>
      <c r="B79" s="77" t="str">
        <f>IFERROR(HYPERLINK(VLOOKUP(A79,Internal_lists_bugs!$A$2:$C$73,3,FALSE()), VLOOKUP(A79,Internal_lists_bugs!$A$2:$C$73,3,FALSE())&amp;Char(10) &amp; Char(10) &amp; VLOOKUP(A79,Internal_lists_bugs!$A$2:$Z$73,26,FALSE())),"please select a BUG ID")</f>
        <v>https://bugs.launchpad.net/nova/+bug/1466390
/sqlalchemy/api.py</v>
      </c>
      <c r="C79" s="78" t="str">
        <f>IFERROR(VLOOKUP(A79,Internal_lists_bugs!$A$2:$X1013,24,FALSE()),"please select a BUG ID")</f>
        <v>https://www.mail-archive.com/openstack-dev@lists.openstack.org/ </v>
      </c>
      <c r="E79" s="82"/>
      <c r="F79" s="80"/>
      <c r="G79" s="16" t="s">
        <v>681</v>
      </c>
      <c r="H79" s="79" t="s">
        <v>531</v>
      </c>
      <c r="I79" s="59" t="s">
        <v>680</v>
      </c>
      <c r="J79" s="81" t="str">
        <f>IFERROR(Hyperlink(VLOOKUP(A79,Internal_lists_bugs!$A$2:$G1013,7,FALSE()),"BIC: "&amp;VLOOKUP(A79,Internal_lists_bugs!$A$2:$G1013,7,FALSE())&amp;CHAR(10)&amp;"Intro.Issues: "&amp;VLOOKUP(A79,Internal_lists_bugs!$A$2:$P1013,16,FALSE())),"please select a BUG ID")</f>
        <v>BIC: https://opendev.org/openstack/nova/commit/501ff41
Intro.Issues: instance-group-api-extension</v>
      </c>
    </row>
    <row r="80">
      <c r="A80" s="18" t="s">
        <v>41</v>
      </c>
      <c r="B80" s="77" t="str">
        <f>IFERROR(HYPERLINK(VLOOKUP(A80,Internal_lists_bugs!$A$2:$C$73,3,FALSE()), VLOOKUP(A80,Internal_lists_bugs!$A$2:$C$73,3,FALSE())&amp;Char(10) &amp; Char(10) &amp; VLOOKUP(A80,Internal_lists_bugs!$A$2:$Z$73,26,FALSE())),"please select a BUG ID")</f>
        <v>https://bugs.launchpad.net/nova/+bug/1466390
/sqlalchemy/api.py</v>
      </c>
      <c r="C80" s="78" t="str">
        <f>IFERROR(VLOOKUP(A80,Internal_lists_bugs!$A$2:$X1013,24,FALSE()),"please select a BUG ID")</f>
        <v>https://www.mail-archive.com/openstack-dev@lists.openstack.org/ </v>
      </c>
      <c r="E80" s="82"/>
      <c r="F80" s="80"/>
      <c r="G80" s="16" t="s">
        <v>682</v>
      </c>
      <c r="H80" s="79" t="s">
        <v>683</v>
      </c>
      <c r="I80" s="59" t="s">
        <v>684</v>
      </c>
      <c r="J80" s="81" t="str">
        <f>IFERROR(Hyperlink(VLOOKUP(A80,Internal_lists_bugs!$A$2:$G1013,7,FALSE()),"BIC: "&amp;VLOOKUP(A80,Internal_lists_bugs!$A$2:$G1013,7,FALSE())&amp;CHAR(10)&amp;"Intro.Issues: "&amp;VLOOKUP(A80,Internal_lists_bugs!$A$2:$P1013,16,FALSE())),"please select a BUG ID")</f>
        <v>BIC: https://opendev.org/openstack/nova/commit/501ff41
Intro.Issues: instance-group-api-extension</v>
      </c>
    </row>
    <row r="81">
      <c r="A81" s="18" t="s">
        <v>41</v>
      </c>
      <c r="B81" s="77" t="str">
        <f>IFERROR(HYPERLINK(VLOOKUP(A81,Internal_lists_bugs!$A$2:$C$73,3,FALSE()), VLOOKUP(A81,Internal_lists_bugs!$A$2:$C$73,3,FALSE())&amp;Char(10) &amp; Char(10) &amp; VLOOKUP(A81,Internal_lists_bugs!$A$2:$Z$73,26,FALSE())),"please select a BUG ID")</f>
        <v>https://bugs.launchpad.net/nova/+bug/1466390
/sqlalchemy/api.py</v>
      </c>
      <c r="C81" s="78" t="str">
        <f>IFERROR(VLOOKUP(A81,Internal_lists_bugs!$A$2:$X1013,24,FALSE()),"please select a BUG ID")</f>
        <v>https://www.mail-archive.com/openstack-dev@lists.openstack.org/ </v>
      </c>
      <c r="E81" s="82"/>
      <c r="F81" s="80"/>
      <c r="G81" s="16" t="s">
        <v>682</v>
      </c>
      <c r="H81" s="79" t="s">
        <v>646</v>
      </c>
      <c r="I81" s="59" t="s">
        <v>685</v>
      </c>
      <c r="J81" s="81" t="str">
        <f>IFERROR(Hyperlink(VLOOKUP(A81,Internal_lists_bugs!$A$2:$G1013,7,FALSE()),"BIC: "&amp;VLOOKUP(A81,Internal_lists_bugs!$A$2:$G1013,7,FALSE())&amp;CHAR(10)&amp;"Intro.Issues: "&amp;VLOOKUP(A81,Internal_lists_bugs!$A$2:$P1013,16,FALSE())),"please select a BUG ID")</f>
        <v>BIC: https://opendev.org/openstack/nova/commit/501ff41
Intro.Issues: instance-group-api-extension</v>
      </c>
    </row>
    <row r="82">
      <c r="A82" s="18" t="s">
        <v>41</v>
      </c>
      <c r="B82" s="77" t="str">
        <f>IFERROR(HYPERLINK(VLOOKUP(A82,Internal_lists_bugs!$A$2:$C$73,3,FALSE()), VLOOKUP(A82,Internal_lists_bugs!$A$2:$C$73,3,FALSE())&amp;Char(10) &amp; Char(10) &amp; VLOOKUP(A82,Internal_lists_bugs!$A$2:$Z$73,26,FALSE())),"please select a BUG ID")</f>
        <v>https://bugs.launchpad.net/nova/+bug/1466390
/sqlalchemy/api.py</v>
      </c>
      <c r="C82" s="78" t="str">
        <f>IFERROR(VLOOKUP(A82,Internal_lists_bugs!$A$2:$X1013,24,FALSE()),"please select a BUG ID")</f>
        <v>https://www.mail-archive.com/openstack-dev@lists.openstack.org/ </v>
      </c>
      <c r="E82" s="82"/>
      <c r="F82" s="80"/>
      <c r="G82" s="16" t="s">
        <v>686</v>
      </c>
      <c r="H82" s="79" t="s">
        <v>687</v>
      </c>
      <c r="I82" s="59" t="s">
        <v>688</v>
      </c>
      <c r="J82" s="81" t="str">
        <f>IFERROR(Hyperlink(VLOOKUP(A82,Internal_lists_bugs!$A$2:$G1013,7,FALSE()),"BIC: "&amp;VLOOKUP(A82,Internal_lists_bugs!$A$2:$G1013,7,FALSE())&amp;CHAR(10)&amp;"Intro.Issues: "&amp;VLOOKUP(A82,Internal_lists_bugs!$A$2:$P1013,16,FALSE())),"please select a BUG ID")</f>
        <v>BIC: https://opendev.org/openstack/nova/commit/501ff41
Intro.Issues: instance-group-api-extension</v>
      </c>
    </row>
    <row r="83">
      <c r="A83" s="18" t="s">
        <v>41</v>
      </c>
      <c r="B83" s="77" t="str">
        <f>IFERROR(HYPERLINK(VLOOKUP(A83,Internal_lists_bugs!$A$2:$C$73,3,FALSE()), VLOOKUP(A83,Internal_lists_bugs!$A$2:$C$73,3,FALSE())&amp;Char(10) &amp; Char(10) &amp; VLOOKUP(A83,Internal_lists_bugs!$A$2:$Z$73,26,FALSE())),"please select a BUG ID")</f>
        <v>https://bugs.launchpad.net/nova/+bug/1466390
/sqlalchemy/api.py</v>
      </c>
      <c r="C83" s="78" t="str">
        <f>IFERROR(VLOOKUP(A83,Internal_lists_bugs!$A$2:$X1013,24,FALSE()),"please select a BUG ID")</f>
        <v>https://www.mail-archive.com/openstack-dev@lists.openstack.org/ </v>
      </c>
      <c r="E83" s="82"/>
      <c r="F83" s="80"/>
      <c r="G83" s="16" t="s">
        <v>686</v>
      </c>
      <c r="H83" s="79" t="s">
        <v>689</v>
      </c>
      <c r="I83" s="59" t="s">
        <v>690</v>
      </c>
      <c r="J83" s="81" t="str">
        <f>IFERROR(Hyperlink(VLOOKUP(A83,Internal_lists_bugs!$A$2:$G1013,7,FALSE()),"BIC: "&amp;VLOOKUP(A83,Internal_lists_bugs!$A$2:$G1013,7,FALSE())&amp;CHAR(10)&amp;"Intro.Issues: "&amp;VLOOKUP(A83,Internal_lists_bugs!$A$2:$P1013,16,FALSE())),"please select a BUG ID")</f>
        <v>BIC: https://opendev.org/openstack/nova/commit/501ff41
Intro.Issues: instance-group-api-extension</v>
      </c>
    </row>
    <row r="84">
      <c r="A84" s="18" t="s">
        <v>41</v>
      </c>
      <c r="B84" s="77" t="str">
        <f>IFERROR(HYPERLINK(VLOOKUP(A84,Internal_lists_bugs!$A$2:$C$73,3,FALSE()), VLOOKUP(A84,Internal_lists_bugs!$A$2:$C$73,3,FALSE())&amp;Char(10) &amp; Char(10) &amp; VLOOKUP(A84,Internal_lists_bugs!$A$2:$Z$73,26,FALSE())),"please select a BUG ID")</f>
        <v>https://bugs.launchpad.net/nova/+bug/1466390
/sqlalchemy/api.py</v>
      </c>
      <c r="C84" s="78" t="str">
        <f>IFERROR(VLOOKUP(A84,Internal_lists_bugs!$A$2:$X1013,24,FALSE()),"please select a BUG ID")</f>
        <v>https://www.mail-archive.com/openstack-dev@lists.openstack.org/ </v>
      </c>
      <c r="E84" s="82"/>
      <c r="F84" s="80"/>
      <c r="G84" s="16" t="s">
        <v>691</v>
      </c>
      <c r="H84" s="79" t="s">
        <v>552</v>
      </c>
      <c r="I84" s="59" t="s">
        <v>680</v>
      </c>
      <c r="J84" s="81" t="str">
        <f>IFERROR(Hyperlink(VLOOKUP(A84,Internal_lists_bugs!$A$2:$G1013,7,FALSE()),"BIC: "&amp;VLOOKUP(A84,Internal_lists_bugs!$A$2:$G1013,7,FALSE())&amp;CHAR(10)&amp;"Intro.Issues: "&amp;VLOOKUP(A84,Internal_lists_bugs!$A$2:$P1013,16,FALSE())),"please select a BUG ID")</f>
        <v>BIC: https://opendev.org/openstack/nova/commit/501ff41
Intro.Issues: instance-group-api-extension</v>
      </c>
    </row>
    <row r="85">
      <c r="A85" s="18" t="s">
        <v>41</v>
      </c>
      <c r="B85" s="77" t="str">
        <f>IFERROR(HYPERLINK(VLOOKUP(A85,Internal_lists_bugs!$A$2:$C$73,3,FALSE()), VLOOKUP(A85,Internal_lists_bugs!$A$2:$C$73,3,FALSE())&amp;Char(10) &amp; Char(10) &amp; VLOOKUP(A85,Internal_lists_bugs!$A$2:$Z$73,26,FALSE())),"please select a BUG ID")</f>
        <v>https://bugs.launchpad.net/nova/+bug/1466390
/sqlalchemy/api.py</v>
      </c>
      <c r="C85" s="78" t="str">
        <f>IFERROR(VLOOKUP(A85,Internal_lists_bugs!$A$2:$X1013,24,FALSE()),"please select a BUG ID")</f>
        <v>https://www.mail-archive.com/openstack-dev@lists.openstack.org/ </v>
      </c>
      <c r="E85" s="82"/>
      <c r="F85" s="80"/>
      <c r="G85" s="16" t="s">
        <v>692</v>
      </c>
      <c r="H85" s="79" t="s">
        <v>552</v>
      </c>
      <c r="I85" s="59" t="s">
        <v>680</v>
      </c>
      <c r="J85" s="81" t="str">
        <f>IFERROR(Hyperlink(VLOOKUP(A85,Internal_lists_bugs!$A$2:$G1013,7,FALSE()),"BIC: "&amp;VLOOKUP(A85,Internal_lists_bugs!$A$2:$G1013,7,FALSE())&amp;CHAR(10)&amp;"Intro.Issues: "&amp;VLOOKUP(A85,Internal_lists_bugs!$A$2:$P1013,16,FALSE())),"please select a BUG ID")</f>
        <v>BIC: https://opendev.org/openstack/nova/commit/501ff41
Intro.Issues: instance-group-api-extension</v>
      </c>
    </row>
    <row r="86">
      <c r="A86" s="18" t="s">
        <v>41</v>
      </c>
      <c r="B86" s="77" t="str">
        <f>IFERROR(HYPERLINK(VLOOKUP(A86,Internal_lists_bugs!$A$2:$C$73,3,FALSE()), VLOOKUP(A86,Internal_lists_bugs!$A$2:$C$73,3,FALSE())&amp;Char(10) &amp; Char(10) &amp; VLOOKUP(A86,Internal_lists_bugs!$A$2:$Z$73,26,FALSE())),"please select a BUG ID")</f>
        <v>https://bugs.launchpad.net/nova/+bug/1466390
/sqlalchemy/api.py</v>
      </c>
      <c r="C86" s="78" t="str">
        <f>IFERROR(VLOOKUP(A86,Internal_lists_bugs!$A$2:$X1013,24,FALSE()),"please select a BUG ID")</f>
        <v>https://www.mail-archive.com/openstack-dev@lists.openstack.org/ </v>
      </c>
      <c r="E86" s="82"/>
      <c r="F86" s="80"/>
      <c r="G86" s="16" t="s">
        <v>693</v>
      </c>
      <c r="H86" s="79" t="s">
        <v>694</v>
      </c>
      <c r="I86" s="59" t="s">
        <v>695</v>
      </c>
      <c r="J86" s="81" t="str">
        <f>IFERROR(Hyperlink(VLOOKUP(A86,Internal_lists_bugs!$A$2:$G1013,7,FALSE()),"BIC: "&amp;VLOOKUP(A86,Internal_lists_bugs!$A$2:$G1013,7,FALSE())&amp;CHAR(10)&amp;"Intro.Issues: "&amp;VLOOKUP(A86,Internal_lists_bugs!$A$2:$P1013,16,FALSE())),"please select a BUG ID")</f>
        <v>BIC: https://opendev.org/openstack/nova/commit/501ff41
Intro.Issues: instance-group-api-extension</v>
      </c>
    </row>
    <row r="87">
      <c r="A87" s="18" t="s">
        <v>41</v>
      </c>
      <c r="B87" s="77" t="str">
        <f>IFERROR(HYPERLINK(VLOOKUP(A87,Internal_lists_bugs!$A$2:$C$73,3,FALSE()), VLOOKUP(A87,Internal_lists_bugs!$A$2:$C$73,3,FALSE())&amp;Char(10) &amp; Char(10) &amp; VLOOKUP(A87,Internal_lists_bugs!$A$2:$Z$73,26,FALSE())),"please select a BUG ID")</f>
        <v>https://bugs.launchpad.net/nova/+bug/1466390
/sqlalchemy/api.py</v>
      </c>
      <c r="C87" s="78" t="str">
        <f>IFERROR(VLOOKUP(A87,Internal_lists_bugs!$A$2:$X1013,24,FALSE()),"please select a BUG ID")</f>
        <v>https://www.mail-archive.com/openstack-dev@lists.openstack.org/ </v>
      </c>
      <c r="E87" s="82"/>
      <c r="F87" s="80"/>
      <c r="G87" s="16" t="s">
        <v>696</v>
      </c>
      <c r="H87" s="79" t="s">
        <v>697</v>
      </c>
      <c r="I87" s="59" t="s">
        <v>698</v>
      </c>
      <c r="J87" s="81" t="str">
        <f>IFERROR(Hyperlink(VLOOKUP(A87,Internal_lists_bugs!$A$2:$G1013,7,FALSE()),"BIC: "&amp;VLOOKUP(A87,Internal_lists_bugs!$A$2:$G1013,7,FALSE())&amp;CHAR(10)&amp;"Intro.Issues: "&amp;VLOOKUP(A87,Internal_lists_bugs!$A$2:$P1013,16,FALSE())),"please select a BUG ID")</f>
        <v>BIC: https://opendev.org/openstack/nova/commit/501ff41
Intro.Issues: instance-group-api-extension</v>
      </c>
    </row>
    <row r="88">
      <c r="A88" s="18" t="s">
        <v>41</v>
      </c>
      <c r="B88" s="77" t="str">
        <f>IFERROR(HYPERLINK(VLOOKUP(A88,Internal_lists_bugs!$A$2:$C$73,3,FALSE()), VLOOKUP(A88,Internal_lists_bugs!$A$2:$C$73,3,FALSE())&amp;Char(10) &amp; Char(10) &amp; VLOOKUP(A88,Internal_lists_bugs!$A$2:$Z$73,26,FALSE())),"please select a BUG ID")</f>
        <v>https://bugs.launchpad.net/nova/+bug/1466390
/sqlalchemy/api.py</v>
      </c>
      <c r="C88" s="78" t="str">
        <f>IFERROR(VLOOKUP(A88,Internal_lists_bugs!$A$2:$X1013,24,FALSE()),"please select a BUG ID")</f>
        <v>https://www.mail-archive.com/openstack-dev@lists.openstack.org/ </v>
      </c>
      <c r="E88" s="82"/>
      <c r="F88" s="80"/>
      <c r="G88" s="16" t="s">
        <v>696</v>
      </c>
      <c r="H88" s="79" t="s">
        <v>699</v>
      </c>
      <c r="I88" s="59" t="s">
        <v>700</v>
      </c>
      <c r="J88" s="81" t="str">
        <f>IFERROR(Hyperlink(VLOOKUP(A88,Internal_lists_bugs!$A$2:$G1013,7,FALSE()),"BIC: "&amp;VLOOKUP(A88,Internal_lists_bugs!$A$2:$G1013,7,FALSE())&amp;CHAR(10)&amp;"Intro.Issues: "&amp;VLOOKUP(A88,Internal_lists_bugs!$A$2:$P1013,16,FALSE())),"please select a BUG ID")</f>
        <v>BIC: https://opendev.org/openstack/nova/commit/501ff41
Intro.Issues: instance-group-api-extension</v>
      </c>
    </row>
    <row r="89">
      <c r="A89" s="18" t="s">
        <v>41</v>
      </c>
      <c r="B89" s="77" t="str">
        <f>IFERROR(HYPERLINK(VLOOKUP(A89,Internal_lists_bugs!$A$2:$C$73,3,FALSE()), VLOOKUP(A89,Internal_lists_bugs!$A$2:$C$73,3,FALSE())&amp;Char(10) &amp; Char(10) &amp; VLOOKUP(A89,Internal_lists_bugs!$A$2:$Z$73,26,FALSE())),"please select a BUG ID")</f>
        <v>https://bugs.launchpad.net/nova/+bug/1466390
/sqlalchemy/api.py</v>
      </c>
      <c r="C89" s="78" t="str">
        <f>IFERROR(VLOOKUP(A89,Internal_lists_bugs!$A$2:$X1013,24,FALSE()),"please select a BUG ID")</f>
        <v>https://www.mail-archive.com/openstack-dev@lists.openstack.org/ </v>
      </c>
      <c r="E89" s="82"/>
      <c r="F89" s="80"/>
      <c r="G89" s="16" t="s">
        <v>701</v>
      </c>
      <c r="H89" s="79" t="s">
        <v>552</v>
      </c>
      <c r="I89" s="59" t="s">
        <v>680</v>
      </c>
      <c r="J89" s="81" t="str">
        <f>IFERROR(Hyperlink(VLOOKUP(A89,Internal_lists_bugs!$A$2:$G1013,7,FALSE()),"BIC: "&amp;VLOOKUP(A89,Internal_lists_bugs!$A$2:$G1013,7,FALSE())&amp;CHAR(10)&amp;"Intro.Issues: "&amp;VLOOKUP(A89,Internal_lists_bugs!$A$2:$P1013,16,FALSE())),"please select a BUG ID")</f>
        <v>BIC: https://opendev.org/openstack/nova/commit/501ff41
Intro.Issues: instance-group-api-extension</v>
      </c>
    </row>
    <row r="90">
      <c r="A90" s="18" t="s">
        <v>41</v>
      </c>
      <c r="B90" s="77" t="str">
        <f>IFERROR(HYPERLINK(VLOOKUP(A90,Internal_lists_bugs!$A$2:$C$73,3,FALSE()), VLOOKUP(A90,Internal_lists_bugs!$A$2:$C$73,3,FALSE())&amp;Char(10) &amp; Char(10) &amp; VLOOKUP(A90,Internal_lists_bugs!$A$2:$Z$73,26,FALSE())),"please select a BUG ID")</f>
        <v>https://bugs.launchpad.net/nova/+bug/1466390
/sqlalchemy/api.py</v>
      </c>
      <c r="C90" s="78" t="str">
        <f>IFERROR(VLOOKUP(A90,Internal_lists_bugs!$A$2:$X1013,24,FALSE()),"please select a BUG ID")</f>
        <v>https://www.mail-archive.com/openstack-dev@lists.openstack.org/ </v>
      </c>
      <c r="E90" s="82"/>
      <c r="F90" s="80"/>
      <c r="G90" s="16" t="s">
        <v>702</v>
      </c>
      <c r="H90" s="79" t="s">
        <v>694</v>
      </c>
      <c r="I90" s="59" t="s">
        <v>680</v>
      </c>
      <c r="J90" s="81" t="str">
        <f>IFERROR(Hyperlink(VLOOKUP(A90,Internal_lists_bugs!$A$2:$G1013,7,FALSE()),"BIC: "&amp;VLOOKUP(A90,Internal_lists_bugs!$A$2:$G1013,7,FALSE())&amp;CHAR(10)&amp;"Intro.Issues: "&amp;VLOOKUP(A90,Internal_lists_bugs!$A$2:$P1013,16,FALSE())),"please select a BUG ID")</f>
        <v>BIC: https://opendev.org/openstack/nova/commit/501ff41
Intro.Issues: instance-group-api-extension</v>
      </c>
    </row>
    <row r="91">
      <c r="A91" s="18" t="s">
        <v>41</v>
      </c>
      <c r="B91" s="77" t="str">
        <f>IFERROR(HYPERLINK(VLOOKUP(A91,Internal_lists_bugs!$A$2:$C$73,3,FALSE()), VLOOKUP(A91,Internal_lists_bugs!$A$2:$C$73,3,FALSE())&amp;Char(10) &amp; Char(10) &amp; VLOOKUP(A91,Internal_lists_bugs!$A$2:$Z$73,26,FALSE())),"please select a BUG ID")</f>
        <v>https://bugs.launchpad.net/nova/+bug/1466390
/sqlalchemy/api.py</v>
      </c>
      <c r="C91" s="78" t="str">
        <f>IFERROR(VLOOKUP(A91,Internal_lists_bugs!$A$2:$X1013,24,FALSE()),"please select a BUG ID")</f>
        <v>https://www.mail-archive.com/openstack-dev@lists.openstack.org/ </v>
      </c>
      <c r="E91" s="82"/>
      <c r="F91" s="80"/>
      <c r="G91" s="16" t="s">
        <v>703</v>
      </c>
      <c r="H91" s="79" t="s">
        <v>694</v>
      </c>
      <c r="I91" s="59" t="s">
        <v>704</v>
      </c>
      <c r="J91" s="81" t="str">
        <f>IFERROR(Hyperlink(VLOOKUP(A91,Internal_lists_bugs!$A$2:$G1013,7,FALSE()),"BIC: "&amp;VLOOKUP(A91,Internal_lists_bugs!$A$2:$G1013,7,FALSE())&amp;CHAR(10)&amp;"Intro.Issues: "&amp;VLOOKUP(A91,Internal_lists_bugs!$A$2:$P1013,16,FALSE())),"please select a BUG ID")</f>
        <v>BIC: https://opendev.org/openstack/nova/commit/501ff41
Intro.Issues: instance-group-api-extension</v>
      </c>
    </row>
    <row r="92">
      <c r="A92" s="18" t="s">
        <v>42</v>
      </c>
      <c r="B92" s="77" t="str">
        <f>IFERROR(HYPERLINK(VLOOKUP(A92,Internal_lists_bugs!$A$2:$C$73,3,FALSE()), VLOOKUP(A92,Internal_lists_bugs!$A$2:$C$73,3,FALSE())&amp;Char(10) &amp; Char(10) &amp; VLOOKUP(A92,Internal_lists_bugs!$A$2:$Z$73,26,FALSE())),"please select a BUG ID")</f>
        <v>https://bugs.launchpad.net/nova/+bug/1467451
/hyperv/vmutils.py
/virt/hyperv/vmutilsv2.py </v>
      </c>
      <c r="C92" s="78" t="str">
        <f>IFERROR(VLOOKUP(A92,Internal_lists_bugs!$A$2:$X1013,24,FALSE()),"please select a BUG ID")</f>
        <v>https://www.mail-archive.com/openstack-dev@lists.openstack.org/ </v>
      </c>
      <c r="D92" s="16" t="s">
        <v>124</v>
      </c>
      <c r="E92" s="82"/>
      <c r="F92" s="80"/>
      <c r="G92" s="16" t="s">
        <v>124</v>
      </c>
      <c r="H92" s="82"/>
      <c r="I92" s="80"/>
      <c r="J92" s="81" t="str">
        <f>IFERROR(Hyperlink(VLOOKUP(A92,Internal_lists_bugs!$A$2:$G1013,7,FALSE()),"BIC: "&amp;VLOOKUP(A92,Internal_lists_bugs!$A$2:$G1013,7,FALSE())&amp;CHAR(10)&amp;"Intro.Issues: "&amp;VLOOKUP(A92,Internal_lists_bugs!$A$2:$P1013,16,FALSE())),"please select a BUG ID")</f>
        <v>BIC: https://opendev.org/openstack/nova/commit/0e02db2980dc4e76ef7949ba4ec131af9fc4a44d
Intro.Issues: hyper-v-smbfs-volume-support</v>
      </c>
    </row>
    <row r="93">
      <c r="A93" s="18" t="s">
        <v>43</v>
      </c>
      <c r="B93" s="77" t="str">
        <f>IFERROR(HYPERLINK(VLOOKUP(A93,Internal_lists_bugs!$A$2:$C$73,3,FALSE()), VLOOKUP(A93,Internal_lists_bugs!$A$2:$C$73,3,FALSE())&amp;Char(10) &amp; Char(10) &amp; VLOOKUP(A93,Internal_lists_bugs!$A$2:$Z$73,26,FALSE())),"please select a BUG ID")</f>
        <v>https://bugs.launchpad.net/nova/+bug/1392798
/compute/manager.py</v>
      </c>
      <c r="C93" s="78" t="str">
        <f>IFERROR(VLOOKUP(A93,Internal_lists_bugs!$A$2:$X1013,24,FALSE()),"please select a BUG ID")</f>
        <v>https://www.mail-archive.com/openstack-dev@lists.openstack.org/ </v>
      </c>
      <c r="D93" s="16" t="s">
        <v>124</v>
      </c>
      <c r="E93" s="82"/>
      <c r="F93" s="80"/>
      <c r="G93" s="16" t="s">
        <v>124</v>
      </c>
      <c r="H93" s="82"/>
      <c r="I93" s="80"/>
      <c r="J93" s="81" t="str">
        <f>IFERROR(Hyperlink(VLOOKUP(A93,Internal_lists_bugs!$A$2:$G1013,7,FALSE()),"BIC: "&amp;VLOOKUP(A93,Internal_lists_bugs!$A$2:$G1013,7,FALSE())&amp;CHAR(10)&amp;"Intro.Issues: "&amp;VLOOKUP(A93,Internal_lists_bugs!$A$2:$P1013,16,FALSE())),"please select a BUG ID")</f>
        <v>BIC: https://opendev.org/openstack/nova/commit/a9d0313c
Intro.Issues: 1131588</v>
      </c>
    </row>
    <row r="94">
      <c r="A94" s="18" t="s">
        <v>44</v>
      </c>
      <c r="B94" s="77" t="str">
        <f>IFERROR(HYPERLINK(VLOOKUP(A94,Internal_lists_bugs!$A$2:$C$73,3,FALSE()), VLOOKUP(A94,Internal_lists_bugs!$A$2:$C$73,3,FALSE())&amp;Char(10) &amp; Char(10) &amp; VLOOKUP(A94,Internal_lists_bugs!$A$2:$Z$73,26,FALSE())),"please select a BUG ID")</f>
        <v>https://bugs.launchpad.net/nova/+bug/1475911
cmd/idmapshift.py</v>
      </c>
      <c r="C94" s="78" t="str">
        <f>IFERROR(VLOOKUP(A94,Internal_lists_bugs!$A$2:$X1013,24,FALSE()),"please select a BUG ID")</f>
        <v>https://www.mail-archive.com/openstack-dev@lists.openstack.org/ </v>
      </c>
      <c r="D94" s="16" t="s">
        <v>124</v>
      </c>
      <c r="E94" s="82"/>
      <c r="F94" s="80"/>
      <c r="G94" s="16" t="s">
        <v>705</v>
      </c>
      <c r="H94" s="79" t="s">
        <v>706</v>
      </c>
      <c r="I94" s="59" t="s">
        <v>707</v>
      </c>
      <c r="J94" s="81" t="str">
        <f>IFERROR(Hyperlink(VLOOKUP(A94,Internal_lists_bugs!$A$2:$G1013,7,FALSE()),"BIC: "&amp;VLOOKUP(A94,Internal_lists_bugs!$A$2:$G1013,7,FALSE())&amp;CHAR(10)&amp;"Intro.Issues: "&amp;VLOOKUP(A94,Internal_lists_bugs!$A$2:$P1013,16,FALSE())),"please select a BUG ID")</f>
        <v>BIC: https://opendev.org/openstack/nova/commit/e310985
Intro.Issues: libvirt-lxc-user-namespaces</v>
      </c>
    </row>
    <row r="95">
      <c r="A95" s="18" t="s">
        <v>44</v>
      </c>
      <c r="B95" s="77" t="str">
        <f>IFERROR(HYPERLINK(VLOOKUP(A95,Internal_lists_bugs!$A$2:$C$73,3,FALSE()), VLOOKUP(A95,Internal_lists_bugs!$A$2:$C$73,3,FALSE())&amp;Char(10) &amp; Char(10) &amp; VLOOKUP(A95,Internal_lists_bugs!$A$2:$Z$73,26,FALSE())),"please select a BUG ID")</f>
        <v>https://bugs.launchpad.net/nova/+bug/1475911
cmd/idmapshift.py</v>
      </c>
      <c r="C95" s="78" t="str">
        <f>IFERROR(VLOOKUP(A95,Internal_lists_bugs!$A$2:$X1013,24,FALSE()),"please select a BUG ID")</f>
        <v>https://www.mail-archive.com/openstack-dev@lists.openstack.org/ </v>
      </c>
      <c r="E95" s="82"/>
      <c r="F95" s="80"/>
      <c r="G95" s="16" t="s">
        <v>705</v>
      </c>
      <c r="H95" s="79" t="s">
        <v>708</v>
      </c>
      <c r="I95" s="59" t="s">
        <v>709</v>
      </c>
      <c r="J95" s="81" t="str">
        <f>IFERROR(Hyperlink(VLOOKUP(A95,Internal_lists_bugs!$A$2:$G1013,7,FALSE()),"BIC: "&amp;VLOOKUP(A95,Internal_lists_bugs!$A$2:$G1013,7,FALSE())&amp;CHAR(10)&amp;"Intro.Issues: "&amp;VLOOKUP(A95,Internal_lists_bugs!$A$2:$P1013,16,FALSE())),"please select a BUG ID")</f>
        <v>BIC: https://opendev.org/openstack/nova/commit/e310985
Intro.Issues: libvirt-lxc-user-namespaces</v>
      </c>
    </row>
    <row r="96">
      <c r="A96" s="18" t="s">
        <v>44</v>
      </c>
      <c r="B96" s="77" t="str">
        <f>IFERROR(HYPERLINK(VLOOKUP(A96,Internal_lists_bugs!$A$2:$C$73,3,FALSE()), VLOOKUP(A96,Internal_lists_bugs!$A$2:$C$73,3,FALSE())&amp;Char(10) &amp; Char(10) &amp; VLOOKUP(A96,Internal_lists_bugs!$A$2:$Z$73,26,FALSE())),"please select a BUG ID")</f>
        <v>https://bugs.launchpad.net/nova/+bug/1475911
cmd/idmapshift.py</v>
      </c>
      <c r="C96" s="78" t="str">
        <f>IFERROR(VLOOKUP(A96,Internal_lists_bugs!$A$2:$X1013,24,FALSE()),"please select a BUG ID")</f>
        <v>https://www.mail-archive.com/openstack-dev@lists.openstack.org/ </v>
      </c>
      <c r="E96" s="82"/>
      <c r="F96" s="80"/>
      <c r="G96" s="16" t="s">
        <v>710</v>
      </c>
      <c r="H96" s="79" t="s">
        <v>711</v>
      </c>
      <c r="I96" s="59" t="s">
        <v>712</v>
      </c>
      <c r="J96" s="81" t="str">
        <f>IFERROR(Hyperlink(VLOOKUP(A96,Internal_lists_bugs!$A$2:$G1013,7,FALSE()),"BIC: "&amp;VLOOKUP(A96,Internal_lists_bugs!$A$2:$G1013,7,FALSE())&amp;CHAR(10)&amp;"Intro.Issues: "&amp;VLOOKUP(A96,Internal_lists_bugs!$A$2:$P1013,16,FALSE())),"please select a BUG ID")</f>
        <v>BIC: https://opendev.org/openstack/nova/commit/e310985
Intro.Issues: libvirt-lxc-user-namespaces</v>
      </c>
    </row>
    <row r="97">
      <c r="A97" s="18" t="s">
        <v>44</v>
      </c>
      <c r="B97" s="77" t="str">
        <f>IFERROR(HYPERLINK(VLOOKUP(A97,Internal_lists_bugs!$A$2:$C$73,3,FALSE()), VLOOKUP(A97,Internal_lists_bugs!$A$2:$C$73,3,FALSE())&amp;Char(10) &amp; Char(10) &amp; VLOOKUP(A97,Internal_lists_bugs!$A$2:$Z$73,26,FALSE())),"please select a BUG ID")</f>
        <v>https://bugs.launchpad.net/nova/+bug/1475911
cmd/idmapshift.py</v>
      </c>
      <c r="C97" s="78" t="str">
        <f>IFERROR(VLOOKUP(A97,Internal_lists_bugs!$A$2:$X1013,24,FALSE()),"please select a BUG ID")</f>
        <v>https://www.mail-archive.com/openstack-dev@lists.openstack.org/ </v>
      </c>
      <c r="E97" s="82"/>
      <c r="F97" s="80"/>
      <c r="G97" s="16" t="s">
        <v>713</v>
      </c>
      <c r="H97" s="79" t="s">
        <v>711</v>
      </c>
      <c r="I97" s="59" t="s">
        <v>714</v>
      </c>
      <c r="J97" s="81" t="str">
        <f>IFERROR(Hyperlink(VLOOKUP(A97,Internal_lists_bugs!$A$2:$G1013,7,FALSE()),"BIC: "&amp;VLOOKUP(A97,Internal_lists_bugs!$A$2:$G1013,7,FALSE())&amp;CHAR(10)&amp;"Intro.Issues: "&amp;VLOOKUP(A97,Internal_lists_bugs!$A$2:$P1013,16,FALSE())),"please select a BUG ID")</f>
        <v>BIC: https://opendev.org/openstack/nova/commit/e310985
Intro.Issues: libvirt-lxc-user-namespaces</v>
      </c>
    </row>
    <row r="98">
      <c r="A98" s="18" t="s">
        <v>44</v>
      </c>
      <c r="B98" s="77" t="str">
        <f>IFERROR(HYPERLINK(VLOOKUP(A98,Internal_lists_bugs!$A$2:$C$73,3,FALSE()), VLOOKUP(A98,Internal_lists_bugs!$A$2:$C$73,3,FALSE())&amp;Char(10) &amp; Char(10) &amp; VLOOKUP(A98,Internal_lists_bugs!$A$2:$Z$73,26,FALSE())),"please select a BUG ID")</f>
        <v>https://bugs.launchpad.net/nova/+bug/1475911
cmd/idmapshift.py</v>
      </c>
      <c r="C98" s="78" t="str">
        <f>IFERROR(VLOOKUP(A98,Internal_lists_bugs!$A$2:$X1013,24,FALSE()),"please select a BUG ID")</f>
        <v>https://www.mail-archive.com/openstack-dev@lists.openstack.org/ </v>
      </c>
      <c r="E98" s="82"/>
      <c r="F98" s="80"/>
      <c r="G98" s="16" t="s">
        <v>715</v>
      </c>
      <c r="H98" s="79" t="s">
        <v>711</v>
      </c>
      <c r="I98" s="59" t="s">
        <v>716</v>
      </c>
      <c r="J98" s="81" t="str">
        <f>IFERROR(Hyperlink(VLOOKUP(A98,Internal_lists_bugs!$A$2:$G1013,7,FALSE()),"BIC: "&amp;VLOOKUP(A98,Internal_lists_bugs!$A$2:$G1013,7,FALSE())&amp;CHAR(10)&amp;"Intro.Issues: "&amp;VLOOKUP(A98,Internal_lists_bugs!$A$2:$P1013,16,FALSE())),"please select a BUG ID")</f>
        <v>BIC: https://opendev.org/openstack/nova/commit/e310985
Intro.Issues: libvirt-lxc-user-namespaces</v>
      </c>
    </row>
    <row r="99">
      <c r="A99" s="18" t="s">
        <v>44</v>
      </c>
      <c r="B99" s="77" t="str">
        <f>IFERROR(HYPERLINK(VLOOKUP(A99,Internal_lists_bugs!$A$2:$C$73,3,FALSE()), VLOOKUP(A99,Internal_lists_bugs!$A$2:$C$73,3,FALSE())&amp;Char(10) &amp; Char(10) &amp; VLOOKUP(A99,Internal_lists_bugs!$A$2:$Z$73,26,FALSE())),"please select a BUG ID")</f>
        <v>https://bugs.launchpad.net/nova/+bug/1475911
cmd/idmapshift.py</v>
      </c>
      <c r="C99" s="78" t="str">
        <f>IFERROR(VLOOKUP(A99,Internal_lists_bugs!$A$2:$X1013,24,FALSE()),"please select a BUG ID")</f>
        <v>https://www.mail-archive.com/openstack-dev@lists.openstack.org/ </v>
      </c>
      <c r="E99" s="82"/>
      <c r="F99" s="80"/>
      <c r="G99" s="16" t="s">
        <v>717</v>
      </c>
      <c r="H99" s="79" t="s">
        <v>718</v>
      </c>
      <c r="I99" s="59" t="s">
        <v>719</v>
      </c>
      <c r="J99" s="81" t="str">
        <f>IFERROR(Hyperlink(VLOOKUP(A99,Internal_lists_bugs!$A$2:$G1013,7,FALSE()),"BIC: "&amp;VLOOKUP(A99,Internal_lists_bugs!$A$2:$G1013,7,FALSE())&amp;CHAR(10)&amp;"Intro.Issues: "&amp;VLOOKUP(A99,Internal_lists_bugs!$A$2:$P1013,16,FALSE())),"please select a BUG ID")</f>
        <v>BIC: https://opendev.org/openstack/nova/commit/e310985
Intro.Issues: libvirt-lxc-user-namespaces</v>
      </c>
    </row>
    <row r="100">
      <c r="A100" s="18" t="s">
        <v>45</v>
      </c>
      <c r="B100" s="77" t="str">
        <f>IFERROR(HYPERLINK(VLOOKUP(A100,Internal_lists_bugs!$A$2:$C$73,3,FALSE()), VLOOKUP(A100,Internal_lists_bugs!$A$2:$C$73,3,FALSE())&amp;Char(10) &amp; Char(10) &amp; VLOOKUP(A100,Internal_lists_bugs!$A$2:$Z$73,26,FALSE())),"please select a BUG ID")</f>
        <v>https://bugs.launchpad.net/nova/+bug/1437855
/contrib/floating_ips.py
/v3/floating_ips.py </v>
      </c>
      <c r="C100" s="78" t="str">
        <f>IFERROR(VLOOKUP(A100,Internal_lists_bugs!$A$2:$X1013,24,FALSE()),"please select a BUG ID")</f>
        <v>https://www.mail-archive.com/openstack-dev@lists.openstack.org/ </v>
      </c>
      <c r="D100" s="16" t="s">
        <v>124</v>
      </c>
      <c r="E100" s="82"/>
      <c r="F100" s="80"/>
      <c r="G100" s="16" t="s">
        <v>124</v>
      </c>
      <c r="H100" s="82"/>
      <c r="I100" s="80"/>
      <c r="J100" s="81" t="str">
        <f>IFERROR(Hyperlink(VLOOKUP(A100,Internal_lists_bugs!$A$2:$G1013,7,FALSE()),"BIC: "&amp;VLOOKUP(A100,Internal_lists_bugs!$A$2:$G1013,7,FALSE())&amp;CHAR(10)&amp;"Intro.Issues: "&amp;VLOOKUP(A100,Internal_lists_bugs!$A$2:$P1013,16,FALSE())),"please select a BUG ID")</f>
        <v>BIC: https://opendev.org/openstack/nova/commit/1b2c121f133b1
Intro.Issues: multi-nic-floating-ip-assignment</v>
      </c>
    </row>
    <row r="101">
      <c r="A101" s="18" t="s">
        <v>47</v>
      </c>
      <c r="B101" s="77" t="str">
        <f>IFERROR(HYPERLINK(VLOOKUP(A101,Internal_lists_bugs!$A$2:$C$73,3,FALSE()), VLOOKUP(A101,Internal_lists_bugs!$A$2:$C$73,3,FALSE())&amp;Char(10) &amp; Char(10) &amp; VLOOKUP(A101,Internal_lists_bugs!$A$2:$Z$73,26,FALSE())),"please select a BUG ID")</f>
        <v>https://bugs.launchpad.net/nova/+bug/1447249
/virt/ironic/driver.py</v>
      </c>
      <c r="C101" s="78" t="str">
        <f>IFERROR(VLOOKUP(A101,Internal_lists_bugs!$A$2:$X1013,24,FALSE()),"please select a BUG ID")</f>
        <v>https://www.mail-archive.com/openstack-dev@lists.openstack.org/ </v>
      </c>
      <c r="D101" s="16" t="s">
        <v>124</v>
      </c>
      <c r="E101" s="82"/>
      <c r="F101" s="80"/>
      <c r="G101" s="16" t="s">
        <v>124</v>
      </c>
      <c r="H101" s="82"/>
      <c r="I101" s="80"/>
      <c r="J101" s="81" t="str">
        <f>IFERROR(Hyperlink(VLOOKUP(A101,Internal_lists_bugs!$A$2:$G1013,7,FALSE()),"BIC: "&amp;VLOOKUP(A101,Internal_lists_bugs!$A$2:$G1013,7,FALSE())&amp;CHAR(10)&amp;"Intro.Issues: "&amp;VLOOKUP(A101,Internal_lists_bugs!$A$2:$P1013,16,FALSE())),"please select a BUG ID")</f>
        <v>BIC: https://opendev.org/openstack/nova/commit/1682c5b
Intro.Issues: use-configdrive-with-ironic</v>
      </c>
    </row>
    <row r="102">
      <c r="A102" s="18" t="s">
        <v>48</v>
      </c>
      <c r="B102" s="77" t="str">
        <f>IFERROR(HYPERLINK(VLOOKUP(A102,Internal_lists_bugs!$A$2:$C$73,3,FALSE()), VLOOKUP(A102,Internal_lists_bugs!$A$2:$C$73,3,FALSE())&amp;Char(10) &amp; Char(10) &amp; VLOOKUP(A102,Internal_lists_bugs!$A$2:$Z$73,26,FALSE())),"please select a BUG ID")</f>
        <v>https://bugs.launchpad.net/nova/+bug/1475356
/objects/base.py</v>
      </c>
      <c r="C102" s="78" t="str">
        <f>IFERROR(VLOOKUP(A102,Internal_lists_bugs!$A$2:$X1013,24,FALSE()),"please select a BUG ID")</f>
        <v>https://www.mail-archive.com/openstack-dev@lists.openstack.org/ </v>
      </c>
      <c r="D102" s="16" t="s">
        <v>124</v>
      </c>
      <c r="E102" s="82"/>
      <c r="F102" s="80"/>
      <c r="G102" s="16" t="s">
        <v>124</v>
      </c>
      <c r="H102" s="82"/>
      <c r="I102" s="80"/>
      <c r="J102" s="81" t="str">
        <f>IFERROR(Hyperlink(VLOOKUP(A102,Internal_lists_bugs!$A$2:$G1013,7,FALSE()),"BIC: "&amp;VLOOKUP(A102,Internal_lists_bugs!$A$2:$G1013,7,FALSE())&amp;CHAR(10)&amp;"Intro.Issues: "&amp;VLOOKUP(A102,Internal_lists_bugs!$A$2:$P1013,16,FALSE())),"please select a BUG ID")</f>
        <v>BIC: https://opendev.org/openstack/nova/commit/0eb7e35fbf
Intro.Issues: 1258256</v>
      </c>
    </row>
    <row r="103">
      <c r="A103" s="18" t="s">
        <v>49</v>
      </c>
      <c r="B103" s="77" t="str">
        <f>IFERROR(HYPERLINK(VLOOKUP(A103,Internal_lists_bugs!$A$2:$C$73,3,FALSE()), VLOOKUP(A103,Internal_lists_bugs!$A$2:$C$73,3,FALSE())&amp;Char(10) &amp; Char(10) &amp; VLOOKUP(A103,Internal_lists_bugs!$A$2:$Z$73,26,FALSE())),"please select a BUG ID")</f>
        <v>https://bugs.launchpad.net/nova/+bug/1370177
nova/block_device.py</v>
      </c>
      <c r="C103" s="78" t="str">
        <f>IFERROR(VLOOKUP(A103,Internal_lists_bugs!$A$2:$X1013,24,FALSE()),"please select a BUG ID")</f>
        <v>https://www.mail-archive.com/openstack-dev@lists.openstack.org/ </v>
      </c>
      <c r="D103" s="16" t="s">
        <v>720</v>
      </c>
      <c r="E103" s="79" t="s">
        <v>721</v>
      </c>
      <c r="F103" s="59" t="s">
        <v>722</v>
      </c>
      <c r="G103" s="16" t="s">
        <v>533</v>
      </c>
      <c r="H103" s="79" t="s">
        <v>534</v>
      </c>
      <c r="I103" s="59" t="s">
        <v>535</v>
      </c>
      <c r="J103" s="81" t="str">
        <f>IFERROR(Hyperlink(VLOOKUP(A103,Internal_lists_bugs!$A$2:$G1013,7,FALSE()),"BIC: "&amp;VLOOKUP(A103,Internal_lists_bugs!$A$2:$G1013,7,FALSE())&amp;CHAR(10)&amp;"Intro.Issues: "&amp;VLOOKUP(A103,Internal_lists_bugs!$A$2:$P1013,16,FALSE())),"please select a BUG ID")</f>
        <v>BIC: https://opendev.org/openstack/nova/commit/33e3d4c6b9
Intro.Issues: icehouse-objects, clean-up-legacy-block-device-mapping</v>
      </c>
    </row>
    <row r="104">
      <c r="A104" s="18" t="s">
        <v>49</v>
      </c>
      <c r="B104" s="77" t="str">
        <f>IFERROR(HYPERLINK(VLOOKUP(A104,Internal_lists_bugs!$A$2:$C$73,3,FALSE()), VLOOKUP(A104,Internal_lists_bugs!$A$2:$C$73,3,FALSE())&amp;Char(10) &amp; Char(10) &amp; VLOOKUP(A104,Internal_lists_bugs!$A$2:$Z$73,26,FALSE())),"please select a BUG ID")</f>
        <v>https://bugs.launchpad.net/nova/+bug/1370177
nova/block_device.py</v>
      </c>
      <c r="C104" s="78" t="str">
        <f>IFERROR(VLOOKUP(A104,Internal_lists_bugs!$A$2:$X1013,24,FALSE()),"please select a BUG ID")</f>
        <v>https://www.mail-archive.com/openstack-dev@lists.openstack.org/ </v>
      </c>
      <c r="D104" s="16" t="s">
        <v>720</v>
      </c>
      <c r="E104" s="79" t="s">
        <v>723</v>
      </c>
      <c r="F104" s="59" t="s">
        <v>724</v>
      </c>
      <c r="G104" s="16" t="s">
        <v>533</v>
      </c>
      <c r="H104" s="79" t="s">
        <v>536</v>
      </c>
      <c r="I104" s="59" t="s">
        <v>537</v>
      </c>
      <c r="J104" s="81" t="str">
        <f>IFERROR(Hyperlink(VLOOKUP(A104,Internal_lists_bugs!$A$2:$G1013,7,FALSE()),"BIC: "&amp;VLOOKUP(A104,Internal_lists_bugs!$A$2:$G1013,7,FALSE())&amp;CHAR(10)&amp;"Intro.Issues: "&amp;VLOOKUP(A104,Internal_lists_bugs!$A$2:$P1013,16,FALSE())),"please select a BUG ID")</f>
        <v>BIC: https://opendev.org/openstack/nova/commit/33e3d4c6b9
Intro.Issues: icehouse-objects, clean-up-legacy-block-device-mapping</v>
      </c>
    </row>
    <row r="105">
      <c r="A105" s="18" t="s">
        <v>49</v>
      </c>
      <c r="B105" s="77" t="str">
        <f>IFERROR(HYPERLINK(VLOOKUP(A105,Internal_lists_bugs!$A$2:$C$73,3,FALSE()), VLOOKUP(A105,Internal_lists_bugs!$A$2:$C$73,3,FALSE())&amp;Char(10) &amp; Char(10) &amp; VLOOKUP(A105,Internal_lists_bugs!$A$2:$Z$73,26,FALSE())),"please select a BUG ID")</f>
        <v>https://bugs.launchpad.net/nova/+bug/1370177
nova/block_device.py</v>
      </c>
      <c r="C105" s="78" t="str">
        <f>IFERROR(VLOOKUP(A105,Internal_lists_bugs!$A$2:$X1013,24,FALSE()),"please select a BUG ID")</f>
        <v>https://www.mail-archive.com/openstack-dev@lists.openstack.org/ </v>
      </c>
      <c r="D105" s="16" t="s">
        <v>720</v>
      </c>
      <c r="E105" s="79" t="s">
        <v>725</v>
      </c>
      <c r="F105" s="59" t="s">
        <v>726</v>
      </c>
      <c r="G105" s="16" t="s">
        <v>538</v>
      </c>
      <c r="H105" s="79" t="s">
        <v>539</v>
      </c>
      <c r="I105" s="59" t="s">
        <v>540</v>
      </c>
      <c r="J105" s="81" t="str">
        <f>IFERROR(Hyperlink(VLOOKUP(A105,Internal_lists_bugs!$A$2:$G1013,7,FALSE()),"BIC: "&amp;VLOOKUP(A105,Internal_lists_bugs!$A$2:$G1013,7,FALSE())&amp;CHAR(10)&amp;"Intro.Issues: "&amp;VLOOKUP(A105,Internal_lists_bugs!$A$2:$P1013,16,FALSE())),"please select a BUG ID")</f>
        <v>BIC: https://opendev.org/openstack/nova/commit/33e3d4c6b9
Intro.Issues: icehouse-objects, clean-up-legacy-block-device-mapping</v>
      </c>
    </row>
    <row r="106">
      <c r="A106" s="18" t="s">
        <v>49</v>
      </c>
      <c r="B106" s="77" t="str">
        <f>IFERROR(HYPERLINK(VLOOKUP(A106,Internal_lists_bugs!$A$2:$C$73,3,FALSE()), VLOOKUP(A106,Internal_lists_bugs!$A$2:$C$73,3,FALSE())&amp;Char(10) &amp; Char(10) &amp; VLOOKUP(A106,Internal_lists_bugs!$A$2:$Z$73,26,FALSE())),"please select a BUG ID")</f>
        <v>https://bugs.launchpad.net/nova/+bug/1370177
nova/block_device.py</v>
      </c>
      <c r="C106" s="78" t="str">
        <f>IFERROR(VLOOKUP(A106,Internal_lists_bugs!$A$2:$X1013,24,FALSE()),"please select a BUG ID")</f>
        <v>https://www.mail-archive.com/openstack-dev@lists.openstack.org/ </v>
      </c>
      <c r="D106" s="16" t="s">
        <v>720</v>
      </c>
      <c r="E106" s="79" t="s">
        <v>727</v>
      </c>
      <c r="F106" s="59" t="s">
        <v>728</v>
      </c>
      <c r="G106" s="16" t="s">
        <v>538</v>
      </c>
      <c r="H106" s="79" t="s">
        <v>541</v>
      </c>
      <c r="I106" s="59" t="s">
        <v>542</v>
      </c>
      <c r="J106" s="81" t="str">
        <f>IFERROR(Hyperlink(VLOOKUP(A106,Internal_lists_bugs!$A$2:$G1013,7,FALSE()),"BIC: "&amp;VLOOKUP(A106,Internal_lists_bugs!$A$2:$G1013,7,FALSE())&amp;CHAR(10)&amp;"Intro.Issues: "&amp;VLOOKUP(A106,Internal_lists_bugs!$A$2:$P1013,16,FALSE())),"please select a BUG ID")</f>
        <v>BIC: https://opendev.org/openstack/nova/commit/33e3d4c6b9
Intro.Issues: icehouse-objects, clean-up-legacy-block-device-mapping</v>
      </c>
    </row>
    <row r="107">
      <c r="A107" s="18" t="s">
        <v>49</v>
      </c>
      <c r="B107" s="77" t="str">
        <f>IFERROR(HYPERLINK(VLOOKUP(A107,Internal_lists_bugs!$A$2:$C$73,3,FALSE()), VLOOKUP(A107,Internal_lists_bugs!$A$2:$C$73,3,FALSE())&amp;Char(10) &amp; Char(10) &amp; VLOOKUP(A107,Internal_lists_bugs!$A$2:$Z$73,26,FALSE())),"please select a BUG ID")</f>
        <v>https://bugs.launchpad.net/nova/+bug/1370177
nova/block_device.py</v>
      </c>
      <c r="C107" s="78" t="str">
        <f>IFERROR(VLOOKUP(A107,Internal_lists_bugs!$A$2:$X1013,24,FALSE()),"please select a BUG ID")</f>
        <v>https://www.mail-archive.com/openstack-dev@lists.openstack.org/ </v>
      </c>
      <c r="D107" s="16" t="s">
        <v>729</v>
      </c>
      <c r="E107" s="79" t="s">
        <v>730</v>
      </c>
      <c r="F107" s="59" t="s">
        <v>731</v>
      </c>
      <c r="G107" s="16" t="s">
        <v>543</v>
      </c>
      <c r="H107" s="79" t="s">
        <v>541</v>
      </c>
      <c r="I107" s="59" t="s">
        <v>544</v>
      </c>
      <c r="J107" s="81" t="str">
        <f>IFERROR(Hyperlink(VLOOKUP(A107,Internal_lists_bugs!$A$2:$G1013,7,FALSE()),"BIC: "&amp;VLOOKUP(A107,Internal_lists_bugs!$A$2:$G1013,7,FALSE())&amp;CHAR(10)&amp;"Intro.Issues: "&amp;VLOOKUP(A107,Internal_lists_bugs!$A$2:$P1013,16,FALSE())),"please select a BUG ID")</f>
        <v>BIC: https://opendev.org/openstack/nova/commit/33e3d4c6b9
Intro.Issues: icehouse-objects, clean-up-legacy-block-device-mapping</v>
      </c>
    </row>
    <row r="108">
      <c r="A108" s="18" t="s">
        <v>49</v>
      </c>
      <c r="B108" s="77" t="str">
        <f>IFERROR(HYPERLINK(VLOOKUP(A108,Internal_lists_bugs!$A$2:$C$73,3,FALSE()), VLOOKUP(A108,Internal_lists_bugs!$A$2:$C$73,3,FALSE())&amp;Char(10) &amp; Char(10) &amp; VLOOKUP(A108,Internal_lists_bugs!$A$2:$Z$73,26,FALSE())),"please select a BUG ID")</f>
        <v>https://bugs.launchpad.net/nova/+bug/1370177
nova/block_device.py</v>
      </c>
      <c r="C108" s="78" t="str">
        <f>IFERROR(VLOOKUP(A108,Internal_lists_bugs!$A$2:$X1013,24,FALSE()),"please select a BUG ID")</f>
        <v>https://www.mail-archive.com/openstack-dev@lists.openstack.org/ </v>
      </c>
      <c r="D108" s="16" t="s">
        <v>729</v>
      </c>
      <c r="E108" s="79" t="s">
        <v>732</v>
      </c>
      <c r="F108" s="59" t="s">
        <v>733</v>
      </c>
      <c r="G108" s="16" t="s">
        <v>545</v>
      </c>
      <c r="H108" s="79" t="s">
        <v>546</v>
      </c>
      <c r="I108" s="59" t="s">
        <v>547</v>
      </c>
      <c r="J108" s="81" t="str">
        <f>IFERROR(Hyperlink(VLOOKUP(A108,Internal_lists_bugs!$A$2:$G1013,7,FALSE()),"BIC: "&amp;VLOOKUP(A108,Internal_lists_bugs!$A$2:$G1013,7,FALSE())&amp;CHAR(10)&amp;"Intro.Issues: "&amp;VLOOKUP(A108,Internal_lists_bugs!$A$2:$P1013,16,FALSE())),"please select a BUG ID")</f>
        <v>BIC: https://opendev.org/openstack/nova/commit/33e3d4c6b9
Intro.Issues: icehouse-objects, clean-up-legacy-block-device-mapping</v>
      </c>
    </row>
    <row r="109">
      <c r="A109" s="18" t="s">
        <v>49</v>
      </c>
      <c r="B109" s="77" t="str">
        <f>IFERROR(HYPERLINK(VLOOKUP(A109,Internal_lists_bugs!$A$2:$C$73,3,FALSE()), VLOOKUP(A109,Internal_lists_bugs!$A$2:$C$73,3,FALSE())&amp;Char(10) &amp; Char(10) &amp; VLOOKUP(A109,Internal_lists_bugs!$A$2:$Z$73,26,FALSE())),"please select a BUG ID")</f>
        <v>https://bugs.launchpad.net/nova/+bug/1370177
nova/block_device.py</v>
      </c>
      <c r="C109" s="78" t="str">
        <f>IFERROR(VLOOKUP(A109,Internal_lists_bugs!$A$2:$X1013,24,FALSE()),"please select a BUG ID")</f>
        <v>https://www.mail-archive.com/openstack-dev@lists.openstack.org/ </v>
      </c>
      <c r="D109" s="16" t="s">
        <v>729</v>
      </c>
      <c r="E109" s="79" t="s">
        <v>734</v>
      </c>
      <c r="F109" s="59" t="s">
        <v>735</v>
      </c>
      <c r="H109" s="79"/>
      <c r="I109" s="59"/>
      <c r="J109" s="81" t="str">
        <f>IFERROR(Hyperlink(VLOOKUP(A109,Internal_lists_bugs!$A$2:$G1013,7,FALSE()),"BIC: "&amp;VLOOKUP(A109,Internal_lists_bugs!$A$2:$G1013,7,FALSE())&amp;CHAR(10)&amp;"Intro.Issues: "&amp;VLOOKUP(A109,Internal_lists_bugs!$A$2:$P1013,16,FALSE())),"please select a BUG ID")</f>
        <v>BIC: https://opendev.org/openstack/nova/commit/33e3d4c6b9
Intro.Issues: icehouse-objects, clean-up-legacy-block-device-mapping</v>
      </c>
    </row>
    <row r="110">
      <c r="A110" s="18" t="s">
        <v>49</v>
      </c>
      <c r="B110" s="77" t="str">
        <f>IFERROR(HYPERLINK(VLOOKUP(A110,Internal_lists_bugs!$A$2:$C$73,3,FALSE()), VLOOKUP(A110,Internal_lists_bugs!$A$2:$C$73,3,FALSE())&amp;Char(10) &amp; Char(10) &amp; VLOOKUP(A110,Internal_lists_bugs!$A$2:$Z$73,26,FALSE())),"please select a BUG ID")</f>
        <v>https://bugs.launchpad.net/nova/+bug/1370177
nova/block_device.py</v>
      </c>
      <c r="C110" s="78" t="str">
        <f>IFERROR(VLOOKUP(A110,Internal_lists_bugs!$A$2:$X1013,24,FALSE()),"please select a BUG ID")</f>
        <v>https://www.mail-archive.com/openstack-dev@lists.openstack.org/ </v>
      </c>
      <c r="D110" s="16" t="s">
        <v>729</v>
      </c>
      <c r="E110" s="79" t="s">
        <v>736</v>
      </c>
      <c r="F110" s="59" t="s">
        <v>737</v>
      </c>
      <c r="H110" s="82"/>
      <c r="I110" s="80"/>
      <c r="J110" s="81" t="str">
        <f>IFERROR(Hyperlink(VLOOKUP(A110,Internal_lists_bugs!$A$2:$G1013,7,FALSE()),"BIC: "&amp;VLOOKUP(A110,Internal_lists_bugs!$A$2:$G1013,7,FALSE())&amp;CHAR(10)&amp;"Intro.Issues: "&amp;VLOOKUP(A110,Internal_lists_bugs!$A$2:$P1013,16,FALSE())),"please select a BUG ID")</f>
        <v>BIC: https://opendev.org/openstack/nova/commit/33e3d4c6b9
Intro.Issues: icehouse-objects, clean-up-legacy-block-device-mapping</v>
      </c>
    </row>
    <row r="111">
      <c r="A111" s="18" t="s">
        <v>49</v>
      </c>
      <c r="B111" s="77" t="str">
        <f>IFERROR(HYPERLINK(VLOOKUP(A111,Internal_lists_bugs!$A$2:$C$73,3,FALSE()), VLOOKUP(A111,Internal_lists_bugs!$A$2:$C$73,3,FALSE())&amp;Char(10) &amp; Char(10) &amp; VLOOKUP(A111,Internal_lists_bugs!$A$2:$Z$73,26,FALSE())),"please select a BUG ID")</f>
        <v>https://bugs.launchpad.net/nova/+bug/1370177
nova/block_device.py</v>
      </c>
      <c r="C111" s="78" t="str">
        <f>IFERROR(VLOOKUP(A111,Internal_lists_bugs!$A$2:$X1013,24,FALSE()),"please select a BUG ID")</f>
        <v>https://www.mail-archive.com/openstack-dev@lists.openstack.org/ </v>
      </c>
      <c r="D111" s="16" t="s">
        <v>738</v>
      </c>
      <c r="E111" s="79" t="s">
        <v>739</v>
      </c>
      <c r="F111" s="59" t="s">
        <v>740</v>
      </c>
      <c r="H111" s="82"/>
      <c r="I111" s="80"/>
      <c r="J111" s="81" t="str">
        <f>IFERROR(Hyperlink(VLOOKUP(A111,Internal_lists_bugs!$A$2:$G1013,7,FALSE()),"BIC: "&amp;VLOOKUP(A111,Internal_lists_bugs!$A$2:$G1013,7,FALSE())&amp;CHAR(10)&amp;"Intro.Issues: "&amp;VLOOKUP(A111,Internal_lists_bugs!$A$2:$P1013,16,FALSE())),"please select a BUG ID")</f>
        <v>BIC: https://opendev.org/openstack/nova/commit/33e3d4c6b9
Intro.Issues: icehouse-objects, clean-up-legacy-block-device-mapping</v>
      </c>
    </row>
    <row r="112">
      <c r="A112" s="18" t="s">
        <v>49</v>
      </c>
      <c r="B112" s="77" t="str">
        <f>IFERROR(HYPERLINK(VLOOKUP(A112,Internal_lists_bugs!$A$2:$C$73,3,FALSE()), VLOOKUP(A112,Internal_lists_bugs!$A$2:$C$73,3,FALSE())&amp;Char(10) &amp; Char(10) &amp; VLOOKUP(A112,Internal_lists_bugs!$A$2:$Z$73,26,FALSE())),"please select a BUG ID")</f>
        <v>https://bugs.launchpad.net/nova/+bug/1370177
nova/block_device.py</v>
      </c>
      <c r="C112" s="78" t="str">
        <f>IFERROR(VLOOKUP(A112,Internal_lists_bugs!$A$2:$X1013,24,FALSE()),"please select a BUG ID")</f>
        <v>https://www.mail-archive.com/openstack-dev@lists.openstack.org/ </v>
      </c>
      <c r="D112" s="16" t="s">
        <v>738</v>
      </c>
      <c r="E112" s="79" t="s">
        <v>741</v>
      </c>
      <c r="F112" s="59" t="s">
        <v>742</v>
      </c>
      <c r="H112" s="82"/>
      <c r="I112" s="80"/>
      <c r="J112" s="81" t="str">
        <f>IFERROR(Hyperlink(VLOOKUP(A112,Internal_lists_bugs!$A$2:$G1013,7,FALSE()),"BIC: "&amp;VLOOKUP(A112,Internal_lists_bugs!$A$2:$G1013,7,FALSE())&amp;CHAR(10)&amp;"Intro.Issues: "&amp;VLOOKUP(A112,Internal_lists_bugs!$A$2:$P1013,16,FALSE())),"please select a BUG ID")</f>
        <v>BIC: https://opendev.org/openstack/nova/commit/33e3d4c6b9
Intro.Issues: icehouse-objects, clean-up-legacy-block-device-mapping</v>
      </c>
    </row>
    <row r="113">
      <c r="A113" s="18" t="s">
        <v>49</v>
      </c>
      <c r="B113" s="77" t="str">
        <f>IFERROR(HYPERLINK(VLOOKUP(A113,Internal_lists_bugs!$A$2:$C$73,3,FALSE()), VLOOKUP(A113,Internal_lists_bugs!$A$2:$C$73,3,FALSE())&amp;Char(10) &amp; Char(10) &amp; VLOOKUP(A113,Internal_lists_bugs!$A$2:$Z$73,26,FALSE())),"please select a BUG ID")</f>
        <v>https://bugs.launchpad.net/nova/+bug/1370177
nova/block_device.py</v>
      </c>
      <c r="C113" s="78" t="str">
        <f>IFERROR(VLOOKUP(A113,Internal_lists_bugs!$A$2:$X1013,24,FALSE()),"please select a BUG ID")</f>
        <v>https://www.mail-archive.com/openstack-dev@lists.openstack.org/ </v>
      </c>
      <c r="D113" s="16" t="s">
        <v>738</v>
      </c>
      <c r="E113" s="79" t="s">
        <v>743</v>
      </c>
      <c r="F113" s="59" t="s">
        <v>744</v>
      </c>
      <c r="H113" s="82"/>
      <c r="I113" s="80"/>
      <c r="J113" s="81" t="str">
        <f>IFERROR(Hyperlink(VLOOKUP(A113,Internal_lists_bugs!$A$2:$G1013,7,FALSE()),"BIC: "&amp;VLOOKUP(A113,Internal_lists_bugs!$A$2:$G1013,7,FALSE())&amp;CHAR(10)&amp;"Intro.Issues: "&amp;VLOOKUP(A113,Internal_lists_bugs!$A$2:$P1013,16,FALSE())),"please select a BUG ID")</f>
        <v>BIC: https://opendev.org/openstack/nova/commit/33e3d4c6b9
Intro.Issues: icehouse-objects, clean-up-legacy-block-device-mapping</v>
      </c>
    </row>
    <row r="114">
      <c r="A114" s="18" t="s">
        <v>51</v>
      </c>
      <c r="B114" s="77" t="str">
        <f>IFERROR(HYPERLINK(VLOOKUP(A114,Internal_lists_bugs!$A$2:$C$73,3,FALSE()), VLOOKUP(A114,Internal_lists_bugs!$A$2:$C$73,3,FALSE())&amp;Char(10) &amp; Char(10) &amp; VLOOKUP(A114,Internal_lists_bugs!$A$2:$Z$73,26,FALSE())),"please select a BUG ID")</f>
        <v>https://bugs.launchpad.net/nova/+bug/1370590
/libvirt/driver.py</v>
      </c>
      <c r="C114" s="78" t="str">
        <f>IFERROR(VLOOKUP(A114,Internal_lists_bugs!$A$2:$X1013,24,FALSE()),"please select a BUG ID")</f>
        <v>https://www.mail-archive.com/openstack-dev@lists.openstack.org/ </v>
      </c>
      <c r="D114" s="16" t="s">
        <v>124</v>
      </c>
      <c r="E114" s="82"/>
      <c r="F114" s="80"/>
      <c r="G114" s="16" t="s">
        <v>124</v>
      </c>
      <c r="H114" s="82"/>
      <c r="I114" s="80"/>
      <c r="J114" s="81" t="str">
        <f>IFERROR(Hyperlink(VLOOKUP(A114,Internal_lists_bugs!$A$2:$G1013,7,FALSE()),"BIC: "&amp;VLOOKUP(A114,Internal_lists_bugs!$A$2:$G1013,7,FALSE())&amp;CHAR(10)&amp;"Intro.Issues: "&amp;VLOOKUP(A114,Internal_lists_bugs!$A$2:$P1013,16,FALSE())),"please select a BUG ID")</f>
        <v>BIC: https://opendev.org/openstack/nova/commit/7326bac8f95
Intro.Issues: libvirt-start-lxc-from-block-devices</v>
      </c>
    </row>
    <row r="115">
      <c r="A115" s="18" t="s">
        <v>51</v>
      </c>
      <c r="B115" s="77" t="str">
        <f>IFERROR(HYPERLINK(VLOOKUP(A115,Internal_lists_bugs!$A$2:$C$73,3,FALSE()), VLOOKUP(A115,Internal_lists_bugs!$A$2:$C$73,3,FALSE())&amp;Char(10) &amp; Char(10) &amp; VLOOKUP(A115,Internal_lists_bugs!$A$2:$Z$73,26,FALSE())),"please select a BUG ID")</f>
        <v>https://bugs.launchpad.net/nova/+bug/1370590
/libvirt/driver.py</v>
      </c>
      <c r="C115" s="78" t="str">
        <f>IFERROR(VLOOKUP(A115,Internal_lists_bugs!$A$2:$X1013,24,FALSE()),"please select a BUG ID")</f>
        <v>https://www.mail-archive.com/openstack-dev@lists.openstack.org/ </v>
      </c>
      <c r="D115" s="16" t="s">
        <v>745</v>
      </c>
      <c r="E115" s="79" t="s">
        <v>746</v>
      </c>
      <c r="F115" s="84" t="s">
        <v>747</v>
      </c>
      <c r="G115" s="16" t="s">
        <v>748</v>
      </c>
      <c r="H115" s="79" t="s">
        <v>749</v>
      </c>
      <c r="I115" s="59" t="s">
        <v>750</v>
      </c>
      <c r="J115" s="81" t="str">
        <f>IFERROR(Hyperlink(VLOOKUP(A115,Internal_lists_bugs!$A$2:$G1013,7,FALSE()),"BIC: "&amp;VLOOKUP(A115,Internal_lists_bugs!$A$2:$G1013,7,FALSE())&amp;CHAR(10)&amp;"Intro.Issues: "&amp;VLOOKUP(A115,Internal_lists_bugs!$A$2:$P1013,16,FALSE())),"please select a BUG ID")</f>
        <v>BIC: https://opendev.org/openstack/nova/commit/7326bac8f95
Intro.Issues: libvirt-start-lxc-from-block-devices</v>
      </c>
    </row>
    <row r="116">
      <c r="A116" s="18" t="s">
        <v>51</v>
      </c>
      <c r="B116" s="77" t="str">
        <f>IFERROR(HYPERLINK(VLOOKUP(A116,Internal_lists_bugs!$A$2:$C$73,3,FALSE()), VLOOKUP(A116,Internal_lists_bugs!$A$2:$C$73,3,FALSE())&amp;Char(10) &amp; Char(10) &amp; VLOOKUP(A116,Internal_lists_bugs!$A$2:$Z$73,26,FALSE())),"please select a BUG ID")</f>
        <v>https://bugs.launchpad.net/nova/+bug/1370590
/libvirt/driver.py</v>
      </c>
      <c r="C116" s="78" t="str">
        <f>IFERROR(VLOOKUP(A116,Internal_lists_bugs!$A$2:$X1013,24,FALSE()),"please select a BUG ID")</f>
        <v>https://www.mail-archive.com/openstack-dev@lists.openstack.org/ </v>
      </c>
      <c r="D116" s="16" t="s">
        <v>745</v>
      </c>
      <c r="E116" s="79" t="s">
        <v>751</v>
      </c>
      <c r="F116" s="59" t="s">
        <v>752</v>
      </c>
      <c r="G116" s="16" t="s">
        <v>748</v>
      </c>
      <c r="H116" s="79" t="s">
        <v>753</v>
      </c>
      <c r="I116" s="59" t="s">
        <v>754</v>
      </c>
      <c r="J116" s="81" t="str">
        <f>IFERROR(Hyperlink(VLOOKUP(A116,Internal_lists_bugs!$A$2:$G1013,7,FALSE()),"BIC: "&amp;VLOOKUP(A116,Internal_lists_bugs!$A$2:$G1013,7,FALSE())&amp;CHAR(10)&amp;"Intro.Issues: "&amp;VLOOKUP(A116,Internal_lists_bugs!$A$2:$P1013,16,FALSE())),"please select a BUG ID")</f>
        <v>BIC: https://opendev.org/openstack/nova/commit/7326bac8f95
Intro.Issues: libvirt-start-lxc-from-block-devices</v>
      </c>
    </row>
    <row r="117">
      <c r="A117" s="18" t="s">
        <v>51</v>
      </c>
      <c r="B117" s="77" t="str">
        <f>IFERROR(HYPERLINK(VLOOKUP(A117,Internal_lists_bugs!$A$2:$C$73,3,FALSE()), VLOOKUP(A117,Internal_lists_bugs!$A$2:$C$73,3,FALSE())&amp;Char(10) &amp; Char(10) &amp; VLOOKUP(A117,Internal_lists_bugs!$A$2:$Z$73,26,FALSE())),"please select a BUG ID")</f>
        <v>https://bugs.launchpad.net/nova/+bug/1370590
/libvirt/driver.py</v>
      </c>
      <c r="C117" s="78" t="str">
        <f>IFERROR(VLOOKUP(A117,Internal_lists_bugs!$A$2:$X1013,24,FALSE()),"please select a BUG ID")</f>
        <v>https://www.mail-archive.com/openstack-dev@lists.openstack.org/ </v>
      </c>
      <c r="D117" s="16" t="s">
        <v>745</v>
      </c>
      <c r="E117" s="79" t="s">
        <v>755</v>
      </c>
      <c r="F117" s="59" t="s">
        <v>756</v>
      </c>
      <c r="G117" s="16" t="s">
        <v>748</v>
      </c>
      <c r="H117" s="79" t="s">
        <v>757</v>
      </c>
      <c r="I117" s="59" t="s">
        <v>758</v>
      </c>
      <c r="J117" s="81" t="str">
        <f>IFERROR(Hyperlink(VLOOKUP(A117,Internal_lists_bugs!$A$2:$G1013,7,FALSE()),"BIC: "&amp;VLOOKUP(A117,Internal_lists_bugs!$A$2:$G1013,7,FALSE())&amp;CHAR(10)&amp;"Intro.Issues: "&amp;VLOOKUP(A117,Internal_lists_bugs!$A$2:$P1013,16,FALSE())),"please select a BUG ID")</f>
        <v>BIC: https://opendev.org/openstack/nova/commit/7326bac8f95
Intro.Issues: libvirt-start-lxc-from-block-devices</v>
      </c>
    </row>
    <row r="118">
      <c r="A118" s="18" t="s">
        <v>51</v>
      </c>
      <c r="B118" s="77" t="str">
        <f>IFERROR(HYPERLINK(VLOOKUP(A118,Internal_lists_bugs!$A$2:$C$73,3,FALSE()), VLOOKUP(A118,Internal_lists_bugs!$A$2:$C$73,3,FALSE())&amp;Char(10) &amp; Char(10) &amp; VLOOKUP(A118,Internal_lists_bugs!$A$2:$Z$73,26,FALSE())),"please select a BUG ID")</f>
        <v>https://bugs.launchpad.net/nova/+bug/1370590
/libvirt/driver.py</v>
      </c>
      <c r="C118" s="78" t="str">
        <f>IFERROR(VLOOKUP(A118,Internal_lists_bugs!$A$2:$X1013,24,FALSE()),"please select a BUG ID")</f>
        <v>https://www.mail-archive.com/openstack-dev@lists.openstack.org/ </v>
      </c>
      <c r="D118" s="16" t="s">
        <v>745</v>
      </c>
      <c r="E118" s="79" t="s">
        <v>759</v>
      </c>
      <c r="F118" s="59" t="s">
        <v>760</v>
      </c>
      <c r="G118" s="16" t="s">
        <v>748</v>
      </c>
      <c r="H118" s="79" t="s">
        <v>761</v>
      </c>
      <c r="I118" s="59" t="s">
        <v>762</v>
      </c>
      <c r="J118" s="81" t="str">
        <f>IFERROR(Hyperlink(VLOOKUP(A118,Internal_lists_bugs!$A$2:$G1013,7,FALSE()),"BIC: "&amp;VLOOKUP(A118,Internal_lists_bugs!$A$2:$G1013,7,FALSE())&amp;CHAR(10)&amp;"Intro.Issues: "&amp;VLOOKUP(A118,Internal_lists_bugs!$A$2:$P1013,16,FALSE())),"please select a BUG ID")</f>
        <v>BIC: https://opendev.org/openstack/nova/commit/7326bac8f95
Intro.Issues: libvirt-start-lxc-from-block-devices</v>
      </c>
    </row>
    <row r="119">
      <c r="A119" s="18" t="s">
        <v>51</v>
      </c>
      <c r="B119" s="77" t="str">
        <f>IFERROR(HYPERLINK(VLOOKUP(A119,Internal_lists_bugs!$A$2:$C$73,3,FALSE()), VLOOKUP(A119,Internal_lists_bugs!$A$2:$C$73,3,FALSE())&amp;Char(10) &amp; Char(10) &amp; VLOOKUP(A119,Internal_lists_bugs!$A$2:$Z$73,26,FALSE())),"please select a BUG ID")</f>
        <v>https://bugs.launchpad.net/nova/+bug/1370590
/libvirt/driver.py</v>
      </c>
      <c r="C119" s="78" t="str">
        <f>IFERROR(VLOOKUP(A119,Internal_lists_bugs!$A$2:$X1013,24,FALSE()),"please select a BUG ID")</f>
        <v>https://www.mail-archive.com/openstack-dev@lists.openstack.org/ </v>
      </c>
      <c r="D119" s="16" t="s">
        <v>745</v>
      </c>
      <c r="E119" s="79" t="s">
        <v>763</v>
      </c>
      <c r="F119" s="59"/>
      <c r="G119" s="16" t="s">
        <v>764</v>
      </c>
      <c r="H119" s="79" t="s">
        <v>711</v>
      </c>
      <c r="I119" s="59" t="s">
        <v>765</v>
      </c>
      <c r="J119" s="81" t="str">
        <f>IFERROR(Hyperlink(VLOOKUP(A119,Internal_lists_bugs!$A$2:$G1013,7,FALSE()),"BIC: "&amp;VLOOKUP(A119,Internal_lists_bugs!$A$2:$G1013,7,FALSE())&amp;CHAR(10)&amp;"Intro.Issues: "&amp;VLOOKUP(A119,Internal_lists_bugs!$A$2:$P1013,16,FALSE())),"please select a BUG ID")</f>
        <v>BIC: https://opendev.org/openstack/nova/commit/7326bac8f95
Intro.Issues: libvirt-start-lxc-from-block-devices</v>
      </c>
    </row>
    <row r="120">
      <c r="A120" s="18" t="s">
        <v>51</v>
      </c>
      <c r="B120" s="77" t="str">
        <f>IFERROR(HYPERLINK(VLOOKUP(A120,Internal_lists_bugs!$A$2:$C$73,3,FALSE()), VLOOKUP(A120,Internal_lists_bugs!$A$2:$C$73,3,FALSE())&amp;Char(10) &amp; Char(10) &amp; VLOOKUP(A120,Internal_lists_bugs!$A$2:$Z$73,26,FALSE())),"please select a BUG ID")</f>
        <v>https://bugs.launchpad.net/nova/+bug/1370590
/libvirt/driver.py</v>
      </c>
      <c r="C120" s="78" t="str">
        <f>IFERROR(VLOOKUP(A120,Internal_lists_bugs!$A$2:$X1013,24,FALSE()),"please select a BUG ID")</f>
        <v>https://www.mail-archive.com/openstack-dev@lists.openstack.org/ </v>
      </c>
      <c r="D120" s="16" t="s">
        <v>766</v>
      </c>
      <c r="E120" s="79" t="s">
        <v>767</v>
      </c>
      <c r="F120" s="59" t="s">
        <v>768</v>
      </c>
      <c r="G120" s="16" t="s">
        <v>764</v>
      </c>
      <c r="H120" s="79" t="s">
        <v>761</v>
      </c>
      <c r="I120" s="59" t="s">
        <v>769</v>
      </c>
      <c r="J120" s="81" t="str">
        <f>IFERROR(Hyperlink(VLOOKUP(A120,Internal_lists_bugs!$A$2:$G1013,7,FALSE()),"BIC: "&amp;VLOOKUP(A120,Internal_lists_bugs!$A$2:$G1013,7,FALSE())&amp;CHAR(10)&amp;"Intro.Issues: "&amp;VLOOKUP(A120,Internal_lists_bugs!$A$2:$P1013,16,FALSE())),"please select a BUG ID")</f>
        <v>BIC: https://opendev.org/openstack/nova/commit/7326bac8f95
Intro.Issues: libvirt-start-lxc-from-block-devices</v>
      </c>
    </row>
    <row r="121">
      <c r="A121" s="18" t="s">
        <v>51</v>
      </c>
      <c r="B121" s="77" t="str">
        <f>IFERROR(HYPERLINK(VLOOKUP(A121,Internal_lists_bugs!$A$2:$C$73,3,FALSE()), VLOOKUP(A121,Internal_lists_bugs!$A$2:$C$73,3,FALSE())&amp;Char(10) &amp; Char(10) &amp; VLOOKUP(A121,Internal_lists_bugs!$A$2:$Z$73,26,FALSE())),"please select a BUG ID")</f>
        <v>https://bugs.launchpad.net/nova/+bug/1370590
/libvirt/driver.py</v>
      </c>
      <c r="C121" s="78" t="str">
        <f>IFERROR(VLOOKUP(A121,Internal_lists_bugs!$A$2:$X1013,24,FALSE()),"please select a BUG ID")</f>
        <v>https://www.mail-archive.com/openstack-dev@lists.openstack.org/ </v>
      </c>
      <c r="E121" s="82"/>
      <c r="F121" s="80"/>
      <c r="G121" s="16" t="s">
        <v>770</v>
      </c>
      <c r="H121" s="79" t="s">
        <v>711</v>
      </c>
      <c r="I121" s="59" t="s">
        <v>771</v>
      </c>
      <c r="J121" s="81" t="str">
        <f>IFERROR(Hyperlink(VLOOKUP(A121,Internal_lists_bugs!$A$2:$G1013,7,FALSE()),"BIC: "&amp;VLOOKUP(A121,Internal_lists_bugs!$A$2:$G1013,7,FALSE())&amp;CHAR(10)&amp;"Intro.Issues: "&amp;VLOOKUP(A121,Internal_lists_bugs!$A$2:$P1013,16,FALSE())),"please select a BUG ID")</f>
        <v>BIC: https://opendev.org/openstack/nova/commit/7326bac8f95
Intro.Issues: libvirt-start-lxc-from-block-devices</v>
      </c>
    </row>
    <row r="122">
      <c r="A122" s="18" t="s">
        <v>51</v>
      </c>
      <c r="B122" s="77" t="str">
        <f>IFERROR(HYPERLINK(VLOOKUP(A122,Internal_lists_bugs!$A$2:$C$73,3,FALSE()), VLOOKUP(A122,Internal_lists_bugs!$A$2:$C$73,3,FALSE())&amp;Char(10) &amp; Char(10) &amp; VLOOKUP(A122,Internal_lists_bugs!$A$2:$Z$73,26,FALSE())),"please select a BUG ID")</f>
        <v>https://bugs.launchpad.net/nova/+bug/1370590
/libvirt/driver.py</v>
      </c>
      <c r="C122" s="78" t="str">
        <f>IFERROR(VLOOKUP(A122,Internal_lists_bugs!$A$2:$X1013,24,FALSE()),"please select a BUG ID")</f>
        <v>https://www.mail-archive.com/openstack-dev@lists.openstack.org/ </v>
      </c>
      <c r="E122" s="82"/>
      <c r="F122" s="80"/>
      <c r="G122" s="16" t="s">
        <v>770</v>
      </c>
      <c r="H122" s="79" t="s">
        <v>772</v>
      </c>
      <c r="I122" s="59" t="s">
        <v>773</v>
      </c>
      <c r="J122" s="81" t="str">
        <f>IFERROR(Hyperlink(VLOOKUP(A122,Internal_lists_bugs!$A$2:$G1013,7,FALSE()),"BIC: "&amp;VLOOKUP(A122,Internal_lists_bugs!$A$2:$G1013,7,FALSE())&amp;CHAR(10)&amp;"Intro.Issues: "&amp;VLOOKUP(A122,Internal_lists_bugs!$A$2:$P1013,16,FALSE())),"please select a BUG ID")</f>
        <v>BIC: https://opendev.org/openstack/nova/commit/7326bac8f95
Intro.Issues: libvirt-start-lxc-from-block-devices</v>
      </c>
    </row>
    <row r="123">
      <c r="A123" s="18" t="s">
        <v>51</v>
      </c>
      <c r="B123" s="77" t="str">
        <f>IFERROR(HYPERLINK(VLOOKUP(A123,Internal_lists_bugs!$A$2:$C$73,3,FALSE()), VLOOKUP(A123,Internal_lists_bugs!$A$2:$C$73,3,FALSE())&amp;Char(10) &amp; Char(10) &amp; VLOOKUP(A123,Internal_lists_bugs!$A$2:$Z$73,26,FALSE())),"please select a BUG ID")</f>
        <v>https://bugs.launchpad.net/nova/+bug/1370590
/libvirt/driver.py</v>
      </c>
      <c r="C123" s="78" t="str">
        <f>IFERROR(VLOOKUP(A123,Internal_lists_bugs!$A$2:$X1013,24,FALSE()),"please select a BUG ID")</f>
        <v>https://www.mail-archive.com/openstack-dev@lists.openstack.org/ </v>
      </c>
      <c r="E123" s="82"/>
      <c r="F123" s="80"/>
      <c r="G123" s="16" t="s">
        <v>774</v>
      </c>
      <c r="H123" s="79" t="s">
        <v>711</v>
      </c>
      <c r="I123" s="59" t="s">
        <v>775</v>
      </c>
      <c r="J123" s="81" t="str">
        <f>IFERROR(Hyperlink(VLOOKUP(A123,Internal_lists_bugs!$A$2:$G1013,7,FALSE()),"BIC: "&amp;VLOOKUP(A123,Internal_lists_bugs!$A$2:$G1013,7,FALSE())&amp;CHAR(10)&amp;"Intro.Issues: "&amp;VLOOKUP(A123,Internal_lists_bugs!$A$2:$P1013,16,FALSE())),"please select a BUG ID")</f>
        <v>BIC: https://opendev.org/openstack/nova/commit/7326bac8f95
Intro.Issues: libvirt-start-lxc-from-block-devices</v>
      </c>
    </row>
    <row r="124">
      <c r="A124" s="18" t="s">
        <v>52</v>
      </c>
      <c r="B124" s="77" t="str">
        <f>IFERROR(HYPERLINK(VLOOKUP(A124,Internal_lists_bugs!$A$2:$C$73,3,FALSE()), VLOOKUP(A124,Internal_lists_bugs!$A$2:$C$73,3,FALSE())&amp;Char(10) &amp; Char(10) &amp; VLOOKUP(A124,Internal_lists_bugs!$A$2:$Z$73,26,FALSE())),"please select a BUG ID")</f>
        <v>https://bugs.launchpad.net/nova/+bug/1419002
/libvirt/driver.py
/compute/utils.py</v>
      </c>
      <c r="C124" s="78" t="str">
        <f>IFERROR(VLOOKUP(A124,Internal_lists_bugs!$A$2:$X1013,24,FALSE()),"please select a BUG ID")</f>
        <v>https://www.mail-archive.com/openstack-dev@lists.openstack.org/ </v>
      </c>
      <c r="D124" s="16" t="s">
        <v>124</v>
      </c>
      <c r="E124" s="82"/>
      <c r="F124" s="80"/>
      <c r="G124" s="16" t="s">
        <v>124</v>
      </c>
      <c r="H124" s="79"/>
      <c r="I124" s="80"/>
      <c r="J124" s="81" t="str">
        <f>IFERROR(Hyperlink(VLOOKUP(A124,Internal_lists_bugs!$A$2:$G1013,7,FALSE()),"BIC: "&amp;VLOOKUP(A124,Internal_lists_bugs!$A$2:$G1013,7,FALSE())&amp;CHAR(10)&amp;"Intro.Issues: "&amp;VLOOKUP(A124,Internal_lists_bugs!$A$2:$P1013,16,FALSE())),"please select a BUG ID")</f>
        <v>BIC: https://opendev.org/openstack/nova/commit/2ef03c6a0a8c5705
Intro.Issues: NA</v>
      </c>
    </row>
    <row r="125">
      <c r="A125" s="18" t="s">
        <v>53</v>
      </c>
      <c r="B125" s="77" t="str">
        <f>IFERROR(HYPERLINK(VLOOKUP(A125,Internal_lists_bugs!$A$2:$C$73,3,FALSE()), VLOOKUP(A125,Internal_lists_bugs!$A$2:$C$73,3,FALSE())&amp;Char(10) &amp; Char(10) &amp; VLOOKUP(A125,Internal_lists_bugs!$A$2:$Z$73,26,FALSE())),"please select a BUG ID")</f>
        <v>https://bugs.launchpad.net/nova/+bug/1336127
/compute/manager.py</v>
      </c>
      <c r="C125" s="78" t="str">
        <f>IFERROR(VLOOKUP(A125,Internal_lists_bugs!$A$2:$X1013,24,FALSE()),"please select a BUG ID")</f>
        <v>https://www.mail-archive.com/openstack-dev@lists.openstack.org/ </v>
      </c>
      <c r="D125" s="16" t="s">
        <v>124</v>
      </c>
      <c r="E125" s="82"/>
      <c r="F125" s="80"/>
      <c r="G125" s="16" t="s">
        <v>776</v>
      </c>
      <c r="H125" s="79" t="s">
        <v>777</v>
      </c>
      <c r="I125" s="16" t="s">
        <v>778</v>
      </c>
      <c r="J125" s="81" t="str">
        <f>IFERROR(Hyperlink(VLOOKUP(A125,Internal_lists_bugs!$A$2:$G1013,7,FALSE()),"BIC: "&amp;VLOOKUP(A125,Internal_lists_bugs!$A$2:$G1013,7,FALSE())&amp;CHAR(10)&amp;"Intro.Issues: "&amp;VLOOKUP(A125,Internal_lists_bugs!$A$2:$P1013,16,FALSE())),"please select a BUG ID")</f>
        <v>BIC: https://opendev.org/openstack/nova/commit/2c62e34
Intro.Issues: remove-cast-to-schedule-run-instance</v>
      </c>
    </row>
    <row r="126">
      <c r="A126" s="18" t="s">
        <v>53</v>
      </c>
      <c r="B126" s="77" t="str">
        <f>IFERROR(HYPERLINK(VLOOKUP(A126,Internal_lists_bugs!$A$2:$C$73,3,FALSE()), VLOOKUP(A126,Internal_lists_bugs!$A$2:$C$73,3,FALSE())&amp;Char(10) &amp; Char(10) &amp; VLOOKUP(A126,Internal_lists_bugs!$A$2:$Z$73,26,FALSE())),"please select a BUG ID")</f>
        <v>https://bugs.launchpad.net/nova/+bug/1336127
/compute/manager.py</v>
      </c>
      <c r="C126" s="78" t="str">
        <f>IFERROR(VLOOKUP(A126,Internal_lists_bugs!$A$2:$X1013,24,FALSE()),"please select a BUG ID")</f>
        <v>https://www.mail-archive.com/openstack-dev@lists.openstack.org/ </v>
      </c>
      <c r="E126" s="82"/>
      <c r="F126" s="80"/>
      <c r="G126" s="16" t="s">
        <v>776</v>
      </c>
      <c r="H126" s="79" t="s">
        <v>779</v>
      </c>
      <c r="I126" s="59" t="s">
        <v>780</v>
      </c>
      <c r="J126" s="81" t="str">
        <f>IFERROR(Hyperlink(VLOOKUP(A126,Internal_lists_bugs!$A$2:$G1013,7,FALSE()),"BIC: "&amp;VLOOKUP(A126,Internal_lists_bugs!$A$2:$G1013,7,FALSE())&amp;CHAR(10)&amp;"Intro.Issues: "&amp;VLOOKUP(A126,Internal_lists_bugs!$A$2:$P1013,16,FALSE())),"please select a BUG ID")</f>
        <v>BIC: https://opendev.org/openstack/nova/commit/2c62e34
Intro.Issues: remove-cast-to-schedule-run-instance</v>
      </c>
    </row>
    <row r="127">
      <c r="A127" s="18" t="s">
        <v>53</v>
      </c>
      <c r="B127" s="77" t="str">
        <f>IFERROR(HYPERLINK(VLOOKUP(A127,Internal_lists_bugs!$A$2:$C$73,3,FALSE()), VLOOKUP(A127,Internal_lists_bugs!$A$2:$C$73,3,FALSE())&amp;Char(10) &amp; Char(10) &amp; VLOOKUP(A127,Internal_lists_bugs!$A$2:$Z$73,26,FALSE())),"please select a BUG ID")</f>
        <v>https://bugs.launchpad.net/nova/+bug/1336127
/compute/manager.py</v>
      </c>
      <c r="C127" s="78" t="str">
        <f>IFERROR(VLOOKUP(A127,Internal_lists_bugs!$A$2:$X1013,24,FALSE()),"please select a BUG ID")</f>
        <v>https://www.mail-archive.com/openstack-dev@lists.openstack.org/ </v>
      </c>
      <c r="E127" s="82"/>
      <c r="F127" s="80"/>
      <c r="G127" s="16" t="s">
        <v>776</v>
      </c>
      <c r="H127" s="79" t="s">
        <v>757</v>
      </c>
      <c r="I127" s="59" t="s">
        <v>781</v>
      </c>
      <c r="J127" s="81" t="str">
        <f>IFERROR(Hyperlink(VLOOKUP(A127,Internal_lists_bugs!$A$2:$G1013,7,FALSE()),"BIC: "&amp;VLOOKUP(A127,Internal_lists_bugs!$A$2:$G1013,7,FALSE())&amp;CHAR(10)&amp;"Intro.Issues: "&amp;VLOOKUP(A127,Internal_lists_bugs!$A$2:$P1013,16,FALSE())),"please select a BUG ID")</f>
        <v>BIC: https://opendev.org/openstack/nova/commit/2c62e34
Intro.Issues: remove-cast-to-schedule-run-instance</v>
      </c>
    </row>
    <row r="128">
      <c r="A128" s="18" t="s">
        <v>53</v>
      </c>
      <c r="B128" s="77" t="str">
        <f>IFERROR(HYPERLINK(VLOOKUP(A128,Internal_lists_bugs!$A$2:$C$73,3,FALSE()), VLOOKUP(A128,Internal_lists_bugs!$A$2:$C$73,3,FALSE())&amp;Char(10) &amp; Char(10) &amp; VLOOKUP(A128,Internal_lists_bugs!$A$2:$Z$73,26,FALSE())),"please select a BUG ID")</f>
        <v>https://bugs.launchpad.net/nova/+bug/1336127
/compute/manager.py</v>
      </c>
      <c r="C128" s="78" t="str">
        <f>IFERROR(VLOOKUP(A128,Internal_lists_bugs!$A$2:$X1013,24,FALSE()),"please select a BUG ID")</f>
        <v>https://www.mail-archive.com/openstack-dev@lists.openstack.org/ </v>
      </c>
      <c r="E128" s="82"/>
      <c r="F128" s="80"/>
      <c r="G128" s="16" t="s">
        <v>776</v>
      </c>
      <c r="H128" s="79" t="s">
        <v>782</v>
      </c>
      <c r="I128" s="59" t="s">
        <v>783</v>
      </c>
      <c r="J128" s="81" t="str">
        <f>IFERROR(Hyperlink(VLOOKUP(A128,Internal_lists_bugs!$A$2:$G1013,7,FALSE()),"BIC: "&amp;VLOOKUP(A128,Internal_lists_bugs!$A$2:$G1013,7,FALSE())&amp;CHAR(10)&amp;"Intro.Issues: "&amp;VLOOKUP(A128,Internal_lists_bugs!$A$2:$P1013,16,FALSE())),"please select a BUG ID")</f>
        <v>BIC: https://opendev.org/openstack/nova/commit/2c62e34
Intro.Issues: remove-cast-to-schedule-run-instance</v>
      </c>
    </row>
    <row r="129">
      <c r="A129" s="18" t="s">
        <v>53</v>
      </c>
      <c r="B129" s="77" t="str">
        <f>IFERROR(HYPERLINK(VLOOKUP(A129,Internal_lists_bugs!$A$2:$C$73,3,FALSE()), VLOOKUP(A129,Internal_lists_bugs!$A$2:$C$73,3,FALSE())&amp;Char(10) &amp; Char(10) &amp; VLOOKUP(A129,Internal_lists_bugs!$A$2:$Z$73,26,FALSE())),"please select a BUG ID")</f>
        <v>https://bugs.launchpad.net/nova/+bug/1336127
/compute/manager.py</v>
      </c>
      <c r="C129" s="78" t="str">
        <f>IFERROR(VLOOKUP(A129,Internal_lists_bugs!$A$2:$X1013,24,FALSE()),"please select a BUG ID")</f>
        <v>https://www.mail-archive.com/openstack-dev@lists.openstack.org/ </v>
      </c>
      <c r="E129" s="82"/>
      <c r="F129" s="80"/>
      <c r="G129" s="16" t="s">
        <v>776</v>
      </c>
      <c r="H129" s="79" t="s">
        <v>784</v>
      </c>
      <c r="I129" s="59" t="s">
        <v>785</v>
      </c>
      <c r="J129" s="81" t="str">
        <f>IFERROR(Hyperlink(VLOOKUP(A129,Internal_lists_bugs!$A$2:$G1013,7,FALSE()),"BIC: "&amp;VLOOKUP(A129,Internal_lists_bugs!$A$2:$G1013,7,FALSE())&amp;CHAR(10)&amp;"Intro.Issues: "&amp;VLOOKUP(A129,Internal_lists_bugs!$A$2:$P1013,16,FALSE())),"please select a BUG ID")</f>
        <v>BIC: https://opendev.org/openstack/nova/commit/2c62e34
Intro.Issues: remove-cast-to-schedule-run-instance</v>
      </c>
    </row>
    <row r="130">
      <c r="A130" s="18" t="s">
        <v>53</v>
      </c>
      <c r="B130" s="77" t="str">
        <f>IFERROR(HYPERLINK(VLOOKUP(A130,Internal_lists_bugs!$A$2:$C$73,3,FALSE()), VLOOKUP(A130,Internal_lists_bugs!$A$2:$C$73,3,FALSE())&amp;Char(10) &amp; Char(10) &amp; VLOOKUP(A130,Internal_lists_bugs!$A$2:$Z$73,26,FALSE())),"please select a BUG ID")</f>
        <v>https://bugs.launchpad.net/nova/+bug/1336127
/compute/manager.py</v>
      </c>
      <c r="C130" s="78" t="str">
        <f>IFERROR(VLOOKUP(A130,Internal_lists_bugs!$A$2:$X1013,24,FALSE()),"please select a BUG ID")</f>
        <v>https://www.mail-archive.com/openstack-dev@lists.openstack.org/ </v>
      </c>
      <c r="E130" s="82"/>
      <c r="F130" s="80"/>
      <c r="G130" s="16" t="s">
        <v>776</v>
      </c>
      <c r="H130" s="79" t="s">
        <v>786</v>
      </c>
      <c r="I130" s="59"/>
      <c r="J130" s="81" t="str">
        <f>IFERROR(Hyperlink(VLOOKUP(A130,Internal_lists_bugs!$A$2:$G1013,7,FALSE()),"BIC: "&amp;VLOOKUP(A130,Internal_lists_bugs!$A$2:$G1013,7,FALSE())&amp;CHAR(10)&amp;"Intro.Issues: "&amp;VLOOKUP(A130,Internal_lists_bugs!$A$2:$P1013,16,FALSE())),"please select a BUG ID")</f>
        <v>BIC: https://opendev.org/openstack/nova/commit/2c62e34
Intro.Issues: remove-cast-to-schedule-run-instance</v>
      </c>
    </row>
    <row r="131">
      <c r="A131" s="18" t="s">
        <v>53</v>
      </c>
      <c r="B131" s="77" t="str">
        <f>IFERROR(HYPERLINK(VLOOKUP(A131,Internal_lists_bugs!$A$2:$C$73,3,FALSE()), VLOOKUP(A131,Internal_lists_bugs!$A$2:$C$73,3,FALSE())&amp;Char(10) &amp; Char(10) &amp; VLOOKUP(A131,Internal_lists_bugs!$A$2:$Z$73,26,FALSE())),"please select a BUG ID")</f>
        <v>https://bugs.launchpad.net/nova/+bug/1336127
/compute/manager.py</v>
      </c>
      <c r="C131" s="78" t="str">
        <f>IFERROR(VLOOKUP(A131,Internal_lists_bugs!$A$2:$X1013,24,FALSE()),"please select a BUG ID")</f>
        <v>https://www.mail-archive.com/openstack-dev@lists.openstack.org/ </v>
      </c>
      <c r="E131" s="82"/>
      <c r="F131" s="80"/>
      <c r="G131" s="16" t="s">
        <v>776</v>
      </c>
      <c r="H131" s="79" t="s">
        <v>787</v>
      </c>
      <c r="I131" s="59" t="s">
        <v>788</v>
      </c>
      <c r="J131" s="81" t="str">
        <f>IFERROR(Hyperlink(VLOOKUP(A131,Internal_lists_bugs!$A$2:$G1013,7,FALSE()),"BIC: "&amp;VLOOKUP(A131,Internal_lists_bugs!$A$2:$G1013,7,FALSE())&amp;CHAR(10)&amp;"Intro.Issues: "&amp;VLOOKUP(A131,Internal_lists_bugs!$A$2:$P1013,16,FALSE())),"please select a BUG ID")</f>
        <v>BIC: https://opendev.org/openstack/nova/commit/2c62e34
Intro.Issues: remove-cast-to-schedule-run-instance</v>
      </c>
    </row>
    <row r="132">
      <c r="A132" s="18" t="s">
        <v>53</v>
      </c>
      <c r="B132" s="77" t="str">
        <f>IFERROR(HYPERLINK(VLOOKUP(A132,Internal_lists_bugs!$A$2:$C$73,3,FALSE()), VLOOKUP(A132,Internal_lists_bugs!$A$2:$C$73,3,FALSE())&amp;Char(10) &amp; Char(10) &amp; VLOOKUP(A132,Internal_lists_bugs!$A$2:$Z$73,26,FALSE())),"please select a BUG ID")</f>
        <v>https://bugs.launchpad.net/nova/+bug/1336127
/compute/manager.py</v>
      </c>
      <c r="C132" s="78" t="str">
        <f>IFERROR(VLOOKUP(A132,Internal_lists_bugs!$A$2:$X1013,24,FALSE()),"please select a BUG ID")</f>
        <v>https://www.mail-archive.com/openstack-dev@lists.openstack.org/ </v>
      </c>
      <c r="E132" s="82"/>
      <c r="F132" s="80"/>
      <c r="G132" s="16" t="s">
        <v>789</v>
      </c>
      <c r="H132" s="79" t="s">
        <v>552</v>
      </c>
      <c r="I132" s="80"/>
      <c r="J132" s="81" t="str">
        <f>IFERROR(Hyperlink(VLOOKUP(A132,Internal_lists_bugs!$A$2:$G1013,7,FALSE()),"BIC: "&amp;VLOOKUP(A132,Internal_lists_bugs!$A$2:$G1013,7,FALSE())&amp;CHAR(10)&amp;"Intro.Issues: "&amp;VLOOKUP(A132,Internal_lists_bugs!$A$2:$P1013,16,FALSE())),"please select a BUG ID")</f>
        <v>BIC: https://opendev.org/openstack/nova/commit/2c62e34
Intro.Issues: remove-cast-to-schedule-run-instance</v>
      </c>
    </row>
    <row r="133">
      <c r="A133" s="18" t="s">
        <v>53</v>
      </c>
      <c r="B133" s="77" t="str">
        <f>IFERROR(HYPERLINK(VLOOKUP(A133,Internal_lists_bugs!$A$2:$C$73,3,FALSE()), VLOOKUP(A133,Internal_lists_bugs!$A$2:$C$73,3,FALSE())&amp;Char(10) &amp; Char(10) &amp; VLOOKUP(A133,Internal_lists_bugs!$A$2:$Z$73,26,FALSE())),"please select a BUG ID")</f>
        <v>https://bugs.launchpad.net/nova/+bug/1336127
/compute/manager.py</v>
      </c>
      <c r="C133" s="78" t="str">
        <f>IFERROR(VLOOKUP(A133,Internal_lists_bugs!$A$2:$X1013,24,FALSE()),"please select a BUG ID")</f>
        <v>https://www.mail-archive.com/openstack-dev@lists.openstack.org/ </v>
      </c>
      <c r="E133" s="82"/>
      <c r="F133" s="80"/>
      <c r="G133" s="16" t="s">
        <v>790</v>
      </c>
      <c r="H133" s="79" t="s">
        <v>786</v>
      </c>
      <c r="I133" s="59" t="s">
        <v>791</v>
      </c>
      <c r="J133" s="81" t="str">
        <f>IFERROR(Hyperlink(VLOOKUP(A133,Internal_lists_bugs!$A$2:$G1013,7,FALSE()),"BIC: "&amp;VLOOKUP(A133,Internal_lists_bugs!$A$2:$G1013,7,FALSE())&amp;CHAR(10)&amp;"Intro.Issues: "&amp;VLOOKUP(A133,Internal_lists_bugs!$A$2:$P1013,16,FALSE())),"please select a BUG ID")</f>
        <v>BIC: https://opendev.org/openstack/nova/commit/2c62e34
Intro.Issues: remove-cast-to-schedule-run-instance</v>
      </c>
    </row>
    <row r="134">
      <c r="A134" s="18" t="s">
        <v>54</v>
      </c>
      <c r="B134" s="77" t="str">
        <f>IFERROR(HYPERLINK(VLOOKUP(A134,Internal_lists_bugs!$A$2:$C$73,3,FALSE()), VLOOKUP(A134,Internal_lists_bugs!$A$2:$C$73,3,FALSE())&amp;Char(10) &amp; Char(10) &amp; VLOOKUP(A134,Internal_lists_bugs!$A$2:$Z$73,26,FALSE())),"please select a BUG ID")</f>
        <v>https://bugs.launchpad.net/nova/+bug/1307791
/compute/api.py</v>
      </c>
      <c r="C134" s="78" t="str">
        <f>IFERROR(VLOOKUP(A134,Internal_lists_bugs!$A$2:$X1013,24,FALSE()),"please select a BUG ID")</f>
        <v>https://www.mail-archive.com/openstack-dev@lists.openstack.org/ </v>
      </c>
      <c r="D134" s="16" t="s">
        <v>124</v>
      </c>
      <c r="E134" s="82"/>
      <c r="F134" s="80"/>
      <c r="G134" s="16" t="s">
        <v>124</v>
      </c>
      <c r="H134" s="82"/>
      <c r="I134" s="80"/>
      <c r="J134" s="81" t="str">
        <f>IFERROR(Hyperlink(VLOOKUP(A134,Internal_lists_bugs!$A$2:$G1013,7,FALSE()),"BIC: "&amp;VLOOKUP(A134,Internal_lists_bugs!$A$2:$G1013,7,FALSE())&amp;CHAR(10)&amp;"Intro.Issues: "&amp;VLOOKUP(A134,Internal_lists_bugs!$A$2:$P1013,16,FALSE())),"please select a BUG ID")</f>
        <v>BIC: https://opendev.org/openstack/nova/commit/3dff4335661
Intro.Issues: 1067214</v>
      </c>
    </row>
    <row r="135">
      <c r="A135" s="18" t="s">
        <v>55</v>
      </c>
      <c r="B135" s="77" t="str">
        <f>IFERROR(HYPERLINK(VLOOKUP(A135,Internal_lists_bugs!$A$2:$C$73,3,FALSE()), VLOOKUP(A135,Internal_lists_bugs!$A$2:$C$73,3,FALSE())&amp;Char(10) &amp; Char(10) &amp; VLOOKUP(A135,Internal_lists_bugs!$A$2:$Z$73,26,FALSE())),"please select a BUG ID")</f>
        <v>https://bugs.launchpad.net/nova/+bug/1402535
/virt/libvirt/volume.py</v>
      </c>
      <c r="C135" s="78" t="str">
        <f>IFERROR(VLOOKUP(A135,Internal_lists_bugs!$A$2:$X1013,24,FALSE()),"please select a BUG ID")</f>
        <v>https://www.mail-archive.com/openstack-dev@lists.openstack.org/ </v>
      </c>
      <c r="D135" s="16" t="s">
        <v>124</v>
      </c>
      <c r="E135" s="82"/>
      <c r="F135" s="80"/>
      <c r="G135" s="16" t="s">
        <v>124</v>
      </c>
      <c r="H135" s="82"/>
      <c r="I135" s="80"/>
      <c r="J135" s="81" t="str">
        <f>IFERROR(Hyperlink(VLOOKUP(A135,Internal_lists_bugs!$A$2:$G1013,7,FALSE()),"BIC: "&amp;VLOOKUP(A135,Internal_lists_bugs!$A$2:$G1013,7,FALSE())&amp;CHAR(10)&amp;"Intro.Issues: "&amp;VLOOKUP(A135,Internal_lists_bugs!$A$2:$P1013,16,FALSE())),"please select a BUG ID")</f>
        <v>BIC: https://opendev.org/openstack/nova/commit/933365a58
Intro.Issues: NA</v>
      </c>
    </row>
    <row r="136">
      <c r="A136" s="18" t="s">
        <v>56</v>
      </c>
      <c r="B136" s="77" t="str">
        <f>IFERROR(HYPERLINK(VLOOKUP(A136,Internal_lists_bugs!$A$2:$C$73,3,FALSE()), VLOOKUP(A136,Internal_lists_bugs!$A$2:$C$73,3,FALSE())&amp;Char(10) &amp; Char(10) &amp; VLOOKUP(A136,Internal_lists_bugs!$A$2:$Z$73,26,FALSE())),"please select a BUG ID")</f>
        <v>https://bugs.launchpad.net/nova/+bug/1371677
/libvirt/driver.py</v>
      </c>
      <c r="C136" s="78" t="str">
        <f>IFERROR(VLOOKUP(A136,Internal_lists_bugs!$A$2:$X1013,24,FALSE()),"please select a BUG ID")</f>
        <v>https://www.mail-archive.com/openstack-dev@lists.openstack.org/ </v>
      </c>
      <c r="D136" s="16" t="s">
        <v>124</v>
      </c>
      <c r="E136" s="82"/>
      <c r="F136" s="80"/>
      <c r="G136" s="16" t="s">
        <v>792</v>
      </c>
      <c r="H136" s="79" t="s">
        <v>706</v>
      </c>
      <c r="I136" s="59" t="s">
        <v>793</v>
      </c>
      <c r="J136" s="81" t="str">
        <f>IFERROR(Hyperlink(VLOOKUP(A136,Internal_lists_bugs!$A$2:$G1013,7,FALSE()),"BIC: "&amp;VLOOKUP(A136,Internal_lists_bugs!$A$2:$G1013,7,FALSE())&amp;CHAR(10)&amp;"Intro.Issues: "&amp;VLOOKUP(A136,Internal_lists_bugs!$A$2:$P1013,16,FALSE())),"please select a BUG ID")</f>
        <v>BIC: https://opendev.org/openstack/nova/commit/5fa74bc
Intro.Issues: lvm-ephemeral-storage-encryption</v>
      </c>
    </row>
    <row r="137">
      <c r="A137" s="18" t="s">
        <v>56</v>
      </c>
      <c r="B137" s="77" t="str">
        <f>IFERROR(HYPERLINK(VLOOKUP(A137,Internal_lists_bugs!$A$2:$C$73,3,FALSE()), VLOOKUP(A137,Internal_lists_bugs!$A$2:$C$73,3,FALSE())&amp;Char(10) &amp; Char(10) &amp; VLOOKUP(A137,Internal_lists_bugs!$A$2:$Z$73,26,FALSE())),"please select a BUG ID")</f>
        <v>https://bugs.launchpad.net/nova/+bug/1371677
/libvirt/driver.py</v>
      </c>
      <c r="C137" s="78" t="str">
        <f>IFERROR(VLOOKUP(A137,Internal_lists_bugs!$A$2:$X1013,24,FALSE()),"please select a BUG ID")</f>
        <v>https://www.mail-archive.com/openstack-dev@lists.openstack.org/ </v>
      </c>
      <c r="E137" s="82"/>
      <c r="F137" s="80"/>
      <c r="G137" s="16" t="s">
        <v>792</v>
      </c>
      <c r="H137" s="79" t="s">
        <v>794</v>
      </c>
      <c r="I137" s="59" t="s">
        <v>795</v>
      </c>
      <c r="J137" s="81" t="str">
        <f>IFERROR(Hyperlink(VLOOKUP(A137,Internal_lists_bugs!$A$2:$G1013,7,FALSE()),"BIC: "&amp;VLOOKUP(A137,Internal_lists_bugs!$A$2:$G1013,7,FALSE())&amp;CHAR(10)&amp;"Intro.Issues: "&amp;VLOOKUP(A137,Internal_lists_bugs!$A$2:$P1013,16,FALSE())),"please select a BUG ID")</f>
        <v>BIC: https://opendev.org/openstack/nova/commit/5fa74bc
Intro.Issues: lvm-ephemeral-storage-encryption</v>
      </c>
    </row>
    <row r="138">
      <c r="A138" s="18" t="s">
        <v>56</v>
      </c>
      <c r="B138" s="77" t="str">
        <f>IFERROR(HYPERLINK(VLOOKUP(A138,Internal_lists_bugs!$A$2:$C$73,3,FALSE()), VLOOKUP(A138,Internal_lists_bugs!$A$2:$C$73,3,FALSE())&amp;Char(10) &amp; Char(10) &amp; VLOOKUP(A138,Internal_lists_bugs!$A$2:$Z$73,26,FALSE())),"please select a BUG ID")</f>
        <v>https://bugs.launchpad.net/nova/+bug/1371677
/libvirt/driver.py</v>
      </c>
      <c r="C138" s="78" t="str">
        <f>IFERROR(VLOOKUP(A138,Internal_lists_bugs!$A$2:$X1013,24,FALSE()),"please select a BUG ID")</f>
        <v>https://www.mail-archive.com/openstack-dev@lists.openstack.org/ </v>
      </c>
      <c r="E138" s="82"/>
      <c r="F138" s="80"/>
      <c r="G138" s="16" t="s">
        <v>792</v>
      </c>
      <c r="H138" s="79" t="s">
        <v>796</v>
      </c>
      <c r="I138" s="59" t="s">
        <v>797</v>
      </c>
      <c r="J138" s="81" t="str">
        <f>IFERROR(Hyperlink(VLOOKUP(A138,Internal_lists_bugs!$A$2:$G1013,7,FALSE()),"BIC: "&amp;VLOOKUP(A138,Internal_lists_bugs!$A$2:$G1013,7,FALSE())&amp;CHAR(10)&amp;"Intro.Issues: "&amp;VLOOKUP(A138,Internal_lists_bugs!$A$2:$P1013,16,FALSE())),"please select a BUG ID")</f>
        <v>BIC: https://opendev.org/openstack/nova/commit/5fa74bc
Intro.Issues: lvm-ephemeral-storage-encryption</v>
      </c>
    </row>
    <row r="139">
      <c r="A139" s="18" t="s">
        <v>56</v>
      </c>
      <c r="B139" s="77" t="str">
        <f>IFERROR(HYPERLINK(VLOOKUP(A139,Internal_lists_bugs!$A$2:$C$73,3,FALSE()), VLOOKUP(A139,Internal_lists_bugs!$A$2:$C$73,3,FALSE())&amp;Char(10) &amp; Char(10) &amp; VLOOKUP(A139,Internal_lists_bugs!$A$2:$Z$73,26,FALSE())),"please select a BUG ID")</f>
        <v>https://bugs.launchpad.net/nova/+bug/1371677
/libvirt/driver.py</v>
      </c>
      <c r="C139" s="78" t="str">
        <f>IFERROR(VLOOKUP(A139,Internal_lists_bugs!$A$2:$X1013,24,FALSE()),"please select a BUG ID")</f>
        <v>https://www.mail-archive.com/openstack-dev@lists.openstack.org/ </v>
      </c>
      <c r="E139" s="82"/>
      <c r="F139" s="80"/>
      <c r="G139" s="16" t="s">
        <v>792</v>
      </c>
      <c r="H139" s="79" t="s">
        <v>798</v>
      </c>
      <c r="I139" s="59" t="s">
        <v>799</v>
      </c>
      <c r="J139" s="81" t="str">
        <f>IFERROR(Hyperlink(VLOOKUP(A139,Internal_lists_bugs!$A$2:$G1013,7,FALSE()),"BIC: "&amp;VLOOKUP(A139,Internal_lists_bugs!$A$2:$G1013,7,FALSE())&amp;CHAR(10)&amp;"Intro.Issues: "&amp;VLOOKUP(A139,Internal_lists_bugs!$A$2:$P1013,16,FALSE())),"please select a BUG ID")</f>
        <v>BIC: https://opendev.org/openstack/nova/commit/5fa74bc
Intro.Issues: lvm-ephemeral-storage-encryption</v>
      </c>
    </row>
    <row r="140">
      <c r="A140" s="18" t="s">
        <v>56</v>
      </c>
      <c r="B140" s="77" t="str">
        <f>IFERROR(HYPERLINK(VLOOKUP(A140,Internal_lists_bugs!$A$2:$C$73,3,FALSE()), VLOOKUP(A140,Internal_lists_bugs!$A$2:$C$73,3,FALSE())&amp;Char(10) &amp; Char(10) &amp; VLOOKUP(A140,Internal_lists_bugs!$A$2:$Z$73,26,FALSE())),"please select a BUG ID")</f>
        <v>https://bugs.launchpad.net/nova/+bug/1371677
/libvirt/driver.py</v>
      </c>
      <c r="C140" s="78" t="str">
        <f>IFERROR(VLOOKUP(A140,Internal_lists_bugs!$A$2:$X1013,24,FALSE()),"please select a BUG ID")</f>
        <v>https://www.mail-archive.com/openstack-dev@lists.openstack.org/ </v>
      </c>
      <c r="E140" s="82"/>
      <c r="F140" s="80"/>
      <c r="G140" s="16" t="s">
        <v>792</v>
      </c>
      <c r="H140" s="79" t="s">
        <v>800</v>
      </c>
      <c r="I140" s="59" t="s">
        <v>801</v>
      </c>
      <c r="J140" s="81" t="str">
        <f>IFERROR(Hyperlink(VLOOKUP(A140,Internal_lists_bugs!$A$2:$G1013,7,FALSE()),"BIC: "&amp;VLOOKUP(A140,Internal_lists_bugs!$A$2:$G1013,7,FALSE())&amp;CHAR(10)&amp;"Intro.Issues: "&amp;VLOOKUP(A140,Internal_lists_bugs!$A$2:$P1013,16,FALSE())),"please select a BUG ID")</f>
        <v>BIC: https://opendev.org/openstack/nova/commit/5fa74bc
Intro.Issues: lvm-ephemeral-storage-encryption</v>
      </c>
    </row>
    <row r="141">
      <c r="A141" s="18" t="s">
        <v>56</v>
      </c>
      <c r="B141" s="77" t="str">
        <f>IFERROR(HYPERLINK(VLOOKUP(A141,Internal_lists_bugs!$A$2:$C$73,3,FALSE()), VLOOKUP(A141,Internal_lists_bugs!$A$2:$C$73,3,FALSE())&amp;Char(10) &amp; Char(10) &amp; VLOOKUP(A141,Internal_lists_bugs!$A$2:$Z$73,26,FALSE())),"please select a BUG ID")</f>
        <v>https://bugs.launchpad.net/nova/+bug/1371677
/libvirt/driver.py</v>
      </c>
      <c r="C141" s="78" t="str">
        <f>IFERROR(VLOOKUP(A141,Internal_lists_bugs!$A$2:$X1013,24,FALSE()),"please select a BUG ID")</f>
        <v>https://www.mail-archive.com/openstack-dev@lists.openstack.org/ </v>
      </c>
      <c r="E141" s="82"/>
      <c r="F141" s="80"/>
      <c r="G141" s="16" t="s">
        <v>792</v>
      </c>
      <c r="H141" s="79" t="s">
        <v>595</v>
      </c>
      <c r="I141" s="59" t="s">
        <v>802</v>
      </c>
      <c r="J141" s="81" t="str">
        <f>IFERROR(Hyperlink(VLOOKUP(A141,Internal_lists_bugs!$A$2:$G1013,7,FALSE()),"BIC: "&amp;VLOOKUP(A141,Internal_lists_bugs!$A$2:$G1013,7,FALSE())&amp;CHAR(10)&amp;"Intro.Issues: "&amp;VLOOKUP(A141,Internal_lists_bugs!$A$2:$P1013,16,FALSE())),"please select a BUG ID")</f>
        <v>BIC: https://opendev.org/openstack/nova/commit/5fa74bc
Intro.Issues: lvm-ephemeral-storage-encryption</v>
      </c>
    </row>
    <row r="142">
      <c r="A142" s="18" t="s">
        <v>56</v>
      </c>
      <c r="B142" s="77" t="str">
        <f>IFERROR(HYPERLINK(VLOOKUP(A142,Internal_lists_bugs!$A$2:$C$73,3,FALSE()), VLOOKUP(A142,Internal_lists_bugs!$A$2:$C$73,3,FALSE())&amp;Char(10) &amp; Char(10) &amp; VLOOKUP(A142,Internal_lists_bugs!$A$2:$Z$73,26,FALSE())),"please select a BUG ID")</f>
        <v>https://bugs.launchpad.net/nova/+bug/1371677
/libvirt/driver.py</v>
      </c>
      <c r="C142" s="78" t="str">
        <f>IFERROR(VLOOKUP(A142,Internal_lists_bugs!$A$2:$X1013,24,FALSE()),"please select a BUG ID")</f>
        <v>https://www.mail-archive.com/openstack-dev@lists.openstack.org/ </v>
      </c>
      <c r="E142" s="82"/>
      <c r="F142" s="80"/>
      <c r="G142" s="16" t="s">
        <v>803</v>
      </c>
      <c r="H142" s="79" t="s">
        <v>711</v>
      </c>
      <c r="I142" s="59" t="s">
        <v>804</v>
      </c>
      <c r="J142" s="81" t="str">
        <f>IFERROR(Hyperlink(VLOOKUP(A142,Internal_lists_bugs!$A$2:$G1013,7,FALSE()),"BIC: "&amp;VLOOKUP(A142,Internal_lists_bugs!$A$2:$G1013,7,FALSE())&amp;CHAR(10)&amp;"Intro.Issues: "&amp;VLOOKUP(A142,Internal_lists_bugs!$A$2:$P1013,16,FALSE())),"please select a BUG ID")</f>
        <v>BIC: https://opendev.org/openstack/nova/commit/5fa74bc
Intro.Issues: lvm-ephemeral-storage-encryption</v>
      </c>
    </row>
    <row r="143">
      <c r="A143" s="18" t="s">
        <v>56</v>
      </c>
      <c r="B143" s="77" t="str">
        <f>IFERROR(HYPERLINK(VLOOKUP(A143,Internal_lists_bugs!$A$2:$C$73,3,FALSE()), VLOOKUP(A143,Internal_lists_bugs!$A$2:$C$73,3,FALSE())&amp;Char(10) &amp; Char(10) &amp; VLOOKUP(A143,Internal_lists_bugs!$A$2:$Z$73,26,FALSE())),"please select a BUG ID")</f>
        <v>https://bugs.launchpad.net/nova/+bug/1371677
/libvirt/driver.py</v>
      </c>
      <c r="C143" s="78" t="str">
        <f>IFERROR(VLOOKUP(A143,Internal_lists_bugs!$A$2:$X1013,24,FALSE()),"please select a BUG ID")</f>
        <v>https://www.mail-archive.com/openstack-dev@lists.openstack.org/ </v>
      </c>
      <c r="E143" s="82"/>
      <c r="F143" s="80"/>
      <c r="G143" s="16" t="s">
        <v>805</v>
      </c>
      <c r="H143" s="79" t="s">
        <v>711</v>
      </c>
      <c r="I143" s="59" t="s">
        <v>806</v>
      </c>
      <c r="J143" s="81" t="str">
        <f>IFERROR(Hyperlink(VLOOKUP(A143,Internal_lists_bugs!$A$2:$G1013,7,FALSE()),"BIC: "&amp;VLOOKUP(A143,Internal_lists_bugs!$A$2:$G1013,7,FALSE())&amp;CHAR(10)&amp;"Intro.Issues: "&amp;VLOOKUP(A143,Internal_lists_bugs!$A$2:$P1013,16,FALSE())),"please select a BUG ID")</f>
        <v>BIC: https://opendev.org/openstack/nova/commit/5fa74bc
Intro.Issues: lvm-ephemeral-storage-encryption</v>
      </c>
    </row>
    <row r="144">
      <c r="A144" s="18" t="s">
        <v>56</v>
      </c>
      <c r="B144" s="77" t="str">
        <f>IFERROR(HYPERLINK(VLOOKUP(A144,Internal_lists_bugs!$A$2:$C$73,3,FALSE()), VLOOKUP(A144,Internal_lists_bugs!$A$2:$C$73,3,FALSE())&amp;Char(10) &amp; Char(10) &amp; VLOOKUP(A144,Internal_lists_bugs!$A$2:$Z$73,26,FALSE())),"please select a BUG ID")</f>
        <v>https://bugs.launchpad.net/nova/+bug/1371677
/libvirt/driver.py</v>
      </c>
      <c r="C144" s="78" t="str">
        <f>IFERROR(VLOOKUP(A144,Internal_lists_bugs!$A$2:$X1013,24,FALSE()),"please select a BUG ID")</f>
        <v>https://www.mail-archive.com/openstack-dev@lists.openstack.org/ </v>
      </c>
      <c r="E144" s="82"/>
      <c r="F144" s="80"/>
      <c r="G144" s="16" t="s">
        <v>807</v>
      </c>
      <c r="H144" s="79" t="s">
        <v>656</v>
      </c>
      <c r="I144" s="59" t="s">
        <v>808</v>
      </c>
      <c r="J144" s="81" t="str">
        <f>IFERROR(Hyperlink(VLOOKUP(A144,Internal_lists_bugs!$A$2:$G1013,7,FALSE()),"BIC: "&amp;VLOOKUP(A144,Internal_lists_bugs!$A$2:$G1013,7,FALSE())&amp;CHAR(10)&amp;"Intro.Issues: "&amp;VLOOKUP(A144,Internal_lists_bugs!$A$2:$P1013,16,FALSE())),"please select a BUG ID")</f>
        <v>BIC: https://opendev.org/openstack/nova/commit/5fa74bc
Intro.Issues: lvm-ephemeral-storage-encryption</v>
      </c>
    </row>
    <row r="145">
      <c r="A145" s="18" t="s">
        <v>56</v>
      </c>
      <c r="B145" s="77" t="str">
        <f>IFERROR(HYPERLINK(VLOOKUP(A145,Internal_lists_bugs!$A$2:$C$73,3,FALSE()), VLOOKUP(A145,Internal_lists_bugs!$A$2:$C$73,3,FALSE())&amp;Char(10) &amp; Char(10) &amp; VLOOKUP(A145,Internal_lists_bugs!$A$2:$Z$73,26,FALSE())),"please select a BUG ID")</f>
        <v>https://bugs.launchpad.net/nova/+bug/1371677
/libvirt/driver.py</v>
      </c>
      <c r="C145" s="78" t="str">
        <f>IFERROR(VLOOKUP(A145,Internal_lists_bugs!$A$2:$X1013,24,FALSE()),"please select a BUG ID")</f>
        <v>https://www.mail-archive.com/openstack-dev@lists.openstack.org/ </v>
      </c>
      <c r="E145" s="82"/>
      <c r="F145" s="80"/>
      <c r="G145" s="16" t="s">
        <v>809</v>
      </c>
      <c r="H145" s="79" t="s">
        <v>810</v>
      </c>
      <c r="I145" s="59" t="s">
        <v>811</v>
      </c>
      <c r="J145" s="81" t="str">
        <f>IFERROR(Hyperlink(VLOOKUP(A145,Internal_lists_bugs!$A$2:$G1013,7,FALSE()),"BIC: "&amp;VLOOKUP(A145,Internal_lists_bugs!$A$2:$G1013,7,FALSE())&amp;CHAR(10)&amp;"Intro.Issues: "&amp;VLOOKUP(A145,Internal_lists_bugs!$A$2:$P1013,16,FALSE())),"please select a BUG ID")</f>
        <v>BIC: https://opendev.org/openstack/nova/commit/5fa74bc
Intro.Issues: lvm-ephemeral-storage-encryption</v>
      </c>
    </row>
    <row r="146">
      <c r="A146" s="18" t="s">
        <v>56</v>
      </c>
      <c r="B146" s="77" t="str">
        <f>IFERROR(HYPERLINK(VLOOKUP(A146,Internal_lists_bugs!$A$2:$C$73,3,FALSE()), VLOOKUP(A146,Internal_lists_bugs!$A$2:$C$73,3,FALSE())&amp;Char(10) &amp; Char(10) &amp; VLOOKUP(A146,Internal_lists_bugs!$A$2:$Z$73,26,FALSE())),"please select a BUG ID")</f>
        <v>https://bugs.launchpad.net/nova/+bug/1371677
/libvirt/driver.py</v>
      </c>
      <c r="C146" s="78" t="str">
        <f>IFERROR(VLOOKUP(A146,Internal_lists_bugs!$A$2:$X1013,24,FALSE()),"please select a BUG ID")</f>
        <v>https://www.mail-archive.com/openstack-dev@lists.openstack.org/ </v>
      </c>
      <c r="E146" s="82"/>
      <c r="F146" s="80"/>
      <c r="G146" s="16" t="s">
        <v>812</v>
      </c>
      <c r="H146" s="79" t="s">
        <v>813</v>
      </c>
      <c r="I146" s="59" t="s">
        <v>814</v>
      </c>
      <c r="J146" s="81" t="str">
        <f>IFERROR(Hyperlink(VLOOKUP(A146,Internal_lists_bugs!$A$2:$G1013,7,FALSE()),"BIC: "&amp;VLOOKUP(A146,Internal_lists_bugs!$A$2:$G1013,7,FALSE())&amp;CHAR(10)&amp;"Intro.Issues: "&amp;VLOOKUP(A146,Internal_lists_bugs!$A$2:$P1013,16,FALSE())),"please select a BUG ID")</f>
        <v>BIC: https://opendev.org/openstack/nova/commit/5fa74bc
Intro.Issues: lvm-ephemeral-storage-encryption</v>
      </c>
    </row>
    <row r="147">
      <c r="A147" s="18" t="s">
        <v>56</v>
      </c>
      <c r="B147" s="77" t="str">
        <f>IFERROR(HYPERLINK(VLOOKUP(A147,Internal_lists_bugs!$A$2:$C$73,3,FALSE()), VLOOKUP(A147,Internal_lists_bugs!$A$2:$C$73,3,FALSE())&amp;Char(10) &amp; Char(10) &amp; VLOOKUP(A147,Internal_lists_bugs!$A$2:$Z$73,26,FALSE())),"please select a BUG ID")</f>
        <v>https://bugs.launchpad.net/nova/+bug/1371677
/libvirt/driver.py</v>
      </c>
      <c r="C147" s="78" t="str">
        <f>IFERROR(VLOOKUP(A147,Internal_lists_bugs!$A$2:$X1013,24,FALSE()),"please select a BUG ID")</f>
        <v>https://www.mail-archive.com/openstack-dev@lists.openstack.org/ </v>
      </c>
      <c r="E147" s="82"/>
      <c r="F147" s="80"/>
      <c r="G147" s="16" t="s">
        <v>812</v>
      </c>
      <c r="H147" s="79" t="s">
        <v>708</v>
      </c>
      <c r="I147" s="59" t="s">
        <v>815</v>
      </c>
      <c r="J147" s="81" t="str">
        <f>IFERROR(Hyperlink(VLOOKUP(A147,Internal_lists_bugs!$A$2:$G1013,7,FALSE()),"BIC: "&amp;VLOOKUP(A147,Internal_lists_bugs!$A$2:$G1013,7,FALSE())&amp;CHAR(10)&amp;"Intro.Issues: "&amp;VLOOKUP(A147,Internal_lists_bugs!$A$2:$P1013,16,FALSE())),"please select a BUG ID")</f>
        <v>BIC: https://opendev.org/openstack/nova/commit/5fa74bc
Intro.Issues: lvm-ephemeral-storage-encryption</v>
      </c>
    </row>
    <row r="148">
      <c r="A148" s="18" t="s">
        <v>56</v>
      </c>
      <c r="B148" s="77" t="str">
        <f>IFERROR(HYPERLINK(VLOOKUP(A148,Internal_lists_bugs!$A$2:$C$73,3,FALSE()), VLOOKUP(A148,Internal_lists_bugs!$A$2:$C$73,3,FALSE())&amp;Char(10) &amp; Char(10) &amp; VLOOKUP(A148,Internal_lists_bugs!$A$2:$Z$73,26,FALSE())),"please select a BUG ID")</f>
        <v>https://bugs.launchpad.net/nova/+bug/1371677
/libvirt/driver.py</v>
      </c>
      <c r="C148" s="78" t="str">
        <f>IFERROR(VLOOKUP(A148,Internal_lists_bugs!$A$2:$X1013,24,FALSE()),"please select a BUG ID")</f>
        <v>https://www.mail-archive.com/openstack-dev@lists.openstack.org/ </v>
      </c>
      <c r="E148" s="82"/>
      <c r="F148" s="80"/>
      <c r="G148" s="16" t="s">
        <v>812</v>
      </c>
      <c r="H148" s="79" t="s">
        <v>796</v>
      </c>
      <c r="I148" s="59" t="s">
        <v>815</v>
      </c>
      <c r="J148" s="81" t="str">
        <f>IFERROR(Hyperlink(VLOOKUP(A148,Internal_lists_bugs!$A$2:$G1013,7,FALSE()),"BIC: "&amp;VLOOKUP(A148,Internal_lists_bugs!$A$2:$G1013,7,FALSE())&amp;CHAR(10)&amp;"Intro.Issues: "&amp;VLOOKUP(A148,Internal_lists_bugs!$A$2:$P1013,16,FALSE())),"please select a BUG ID")</f>
        <v>BIC: https://opendev.org/openstack/nova/commit/5fa74bc
Intro.Issues: lvm-ephemeral-storage-encryption</v>
      </c>
    </row>
    <row r="149">
      <c r="A149" s="18" t="s">
        <v>56</v>
      </c>
      <c r="B149" s="77" t="str">
        <f>IFERROR(HYPERLINK(VLOOKUP(A149,Internal_lists_bugs!$A$2:$C$73,3,FALSE()), VLOOKUP(A149,Internal_lists_bugs!$A$2:$C$73,3,FALSE())&amp;Char(10) &amp; Char(10) &amp; VLOOKUP(A149,Internal_lists_bugs!$A$2:$Z$73,26,FALSE())),"please select a BUG ID")</f>
        <v>https://bugs.launchpad.net/nova/+bug/1371677
/libvirt/driver.py</v>
      </c>
      <c r="C149" s="78" t="str">
        <f>IFERROR(VLOOKUP(A149,Internal_lists_bugs!$A$2:$X1013,24,FALSE()),"please select a BUG ID")</f>
        <v>https://www.mail-archive.com/openstack-dev@lists.openstack.org/ </v>
      </c>
      <c r="E149" s="82"/>
      <c r="F149" s="80"/>
      <c r="G149" s="16" t="s">
        <v>816</v>
      </c>
      <c r="H149" s="79" t="s">
        <v>813</v>
      </c>
      <c r="I149" s="59" t="s">
        <v>814</v>
      </c>
      <c r="J149" s="81" t="str">
        <f>IFERROR(Hyperlink(VLOOKUP(A149,Internal_lists_bugs!$A$2:$G1013,7,FALSE()),"BIC: "&amp;VLOOKUP(A149,Internal_lists_bugs!$A$2:$G1013,7,FALSE())&amp;CHAR(10)&amp;"Intro.Issues: "&amp;VLOOKUP(A149,Internal_lists_bugs!$A$2:$P1013,16,FALSE())),"please select a BUG ID")</f>
        <v>BIC: https://opendev.org/openstack/nova/commit/5fa74bc
Intro.Issues: lvm-ephemeral-storage-encryption</v>
      </c>
    </row>
    <row r="150">
      <c r="A150" s="18" t="s">
        <v>56</v>
      </c>
      <c r="B150" s="77" t="str">
        <f>IFERROR(HYPERLINK(VLOOKUP(A150,Internal_lists_bugs!$A$2:$C$73,3,FALSE()), VLOOKUP(A150,Internal_lists_bugs!$A$2:$C$73,3,FALSE())&amp;Char(10) &amp; Char(10) &amp; VLOOKUP(A150,Internal_lists_bugs!$A$2:$Z$73,26,FALSE())),"please select a BUG ID")</f>
        <v>https://bugs.launchpad.net/nova/+bug/1371677
/libvirt/driver.py</v>
      </c>
      <c r="C150" s="78" t="str">
        <f>IFERROR(VLOOKUP(A150,Internal_lists_bugs!$A$2:$X1013,24,FALSE()),"please select a BUG ID")</f>
        <v>https://www.mail-archive.com/openstack-dev@lists.openstack.org/ </v>
      </c>
      <c r="E150" s="82"/>
      <c r="F150" s="80"/>
      <c r="G150" s="16" t="s">
        <v>816</v>
      </c>
      <c r="H150" s="79" t="s">
        <v>708</v>
      </c>
      <c r="I150" s="59" t="s">
        <v>815</v>
      </c>
      <c r="J150" s="81" t="str">
        <f>IFERROR(Hyperlink(VLOOKUP(A150,Internal_lists_bugs!$A$2:$G1013,7,FALSE()),"BIC: "&amp;VLOOKUP(A150,Internal_lists_bugs!$A$2:$G1013,7,FALSE())&amp;CHAR(10)&amp;"Intro.Issues: "&amp;VLOOKUP(A150,Internal_lists_bugs!$A$2:$P1013,16,FALSE())),"please select a BUG ID")</f>
        <v>BIC: https://opendev.org/openstack/nova/commit/5fa74bc
Intro.Issues: lvm-ephemeral-storage-encryption</v>
      </c>
    </row>
    <row r="151">
      <c r="A151" s="18" t="s">
        <v>56</v>
      </c>
      <c r="B151" s="77" t="str">
        <f>IFERROR(HYPERLINK(VLOOKUP(A151,Internal_lists_bugs!$A$2:$C$73,3,FALSE()), VLOOKUP(A151,Internal_lists_bugs!$A$2:$C$73,3,FALSE())&amp;Char(10) &amp; Char(10) &amp; VLOOKUP(A151,Internal_lists_bugs!$A$2:$Z$73,26,FALSE())),"please select a BUG ID")</f>
        <v>https://bugs.launchpad.net/nova/+bug/1371677
/libvirt/driver.py</v>
      </c>
      <c r="C151" s="78" t="str">
        <f>IFERROR(VLOOKUP(A151,Internal_lists_bugs!$A$2:$X1013,24,FALSE()),"please select a BUG ID")</f>
        <v>https://www.mail-archive.com/openstack-dev@lists.openstack.org/ </v>
      </c>
      <c r="E151" s="82"/>
      <c r="F151" s="80"/>
      <c r="G151" s="16" t="s">
        <v>816</v>
      </c>
      <c r="H151" s="79" t="s">
        <v>796</v>
      </c>
      <c r="I151" s="59" t="s">
        <v>815</v>
      </c>
      <c r="J151" s="81" t="str">
        <f>IFERROR(Hyperlink(VLOOKUP(A151,Internal_lists_bugs!$A$2:$G1013,7,FALSE()),"BIC: "&amp;VLOOKUP(A151,Internal_lists_bugs!$A$2:$G1013,7,FALSE())&amp;CHAR(10)&amp;"Intro.Issues: "&amp;VLOOKUP(A151,Internal_lists_bugs!$A$2:$P1013,16,FALSE())),"please select a BUG ID")</f>
        <v>BIC: https://opendev.org/openstack/nova/commit/5fa74bc
Intro.Issues: lvm-ephemeral-storage-encryption</v>
      </c>
    </row>
    <row r="152">
      <c r="A152" s="18" t="s">
        <v>56</v>
      </c>
      <c r="B152" s="77" t="str">
        <f>IFERROR(HYPERLINK(VLOOKUP(A152,Internal_lists_bugs!$A$2:$C$73,3,FALSE()), VLOOKUP(A152,Internal_lists_bugs!$A$2:$C$73,3,FALSE())&amp;Char(10) &amp; Char(10) &amp; VLOOKUP(A152,Internal_lists_bugs!$A$2:$Z$73,26,FALSE())),"please select a BUG ID")</f>
        <v>https://bugs.launchpad.net/nova/+bug/1371677
/libvirt/driver.py</v>
      </c>
      <c r="C152" s="78" t="str">
        <f>IFERROR(VLOOKUP(A152,Internal_lists_bugs!$A$2:$X1013,24,FALSE()),"please select a BUG ID")</f>
        <v>https://www.mail-archive.com/openstack-dev@lists.openstack.org/ </v>
      </c>
      <c r="E152" s="82"/>
      <c r="F152" s="80"/>
      <c r="G152" s="16" t="s">
        <v>817</v>
      </c>
      <c r="H152" s="79" t="s">
        <v>711</v>
      </c>
      <c r="I152" s="59" t="s">
        <v>818</v>
      </c>
      <c r="J152" s="81" t="str">
        <f>IFERROR(Hyperlink(VLOOKUP(A152,Internal_lists_bugs!$A$2:$G1013,7,FALSE()),"BIC: "&amp;VLOOKUP(A152,Internal_lists_bugs!$A$2:$G1013,7,FALSE())&amp;CHAR(10)&amp;"Intro.Issues: "&amp;VLOOKUP(A152,Internal_lists_bugs!$A$2:$P1013,16,FALSE())),"please select a BUG ID")</f>
        <v>BIC: https://opendev.org/openstack/nova/commit/5fa74bc
Intro.Issues: lvm-ephemeral-storage-encryption</v>
      </c>
    </row>
    <row r="153">
      <c r="A153" s="18" t="s">
        <v>56</v>
      </c>
      <c r="B153" s="77" t="str">
        <f>IFERROR(HYPERLINK(VLOOKUP(A153,Internal_lists_bugs!$A$2:$C$73,3,FALSE()), VLOOKUP(A153,Internal_lists_bugs!$A$2:$C$73,3,FALSE())&amp;Char(10) &amp; Char(10) &amp; VLOOKUP(A153,Internal_lists_bugs!$A$2:$Z$73,26,FALSE())),"please select a BUG ID")</f>
        <v>https://bugs.launchpad.net/nova/+bug/1371677
/libvirt/driver.py</v>
      </c>
      <c r="C153" s="78" t="str">
        <f>IFERROR(VLOOKUP(A153,Internal_lists_bugs!$A$2:$X1013,24,FALSE()),"please select a BUG ID")</f>
        <v>https://www.mail-archive.com/openstack-dev@lists.openstack.org/ </v>
      </c>
      <c r="E153" s="82"/>
      <c r="F153" s="80"/>
      <c r="G153" s="16" t="s">
        <v>819</v>
      </c>
      <c r="H153" s="79" t="s">
        <v>711</v>
      </c>
      <c r="I153" s="59" t="s">
        <v>820</v>
      </c>
      <c r="J153" s="81" t="str">
        <f>IFERROR(Hyperlink(VLOOKUP(A153,Internal_lists_bugs!$A$2:$G1013,7,FALSE()),"BIC: "&amp;VLOOKUP(A153,Internal_lists_bugs!$A$2:$G1013,7,FALSE())&amp;CHAR(10)&amp;"Intro.Issues: "&amp;VLOOKUP(A153,Internal_lists_bugs!$A$2:$P1013,16,FALSE())),"please select a BUG ID")</f>
        <v>BIC: https://opendev.org/openstack/nova/commit/5fa74bc
Intro.Issues: lvm-ephemeral-storage-encryption</v>
      </c>
    </row>
    <row r="154">
      <c r="A154" s="18" t="s">
        <v>57</v>
      </c>
      <c r="B154" s="77" t="str">
        <f>IFERROR(HYPERLINK(VLOOKUP(A154,Internal_lists_bugs!$A$2:$C$73,3,FALSE()), VLOOKUP(A154,Internal_lists_bugs!$A$2:$C$73,3,FALSE())&amp;Char(10) &amp; Char(10) &amp; VLOOKUP(A154,Internal_lists_bugs!$A$2:$Z$73,26,FALSE())),"please select a BUG ID")</f>
        <v>https://bugs.launchpad.net/nova/+bug/1481078
/xenapi/vmops.py</v>
      </c>
      <c r="C154" s="78" t="str">
        <f>IFERROR(VLOOKUP(A154,Internal_lists_bugs!$A$2:$X1013,24,FALSE()),"please select a BUG ID")</f>
        <v>https://www.mail-archive.com/openstack-dev@lists.openstack.org/ </v>
      </c>
      <c r="D154" s="16" t="s">
        <v>124</v>
      </c>
      <c r="E154" s="82"/>
      <c r="F154" s="80"/>
      <c r="G154" s="16" t="s">
        <v>124</v>
      </c>
      <c r="H154" s="82"/>
      <c r="I154" s="80"/>
      <c r="J154" s="81" t="str">
        <f>IFERROR(Hyperlink(VLOOKUP(A154,Internal_lists_bugs!$A$2:$G1013,7,FALSE()),"BIC: "&amp;VLOOKUP(A154,Internal_lists_bugs!$A$2:$G1013,7,FALSE())&amp;CHAR(10)&amp;"Intro.Issues: "&amp;VLOOKUP(A154,Internal_lists_bugs!$A$2:$P1013,16,FALSE())),"please select a BUG ID")</f>
        <v>BIC: https://opendev.org/openstack/nova/commit/31f208423405
Intro.Issues: 1432913</v>
      </c>
    </row>
    <row r="155">
      <c r="A155" s="18" t="s">
        <v>58</v>
      </c>
      <c r="B155" s="77" t="str">
        <f>IFERROR(HYPERLINK(VLOOKUP(A155,Internal_lists_bugs!$A$2:$C$73,3,FALSE()), VLOOKUP(A155,Internal_lists_bugs!$A$2:$C$73,3,FALSE())&amp;Char(10) &amp; Char(10) &amp; VLOOKUP(A155,Internal_lists_bugs!$A$2:$Z$73,26,FALSE())),"please select a BUG ID")</f>
        <v>https://bugs.launchpad.net/nova/+bug/1402728
/vmwareapi/vm_util.py
/vmwareapi/vmops.py </v>
      </c>
      <c r="C155" s="78" t="str">
        <f>IFERROR(VLOOKUP(A155,Internal_lists_bugs!$A$2:$X1013,24,FALSE()),"please select a BUG ID")</f>
        <v>https://www.mail-archive.com/openstack-dev@lists.openstack.org/ </v>
      </c>
      <c r="D155" s="16" t="s">
        <v>124</v>
      </c>
      <c r="E155" s="82"/>
      <c r="F155" s="80"/>
      <c r="G155" s="16" t="s">
        <v>124</v>
      </c>
      <c r="H155" s="82"/>
      <c r="I155" s="80"/>
      <c r="J155" s="81" t="str">
        <f>IFERROR(Hyperlink(VLOOKUP(A155,Internal_lists_bugs!$A$2:$G1013,7,FALSE()),"BIC: "&amp;VLOOKUP(A155,Internal_lists_bugs!$A$2:$G1013,7,FALSE())&amp;CHAR(10)&amp;"Intro.Issues: "&amp;VLOOKUP(A155,Internal_lists_bugs!$A$2:$P1013,16,FALSE())),"please select a BUG ID")</f>
        <v>BIC: https://opendev.org/openstack/nova/commit/2bcda65d512
Intro.Issues: NA</v>
      </c>
    </row>
    <row r="156">
      <c r="A156" s="18" t="s">
        <v>59</v>
      </c>
      <c r="B156" s="77" t="str">
        <f>IFERROR(HYPERLINK(VLOOKUP(A156,Internal_lists_bugs!$A$2:$C$73,3,FALSE()), VLOOKUP(A156,Internal_lists_bugs!$A$2:$C$73,3,FALSE())&amp;Char(10) &amp; Char(10) &amp; VLOOKUP(A156,Internal_lists_bugs!$A$2:$Z$73,26,FALSE())),"please select a BUG ID")</f>
        <v>https://bugs.launchpad.net/nova/+bug/1441000
/libvirt/driver.py</v>
      </c>
      <c r="C156" s="78" t="str">
        <f>IFERROR(VLOOKUP(A156,Internal_lists_bugs!$A$2:$X1013,24,FALSE()),"please select a BUG ID")</f>
        <v>https://www.mail-archive.com/openstack-dev@lists.openstack.org/ </v>
      </c>
      <c r="D156" s="16" t="s">
        <v>124</v>
      </c>
      <c r="E156" s="82"/>
      <c r="F156" s="80"/>
      <c r="G156" s="16" t="s">
        <v>821</v>
      </c>
      <c r="H156" s="79" t="s">
        <v>822</v>
      </c>
      <c r="I156" s="84" t="s">
        <v>823</v>
      </c>
      <c r="J156" s="81" t="str">
        <f>IFERROR(Hyperlink(VLOOKUP(A156,Internal_lists_bugs!$A$2:$G1013,7,FALSE()),"BIC: "&amp;VLOOKUP(A156,Internal_lists_bugs!$A$2:$G1013,7,FALSE())&amp;CHAR(10)&amp;"Intro.Issues: "&amp;VLOOKUP(A156,Internal_lists_bugs!$A$2:$P1013,16,FALSE())),"please select a BUG ID")</f>
        <v>BIC: https://opendev.org/openstack/nova/commit/7dd6a4a
Intro.Issues: 1414065</v>
      </c>
    </row>
    <row r="157">
      <c r="A157" s="18" t="s">
        <v>59</v>
      </c>
      <c r="B157" s="77" t="str">
        <f>IFERROR(HYPERLINK(VLOOKUP(A157,Internal_lists_bugs!$A$2:$C$73,3,FALSE()), VLOOKUP(A157,Internal_lists_bugs!$A$2:$C$73,3,FALSE())&amp;Char(10) &amp; Char(10) &amp; VLOOKUP(A157,Internal_lists_bugs!$A$2:$Z$73,26,FALSE())),"please select a BUG ID")</f>
        <v>https://bugs.launchpad.net/nova/+bug/1441000
/libvirt/driver.py</v>
      </c>
      <c r="C157" s="78" t="str">
        <f>IFERROR(VLOOKUP(A157,Internal_lists_bugs!$A$2:$X1013,24,FALSE()),"please select a BUG ID")</f>
        <v>https://www.mail-archive.com/openstack-dev@lists.openstack.org/ </v>
      </c>
      <c r="E157" s="82"/>
      <c r="F157" s="80"/>
      <c r="G157" s="16" t="s">
        <v>821</v>
      </c>
      <c r="H157" s="79" t="s">
        <v>599</v>
      </c>
      <c r="I157" s="59" t="s">
        <v>824</v>
      </c>
      <c r="J157" s="81" t="str">
        <f>IFERROR(Hyperlink(VLOOKUP(A157,Internal_lists_bugs!$A$2:$G1013,7,FALSE()),"BIC: "&amp;VLOOKUP(A157,Internal_lists_bugs!$A$2:$G1013,7,FALSE())&amp;CHAR(10)&amp;"Intro.Issues: "&amp;VLOOKUP(A157,Internal_lists_bugs!$A$2:$P1013,16,FALSE())),"please select a BUG ID")</f>
        <v>BIC: https://opendev.org/openstack/nova/commit/7dd6a4a
Intro.Issues: 1414065</v>
      </c>
    </row>
    <row r="158">
      <c r="A158" s="18" t="s">
        <v>59</v>
      </c>
      <c r="B158" s="77" t="str">
        <f>IFERROR(HYPERLINK(VLOOKUP(A158,Internal_lists_bugs!$A$2:$C$73,3,FALSE()), VLOOKUP(A158,Internal_lists_bugs!$A$2:$C$73,3,FALSE())&amp;Char(10) &amp; Char(10) &amp; VLOOKUP(A158,Internal_lists_bugs!$A$2:$Z$73,26,FALSE())),"please select a BUG ID")</f>
        <v>https://bugs.launchpad.net/nova/+bug/1441000
/libvirt/driver.py</v>
      </c>
      <c r="C158" s="78" t="str">
        <f>IFERROR(VLOOKUP(A158,Internal_lists_bugs!$A$2:$X1013,24,FALSE()),"please select a BUG ID")</f>
        <v>https://www.mail-archive.com/openstack-dev@lists.openstack.org/ </v>
      </c>
      <c r="E158" s="82"/>
      <c r="F158" s="80"/>
      <c r="G158" s="16" t="s">
        <v>825</v>
      </c>
      <c r="H158" s="79" t="s">
        <v>826</v>
      </c>
      <c r="I158" s="59" t="s">
        <v>827</v>
      </c>
      <c r="J158" s="81" t="str">
        <f>IFERROR(Hyperlink(VLOOKUP(A158,Internal_lists_bugs!$A$2:$G1013,7,FALSE()),"BIC: "&amp;VLOOKUP(A158,Internal_lists_bugs!$A$2:$G1013,7,FALSE())&amp;CHAR(10)&amp;"Intro.Issues: "&amp;VLOOKUP(A158,Internal_lists_bugs!$A$2:$P1013,16,FALSE())),"please select a BUG ID")</f>
        <v>BIC: https://opendev.org/openstack/nova/commit/7dd6a4a
Intro.Issues: 1414065</v>
      </c>
    </row>
    <row r="159">
      <c r="A159" s="18" t="s">
        <v>59</v>
      </c>
      <c r="B159" s="77" t="str">
        <f>IFERROR(HYPERLINK(VLOOKUP(A159,Internal_lists_bugs!$A$2:$C$73,3,FALSE()), VLOOKUP(A159,Internal_lists_bugs!$A$2:$C$73,3,FALSE())&amp;Char(10) &amp; Char(10) &amp; VLOOKUP(A159,Internal_lists_bugs!$A$2:$Z$73,26,FALSE())),"please select a BUG ID")</f>
        <v>https://bugs.launchpad.net/nova/+bug/1441000
/libvirt/driver.py</v>
      </c>
      <c r="C159" s="78" t="str">
        <f>IFERROR(VLOOKUP(A159,Internal_lists_bugs!$A$2:$X1013,24,FALSE()),"please select a BUG ID")</f>
        <v>https://www.mail-archive.com/openstack-dev@lists.openstack.org/ </v>
      </c>
      <c r="E159" s="82"/>
      <c r="F159" s="80"/>
      <c r="G159" s="16" t="s">
        <v>825</v>
      </c>
      <c r="H159" s="79" t="s">
        <v>659</v>
      </c>
      <c r="I159" s="59" t="s">
        <v>828</v>
      </c>
      <c r="J159" s="81" t="str">
        <f>IFERROR(Hyperlink(VLOOKUP(A159,Internal_lists_bugs!$A$2:$G1013,7,FALSE()),"BIC: "&amp;VLOOKUP(A159,Internal_lists_bugs!$A$2:$G1013,7,FALSE())&amp;CHAR(10)&amp;"Intro.Issues: "&amp;VLOOKUP(A159,Internal_lists_bugs!$A$2:$P1013,16,FALSE())),"please select a BUG ID")</f>
        <v>BIC: https://opendev.org/openstack/nova/commit/7dd6a4a
Intro.Issues: 1414065</v>
      </c>
    </row>
    <row r="160">
      <c r="A160" s="18" t="s">
        <v>59</v>
      </c>
      <c r="B160" s="77" t="str">
        <f>IFERROR(HYPERLINK(VLOOKUP(A160,Internal_lists_bugs!$A$2:$C$73,3,FALSE()), VLOOKUP(A160,Internal_lists_bugs!$A$2:$C$73,3,FALSE())&amp;Char(10) &amp; Char(10) &amp; VLOOKUP(A160,Internal_lists_bugs!$A$2:$Z$73,26,FALSE())),"please select a BUG ID")</f>
        <v>https://bugs.launchpad.net/nova/+bug/1441000
/libvirt/driver.py</v>
      </c>
      <c r="C160" s="78" t="str">
        <f>IFERROR(VLOOKUP(A160,Internal_lists_bugs!$A$2:$X1013,24,FALSE()),"please select a BUG ID")</f>
        <v>https://www.mail-archive.com/openstack-dev@lists.openstack.org/ </v>
      </c>
      <c r="E160" s="82"/>
      <c r="F160" s="80"/>
      <c r="G160" s="16" t="s">
        <v>829</v>
      </c>
      <c r="H160" s="79" t="s">
        <v>830</v>
      </c>
      <c r="I160" s="59" t="s">
        <v>831</v>
      </c>
      <c r="J160" s="81" t="str">
        <f>IFERROR(Hyperlink(VLOOKUP(A160,Internal_lists_bugs!$A$2:$G1013,7,FALSE()),"BIC: "&amp;VLOOKUP(A160,Internal_lists_bugs!$A$2:$G1013,7,FALSE())&amp;CHAR(10)&amp;"Intro.Issues: "&amp;VLOOKUP(A160,Internal_lists_bugs!$A$2:$P1013,16,FALSE())),"please select a BUG ID")</f>
        <v>BIC: https://opendev.org/openstack/nova/commit/7dd6a4a
Intro.Issues: 1414065</v>
      </c>
    </row>
    <row r="161">
      <c r="A161" s="18" t="s">
        <v>59</v>
      </c>
      <c r="B161" s="77" t="str">
        <f>IFERROR(HYPERLINK(VLOOKUP(A161,Internal_lists_bugs!$A$2:$C$73,3,FALSE()), VLOOKUP(A161,Internal_lists_bugs!$A$2:$C$73,3,FALSE())&amp;Char(10) &amp; Char(10) &amp; VLOOKUP(A161,Internal_lists_bugs!$A$2:$Z$73,26,FALSE())),"please select a BUG ID")</f>
        <v>https://bugs.launchpad.net/nova/+bug/1441000
/libvirt/driver.py</v>
      </c>
      <c r="C161" s="78" t="str">
        <f>IFERROR(VLOOKUP(A161,Internal_lists_bugs!$A$2:$X1013,24,FALSE()),"please select a BUG ID")</f>
        <v>https://www.mail-archive.com/openstack-dev@lists.openstack.org/ </v>
      </c>
      <c r="E161" s="82"/>
      <c r="F161" s="80"/>
      <c r="G161" s="16" t="s">
        <v>829</v>
      </c>
      <c r="H161" s="79" t="s">
        <v>832</v>
      </c>
      <c r="I161" s="59" t="s">
        <v>833</v>
      </c>
      <c r="J161" s="81" t="str">
        <f>IFERROR(Hyperlink(VLOOKUP(A161,Internal_lists_bugs!$A$2:$G1013,7,FALSE()),"BIC: "&amp;VLOOKUP(A161,Internal_lists_bugs!$A$2:$G1013,7,FALSE())&amp;CHAR(10)&amp;"Intro.Issues: "&amp;VLOOKUP(A161,Internal_lists_bugs!$A$2:$P1013,16,FALSE())),"please select a BUG ID")</f>
        <v>BIC: https://opendev.org/openstack/nova/commit/7dd6a4a
Intro.Issues: 1414065</v>
      </c>
    </row>
    <row r="162">
      <c r="A162" s="18" t="s">
        <v>59</v>
      </c>
      <c r="B162" s="77" t="str">
        <f>IFERROR(HYPERLINK(VLOOKUP(A162,Internal_lists_bugs!$A$2:$C$73,3,FALSE()), VLOOKUP(A162,Internal_lists_bugs!$A$2:$C$73,3,FALSE())&amp;Char(10) &amp; Char(10) &amp; VLOOKUP(A162,Internal_lists_bugs!$A$2:$Z$73,26,FALSE())),"please select a BUG ID")</f>
        <v>https://bugs.launchpad.net/nova/+bug/1441000
/libvirt/driver.py</v>
      </c>
      <c r="C162" s="78" t="str">
        <f>IFERROR(VLOOKUP(A162,Internal_lists_bugs!$A$2:$X1013,24,FALSE()),"please select a BUG ID")</f>
        <v>https://www.mail-archive.com/openstack-dev@lists.openstack.org/ </v>
      </c>
      <c r="E162" s="82"/>
      <c r="F162" s="80"/>
      <c r="G162" s="16" t="s">
        <v>834</v>
      </c>
      <c r="H162" s="79" t="s">
        <v>835</v>
      </c>
      <c r="I162" s="59" t="s">
        <v>836</v>
      </c>
      <c r="J162" s="81" t="str">
        <f>IFERROR(Hyperlink(VLOOKUP(A162,Internal_lists_bugs!$A$2:$G1013,7,FALSE()),"BIC: "&amp;VLOOKUP(A162,Internal_lists_bugs!$A$2:$G1013,7,FALSE())&amp;CHAR(10)&amp;"Intro.Issues: "&amp;VLOOKUP(A162,Internal_lists_bugs!$A$2:$P1013,16,FALSE())),"please select a BUG ID")</f>
        <v>BIC: https://opendev.org/openstack/nova/commit/7dd6a4a
Intro.Issues: 1414065</v>
      </c>
    </row>
    <row r="163">
      <c r="A163" s="18" t="s">
        <v>59</v>
      </c>
      <c r="B163" s="77" t="str">
        <f>IFERROR(HYPERLINK(VLOOKUP(A163,Internal_lists_bugs!$A$2:$C$73,3,FALSE()), VLOOKUP(A163,Internal_lists_bugs!$A$2:$C$73,3,FALSE())&amp;Char(10) &amp; Char(10) &amp; VLOOKUP(A163,Internal_lists_bugs!$A$2:$Z$73,26,FALSE())),"please select a BUG ID")</f>
        <v>https://bugs.launchpad.net/nova/+bug/1441000
/libvirt/driver.py</v>
      </c>
      <c r="C163" s="78" t="str">
        <f>IFERROR(VLOOKUP(A163,Internal_lists_bugs!$A$2:$X1013,24,FALSE()),"please select a BUG ID")</f>
        <v>https://www.mail-archive.com/openstack-dev@lists.openstack.org/ </v>
      </c>
      <c r="E163" s="82"/>
      <c r="F163" s="80"/>
      <c r="G163" s="16" t="s">
        <v>834</v>
      </c>
      <c r="H163" s="79" t="s">
        <v>837</v>
      </c>
      <c r="I163" s="59" t="s">
        <v>838</v>
      </c>
      <c r="J163" s="81" t="str">
        <f>IFERROR(Hyperlink(VLOOKUP(A163,Internal_lists_bugs!$A$2:$G1013,7,FALSE()),"BIC: "&amp;VLOOKUP(A163,Internal_lists_bugs!$A$2:$G1013,7,FALSE())&amp;CHAR(10)&amp;"Intro.Issues: "&amp;VLOOKUP(A163,Internal_lists_bugs!$A$2:$P1013,16,FALSE())),"please select a BUG ID")</f>
        <v>BIC: https://opendev.org/openstack/nova/commit/7dd6a4a
Intro.Issues: 1414065</v>
      </c>
    </row>
    <row r="164">
      <c r="A164" s="18" t="s">
        <v>59</v>
      </c>
      <c r="B164" s="77" t="str">
        <f>IFERROR(HYPERLINK(VLOOKUP(A164,Internal_lists_bugs!$A$2:$C$73,3,FALSE()), VLOOKUP(A164,Internal_lists_bugs!$A$2:$C$73,3,FALSE())&amp;Char(10) &amp; Char(10) &amp; VLOOKUP(A164,Internal_lists_bugs!$A$2:$Z$73,26,FALSE())),"please select a BUG ID")</f>
        <v>https://bugs.launchpad.net/nova/+bug/1441000
/libvirt/driver.py</v>
      </c>
      <c r="C164" s="78" t="str">
        <f>IFERROR(VLOOKUP(A164,Internal_lists_bugs!$A$2:$X1013,24,FALSE()),"please select a BUG ID")</f>
        <v>https://www.mail-archive.com/openstack-dev@lists.openstack.org/ </v>
      </c>
      <c r="E164" s="82"/>
      <c r="F164" s="80"/>
      <c r="G164" s="16" t="s">
        <v>834</v>
      </c>
      <c r="H164" s="79" t="s">
        <v>839</v>
      </c>
      <c r="I164" s="85" t="s">
        <v>840</v>
      </c>
      <c r="J164" s="81" t="str">
        <f>IFERROR(Hyperlink(VLOOKUP(A164,Internal_lists_bugs!$A$2:$G1013,7,FALSE()),"BIC: "&amp;VLOOKUP(A164,Internal_lists_bugs!$A$2:$G1013,7,FALSE())&amp;CHAR(10)&amp;"Intro.Issues: "&amp;VLOOKUP(A164,Internal_lists_bugs!$A$2:$P1013,16,FALSE())),"please select a BUG ID")</f>
        <v>BIC: https://opendev.org/openstack/nova/commit/7dd6a4a
Intro.Issues: 1414065</v>
      </c>
    </row>
    <row r="165">
      <c r="A165" s="18" t="s">
        <v>59</v>
      </c>
      <c r="B165" s="77" t="str">
        <f>IFERROR(HYPERLINK(VLOOKUP(A165,Internal_lists_bugs!$A$2:$C$73,3,FALSE()), VLOOKUP(A165,Internal_lists_bugs!$A$2:$C$73,3,FALSE())&amp;Char(10) &amp; Char(10) &amp; VLOOKUP(A165,Internal_lists_bugs!$A$2:$Z$73,26,FALSE())),"please select a BUG ID")</f>
        <v>https://bugs.launchpad.net/nova/+bug/1441000
/libvirt/driver.py</v>
      </c>
      <c r="C165" s="78" t="str">
        <f>IFERROR(VLOOKUP(A165,Internal_lists_bugs!$A$2:$X1013,24,FALSE()),"please select a BUG ID")</f>
        <v>https://www.mail-archive.com/openstack-dev@lists.openstack.org/ </v>
      </c>
      <c r="E165" s="82"/>
      <c r="F165" s="80"/>
      <c r="G165" s="16" t="s">
        <v>834</v>
      </c>
      <c r="H165" s="79" t="s">
        <v>841</v>
      </c>
      <c r="I165" s="59" t="s">
        <v>680</v>
      </c>
      <c r="J165" s="81" t="str">
        <f>IFERROR(Hyperlink(VLOOKUP(A165,Internal_lists_bugs!$A$2:$G1013,7,FALSE()),"BIC: "&amp;VLOOKUP(A165,Internal_lists_bugs!$A$2:$G1013,7,FALSE())&amp;CHAR(10)&amp;"Intro.Issues: "&amp;VLOOKUP(A165,Internal_lists_bugs!$A$2:$P1013,16,FALSE())),"please select a BUG ID")</f>
        <v>BIC: https://opendev.org/openstack/nova/commit/7dd6a4a
Intro.Issues: 1414065</v>
      </c>
    </row>
    <row r="166">
      <c r="A166" s="18" t="s">
        <v>59</v>
      </c>
      <c r="B166" s="77" t="str">
        <f>IFERROR(HYPERLINK(VLOOKUP(A166,Internal_lists_bugs!$A$2:$C$73,3,FALSE()), VLOOKUP(A166,Internal_lists_bugs!$A$2:$C$73,3,FALSE())&amp;Char(10) &amp; Char(10) &amp; VLOOKUP(A166,Internal_lists_bugs!$A$2:$Z$73,26,FALSE())),"please select a BUG ID")</f>
        <v>https://bugs.launchpad.net/nova/+bug/1441000
/libvirt/driver.py</v>
      </c>
      <c r="C166" s="78" t="str">
        <f>IFERROR(VLOOKUP(A166,Internal_lists_bugs!$A$2:$X1013,24,FALSE()),"please select a BUG ID")</f>
        <v>https://www.mail-archive.com/openstack-dev@lists.openstack.org/ </v>
      </c>
      <c r="E166" s="82"/>
      <c r="F166" s="80"/>
      <c r="G166" s="16" t="s">
        <v>842</v>
      </c>
      <c r="H166" s="79" t="s">
        <v>841</v>
      </c>
      <c r="I166" s="59" t="s">
        <v>680</v>
      </c>
      <c r="J166" s="81" t="str">
        <f>IFERROR(Hyperlink(VLOOKUP(A166,Internal_lists_bugs!$A$2:$G1013,7,FALSE()),"BIC: "&amp;VLOOKUP(A166,Internal_lists_bugs!$A$2:$G1013,7,FALSE())&amp;CHAR(10)&amp;"Intro.Issues: "&amp;VLOOKUP(A166,Internal_lists_bugs!$A$2:$P1013,16,FALSE())),"please select a BUG ID")</f>
        <v>BIC: https://opendev.org/openstack/nova/commit/7dd6a4a
Intro.Issues: 1414065</v>
      </c>
    </row>
    <row r="167">
      <c r="A167" s="18" t="s">
        <v>59</v>
      </c>
      <c r="B167" s="77" t="str">
        <f>IFERROR(HYPERLINK(VLOOKUP(A167,Internal_lists_bugs!$A$2:$C$73,3,FALSE()), VLOOKUP(A167,Internal_lists_bugs!$A$2:$C$73,3,FALSE())&amp;Char(10) &amp; Char(10) &amp; VLOOKUP(A167,Internal_lists_bugs!$A$2:$Z$73,26,FALSE())),"please select a BUG ID")</f>
        <v>https://bugs.launchpad.net/nova/+bug/1441000
/libvirt/driver.py</v>
      </c>
      <c r="C167" s="78" t="str">
        <f>IFERROR(VLOOKUP(A167,Internal_lists_bugs!$A$2:$X1013,24,FALSE()),"please select a BUG ID")</f>
        <v>https://www.mail-archive.com/openstack-dev@lists.openstack.org/ </v>
      </c>
      <c r="E167" s="82"/>
      <c r="F167" s="80"/>
      <c r="G167" s="16" t="s">
        <v>843</v>
      </c>
      <c r="H167" s="79" t="s">
        <v>841</v>
      </c>
      <c r="I167" s="59" t="s">
        <v>680</v>
      </c>
      <c r="J167" s="81" t="str">
        <f>IFERROR(Hyperlink(VLOOKUP(A167,Internal_lists_bugs!$A$2:$G1013,7,FALSE()),"BIC: "&amp;VLOOKUP(A167,Internal_lists_bugs!$A$2:$G1013,7,FALSE())&amp;CHAR(10)&amp;"Intro.Issues: "&amp;VLOOKUP(A167,Internal_lists_bugs!$A$2:$P1013,16,FALSE())),"please select a BUG ID")</f>
        <v>BIC: https://opendev.org/openstack/nova/commit/7dd6a4a
Intro.Issues: 1414065</v>
      </c>
    </row>
    <row r="168">
      <c r="A168" s="18" t="s">
        <v>59</v>
      </c>
      <c r="B168" s="77" t="str">
        <f>IFERROR(HYPERLINK(VLOOKUP(A168,Internal_lists_bugs!$A$2:$C$73,3,FALSE()), VLOOKUP(A168,Internal_lists_bugs!$A$2:$C$73,3,FALSE())&amp;Char(10) &amp; Char(10) &amp; VLOOKUP(A168,Internal_lists_bugs!$A$2:$Z$73,26,FALSE())),"please select a BUG ID")</f>
        <v>https://bugs.launchpad.net/nova/+bug/1441000
/libvirt/driver.py</v>
      </c>
      <c r="C168" s="78" t="str">
        <f>IFERROR(VLOOKUP(A168,Internal_lists_bugs!$A$2:$X1013,24,FALSE()),"please select a BUG ID")</f>
        <v>https://www.mail-archive.com/openstack-dev@lists.openstack.org/ </v>
      </c>
      <c r="E168" s="82"/>
      <c r="F168" s="80"/>
      <c r="G168" s="16" t="s">
        <v>844</v>
      </c>
      <c r="H168" s="79" t="s">
        <v>841</v>
      </c>
      <c r="I168" s="59" t="s">
        <v>680</v>
      </c>
      <c r="J168" s="81" t="str">
        <f>IFERROR(Hyperlink(VLOOKUP(A168,Internal_lists_bugs!$A$2:$G1013,7,FALSE()),"BIC: "&amp;VLOOKUP(A168,Internal_lists_bugs!$A$2:$G1013,7,FALSE())&amp;CHAR(10)&amp;"Intro.Issues: "&amp;VLOOKUP(A168,Internal_lists_bugs!$A$2:$P1013,16,FALSE())),"please select a BUG ID")</f>
        <v>BIC: https://opendev.org/openstack/nova/commit/7dd6a4a
Intro.Issues: 1414065</v>
      </c>
    </row>
    <row r="169">
      <c r="A169" s="18" t="s">
        <v>59</v>
      </c>
      <c r="B169" s="77" t="str">
        <f>IFERROR(HYPERLINK(VLOOKUP(A169,Internal_lists_bugs!$A$2:$C$73,3,FALSE()), VLOOKUP(A169,Internal_lists_bugs!$A$2:$C$73,3,FALSE())&amp;Char(10) &amp; Char(10) &amp; VLOOKUP(A169,Internal_lists_bugs!$A$2:$Z$73,26,FALSE())),"please select a BUG ID")</f>
        <v>https://bugs.launchpad.net/nova/+bug/1441000
/libvirt/driver.py</v>
      </c>
      <c r="C169" s="78" t="str">
        <f>IFERROR(VLOOKUP(A169,Internal_lists_bugs!$A$2:$X1013,24,FALSE()),"please select a BUG ID")</f>
        <v>https://www.mail-archive.com/openstack-dev@lists.openstack.org/ </v>
      </c>
      <c r="E169" s="82"/>
      <c r="F169" s="80"/>
      <c r="G169" s="16" t="s">
        <v>845</v>
      </c>
      <c r="H169" s="79" t="s">
        <v>841</v>
      </c>
      <c r="I169" s="59" t="s">
        <v>680</v>
      </c>
      <c r="J169" s="81" t="str">
        <f>IFERROR(Hyperlink(VLOOKUP(A169,Internal_lists_bugs!$A$2:$G1013,7,FALSE()),"BIC: "&amp;VLOOKUP(A169,Internal_lists_bugs!$A$2:$G1013,7,FALSE())&amp;CHAR(10)&amp;"Intro.Issues: "&amp;VLOOKUP(A169,Internal_lists_bugs!$A$2:$P1013,16,FALSE())),"please select a BUG ID")</f>
        <v>BIC: https://opendev.org/openstack/nova/commit/7dd6a4a
Intro.Issues: 1414065</v>
      </c>
    </row>
    <row r="170">
      <c r="A170" s="18" t="s">
        <v>59</v>
      </c>
      <c r="B170" s="77" t="str">
        <f>IFERROR(HYPERLINK(VLOOKUP(A170,Internal_lists_bugs!$A$2:$C$73,3,FALSE()), VLOOKUP(A170,Internal_lists_bugs!$A$2:$C$73,3,FALSE())&amp;Char(10) &amp; Char(10) &amp; VLOOKUP(A170,Internal_lists_bugs!$A$2:$Z$73,26,FALSE())),"please select a BUG ID")</f>
        <v>https://bugs.launchpad.net/nova/+bug/1441000
/libvirt/driver.py</v>
      </c>
      <c r="C170" s="78" t="str">
        <f>IFERROR(VLOOKUP(A170,Internal_lists_bugs!$A$2:$X1013,24,FALSE()),"please select a BUG ID")</f>
        <v>https://www.mail-archive.com/openstack-dev@lists.openstack.org/ </v>
      </c>
      <c r="E170" s="82"/>
      <c r="F170" s="80"/>
      <c r="G170" s="16" t="s">
        <v>846</v>
      </c>
      <c r="H170" s="79" t="s">
        <v>841</v>
      </c>
      <c r="I170" s="59" t="s">
        <v>680</v>
      </c>
      <c r="J170" s="81" t="str">
        <f>IFERROR(Hyperlink(VLOOKUP(A170,Internal_lists_bugs!$A$2:$G1013,7,FALSE()),"BIC: "&amp;VLOOKUP(A170,Internal_lists_bugs!$A$2:$G1013,7,FALSE())&amp;CHAR(10)&amp;"Intro.Issues: "&amp;VLOOKUP(A170,Internal_lists_bugs!$A$2:$P1013,16,FALSE())),"please select a BUG ID")</f>
        <v>BIC: https://opendev.org/openstack/nova/commit/7dd6a4a
Intro.Issues: 1414065</v>
      </c>
    </row>
    <row r="171">
      <c r="A171" s="18" t="s">
        <v>60</v>
      </c>
      <c r="B171" s="77" t="str">
        <f>IFERROR(HYPERLINK(VLOOKUP(A171,Internal_lists_bugs!$A$2:$C$73,3,FALSE()), VLOOKUP(A171,Internal_lists_bugs!$A$2:$C$73,3,FALSE())&amp;Char(10) &amp; Char(10) &amp; VLOOKUP(A171,Internal_lists_bugs!$A$2:$Z$73,26,FALSE())),"please select a BUG ID")</f>
        <v>https://bugs.launchpad.net/nova/+bug/1505471
/servicegroup/drivers/db.py</v>
      </c>
      <c r="C171" s="78" t="str">
        <f>IFERROR(VLOOKUP(A171,Internal_lists_bugs!$A$2:$X1013,24,FALSE()),"please select a BUG ID")</f>
        <v>https://www.mail-archive.com/openstack-dev@lists.openstack.org/ </v>
      </c>
      <c r="D171" s="16" t="s">
        <v>124</v>
      </c>
      <c r="E171" s="82"/>
      <c r="F171" s="80"/>
      <c r="G171" s="16" t="s">
        <v>124</v>
      </c>
      <c r="H171" s="82"/>
      <c r="I171" s="80"/>
      <c r="J171" s="81" t="str">
        <f>IFERROR(Hyperlink(VLOOKUP(A171,Internal_lists_bugs!$A$2:$G1013,7,FALSE()),"BIC: "&amp;VLOOKUP(A171,Internal_lists_bugs!$A$2:$G1013,7,FALSE())&amp;CHAR(10)&amp;"Intro.Issues: "&amp;VLOOKUP(A171,Internal_lists_bugs!$A$2:$P1013,16,FALSE())),"please select a BUG ID")</f>
        <v>BIC: https://opendev.org/openstack/nova/commit/64e167eb6
Intro.Issues: NA</v>
      </c>
    </row>
    <row r="172">
      <c r="A172" s="18" t="s">
        <v>61</v>
      </c>
      <c r="B172" s="77" t="str">
        <f>IFERROR(HYPERLINK(VLOOKUP(A172,Internal_lists_bugs!$A$2:$C$73,3,FALSE()), VLOOKUP(A172,Internal_lists_bugs!$A$2:$C$73,3,FALSE())&amp;Char(10) &amp; Char(10) &amp; VLOOKUP(A172,Internal_lists_bugs!$A$2:$Z$73,26,FALSE())),"please select a BUG ID")</f>
        <v>https://bugs.launchpad.net/nova/+bug/1453274
/libvirt/driver.py</v>
      </c>
      <c r="C172" s="78" t="str">
        <f>IFERROR(VLOOKUP(A172,Internal_lists_bugs!$A$2:$X1013,24,FALSE()),"please select a BUG ID")</f>
        <v>https://www.mail-archive.com/openstack-dev@lists.openstack.org/ </v>
      </c>
      <c r="D172" s="16" t="s">
        <v>124</v>
      </c>
      <c r="E172" s="82"/>
      <c r="F172" s="80"/>
      <c r="G172" s="16" t="s">
        <v>124</v>
      </c>
      <c r="H172" s="82"/>
      <c r="I172" s="80"/>
      <c r="J172" s="81" t="str">
        <f>IFERROR(Hyperlink(VLOOKUP(A172,Internal_lists_bugs!$A$2:$G1013,7,FALSE()),"BIC: "&amp;VLOOKUP(A172,Internal_lists_bugs!$A$2:$G1013,7,FALSE())&amp;CHAR(10)&amp;"Intro.Issues: "&amp;VLOOKUP(A172,Internal_lists_bugs!$A$2:$P1013,16,FALSE())),"please select a BUG ID")</f>
        <v>BIC: https://opendev.org/openstack/nova/commit/60c90f7
Intro.Issues: 1333827</v>
      </c>
    </row>
    <row r="173">
      <c r="A173" s="18" t="s">
        <v>62</v>
      </c>
      <c r="B173" s="77" t="str">
        <f>IFERROR(HYPERLINK(VLOOKUP(A173,Internal_lists_bugs!$A$2:$C$73,3,FALSE()), VLOOKUP(A173,Internal_lists_bugs!$A$2:$C$73,3,FALSE())&amp;Char(10) &amp; Char(10) &amp; VLOOKUP(A173,Internal_lists_bugs!$A$2:$Z$73,26,FALSE())),"please select a BUG ID")</f>
        <v>https://bugs.launchpad.net/nova/+bug/1424647
/cmd/baseproxy.py
/cmd/novncproxy.py
/cmd/serialproxy.py
/cmd/spicehtml5proxy.py </v>
      </c>
      <c r="C173" s="78" t="str">
        <f>IFERROR(VLOOKUP(A173,Internal_lists_bugs!$A$2:$X1013,24,FALSE()),"please select a BUG ID")</f>
        <v>https://www.mail-archive.com/openstack-dev@lists.openstack.org/ </v>
      </c>
      <c r="D173" s="16" t="s">
        <v>124</v>
      </c>
      <c r="E173" s="82"/>
      <c r="F173" s="80"/>
      <c r="G173" s="16" t="s">
        <v>124</v>
      </c>
      <c r="H173" s="82"/>
      <c r="I173" s="80"/>
      <c r="J173" s="81" t="str">
        <f>IFERROR(Hyperlink(VLOOKUP(A173,Internal_lists_bugs!$A$2:$G1013,7,FALSE()),"BIC: "&amp;VLOOKUP(A173,Internal_lists_bugs!$A$2:$G1013,7,FALSE())&amp;CHAR(10)&amp;"Intro.Issues: "&amp;VLOOKUP(A173,Internal_lists_bugs!$A$2:$P1013,16,FALSE())),"please select a BUG ID")</f>
        <v>BIC: https://opendev.org/openstack/nova/commit/d2cbb9a
Intro.Issues: NA</v>
      </c>
    </row>
    <row r="174">
      <c r="A174" s="18" t="s">
        <v>63</v>
      </c>
      <c r="B174" s="77" t="str">
        <f>IFERROR(HYPERLINK(VLOOKUP(A174,Internal_lists_bugs!$A$2:$C$73,3,FALSE()), VLOOKUP(A174,Internal_lists_bugs!$A$2:$C$73,3,FALSE())&amp;Char(10) &amp; Char(10) &amp; VLOOKUP(A174,Internal_lists_bugs!$A$2:$Z$73,26,FALSE())),"please select a BUG ID")</f>
        <v>https://bugs.launchpad.net/nova/+bug/1443970
/network/manager.py</v>
      </c>
      <c r="C174" s="78" t="str">
        <f>IFERROR(VLOOKUP(A174,Internal_lists_bugs!$A$2:$X1013,24,FALSE()),"please select a BUG ID")</f>
        <v>https://www.mail-archive.com/openstack-dev@lists.openstack.org/ </v>
      </c>
      <c r="D174" s="16" t="s">
        <v>847</v>
      </c>
      <c r="E174" s="79" t="s">
        <v>830</v>
      </c>
      <c r="F174" s="86" t="s">
        <v>848</v>
      </c>
      <c r="G174" s="16" t="s">
        <v>849</v>
      </c>
      <c r="H174" s="79" t="s">
        <v>850</v>
      </c>
      <c r="I174" s="59" t="s">
        <v>851</v>
      </c>
      <c r="J174" s="81" t="str">
        <f>IFERROR(Hyperlink(VLOOKUP(A174,Internal_lists_bugs!$A$2:$G1013,7,FALSE()),"BIC: "&amp;VLOOKUP(A174,Internal_lists_bugs!$A$2:$G1013,7,FALSE())&amp;CHAR(10)&amp;"Intro.Issues: "&amp;VLOOKUP(A174,Internal_lists_bugs!$A$2:$P1013,16,FALSE())),"please select a BUG ID")</f>
        <v>BIC: https://opendev.org/openstack/nova/commit/447641972539f1
Intro.Issues: better-support-for-multiple-networks</v>
      </c>
    </row>
    <row r="175">
      <c r="A175" s="18" t="s">
        <v>63</v>
      </c>
      <c r="B175" s="77" t="str">
        <f>IFERROR(HYPERLINK(VLOOKUP(A175,Internal_lists_bugs!$A$2:$C$73,3,FALSE()), VLOOKUP(A175,Internal_lists_bugs!$A$2:$C$73,3,FALSE())&amp;Char(10) &amp; Char(10) &amp; VLOOKUP(A175,Internal_lists_bugs!$A$2:$Z$73,26,FALSE())),"please select a BUG ID")</f>
        <v>https://bugs.launchpad.net/nova/+bug/1443970
/network/manager.py</v>
      </c>
      <c r="C175" s="78" t="str">
        <f>IFERROR(VLOOKUP(A175,Internal_lists_bugs!$A$2:$X1013,24,FALSE()),"please select a BUG ID")</f>
        <v>https://www.mail-archive.com/openstack-dev@lists.openstack.org/ </v>
      </c>
      <c r="D175" s="16" t="s">
        <v>847</v>
      </c>
      <c r="E175" s="79" t="s">
        <v>852</v>
      </c>
      <c r="F175" s="84" t="s">
        <v>853</v>
      </c>
      <c r="H175" s="79"/>
      <c r="I175" s="80"/>
      <c r="J175" s="81" t="str">
        <f>IFERROR(Hyperlink(VLOOKUP(A175,Internal_lists_bugs!$A$2:$G1013,7,FALSE()),"BIC: "&amp;VLOOKUP(A175,Internal_lists_bugs!$A$2:$G1013,7,FALSE())&amp;CHAR(10)&amp;"Intro.Issues: "&amp;VLOOKUP(A175,Internal_lists_bugs!$A$2:$P1013,16,FALSE())),"please select a BUG ID")</f>
        <v>BIC: https://opendev.org/openstack/nova/commit/447641972539f1
Intro.Issues: better-support-for-multiple-networks</v>
      </c>
    </row>
    <row r="176">
      <c r="A176" s="18" t="s">
        <v>63</v>
      </c>
      <c r="B176" s="77" t="str">
        <f>IFERROR(HYPERLINK(VLOOKUP(A176,Internal_lists_bugs!$A$2:$C$73,3,FALSE()), VLOOKUP(A176,Internal_lists_bugs!$A$2:$C$73,3,FALSE())&amp;Char(10) &amp; Char(10) &amp; VLOOKUP(A176,Internal_lists_bugs!$A$2:$Z$73,26,FALSE())),"please select a BUG ID")</f>
        <v>https://bugs.launchpad.net/nova/+bug/1443970
/network/manager.py</v>
      </c>
      <c r="C176" s="78" t="str">
        <f>IFERROR(VLOOKUP(A176,Internal_lists_bugs!$A$2:$X1013,24,FALSE()),"please select a BUG ID")</f>
        <v>https://www.mail-archive.com/openstack-dev@lists.openstack.org/ </v>
      </c>
      <c r="D176" s="16" t="s">
        <v>847</v>
      </c>
      <c r="E176" s="79" t="s">
        <v>854</v>
      </c>
      <c r="F176" s="59" t="s">
        <v>855</v>
      </c>
      <c r="G176" s="16" t="s">
        <v>856</v>
      </c>
      <c r="H176" s="79" t="s">
        <v>552</v>
      </c>
      <c r="I176" s="59" t="s">
        <v>680</v>
      </c>
      <c r="J176" s="81" t="str">
        <f>IFERROR(Hyperlink(VLOOKUP(A176,Internal_lists_bugs!$A$2:$G1013,7,FALSE()),"BIC: "&amp;VLOOKUP(A176,Internal_lists_bugs!$A$2:$G1013,7,FALSE())&amp;CHAR(10)&amp;"Intro.Issues: "&amp;VLOOKUP(A176,Internal_lists_bugs!$A$2:$P1013,16,FALSE())),"please select a BUG ID")</f>
        <v>BIC: https://opendev.org/openstack/nova/commit/447641972539f1
Intro.Issues: better-support-for-multiple-networks</v>
      </c>
    </row>
    <row r="177">
      <c r="A177" s="18" t="s">
        <v>64</v>
      </c>
      <c r="B177" s="77" t="str">
        <f>IFERROR(HYPERLINK(VLOOKUP(A177,Internal_lists_bugs!$A$2:$C$73,3,FALSE()), VLOOKUP(A177,Internal_lists_bugs!$A$2:$C$73,3,FALSE())&amp;Char(10) &amp; Char(10) &amp; VLOOKUP(A177,Internal_lists_bugs!$A$2:$Z$73,26,FALSE())),"please select a BUG ID")</f>
        <v>https://bugs.launchpad.net/nova/+bug/1381468
/filters/trusted_filter.py</v>
      </c>
      <c r="C177" s="78" t="str">
        <f>IFERROR(VLOOKUP(A177,Internal_lists_bugs!$A$2:$X1013,24,FALSE()),"please select a BUG ID")</f>
        <v>https://www.mail-archive.com/openstack-dev@lists.openstack.org/ </v>
      </c>
      <c r="D177" s="16" t="s">
        <v>124</v>
      </c>
      <c r="E177" s="79"/>
      <c r="F177" s="80"/>
      <c r="G177" s="16" t="s">
        <v>124</v>
      </c>
      <c r="H177" s="79"/>
      <c r="I177" s="80"/>
      <c r="J177" s="81" t="str">
        <f>IFERROR(Hyperlink(VLOOKUP(A177,Internal_lists_bugs!$A$2:$G1013,7,FALSE()),"BIC: "&amp;VLOOKUP(A177,Internal_lists_bugs!$A$2:$G1013,7,FALSE())&amp;CHAR(10)&amp;"Intro.Issues: "&amp;VLOOKUP(A177,Internal_lists_bugs!$A$2:$P1013,16,FALSE())),"please select a BUG ID")</f>
        <v>BIC: https://opendev.org/openstack/nova/commit/30871e870
Intro.Issues: 1373993</v>
      </c>
    </row>
    <row r="178">
      <c r="A178" s="26" t="s">
        <v>46</v>
      </c>
      <c r="B178" s="77" t="str">
        <f>IFERROR(HYPERLINK(VLOOKUP(A178,Internal_lists_bugs!$A$2:$C$73,3,FALSE()), VLOOKUP(A178,Internal_lists_bugs!$A$2:$C$73,3,FALSE())&amp;Char(10) &amp; Char(10) &amp; VLOOKUP(A178,Internal_lists_bugs!$A$2:$Z$73,26,FALSE())),"please select a BUG ID")</f>
        <v>https://bugs.launchpad.net/nova/+bug/1434855
/os-extended-volumes/v2.3/server-get-resp.json
/os-extended-volumes/v2.3/servers-detail-resp.json </v>
      </c>
      <c r="C178" s="78" t="str">
        <f>IFERROR(VLOOKUP(A178,Internal_lists_bugs!$A$2:$X1013,24,FALSE()),"please select a BUG ID")</f>
        <v>https://www.mail-archive.com/openstack-dev@lists.openstack.org/ </v>
      </c>
      <c r="D178" s="16" t="s">
        <v>124</v>
      </c>
      <c r="E178" s="82"/>
      <c r="F178" s="80"/>
      <c r="G178" s="16" t="s">
        <v>857</v>
      </c>
      <c r="H178" s="79" t="s">
        <v>687</v>
      </c>
      <c r="I178" s="59" t="s">
        <v>858</v>
      </c>
      <c r="J178" s="81" t="str">
        <f>IFERROR(Hyperlink(VLOOKUP(A178,Internal_lists_bugs!$A$2:$G1013,7,FALSE()),"BIC: "&amp;VLOOKUP(A178,Internal_lists_bugs!$A$2:$G1013,7,FALSE())&amp;CHAR(10)&amp;"Intro.Issues: "&amp;VLOOKUP(A178,Internal_lists_bugs!$A$2:$P1013,16,FALSE())),"please select a BUG ID")</f>
        <v>BIC: https://opendev.org/openstack/nova/commit/abc656d
Intro.Issues: blueprint ec2-api</v>
      </c>
    </row>
    <row r="179">
      <c r="A179" s="26" t="s">
        <v>46</v>
      </c>
      <c r="B179" s="77" t="str">
        <f>IFERROR(HYPERLINK(VLOOKUP(A179,Internal_lists_bugs!$A$2:$C$73,3,FALSE()), VLOOKUP(A179,Internal_lists_bugs!$A$2:$C$73,3,FALSE())&amp;Char(10) &amp; Char(10) &amp; VLOOKUP(A179,Internal_lists_bugs!$A$2:$Z$73,26,FALSE())),"please select a BUG ID")</f>
        <v>https://bugs.launchpad.net/nova/+bug/1434855
/os-extended-volumes/v2.3/server-get-resp.json
/os-extended-volumes/v2.3/servers-detail-resp.json </v>
      </c>
      <c r="C179" s="78" t="str">
        <f>IFERROR(VLOOKUP(A179,Internal_lists_bugs!$A$2:$X1013,24,FALSE()),"please select a BUG ID")</f>
        <v>https://www.mail-archive.com/openstack-dev@lists.openstack.org/ </v>
      </c>
      <c r="E179" s="79"/>
      <c r="F179" s="80"/>
      <c r="G179" s="16" t="s">
        <v>857</v>
      </c>
      <c r="H179" s="79" t="s">
        <v>859</v>
      </c>
      <c r="I179" s="59" t="s">
        <v>860</v>
      </c>
      <c r="J179" s="81" t="str">
        <f>IFERROR(Hyperlink(VLOOKUP(A179,Internal_lists_bugs!$A$2:$G1013,7,FALSE()),"BIC: "&amp;VLOOKUP(A179,Internal_lists_bugs!$A$2:$G1013,7,FALSE())&amp;CHAR(10)&amp;"Intro.Issues: "&amp;VLOOKUP(A179,Internal_lists_bugs!$A$2:$P1013,16,FALSE())),"please select a BUG ID")</f>
        <v>BIC: https://opendev.org/openstack/nova/commit/abc656d
Intro.Issues: blueprint ec2-api</v>
      </c>
    </row>
    <row r="180">
      <c r="A180" s="26" t="s">
        <v>46</v>
      </c>
      <c r="B180" s="77" t="str">
        <f>IFERROR(HYPERLINK(VLOOKUP(A180,Internal_lists_bugs!$A$2:$C$73,3,FALSE()), VLOOKUP(A180,Internal_lists_bugs!$A$2:$C$73,3,FALSE())&amp;Char(10) &amp; Char(10) &amp; VLOOKUP(A180,Internal_lists_bugs!$A$2:$Z$73,26,FALSE())),"please select a BUG ID")</f>
        <v>https://bugs.launchpad.net/nova/+bug/1434855
/os-extended-volumes/v2.3/server-get-resp.json
/os-extended-volumes/v2.3/servers-detail-resp.json </v>
      </c>
      <c r="C180" s="78" t="str">
        <f>IFERROR(VLOOKUP(A180,Internal_lists_bugs!$A$2:$X1013,24,FALSE()),"please select a BUG ID")</f>
        <v>https://www.mail-archive.com/openstack-dev@lists.openstack.org/ </v>
      </c>
      <c r="E180" s="82"/>
      <c r="F180" s="80"/>
      <c r="G180" s="16" t="s">
        <v>861</v>
      </c>
      <c r="H180" s="79" t="s">
        <v>862</v>
      </c>
      <c r="I180" s="59" t="s">
        <v>863</v>
      </c>
      <c r="J180" s="81" t="str">
        <f>IFERROR(Hyperlink(VLOOKUP(A180,Internal_lists_bugs!$A$2:$G1013,7,FALSE()),"BIC: "&amp;VLOOKUP(A180,Internal_lists_bugs!$A$2:$G1013,7,FALSE())&amp;CHAR(10)&amp;"Intro.Issues: "&amp;VLOOKUP(A180,Internal_lists_bugs!$A$2:$P1013,16,FALSE())),"please select a BUG ID")</f>
        <v>BIC: https://opendev.org/openstack/nova/commit/abc656d
Intro.Issues: blueprint ec2-api</v>
      </c>
    </row>
    <row r="181">
      <c r="A181" s="26" t="s">
        <v>46</v>
      </c>
      <c r="B181" s="77" t="str">
        <f>IFERROR(HYPERLINK(VLOOKUP(A181,Internal_lists_bugs!$A$2:$C$73,3,FALSE()), VLOOKUP(A181,Internal_lists_bugs!$A$2:$C$73,3,FALSE())&amp;Char(10) &amp; Char(10) &amp; VLOOKUP(A181,Internal_lists_bugs!$A$2:$Z$73,26,FALSE())),"please select a BUG ID")</f>
        <v>https://bugs.launchpad.net/nova/+bug/1434855
/os-extended-volumes/v2.3/server-get-resp.json
/os-extended-volumes/v2.3/servers-detail-resp.json </v>
      </c>
      <c r="C181" s="78" t="str">
        <f>IFERROR(VLOOKUP(A181,Internal_lists_bugs!$A$2:$X1013,24,FALSE()),"please select a BUG ID")</f>
        <v>https://www.mail-archive.com/openstack-dev@lists.openstack.org/ </v>
      </c>
      <c r="E181" s="82"/>
      <c r="F181" s="80"/>
      <c r="G181" s="16" t="s">
        <v>864</v>
      </c>
      <c r="H181" s="79" t="s">
        <v>865</v>
      </c>
      <c r="I181" s="59" t="s">
        <v>866</v>
      </c>
      <c r="J181" s="81" t="str">
        <f>IFERROR(Hyperlink(VLOOKUP(A181,Internal_lists_bugs!$A$2:$G1013,7,FALSE()),"BIC: "&amp;VLOOKUP(A181,Internal_lists_bugs!$A$2:$G1013,7,FALSE())&amp;CHAR(10)&amp;"Intro.Issues: "&amp;VLOOKUP(A181,Internal_lists_bugs!$A$2:$P1013,16,FALSE())),"please select a BUG ID")</f>
        <v>BIC: https://opendev.org/openstack/nova/commit/abc656d
Intro.Issues: blueprint ec2-api</v>
      </c>
    </row>
    <row r="182">
      <c r="A182" s="26" t="s">
        <v>46</v>
      </c>
      <c r="B182" s="77" t="str">
        <f>IFERROR(HYPERLINK(VLOOKUP(A182,Internal_lists_bugs!$A$2:$C$73,3,FALSE()), VLOOKUP(A182,Internal_lists_bugs!$A$2:$C$73,3,FALSE())&amp;Char(10) &amp; Char(10) &amp; VLOOKUP(A182,Internal_lists_bugs!$A$2:$Z$73,26,FALSE())),"please select a BUG ID")</f>
        <v>https://bugs.launchpad.net/nova/+bug/1434855
/os-extended-volumes/v2.3/server-get-resp.json
/os-extended-volumes/v2.3/servers-detail-resp.json </v>
      </c>
      <c r="C182" s="78" t="str">
        <f>IFERROR(VLOOKUP(A182,Internal_lists_bugs!$A$2:$X1013,24,FALSE()),"please select a BUG ID")</f>
        <v>https://www.mail-archive.com/openstack-dev@lists.openstack.org/ </v>
      </c>
      <c r="E182" s="82"/>
      <c r="F182" s="80"/>
      <c r="G182" s="16" t="s">
        <v>867</v>
      </c>
      <c r="H182" s="79" t="s">
        <v>549</v>
      </c>
      <c r="I182" s="59" t="s">
        <v>868</v>
      </c>
      <c r="J182" s="81" t="str">
        <f>IFERROR(Hyperlink(VLOOKUP(A182,Internal_lists_bugs!$A$2:$G1013,7,FALSE()),"BIC: "&amp;VLOOKUP(A182,Internal_lists_bugs!$A$2:$G1013,7,FALSE())&amp;CHAR(10)&amp;"Intro.Issues: "&amp;VLOOKUP(A182,Internal_lists_bugs!$A$2:$P1013,16,FALSE())),"please select a BUG ID")</f>
        <v>BIC: https://opendev.org/openstack/nova/commit/abc656d
Intro.Issues: blueprint ec2-api</v>
      </c>
    </row>
    <row r="183">
      <c r="A183" s="26" t="s">
        <v>46</v>
      </c>
      <c r="B183" s="77" t="str">
        <f>IFERROR(HYPERLINK(VLOOKUP(A183,Internal_lists_bugs!$A$2:$C$73,3,FALSE()), VLOOKUP(A183,Internal_lists_bugs!$A$2:$C$73,3,FALSE())&amp;Char(10) &amp; Char(10) &amp; VLOOKUP(A183,Internal_lists_bugs!$A$2:$Z$73,26,FALSE())),"please select a BUG ID")</f>
        <v>https://bugs.launchpad.net/nova/+bug/1434855
/os-extended-volumes/v2.3/server-get-resp.json
/os-extended-volumes/v2.3/servers-detail-resp.json </v>
      </c>
      <c r="C183" s="78" t="str">
        <f>IFERROR(VLOOKUP(A183,Internal_lists_bugs!$A$2:$X1013,24,FALSE()),"please select a BUG ID")</f>
        <v>https://www.mail-archive.com/openstack-dev@lists.openstack.org/ </v>
      </c>
      <c r="E183" s="82"/>
      <c r="F183" s="80"/>
      <c r="G183" s="16" t="s">
        <v>867</v>
      </c>
      <c r="H183" s="79" t="s">
        <v>869</v>
      </c>
      <c r="I183" s="59" t="s">
        <v>870</v>
      </c>
      <c r="J183" s="81" t="str">
        <f>IFERROR(Hyperlink(VLOOKUP(A183,Internal_lists_bugs!$A$2:$G1013,7,FALSE()),"BIC: "&amp;VLOOKUP(A183,Internal_lists_bugs!$A$2:$G1013,7,FALSE())&amp;CHAR(10)&amp;"Intro.Issues: "&amp;VLOOKUP(A183,Internal_lists_bugs!$A$2:$P1013,16,FALSE())),"please select a BUG ID")</f>
        <v>BIC: https://opendev.org/openstack/nova/commit/abc656d
Intro.Issues: blueprint ec2-api</v>
      </c>
    </row>
    <row r="184">
      <c r="A184" s="26" t="s">
        <v>46</v>
      </c>
      <c r="B184" s="77" t="str">
        <f>IFERROR(HYPERLINK(VLOOKUP(A184,Internal_lists_bugs!$A$2:$C$73,3,FALSE()), VLOOKUP(A184,Internal_lists_bugs!$A$2:$C$73,3,FALSE())&amp;Char(10) &amp; Char(10) &amp; VLOOKUP(A184,Internal_lists_bugs!$A$2:$Z$73,26,FALSE())),"please select a BUG ID")</f>
        <v>https://bugs.launchpad.net/nova/+bug/1434855
/os-extended-volumes/v2.3/server-get-resp.json
/os-extended-volumes/v2.3/servers-detail-resp.json </v>
      </c>
      <c r="C184" s="78" t="str">
        <f>IFERROR(VLOOKUP(A184,Internal_lists_bugs!$A$2:$X1013,24,FALSE()),"please select a BUG ID")</f>
        <v>https://www.mail-archive.com/openstack-dev@lists.openstack.org/ </v>
      </c>
      <c r="E184" s="82"/>
      <c r="F184" s="80"/>
      <c r="G184" s="16" t="s">
        <v>871</v>
      </c>
      <c r="H184" s="79" t="s">
        <v>872</v>
      </c>
      <c r="I184" s="59" t="s">
        <v>873</v>
      </c>
      <c r="J184" s="81" t="str">
        <f>IFERROR(Hyperlink(VLOOKUP(A184,Internal_lists_bugs!$A$2:$G1013,7,FALSE()),"BIC: "&amp;VLOOKUP(A184,Internal_lists_bugs!$A$2:$G1013,7,FALSE())&amp;CHAR(10)&amp;"Intro.Issues: "&amp;VLOOKUP(A184,Internal_lists_bugs!$A$2:$P1013,16,FALSE())),"please select a BUG ID")</f>
        <v>BIC: https://opendev.org/openstack/nova/commit/abc656d
Intro.Issues: blueprint ec2-api</v>
      </c>
    </row>
    <row r="185">
      <c r="A185" s="26" t="s">
        <v>46</v>
      </c>
      <c r="B185" s="77" t="str">
        <f>IFERROR(HYPERLINK(VLOOKUP(A185,Internal_lists_bugs!$A$2:$C$73,3,FALSE()), VLOOKUP(A185,Internal_lists_bugs!$A$2:$C$73,3,FALSE())&amp;Char(10) &amp; Char(10) &amp; VLOOKUP(A185,Internal_lists_bugs!$A$2:$Z$73,26,FALSE())),"please select a BUG ID")</f>
        <v>https://bugs.launchpad.net/nova/+bug/1434855
/os-extended-volumes/v2.3/server-get-resp.json
/os-extended-volumes/v2.3/servers-detail-resp.json </v>
      </c>
      <c r="C185" s="78" t="str">
        <f>IFERROR(VLOOKUP(A185,Internal_lists_bugs!$A$2:$X1013,24,FALSE()),"please select a BUG ID")</f>
        <v>https://www.mail-archive.com/openstack-dev@lists.openstack.org/ </v>
      </c>
      <c r="E185" s="82"/>
      <c r="F185" s="80"/>
      <c r="G185" s="16" t="s">
        <v>871</v>
      </c>
      <c r="H185" s="79" t="s">
        <v>874</v>
      </c>
      <c r="I185" s="59" t="s">
        <v>875</v>
      </c>
      <c r="J185" s="81" t="str">
        <f>IFERROR(Hyperlink(VLOOKUP(A185,Internal_lists_bugs!$A$2:$G1013,7,FALSE()),"BIC: "&amp;VLOOKUP(A185,Internal_lists_bugs!$A$2:$G1013,7,FALSE())&amp;CHAR(10)&amp;"Intro.Issues: "&amp;VLOOKUP(A185,Internal_lists_bugs!$A$2:$P1013,16,FALSE())),"please select a BUG ID")</f>
        <v>BIC: https://opendev.org/openstack/nova/commit/abc656d
Intro.Issues: blueprint ec2-api</v>
      </c>
    </row>
    <row r="186">
      <c r="A186" s="26" t="s">
        <v>46</v>
      </c>
      <c r="B186" s="77" t="str">
        <f>IFERROR(HYPERLINK(VLOOKUP(A186,Internal_lists_bugs!$A$2:$C$73,3,FALSE()), VLOOKUP(A186,Internal_lists_bugs!$A$2:$C$73,3,FALSE())&amp;Char(10) &amp; Char(10) &amp; VLOOKUP(A186,Internal_lists_bugs!$A$2:$Z$73,26,FALSE())),"please select a BUG ID")</f>
        <v>https://bugs.launchpad.net/nova/+bug/1434855
/os-extended-volumes/v2.3/server-get-resp.json
/os-extended-volumes/v2.3/servers-detail-resp.json </v>
      </c>
      <c r="C186" s="78" t="str">
        <f>IFERROR(VLOOKUP(A186,Internal_lists_bugs!$A$2:$X1013,24,FALSE()),"please select a BUG ID")</f>
        <v>https://www.mail-archive.com/openstack-dev@lists.openstack.org/ </v>
      </c>
      <c r="E186" s="82"/>
      <c r="F186" s="80"/>
      <c r="G186" s="16" t="s">
        <v>876</v>
      </c>
      <c r="H186" s="79" t="s">
        <v>877</v>
      </c>
      <c r="I186" s="59" t="s">
        <v>878</v>
      </c>
      <c r="J186" s="81" t="str">
        <f>IFERROR(Hyperlink(VLOOKUP(A186,Internal_lists_bugs!$A$2:$G1013,7,FALSE()),"BIC: "&amp;VLOOKUP(A186,Internal_lists_bugs!$A$2:$G1013,7,FALSE())&amp;CHAR(10)&amp;"Intro.Issues: "&amp;VLOOKUP(A186,Internal_lists_bugs!$A$2:$P1013,16,FALSE())),"please select a BUG ID")</f>
        <v>BIC: https://opendev.org/openstack/nova/commit/abc656d
Intro.Issues: blueprint ec2-api</v>
      </c>
    </row>
    <row r="187">
      <c r="A187" s="26" t="s">
        <v>46</v>
      </c>
      <c r="B187" s="77" t="str">
        <f>IFERROR(HYPERLINK(VLOOKUP(A187,Internal_lists_bugs!$A$2:$C$73,3,FALSE()), VLOOKUP(A187,Internal_lists_bugs!$A$2:$C$73,3,FALSE())&amp;Char(10) &amp; Char(10) &amp; VLOOKUP(A187,Internal_lists_bugs!$A$2:$Z$73,26,FALSE())),"please select a BUG ID")</f>
        <v>https://bugs.launchpad.net/nova/+bug/1434855
/os-extended-volumes/v2.3/server-get-resp.json
/os-extended-volumes/v2.3/servers-detail-resp.json </v>
      </c>
      <c r="C187" s="78" t="str">
        <f>IFERROR(VLOOKUP(A187,Internal_lists_bugs!$A$2:$X1013,24,FALSE()),"please select a BUG ID")</f>
        <v>https://www.mail-archive.com/openstack-dev@lists.openstack.org/ </v>
      </c>
      <c r="E187" s="82"/>
      <c r="F187" s="80"/>
      <c r="G187" s="16" t="s">
        <v>876</v>
      </c>
      <c r="H187" s="79" t="s">
        <v>879</v>
      </c>
      <c r="I187" s="59" t="s">
        <v>878</v>
      </c>
      <c r="J187" s="81" t="str">
        <f>IFERROR(Hyperlink(VLOOKUP(A187,Internal_lists_bugs!$A$2:$G1013,7,FALSE()),"BIC: "&amp;VLOOKUP(A187,Internal_lists_bugs!$A$2:$G1013,7,FALSE())&amp;CHAR(10)&amp;"Intro.Issues: "&amp;VLOOKUP(A187,Internal_lists_bugs!$A$2:$P1013,16,FALSE())),"please select a BUG ID")</f>
        <v>BIC: https://opendev.org/openstack/nova/commit/abc656d
Intro.Issues: blueprint ec2-api</v>
      </c>
    </row>
    <row r="188">
      <c r="A188" s="26" t="s">
        <v>46</v>
      </c>
      <c r="B188" s="77" t="str">
        <f>IFERROR(HYPERLINK(VLOOKUP(A188,Internal_lists_bugs!$A$2:$C$73,3,FALSE()), VLOOKUP(A188,Internal_lists_bugs!$A$2:$C$73,3,FALSE())&amp;Char(10) &amp; Char(10) &amp; VLOOKUP(A188,Internal_lists_bugs!$A$2:$Z$73,26,FALSE())),"please select a BUG ID")</f>
        <v>https://bugs.launchpad.net/nova/+bug/1434855
/os-extended-volumes/v2.3/server-get-resp.json
/os-extended-volumes/v2.3/servers-detail-resp.json </v>
      </c>
      <c r="C188" s="78" t="str">
        <f>IFERROR(VLOOKUP(A188,Internal_lists_bugs!$A$2:$X1013,24,FALSE()),"please select a BUG ID")</f>
        <v>https://www.mail-archive.com/openstack-dev@lists.openstack.org/ </v>
      </c>
      <c r="E188" s="82"/>
      <c r="F188" s="80"/>
      <c r="G188" s="16" t="s">
        <v>880</v>
      </c>
      <c r="H188" s="79" t="s">
        <v>881</v>
      </c>
      <c r="I188" s="59" t="s">
        <v>882</v>
      </c>
      <c r="J188" s="81" t="str">
        <f>IFERROR(Hyperlink(VLOOKUP(A188,Internal_lists_bugs!$A$2:$G1013,7,FALSE()),"BIC: "&amp;VLOOKUP(A188,Internal_lists_bugs!$A$2:$G1013,7,FALSE())&amp;CHAR(10)&amp;"Intro.Issues: "&amp;VLOOKUP(A188,Internal_lists_bugs!$A$2:$P1013,16,FALSE())),"please select a BUG ID")</f>
        <v>BIC: https://opendev.org/openstack/nova/commit/abc656d
Intro.Issues: blueprint ec2-api</v>
      </c>
    </row>
    <row r="189">
      <c r="A189" s="26" t="s">
        <v>46</v>
      </c>
      <c r="B189" s="77" t="str">
        <f>IFERROR(HYPERLINK(VLOOKUP(A189,Internal_lists_bugs!$A$2:$C$73,3,FALSE()), VLOOKUP(A189,Internal_lists_bugs!$A$2:$C$73,3,FALSE())&amp;Char(10) &amp; Char(10) &amp; VLOOKUP(A189,Internal_lists_bugs!$A$2:$Z$73,26,FALSE())),"please select a BUG ID")</f>
        <v>https://bugs.launchpad.net/nova/+bug/1434855
/os-extended-volumes/v2.3/server-get-resp.json
/os-extended-volumes/v2.3/servers-detail-resp.json </v>
      </c>
      <c r="C189" s="78" t="str">
        <f>IFERROR(VLOOKUP(A189,Internal_lists_bugs!$A$2:$X1013,24,FALSE()),"please select a BUG ID")</f>
        <v>https://www.mail-archive.com/openstack-dev@lists.openstack.org/ </v>
      </c>
      <c r="E189" s="82"/>
      <c r="F189" s="80"/>
      <c r="G189" s="16" t="s">
        <v>883</v>
      </c>
      <c r="H189" s="79" t="s">
        <v>874</v>
      </c>
      <c r="I189" s="59" t="s">
        <v>884</v>
      </c>
      <c r="J189" s="81" t="str">
        <f>IFERROR(Hyperlink(VLOOKUP(A189,Internal_lists_bugs!$A$2:$G1013,7,FALSE()),"BIC: "&amp;VLOOKUP(A189,Internal_lists_bugs!$A$2:$G1013,7,FALSE())&amp;CHAR(10)&amp;"Intro.Issues: "&amp;VLOOKUP(A189,Internal_lists_bugs!$A$2:$P1013,16,FALSE())),"please select a BUG ID")</f>
        <v>BIC: https://opendev.org/openstack/nova/commit/abc656d
Intro.Issues: blueprint ec2-api</v>
      </c>
    </row>
    <row r="190">
      <c r="A190" s="26" t="s">
        <v>46</v>
      </c>
      <c r="B190" s="77" t="str">
        <f>IFERROR(HYPERLINK(VLOOKUP(A190,Internal_lists_bugs!$A$2:$C$73,3,FALSE()), VLOOKUP(A190,Internal_lists_bugs!$A$2:$C$73,3,FALSE())&amp;Char(10) &amp; Char(10) &amp; VLOOKUP(A190,Internal_lists_bugs!$A$2:$Z$73,26,FALSE())),"please select a BUG ID")</f>
        <v>https://bugs.launchpad.net/nova/+bug/1434855
/os-extended-volumes/v2.3/server-get-resp.json
/os-extended-volumes/v2.3/servers-detail-resp.json </v>
      </c>
      <c r="C190" s="78" t="str">
        <f>IFERROR(VLOOKUP(A190,Internal_lists_bugs!$A$2:$X1013,24,FALSE()),"please select a BUG ID")</f>
        <v>https://www.mail-archive.com/openstack-dev@lists.openstack.org/ </v>
      </c>
      <c r="E190" s="82"/>
      <c r="F190" s="80"/>
      <c r="G190" s="16" t="s">
        <v>883</v>
      </c>
      <c r="H190" s="79" t="s">
        <v>885</v>
      </c>
      <c r="I190" s="59" t="s">
        <v>886</v>
      </c>
      <c r="J190" s="81" t="str">
        <f>IFERROR(Hyperlink(VLOOKUP(A190,Internal_lists_bugs!$A$2:$G1013,7,FALSE()),"BIC: "&amp;VLOOKUP(A190,Internal_lists_bugs!$A$2:$G1013,7,FALSE())&amp;CHAR(10)&amp;"Intro.Issues: "&amp;VLOOKUP(A190,Internal_lists_bugs!$A$2:$P1013,16,FALSE())),"please select a BUG ID")</f>
        <v>BIC: https://opendev.org/openstack/nova/commit/abc656d
Intro.Issues: blueprint ec2-api</v>
      </c>
    </row>
    <row r="191">
      <c r="A191" s="26" t="s">
        <v>46</v>
      </c>
      <c r="B191" s="77" t="str">
        <f>IFERROR(HYPERLINK(VLOOKUP(A191,Internal_lists_bugs!$A$2:$C$73,3,FALSE()), VLOOKUP(A191,Internal_lists_bugs!$A$2:$C$73,3,FALSE())&amp;Char(10) &amp; Char(10) &amp; VLOOKUP(A191,Internal_lists_bugs!$A$2:$Z$73,26,FALSE())),"please select a BUG ID")</f>
        <v>https://bugs.launchpad.net/nova/+bug/1434855
/os-extended-volumes/v2.3/server-get-resp.json
/os-extended-volumes/v2.3/servers-detail-resp.json </v>
      </c>
      <c r="C191" s="78" t="str">
        <f>IFERROR(VLOOKUP(A191,Internal_lists_bugs!$A$2:$X1013,24,FALSE()),"please select a BUG ID")</f>
        <v>https://www.mail-archive.com/openstack-dev@lists.openstack.org/ </v>
      </c>
      <c r="E191" s="82"/>
      <c r="F191" s="80"/>
      <c r="G191" s="16" t="s">
        <v>887</v>
      </c>
      <c r="H191" s="79" t="s">
        <v>888</v>
      </c>
      <c r="I191" s="59" t="s">
        <v>889</v>
      </c>
      <c r="J191" s="81" t="str">
        <f>IFERROR(Hyperlink(VLOOKUP(A191,Internal_lists_bugs!$A$2:$G1013,7,FALSE()),"BIC: "&amp;VLOOKUP(A191,Internal_lists_bugs!$A$2:$G1013,7,FALSE())&amp;CHAR(10)&amp;"Intro.Issues: "&amp;VLOOKUP(A191,Internal_lists_bugs!$A$2:$P1013,16,FALSE())),"please select a BUG ID")</f>
        <v>BIC: https://opendev.org/openstack/nova/commit/abc656d
Intro.Issues: blueprint ec2-api</v>
      </c>
    </row>
    <row r="192">
      <c r="A192" s="26" t="s">
        <v>46</v>
      </c>
      <c r="B192" s="77" t="str">
        <f>IFERROR(HYPERLINK(VLOOKUP(A192,Internal_lists_bugs!$A$2:$C$73,3,FALSE()), VLOOKUP(A192,Internal_lists_bugs!$A$2:$C$73,3,FALSE())&amp;Char(10) &amp; Char(10) &amp; VLOOKUP(A192,Internal_lists_bugs!$A$2:$Z$73,26,FALSE())),"please select a BUG ID")</f>
        <v>https://bugs.launchpad.net/nova/+bug/1434855
/os-extended-volumes/v2.3/server-get-resp.json
/os-extended-volumes/v2.3/servers-detail-resp.json </v>
      </c>
      <c r="C192" s="78" t="str">
        <f>IFERROR(VLOOKUP(A192,Internal_lists_bugs!$A$2:$X1013,24,FALSE()),"please select a BUG ID")</f>
        <v>https://www.mail-archive.com/openstack-dev@lists.openstack.org/ </v>
      </c>
      <c r="E192" s="82"/>
      <c r="F192" s="80"/>
      <c r="G192" s="16" t="s">
        <v>890</v>
      </c>
      <c r="H192" s="79" t="s">
        <v>888</v>
      </c>
      <c r="I192" s="59" t="s">
        <v>891</v>
      </c>
      <c r="J192" s="81" t="str">
        <f>IFERROR(Hyperlink(VLOOKUP(A192,Internal_lists_bugs!$A$2:$G1013,7,FALSE()),"BIC: "&amp;VLOOKUP(A192,Internal_lists_bugs!$A$2:$G1013,7,FALSE())&amp;CHAR(10)&amp;"Intro.Issues: "&amp;VLOOKUP(A192,Internal_lists_bugs!$A$2:$P1013,16,FALSE())),"please select a BUG ID")</f>
        <v>BIC: https://opendev.org/openstack/nova/commit/abc656d
Intro.Issues: blueprint ec2-api</v>
      </c>
    </row>
    <row r="193">
      <c r="A193" s="26" t="s">
        <v>46</v>
      </c>
      <c r="B193" s="77" t="str">
        <f>IFERROR(HYPERLINK(VLOOKUP(A193,Internal_lists_bugs!$A$2:$C$73,3,FALSE()), VLOOKUP(A193,Internal_lists_bugs!$A$2:$C$73,3,FALSE())&amp;Char(10) &amp; Char(10) &amp; VLOOKUP(A193,Internal_lists_bugs!$A$2:$Z$73,26,FALSE())),"please select a BUG ID")</f>
        <v>https://bugs.launchpad.net/nova/+bug/1434855
/os-extended-volumes/v2.3/server-get-resp.json
/os-extended-volumes/v2.3/servers-detail-resp.json </v>
      </c>
      <c r="C193" s="78" t="str">
        <f>IFERROR(VLOOKUP(A193,Internal_lists_bugs!$A$2:$X1013,24,FALSE()),"please select a BUG ID")</f>
        <v>https://www.mail-archive.com/openstack-dev@lists.openstack.org/ </v>
      </c>
      <c r="E193" s="82"/>
      <c r="F193" s="80"/>
      <c r="G193" s="16" t="s">
        <v>892</v>
      </c>
      <c r="H193" s="79" t="s">
        <v>888</v>
      </c>
      <c r="I193" s="59" t="s">
        <v>893</v>
      </c>
      <c r="J193" s="81" t="str">
        <f>IFERROR(Hyperlink(VLOOKUP(A193,Internal_lists_bugs!$A$2:$G1013,7,FALSE()),"BIC: "&amp;VLOOKUP(A193,Internal_lists_bugs!$A$2:$G1013,7,FALSE())&amp;CHAR(10)&amp;"Intro.Issues: "&amp;VLOOKUP(A193,Internal_lists_bugs!$A$2:$P1013,16,FALSE())),"please select a BUG ID")</f>
        <v>BIC: https://opendev.org/openstack/nova/commit/abc656d
Intro.Issues: blueprint ec2-api</v>
      </c>
    </row>
    <row r="194">
      <c r="A194" s="26" t="s">
        <v>46</v>
      </c>
      <c r="B194" s="77" t="str">
        <f>IFERROR(HYPERLINK(VLOOKUP(A194,Internal_lists_bugs!$A$2:$C$73,3,FALSE()), VLOOKUP(A194,Internal_lists_bugs!$A$2:$C$73,3,FALSE())&amp;Char(10) &amp; Char(10) &amp; VLOOKUP(A194,Internal_lists_bugs!$A$2:$Z$73,26,FALSE())),"please select a BUG ID")</f>
        <v>https://bugs.launchpad.net/nova/+bug/1434855
/os-extended-volumes/v2.3/server-get-resp.json
/os-extended-volumes/v2.3/servers-detail-resp.json </v>
      </c>
      <c r="C194" s="78" t="str">
        <f>IFERROR(VLOOKUP(A194,Internal_lists_bugs!$A$2:$X1013,24,FALSE()),"please select a BUG ID")</f>
        <v>https://www.mail-archive.com/openstack-dev@lists.openstack.org/ </v>
      </c>
      <c r="E194" s="82"/>
      <c r="F194" s="80"/>
      <c r="G194" s="16" t="s">
        <v>894</v>
      </c>
      <c r="H194" s="79" t="s">
        <v>885</v>
      </c>
      <c r="I194" s="59" t="s">
        <v>895</v>
      </c>
      <c r="J194" s="81" t="str">
        <f>IFERROR(Hyperlink(VLOOKUP(A194,Internal_lists_bugs!$A$2:$G1013,7,FALSE()),"BIC: "&amp;VLOOKUP(A194,Internal_lists_bugs!$A$2:$G1013,7,FALSE())&amp;CHAR(10)&amp;"Intro.Issues: "&amp;VLOOKUP(A194,Internal_lists_bugs!$A$2:$P1013,16,FALSE())),"please select a BUG ID")</f>
        <v>BIC: https://opendev.org/openstack/nova/commit/abc656d
Intro.Issues: blueprint ec2-api</v>
      </c>
    </row>
    <row r="195">
      <c r="A195" s="26" t="s">
        <v>46</v>
      </c>
      <c r="B195" s="77" t="str">
        <f>IFERROR(HYPERLINK(VLOOKUP(A195,Internal_lists_bugs!$A$2:$C$73,3,FALSE()), VLOOKUP(A195,Internal_lists_bugs!$A$2:$C$73,3,FALSE())&amp;Char(10) &amp; Char(10) &amp; VLOOKUP(A195,Internal_lists_bugs!$A$2:$Z$73,26,FALSE())),"please select a BUG ID")</f>
        <v>https://bugs.launchpad.net/nova/+bug/1434855
/os-extended-volumes/v2.3/server-get-resp.json
/os-extended-volumes/v2.3/servers-detail-resp.json </v>
      </c>
      <c r="C195" s="78" t="str">
        <f>IFERROR(VLOOKUP(A195,Internal_lists_bugs!$A$2:$X1013,24,FALSE()),"please select a BUG ID")</f>
        <v>https://www.mail-archive.com/openstack-dev@lists.openstack.org/ </v>
      </c>
      <c r="E195" s="82"/>
      <c r="F195" s="80"/>
      <c r="G195" s="16" t="s">
        <v>894</v>
      </c>
      <c r="H195" s="79" t="s">
        <v>896</v>
      </c>
      <c r="I195" s="59" t="s">
        <v>897</v>
      </c>
      <c r="J195" s="81" t="str">
        <f>IFERROR(Hyperlink(VLOOKUP(A195,Internal_lists_bugs!$A$2:$G1013,7,FALSE()),"BIC: "&amp;VLOOKUP(A195,Internal_lists_bugs!$A$2:$G1013,7,FALSE())&amp;CHAR(10)&amp;"Intro.Issues: "&amp;VLOOKUP(A195,Internal_lists_bugs!$A$2:$P1013,16,FALSE())),"please select a BUG ID")</f>
        <v>BIC: https://opendev.org/openstack/nova/commit/abc656d
Intro.Issues: blueprint ec2-api</v>
      </c>
    </row>
    <row r="196">
      <c r="A196" s="26" t="s">
        <v>46</v>
      </c>
      <c r="B196" s="77" t="str">
        <f>IFERROR(HYPERLINK(VLOOKUP(A196,Internal_lists_bugs!$A$2:$C$73,3,FALSE()), VLOOKUP(A196,Internal_lists_bugs!$A$2:$C$73,3,FALSE())&amp;Char(10) &amp; Char(10) &amp; VLOOKUP(A196,Internal_lists_bugs!$A$2:$Z$73,26,FALSE())),"please select a BUG ID")</f>
        <v>https://bugs.launchpad.net/nova/+bug/1434855
/os-extended-volumes/v2.3/server-get-resp.json
/os-extended-volumes/v2.3/servers-detail-resp.json </v>
      </c>
      <c r="C196" s="78" t="str">
        <f>IFERROR(VLOOKUP(A196,Internal_lists_bugs!$A$2:$X1013,24,FALSE()),"please select a BUG ID")</f>
        <v>https://www.mail-archive.com/openstack-dev@lists.openstack.org/ </v>
      </c>
      <c r="E196" s="82"/>
      <c r="F196" s="80"/>
      <c r="G196" s="16" t="s">
        <v>898</v>
      </c>
      <c r="H196" s="79" t="s">
        <v>899</v>
      </c>
      <c r="I196" s="59" t="s">
        <v>900</v>
      </c>
      <c r="J196" s="81" t="str">
        <f>IFERROR(Hyperlink(VLOOKUP(A196,Internal_lists_bugs!$A$2:$G1013,7,FALSE()),"BIC: "&amp;VLOOKUP(A196,Internal_lists_bugs!$A$2:$G1013,7,FALSE())&amp;CHAR(10)&amp;"Intro.Issues: "&amp;VLOOKUP(A196,Internal_lists_bugs!$A$2:$P1013,16,FALSE())),"please select a BUG ID")</f>
        <v>BIC: https://opendev.org/openstack/nova/commit/abc656d
Intro.Issues: blueprint ec2-api</v>
      </c>
    </row>
    <row r="197">
      <c r="A197" s="26" t="s">
        <v>46</v>
      </c>
      <c r="B197" s="77" t="str">
        <f>IFERROR(HYPERLINK(VLOOKUP(A197,Internal_lists_bugs!$A$2:$C$73,3,FALSE()), VLOOKUP(A197,Internal_lists_bugs!$A$2:$C$73,3,FALSE())&amp;Char(10) &amp; Char(10) &amp; VLOOKUP(A197,Internal_lists_bugs!$A$2:$Z$73,26,FALSE())),"please select a BUG ID")</f>
        <v>https://bugs.launchpad.net/nova/+bug/1434855
/os-extended-volumes/v2.3/server-get-resp.json
/os-extended-volumes/v2.3/servers-detail-resp.json </v>
      </c>
      <c r="C197" s="78" t="str">
        <f>IFERROR(VLOOKUP(A197,Internal_lists_bugs!$A$2:$X1013,24,FALSE()),"please select a BUG ID")</f>
        <v>https://www.mail-archive.com/openstack-dev@lists.openstack.org/ </v>
      </c>
      <c r="E197" s="82"/>
      <c r="F197" s="80"/>
      <c r="G197" s="16" t="s">
        <v>901</v>
      </c>
      <c r="H197" s="79" t="s">
        <v>902</v>
      </c>
      <c r="I197" s="59" t="s">
        <v>903</v>
      </c>
      <c r="J197" s="81" t="str">
        <f>IFERROR(Hyperlink(VLOOKUP(A197,Internal_lists_bugs!$A$2:$G1013,7,FALSE()),"BIC: "&amp;VLOOKUP(A197,Internal_lists_bugs!$A$2:$G1013,7,FALSE())&amp;CHAR(10)&amp;"Intro.Issues: "&amp;VLOOKUP(A197,Internal_lists_bugs!$A$2:$P1013,16,FALSE())),"please select a BUG ID")</f>
        <v>BIC: https://opendev.org/openstack/nova/commit/abc656d
Intro.Issues: blueprint ec2-api</v>
      </c>
    </row>
    <row r="198">
      <c r="A198" s="26" t="s">
        <v>46</v>
      </c>
      <c r="B198" s="77" t="str">
        <f>IFERROR(HYPERLINK(VLOOKUP(A198,Internal_lists_bugs!$A$2:$C$73,3,FALSE()), VLOOKUP(A198,Internal_lists_bugs!$A$2:$C$73,3,FALSE())&amp;Char(10) &amp; Char(10) &amp; VLOOKUP(A198,Internal_lists_bugs!$A$2:$Z$73,26,FALSE())),"please select a BUG ID")</f>
        <v>https://bugs.launchpad.net/nova/+bug/1434855
/os-extended-volumes/v2.3/server-get-resp.json
/os-extended-volumes/v2.3/servers-detail-resp.json </v>
      </c>
      <c r="C198" s="78" t="str">
        <f>IFERROR(VLOOKUP(A198,Internal_lists_bugs!$A$2:$X1013,24,FALSE()),"please select a BUG ID")</f>
        <v>https://www.mail-archive.com/openstack-dev@lists.openstack.org/ </v>
      </c>
      <c r="E198" s="82"/>
      <c r="F198" s="80"/>
      <c r="G198" s="16" t="s">
        <v>901</v>
      </c>
      <c r="H198" s="79" t="s">
        <v>904</v>
      </c>
      <c r="I198" s="59" t="s">
        <v>905</v>
      </c>
      <c r="J198" s="81" t="str">
        <f>IFERROR(Hyperlink(VLOOKUP(A198,Internal_lists_bugs!$A$2:$G1013,7,FALSE()),"BIC: "&amp;VLOOKUP(A198,Internal_lists_bugs!$A$2:$G1013,7,FALSE())&amp;CHAR(10)&amp;"Intro.Issues: "&amp;VLOOKUP(A198,Internal_lists_bugs!$A$2:$P1013,16,FALSE())),"please select a BUG ID")</f>
        <v>BIC: https://opendev.org/openstack/nova/commit/abc656d
Intro.Issues: blueprint ec2-api</v>
      </c>
    </row>
    <row r="199">
      <c r="A199" s="26" t="s">
        <v>46</v>
      </c>
      <c r="B199" s="77" t="str">
        <f>IFERROR(HYPERLINK(VLOOKUP(A199,Internal_lists_bugs!$A$2:$C$73,3,FALSE()), VLOOKUP(A199,Internal_lists_bugs!$A$2:$C$73,3,FALSE())&amp;Char(10) &amp; Char(10) &amp; VLOOKUP(A199,Internal_lists_bugs!$A$2:$Z$73,26,FALSE())),"please select a BUG ID")</f>
        <v>https://bugs.launchpad.net/nova/+bug/1434855
/os-extended-volumes/v2.3/server-get-resp.json
/os-extended-volumes/v2.3/servers-detail-resp.json </v>
      </c>
      <c r="C199" s="78" t="str">
        <f>IFERROR(VLOOKUP(A199,Internal_lists_bugs!$A$2:$X1013,24,FALSE()),"please select a BUG ID")</f>
        <v>https://www.mail-archive.com/openstack-dev@lists.openstack.org/ </v>
      </c>
      <c r="E199" s="82"/>
      <c r="F199" s="80"/>
      <c r="G199" s="16" t="s">
        <v>906</v>
      </c>
      <c r="H199" s="79" t="s">
        <v>899</v>
      </c>
      <c r="I199" s="59" t="s">
        <v>907</v>
      </c>
      <c r="J199" s="81" t="str">
        <f>IFERROR(Hyperlink(VLOOKUP(A199,Internal_lists_bugs!$A$2:$G1013,7,FALSE()),"BIC: "&amp;VLOOKUP(A199,Internal_lists_bugs!$A$2:$G1013,7,FALSE())&amp;CHAR(10)&amp;"Intro.Issues: "&amp;VLOOKUP(A199,Internal_lists_bugs!$A$2:$P1013,16,FALSE())),"please select a BUG ID")</f>
        <v>BIC: https://opendev.org/openstack/nova/commit/abc656d
Intro.Issues: blueprint ec2-api</v>
      </c>
    </row>
    <row r="200">
      <c r="A200" s="26" t="s">
        <v>46</v>
      </c>
      <c r="B200" s="77" t="str">
        <f>IFERROR(HYPERLINK(VLOOKUP(A200,Internal_lists_bugs!$A$2:$C$73,3,FALSE()), VLOOKUP(A200,Internal_lists_bugs!$A$2:$C$73,3,FALSE())&amp;Char(10) &amp; Char(10) &amp; VLOOKUP(A200,Internal_lists_bugs!$A$2:$Z$73,26,FALSE())),"please select a BUG ID")</f>
        <v>https://bugs.launchpad.net/nova/+bug/1434855
/os-extended-volumes/v2.3/server-get-resp.json
/os-extended-volumes/v2.3/servers-detail-resp.json </v>
      </c>
      <c r="C200" s="78" t="str">
        <f>IFERROR(VLOOKUP(A200,Internal_lists_bugs!$A$2:$X1013,24,FALSE()),"please select a BUG ID")</f>
        <v>https://www.mail-archive.com/openstack-dev@lists.openstack.org/ </v>
      </c>
      <c r="E200" s="82"/>
      <c r="F200" s="80"/>
      <c r="G200" s="16" t="s">
        <v>906</v>
      </c>
      <c r="H200" s="79" t="s">
        <v>908</v>
      </c>
      <c r="I200" s="59" t="s">
        <v>909</v>
      </c>
      <c r="J200" s="81" t="str">
        <f>IFERROR(Hyperlink(VLOOKUP(A200,Internal_lists_bugs!$A$2:$G1013,7,FALSE()),"BIC: "&amp;VLOOKUP(A200,Internal_lists_bugs!$A$2:$G1013,7,FALSE())&amp;CHAR(10)&amp;"Intro.Issues: "&amp;VLOOKUP(A200,Internal_lists_bugs!$A$2:$P1013,16,FALSE())),"please select a BUG ID")</f>
        <v>BIC: https://opendev.org/openstack/nova/commit/abc656d
Intro.Issues: blueprint ec2-api</v>
      </c>
    </row>
    <row r="201">
      <c r="A201" s="26" t="s">
        <v>46</v>
      </c>
      <c r="B201" s="77" t="str">
        <f>IFERROR(HYPERLINK(VLOOKUP(A201,Internal_lists_bugs!$A$2:$C$73,3,FALSE()), VLOOKUP(A201,Internal_lists_bugs!$A$2:$C$73,3,FALSE())&amp;Char(10) &amp; Char(10) &amp; VLOOKUP(A201,Internal_lists_bugs!$A$2:$Z$73,26,FALSE())),"please select a BUG ID")</f>
        <v>https://bugs.launchpad.net/nova/+bug/1434855
/os-extended-volumes/v2.3/server-get-resp.json
/os-extended-volumes/v2.3/servers-detail-resp.json </v>
      </c>
      <c r="C201" s="78" t="str">
        <f>IFERROR(VLOOKUP(A201,Internal_lists_bugs!$A$2:$X1013,24,FALSE()),"please select a BUG ID")</f>
        <v>https://www.mail-archive.com/openstack-dev@lists.openstack.org/ </v>
      </c>
      <c r="E201" s="82"/>
      <c r="F201" s="80"/>
      <c r="G201" s="16" t="s">
        <v>910</v>
      </c>
      <c r="H201" s="79" t="s">
        <v>911</v>
      </c>
      <c r="I201" s="59" t="s">
        <v>912</v>
      </c>
      <c r="J201" s="81" t="str">
        <f>IFERROR(Hyperlink(VLOOKUP(A201,Internal_lists_bugs!$A$2:$G1013,7,FALSE()),"BIC: "&amp;VLOOKUP(A201,Internal_lists_bugs!$A$2:$G1013,7,FALSE())&amp;CHAR(10)&amp;"Intro.Issues: "&amp;VLOOKUP(A201,Internal_lists_bugs!$A$2:$P1013,16,FALSE())),"please select a BUG ID")</f>
        <v>BIC: https://opendev.org/openstack/nova/commit/abc656d
Intro.Issues: blueprint ec2-api</v>
      </c>
    </row>
    <row r="202">
      <c r="A202" s="26" t="s">
        <v>46</v>
      </c>
      <c r="B202" s="77" t="str">
        <f>IFERROR(HYPERLINK(VLOOKUP(A202,Internal_lists_bugs!$A$2:$C$73,3,FALSE()), VLOOKUP(A202,Internal_lists_bugs!$A$2:$C$73,3,FALSE())&amp;Char(10) &amp; Char(10) &amp; VLOOKUP(A202,Internal_lists_bugs!$A$2:$Z$73,26,FALSE())),"please select a BUG ID")</f>
        <v>https://bugs.launchpad.net/nova/+bug/1434855
/os-extended-volumes/v2.3/server-get-resp.json
/os-extended-volumes/v2.3/servers-detail-resp.json </v>
      </c>
      <c r="C202" s="78" t="str">
        <f>IFERROR(VLOOKUP(A202,Internal_lists_bugs!$A$2:$X1013,24,FALSE()),"please select a BUG ID")</f>
        <v>https://www.mail-archive.com/openstack-dev@lists.openstack.org/ </v>
      </c>
      <c r="E202" s="82"/>
      <c r="F202" s="80"/>
      <c r="G202" s="16" t="s">
        <v>910</v>
      </c>
      <c r="H202" s="79" t="s">
        <v>913</v>
      </c>
      <c r="I202" s="59" t="s">
        <v>914</v>
      </c>
      <c r="J202" s="81" t="str">
        <f>IFERROR(Hyperlink(VLOOKUP(A202,Internal_lists_bugs!$A$2:$G1013,7,FALSE()),"BIC: "&amp;VLOOKUP(A202,Internal_lists_bugs!$A$2:$G1013,7,FALSE())&amp;CHAR(10)&amp;"Intro.Issues: "&amp;VLOOKUP(A202,Internal_lists_bugs!$A$2:$P1013,16,FALSE())),"please select a BUG ID")</f>
        <v>BIC: https://opendev.org/openstack/nova/commit/abc656d
Intro.Issues: blueprint ec2-api</v>
      </c>
    </row>
    <row r="203">
      <c r="A203" s="26" t="s">
        <v>46</v>
      </c>
      <c r="B203" s="77" t="str">
        <f>IFERROR(HYPERLINK(VLOOKUP(A203,Internal_lists_bugs!$A$2:$C$73,3,FALSE()), VLOOKUP(A203,Internal_lists_bugs!$A$2:$C$73,3,FALSE())&amp;Char(10) &amp; Char(10) &amp; VLOOKUP(A203,Internal_lists_bugs!$A$2:$Z$73,26,FALSE())),"please select a BUG ID")</f>
        <v>https://bugs.launchpad.net/nova/+bug/1434855
/os-extended-volumes/v2.3/server-get-resp.json
/os-extended-volumes/v2.3/servers-detail-resp.json </v>
      </c>
      <c r="C203" s="78" t="str">
        <f>IFERROR(VLOOKUP(A203,Internal_lists_bugs!$A$2:$X1013,24,FALSE()),"please select a BUG ID")</f>
        <v>https://www.mail-archive.com/openstack-dev@lists.openstack.org/ </v>
      </c>
      <c r="E203" s="82"/>
      <c r="F203" s="80"/>
      <c r="G203" s="16" t="s">
        <v>910</v>
      </c>
      <c r="H203" s="79" t="s">
        <v>915</v>
      </c>
      <c r="I203" s="80"/>
      <c r="J203" s="81" t="str">
        <f>IFERROR(Hyperlink(VLOOKUP(A203,Internal_lists_bugs!$A$2:$G1013,7,FALSE()),"BIC: "&amp;VLOOKUP(A203,Internal_lists_bugs!$A$2:$G1013,7,FALSE())&amp;CHAR(10)&amp;"Intro.Issues: "&amp;VLOOKUP(A203,Internal_lists_bugs!$A$2:$P1013,16,FALSE())),"please select a BUG ID")</f>
        <v>BIC: https://opendev.org/openstack/nova/commit/abc656d
Intro.Issues: blueprint ec2-api</v>
      </c>
    </row>
    <row r="204">
      <c r="A204" s="26" t="s">
        <v>46</v>
      </c>
      <c r="B204" s="77" t="str">
        <f>IFERROR(HYPERLINK(VLOOKUP(A204,Internal_lists_bugs!$A$2:$C$73,3,FALSE()), VLOOKUP(A204,Internal_lists_bugs!$A$2:$C$73,3,FALSE())&amp;Char(10) &amp; Char(10) &amp; VLOOKUP(A204,Internal_lists_bugs!$A$2:$Z$73,26,FALSE())),"please select a BUG ID")</f>
        <v>https://bugs.launchpad.net/nova/+bug/1434855
/os-extended-volumes/v2.3/server-get-resp.json
/os-extended-volumes/v2.3/servers-detail-resp.json </v>
      </c>
      <c r="C204" s="78" t="str">
        <f>IFERROR(VLOOKUP(A204,Internal_lists_bugs!$A$2:$X1013,24,FALSE()),"please select a BUG ID")</f>
        <v>https://www.mail-archive.com/openstack-dev@lists.openstack.org/ </v>
      </c>
      <c r="E204" s="82"/>
      <c r="F204" s="80"/>
      <c r="G204" s="16" t="s">
        <v>916</v>
      </c>
      <c r="H204" s="79" t="s">
        <v>917</v>
      </c>
      <c r="I204" s="59" t="s">
        <v>918</v>
      </c>
      <c r="J204" s="81" t="str">
        <f>IFERROR(Hyperlink(VLOOKUP(A204,Internal_lists_bugs!$A$2:$G1013,7,FALSE()),"BIC: "&amp;VLOOKUP(A204,Internal_lists_bugs!$A$2:$G1013,7,FALSE())&amp;CHAR(10)&amp;"Intro.Issues: "&amp;VLOOKUP(A204,Internal_lists_bugs!$A$2:$P1013,16,FALSE())),"please select a BUG ID")</f>
        <v>BIC: https://opendev.org/openstack/nova/commit/abc656d
Intro.Issues: blueprint ec2-api</v>
      </c>
    </row>
    <row r="205">
      <c r="A205" s="26" t="s">
        <v>46</v>
      </c>
      <c r="B205" s="77" t="str">
        <f>IFERROR(HYPERLINK(VLOOKUP(A205,Internal_lists_bugs!$A$2:$C$73,3,FALSE()), VLOOKUP(A205,Internal_lists_bugs!$A$2:$C$73,3,FALSE())&amp;Char(10) &amp; Char(10) &amp; VLOOKUP(A205,Internal_lists_bugs!$A$2:$Z$73,26,FALSE())),"please select a BUG ID")</f>
        <v>https://bugs.launchpad.net/nova/+bug/1434855
/os-extended-volumes/v2.3/server-get-resp.json
/os-extended-volumes/v2.3/servers-detail-resp.json </v>
      </c>
      <c r="C205" s="78" t="str">
        <f>IFERROR(VLOOKUP(A205,Internal_lists_bugs!$A$2:$X1013,24,FALSE()),"please select a BUG ID")</f>
        <v>https://www.mail-archive.com/openstack-dev@lists.openstack.org/ </v>
      </c>
      <c r="E205" s="82"/>
      <c r="F205" s="80"/>
      <c r="G205" s="16" t="s">
        <v>916</v>
      </c>
      <c r="H205" s="79" t="s">
        <v>919</v>
      </c>
      <c r="I205" s="59" t="s">
        <v>920</v>
      </c>
      <c r="J205" s="81" t="str">
        <f>IFERROR(Hyperlink(VLOOKUP(A205,Internal_lists_bugs!$A$2:$G1013,7,FALSE()),"BIC: "&amp;VLOOKUP(A205,Internal_lists_bugs!$A$2:$G1013,7,FALSE())&amp;CHAR(10)&amp;"Intro.Issues: "&amp;VLOOKUP(A205,Internal_lists_bugs!$A$2:$P1013,16,FALSE())),"please select a BUG ID")</f>
        <v>BIC: https://opendev.org/openstack/nova/commit/abc656d
Intro.Issues: blueprint ec2-api</v>
      </c>
    </row>
    <row r="206">
      <c r="A206" s="26" t="s">
        <v>46</v>
      </c>
      <c r="B206" s="77" t="str">
        <f>IFERROR(HYPERLINK(VLOOKUP(A206,Internal_lists_bugs!$A$2:$C$73,3,FALSE()), VLOOKUP(A206,Internal_lists_bugs!$A$2:$C$73,3,FALSE())&amp;Char(10) &amp; Char(10) &amp; VLOOKUP(A206,Internal_lists_bugs!$A$2:$Z$73,26,FALSE())),"please select a BUG ID")</f>
        <v>https://bugs.launchpad.net/nova/+bug/1434855
/os-extended-volumes/v2.3/server-get-resp.json
/os-extended-volumes/v2.3/servers-detail-resp.json </v>
      </c>
      <c r="C206" s="78" t="str">
        <f>IFERROR(VLOOKUP(A206,Internal_lists_bugs!$A$2:$X1013,24,FALSE()),"please select a BUG ID")</f>
        <v>https://www.mail-archive.com/openstack-dev@lists.openstack.org/ </v>
      </c>
      <c r="E206" s="82"/>
      <c r="F206" s="80"/>
      <c r="G206" s="16" t="s">
        <v>921</v>
      </c>
      <c r="H206" s="79" t="s">
        <v>922</v>
      </c>
      <c r="I206" s="59" t="s">
        <v>923</v>
      </c>
      <c r="J206" s="81" t="str">
        <f>IFERROR(Hyperlink(VLOOKUP(A206,Internal_lists_bugs!$A$2:$G1013,7,FALSE()),"BIC: "&amp;VLOOKUP(A206,Internal_lists_bugs!$A$2:$G1013,7,FALSE())&amp;CHAR(10)&amp;"Intro.Issues: "&amp;VLOOKUP(A206,Internal_lists_bugs!$A$2:$P1013,16,FALSE())),"please select a BUG ID")</f>
        <v>BIC: https://opendev.org/openstack/nova/commit/abc656d
Intro.Issues: blueprint ec2-api</v>
      </c>
    </row>
    <row r="207">
      <c r="A207" s="26" t="s">
        <v>46</v>
      </c>
      <c r="B207" s="77" t="str">
        <f>IFERROR(HYPERLINK(VLOOKUP(A207,Internal_lists_bugs!$A$2:$C$73,3,FALSE()), VLOOKUP(A207,Internal_lists_bugs!$A$2:$C$73,3,FALSE())&amp;Char(10) &amp; Char(10) &amp; VLOOKUP(A207,Internal_lists_bugs!$A$2:$Z$73,26,FALSE())),"please select a BUG ID")</f>
        <v>https://bugs.launchpad.net/nova/+bug/1434855
/os-extended-volumes/v2.3/server-get-resp.json
/os-extended-volumes/v2.3/servers-detail-resp.json </v>
      </c>
      <c r="C207" s="78" t="str">
        <f>IFERROR(VLOOKUP(A207,Internal_lists_bugs!$A$2:$X1013,24,FALSE()),"please select a BUG ID")</f>
        <v>https://www.mail-archive.com/openstack-dev@lists.openstack.org/ </v>
      </c>
      <c r="E207" s="82"/>
      <c r="F207" s="80"/>
      <c r="G207" s="66" t="s">
        <v>924</v>
      </c>
      <c r="H207" s="79" t="s">
        <v>925</v>
      </c>
      <c r="I207" s="59" t="s">
        <v>926</v>
      </c>
      <c r="J207" s="81" t="str">
        <f>IFERROR(Hyperlink(VLOOKUP(A207,Internal_lists_bugs!$A$2:$G1013,7,FALSE()),"BIC: "&amp;VLOOKUP(A207,Internal_lists_bugs!$A$2:$G1013,7,FALSE())&amp;CHAR(10)&amp;"Intro.Issues: "&amp;VLOOKUP(A207,Internal_lists_bugs!$A$2:$P1013,16,FALSE())),"please select a BUG ID")</f>
        <v>BIC: https://opendev.org/openstack/nova/commit/abc656d
Intro.Issues: blueprint ec2-api</v>
      </c>
    </row>
    <row r="208">
      <c r="A208" s="26" t="s">
        <v>46</v>
      </c>
      <c r="B208" s="77" t="str">
        <f>IFERROR(HYPERLINK(VLOOKUP(A208,Internal_lists_bugs!$A$2:$C$73,3,FALSE()), VLOOKUP(A208,Internal_lists_bugs!$A$2:$C$73,3,FALSE())&amp;Char(10) &amp; Char(10) &amp; VLOOKUP(A208,Internal_lists_bugs!$A$2:$Z$73,26,FALSE())),"please select a BUG ID")</f>
        <v>https://bugs.launchpad.net/nova/+bug/1434855
/os-extended-volumes/v2.3/server-get-resp.json
/os-extended-volumes/v2.3/servers-detail-resp.json </v>
      </c>
      <c r="C208" s="78" t="str">
        <f>IFERROR(VLOOKUP(A208,Internal_lists_bugs!$A$2:$X1013,24,FALSE()),"please select a BUG ID")</f>
        <v>https://www.mail-archive.com/openstack-dev@lists.openstack.org/ </v>
      </c>
      <c r="E208" s="82"/>
      <c r="F208" s="80"/>
      <c r="G208" s="66" t="s">
        <v>924</v>
      </c>
      <c r="H208" s="79" t="s">
        <v>927</v>
      </c>
      <c r="I208" s="59" t="s">
        <v>928</v>
      </c>
      <c r="J208" s="81" t="str">
        <f>IFERROR(Hyperlink(VLOOKUP(A208,Internal_lists_bugs!$A$2:$G1013,7,FALSE()),"BIC: "&amp;VLOOKUP(A208,Internal_lists_bugs!$A$2:$G1013,7,FALSE())&amp;CHAR(10)&amp;"Intro.Issues: "&amp;VLOOKUP(A208,Internal_lists_bugs!$A$2:$P1013,16,FALSE())),"please select a BUG ID")</f>
        <v>BIC: https://opendev.org/openstack/nova/commit/abc656d
Intro.Issues: blueprint ec2-api</v>
      </c>
    </row>
    <row r="209">
      <c r="A209" s="26" t="s">
        <v>46</v>
      </c>
      <c r="B209" s="77" t="str">
        <f>IFERROR(HYPERLINK(VLOOKUP(A209,Internal_lists_bugs!$A$2:$C$73,3,FALSE()), VLOOKUP(A209,Internal_lists_bugs!$A$2:$C$73,3,FALSE())&amp;Char(10) &amp; Char(10) &amp; VLOOKUP(A209,Internal_lists_bugs!$A$2:$Z$73,26,FALSE())),"please select a BUG ID")</f>
        <v>https://bugs.launchpad.net/nova/+bug/1434855
/os-extended-volumes/v2.3/server-get-resp.json
/os-extended-volumes/v2.3/servers-detail-resp.json </v>
      </c>
      <c r="C209" s="78" t="str">
        <f>IFERROR(VLOOKUP(A209,Internal_lists_bugs!$A$2:$X1013,24,FALSE()),"please select a BUG ID")</f>
        <v>https://www.mail-archive.com/openstack-dev@lists.openstack.org/ </v>
      </c>
      <c r="E209" s="82"/>
      <c r="F209" s="80"/>
      <c r="G209" s="66" t="s">
        <v>924</v>
      </c>
      <c r="H209" s="79" t="s">
        <v>929</v>
      </c>
      <c r="I209" s="59" t="s">
        <v>930</v>
      </c>
      <c r="J209" s="81" t="str">
        <f>IFERROR(Hyperlink(VLOOKUP(A209,Internal_lists_bugs!$A$2:$G1013,7,FALSE()),"BIC: "&amp;VLOOKUP(A209,Internal_lists_bugs!$A$2:$G1013,7,FALSE())&amp;CHAR(10)&amp;"Intro.Issues: "&amp;VLOOKUP(A209,Internal_lists_bugs!$A$2:$P1013,16,FALSE())),"please select a BUG ID")</f>
        <v>BIC: https://opendev.org/openstack/nova/commit/abc656d
Intro.Issues: blueprint ec2-api</v>
      </c>
    </row>
    <row r="210">
      <c r="A210" s="26" t="s">
        <v>46</v>
      </c>
      <c r="B210" s="77" t="str">
        <f>IFERROR(HYPERLINK(VLOOKUP(A210,Internal_lists_bugs!$A$2:$C$73,3,FALSE()), VLOOKUP(A210,Internal_lists_bugs!$A$2:$C$73,3,FALSE())&amp;Char(10) &amp; Char(10) &amp; VLOOKUP(A210,Internal_lists_bugs!$A$2:$Z$73,26,FALSE())),"please select a BUG ID")</f>
        <v>https://bugs.launchpad.net/nova/+bug/1434855
/os-extended-volumes/v2.3/server-get-resp.json
/os-extended-volumes/v2.3/servers-detail-resp.json </v>
      </c>
      <c r="C210" s="78" t="str">
        <f>IFERROR(VLOOKUP(A210,Internal_lists_bugs!$A$2:$X1013,24,FALSE()),"please select a BUG ID")</f>
        <v>https://www.mail-archive.com/openstack-dev@lists.openstack.org/ </v>
      </c>
      <c r="E210" s="82"/>
      <c r="F210" s="80"/>
      <c r="G210" s="66" t="s">
        <v>931</v>
      </c>
      <c r="H210" s="79" t="s">
        <v>932</v>
      </c>
      <c r="I210" s="59" t="s">
        <v>933</v>
      </c>
      <c r="J210" s="81" t="str">
        <f>IFERROR(Hyperlink(VLOOKUP(A210,Internal_lists_bugs!$A$2:$G1013,7,FALSE()),"BIC: "&amp;VLOOKUP(A210,Internal_lists_bugs!$A$2:$G1013,7,FALSE())&amp;CHAR(10)&amp;"Intro.Issues: "&amp;VLOOKUP(A210,Internal_lists_bugs!$A$2:$P1013,16,FALSE())),"please select a BUG ID")</f>
        <v>BIC: https://opendev.org/openstack/nova/commit/abc656d
Intro.Issues: blueprint ec2-api</v>
      </c>
    </row>
    <row r="211">
      <c r="A211" s="26" t="s">
        <v>46</v>
      </c>
      <c r="B211" s="77" t="str">
        <f>IFERROR(HYPERLINK(VLOOKUP(A211,Internal_lists_bugs!$A$2:$C$73,3,FALSE()), VLOOKUP(A211,Internal_lists_bugs!$A$2:$C$73,3,FALSE())&amp;Char(10) &amp; Char(10) &amp; VLOOKUP(A211,Internal_lists_bugs!$A$2:$Z$73,26,FALSE())),"please select a BUG ID")</f>
        <v>https://bugs.launchpad.net/nova/+bug/1434855
/os-extended-volumes/v2.3/server-get-resp.json
/os-extended-volumes/v2.3/servers-detail-resp.json </v>
      </c>
      <c r="C211" s="78" t="str">
        <f>IFERROR(VLOOKUP(A211,Internal_lists_bugs!$A$2:$X1013,24,FALSE()),"please select a BUG ID")</f>
        <v>https://www.mail-archive.com/openstack-dev@lists.openstack.org/ </v>
      </c>
      <c r="E211" s="82"/>
      <c r="F211" s="80"/>
      <c r="G211" s="16" t="s">
        <v>934</v>
      </c>
      <c r="H211" s="79" t="s">
        <v>935</v>
      </c>
      <c r="I211" s="59" t="s">
        <v>936</v>
      </c>
      <c r="J211" s="81" t="str">
        <f>IFERROR(Hyperlink(VLOOKUP(A211,Internal_lists_bugs!$A$2:$G1013,7,FALSE()),"BIC: "&amp;VLOOKUP(A211,Internal_lists_bugs!$A$2:$G1013,7,FALSE())&amp;CHAR(10)&amp;"Intro.Issues: "&amp;VLOOKUP(A211,Internal_lists_bugs!$A$2:$P1013,16,FALSE())),"please select a BUG ID")</f>
        <v>BIC: https://opendev.org/openstack/nova/commit/abc656d
Intro.Issues: blueprint ec2-api</v>
      </c>
    </row>
    <row r="212">
      <c r="A212" s="26" t="s">
        <v>46</v>
      </c>
      <c r="B212" s="77" t="str">
        <f>IFERROR(HYPERLINK(VLOOKUP(A212,Internal_lists_bugs!$A$2:$C$73,3,FALSE()), VLOOKUP(A212,Internal_lists_bugs!$A$2:$C$73,3,FALSE())&amp;Char(10) &amp; Char(10) &amp; VLOOKUP(A212,Internal_lists_bugs!$A$2:$Z$73,26,FALSE())),"please select a BUG ID")</f>
        <v>https://bugs.launchpad.net/nova/+bug/1434855
/os-extended-volumes/v2.3/server-get-resp.json
/os-extended-volumes/v2.3/servers-detail-resp.json </v>
      </c>
      <c r="C212" s="78" t="str">
        <f>IFERROR(VLOOKUP(A212,Internal_lists_bugs!$A$2:$X1013,24,FALSE()),"please select a BUG ID")</f>
        <v>https://www.mail-archive.com/openstack-dev@lists.openstack.org/ </v>
      </c>
      <c r="E212" s="82"/>
      <c r="F212" s="80"/>
      <c r="G212" s="16" t="s">
        <v>937</v>
      </c>
      <c r="H212" s="79" t="s">
        <v>938</v>
      </c>
      <c r="I212" s="59" t="s">
        <v>939</v>
      </c>
      <c r="J212" s="81" t="str">
        <f>IFERROR(Hyperlink(VLOOKUP(A212,Internal_lists_bugs!$A$2:$G1013,7,FALSE()),"BIC: "&amp;VLOOKUP(A212,Internal_lists_bugs!$A$2:$G1013,7,FALSE())&amp;CHAR(10)&amp;"Intro.Issues: "&amp;VLOOKUP(A212,Internal_lists_bugs!$A$2:$P1013,16,FALSE())),"please select a BUG ID")</f>
        <v>BIC: https://opendev.org/openstack/nova/commit/abc656d
Intro.Issues: blueprint ec2-api</v>
      </c>
    </row>
    <row r="213">
      <c r="A213" s="26" t="s">
        <v>46</v>
      </c>
      <c r="B213" s="77" t="str">
        <f>IFERROR(HYPERLINK(VLOOKUP(A213,Internal_lists_bugs!$A$2:$C$73,3,FALSE()), VLOOKUP(A213,Internal_lists_bugs!$A$2:$C$73,3,FALSE())&amp;Char(10) &amp; Char(10) &amp; VLOOKUP(A213,Internal_lists_bugs!$A$2:$Z$73,26,FALSE())),"please select a BUG ID")</f>
        <v>https://bugs.launchpad.net/nova/+bug/1434855
/os-extended-volumes/v2.3/server-get-resp.json
/os-extended-volumes/v2.3/servers-detail-resp.json </v>
      </c>
      <c r="C213" s="78" t="str">
        <f>IFERROR(VLOOKUP(A213,Internal_lists_bugs!$A$2:$X1013,24,FALSE()),"please select a BUG ID")</f>
        <v>https://www.mail-archive.com/openstack-dev@lists.openstack.org/ </v>
      </c>
      <c r="E213" s="82"/>
      <c r="F213" s="80"/>
      <c r="G213" s="16" t="s">
        <v>937</v>
      </c>
      <c r="H213" s="79" t="s">
        <v>940</v>
      </c>
      <c r="I213" s="59" t="s">
        <v>941</v>
      </c>
      <c r="J213" s="81" t="str">
        <f>IFERROR(Hyperlink(VLOOKUP(A213,Internal_lists_bugs!$A$2:$G1013,7,FALSE()),"BIC: "&amp;VLOOKUP(A213,Internal_lists_bugs!$A$2:$G1013,7,FALSE())&amp;CHAR(10)&amp;"Intro.Issues: "&amp;VLOOKUP(A213,Internal_lists_bugs!$A$2:$P1013,16,FALSE())),"please select a BUG ID")</f>
        <v>BIC: https://opendev.org/openstack/nova/commit/abc656d
Intro.Issues: blueprint ec2-api</v>
      </c>
    </row>
    <row r="214">
      <c r="A214" s="26" t="s">
        <v>46</v>
      </c>
      <c r="B214" s="77" t="str">
        <f>IFERROR(HYPERLINK(VLOOKUP(A214,Internal_lists_bugs!$A$2:$C$73,3,FALSE()), VLOOKUP(A214,Internal_lists_bugs!$A$2:$C$73,3,FALSE())&amp;Char(10) &amp; Char(10) &amp; VLOOKUP(A214,Internal_lists_bugs!$A$2:$Z$73,26,FALSE())),"please select a BUG ID")</f>
        <v>https://bugs.launchpad.net/nova/+bug/1434855
/os-extended-volumes/v2.3/server-get-resp.json
/os-extended-volumes/v2.3/servers-detail-resp.json </v>
      </c>
      <c r="C214" s="78" t="str">
        <f>IFERROR(VLOOKUP(A214,Internal_lists_bugs!$A$2:$X1013,24,FALSE()),"please select a BUG ID")</f>
        <v>https://www.mail-archive.com/openstack-dev@lists.openstack.org/ </v>
      </c>
      <c r="E214" s="82"/>
      <c r="F214" s="80"/>
      <c r="G214" s="16" t="s">
        <v>942</v>
      </c>
      <c r="H214" s="79" t="s">
        <v>943</v>
      </c>
      <c r="I214" s="84" t="s">
        <v>944</v>
      </c>
      <c r="J214" s="81" t="str">
        <f>IFERROR(Hyperlink(VLOOKUP(A214,Internal_lists_bugs!$A$2:$G1013,7,FALSE()),"BIC: "&amp;VLOOKUP(A214,Internal_lists_bugs!$A$2:$G1013,7,FALSE())&amp;CHAR(10)&amp;"Intro.Issues: "&amp;VLOOKUP(A214,Internal_lists_bugs!$A$2:$P1013,16,FALSE())),"please select a BUG ID")</f>
        <v>BIC: https://opendev.org/openstack/nova/commit/abc656d
Intro.Issues: blueprint ec2-api</v>
      </c>
    </row>
    <row r="215">
      <c r="A215" s="26" t="s">
        <v>46</v>
      </c>
      <c r="B215" s="77" t="str">
        <f>IFERROR(HYPERLINK(VLOOKUP(A215,Internal_lists_bugs!$A$2:$C$73,3,FALSE()), VLOOKUP(A215,Internal_lists_bugs!$A$2:$C$73,3,FALSE())&amp;Char(10) &amp; Char(10) &amp; VLOOKUP(A215,Internal_lists_bugs!$A$2:$Z$73,26,FALSE())),"please select a BUG ID")</f>
        <v>https://bugs.launchpad.net/nova/+bug/1434855
/os-extended-volumes/v2.3/server-get-resp.json
/os-extended-volumes/v2.3/servers-detail-resp.json </v>
      </c>
      <c r="C215" s="78" t="str">
        <f>IFERROR(VLOOKUP(A215,Internal_lists_bugs!$A$2:$X1013,24,FALSE()),"please select a BUG ID")</f>
        <v>https://www.mail-archive.com/openstack-dev@lists.openstack.org/ </v>
      </c>
      <c r="E215" s="82"/>
      <c r="F215" s="80"/>
      <c r="G215" s="16" t="s">
        <v>945</v>
      </c>
      <c r="H215" s="79" t="s">
        <v>946</v>
      </c>
      <c r="I215" s="84" t="s">
        <v>947</v>
      </c>
      <c r="J215" s="81" t="str">
        <f>IFERROR(Hyperlink(VLOOKUP(A215,Internal_lists_bugs!$A$2:$G1013,7,FALSE()),"BIC: "&amp;VLOOKUP(A215,Internal_lists_bugs!$A$2:$G1013,7,FALSE())&amp;CHAR(10)&amp;"Intro.Issues: "&amp;VLOOKUP(A215,Internal_lists_bugs!$A$2:$P1013,16,FALSE())),"please select a BUG ID")</f>
        <v>BIC: https://opendev.org/openstack/nova/commit/abc656d
Intro.Issues: blueprint ec2-api</v>
      </c>
    </row>
    <row r="216">
      <c r="A216" s="26" t="s">
        <v>46</v>
      </c>
      <c r="B216" s="77" t="str">
        <f>IFERROR(HYPERLINK(VLOOKUP(A216,Internal_lists_bugs!$A$2:$C$73,3,FALSE()), VLOOKUP(A216,Internal_lists_bugs!$A$2:$C$73,3,FALSE())&amp;Char(10) &amp; Char(10) &amp; VLOOKUP(A216,Internal_lists_bugs!$A$2:$Z$73,26,FALSE())),"please select a BUG ID")</f>
        <v>https://bugs.launchpad.net/nova/+bug/1434855
/os-extended-volumes/v2.3/server-get-resp.json
/os-extended-volumes/v2.3/servers-detail-resp.json </v>
      </c>
      <c r="C216" s="78" t="str">
        <f>IFERROR(VLOOKUP(A216,Internal_lists_bugs!$A$2:$X1013,24,FALSE()),"please select a BUG ID")</f>
        <v>https://www.mail-archive.com/openstack-dev@lists.openstack.org/ </v>
      </c>
      <c r="E216" s="82"/>
      <c r="F216" s="80"/>
      <c r="G216" s="16" t="s">
        <v>948</v>
      </c>
      <c r="H216" s="79" t="s">
        <v>949</v>
      </c>
      <c r="I216" s="59" t="s">
        <v>950</v>
      </c>
      <c r="J216" s="81" t="str">
        <f>IFERROR(Hyperlink(VLOOKUP(A216,Internal_lists_bugs!$A$2:$G1013,7,FALSE()),"BIC: "&amp;VLOOKUP(A216,Internal_lists_bugs!$A$2:$G1013,7,FALSE())&amp;CHAR(10)&amp;"Intro.Issues: "&amp;VLOOKUP(A216,Internal_lists_bugs!$A$2:$P1013,16,FALSE())),"please select a BUG ID")</f>
        <v>BIC: https://opendev.org/openstack/nova/commit/abc656d
Intro.Issues: blueprint ec2-api</v>
      </c>
    </row>
    <row r="217">
      <c r="A217" s="26" t="s">
        <v>46</v>
      </c>
      <c r="B217" s="77" t="str">
        <f>IFERROR(HYPERLINK(VLOOKUP(A217,Internal_lists_bugs!$A$2:$C$73,3,FALSE()), VLOOKUP(A217,Internal_lists_bugs!$A$2:$C$73,3,FALSE())&amp;Char(10) &amp; Char(10) &amp; VLOOKUP(A217,Internal_lists_bugs!$A$2:$Z$73,26,FALSE())),"please select a BUG ID")</f>
        <v>https://bugs.launchpad.net/nova/+bug/1434855
/os-extended-volumes/v2.3/server-get-resp.json
/os-extended-volumes/v2.3/servers-detail-resp.json </v>
      </c>
      <c r="C217" s="78" t="str">
        <f>IFERROR(VLOOKUP(A217,Internal_lists_bugs!$A$2:$X1013,24,FALSE()),"please select a BUG ID")</f>
        <v>https://www.mail-archive.com/openstack-dev@lists.openstack.org/ </v>
      </c>
      <c r="E217" s="82"/>
      <c r="F217" s="80"/>
      <c r="G217" s="16" t="s">
        <v>948</v>
      </c>
      <c r="H217" s="79" t="s">
        <v>951</v>
      </c>
      <c r="I217" s="59" t="s">
        <v>952</v>
      </c>
      <c r="J217" s="81" t="str">
        <f>IFERROR(Hyperlink(VLOOKUP(A217,Internal_lists_bugs!$A$2:$G1013,7,FALSE()),"BIC: "&amp;VLOOKUP(A217,Internal_lists_bugs!$A$2:$G1013,7,FALSE())&amp;CHAR(10)&amp;"Intro.Issues: "&amp;VLOOKUP(A217,Internal_lists_bugs!$A$2:$P1013,16,FALSE())),"please select a BUG ID")</f>
        <v>BIC: https://opendev.org/openstack/nova/commit/abc656d
Intro.Issues: blueprint ec2-api</v>
      </c>
    </row>
    <row r="218">
      <c r="A218" s="26" t="s">
        <v>46</v>
      </c>
      <c r="B218" s="77" t="str">
        <f>IFERROR(HYPERLINK(VLOOKUP(A218,Internal_lists_bugs!$A$2:$C$73,3,FALSE()), VLOOKUP(A218,Internal_lists_bugs!$A$2:$C$73,3,FALSE())&amp;Char(10) &amp; Char(10) &amp; VLOOKUP(A218,Internal_lists_bugs!$A$2:$Z$73,26,FALSE())),"please select a BUG ID")</f>
        <v>https://bugs.launchpad.net/nova/+bug/1434855
/os-extended-volumes/v2.3/server-get-resp.json
/os-extended-volumes/v2.3/servers-detail-resp.json </v>
      </c>
      <c r="C218" s="78" t="str">
        <f>IFERROR(VLOOKUP(A218,Internal_lists_bugs!$A$2:$X1013,24,FALSE()),"please select a BUG ID")</f>
        <v>https://www.mail-archive.com/openstack-dev@lists.openstack.org/ </v>
      </c>
      <c r="E218" s="82"/>
      <c r="F218" s="80"/>
      <c r="G218" s="16" t="s">
        <v>948</v>
      </c>
      <c r="H218" s="79" t="s">
        <v>953</v>
      </c>
      <c r="I218" s="59" t="s">
        <v>954</v>
      </c>
      <c r="J218" s="81" t="str">
        <f>IFERROR(Hyperlink(VLOOKUP(A218,Internal_lists_bugs!$A$2:$G1013,7,FALSE()),"BIC: "&amp;VLOOKUP(A218,Internal_lists_bugs!$A$2:$G1013,7,FALSE())&amp;CHAR(10)&amp;"Intro.Issues: "&amp;VLOOKUP(A218,Internal_lists_bugs!$A$2:$P1013,16,FALSE())),"please select a BUG ID")</f>
        <v>BIC: https://opendev.org/openstack/nova/commit/abc656d
Intro.Issues: blueprint ec2-api</v>
      </c>
    </row>
    <row r="219">
      <c r="A219" s="26" t="s">
        <v>46</v>
      </c>
      <c r="B219" s="77" t="str">
        <f>IFERROR(HYPERLINK(VLOOKUP(A219,Internal_lists_bugs!$A$2:$C$73,3,FALSE()), VLOOKUP(A219,Internal_lists_bugs!$A$2:$C$73,3,FALSE())&amp;Char(10) &amp; Char(10) &amp; VLOOKUP(A219,Internal_lists_bugs!$A$2:$Z$73,26,FALSE())),"please select a BUG ID")</f>
        <v>https://bugs.launchpad.net/nova/+bug/1434855
/os-extended-volumes/v2.3/server-get-resp.json
/os-extended-volumes/v2.3/servers-detail-resp.json </v>
      </c>
      <c r="C219" s="78" t="str">
        <f>IFERROR(VLOOKUP(A219,Internal_lists_bugs!$A$2:$X1013,24,FALSE()),"please select a BUG ID")</f>
        <v>https://www.mail-archive.com/openstack-dev@lists.openstack.org/ </v>
      </c>
      <c r="E219" s="82"/>
      <c r="F219" s="80"/>
      <c r="G219" s="16" t="s">
        <v>955</v>
      </c>
      <c r="H219" s="79" t="s">
        <v>956</v>
      </c>
      <c r="I219" s="59" t="s">
        <v>957</v>
      </c>
      <c r="J219" s="81" t="str">
        <f>IFERROR(Hyperlink(VLOOKUP(A219,Internal_lists_bugs!$A$2:$G1013,7,FALSE()),"BIC: "&amp;VLOOKUP(A219,Internal_lists_bugs!$A$2:$G1013,7,FALSE())&amp;CHAR(10)&amp;"Intro.Issues: "&amp;VLOOKUP(A219,Internal_lists_bugs!$A$2:$P1013,16,FALSE())),"please select a BUG ID")</f>
        <v>BIC: https://opendev.org/openstack/nova/commit/abc656d
Intro.Issues: blueprint ec2-api</v>
      </c>
    </row>
    <row r="220">
      <c r="A220" s="26" t="s">
        <v>46</v>
      </c>
      <c r="B220" s="77" t="str">
        <f>IFERROR(HYPERLINK(VLOOKUP(A220,Internal_lists_bugs!$A$2:$C$73,3,FALSE()), VLOOKUP(A220,Internal_lists_bugs!$A$2:$C$73,3,FALSE())&amp;Char(10) &amp; Char(10) &amp; VLOOKUP(A220,Internal_lists_bugs!$A$2:$Z$73,26,FALSE())),"please select a BUG ID")</f>
        <v>https://bugs.launchpad.net/nova/+bug/1434855
/os-extended-volumes/v2.3/server-get-resp.json
/os-extended-volumes/v2.3/servers-detail-resp.json </v>
      </c>
      <c r="C220" s="78" t="str">
        <f>IFERROR(VLOOKUP(A220,Internal_lists_bugs!$A$2:$X1013,24,FALSE()),"please select a BUG ID")</f>
        <v>https://www.mail-archive.com/openstack-dev@lists.openstack.org/ </v>
      </c>
      <c r="E220" s="82"/>
      <c r="F220" s="80"/>
      <c r="G220" s="16" t="s">
        <v>958</v>
      </c>
      <c r="H220" s="79" t="s">
        <v>956</v>
      </c>
      <c r="I220" s="87" t="s">
        <v>959</v>
      </c>
      <c r="J220" s="81" t="str">
        <f>IFERROR(Hyperlink(VLOOKUP(A220,Internal_lists_bugs!$A$2:$G1013,7,FALSE()),"BIC: "&amp;VLOOKUP(A220,Internal_lists_bugs!$A$2:$G1013,7,FALSE())&amp;CHAR(10)&amp;"Intro.Issues: "&amp;VLOOKUP(A220,Internal_lists_bugs!$A$2:$P1013,16,FALSE())),"please select a BUG ID")</f>
        <v>BIC: https://opendev.org/openstack/nova/commit/abc656d
Intro.Issues: blueprint ec2-api</v>
      </c>
    </row>
    <row r="221">
      <c r="A221" s="26" t="s">
        <v>46</v>
      </c>
      <c r="B221" s="77" t="str">
        <f>IFERROR(HYPERLINK(VLOOKUP(A221,Internal_lists_bugs!$A$2:$C$73,3,FALSE()), VLOOKUP(A221,Internal_lists_bugs!$A$2:$C$73,3,FALSE())&amp;Char(10) &amp; Char(10) &amp; VLOOKUP(A221,Internal_lists_bugs!$A$2:$Z$73,26,FALSE())),"please select a BUG ID")</f>
        <v>https://bugs.launchpad.net/nova/+bug/1434855
/os-extended-volumes/v2.3/server-get-resp.json
/os-extended-volumes/v2.3/servers-detail-resp.json </v>
      </c>
      <c r="C221" s="78" t="str">
        <f>IFERROR(VLOOKUP(A221,Internal_lists_bugs!$A$2:$X1013,24,FALSE()),"please select a BUG ID")</f>
        <v>https://www.mail-archive.com/openstack-dev@lists.openstack.org/ </v>
      </c>
      <c r="E221" s="82"/>
      <c r="F221" s="80"/>
      <c r="G221" s="16" t="s">
        <v>960</v>
      </c>
      <c r="H221" s="79" t="s">
        <v>961</v>
      </c>
      <c r="I221" s="59" t="s">
        <v>962</v>
      </c>
      <c r="J221" s="81" t="str">
        <f>IFERROR(Hyperlink(VLOOKUP(A221,Internal_lists_bugs!$A$2:$G1013,7,FALSE()),"BIC: "&amp;VLOOKUP(A221,Internal_lists_bugs!$A$2:$G1013,7,FALSE())&amp;CHAR(10)&amp;"Intro.Issues: "&amp;VLOOKUP(A221,Internal_lists_bugs!$A$2:$P1013,16,FALSE())),"please select a BUG ID")</f>
        <v>BIC: https://opendev.org/openstack/nova/commit/abc656d
Intro.Issues: blueprint ec2-api</v>
      </c>
    </row>
    <row r="222">
      <c r="A222" s="26" t="s">
        <v>46</v>
      </c>
      <c r="B222" s="77" t="str">
        <f>IFERROR(HYPERLINK(VLOOKUP(A222,Internal_lists_bugs!$A$2:$C$73,3,FALSE()), VLOOKUP(A222,Internal_lists_bugs!$A$2:$C$73,3,FALSE())&amp;Char(10) &amp; Char(10) &amp; VLOOKUP(A222,Internal_lists_bugs!$A$2:$Z$73,26,FALSE())),"please select a BUG ID")</f>
        <v>https://bugs.launchpad.net/nova/+bug/1434855
/os-extended-volumes/v2.3/server-get-resp.json
/os-extended-volumes/v2.3/servers-detail-resp.json </v>
      </c>
      <c r="C222" s="78" t="str">
        <f>IFERROR(VLOOKUP(A222,Internal_lists_bugs!$A$2:$X1013,24,FALSE()),"please select a BUG ID")</f>
        <v>https://www.mail-archive.com/openstack-dev@lists.openstack.org/ </v>
      </c>
      <c r="E222" s="82"/>
      <c r="F222" s="80"/>
      <c r="G222" s="16" t="s">
        <v>960</v>
      </c>
      <c r="H222" s="79" t="s">
        <v>963</v>
      </c>
      <c r="I222" s="59" t="s">
        <v>964</v>
      </c>
      <c r="J222" s="81" t="str">
        <f>IFERROR(Hyperlink(VLOOKUP(A222,Internal_lists_bugs!$A$2:$G1013,7,FALSE()),"BIC: "&amp;VLOOKUP(A222,Internal_lists_bugs!$A$2:$G1013,7,FALSE())&amp;CHAR(10)&amp;"Intro.Issues: "&amp;VLOOKUP(A222,Internal_lists_bugs!$A$2:$P1013,16,FALSE())),"please select a BUG ID")</f>
        <v>BIC: https://opendev.org/openstack/nova/commit/abc656d
Intro.Issues: blueprint ec2-api</v>
      </c>
    </row>
    <row r="223">
      <c r="A223" s="26" t="s">
        <v>46</v>
      </c>
      <c r="B223" s="77" t="str">
        <f>IFERROR(HYPERLINK(VLOOKUP(A223,Internal_lists_bugs!$A$2:$C$73,3,FALSE()), VLOOKUP(A223,Internal_lists_bugs!$A$2:$C$73,3,FALSE())&amp;Char(10) &amp; Char(10) &amp; VLOOKUP(A223,Internal_lists_bugs!$A$2:$Z$73,26,FALSE())),"please select a BUG ID")</f>
        <v>https://bugs.launchpad.net/nova/+bug/1434855
/os-extended-volumes/v2.3/server-get-resp.json
/os-extended-volumes/v2.3/servers-detail-resp.json </v>
      </c>
      <c r="C223" s="78" t="str">
        <f>IFERROR(VLOOKUP(A223,Internal_lists_bugs!$A$2:$X1013,24,FALSE()),"please select a BUG ID")</f>
        <v>https://www.mail-archive.com/openstack-dev@lists.openstack.org/ </v>
      </c>
      <c r="E223" s="82"/>
      <c r="F223" s="80"/>
      <c r="G223" s="16" t="s">
        <v>960</v>
      </c>
      <c r="H223" s="79" t="s">
        <v>965</v>
      </c>
      <c r="I223" s="59" t="s">
        <v>966</v>
      </c>
      <c r="J223" s="81" t="str">
        <f>IFERROR(Hyperlink(VLOOKUP(A223,Internal_lists_bugs!$A$2:$G1013,7,FALSE()),"BIC: "&amp;VLOOKUP(A223,Internal_lists_bugs!$A$2:$G1013,7,FALSE())&amp;CHAR(10)&amp;"Intro.Issues: "&amp;VLOOKUP(A223,Internal_lists_bugs!$A$2:$P1013,16,FALSE())),"please select a BUG ID")</f>
        <v>BIC: https://opendev.org/openstack/nova/commit/abc656d
Intro.Issues: blueprint ec2-api</v>
      </c>
    </row>
    <row r="224">
      <c r="A224" s="26" t="s">
        <v>46</v>
      </c>
      <c r="B224" s="77" t="str">
        <f>IFERROR(HYPERLINK(VLOOKUP(A224,Internal_lists_bugs!$A$2:$C$73,3,FALSE()), VLOOKUP(A224,Internal_lists_bugs!$A$2:$C$73,3,FALSE())&amp;Char(10) &amp; Char(10) &amp; VLOOKUP(A224,Internal_lists_bugs!$A$2:$Z$73,26,FALSE())),"please select a BUG ID")</f>
        <v>https://bugs.launchpad.net/nova/+bug/1434855
/os-extended-volumes/v2.3/server-get-resp.json
/os-extended-volumes/v2.3/servers-detail-resp.json </v>
      </c>
      <c r="C224" s="78" t="str">
        <f>IFERROR(VLOOKUP(A224,Internal_lists_bugs!$A$2:$X1013,24,FALSE()),"please select a BUG ID")</f>
        <v>https://www.mail-archive.com/openstack-dev@lists.openstack.org/ </v>
      </c>
      <c r="E224" s="82"/>
      <c r="F224" s="80"/>
      <c r="G224" s="16" t="s">
        <v>967</v>
      </c>
      <c r="H224" s="79" t="s">
        <v>968</v>
      </c>
      <c r="I224" s="59" t="s">
        <v>969</v>
      </c>
      <c r="J224" s="81" t="str">
        <f>IFERROR(Hyperlink(VLOOKUP(A224,Internal_lists_bugs!$A$2:$G1013,7,FALSE()),"BIC: "&amp;VLOOKUP(A224,Internal_lists_bugs!$A$2:$G1013,7,FALSE())&amp;CHAR(10)&amp;"Intro.Issues: "&amp;VLOOKUP(A224,Internal_lists_bugs!$A$2:$P1013,16,FALSE())),"please select a BUG ID")</f>
        <v>BIC: https://opendev.org/openstack/nova/commit/abc656d
Intro.Issues: blueprint ec2-api</v>
      </c>
    </row>
    <row r="225">
      <c r="A225" s="26" t="s">
        <v>46</v>
      </c>
      <c r="B225" s="77" t="str">
        <f>IFERROR(HYPERLINK(VLOOKUP(A225,Internal_lists_bugs!$A$2:$C$73,3,FALSE()), VLOOKUP(A225,Internal_lists_bugs!$A$2:$C$73,3,FALSE())&amp;Char(10) &amp; Char(10) &amp; VLOOKUP(A225,Internal_lists_bugs!$A$2:$Z$73,26,FALSE())),"please select a BUG ID")</f>
        <v>https://bugs.launchpad.net/nova/+bug/1434855
/os-extended-volumes/v2.3/server-get-resp.json
/os-extended-volumes/v2.3/servers-detail-resp.json </v>
      </c>
      <c r="C225" s="78" t="str">
        <f>IFERROR(VLOOKUP(A225,Internal_lists_bugs!$A$2:$X1013,24,FALSE()),"please select a BUG ID")</f>
        <v>https://www.mail-archive.com/openstack-dev@lists.openstack.org/ </v>
      </c>
      <c r="E225" s="82"/>
      <c r="F225" s="80"/>
      <c r="G225" s="16" t="s">
        <v>970</v>
      </c>
      <c r="H225" s="79" t="s">
        <v>971</v>
      </c>
      <c r="I225" s="59" t="s">
        <v>972</v>
      </c>
      <c r="J225" s="81" t="str">
        <f>IFERROR(Hyperlink(VLOOKUP(A225,Internal_lists_bugs!$A$2:$G1013,7,FALSE()),"BIC: "&amp;VLOOKUP(A225,Internal_lists_bugs!$A$2:$G1013,7,FALSE())&amp;CHAR(10)&amp;"Intro.Issues: "&amp;VLOOKUP(A225,Internal_lists_bugs!$A$2:$P1013,16,FALSE())),"please select a BUG ID")</f>
        <v>BIC: https://opendev.org/openstack/nova/commit/abc656d
Intro.Issues: blueprint ec2-api</v>
      </c>
    </row>
    <row r="226">
      <c r="A226" s="26" t="s">
        <v>46</v>
      </c>
      <c r="B226" s="77" t="str">
        <f>IFERROR(HYPERLINK(VLOOKUP(A226,Internal_lists_bugs!$A$2:$C$73,3,FALSE()), VLOOKUP(A226,Internal_lists_bugs!$A$2:$C$73,3,FALSE())&amp;Char(10) &amp; Char(10) &amp; VLOOKUP(A226,Internal_lists_bugs!$A$2:$Z$73,26,FALSE())),"please select a BUG ID")</f>
        <v>https://bugs.launchpad.net/nova/+bug/1434855
/os-extended-volumes/v2.3/server-get-resp.json
/os-extended-volumes/v2.3/servers-detail-resp.json </v>
      </c>
      <c r="C226" s="78" t="str">
        <f>IFERROR(VLOOKUP(A226,Internal_lists_bugs!$A$2:$X1013,24,FALSE()),"please select a BUG ID")</f>
        <v>https://www.mail-archive.com/openstack-dev@lists.openstack.org/ </v>
      </c>
      <c r="E226" s="82"/>
      <c r="F226" s="80"/>
      <c r="G226" s="16" t="s">
        <v>970</v>
      </c>
      <c r="H226" s="79" t="s">
        <v>973</v>
      </c>
      <c r="I226" s="59" t="s">
        <v>974</v>
      </c>
      <c r="J226" s="81" t="str">
        <f>IFERROR(Hyperlink(VLOOKUP(A226,Internal_lists_bugs!$A$2:$G1013,7,FALSE()),"BIC: "&amp;VLOOKUP(A226,Internal_lists_bugs!$A$2:$G1013,7,FALSE())&amp;CHAR(10)&amp;"Intro.Issues: "&amp;VLOOKUP(A226,Internal_lists_bugs!$A$2:$P1013,16,FALSE())),"please select a BUG ID")</f>
        <v>BIC: https://opendev.org/openstack/nova/commit/abc656d
Intro.Issues: blueprint ec2-api</v>
      </c>
    </row>
    <row r="227">
      <c r="A227" s="26" t="s">
        <v>46</v>
      </c>
      <c r="B227" s="77" t="str">
        <f>IFERROR(HYPERLINK(VLOOKUP(A227,Internal_lists_bugs!$A$2:$C$73,3,FALSE()), VLOOKUP(A227,Internal_lists_bugs!$A$2:$C$73,3,FALSE())&amp;Char(10) &amp; Char(10) &amp; VLOOKUP(A227,Internal_lists_bugs!$A$2:$Z$73,26,FALSE())),"please select a BUG ID")</f>
        <v>https://bugs.launchpad.net/nova/+bug/1434855
/os-extended-volumes/v2.3/server-get-resp.json
/os-extended-volumes/v2.3/servers-detail-resp.json </v>
      </c>
      <c r="C227" s="78" t="str">
        <f>IFERROR(VLOOKUP(A227,Internal_lists_bugs!$A$2:$X1013,24,FALSE()),"please select a BUG ID")</f>
        <v>https://www.mail-archive.com/openstack-dev@lists.openstack.org/ </v>
      </c>
      <c r="E227" s="82"/>
      <c r="F227" s="80"/>
      <c r="G227" s="16" t="s">
        <v>970</v>
      </c>
      <c r="H227" s="79" t="s">
        <v>975</v>
      </c>
      <c r="I227" s="59" t="s">
        <v>976</v>
      </c>
      <c r="J227" s="81" t="str">
        <f>IFERROR(Hyperlink(VLOOKUP(A227,Internal_lists_bugs!$A$2:$G1013,7,FALSE()),"BIC: "&amp;VLOOKUP(A227,Internal_lists_bugs!$A$2:$G1013,7,FALSE())&amp;CHAR(10)&amp;"Intro.Issues: "&amp;VLOOKUP(A227,Internal_lists_bugs!$A$2:$P1013,16,FALSE())),"please select a BUG ID")</f>
        <v>BIC: https://opendev.org/openstack/nova/commit/abc656d
Intro.Issues: blueprint ec2-api</v>
      </c>
    </row>
    <row r="228">
      <c r="A228" s="26" t="s">
        <v>46</v>
      </c>
      <c r="B228" s="77" t="str">
        <f>IFERROR(HYPERLINK(VLOOKUP(A228,Internal_lists_bugs!$A$2:$C$73,3,FALSE()), VLOOKUP(A228,Internal_lists_bugs!$A$2:$C$73,3,FALSE())&amp;Char(10) &amp; Char(10) &amp; VLOOKUP(A228,Internal_lists_bugs!$A$2:$Z$73,26,FALSE())),"please select a BUG ID")</f>
        <v>https://bugs.launchpad.net/nova/+bug/1434855
/os-extended-volumes/v2.3/server-get-resp.json
/os-extended-volumes/v2.3/servers-detail-resp.json </v>
      </c>
      <c r="C228" s="78" t="str">
        <f>IFERROR(VLOOKUP(A228,Internal_lists_bugs!$A$2:$X1013,24,FALSE()),"please select a BUG ID")</f>
        <v>https://www.mail-archive.com/openstack-dev@lists.openstack.org/ </v>
      </c>
      <c r="E228" s="82"/>
      <c r="F228" s="80"/>
      <c r="G228" s="16" t="s">
        <v>970</v>
      </c>
      <c r="H228" s="79" t="s">
        <v>977</v>
      </c>
      <c r="I228" s="59" t="s">
        <v>978</v>
      </c>
      <c r="J228" s="81" t="str">
        <f>IFERROR(Hyperlink(VLOOKUP(A228,Internal_lists_bugs!$A$2:$G1013,7,FALSE()),"BIC: "&amp;VLOOKUP(A228,Internal_lists_bugs!$A$2:$G1013,7,FALSE())&amp;CHAR(10)&amp;"Intro.Issues: "&amp;VLOOKUP(A228,Internal_lists_bugs!$A$2:$P1013,16,FALSE())),"please select a BUG ID")</f>
        <v>BIC: https://opendev.org/openstack/nova/commit/abc656d
Intro.Issues: blueprint ec2-api</v>
      </c>
    </row>
    <row r="229">
      <c r="A229" s="26" t="s">
        <v>46</v>
      </c>
      <c r="B229" s="77" t="str">
        <f>IFERROR(HYPERLINK(VLOOKUP(A229,Internal_lists_bugs!$A$2:$C$73,3,FALSE()), VLOOKUP(A229,Internal_lists_bugs!$A$2:$C$73,3,FALSE())&amp;Char(10) &amp; Char(10) &amp; VLOOKUP(A229,Internal_lists_bugs!$A$2:$Z$73,26,FALSE())),"please select a BUG ID")</f>
        <v>https://bugs.launchpad.net/nova/+bug/1434855
/os-extended-volumes/v2.3/server-get-resp.json
/os-extended-volumes/v2.3/servers-detail-resp.json </v>
      </c>
      <c r="C229" s="78" t="str">
        <f>IFERROR(VLOOKUP(A229,Internal_lists_bugs!$A$2:$X1013,24,FALSE()),"please select a BUG ID")</f>
        <v>https://www.mail-archive.com/openstack-dev@lists.openstack.org/ </v>
      </c>
      <c r="E229" s="82"/>
      <c r="F229" s="80"/>
      <c r="G229" s="16" t="s">
        <v>979</v>
      </c>
      <c r="H229" s="79" t="s">
        <v>980</v>
      </c>
      <c r="I229" s="59" t="s">
        <v>981</v>
      </c>
      <c r="J229" s="81" t="str">
        <f>IFERROR(Hyperlink(VLOOKUP(A229,Internal_lists_bugs!$A$2:$G1013,7,FALSE()),"BIC: "&amp;VLOOKUP(A229,Internal_lists_bugs!$A$2:$G1013,7,FALSE())&amp;CHAR(10)&amp;"Intro.Issues: "&amp;VLOOKUP(A229,Internal_lists_bugs!$A$2:$P1013,16,FALSE())),"please select a BUG ID")</f>
        <v>BIC: https://opendev.org/openstack/nova/commit/abc656d
Intro.Issues: blueprint ec2-api</v>
      </c>
    </row>
    <row r="230">
      <c r="A230" s="26" t="s">
        <v>46</v>
      </c>
      <c r="B230" s="77" t="str">
        <f>IFERROR(HYPERLINK(VLOOKUP(A230,Internal_lists_bugs!$A$2:$C$73,3,FALSE()), VLOOKUP(A230,Internal_lists_bugs!$A$2:$C$73,3,FALSE())&amp;Char(10) &amp; Char(10) &amp; VLOOKUP(A230,Internal_lists_bugs!$A$2:$Z$73,26,FALSE())),"please select a BUG ID")</f>
        <v>https://bugs.launchpad.net/nova/+bug/1434855
/os-extended-volumes/v2.3/server-get-resp.json
/os-extended-volumes/v2.3/servers-detail-resp.json </v>
      </c>
      <c r="C230" s="78" t="str">
        <f>IFERROR(VLOOKUP(A230,Internal_lists_bugs!$A$2:$X1013,24,FALSE()),"please select a BUG ID")</f>
        <v>https://www.mail-archive.com/openstack-dev@lists.openstack.org/ </v>
      </c>
      <c r="E230" s="82"/>
      <c r="F230" s="80"/>
      <c r="G230" s="16" t="s">
        <v>979</v>
      </c>
      <c r="H230" s="79" t="s">
        <v>982</v>
      </c>
      <c r="I230" s="59" t="s">
        <v>983</v>
      </c>
      <c r="J230" s="81" t="str">
        <f>IFERROR(Hyperlink(VLOOKUP(A230,Internal_lists_bugs!$A$2:$G1013,7,FALSE()),"BIC: "&amp;VLOOKUP(A230,Internal_lists_bugs!$A$2:$G1013,7,FALSE())&amp;CHAR(10)&amp;"Intro.Issues: "&amp;VLOOKUP(A230,Internal_lists_bugs!$A$2:$P1013,16,FALSE())),"please select a BUG ID")</f>
        <v>BIC: https://opendev.org/openstack/nova/commit/abc656d
Intro.Issues: blueprint ec2-api</v>
      </c>
    </row>
    <row r="231">
      <c r="A231" s="26" t="s">
        <v>46</v>
      </c>
      <c r="B231" s="77" t="str">
        <f>IFERROR(HYPERLINK(VLOOKUP(A231,Internal_lists_bugs!$A$2:$C$73,3,FALSE()), VLOOKUP(A231,Internal_lists_bugs!$A$2:$C$73,3,FALSE())&amp;Char(10) &amp; Char(10) &amp; VLOOKUP(A231,Internal_lists_bugs!$A$2:$Z$73,26,FALSE())),"please select a BUG ID")</f>
        <v>https://bugs.launchpad.net/nova/+bug/1434855
/os-extended-volumes/v2.3/server-get-resp.json
/os-extended-volumes/v2.3/servers-detail-resp.json </v>
      </c>
      <c r="C231" s="78" t="str">
        <f>IFERROR(VLOOKUP(A231,Internal_lists_bugs!$A$2:$X1013,24,FALSE()),"please select a BUG ID")</f>
        <v>https://www.mail-archive.com/openstack-dev@lists.openstack.org/ </v>
      </c>
      <c r="E231" s="82"/>
      <c r="F231" s="80"/>
      <c r="G231" s="16" t="s">
        <v>984</v>
      </c>
      <c r="H231" s="79" t="s">
        <v>985</v>
      </c>
      <c r="I231" s="59" t="s">
        <v>986</v>
      </c>
      <c r="J231" s="81" t="str">
        <f>IFERROR(Hyperlink(VLOOKUP(A231,Internal_lists_bugs!$A$2:$G1013,7,FALSE()),"BIC: "&amp;VLOOKUP(A231,Internal_lists_bugs!$A$2:$G1013,7,FALSE())&amp;CHAR(10)&amp;"Intro.Issues: "&amp;VLOOKUP(A231,Internal_lists_bugs!$A$2:$P1013,16,FALSE())),"please select a BUG ID")</f>
        <v>BIC: https://opendev.org/openstack/nova/commit/abc656d
Intro.Issues: blueprint ec2-api</v>
      </c>
    </row>
    <row r="232">
      <c r="A232" s="26" t="s">
        <v>46</v>
      </c>
      <c r="B232" s="77" t="str">
        <f>IFERROR(HYPERLINK(VLOOKUP(A232,Internal_lists_bugs!$A$2:$C$73,3,FALSE()), VLOOKUP(A232,Internal_lists_bugs!$A$2:$C$73,3,FALSE())&amp;Char(10) &amp; Char(10) &amp; VLOOKUP(A232,Internal_lists_bugs!$A$2:$Z$73,26,FALSE())),"please select a BUG ID")</f>
        <v>https://bugs.launchpad.net/nova/+bug/1434855
/os-extended-volumes/v2.3/server-get-resp.json
/os-extended-volumes/v2.3/servers-detail-resp.json </v>
      </c>
      <c r="C232" s="78" t="str">
        <f>IFERROR(VLOOKUP(A232,Internal_lists_bugs!$A$2:$X1013,24,FALSE()),"please select a BUG ID")</f>
        <v>https://www.mail-archive.com/openstack-dev@lists.openstack.org/ </v>
      </c>
      <c r="E232" s="82"/>
      <c r="F232" s="80"/>
      <c r="G232" s="16" t="s">
        <v>987</v>
      </c>
      <c r="H232" s="79" t="s">
        <v>985</v>
      </c>
      <c r="I232" s="59" t="s">
        <v>986</v>
      </c>
      <c r="J232" s="81" t="str">
        <f>IFERROR(Hyperlink(VLOOKUP(A232,Internal_lists_bugs!$A$2:$G1013,7,FALSE()),"BIC: "&amp;VLOOKUP(A232,Internal_lists_bugs!$A$2:$G1013,7,FALSE())&amp;CHAR(10)&amp;"Intro.Issues: "&amp;VLOOKUP(A232,Internal_lists_bugs!$A$2:$P1013,16,FALSE())),"please select a BUG ID")</f>
        <v>BIC: https://opendev.org/openstack/nova/commit/abc656d
Intro.Issues: blueprint ec2-api</v>
      </c>
    </row>
    <row r="233">
      <c r="A233" s="26" t="s">
        <v>46</v>
      </c>
      <c r="B233" s="77" t="str">
        <f>IFERROR(HYPERLINK(VLOOKUP(A233,Internal_lists_bugs!$A$2:$C$73,3,FALSE()), VLOOKUP(A233,Internal_lists_bugs!$A$2:$C$73,3,FALSE())&amp;Char(10) &amp; Char(10) &amp; VLOOKUP(A233,Internal_lists_bugs!$A$2:$Z$73,26,FALSE())),"please select a BUG ID")</f>
        <v>https://bugs.launchpad.net/nova/+bug/1434855
/os-extended-volumes/v2.3/server-get-resp.json
/os-extended-volumes/v2.3/servers-detail-resp.json </v>
      </c>
      <c r="C233" s="78" t="str">
        <f>IFERROR(VLOOKUP(A233,Internal_lists_bugs!$A$2:$X1013,24,FALSE()),"please select a BUG ID")</f>
        <v>https://www.mail-archive.com/openstack-dev@lists.openstack.org/ </v>
      </c>
      <c r="E233" s="82"/>
      <c r="F233" s="80"/>
      <c r="G233" s="16" t="s">
        <v>988</v>
      </c>
      <c r="H233" s="79" t="s">
        <v>971</v>
      </c>
      <c r="I233" s="59" t="s">
        <v>989</v>
      </c>
      <c r="J233" s="81" t="str">
        <f>IFERROR(Hyperlink(VLOOKUP(A233,Internal_lists_bugs!$A$2:$G1013,7,FALSE()),"BIC: "&amp;VLOOKUP(A233,Internal_lists_bugs!$A$2:$G1013,7,FALSE())&amp;CHAR(10)&amp;"Intro.Issues: "&amp;VLOOKUP(A233,Internal_lists_bugs!$A$2:$P1013,16,FALSE())),"please select a BUG ID")</f>
        <v>BIC: https://opendev.org/openstack/nova/commit/abc656d
Intro.Issues: blueprint ec2-api</v>
      </c>
    </row>
    <row r="234">
      <c r="A234" s="26" t="s">
        <v>46</v>
      </c>
      <c r="B234" s="77" t="str">
        <f>IFERROR(HYPERLINK(VLOOKUP(A234,Internal_lists_bugs!$A$2:$C$73,3,FALSE()), VLOOKUP(A234,Internal_lists_bugs!$A$2:$C$73,3,FALSE())&amp;Char(10) &amp; Char(10) &amp; VLOOKUP(A234,Internal_lists_bugs!$A$2:$Z$73,26,FALSE())),"please select a BUG ID")</f>
        <v>https://bugs.launchpad.net/nova/+bug/1434855
/os-extended-volumes/v2.3/server-get-resp.json
/os-extended-volumes/v2.3/servers-detail-resp.json </v>
      </c>
      <c r="C234" s="78" t="str">
        <f>IFERROR(VLOOKUP(A234,Internal_lists_bugs!$A$2:$X1013,24,FALSE()),"please select a BUG ID")</f>
        <v>https://www.mail-archive.com/openstack-dev@lists.openstack.org/ </v>
      </c>
      <c r="E234" s="82"/>
      <c r="F234" s="80"/>
      <c r="G234" s="16" t="s">
        <v>990</v>
      </c>
      <c r="H234" s="79" t="s">
        <v>991</v>
      </c>
      <c r="I234" s="59" t="s">
        <v>992</v>
      </c>
      <c r="J234" s="81" t="str">
        <f>IFERROR(Hyperlink(VLOOKUP(A234,Internal_lists_bugs!$A$2:$G1013,7,FALSE()),"BIC: "&amp;VLOOKUP(A234,Internal_lists_bugs!$A$2:$G1013,7,FALSE())&amp;CHAR(10)&amp;"Intro.Issues: "&amp;VLOOKUP(A234,Internal_lists_bugs!$A$2:$P1013,16,FALSE())),"please select a BUG ID")</f>
        <v>BIC: https://opendev.org/openstack/nova/commit/abc656d
Intro.Issues: blueprint ec2-api</v>
      </c>
    </row>
    <row r="235">
      <c r="A235" s="26" t="s">
        <v>46</v>
      </c>
      <c r="B235" s="77" t="str">
        <f>IFERROR(HYPERLINK(VLOOKUP(A235,Internal_lists_bugs!$A$2:$C$73,3,FALSE()), VLOOKUP(A235,Internal_lists_bugs!$A$2:$C$73,3,FALSE())&amp;Char(10) &amp; Char(10) &amp; VLOOKUP(A235,Internal_lists_bugs!$A$2:$Z$73,26,FALSE())),"please select a BUG ID")</f>
        <v>https://bugs.launchpad.net/nova/+bug/1434855
/os-extended-volumes/v2.3/server-get-resp.json
/os-extended-volumes/v2.3/servers-detail-resp.json </v>
      </c>
      <c r="C235" s="78" t="str">
        <f>IFERROR(VLOOKUP(A235,Internal_lists_bugs!$A$2:$X1013,24,FALSE()),"please select a BUG ID")</f>
        <v>https://www.mail-archive.com/openstack-dev@lists.openstack.org/ </v>
      </c>
      <c r="E235" s="82"/>
      <c r="F235" s="80"/>
      <c r="G235" s="16" t="s">
        <v>990</v>
      </c>
      <c r="H235" s="79" t="s">
        <v>993</v>
      </c>
      <c r="I235" s="59" t="s">
        <v>994</v>
      </c>
      <c r="J235" s="81" t="str">
        <f>IFERROR(Hyperlink(VLOOKUP(A235,Internal_lists_bugs!$A$2:$G1013,7,FALSE()),"BIC: "&amp;VLOOKUP(A235,Internal_lists_bugs!$A$2:$G1013,7,FALSE())&amp;CHAR(10)&amp;"Intro.Issues: "&amp;VLOOKUP(A235,Internal_lists_bugs!$A$2:$P1013,16,FALSE())),"please select a BUG ID")</f>
        <v>BIC: https://opendev.org/openstack/nova/commit/abc656d
Intro.Issues: blueprint ec2-api</v>
      </c>
    </row>
    <row r="236">
      <c r="A236" s="26" t="s">
        <v>46</v>
      </c>
      <c r="B236" s="77" t="str">
        <f>IFERROR(HYPERLINK(VLOOKUP(A236,Internal_lists_bugs!$A$2:$C$73,3,FALSE()), VLOOKUP(A236,Internal_lists_bugs!$A$2:$C$73,3,FALSE())&amp;Char(10) &amp; Char(10) &amp; VLOOKUP(A236,Internal_lists_bugs!$A$2:$Z$73,26,FALSE())),"please select a BUG ID")</f>
        <v>https://bugs.launchpad.net/nova/+bug/1434855
/os-extended-volumes/v2.3/server-get-resp.json
/os-extended-volumes/v2.3/servers-detail-resp.json </v>
      </c>
      <c r="C236" s="78" t="str">
        <f>IFERROR(VLOOKUP(A236,Internal_lists_bugs!$A$2:$X1013,24,FALSE()),"please select a BUG ID")</f>
        <v>https://www.mail-archive.com/openstack-dev@lists.openstack.org/ </v>
      </c>
      <c r="E236" s="82"/>
      <c r="F236" s="80"/>
      <c r="G236" s="16" t="s">
        <v>995</v>
      </c>
      <c r="H236" s="79" t="s">
        <v>971</v>
      </c>
      <c r="I236" s="59" t="s">
        <v>996</v>
      </c>
      <c r="J236" s="81" t="str">
        <f>IFERROR(Hyperlink(VLOOKUP(A236,Internal_lists_bugs!$A$2:$G1013,7,FALSE()),"BIC: "&amp;VLOOKUP(A236,Internal_lists_bugs!$A$2:$G1013,7,FALSE())&amp;CHAR(10)&amp;"Intro.Issues: "&amp;VLOOKUP(A236,Internal_lists_bugs!$A$2:$P1013,16,FALSE())),"please select a BUG ID")</f>
        <v>BIC: https://opendev.org/openstack/nova/commit/abc656d
Intro.Issues: blueprint ec2-api</v>
      </c>
    </row>
    <row r="237">
      <c r="A237" s="26" t="s">
        <v>46</v>
      </c>
      <c r="B237" s="77" t="str">
        <f>IFERROR(HYPERLINK(VLOOKUP(A237,Internal_lists_bugs!$A$2:$C$73,3,FALSE()), VLOOKUP(A237,Internal_lists_bugs!$A$2:$C$73,3,FALSE())&amp;Char(10) &amp; Char(10) &amp; VLOOKUP(A237,Internal_lists_bugs!$A$2:$Z$73,26,FALSE())),"please select a BUG ID")</f>
        <v>https://bugs.launchpad.net/nova/+bug/1434855
/os-extended-volumes/v2.3/server-get-resp.json
/os-extended-volumes/v2.3/servers-detail-resp.json </v>
      </c>
      <c r="C237" s="78" t="str">
        <f>IFERROR(VLOOKUP(A237,Internal_lists_bugs!$A$2:$X1013,24,FALSE()),"please select a BUG ID")</f>
        <v>https://www.mail-archive.com/openstack-dev@lists.openstack.org/ </v>
      </c>
      <c r="E237" s="82"/>
      <c r="F237" s="80"/>
      <c r="G237" s="16" t="s">
        <v>995</v>
      </c>
      <c r="H237" s="79" t="s">
        <v>997</v>
      </c>
      <c r="I237" s="59" t="s">
        <v>998</v>
      </c>
      <c r="J237" s="81" t="str">
        <f>IFERROR(Hyperlink(VLOOKUP(A237,Internal_lists_bugs!$A$2:$G1013,7,FALSE()),"BIC: "&amp;VLOOKUP(A237,Internal_lists_bugs!$A$2:$G1013,7,FALSE())&amp;CHAR(10)&amp;"Intro.Issues: "&amp;VLOOKUP(A237,Internal_lists_bugs!$A$2:$P1013,16,FALSE())),"please select a BUG ID")</f>
        <v>BIC: https://opendev.org/openstack/nova/commit/abc656d
Intro.Issues: blueprint ec2-api</v>
      </c>
    </row>
    <row r="238">
      <c r="A238" s="26" t="s">
        <v>46</v>
      </c>
      <c r="B238" s="77" t="str">
        <f>IFERROR(HYPERLINK(VLOOKUP(A238,Internal_lists_bugs!$A$2:$C$73,3,FALSE()), VLOOKUP(A238,Internal_lists_bugs!$A$2:$C$73,3,FALSE())&amp;Char(10) &amp; Char(10) &amp; VLOOKUP(A238,Internal_lists_bugs!$A$2:$Z$73,26,FALSE())),"please select a BUG ID")</f>
        <v>https://bugs.launchpad.net/nova/+bug/1434855
/os-extended-volumes/v2.3/server-get-resp.json
/os-extended-volumes/v2.3/servers-detail-resp.json </v>
      </c>
      <c r="C238" s="78" t="str">
        <f>IFERROR(VLOOKUP(A238,Internal_lists_bugs!$A$2:$X1013,24,FALSE()),"please select a BUG ID")</f>
        <v>https://www.mail-archive.com/openstack-dev@lists.openstack.org/ </v>
      </c>
      <c r="E238" s="82"/>
      <c r="F238" s="80"/>
      <c r="G238" s="16" t="s">
        <v>999</v>
      </c>
      <c r="H238" s="79" t="s">
        <v>1000</v>
      </c>
      <c r="I238" s="59" t="s">
        <v>1001</v>
      </c>
      <c r="J238" s="81" t="str">
        <f>IFERROR(Hyperlink(VLOOKUP(A238,Internal_lists_bugs!$A$2:$G1013,7,FALSE()),"BIC: "&amp;VLOOKUP(A238,Internal_lists_bugs!$A$2:$G1013,7,FALSE())&amp;CHAR(10)&amp;"Intro.Issues: "&amp;VLOOKUP(A238,Internal_lists_bugs!$A$2:$P1013,16,FALSE())),"please select a BUG ID")</f>
        <v>BIC: https://opendev.org/openstack/nova/commit/abc656d
Intro.Issues: blueprint ec2-api</v>
      </c>
    </row>
    <row r="239">
      <c r="A239" s="26" t="s">
        <v>46</v>
      </c>
      <c r="B239" s="77" t="str">
        <f>IFERROR(HYPERLINK(VLOOKUP(A239,Internal_lists_bugs!$A$2:$C$73,3,FALSE()), VLOOKUP(A239,Internal_lists_bugs!$A$2:$C$73,3,FALSE())&amp;Char(10) &amp; Char(10) &amp; VLOOKUP(A239,Internal_lists_bugs!$A$2:$Z$73,26,FALSE())),"please select a BUG ID")</f>
        <v>https://bugs.launchpad.net/nova/+bug/1434855
/os-extended-volumes/v2.3/server-get-resp.json
/os-extended-volumes/v2.3/servers-detail-resp.json </v>
      </c>
      <c r="C239" s="78" t="str">
        <f>IFERROR(VLOOKUP(A239,Internal_lists_bugs!$A$2:$X1013,24,FALSE()),"please select a BUG ID")</f>
        <v>https://www.mail-archive.com/openstack-dev@lists.openstack.org/ </v>
      </c>
      <c r="E239" s="82"/>
      <c r="F239" s="80"/>
      <c r="G239" s="16" t="s">
        <v>1002</v>
      </c>
      <c r="H239" s="79" t="s">
        <v>1003</v>
      </c>
      <c r="I239" s="80"/>
      <c r="J239" s="81" t="str">
        <f>IFERROR(Hyperlink(VLOOKUP(A239,Internal_lists_bugs!$A$2:$G1013,7,FALSE()),"BIC: "&amp;VLOOKUP(A239,Internal_lists_bugs!$A$2:$G1013,7,FALSE())&amp;CHAR(10)&amp;"Intro.Issues: "&amp;VLOOKUP(A239,Internal_lists_bugs!$A$2:$P1013,16,FALSE())),"please select a BUG ID")</f>
        <v>BIC: https://opendev.org/openstack/nova/commit/abc656d
Intro.Issues: blueprint ec2-api</v>
      </c>
    </row>
    <row r="240">
      <c r="A240" s="26" t="s">
        <v>46</v>
      </c>
      <c r="B240" s="77" t="str">
        <f>IFERROR(HYPERLINK(VLOOKUP(A240,Internal_lists_bugs!$A$2:$C$73,3,FALSE()), VLOOKUP(A240,Internal_lists_bugs!$A$2:$C$73,3,FALSE())&amp;Char(10) &amp; Char(10) &amp; VLOOKUP(A240,Internal_lists_bugs!$A$2:$Z$73,26,FALSE())),"please select a BUG ID")</f>
        <v>https://bugs.launchpad.net/nova/+bug/1434855
/os-extended-volumes/v2.3/server-get-resp.json
/os-extended-volumes/v2.3/servers-detail-resp.json </v>
      </c>
      <c r="C240" s="78" t="str">
        <f>IFERROR(VLOOKUP(A240,Internal_lists_bugs!$A$2:$X1013,24,FALSE()),"please select a BUG ID")</f>
        <v>https://www.mail-archive.com/openstack-dev@lists.openstack.org/ </v>
      </c>
      <c r="E240" s="82"/>
      <c r="F240" s="80"/>
      <c r="G240" s="16" t="s">
        <v>1004</v>
      </c>
      <c r="H240" s="79" t="s">
        <v>1005</v>
      </c>
      <c r="I240" s="59" t="s">
        <v>1006</v>
      </c>
      <c r="J240" s="81" t="str">
        <f>IFERROR(Hyperlink(VLOOKUP(A240,Internal_lists_bugs!$A$2:$G1013,7,FALSE()),"BIC: "&amp;VLOOKUP(A240,Internal_lists_bugs!$A$2:$G1013,7,FALSE())&amp;CHAR(10)&amp;"Intro.Issues: "&amp;VLOOKUP(A240,Internal_lists_bugs!$A$2:$P1013,16,FALSE())),"please select a BUG ID")</f>
        <v>BIC: https://opendev.org/openstack/nova/commit/abc656d
Intro.Issues: blueprint ec2-api</v>
      </c>
    </row>
    <row r="241">
      <c r="A241" s="26" t="s">
        <v>46</v>
      </c>
      <c r="B241" s="77" t="str">
        <f>IFERROR(HYPERLINK(VLOOKUP(A241,Internal_lists_bugs!$A$2:$C$73,3,FALSE()), VLOOKUP(A241,Internal_lists_bugs!$A$2:$C$73,3,FALSE())&amp;Char(10) &amp; Char(10) &amp; VLOOKUP(A241,Internal_lists_bugs!$A$2:$Z$73,26,FALSE())),"please select a BUG ID")</f>
        <v>https://bugs.launchpad.net/nova/+bug/1434855
/os-extended-volumes/v2.3/server-get-resp.json
/os-extended-volumes/v2.3/servers-detail-resp.json </v>
      </c>
      <c r="C241" s="78" t="str">
        <f>IFERROR(VLOOKUP(A241,Internal_lists_bugs!$A$2:$X1013,24,FALSE()),"please select a BUG ID")</f>
        <v>https://www.mail-archive.com/openstack-dev@lists.openstack.org/ </v>
      </c>
      <c r="E241" s="82"/>
      <c r="F241" s="80"/>
      <c r="G241" s="16" t="s">
        <v>1007</v>
      </c>
      <c r="H241" s="79" t="s">
        <v>1008</v>
      </c>
      <c r="I241" s="59" t="s">
        <v>1009</v>
      </c>
      <c r="J241" s="81" t="str">
        <f>IFERROR(Hyperlink(VLOOKUP(A241,Internal_lists_bugs!$A$2:$G1013,7,FALSE()),"BIC: "&amp;VLOOKUP(A241,Internal_lists_bugs!$A$2:$G1013,7,FALSE())&amp;CHAR(10)&amp;"Intro.Issues: "&amp;VLOOKUP(A241,Internal_lists_bugs!$A$2:$P1013,16,FALSE())),"please select a BUG ID")</f>
        <v>BIC: https://opendev.org/openstack/nova/commit/abc656d
Intro.Issues: blueprint ec2-api</v>
      </c>
    </row>
    <row r="242">
      <c r="A242" s="26" t="s">
        <v>46</v>
      </c>
      <c r="B242" s="77" t="str">
        <f>IFERROR(HYPERLINK(VLOOKUP(A242,Internal_lists_bugs!$A$2:$C$73,3,FALSE()), VLOOKUP(A242,Internal_lists_bugs!$A$2:$C$73,3,FALSE())&amp;Char(10) &amp; Char(10) &amp; VLOOKUP(A242,Internal_lists_bugs!$A$2:$Z$73,26,FALSE())),"please select a BUG ID")</f>
        <v>https://bugs.launchpad.net/nova/+bug/1434855
/os-extended-volumes/v2.3/server-get-resp.json
/os-extended-volumes/v2.3/servers-detail-resp.json </v>
      </c>
      <c r="C242" s="78" t="str">
        <f>IFERROR(VLOOKUP(A242,Internal_lists_bugs!$A$2:$X1013,24,FALSE()),"please select a BUG ID")</f>
        <v>https://www.mail-archive.com/openstack-dev@lists.openstack.org/ </v>
      </c>
      <c r="E242" s="82"/>
      <c r="F242" s="80"/>
      <c r="G242" s="16" t="s">
        <v>1007</v>
      </c>
      <c r="H242" s="79" t="s">
        <v>1010</v>
      </c>
      <c r="I242" s="59" t="s">
        <v>1011</v>
      </c>
      <c r="J242" s="81" t="str">
        <f>IFERROR(Hyperlink(VLOOKUP(A242,Internal_lists_bugs!$A$2:$G1013,7,FALSE()),"BIC: "&amp;VLOOKUP(A242,Internal_lists_bugs!$A$2:$G1013,7,FALSE())&amp;CHAR(10)&amp;"Intro.Issues: "&amp;VLOOKUP(A242,Internal_lists_bugs!$A$2:$P1013,16,FALSE())),"please select a BUG ID")</f>
        <v>BIC: https://opendev.org/openstack/nova/commit/abc656d
Intro.Issues: blueprint ec2-api</v>
      </c>
    </row>
    <row r="243">
      <c r="A243" s="26" t="s">
        <v>46</v>
      </c>
      <c r="B243" s="77" t="str">
        <f>IFERROR(HYPERLINK(VLOOKUP(A243,Internal_lists_bugs!$A$2:$C$73,3,FALSE()), VLOOKUP(A243,Internal_lists_bugs!$A$2:$C$73,3,FALSE())&amp;Char(10) &amp; Char(10) &amp; VLOOKUP(A243,Internal_lists_bugs!$A$2:$Z$73,26,FALSE())),"please select a BUG ID")</f>
        <v>https://bugs.launchpad.net/nova/+bug/1434855
/os-extended-volumes/v2.3/server-get-resp.json
/os-extended-volumes/v2.3/servers-detail-resp.json </v>
      </c>
      <c r="C243" s="78" t="str">
        <f>IFERROR(VLOOKUP(A243,Internal_lists_bugs!$A$2:$X1013,24,FALSE()),"please select a BUG ID")</f>
        <v>https://www.mail-archive.com/openstack-dev@lists.openstack.org/ </v>
      </c>
      <c r="E243" s="82"/>
      <c r="F243" s="80"/>
      <c r="G243" s="16" t="s">
        <v>1007</v>
      </c>
      <c r="H243" s="79" t="s">
        <v>968</v>
      </c>
      <c r="I243" s="59" t="s">
        <v>1012</v>
      </c>
      <c r="J243" s="81" t="str">
        <f>IFERROR(Hyperlink(VLOOKUP(A243,Internal_lists_bugs!$A$2:$G1013,7,FALSE()),"BIC: "&amp;VLOOKUP(A243,Internal_lists_bugs!$A$2:$G1013,7,FALSE())&amp;CHAR(10)&amp;"Intro.Issues: "&amp;VLOOKUP(A243,Internal_lists_bugs!$A$2:$P1013,16,FALSE())),"please select a BUG ID")</f>
        <v>BIC: https://opendev.org/openstack/nova/commit/abc656d
Intro.Issues: blueprint ec2-api</v>
      </c>
    </row>
    <row r="244">
      <c r="A244" s="26" t="s">
        <v>46</v>
      </c>
      <c r="B244" s="77" t="str">
        <f>IFERROR(HYPERLINK(VLOOKUP(A244,Internal_lists_bugs!$A$2:$C$73,3,FALSE()), VLOOKUP(A244,Internal_lists_bugs!$A$2:$C$73,3,FALSE())&amp;Char(10) &amp; Char(10) &amp; VLOOKUP(A244,Internal_lists_bugs!$A$2:$Z$73,26,FALSE())),"please select a BUG ID")</f>
        <v>https://bugs.launchpad.net/nova/+bug/1434855
/os-extended-volumes/v2.3/server-get-resp.json
/os-extended-volumes/v2.3/servers-detail-resp.json </v>
      </c>
      <c r="C244" s="78" t="str">
        <f>IFERROR(VLOOKUP(A244,Internal_lists_bugs!$A$2:$X1013,24,FALSE()),"please select a BUG ID")</f>
        <v>https://www.mail-archive.com/openstack-dev@lists.openstack.org/ </v>
      </c>
      <c r="E244" s="82"/>
      <c r="F244" s="80"/>
      <c r="G244" s="16" t="s">
        <v>1013</v>
      </c>
      <c r="H244" s="79" t="s">
        <v>1014</v>
      </c>
      <c r="I244" s="59" t="s">
        <v>1015</v>
      </c>
      <c r="J244" s="81" t="str">
        <f>IFERROR(Hyperlink(VLOOKUP(A244,Internal_lists_bugs!$A$2:$G1013,7,FALSE()),"BIC: "&amp;VLOOKUP(A244,Internal_lists_bugs!$A$2:$G1013,7,FALSE())&amp;CHAR(10)&amp;"Intro.Issues: "&amp;VLOOKUP(A244,Internal_lists_bugs!$A$2:$P1013,16,FALSE())),"please select a BUG ID")</f>
        <v>BIC: https://opendev.org/openstack/nova/commit/abc656d
Intro.Issues: blueprint ec2-api</v>
      </c>
    </row>
    <row r="245">
      <c r="A245" s="26" t="s">
        <v>46</v>
      </c>
      <c r="B245" s="77" t="str">
        <f>IFERROR(HYPERLINK(VLOOKUP(A245,Internal_lists_bugs!$A$2:$C$73,3,FALSE()), VLOOKUP(A245,Internal_lists_bugs!$A$2:$C$73,3,FALSE())&amp;Char(10) &amp; Char(10) &amp; VLOOKUP(A245,Internal_lists_bugs!$A$2:$Z$73,26,FALSE())),"please select a BUG ID")</f>
        <v>https://bugs.launchpad.net/nova/+bug/1434855
/os-extended-volumes/v2.3/server-get-resp.json
/os-extended-volumes/v2.3/servers-detail-resp.json </v>
      </c>
      <c r="C245" s="78" t="str">
        <f>IFERROR(VLOOKUP(A245,Internal_lists_bugs!$A$2:$X1013,24,FALSE()),"please select a BUG ID")</f>
        <v>https://www.mail-archive.com/openstack-dev@lists.openstack.org/ </v>
      </c>
      <c r="E245" s="82"/>
      <c r="F245" s="80"/>
      <c r="G245" s="16" t="s">
        <v>1016</v>
      </c>
      <c r="H245" s="79" t="s">
        <v>1017</v>
      </c>
      <c r="I245" s="59" t="s">
        <v>1018</v>
      </c>
      <c r="J245" s="81" t="str">
        <f>IFERROR(Hyperlink(VLOOKUP(A245,Internal_lists_bugs!$A$2:$G1013,7,FALSE()),"BIC: "&amp;VLOOKUP(A245,Internal_lists_bugs!$A$2:$G1013,7,FALSE())&amp;CHAR(10)&amp;"Intro.Issues: "&amp;VLOOKUP(A245,Internal_lists_bugs!$A$2:$P1013,16,FALSE())),"please select a BUG ID")</f>
        <v>BIC: https://opendev.org/openstack/nova/commit/abc656d
Intro.Issues: blueprint ec2-api</v>
      </c>
    </row>
    <row r="246">
      <c r="A246" s="26" t="s">
        <v>46</v>
      </c>
      <c r="B246" s="77" t="str">
        <f>IFERROR(HYPERLINK(VLOOKUP(A246,Internal_lists_bugs!$A$2:$C$73,3,FALSE()), VLOOKUP(A246,Internal_lists_bugs!$A$2:$C$73,3,FALSE())&amp;Char(10) &amp; Char(10) &amp; VLOOKUP(A246,Internal_lists_bugs!$A$2:$Z$73,26,FALSE())),"please select a BUG ID")</f>
        <v>https://bugs.launchpad.net/nova/+bug/1434855
/os-extended-volumes/v2.3/server-get-resp.json
/os-extended-volumes/v2.3/servers-detail-resp.json </v>
      </c>
      <c r="C246" s="78" t="str">
        <f>IFERROR(VLOOKUP(A246,Internal_lists_bugs!$A$2:$X1013,24,FALSE()),"please select a BUG ID")</f>
        <v>https://www.mail-archive.com/openstack-dev@lists.openstack.org/ </v>
      </c>
      <c r="E246" s="82"/>
      <c r="F246" s="80"/>
      <c r="G246" s="16" t="s">
        <v>1016</v>
      </c>
      <c r="H246" s="79" t="s">
        <v>1019</v>
      </c>
      <c r="I246" s="59" t="s">
        <v>1018</v>
      </c>
      <c r="J246" s="81" t="str">
        <f>IFERROR(Hyperlink(VLOOKUP(A246,Internal_lists_bugs!$A$2:$G1013,7,FALSE()),"BIC: "&amp;VLOOKUP(A246,Internal_lists_bugs!$A$2:$G1013,7,FALSE())&amp;CHAR(10)&amp;"Intro.Issues: "&amp;VLOOKUP(A246,Internal_lists_bugs!$A$2:$P1013,16,FALSE())),"please select a BUG ID")</f>
        <v>BIC: https://opendev.org/openstack/nova/commit/abc656d
Intro.Issues: blueprint ec2-api</v>
      </c>
    </row>
    <row r="247">
      <c r="A247" s="26" t="s">
        <v>46</v>
      </c>
      <c r="B247" s="77" t="str">
        <f>IFERROR(HYPERLINK(VLOOKUP(A247,Internal_lists_bugs!$A$2:$C$73,3,FALSE()), VLOOKUP(A247,Internal_lists_bugs!$A$2:$C$73,3,FALSE())&amp;Char(10) &amp; Char(10) &amp; VLOOKUP(A247,Internal_lists_bugs!$A$2:$Z$73,26,FALSE())),"please select a BUG ID")</f>
        <v>https://bugs.launchpad.net/nova/+bug/1434855
/os-extended-volumes/v2.3/server-get-resp.json
/os-extended-volumes/v2.3/servers-detail-resp.json </v>
      </c>
      <c r="C247" s="78" t="str">
        <f>IFERROR(VLOOKUP(A247,Internal_lists_bugs!$A$2:$X1013,24,FALSE()),"please select a BUG ID")</f>
        <v>https://www.mail-archive.com/openstack-dev@lists.openstack.org/ </v>
      </c>
      <c r="E247" s="82"/>
      <c r="F247" s="80"/>
      <c r="G247" s="16" t="s">
        <v>1020</v>
      </c>
      <c r="H247" s="79" t="s">
        <v>1021</v>
      </c>
      <c r="I247" s="59" t="s">
        <v>1022</v>
      </c>
      <c r="J247" s="81" t="str">
        <f>IFERROR(Hyperlink(VLOOKUP(A247,Internal_lists_bugs!$A$2:$G1013,7,FALSE()),"BIC: "&amp;VLOOKUP(A247,Internal_lists_bugs!$A$2:$G1013,7,FALSE())&amp;CHAR(10)&amp;"Intro.Issues: "&amp;VLOOKUP(A247,Internal_lists_bugs!$A$2:$P1013,16,FALSE())),"please select a BUG ID")</f>
        <v>BIC: https://opendev.org/openstack/nova/commit/abc656d
Intro.Issues: blueprint ec2-api</v>
      </c>
    </row>
    <row r="248">
      <c r="A248" s="26" t="s">
        <v>46</v>
      </c>
      <c r="B248" s="77" t="str">
        <f>IFERROR(HYPERLINK(VLOOKUP(A248,Internal_lists_bugs!$A$2:$C$73,3,FALSE()), VLOOKUP(A248,Internal_lists_bugs!$A$2:$C$73,3,FALSE())&amp;Char(10) &amp; Char(10) &amp; VLOOKUP(A248,Internal_lists_bugs!$A$2:$Z$73,26,FALSE())),"please select a BUG ID")</f>
        <v>https://bugs.launchpad.net/nova/+bug/1434855
/os-extended-volumes/v2.3/server-get-resp.json
/os-extended-volumes/v2.3/servers-detail-resp.json </v>
      </c>
      <c r="C248" s="78" t="str">
        <f>IFERROR(VLOOKUP(A248,Internal_lists_bugs!$A$2:$X1013,24,FALSE()),"please select a BUG ID")</f>
        <v>https://www.mail-archive.com/openstack-dev@lists.openstack.org/ </v>
      </c>
      <c r="E248" s="82"/>
      <c r="F248" s="80"/>
      <c r="G248" s="16" t="s">
        <v>1023</v>
      </c>
      <c r="H248" s="79" t="s">
        <v>1017</v>
      </c>
      <c r="I248" s="59" t="s">
        <v>1024</v>
      </c>
      <c r="J248" s="81" t="str">
        <f>IFERROR(Hyperlink(VLOOKUP(A248,Internal_lists_bugs!$A$2:$G1013,7,FALSE()),"BIC: "&amp;VLOOKUP(A248,Internal_lists_bugs!$A$2:$G1013,7,FALSE())&amp;CHAR(10)&amp;"Intro.Issues: "&amp;VLOOKUP(A248,Internal_lists_bugs!$A$2:$P1013,16,FALSE())),"please select a BUG ID")</f>
        <v>BIC: https://opendev.org/openstack/nova/commit/abc656d
Intro.Issues: blueprint ec2-api</v>
      </c>
    </row>
    <row r="249">
      <c r="A249" s="26" t="s">
        <v>46</v>
      </c>
      <c r="B249" s="77" t="str">
        <f>IFERROR(HYPERLINK(VLOOKUP(A249,Internal_lists_bugs!$A$2:$C$73,3,FALSE()), VLOOKUP(A249,Internal_lists_bugs!$A$2:$C$73,3,FALSE())&amp;Char(10) &amp; Char(10) &amp; VLOOKUP(A249,Internal_lists_bugs!$A$2:$Z$73,26,FALSE())),"please select a BUG ID")</f>
        <v>https://bugs.launchpad.net/nova/+bug/1434855
/os-extended-volumes/v2.3/server-get-resp.json
/os-extended-volumes/v2.3/servers-detail-resp.json </v>
      </c>
      <c r="C249" s="78" t="str">
        <f>IFERROR(VLOOKUP(A249,Internal_lists_bugs!$A$2:$X1013,24,FALSE()),"please select a BUG ID")</f>
        <v>https://www.mail-archive.com/openstack-dev@lists.openstack.org/ </v>
      </c>
      <c r="E249" s="82"/>
      <c r="F249" s="80"/>
      <c r="G249" s="16" t="s">
        <v>1025</v>
      </c>
      <c r="H249" s="79" t="s">
        <v>993</v>
      </c>
      <c r="I249" s="59" t="s">
        <v>1026</v>
      </c>
      <c r="J249" s="81" t="str">
        <f>IFERROR(Hyperlink(VLOOKUP(A249,Internal_lists_bugs!$A$2:$G1013,7,FALSE()),"BIC: "&amp;VLOOKUP(A249,Internal_lists_bugs!$A$2:$G1013,7,FALSE())&amp;CHAR(10)&amp;"Intro.Issues: "&amp;VLOOKUP(A249,Internal_lists_bugs!$A$2:$P1013,16,FALSE())),"please select a BUG ID")</f>
        <v>BIC: https://opendev.org/openstack/nova/commit/abc656d
Intro.Issues: blueprint ec2-api</v>
      </c>
    </row>
    <row r="250">
      <c r="A250" s="26" t="s">
        <v>46</v>
      </c>
      <c r="B250" s="77" t="str">
        <f>IFERROR(HYPERLINK(VLOOKUP(A250,Internal_lists_bugs!$A$2:$C$73,3,FALSE()), VLOOKUP(A250,Internal_lists_bugs!$A$2:$C$73,3,FALSE())&amp;Char(10) &amp; Char(10) &amp; VLOOKUP(A250,Internal_lists_bugs!$A$2:$Z$73,26,FALSE())),"please select a BUG ID")</f>
        <v>https://bugs.launchpad.net/nova/+bug/1434855
/os-extended-volumes/v2.3/server-get-resp.json
/os-extended-volumes/v2.3/servers-detail-resp.json </v>
      </c>
      <c r="C250" s="78" t="str">
        <f>IFERROR(VLOOKUP(A250,Internal_lists_bugs!$A$2:$X1013,24,FALSE()),"please select a BUG ID")</f>
        <v>https://www.mail-archive.com/openstack-dev@lists.openstack.org/ </v>
      </c>
      <c r="E250" s="82"/>
      <c r="F250" s="80"/>
      <c r="G250" s="16" t="s">
        <v>1027</v>
      </c>
      <c r="H250" s="79" t="s">
        <v>1000</v>
      </c>
      <c r="I250" s="59" t="s">
        <v>1028</v>
      </c>
      <c r="J250" s="81" t="str">
        <f>IFERROR(Hyperlink(VLOOKUP(A250,Internal_lists_bugs!$A$2:$G1013,7,FALSE()),"BIC: "&amp;VLOOKUP(A250,Internal_lists_bugs!$A$2:$G1013,7,FALSE())&amp;CHAR(10)&amp;"Intro.Issues: "&amp;VLOOKUP(A250,Internal_lists_bugs!$A$2:$P1013,16,FALSE())),"please select a BUG ID")</f>
        <v>BIC: https://opendev.org/openstack/nova/commit/abc656d
Intro.Issues: blueprint ec2-api</v>
      </c>
    </row>
    <row r="251">
      <c r="A251" s="26" t="s">
        <v>46</v>
      </c>
      <c r="B251" s="77" t="str">
        <f>IFERROR(HYPERLINK(VLOOKUP(A251,Internal_lists_bugs!$A$2:$C$73,3,FALSE()), VLOOKUP(A251,Internal_lists_bugs!$A$2:$C$73,3,FALSE())&amp;Char(10) &amp; Char(10) &amp; VLOOKUP(A251,Internal_lists_bugs!$A$2:$Z$73,26,FALSE())),"please select a BUG ID")</f>
        <v>https://bugs.launchpad.net/nova/+bug/1434855
/os-extended-volumes/v2.3/server-get-resp.json
/os-extended-volumes/v2.3/servers-detail-resp.json </v>
      </c>
      <c r="C251" s="78" t="str">
        <f>IFERROR(VLOOKUP(A251,Internal_lists_bugs!$A$2:$X1013,24,FALSE()),"please select a BUG ID")</f>
        <v>https://www.mail-archive.com/openstack-dev@lists.openstack.org/ </v>
      </c>
      <c r="E251" s="82"/>
      <c r="F251" s="80"/>
      <c r="G251" s="16" t="s">
        <v>1029</v>
      </c>
      <c r="H251" s="79" t="s">
        <v>1030</v>
      </c>
      <c r="I251" s="59" t="s">
        <v>1031</v>
      </c>
      <c r="J251" s="81" t="str">
        <f>IFERROR(Hyperlink(VLOOKUP(A251,Internal_lists_bugs!$A$2:$G1013,7,FALSE()),"BIC: "&amp;VLOOKUP(A251,Internal_lists_bugs!$A$2:$G1013,7,FALSE())&amp;CHAR(10)&amp;"Intro.Issues: "&amp;VLOOKUP(A251,Internal_lists_bugs!$A$2:$P1013,16,FALSE())),"please select a BUG ID")</f>
        <v>BIC: https://opendev.org/openstack/nova/commit/abc656d
Intro.Issues: blueprint ec2-api</v>
      </c>
    </row>
    <row r="252">
      <c r="A252" s="26" t="s">
        <v>46</v>
      </c>
      <c r="B252" s="77" t="str">
        <f>IFERROR(HYPERLINK(VLOOKUP(A252,Internal_lists_bugs!$A$2:$C$73,3,FALSE()), VLOOKUP(A252,Internal_lists_bugs!$A$2:$C$73,3,FALSE())&amp;Char(10) &amp; Char(10) &amp; VLOOKUP(A252,Internal_lists_bugs!$A$2:$Z$73,26,FALSE())),"please select a BUG ID")</f>
        <v>https://bugs.launchpad.net/nova/+bug/1434855
/os-extended-volumes/v2.3/server-get-resp.json
/os-extended-volumes/v2.3/servers-detail-resp.json </v>
      </c>
      <c r="C252" s="78" t="str">
        <f>IFERROR(VLOOKUP(A252,Internal_lists_bugs!$A$2:$X1013,24,FALSE()),"please select a BUG ID")</f>
        <v>https://www.mail-archive.com/openstack-dev@lists.openstack.org/ </v>
      </c>
      <c r="E252" s="82"/>
      <c r="F252" s="80"/>
      <c r="G252" s="16" t="s">
        <v>1032</v>
      </c>
      <c r="H252" s="79" t="s">
        <v>1033</v>
      </c>
      <c r="I252" s="59" t="s">
        <v>1034</v>
      </c>
      <c r="J252" s="81" t="str">
        <f>IFERROR(Hyperlink(VLOOKUP(A252,Internal_lists_bugs!$A$2:$G1013,7,FALSE()),"BIC: "&amp;VLOOKUP(A252,Internal_lists_bugs!$A$2:$G1013,7,FALSE())&amp;CHAR(10)&amp;"Intro.Issues: "&amp;VLOOKUP(A252,Internal_lists_bugs!$A$2:$P1013,16,FALSE())),"please select a BUG ID")</f>
        <v>BIC: https://opendev.org/openstack/nova/commit/abc656d
Intro.Issues: blueprint ec2-api</v>
      </c>
    </row>
    <row r="253">
      <c r="A253" s="26" t="s">
        <v>46</v>
      </c>
      <c r="B253" s="77" t="str">
        <f>IFERROR(HYPERLINK(VLOOKUP(A253,Internal_lists_bugs!$A$2:$C$73,3,FALSE()), VLOOKUP(A253,Internal_lists_bugs!$A$2:$C$73,3,FALSE())&amp;Char(10) &amp; Char(10) &amp; VLOOKUP(A253,Internal_lists_bugs!$A$2:$Z$73,26,FALSE())),"please select a BUG ID")</f>
        <v>https://bugs.launchpad.net/nova/+bug/1434855
/os-extended-volumes/v2.3/server-get-resp.json
/os-extended-volumes/v2.3/servers-detail-resp.json </v>
      </c>
      <c r="C253" s="78" t="str">
        <f>IFERROR(VLOOKUP(A253,Internal_lists_bugs!$A$2:$X1013,24,FALSE()),"please select a BUG ID")</f>
        <v>https://www.mail-archive.com/openstack-dev@lists.openstack.org/ </v>
      </c>
      <c r="E253" s="82"/>
      <c r="F253" s="80"/>
      <c r="G253" s="16" t="s">
        <v>1035</v>
      </c>
      <c r="H253" s="79" t="s">
        <v>1036</v>
      </c>
      <c r="I253" s="59" t="s">
        <v>1037</v>
      </c>
      <c r="J253" s="81" t="str">
        <f>IFERROR(Hyperlink(VLOOKUP(A253,Internal_lists_bugs!$A$2:$G1013,7,FALSE()),"BIC: "&amp;VLOOKUP(A253,Internal_lists_bugs!$A$2:$G1013,7,FALSE())&amp;CHAR(10)&amp;"Intro.Issues: "&amp;VLOOKUP(A253,Internal_lists_bugs!$A$2:$P1013,16,FALSE())),"please select a BUG ID")</f>
        <v>BIC: https://opendev.org/openstack/nova/commit/abc656d
Intro.Issues: blueprint ec2-api</v>
      </c>
    </row>
    <row r="254">
      <c r="A254" s="26" t="s">
        <v>46</v>
      </c>
      <c r="B254" s="77" t="str">
        <f>IFERROR(HYPERLINK(VLOOKUP(A254,Internal_lists_bugs!$A$2:$C$73,3,FALSE()), VLOOKUP(A254,Internal_lists_bugs!$A$2:$C$73,3,FALSE())&amp;Char(10) &amp; Char(10) &amp; VLOOKUP(A254,Internal_lists_bugs!$A$2:$Z$73,26,FALSE())),"please select a BUG ID")</f>
        <v>https://bugs.launchpad.net/nova/+bug/1434855
/os-extended-volumes/v2.3/server-get-resp.json
/os-extended-volumes/v2.3/servers-detail-resp.json </v>
      </c>
      <c r="C254" s="78" t="str">
        <f>IFERROR(VLOOKUP(A254,Internal_lists_bugs!$A$2:$X1013,24,FALSE()),"please select a BUG ID")</f>
        <v>https://www.mail-archive.com/openstack-dev@lists.openstack.org/ </v>
      </c>
      <c r="E254" s="82"/>
      <c r="F254" s="80"/>
      <c r="G254" s="16" t="s">
        <v>1038</v>
      </c>
      <c r="H254" s="79" t="s">
        <v>1039</v>
      </c>
      <c r="I254" s="59" t="s">
        <v>1040</v>
      </c>
      <c r="J254" s="81" t="str">
        <f>IFERROR(Hyperlink(VLOOKUP(A254,Internal_lists_bugs!$A$2:$G1013,7,FALSE()),"BIC: "&amp;VLOOKUP(A254,Internal_lists_bugs!$A$2:$G1013,7,FALSE())&amp;CHAR(10)&amp;"Intro.Issues: "&amp;VLOOKUP(A254,Internal_lists_bugs!$A$2:$P1013,16,FALSE())),"please select a BUG ID")</f>
        <v>BIC: https://opendev.org/openstack/nova/commit/abc656d
Intro.Issues: blueprint ec2-api</v>
      </c>
    </row>
    <row r="255">
      <c r="A255" s="26" t="s">
        <v>46</v>
      </c>
      <c r="B255" s="77" t="str">
        <f>IFERROR(HYPERLINK(VLOOKUP(A255,Internal_lists_bugs!$A$2:$C$73,3,FALSE()), VLOOKUP(A255,Internal_lists_bugs!$A$2:$C$73,3,FALSE())&amp;Char(10) &amp; Char(10) &amp; VLOOKUP(A255,Internal_lists_bugs!$A$2:$Z$73,26,FALSE())),"please select a BUG ID")</f>
        <v>https://bugs.launchpad.net/nova/+bug/1434855
/os-extended-volumes/v2.3/server-get-resp.json
/os-extended-volumes/v2.3/servers-detail-resp.json </v>
      </c>
      <c r="C255" s="78" t="str">
        <f>IFERROR(VLOOKUP(A255,Internal_lists_bugs!$A$2:$X1013,24,FALSE()),"please select a BUG ID")</f>
        <v>https://www.mail-archive.com/openstack-dev@lists.openstack.org/ </v>
      </c>
      <c r="E255" s="82"/>
      <c r="F255" s="80"/>
      <c r="G255" s="16" t="s">
        <v>1041</v>
      </c>
      <c r="H255" s="79" t="s">
        <v>1042</v>
      </c>
      <c r="I255" s="59" t="s">
        <v>1043</v>
      </c>
      <c r="J255" s="81" t="str">
        <f>IFERROR(Hyperlink(VLOOKUP(A255,Internal_lists_bugs!$A$2:$G1013,7,FALSE()),"BIC: "&amp;VLOOKUP(A255,Internal_lists_bugs!$A$2:$G1013,7,FALSE())&amp;CHAR(10)&amp;"Intro.Issues: "&amp;VLOOKUP(A255,Internal_lists_bugs!$A$2:$P1013,16,FALSE())),"please select a BUG ID")</f>
        <v>BIC: https://opendev.org/openstack/nova/commit/abc656d
Intro.Issues: blueprint ec2-api</v>
      </c>
    </row>
    <row r="256">
      <c r="A256" s="26" t="s">
        <v>46</v>
      </c>
      <c r="B256" s="77" t="str">
        <f>IFERROR(HYPERLINK(VLOOKUP(A256,Internal_lists_bugs!$A$2:$C$73,3,FALSE()), VLOOKUP(A256,Internal_lists_bugs!$A$2:$C$73,3,FALSE())&amp;Char(10) &amp; Char(10) &amp; VLOOKUP(A256,Internal_lists_bugs!$A$2:$Z$73,26,FALSE())),"please select a BUG ID")</f>
        <v>https://bugs.launchpad.net/nova/+bug/1434855
/os-extended-volumes/v2.3/server-get-resp.json
/os-extended-volumes/v2.3/servers-detail-resp.json </v>
      </c>
      <c r="C256" s="78" t="str">
        <f>IFERROR(VLOOKUP(A256,Internal_lists_bugs!$A$2:$X1013,24,FALSE()),"please select a BUG ID")</f>
        <v>https://www.mail-archive.com/openstack-dev@lists.openstack.org/ </v>
      </c>
      <c r="E256" s="82"/>
      <c r="F256" s="80"/>
      <c r="G256" s="16" t="s">
        <v>1041</v>
      </c>
      <c r="H256" s="79" t="s">
        <v>1044</v>
      </c>
      <c r="I256" s="59" t="s">
        <v>1045</v>
      </c>
      <c r="J256" s="81" t="str">
        <f>IFERROR(Hyperlink(VLOOKUP(A256,Internal_lists_bugs!$A$2:$G1013,7,FALSE()),"BIC: "&amp;VLOOKUP(A256,Internal_lists_bugs!$A$2:$G1013,7,FALSE())&amp;CHAR(10)&amp;"Intro.Issues: "&amp;VLOOKUP(A256,Internal_lists_bugs!$A$2:$P1013,16,FALSE())),"please select a BUG ID")</f>
        <v>BIC: https://opendev.org/openstack/nova/commit/abc656d
Intro.Issues: blueprint ec2-api</v>
      </c>
    </row>
    <row r="257">
      <c r="A257" s="26" t="s">
        <v>46</v>
      </c>
      <c r="B257" s="77" t="str">
        <f>IFERROR(HYPERLINK(VLOOKUP(A257,Internal_lists_bugs!$A$2:$C$73,3,FALSE()), VLOOKUP(A257,Internal_lists_bugs!$A$2:$C$73,3,FALSE())&amp;Char(10) &amp; Char(10) &amp; VLOOKUP(A257,Internal_lists_bugs!$A$2:$Z$73,26,FALSE())),"please select a BUG ID")</f>
        <v>https://bugs.launchpad.net/nova/+bug/1434855
/os-extended-volumes/v2.3/server-get-resp.json
/os-extended-volumes/v2.3/servers-detail-resp.json </v>
      </c>
      <c r="C257" s="78" t="str">
        <f>IFERROR(VLOOKUP(A257,Internal_lists_bugs!$A$2:$X1013,24,FALSE()),"please select a BUG ID")</f>
        <v>https://www.mail-archive.com/openstack-dev@lists.openstack.org/ </v>
      </c>
      <c r="E257" s="82"/>
      <c r="F257" s="80"/>
      <c r="G257" s="16" t="s">
        <v>1041</v>
      </c>
      <c r="H257" s="79" t="s">
        <v>961</v>
      </c>
      <c r="I257" s="59" t="s">
        <v>1046</v>
      </c>
      <c r="J257" s="81" t="str">
        <f>IFERROR(Hyperlink(VLOOKUP(A257,Internal_lists_bugs!$A$2:$G1013,7,FALSE()),"BIC: "&amp;VLOOKUP(A257,Internal_lists_bugs!$A$2:$G1013,7,FALSE())&amp;CHAR(10)&amp;"Intro.Issues: "&amp;VLOOKUP(A257,Internal_lists_bugs!$A$2:$P1013,16,FALSE())),"please select a BUG ID")</f>
        <v>BIC: https://opendev.org/openstack/nova/commit/abc656d
Intro.Issues: blueprint ec2-api</v>
      </c>
    </row>
    <row r="258">
      <c r="A258" s="26" t="s">
        <v>46</v>
      </c>
      <c r="B258" s="77" t="str">
        <f>IFERROR(HYPERLINK(VLOOKUP(A258,Internal_lists_bugs!$A$2:$C$73,3,FALSE()), VLOOKUP(A258,Internal_lists_bugs!$A$2:$C$73,3,FALSE())&amp;Char(10) &amp; Char(10) &amp; VLOOKUP(A258,Internal_lists_bugs!$A$2:$Z$73,26,FALSE())),"please select a BUG ID")</f>
        <v>https://bugs.launchpad.net/nova/+bug/1434855
/os-extended-volumes/v2.3/server-get-resp.json
/os-extended-volumes/v2.3/servers-detail-resp.json </v>
      </c>
      <c r="C258" s="78" t="str">
        <f>IFERROR(VLOOKUP(A258,Internal_lists_bugs!$A$2:$X1013,24,FALSE()),"please select a BUG ID")</f>
        <v>https://www.mail-archive.com/openstack-dev@lists.openstack.org/ </v>
      </c>
      <c r="E258" s="82"/>
      <c r="F258" s="80"/>
      <c r="G258" s="16" t="s">
        <v>1041</v>
      </c>
      <c r="H258" s="79" t="s">
        <v>1047</v>
      </c>
      <c r="I258" s="59" t="s">
        <v>1048</v>
      </c>
      <c r="J258" s="81" t="str">
        <f>IFERROR(Hyperlink(VLOOKUP(A258,Internal_lists_bugs!$A$2:$G1013,7,FALSE()),"BIC: "&amp;VLOOKUP(A258,Internal_lists_bugs!$A$2:$G1013,7,FALSE())&amp;CHAR(10)&amp;"Intro.Issues: "&amp;VLOOKUP(A258,Internal_lists_bugs!$A$2:$P1013,16,FALSE())),"please select a BUG ID")</f>
        <v>BIC: https://opendev.org/openstack/nova/commit/abc656d
Intro.Issues: blueprint ec2-api</v>
      </c>
    </row>
    <row r="259">
      <c r="A259" s="26" t="s">
        <v>46</v>
      </c>
      <c r="B259" s="77" t="str">
        <f>IFERROR(HYPERLINK(VLOOKUP(A259,Internal_lists_bugs!$A$2:$C$73,3,FALSE()), VLOOKUP(A259,Internal_lists_bugs!$A$2:$C$73,3,FALSE())&amp;Char(10) &amp; Char(10) &amp; VLOOKUP(A259,Internal_lists_bugs!$A$2:$Z$73,26,FALSE())),"please select a BUG ID")</f>
        <v>https://bugs.launchpad.net/nova/+bug/1434855
/os-extended-volumes/v2.3/server-get-resp.json
/os-extended-volumes/v2.3/servers-detail-resp.json </v>
      </c>
      <c r="C259" s="78" t="str">
        <f>IFERROR(VLOOKUP(A259,Internal_lists_bugs!$A$2:$X1013,24,FALSE()),"please select a BUG ID")</f>
        <v>https://www.mail-archive.com/openstack-dev@lists.openstack.org/ </v>
      </c>
      <c r="E259" s="82"/>
      <c r="F259" s="80"/>
      <c r="G259" s="16" t="s">
        <v>1049</v>
      </c>
      <c r="H259" s="79" t="s">
        <v>1050</v>
      </c>
      <c r="I259" s="59" t="s">
        <v>1051</v>
      </c>
      <c r="J259" s="81" t="str">
        <f>IFERROR(Hyperlink(VLOOKUP(A259,Internal_lists_bugs!$A$2:$G1013,7,FALSE()),"BIC: "&amp;VLOOKUP(A259,Internal_lists_bugs!$A$2:$G1013,7,FALSE())&amp;CHAR(10)&amp;"Intro.Issues: "&amp;VLOOKUP(A259,Internal_lists_bugs!$A$2:$P1013,16,FALSE())),"please select a BUG ID")</f>
        <v>BIC: https://opendev.org/openstack/nova/commit/abc656d
Intro.Issues: blueprint ec2-api</v>
      </c>
    </row>
    <row r="260">
      <c r="A260" s="26" t="s">
        <v>46</v>
      </c>
      <c r="B260" s="77" t="str">
        <f>IFERROR(HYPERLINK(VLOOKUP(A260,Internal_lists_bugs!$A$2:$C$73,3,FALSE()), VLOOKUP(A260,Internal_lists_bugs!$A$2:$C$73,3,FALSE())&amp;Char(10) &amp; Char(10) &amp; VLOOKUP(A260,Internal_lists_bugs!$A$2:$Z$73,26,FALSE())),"please select a BUG ID")</f>
        <v>https://bugs.launchpad.net/nova/+bug/1434855
/os-extended-volumes/v2.3/server-get-resp.json
/os-extended-volumes/v2.3/servers-detail-resp.json </v>
      </c>
      <c r="C260" s="78" t="str">
        <f>IFERROR(VLOOKUP(A260,Internal_lists_bugs!$A$2:$X1013,24,FALSE()),"please select a BUG ID")</f>
        <v>https://www.mail-archive.com/openstack-dev@lists.openstack.org/ </v>
      </c>
      <c r="E260" s="82"/>
      <c r="F260" s="80"/>
      <c r="G260" s="16" t="s">
        <v>1049</v>
      </c>
      <c r="H260" s="79" t="s">
        <v>1052</v>
      </c>
      <c r="I260" s="59" t="s">
        <v>1053</v>
      </c>
      <c r="J260" s="81" t="str">
        <f>IFERROR(Hyperlink(VLOOKUP(A260,Internal_lists_bugs!$A$2:$G1013,7,FALSE()),"BIC: "&amp;VLOOKUP(A260,Internal_lists_bugs!$A$2:$G1013,7,FALSE())&amp;CHAR(10)&amp;"Intro.Issues: "&amp;VLOOKUP(A260,Internal_lists_bugs!$A$2:$P1013,16,FALSE())),"please select a BUG ID")</f>
        <v>BIC: https://opendev.org/openstack/nova/commit/abc656d
Intro.Issues: blueprint ec2-api</v>
      </c>
    </row>
    <row r="261">
      <c r="A261" s="26" t="s">
        <v>46</v>
      </c>
      <c r="B261" s="77" t="str">
        <f>IFERROR(HYPERLINK(VLOOKUP(A261,Internal_lists_bugs!$A$2:$C$73,3,FALSE()), VLOOKUP(A261,Internal_lists_bugs!$A$2:$C$73,3,FALSE())&amp;Char(10) &amp; Char(10) &amp; VLOOKUP(A261,Internal_lists_bugs!$A$2:$Z$73,26,FALSE())),"please select a BUG ID")</f>
        <v>https://bugs.launchpad.net/nova/+bug/1434855
/os-extended-volumes/v2.3/server-get-resp.json
/os-extended-volumes/v2.3/servers-detail-resp.json </v>
      </c>
      <c r="C261" s="78" t="str">
        <f>IFERROR(VLOOKUP(A261,Internal_lists_bugs!$A$2:$X1013,24,FALSE()),"please select a BUG ID")</f>
        <v>https://www.mail-archive.com/openstack-dev@lists.openstack.org/ </v>
      </c>
      <c r="E261" s="82"/>
      <c r="F261" s="80"/>
      <c r="G261" s="16" t="s">
        <v>1054</v>
      </c>
      <c r="H261" s="79" t="s">
        <v>1055</v>
      </c>
      <c r="I261" s="59" t="s">
        <v>1056</v>
      </c>
      <c r="J261" s="81" t="str">
        <f>IFERROR(Hyperlink(VLOOKUP(A261,Internal_lists_bugs!$A$2:$G1013,7,FALSE()),"BIC: "&amp;VLOOKUP(A261,Internal_lists_bugs!$A$2:$G1013,7,FALSE())&amp;CHAR(10)&amp;"Intro.Issues: "&amp;VLOOKUP(A261,Internal_lists_bugs!$A$2:$P1013,16,FALSE())),"please select a BUG ID")</f>
        <v>BIC: https://opendev.org/openstack/nova/commit/abc656d
Intro.Issues: blueprint ec2-api</v>
      </c>
    </row>
    <row r="262">
      <c r="A262" s="26" t="s">
        <v>46</v>
      </c>
      <c r="B262" s="77" t="str">
        <f>IFERROR(HYPERLINK(VLOOKUP(A262,Internal_lists_bugs!$A$2:$C$73,3,FALSE()), VLOOKUP(A262,Internal_lists_bugs!$A$2:$C$73,3,FALSE())&amp;Char(10) &amp; Char(10) &amp; VLOOKUP(A262,Internal_lists_bugs!$A$2:$Z$73,26,FALSE())),"please select a BUG ID")</f>
        <v>https://bugs.launchpad.net/nova/+bug/1434855
/os-extended-volumes/v2.3/server-get-resp.json
/os-extended-volumes/v2.3/servers-detail-resp.json </v>
      </c>
      <c r="C262" s="78" t="str">
        <f>IFERROR(VLOOKUP(A262,Internal_lists_bugs!$A$2:$X1013,24,FALSE()),"please select a BUG ID")</f>
        <v>https://www.mail-archive.com/openstack-dev@lists.openstack.org/ </v>
      </c>
      <c r="E262" s="82"/>
      <c r="F262" s="80"/>
      <c r="G262" s="16" t="s">
        <v>1057</v>
      </c>
      <c r="H262" s="79" t="s">
        <v>757</v>
      </c>
      <c r="I262" s="59" t="s">
        <v>1058</v>
      </c>
      <c r="J262" s="81" t="str">
        <f>IFERROR(Hyperlink(VLOOKUP(A262,Internal_lists_bugs!$A$2:$G1013,7,FALSE()),"BIC: "&amp;VLOOKUP(A262,Internal_lists_bugs!$A$2:$G1013,7,FALSE())&amp;CHAR(10)&amp;"Intro.Issues: "&amp;VLOOKUP(A262,Internal_lists_bugs!$A$2:$P1013,16,FALSE())),"please select a BUG ID")</f>
        <v>BIC: https://opendev.org/openstack/nova/commit/abc656d
Intro.Issues: blueprint ec2-api</v>
      </c>
    </row>
    <row r="263">
      <c r="A263" s="26" t="s">
        <v>46</v>
      </c>
      <c r="B263" s="77" t="str">
        <f>IFERROR(HYPERLINK(VLOOKUP(A263,Internal_lists_bugs!$A$2:$C$73,3,FALSE()), VLOOKUP(A263,Internal_lists_bugs!$A$2:$C$73,3,FALSE())&amp;Char(10) &amp; Char(10) &amp; VLOOKUP(A263,Internal_lists_bugs!$A$2:$Z$73,26,FALSE())),"please select a BUG ID")</f>
        <v>https://bugs.launchpad.net/nova/+bug/1434855
/os-extended-volumes/v2.3/server-get-resp.json
/os-extended-volumes/v2.3/servers-detail-resp.json </v>
      </c>
      <c r="C263" s="78" t="str">
        <f>IFERROR(VLOOKUP(A263,Internal_lists_bugs!$A$2:$X1013,24,FALSE()),"please select a BUG ID")</f>
        <v>https://www.mail-archive.com/openstack-dev@lists.openstack.org/ </v>
      </c>
      <c r="E263" s="82"/>
      <c r="F263" s="80"/>
      <c r="G263" s="16" t="s">
        <v>1057</v>
      </c>
      <c r="H263" s="79" t="s">
        <v>1059</v>
      </c>
      <c r="I263" s="59" t="s">
        <v>1058</v>
      </c>
      <c r="J263" s="81" t="str">
        <f>IFERROR(Hyperlink(VLOOKUP(A263,Internal_lists_bugs!$A$2:$G1013,7,FALSE()),"BIC: "&amp;VLOOKUP(A263,Internal_lists_bugs!$A$2:$G1013,7,FALSE())&amp;CHAR(10)&amp;"Intro.Issues: "&amp;VLOOKUP(A263,Internal_lists_bugs!$A$2:$P1013,16,FALSE())),"please select a BUG ID")</f>
        <v>BIC: https://opendev.org/openstack/nova/commit/abc656d
Intro.Issues: blueprint ec2-api</v>
      </c>
    </row>
    <row r="264">
      <c r="A264" s="26" t="s">
        <v>46</v>
      </c>
      <c r="B264" s="77" t="str">
        <f>IFERROR(HYPERLINK(VLOOKUP(A264,Internal_lists_bugs!$A$2:$C$73,3,FALSE()), VLOOKUP(A264,Internal_lists_bugs!$A$2:$C$73,3,FALSE())&amp;Char(10) &amp; Char(10) &amp; VLOOKUP(A264,Internal_lists_bugs!$A$2:$Z$73,26,FALSE())),"please select a BUG ID")</f>
        <v>https://bugs.launchpad.net/nova/+bug/1434855
/os-extended-volumes/v2.3/server-get-resp.json
/os-extended-volumes/v2.3/servers-detail-resp.json </v>
      </c>
      <c r="C264" s="78" t="str">
        <f>IFERROR(VLOOKUP(A264,Internal_lists_bugs!$A$2:$X1013,24,FALSE()),"please select a BUG ID")</f>
        <v>https://www.mail-archive.com/openstack-dev@lists.openstack.org/ </v>
      </c>
      <c r="E264" s="82"/>
      <c r="F264" s="80"/>
      <c r="G264" s="16" t="s">
        <v>1060</v>
      </c>
      <c r="H264" s="79" t="s">
        <v>1000</v>
      </c>
      <c r="I264" s="59" t="s">
        <v>1061</v>
      </c>
      <c r="J264" s="81" t="str">
        <f>IFERROR(Hyperlink(VLOOKUP(A264,Internal_lists_bugs!$A$2:$G1013,7,FALSE()),"BIC: "&amp;VLOOKUP(A264,Internal_lists_bugs!$A$2:$G1013,7,FALSE())&amp;CHAR(10)&amp;"Intro.Issues: "&amp;VLOOKUP(A264,Internal_lists_bugs!$A$2:$P1013,16,FALSE())),"please select a BUG ID")</f>
        <v>BIC: https://opendev.org/openstack/nova/commit/abc656d
Intro.Issues: blueprint ec2-api</v>
      </c>
    </row>
    <row r="265">
      <c r="A265" s="26" t="s">
        <v>46</v>
      </c>
      <c r="B265" s="77" t="str">
        <f>IFERROR(HYPERLINK(VLOOKUP(A265,Internal_lists_bugs!$A$2:$C$73,3,FALSE()), VLOOKUP(A265,Internal_lists_bugs!$A$2:$C$73,3,FALSE())&amp;Char(10) &amp; Char(10) &amp; VLOOKUP(A265,Internal_lists_bugs!$A$2:$Z$73,26,FALSE())),"please select a BUG ID")</f>
        <v>https://bugs.launchpad.net/nova/+bug/1434855
/os-extended-volumes/v2.3/server-get-resp.json
/os-extended-volumes/v2.3/servers-detail-resp.json </v>
      </c>
      <c r="C265" s="78" t="str">
        <f>IFERROR(VLOOKUP(A265,Internal_lists_bugs!$A$2:$X1013,24,FALSE()),"please select a BUG ID")</f>
        <v>https://www.mail-archive.com/openstack-dev@lists.openstack.org/ </v>
      </c>
      <c r="E265" s="82"/>
      <c r="F265" s="80"/>
      <c r="G265" s="16" t="s">
        <v>1062</v>
      </c>
      <c r="H265" s="79" t="s">
        <v>1000</v>
      </c>
      <c r="I265" s="59" t="s">
        <v>1063</v>
      </c>
      <c r="J265" s="81" t="str">
        <f>IFERROR(Hyperlink(VLOOKUP(A265,Internal_lists_bugs!$A$2:$G1013,7,FALSE()),"BIC: "&amp;VLOOKUP(A265,Internal_lists_bugs!$A$2:$G1013,7,FALSE())&amp;CHAR(10)&amp;"Intro.Issues: "&amp;VLOOKUP(A265,Internal_lists_bugs!$A$2:$P1013,16,FALSE())),"please select a BUG ID")</f>
        <v>BIC: https://opendev.org/openstack/nova/commit/abc656d
Intro.Issues: blueprint ec2-api</v>
      </c>
    </row>
    <row r="266">
      <c r="A266" s="26" t="s">
        <v>46</v>
      </c>
      <c r="B266" s="77" t="str">
        <f>IFERROR(HYPERLINK(VLOOKUP(A266,Internal_lists_bugs!$A$2:$C$73,3,FALSE()), VLOOKUP(A266,Internal_lists_bugs!$A$2:$C$73,3,FALSE())&amp;Char(10) &amp; Char(10) &amp; VLOOKUP(A266,Internal_lists_bugs!$A$2:$Z$73,26,FALSE())),"please select a BUG ID")</f>
        <v>https://bugs.launchpad.net/nova/+bug/1434855
/os-extended-volumes/v2.3/server-get-resp.json
/os-extended-volumes/v2.3/servers-detail-resp.json </v>
      </c>
      <c r="C266" s="78" t="str">
        <f>IFERROR(VLOOKUP(A266,Internal_lists_bugs!$A$2:$X1013,24,FALSE()),"please select a BUG ID")</f>
        <v>https://www.mail-archive.com/openstack-dev@lists.openstack.org/ </v>
      </c>
      <c r="E266" s="82"/>
      <c r="F266" s="80"/>
      <c r="G266" s="16" t="s">
        <v>1064</v>
      </c>
      <c r="H266" s="79" t="s">
        <v>1065</v>
      </c>
      <c r="I266" s="59" t="s">
        <v>1066</v>
      </c>
      <c r="J266" s="81" t="str">
        <f>IFERROR(Hyperlink(VLOOKUP(A266,Internal_lists_bugs!$A$2:$G1013,7,FALSE()),"BIC: "&amp;VLOOKUP(A266,Internal_lists_bugs!$A$2:$G1013,7,FALSE())&amp;CHAR(10)&amp;"Intro.Issues: "&amp;VLOOKUP(A266,Internal_lists_bugs!$A$2:$P1013,16,FALSE())),"please select a BUG ID")</f>
        <v>BIC: https://opendev.org/openstack/nova/commit/abc656d
Intro.Issues: blueprint ec2-api</v>
      </c>
    </row>
    <row r="267">
      <c r="A267" s="26" t="s">
        <v>46</v>
      </c>
      <c r="B267" s="77" t="str">
        <f>IFERROR(HYPERLINK(VLOOKUP(A267,Internal_lists_bugs!$A$2:$C$73,3,FALSE()), VLOOKUP(A267,Internal_lists_bugs!$A$2:$C$73,3,FALSE())&amp;Char(10) &amp; Char(10) &amp; VLOOKUP(A267,Internal_lists_bugs!$A$2:$Z$73,26,FALSE())),"please select a BUG ID")</f>
        <v>https://bugs.launchpad.net/nova/+bug/1434855
/os-extended-volumes/v2.3/server-get-resp.json
/os-extended-volumes/v2.3/servers-detail-resp.json </v>
      </c>
      <c r="C267" s="78" t="str">
        <f>IFERROR(VLOOKUP(A267,Internal_lists_bugs!$A$2:$X1013,24,FALSE()),"please select a BUG ID")</f>
        <v>https://www.mail-archive.com/openstack-dev@lists.openstack.org/ </v>
      </c>
      <c r="E267" s="82"/>
      <c r="F267" s="80"/>
      <c r="G267" s="16" t="s">
        <v>1064</v>
      </c>
      <c r="H267" s="79" t="s">
        <v>1067</v>
      </c>
      <c r="I267" s="59" t="s">
        <v>1068</v>
      </c>
      <c r="J267" s="81" t="str">
        <f>IFERROR(Hyperlink(VLOOKUP(A267,Internal_lists_bugs!$A$2:$G1013,7,FALSE()),"BIC: "&amp;VLOOKUP(A267,Internal_lists_bugs!$A$2:$G1013,7,FALSE())&amp;CHAR(10)&amp;"Intro.Issues: "&amp;VLOOKUP(A267,Internal_lists_bugs!$A$2:$P1013,16,FALSE())),"please select a BUG ID")</f>
        <v>BIC: https://opendev.org/openstack/nova/commit/abc656d
Intro.Issues: blueprint ec2-api</v>
      </c>
    </row>
    <row r="268">
      <c r="A268" s="26" t="s">
        <v>46</v>
      </c>
      <c r="B268" s="77" t="str">
        <f>IFERROR(HYPERLINK(VLOOKUP(A268,Internal_lists_bugs!$A$2:$C$73,3,FALSE()), VLOOKUP(A268,Internal_lists_bugs!$A$2:$C$73,3,FALSE())&amp;Char(10) &amp; Char(10) &amp; VLOOKUP(A268,Internal_lists_bugs!$A$2:$Z$73,26,FALSE())),"please select a BUG ID")</f>
        <v>https://bugs.launchpad.net/nova/+bug/1434855
/os-extended-volumes/v2.3/server-get-resp.json
/os-extended-volumes/v2.3/servers-detail-resp.json </v>
      </c>
      <c r="C268" s="78" t="str">
        <f>IFERROR(VLOOKUP(A268,Internal_lists_bugs!$A$2:$X1013,24,FALSE()),"please select a BUG ID")</f>
        <v>https://www.mail-archive.com/openstack-dev@lists.openstack.org/ </v>
      </c>
      <c r="E268" s="82"/>
      <c r="F268" s="80"/>
      <c r="G268" s="16" t="s">
        <v>1069</v>
      </c>
      <c r="H268" s="79" t="s">
        <v>1067</v>
      </c>
      <c r="I268" s="59" t="s">
        <v>1070</v>
      </c>
      <c r="J268" s="81" t="str">
        <f>IFERROR(Hyperlink(VLOOKUP(A268,Internal_lists_bugs!$A$2:$G1013,7,FALSE()),"BIC: "&amp;VLOOKUP(A268,Internal_lists_bugs!$A$2:$G1013,7,FALSE())&amp;CHAR(10)&amp;"Intro.Issues: "&amp;VLOOKUP(A268,Internal_lists_bugs!$A$2:$P1013,16,FALSE())),"please select a BUG ID")</f>
        <v>BIC: https://opendev.org/openstack/nova/commit/abc656d
Intro.Issues: blueprint ec2-api</v>
      </c>
    </row>
    <row r="269">
      <c r="A269" s="26" t="s">
        <v>46</v>
      </c>
      <c r="B269" s="77" t="str">
        <f>IFERROR(HYPERLINK(VLOOKUP(A269,Internal_lists_bugs!$A$2:$C$73,3,FALSE()), VLOOKUP(A269,Internal_lists_bugs!$A$2:$C$73,3,FALSE())&amp;Char(10) &amp; Char(10) &amp; VLOOKUP(A269,Internal_lists_bugs!$A$2:$Z$73,26,FALSE())),"please select a BUG ID")</f>
        <v>https://bugs.launchpad.net/nova/+bug/1434855
/os-extended-volumes/v2.3/server-get-resp.json
/os-extended-volumes/v2.3/servers-detail-resp.json </v>
      </c>
      <c r="C269" s="78" t="str">
        <f>IFERROR(VLOOKUP(A269,Internal_lists_bugs!$A$2:$X1013,24,FALSE()),"please select a BUG ID")</f>
        <v>https://www.mail-archive.com/openstack-dev@lists.openstack.org/ </v>
      </c>
      <c r="E269" s="82"/>
      <c r="F269" s="80"/>
      <c r="G269" s="16" t="s">
        <v>1069</v>
      </c>
      <c r="H269" s="79" t="s">
        <v>1071</v>
      </c>
      <c r="I269" s="59" t="s">
        <v>1072</v>
      </c>
      <c r="J269" s="81" t="str">
        <f>IFERROR(Hyperlink(VLOOKUP(A269,Internal_lists_bugs!$A$2:$G1013,7,FALSE()),"BIC: "&amp;VLOOKUP(A269,Internal_lists_bugs!$A$2:$G1013,7,FALSE())&amp;CHAR(10)&amp;"Intro.Issues: "&amp;VLOOKUP(A269,Internal_lists_bugs!$A$2:$P1013,16,FALSE())),"please select a BUG ID")</f>
        <v>BIC: https://opendev.org/openstack/nova/commit/abc656d
Intro.Issues: blueprint ec2-api</v>
      </c>
    </row>
    <row r="270">
      <c r="A270" s="26" t="s">
        <v>46</v>
      </c>
      <c r="B270" s="77" t="str">
        <f>IFERROR(HYPERLINK(VLOOKUP(A270,Internal_lists_bugs!$A$2:$C$73,3,FALSE()), VLOOKUP(A270,Internal_lists_bugs!$A$2:$C$73,3,FALSE())&amp;Char(10) &amp; Char(10) &amp; VLOOKUP(A270,Internal_lists_bugs!$A$2:$Z$73,26,FALSE())),"please select a BUG ID")</f>
        <v>https://bugs.launchpad.net/nova/+bug/1434855
/os-extended-volumes/v2.3/server-get-resp.json
/os-extended-volumes/v2.3/servers-detail-resp.json </v>
      </c>
      <c r="C270" s="78" t="str">
        <f>IFERROR(VLOOKUP(A270,Internal_lists_bugs!$A$2:$X1013,24,FALSE()),"please select a BUG ID")</f>
        <v>https://www.mail-archive.com/openstack-dev@lists.openstack.org/ </v>
      </c>
      <c r="E270" s="82"/>
      <c r="F270" s="80"/>
      <c r="G270" s="16" t="s">
        <v>1073</v>
      </c>
      <c r="H270" s="79" t="s">
        <v>1074</v>
      </c>
      <c r="I270" s="59" t="s">
        <v>1075</v>
      </c>
      <c r="J270" s="81" t="str">
        <f>IFERROR(Hyperlink(VLOOKUP(A270,Internal_lists_bugs!$A$2:$G1013,7,FALSE()),"BIC: "&amp;VLOOKUP(A270,Internal_lists_bugs!$A$2:$G1013,7,FALSE())&amp;CHAR(10)&amp;"Intro.Issues: "&amp;VLOOKUP(A270,Internal_lists_bugs!$A$2:$P1013,16,FALSE())),"please select a BUG ID")</f>
        <v>BIC: https://opendev.org/openstack/nova/commit/abc656d
Intro.Issues: blueprint ec2-api</v>
      </c>
    </row>
    <row r="271">
      <c r="A271" s="26" t="s">
        <v>46</v>
      </c>
      <c r="B271" s="77" t="str">
        <f>IFERROR(HYPERLINK(VLOOKUP(A271,Internal_lists_bugs!$A$2:$C$73,3,FALSE()), VLOOKUP(A271,Internal_lists_bugs!$A$2:$C$73,3,FALSE())&amp;Char(10) &amp; Char(10) &amp; VLOOKUP(A271,Internal_lists_bugs!$A$2:$Z$73,26,FALSE())),"please select a BUG ID")</f>
        <v>https://bugs.launchpad.net/nova/+bug/1434855
/os-extended-volumes/v2.3/server-get-resp.json
/os-extended-volumes/v2.3/servers-detail-resp.json </v>
      </c>
      <c r="C271" s="78" t="str">
        <f>IFERROR(VLOOKUP(A271,Internal_lists_bugs!$A$2:$X1013,24,FALSE()),"please select a BUG ID")</f>
        <v>https://www.mail-archive.com/openstack-dev@lists.openstack.org/ </v>
      </c>
      <c r="E271" s="82"/>
      <c r="F271" s="80"/>
      <c r="G271" s="16" t="s">
        <v>1076</v>
      </c>
      <c r="H271" s="79" t="s">
        <v>1067</v>
      </c>
      <c r="I271" s="59" t="s">
        <v>1077</v>
      </c>
      <c r="J271" s="81" t="str">
        <f>IFERROR(Hyperlink(VLOOKUP(A271,Internal_lists_bugs!$A$2:$G1013,7,FALSE()),"BIC: "&amp;VLOOKUP(A271,Internal_lists_bugs!$A$2:$G1013,7,FALSE())&amp;CHAR(10)&amp;"Intro.Issues: "&amp;VLOOKUP(A271,Internal_lists_bugs!$A$2:$P1013,16,FALSE())),"please select a BUG ID")</f>
        <v>BIC: https://opendev.org/openstack/nova/commit/abc656d
Intro.Issues: blueprint ec2-api</v>
      </c>
    </row>
    <row r="272">
      <c r="A272" s="26" t="s">
        <v>46</v>
      </c>
      <c r="B272" s="77" t="str">
        <f>IFERROR(HYPERLINK(VLOOKUP(A272,Internal_lists_bugs!$A$2:$C$73,3,FALSE()), VLOOKUP(A272,Internal_lists_bugs!$A$2:$C$73,3,FALSE())&amp;Char(10) &amp; Char(10) &amp; VLOOKUP(A272,Internal_lists_bugs!$A$2:$Z$73,26,FALSE())),"please select a BUG ID")</f>
        <v>https://bugs.launchpad.net/nova/+bug/1434855
/os-extended-volumes/v2.3/server-get-resp.json
/os-extended-volumes/v2.3/servers-detail-resp.json </v>
      </c>
      <c r="C272" s="78" t="str">
        <f>IFERROR(VLOOKUP(A272,Internal_lists_bugs!$A$2:$X1013,24,FALSE()),"please select a BUG ID")</f>
        <v>https://www.mail-archive.com/openstack-dev@lists.openstack.org/ </v>
      </c>
      <c r="E272" s="82"/>
      <c r="F272" s="80"/>
      <c r="G272" s="16" t="s">
        <v>1078</v>
      </c>
      <c r="H272" s="79" t="s">
        <v>1074</v>
      </c>
      <c r="I272" s="59" t="s">
        <v>1079</v>
      </c>
      <c r="J272" s="81" t="str">
        <f>IFERROR(Hyperlink(VLOOKUP(A272,Internal_lists_bugs!$A$2:$G1013,7,FALSE()),"BIC: "&amp;VLOOKUP(A272,Internal_lists_bugs!$A$2:$G1013,7,FALSE())&amp;CHAR(10)&amp;"Intro.Issues: "&amp;VLOOKUP(A272,Internal_lists_bugs!$A$2:$P1013,16,FALSE())),"please select a BUG ID")</f>
        <v>BIC: https://opendev.org/openstack/nova/commit/abc656d
Intro.Issues: blueprint ec2-api</v>
      </c>
    </row>
    <row r="273">
      <c r="A273" s="26" t="s">
        <v>46</v>
      </c>
      <c r="B273" s="77" t="str">
        <f>IFERROR(HYPERLINK(VLOOKUP(A273,Internal_lists_bugs!$A$2:$C$73,3,FALSE()), VLOOKUP(A273,Internal_lists_bugs!$A$2:$C$73,3,FALSE())&amp;Char(10) &amp; Char(10) &amp; VLOOKUP(A273,Internal_lists_bugs!$A$2:$Z$73,26,FALSE())),"please select a BUG ID")</f>
        <v>https://bugs.launchpad.net/nova/+bug/1434855
/os-extended-volumes/v2.3/server-get-resp.json
/os-extended-volumes/v2.3/servers-detail-resp.json </v>
      </c>
      <c r="C273" s="78" t="str">
        <f>IFERROR(VLOOKUP(A273,Internal_lists_bugs!$A$2:$X1013,24,FALSE()),"please select a BUG ID")</f>
        <v>https://www.mail-archive.com/openstack-dev@lists.openstack.org/ </v>
      </c>
      <c r="E273" s="82"/>
      <c r="F273" s="80"/>
      <c r="G273" s="16" t="s">
        <v>1080</v>
      </c>
      <c r="H273" s="79" t="s">
        <v>1067</v>
      </c>
      <c r="I273" s="59" t="s">
        <v>1081</v>
      </c>
      <c r="J273" s="81" t="str">
        <f>IFERROR(Hyperlink(VLOOKUP(A273,Internal_lists_bugs!$A$2:$G1013,7,FALSE()),"BIC: "&amp;VLOOKUP(A273,Internal_lists_bugs!$A$2:$G1013,7,FALSE())&amp;CHAR(10)&amp;"Intro.Issues: "&amp;VLOOKUP(A273,Internal_lists_bugs!$A$2:$P1013,16,FALSE())),"please select a BUG ID")</f>
        <v>BIC: https://opendev.org/openstack/nova/commit/abc656d
Intro.Issues: blueprint ec2-api</v>
      </c>
    </row>
    <row r="274">
      <c r="A274" s="26" t="s">
        <v>46</v>
      </c>
      <c r="B274" s="77" t="str">
        <f>IFERROR(HYPERLINK(VLOOKUP(A274,Internal_lists_bugs!$A$2:$C$73,3,FALSE()), VLOOKUP(A274,Internal_lists_bugs!$A$2:$C$73,3,FALSE())&amp;Char(10) &amp; Char(10) &amp; VLOOKUP(A274,Internal_lists_bugs!$A$2:$Z$73,26,FALSE())),"please select a BUG ID")</f>
        <v>https://bugs.launchpad.net/nova/+bug/1434855
/os-extended-volumes/v2.3/server-get-resp.json
/os-extended-volumes/v2.3/servers-detail-resp.json </v>
      </c>
      <c r="C274" s="78" t="str">
        <f>IFERROR(VLOOKUP(A274,Internal_lists_bugs!$A$2:$X1013,24,FALSE()),"please select a BUG ID")</f>
        <v>https://www.mail-archive.com/openstack-dev@lists.openstack.org/ </v>
      </c>
      <c r="E274" s="82"/>
      <c r="F274" s="80"/>
      <c r="G274" s="16" t="s">
        <v>1082</v>
      </c>
      <c r="H274" s="79" t="s">
        <v>1055</v>
      </c>
      <c r="I274" s="59" t="s">
        <v>1083</v>
      </c>
      <c r="J274" s="81" t="str">
        <f>IFERROR(Hyperlink(VLOOKUP(A274,Internal_lists_bugs!$A$2:$G1013,7,FALSE()),"BIC: "&amp;VLOOKUP(A274,Internal_lists_bugs!$A$2:$G1013,7,FALSE())&amp;CHAR(10)&amp;"Intro.Issues: "&amp;VLOOKUP(A274,Internal_lists_bugs!$A$2:$P1013,16,FALSE())),"please select a BUG ID")</f>
        <v>BIC: https://opendev.org/openstack/nova/commit/abc656d
Intro.Issues: blueprint ec2-api</v>
      </c>
    </row>
    <row r="275">
      <c r="A275" s="26" t="s">
        <v>46</v>
      </c>
      <c r="B275" s="77" t="str">
        <f>IFERROR(HYPERLINK(VLOOKUP(A275,Internal_lists_bugs!$A$2:$C$73,3,FALSE()), VLOOKUP(A275,Internal_lists_bugs!$A$2:$C$73,3,FALSE())&amp;Char(10) &amp; Char(10) &amp; VLOOKUP(A275,Internal_lists_bugs!$A$2:$Z$73,26,FALSE())),"please select a BUG ID")</f>
        <v>https://bugs.launchpad.net/nova/+bug/1434855
/os-extended-volumes/v2.3/server-get-resp.json
/os-extended-volumes/v2.3/servers-detail-resp.json </v>
      </c>
      <c r="C275" s="78" t="str">
        <f>IFERROR(VLOOKUP(A275,Internal_lists_bugs!$A$2:$X1013,24,FALSE()),"please select a BUG ID")</f>
        <v>https://www.mail-archive.com/openstack-dev@lists.openstack.org/ </v>
      </c>
      <c r="E275" s="82"/>
      <c r="F275" s="80"/>
      <c r="G275" s="16" t="s">
        <v>1084</v>
      </c>
      <c r="H275" s="79" t="s">
        <v>1003</v>
      </c>
      <c r="I275" s="80"/>
      <c r="J275" s="81" t="str">
        <f>IFERROR(Hyperlink(VLOOKUP(A275,Internal_lists_bugs!$A$2:$G1013,7,FALSE()),"BIC: "&amp;VLOOKUP(A275,Internal_lists_bugs!$A$2:$G1013,7,FALSE())&amp;CHAR(10)&amp;"Intro.Issues: "&amp;VLOOKUP(A275,Internal_lists_bugs!$A$2:$P1013,16,FALSE())),"please select a BUG ID")</f>
        <v>BIC: https://opendev.org/openstack/nova/commit/abc656d
Intro.Issues: blueprint ec2-api</v>
      </c>
    </row>
    <row r="276">
      <c r="A276" s="26" t="s">
        <v>46</v>
      </c>
      <c r="B276" s="77" t="str">
        <f>IFERROR(HYPERLINK(VLOOKUP(A276,Internal_lists_bugs!$A$2:$C$73,3,FALSE()), VLOOKUP(A276,Internal_lists_bugs!$A$2:$C$73,3,FALSE())&amp;Char(10) &amp; Char(10) &amp; VLOOKUP(A276,Internal_lists_bugs!$A$2:$Z$73,26,FALSE())),"please select a BUG ID")</f>
        <v>https://bugs.launchpad.net/nova/+bug/1434855
/os-extended-volumes/v2.3/server-get-resp.json
/os-extended-volumes/v2.3/servers-detail-resp.json </v>
      </c>
      <c r="C276" s="78" t="str">
        <f>IFERROR(VLOOKUP(A276,Internal_lists_bugs!$A$2:$X1013,24,FALSE()),"please select a BUG ID")</f>
        <v>https://www.mail-archive.com/openstack-dev@lists.openstack.org/ </v>
      </c>
      <c r="E276" s="82"/>
      <c r="F276" s="80"/>
      <c r="G276" s="16" t="s">
        <v>1085</v>
      </c>
      <c r="H276" s="79" t="s">
        <v>1010</v>
      </c>
      <c r="I276" s="59" t="s">
        <v>1086</v>
      </c>
      <c r="J276" s="81" t="str">
        <f>IFERROR(Hyperlink(VLOOKUP(A276,Internal_lists_bugs!$A$2:$G1013,7,FALSE()),"BIC: "&amp;VLOOKUP(A276,Internal_lists_bugs!$A$2:$G1013,7,FALSE())&amp;CHAR(10)&amp;"Intro.Issues: "&amp;VLOOKUP(A276,Internal_lists_bugs!$A$2:$P1013,16,FALSE())),"please select a BUG ID")</f>
        <v>BIC: https://opendev.org/openstack/nova/commit/abc656d
Intro.Issues: blueprint ec2-api</v>
      </c>
    </row>
    <row r="277">
      <c r="A277" s="26" t="s">
        <v>46</v>
      </c>
      <c r="B277" s="77" t="str">
        <f>IFERROR(HYPERLINK(VLOOKUP(A277,Internal_lists_bugs!$A$2:$C$73,3,FALSE()), VLOOKUP(A277,Internal_lists_bugs!$A$2:$C$73,3,FALSE())&amp;Char(10) &amp; Char(10) &amp; VLOOKUP(A277,Internal_lists_bugs!$A$2:$Z$73,26,FALSE())),"please select a BUG ID")</f>
        <v>https://bugs.launchpad.net/nova/+bug/1434855
/os-extended-volumes/v2.3/server-get-resp.json
/os-extended-volumes/v2.3/servers-detail-resp.json </v>
      </c>
      <c r="C277" s="78" t="str">
        <f>IFERROR(VLOOKUP(A277,Internal_lists_bugs!$A$2:$X1013,24,FALSE()),"please select a BUG ID")</f>
        <v>https://www.mail-archive.com/openstack-dev@lists.openstack.org/ </v>
      </c>
      <c r="E277" s="82"/>
      <c r="F277" s="80"/>
      <c r="G277" s="16" t="s">
        <v>1085</v>
      </c>
      <c r="H277" s="79" t="s">
        <v>1087</v>
      </c>
      <c r="I277" s="59" t="s">
        <v>1088</v>
      </c>
      <c r="J277" s="81" t="str">
        <f>IFERROR(Hyperlink(VLOOKUP(A277,Internal_lists_bugs!$A$2:$G1013,7,FALSE()),"BIC: "&amp;VLOOKUP(A277,Internal_lists_bugs!$A$2:$G1013,7,FALSE())&amp;CHAR(10)&amp;"Intro.Issues: "&amp;VLOOKUP(A277,Internal_lists_bugs!$A$2:$P1013,16,FALSE())),"please select a BUG ID")</f>
        <v>BIC: https://opendev.org/openstack/nova/commit/abc656d
Intro.Issues: blueprint ec2-api</v>
      </c>
    </row>
    <row r="278">
      <c r="A278" s="26" t="s">
        <v>46</v>
      </c>
      <c r="B278" s="77" t="str">
        <f>IFERROR(HYPERLINK(VLOOKUP(A278,Internal_lists_bugs!$A$2:$C$73,3,FALSE()), VLOOKUP(A278,Internal_lists_bugs!$A$2:$C$73,3,FALSE())&amp;Char(10) &amp; Char(10) &amp; VLOOKUP(A278,Internal_lists_bugs!$A$2:$Z$73,26,FALSE())),"please select a BUG ID")</f>
        <v>https://bugs.launchpad.net/nova/+bug/1434855
/os-extended-volumes/v2.3/server-get-resp.json
/os-extended-volumes/v2.3/servers-detail-resp.json </v>
      </c>
      <c r="C278" s="78" t="str">
        <f>IFERROR(VLOOKUP(A278,Internal_lists_bugs!$A$2:$X1013,24,FALSE()),"please select a BUG ID")</f>
        <v>https://www.mail-archive.com/openstack-dev@lists.openstack.org/ </v>
      </c>
      <c r="E278" s="82"/>
      <c r="F278" s="80"/>
      <c r="G278" s="16" t="s">
        <v>1089</v>
      </c>
      <c r="H278" s="79" t="s">
        <v>1090</v>
      </c>
      <c r="I278" s="84" t="s">
        <v>1091</v>
      </c>
      <c r="J278" s="81" t="str">
        <f>IFERROR(Hyperlink(VLOOKUP(A278,Internal_lists_bugs!$A$2:$G1013,7,FALSE()),"BIC: "&amp;VLOOKUP(A278,Internal_lists_bugs!$A$2:$G1013,7,FALSE())&amp;CHAR(10)&amp;"Intro.Issues: "&amp;VLOOKUP(A278,Internal_lists_bugs!$A$2:$P1013,16,FALSE())),"please select a BUG ID")</f>
        <v>BIC: https://opendev.org/openstack/nova/commit/abc656d
Intro.Issues: blueprint ec2-api</v>
      </c>
    </row>
    <row r="279">
      <c r="A279" s="26" t="s">
        <v>46</v>
      </c>
      <c r="B279" s="77" t="str">
        <f>IFERROR(HYPERLINK(VLOOKUP(A279,Internal_lists_bugs!$A$2:$C$73,3,FALSE()), VLOOKUP(A279,Internal_lists_bugs!$A$2:$C$73,3,FALSE())&amp;Char(10) &amp; Char(10) &amp; VLOOKUP(A279,Internal_lists_bugs!$A$2:$Z$73,26,FALSE())),"please select a BUG ID")</f>
        <v>https://bugs.launchpad.net/nova/+bug/1434855
/os-extended-volumes/v2.3/server-get-resp.json
/os-extended-volumes/v2.3/servers-detail-resp.json </v>
      </c>
      <c r="C279" s="78" t="str">
        <f>IFERROR(VLOOKUP(A279,Internal_lists_bugs!$A$2:$X1013,24,FALSE()),"please select a BUG ID")</f>
        <v>https://www.mail-archive.com/openstack-dev@lists.openstack.org/ </v>
      </c>
      <c r="E279" s="82"/>
      <c r="F279" s="80"/>
      <c r="G279" s="16" t="s">
        <v>1089</v>
      </c>
      <c r="H279" s="79" t="s">
        <v>1092</v>
      </c>
      <c r="I279" s="84" t="s">
        <v>1093</v>
      </c>
      <c r="J279" s="81" t="str">
        <f>IFERROR(Hyperlink(VLOOKUP(A279,Internal_lists_bugs!$A$2:$G1013,7,FALSE()),"BIC: "&amp;VLOOKUP(A279,Internal_lists_bugs!$A$2:$G1013,7,FALSE())&amp;CHAR(10)&amp;"Intro.Issues: "&amp;VLOOKUP(A279,Internal_lists_bugs!$A$2:$P1013,16,FALSE())),"please select a BUG ID")</f>
        <v>BIC: https://opendev.org/openstack/nova/commit/abc656d
Intro.Issues: blueprint ec2-api</v>
      </c>
    </row>
    <row r="280">
      <c r="A280" s="26" t="s">
        <v>46</v>
      </c>
      <c r="B280" s="77" t="str">
        <f>IFERROR(HYPERLINK(VLOOKUP(A280,Internal_lists_bugs!$A$2:$C$73,3,FALSE()), VLOOKUP(A280,Internal_lists_bugs!$A$2:$C$73,3,FALSE())&amp;Char(10) &amp; Char(10) &amp; VLOOKUP(A280,Internal_lists_bugs!$A$2:$Z$73,26,FALSE())),"please select a BUG ID")</f>
        <v>https://bugs.launchpad.net/nova/+bug/1434855
/os-extended-volumes/v2.3/server-get-resp.json
/os-extended-volumes/v2.3/servers-detail-resp.json </v>
      </c>
      <c r="C280" s="78" t="str">
        <f>IFERROR(VLOOKUP(A280,Internal_lists_bugs!$A$2:$X1013,24,FALSE()),"please select a BUG ID")</f>
        <v>https://www.mail-archive.com/openstack-dev@lists.openstack.org/ </v>
      </c>
      <c r="E280" s="82"/>
      <c r="F280" s="80"/>
      <c r="G280" s="16" t="s">
        <v>1089</v>
      </c>
      <c r="H280" s="79" t="s">
        <v>1059</v>
      </c>
      <c r="I280" s="84" t="s">
        <v>1094</v>
      </c>
      <c r="J280" s="81" t="str">
        <f>IFERROR(Hyperlink(VLOOKUP(A280,Internal_lists_bugs!$A$2:$G1013,7,FALSE()),"BIC: "&amp;VLOOKUP(A280,Internal_lists_bugs!$A$2:$G1013,7,FALSE())&amp;CHAR(10)&amp;"Intro.Issues: "&amp;VLOOKUP(A280,Internal_lists_bugs!$A$2:$P1013,16,FALSE())),"please select a BUG ID")</f>
        <v>BIC: https://opendev.org/openstack/nova/commit/abc656d
Intro.Issues: blueprint ec2-api</v>
      </c>
    </row>
    <row r="281">
      <c r="A281" s="26" t="s">
        <v>46</v>
      </c>
      <c r="B281" s="77" t="str">
        <f>IFERROR(HYPERLINK(VLOOKUP(A281,Internal_lists_bugs!$A$2:$C$73,3,FALSE()), VLOOKUP(A281,Internal_lists_bugs!$A$2:$C$73,3,FALSE())&amp;Char(10) &amp; Char(10) &amp; VLOOKUP(A281,Internal_lists_bugs!$A$2:$Z$73,26,FALSE())),"please select a BUG ID")</f>
        <v>https://bugs.launchpad.net/nova/+bug/1434855
/os-extended-volumes/v2.3/server-get-resp.json
/os-extended-volumes/v2.3/servers-detail-resp.json </v>
      </c>
      <c r="C281" s="78" t="str">
        <f>IFERROR(VLOOKUP(A281,Internal_lists_bugs!$A$2:$X1013,24,FALSE()),"please select a BUG ID")</f>
        <v>https://www.mail-archive.com/openstack-dev@lists.openstack.org/ </v>
      </c>
      <c r="E281" s="82"/>
      <c r="F281" s="80"/>
      <c r="G281" s="16" t="s">
        <v>1089</v>
      </c>
      <c r="H281" s="79" t="s">
        <v>1095</v>
      </c>
      <c r="I281" s="84" t="s">
        <v>1096</v>
      </c>
      <c r="J281" s="81" t="str">
        <f>IFERROR(Hyperlink(VLOOKUP(A281,Internal_lists_bugs!$A$2:$G1013,7,FALSE()),"BIC: "&amp;VLOOKUP(A281,Internal_lists_bugs!$A$2:$G1013,7,FALSE())&amp;CHAR(10)&amp;"Intro.Issues: "&amp;VLOOKUP(A281,Internal_lists_bugs!$A$2:$P1013,16,FALSE())),"please select a BUG ID")</f>
        <v>BIC: https://opendev.org/openstack/nova/commit/abc656d
Intro.Issues: blueprint ec2-api</v>
      </c>
    </row>
    <row r="282">
      <c r="A282" s="26" t="s">
        <v>46</v>
      </c>
      <c r="B282" s="77" t="str">
        <f>IFERROR(HYPERLINK(VLOOKUP(A282,Internal_lists_bugs!$A$2:$C$73,3,FALSE()), VLOOKUP(A282,Internal_lists_bugs!$A$2:$C$73,3,FALSE())&amp;Char(10) &amp; Char(10) &amp; VLOOKUP(A282,Internal_lists_bugs!$A$2:$Z$73,26,FALSE())),"please select a BUG ID")</f>
        <v>https://bugs.launchpad.net/nova/+bug/1434855
/os-extended-volumes/v2.3/server-get-resp.json
/os-extended-volumes/v2.3/servers-detail-resp.json </v>
      </c>
      <c r="C282" s="78" t="str">
        <f>IFERROR(VLOOKUP(A282,Internal_lists_bugs!$A$2:$X1013,24,FALSE()),"please select a BUG ID")</f>
        <v>https://www.mail-archive.com/openstack-dev@lists.openstack.org/ </v>
      </c>
      <c r="E282" s="82"/>
      <c r="F282" s="80"/>
      <c r="G282" s="16" t="s">
        <v>1089</v>
      </c>
      <c r="H282" s="79" t="s">
        <v>757</v>
      </c>
      <c r="I282" s="59" t="s">
        <v>1097</v>
      </c>
      <c r="J282" s="81" t="str">
        <f>IFERROR(Hyperlink(VLOOKUP(A282,Internal_lists_bugs!$A$2:$G1013,7,FALSE()),"BIC: "&amp;VLOOKUP(A282,Internal_lists_bugs!$A$2:$G1013,7,FALSE())&amp;CHAR(10)&amp;"Intro.Issues: "&amp;VLOOKUP(A282,Internal_lists_bugs!$A$2:$P1013,16,FALSE())),"please select a BUG ID")</f>
        <v>BIC: https://opendev.org/openstack/nova/commit/abc656d
Intro.Issues: blueprint ec2-api</v>
      </c>
    </row>
    <row r="283">
      <c r="A283" s="26" t="s">
        <v>46</v>
      </c>
      <c r="B283" s="77" t="str">
        <f>IFERROR(HYPERLINK(VLOOKUP(A283,Internal_lists_bugs!$A$2:$C$73,3,FALSE()), VLOOKUP(A283,Internal_lists_bugs!$A$2:$C$73,3,FALSE())&amp;Char(10) &amp; Char(10) &amp; VLOOKUP(A283,Internal_lists_bugs!$A$2:$Z$73,26,FALSE())),"please select a BUG ID")</f>
        <v>https://bugs.launchpad.net/nova/+bug/1434855
/os-extended-volumes/v2.3/server-get-resp.json
/os-extended-volumes/v2.3/servers-detail-resp.json </v>
      </c>
      <c r="C283" s="78" t="str">
        <f>IFERROR(VLOOKUP(A283,Internal_lists_bugs!$A$2:$X1013,24,FALSE()),"please select a BUG ID")</f>
        <v>https://www.mail-archive.com/openstack-dev@lists.openstack.org/ </v>
      </c>
      <c r="E283" s="82"/>
      <c r="F283" s="80"/>
      <c r="G283" s="16" t="s">
        <v>1089</v>
      </c>
      <c r="H283" s="79" t="s">
        <v>753</v>
      </c>
      <c r="I283" s="59" t="s">
        <v>1098</v>
      </c>
      <c r="J283" s="81" t="str">
        <f>IFERROR(Hyperlink(VLOOKUP(A283,Internal_lists_bugs!$A$2:$G1013,7,FALSE()),"BIC: "&amp;VLOOKUP(A283,Internal_lists_bugs!$A$2:$G1013,7,FALSE())&amp;CHAR(10)&amp;"Intro.Issues: "&amp;VLOOKUP(A283,Internal_lists_bugs!$A$2:$P1013,16,FALSE())),"please select a BUG ID")</f>
        <v>BIC: https://opendev.org/openstack/nova/commit/abc656d
Intro.Issues: blueprint ec2-api</v>
      </c>
    </row>
    <row r="284">
      <c r="A284" s="26" t="s">
        <v>46</v>
      </c>
      <c r="B284" s="77" t="str">
        <f>IFERROR(HYPERLINK(VLOOKUP(A284,Internal_lists_bugs!$A$2:$C$73,3,FALSE()), VLOOKUP(A284,Internal_lists_bugs!$A$2:$C$73,3,FALSE())&amp;Char(10) &amp; Char(10) &amp; VLOOKUP(A284,Internal_lists_bugs!$A$2:$Z$73,26,FALSE())),"please select a BUG ID")</f>
        <v>https://bugs.launchpad.net/nova/+bug/1434855
/os-extended-volumes/v2.3/server-get-resp.json
/os-extended-volumes/v2.3/servers-detail-resp.json </v>
      </c>
      <c r="C284" s="78" t="str">
        <f>IFERROR(VLOOKUP(A284,Internal_lists_bugs!$A$2:$X1013,24,FALSE()),"please select a BUG ID")</f>
        <v>https://www.mail-archive.com/openstack-dev@lists.openstack.org/ </v>
      </c>
      <c r="E284" s="82"/>
      <c r="F284" s="80"/>
      <c r="G284" s="16" t="s">
        <v>1089</v>
      </c>
      <c r="H284" s="79" t="s">
        <v>1099</v>
      </c>
      <c r="I284" s="59" t="s">
        <v>1100</v>
      </c>
      <c r="J284" s="81" t="str">
        <f>IFERROR(Hyperlink(VLOOKUP(A284,Internal_lists_bugs!$A$2:$G1013,7,FALSE()),"BIC: "&amp;VLOOKUP(A284,Internal_lists_bugs!$A$2:$G1013,7,FALSE())&amp;CHAR(10)&amp;"Intro.Issues: "&amp;VLOOKUP(A284,Internal_lists_bugs!$A$2:$P1013,16,FALSE())),"please select a BUG ID")</f>
        <v>BIC: https://opendev.org/openstack/nova/commit/abc656d
Intro.Issues: blueprint ec2-api</v>
      </c>
    </row>
    <row r="285">
      <c r="A285" s="26"/>
      <c r="B285" s="88" t="str">
        <f>IFERROR(HYPERLINK(VLOOKUP(A285,Internal_lists_bugs!$A$2:$C$73,3,FALSE()), VLOOKUP(A285,Internal_lists_bugs!$A$2:$C$73,3,FALSE())&amp;Char(10) &amp; Char(10) &amp; VLOOKUP(A285,Internal_lists_bugs!$A$2:$Z$73,26,FALSE())),"please select a BUG ID")</f>
        <v>please select a BUG ID</v>
      </c>
      <c r="C285" s="89" t="str">
        <f>IFERROR(VLOOKUP(A285,Internal_lists_bugs!$A$2:$X1013,24,FALSE()),"please select a BUG ID")</f>
        <v>please select a BUG ID</v>
      </c>
      <c r="E285" s="82"/>
      <c r="F285" s="80"/>
      <c r="G285" s="16"/>
      <c r="H285" s="79"/>
      <c r="I285" s="59"/>
      <c r="J285" s="51" t="str">
        <f>IFERROR(Hyperlink(VLOOKUP(A285,Internal_lists_bugs!$A$2:$G1013,7,FALSE()),"BIC: "&amp;VLOOKUP(A285,Internal_lists_bugs!$A$2:$G1013,7,FALSE())&amp;CHAR(10)&amp;"Intro.Issues: "&amp;VLOOKUP(A285,Internal_lists_bugs!$A$2:$P1013,16,FALSE())),"please select a BUG ID")</f>
        <v>please select a BUG ID</v>
      </c>
    </row>
    <row r="286">
      <c r="A286" s="26"/>
      <c r="B286" s="88" t="str">
        <f>IFERROR(HYPERLINK(VLOOKUP(A286,Internal_lists_bugs!$A$2:$C$73,3,FALSE()), VLOOKUP(A286,Internal_lists_bugs!$A$2:$C$73,3,FALSE())&amp;Char(10) &amp; Char(10) &amp; VLOOKUP(A286,Internal_lists_bugs!$A$2:$Z$73,26,FALSE())),"please select a BUG ID")</f>
        <v>please select a BUG ID</v>
      </c>
      <c r="C286" s="89" t="str">
        <f>IFERROR(VLOOKUP(A286,Internal_lists_bugs!$A$2:$X1013,24,FALSE()),"please select a BUG ID")</f>
        <v>please select a BUG ID</v>
      </c>
      <c r="E286" s="82"/>
      <c r="F286" s="80"/>
      <c r="G286" s="16"/>
      <c r="H286" s="79"/>
      <c r="I286" s="59"/>
      <c r="J286" s="51" t="str">
        <f>IFERROR(Hyperlink(VLOOKUP(A286,Internal_lists_bugs!$A$2:$G1013,7,FALSE()),"BIC: "&amp;VLOOKUP(A286,Internal_lists_bugs!$A$2:$G1013,7,FALSE())&amp;CHAR(10)&amp;"Intro.Issues: "&amp;VLOOKUP(A286,Internal_lists_bugs!$A$2:$P1013,16,FALSE())),"please select a BUG ID")</f>
        <v>please select a BUG ID</v>
      </c>
    </row>
    <row r="287">
      <c r="A287" s="26"/>
      <c r="B287" s="88" t="str">
        <f>IFERROR(HYPERLINK(VLOOKUP(A287,Internal_lists_bugs!$A$2:$C$73,3,FALSE()), VLOOKUP(A287,Internal_lists_bugs!$A$2:$C$73,3,FALSE())&amp;Char(10) &amp; Char(10) &amp; VLOOKUP(A287,Internal_lists_bugs!$A$2:$Z$73,26,FALSE())),"please select a BUG ID")</f>
        <v>please select a BUG ID</v>
      </c>
      <c r="C287" s="89" t="str">
        <f>IFERROR(VLOOKUP(A287,Internal_lists_bugs!$A$2:$X1013,24,FALSE()),"please select a BUG ID")</f>
        <v>please select a BUG ID</v>
      </c>
      <c r="E287" s="82"/>
      <c r="F287" s="80"/>
      <c r="G287" s="16"/>
      <c r="H287" s="79"/>
      <c r="I287" s="59"/>
      <c r="J287" s="51" t="str">
        <f>IFERROR(Hyperlink(VLOOKUP(A287,Internal_lists_bugs!$A$2:$G1013,7,FALSE()),"BIC: "&amp;VLOOKUP(A287,Internal_lists_bugs!$A$2:$G1013,7,FALSE())&amp;CHAR(10)&amp;"Intro.Issues: "&amp;VLOOKUP(A287,Internal_lists_bugs!$A$2:$P1013,16,FALSE())),"please select a BUG ID")</f>
        <v>please select a BUG ID</v>
      </c>
    </row>
    <row r="288">
      <c r="A288" s="26"/>
      <c r="B288" s="88" t="str">
        <f>IFERROR(HYPERLINK(VLOOKUP(A288,Internal_lists_bugs!$A$2:$C$73,3,FALSE()), VLOOKUP(A288,Internal_lists_bugs!$A$2:$C$73,3,FALSE())&amp;Char(10) &amp; Char(10) &amp; VLOOKUP(A288,Internal_lists_bugs!$A$2:$Z$73,26,FALSE())),"please select a BUG ID")</f>
        <v>please select a BUG ID</v>
      </c>
      <c r="C288" s="89" t="str">
        <f>IFERROR(VLOOKUP(A288,Internal_lists_bugs!$A$2:$X1013,24,FALSE()),"please select a BUG ID")</f>
        <v>please select a BUG ID</v>
      </c>
      <c r="E288" s="82"/>
      <c r="F288" s="80"/>
      <c r="H288" s="79"/>
      <c r="I288" s="80"/>
      <c r="J288" s="51" t="str">
        <f>IFERROR(Hyperlink(VLOOKUP(A288,Internal_lists_bugs!$A$2:$G1013,7,FALSE()),"BIC: "&amp;VLOOKUP(A288,Internal_lists_bugs!$A$2:$G1013,7,FALSE())&amp;CHAR(10)&amp;"Intro.Issues: "&amp;VLOOKUP(A288,Internal_lists_bugs!$A$2:$P1013,16,FALSE())),"please select a BUG ID")</f>
        <v>please select a BUG ID</v>
      </c>
    </row>
    <row r="289">
      <c r="A289" s="26"/>
      <c r="B289" s="88" t="str">
        <f>IFERROR(HYPERLINK(VLOOKUP(A289,Internal_lists_bugs!$A$2:$C$73,3,FALSE()), VLOOKUP(A289,Internal_lists_bugs!$A$2:$C$73,3,FALSE())&amp;Char(10) &amp; Char(10) &amp; VLOOKUP(A289,Internal_lists_bugs!$A$2:$Z$73,26,FALSE())),"please select a BUG ID")</f>
        <v>please select a BUG ID</v>
      </c>
      <c r="C289" s="89" t="str">
        <f>IFERROR(VLOOKUP(A289,Internal_lists_bugs!$A$2:$X1013,24,FALSE()),"please select a BUG ID")</f>
        <v>please select a BUG ID</v>
      </c>
      <c r="E289" s="82"/>
      <c r="F289" s="80"/>
      <c r="H289" s="79"/>
      <c r="I289" s="80"/>
      <c r="J289" s="51" t="str">
        <f>IFERROR(Hyperlink(VLOOKUP(A289,Internal_lists_bugs!$A$2:$G1013,7,FALSE()),"BIC: "&amp;VLOOKUP(A289,Internal_lists_bugs!$A$2:$G1013,7,FALSE())&amp;CHAR(10)&amp;"Intro.Issues: "&amp;VLOOKUP(A289,Internal_lists_bugs!$A$2:$P1013,16,FALSE())),"please select a BUG ID")</f>
        <v>please select a BUG ID</v>
      </c>
    </row>
    <row r="290">
      <c r="A290" s="26"/>
      <c r="B290" s="88" t="str">
        <f>IFERROR(HYPERLINK(VLOOKUP(A290,Internal_lists_bugs!$A$2:$C$73,3,FALSE()), VLOOKUP(A290,Internal_lists_bugs!$A$2:$C$73,3,FALSE())&amp;Char(10) &amp; Char(10) &amp; VLOOKUP(A290,Internal_lists_bugs!$A$2:$Z$73,26,FALSE())),"please select a BUG ID")</f>
        <v>please select a BUG ID</v>
      </c>
      <c r="C290" s="89" t="str">
        <f>IFERROR(VLOOKUP(A290,Internal_lists_bugs!$A$2:$X1013,24,FALSE()),"please select a BUG ID")</f>
        <v>please select a BUG ID</v>
      </c>
      <c r="E290" s="82"/>
      <c r="F290" s="80"/>
      <c r="H290" s="82"/>
      <c r="I290" s="80"/>
      <c r="J290" s="51" t="str">
        <f>IFERROR(Hyperlink(VLOOKUP(A290,Internal_lists_bugs!$A$2:$G1013,7,FALSE()),"BIC: "&amp;VLOOKUP(A290,Internal_lists_bugs!$A$2:$G1013,7,FALSE())&amp;CHAR(10)&amp;"Intro.Issues: "&amp;VLOOKUP(A290,Internal_lists_bugs!$A$2:$P1013,16,FALSE())),"please select a BUG ID")</f>
        <v>please select a BUG ID</v>
      </c>
    </row>
    <row r="291">
      <c r="A291" s="26"/>
      <c r="B291" s="88" t="str">
        <f>IFERROR(HYPERLINK(VLOOKUP(A291,Internal_lists_bugs!$A$2:$C$73,3,FALSE()), VLOOKUP(A291,Internal_lists_bugs!$A$2:$C$73,3,FALSE())&amp;Char(10) &amp; Char(10) &amp; VLOOKUP(A291,Internal_lists_bugs!$A$2:$Z$73,26,FALSE())),"please select a BUG ID")</f>
        <v>please select a BUG ID</v>
      </c>
      <c r="C291" s="89" t="str">
        <f>IFERROR(VLOOKUP(A291,Internal_lists_bugs!$A$2:$X1013,24,FALSE()),"please select a BUG ID")</f>
        <v>please select a BUG ID</v>
      </c>
      <c r="E291" s="82"/>
      <c r="F291" s="80"/>
      <c r="H291" s="82"/>
      <c r="I291" s="80"/>
      <c r="J291" s="51" t="str">
        <f>IFERROR(Hyperlink(VLOOKUP(A291,Internal_lists_bugs!$A$2:$G1013,7,FALSE()),"BIC: "&amp;VLOOKUP(A291,Internal_lists_bugs!$A$2:$G1013,7,FALSE())&amp;CHAR(10)&amp;"Intro.Issues: "&amp;VLOOKUP(A291,Internal_lists_bugs!$A$2:$P1013,16,FALSE())),"please select a BUG ID")</f>
        <v>please select a BUG ID</v>
      </c>
    </row>
    <row r="292">
      <c r="A292" s="57"/>
      <c r="B292" s="88" t="str">
        <f>IFERROR(HYPERLINK(VLOOKUP(A292,Internal_lists_bugs!$A$2:$C$73,3,FALSE()), VLOOKUP(A292,Internal_lists_bugs!$A$2:$C$73,3,FALSE())&amp;Char(10) &amp; Char(10) &amp; VLOOKUP(A292,Internal_lists_bugs!$A$2:$Z$73,26,FALSE())),"please select a BUG ID")</f>
        <v>please select a BUG ID</v>
      </c>
      <c r="C292" s="89" t="str">
        <f>IFERROR(VLOOKUP(A292,Internal_lists_bugs!$A$2:$X1013,24,FALSE()),"please select a BUG ID")</f>
        <v>please select a BUG ID</v>
      </c>
      <c r="E292" s="82"/>
      <c r="F292" s="80"/>
      <c r="H292" s="82"/>
      <c r="I292" s="80"/>
      <c r="J292" s="51" t="str">
        <f>IFERROR(Hyperlink(VLOOKUP(A292,Internal_lists_bugs!$A$2:$G1013,7,FALSE()),"BIC: "&amp;VLOOKUP(A292,Internal_lists_bugs!$A$2:$G1013,7,FALSE())&amp;CHAR(10)&amp;"Intro.Issues: "&amp;VLOOKUP(A292,Internal_lists_bugs!$A$2:$P1013,16,FALSE())),"please select a BUG ID")</f>
        <v>please select a BUG ID</v>
      </c>
    </row>
    <row r="293">
      <c r="A293" s="57"/>
      <c r="B293" s="88" t="str">
        <f>IFERROR(HYPERLINK(VLOOKUP(A293,Internal_lists_bugs!$A$2:$C$73,3,FALSE()), VLOOKUP(A293,Internal_lists_bugs!$A$2:$C$73,3,FALSE())&amp;Char(10) &amp; Char(10) &amp; VLOOKUP(A293,Internal_lists_bugs!$A$2:$Z$73,26,FALSE())),"please select a BUG ID")</f>
        <v>please select a BUG ID</v>
      </c>
      <c r="C293" s="89" t="str">
        <f>IFERROR(VLOOKUP(A293,Internal_lists_bugs!$A$2:$X1013,24,FALSE()),"please select a BUG ID")</f>
        <v>please select a BUG ID</v>
      </c>
      <c r="E293" s="82"/>
      <c r="F293" s="80"/>
      <c r="H293" s="82"/>
      <c r="I293" s="80"/>
      <c r="J293" s="51" t="str">
        <f>IFERROR(Hyperlink(VLOOKUP(A293,Internal_lists_bugs!$A$2:$G1013,7,FALSE()),"BIC: "&amp;VLOOKUP(A293,Internal_lists_bugs!$A$2:$G1013,7,FALSE())&amp;CHAR(10)&amp;"Intro.Issues: "&amp;VLOOKUP(A293,Internal_lists_bugs!$A$2:$P1013,16,FALSE())),"please select a BUG ID")</f>
        <v>please select a BUG ID</v>
      </c>
    </row>
    <row r="294">
      <c r="A294" s="57"/>
      <c r="B294" s="88" t="str">
        <f>IFERROR(HYPERLINK(VLOOKUP(A294,Internal_lists_bugs!$A$2:$C$73,3,FALSE()), VLOOKUP(A294,Internal_lists_bugs!$A$2:$C$73,3,FALSE())&amp;Char(10) &amp; Char(10) &amp; VLOOKUP(A294,Internal_lists_bugs!$A$2:$Z$73,26,FALSE())),"please select a BUG ID")</f>
        <v>please select a BUG ID</v>
      </c>
      <c r="C294" s="89" t="str">
        <f>IFERROR(VLOOKUP(A294,Internal_lists_bugs!$A$2:$X1013,24,FALSE()),"please select a BUG ID")</f>
        <v>please select a BUG ID</v>
      </c>
      <c r="E294" s="82"/>
      <c r="F294" s="80"/>
      <c r="H294" s="82"/>
      <c r="I294" s="80"/>
      <c r="J294" s="51" t="str">
        <f>IFERROR(Hyperlink(VLOOKUP(A294,Internal_lists_bugs!$A$2:$G1013,7,FALSE()),"BIC: "&amp;VLOOKUP(A294,Internal_lists_bugs!$A$2:$G1013,7,FALSE())&amp;CHAR(10)&amp;"Intro.Issues: "&amp;VLOOKUP(A294,Internal_lists_bugs!$A$2:$P1013,16,FALSE())),"please select a BUG ID")</f>
        <v>please select a BUG ID</v>
      </c>
    </row>
    <row r="295">
      <c r="A295" s="57"/>
      <c r="B295" s="88" t="str">
        <f>IFERROR(HYPERLINK(VLOOKUP(A295,Internal_lists_bugs!$A$2:$C$73,3,FALSE()), VLOOKUP(A295,Internal_lists_bugs!$A$2:$C$73,3,FALSE())&amp;Char(10) &amp; Char(10) &amp; VLOOKUP(A295,Internal_lists_bugs!$A$2:$Z$73,26,FALSE())),"please select a BUG ID")</f>
        <v>please select a BUG ID</v>
      </c>
      <c r="C295" s="89" t="str">
        <f>IFERROR(VLOOKUP(A295,Internal_lists_bugs!$A$2:$X1013,24,FALSE()),"please select a BUG ID")</f>
        <v>please select a BUG ID</v>
      </c>
      <c r="E295" s="82"/>
      <c r="F295" s="80"/>
      <c r="H295" s="82"/>
      <c r="I295" s="80"/>
      <c r="J295" s="51" t="str">
        <f>IFERROR(Hyperlink(VLOOKUP(A295,Internal_lists_bugs!$A$2:$G1013,7,FALSE()),"BIC: "&amp;VLOOKUP(A295,Internal_lists_bugs!$A$2:$G1013,7,FALSE())&amp;CHAR(10)&amp;"Intro.Issues: "&amp;VLOOKUP(A295,Internal_lists_bugs!$A$2:$P1013,16,FALSE())),"please select a BUG ID")</f>
        <v>please select a BUG ID</v>
      </c>
    </row>
    <row r="296">
      <c r="A296" s="57"/>
      <c r="B296" s="88" t="str">
        <f>IFERROR(HYPERLINK(VLOOKUP(A296,Internal_lists_bugs!$A$2:$C$73,3,FALSE()), VLOOKUP(A296,Internal_lists_bugs!$A$2:$C$73,3,FALSE())&amp;Char(10) &amp; Char(10) &amp; VLOOKUP(A296,Internal_lists_bugs!$A$2:$Z$73,26,FALSE())),"please select a BUG ID")</f>
        <v>please select a BUG ID</v>
      </c>
      <c r="C296" s="89" t="str">
        <f>IFERROR(VLOOKUP(A296,Internal_lists_bugs!$A$2:$X1013,24,FALSE()),"please select a BUG ID")</f>
        <v>please select a BUG ID</v>
      </c>
      <c r="E296" s="82"/>
      <c r="F296" s="80"/>
      <c r="H296" s="82"/>
      <c r="I296" s="80"/>
      <c r="J296" s="51" t="str">
        <f>IFERROR(Hyperlink(VLOOKUP(A296,Internal_lists_bugs!$A$2:$G1013,7,FALSE()),"BIC: "&amp;VLOOKUP(A296,Internal_lists_bugs!$A$2:$G1013,7,FALSE())&amp;CHAR(10)&amp;"Intro.Issues: "&amp;VLOOKUP(A296,Internal_lists_bugs!$A$2:$P1013,16,FALSE())),"please select a BUG ID")</f>
        <v>please select a BUG ID</v>
      </c>
    </row>
    <row r="297">
      <c r="A297" s="57"/>
      <c r="B297" s="88" t="str">
        <f>IFERROR(HYPERLINK(VLOOKUP(A297,Internal_lists_bugs!$A$2:$C$73,3,FALSE()), VLOOKUP(A297,Internal_lists_bugs!$A$2:$C$73,3,FALSE())&amp;Char(10) &amp; Char(10) &amp; VLOOKUP(A297,Internal_lists_bugs!$A$2:$Z$73,26,FALSE())),"please select a BUG ID")</f>
        <v>please select a BUG ID</v>
      </c>
      <c r="C297" s="89" t="str">
        <f>IFERROR(VLOOKUP(A297,Internal_lists_bugs!$A$2:$X1013,24,FALSE()),"please select a BUG ID")</f>
        <v>please select a BUG ID</v>
      </c>
      <c r="E297" s="82"/>
      <c r="F297" s="80"/>
      <c r="H297" s="82"/>
      <c r="I297" s="80"/>
      <c r="J297" s="51" t="str">
        <f>IFERROR(Hyperlink(VLOOKUP(A297,Internal_lists_bugs!$A$2:$G1013,7,FALSE()),"BIC: "&amp;VLOOKUP(A297,Internal_lists_bugs!$A$2:$G1013,7,FALSE())&amp;CHAR(10)&amp;"Intro.Issues: "&amp;VLOOKUP(A297,Internal_lists_bugs!$A$2:$P1013,16,FALSE())),"please select a BUG ID")</f>
        <v>please select a BUG ID</v>
      </c>
    </row>
    <row r="298">
      <c r="A298" s="57"/>
      <c r="B298" s="88" t="str">
        <f>IFERROR(HYPERLINK(VLOOKUP(A298,Internal_lists_bugs!$A$2:$C$73,3,FALSE()), VLOOKUP(A298,Internal_lists_bugs!$A$2:$C$73,3,FALSE())&amp;Char(10) &amp; Char(10) &amp; VLOOKUP(A298,Internal_lists_bugs!$A$2:$Z$73,26,FALSE())),"please select a BUG ID")</f>
        <v>please select a BUG ID</v>
      </c>
      <c r="C298" s="89" t="str">
        <f>IFERROR(VLOOKUP(A298,Internal_lists_bugs!$A$2:$X1013,24,FALSE()),"please select a BUG ID")</f>
        <v>please select a BUG ID</v>
      </c>
      <c r="E298" s="82"/>
      <c r="F298" s="80"/>
      <c r="H298" s="82"/>
      <c r="I298" s="80"/>
      <c r="J298" s="51" t="str">
        <f>IFERROR(Hyperlink(VLOOKUP(A298,Internal_lists_bugs!$A$2:$G1013,7,FALSE()),"BIC: "&amp;VLOOKUP(A298,Internal_lists_bugs!$A$2:$G1013,7,FALSE())&amp;CHAR(10)&amp;"Intro.Issues: "&amp;VLOOKUP(A298,Internal_lists_bugs!$A$2:$P1013,16,FALSE())),"please select a BUG ID")</f>
        <v>please select a BUG ID</v>
      </c>
    </row>
    <row r="299">
      <c r="A299" s="57"/>
      <c r="B299" s="88" t="str">
        <f>IFERROR(HYPERLINK(VLOOKUP(A299,Internal_lists_bugs!$A$2:$C$73,3,FALSE()), VLOOKUP(A299,Internal_lists_bugs!$A$2:$C$73,3,FALSE())&amp;Char(10) &amp; Char(10) &amp; VLOOKUP(A299,Internal_lists_bugs!$A$2:$Z$73,26,FALSE())),"please select a BUG ID")</f>
        <v>please select a BUG ID</v>
      </c>
      <c r="C299" s="89" t="str">
        <f>IFERROR(VLOOKUP(A299,Internal_lists_bugs!$A$2:$X1013,24,FALSE()),"please select a BUG ID")</f>
        <v>please select a BUG ID</v>
      </c>
      <c r="E299" s="82"/>
      <c r="F299" s="80"/>
      <c r="H299" s="82"/>
      <c r="I299" s="80"/>
      <c r="J299" s="51" t="str">
        <f>IFERROR(Hyperlink(VLOOKUP(A299,Internal_lists_bugs!$A$2:$G1013,7,FALSE()),"BIC: "&amp;VLOOKUP(A299,Internal_lists_bugs!$A$2:$G1013,7,FALSE())&amp;CHAR(10)&amp;"Intro.Issues: "&amp;VLOOKUP(A299,Internal_lists_bugs!$A$2:$P1013,16,FALSE())),"please select a BUG ID")</f>
        <v>please select a BUG ID</v>
      </c>
    </row>
    <row r="300">
      <c r="A300" s="57"/>
      <c r="B300" s="88" t="str">
        <f>IFERROR(HYPERLINK(VLOOKUP(A300,Internal_lists_bugs!$A$2:$C$73,3,FALSE()), VLOOKUP(A300,Internal_lists_bugs!$A$2:$C$73,3,FALSE())&amp;Char(10) &amp; Char(10) &amp; VLOOKUP(A300,Internal_lists_bugs!$A$2:$Z$73,26,FALSE())),"please select a BUG ID")</f>
        <v>please select a BUG ID</v>
      </c>
      <c r="C300" s="89" t="str">
        <f>IFERROR(VLOOKUP(A300,Internal_lists_bugs!$A$2:$X1013,24,FALSE()),"please select a BUG ID")</f>
        <v>please select a BUG ID</v>
      </c>
      <c r="E300" s="82"/>
      <c r="F300" s="80"/>
      <c r="H300" s="82"/>
      <c r="I300" s="80"/>
      <c r="J300" s="51" t="str">
        <f>IFERROR(Hyperlink(VLOOKUP(A300,Internal_lists_bugs!$A$2:$G1013,7,FALSE()),"BIC: "&amp;VLOOKUP(A300,Internal_lists_bugs!$A$2:$G1013,7,FALSE())&amp;CHAR(10)&amp;"Intro.Issues: "&amp;VLOOKUP(A300,Internal_lists_bugs!$A$2:$P1013,16,FALSE())),"please select a BUG ID")</f>
        <v>please select a BUG ID</v>
      </c>
    </row>
    <row r="301">
      <c r="A301" s="57"/>
      <c r="B301" s="88" t="str">
        <f>IFERROR(HYPERLINK(VLOOKUP(A301,Internal_lists_bugs!$A$2:$C$73,3,FALSE()), VLOOKUP(A301,Internal_lists_bugs!$A$2:$C$73,3,FALSE())&amp;Char(10) &amp; Char(10) &amp; VLOOKUP(A301,Internal_lists_bugs!$A$2:$Z$73,26,FALSE())),"please select a BUG ID")</f>
        <v>please select a BUG ID</v>
      </c>
      <c r="C301" s="89" t="str">
        <f>IFERROR(VLOOKUP(A301,Internal_lists_bugs!$A$2:$X1013,24,FALSE()),"please select a BUG ID")</f>
        <v>please select a BUG ID</v>
      </c>
      <c r="E301" s="82"/>
      <c r="F301" s="80"/>
      <c r="H301" s="82"/>
      <c r="I301" s="80"/>
      <c r="J301" s="51" t="str">
        <f>IFERROR(Hyperlink(VLOOKUP(A301,Internal_lists_bugs!$A$2:$G1013,7,FALSE()),"BIC: "&amp;VLOOKUP(A301,Internal_lists_bugs!$A$2:$G1013,7,FALSE())&amp;CHAR(10)&amp;"Intro.Issues: "&amp;VLOOKUP(A301,Internal_lists_bugs!$A$2:$P1013,16,FALSE())),"please select a BUG ID")</f>
        <v>please select a BUG ID</v>
      </c>
    </row>
    <row r="302">
      <c r="A302" s="57"/>
      <c r="B302" s="88" t="str">
        <f>IFERROR(HYPERLINK(VLOOKUP(A302,Internal_lists_bugs!$A$2:$C$73,3,FALSE()), VLOOKUP(A302,Internal_lists_bugs!$A$2:$C$73,3,FALSE())&amp;Char(10) &amp; Char(10) &amp; VLOOKUP(A302,Internal_lists_bugs!$A$2:$Z$73,26,FALSE())),"please select a BUG ID")</f>
        <v>please select a BUG ID</v>
      </c>
      <c r="C302" s="89" t="str">
        <f>IFERROR(VLOOKUP(A302,Internal_lists_bugs!$A$2:$X1013,24,FALSE()),"please select a BUG ID")</f>
        <v>please select a BUG ID</v>
      </c>
      <c r="E302" s="82"/>
      <c r="F302" s="80"/>
      <c r="H302" s="82"/>
      <c r="I302" s="80"/>
      <c r="J302" s="51" t="str">
        <f>IFERROR(Hyperlink(VLOOKUP(A302,Internal_lists_bugs!$A$2:$G1013,7,FALSE()),"BIC: "&amp;VLOOKUP(A302,Internal_lists_bugs!$A$2:$G1013,7,FALSE())&amp;CHAR(10)&amp;"Intro.Issues: "&amp;VLOOKUP(A302,Internal_lists_bugs!$A$2:$P1013,16,FALSE())),"please select a BUG ID")</f>
        <v>please select a BUG ID</v>
      </c>
    </row>
    <row r="303">
      <c r="A303" s="57"/>
      <c r="B303" s="88" t="str">
        <f>IFERROR(HYPERLINK(VLOOKUP(A303,Internal_lists_bugs!$A$2:$C$73,3,FALSE()), VLOOKUP(A303,Internal_lists_bugs!$A$2:$C$73,3,FALSE())&amp;Char(10) &amp; Char(10) &amp; VLOOKUP(A303,Internal_lists_bugs!$A$2:$Z$73,26,FALSE())),"please select a BUG ID")</f>
        <v>please select a BUG ID</v>
      </c>
      <c r="C303" s="89" t="str">
        <f>IFERROR(VLOOKUP(A303,Internal_lists_bugs!$A$2:$X1013,24,FALSE()),"please select a BUG ID")</f>
        <v>please select a BUG ID</v>
      </c>
      <c r="E303" s="82"/>
      <c r="F303" s="80"/>
      <c r="H303" s="82"/>
      <c r="I303" s="80"/>
      <c r="J303" s="51" t="str">
        <f>IFERROR(Hyperlink(VLOOKUP(A303,Internal_lists_bugs!$A$2:$G1013,7,FALSE()),"BIC: "&amp;VLOOKUP(A303,Internal_lists_bugs!$A$2:$G1013,7,FALSE())&amp;CHAR(10)&amp;"Intro.Issues: "&amp;VLOOKUP(A303,Internal_lists_bugs!$A$2:$P1013,16,FALSE())),"please select a BUG ID")</f>
        <v>please select a BUG ID</v>
      </c>
    </row>
    <row r="304">
      <c r="A304" s="57"/>
      <c r="B304" s="88" t="str">
        <f>IFERROR(HYPERLINK(VLOOKUP(A304,Internal_lists_bugs!$A$2:$C$73,3,FALSE()), VLOOKUP(A304,Internal_lists_bugs!$A$2:$C$73,3,FALSE())&amp;Char(10) &amp; Char(10) &amp; VLOOKUP(A304,Internal_lists_bugs!$A$2:$Z$73,26,FALSE())),"please select a BUG ID")</f>
        <v>please select a BUG ID</v>
      </c>
      <c r="C304" s="89" t="str">
        <f>IFERROR(VLOOKUP(A304,Internal_lists_bugs!$A$2:$X1013,24,FALSE()),"please select a BUG ID")</f>
        <v>please select a BUG ID</v>
      </c>
      <c r="E304" s="82"/>
      <c r="F304" s="80"/>
      <c r="H304" s="82"/>
      <c r="I304" s="80"/>
      <c r="J304" s="51" t="str">
        <f>IFERROR(Hyperlink(VLOOKUP(A304,Internal_lists_bugs!$A$2:$G1013,7,FALSE()),"BIC: "&amp;VLOOKUP(A304,Internal_lists_bugs!$A$2:$G1013,7,FALSE())&amp;CHAR(10)&amp;"Intro.Issues: "&amp;VLOOKUP(A304,Internal_lists_bugs!$A$2:$P1013,16,FALSE())),"please select a BUG ID")</f>
        <v>please select a BUG ID</v>
      </c>
    </row>
    <row r="305">
      <c r="A305" s="57"/>
      <c r="B305" s="88" t="str">
        <f>IFERROR(HYPERLINK(VLOOKUP(A305,Internal_lists_bugs!$A$2:$C$73,3,FALSE()), VLOOKUP(A305,Internal_lists_bugs!$A$2:$C$73,3,FALSE())&amp;Char(10) &amp; Char(10) &amp; VLOOKUP(A305,Internal_lists_bugs!$A$2:$Z$73,26,FALSE())),"please select a BUG ID")</f>
        <v>please select a BUG ID</v>
      </c>
      <c r="C305" s="89" t="str">
        <f>IFERROR(VLOOKUP(A305,Internal_lists_bugs!$A$2:$X1013,24,FALSE()),"please select a BUG ID")</f>
        <v>please select a BUG ID</v>
      </c>
      <c r="E305" s="82"/>
      <c r="F305" s="80"/>
      <c r="H305" s="82"/>
      <c r="I305" s="80"/>
      <c r="J305" s="51" t="str">
        <f>IFERROR(Hyperlink(VLOOKUP(A305,Internal_lists_bugs!$A$2:$G1013,7,FALSE()),"BIC: "&amp;VLOOKUP(A305,Internal_lists_bugs!$A$2:$G1013,7,FALSE())&amp;CHAR(10)&amp;"Intro.Issues: "&amp;VLOOKUP(A305,Internal_lists_bugs!$A$2:$P1013,16,FALSE())),"please select a BUG ID")</f>
        <v>please select a BUG ID</v>
      </c>
    </row>
    <row r="306">
      <c r="A306" s="57"/>
      <c r="B306" s="88" t="str">
        <f>IFERROR(HYPERLINK(VLOOKUP(A306,Internal_lists_bugs!$A$2:$C$73,3,FALSE()), VLOOKUP(A306,Internal_lists_bugs!$A$2:$C$73,3,FALSE())&amp;Char(10) &amp; Char(10) &amp; VLOOKUP(A306,Internal_lists_bugs!$A$2:$Z$73,26,FALSE())),"please select a BUG ID")</f>
        <v>please select a BUG ID</v>
      </c>
      <c r="C306" s="89" t="str">
        <f>IFERROR(VLOOKUP(A306,Internal_lists_bugs!$A$2:$X1013,24,FALSE()),"please select a BUG ID")</f>
        <v>please select a BUG ID</v>
      </c>
      <c r="E306" s="82"/>
      <c r="F306" s="80"/>
      <c r="H306" s="82"/>
      <c r="I306" s="80"/>
      <c r="J306" s="51" t="str">
        <f>IFERROR(Hyperlink(VLOOKUP(A306,Internal_lists_bugs!$A$2:$G1013,7,FALSE()),"BIC: "&amp;VLOOKUP(A306,Internal_lists_bugs!$A$2:$G1013,7,FALSE())&amp;CHAR(10)&amp;"Intro.Issues: "&amp;VLOOKUP(A306,Internal_lists_bugs!$A$2:$P1013,16,FALSE())),"please select a BUG ID")</f>
        <v>please select a BUG ID</v>
      </c>
    </row>
    <row r="307">
      <c r="A307" s="57"/>
      <c r="B307" s="88" t="str">
        <f>IFERROR(HYPERLINK(VLOOKUP(A307,Internal_lists_bugs!$A$2:$C$73,3,FALSE()), VLOOKUP(A307,Internal_lists_bugs!$A$2:$C$73,3,FALSE())&amp;Char(10) &amp; Char(10) &amp; VLOOKUP(A307,Internal_lists_bugs!$A$2:$Z$73,26,FALSE())),"please select a BUG ID")</f>
        <v>please select a BUG ID</v>
      </c>
      <c r="C307" s="89" t="str">
        <f>IFERROR(VLOOKUP(A307,Internal_lists_bugs!$A$2:$X1013,24,FALSE()),"please select a BUG ID")</f>
        <v>please select a BUG ID</v>
      </c>
      <c r="E307" s="82"/>
      <c r="F307" s="80"/>
      <c r="H307" s="82"/>
      <c r="I307" s="80"/>
      <c r="J307" s="51" t="str">
        <f>IFERROR(Hyperlink(VLOOKUP(A307,Internal_lists_bugs!$A$2:$G1013,7,FALSE()),"BIC: "&amp;VLOOKUP(A307,Internal_lists_bugs!$A$2:$G1013,7,FALSE())&amp;CHAR(10)&amp;"Intro.Issues: "&amp;VLOOKUP(A307,Internal_lists_bugs!$A$2:$P1013,16,FALSE())),"please select a BUG ID")</f>
        <v>please select a BUG ID</v>
      </c>
    </row>
    <row r="308">
      <c r="A308" s="57"/>
      <c r="B308" s="88" t="str">
        <f>IFERROR(HYPERLINK(VLOOKUP(A308,Internal_lists_bugs!$A$2:$C$73,3,FALSE()), VLOOKUP(A308,Internal_lists_bugs!$A$2:$C$73,3,FALSE())&amp;Char(10) &amp; Char(10) &amp; VLOOKUP(A308,Internal_lists_bugs!$A$2:$Z$73,26,FALSE())),"please select a BUG ID")</f>
        <v>please select a BUG ID</v>
      </c>
      <c r="C308" s="89" t="str">
        <f>IFERROR(VLOOKUP(A308,Internal_lists_bugs!$A$2:$X1013,24,FALSE()),"please select a BUG ID")</f>
        <v>please select a BUG ID</v>
      </c>
      <c r="E308" s="82"/>
      <c r="F308" s="80"/>
      <c r="H308" s="82"/>
      <c r="I308" s="80"/>
      <c r="J308" s="51" t="str">
        <f>IFERROR(Hyperlink(VLOOKUP(A308,Internal_lists_bugs!$A$2:$G1013,7,FALSE()),"BIC: "&amp;VLOOKUP(A308,Internal_lists_bugs!$A$2:$G1013,7,FALSE())&amp;CHAR(10)&amp;"Intro.Issues: "&amp;VLOOKUP(A308,Internal_lists_bugs!$A$2:$P1013,16,FALSE())),"please select a BUG ID")</f>
        <v>please select a BUG ID</v>
      </c>
    </row>
    <row r="309">
      <c r="A309" s="57"/>
      <c r="B309" s="88" t="str">
        <f>IFERROR(HYPERLINK(VLOOKUP(A309,Internal_lists_bugs!$A$2:$C$73,3,FALSE()), VLOOKUP(A309,Internal_lists_bugs!$A$2:$C$73,3,FALSE())&amp;Char(10) &amp; Char(10) &amp; VLOOKUP(A309,Internal_lists_bugs!$A$2:$Z$73,26,FALSE())),"please select a BUG ID")</f>
        <v>please select a BUG ID</v>
      </c>
      <c r="C309" s="89" t="str">
        <f>IFERROR(VLOOKUP(A309,Internal_lists_bugs!$A$2:$X1013,24,FALSE()),"please select a BUG ID")</f>
        <v>please select a BUG ID</v>
      </c>
      <c r="E309" s="82"/>
      <c r="F309" s="80"/>
      <c r="H309" s="82"/>
      <c r="I309" s="80"/>
      <c r="J309" s="51" t="str">
        <f>IFERROR(Hyperlink(VLOOKUP(A309,Internal_lists_bugs!$A$2:$G1013,7,FALSE()),"BIC: "&amp;VLOOKUP(A309,Internal_lists_bugs!$A$2:$G1013,7,FALSE())&amp;CHAR(10)&amp;"Intro.Issues: "&amp;VLOOKUP(A309,Internal_lists_bugs!$A$2:$P1013,16,FALSE())),"please select a BUG ID")</f>
        <v>please select a BUG ID</v>
      </c>
    </row>
    <row r="310">
      <c r="A310" s="57"/>
      <c r="B310" s="88" t="str">
        <f>IFERROR(HYPERLINK(VLOOKUP(A310,Internal_lists_bugs!$A$2:$C$73,3,FALSE()), VLOOKUP(A310,Internal_lists_bugs!$A$2:$C$73,3,FALSE())&amp;Char(10) &amp; Char(10) &amp; VLOOKUP(A310,Internal_lists_bugs!$A$2:$Z$73,26,FALSE())),"please select a BUG ID")</f>
        <v>please select a BUG ID</v>
      </c>
      <c r="C310" s="89" t="str">
        <f>IFERROR(VLOOKUP(A310,Internal_lists_bugs!$A$2:$X1013,24,FALSE()),"please select a BUG ID")</f>
        <v>please select a BUG ID</v>
      </c>
      <c r="E310" s="82"/>
      <c r="F310" s="80"/>
      <c r="H310" s="82"/>
      <c r="I310" s="80"/>
      <c r="J310" s="51" t="str">
        <f>IFERROR(Hyperlink(VLOOKUP(A310,Internal_lists_bugs!$A$2:$G1013,7,FALSE()),"BIC: "&amp;VLOOKUP(A310,Internal_lists_bugs!$A$2:$G1013,7,FALSE())&amp;CHAR(10)&amp;"Intro.Issues: "&amp;VLOOKUP(A310,Internal_lists_bugs!$A$2:$P1013,16,FALSE())),"please select a BUG ID")</f>
        <v>please select a BUG ID</v>
      </c>
    </row>
    <row r="311">
      <c r="A311" s="57"/>
      <c r="B311" s="88" t="str">
        <f>IFERROR(HYPERLINK(VLOOKUP(A311,Internal_lists_bugs!$A$2:$C$73,3,FALSE()), VLOOKUP(A311,Internal_lists_bugs!$A$2:$C$73,3,FALSE())&amp;Char(10) &amp; Char(10) &amp; VLOOKUP(A311,Internal_lists_bugs!$A$2:$Z$73,26,FALSE())),"please select a BUG ID")</f>
        <v>please select a BUG ID</v>
      </c>
      <c r="C311" s="89" t="str">
        <f>IFERROR(VLOOKUP(A311,Internal_lists_bugs!$A$2:$X1013,24,FALSE()),"please select a BUG ID")</f>
        <v>please select a BUG ID</v>
      </c>
      <c r="E311" s="82"/>
      <c r="F311" s="80"/>
      <c r="H311" s="82"/>
      <c r="I311" s="80"/>
      <c r="J311" s="51" t="str">
        <f>IFERROR(Hyperlink(VLOOKUP(A311,Internal_lists_bugs!$A$2:$G1013,7,FALSE()),"BIC: "&amp;VLOOKUP(A311,Internal_lists_bugs!$A$2:$G1013,7,FALSE())&amp;CHAR(10)&amp;"Intro.Issues: "&amp;VLOOKUP(A311,Internal_lists_bugs!$A$2:$P1013,16,FALSE())),"please select a BUG ID")</f>
        <v>please select a BUG ID</v>
      </c>
    </row>
    <row r="312">
      <c r="A312" s="57"/>
      <c r="B312" s="88" t="str">
        <f>IFERROR(HYPERLINK(VLOOKUP(A312,Internal_lists_bugs!$A$2:$C$73,3,FALSE()), VLOOKUP(A312,Internal_lists_bugs!$A$2:$C$73,3,FALSE())&amp;Char(10) &amp; Char(10) &amp; VLOOKUP(A312,Internal_lists_bugs!$A$2:$Z$73,26,FALSE())),"please select a BUG ID")</f>
        <v>please select a BUG ID</v>
      </c>
      <c r="C312" s="89" t="str">
        <f>IFERROR(VLOOKUP(A312,Internal_lists_bugs!$A$2:$X1013,24,FALSE()),"please select a BUG ID")</f>
        <v>please select a BUG ID</v>
      </c>
      <c r="E312" s="82"/>
      <c r="F312" s="80"/>
      <c r="H312" s="82"/>
      <c r="I312" s="80"/>
      <c r="J312" s="51" t="str">
        <f>IFERROR(Hyperlink(VLOOKUP(A312,Internal_lists_bugs!$A$2:$G1013,7,FALSE()),"BIC: "&amp;VLOOKUP(A312,Internal_lists_bugs!$A$2:$G1013,7,FALSE())&amp;CHAR(10)&amp;"Intro.Issues: "&amp;VLOOKUP(A312,Internal_lists_bugs!$A$2:$P1013,16,FALSE())),"please select a BUG ID")</f>
        <v>please select a BUG ID</v>
      </c>
    </row>
    <row r="313">
      <c r="A313" s="57"/>
      <c r="B313" s="88" t="str">
        <f>IFERROR(HYPERLINK(VLOOKUP(A313,Internal_lists_bugs!$A$2:$C$73,3,FALSE()), VLOOKUP(A313,Internal_lists_bugs!$A$2:$C$73,3,FALSE())&amp;Char(10) &amp; Char(10) &amp; VLOOKUP(A313,Internal_lists_bugs!$A$2:$Z$73,26,FALSE())),"please select a BUG ID")</f>
        <v>please select a BUG ID</v>
      </c>
      <c r="C313" s="89" t="str">
        <f>IFERROR(VLOOKUP(A313,Internal_lists_bugs!$A$2:$X1013,24,FALSE()),"please select a BUG ID")</f>
        <v>please select a BUG ID</v>
      </c>
      <c r="E313" s="82"/>
      <c r="F313" s="80"/>
      <c r="H313" s="82"/>
      <c r="I313" s="80"/>
      <c r="J313" s="51" t="str">
        <f>IFERROR(Hyperlink(VLOOKUP(A313,Internal_lists_bugs!$A$2:$G1013,7,FALSE()),"BIC: "&amp;VLOOKUP(A313,Internal_lists_bugs!$A$2:$G1013,7,FALSE())&amp;CHAR(10)&amp;"Intro.Issues: "&amp;VLOOKUP(A313,Internal_lists_bugs!$A$2:$P1013,16,FALSE())),"please select a BUG ID")</f>
        <v>please select a BUG ID</v>
      </c>
    </row>
    <row r="314">
      <c r="A314" s="57"/>
      <c r="B314" s="88" t="str">
        <f>IFERROR(HYPERLINK(VLOOKUP(A314,Internal_lists_bugs!$A$2:$C$73,3,FALSE()), VLOOKUP(A314,Internal_lists_bugs!$A$2:$C$73,3,FALSE())&amp;Char(10) &amp; Char(10) &amp; VLOOKUP(A314,Internal_lists_bugs!$A$2:$Z$73,26,FALSE())),"please select a BUG ID")</f>
        <v>please select a BUG ID</v>
      </c>
      <c r="C314" s="89" t="str">
        <f>IFERROR(VLOOKUP(A314,Internal_lists_bugs!$A$2:$X1013,24,FALSE()),"please select a BUG ID")</f>
        <v>please select a BUG ID</v>
      </c>
      <c r="E314" s="82"/>
      <c r="F314" s="80"/>
      <c r="H314" s="82"/>
      <c r="I314" s="80"/>
      <c r="J314" s="51" t="str">
        <f>IFERROR(Hyperlink(VLOOKUP(A314,Internal_lists_bugs!$A$2:$G1013,7,FALSE()),"BIC: "&amp;VLOOKUP(A314,Internal_lists_bugs!$A$2:$G1013,7,FALSE())&amp;CHAR(10)&amp;"Intro.Issues: "&amp;VLOOKUP(A314,Internal_lists_bugs!$A$2:$P1013,16,FALSE())),"please select a BUG ID")</f>
        <v>please select a BUG ID</v>
      </c>
    </row>
    <row r="315">
      <c r="A315" s="57"/>
      <c r="B315" s="88" t="str">
        <f>IFERROR(HYPERLINK(VLOOKUP(A315,Internal_lists_bugs!$A$2:$C$73,3,FALSE()), VLOOKUP(A315,Internal_lists_bugs!$A$2:$C$73,3,FALSE())&amp;Char(10) &amp; Char(10) &amp; VLOOKUP(A315,Internal_lists_bugs!$A$2:$Z$73,26,FALSE())),"please select a BUG ID")</f>
        <v>please select a BUG ID</v>
      </c>
      <c r="C315" s="89" t="str">
        <f>IFERROR(VLOOKUP(A315,Internal_lists_bugs!$A$2:$X1013,24,FALSE()),"please select a BUG ID")</f>
        <v>please select a BUG ID</v>
      </c>
      <c r="E315" s="82"/>
      <c r="F315" s="80"/>
      <c r="H315" s="82"/>
      <c r="I315" s="80"/>
      <c r="J315" s="51" t="str">
        <f>IFERROR(Hyperlink(VLOOKUP(A315,Internal_lists_bugs!$A$2:$G1013,7,FALSE()),"BIC: "&amp;VLOOKUP(A315,Internal_lists_bugs!$A$2:$G1013,7,FALSE())&amp;CHAR(10)&amp;"Intro.Issues: "&amp;VLOOKUP(A315,Internal_lists_bugs!$A$2:$P1013,16,FALSE())),"please select a BUG ID")</f>
        <v>please select a BUG ID</v>
      </c>
    </row>
    <row r="316">
      <c r="A316" s="57"/>
      <c r="B316" s="88" t="str">
        <f>IFERROR(HYPERLINK(VLOOKUP(A316,Internal_lists_bugs!$A$2:$C$73,3,FALSE()), VLOOKUP(A316,Internal_lists_bugs!$A$2:$C$73,3,FALSE())&amp;Char(10) &amp; Char(10) &amp; VLOOKUP(A316,Internal_lists_bugs!$A$2:$Z$73,26,FALSE())),"please select a BUG ID")</f>
        <v>please select a BUG ID</v>
      </c>
      <c r="C316" s="89" t="str">
        <f>IFERROR(VLOOKUP(A316,Internal_lists_bugs!$A$2:$X1013,24,FALSE()),"please select a BUG ID")</f>
        <v>please select a BUG ID</v>
      </c>
      <c r="E316" s="82"/>
      <c r="F316" s="80"/>
      <c r="H316" s="82"/>
      <c r="I316" s="80"/>
      <c r="J316" s="51" t="str">
        <f>IFERROR(Hyperlink(VLOOKUP(A316,Internal_lists_bugs!$A$2:$G1013,7,FALSE()),"BIC: "&amp;VLOOKUP(A316,Internal_lists_bugs!$A$2:$G1013,7,FALSE())&amp;CHAR(10)&amp;"Intro.Issues: "&amp;VLOOKUP(A316,Internal_lists_bugs!$A$2:$P1013,16,FALSE())),"please select a BUG ID")</f>
        <v>please select a BUG ID</v>
      </c>
    </row>
    <row r="317">
      <c r="A317" s="57"/>
      <c r="B317" s="88" t="str">
        <f>IFERROR(HYPERLINK(VLOOKUP(A317,Internal_lists_bugs!$A$2:$C$73,3,FALSE()), VLOOKUP(A317,Internal_lists_bugs!$A$2:$C$73,3,FALSE())&amp;Char(10) &amp; Char(10) &amp; VLOOKUP(A317,Internal_lists_bugs!$A$2:$Z$73,26,FALSE())),"please select a BUG ID")</f>
        <v>please select a BUG ID</v>
      </c>
      <c r="C317" s="89" t="str">
        <f>IFERROR(VLOOKUP(A317,Internal_lists_bugs!$A$2:$X1013,24,FALSE()),"please select a BUG ID")</f>
        <v>please select a BUG ID</v>
      </c>
      <c r="E317" s="82"/>
      <c r="F317" s="80"/>
      <c r="H317" s="82"/>
      <c r="I317" s="80"/>
      <c r="J317" s="51" t="str">
        <f>IFERROR(Hyperlink(VLOOKUP(A317,Internal_lists_bugs!$A$2:$G1013,7,FALSE()),"BIC: "&amp;VLOOKUP(A317,Internal_lists_bugs!$A$2:$G1013,7,FALSE())&amp;CHAR(10)&amp;"Intro.Issues: "&amp;VLOOKUP(A317,Internal_lists_bugs!$A$2:$P1013,16,FALSE())),"please select a BUG ID")</f>
        <v>please select a BUG ID</v>
      </c>
    </row>
    <row r="318">
      <c r="A318" s="57"/>
      <c r="B318" s="88" t="str">
        <f>IFERROR(HYPERLINK(VLOOKUP(A318,Internal_lists_bugs!$A$2:$C$73,3,FALSE()), VLOOKUP(A318,Internal_lists_bugs!$A$2:$C$73,3,FALSE())&amp;Char(10) &amp; Char(10) &amp; VLOOKUP(A318,Internal_lists_bugs!$A$2:$Z$73,26,FALSE())),"please select a BUG ID")</f>
        <v>please select a BUG ID</v>
      </c>
      <c r="C318" s="89" t="str">
        <f>IFERROR(VLOOKUP(A318,Internal_lists_bugs!$A$2:$X1013,24,FALSE()),"please select a BUG ID")</f>
        <v>please select a BUG ID</v>
      </c>
      <c r="E318" s="82"/>
      <c r="F318" s="80"/>
      <c r="H318" s="82"/>
      <c r="I318" s="80"/>
      <c r="J318" s="51" t="str">
        <f>IFERROR(Hyperlink(VLOOKUP(A318,Internal_lists_bugs!$A$2:$G1013,7,FALSE()),"BIC: "&amp;VLOOKUP(A318,Internal_lists_bugs!$A$2:$G1013,7,FALSE())&amp;CHAR(10)&amp;"Intro.Issues: "&amp;VLOOKUP(A318,Internal_lists_bugs!$A$2:$P1013,16,FALSE())),"please select a BUG ID")</f>
        <v>please select a BUG ID</v>
      </c>
    </row>
    <row r="319">
      <c r="A319" s="57"/>
      <c r="B319" s="88" t="str">
        <f>IFERROR(HYPERLINK(VLOOKUP(A319,Internal_lists_bugs!$A$2:$C$73,3,FALSE()), VLOOKUP(A319,Internal_lists_bugs!$A$2:$C$73,3,FALSE())&amp;Char(10) &amp; Char(10) &amp; VLOOKUP(A319,Internal_lists_bugs!$A$2:$Z$73,26,FALSE())),"please select a BUG ID")</f>
        <v>please select a BUG ID</v>
      </c>
      <c r="C319" s="89" t="str">
        <f>IFERROR(VLOOKUP(A319,Internal_lists_bugs!$A$2:$X1013,24,FALSE()),"please select a BUG ID")</f>
        <v>please select a BUG ID</v>
      </c>
      <c r="E319" s="82"/>
      <c r="F319" s="80"/>
      <c r="H319" s="82"/>
      <c r="I319" s="80"/>
      <c r="J319" s="51" t="str">
        <f>IFERROR(Hyperlink(VLOOKUP(A319,Internal_lists_bugs!$A$2:$G1013,7,FALSE()),"BIC: "&amp;VLOOKUP(A319,Internal_lists_bugs!$A$2:$G1013,7,FALSE())&amp;CHAR(10)&amp;"Intro.Issues: "&amp;VLOOKUP(A319,Internal_lists_bugs!$A$2:$P1013,16,FALSE())),"please select a BUG ID")</f>
        <v>please select a BUG ID</v>
      </c>
    </row>
    <row r="320">
      <c r="A320" s="57"/>
      <c r="B320" s="88" t="str">
        <f>IFERROR(HYPERLINK(VLOOKUP(A320,Internal_lists_bugs!$A$2:$C$73,3,FALSE()), VLOOKUP(A320,Internal_lists_bugs!$A$2:$C$73,3,FALSE())&amp;Char(10) &amp; Char(10) &amp; VLOOKUP(A320,Internal_lists_bugs!$A$2:$Z$73,26,FALSE())),"please select a BUG ID")</f>
        <v>please select a BUG ID</v>
      </c>
      <c r="C320" s="89" t="str">
        <f>IFERROR(VLOOKUP(A320,Internal_lists_bugs!$A$2:$X1013,24,FALSE()),"please select a BUG ID")</f>
        <v>please select a BUG ID</v>
      </c>
      <c r="E320" s="82"/>
      <c r="F320" s="80"/>
      <c r="H320" s="82"/>
      <c r="I320" s="80"/>
      <c r="J320" s="51" t="str">
        <f>IFERROR(Hyperlink(VLOOKUP(A320,Internal_lists_bugs!$A$2:$G1013,7,FALSE()),"BIC: "&amp;VLOOKUP(A320,Internal_lists_bugs!$A$2:$G1013,7,FALSE())&amp;CHAR(10)&amp;"Intro.Issues: "&amp;VLOOKUP(A320,Internal_lists_bugs!$A$2:$P1013,16,FALSE())),"please select a BUG ID")</f>
        <v>please select a BUG ID</v>
      </c>
    </row>
    <row r="321">
      <c r="A321" s="57"/>
      <c r="B321" s="88" t="str">
        <f>IFERROR(HYPERLINK(VLOOKUP(A321,Internal_lists_bugs!$A$2:$C$73,3,FALSE()), VLOOKUP(A321,Internal_lists_bugs!$A$2:$C$73,3,FALSE())&amp;Char(10) &amp; Char(10) &amp; VLOOKUP(A321,Internal_lists_bugs!$A$2:$Z$73,26,FALSE())),"please select a BUG ID")</f>
        <v>please select a BUG ID</v>
      </c>
      <c r="C321" s="89" t="str">
        <f>IFERROR(VLOOKUP(A321,Internal_lists_bugs!$A$2:$X1013,24,FALSE()),"please select a BUG ID")</f>
        <v>please select a BUG ID</v>
      </c>
      <c r="E321" s="82"/>
      <c r="F321" s="80"/>
      <c r="H321" s="82"/>
      <c r="I321" s="80"/>
      <c r="J321" s="51" t="str">
        <f>IFERROR(Hyperlink(VLOOKUP(A321,Internal_lists_bugs!$A$2:$G1013,7,FALSE()),"BIC: "&amp;VLOOKUP(A321,Internal_lists_bugs!$A$2:$G1013,7,FALSE())&amp;CHAR(10)&amp;"Intro.Issues: "&amp;VLOOKUP(A321,Internal_lists_bugs!$A$2:$P1013,16,FALSE())),"please select a BUG ID")</f>
        <v>please select a BUG ID</v>
      </c>
    </row>
    <row r="322">
      <c r="A322" s="57"/>
      <c r="B322" s="88" t="str">
        <f>IFERROR(HYPERLINK(VLOOKUP(A322,Internal_lists_bugs!$A$2:$C$73,3,FALSE()), VLOOKUP(A322,Internal_lists_bugs!$A$2:$C$73,3,FALSE())&amp;Char(10) &amp; Char(10) &amp; VLOOKUP(A322,Internal_lists_bugs!$A$2:$Z$73,26,FALSE())),"please select a BUG ID")</f>
        <v>please select a BUG ID</v>
      </c>
      <c r="C322" s="89" t="str">
        <f>IFERROR(VLOOKUP(A322,Internal_lists_bugs!$A$2:$X1013,24,FALSE()),"please select a BUG ID")</f>
        <v>please select a BUG ID</v>
      </c>
      <c r="E322" s="82"/>
      <c r="F322" s="80"/>
      <c r="H322" s="82"/>
      <c r="I322" s="80"/>
      <c r="J322" s="51" t="str">
        <f>IFERROR(Hyperlink(VLOOKUP(A322,Internal_lists_bugs!$A$2:$G1013,7,FALSE()),"BIC: "&amp;VLOOKUP(A322,Internal_lists_bugs!$A$2:$G1013,7,FALSE())&amp;CHAR(10)&amp;"Intro.Issues: "&amp;VLOOKUP(A322,Internal_lists_bugs!$A$2:$P1013,16,FALSE())),"please select a BUG ID")</f>
        <v>please select a BUG ID</v>
      </c>
    </row>
    <row r="323">
      <c r="A323" s="57"/>
      <c r="B323" s="88" t="str">
        <f>IFERROR(HYPERLINK(VLOOKUP(A323,Internal_lists_bugs!$A$2:$C$73,3,FALSE()), VLOOKUP(A323,Internal_lists_bugs!$A$2:$C$73,3,FALSE())&amp;Char(10) &amp; Char(10) &amp; VLOOKUP(A323,Internal_lists_bugs!$A$2:$Z$73,26,FALSE())),"please select a BUG ID")</f>
        <v>please select a BUG ID</v>
      </c>
      <c r="C323" s="89" t="str">
        <f>IFERROR(VLOOKUP(A323,Internal_lists_bugs!$A$2:$X1013,24,FALSE()),"please select a BUG ID")</f>
        <v>please select a BUG ID</v>
      </c>
      <c r="E323" s="82"/>
      <c r="F323" s="80"/>
      <c r="H323" s="82"/>
      <c r="I323" s="80"/>
      <c r="J323" s="51" t="str">
        <f>IFERROR(Hyperlink(VLOOKUP(A323,Internal_lists_bugs!$A$2:$G1013,7,FALSE()),"BIC: "&amp;VLOOKUP(A323,Internal_lists_bugs!$A$2:$G1013,7,FALSE())&amp;CHAR(10)&amp;"Intro.Issues: "&amp;VLOOKUP(A323,Internal_lists_bugs!$A$2:$P1013,16,FALSE())),"please select a BUG ID")</f>
        <v>please select a BUG ID</v>
      </c>
    </row>
    <row r="324">
      <c r="A324" s="57"/>
      <c r="B324" s="88" t="str">
        <f>IFERROR(HYPERLINK(VLOOKUP(A324,Internal_lists_bugs!$A$2:$C$73,3,FALSE()), VLOOKUP(A324,Internal_lists_bugs!$A$2:$C$73,3,FALSE())&amp;Char(10) &amp; Char(10) &amp; VLOOKUP(A324,Internal_lists_bugs!$A$2:$Z$73,26,FALSE())),"please select a BUG ID")</f>
        <v>please select a BUG ID</v>
      </c>
      <c r="C324" s="89" t="str">
        <f>IFERROR(VLOOKUP(A324,Internal_lists_bugs!$A$2:$X1013,24,FALSE()),"please select a BUG ID")</f>
        <v>please select a BUG ID</v>
      </c>
      <c r="E324" s="82"/>
      <c r="F324" s="80"/>
      <c r="H324" s="82"/>
      <c r="I324" s="80"/>
      <c r="J324" s="51" t="str">
        <f>IFERROR(Hyperlink(VLOOKUP(A324,Internal_lists_bugs!$A$2:$G1013,7,FALSE()),"BIC: "&amp;VLOOKUP(A324,Internal_lists_bugs!$A$2:$G1013,7,FALSE())&amp;CHAR(10)&amp;"Intro.Issues: "&amp;VLOOKUP(A324,Internal_lists_bugs!$A$2:$P1013,16,FALSE())),"please select a BUG ID")</f>
        <v>please select a BUG ID</v>
      </c>
    </row>
    <row r="325">
      <c r="A325" s="57"/>
      <c r="B325" s="88" t="str">
        <f>IFERROR(HYPERLINK(VLOOKUP(A325,Internal_lists_bugs!$A$2:$C$73,3,FALSE()), VLOOKUP(A325,Internal_lists_bugs!$A$2:$C$73,3,FALSE())&amp;Char(10) &amp; Char(10) &amp; VLOOKUP(A325,Internal_lists_bugs!$A$2:$Z$73,26,FALSE())),"please select a BUG ID")</f>
        <v>please select a BUG ID</v>
      </c>
      <c r="C325" s="89" t="str">
        <f>IFERROR(VLOOKUP(A325,Internal_lists_bugs!$A$2:$X1013,24,FALSE()),"please select a BUG ID")</f>
        <v>please select a BUG ID</v>
      </c>
      <c r="E325" s="82"/>
      <c r="F325" s="80"/>
      <c r="H325" s="82"/>
      <c r="I325" s="80"/>
      <c r="J325" s="51" t="str">
        <f>IFERROR(Hyperlink(VLOOKUP(A325,Internal_lists_bugs!$A$2:$G1013,7,FALSE()),"BIC: "&amp;VLOOKUP(A325,Internal_lists_bugs!$A$2:$G1013,7,FALSE())&amp;CHAR(10)&amp;"Intro.Issues: "&amp;VLOOKUP(A325,Internal_lists_bugs!$A$2:$P1013,16,FALSE())),"please select a BUG ID")</f>
        <v>please select a BUG ID</v>
      </c>
    </row>
    <row r="326">
      <c r="A326" s="57"/>
      <c r="B326" s="88" t="str">
        <f>IFERROR(HYPERLINK(VLOOKUP(A326,Internal_lists_bugs!$A$2:$C$73,3,FALSE()), VLOOKUP(A326,Internal_lists_bugs!$A$2:$C$73,3,FALSE())&amp;Char(10) &amp; Char(10) &amp; VLOOKUP(A326,Internal_lists_bugs!$A$2:$Z$73,26,FALSE())),"please select a BUG ID")</f>
        <v>please select a BUG ID</v>
      </c>
      <c r="C326" s="89" t="str">
        <f>IFERROR(VLOOKUP(A326,Internal_lists_bugs!$A$2:$X1013,24,FALSE()),"please select a BUG ID")</f>
        <v>please select a BUG ID</v>
      </c>
      <c r="E326" s="82"/>
      <c r="F326" s="80"/>
      <c r="H326" s="82"/>
      <c r="I326" s="80"/>
      <c r="J326" s="51" t="str">
        <f>IFERROR(Hyperlink(VLOOKUP(A326,Internal_lists_bugs!$A$2:$G1013,7,FALSE()),"BIC: "&amp;VLOOKUP(A326,Internal_lists_bugs!$A$2:$G1013,7,FALSE())&amp;CHAR(10)&amp;"Intro.Issues: "&amp;VLOOKUP(A326,Internal_lists_bugs!$A$2:$P1013,16,FALSE())),"please select a BUG ID")</f>
        <v>please select a BUG ID</v>
      </c>
    </row>
    <row r="327">
      <c r="A327" s="57"/>
      <c r="B327" s="88" t="str">
        <f>IFERROR(HYPERLINK(VLOOKUP(A327,Internal_lists_bugs!$A$2:$C$73,3,FALSE()), VLOOKUP(A327,Internal_lists_bugs!$A$2:$C$73,3,FALSE())&amp;Char(10) &amp; Char(10) &amp; VLOOKUP(A327,Internal_lists_bugs!$A$2:$Z$73,26,FALSE())),"please select a BUG ID")</f>
        <v>please select a BUG ID</v>
      </c>
      <c r="C327" s="89" t="str">
        <f>IFERROR(VLOOKUP(A327,Internal_lists_bugs!$A$2:$X1013,24,FALSE()),"please select a BUG ID")</f>
        <v>please select a BUG ID</v>
      </c>
      <c r="E327" s="82"/>
      <c r="F327" s="80"/>
      <c r="H327" s="82"/>
      <c r="I327" s="80"/>
      <c r="J327" s="51" t="str">
        <f>IFERROR(Hyperlink(VLOOKUP(A327,Internal_lists_bugs!$A$2:$G1013,7,FALSE()),"BIC: "&amp;VLOOKUP(A327,Internal_lists_bugs!$A$2:$G1013,7,FALSE())&amp;CHAR(10)&amp;"Intro.Issues: "&amp;VLOOKUP(A327,Internal_lists_bugs!$A$2:$P1013,16,FALSE())),"please select a BUG ID")</f>
        <v>please select a BUG ID</v>
      </c>
    </row>
    <row r="328">
      <c r="A328" s="57"/>
      <c r="B328" s="88" t="str">
        <f>IFERROR(HYPERLINK(VLOOKUP(A328,Internal_lists_bugs!$A$2:$C$73,3,FALSE()), VLOOKUP(A328,Internal_lists_bugs!$A$2:$C$73,3,FALSE())&amp;Char(10) &amp; Char(10) &amp; VLOOKUP(A328,Internal_lists_bugs!$A$2:$Z$73,26,FALSE())),"please select a BUG ID")</f>
        <v>please select a BUG ID</v>
      </c>
      <c r="C328" s="89" t="str">
        <f>IFERROR(VLOOKUP(A328,Internal_lists_bugs!$A$2:$X1013,24,FALSE()),"please select a BUG ID")</f>
        <v>please select a BUG ID</v>
      </c>
      <c r="E328" s="82"/>
      <c r="F328" s="80"/>
      <c r="H328" s="82"/>
      <c r="I328" s="80"/>
      <c r="J328" s="51" t="str">
        <f>IFERROR(Hyperlink(VLOOKUP(A328,Internal_lists_bugs!$A$2:$G1013,7,FALSE()),"BIC: "&amp;VLOOKUP(A328,Internal_lists_bugs!$A$2:$G1013,7,FALSE())&amp;CHAR(10)&amp;"Intro.Issues: "&amp;VLOOKUP(A328,Internal_lists_bugs!$A$2:$P1013,16,FALSE())),"please select a BUG ID")</f>
        <v>please select a BUG ID</v>
      </c>
    </row>
    <row r="329">
      <c r="A329" s="57"/>
      <c r="B329" s="88" t="str">
        <f>IFERROR(HYPERLINK(VLOOKUP(A329,Internal_lists_bugs!$A$2:$C$73,3,FALSE()), VLOOKUP(A329,Internal_lists_bugs!$A$2:$C$73,3,FALSE())&amp;Char(10) &amp; Char(10) &amp; VLOOKUP(A329,Internal_lists_bugs!$A$2:$Z$73,26,FALSE())),"please select a BUG ID")</f>
        <v>please select a BUG ID</v>
      </c>
      <c r="C329" s="89" t="str">
        <f>IFERROR(VLOOKUP(A329,Internal_lists_bugs!$A$2:$X1013,24,FALSE()),"please select a BUG ID")</f>
        <v>please select a BUG ID</v>
      </c>
      <c r="E329" s="82"/>
      <c r="F329" s="80"/>
      <c r="H329" s="82"/>
      <c r="I329" s="80"/>
      <c r="J329" s="51" t="str">
        <f>IFERROR(Hyperlink(VLOOKUP(A329,Internal_lists_bugs!$A$2:$G1013,7,FALSE()),"BIC: "&amp;VLOOKUP(A329,Internal_lists_bugs!$A$2:$G1013,7,FALSE())&amp;CHAR(10)&amp;"Intro.Issues: "&amp;VLOOKUP(A329,Internal_lists_bugs!$A$2:$P1013,16,FALSE())),"please select a BUG ID")</f>
        <v>please select a BUG ID</v>
      </c>
    </row>
    <row r="330">
      <c r="A330" s="57"/>
      <c r="B330" s="88" t="str">
        <f>IFERROR(HYPERLINK(VLOOKUP(A330,Internal_lists_bugs!$A$2:$C$73,3,FALSE()), VLOOKUP(A330,Internal_lists_bugs!$A$2:$C$73,3,FALSE())&amp;Char(10) &amp; Char(10) &amp; VLOOKUP(A330,Internal_lists_bugs!$A$2:$Z$73,26,FALSE())),"please select a BUG ID")</f>
        <v>please select a BUG ID</v>
      </c>
      <c r="C330" s="89" t="str">
        <f>IFERROR(VLOOKUP(A330,Internal_lists_bugs!$A$2:$X1013,24,FALSE()),"please select a BUG ID")</f>
        <v>please select a BUG ID</v>
      </c>
      <c r="E330" s="82"/>
      <c r="F330" s="80"/>
      <c r="H330" s="82"/>
      <c r="I330" s="80"/>
      <c r="J330" s="51" t="str">
        <f>IFERROR(Hyperlink(VLOOKUP(A330,Internal_lists_bugs!$A$2:$G1013,7,FALSE()),"BIC: "&amp;VLOOKUP(A330,Internal_lists_bugs!$A$2:$G1013,7,FALSE())&amp;CHAR(10)&amp;"Intro.Issues: "&amp;VLOOKUP(A330,Internal_lists_bugs!$A$2:$P1013,16,FALSE())),"please select a BUG ID")</f>
        <v>please select a BUG ID</v>
      </c>
    </row>
    <row r="331">
      <c r="A331" s="57"/>
      <c r="B331" s="88" t="str">
        <f>IFERROR(HYPERLINK(VLOOKUP(A331,Internal_lists_bugs!$A$2:$C$73,3,FALSE()), VLOOKUP(A331,Internal_lists_bugs!$A$2:$C$73,3,FALSE())&amp;Char(10) &amp; Char(10) &amp; VLOOKUP(A331,Internal_lists_bugs!$A$2:$Z$73,26,FALSE())),"please select a BUG ID")</f>
        <v>please select a BUG ID</v>
      </c>
      <c r="C331" s="89" t="str">
        <f>IFERROR(VLOOKUP(A331,Internal_lists_bugs!$A$2:$X1013,24,FALSE()),"please select a BUG ID")</f>
        <v>please select a BUG ID</v>
      </c>
      <c r="E331" s="82"/>
      <c r="F331" s="80"/>
      <c r="H331" s="82"/>
      <c r="I331" s="80"/>
      <c r="J331" s="51" t="str">
        <f>IFERROR(Hyperlink(VLOOKUP(A331,Internal_lists_bugs!$A$2:$G1013,7,FALSE()),"BIC: "&amp;VLOOKUP(A331,Internal_lists_bugs!$A$2:$G1013,7,FALSE())&amp;CHAR(10)&amp;"Intro.Issues: "&amp;VLOOKUP(A331,Internal_lists_bugs!$A$2:$P1013,16,FALSE())),"please select a BUG ID")</f>
        <v>please select a BUG ID</v>
      </c>
    </row>
    <row r="332">
      <c r="A332" s="57"/>
      <c r="B332" s="88" t="str">
        <f>IFERROR(HYPERLINK(VLOOKUP(A332,Internal_lists_bugs!$A$2:$C$73,3,FALSE()), VLOOKUP(A332,Internal_lists_bugs!$A$2:$C$73,3,FALSE())&amp;Char(10) &amp; Char(10) &amp; VLOOKUP(A332,Internal_lists_bugs!$A$2:$Z$73,26,FALSE())),"please select a BUG ID")</f>
        <v>please select a BUG ID</v>
      </c>
      <c r="C332" s="89" t="str">
        <f>IFERROR(VLOOKUP(A332,Internal_lists_bugs!$A$2:$X1013,24,FALSE()),"please select a BUG ID")</f>
        <v>please select a BUG ID</v>
      </c>
      <c r="E332" s="82"/>
      <c r="F332" s="80"/>
      <c r="H332" s="82"/>
      <c r="I332" s="80"/>
      <c r="J332" s="51" t="str">
        <f>IFERROR(Hyperlink(VLOOKUP(A332,Internal_lists_bugs!$A$2:$G1013,7,FALSE()),"BIC: "&amp;VLOOKUP(A332,Internal_lists_bugs!$A$2:$G1013,7,FALSE())&amp;CHAR(10)&amp;"Intro.Issues: "&amp;VLOOKUP(A332,Internal_lists_bugs!$A$2:$P1013,16,FALSE())),"please select a BUG ID")</f>
        <v>please select a BUG ID</v>
      </c>
    </row>
    <row r="333">
      <c r="A333" s="57"/>
      <c r="B333" s="88" t="str">
        <f>IFERROR(HYPERLINK(VLOOKUP(A333,Internal_lists_bugs!$A$2:$C$73,3,FALSE()), VLOOKUP(A333,Internal_lists_bugs!$A$2:$C$73,3,FALSE())&amp;Char(10) &amp; Char(10) &amp; VLOOKUP(A333,Internal_lists_bugs!$A$2:$Z$73,26,FALSE())),"please select a BUG ID")</f>
        <v>please select a BUG ID</v>
      </c>
      <c r="C333" s="89" t="str">
        <f>IFERROR(VLOOKUP(A333,Internal_lists_bugs!$A$2:$X1013,24,FALSE()),"please select a BUG ID")</f>
        <v>please select a BUG ID</v>
      </c>
      <c r="E333" s="82"/>
      <c r="F333" s="80"/>
      <c r="H333" s="82"/>
      <c r="I333" s="80"/>
      <c r="J333" s="51" t="str">
        <f>IFERROR(Hyperlink(VLOOKUP(A333,Internal_lists_bugs!$A$2:$G1013,7,FALSE()),"BIC: "&amp;VLOOKUP(A333,Internal_lists_bugs!$A$2:$G1013,7,FALSE())&amp;CHAR(10)&amp;"Intro.Issues: "&amp;VLOOKUP(A333,Internal_lists_bugs!$A$2:$P1013,16,FALSE())),"please select a BUG ID")</f>
        <v>please select a BUG ID</v>
      </c>
    </row>
    <row r="334">
      <c r="A334" s="57"/>
      <c r="B334" s="88" t="str">
        <f>IFERROR(HYPERLINK(VLOOKUP(A334,Internal_lists_bugs!$A$2:$C$73,3,FALSE()), VLOOKUP(A334,Internal_lists_bugs!$A$2:$C$73,3,FALSE())&amp;Char(10) &amp; Char(10) &amp; VLOOKUP(A334,Internal_lists_bugs!$A$2:$Z$73,26,FALSE())),"please select a BUG ID")</f>
        <v>please select a BUG ID</v>
      </c>
      <c r="C334" s="89" t="str">
        <f>IFERROR(VLOOKUP(A334,Internal_lists_bugs!$A$2:$X1013,24,FALSE()),"please select a BUG ID")</f>
        <v>please select a BUG ID</v>
      </c>
      <c r="E334" s="82"/>
      <c r="F334" s="80"/>
      <c r="H334" s="82"/>
      <c r="I334" s="80"/>
      <c r="J334" s="51" t="str">
        <f>IFERROR(Hyperlink(VLOOKUP(A334,Internal_lists_bugs!$A$2:$G1013,7,FALSE()),"BIC: "&amp;VLOOKUP(A334,Internal_lists_bugs!$A$2:$G1013,7,FALSE())&amp;CHAR(10)&amp;"Intro.Issues: "&amp;VLOOKUP(A334,Internal_lists_bugs!$A$2:$P1013,16,FALSE())),"please select a BUG ID")</f>
        <v>please select a BUG ID</v>
      </c>
    </row>
    <row r="335">
      <c r="A335" s="57"/>
      <c r="B335" s="88" t="str">
        <f>IFERROR(HYPERLINK(VLOOKUP(A335,Internal_lists_bugs!$A$2:$C$73,3,FALSE()), VLOOKUP(A335,Internal_lists_bugs!$A$2:$C$73,3,FALSE())&amp;Char(10) &amp; Char(10) &amp; VLOOKUP(A335,Internal_lists_bugs!$A$2:$Z$73,26,FALSE())),"please select a BUG ID")</f>
        <v>please select a BUG ID</v>
      </c>
      <c r="C335" s="89" t="str">
        <f>IFERROR(VLOOKUP(A335,Internal_lists_bugs!$A$2:$X1013,24,FALSE()),"please select a BUG ID")</f>
        <v>please select a BUG ID</v>
      </c>
      <c r="E335" s="82"/>
      <c r="F335" s="80"/>
      <c r="H335" s="82"/>
      <c r="I335" s="80"/>
      <c r="J335" s="51" t="str">
        <f>IFERROR(Hyperlink(VLOOKUP(A335,Internal_lists_bugs!$A$2:$G1013,7,FALSE()),"BIC: "&amp;VLOOKUP(A335,Internal_lists_bugs!$A$2:$G1013,7,FALSE())&amp;CHAR(10)&amp;"Intro.Issues: "&amp;VLOOKUP(A335,Internal_lists_bugs!$A$2:$P1013,16,FALSE())),"please select a BUG ID")</f>
        <v>please select a BUG ID</v>
      </c>
    </row>
    <row r="336">
      <c r="A336" s="57"/>
      <c r="B336" s="88" t="str">
        <f>IFERROR(HYPERLINK(VLOOKUP(A336,Internal_lists_bugs!$A$2:$C$73,3,FALSE()), VLOOKUP(A336,Internal_lists_bugs!$A$2:$C$73,3,FALSE())&amp;Char(10) &amp; Char(10) &amp; VLOOKUP(A336,Internal_lists_bugs!$A$2:$Z$73,26,FALSE())),"please select a BUG ID")</f>
        <v>please select a BUG ID</v>
      </c>
      <c r="C336" s="89" t="str">
        <f>IFERROR(VLOOKUP(A336,Internal_lists_bugs!$A$2:$X1013,24,FALSE()),"please select a BUG ID")</f>
        <v>please select a BUG ID</v>
      </c>
      <c r="E336" s="82"/>
      <c r="F336" s="80"/>
      <c r="H336" s="82"/>
      <c r="I336" s="80"/>
      <c r="J336" s="51" t="str">
        <f>IFERROR(Hyperlink(VLOOKUP(A336,Internal_lists_bugs!$A$2:$G1013,7,FALSE()),"BIC: "&amp;VLOOKUP(A336,Internal_lists_bugs!$A$2:$G1013,7,FALSE())&amp;CHAR(10)&amp;"Intro.Issues: "&amp;VLOOKUP(A336,Internal_lists_bugs!$A$2:$P1013,16,FALSE())),"please select a BUG ID")</f>
        <v>please select a BUG ID</v>
      </c>
    </row>
    <row r="337">
      <c r="A337" s="57"/>
      <c r="B337" s="88" t="str">
        <f>IFERROR(HYPERLINK(VLOOKUP(A337,Internal_lists_bugs!$A$2:$C$73,3,FALSE()), VLOOKUP(A337,Internal_lists_bugs!$A$2:$C$73,3,FALSE())&amp;Char(10) &amp; Char(10) &amp; VLOOKUP(A337,Internal_lists_bugs!$A$2:$Z$73,26,FALSE())),"please select a BUG ID")</f>
        <v>please select a BUG ID</v>
      </c>
      <c r="C337" s="89" t="str">
        <f>IFERROR(VLOOKUP(A337,Internal_lists_bugs!$A$2:$X1013,24,FALSE()),"please select a BUG ID")</f>
        <v>please select a BUG ID</v>
      </c>
      <c r="E337" s="82"/>
      <c r="F337" s="80"/>
      <c r="H337" s="82"/>
      <c r="I337" s="80"/>
      <c r="J337" s="51" t="str">
        <f>IFERROR(Hyperlink(VLOOKUP(A337,Internal_lists_bugs!$A$2:$G1013,7,FALSE()),"BIC: "&amp;VLOOKUP(A337,Internal_lists_bugs!$A$2:$G1013,7,FALSE())&amp;CHAR(10)&amp;"Intro.Issues: "&amp;VLOOKUP(A337,Internal_lists_bugs!$A$2:$P1013,16,FALSE())),"please select a BUG ID")</f>
        <v>please select a BUG ID</v>
      </c>
    </row>
    <row r="338">
      <c r="A338" s="57"/>
      <c r="B338" s="88" t="str">
        <f>IFERROR(HYPERLINK(VLOOKUP(A338,Internal_lists_bugs!$A$2:$C$73,3,FALSE()), VLOOKUP(A338,Internal_lists_bugs!$A$2:$C$73,3,FALSE())&amp;Char(10) &amp; Char(10) &amp; VLOOKUP(A338,Internal_lists_bugs!$A$2:$Z$73,26,FALSE())),"please select a BUG ID")</f>
        <v>please select a BUG ID</v>
      </c>
      <c r="C338" s="89" t="str">
        <f>IFERROR(VLOOKUP(A338,Internal_lists_bugs!$A$2:$X1013,24,FALSE()),"please select a BUG ID")</f>
        <v>please select a BUG ID</v>
      </c>
      <c r="E338" s="82"/>
      <c r="F338" s="80"/>
      <c r="H338" s="82"/>
      <c r="I338" s="80"/>
      <c r="J338" s="51" t="str">
        <f>IFERROR(Hyperlink(VLOOKUP(A338,Internal_lists_bugs!$A$2:$G1013,7,FALSE()),"BIC: "&amp;VLOOKUP(A338,Internal_lists_bugs!$A$2:$G1013,7,FALSE())&amp;CHAR(10)&amp;"Intro.Issues: "&amp;VLOOKUP(A338,Internal_lists_bugs!$A$2:$P1013,16,FALSE())),"please select a BUG ID")</f>
        <v>please select a BUG ID</v>
      </c>
    </row>
    <row r="339">
      <c r="A339" s="57"/>
      <c r="B339" s="88" t="str">
        <f>IFERROR(HYPERLINK(VLOOKUP(A339,Internal_lists_bugs!$A$2:$C$73,3,FALSE()), VLOOKUP(A339,Internal_lists_bugs!$A$2:$C$73,3,FALSE())&amp;Char(10) &amp; Char(10) &amp; VLOOKUP(A339,Internal_lists_bugs!$A$2:$Z$73,26,FALSE())),"please select a BUG ID")</f>
        <v>please select a BUG ID</v>
      </c>
      <c r="C339" s="89" t="str">
        <f>IFERROR(VLOOKUP(A339,Internal_lists_bugs!$A$2:$X1013,24,FALSE()),"please select a BUG ID")</f>
        <v>please select a BUG ID</v>
      </c>
      <c r="E339" s="82"/>
      <c r="F339" s="80"/>
      <c r="H339" s="82"/>
      <c r="I339" s="80"/>
      <c r="J339" s="51" t="str">
        <f>IFERROR(Hyperlink(VLOOKUP(A339,Internal_lists_bugs!$A$2:$G1013,7,FALSE()),"BIC: "&amp;VLOOKUP(A339,Internal_lists_bugs!$A$2:$G1013,7,FALSE())&amp;CHAR(10)&amp;"Intro.Issues: "&amp;VLOOKUP(A339,Internal_lists_bugs!$A$2:$P1013,16,FALSE())),"please select a BUG ID")</f>
        <v>please select a BUG ID</v>
      </c>
    </row>
    <row r="340">
      <c r="A340" s="57"/>
      <c r="B340" s="88" t="str">
        <f>IFERROR(HYPERLINK(VLOOKUP(A340,Internal_lists_bugs!$A$2:$C$73,3,FALSE()), VLOOKUP(A340,Internal_lists_bugs!$A$2:$C$73,3,FALSE())&amp;Char(10) &amp; Char(10) &amp; VLOOKUP(A340,Internal_lists_bugs!$A$2:$Z$73,26,FALSE())),"please select a BUG ID")</f>
        <v>please select a BUG ID</v>
      </c>
      <c r="C340" s="89" t="str">
        <f>IFERROR(VLOOKUP(A340,Internal_lists_bugs!$A$2:$X1013,24,FALSE()),"please select a BUG ID")</f>
        <v>please select a BUG ID</v>
      </c>
      <c r="E340" s="82"/>
      <c r="F340" s="80"/>
      <c r="H340" s="82"/>
      <c r="I340" s="80"/>
      <c r="J340" s="51" t="str">
        <f>IFERROR(Hyperlink(VLOOKUP(A340,Internal_lists_bugs!$A$2:$G1013,7,FALSE()),"BIC: "&amp;VLOOKUP(A340,Internal_lists_bugs!$A$2:$G1013,7,FALSE())&amp;CHAR(10)&amp;"Intro.Issues: "&amp;VLOOKUP(A340,Internal_lists_bugs!$A$2:$P1013,16,FALSE())),"please select a BUG ID")</f>
        <v>please select a BUG ID</v>
      </c>
    </row>
    <row r="341">
      <c r="A341" s="57"/>
      <c r="B341" s="88" t="str">
        <f>IFERROR(HYPERLINK(VLOOKUP(A341,Internal_lists_bugs!$A$2:$C$73,3,FALSE()), VLOOKUP(A341,Internal_lists_bugs!$A$2:$C$73,3,FALSE())&amp;Char(10) &amp; Char(10) &amp; VLOOKUP(A341,Internal_lists_bugs!$A$2:$Z$73,26,FALSE())),"please select a BUG ID")</f>
        <v>please select a BUG ID</v>
      </c>
      <c r="C341" s="89" t="str">
        <f>IFERROR(VLOOKUP(A341,Internal_lists_bugs!$A$2:$X1013,24,FALSE()),"please select a BUG ID")</f>
        <v>please select a BUG ID</v>
      </c>
      <c r="E341" s="82"/>
      <c r="F341" s="80"/>
      <c r="H341" s="82"/>
      <c r="I341" s="80"/>
      <c r="J341" s="51" t="str">
        <f>IFERROR(Hyperlink(VLOOKUP(A341,Internal_lists_bugs!$A$2:$G1013,7,FALSE()),"BIC: "&amp;VLOOKUP(A341,Internal_lists_bugs!$A$2:$G1013,7,FALSE())&amp;CHAR(10)&amp;"Intro.Issues: "&amp;VLOOKUP(A341,Internal_lists_bugs!$A$2:$P1013,16,FALSE())),"please select a BUG ID")</f>
        <v>please select a BUG ID</v>
      </c>
    </row>
    <row r="342">
      <c r="A342" s="57"/>
      <c r="B342" s="88" t="str">
        <f>IFERROR(HYPERLINK(VLOOKUP(A342,Internal_lists_bugs!$A$2:$C$73,3,FALSE()), VLOOKUP(A342,Internal_lists_bugs!$A$2:$C$73,3,FALSE())&amp;Char(10) &amp; Char(10) &amp; VLOOKUP(A342,Internal_lists_bugs!$A$2:$Z$73,26,FALSE())),"please select a BUG ID")</f>
        <v>please select a BUG ID</v>
      </c>
      <c r="C342" s="89" t="str">
        <f>IFERROR(VLOOKUP(A342,Internal_lists_bugs!$A$2:$X1013,24,FALSE()),"please select a BUG ID")</f>
        <v>please select a BUG ID</v>
      </c>
      <c r="E342" s="82"/>
      <c r="F342" s="80"/>
      <c r="H342" s="82"/>
      <c r="I342" s="80"/>
      <c r="J342" s="51" t="str">
        <f>IFERROR(Hyperlink(VLOOKUP(A342,Internal_lists_bugs!$A$2:$G1013,7,FALSE()),"BIC: "&amp;VLOOKUP(A342,Internal_lists_bugs!$A$2:$G1013,7,FALSE())&amp;CHAR(10)&amp;"Intro.Issues: "&amp;VLOOKUP(A342,Internal_lists_bugs!$A$2:$P1013,16,FALSE())),"please select a BUG ID")</f>
        <v>please select a BUG ID</v>
      </c>
    </row>
    <row r="343">
      <c r="A343" s="57"/>
      <c r="B343" s="88" t="str">
        <f>IFERROR(HYPERLINK(VLOOKUP(A343,Internal_lists_bugs!$A$2:$C$73,3,FALSE()), VLOOKUP(A343,Internal_lists_bugs!$A$2:$C$73,3,FALSE())&amp;Char(10) &amp; Char(10) &amp; VLOOKUP(A343,Internal_lists_bugs!$A$2:$Z$73,26,FALSE())),"please select a BUG ID")</f>
        <v>please select a BUG ID</v>
      </c>
      <c r="C343" s="89" t="str">
        <f>IFERROR(VLOOKUP(A343,Internal_lists_bugs!$A$2:$X1013,24,FALSE()),"please select a BUG ID")</f>
        <v>please select a BUG ID</v>
      </c>
      <c r="E343" s="82"/>
      <c r="F343" s="80"/>
      <c r="H343" s="82"/>
      <c r="I343" s="80"/>
      <c r="J343" s="51" t="str">
        <f>IFERROR(Hyperlink(VLOOKUP(A343,Internal_lists_bugs!$A$2:$G1013,7,FALSE()),"BIC: "&amp;VLOOKUP(A343,Internal_lists_bugs!$A$2:$G1013,7,FALSE())&amp;CHAR(10)&amp;"Intro.Issues: "&amp;VLOOKUP(A343,Internal_lists_bugs!$A$2:$P1013,16,FALSE())),"please select a BUG ID")</f>
        <v>please select a BUG ID</v>
      </c>
    </row>
    <row r="344">
      <c r="A344" s="57"/>
      <c r="B344" s="88" t="str">
        <f>IFERROR(HYPERLINK(VLOOKUP(A344,Internal_lists_bugs!$A$2:$C$73,3,FALSE()), VLOOKUP(A344,Internal_lists_bugs!$A$2:$C$73,3,FALSE())&amp;Char(10) &amp; Char(10) &amp; VLOOKUP(A344,Internal_lists_bugs!$A$2:$Z$73,26,FALSE())),"please select a BUG ID")</f>
        <v>please select a BUG ID</v>
      </c>
      <c r="C344" s="89" t="str">
        <f>IFERROR(VLOOKUP(A344,Internal_lists_bugs!$A$2:$X1013,24,FALSE()),"please select a BUG ID")</f>
        <v>please select a BUG ID</v>
      </c>
      <c r="E344" s="82"/>
      <c r="F344" s="80"/>
      <c r="H344" s="82"/>
      <c r="I344" s="80"/>
      <c r="J344" s="51" t="str">
        <f>IFERROR(Hyperlink(VLOOKUP(A344,Internal_lists_bugs!$A$2:$G1013,7,FALSE()),"BIC: "&amp;VLOOKUP(A344,Internal_lists_bugs!$A$2:$G1013,7,FALSE())&amp;CHAR(10)&amp;"Intro.Issues: "&amp;VLOOKUP(A344,Internal_lists_bugs!$A$2:$P1013,16,FALSE())),"please select a BUG ID")</f>
        <v>please select a BUG ID</v>
      </c>
    </row>
    <row r="345">
      <c r="A345" s="57"/>
      <c r="B345" s="88" t="str">
        <f>IFERROR(HYPERLINK(VLOOKUP(A345,Internal_lists_bugs!$A$2:$C$73,3,FALSE()), VLOOKUP(A345,Internal_lists_bugs!$A$2:$C$73,3,FALSE())&amp;Char(10) &amp; Char(10) &amp; VLOOKUP(A345,Internal_lists_bugs!$A$2:$Z$73,26,FALSE())),"please select a BUG ID")</f>
        <v>please select a BUG ID</v>
      </c>
      <c r="C345" s="89" t="str">
        <f>IFERROR(VLOOKUP(A345,Internal_lists_bugs!$A$2:$X1013,24,FALSE()),"please select a BUG ID")</f>
        <v>please select a BUG ID</v>
      </c>
      <c r="E345" s="82"/>
      <c r="F345" s="80"/>
      <c r="H345" s="82"/>
      <c r="I345" s="80"/>
      <c r="J345" s="51" t="str">
        <f>IFERROR(Hyperlink(VLOOKUP(A345,Internal_lists_bugs!$A$2:$G1013,7,FALSE()),"BIC: "&amp;VLOOKUP(A345,Internal_lists_bugs!$A$2:$G1013,7,FALSE())&amp;CHAR(10)&amp;"Intro.Issues: "&amp;VLOOKUP(A345,Internal_lists_bugs!$A$2:$P1013,16,FALSE())),"please select a BUG ID")</f>
        <v>please select a BUG ID</v>
      </c>
    </row>
    <row r="346">
      <c r="A346" s="57"/>
      <c r="B346" s="88" t="str">
        <f>IFERROR(HYPERLINK(VLOOKUP(A346,Internal_lists_bugs!$A$2:$C$73,3,FALSE()), VLOOKUP(A346,Internal_lists_bugs!$A$2:$C$73,3,FALSE())&amp;Char(10) &amp; Char(10) &amp; VLOOKUP(A346,Internal_lists_bugs!$A$2:$Z$73,26,FALSE())),"please select a BUG ID")</f>
        <v>please select a BUG ID</v>
      </c>
      <c r="C346" s="89" t="str">
        <f>IFERROR(VLOOKUP(A346,Internal_lists_bugs!$A$2:$X1013,24,FALSE()),"please select a BUG ID")</f>
        <v>please select a BUG ID</v>
      </c>
      <c r="E346" s="82"/>
      <c r="F346" s="80"/>
      <c r="H346" s="82"/>
      <c r="I346" s="80"/>
      <c r="J346" s="51" t="str">
        <f>IFERROR(Hyperlink(VLOOKUP(A346,Internal_lists_bugs!$A$2:$G1013,7,FALSE()),"BIC: "&amp;VLOOKUP(A346,Internal_lists_bugs!$A$2:$G1013,7,FALSE())&amp;CHAR(10)&amp;"Intro.Issues: "&amp;VLOOKUP(A346,Internal_lists_bugs!$A$2:$P1013,16,FALSE())),"please select a BUG ID")</f>
        <v>please select a BUG ID</v>
      </c>
    </row>
    <row r="347">
      <c r="A347" s="57"/>
      <c r="B347" s="88" t="str">
        <f>IFERROR(HYPERLINK(VLOOKUP(A347,Internal_lists_bugs!$A$2:$C$73,3,FALSE()), VLOOKUP(A347,Internal_lists_bugs!$A$2:$C$73,3,FALSE())&amp;Char(10) &amp; Char(10) &amp; VLOOKUP(A347,Internal_lists_bugs!$A$2:$Z$73,26,FALSE())),"please select a BUG ID")</f>
        <v>please select a BUG ID</v>
      </c>
      <c r="C347" s="89" t="str">
        <f>IFERROR(VLOOKUP(A347,Internal_lists_bugs!$A$2:$X1013,24,FALSE()),"please select a BUG ID")</f>
        <v>please select a BUG ID</v>
      </c>
      <c r="E347" s="82"/>
      <c r="F347" s="80"/>
      <c r="H347" s="82"/>
      <c r="I347" s="80"/>
      <c r="J347" s="51" t="str">
        <f>IFERROR(Hyperlink(VLOOKUP(A347,Internal_lists_bugs!$A$2:$G1013,7,FALSE()),"BIC: "&amp;VLOOKUP(A347,Internal_lists_bugs!$A$2:$G1013,7,FALSE())&amp;CHAR(10)&amp;"Intro.Issues: "&amp;VLOOKUP(A347,Internal_lists_bugs!$A$2:$P1013,16,FALSE())),"please select a BUG ID")</f>
        <v>please select a BUG ID</v>
      </c>
    </row>
    <row r="348">
      <c r="A348" s="57"/>
      <c r="B348" s="88" t="str">
        <f>IFERROR(HYPERLINK(VLOOKUP(A348,Internal_lists_bugs!$A$2:$C$73,3,FALSE()), VLOOKUP(A348,Internal_lists_bugs!$A$2:$C$73,3,FALSE())&amp;Char(10) &amp; Char(10) &amp; VLOOKUP(A348,Internal_lists_bugs!$A$2:$Z$73,26,FALSE())),"please select a BUG ID")</f>
        <v>please select a BUG ID</v>
      </c>
      <c r="C348" s="89" t="str">
        <f>IFERROR(VLOOKUP(A348,Internal_lists_bugs!$A$2:$X1013,24,FALSE()),"please select a BUG ID")</f>
        <v>please select a BUG ID</v>
      </c>
      <c r="E348" s="82"/>
      <c r="F348" s="80"/>
      <c r="H348" s="82"/>
      <c r="I348" s="80"/>
      <c r="J348" s="51" t="str">
        <f>IFERROR(Hyperlink(VLOOKUP(A348,Internal_lists_bugs!$A$2:$G1013,7,FALSE()),"BIC: "&amp;VLOOKUP(A348,Internal_lists_bugs!$A$2:$G1013,7,FALSE())&amp;CHAR(10)&amp;"Intro.Issues: "&amp;VLOOKUP(A348,Internal_lists_bugs!$A$2:$P1013,16,FALSE())),"please select a BUG ID")</f>
        <v>please select a BUG ID</v>
      </c>
    </row>
    <row r="349">
      <c r="A349" s="57"/>
      <c r="B349" s="88" t="str">
        <f>IFERROR(HYPERLINK(VLOOKUP(A349,Internal_lists_bugs!$A$2:$C$73,3,FALSE()), VLOOKUP(A349,Internal_lists_bugs!$A$2:$C$73,3,FALSE())&amp;Char(10) &amp; Char(10) &amp; VLOOKUP(A349,Internal_lists_bugs!$A$2:$Z$73,26,FALSE())),"please select a BUG ID")</f>
        <v>please select a BUG ID</v>
      </c>
      <c r="C349" s="89" t="str">
        <f>IFERROR(VLOOKUP(A349,Internal_lists_bugs!$A$2:$X1013,24,FALSE()),"please select a BUG ID")</f>
        <v>please select a BUG ID</v>
      </c>
      <c r="E349" s="82"/>
      <c r="F349" s="80"/>
      <c r="H349" s="82"/>
      <c r="I349" s="80"/>
      <c r="J349" s="51" t="str">
        <f>IFERROR(Hyperlink(VLOOKUP(A349,Internal_lists_bugs!$A$2:$G1013,7,FALSE()),"BIC: "&amp;VLOOKUP(A349,Internal_lists_bugs!$A$2:$G1013,7,FALSE())&amp;CHAR(10)&amp;"Intro.Issues: "&amp;VLOOKUP(A349,Internal_lists_bugs!$A$2:$P1013,16,FALSE())),"please select a BUG ID")</f>
        <v>please select a BUG ID</v>
      </c>
    </row>
    <row r="350">
      <c r="A350" s="57"/>
      <c r="B350" s="88" t="str">
        <f>IFERROR(HYPERLINK(VLOOKUP(A350,Internal_lists_bugs!$A$2:$C$73,3,FALSE()), VLOOKUP(A350,Internal_lists_bugs!$A$2:$C$73,3,FALSE())&amp;Char(10) &amp; Char(10) &amp; VLOOKUP(A350,Internal_lists_bugs!$A$2:$Z$73,26,FALSE())),"please select a BUG ID")</f>
        <v>please select a BUG ID</v>
      </c>
      <c r="C350" s="89" t="str">
        <f>IFERROR(VLOOKUP(A350,Internal_lists_bugs!$A$2:$X1013,24,FALSE()),"please select a BUG ID")</f>
        <v>please select a BUG ID</v>
      </c>
      <c r="E350" s="82"/>
      <c r="F350" s="80"/>
      <c r="H350" s="82"/>
      <c r="I350" s="80"/>
      <c r="J350" s="51" t="str">
        <f>IFERROR(Hyperlink(VLOOKUP(A350,Internal_lists_bugs!$A$2:$G1013,7,FALSE()),"BIC: "&amp;VLOOKUP(A350,Internal_lists_bugs!$A$2:$G1013,7,FALSE())&amp;CHAR(10)&amp;"Intro.Issues: "&amp;VLOOKUP(A350,Internal_lists_bugs!$A$2:$P1013,16,FALSE())),"please select a BUG ID")</f>
        <v>please select a BUG ID</v>
      </c>
    </row>
    <row r="351">
      <c r="A351" s="57"/>
      <c r="B351" s="88" t="str">
        <f>IFERROR(HYPERLINK(VLOOKUP(A351,Internal_lists_bugs!$A$2:$C$73,3,FALSE()), VLOOKUP(A351,Internal_lists_bugs!$A$2:$C$73,3,FALSE())&amp;Char(10) &amp; Char(10) &amp; VLOOKUP(A351,Internal_lists_bugs!$A$2:$Z$73,26,FALSE())),"please select a BUG ID")</f>
        <v>please select a BUG ID</v>
      </c>
      <c r="C351" s="89" t="str">
        <f>IFERROR(VLOOKUP(A351,Internal_lists_bugs!$A$2:$X1013,24,FALSE()),"please select a BUG ID")</f>
        <v>please select a BUG ID</v>
      </c>
      <c r="E351" s="82"/>
      <c r="F351" s="80"/>
      <c r="H351" s="82"/>
      <c r="I351" s="80"/>
      <c r="J351" s="51" t="str">
        <f>IFERROR(Hyperlink(VLOOKUP(A351,Internal_lists_bugs!$A$2:$G1013,7,FALSE()),"BIC: "&amp;VLOOKUP(A351,Internal_lists_bugs!$A$2:$G1013,7,FALSE())&amp;CHAR(10)&amp;"Intro.Issues: "&amp;VLOOKUP(A351,Internal_lists_bugs!$A$2:$P1013,16,FALSE())),"please select a BUG ID")</f>
        <v>please select a BUG ID</v>
      </c>
    </row>
    <row r="352">
      <c r="A352" s="57"/>
      <c r="B352" s="88" t="str">
        <f>IFERROR(HYPERLINK(VLOOKUP(A352,Internal_lists_bugs!$A$2:$C$73,3,FALSE()), VLOOKUP(A352,Internal_lists_bugs!$A$2:$C$73,3,FALSE())&amp;Char(10) &amp; Char(10) &amp; VLOOKUP(A352,Internal_lists_bugs!$A$2:$Z$73,26,FALSE())),"please select a BUG ID")</f>
        <v>please select a BUG ID</v>
      </c>
      <c r="C352" s="89" t="str">
        <f>IFERROR(VLOOKUP(A352,Internal_lists_bugs!$A$2:$X1013,24,FALSE()),"please select a BUG ID")</f>
        <v>please select a BUG ID</v>
      </c>
      <c r="E352" s="82"/>
      <c r="F352" s="80"/>
      <c r="H352" s="82"/>
      <c r="I352" s="80"/>
      <c r="J352" s="51" t="str">
        <f>IFERROR(Hyperlink(VLOOKUP(A352,Internal_lists_bugs!$A$2:$G1013,7,FALSE()),"BIC: "&amp;VLOOKUP(A352,Internal_lists_bugs!$A$2:$G1013,7,FALSE())&amp;CHAR(10)&amp;"Intro.Issues: "&amp;VLOOKUP(A352,Internal_lists_bugs!$A$2:$P1013,16,FALSE())),"please select a BUG ID")</f>
        <v>please select a BUG ID</v>
      </c>
    </row>
    <row r="353">
      <c r="A353" s="57"/>
      <c r="B353" s="88" t="str">
        <f>IFERROR(HYPERLINK(VLOOKUP(A353,Internal_lists_bugs!$A$2:$C$73,3,FALSE()), VLOOKUP(A353,Internal_lists_bugs!$A$2:$C$73,3,FALSE())&amp;Char(10) &amp; Char(10) &amp; VLOOKUP(A353,Internal_lists_bugs!$A$2:$Z$73,26,FALSE())),"please select a BUG ID")</f>
        <v>please select a BUG ID</v>
      </c>
      <c r="C353" s="89" t="str">
        <f>IFERROR(VLOOKUP(A353,Internal_lists_bugs!$A$2:$X1013,24,FALSE()),"please select a BUG ID")</f>
        <v>please select a BUG ID</v>
      </c>
      <c r="E353" s="82"/>
      <c r="F353" s="80"/>
      <c r="H353" s="82"/>
      <c r="I353" s="80"/>
      <c r="J353" s="51" t="str">
        <f>IFERROR(Hyperlink(VLOOKUP(A353,Internal_lists_bugs!$A$2:$G1013,7,FALSE()),"BIC: "&amp;VLOOKUP(A353,Internal_lists_bugs!$A$2:$G1013,7,FALSE())&amp;CHAR(10)&amp;"Intro.Issues: "&amp;VLOOKUP(A353,Internal_lists_bugs!$A$2:$P1013,16,FALSE())),"please select a BUG ID")</f>
        <v>please select a BUG ID</v>
      </c>
    </row>
    <row r="354">
      <c r="A354" s="57"/>
      <c r="B354" s="88" t="str">
        <f>IFERROR(HYPERLINK(VLOOKUP(A354,Internal_lists_bugs!$A$2:$C$73,3,FALSE()), VLOOKUP(A354,Internal_lists_bugs!$A$2:$C$73,3,FALSE())&amp;Char(10) &amp; Char(10) &amp; VLOOKUP(A354,Internal_lists_bugs!$A$2:$Z$73,26,FALSE())),"please select a BUG ID")</f>
        <v>please select a BUG ID</v>
      </c>
      <c r="C354" s="89" t="str">
        <f>IFERROR(VLOOKUP(A354,Internal_lists_bugs!$A$2:$X1013,24,FALSE()),"please select a BUG ID")</f>
        <v>please select a BUG ID</v>
      </c>
      <c r="E354" s="82"/>
      <c r="F354" s="80"/>
      <c r="H354" s="82"/>
      <c r="I354" s="80"/>
      <c r="J354" s="51" t="str">
        <f>IFERROR(Hyperlink(VLOOKUP(A354,Internal_lists_bugs!$A$2:$G1013,7,FALSE()),"BIC: "&amp;VLOOKUP(A354,Internal_lists_bugs!$A$2:$G1013,7,FALSE())&amp;CHAR(10)&amp;"Intro.Issues: "&amp;VLOOKUP(A354,Internal_lists_bugs!$A$2:$P1013,16,FALSE())),"please select a BUG ID")</f>
        <v>please select a BUG ID</v>
      </c>
    </row>
    <row r="355">
      <c r="A355" s="57"/>
      <c r="B355" s="88" t="str">
        <f>IFERROR(HYPERLINK(VLOOKUP(A355,Internal_lists_bugs!$A$2:$C$73,3,FALSE()), VLOOKUP(A355,Internal_lists_bugs!$A$2:$C$73,3,FALSE())&amp;Char(10) &amp; Char(10) &amp; VLOOKUP(A355,Internal_lists_bugs!$A$2:$Z$73,26,FALSE())),"please select a BUG ID")</f>
        <v>please select a BUG ID</v>
      </c>
      <c r="C355" s="89" t="str">
        <f>IFERROR(VLOOKUP(A355,Internal_lists_bugs!$A$2:$X1013,24,FALSE()),"please select a BUG ID")</f>
        <v>please select a BUG ID</v>
      </c>
      <c r="E355" s="82"/>
      <c r="F355" s="80"/>
      <c r="H355" s="82"/>
      <c r="I355" s="80"/>
      <c r="J355" s="51" t="str">
        <f>IFERROR(Hyperlink(VLOOKUP(A355,Internal_lists_bugs!$A$2:$G1013,7,FALSE()),"BIC: "&amp;VLOOKUP(A355,Internal_lists_bugs!$A$2:$G1013,7,FALSE())&amp;CHAR(10)&amp;"Intro.Issues: "&amp;VLOOKUP(A355,Internal_lists_bugs!$A$2:$P1013,16,FALSE())),"please select a BUG ID")</f>
        <v>please select a BUG ID</v>
      </c>
    </row>
    <row r="356">
      <c r="A356" s="57"/>
      <c r="B356" s="88" t="str">
        <f>IFERROR(HYPERLINK(VLOOKUP(A356,Internal_lists_bugs!$A$2:$C$73,3,FALSE()), VLOOKUP(A356,Internal_lists_bugs!$A$2:$C$73,3,FALSE())&amp;Char(10) &amp; Char(10) &amp; VLOOKUP(A356,Internal_lists_bugs!$A$2:$Z$73,26,FALSE())),"please select a BUG ID")</f>
        <v>please select a BUG ID</v>
      </c>
      <c r="C356" s="89" t="str">
        <f>IFERROR(VLOOKUP(A356,Internal_lists_bugs!$A$2:$X1013,24,FALSE()),"please select a BUG ID")</f>
        <v>please select a BUG ID</v>
      </c>
      <c r="E356" s="82"/>
      <c r="F356" s="80"/>
      <c r="H356" s="82"/>
      <c r="I356" s="80"/>
      <c r="J356" s="51" t="str">
        <f>IFERROR(Hyperlink(VLOOKUP(A356,Internal_lists_bugs!$A$2:$G1013,7,FALSE()),"BIC: "&amp;VLOOKUP(A356,Internal_lists_bugs!$A$2:$G1013,7,FALSE())&amp;CHAR(10)&amp;"Intro.Issues: "&amp;VLOOKUP(A356,Internal_lists_bugs!$A$2:$P1013,16,FALSE())),"please select a BUG ID")</f>
        <v>please select a BUG ID</v>
      </c>
    </row>
    <row r="357">
      <c r="A357" s="57"/>
      <c r="B357" s="88" t="str">
        <f>IFERROR(HYPERLINK(VLOOKUP(A357,Internal_lists_bugs!$A$2:$C$73,3,FALSE()), VLOOKUP(A357,Internal_lists_bugs!$A$2:$C$73,3,FALSE())&amp;Char(10) &amp; Char(10) &amp; VLOOKUP(A357,Internal_lists_bugs!$A$2:$Z$73,26,FALSE())),"please select a BUG ID")</f>
        <v>please select a BUG ID</v>
      </c>
      <c r="C357" s="89" t="str">
        <f>IFERROR(VLOOKUP(A357,Internal_lists_bugs!$A$2:$X1013,24,FALSE()),"please select a BUG ID")</f>
        <v>please select a BUG ID</v>
      </c>
      <c r="E357" s="82"/>
      <c r="F357" s="80"/>
      <c r="H357" s="82"/>
      <c r="I357" s="80"/>
      <c r="J357" s="51" t="str">
        <f>IFERROR(Hyperlink(VLOOKUP(A357,Internal_lists_bugs!$A$2:$G1013,7,FALSE()),"BIC: "&amp;VLOOKUP(A357,Internal_lists_bugs!$A$2:$G1013,7,FALSE())&amp;CHAR(10)&amp;"Intro.Issues: "&amp;VLOOKUP(A357,Internal_lists_bugs!$A$2:$P1013,16,FALSE())),"please select a BUG ID")</f>
        <v>please select a BUG ID</v>
      </c>
    </row>
    <row r="358">
      <c r="A358" s="57"/>
      <c r="B358" s="88" t="str">
        <f>IFERROR(HYPERLINK(VLOOKUP(A358,Internal_lists_bugs!$A$2:$C$73,3,FALSE()), VLOOKUP(A358,Internal_lists_bugs!$A$2:$C$73,3,FALSE())&amp;Char(10) &amp; Char(10) &amp; VLOOKUP(A358,Internal_lists_bugs!$A$2:$Z$73,26,FALSE())),"please select a BUG ID")</f>
        <v>please select a BUG ID</v>
      </c>
      <c r="C358" s="89" t="str">
        <f>IFERROR(VLOOKUP(A358,Internal_lists_bugs!$A$2:$X1013,24,FALSE()),"please select a BUG ID")</f>
        <v>please select a BUG ID</v>
      </c>
      <c r="E358" s="82"/>
      <c r="F358" s="80"/>
      <c r="H358" s="82"/>
      <c r="I358" s="80"/>
      <c r="J358" s="51" t="str">
        <f>IFERROR(Hyperlink(VLOOKUP(A358,Internal_lists_bugs!$A$2:$G1013,7,FALSE()),"BIC: "&amp;VLOOKUP(A358,Internal_lists_bugs!$A$2:$G1013,7,FALSE())&amp;CHAR(10)&amp;"Intro.Issues: "&amp;VLOOKUP(A358,Internal_lists_bugs!$A$2:$P1013,16,FALSE())),"please select a BUG ID")</f>
        <v>please select a BUG ID</v>
      </c>
    </row>
    <row r="359">
      <c r="A359" s="57"/>
      <c r="B359" s="88" t="str">
        <f>IFERROR(HYPERLINK(VLOOKUP(A359,Internal_lists_bugs!$A$2:$C$73,3,FALSE()), VLOOKUP(A359,Internal_lists_bugs!$A$2:$C$73,3,FALSE())&amp;Char(10) &amp; Char(10) &amp; VLOOKUP(A359,Internal_lists_bugs!$A$2:$Z$73,26,FALSE())),"please select a BUG ID")</f>
        <v>please select a BUG ID</v>
      </c>
      <c r="C359" s="89" t="str">
        <f>IFERROR(VLOOKUP(A359,Internal_lists_bugs!$A$2:$X1013,24,FALSE()),"please select a BUG ID")</f>
        <v>please select a BUG ID</v>
      </c>
      <c r="E359" s="82"/>
      <c r="F359" s="80"/>
      <c r="H359" s="82"/>
      <c r="I359" s="80"/>
      <c r="J359" s="51" t="str">
        <f>IFERROR(Hyperlink(VLOOKUP(A359,Internal_lists_bugs!$A$2:$G1013,7,FALSE()),"BIC: "&amp;VLOOKUP(A359,Internal_lists_bugs!$A$2:$G1013,7,FALSE())&amp;CHAR(10)&amp;"Intro.Issues: "&amp;VLOOKUP(A359,Internal_lists_bugs!$A$2:$P1013,16,FALSE())),"please select a BUG ID")</f>
        <v>please select a BUG ID</v>
      </c>
    </row>
    <row r="360">
      <c r="A360" s="57"/>
      <c r="B360" s="88" t="str">
        <f>IFERROR(HYPERLINK(VLOOKUP(A360,Internal_lists_bugs!$A$2:$C$73,3,FALSE()), VLOOKUP(A360,Internal_lists_bugs!$A$2:$C$73,3,FALSE())&amp;Char(10) &amp; Char(10) &amp; VLOOKUP(A360,Internal_lists_bugs!$A$2:$Z$73,26,FALSE())),"please select a BUG ID")</f>
        <v>please select a BUG ID</v>
      </c>
      <c r="C360" s="89" t="str">
        <f>IFERROR(VLOOKUP(A360,Internal_lists_bugs!$A$2:$X1013,24,FALSE()),"please select a BUG ID")</f>
        <v>please select a BUG ID</v>
      </c>
      <c r="E360" s="82"/>
      <c r="F360" s="80"/>
      <c r="H360" s="82"/>
      <c r="I360" s="80"/>
      <c r="J360" s="51" t="str">
        <f>IFERROR(Hyperlink(VLOOKUP(A360,Internal_lists_bugs!$A$2:$G1013,7,FALSE()),"BIC: "&amp;VLOOKUP(A360,Internal_lists_bugs!$A$2:$G1013,7,FALSE())&amp;CHAR(10)&amp;"Intro.Issues: "&amp;VLOOKUP(A360,Internal_lists_bugs!$A$2:$P1013,16,FALSE())),"please select a BUG ID")</f>
        <v>please select a BUG ID</v>
      </c>
    </row>
    <row r="361">
      <c r="A361" s="57"/>
      <c r="B361" s="88" t="str">
        <f>IFERROR(HYPERLINK(VLOOKUP(A361,Internal_lists_bugs!$A$2:$C$73,3,FALSE()), VLOOKUP(A361,Internal_lists_bugs!$A$2:$C$73,3,FALSE())&amp;Char(10) &amp; Char(10) &amp; VLOOKUP(A361,Internal_lists_bugs!$A$2:$Z$73,26,FALSE())),"please select a BUG ID")</f>
        <v>please select a BUG ID</v>
      </c>
      <c r="C361" s="89" t="str">
        <f>IFERROR(VLOOKUP(A361,Internal_lists_bugs!$A$2:$X1013,24,FALSE()),"please select a BUG ID")</f>
        <v>please select a BUG ID</v>
      </c>
      <c r="E361" s="82"/>
      <c r="F361" s="80"/>
      <c r="H361" s="82"/>
      <c r="I361" s="80"/>
      <c r="J361" s="51" t="str">
        <f>IFERROR(Hyperlink(VLOOKUP(A361,Internal_lists_bugs!$A$2:$G1013,7,FALSE()),"BIC: "&amp;VLOOKUP(A361,Internal_lists_bugs!$A$2:$G1013,7,FALSE())&amp;CHAR(10)&amp;"Intro.Issues: "&amp;VLOOKUP(A361,Internal_lists_bugs!$A$2:$P1013,16,FALSE())),"please select a BUG ID")</f>
        <v>please select a BUG ID</v>
      </c>
    </row>
    <row r="362">
      <c r="A362" s="57"/>
      <c r="B362" s="88" t="str">
        <f>IFERROR(HYPERLINK(VLOOKUP(A362,Internal_lists_bugs!$A$2:$C$73,3,FALSE()), VLOOKUP(A362,Internal_lists_bugs!$A$2:$C$73,3,FALSE())&amp;Char(10) &amp; Char(10) &amp; VLOOKUP(A362,Internal_lists_bugs!$A$2:$Z$73,26,FALSE())),"please select a BUG ID")</f>
        <v>please select a BUG ID</v>
      </c>
      <c r="C362" s="89" t="str">
        <f>IFERROR(VLOOKUP(A362,Internal_lists_bugs!$A$2:$X1013,24,FALSE()),"please select a BUG ID")</f>
        <v>please select a BUG ID</v>
      </c>
      <c r="E362" s="82"/>
      <c r="F362" s="80"/>
      <c r="H362" s="82"/>
      <c r="I362" s="80"/>
      <c r="J362" s="51" t="str">
        <f>IFERROR(Hyperlink(VLOOKUP(A362,Internal_lists_bugs!$A$2:$G1013,7,FALSE()),"BIC: "&amp;VLOOKUP(A362,Internal_lists_bugs!$A$2:$G1013,7,FALSE())&amp;CHAR(10)&amp;"Intro.Issues: "&amp;VLOOKUP(A362,Internal_lists_bugs!$A$2:$P1013,16,FALSE())),"please select a BUG ID")</f>
        <v>please select a BUG ID</v>
      </c>
    </row>
    <row r="363">
      <c r="A363" s="57"/>
      <c r="B363" s="88" t="str">
        <f>IFERROR(HYPERLINK(VLOOKUP(A363,Internal_lists_bugs!$A$2:$C$73,3,FALSE()), VLOOKUP(A363,Internal_lists_bugs!$A$2:$C$73,3,FALSE())&amp;Char(10) &amp; Char(10) &amp; VLOOKUP(A363,Internal_lists_bugs!$A$2:$Z$73,26,FALSE())),"please select a BUG ID")</f>
        <v>please select a BUG ID</v>
      </c>
      <c r="C363" s="89" t="str">
        <f>IFERROR(VLOOKUP(A363,Internal_lists_bugs!$A$2:$X1013,24,FALSE()),"please select a BUG ID")</f>
        <v>please select a BUG ID</v>
      </c>
      <c r="E363" s="82"/>
      <c r="F363" s="80"/>
      <c r="H363" s="82"/>
      <c r="I363" s="80"/>
      <c r="J363" s="51" t="str">
        <f>IFERROR(Hyperlink(VLOOKUP(A363,Internal_lists_bugs!$A$2:$G1013,7,FALSE()),"BIC: "&amp;VLOOKUP(A363,Internal_lists_bugs!$A$2:$G1013,7,FALSE())&amp;CHAR(10)&amp;"Intro.Issues: "&amp;VLOOKUP(A363,Internal_lists_bugs!$A$2:$P1013,16,FALSE())),"please select a BUG ID")</f>
        <v>please select a BUG ID</v>
      </c>
    </row>
    <row r="364">
      <c r="A364" s="57"/>
      <c r="B364" s="88" t="str">
        <f>IFERROR(HYPERLINK(VLOOKUP(A364,Internal_lists_bugs!$A$2:$C$73,3,FALSE()), VLOOKUP(A364,Internal_lists_bugs!$A$2:$C$73,3,FALSE())&amp;Char(10) &amp; Char(10) &amp; VLOOKUP(A364,Internal_lists_bugs!$A$2:$Z$73,26,FALSE())),"please select a BUG ID")</f>
        <v>please select a BUG ID</v>
      </c>
      <c r="C364" s="89" t="str">
        <f>IFERROR(VLOOKUP(A364,Internal_lists_bugs!$A$2:$X1013,24,FALSE()),"please select a BUG ID")</f>
        <v>please select a BUG ID</v>
      </c>
      <c r="E364" s="82"/>
      <c r="F364" s="80"/>
      <c r="H364" s="82"/>
      <c r="I364" s="80"/>
      <c r="J364" s="51" t="str">
        <f>IFERROR(Hyperlink(VLOOKUP(A364,Internal_lists_bugs!$A$2:$G1013,7,FALSE()),"BIC: "&amp;VLOOKUP(A364,Internal_lists_bugs!$A$2:$G1013,7,FALSE())&amp;CHAR(10)&amp;"Intro.Issues: "&amp;VLOOKUP(A364,Internal_lists_bugs!$A$2:$P1013,16,FALSE())),"please select a BUG ID")</f>
        <v>please select a BUG ID</v>
      </c>
    </row>
    <row r="365">
      <c r="A365" s="57"/>
      <c r="B365" s="88" t="str">
        <f>IFERROR(HYPERLINK(VLOOKUP(A365,Internal_lists_bugs!$A$2:$C$73,3,FALSE()), VLOOKUP(A365,Internal_lists_bugs!$A$2:$C$73,3,FALSE())&amp;Char(10) &amp; Char(10) &amp; VLOOKUP(A365,Internal_lists_bugs!$A$2:$Z$73,26,FALSE())),"please select a BUG ID")</f>
        <v>please select a BUG ID</v>
      </c>
      <c r="C365" s="89" t="str">
        <f>IFERROR(VLOOKUP(A365,Internal_lists_bugs!$A$2:$X1013,24,FALSE()),"please select a BUG ID")</f>
        <v>please select a BUG ID</v>
      </c>
      <c r="E365" s="82"/>
      <c r="F365" s="80"/>
      <c r="H365" s="82"/>
      <c r="I365" s="80"/>
      <c r="J365" s="51" t="str">
        <f>IFERROR(Hyperlink(VLOOKUP(A365,Internal_lists_bugs!$A$2:$G1013,7,FALSE()),"BIC: "&amp;VLOOKUP(A365,Internal_lists_bugs!$A$2:$G1013,7,FALSE())&amp;CHAR(10)&amp;"Intro.Issues: "&amp;VLOOKUP(A365,Internal_lists_bugs!$A$2:$P1013,16,FALSE())),"please select a BUG ID")</f>
        <v>please select a BUG ID</v>
      </c>
    </row>
    <row r="366">
      <c r="A366" s="57"/>
      <c r="B366" s="88" t="str">
        <f>IFERROR(HYPERLINK(VLOOKUP(A366,Internal_lists_bugs!$A$2:$C$73,3,FALSE()), VLOOKUP(A366,Internal_lists_bugs!$A$2:$C$73,3,FALSE())&amp;Char(10) &amp; Char(10) &amp; VLOOKUP(A366,Internal_lists_bugs!$A$2:$Z$73,26,FALSE())),"please select a BUG ID")</f>
        <v>please select a BUG ID</v>
      </c>
      <c r="C366" s="89" t="str">
        <f>IFERROR(VLOOKUP(A366,Internal_lists_bugs!$A$2:$X1013,24,FALSE()),"please select a BUG ID")</f>
        <v>please select a BUG ID</v>
      </c>
      <c r="E366" s="82"/>
      <c r="F366" s="80"/>
      <c r="H366" s="82"/>
      <c r="I366" s="80"/>
      <c r="J366" s="51" t="str">
        <f>IFERROR(Hyperlink(VLOOKUP(A366,Internal_lists_bugs!$A$2:$G1013,7,FALSE()),"BIC: "&amp;VLOOKUP(A366,Internal_lists_bugs!$A$2:$G1013,7,FALSE())&amp;CHAR(10)&amp;"Intro.Issues: "&amp;VLOOKUP(A366,Internal_lists_bugs!$A$2:$P1013,16,FALSE())),"please select a BUG ID")</f>
        <v>please select a BUG ID</v>
      </c>
    </row>
    <row r="367">
      <c r="A367" s="57"/>
      <c r="B367" s="88" t="str">
        <f>IFERROR(HYPERLINK(VLOOKUP(A367,Internal_lists_bugs!$A$2:$C$73,3,FALSE()), VLOOKUP(A367,Internal_lists_bugs!$A$2:$C$73,3,FALSE())&amp;Char(10) &amp; Char(10) &amp; VLOOKUP(A367,Internal_lists_bugs!$A$2:$Z$73,26,FALSE())),"please select a BUG ID")</f>
        <v>please select a BUG ID</v>
      </c>
      <c r="C367" s="89" t="str">
        <f>IFERROR(VLOOKUP(A367,Internal_lists_bugs!$A$2:$X1013,24,FALSE()),"please select a BUG ID")</f>
        <v>please select a BUG ID</v>
      </c>
      <c r="E367" s="82"/>
      <c r="F367" s="80"/>
      <c r="H367" s="82"/>
      <c r="I367" s="80"/>
      <c r="J367" s="51" t="str">
        <f>IFERROR(Hyperlink(VLOOKUP(A367,Internal_lists_bugs!$A$2:$G1013,7,FALSE()),"BIC: "&amp;VLOOKUP(A367,Internal_lists_bugs!$A$2:$G1013,7,FALSE())&amp;CHAR(10)&amp;"Intro.Issues: "&amp;VLOOKUP(A367,Internal_lists_bugs!$A$2:$P1013,16,FALSE())),"please select a BUG ID")</f>
        <v>please select a BUG ID</v>
      </c>
    </row>
    <row r="368">
      <c r="A368" s="57"/>
      <c r="B368" s="88" t="str">
        <f>IFERROR(HYPERLINK(VLOOKUP(A368,Internal_lists_bugs!$A$2:$C$73,3,FALSE()), VLOOKUP(A368,Internal_lists_bugs!$A$2:$C$73,3,FALSE())&amp;Char(10) &amp; Char(10) &amp; VLOOKUP(A368,Internal_lists_bugs!$A$2:$Z$73,26,FALSE())),"please select a BUG ID")</f>
        <v>please select a BUG ID</v>
      </c>
      <c r="C368" s="89" t="str">
        <f>IFERROR(VLOOKUP(A368,Internal_lists_bugs!$A$2:$X1013,24,FALSE()),"please select a BUG ID")</f>
        <v>please select a BUG ID</v>
      </c>
      <c r="E368" s="82"/>
      <c r="F368" s="80"/>
      <c r="H368" s="82"/>
      <c r="I368" s="80"/>
      <c r="J368" s="51" t="str">
        <f>IFERROR(Hyperlink(VLOOKUP(A368,Internal_lists_bugs!$A$2:$G1013,7,FALSE()),"BIC: "&amp;VLOOKUP(A368,Internal_lists_bugs!$A$2:$G1013,7,FALSE())&amp;CHAR(10)&amp;"Intro.Issues: "&amp;VLOOKUP(A368,Internal_lists_bugs!$A$2:$P1013,16,FALSE())),"please select a BUG ID")</f>
        <v>please select a BUG ID</v>
      </c>
    </row>
    <row r="369">
      <c r="A369" s="57"/>
      <c r="B369" s="88" t="str">
        <f>IFERROR(HYPERLINK(VLOOKUP(A369,Internal_lists_bugs!$A$2:$C$73,3,FALSE()), VLOOKUP(A369,Internal_lists_bugs!$A$2:$C$73,3,FALSE())&amp;Char(10) &amp; Char(10) &amp; VLOOKUP(A369,Internal_lists_bugs!$A$2:$Z$73,26,FALSE())),"please select a BUG ID")</f>
        <v>please select a BUG ID</v>
      </c>
      <c r="C369" s="89" t="str">
        <f>IFERROR(VLOOKUP(A369,Internal_lists_bugs!$A$2:$X1013,24,FALSE()),"please select a BUG ID")</f>
        <v>please select a BUG ID</v>
      </c>
      <c r="E369" s="82"/>
      <c r="F369" s="80"/>
      <c r="H369" s="82"/>
      <c r="I369" s="80"/>
      <c r="J369" s="51" t="str">
        <f>IFERROR(Hyperlink(VLOOKUP(A369,Internal_lists_bugs!$A$2:$G1013,7,FALSE()),"BIC: "&amp;VLOOKUP(A369,Internal_lists_bugs!$A$2:$G1013,7,FALSE())&amp;CHAR(10)&amp;"Intro.Issues: "&amp;VLOOKUP(A369,Internal_lists_bugs!$A$2:$P1013,16,FALSE())),"please select a BUG ID")</f>
        <v>please select a BUG ID</v>
      </c>
    </row>
    <row r="370">
      <c r="A370" s="57"/>
      <c r="B370" s="88" t="str">
        <f>IFERROR(HYPERLINK(VLOOKUP(A370,Internal_lists_bugs!$A$2:$C$73,3,FALSE()), VLOOKUP(A370,Internal_lists_bugs!$A$2:$C$73,3,FALSE())&amp;Char(10) &amp; Char(10) &amp; VLOOKUP(A370,Internal_lists_bugs!$A$2:$Z$73,26,FALSE())),"please select a BUG ID")</f>
        <v>please select a BUG ID</v>
      </c>
      <c r="C370" s="89" t="str">
        <f>IFERROR(VLOOKUP(A370,Internal_lists_bugs!$A$2:$X1013,24,FALSE()),"please select a BUG ID")</f>
        <v>please select a BUG ID</v>
      </c>
      <c r="E370" s="82"/>
      <c r="F370" s="80"/>
      <c r="H370" s="82"/>
      <c r="I370" s="80"/>
      <c r="J370" s="51" t="str">
        <f>IFERROR(Hyperlink(VLOOKUP(A370,Internal_lists_bugs!$A$2:$G1013,7,FALSE()),"BIC: "&amp;VLOOKUP(A370,Internal_lists_bugs!$A$2:$G1013,7,FALSE())&amp;CHAR(10)&amp;"Intro.Issues: "&amp;VLOOKUP(A370,Internal_lists_bugs!$A$2:$P1013,16,FALSE())),"please select a BUG ID")</f>
        <v>please select a BUG ID</v>
      </c>
    </row>
    <row r="371">
      <c r="A371" s="57"/>
      <c r="B371" s="88" t="str">
        <f>IFERROR(HYPERLINK(VLOOKUP(A371,Internal_lists_bugs!$A$2:$C$73,3,FALSE()), VLOOKUP(A371,Internal_lists_bugs!$A$2:$C$73,3,FALSE())&amp;Char(10) &amp; Char(10) &amp; VLOOKUP(A371,Internal_lists_bugs!$A$2:$Z$73,26,FALSE())),"please select a BUG ID")</f>
        <v>please select a BUG ID</v>
      </c>
      <c r="C371" s="89" t="str">
        <f>IFERROR(VLOOKUP(A371,Internal_lists_bugs!$A$2:$X1013,24,FALSE()),"please select a BUG ID")</f>
        <v>please select a BUG ID</v>
      </c>
      <c r="E371" s="82"/>
      <c r="F371" s="80"/>
      <c r="H371" s="82"/>
      <c r="I371" s="80"/>
      <c r="J371" s="51" t="str">
        <f>IFERROR(Hyperlink(VLOOKUP(A371,Internal_lists_bugs!$A$2:$G1013,7,FALSE()),"BIC: "&amp;VLOOKUP(A371,Internal_lists_bugs!$A$2:$G1013,7,FALSE())&amp;CHAR(10)&amp;"Intro.Issues: "&amp;VLOOKUP(A371,Internal_lists_bugs!$A$2:$P1013,16,FALSE())),"please select a BUG ID")</f>
        <v>please select a BUG ID</v>
      </c>
    </row>
    <row r="372">
      <c r="A372" s="57"/>
      <c r="B372" s="88" t="str">
        <f>IFERROR(HYPERLINK(VLOOKUP(A372,Internal_lists_bugs!$A$2:$C$73,3,FALSE()), VLOOKUP(A372,Internal_lists_bugs!$A$2:$C$73,3,FALSE())&amp;Char(10) &amp; Char(10) &amp; VLOOKUP(A372,Internal_lists_bugs!$A$2:$Z$73,26,FALSE())),"please select a BUG ID")</f>
        <v>please select a BUG ID</v>
      </c>
      <c r="C372" s="89" t="str">
        <f>IFERROR(VLOOKUP(A372,Internal_lists_bugs!$A$2:$X1013,24,FALSE()),"please select a BUG ID")</f>
        <v>please select a BUG ID</v>
      </c>
      <c r="E372" s="82"/>
      <c r="F372" s="80"/>
      <c r="H372" s="82"/>
      <c r="I372" s="80"/>
      <c r="J372" s="51" t="str">
        <f>IFERROR(Hyperlink(VLOOKUP(A372,Internal_lists_bugs!$A$2:$G1013,7,FALSE()),"BIC: "&amp;VLOOKUP(A372,Internal_lists_bugs!$A$2:$G1013,7,FALSE())&amp;CHAR(10)&amp;"Intro.Issues: "&amp;VLOOKUP(A372,Internal_lists_bugs!$A$2:$P1013,16,FALSE())),"please select a BUG ID")</f>
        <v>please select a BUG ID</v>
      </c>
    </row>
    <row r="373">
      <c r="A373" s="57"/>
      <c r="B373" s="88" t="str">
        <f>IFERROR(HYPERLINK(VLOOKUP(A373,Internal_lists_bugs!$A$2:$C$73,3,FALSE()), VLOOKUP(A373,Internal_lists_bugs!$A$2:$C$73,3,FALSE())&amp;Char(10) &amp; Char(10) &amp; VLOOKUP(A373,Internal_lists_bugs!$A$2:$Z$73,26,FALSE())),"please select a BUG ID")</f>
        <v>please select a BUG ID</v>
      </c>
      <c r="C373" s="89" t="str">
        <f>IFERROR(VLOOKUP(A373,Internal_lists_bugs!$A$2:$X1013,24,FALSE()),"please select a BUG ID")</f>
        <v>please select a BUG ID</v>
      </c>
      <c r="E373" s="82"/>
      <c r="F373" s="80"/>
      <c r="H373" s="82"/>
      <c r="I373" s="80"/>
      <c r="J373" s="51" t="str">
        <f>IFERROR(Hyperlink(VLOOKUP(A373,Internal_lists_bugs!$A$2:$G1013,7,FALSE()),"BIC: "&amp;VLOOKUP(A373,Internal_lists_bugs!$A$2:$G1013,7,FALSE())&amp;CHAR(10)&amp;"Intro.Issues: "&amp;VLOOKUP(A373,Internal_lists_bugs!$A$2:$P1013,16,FALSE())),"please select a BUG ID")</f>
        <v>please select a BUG ID</v>
      </c>
    </row>
    <row r="374">
      <c r="A374" s="57"/>
      <c r="B374" s="88" t="str">
        <f>IFERROR(HYPERLINK(VLOOKUP(A374,Internal_lists_bugs!$A$2:$C$73,3,FALSE()), VLOOKUP(A374,Internal_lists_bugs!$A$2:$C$73,3,FALSE())&amp;Char(10) &amp; Char(10) &amp; VLOOKUP(A374,Internal_lists_bugs!$A$2:$Z$73,26,FALSE())),"please select a BUG ID")</f>
        <v>please select a BUG ID</v>
      </c>
      <c r="C374" s="89" t="str">
        <f>IFERROR(VLOOKUP(A374,Internal_lists_bugs!$A$2:$X1013,24,FALSE()),"please select a BUG ID")</f>
        <v>please select a BUG ID</v>
      </c>
      <c r="E374" s="82"/>
      <c r="F374" s="80"/>
      <c r="H374" s="82"/>
      <c r="I374" s="80"/>
      <c r="J374" s="51" t="str">
        <f>IFERROR(Hyperlink(VLOOKUP(A374,Internal_lists_bugs!$A$2:$G1013,7,FALSE()),"BIC: "&amp;VLOOKUP(A374,Internal_lists_bugs!$A$2:$G1013,7,FALSE())&amp;CHAR(10)&amp;"Intro.Issues: "&amp;VLOOKUP(A374,Internal_lists_bugs!$A$2:$P1013,16,FALSE())),"please select a BUG ID")</f>
        <v>please select a BUG ID</v>
      </c>
    </row>
    <row r="375">
      <c r="A375" s="57"/>
      <c r="B375" s="88" t="str">
        <f>IFERROR(HYPERLINK(VLOOKUP(A375,Internal_lists_bugs!$A$2:$C$73,3,FALSE()), VLOOKUP(A375,Internal_lists_bugs!$A$2:$C$73,3,FALSE())&amp;Char(10) &amp; Char(10) &amp; VLOOKUP(A375,Internal_lists_bugs!$A$2:$Z$73,26,FALSE())),"please select a BUG ID")</f>
        <v>please select a BUG ID</v>
      </c>
      <c r="C375" s="89" t="str">
        <f>IFERROR(VLOOKUP(A375,Internal_lists_bugs!$A$2:$X1013,24,FALSE()),"please select a BUG ID")</f>
        <v>please select a BUG ID</v>
      </c>
      <c r="E375" s="82"/>
      <c r="F375" s="80"/>
      <c r="H375" s="82"/>
      <c r="I375" s="80"/>
      <c r="J375" s="51" t="str">
        <f>IFERROR(Hyperlink(VLOOKUP(A375,Internal_lists_bugs!$A$2:$G1013,7,FALSE()),"BIC: "&amp;VLOOKUP(A375,Internal_lists_bugs!$A$2:$G1013,7,FALSE())&amp;CHAR(10)&amp;"Intro.Issues: "&amp;VLOOKUP(A375,Internal_lists_bugs!$A$2:$P1013,16,FALSE())),"please select a BUG ID")</f>
        <v>please select a BUG ID</v>
      </c>
    </row>
    <row r="376">
      <c r="A376" s="57"/>
      <c r="B376" s="88" t="str">
        <f>IFERROR(HYPERLINK(VLOOKUP(A376,Internal_lists_bugs!$A$2:$C$73,3,FALSE()), VLOOKUP(A376,Internal_lists_bugs!$A$2:$C$73,3,FALSE())&amp;Char(10) &amp; Char(10) &amp; VLOOKUP(A376,Internal_lists_bugs!$A$2:$Z$73,26,FALSE())),"please select a BUG ID")</f>
        <v>please select a BUG ID</v>
      </c>
      <c r="C376" s="89" t="str">
        <f>IFERROR(VLOOKUP(A376,Internal_lists_bugs!$A$2:$X1013,24,FALSE()),"please select a BUG ID")</f>
        <v>please select a BUG ID</v>
      </c>
      <c r="E376" s="82"/>
      <c r="F376" s="80"/>
      <c r="H376" s="82"/>
      <c r="I376" s="80"/>
      <c r="J376" s="51" t="str">
        <f>IFERROR(Hyperlink(VLOOKUP(A376,Internal_lists_bugs!$A$2:$G1013,7,FALSE()),"BIC: "&amp;VLOOKUP(A376,Internal_lists_bugs!$A$2:$G1013,7,FALSE())&amp;CHAR(10)&amp;"Intro.Issues: "&amp;VLOOKUP(A376,Internal_lists_bugs!$A$2:$P1013,16,FALSE())),"please select a BUG ID")</f>
        <v>please select a BUG ID</v>
      </c>
    </row>
    <row r="377">
      <c r="A377" s="57"/>
      <c r="B377" s="88" t="str">
        <f>IFERROR(HYPERLINK(VLOOKUP(A377,Internal_lists_bugs!$A$2:$C$73,3,FALSE()), VLOOKUP(A377,Internal_lists_bugs!$A$2:$C$73,3,FALSE())&amp;Char(10) &amp; Char(10) &amp; VLOOKUP(A377,Internal_lists_bugs!$A$2:$Z$73,26,FALSE())),"please select a BUG ID")</f>
        <v>please select a BUG ID</v>
      </c>
      <c r="C377" s="89" t="str">
        <f>IFERROR(VLOOKUP(A377,Internal_lists_bugs!$A$2:$X1013,24,FALSE()),"please select a BUG ID")</f>
        <v>please select a BUG ID</v>
      </c>
      <c r="E377" s="82"/>
      <c r="F377" s="80"/>
      <c r="H377" s="82"/>
      <c r="I377" s="80"/>
      <c r="J377" s="51" t="str">
        <f>IFERROR(Hyperlink(VLOOKUP(A377,Internal_lists_bugs!$A$2:$G1013,7,FALSE()),"BIC: "&amp;VLOOKUP(A377,Internal_lists_bugs!$A$2:$G1013,7,FALSE())&amp;CHAR(10)&amp;"Intro.Issues: "&amp;VLOOKUP(A377,Internal_lists_bugs!$A$2:$P1013,16,FALSE())),"please select a BUG ID")</f>
        <v>please select a BUG ID</v>
      </c>
    </row>
    <row r="378">
      <c r="A378" s="57"/>
      <c r="B378" s="88" t="str">
        <f>IFERROR(HYPERLINK(VLOOKUP(A378,Internal_lists_bugs!$A$2:$C$73,3,FALSE()), VLOOKUP(A378,Internal_lists_bugs!$A$2:$C$73,3,FALSE())&amp;Char(10) &amp; Char(10) &amp; VLOOKUP(A378,Internal_lists_bugs!$A$2:$Z$73,26,FALSE())),"please select a BUG ID")</f>
        <v>please select a BUG ID</v>
      </c>
      <c r="C378" s="89" t="str">
        <f>IFERROR(VLOOKUP(A378,Internal_lists_bugs!$A$2:$X1013,24,FALSE()),"please select a BUG ID")</f>
        <v>please select a BUG ID</v>
      </c>
      <c r="E378" s="82"/>
      <c r="F378" s="80"/>
      <c r="H378" s="82"/>
      <c r="I378" s="80"/>
      <c r="J378" s="51" t="str">
        <f>IFERROR(Hyperlink(VLOOKUP(A378,Internal_lists_bugs!$A$2:$G1013,7,FALSE()),"BIC: "&amp;VLOOKUP(A378,Internal_lists_bugs!$A$2:$G1013,7,FALSE())&amp;CHAR(10)&amp;"Intro.Issues: "&amp;VLOOKUP(A378,Internal_lists_bugs!$A$2:$P1013,16,FALSE())),"please select a BUG ID")</f>
        <v>please select a BUG ID</v>
      </c>
    </row>
    <row r="379">
      <c r="A379" s="57"/>
      <c r="B379" s="88" t="str">
        <f>IFERROR(HYPERLINK(VLOOKUP(A379,Internal_lists_bugs!$A$2:$C$73,3,FALSE()), VLOOKUP(A379,Internal_lists_bugs!$A$2:$C$73,3,FALSE())&amp;Char(10) &amp; Char(10) &amp; VLOOKUP(A379,Internal_lists_bugs!$A$2:$Z$73,26,FALSE())),"please select a BUG ID")</f>
        <v>please select a BUG ID</v>
      </c>
      <c r="C379" s="89" t="str">
        <f>IFERROR(VLOOKUP(A379,Internal_lists_bugs!$A$2:$X1013,24,FALSE()),"please select a BUG ID")</f>
        <v>please select a BUG ID</v>
      </c>
      <c r="E379" s="82"/>
      <c r="F379" s="80"/>
      <c r="H379" s="82"/>
      <c r="I379" s="80"/>
      <c r="J379" s="51" t="str">
        <f>IFERROR(Hyperlink(VLOOKUP(A379,Internal_lists_bugs!$A$2:$G1013,7,FALSE()),"BIC: "&amp;VLOOKUP(A379,Internal_lists_bugs!$A$2:$G1013,7,FALSE())&amp;CHAR(10)&amp;"Intro.Issues: "&amp;VLOOKUP(A379,Internal_lists_bugs!$A$2:$P1013,16,FALSE())),"please select a BUG ID")</f>
        <v>please select a BUG ID</v>
      </c>
    </row>
    <row r="380">
      <c r="A380" s="57"/>
      <c r="B380" s="88" t="str">
        <f>IFERROR(HYPERLINK(VLOOKUP(A380,Internal_lists_bugs!$A$2:$C$73,3,FALSE()), VLOOKUP(A380,Internal_lists_bugs!$A$2:$C$73,3,FALSE())&amp;Char(10) &amp; Char(10) &amp; VLOOKUP(A380,Internal_lists_bugs!$A$2:$Z$73,26,FALSE())),"please select a BUG ID")</f>
        <v>please select a BUG ID</v>
      </c>
      <c r="C380" s="89" t="str">
        <f>IFERROR(VLOOKUP(A380,Internal_lists_bugs!$A$2:$X1013,24,FALSE()),"please select a BUG ID")</f>
        <v>please select a BUG ID</v>
      </c>
      <c r="E380" s="82"/>
      <c r="F380" s="80"/>
      <c r="H380" s="82"/>
      <c r="I380" s="80"/>
      <c r="J380" s="51" t="str">
        <f>IFERROR(Hyperlink(VLOOKUP(A380,Internal_lists_bugs!$A$2:$G1013,7,FALSE()),"BIC: "&amp;VLOOKUP(A380,Internal_lists_bugs!$A$2:$G1013,7,FALSE())&amp;CHAR(10)&amp;"Intro.Issues: "&amp;VLOOKUP(A380,Internal_lists_bugs!$A$2:$P1013,16,FALSE())),"please select a BUG ID")</f>
        <v>please select a BUG ID</v>
      </c>
    </row>
    <row r="381">
      <c r="A381" s="57"/>
      <c r="B381" s="88" t="str">
        <f>IFERROR(HYPERLINK(VLOOKUP(A381,Internal_lists_bugs!$A$2:$C$73,3,FALSE()), VLOOKUP(A381,Internal_lists_bugs!$A$2:$C$73,3,FALSE())&amp;Char(10) &amp; Char(10) &amp; VLOOKUP(A381,Internal_lists_bugs!$A$2:$Z$73,26,FALSE())),"please select a BUG ID")</f>
        <v>please select a BUG ID</v>
      </c>
      <c r="C381" s="89" t="str">
        <f>IFERROR(VLOOKUP(A381,Internal_lists_bugs!$A$2:$X1013,24,FALSE()),"please select a BUG ID")</f>
        <v>please select a BUG ID</v>
      </c>
      <c r="E381" s="82"/>
      <c r="F381" s="80"/>
      <c r="H381" s="82"/>
      <c r="I381" s="80"/>
      <c r="J381" s="51" t="str">
        <f>IFERROR(Hyperlink(VLOOKUP(A381,Internal_lists_bugs!$A$2:$G1013,7,FALSE()),"BIC: "&amp;VLOOKUP(A381,Internal_lists_bugs!$A$2:$G1013,7,FALSE())&amp;CHAR(10)&amp;"Intro.Issues: "&amp;VLOOKUP(A381,Internal_lists_bugs!$A$2:$P1013,16,FALSE())),"please select a BUG ID")</f>
        <v>please select a BUG ID</v>
      </c>
    </row>
    <row r="382">
      <c r="A382" s="57"/>
      <c r="B382" s="88" t="str">
        <f>IFERROR(HYPERLINK(VLOOKUP(A382,Internal_lists_bugs!$A$2:$C$73,3,FALSE()), VLOOKUP(A382,Internal_lists_bugs!$A$2:$C$73,3,FALSE())&amp;Char(10) &amp; Char(10) &amp; VLOOKUP(A382,Internal_lists_bugs!$A$2:$Z$73,26,FALSE())),"please select a BUG ID")</f>
        <v>please select a BUG ID</v>
      </c>
      <c r="C382" s="89" t="str">
        <f>IFERROR(VLOOKUP(A382,Internal_lists_bugs!$A$2:$X1013,24,FALSE()),"please select a BUG ID")</f>
        <v>please select a BUG ID</v>
      </c>
      <c r="E382" s="82"/>
      <c r="F382" s="80"/>
      <c r="H382" s="82"/>
      <c r="I382" s="80"/>
      <c r="J382" s="51" t="str">
        <f>IFERROR(Hyperlink(VLOOKUP(A382,Internal_lists_bugs!$A$2:$G1013,7,FALSE()),"BIC: "&amp;VLOOKUP(A382,Internal_lists_bugs!$A$2:$G1013,7,FALSE())&amp;CHAR(10)&amp;"Intro.Issues: "&amp;VLOOKUP(A382,Internal_lists_bugs!$A$2:$P1013,16,FALSE())),"please select a BUG ID")</f>
        <v>please select a BUG ID</v>
      </c>
    </row>
    <row r="383">
      <c r="A383" s="57"/>
      <c r="B383" s="88" t="str">
        <f>IFERROR(HYPERLINK(VLOOKUP(A383,Internal_lists_bugs!$A$2:$C$73,3,FALSE()), VLOOKUP(A383,Internal_lists_bugs!$A$2:$C$73,3,FALSE())&amp;Char(10) &amp; Char(10) &amp; VLOOKUP(A383,Internal_lists_bugs!$A$2:$Z$73,26,FALSE())),"please select a BUG ID")</f>
        <v>please select a BUG ID</v>
      </c>
      <c r="C383" s="89" t="str">
        <f>IFERROR(VLOOKUP(A383,Internal_lists_bugs!$A$2:$X1013,24,FALSE()),"please select a BUG ID")</f>
        <v>please select a BUG ID</v>
      </c>
      <c r="E383" s="82"/>
      <c r="F383" s="80"/>
      <c r="H383" s="82"/>
      <c r="I383" s="80"/>
      <c r="J383" s="51" t="str">
        <f>IFERROR(Hyperlink(VLOOKUP(A383,Internal_lists_bugs!$A$2:$G1013,7,FALSE()),"BIC: "&amp;VLOOKUP(A383,Internal_lists_bugs!$A$2:$G1013,7,FALSE())&amp;CHAR(10)&amp;"Intro.Issues: "&amp;VLOOKUP(A383,Internal_lists_bugs!$A$2:$P1013,16,FALSE())),"please select a BUG ID")</f>
        <v>please select a BUG ID</v>
      </c>
    </row>
    <row r="384">
      <c r="A384" s="57"/>
      <c r="B384" s="88" t="str">
        <f>IFERROR(HYPERLINK(VLOOKUP(A384,Internal_lists_bugs!$A$2:$C$73,3,FALSE()), VLOOKUP(A384,Internal_lists_bugs!$A$2:$C$73,3,FALSE())&amp;Char(10) &amp; Char(10) &amp; VLOOKUP(A384,Internal_lists_bugs!$A$2:$Z$73,26,FALSE())),"please select a BUG ID")</f>
        <v>please select a BUG ID</v>
      </c>
      <c r="C384" s="89" t="str">
        <f>IFERROR(VLOOKUP(A384,Internal_lists_bugs!$A$2:$X1013,24,FALSE()),"please select a BUG ID")</f>
        <v>please select a BUG ID</v>
      </c>
      <c r="E384" s="82"/>
      <c r="F384" s="80"/>
      <c r="H384" s="82"/>
      <c r="I384" s="80"/>
      <c r="J384" s="51" t="str">
        <f>IFERROR(Hyperlink(VLOOKUP(A384,Internal_lists_bugs!$A$2:$G1013,7,FALSE()),"BIC: "&amp;VLOOKUP(A384,Internal_lists_bugs!$A$2:$G1013,7,FALSE())&amp;CHAR(10)&amp;"Intro.Issues: "&amp;VLOOKUP(A384,Internal_lists_bugs!$A$2:$P1013,16,FALSE())),"please select a BUG ID")</f>
        <v>please select a BUG ID</v>
      </c>
    </row>
    <row r="385">
      <c r="A385" s="57"/>
      <c r="B385" s="88" t="str">
        <f>IFERROR(HYPERLINK(VLOOKUP(A385,Internal_lists_bugs!$A$2:$C$73,3,FALSE()), VLOOKUP(A385,Internal_lists_bugs!$A$2:$C$73,3,FALSE())&amp;Char(10) &amp; Char(10) &amp; VLOOKUP(A385,Internal_lists_bugs!$A$2:$Z$73,26,FALSE())),"please select a BUG ID")</f>
        <v>please select a BUG ID</v>
      </c>
      <c r="C385" s="89" t="str">
        <f>IFERROR(VLOOKUP(A385,Internal_lists_bugs!$A$2:$X1013,24,FALSE()),"please select a BUG ID")</f>
        <v>please select a BUG ID</v>
      </c>
      <c r="E385" s="82"/>
      <c r="F385" s="80"/>
      <c r="H385" s="82"/>
      <c r="I385" s="80"/>
      <c r="J385" s="51" t="str">
        <f>IFERROR(Hyperlink(VLOOKUP(A385,Internal_lists_bugs!$A$2:$G1013,7,FALSE()),"BIC: "&amp;VLOOKUP(A385,Internal_lists_bugs!$A$2:$G1013,7,FALSE())&amp;CHAR(10)&amp;"Intro.Issues: "&amp;VLOOKUP(A385,Internal_lists_bugs!$A$2:$P1013,16,FALSE())),"please select a BUG ID")</f>
        <v>please select a BUG ID</v>
      </c>
    </row>
    <row r="386">
      <c r="A386" s="57"/>
      <c r="B386" s="88" t="str">
        <f>IFERROR(HYPERLINK(VLOOKUP(A386,Internal_lists_bugs!$A$2:$C$73,3,FALSE()), VLOOKUP(A386,Internal_lists_bugs!$A$2:$C$73,3,FALSE())&amp;Char(10) &amp; Char(10) &amp; VLOOKUP(A386,Internal_lists_bugs!$A$2:$Z$73,26,FALSE())),"please select a BUG ID")</f>
        <v>please select a BUG ID</v>
      </c>
      <c r="C386" s="89" t="str">
        <f>IFERROR(VLOOKUP(A386,Internal_lists_bugs!$A$2:$X1013,24,FALSE()),"please select a BUG ID")</f>
        <v>please select a BUG ID</v>
      </c>
      <c r="E386" s="82"/>
      <c r="F386" s="80"/>
      <c r="H386" s="82"/>
      <c r="I386" s="80"/>
      <c r="J386" s="51" t="str">
        <f>IFERROR(Hyperlink(VLOOKUP(A386,Internal_lists_bugs!$A$2:$G1013,7,FALSE()),"BIC: "&amp;VLOOKUP(A386,Internal_lists_bugs!$A$2:$G1013,7,FALSE())&amp;CHAR(10)&amp;"Intro.Issues: "&amp;VLOOKUP(A386,Internal_lists_bugs!$A$2:$P1013,16,FALSE())),"please select a BUG ID")</f>
        <v>please select a BUG ID</v>
      </c>
    </row>
    <row r="387">
      <c r="A387" s="57"/>
      <c r="B387" s="88" t="str">
        <f>IFERROR(HYPERLINK(VLOOKUP(A387,Internal_lists_bugs!$A$2:$C$73,3,FALSE()), VLOOKUP(A387,Internal_lists_bugs!$A$2:$C$73,3,FALSE())&amp;Char(10) &amp; Char(10) &amp; VLOOKUP(A387,Internal_lists_bugs!$A$2:$Z$73,26,FALSE())),"please select a BUG ID")</f>
        <v>please select a BUG ID</v>
      </c>
      <c r="C387" s="89" t="str">
        <f>IFERROR(VLOOKUP(A387,Internal_lists_bugs!$A$2:$X1013,24,FALSE()),"please select a BUG ID")</f>
        <v>please select a BUG ID</v>
      </c>
      <c r="E387" s="82"/>
      <c r="F387" s="80"/>
      <c r="H387" s="82"/>
      <c r="I387" s="80"/>
      <c r="J387" s="51" t="str">
        <f>IFERROR(Hyperlink(VLOOKUP(A387,Internal_lists_bugs!$A$2:$G1013,7,FALSE()),"BIC: "&amp;VLOOKUP(A387,Internal_lists_bugs!$A$2:$G1013,7,FALSE())&amp;CHAR(10)&amp;"Intro.Issues: "&amp;VLOOKUP(A387,Internal_lists_bugs!$A$2:$P1013,16,FALSE())),"please select a BUG ID")</f>
        <v>please select a BUG ID</v>
      </c>
    </row>
    <row r="388">
      <c r="A388" s="57"/>
      <c r="B388" s="88" t="str">
        <f>IFERROR(HYPERLINK(VLOOKUP(A388,Internal_lists_bugs!$A$2:$C$73,3,FALSE()), VLOOKUP(A388,Internal_lists_bugs!$A$2:$C$73,3,FALSE())&amp;Char(10) &amp; Char(10) &amp; VLOOKUP(A388,Internal_lists_bugs!$A$2:$Z$73,26,FALSE())),"please select a BUG ID")</f>
        <v>please select a BUG ID</v>
      </c>
      <c r="C388" s="89" t="str">
        <f>IFERROR(VLOOKUP(A388,Internal_lists_bugs!$A$2:$X1013,24,FALSE()),"please select a BUG ID")</f>
        <v>please select a BUG ID</v>
      </c>
      <c r="E388" s="82"/>
      <c r="F388" s="80"/>
      <c r="H388" s="82"/>
      <c r="I388" s="80"/>
      <c r="J388" s="51" t="str">
        <f>IFERROR(Hyperlink(VLOOKUP(A388,Internal_lists_bugs!$A$2:$G1013,7,FALSE()),"BIC: "&amp;VLOOKUP(A388,Internal_lists_bugs!$A$2:$G1013,7,FALSE())&amp;CHAR(10)&amp;"Intro.Issues: "&amp;VLOOKUP(A388,Internal_lists_bugs!$A$2:$P1013,16,FALSE())),"please select a BUG ID")</f>
        <v>please select a BUG ID</v>
      </c>
    </row>
    <row r="389">
      <c r="A389" s="57"/>
      <c r="B389" s="88" t="str">
        <f>IFERROR(HYPERLINK(VLOOKUP(A389,Internal_lists_bugs!$A$2:$C$73,3,FALSE()), VLOOKUP(A389,Internal_lists_bugs!$A$2:$C$73,3,FALSE())&amp;Char(10) &amp; Char(10) &amp; VLOOKUP(A389,Internal_lists_bugs!$A$2:$Z$73,26,FALSE())),"please select a BUG ID")</f>
        <v>please select a BUG ID</v>
      </c>
      <c r="C389" s="89" t="str">
        <f>IFERROR(VLOOKUP(A389,Internal_lists_bugs!$A$2:$X1013,24,FALSE()),"please select a BUG ID")</f>
        <v>please select a BUG ID</v>
      </c>
      <c r="E389" s="82"/>
      <c r="F389" s="80"/>
      <c r="H389" s="82"/>
      <c r="I389" s="80"/>
      <c r="J389" s="51" t="str">
        <f>IFERROR(Hyperlink(VLOOKUP(A389,Internal_lists_bugs!$A$2:$G1013,7,FALSE()),"BIC: "&amp;VLOOKUP(A389,Internal_lists_bugs!$A$2:$G1013,7,FALSE())&amp;CHAR(10)&amp;"Intro.Issues: "&amp;VLOOKUP(A389,Internal_lists_bugs!$A$2:$P1013,16,FALSE())),"please select a BUG ID")</f>
        <v>please select a BUG ID</v>
      </c>
    </row>
    <row r="390">
      <c r="A390" s="57"/>
      <c r="B390" s="88" t="str">
        <f>IFERROR(HYPERLINK(VLOOKUP(A390,Internal_lists_bugs!$A$2:$C$73,3,FALSE()), VLOOKUP(A390,Internal_lists_bugs!$A$2:$C$73,3,FALSE())&amp;Char(10) &amp; Char(10) &amp; VLOOKUP(A390,Internal_lists_bugs!$A$2:$Z$73,26,FALSE())),"please select a BUG ID")</f>
        <v>please select a BUG ID</v>
      </c>
      <c r="C390" s="89" t="str">
        <f>IFERROR(VLOOKUP(A390,Internal_lists_bugs!$A$2:$X1013,24,FALSE()),"please select a BUG ID")</f>
        <v>please select a BUG ID</v>
      </c>
      <c r="E390" s="82"/>
      <c r="F390" s="80"/>
      <c r="H390" s="82"/>
      <c r="I390" s="80"/>
      <c r="J390" s="51" t="str">
        <f>IFERROR(Hyperlink(VLOOKUP(A390,Internal_lists_bugs!$A$2:$G1013,7,FALSE()),"BIC: "&amp;VLOOKUP(A390,Internal_lists_bugs!$A$2:$G1013,7,FALSE())&amp;CHAR(10)&amp;"Intro.Issues: "&amp;VLOOKUP(A390,Internal_lists_bugs!$A$2:$P1013,16,FALSE())),"please select a BUG ID")</f>
        <v>please select a BUG ID</v>
      </c>
    </row>
    <row r="391">
      <c r="A391" s="57"/>
      <c r="B391" s="88" t="str">
        <f>IFERROR(HYPERLINK(VLOOKUP(A391,Internal_lists_bugs!$A$2:$C$73,3,FALSE()), VLOOKUP(A391,Internal_lists_bugs!$A$2:$C$73,3,FALSE())&amp;Char(10) &amp; Char(10) &amp; VLOOKUP(A391,Internal_lists_bugs!$A$2:$Z$73,26,FALSE())),"please select a BUG ID")</f>
        <v>please select a BUG ID</v>
      </c>
      <c r="C391" s="89" t="str">
        <f>IFERROR(VLOOKUP(A391,Internal_lists_bugs!$A$2:$X1013,24,FALSE()),"please select a BUG ID")</f>
        <v>please select a BUG ID</v>
      </c>
      <c r="E391" s="82"/>
      <c r="F391" s="80"/>
      <c r="H391" s="82"/>
      <c r="I391" s="80"/>
      <c r="J391" s="51" t="str">
        <f>IFERROR(Hyperlink(VLOOKUP(A391,Internal_lists_bugs!$A$2:$G1013,7,FALSE()),"BIC: "&amp;VLOOKUP(A391,Internal_lists_bugs!$A$2:$G1013,7,FALSE())&amp;CHAR(10)&amp;"Intro.Issues: "&amp;VLOOKUP(A391,Internal_lists_bugs!$A$2:$P1013,16,FALSE())),"please select a BUG ID")</f>
        <v>please select a BUG ID</v>
      </c>
    </row>
    <row r="392">
      <c r="A392" s="57"/>
      <c r="B392" s="88" t="str">
        <f>IFERROR(HYPERLINK(VLOOKUP(A392,Internal_lists_bugs!$A$2:$C$73,3,FALSE()), VLOOKUP(A392,Internal_lists_bugs!$A$2:$C$73,3,FALSE())&amp;Char(10) &amp; Char(10) &amp; VLOOKUP(A392,Internal_lists_bugs!$A$2:$Z$73,26,FALSE())),"please select a BUG ID")</f>
        <v>please select a BUG ID</v>
      </c>
      <c r="C392" s="89" t="str">
        <f>IFERROR(VLOOKUP(A392,Internal_lists_bugs!$A$2:$X1013,24,FALSE()),"please select a BUG ID")</f>
        <v>please select a BUG ID</v>
      </c>
      <c r="E392" s="82"/>
      <c r="F392" s="80"/>
      <c r="H392" s="82"/>
      <c r="I392" s="80"/>
      <c r="J392" s="51" t="str">
        <f>IFERROR(Hyperlink(VLOOKUP(A392,Internal_lists_bugs!$A$2:$G1013,7,FALSE()),"BIC: "&amp;VLOOKUP(A392,Internal_lists_bugs!$A$2:$G1013,7,FALSE())&amp;CHAR(10)&amp;"Intro.Issues: "&amp;VLOOKUP(A392,Internal_lists_bugs!$A$2:$P1013,16,FALSE())),"please select a BUG ID")</f>
        <v>please select a BUG ID</v>
      </c>
    </row>
    <row r="393">
      <c r="A393" s="57"/>
      <c r="B393" s="88" t="str">
        <f>IFERROR(HYPERLINK(VLOOKUP(A393,Internal_lists_bugs!$A$2:$C$73,3,FALSE()), VLOOKUP(A393,Internal_lists_bugs!$A$2:$C$73,3,FALSE())&amp;Char(10) &amp; Char(10) &amp; VLOOKUP(A393,Internal_lists_bugs!$A$2:$Z$73,26,FALSE())),"please select a BUG ID")</f>
        <v>please select a BUG ID</v>
      </c>
      <c r="C393" s="89" t="str">
        <f>IFERROR(VLOOKUP(A393,Internal_lists_bugs!$A$2:$X1013,24,FALSE()),"please select a BUG ID")</f>
        <v>please select a BUG ID</v>
      </c>
      <c r="E393" s="82"/>
      <c r="F393" s="80"/>
      <c r="H393" s="82"/>
      <c r="I393" s="80"/>
      <c r="J393" s="51" t="str">
        <f>IFERROR(Hyperlink(VLOOKUP(A393,Internal_lists_bugs!$A$2:$G1013,7,FALSE()),"BIC: "&amp;VLOOKUP(A393,Internal_lists_bugs!$A$2:$G1013,7,FALSE())&amp;CHAR(10)&amp;"Intro.Issues: "&amp;VLOOKUP(A393,Internal_lists_bugs!$A$2:$P1013,16,FALSE())),"please select a BUG ID")</f>
        <v>please select a BUG ID</v>
      </c>
    </row>
    <row r="394">
      <c r="A394" s="57"/>
      <c r="B394" s="88" t="str">
        <f>IFERROR(HYPERLINK(VLOOKUP(A394,Internal_lists_bugs!$A$2:$C$73,3,FALSE()), VLOOKUP(A394,Internal_lists_bugs!$A$2:$C$73,3,FALSE())&amp;Char(10) &amp; Char(10) &amp; VLOOKUP(A394,Internal_lists_bugs!$A$2:$Z$73,26,FALSE())),"please select a BUG ID")</f>
        <v>please select a BUG ID</v>
      </c>
      <c r="C394" s="89" t="str">
        <f>IFERROR(VLOOKUP(A394,Internal_lists_bugs!$A$2:$X1013,24,FALSE()),"please select a BUG ID")</f>
        <v>please select a BUG ID</v>
      </c>
      <c r="E394" s="82"/>
      <c r="F394" s="80"/>
      <c r="H394" s="82"/>
      <c r="I394" s="80"/>
      <c r="J394" s="51" t="str">
        <f>IFERROR(Hyperlink(VLOOKUP(A394,Internal_lists_bugs!$A$2:$G1013,7,FALSE()),"BIC: "&amp;VLOOKUP(A394,Internal_lists_bugs!$A$2:$G1013,7,FALSE())&amp;CHAR(10)&amp;"Intro.Issues: "&amp;VLOOKUP(A394,Internal_lists_bugs!$A$2:$P1013,16,FALSE())),"please select a BUG ID")</f>
        <v>please select a BUG ID</v>
      </c>
    </row>
    <row r="395">
      <c r="A395" s="57"/>
      <c r="B395" s="88" t="str">
        <f>IFERROR(HYPERLINK(VLOOKUP(A395,Internal_lists_bugs!$A$2:$C$73,3,FALSE()), VLOOKUP(A395,Internal_lists_bugs!$A$2:$C$73,3,FALSE())&amp;Char(10) &amp; Char(10) &amp; VLOOKUP(A395,Internal_lists_bugs!$A$2:$Z$73,26,FALSE())),"please select a BUG ID")</f>
        <v>please select a BUG ID</v>
      </c>
      <c r="C395" s="89" t="str">
        <f>IFERROR(VLOOKUP(A395,Internal_lists_bugs!$A$2:$X1013,24,FALSE()),"please select a BUG ID")</f>
        <v>please select a BUG ID</v>
      </c>
      <c r="E395" s="82"/>
      <c r="F395" s="80"/>
      <c r="H395" s="82"/>
      <c r="I395" s="80"/>
      <c r="J395" s="51" t="str">
        <f>IFERROR(Hyperlink(VLOOKUP(A395,Internal_lists_bugs!$A$2:$G1013,7,FALSE()),"BIC: "&amp;VLOOKUP(A395,Internal_lists_bugs!$A$2:$G1013,7,FALSE())&amp;CHAR(10)&amp;"Intro.Issues: "&amp;VLOOKUP(A395,Internal_lists_bugs!$A$2:$P1013,16,FALSE())),"please select a BUG ID")</f>
        <v>please select a BUG ID</v>
      </c>
    </row>
    <row r="396">
      <c r="A396" s="57"/>
      <c r="B396" s="88" t="str">
        <f>IFERROR(HYPERLINK(VLOOKUP(A396,Internal_lists_bugs!$A$2:$C$73,3,FALSE()), VLOOKUP(A396,Internal_lists_bugs!$A$2:$C$73,3,FALSE())&amp;Char(10) &amp; Char(10) &amp; VLOOKUP(A396,Internal_lists_bugs!$A$2:$Z$73,26,FALSE())),"please select a BUG ID")</f>
        <v>please select a BUG ID</v>
      </c>
      <c r="C396" s="89" t="str">
        <f>IFERROR(VLOOKUP(A396,Internal_lists_bugs!$A$2:$X1013,24,FALSE()),"please select a BUG ID")</f>
        <v>please select a BUG ID</v>
      </c>
      <c r="E396" s="82"/>
      <c r="F396" s="80"/>
      <c r="H396" s="82"/>
      <c r="I396" s="80"/>
      <c r="J396" s="51" t="str">
        <f>IFERROR(Hyperlink(VLOOKUP(A396,Internal_lists_bugs!$A$2:$G1013,7,FALSE()),"BIC: "&amp;VLOOKUP(A396,Internal_lists_bugs!$A$2:$G1013,7,FALSE())&amp;CHAR(10)&amp;"Intro.Issues: "&amp;VLOOKUP(A396,Internal_lists_bugs!$A$2:$P1013,16,FALSE())),"please select a BUG ID")</f>
        <v>please select a BUG ID</v>
      </c>
    </row>
    <row r="397">
      <c r="A397" s="57"/>
      <c r="B397" s="88" t="str">
        <f>IFERROR(HYPERLINK(VLOOKUP(A397,Internal_lists_bugs!$A$2:$C$73,3,FALSE()), VLOOKUP(A397,Internal_lists_bugs!$A$2:$C$73,3,FALSE())&amp;Char(10) &amp; Char(10) &amp; VLOOKUP(A397,Internal_lists_bugs!$A$2:$Z$73,26,FALSE())),"please select a BUG ID")</f>
        <v>please select a BUG ID</v>
      </c>
      <c r="C397" s="89" t="str">
        <f>IFERROR(VLOOKUP(A397,Internal_lists_bugs!$A$2:$X1013,24,FALSE()),"please select a BUG ID")</f>
        <v>please select a BUG ID</v>
      </c>
      <c r="E397" s="82"/>
      <c r="F397" s="80"/>
      <c r="H397" s="82"/>
      <c r="I397" s="80"/>
      <c r="J397" s="51" t="str">
        <f>IFERROR(Hyperlink(VLOOKUP(A397,Internal_lists_bugs!$A$2:$G1013,7,FALSE()),"BIC: "&amp;VLOOKUP(A397,Internal_lists_bugs!$A$2:$G1013,7,FALSE())&amp;CHAR(10)&amp;"Intro.Issues: "&amp;VLOOKUP(A397,Internal_lists_bugs!$A$2:$P1013,16,FALSE())),"please select a BUG ID")</f>
        <v>please select a BUG ID</v>
      </c>
    </row>
    <row r="398">
      <c r="A398" s="57"/>
      <c r="B398" s="88" t="str">
        <f>IFERROR(HYPERLINK(VLOOKUP(A398,Internal_lists_bugs!$A$2:$C$73,3,FALSE()), VLOOKUP(A398,Internal_lists_bugs!$A$2:$C$73,3,FALSE())&amp;Char(10) &amp; Char(10) &amp; VLOOKUP(A398,Internal_lists_bugs!$A$2:$Z$73,26,FALSE())),"please select a BUG ID")</f>
        <v>please select a BUG ID</v>
      </c>
      <c r="C398" s="89" t="str">
        <f>IFERROR(VLOOKUP(A398,Internal_lists_bugs!$A$2:$X1013,24,FALSE()),"please select a BUG ID")</f>
        <v>please select a BUG ID</v>
      </c>
      <c r="E398" s="82"/>
      <c r="F398" s="80"/>
      <c r="H398" s="82"/>
      <c r="I398" s="80"/>
      <c r="J398" s="51" t="str">
        <f>IFERROR(Hyperlink(VLOOKUP(A398,Internal_lists_bugs!$A$2:$G1013,7,FALSE()),"BIC: "&amp;VLOOKUP(A398,Internal_lists_bugs!$A$2:$G1013,7,FALSE())&amp;CHAR(10)&amp;"Intro.Issues: "&amp;VLOOKUP(A398,Internal_lists_bugs!$A$2:$P1013,16,FALSE())),"please select a BUG ID")</f>
        <v>please select a BUG ID</v>
      </c>
    </row>
    <row r="399">
      <c r="A399" s="57"/>
      <c r="B399" s="88" t="str">
        <f>IFERROR(HYPERLINK(VLOOKUP(A399,Internal_lists_bugs!$A$2:$C$73,3,FALSE()), VLOOKUP(A399,Internal_lists_bugs!$A$2:$C$73,3,FALSE())&amp;Char(10) &amp; Char(10) &amp; VLOOKUP(A399,Internal_lists_bugs!$A$2:$Z$73,26,FALSE())),"please select a BUG ID")</f>
        <v>please select a BUG ID</v>
      </c>
      <c r="C399" s="89" t="str">
        <f>IFERROR(VLOOKUP(A399,Internal_lists_bugs!$A$2:$X1013,24,FALSE()),"please select a BUG ID")</f>
        <v>please select a BUG ID</v>
      </c>
      <c r="E399" s="82"/>
      <c r="F399" s="80"/>
      <c r="H399" s="82"/>
      <c r="I399" s="80"/>
      <c r="J399" s="51" t="str">
        <f>IFERROR(Hyperlink(VLOOKUP(A399,Internal_lists_bugs!$A$2:$G1013,7,FALSE()),"BIC: "&amp;VLOOKUP(A399,Internal_lists_bugs!$A$2:$G1013,7,FALSE())&amp;CHAR(10)&amp;"Intro.Issues: "&amp;VLOOKUP(A399,Internal_lists_bugs!$A$2:$P1013,16,FALSE())),"please select a BUG ID")</f>
        <v>please select a BUG ID</v>
      </c>
    </row>
    <row r="400">
      <c r="A400" s="57"/>
      <c r="B400" s="88" t="str">
        <f>IFERROR(HYPERLINK(VLOOKUP(A400,Internal_lists_bugs!$A$2:$C$73,3,FALSE()), VLOOKUP(A400,Internal_lists_bugs!$A$2:$C$73,3,FALSE())&amp;Char(10) &amp; Char(10) &amp; VLOOKUP(A400,Internal_lists_bugs!$A$2:$Z$73,26,FALSE())),"please select a BUG ID")</f>
        <v>please select a BUG ID</v>
      </c>
      <c r="C400" s="89" t="str">
        <f>IFERROR(VLOOKUP(A400,Internal_lists_bugs!$A$2:$X1013,24,FALSE()),"please select a BUG ID")</f>
        <v>please select a BUG ID</v>
      </c>
      <c r="E400" s="82"/>
      <c r="F400" s="80"/>
      <c r="H400" s="82"/>
      <c r="I400" s="80"/>
      <c r="J400" s="51" t="str">
        <f>IFERROR(Hyperlink(VLOOKUP(A400,Internal_lists_bugs!$A$2:$G1013,7,FALSE()),"BIC: "&amp;VLOOKUP(A400,Internal_lists_bugs!$A$2:$G1013,7,FALSE())&amp;CHAR(10)&amp;"Intro.Issues: "&amp;VLOOKUP(A400,Internal_lists_bugs!$A$2:$P1013,16,FALSE())),"please select a BUG ID")</f>
        <v>please select a BUG ID</v>
      </c>
    </row>
    <row r="401">
      <c r="A401" s="57"/>
      <c r="B401" s="88" t="str">
        <f>IFERROR(HYPERLINK(VLOOKUP(A401,Internal_lists_bugs!$A$2:$C$73,3,FALSE()), VLOOKUP(A401,Internal_lists_bugs!$A$2:$C$73,3,FALSE())&amp;Char(10) &amp; Char(10) &amp; VLOOKUP(A401,Internal_lists_bugs!$A$2:$Z$73,26,FALSE())),"please select a BUG ID")</f>
        <v>please select a BUG ID</v>
      </c>
      <c r="C401" s="89" t="str">
        <f>IFERROR(VLOOKUP(A401,Internal_lists_bugs!$A$2:$X1013,24,FALSE()),"please select a BUG ID")</f>
        <v>please select a BUG ID</v>
      </c>
      <c r="E401" s="82"/>
      <c r="F401" s="80"/>
      <c r="H401" s="82"/>
      <c r="I401" s="80"/>
      <c r="J401" s="51" t="str">
        <f>IFERROR(Hyperlink(VLOOKUP(A401,Internal_lists_bugs!$A$2:$G1013,7,FALSE()),"BIC: "&amp;VLOOKUP(A401,Internal_lists_bugs!$A$2:$G1013,7,FALSE())&amp;CHAR(10)&amp;"Intro.Issues: "&amp;VLOOKUP(A401,Internal_lists_bugs!$A$2:$P1013,16,FALSE())),"please select a BUG ID")</f>
        <v>please select a BUG ID</v>
      </c>
    </row>
    <row r="402">
      <c r="A402" s="57"/>
      <c r="B402" s="88" t="str">
        <f>IFERROR(HYPERLINK(VLOOKUP(A402,Internal_lists_bugs!$A$2:$C$73,3,FALSE()), VLOOKUP(A402,Internal_lists_bugs!$A$2:$C$73,3,FALSE())&amp;Char(10) &amp; Char(10) &amp; VLOOKUP(A402,Internal_lists_bugs!$A$2:$Z$73,26,FALSE())),"please select a BUG ID")</f>
        <v>please select a BUG ID</v>
      </c>
      <c r="C402" s="89" t="str">
        <f>IFERROR(VLOOKUP(A402,Internal_lists_bugs!$A$2:$X1013,24,FALSE()),"please select a BUG ID")</f>
        <v>please select a BUG ID</v>
      </c>
      <c r="E402" s="82"/>
      <c r="F402" s="80"/>
      <c r="H402" s="82"/>
      <c r="I402" s="80"/>
      <c r="J402" s="51" t="str">
        <f>IFERROR(Hyperlink(VLOOKUP(A402,Internal_lists_bugs!$A$2:$G1013,7,FALSE()),"BIC: "&amp;VLOOKUP(A402,Internal_lists_bugs!$A$2:$G1013,7,FALSE())&amp;CHAR(10)&amp;"Intro.Issues: "&amp;VLOOKUP(A402,Internal_lists_bugs!$A$2:$P1013,16,FALSE())),"please select a BUG ID")</f>
        <v>please select a BUG ID</v>
      </c>
    </row>
    <row r="403">
      <c r="A403" s="57"/>
      <c r="B403" s="88" t="str">
        <f>IFERROR(HYPERLINK(VLOOKUP(A403,Internal_lists_bugs!$A$2:$C$73,3,FALSE()), VLOOKUP(A403,Internal_lists_bugs!$A$2:$C$73,3,FALSE())&amp;Char(10) &amp; Char(10) &amp; VLOOKUP(A403,Internal_lists_bugs!$A$2:$Z$73,26,FALSE())),"please select a BUG ID")</f>
        <v>please select a BUG ID</v>
      </c>
      <c r="C403" s="89" t="str">
        <f>IFERROR(VLOOKUP(A403,Internal_lists_bugs!$A$2:$X1013,24,FALSE()),"please select a BUG ID")</f>
        <v>please select a BUG ID</v>
      </c>
      <c r="E403" s="82"/>
      <c r="F403" s="80"/>
      <c r="H403" s="82"/>
      <c r="I403" s="80"/>
      <c r="J403" s="51" t="str">
        <f>IFERROR(Hyperlink(VLOOKUP(A403,Internal_lists_bugs!$A$2:$G1013,7,FALSE()),"BIC: "&amp;VLOOKUP(A403,Internal_lists_bugs!$A$2:$G1013,7,FALSE())&amp;CHAR(10)&amp;"Intro.Issues: "&amp;VLOOKUP(A403,Internal_lists_bugs!$A$2:$P1013,16,FALSE())),"please select a BUG ID")</f>
        <v>please select a BUG ID</v>
      </c>
    </row>
    <row r="404">
      <c r="A404" s="57"/>
      <c r="B404" s="88" t="str">
        <f>IFERROR(HYPERLINK(VLOOKUP(A404,Internal_lists_bugs!$A$2:$C$73,3,FALSE()), VLOOKUP(A404,Internal_lists_bugs!$A$2:$C$73,3,FALSE())&amp;Char(10) &amp; Char(10) &amp; VLOOKUP(A404,Internal_lists_bugs!$A$2:$Z$73,26,FALSE())),"please select a BUG ID")</f>
        <v>please select a BUG ID</v>
      </c>
      <c r="C404" s="89" t="str">
        <f>IFERROR(VLOOKUP(A404,Internal_lists_bugs!$A$2:$X1013,24,FALSE()),"please select a BUG ID")</f>
        <v>please select a BUG ID</v>
      </c>
      <c r="E404" s="82"/>
      <c r="F404" s="80"/>
      <c r="H404" s="82"/>
      <c r="I404" s="80"/>
      <c r="J404" s="51" t="str">
        <f>IFERROR(Hyperlink(VLOOKUP(A404,Internal_lists_bugs!$A$2:$G1013,7,FALSE()),"BIC: "&amp;VLOOKUP(A404,Internal_lists_bugs!$A$2:$G1013,7,FALSE())&amp;CHAR(10)&amp;"Intro.Issues: "&amp;VLOOKUP(A404,Internal_lists_bugs!$A$2:$P1013,16,FALSE())),"please select a BUG ID")</f>
        <v>please select a BUG ID</v>
      </c>
    </row>
    <row r="405">
      <c r="A405" s="57"/>
      <c r="B405" s="88" t="str">
        <f>IFERROR(HYPERLINK(VLOOKUP(A405,Internal_lists_bugs!$A$2:$C$73,3,FALSE()), VLOOKUP(A405,Internal_lists_bugs!$A$2:$C$73,3,FALSE())&amp;Char(10) &amp; Char(10) &amp; VLOOKUP(A405,Internal_lists_bugs!$A$2:$Z$73,26,FALSE())),"please select a BUG ID")</f>
        <v>please select a BUG ID</v>
      </c>
      <c r="C405" s="89" t="str">
        <f>IFERROR(VLOOKUP(A405,Internal_lists_bugs!$A$2:$X1013,24,FALSE()),"please select a BUG ID")</f>
        <v>please select a BUG ID</v>
      </c>
      <c r="E405" s="82"/>
      <c r="F405" s="80"/>
      <c r="H405" s="82"/>
      <c r="I405" s="80"/>
      <c r="J405" s="51" t="str">
        <f>IFERROR(Hyperlink(VLOOKUP(A405,Internal_lists_bugs!$A$2:$G1013,7,FALSE()),"BIC: "&amp;VLOOKUP(A405,Internal_lists_bugs!$A$2:$G1013,7,FALSE())&amp;CHAR(10)&amp;"Intro.Issues: "&amp;VLOOKUP(A405,Internal_lists_bugs!$A$2:$P1013,16,FALSE())),"please select a BUG ID")</f>
        <v>please select a BUG ID</v>
      </c>
    </row>
    <row r="406">
      <c r="A406" s="57"/>
      <c r="B406" s="88" t="str">
        <f>IFERROR(HYPERLINK(VLOOKUP(A406,Internal_lists_bugs!$A$2:$C$73,3,FALSE()), VLOOKUP(A406,Internal_lists_bugs!$A$2:$C$73,3,FALSE())&amp;Char(10) &amp; Char(10) &amp; VLOOKUP(A406,Internal_lists_bugs!$A$2:$Z$73,26,FALSE())),"please select a BUG ID")</f>
        <v>please select a BUG ID</v>
      </c>
      <c r="C406" s="89" t="str">
        <f>IFERROR(VLOOKUP(A406,Internal_lists_bugs!$A$2:$X1013,24,FALSE()),"please select a BUG ID")</f>
        <v>please select a BUG ID</v>
      </c>
      <c r="E406" s="82"/>
      <c r="F406" s="80"/>
      <c r="H406" s="82"/>
      <c r="I406" s="80"/>
      <c r="J406" s="51" t="str">
        <f>IFERROR(Hyperlink(VLOOKUP(A406,Internal_lists_bugs!$A$2:$G1013,7,FALSE()),"BIC: "&amp;VLOOKUP(A406,Internal_lists_bugs!$A$2:$G1013,7,FALSE())&amp;CHAR(10)&amp;"Intro.Issues: "&amp;VLOOKUP(A406,Internal_lists_bugs!$A$2:$P1013,16,FALSE())),"please select a BUG ID")</f>
        <v>please select a BUG ID</v>
      </c>
    </row>
    <row r="407">
      <c r="A407" s="57"/>
      <c r="B407" s="88" t="str">
        <f>IFERROR(HYPERLINK(VLOOKUP(A407,Internal_lists_bugs!$A$2:$C$73,3,FALSE()), VLOOKUP(A407,Internal_lists_bugs!$A$2:$C$73,3,FALSE())&amp;Char(10) &amp; Char(10) &amp; VLOOKUP(A407,Internal_lists_bugs!$A$2:$Z$73,26,FALSE())),"please select a BUG ID")</f>
        <v>please select a BUG ID</v>
      </c>
      <c r="C407" s="89" t="str">
        <f>IFERROR(VLOOKUP(A407,Internal_lists_bugs!$A$2:$X1013,24,FALSE()),"please select a BUG ID")</f>
        <v>please select a BUG ID</v>
      </c>
      <c r="E407" s="82"/>
      <c r="F407" s="80"/>
      <c r="H407" s="82"/>
      <c r="I407" s="80"/>
      <c r="J407" s="51" t="str">
        <f>IFERROR(Hyperlink(VLOOKUP(A407,Internal_lists_bugs!$A$2:$G1013,7,FALSE()),"BIC: "&amp;VLOOKUP(A407,Internal_lists_bugs!$A$2:$G1013,7,FALSE())&amp;CHAR(10)&amp;"Intro.Issues: "&amp;VLOOKUP(A407,Internal_lists_bugs!$A$2:$P1013,16,FALSE())),"please select a BUG ID")</f>
        <v>please select a BUG ID</v>
      </c>
    </row>
    <row r="408">
      <c r="A408" s="57"/>
      <c r="B408" s="88" t="str">
        <f>IFERROR(HYPERLINK(VLOOKUP(A408,Internal_lists_bugs!$A$2:$C$73,3,FALSE()), VLOOKUP(A408,Internal_lists_bugs!$A$2:$C$73,3,FALSE())&amp;Char(10) &amp; Char(10) &amp; VLOOKUP(A408,Internal_lists_bugs!$A$2:$Z$73,26,FALSE())),"please select a BUG ID")</f>
        <v>please select a BUG ID</v>
      </c>
      <c r="C408" s="89" t="str">
        <f>IFERROR(VLOOKUP(A408,Internal_lists_bugs!$A$2:$X1013,24,FALSE()),"please select a BUG ID")</f>
        <v>please select a BUG ID</v>
      </c>
      <c r="E408" s="82"/>
      <c r="F408" s="80"/>
      <c r="H408" s="82"/>
      <c r="I408" s="80"/>
      <c r="J408" s="51" t="str">
        <f>IFERROR(Hyperlink(VLOOKUP(A408,Internal_lists_bugs!$A$2:$G1013,7,FALSE()),"BIC: "&amp;VLOOKUP(A408,Internal_lists_bugs!$A$2:$G1013,7,FALSE())&amp;CHAR(10)&amp;"Intro.Issues: "&amp;VLOOKUP(A408,Internal_lists_bugs!$A$2:$P1013,16,FALSE())),"please select a BUG ID")</f>
        <v>please select a BUG ID</v>
      </c>
    </row>
    <row r="409">
      <c r="A409" s="57"/>
      <c r="B409" s="88" t="str">
        <f>IFERROR(HYPERLINK(VLOOKUP(A409,Internal_lists_bugs!$A$2:$C$73,3,FALSE()), VLOOKUP(A409,Internal_lists_bugs!$A$2:$C$73,3,FALSE())&amp;Char(10) &amp; Char(10) &amp; VLOOKUP(A409,Internal_lists_bugs!$A$2:$Z$73,26,FALSE())),"please select a BUG ID")</f>
        <v>please select a BUG ID</v>
      </c>
      <c r="C409" s="89" t="str">
        <f>IFERROR(VLOOKUP(A409,Internal_lists_bugs!$A$2:$X1013,24,FALSE()),"please select a BUG ID")</f>
        <v>please select a BUG ID</v>
      </c>
      <c r="E409" s="82"/>
      <c r="F409" s="80"/>
      <c r="H409" s="82"/>
      <c r="I409" s="80"/>
      <c r="J409" s="51" t="str">
        <f>IFERROR(Hyperlink(VLOOKUP(A409,Internal_lists_bugs!$A$2:$G1013,7,FALSE()),"BIC: "&amp;VLOOKUP(A409,Internal_lists_bugs!$A$2:$G1013,7,FALSE())&amp;CHAR(10)&amp;"Intro.Issues: "&amp;VLOOKUP(A409,Internal_lists_bugs!$A$2:$P1013,16,FALSE())),"please select a BUG ID")</f>
        <v>please select a BUG ID</v>
      </c>
    </row>
    <row r="410">
      <c r="A410" s="57"/>
      <c r="B410" s="88" t="str">
        <f>IFERROR(HYPERLINK(VLOOKUP(A410,Internal_lists_bugs!$A$2:$C$73,3,FALSE()), VLOOKUP(A410,Internal_lists_bugs!$A$2:$C$73,3,FALSE())&amp;Char(10) &amp; Char(10) &amp; VLOOKUP(A410,Internal_lists_bugs!$A$2:$Z$73,26,FALSE())),"please select a BUG ID")</f>
        <v>please select a BUG ID</v>
      </c>
      <c r="C410" s="89" t="str">
        <f>IFERROR(VLOOKUP(A410,Internal_lists_bugs!$A$2:$X1013,24,FALSE()),"please select a BUG ID")</f>
        <v>please select a BUG ID</v>
      </c>
      <c r="E410" s="82"/>
      <c r="F410" s="80"/>
      <c r="H410" s="82"/>
      <c r="I410" s="80"/>
      <c r="J410" s="51" t="str">
        <f>IFERROR(Hyperlink(VLOOKUP(A410,Internal_lists_bugs!$A$2:$G1013,7,FALSE()),"BIC: "&amp;VLOOKUP(A410,Internal_lists_bugs!$A$2:$G1013,7,FALSE())&amp;CHAR(10)&amp;"Intro.Issues: "&amp;VLOOKUP(A410,Internal_lists_bugs!$A$2:$P1013,16,FALSE())),"please select a BUG ID")</f>
        <v>please select a BUG ID</v>
      </c>
    </row>
    <row r="411">
      <c r="A411" s="57"/>
      <c r="B411" s="88" t="str">
        <f>IFERROR(HYPERLINK(VLOOKUP(A411,Internal_lists_bugs!$A$2:$C$73,3,FALSE()), VLOOKUP(A411,Internal_lists_bugs!$A$2:$C$73,3,FALSE())&amp;Char(10) &amp; Char(10) &amp; VLOOKUP(A411,Internal_lists_bugs!$A$2:$Z$73,26,FALSE())),"please select a BUG ID")</f>
        <v>please select a BUG ID</v>
      </c>
      <c r="C411" s="89" t="str">
        <f>IFERROR(VLOOKUP(A411,Internal_lists_bugs!$A$2:$X1013,24,FALSE()),"please select a BUG ID")</f>
        <v>please select a BUG ID</v>
      </c>
      <c r="E411" s="82"/>
      <c r="F411" s="80"/>
      <c r="H411" s="82"/>
      <c r="I411" s="80"/>
      <c r="J411" s="51" t="str">
        <f>IFERROR(Hyperlink(VLOOKUP(A411,Internal_lists_bugs!$A$2:$G1013,7,FALSE()),"BIC: "&amp;VLOOKUP(A411,Internal_lists_bugs!$A$2:$G1013,7,FALSE())&amp;CHAR(10)&amp;"Intro.Issues: "&amp;VLOOKUP(A411,Internal_lists_bugs!$A$2:$P1013,16,FALSE())),"please select a BUG ID")</f>
        <v>please select a BUG ID</v>
      </c>
    </row>
    <row r="412">
      <c r="A412" s="57"/>
      <c r="B412" s="88" t="str">
        <f>IFERROR(HYPERLINK(VLOOKUP(A412,Internal_lists_bugs!$A$2:$C$73,3,FALSE()), VLOOKUP(A412,Internal_lists_bugs!$A$2:$C$73,3,FALSE())&amp;Char(10) &amp; Char(10) &amp; VLOOKUP(A412,Internal_lists_bugs!$A$2:$Z$73,26,FALSE())),"please select a BUG ID")</f>
        <v>please select a BUG ID</v>
      </c>
      <c r="C412" s="89" t="str">
        <f>IFERROR(VLOOKUP(A412,Internal_lists_bugs!$A$2:$X1013,24,FALSE()),"please select a BUG ID")</f>
        <v>please select a BUG ID</v>
      </c>
      <c r="E412" s="82"/>
      <c r="F412" s="80"/>
      <c r="H412" s="82"/>
      <c r="I412" s="80"/>
      <c r="J412" s="51" t="str">
        <f>IFERROR(Hyperlink(VLOOKUP(A412,Internal_lists_bugs!$A$2:$G1013,7,FALSE()),"BIC: "&amp;VLOOKUP(A412,Internal_lists_bugs!$A$2:$G1013,7,FALSE())&amp;CHAR(10)&amp;"Intro.Issues: "&amp;VLOOKUP(A412,Internal_lists_bugs!$A$2:$P1013,16,FALSE())),"please select a BUG ID")</f>
        <v>please select a BUG ID</v>
      </c>
    </row>
    <row r="413">
      <c r="A413" s="57"/>
      <c r="B413" s="88" t="str">
        <f>IFERROR(HYPERLINK(VLOOKUP(A413,Internal_lists_bugs!$A$2:$C$73,3,FALSE()), VLOOKUP(A413,Internal_lists_bugs!$A$2:$C$73,3,FALSE())&amp;Char(10) &amp; Char(10) &amp; VLOOKUP(A413,Internal_lists_bugs!$A$2:$Z$73,26,FALSE())),"please select a BUG ID")</f>
        <v>please select a BUG ID</v>
      </c>
      <c r="C413" s="89" t="str">
        <f>IFERROR(VLOOKUP(A413,Internal_lists_bugs!$A$2:$X1013,24,FALSE()),"please select a BUG ID")</f>
        <v>please select a BUG ID</v>
      </c>
      <c r="E413" s="82"/>
      <c r="F413" s="80"/>
      <c r="H413" s="82"/>
      <c r="I413" s="80"/>
      <c r="J413" s="51" t="str">
        <f>IFERROR(Hyperlink(VLOOKUP(A413,Internal_lists_bugs!$A$2:$G1013,7,FALSE()),"BIC: "&amp;VLOOKUP(A413,Internal_lists_bugs!$A$2:$G1013,7,FALSE())&amp;CHAR(10)&amp;"Intro.Issues: "&amp;VLOOKUP(A413,Internal_lists_bugs!$A$2:$P1013,16,FALSE())),"please select a BUG ID")</f>
        <v>please select a BUG ID</v>
      </c>
    </row>
    <row r="414">
      <c r="A414" s="57"/>
      <c r="B414" s="88" t="str">
        <f>IFERROR(HYPERLINK(VLOOKUP(A414,Internal_lists_bugs!$A$2:$C$73,3,FALSE()), VLOOKUP(A414,Internal_lists_bugs!$A$2:$C$73,3,FALSE())&amp;Char(10) &amp; Char(10) &amp; VLOOKUP(A414,Internal_lists_bugs!$A$2:$Z$73,26,FALSE())),"please select a BUG ID")</f>
        <v>please select a BUG ID</v>
      </c>
      <c r="C414" s="89" t="str">
        <f>IFERROR(VLOOKUP(A414,Internal_lists_bugs!$A$2:$X1013,24,FALSE()),"please select a BUG ID")</f>
        <v>please select a BUG ID</v>
      </c>
      <c r="E414" s="82"/>
      <c r="F414" s="80"/>
      <c r="H414" s="82"/>
      <c r="I414" s="80"/>
      <c r="J414" s="51" t="str">
        <f>IFERROR(Hyperlink(VLOOKUP(A414,Internal_lists_bugs!$A$2:$G1013,7,FALSE()),"BIC: "&amp;VLOOKUP(A414,Internal_lists_bugs!$A$2:$G1013,7,FALSE())&amp;CHAR(10)&amp;"Intro.Issues: "&amp;VLOOKUP(A414,Internal_lists_bugs!$A$2:$P1013,16,FALSE())),"please select a BUG ID")</f>
        <v>please select a BUG ID</v>
      </c>
    </row>
    <row r="415">
      <c r="A415" s="57"/>
      <c r="B415" s="88" t="str">
        <f>IFERROR(HYPERLINK(VLOOKUP(A415,Internal_lists_bugs!$A$2:$C$73,3,FALSE()), VLOOKUP(A415,Internal_lists_bugs!$A$2:$C$73,3,FALSE())&amp;Char(10) &amp; Char(10) &amp; VLOOKUP(A415,Internal_lists_bugs!$A$2:$Z$73,26,FALSE())),"please select a BUG ID")</f>
        <v>please select a BUG ID</v>
      </c>
      <c r="C415" s="89" t="str">
        <f>IFERROR(VLOOKUP(A415,Internal_lists_bugs!$A$2:$X1013,24,FALSE()),"please select a BUG ID")</f>
        <v>please select a BUG ID</v>
      </c>
      <c r="E415" s="82"/>
      <c r="F415" s="80"/>
      <c r="H415" s="82"/>
      <c r="I415" s="80"/>
      <c r="J415" s="51" t="str">
        <f>IFERROR(Hyperlink(VLOOKUP(A415,Internal_lists_bugs!$A$2:$G1013,7,FALSE()),"BIC: "&amp;VLOOKUP(A415,Internal_lists_bugs!$A$2:$G1013,7,FALSE())&amp;CHAR(10)&amp;"Intro.Issues: "&amp;VLOOKUP(A415,Internal_lists_bugs!$A$2:$P1013,16,FALSE())),"please select a BUG ID")</f>
        <v>please select a BUG ID</v>
      </c>
    </row>
    <row r="416">
      <c r="A416" s="57"/>
      <c r="B416" s="88" t="str">
        <f>IFERROR(HYPERLINK(VLOOKUP(A416,Internal_lists_bugs!$A$2:$C$73,3,FALSE()), VLOOKUP(A416,Internal_lists_bugs!$A$2:$C$73,3,FALSE())&amp;Char(10) &amp; Char(10) &amp; VLOOKUP(A416,Internal_lists_bugs!$A$2:$Z$73,26,FALSE())),"please select a BUG ID")</f>
        <v>please select a BUG ID</v>
      </c>
      <c r="C416" s="89" t="str">
        <f>IFERROR(VLOOKUP(A416,Internal_lists_bugs!$A$2:$X1013,24,FALSE()),"please select a BUG ID")</f>
        <v>please select a BUG ID</v>
      </c>
      <c r="E416" s="82"/>
      <c r="F416" s="80"/>
      <c r="H416" s="82"/>
      <c r="I416" s="80"/>
      <c r="J416" s="51" t="str">
        <f>IFERROR(Hyperlink(VLOOKUP(A416,Internal_lists_bugs!$A$2:$G1013,7,FALSE()),"BIC: "&amp;VLOOKUP(A416,Internal_lists_bugs!$A$2:$G1013,7,FALSE())&amp;CHAR(10)&amp;"Intro.Issues: "&amp;VLOOKUP(A416,Internal_lists_bugs!$A$2:$P1013,16,FALSE())),"please select a BUG ID")</f>
        <v>please select a BUG ID</v>
      </c>
    </row>
    <row r="417">
      <c r="A417" s="57"/>
      <c r="B417" s="88" t="str">
        <f>IFERROR(HYPERLINK(VLOOKUP(A417,Internal_lists_bugs!$A$2:$C$73,3,FALSE()), VLOOKUP(A417,Internal_lists_bugs!$A$2:$C$73,3,FALSE())&amp;Char(10) &amp; Char(10) &amp; VLOOKUP(A417,Internal_lists_bugs!$A$2:$Z$73,26,FALSE())),"please select a BUG ID")</f>
        <v>please select a BUG ID</v>
      </c>
      <c r="C417" s="89" t="str">
        <f>IFERROR(VLOOKUP(A417,Internal_lists_bugs!$A$2:$X1013,24,FALSE()),"please select a BUG ID")</f>
        <v>please select a BUG ID</v>
      </c>
      <c r="E417" s="82"/>
      <c r="F417" s="80"/>
      <c r="H417" s="82"/>
      <c r="I417" s="80"/>
      <c r="J417" s="51" t="str">
        <f>IFERROR(Hyperlink(VLOOKUP(A417,Internal_lists_bugs!$A$2:$G1013,7,FALSE()),"BIC: "&amp;VLOOKUP(A417,Internal_lists_bugs!$A$2:$G1013,7,FALSE())&amp;CHAR(10)&amp;"Intro.Issues: "&amp;VLOOKUP(A417,Internal_lists_bugs!$A$2:$P1013,16,FALSE())),"please select a BUG ID")</f>
        <v>please select a BUG ID</v>
      </c>
    </row>
    <row r="418">
      <c r="A418" s="57"/>
      <c r="B418" s="88" t="str">
        <f>IFERROR(HYPERLINK(VLOOKUP(A418,Internal_lists_bugs!$A$2:$C$73,3,FALSE()), VLOOKUP(A418,Internal_lists_bugs!$A$2:$C$73,3,FALSE())&amp;Char(10) &amp; Char(10) &amp; VLOOKUP(A418,Internal_lists_bugs!$A$2:$Z$73,26,FALSE())),"please select a BUG ID")</f>
        <v>please select a BUG ID</v>
      </c>
      <c r="C418" s="89" t="str">
        <f>IFERROR(VLOOKUP(A418,Internal_lists_bugs!$A$2:$X1013,24,FALSE()),"please select a BUG ID")</f>
        <v>please select a BUG ID</v>
      </c>
      <c r="E418" s="82"/>
      <c r="F418" s="80"/>
      <c r="H418" s="82"/>
      <c r="I418" s="80"/>
      <c r="J418" s="51" t="str">
        <f>IFERROR(Hyperlink(VLOOKUP(A418,Internal_lists_bugs!$A$2:$G1013,7,FALSE()),"BIC: "&amp;VLOOKUP(A418,Internal_lists_bugs!$A$2:$G1013,7,FALSE())&amp;CHAR(10)&amp;"Intro.Issues: "&amp;VLOOKUP(A418,Internal_lists_bugs!$A$2:$P1013,16,FALSE())),"please select a BUG ID")</f>
        <v>please select a BUG ID</v>
      </c>
    </row>
    <row r="419">
      <c r="A419" s="57"/>
      <c r="B419" s="88" t="str">
        <f>IFERROR(HYPERLINK(VLOOKUP(A419,Internal_lists_bugs!$A$2:$C$73,3,FALSE()), VLOOKUP(A419,Internal_lists_bugs!$A$2:$C$73,3,FALSE())&amp;Char(10) &amp; Char(10) &amp; VLOOKUP(A419,Internal_lists_bugs!$A$2:$Z$73,26,FALSE())),"please select a BUG ID")</f>
        <v>please select a BUG ID</v>
      </c>
      <c r="C419" s="89" t="str">
        <f>IFERROR(VLOOKUP(A419,Internal_lists_bugs!$A$2:$X1013,24,FALSE()),"please select a BUG ID")</f>
        <v>please select a BUG ID</v>
      </c>
      <c r="E419" s="82"/>
      <c r="F419" s="80"/>
      <c r="H419" s="82"/>
      <c r="I419" s="80"/>
      <c r="J419" s="51" t="str">
        <f>IFERROR(Hyperlink(VLOOKUP(A419,Internal_lists_bugs!$A$2:$G1013,7,FALSE()),"BIC: "&amp;VLOOKUP(A419,Internal_lists_bugs!$A$2:$G1013,7,FALSE())&amp;CHAR(10)&amp;"Intro.Issues: "&amp;VLOOKUP(A419,Internal_lists_bugs!$A$2:$P1013,16,FALSE())),"please select a BUG ID")</f>
        <v>please select a BUG ID</v>
      </c>
    </row>
    <row r="420">
      <c r="A420" s="57"/>
      <c r="B420" s="88" t="str">
        <f>IFERROR(HYPERLINK(VLOOKUP(A420,Internal_lists_bugs!$A$2:$C$73,3,FALSE()), VLOOKUP(A420,Internal_lists_bugs!$A$2:$C$73,3,FALSE())&amp;Char(10) &amp; Char(10) &amp; VLOOKUP(A420,Internal_lists_bugs!$A$2:$Z$73,26,FALSE())),"please select a BUG ID")</f>
        <v>please select a BUG ID</v>
      </c>
      <c r="C420" s="89" t="str">
        <f>IFERROR(VLOOKUP(A420,Internal_lists_bugs!$A$2:$X1013,24,FALSE()),"please select a BUG ID")</f>
        <v>please select a BUG ID</v>
      </c>
      <c r="E420" s="82"/>
      <c r="F420" s="80"/>
      <c r="H420" s="82"/>
      <c r="I420" s="80"/>
      <c r="J420" s="51" t="str">
        <f>IFERROR(Hyperlink(VLOOKUP(A420,Internal_lists_bugs!$A$2:$G1013,7,FALSE()),"BIC: "&amp;VLOOKUP(A420,Internal_lists_bugs!$A$2:$G1013,7,FALSE())&amp;CHAR(10)&amp;"Intro.Issues: "&amp;VLOOKUP(A420,Internal_lists_bugs!$A$2:$P1013,16,FALSE())),"please select a BUG ID")</f>
        <v>please select a BUG ID</v>
      </c>
    </row>
    <row r="421">
      <c r="A421" s="57"/>
      <c r="B421" s="88" t="str">
        <f>IFERROR(HYPERLINK(VLOOKUP(A421,Internal_lists_bugs!$A$2:$C$73,3,FALSE()), VLOOKUP(A421,Internal_lists_bugs!$A$2:$C$73,3,FALSE())&amp;Char(10) &amp; Char(10) &amp; VLOOKUP(A421,Internal_lists_bugs!$A$2:$Z$73,26,FALSE())),"please select a BUG ID")</f>
        <v>please select a BUG ID</v>
      </c>
      <c r="C421" s="89" t="str">
        <f>IFERROR(VLOOKUP(A421,Internal_lists_bugs!$A$2:$X1013,24,FALSE()),"please select a BUG ID")</f>
        <v>please select a BUG ID</v>
      </c>
      <c r="E421" s="82"/>
      <c r="F421" s="80"/>
      <c r="H421" s="82"/>
      <c r="I421" s="80"/>
      <c r="J421" s="51" t="str">
        <f>IFERROR(Hyperlink(VLOOKUP(A421,Internal_lists_bugs!$A$2:$G1013,7,FALSE()),"BIC: "&amp;VLOOKUP(A421,Internal_lists_bugs!$A$2:$G1013,7,FALSE())&amp;CHAR(10)&amp;"Intro.Issues: "&amp;VLOOKUP(A421,Internal_lists_bugs!$A$2:$P1013,16,FALSE())),"please select a BUG ID")</f>
        <v>please select a BUG ID</v>
      </c>
    </row>
    <row r="422">
      <c r="A422" s="57"/>
      <c r="B422" s="88" t="str">
        <f>IFERROR(HYPERLINK(VLOOKUP(A422,Internal_lists_bugs!$A$2:$C$73,3,FALSE()), VLOOKUP(A422,Internal_lists_bugs!$A$2:$C$73,3,FALSE())&amp;Char(10) &amp; Char(10) &amp; VLOOKUP(A422,Internal_lists_bugs!$A$2:$Z$73,26,FALSE())),"please select a BUG ID")</f>
        <v>please select a BUG ID</v>
      </c>
      <c r="C422" s="89" t="str">
        <f>IFERROR(VLOOKUP(A422,Internal_lists_bugs!$A$2:$X1013,24,FALSE()),"please select a BUG ID")</f>
        <v>please select a BUG ID</v>
      </c>
      <c r="E422" s="82"/>
      <c r="F422" s="80"/>
      <c r="H422" s="82"/>
      <c r="I422" s="80"/>
      <c r="J422" s="51" t="str">
        <f>IFERROR(Hyperlink(VLOOKUP(A422,Internal_lists_bugs!$A$2:$G1013,7,FALSE()),"BIC: "&amp;VLOOKUP(A422,Internal_lists_bugs!$A$2:$G1013,7,FALSE())&amp;CHAR(10)&amp;"Intro.Issues: "&amp;VLOOKUP(A422,Internal_lists_bugs!$A$2:$P1013,16,FALSE())),"please select a BUG ID")</f>
        <v>please select a BUG ID</v>
      </c>
    </row>
    <row r="423">
      <c r="A423" s="57"/>
      <c r="B423" s="88" t="str">
        <f>IFERROR(HYPERLINK(VLOOKUP(A423,Internal_lists_bugs!$A$2:$C$73,3,FALSE()), VLOOKUP(A423,Internal_lists_bugs!$A$2:$C$73,3,FALSE())&amp;Char(10) &amp; Char(10) &amp; VLOOKUP(A423,Internal_lists_bugs!$A$2:$Z$73,26,FALSE())),"please select a BUG ID")</f>
        <v>please select a BUG ID</v>
      </c>
      <c r="C423" s="89" t="str">
        <f>IFERROR(VLOOKUP(A423,Internal_lists_bugs!$A$2:$X1013,24,FALSE()),"please select a BUG ID")</f>
        <v>please select a BUG ID</v>
      </c>
      <c r="E423" s="82"/>
      <c r="F423" s="80"/>
      <c r="H423" s="82"/>
      <c r="I423" s="80"/>
      <c r="J423" s="51" t="str">
        <f>IFERROR(Hyperlink(VLOOKUP(A423,Internal_lists_bugs!$A$2:$G1013,7,FALSE()),"BIC: "&amp;VLOOKUP(A423,Internal_lists_bugs!$A$2:$G1013,7,FALSE())&amp;CHAR(10)&amp;"Intro.Issues: "&amp;VLOOKUP(A423,Internal_lists_bugs!$A$2:$P1013,16,FALSE())),"please select a BUG ID")</f>
        <v>please select a BUG ID</v>
      </c>
    </row>
    <row r="424">
      <c r="A424" s="57"/>
      <c r="B424" s="88" t="str">
        <f>IFERROR(HYPERLINK(VLOOKUP(A424,Internal_lists_bugs!$A$2:$C$73,3,FALSE()), VLOOKUP(A424,Internal_lists_bugs!$A$2:$C$73,3,FALSE())&amp;Char(10) &amp; Char(10) &amp; VLOOKUP(A424,Internal_lists_bugs!$A$2:$Z$73,26,FALSE())),"please select a BUG ID")</f>
        <v>please select a BUG ID</v>
      </c>
      <c r="C424" s="89" t="str">
        <f>IFERROR(VLOOKUP(A424,Internal_lists_bugs!$A$2:$X1013,24,FALSE()),"please select a BUG ID")</f>
        <v>please select a BUG ID</v>
      </c>
      <c r="E424" s="82"/>
      <c r="F424" s="80"/>
      <c r="H424" s="82"/>
      <c r="I424" s="80"/>
      <c r="J424" s="51" t="str">
        <f>IFERROR(Hyperlink(VLOOKUP(A424,Internal_lists_bugs!$A$2:$G1013,7,FALSE()),"BIC: "&amp;VLOOKUP(A424,Internal_lists_bugs!$A$2:$G1013,7,FALSE())&amp;CHAR(10)&amp;"Intro.Issues: "&amp;VLOOKUP(A424,Internal_lists_bugs!$A$2:$P1013,16,FALSE())),"please select a BUG ID")</f>
        <v>please select a BUG ID</v>
      </c>
    </row>
    <row r="425">
      <c r="A425" s="57"/>
      <c r="B425" s="88" t="str">
        <f>IFERROR(HYPERLINK(VLOOKUP(A425,Internal_lists_bugs!$A$2:$C$73,3,FALSE()), VLOOKUP(A425,Internal_lists_bugs!$A$2:$C$73,3,FALSE())&amp;Char(10) &amp; Char(10) &amp; VLOOKUP(A425,Internal_lists_bugs!$A$2:$Z$73,26,FALSE())),"please select a BUG ID")</f>
        <v>please select a BUG ID</v>
      </c>
      <c r="C425" s="89" t="str">
        <f>IFERROR(VLOOKUP(A425,Internal_lists_bugs!$A$2:$X1013,24,FALSE()),"please select a BUG ID")</f>
        <v>please select a BUG ID</v>
      </c>
      <c r="E425" s="82"/>
      <c r="F425" s="80"/>
      <c r="H425" s="82"/>
      <c r="I425" s="80"/>
      <c r="J425" s="51" t="str">
        <f>IFERROR(Hyperlink(VLOOKUP(A425,Internal_lists_bugs!$A$2:$G1013,7,FALSE()),"BIC: "&amp;VLOOKUP(A425,Internal_lists_bugs!$A$2:$G1013,7,FALSE())&amp;CHAR(10)&amp;"Intro.Issues: "&amp;VLOOKUP(A425,Internal_lists_bugs!$A$2:$P1013,16,FALSE())),"please select a BUG ID")</f>
        <v>please select a BUG ID</v>
      </c>
    </row>
    <row r="426">
      <c r="A426" s="57"/>
      <c r="B426" s="88" t="str">
        <f>IFERROR(HYPERLINK(VLOOKUP(A426,Internal_lists_bugs!$A$2:$C$73,3,FALSE()), VLOOKUP(A426,Internal_lists_bugs!$A$2:$C$73,3,FALSE())&amp;Char(10) &amp; Char(10) &amp; VLOOKUP(A426,Internal_lists_bugs!$A$2:$Z$73,26,FALSE())),"please select a BUG ID")</f>
        <v>please select a BUG ID</v>
      </c>
      <c r="C426" s="89" t="str">
        <f>IFERROR(VLOOKUP(A426,Internal_lists_bugs!$A$2:$X1013,24,FALSE()),"please select a BUG ID")</f>
        <v>please select a BUG ID</v>
      </c>
      <c r="E426" s="82"/>
      <c r="F426" s="80"/>
      <c r="H426" s="82"/>
      <c r="I426" s="80"/>
      <c r="J426" s="51" t="str">
        <f>IFERROR(Hyperlink(VLOOKUP(A426,Internal_lists_bugs!$A$2:$G1013,7,FALSE()),"BIC: "&amp;VLOOKUP(A426,Internal_lists_bugs!$A$2:$G1013,7,FALSE())&amp;CHAR(10)&amp;"Intro.Issues: "&amp;VLOOKUP(A426,Internal_lists_bugs!$A$2:$P1013,16,FALSE())),"please select a BUG ID")</f>
        <v>please select a BUG ID</v>
      </c>
    </row>
    <row r="427">
      <c r="A427" s="57"/>
      <c r="B427" s="88" t="str">
        <f>IFERROR(HYPERLINK(VLOOKUP(A427,Internal_lists_bugs!$A$2:$C$73,3,FALSE()), VLOOKUP(A427,Internal_lists_bugs!$A$2:$C$73,3,FALSE())&amp;Char(10) &amp; Char(10) &amp; VLOOKUP(A427,Internal_lists_bugs!$A$2:$Z$73,26,FALSE())),"please select a BUG ID")</f>
        <v>please select a BUG ID</v>
      </c>
      <c r="C427" s="89" t="str">
        <f>IFERROR(VLOOKUP(A427,Internal_lists_bugs!$A$2:$X1013,24,FALSE()),"please select a BUG ID")</f>
        <v>please select a BUG ID</v>
      </c>
      <c r="E427" s="82"/>
      <c r="F427" s="80"/>
      <c r="H427" s="82"/>
      <c r="I427" s="80"/>
      <c r="J427" s="51" t="str">
        <f>IFERROR(Hyperlink(VLOOKUP(A427,Internal_lists_bugs!$A$2:$G1013,7,FALSE()),"BIC: "&amp;VLOOKUP(A427,Internal_lists_bugs!$A$2:$G1013,7,FALSE())&amp;CHAR(10)&amp;"Intro.Issues: "&amp;VLOOKUP(A427,Internal_lists_bugs!$A$2:$P1013,16,FALSE())),"please select a BUG ID")</f>
        <v>please select a BUG ID</v>
      </c>
    </row>
    <row r="428">
      <c r="A428" s="57"/>
      <c r="B428" s="88" t="str">
        <f>IFERROR(HYPERLINK(VLOOKUP(A428,Internal_lists_bugs!$A$2:$C$73,3,FALSE()), VLOOKUP(A428,Internal_lists_bugs!$A$2:$C$73,3,FALSE())&amp;Char(10) &amp; Char(10) &amp; VLOOKUP(A428,Internal_lists_bugs!$A$2:$Z$73,26,FALSE())),"please select a BUG ID")</f>
        <v>please select a BUG ID</v>
      </c>
      <c r="C428" s="89" t="str">
        <f>IFERROR(VLOOKUP(A428,Internal_lists_bugs!$A$2:$X1013,24,FALSE()),"please select a BUG ID")</f>
        <v>please select a BUG ID</v>
      </c>
      <c r="E428" s="82"/>
      <c r="F428" s="80"/>
      <c r="H428" s="82"/>
      <c r="I428" s="80"/>
      <c r="J428" s="51" t="str">
        <f>IFERROR(Hyperlink(VLOOKUP(A428,Internal_lists_bugs!$A$2:$G1013,7,FALSE()),"BIC: "&amp;VLOOKUP(A428,Internal_lists_bugs!$A$2:$G1013,7,FALSE())&amp;CHAR(10)&amp;"Intro.Issues: "&amp;VLOOKUP(A428,Internal_lists_bugs!$A$2:$P1013,16,FALSE())),"please select a BUG ID")</f>
        <v>please select a BUG ID</v>
      </c>
    </row>
    <row r="429">
      <c r="A429" s="57"/>
      <c r="B429" s="88" t="str">
        <f>IFERROR(HYPERLINK(VLOOKUP(A429,Internal_lists_bugs!$A$2:$C$73,3,FALSE()), VLOOKUP(A429,Internal_lists_bugs!$A$2:$C$73,3,FALSE())&amp;Char(10) &amp; Char(10) &amp; VLOOKUP(A429,Internal_lists_bugs!$A$2:$Z$73,26,FALSE())),"please select a BUG ID")</f>
        <v>please select a BUG ID</v>
      </c>
      <c r="C429" s="89" t="str">
        <f>IFERROR(VLOOKUP(A429,Internal_lists_bugs!$A$2:$X1013,24,FALSE()),"please select a BUG ID")</f>
        <v>please select a BUG ID</v>
      </c>
      <c r="E429" s="82"/>
      <c r="F429" s="80"/>
      <c r="H429" s="82"/>
      <c r="I429" s="80"/>
      <c r="J429" s="51" t="str">
        <f>IFERROR(Hyperlink(VLOOKUP(A429,Internal_lists_bugs!$A$2:$G1013,7,FALSE()),"BIC: "&amp;VLOOKUP(A429,Internal_lists_bugs!$A$2:$G1013,7,FALSE())&amp;CHAR(10)&amp;"Intro.Issues: "&amp;VLOOKUP(A429,Internal_lists_bugs!$A$2:$P1013,16,FALSE())),"please select a BUG ID")</f>
        <v>please select a BUG ID</v>
      </c>
    </row>
    <row r="430">
      <c r="A430" s="57"/>
      <c r="B430" s="88" t="str">
        <f>IFERROR(HYPERLINK(VLOOKUP(A430,Internal_lists_bugs!$A$2:$C$73,3,FALSE()), VLOOKUP(A430,Internal_lists_bugs!$A$2:$C$73,3,FALSE())&amp;Char(10) &amp; Char(10) &amp; VLOOKUP(A430,Internal_lists_bugs!$A$2:$Z$73,26,FALSE())),"please select a BUG ID")</f>
        <v>please select a BUG ID</v>
      </c>
      <c r="C430" s="89" t="str">
        <f>IFERROR(VLOOKUP(A430,Internal_lists_bugs!$A$2:$X1013,24,FALSE()),"please select a BUG ID")</f>
        <v>please select a BUG ID</v>
      </c>
      <c r="E430" s="82"/>
      <c r="F430" s="80"/>
      <c r="H430" s="82"/>
      <c r="I430" s="80"/>
      <c r="J430" s="51" t="str">
        <f>IFERROR(Hyperlink(VLOOKUP(A430,Internal_lists_bugs!$A$2:$G1013,7,FALSE()),"BIC: "&amp;VLOOKUP(A430,Internal_lists_bugs!$A$2:$G1013,7,FALSE())&amp;CHAR(10)&amp;"Intro.Issues: "&amp;VLOOKUP(A430,Internal_lists_bugs!$A$2:$P1013,16,FALSE())),"please select a BUG ID")</f>
        <v>please select a BUG ID</v>
      </c>
    </row>
    <row r="431">
      <c r="A431" s="57"/>
      <c r="B431" s="88" t="str">
        <f>IFERROR(HYPERLINK(VLOOKUP(A431,Internal_lists_bugs!$A$2:$C$73,3,FALSE()), VLOOKUP(A431,Internal_lists_bugs!$A$2:$C$73,3,FALSE())&amp;Char(10) &amp; Char(10) &amp; VLOOKUP(A431,Internal_lists_bugs!$A$2:$Z$73,26,FALSE())),"please select a BUG ID")</f>
        <v>please select a BUG ID</v>
      </c>
      <c r="C431" s="89" t="str">
        <f>IFERROR(VLOOKUP(A431,Internal_lists_bugs!$A$2:$X1013,24,FALSE()),"please select a BUG ID")</f>
        <v>please select a BUG ID</v>
      </c>
      <c r="E431" s="82"/>
      <c r="F431" s="80"/>
      <c r="H431" s="82"/>
      <c r="I431" s="80"/>
      <c r="J431" s="51" t="str">
        <f>IFERROR(Hyperlink(VLOOKUP(A431,Internal_lists_bugs!$A$2:$G1013,7,FALSE()),"BIC: "&amp;VLOOKUP(A431,Internal_lists_bugs!$A$2:$G1013,7,FALSE())&amp;CHAR(10)&amp;"Intro.Issues: "&amp;VLOOKUP(A431,Internal_lists_bugs!$A$2:$P1013,16,FALSE())),"please select a BUG ID")</f>
        <v>please select a BUG ID</v>
      </c>
    </row>
    <row r="432">
      <c r="A432" s="57"/>
      <c r="B432" s="88" t="str">
        <f>IFERROR(HYPERLINK(VLOOKUP(A432,Internal_lists_bugs!$A$2:$C$73,3,FALSE()), VLOOKUP(A432,Internal_lists_bugs!$A$2:$C$73,3,FALSE())&amp;Char(10) &amp; Char(10) &amp; VLOOKUP(A432,Internal_lists_bugs!$A$2:$Z$73,26,FALSE())),"please select a BUG ID")</f>
        <v>please select a BUG ID</v>
      </c>
      <c r="C432" s="89" t="str">
        <f>IFERROR(VLOOKUP(A432,Internal_lists_bugs!$A$2:$X1013,24,FALSE()),"please select a BUG ID")</f>
        <v>please select a BUG ID</v>
      </c>
      <c r="E432" s="82"/>
      <c r="F432" s="80"/>
      <c r="H432" s="82"/>
      <c r="I432" s="80"/>
      <c r="J432" s="51" t="str">
        <f>IFERROR(Hyperlink(VLOOKUP(A432,Internal_lists_bugs!$A$2:$G1013,7,FALSE()),"BIC: "&amp;VLOOKUP(A432,Internal_lists_bugs!$A$2:$G1013,7,FALSE())&amp;CHAR(10)&amp;"Intro.Issues: "&amp;VLOOKUP(A432,Internal_lists_bugs!$A$2:$P1013,16,FALSE())),"please select a BUG ID")</f>
        <v>please select a BUG ID</v>
      </c>
    </row>
    <row r="433">
      <c r="A433" s="57"/>
      <c r="B433" s="88" t="str">
        <f>IFERROR(HYPERLINK(VLOOKUP(A433,Internal_lists_bugs!$A$2:$C$73,3,FALSE()), VLOOKUP(A433,Internal_lists_bugs!$A$2:$C$73,3,FALSE())&amp;Char(10) &amp; Char(10) &amp; VLOOKUP(A433,Internal_lists_bugs!$A$2:$Z$73,26,FALSE())),"please select a BUG ID")</f>
        <v>please select a BUG ID</v>
      </c>
      <c r="C433" s="89" t="str">
        <f>IFERROR(VLOOKUP(A433,Internal_lists_bugs!$A$2:$X1013,24,FALSE()),"please select a BUG ID")</f>
        <v>please select a BUG ID</v>
      </c>
      <c r="E433" s="82"/>
      <c r="F433" s="80"/>
      <c r="H433" s="82"/>
      <c r="I433" s="80"/>
      <c r="J433" s="51" t="str">
        <f>IFERROR(Hyperlink(VLOOKUP(A433,Internal_lists_bugs!$A$2:$G1013,7,FALSE()),"BIC: "&amp;VLOOKUP(A433,Internal_lists_bugs!$A$2:$G1013,7,FALSE())&amp;CHAR(10)&amp;"Intro.Issues: "&amp;VLOOKUP(A433,Internal_lists_bugs!$A$2:$P1013,16,FALSE())),"please select a BUG ID")</f>
        <v>please select a BUG ID</v>
      </c>
    </row>
    <row r="434">
      <c r="A434" s="57"/>
      <c r="B434" s="88" t="str">
        <f>IFERROR(HYPERLINK(VLOOKUP(A434,Internal_lists_bugs!$A$2:$C$73,3,FALSE()), VLOOKUP(A434,Internal_lists_bugs!$A$2:$C$73,3,FALSE())&amp;Char(10) &amp; Char(10) &amp; VLOOKUP(A434,Internal_lists_bugs!$A$2:$Z$73,26,FALSE())),"please select a BUG ID")</f>
        <v>please select a BUG ID</v>
      </c>
      <c r="C434" s="89" t="str">
        <f>IFERROR(VLOOKUP(A434,Internal_lists_bugs!$A$2:$X1013,24,FALSE()),"please select a BUG ID")</f>
        <v>please select a BUG ID</v>
      </c>
      <c r="E434" s="82"/>
      <c r="F434" s="80"/>
      <c r="H434" s="82"/>
      <c r="I434" s="80"/>
      <c r="J434" s="51" t="str">
        <f>IFERROR(Hyperlink(VLOOKUP(A434,Internal_lists_bugs!$A$2:$G1013,7,FALSE()),"BIC: "&amp;VLOOKUP(A434,Internal_lists_bugs!$A$2:$G1013,7,FALSE())&amp;CHAR(10)&amp;"Intro.Issues: "&amp;VLOOKUP(A434,Internal_lists_bugs!$A$2:$P1013,16,FALSE())),"please select a BUG ID")</f>
        <v>please select a BUG ID</v>
      </c>
    </row>
    <row r="435">
      <c r="A435" s="57"/>
      <c r="B435" s="88" t="str">
        <f>IFERROR(HYPERLINK(VLOOKUP(A435,Internal_lists_bugs!$A$2:$C$73,3,FALSE()), VLOOKUP(A435,Internal_lists_bugs!$A$2:$C$73,3,FALSE())&amp;Char(10) &amp; Char(10) &amp; VLOOKUP(A435,Internal_lists_bugs!$A$2:$Z$73,26,FALSE())),"please select a BUG ID")</f>
        <v>please select a BUG ID</v>
      </c>
      <c r="C435" s="89" t="str">
        <f>IFERROR(VLOOKUP(A435,Internal_lists_bugs!$A$2:$X1013,24,FALSE()),"please select a BUG ID")</f>
        <v>please select a BUG ID</v>
      </c>
      <c r="E435" s="82"/>
      <c r="F435" s="80"/>
      <c r="H435" s="82"/>
      <c r="I435" s="80"/>
      <c r="J435" s="51" t="str">
        <f>IFERROR(Hyperlink(VLOOKUP(A435,Internal_lists_bugs!$A$2:$G1013,7,FALSE()),"BIC: "&amp;VLOOKUP(A435,Internal_lists_bugs!$A$2:$G1013,7,FALSE())&amp;CHAR(10)&amp;"Intro.Issues: "&amp;VLOOKUP(A435,Internal_lists_bugs!$A$2:$P1013,16,FALSE())),"please select a BUG ID")</f>
        <v>please select a BUG ID</v>
      </c>
    </row>
    <row r="436">
      <c r="A436" s="57"/>
      <c r="B436" s="88" t="str">
        <f>IFERROR(HYPERLINK(VLOOKUP(A436,Internal_lists_bugs!$A$2:$C$73,3,FALSE()), VLOOKUP(A436,Internal_lists_bugs!$A$2:$C$73,3,FALSE())&amp;Char(10) &amp; Char(10) &amp; VLOOKUP(A436,Internal_lists_bugs!$A$2:$Z$73,26,FALSE())),"please select a BUG ID")</f>
        <v>please select a BUG ID</v>
      </c>
      <c r="C436" s="89" t="str">
        <f>IFERROR(VLOOKUP(A436,Internal_lists_bugs!$A$2:$X1013,24,FALSE()),"please select a BUG ID")</f>
        <v>please select a BUG ID</v>
      </c>
      <c r="E436" s="82"/>
      <c r="F436" s="80"/>
      <c r="H436" s="82"/>
      <c r="I436" s="80"/>
      <c r="J436" s="51" t="str">
        <f>IFERROR(Hyperlink(VLOOKUP(A436,Internal_lists_bugs!$A$2:$G1013,7,FALSE()),"BIC: "&amp;VLOOKUP(A436,Internal_lists_bugs!$A$2:$G1013,7,FALSE())&amp;CHAR(10)&amp;"Intro.Issues: "&amp;VLOOKUP(A436,Internal_lists_bugs!$A$2:$P1013,16,FALSE())),"please select a BUG ID")</f>
        <v>please select a BUG ID</v>
      </c>
    </row>
    <row r="437">
      <c r="A437" s="57"/>
      <c r="B437" s="88" t="str">
        <f>IFERROR(HYPERLINK(VLOOKUP(A437,Internal_lists_bugs!$A$2:$C$73,3,FALSE()), VLOOKUP(A437,Internal_lists_bugs!$A$2:$C$73,3,FALSE())&amp;Char(10) &amp; Char(10) &amp; VLOOKUP(A437,Internal_lists_bugs!$A$2:$Z$73,26,FALSE())),"please select a BUG ID")</f>
        <v>please select a BUG ID</v>
      </c>
      <c r="C437" s="89" t="str">
        <f>IFERROR(VLOOKUP(A437,Internal_lists_bugs!$A$2:$X1013,24,FALSE()),"please select a BUG ID")</f>
        <v>please select a BUG ID</v>
      </c>
      <c r="E437" s="82"/>
      <c r="F437" s="80"/>
      <c r="H437" s="82"/>
      <c r="I437" s="80"/>
      <c r="J437" s="51" t="str">
        <f>IFERROR(Hyperlink(VLOOKUP(A437,Internal_lists_bugs!$A$2:$G1013,7,FALSE()),"BIC: "&amp;VLOOKUP(A437,Internal_lists_bugs!$A$2:$G1013,7,FALSE())&amp;CHAR(10)&amp;"Intro.Issues: "&amp;VLOOKUP(A437,Internal_lists_bugs!$A$2:$P1013,16,FALSE())),"please select a BUG ID")</f>
        <v>please select a BUG ID</v>
      </c>
    </row>
    <row r="438">
      <c r="A438" s="57"/>
      <c r="B438" s="88" t="str">
        <f>IFERROR(HYPERLINK(VLOOKUP(A438,Internal_lists_bugs!$A$2:$C$73,3,FALSE()), VLOOKUP(A438,Internal_lists_bugs!$A$2:$C$73,3,FALSE())&amp;Char(10) &amp; Char(10) &amp; VLOOKUP(A438,Internal_lists_bugs!$A$2:$Z$73,26,FALSE())),"please select a BUG ID")</f>
        <v>please select a BUG ID</v>
      </c>
      <c r="C438" s="89" t="str">
        <f>IFERROR(VLOOKUP(A438,Internal_lists_bugs!$A$2:$X1013,24,FALSE()),"please select a BUG ID")</f>
        <v>please select a BUG ID</v>
      </c>
      <c r="E438" s="82"/>
      <c r="F438" s="80"/>
      <c r="H438" s="82"/>
      <c r="I438" s="80"/>
      <c r="J438" s="51" t="str">
        <f>IFERROR(Hyperlink(VLOOKUP(A438,Internal_lists_bugs!$A$2:$G1013,7,FALSE()),"BIC: "&amp;VLOOKUP(A438,Internal_lists_bugs!$A$2:$G1013,7,FALSE())&amp;CHAR(10)&amp;"Intro.Issues: "&amp;VLOOKUP(A438,Internal_lists_bugs!$A$2:$P1013,16,FALSE())),"please select a BUG ID")</f>
        <v>please select a BUG ID</v>
      </c>
    </row>
    <row r="439">
      <c r="A439" s="57"/>
      <c r="B439" s="88" t="str">
        <f>IFERROR(HYPERLINK(VLOOKUP(A439,Internal_lists_bugs!$A$2:$C$73,3,FALSE()), VLOOKUP(A439,Internal_lists_bugs!$A$2:$C$73,3,FALSE())&amp;Char(10) &amp; Char(10) &amp; VLOOKUP(A439,Internal_lists_bugs!$A$2:$Z$73,26,FALSE())),"please select a BUG ID")</f>
        <v>please select a BUG ID</v>
      </c>
      <c r="C439" s="89" t="str">
        <f>IFERROR(VLOOKUP(A439,Internal_lists_bugs!$A$2:$X1013,24,FALSE()),"please select a BUG ID")</f>
        <v>please select a BUG ID</v>
      </c>
      <c r="E439" s="82"/>
      <c r="F439" s="80"/>
      <c r="H439" s="82"/>
      <c r="I439" s="80"/>
      <c r="J439" s="51" t="str">
        <f>IFERROR(Hyperlink(VLOOKUP(A439,Internal_lists_bugs!$A$2:$G1013,7,FALSE()),"BIC: "&amp;VLOOKUP(A439,Internal_lists_bugs!$A$2:$G1013,7,FALSE())&amp;CHAR(10)&amp;"Intro.Issues: "&amp;VLOOKUP(A439,Internal_lists_bugs!$A$2:$P1013,16,FALSE())),"please select a BUG ID")</f>
        <v>please select a BUG ID</v>
      </c>
    </row>
    <row r="440">
      <c r="A440" s="57"/>
      <c r="B440" s="88" t="str">
        <f>IFERROR(HYPERLINK(VLOOKUP(A440,Internal_lists_bugs!$A$2:$C$73,3,FALSE()), VLOOKUP(A440,Internal_lists_bugs!$A$2:$C$73,3,FALSE())&amp;Char(10) &amp; Char(10) &amp; VLOOKUP(A440,Internal_lists_bugs!$A$2:$Z$73,26,FALSE())),"please select a BUG ID")</f>
        <v>please select a BUG ID</v>
      </c>
      <c r="C440" s="89" t="str">
        <f>IFERROR(VLOOKUP(A440,Internal_lists_bugs!$A$2:$X1013,24,FALSE()),"please select a BUG ID")</f>
        <v>please select a BUG ID</v>
      </c>
      <c r="E440" s="82"/>
      <c r="F440" s="80"/>
      <c r="H440" s="82"/>
      <c r="I440" s="80"/>
      <c r="J440" s="51" t="str">
        <f>IFERROR(Hyperlink(VLOOKUP(A440,Internal_lists_bugs!$A$2:$G1013,7,FALSE()),"BIC: "&amp;VLOOKUP(A440,Internal_lists_bugs!$A$2:$G1013,7,FALSE())&amp;CHAR(10)&amp;"Intro.Issues: "&amp;VLOOKUP(A440,Internal_lists_bugs!$A$2:$P1013,16,FALSE())),"please select a BUG ID")</f>
        <v>please select a BUG ID</v>
      </c>
    </row>
    <row r="441">
      <c r="A441" s="57"/>
      <c r="B441" s="88" t="str">
        <f>IFERROR(HYPERLINK(VLOOKUP(A441,Internal_lists_bugs!$A$2:$C$73,3,FALSE()), VLOOKUP(A441,Internal_lists_bugs!$A$2:$C$73,3,FALSE())&amp;Char(10) &amp; Char(10) &amp; VLOOKUP(A441,Internal_lists_bugs!$A$2:$Z$73,26,FALSE())),"please select a BUG ID")</f>
        <v>please select a BUG ID</v>
      </c>
      <c r="C441" s="89" t="str">
        <f>IFERROR(VLOOKUP(A441,Internal_lists_bugs!$A$2:$X1013,24,FALSE()),"please select a BUG ID")</f>
        <v>please select a BUG ID</v>
      </c>
      <c r="E441" s="82"/>
      <c r="F441" s="80"/>
      <c r="H441" s="82"/>
      <c r="I441" s="80"/>
      <c r="J441" s="51" t="str">
        <f>IFERROR(Hyperlink(VLOOKUP(A441,Internal_lists_bugs!$A$2:$G1013,7,FALSE()),"BIC: "&amp;VLOOKUP(A441,Internal_lists_bugs!$A$2:$G1013,7,FALSE())&amp;CHAR(10)&amp;"Intro.Issues: "&amp;VLOOKUP(A441,Internal_lists_bugs!$A$2:$P1013,16,FALSE())),"please select a BUG ID")</f>
        <v>please select a BUG ID</v>
      </c>
    </row>
    <row r="442">
      <c r="A442" s="57"/>
      <c r="B442" s="88" t="str">
        <f>IFERROR(HYPERLINK(VLOOKUP(A442,Internal_lists_bugs!$A$2:$C$73,3,FALSE()), VLOOKUP(A442,Internal_lists_bugs!$A$2:$C$73,3,FALSE())&amp;Char(10) &amp; Char(10) &amp; VLOOKUP(A442,Internal_lists_bugs!$A$2:$Z$73,26,FALSE())),"please select a BUG ID")</f>
        <v>please select a BUG ID</v>
      </c>
      <c r="C442" s="89" t="str">
        <f>IFERROR(VLOOKUP(A442,Internal_lists_bugs!$A$2:$X1013,24,FALSE()),"please select a BUG ID")</f>
        <v>please select a BUG ID</v>
      </c>
      <c r="E442" s="82"/>
      <c r="F442" s="80"/>
      <c r="H442" s="82"/>
      <c r="I442" s="80"/>
      <c r="J442" s="51" t="str">
        <f>IFERROR(Hyperlink(VLOOKUP(A442,Internal_lists_bugs!$A$2:$G1013,7,FALSE()),"BIC: "&amp;VLOOKUP(A442,Internal_lists_bugs!$A$2:$G1013,7,FALSE())&amp;CHAR(10)&amp;"Intro.Issues: "&amp;VLOOKUP(A442,Internal_lists_bugs!$A$2:$P1013,16,FALSE())),"please select a BUG ID")</f>
        <v>please select a BUG ID</v>
      </c>
    </row>
    <row r="443">
      <c r="A443" s="57"/>
      <c r="B443" s="88" t="str">
        <f>IFERROR(HYPERLINK(VLOOKUP(A443,Internal_lists_bugs!$A$2:$C$73,3,FALSE()), VLOOKUP(A443,Internal_lists_bugs!$A$2:$C$73,3,FALSE())&amp;Char(10) &amp; Char(10) &amp; VLOOKUP(A443,Internal_lists_bugs!$A$2:$Z$73,26,FALSE())),"please select a BUG ID")</f>
        <v>please select a BUG ID</v>
      </c>
      <c r="C443" s="89" t="str">
        <f>IFERROR(VLOOKUP(A443,Internal_lists_bugs!$A$2:$X1013,24,FALSE()),"please select a BUG ID")</f>
        <v>please select a BUG ID</v>
      </c>
      <c r="E443" s="82"/>
      <c r="F443" s="80"/>
      <c r="H443" s="82"/>
      <c r="I443" s="80"/>
      <c r="J443" s="51" t="str">
        <f>IFERROR(Hyperlink(VLOOKUP(A443,Internal_lists_bugs!$A$2:$G1013,7,FALSE()),"BIC: "&amp;VLOOKUP(A443,Internal_lists_bugs!$A$2:$G1013,7,FALSE())&amp;CHAR(10)&amp;"Intro.Issues: "&amp;VLOOKUP(A443,Internal_lists_bugs!$A$2:$P1013,16,FALSE())),"please select a BUG ID")</f>
        <v>please select a BUG ID</v>
      </c>
    </row>
    <row r="444">
      <c r="A444" s="57"/>
      <c r="B444" s="88" t="str">
        <f>IFERROR(HYPERLINK(VLOOKUP(A444,Internal_lists_bugs!$A$2:$C$73,3,FALSE()), VLOOKUP(A444,Internal_lists_bugs!$A$2:$C$73,3,FALSE())&amp;Char(10) &amp; Char(10) &amp; VLOOKUP(A444,Internal_lists_bugs!$A$2:$Z$73,26,FALSE())),"please select a BUG ID")</f>
        <v>please select a BUG ID</v>
      </c>
      <c r="C444" s="89" t="str">
        <f>IFERROR(VLOOKUP(A444,Internal_lists_bugs!$A$2:$X1013,24,FALSE()),"please select a BUG ID")</f>
        <v>please select a BUG ID</v>
      </c>
      <c r="E444" s="82"/>
      <c r="F444" s="80"/>
      <c r="H444" s="82"/>
      <c r="I444" s="80"/>
      <c r="J444" s="51" t="str">
        <f>IFERROR(Hyperlink(VLOOKUP(A444,Internal_lists_bugs!$A$2:$G1013,7,FALSE()),"BIC: "&amp;VLOOKUP(A444,Internal_lists_bugs!$A$2:$G1013,7,FALSE())&amp;CHAR(10)&amp;"Intro.Issues: "&amp;VLOOKUP(A444,Internal_lists_bugs!$A$2:$P1013,16,FALSE())),"please select a BUG ID")</f>
        <v>please select a BUG ID</v>
      </c>
    </row>
    <row r="445">
      <c r="A445" s="57"/>
      <c r="B445" s="88" t="str">
        <f>IFERROR(HYPERLINK(VLOOKUP(A445,Internal_lists_bugs!$A$2:$C$73,3,FALSE()), VLOOKUP(A445,Internal_lists_bugs!$A$2:$C$73,3,FALSE())&amp;Char(10) &amp; Char(10) &amp; VLOOKUP(A445,Internal_lists_bugs!$A$2:$Z$73,26,FALSE())),"please select a BUG ID")</f>
        <v>please select a BUG ID</v>
      </c>
      <c r="C445" s="89" t="str">
        <f>IFERROR(VLOOKUP(A445,Internal_lists_bugs!$A$2:$X1013,24,FALSE()),"please select a BUG ID")</f>
        <v>please select a BUG ID</v>
      </c>
      <c r="E445" s="82"/>
      <c r="F445" s="80"/>
      <c r="H445" s="82"/>
      <c r="I445" s="80"/>
      <c r="J445" s="51" t="str">
        <f>IFERROR(Hyperlink(VLOOKUP(A445,Internal_lists_bugs!$A$2:$G1013,7,FALSE()),"BIC: "&amp;VLOOKUP(A445,Internal_lists_bugs!$A$2:$G1013,7,FALSE())&amp;CHAR(10)&amp;"Intro.Issues: "&amp;VLOOKUP(A445,Internal_lists_bugs!$A$2:$P1013,16,FALSE())),"please select a BUG ID")</f>
        <v>please select a BUG ID</v>
      </c>
    </row>
    <row r="446">
      <c r="A446" s="57"/>
      <c r="B446" s="88" t="str">
        <f>IFERROR(HYPERLINK(VLOOKUP(A446,Internal_lists_bugs!$A$2:$C$73,3,FALSE()), VLOOKUP(A446,Internal_lists_bugs!$A$2:$C$73,3,FALSE())&amp;Char(10) &amp; Char(10) &amp; VLOOKUP(A446,Internal_lists_bugs!$A$2:$Z$73,26,FALSE())),"please select a BUG ID")</f>
        <v>please select a BUG ID</v>
      </c>
      <c r="C446" s="89" t="str">
        <f>IFERROR(VLOOKUP(A446,Internal_lists_bugs!$A$2:$X1013,24,FALSE()),"please select a BUG ID")</f>
        <v>please select a BUG ID</v>
      </c>
      <c r="E446" s="82"/>
      <c r="F446" s="80"/>
      <c r="H446" s="82"/>
      <c r="I446" s="80"/>
      <c r="J446" s="51" t="str">
        <f>IFERROR(Hyperlink(VLOOKUP(A446,Internal_lists_bugs!$A$2:$G1013,7,FALSE()),"BIC: "&amp;VLOOKUP(A446,Internal_lists_bugs!$A$2:$G1013,7,FALSE())&amp;CHAR(10)&amp;"Intro.Issues: "&amp;VLOOKUP(A446,Internal_lists_bugs!$A$2:$P1013,16,FALSE())),"please select a BUG ID")</f>
        <v>please select a BUG ID</v>
      </c>
    </row>
    <row r="447">
      <c r="A447" s="57"/>
      <c r="B447" s="88" t="str">
        <f>IFERROR(HYPERLINK(VLOOKUP(A447,Internal_lists_bugs!$A$2:$C$73,3,FALSE()), VLOOKUP(A447,Internal_lists_bugs!$A$2:$C$73,3,FALSE())&amp;Char(10) &amp; Char(10) &amp; VLOOKUP(A447,Internal_lists_bugs!$A$2:$Z$73,26,FALSE())),"please select a BUG ID")</f>
        <v>please select a BUG ID</v>
      </c>
      <c r="C447" s="89" t="str">
        <f>IFERROR(VLOOKUP(A447,Internal_lists_bugs!$A$2:$X1013,24,FALSE()),"please select a BUG ID")</f>
        <v>please select a BUG ID</v>
      </c>
      <c r="E447" s="82"/>
      <c r="F447" s="80"/>
      <c r="H447" s="82"/>
      <c r="I447" s="80"/>
      <c r="J447" s="51" t="str">
        <f>IFERROR(Hyperlink(VLOOKUP(A447,Internal_lists_bugs!$A$2:$G1013,7,FALSE()),"BIC: "&amp;VLOOKUP(A447,Internal_lists_bugs!$A$2:$G1013,7,FALSE())&amp;CHAR(10)&amp;"Intro.Issues: "&amp;VLOOKUP(A447,Internal_lists_bugs!$A$2:$P1013,16,FALSE())),"please select a BUG ID")</f>
        <v>please select a BUG ID</v>
      </c>
    </row>
    <row r="448">
      <c r="A448" s="57"/>
      <c r="B448" s="88" t="str">
        <f>IFERROR(HYPERLINK(VLOOKUP(A448,Internal_lists_bugs!$A$2:$C$73,3,FALSE()), VLOOKUP(A448,Internal_lists_bugs!$A$2:$C$73,3,FALSE())&amp;Char(10) &amp; Char(10) &amp; VLOOKUP(A448,Internal_lists_bugs!$A$2:$Z$73,26,FALSE())),"please select a BUG ID")</f>
        <v>please select a BUG ID</v>
      </c>
      <c r="C448" s="89" t="str">
        <f>IFERROR(VLOOKUP(A448,Internal_lists_bugs!$A$2:$X1013,24,FALSE()),"please select a BUG ID")</f>
        <v>please select a BUG ID</v>
      </c>
      <c r="E448" s="82"/>
      <c r="F448" s="80"/>
      <c r="H448" s="82"/>
      <c r="I448" s="80"/>
      <c r="J448" s="51" t="str">
        <f>IFERROR(Hyperlink(VLOOKUP(A448,Internal_lists_bugs!$A$2:$G1013,7,FALSE()),"BIC: "&amp;VLOOKUP(A448,Internal_lists_bugs!$A$2:$G1013,7,FALSE())&amp;CHAR(10)&amp;"Intro.Issues: "&amp;VLOOKUP(A448,Internal_lists_bugs!$A$2:$P1013,16,FALSE())),"please select a BUG ID")</f>
        <v>please select a BUG ID</v>
      </c>
    </row>
    <row r="449">
      <c r="A449" s="57"/>
      <c r="B449" s="88" t="str">
        <f>IFERROR(HYPERLINK(VLOOKUP(A449,Internal_lists_bugs!$A$2:$C$73,3,FALSE()), VLOOKUP(A449,Internal_lists_bugs!$A$2:$C$73,3,FALSE())&amp;Char(10) &amp; Char(10) &amp; VLOOKUP(A449,Internal_lists_bugs!$A$2:$Z$73,26,FALSE())),"please select a BUG ID")</f>
        <v>please select a BUG ID</v>
      </c>
      <c r="C449" s="89" t="str">
        <f>IFERROR(VLOOKUP(A449,Internal_lists_bugs!$A$2:$X1013,24,FALSE()),"please select a BUG ID")</f>
        <v>please select a BUG ID</v>
      </c>
      <c r="E449" s="82"/>
      <c r="F449" s="80"/>
      <c r="H449" s="82"/>
      <c r="I449" s="80"/>
      <c r="J449" s="51" t="str">
        <f>IFERROR(Hyperlink(VLOOKUP(A449,Internal_lists_bugs!$A$2:$G1013,7,FALSE()),"BIC: "&amp;VLOOKUP(A449,Internal_lists_bugs!$A$2:$G1013,7,FALSE())&amp;CHAR(10)&amp;"Intro.Issues: "&amp;VLOOKUP(A449,Internal_lists_bugs!$A$2:$P1013,16,FALSE())),"please select a BUG ID")</f>
        <v>please select a BUG ID</v>
      </c>
    </row>
    <row r="450">
      <c r="A450" s="57"/>
      <c r="B450" s="88" t="str">
        <f>IFERROR(HYPERLINK(VLOOKUP(A450,Internal_lists_bugs!$A$2:$C$73,3,FALSE()), VLOOKUP(A450,Internal_lists_bugs!$A$2:$C$73,3,FALSE())&amp;Char(10) &amp; Char(10) &amp; VLOOKUP(A450,Internal_lists_bugs!$A$2:$Z$73,26,FALSE())),"please select a BUG ID")</f>
        <v>please select a BUG ID</v>
      </c>
      <c r="C450" s="89" t="str">
        <f>IFERROR(VLOOKUP(A450,Internal_lists_bugs!$A$2:$X1013,24,FALSE()),"please select a BUG ID")</f>
        <v>please select a BUG ID</v>
      </c>
      <c r="E450" s="82"/>
      <c r="F450" s="80"/>
      <c r="H450" s="82"/>
      <c r="I450" s="80"/>
      <c r="J450" s="51" t="str">
        <f>IFERROR(Hyperlink(VLOOKUP(A450,Internal_lists_bugs!$A$2:$G1013,7,FALSE()),"BIC: "&amp;VLOOKUP(A450,Internal_lists_bugs!$A$2:$G1013,7,FALSE())&amp;CHAR(10)&amp;"Intro.Issues: "&amp;VLOOKUP(A450,Internal_lists_bugs!$A$2:$P1013,16,FALSE())),"please select a BUG ID")</f>
        <v>please select a BUG ID</v>
      </c>
    </row>
    <row r="451">
      <c r="A451" s="57"/>
      <c r="B451" s="88" t="str">
        <f>IFERROR(HYPERLINK(VLOOKUP(A451,Internal_lists_bugs!$A$2:$C$73,3,FALSE()), VLOOKUP(A451,Internal_lists_bugs!$A$2:$C$73,3,FALSE())&amp;Char(10) &amp; Char(10) &amp; VLOOKUP(A451,Internal_lists_bugs!$A$2:$Z$73,26,FALSE())),"please select a BUG ID")</f>
        <v>please select a BUG ID</v>
      </c>
      <c r="C451" s="89" t="str">
        <f>IFERROR(VLOOKUP(A451,Internal_lists_bugs!$A$2:$X1013,24,FALSE()),"please select a BUG ID")</f>
        <v>please select a BUG ID</v>
      </c>
      <c r="E451" s="82"/>
      <c r="F451" s="80"/>
      <c r="H451" s="82"/>
      <c r="I451" s="80"/>
      <c r="J451" s="51" t="str">
        <f>IFERROR(Hyperlink(VLOOKUP(A451,Internal_lists_bugs!$A$2:$G1013,7,FALSE()),"BIC: "&amp;VLOOKUP(A451,Internal_lists_bugs!$A$2:$G1013,7,FALSE())&amp;CHAR(10)&amp;"Intro.Issues: "&amp;VLOOKUP(A451,Internal_lists_bugs!$A$2:$P1013,16,FALSE())),"please select a BUG ID")</f>
        <v>please select a BUG ID</v>
      </c>
    </row>
    <row r="452">
      <c r="A452" s="57"/>
      <c r="B452" s="88" t="str">
        <f>IFERROR(HYPERLINK(VLOOKUP(A452,Internal_lists_bugs!$A$2:$C$73,3,FALSE()), VLOOKUP(A452,Internal_lists_bugs!$A$2:$C$73,3,FALSE())&amp;Char(10) &amp; Char(10) &amp; VLOOKUP(A452,Internal_lists_bugs!$A$2:$Z$73,26,FALSE())),"please select a BUG ID")</f>
        <v>please select a BUG ID</v>
      </c>
      <c r="C452" s="89" t="str">
        <f>IFERROR(VLOOKUP(A452,Internal_lists_bugs!$A$2:$X1013,24,FALSE()),"please select a BUG ID")</f>
        <v>please select a BUG ID</v>
      </c>
      <c r="E452" s="82"/>
      <c r="F452" s="80"/>
      <c r="H452" s="82"/>
      <c r="I452" s="80"/>
      <c r="J452" s="51" t="str">
        <f>IFERROR(Hyperlink(VLOOKUP(A452,Internal_lists_bugs!$A$2:$G1013,7,FALSE()),"BIC: "&amp;VLOOKUP(A452,Internal_lists_bugs!$A$2:$G1013,7,FALSE())&amp;CHAR(10)&amp;"Intro.Issues: "&amp;VLOOKUP(A452,Internal_lists_bugs!$A$2:$P1013,16,FALSE())),"please select a BUG ID")</f>
        <v>please select a BUG ID</v>
      </c>
    </row>
    <row r="453">
      <c r="A453" s="57"/>
      <c r="B453" s="88" t="str">
        <f>IFERROR(HYPERLINK(VLOOKUP(A453,Internal_lists_bugs!$A$2:$C$73,3,FALSE()), VLOOKUP(A453,Internal_lists_bugs!$A$2:$C$73,3,FALSE())&amp;Char(10) &amp; Char(10) &amp; VLOOKUP(A453,Internal_lists_bugs!$A$2:$Z$73,26,FALSE())),"please select a BUG ID")</f>
        <v>please select a BUG ID</v>
      </c>
      <c r="C453" s="89" t="str">
        <f>IFERROR(VLOOKUP(A453,Internal_lists_bugs!$A$2:$X1013,24,FALSE()),"please select a BUG ID")</f>
        <v>please select a BUG ID</v>
      </c>
      <c r="E453" s="82"/>
      <c r="F453" s="80"/>
      <c r="H453" s="82"/>
      <c r="I453" s="80"/>
      <c r="J453" s="51" t="str">
        <f>IFERROR(Hyperlink(VLOOKUP(A453,Internal_lists_bugs!$A$2:$G1013,7,FALSE()),"BIC: "&amp;VLOOKUP(A453,Internal_lists_bugs!$A$2:$G1013,7,FALSE())&amp;CHAR(10)&amp;"Intro.Issues: "&amp;VLOOKUP(A453,Internal_lists_bugs!$A$2:$P1013,16,FALSE())),"please select a BUG ID")</f>
        <v>please select a BUG ID</v>
      </c>
    </row>
    <row r="454">
      <c r="A454" s="57"/>
      <c r="B454" s="88" t="str">
        <f>IFERROR(HYPERLINK(VLOOKUP(A454,Internal_lists_bugs!$A$2:$C$73,3,FALSE()), VLOOKUP(A454,Internal_lists_bugs!$A$2:$C$73,3,FALSE())&amp;Char(10) &amp; Char(10) &amp; VLOOKUP(A454,Internal_lists_bugs!$A$2:$Z$73,26,FALSE())),"please select a BUG ID")</f>
        <v>please select a BUG ID</v>
      </c>
      <c r="C454" s="89" t="str">
        <f>IFERROR(VLOOKUP(A454,Internal_lists_bugs!$A$2:$X1013,24,FALSE()),"please select a BUG ID")</f>
        <v>please select a BUG ID</v>
      </c>
      <c r="E454" s="82"/>
      <c r="F454" s="80"/>
      <c r="H454" s="82"/>
      <c r="I454" s="80"/>
      <c r="J454" s="51" t="str">
        <f>IFERROR(Hyperlink(VLOOKUP(A454,Internal_lists_bugs!$A$2:$G1013,7,FALSE()),"BIC: "&amp;VLOOKUP(A454,Internal_lists_bugs!$A$2:$G1013,7,FALSE())&amp;CHAR(10)&amp;"Intro.Issues: "&amp;VLOOKUP(A454,Internal_lists_bugs!$A$2:$P1013,16,FALSE())),"please select a BUG ID")</f>
        <v>please select a BUG ID</v>
      </c>
    </row>
    <row r="455">
      <c r="A455" s="57"/>
      <c r="B455" s="88" t="str">
        <f>IFERROR(HYPERLINK(VLOOKUP(A455,Internal_lists_bugs!$A$2:$C$73,3,FALSE()), VLOOKUP(A455,Internal_lists_bugs!$A$2:$C$73,3,FALSE())&amp;Char(10) &amp; Char(10) &amp; VLOOKUP(A455,Internal_lists_bugs!$A$2:$Z$73,26,FALSE())),"please select a BUG ID")</f>
        <v>please select a BUG ID</v>
      </c>
      <c r="C455" s="89" t="str">
        <f>IFERROR(VLOOKUP(A455,Internal_lists_bugs!$A$2:$X1013,24,FALSE()),"please select a BUG ID")</f>
        <v>please select a BUG ID</v>
      </c>
      <c r="E455" s="82"/>
      <c r="F455" s="80"/>
      <c r="H455" s="82"/>
      <c r="I455" s="80"/>
      <c r="J455" s="51" t="str">
        <f>IFERROR(Hyperlink(VLOOKUP(A455,Internal_lists_bugs!$A$2:$G1013,7,FALSE()),"BIC: "&amp;VLOOKUP(A455,Internal_lists_bugs!$A$2:$G1013,7,FALSE())&amp;CHAR(10)&amp;"Intro.Issues: "&amp;VLOOKUP(A455,Internal_lists_bugs!$A$2:$P1013,16,FALSE())),"please select a BUG ID")</f>
        <v>please select a BUG ID</v>
      </c>
    </row>
    <row r="456">
      <c r="A456" s="54"/>
      <c r="B456" s="88" t="str">
        <f>IFERROR(HYPERLINK(VLOOKUP(A456,Internal_lists_bugs!$A$2:$C$73,3,FALSE()), VLOOKUP(A456,Internal_lists_bugs!$A$2:$C$73,3,FALSE())&amp;Char(10) &amp; Char(10) &amp; VLOOKUP(A456,Internal_lists_bugs!$A$2:$Z$73,26,FALSE())),"please select a BUG ID")</f>
        <v>please select a BUG ID</v>
      </c>
      <c r="C456" s="89" t="str">
        <f>IFERROR(VLOOKUP(A456,Internal_lists_bugs!$A$2:$X1013,24,FALSE()),"please select a BUG ID")</f>
        <v>please select a BUG ID</v>
      </c>
      <c r="E456" s="82"/>
      <c r="F456" s="80"/>
      <c r="H456" s="82"/>
      <c r="I456" s="80"/>
      <c r="J456" s="51" t="str">
        <f>IFERROR(Hyperlink(VLOOKUP(A456,Internal_lists_bugs!$A$2:$G1013,7,FALSE()),"BIC: "&amp;VLOOKUP(A456,Internal_lists_bugs!$A$2:$G1013,7,FALSE())&amp;CHAR(10)&amp;"Intro.Issues: "&amp;VLOOKUP(A456,Internal_lists_bugs!$A$2:$P1013,16,FALSE())),"please select a BUG ID")</f>
        <v>please select a BUG ID</v>
      </c>
    </row>
    <row r="457">
      <c r="A457" s="54"/>
      <c r="B457" s="88" t="str">
        <f>IFERROR(HYPERLINK(VLOOKUP(A457,Internal_lists_bugs!$A$2:$C$73,3,FALSE()), VLOOKUP(A457,Internal_lists_bugs!$A$2:$C$73,3,FALSE())&amp;Char(10) &amp; Char(10) &amp; VLOOKUP(A457,Internal_lists_bugs!$A$2:$Z$73,26,FALSE())),"please select a BUG ID")</f>
        <v>please select a BUG ID</v>
      </c>
      <c r="C457" s="89" t="str">
        <f>IFERROR(VLOOKUP(A457,Internal_lists_bugs!$A$2:$X1013,24,FALSE()),"please select a BUG ID")</f>
        <v>please select a BUG ID</v>
      </c>
      <c r="E457" s="82"/>
      <c r="F457" s="80"/>
      <c r="H457" s="82"/>
      <c r="I457" s="80"/>
      <c r="J457" s="51" t="str">
        <f>IFERROR(Hyperlink(VLOOKUP(A457,Internal_lists_bugs!$A$2:$G1013,7,FALSE()),"BIC: "&amp;VLOOKUP(A457,Internal_lists_bugs!$A$2:$G1013,7,FALSE())&amp;CHAR(10)&amp;"Intro.Issues: "&amp;VLOOKUP(A457,Internal_lists_bugs!$A$2:$P1013,16,FALSE())),"please select a BUG ID")</f>
        <v>please select a BUG ID</v>
      </c>
    </row>
    <row r="458">
      <c r="A458" s="54"/>
      <c r="B458" s="88" t="str">
        <f>IFERROR(HYPERLINK(VLOOKUP(A458,Internal_lists_bugs!$A$2:$C$73,3,FALSE()), VLOOKUP(A458,Internal_lists_bugs!$A$2:$C$73,3,FALSE())&amp;Char(10) &amp; Char(10) &amp; VLOOKUP(A458,Internal_lists_bugs!$A$2:$Z$73,26,FALSE())),"please select a BUG ID")</f>
        <v>please select a BUG ID</v>
      </c>
      <c r="C458" s="89" t="str">
        <f>IFERROR(VLOOKUP(A458,Internal_lists_bugs!$A$2:$X1013,24,FALSE()),"please select a BUG ID")</f>
        <v>please select a BUG ID</v>
      </c>
      <c r="E458" s="82"/>
      <c r="F458" s="80"/>
      <c r="H458" s="82"/>
      <c r="I458" s="80"/>
      <c r="J458" s="51" t="str">
        <f>IFERROR(Hyperlink(VLOOKUP(A458,Internal_lists_bugs!$A$2:$G1013,7,FALSE()),"BIC: "&amp;VLOOKUP(A458,Internal_lists_bugs!$A$2:$G1013,7,FALSE())&amp;CHAR(10)&amp;"Intro.Issues: "&amp;VLOOKUP(A458,Internal_lists_bugs!$A$2:$P1013,16,FALSE())),"please select a BUG ID")</f>
        <v>please select a BUG ID</v>
      </c>
    </row>
    <row r="459">
      <c r="A459" s="54"/>
      <c r="B459" s="88" t="str">
        <f>IFERROR(HYPERLINK(VLOOKUP(A459,Internal_lists_bugs!$A$2:$C$73,3,FALSE()), VLOOKUP(A459,Internal_lists_bugs!$A$2:$C$73,3,FALSE())&amp;Char(10) &amp; Char(10) &amp; VLOOKUP(A459,Internal_lists_bugs!$A$2:$Z$73,26,FALSE())),"please select a BUG ID")</f>
        <v>please select a BUG ID</v>
      </c>
      <c r="C459" s="89" t="str">
        <f>IFERROR(VLOOKUP(A459,Internal_lists_bugs!$A$2:$X1013,24,FALSE()),"please select a BUG ID")</f>
        <v>please select a BUG ID</v>
      </c>
      <c r="E459" s="82"/>
      <c r="F459" s="80"/>
      <c r="H459" s="82"/>
      <c r="I459" s="80"/>
      <c r="J459" s="51" t="str">
        <f>IFERROR(Hyperlink(VLOOKUP(A459,Internal_lists_bugs!$A$2:$G1013,7,FALSE()),"BIC: "&amp;VLOOKUP(A459,Internal_lists_bugs!$A$2:$G1013,7,FALSE())&amp;CHAR(10)&amp;"Intro.Issues: "&amp;VLOOKUP(A459,Internal_lists_bugs!$A$2:$P1013,16,FALSE())),"please select a BUG ID")</f>
        <v>please select a BUG ID</v>
      </c>
    </row>
    <row r="460">
      <c r="A460" s="54"/>
      <c r="B460" s="88" t="str">
        <f>IFERROR(HYPERLINK(VLOOKUP(A460,Internal_lists_bugs!$A$2:$C$73,3,FALSE()), VLOOKUP(A460,Internal_lists_bugs!$A$2:$C$73,3,FALSE())&amp;Char(10) &amp; Char(10) &amp; VLOOKUP(A460,Internal_lists_bugs!$A$2:$Z$73,26,FALSE())),"please select a BUG ID")</f>
        <v>please select a BUG ID</v>
      </c>
      <c r="C460" s="89" t="str">
        <f>IFERROR(VLOOKUP(A460,Internal_lists_bugs!$A$2:$X1013,24,FALSE()),"please select a BUG ID")</f>
        <v>please select a BUG ID</v>
      </c>
      <c r="E460" s="82"/>
      <c r="F460" s="80"/>
      <c r="H460" s="82"/>
      <c r="I460" s="80"/>
      <c r="J460" s="51" t="str">
        <f>IFERROR(Hyperlink(VLOOKUP(A460,Internal_lists_bugs!$A$2:$G1013,7,FALSE()),"BIC: "&amp;VLOOKUP(A460,Internal_lists_bugs!$A$2:$G1013,7,FALSE())&amp;CHAR(10)&amp;"Intro.Issues: "&amp;VLOOKUP(A460,Internal_lists_bugs!$A$2:$P1013,16,FALSE())),"please select a BUG ID")</f>
        <v>please select a BUG ID</v>
      </c>
    </row>
    <row r="461">
      <c r="A461" s="54"/>
      <c r="B461" s="88" t="str">
        <f>IFERROR(HYPERLINK(VLOOKUP(A461,Internal_lists_bugs!$A$2:$C$73,3,FALSE()), VLOOKUP(A461,Internal_lists_bugs!$A$2:$C$73,3,FALSE())&amp;Char(10) &amp; Char(10) &amp; VLOOKUP(A461,Internal_lists_bugs!$A$2:$Z$73,26,FALSE())),"please select a BUG ID")</f>
        <v>please select a BUG ID</v>
      </c>
      <c r="C461" s="89" t="str">
        <f>IFERROR(VLOOKUP(A461,Internal_lists_bugs!$A$2:$X1013,24,FALSE()),"please select a BUG ID")</f>
        <v>please select a BUG ID</v>
      </c>
      <c r="E461" s="82"/>
      <c r="F461" s="80"/>
      <c r="H461" s="82"/>
      <c r="I461" s="80"/>
      <c r="J461" s="51" t="str">
        <f>IFERROR(Hyperlink(VLOOKUP(A461,Internal_lists_bugs!$A$2:$G1013,7,FALSE()),"BIC: "&amp;VLOOKUP(A461,Internal_lists_bugs!$A$2:$G1013,7,FALSE())&amp;CHAR(10)&amp;"Intro.Issues: "&amp;VLOOKUP(A461,Internal_lists_bugs!$A$2:$P1013,16,FALSE())),"please select a BUG ID")</f>
        <v>please select a BUG ID</v>
      </c>
    </row>
    <row r="462">
      <c r="A462" s="54"/>
      <c r="B462" s="88" t="str">
        <f>IFERROR(HYPERLINK(VLOOKUP(A462,Internal_lists_bugs!$A$2:$C$73,3,FALSE()), VLOOKUP(A462,Internal_lists_bugs!$A$2:$C$73,3,FALSE())&amp;Char(10) &amp; Char(10) &amp; VLOOKUP(A462,Internal_lists_bugs!$A$2:$Z$73,26,FALSE())),"please select a BUG ID")</f>
        <v>please select a BUG ID</v>
      </c>
      <c r="C462" s="89" t="str">
        <f>IFERROR(VLOOKUP(A462,Internal_lists_bugs!$A$2:$X1013,24,FALSE()),"please select a BUG ID")</f>
        <v>please select a BUG ID</v>
      </c>
      <c r="E462" s="82"/>
      <c r="F462" s="80"/>
      <c r="H462" s="82"/>
      <c r="I462" s="80"/>
      <c r="J462" s="51" t="str">
        <f>IFERROR(Hyperlink(VLOOKUP(A462,Internal_lists_bugs!$A$2:$G1013,7,FALSE()),"BIC: "&amp;VLOOKUP(A462,Internal_lists_bugs!$A$2:$G1013,7,FALSE())&amp;CHAR(10)&amp;"Intro.Issues: "&amp;VLOOKUP(A462,Internal_lists_bugs!$A$2:$P1013,16,FALSE())),"please select a BUG ID")</f>
        <v>please select a BUG ID</v>
      </c>
    </row>
    <row r="463">
      <c r="A463" s="54"/>
      <c r="B463" s="88" t="str">
        <f>IFERROR(HYPERLINK(VLOOKUP(A463,Internal_lists_bugs!$A$2:$C$73,3,FALSE()), VLOOKUP(A463,Internal_lists_bugs!$A$2:$C$73,3,FALSE())&amp;Char(10) &amp; Char(10) &amp; VLOOKUP(A463,Internal_lists_bugs!$A$2:$Z$73,26,FALSE())),"please select a BUG ID")</f>
        <v>please select a BUG ID</v>
      </c>
      <c r="C463" s="89" t="str">
        <f>IFERROR(VLOOKUP(A463,Internal_lists_bugs!$A$2:$X1013,24,FALSE()),"please select a BUG ID")</f>
        <v>please select a BUG ID</v>
      </c>
      <c r="E463" s="82"/>
      <c r="F463" s="80"/>
      <c r="H463" s="82"/>
      <c r="I463" s="80"/>
      <c r="J463" s="51" t="str">
        <f>IFERROR(Hyperlink(VLOOKUP(A463,Internal_lists_bugs!$A$2:$G1013,7,FALSE()),"BIC: "&amp;VLOOKUP(A463,Internal_lists_bugs!$A$2:$G1013,7,FALSE())&amp;CHAR(10)&amp;"Intro.Issues: "&amp;VLOOKUP(A463,Internal_lists_bugs!$A$2:$P1013,16,FALSE())),"please select a BUG ID")</f>
        <v>please select a BUG ID</v>
      </c>
    </row>
    <row r="464">
      <c r="A464" s="54"/>
      <c r="B464" s="88" t="str">
        <f>IFERROR(HYPERLINK(VLOOKUP(A464,Internal_lists_bugs!$A$2:$C$73,3,FALSE()), VLOOKUP(A464,Internal_lists_bugs!$A$2:$C$73,3,FALSE())&amp;Char(10) &amp; Char(10) &amp; VLOOKUP(A464,Internal_lists_bugs!$A$2:$Z$73,26,FALSE())),"please select a BUG ID")</f>
        <v>please select a BUG ID</v>
      </c>
      <c r="C464" s="89" t="str">
        <f>IFERROR(VLOOKUP(A464,Internal_lists_bugs!$A$2:$X1013,24,FALSE()),"please select a BUG ID")</f>
        <v>please select a BUG ID</v>
      </c>
      <c r="E464" s="82"/>
      <c r="F464" s="80"/>
      <c r="H464" s="82"/>
      <c r="I464" s="80"/>
      <c r="J464" s="51" t="str">
        <f>IFERROR(Hyperlink(VLOOKUP(A464,Internal_lists_bugs!$A$2:$G1013,7,FALSE()),"BIC: "&amp;VLOOKUP(A464,Internal_lists_bugs!$A$2:$G1013,7,FALSE())&amp;CHAR(10)&amp;"Intro.Issues: "&amp;VLOOKUP(A464,Internal_lists_bugs!$A$2:$P1013,16,FALSE())),"please select a BUG ID")</f>
        <v>please select a BUG ID</v>
      </c>
    </row>
    <row r="465">
      <c r="A465" s="54"/>
      <c r="B465" s="88" t="str">
        <f>IFERROR(HYPERLINK(VLOOKUP(A465,Internal_lists_bugs!$A$2:$C$73,3,FALSE()), VLOOKUP(A465,Internal_lists_bugs!$A$2:$C$73,3,FALSE())&amp;Char(10) &amp; Char(10) &amp; VLOOKUP(A465,Internal_lists_bugs!$A$2:$Z$73,26,FALSE())),"please select a BUG ID")</f>
        <v>please select a BUG ID</v>
      </c>
      <c r="C465" s="89" t="str">
        <f>IFERROR(VLOOKUP(A465,Internal_lists_bugs!$A$2:$X1013,24,FALSE()),"please select a BUG ID")</f>
        <v>please select a BUG ID</v>
      </c>
      <c r="E465" s="82"/>
      <c r="F465" s="80"/>
      <c r="H465" s="82"/>
      <c r="I465" s="80"/>
      <c r="J465" s="51" t="str">
        <f>IFERROR(Hyperlink(VLOOKUP(A465,Internal_lists_bugs!$A$2:$G1013,7,FALSE()),"BIC: "&amp;VLOOKUP(A465,Internal_lists_bugs!$A$2:$G1013,7,FALSE())&amp;CHAR(10)&amp;"Intro.Issues: "&amp;VLOOKUP(A465,Internal_lists_bugs!$A$2:$P1013,16,FALSE())),"please select a BUG ID")</f>
        <v>please select a BUG ID</v>
      </c>
    </row>
    <row r="466">
      <c r="A466" s="54"/>
      <c r="B466" s="88" t="str">
        <f>IFERROR(HYPERLINK(VLOOKUP(A466,Internal_lists_bugs!$A$2:$C$73,3,FALSE()), VLOOKUP(A466,Internal_lists_bugs!$A$2:$C$73,3,FALSE())&amp;Char(10) &amp; Char(10) &amp; VLOOKUP(A466,Internal_lists_bugs!$A$2:$Z$73,26,FALSE())),"please select a BUG ID")</f>
        <v>please select a BUG ID</v>
      </c>
      <c r="C466" s="89" t="str">
        <f>IFERROR(VLOOKUP(A466,Internal_lists_bugs!$A$2:$X1013,24,FALSE()),"please select a BUG ID")</f>
        <v>please select a BUG ID</v>
      </c>
      <c r="E466" s="82"/>
      <c r="F466" s="80"/>
      <c r="H466" s="82"/>
      <c r="I466" s="80"/>
      <c r="J466" s="51" t="str">
        <f>IFERROR(Hyperlink(VLOOKUP(A466,Internal_lists_bugs!$A$2:$G1013,7,FALSE()),"BIC: "&amp;VLOOKUP(A466,Internal_lists_bugs!$A$2:$G1013,7,FALSE())&amp;CHAR(10)&amp;"Intro.Issues: "&amp;VLOOKUP(A466,Internal_lists_bugs!$A$2:$P1013,16,FALSE())),"please select a BUG ID")</f>
        <v>please select a BUG ID</v>
      </c>
    </row>
    <row r="467">
      <c r="A467" s="54"/>
      <c r="B467" s="88" t="str">
        <f>IFERROR(HYPERLINK(VLOOKUP(A467,Internal_lists_bugs!$A$2:$C$73,3,FALSE()), VLOOKUP(A467,Internal_lists_bugs!$A$2:$C$73,3,FALSE())&amp;Char(10) &amp; Char(10) &amp; VLOOKUP(A467,Internal_lists_bugs!$A$2:$Z$73,26,FALSE())),"please select a BUG ID")</f>
        <v>please select a BUG ID</v>
      </c>
      <c r="C467" s="89" t="str">
        <f>IFERROR(VLOOKUP(A467,Internal_lists_bugs!$A$2:$X1013,24,FALSE()),"please select a BUG ID")</f>
        <v>please select a BUG ID</v>
      </c>
      <c r="E467" s="82"/>
      <c r="F467" s="80"/>
      <c r="H467" s="82"/>
      <c r="I467" s="80"/>
      <c r="J467" s="51" t="str">
        <f>IFERROR(Hyperlink(VLOOKUP(A467,Internal_lists_bugs!$A$2:$G1013,7,FALSE()),"BIC: "&amp;VLOOKUP(A467,Internal_lists_bugs!$A$2:$G1013,7,FALSE())&amp;CHAR(10)&amp;"Intro.Issues: "&amp;VLOOKUP(A467,Internal_lists_bugs!$A$2:$P1013,16,FALSE())),"please select a BUG ID")</f>
        <v>please select a BUG ID</v>
      </c>
    </row>
    <row r="468">
      <c r="A468" s="54"/>
      <c r="B468" s="88" t="str">
        <f>IFERROR(HYPERLINK(VLOOKUP(A468,Internal_lists_bugs!$A$2:$C$73,3,FALSE()), VLOOKUP(A468,Internal_lists_bugs!$A$2:$C$73,3,FALSE())&amp;Char(10) &amp; Char(10) &amp; VLOOKUP(A468,Internal_lists_bugs!$A$2:$Z$73,26,FALSE())),"please select a BUG ID")</f>
        <v>please select a BUG ID</v>
      </c>
      <c r="C468" s="89" t="str">
        <f>IFERROR(VLOOKUP(A468,Internal_lists_bugs!$A$2:$X1013,24,FALSE()),"please select a BUG ID")</f>
        <v>please select a BUG ID</v>
      </c>
      <c r="E468" s="82"/>
      <c r="F468" s="80"/>
      <c r="H468" s="82"/>
      <c r="I468" s="80"/>
      <c r="J468" s="51" t="str">
        <f>IFERROR(Hyperlink(VLOOKUP(A468,Internal_lists_bugs!$A$2:$G1013,7,FALSE()),"BIC: "&amp;VLOOKUP(A468,Internal_lists_bugs!$A$2:$G1013,7,FALSE())&amp;CHAR(10)&amp;"Intro.Issues: "&amp;VLOOKUP(A468,Internal_lists_bugs!$A$2:$P1013,16,FALSE())),"please select a BUG ID")</f>
        <v>please select a BUG ID</v>
      </c>
    </row>
    <row r="469">
      <c r="A469" s="54"/>
      <c r="B469" s="88" t="str">
        <f>IFERROR(HYPERLINK(VLOOKUP(A469,Internal_lists_bugs!$A$2:$C$73,3,FALSE()), VLOOKUP(A469,Internal_lists_bugs!$A$2:$C$73,3,FALSE())&amp;Char(10) &amp; Char(10) &amp; VLOOKUP(A469,Internal_lists_bugs!$A$2:$Z$73,26,FALSE())),"please select a BUG ID")</f>
        <v>please select a BUG ID</v>
      </c>
      <c r="C469" s="89" t="str">
        <f>IFERROR(VLOOKUP(A469,Internal_lists_bugs!$A$2:$X1013,24,FALSE()),"please select a BUG ID")</f>
        <v>please select a BUG ID</v>
      </c>
      <c r="E469" s="82"/>
      <c r="F469" s="80"/>
      <c r="H469" s="82"/>
      <c r="I469" s="80"/>
      <c r="J469" s="51" t="str">
        <f>IFERROR(Hyperlink(VLOOKUP(A469,Internal_lists_bugs!$A$2:$G1013,7,FALSE()),"BIC: "&amp;VLOOKUP(A469,Internal_lists_bugs!$A$2:$G1013,7,FALSE())&amp;CHAR(10)&amp;"Intro.Issues: "&amp;VLOOKUP(A469,Internal_lists_bugs!$A$2:$P1013,16,FALSE())),"please select a BUG ID")</f>
        <v>please select a BUG ID</v>
      </c>
    </row>
    <row r="470">
      <c r="A470" s="54"/>
      <c r="B470" s="88" t="str">
        <f>IFERROR(HYPERLINK(VLOOKUP(A470,Internal_lists_bugs!$A$2:$C$73,3,FALSE()), VLOOKUP(A470,Internal_lists_bugs!$A$2:$C$73,3,FALSE())&amp;Char(10) &amp; Char(10) &amp; VLOOKUP(A470,Internal_lists_bugs!$A$2:$Z$73,26,FALSE())),"please select a BUG ID")</f>
        <v>please select a BUG ID</v>
      </c>
      <c r="C470" s="89" t="str">
        <f>IFERROR(VLOOKUP(A470,Internal_lists_bugs!$A$2:$X1013,24,FALSE()),"please select a BUG ID")</f>
        <v>please select a BUG ID</v>
      </c>
      <c r="E470" s="82"/>
      <c r="F470" s="80"/>
      <c r="H470" s="82"/>
      <c r="I470" s="80"/>
      <c r="J470" s="51" t="str">
        <f>IFERROR(Hyperlink(VLOOKUP(A470,Internal_lists_bugs!$A$2:$G1013,7,FALSE()),"BIC: "&amp;VLOOKUP(A470,Internal_lists_bugs!$A$2:$G1013,7,FALSE())&amp;CHAR(10)&amp;"Intro.Issues: "&amp;VLOOKUP(A470,Internal_lists_bugs!$A$2:$P1013,16,FALSE())),"please select a BUG ID")</f>
        <v>please select a BUG ID</v>
      </c>
    </row>
    <row r="471">
      <c r="A471" s="54"/>
      <c r="B471" s="88" t="str">
        <f>IFERROR(HYPERLINK(VLOOKUP(A471,Internal_lists_bugs!$A$2:$C$73,3,FALSE()), VLOOKUP(A471,Internal_lists_bugs!$A$2:$C$73,3,FALSE())&amp;Char(10) &amp; Char(10) &amp; VLOOKUP(A471,Internal_lists_bugs!$A$2:$Z$73,26,FALSE())),"please select a BUG ID")</f>
        <v>please select a BUG ID</v>
      </c>
      <c r="C471" s="89" t="str">
        <f>IFERROR(VLOOKUP(A471,Internal_lists_bugs!$A$2:$X1013,24,FALSE()),"please select a BUG ID")</f>
        <v>please select a BUG ID</v>
      </c>
      <c r="E471" s="82"/>
      <c r="F471" s="80"/>
      <c r="H471" s="82"/>
      <c r="I471" s="80"/>
      <c r="J471" s="51" t="str">
        <f>IFERROR(Hyperlink(VLOOKUP(A471,Internal_lists_bugs!$A$2:$G1013,7,FALSE()),"BIC: "&amp;VLOOKUP(A471,Internal_lists_bugs!$A$2:$G1013,7,FALSE())&amp;CHAR(10)&amp;"Intro.Issues: "&amp;VLOOKUP(A471,Internal_lists_bugs!$A$2:$P1013,16,FALSE())),"please select a BUG ID")</f>
        <v>please select a BUG ID</v>
      </c>
    </row>
    <row r="472">
      <c r="A472" s="54"/>
      <c r="B472" s="88" t="str">
        <f>IFERROR(HYPERLINK(VLOOKUP(A472,Internal_lists_bugs!$A$2:$C$73,3,FALSE()), VLOOKUP(A472,Internal_lists_bugs!$A$2:$C$73,3,FALSE())&amp;Char(10) &amp; Char(10) &amp; VLOOKUP(A472,Internal_lists_bugs!$A$2:$Z$73,26,FALSE())),"please select a BUG ID")</f>
        <v>please select a BUG ID</v>
      </c>
      <c r="C472" s="89" t="str">
        <f>IFERROR(VLOOKUP(A472,Internal_lists_bugs!$A$2:$X1013,24,FALSE()),"please select a BUG ID")</f>
        <v>please select a BUG ID</v>
      </c>
      <c r="E472" s="82"/>
      <c r="F472" s="80"/>
      <c r="H472" s="82"/>
      <c r="I472" s="80"/>
      <c r="J472" s="51" t="str">
        <f>IFERROR(Hyperlink(VLOOKUP(A472,Internal_lists_bugs!$A$2:$G1013,7,FALSE()),"BIC: "&amp;VLOOKUP(A472,Internal_lists_bugs!$A$2:$G1013,7,FALSE())&amp;CHAR(10)&amp;"Intro.Issues: "&amp;VLOOKUP(A472,Internal_lists_bugs!$A$2:$P1013,16,FALSE())),"please select a BUG ID")</f>
        <v>please select a BUG ID</v>
      </c>
    </row>
    <row r="473">
      <c r="A473" s="54"/>
      <c r="B473" s="88" t="str">
        <f>IFERROR(HYPERLINK(VLOOKUP(A473,Internal_lists_bugs!$A$2:$C$73,3,FALSE()), VLOOKUP(A473,Internal_lists_bugs!$A$2:$C$73,3,FALSE())&amp;Char(10) &amp; Char(10) &amp; VLOOKUP(A473,Internal_lists_bugs!$A$2:$Z$73,26,FALSE())),"please select a BUG ID")</f>
        <v>please select a BUG ID</v>
      </c>
      <c r="C473" s="89" t="str">
        <f>IFERROR(VLOOKUP(A473,Internal_lists_bugs!$A$2:$X1013,24,FALSE()),"please select a BUG ID")</f>
        <v>please select a BUG ID</v>
      </c>
      <c r="E473" s="82"/>
      <c r="F473" s="80"/>
      <c r="H473" s="82"/>
      <c r="I473" s="80"/>
      <c r="J473" s="51" t="str">
        <f>IFERROR(Hyperlink(VLOOKUP(A473,Internal_lists_bugs!$A$2:$G1013,7,FALSE()),"BIC: "&amp;VLOOKUP(A473,Internal_lists_bugs!$A$2:$G1013,7,FALSE())&amp;CHAR(10)&amp;"Intro.Issues: "&amp;VLOOKUP(A473,Internal_lists_bugs!$A$2:$P1013,16,FALSE())),"please select a BUG ID")</f>
        <v>please select a BUG ID</v>
      </c>
    </row>
    <row r="474">
      <c r="A474" s="54"/>
      <c r="B474" s="88" t="str">
        <f>IFERROR(HYPERLINK(VLOOKUP(A474,Internal_lists_bugs!$A$2:$C$73,3,FALSE()), VLOOKUP(A474,Internal_lists_bugs!$A$2:$C$73,3,FALSE())&amp;Char(10) &amp; Char(10) &amp; VLOOKUP(A474,Internal_lists_bugs!$A$2:$Z$73,26,FALSE())),"please select a BUG ID")</f>
        <v>please select a BUG ID</v>
      </c>
      <c r="C474" s="89" t="str">
        <f>IFERROR(VLOOKUP(A474,Internal_lists_bugs!$A$2:$X1013,24,FALSE()),"please select a BUG ID")</f>
        <v>please select a BUG ID</v>
      </c>
      <c r="E474" s="82"/>
      <c r="F474" s="80"/>
      <c r="H474" s="82"/>
      <c r="I474" s="80"/>
      <c r="J474" s="51" t="str">
        <f>IFERROR(Hyperlink(VLOOKUP(A474,Internal_lists_bugs!$A$2:$G1013,7,FALSE()),"BIC: "&amp;VLOOKUP(A474,Internal_lists_bugs!$A$2:$G1013,7,FALSE())&amp;CHAR(10)&amp;"Intro.Issues: "&amp;VLOOKUP(A474,Internal_lists_bugs!$A$2:$P1013,16,FALSE())),"please select a BUG ID")</f>
        <v>please select a BUG ID</v>
      </c>
    </row>
    <row r="475">
      <c r="A475" s="54"/>
      <c r="B475" s="88" t="str">
        <f>IFERROR(HYPERLINK(VLOOKUP(A475,Internal_lists_bugs!$A$2:$C$73,3,FALSE()), VLOOKUP(A475,Internal_lists_bugs!$A$2:$C$73,3,FALSE())&amp;Char(10) &amp; Char(10) &amp; VLOOKUP(A475,Internal_lists_bugs!$A$2:$Z$73,26,FALSE())),"please select a BUG ID")</f>
        <v>please select a BUG ID</v>
      </c>
      <c r="C475" s="89" t="str">
        <f>IFERROR(VLOOKUP(A475,Internal_lists_bugs!$A$2:$X1013,24,FALSE()),"please select a BUG ID")</f>
        <v>please select a BUG ID</v>
      </c>
      <c r="E475" s="82"/>
      <c r="F475" s="80"/>
      <c r="H475" s="82"/>
      <c r="I475" s="80"/>
      <c r="J475" s="51" t="str">
        <f>IFERROR(Hyperlink(VLOOKUP(A475,Internal_lists_bugs!$A$2:$G1013,7,FALSE()),"BIC: "&amp;VLOOKUP(A475,Internal_lists_bugs!$A$2:$G1013,7,FALSE())&amp;CHAR(10)&amp;"Intro.Issues: "&amp;VLOOKUP(A475,Internal_lists_bugs!$A$2:$P1013,16,FALSE())),"please select a BUG ID")</f>
        <v>please select a BUG ID</v>
      </c>
    </row>
    <row r="476">
      <c r="A476" s="54"/>
      <c r="B476" s="88" t="str">
        <f>IFERROR(HYPERLINK(VLOOKUP(A476,Internal_lists_bugs!$A$2:$C$73,3,FALSE()), VLOOKUP(A476,Internal_lists_bugs!$A$2:$C$73,3,FALSE())&amp;Char(10) &amp; Char(10) &amp; VLOOKUP(A476,Internal_lists_bugs!$A$2:$Z$73,26,FALSE())),"please select a BUG ID")</f>
        <v>please select a BUG ID</v>
      </c>
      <c r="C476" s="89" t="str">
        <f>IFERROR(VLOOKUP(A476,Internal_lists_bugs!$A$2:$X1013,24,FALSE()),"please select a BUG ID")</f>
        <v>please select a BUG ID</v>
      </c>
      <c r="E476" s="82"/>
      <c r="F476" s="80"/>
      <c r="H476" s="82"/>
      <c r="I476" s="80"/>
      <c r="J476" s="51" t="str">
        <f>IFERROR(Hyperlink(VLOOKUP(A476,Internal_lists_bugs!$A$2:$G1013,7,FALSE()),"BIC: "&amp;VLOOKUP(A476,Internal_lists_bugs!$A$2:$G1013,7,FALSE())&amp;CHAR(10)&amp;"Intro.Issues: "&amp;VLOOKUP(A476,Internal_lists_bugs!$A$2:$P1013,16,FALSE())),"please select a BUG ID")</f>
        <v>please select a BUG ID</v>
      </c>
    </row>
    <row r="477">
      <c r="A477" s="54"/>
      <c r="B477" s="88" t="str">
        <f>IFERROR(HYPERLINK(VLOOKUP(A477,Internal_lists_bugs!$A$2:$C$73,3,FALSE()), VLOOKUP(A477,Internal_lists_bugs!$A$2:$C$73,3,FALSE())&amp;Char(10) &amp; Char(10) &amp; VLOOKUP(A477,Internal_lists_bugs!$A$2:$Z$73,26,FALSE())),"please select a BUG ID")</f>
        <v>please select a BUG ID</v>
      </c>
      <c r="C477" s="89" t="str">
        <f>IFERROR(VLOOKUP(A477,Internal_lists_bugs!$A$2:$X1013,24,FALSE()),"please select a BUG ID")</f>
        <v>please select a BUG ID</v>
      </c>
      <c r="E477" s="82"/>
      <c r="F477" s="80"/>
      <c r="H477" s="82"/>
      <c r="I477" s="80"/>
      <c r="J477" s="51" t="str">
        <f>IFERROR(Hyperlink(VLOOKUP(A477,Internal_lists_bugs!$A$2:$G1013,7,FALSE()),"BIC: "&amp;VLOOKUP(A477,Internal_lists_bugs!$A$2:$G1013,7,FALSE())&amp;CHAR(10)&amp;"Intro.Issues: "&amp;VLOOKUP(A477,Internal_lists_bugs!$A$2:$P1013,16,FALSE())),"please select a BUG ID")</f>
        <v>please select a BUG ID</v>
      </c>
    </row>
    <row r="478">
      <c r="A478" s="54"/>
      <c r="B478" s="88" t="str">
        <f>IFERROR(HYPERLINK(VLOOKUP(A478,Internal_lists_bugs!$A$2:$C$73,3,FALSE()), VLOOKUP(A478,Internal_lists_bugs!$A$2:$C$73,3,FALSE())&amp;Char(10) &amp; Char(10) &amp; VLOOKUP(A478,Internal_lists_bugs!$A$2:$Z$73,26,FALSE())),"please select a BUG ID")</f>
        <v>please select a BUG ID</v>
      </c>
      <c r="C478" s="89" t="str">
        <f>IFERROR(VLOOKUP(A478,Internal_lists_bugs!$A$2:$X1013,24,FALSE()),"please select a BUG ID")</f>
        <v>please select a BUG ID</v>
      </c>
      <c r="E478" s="82"/>
      <c r="F478" s="80"/>
      <c r="H478" s="82"/>
      <c r="I478" s="80"/>
      <c r="J478" s="51" t="str">
        <f>IFERROR(Hyperlink(VLOOKUP(A478,Internal_lists_bugs!$A$2:$G1013,7,FALSE()),"BIC: "&amp;VLOOKUP(A478,Internal_lists_bugs!$A$2:$G1013,7,FALSE())&amp;CHAR(10)&amp;"Intro.Issues: "&amp;VLOOKUP(A478,Internal_lists_bugs!$A$2:$P1013,16,FALSE())),"please select a BUG ID")</f>
        <v>please select a BUG ID</v>
      </c>
    </row>
    <row r="479">
      <c r="A479" s="54"/>
      <c r="B479" s="88" t="str">
        <f>IFERROR(HYPERLINK(VLOOKUP(A479,Internal_lists_bugs!$A$2:$C$73,3,FALSE()), VLOOKUP(A479,Internal_lists_bugs!$A$2:$C$73,3,FALSE())&amp;Char(10) &amp; Char(10) &amp; VLOOKUP(A479,Internal_lists_bugs!$A$2:$Z$73,26,FALSE())),"please select a BUG ID")</f>
        <v>please select a BUG ID</v>
      </c>
      <c r="C479" s="89" t="str">
        <f>IFERROR(VLOOKUP(A479,Internal_lists_bugs!$A$2:$X1013,24,FALSE()),"please select a BUG ID")</f>
        <v>please select a BUG ID</v>
      </c>
      <c r="E479" s="82"/>
      <c r="F479" s="80"/>
      <c r="H479" s="82"/>
      <c r="I479" s="80"/>
      <c r="J479" s="51" t="str">
        <f>IFERROR(Hyperlink(VLOOKUP(A479,Internal_lists_bugs!$A$2:$G1013,7,FALSE()),"BIC: "&amp;VLOOKUP(A479,Internal_lists_bugs!$A$2:$G1013,7,FALSE())&amp;CHAR(10)&amp;"Intro.Issues: "&amp;VLOOKUP(A479,Internal_lists_bugs!$A$2:$P1013,16,FALSE())),"please select a BUG ID")</f>
        <v>please select a BUG ID</v>
      </c>
    </row>
    <row r="480">
      <c r="A480" s="54"/>
      <c r="B480" s="88" t="str">
        <f>IFERROR(HYPERLINK(VLOOKUP(A480,Internal_lists_bugs!$A$2:$C$73,3,FALSE()), VLOOKUP(A480,Internal_lists_bugs!$A$2:$C$73,3,FALSE())&amp;Char(10) &amp; Char(10) &amp; VLOOKUP(A480,Internal_lists_bugs!$A$2:$Z$73,26,FALSE())),"please select a BUG ID")</f>
        <v>please select a BUG ID</v>
      </c>
      <c r="C480" s="89" t="str">
        <f>IFERROR(VLOOKUP(A480,Internal_lists_bugs!$A$2:$X1013,24,FALSE()),"please select a BUG ID")</f>
        <v>please select a BUG ID</v>
      </c>
      <c r="E480" s="82"/>
      <c r="F480" s="80"/>
      <c r="H480" s="82"/>
      <c r="I480" s="80"/>
      <c r="J480" s="51" t="str">
        <f>IFERROR(Hyperlink(VLOOKUP(A480,Internal_lists_bugs!$A$2:$G1013,7,FALSE()),"BIC: "&amp;VLOOKUP(A480,Internal_lists_bugs!$A$2:$G1013,7,FALSE())&amp;CHAR(10)&amp;"Intro.Issues: "&amp;VLOOKUP(A480,Internal_lists_bugs!$A$2:$P1013,16,FALSE())),"please select a BUG ID")</f>
        <v>please select a BUG ID</v>
      </c>
    </row>
    <row r="481">
      <c r="A481" s="54"/>
      <c r="B481" s="88" t="str">
        <f>IFERROR(HYPERLINK(VLOOKUP(A481,Internal_lists_bugs!$A$2:$C$73,3,FALSE()), VLOOKUP(A481,Internal_lists_bugs!$A$2:$C$73,3,FALSE())&amp;Char(10) &amp; Char(10) &amp; VLOOKUP(A481,Internal_lists_bugs!$A$2:$Z$73,26,FALSE())),"please select a BUG ID")</f>
        <v>please select a BUG ID</v>
      </c>
      <c r="C481" s="89" t="str">
        <f>IFERROR(VLOOKUP(A481,Internal_lists_bugs!$A$2:$X1013,24,FALSE()),"please select a BUG ID")</f>
        <v>please select a BUG ID</v>
      </c>
      <c r="E481" s="82"/>
      <c r="F481" s="80"/>
      <c r="H481" s="82"/>
      <c r="I481" s="80"/>
      <c r="J481" s="51" t="str">
        <f>IFERROR(Hyperlink(VLOOKUP(A481,Internal_lists_bugs!$A$2:$G1013,7,FALSE()),"BIC: "&amp;VLOOKUP(A481,Internal_lists_bugs!$A$2:$G1013,7,FALSE())&amp;CHAR(10)&amp;"Intro.Issues: "&amp;VLOOKUP(A481,Internal_lists_bugs!$A$2:$P1013,16,FALSE())),"please select a BUG ID")</f>
        <v>please select a BUG ID</v>
      </c>
    </row>
    <row r="482">
      <c r="A482" s="54"/>
      <c r="B482" s="88" t="str">
        <f>IFERROR(HYPERLINK(VLOOKUP(A482,Internal_lists_bugs!$A$2:$C$73,3,FALSE()), VLOOKUP(A482,Internal_lists_bugs!$A$2:$C$73,3,FALSE())&amp;Char(10) &amp; Char(10) &amp; VLOOKUP(A482,Internal_lists_bugs!$A$2:$Z$73,26,FALSE())),"please select a BUG ID")</f>
        <v>please select a BUG ID</v>
      </c>
      <c r="C482" s="89" t="str">
        <f>IFERROR(VLOOKUP(A482,Internal_lists_bugs!$A$2:$X1013,24,FALSE()),"please select a BUG ID")</f>
        <v>please select a BUG ID</v>
      </c>
      <c r="E482" s="82"/>
      <c r="F482" s="80"/>
      <c r="H482" s="82"/>
      <c r="I482" s="80"/>
      <c r="J482" s="51" t="str">
        <f>IFERROR(Hyperlink(VLOOKUP(A482,Internal_lists_bugs!$A$2:$G1013,7,FALSE()),"BIC: "&amp;VLOOKUP(A482,Internal_lists_bugs!$A$2:$G1013,7,FALSE())&amp;CHAR(10)&amp;"Intro.Issues: "&amp;VLOOKUP(A482,Internal_lists_bugs!$A$2:$P1013,16,FALSE())),"please select a BUG ID")</f>
        <v>please select a BUG ID</v>
      </c>
    </row>
    <row r="483">
      <c r="A483" s="54"/>
      <c r="B483" s="88" t="str">
        <f>IFERROR(HYPERLINK(VLOOKUP(A483,Internal_lists_bugs!$A$2:$C$73,3,FALSE()), VLOOKUP(A483,Internal_lists_bugs!$A$2:$C$73,3,FALSE())&amp;Char(10) &amp; Char(10) &amp; VLOOKUP(A483,Internal_lists_bugs!$A$2:$Z$73,26,FALSE())),"please select a BUG ID")</f>
        <v>please select a BUG ID</v>
      </c>
      <c r="C483" s="89" t="str">
        <f>IFERROR(VLOOKUP(A483,Internal_lists_bugs!$A$2:$X1013,24,FALSE()),"please select a BUG ID")</f>
        <v>please select a BUG ID</v>
      </c>
      <c r="E483" s="82"/>
      <c r="F483" s="80"/>
      <c r="H483" s="82"/>
      <c r="I483" s="80"/>
      <c r="J483" s="51" t="str">
        <f>IFERROR(Hyperlink(VLOOKUP(A483,Internal_lists_bugs!$A$2:$G1013,7,FALSE()),"BIC: "&amp;VLOOKUP(A483,Internal_lists_bugs!$A$2:$G1013,7,FALSE())&amp;CHAR(10)&amp;"Intro.Issues: "&amp;VLOOKUP(A483,Internal_lists_bugs!$A$2:$P1013,16,FALSE())),"please select a BUG ID")</f>
        <v>please select a BUG ID</v>
      </c>
    </row>
    <row r="484">
      <c r="A484" s="54"/>
      <c r="B484" s="88" t="str">
        <f>IFERROR(HYPERLINK(VLOOKUP(A484,Internal_lists_bugs!$A$2:$C$73,3,FALSE()), VLOOKUP(A484,Internal_lists_bugs!$A$2:$C$73,3,FALSE())&amp;Char(10) &amp; Char(10) &amp; VLOOKUP(A484,Internal_lists_bugs!$A$2:$Z$73,26,FALSE())),"please select a BUG ID")</f>
        <v>please select a BUG ID</v>
      </c>
      <c r="C484" s="89" t="str">
        <f>IFERROR(VLOOKUP(A484,Internal_lists_bugs!$A$2:$X1013,24,FALSE()),"please select a BUG ID")</f>
        <v>please select a BUG ID</v>
      </c>
      <c r="E484" s="82"/>
      <c r="F484" s="80"/>
      <c r="H484" s="82"/>
      <c r="I484" s="80"/>
      <c r="J484" s="51" t="str">
        <f>IFERROR(Hyperlink(VLOOKUP(A484,Internal_lists_bugs!$A$2:$G1013,7,FALSE()),"BIC: "&amp;VLOOKUP(A484,Internal_lists_bugs!$A$2:$G1013,7,FALSE())&amp;CHAR(10)&amp;"Intro.Issues: "&amp;VLOOKUP(A484,Internal_lists_bugs!$A$2:$P1013,16,FALSE())),"please select a BUG ID")</f>
        <v>please select a BUG ID</v>
      </c>
    </row>
    <row r="485">
      <c r="A485" s="54"/>
      <c r="B485" s="88" t="str">
        <f>IFERROR(HYPERLINK(VLOOKUP(A485,Internal_lists_bugs!$A$2:$C$73,3,FALSE()), VLOOKUP(A485,Internal_lists_bugs!$A$2:$C$73,3,FALSE())&amp;Char(10) &amp; Char(10) &amp; VLOOKUP(A485,Internal_lists_bugs!$A$2:$Z$73,26,FALSE())),"please select a BUG ID")</f>
        <v>please select a BUG ID</v>
      </c>
      <c r="C485" s="89" t="str">
        <f>IFERROR(VLOOKUP(A485,Internal_lists_bugs!$A$2:$X1013,24,FALSE()),"please select a BUG ID")</f>
        <v>please select a BUG ID</v>
      </c>
      <c r="E485" s="82"/>
      <c r="F485" s="80"/>
      <c r="H485" s="82"/>
      <c r="I485" s="80"/>
      <c r="J485" s="51" t="str">
        <f>IFERROR(Hyperlink(VLOOKUP(A485,Internal_lists_bugs!$A$2:$G1013,7,FALSE()),"BIC: "&amp;VLOOKUP(A485,Internal_lists_bugs!$A$2:$G1013,7,FALSE())&amp;CHAR(10)&amp;"Intro.Issues: "&amp;VLOOKUP(A485,Internal_lists_bugs!$A$2:$P1013,16,FALSE())),"please select a BUG ID")</f>
        <v>please select a BUG ID</v>
      </c>
    </row>
    <row r="486">
      <c r="A486" s="54"/>
      <c r="B486" s="88" t="str">
        <f>IFERROR(HYPERLINK(VLOOKUP(A486,Internal_lists_bugs!$A$2:$C$73,3,FALSE()), VLOOKUP(A486,Internal_lists_bugs!$A$2:$C$73,3,FALSE())&amp;Char(10) &amp; Char(10) &amp; VLOOKUP(A486,Internal_lists_bugs!$A$2:$Z$73,26,FALSE())),"please select a BUG ID")</f>
        <v>please select a BUG ID</v>
      </c>
      <c r="C486" s="89" t="str">
        <f>IFERROR(VLOOKUP(A486,Internal_lists_bugs!$A$2:$X1013,24,FALSE()),"please select a BUG ID")</f>
        <v>please select a BUG ID</v>
      </c>
      <c r="E486" s="82"/>
      <c r="F486" s="80"/>
      <c r="H486" s="82"/>
      <c r="I486" s="80"/>
      <c r="J486" s="51" t="str">
        <f>IFERROR(Hyperlink(VLOOKUP(A486,Internal_lists_bugs!$A$2:$G1013,7,FALSE()),"BIC: "&amp;VLOOKUP(A486,Internal_lists_bugs!$A$2:$G1013,7,FALSE())&amp;CHAR(10)&amp;"Intro.Issues: "&amp;VLOOKUP(A486,Internal_lists_bugs!$A$2:$P1013,16,FALSE())),"please select a BUG ID")</f>
        <v>please select a BUG ID</v>
      </c>
    </row>
    <row r="487">
      <c r="A487" s="54"/>
      <c r="B487" s="88" t="str">
        <f>IFERROR(HYPERLINK(VLOOKUP(A487,Internal_lists_bugs!$A$2:$C$73,3,FALSE()), VLOOKUP(A487,Internal_lists_bugs!$A$2:$C$73,3,FALSE())&amp;Char(10) &amp; Char(10) &amp; VLOOKUP(A487,Internal_lists_bugs!$A$2:$Z$73,26,FALSE())),"please select a BUG ID")</f>
        <v>please select a BUG ID</v>
      </c>
      <c r="C487" s="89" t="str">
        <f>IFERROR(VLOOKUP(A487,Internal_lists_bugs!$A$2:$X1013,24,FALSE()),"please select a BUG ID")</f>
        <v>please select a BUG ID</v>
      </c>
      <c r="E487" s="82"/>
      <c r="F487" s="80"/>
      <c r="H487" s="82"/>
      <c r="I487" s="80"/>
      <c r="J487" s="51" t="str">
        <f>IFERROR(Hyperlink(VLOOKUP(A487,Internal_lists_bugs!$A$2:$G1013,7,FALSE()),"BIC: "&amp;VLOOKUP(A487,Internal_lists_bugs!$A$2:$G1013,7,FALSE())&amp;CHAR(10)&amp;"Intro.Issues: "&amp;VLOOKUP(A487,Internal_lists_bugs!$A$2:$P1013,16,FALSE())),"please select a BUG ID")</f>
        <v>please select a BUG ID</v>
      </c>
    </row>
    <row r="488">
      <c r="A488" s="54"/>
      <c r="B488" s="88" t="str">
        <f>IFERROR(HYPERLINK(VLOOKUP(A488,Internal_lists_bugs!$A$2:$C$73,3,FALSE()), VLOOKUP(A488,Internal_lists_bugs!$A$2:$C$73,3,FALSE())&amp;Char(10) &amp; Char(10) &amp; VLOOKUP(A488,Internal_lists_bugs!$A$2:$Z$73,26,FALSE())),"please select a BUG ID")</f>
        <v>please select a BUG ID</v>
      </c>
      <c r="C488" s="89" t="str">
        <f>IFERROR(VLOOKUP(A488,Internal_lists_bugs!$A$2:$X1013,24,FALSE()),"please select a BUG ID")</f>
        <v>please select a BUG ID</v>
      </c>
      <c r="E488" s="82"/>
      <c r="F488" s="80"/>
      <c r="H488" s="82"/>
      <c r="I488" s="80"/>
      <c r="J488" s="51" t="str">
        <f>IFERROR(Hyperlink(VLOOKUP(A488,Internal_lists_bugs!$A$2:$G1013,7,FALSE()),"BIC: "&amp;VLOOKUP(A488,Internal_lists_bugs!$A$2:$G1013,7,FALSE())&amp;CHAR(10)&amp;"Intro.Issues: "&amp;VLOOKUP(A488,Internal_lists_bugs!$A$2:$P1013,16,FALSE())),"please select a BUG ID")</f>
        <v>please select a BUG ID</v>
      </c>
    </row>
    <row r="489">
      <c r="A489" s="54"/>
      <c r="B489" s="88" t="str">
        <f>IFERROR(HYPERLINK(VLOOKUP(A489,Internal_lists_bugs!$A$2:$C$73,3,FALSE()), VLOOKUP(A489,Internal_lists_bugs!$A$2:$C$73,3,FALSE())&amp;Char(10) &amp; Char(10) &amp; VLOOKUP(A489,Internal_lists_bugs!$A$2:$Z$73,26,FALSE())),"please select a BUG ID")</f>
        <v>please select a BUG ID</v>
      </c>
      <c r="C489" s="89" t="str">
        <f>IFERROR(VLOOKUP(A489,Internal_lists_bugs!$A$2:$X1013,24,FALSE()),"please select a BUG ID")</f>
        <v>please select a BUG ID</v>
      </c>
      <c r="E489" s="82"/>
      <c r="F489" s="80"/>
      <c r="H489" s="82"/>
      <c r="I489" s="80"/>
      <c r="J489" s="51" t="str">
        <f>IFERROR(Hyperlink(VLOOKUP(A489,Internal_lists_bugs!$A$2:$G1013,7,FALSE()),"BIC: "&amp;VLOOKUP(A489,Internal_lists_bugs!$A$2:$G1013,7,FALSE())&amp;CHAR(10)&amp;"Intro.Issues: "&amp;VLOOKUP(A489,Internal_lists_bugs!$A$2:$P1013,16,FALSE())),"please select a BUG ID")</f>
        <v>please select a BUG ID</v>
      </c>
    </row>
    <row r="490">
      <c r="A490" s="54"/>
      <c r="B490" s="88" t="str">
        <f>IFERROR(HYPERLINK(VLOOKUP(A490,Internal_lists_bugs!$A$2:$C$73,3,FALSE()), VLOOKUP(A490,Internal_lists_bugs!$A$2:$C$73,3,FALSE())&amp;Char(10) &amp; Char(10) &amp; VLOOKUP(A490,Internal_lists_bugs!$A$2:$Z$73,26,FALSE())),"please select a BUG ID")</f>
        <v>please select a BUG ID</v>
      </c>
      <c r="C490" s="89" t="str">
        <f>IFERROR(VLOOKUP(A490,Internal_lists_bugs!$A$2:$X1013,24,FALSE()),"please select a BUG ID")</f>
        <v>please select a BUG ID</v>
      </c>
      <c r="E490" s="82"/>
      <c r="F490" s="80"/>
      <c r="H490" s="82"/>
      <c r="I490" s="80"/>
      <c r="J490" s="51" t="str">
        <f>IFERROR(Hyperlink(VLOOKUP(A490,Internal_lists_bugs!$A$2:$G1013,7,FALSE()),"BIC: "&amp;VLOOKUP(A490,Internal_lists_bugs!$A$2:$G1013,7,FALSE())&amp;CHAR(10)&amp;"Intro.Issues: "&amp;VLOOKUP(A490,Internal_lists_bugs!$A$2:$P1013,16,FALSE())),"please select a BUG ID")</f>
        <v>please select a BUG ID</v>
      </c>
    </row>
    <row r="491">
      <c r="A491" s="54"/>
      <c r="B491" s="88" t="str">
        <f>IFERROR(HYPERLINK(VLOOKUP(A491,Internal_lists_bugs!$A$2:$C$73,3,FALSE()), VLOOKUP(A491,Internal_lists_bugs!$A$2:$C$73,3,FALSE())&amp;Char(10) &amp; Char(10) &amp; VLOOKUP(A491,Internal_lists_bugs!$A$2:$Z$73,26,FALSE())),"please select a BUG ID")</f>
        <v>please select a BUG ID</v>
      </c>
      <c r="C491" s="89" t="str">
        <f>IFERROR(VLOOKUP(A491,Internal_lists_bugs!$A$2:$X1013,24,FALSE()),"please select a BUG ID")</f>
        <v>please select a BUG ID</v>
      </c>
      <c r="E491" s="82"/>
      <c r="F491" s="80"/>
      <c r="H491" s="82"/>
      <c r="I491" s="80"/>
      <c r="J491" s="51" t="str">
        <f>IFERROR(Hyperlink(VLOOKUP(A491,Internal_lists_bugs!$A$2:$G1013,7,FALSE()),"BIC: "&amp;VLOOKUP(A491,Internal_lists_bugs!$A$2:$G1013,7,FALSE())&amp;CHAR(10)&amp;"Intro.Issues: "&amp;VLOOKUP(A491,Internal_lists_bugs!$A$2:$P1013,16,FALSE())),"please select a BUG ID")</f>
        <v>please select a BUG ID</v>
      </c>
    </row>
    <row r="492">
      <c r="A492" s="54"/>
      <c r="B492" s="88" t="str">
        <f>IFERROR(HYPERLINK(VLOOKUP(A492,Internal_lists_bugs!$A$2:$C$73,3,FALSE()), VLOOKUP(A492,Internal_lists_bugs!$A$2:$C$73,3,FALSE())&amp;Char(10) &amp; Char(10) &amp; VLOOKUP(A492,Internal_lists_bugs!$A$2:$Z$73,26,FALSE())),"please select a BUG ID")</f>
        <v>please select a BUG ID</v>
      </c>
      <c r="C492" s="89" t="str">
        <f>IFERROR(VLOOKUP(A492,Internal_lists_bugs!$A$2:$X1013,24,FALSE()),"please select a BUG ID")</f>
        <v>please select a BUG ID</v>
      </c>
      <c r="E492" s="82"/>
      <c r="F492" s="80"/>
      <c r="H492" s="82"/>
      <c r="I492" s="80"/>
      <c r="J492" s="51" t="str">
        <f>IFERROR(Hyperlink(VLOOKUP(A492,Internal_lists_bugs!$A$2:$G1013,7,FALSE()),"BIC: "&amp;VLOOKUP(A492,Internal_lists_bugs!$A$2:$G1013,7,FALSE())&amp;CHAR(10)&amp;"Intro.Issues: "&amp;VLOOKUP(A492,Internal_lists_bugs!$A$2:$P1013,16,FALSE())),"please select a BUG ID")</f>
        <v>please select a BUG ID</v>
      </c>
    </row>
    <row r="493">
      <c r="A493" s="54"/>
      <c r="B493" s="88" t="str">
        <f>IFERROR(HYPERLINK(VLOOKUP(A493,Internal_lists_bugs!$A$2:$C$73,3,FALSE()), VLOOKUP(A493,Internal_lists_bugs!$A$2:$C$73,3,FALSE())&amp;Char(10) &amp; Char(10) &amp; VLOOKUP(A493,Internal_lists_bugs!$A$2:$Z$73,26,FALSE())),"please select a BUG ID")</f>
        <v>please select a BUG ID</v>
      </c>
      <c r="C493" s="89" t="str">
        <f>IFERROR(VLOOKUP(A493,Internal_lists_bugs!$A$2:$X1013,24,FALSE()),"please select a BUG ID")</f>
        <v>please select a BUG ID</v>
      </c>
      <c r="E493" s="82"/>
      <c r="F493" s="80"/>
      <c r="H493" s="82"/>
      <c r="I493" s="80"/>
      <c r="J493" s="51" t="str">
        <f>IFERROR(Hyperlink(VLOOKUP(A493,Internal_lists_bugs!$A$2:$G1013,7,FALSE()),"BIC: "&amp;VLOOKUP(A493,Internal_lists_bugs!$A$2:$G1013,7,FALSE())&amp;CHAR(10)&amp;"Intro.Issues: "&amp;VLOOKUP(A493,Internal_lists_bugs!$A$2:$P1013,16,FALSE())),"please select a BUG ID")</f>
        <v>please select a BUG ID</v>
      </c>
    </row>
    <row r="494">
      <c r="A494" s="54"/>
      <c r="B494" s="88" t="str">
        <f>IFERROR(HYPERLINK(VLOOKUP(A494,Internal_lists_bugs!$A$2:$C$73,3,FALSE()), VLOOKUP(A494,Internal_lists_bugs!$A$2:$C$73,3,FALSE())&amp;Char(10) &amp; Char(10) &amp; VLOOKUP(A494,Internal_lists_bugs!$A$2:$Z$73,26,FALSE())),"please select a BUG ID")</f>
        <v>please select a BUG ID</v>
      </c>
      <c r="C494" s="89" t="str">
        <f>IFERROR(VLOOKUP(A494,Internal_lists_bugs!$A$2:$X1013,24,FALSE()),"please select a BUG ID")</f>
        <v>please select a BUG ID</v>
      </c>
      <c r="E494" s="82"/>
      <c r="F494" s="80"/>
      <c r="H494" s="82"/>
      <c r="I494" s="80"/>
      <c r="J494" s="51" t="str">
        <f>IFERROR(Hyperlink(VLOOKUP(A494,Internal_lists_bugs!$A$2:$G1013,7,FALSE()),"BIC: "&amp;VLOOKUP(A494,Internal_lists_bugs!$A$2:$G1013,7,FALSE())&amp;CHAR(10)&amp;"Intro.Issues: "&amp;VLOOKUP(A494,Internal_lists_bugs!$A$2:$P1013,16,FALSE())),"please select a BUG ID")</f>
        <v>please select a BUG ID</v>
      </c>
    </row>
    <row r="495">
      <c r="A495" s="54"/>
      <c r="B495" s="88" t="str">
        <f>IFERROR(HYPERLINK(VLOOKUP(A495,Internal_lists_bugs!$A$2:$C$73,3,FALSE()), VLOOKUP(A495,Internal_lists_bugs!$A$2:$C$73,3,FALSE())&amp;Char(10) &amp; Char(10) &amp; VLOOKUP(A495,Internal_lists_bugs!$A$2:$Z$73,26,FALSE())),"please select a BUG ID")</f>
        <v>please select a BUG ID</v>
      </c>
      <c r="C495" s="89" t="str">
        <f>IFERROR(VLOOKUP(A495,Internal_lists_bugs!$A$2:$X1013,24,FALSE()),"please select a BUG ID")</f>
        <v>please select a BUG ID</v>
      </c>
      <c r="E495" s="82"/>
      <c r="F495" s="80"/>
      <c r="H495" s="82"/>
      <c r="I495" s="80"/>
      <c r="J495" s="51" t="str">
        <f>IFERROR(Hyperlink(VLOOKUP(A495,Internal_lists_bugs!$A$2:$G1013,7,FALSE()),"BIC: "&amp;VLOOKUP(A495,Internal_lists_bugs!$A$2:$G1013,7,FALSE())&amp;CHAR(10)&amp;"Intro.Issues: "&amp;VLOOKUP(A495,Internal_lists_bugs!$A$2:$P1013,16,FALSE())),"please select a BUG ID")</f>
        <v>please select a BUG ID</v>
      </c>
    </row>
    <row r="496">
      <c r="A496" s="54"/>
      <c r="B496" s="88" t="str">
        <f>IFERROR(HYPERLINK(VLOOKUP(A496,Internal_lists_bugs!$A$2:$C$73,3,FALSE()), VLOOKUP(A496,Internal_lists_bugs!$A$2:$C$73,3,FALSE())&amp;Char(10) &amp; Char(10) &amp; VLOOKUP(A496,Internal_lists_bugs!$A$2:$Z$73,26,FALSE())),"please select a BUG ID")</f>
        <v>please select a BUG ID</v>
      </c>
      <c r="C496" s="89" t="str">
        <f>IFERROR(VLOOKUP(A496,Internal_lists_bugs!$A$2:$X1013,24,FALSE()),"please select a BUG ID")</f>
        <v>please select a BUG ID</v>
      </c>
      <c r="E496" s="82"/>
      <c r="F496" s="80"/>
      <c r="H496" s="82"/>
      <c r="I496" s="80"/>
      <c r="J496" s="51" t="str">
        <f>IFERROR(Hyperlink(VLOOKUP(A496,Internal_lists_bugs!$A$2:$G1013,7,FALSE()),"BIC: "&amp;VLOOKUP(A496,Internal_lists_bugs!$A$2:$G1013,7,FALSE())&amp;CHAR(10)&amp;"Intro.Issues: "&amp;VLOOKUP(A496,Internal_lists_bugs!$A$2:$P1013,16,FALSE())),"please select a BUG ID")</f>
        <v>please select a BUG ID</v>
      </c>
    </row>
    <row r="497">
      <c r="A497" s="54"/>
      <c r="B497" s="88" t="str">
        <f>IFERROR(HYPERLINK(VLOOKUP(A497,Internal_lists_bugs!$A$2:$C$73,3,FALSE()), VLOOKUP(A497,Internal_lists_bugs!$A$2:$C$73,3,FALSE())&amp;Char(10) &amp; Char(10) &amp; VLOOKUP(A497,Internal_lists_bugs!$A$2:$Z$73,26,FALSE())),"please select a BUG ID")</f>
        <v>please select a BUG ID</v>
      </c>
      <c r="C497" s="89" t="str">
        <f>IFERROR(VLOOKUP(A497,Internal_lists_bugs!$A$2:$X1013,24,FALSE()),"please select a BUG ID")</f>
        <v>please select a BUG ID</v>
      </c>
      <c r="E497" s="82"/>
      <c r="F497" s="80"/>
      <c r="H497" s="82"/>
      <c r="I497" s="80"/>
      <c r="J497" s="51" t="str">
        <f>IFERROR(Hyperlink(VLOOKUP(A497,Internal_lists_bugs!$A$2:$G1013,7,FALSE()),"BIC: "&amp;VLOOKUP(A497,Internal_lists_bugs!$A$2:$G1013,7,FALSE())&amp;CHAR(10)&amp;"Intro.Issues: "&amp;VLOOKUP(A497,Internal_lists_bugs!$A$2:$P1013,16,FALSE())),"please select a BUG ID")</f>
        <v>please select a BUG ID</v>
      </c>
    </row>
    <row r="498">
      <c r="A498" s="54"/>
      <c r="B498" s="88" t="str">
        <f>IFERROR(HYPERLINK(VLOOKUP(A498,Internal_lists_bugs!$A$2:$C$73,3,FALSE()), VLOOKUP(A498,Internal_lists_bugs!$A$2:$C$73,3,FALSE())&amp;Char(10) &amp; Char(10) &amp; VLOOKUP(A498,Internal_lists_bugs!$A$2:$Z$73,26,FALSE())),"please select a BUG ID")</f>
        <v>please select a BUG ID</v>
      </c>
      <c r="C498" s="89" t="str">
        <f>IFERROR(VLOOKUP(A498,Internal_lists_bugs!$A$2:$X1013,24,FALSE()),"please select a BUG ID")</f>
        <v>please select a BUG ID</v>
      </c>
      <c r="E498" s="82"/>
      <c r="F498" s="80"/>
      <c r="H498" s="82"/>
      <c r="I498" s="80"/>
      <c r="J498" s="51" t="str">
        <f>IFERROR(Hyperlink(VLOOKUP(A498,Internal_lists_bugs!$A$2:$G1013,7,FALSE()),"BIC: "&amp;VLOOKUP(A498,Internal_lists_bugs!$A$2:$G1013,7,FALSE())&amp;CHAR(10)&amp;"Intro.Issues: "&amp;VLOOKUP(A498,Internal_lists_bugs!$A$2:$P1013,16,FALSE())),"please select a BUG ID")</f>
        <v>please select a BUG ID</v>
      </c>
    </row>
    <row r="499">
      <c r="A499" s="54"/>
      <c r="B499" s="88" t="str">
        <f>IFERROR(HYPERLINK(VLOOKUP(A499,Internal_lists_bugs!$A$2:$C$73,3,FALSE()), VLOOKUP(A499,Internal_lists_bugs!$A$2:$C$73,3,FALSE())&amp;Char(10) &amp; Char(10) &amp; VLOOKUP(A499,Internal_lists_bugs!$A$2:$Z$73,26,FALSE())),"please select a BUG ID")</f>
        <v>please select a BUG ID</v>
      </c>
      <c r="C499" s="89" t="str">
        <f>IFERROR(VLOOKUP(A499,Internal_lists_bugs!$A$2:$X1013,24,FALSE()),"please select a BUG ID")</f>
        <v>please select a BUG ID</v>
      </c>
      <c r="E499" s="82"/>
      <c r="F499" s="80"/>
      <c r="H499" s="82"/>
      <c r="I499" s="80"/>
      <c r="J499" s="51" t="str">
        <f>IFERROR(Hyperlink(VLOOKUP(A499,Internal_lists_bugs!$A$2:$G1013,7,FALSE()),"BIC: "&amp;VLOOKUP(A499,Internal_lists_bugs!$A$2:$G1013,7,FALSE())&amp;CHAR(10)&amp;"Intro.Issues: "&amp;VLOOKUP(A499,Internal_lists_bugs!$A$2:$P1013,16,FALSE())),"please select a BUG ID")</f>
        <v>please select a BUG ID</v>
      </c>
    </row>
    <row r="500">
      <c r="A500" s="54"/>
      <c r="B500" s="88" t="str">
        <f>IFERROR(HYPERLINK(VLOOKUP(A500,Internal_lists_bugs!$A$2:$C$73,3,FALSE()), VLOOKUP(A500,Internal_lists_bugs!$A$2:$C$73,3,FALSE())&amp;Char(10) &amp; Char(10) &amp; VLOOKUP(A500,Internal_lists_bugs!$A$2:$Z$73,26,FALSE())),"please select a BUG ID")</f>
        <v>please select a BUG ID</v>
      </c>
      <c r="C500" s="89" t="str">
        <f>IFERROR(VLOOKUP(A500,Internal_lists_bugs!$A$2:$X1013,24,FALSE()),"please select a BUG ID")</f>
        <v>please select a BUG ID</v>
      </c>
      <c r="E500" s="82"/>
      <c r="F500" s="80"/>
      <c r="H500" s="82"/>
      <c r="I500" s="80"/>
      <c r="J500" s="51" t="str">
        <f>IFERROR(Hyperlink(VLOOKUP(A500,Internal_lists_bugs!$A$2:$G1013,7,FALSE()),"BIC: "&amp;VLOOKUP(A500,Internal_lists_bugs!$A$2:$G1013,7,FALSE())&amp;CHAR(10)&amp;"Intro.Issues: "&amp;VLOOKUP(A500,Internal_lists_bugs!$A$2:$P1013,16,FALSE())),"please select a BUG ID")</f>
        <v>please select a BUG ID</v>
      </c>
    </row>
    <row r="501">
      <c r="A501" s="54"/>
      <c r="B501" s="88" t="str">
        <f>IFERROR(HYPERLINK(VLOOKUP(A501,Internal_lists_bugs!$A$2:$C$73,3,FALSE()), VLOOKUP(A501,Internal_lists_bugs!$A$2:$C$73,3,FALSE())&amp;Char(10) &amp; Char(10) &amp; VLOOKUP(A501,Internal_lists_bugs!$A$2:$Z$73,26,FALSE())),"please select a BUG ID")</f>
        <v>please select a BUG ID</v>
      </c>
      <c r="C501" s="89" t="str">
        <f>IFERROR(VLOOKUP(A501,Internal_lists_bugs!$A$2:$X1013,24,FALSE()),"please select a BUG ID")</f>
        <v>please select a BUG ID</v>
      </c>
      <c r="E501" s="82"/>
      <c r="F501" s="80"/>
      <c r="H501" s="82"/>
      <c r="I501" s="80"/>
      <c r="J501" s="51" t="str">
        <f>IFERROR(Hyperlink(VLOOKUP(A501,Internal_lists_bugs!$A$2:$G1013,7,FALSE()),"BIC: "&amp;VLOOKUP(A501,Internal_lists_bugs!$A$2:$G1013,7,FALSE())&amp;CHAR(10)&amp;"Intro.Issues: "&amp;VLOOKUP(A501,Internal_lists_bugs!$A$2:$P1013,16,FALSE())),"please select a BUG ID")</f>
        <v>please select a BUG ID</v>
      </c>
    </row>
    <row r="502">
      <c r="A502" s="54"/>
      <c r="B502" s="88" t="str">
        <f>IFERROR(HYPERLINK(VLOOKUP(A502,Internal_lists_bugs!$A$2:$C$73,3,FALSE()), VLOOKUP(A502,Internal_lists_bugs!$A$2:$C$73,3,FALSE())&amp;Char(10) &amp; Char(10) &amp; VLOOKUP(A502,Internal_lists_bugs!$A$2:$Z$73,26,FALSE())),"please select a BUG ID")</f>
        <v>please select a BUG ID</v>
      </c>
      <c r="C502" s="89" t="str">
        <f>IFERROR(VLOOKUP(A502,Internal_lists_bugs!$A$2:$X1013,24,FALSE()),"please select a BUG ID")</f>
        <v>please select a BUG ID</v>
      </c>
      <c r="E502" s="82"/>
      <c r="F502" s="80"/>
      <c r="H502" s="82"/>
      <c r="I502" s="80"/>
      <c r="J502" s="51" t="str">
        <f>IFERROR(Hyperlink(VLOOKUP(A502,Internal_lists_bugs!$A$2:$G1013,7,FALSE()),"BIC: "&amp;VLOOKUP(A502,Internal_lists_bugs!$A$2:$G1013,7,FALSE())&amp;CHAR(10)&amp;"Intro.Issues: "&amp;VLOOKUP(A502,Internal_lists_bugs!$A$2:$P1013,16,FALSE())),"please select a BUG ID")</f>
        <v>please select a BUG ID</v>
      </c>
    </row>
    <row r="503">
      <c r="A503" s="54"/>
      <c r="B503" s="88" t="str">
        <f>IFERROR(HYPERLINK(VLOOKUP(A503,Internal_lists_bugs!$A$2:$C$73,3,FALSE()), VLOOKUP(A503,Internal_lists_bugs!$A$2:$C$73,3,FALSE())&amp;Char(10) &amp; Char(10) &amp; VLOOKUP(A503,Internal_lists_bugs!$A$2:$Z$73,26,FALSE())),"please select a BUG ID")</f>
        <v>please select a BUG ID</v>
      </c>
      <c r="C503" s="89" t="str">
        <f>IFERROR(VLOOKUP(A503,Internal_lists_bugs!$A$2:$X1013,24,FALSE()),"please select a BUG ID")</f>
        <v>please select a BUG ID</v>
      </c>
      <c r="E503" s="82"/>
      <c r="F503" s="80"/>
      <c r="H503" s="82"/>
      <c r="I503" s="80"/>
      <c r="J503" s="51" t="str">
        <f>IFERROR(Hyperlink(VLOOKUP(A503,Internal_lists_bugs!$A$2:$G1013,7,FALSE()),"BIC: "&amp;VLOOKUP(A503,Internal_lists_bugs!$A$2:$G1013,7,FALSE())&amp;CHAR(10)&amp;"Intro.Issues: "&amp;VLOOKUP(A503,Internal_lists_bugs!$A$2:$P1013,16,FALSE())),"please select a BUG ID")</f>
        <v>please select a BUG ID</v>
      </c>
    </row>
    <row r="504">
      <c r="A504" s="54"/>
      <c r="B504" s="88" t="str">
        <f>IFERROR(HYPERLINK(VLOOKUP(A504,Internal_lists_bugs!$A$2:$C$73,3,FALSE()), VLOOKUP(A504,Internal_lists_bugs!$A$2:$C$73,3,FALSE())&amp;Char(10) &amp; Char(10) &amp; VLOOKUP(A504,Internal_lists_bugs!$A$2:$Z$73,26,FALSE())),"please select a BUG ID")</f>
        <v>please select a BUG ID</v>
      </c>
      <c r="C504" s="89" t="str">
        <f>IFERROR(VLOOKUP(A504,Internal_lists_bugs!$A$2:$X1013,24,FALSE()),"please select a BUG ID")</f>
        <v>please select a BUG ID</v>
      </c>
      <c r="E504" s="82"/>
      <c r="F504" s="80"/>
      <c r="H504" s="82"/>
      <c r="I504" s="80"/>
      <c r="J504" s="51" t="str">
        <f>IFERROR(Hyperlink(VLOOKUP(A504,Internal_lists_bugs!$A$2:$G1013,7,FALSE()),"BIC: "&amp;VLOOKUP(A504,Internal_lists_bugs!$A$2:$G1013,7,FALSE())&amp;CHAR(10)&amp;"Intro.Issues: "&amp;VLOOKUP(A504,Internal_lists_bugs!$A$2:$P1013,16,FALSE())),"please select a BUG ID")</f>
        <v>please select a BUG ID</v>
      </c>
    </row>
    <row r="505">
      <c r="A505" s="54"/>
      <c r="B505" s="88" t="str">
        <f>IFERROR(HYPERLINK(VLOOKUP(A505,Internal_lists_bugs!$A$2:$C$73,3,FALSE()), VLOOKUP(A505,Internal_lists_bugs!$A$2:$C$73,3,FALSE())&amp;Char(10) &amp; Char(10) &amp; VLOOKUP(A505,Internal_lists_bugs!$A$2:$Z$73,26,FALSE())),"please select a BUG ID")</f>
        <v>please select a BUG ID</v>
      </c>
      <c r="C505" s="89" t="str">
        <f>IFERROR(VLOOKUP(A505,Internal_lists_bugs!$A$2:$X1013,24,FALSE()),"please select a BUG ID")</f>
        <v>please select a BUG ID</v>
      </c>
      <c r="E505" s="82"/>
      <c r="F505" s="80"/>
      <c r="H505" s="82"/>
      <c r="I505" s="80"/>
      <c r="J505" s="51" t="str">
        <f>IFERROR(Hyperlink(VLOOKUP(A505,Internal_lists_bugs!$A$2:$G1013,7,FALSE()),"BIC: "&amp;VLOOKUP(A505,Internal_lists_bugs!$A$2:$G1013,7,FALSE())&amp;CHAR(10)&amp;"Intro.Issues: "&amp;VLOOKUP(A505,Internal_lists_bugs!$A$2:$P1013,16,FALSE())),"please select a BUG ID")</f>
        <v>please select a BUG ID</v>
      </c>
    </row>
    <row r="506">
      <c r="A506" s="54"/>
      <c r="B506" s="88" t="str">
        <f>IFERROR(HYPERLINK(VLOOKUP(A506,Internal_lists_bugs!$A$2:$C$73,3,FALSE()), VLOOKUP(A506,Internal_lists_bugs!$A$2:$C$73,3,FALSE())&amp;Char(10) &amp; Char(10) &amp; VLOOKUP(A506,Internal_lists_bugs!$A$2:$Z$73,26,FALSE())),"please select a BUG ID")</f>
        <v>please select a BUG ID</v>
      </c>
      <c r="C506" s="89" t="str">
        <f>IFERROR(VLOOKUP(A506,Internal_lists_bugs!$A$2:$X1013,24,FALSE()),"please select a BUG ID")</f>
        <v>please select a BUG ID</v>
      </c>
      <c r="E506" s="82"/>
      <c r="F506" s="80"/>
      <c r="H506" s="82"/>
      <c r="I506" s="80"/>
      <c r="J506" s="51" t="str">
        <f>IFERROR(Hyperlink(VLOOKUP(A506,Internal_lists_bugs!$A$2:$G1013,7,FALSE()),"BIC: "&amp;VLOOKUP(A506,Internal_lists_bugs!$A$2:$G1013,7,FALSE())&amp;CHAR(10)&amp;"Intro.Issues: "&amp;VLOOKUP(A506,Internal_lists_bugs!$A$2:$P1013,16,FALSE())),"please select a BUG ID")</f>
        <v>please select a BUG ID</v>
      </c>
    </row>
    <row r="507">
      <c r="A507" s="54"/>
      <c r="B507" s="88" t="str">
        <f>IFERROR(HYPERLINK(VLOOKUP(A507,Internal_lists_bugs!$A$2:$C$73,3,FALSE()), VLOOKUP(A507,Internal_lists_bugs!$A$2:$C$73,3,FALSE())&amp;Char(10) &amp; Char(10) &amp; VLOOKUP(A507,Internal_lists_bugs!$A$2:$Z$73,26,FALSE())),"please select a BUG ID")</f>
        <v>please select a BUG ID</v>
      </c>
      <c r="C507" s="89" t="str">
        <f>IFERROR(VLOOKUP(A507,Internal_lists_bugs!$A$2:$X1013,24,FALSE()),"please select a BUG ID")</f>
        <v>please select a BUG ID</v>
      </c>
      <c r="E507" s="82"/>
      <c r="F507" s="80"/>
      <c r="H507" s="82"/>
      <c r="I507" s="80"/>
      <c r="J507" s="51" t="str">
        <f>IFERROR(Hyperlink(VLOOKUP(A507,Internal_lists_bugs!$A$2:$G1013,7,FALSE()),"BIC: "&amp;VLOOKUP(A507,Internal_lists_bugs!$A$2:$G1013,7,FALSE())&amp;CHAR(10)&amp;"Intro.Issues: "&amp;VLOOKUP(A507,Internal_lists_bugs!$A$2:$P1013,16,FALSE())),"please select a BUG ID")</f>
        <v>please select a BUG ID</v>
      </c>
    </row>
    <row r="508">
      <c r="A508" s="54"/>
      <c r="B508" s="88" t="str">
        <f>IFERROR(HYPERLINK(VLOOKUP(A508,Internal_lists_bugs!$A$2:$C$73,3,FALSE()), VLOOKUP(A508,Internal_lists_bugs!$A$2:$C$73,3,FALSE())&amp;Char(10) &amp; Char(10) &amp; VLOOKUP(A508,Internal_lists_bugs!$A$2:$Z$73,26,FALSE())),"please select a BUG ID")</f>
        <v>please select a BUG ID</v>
      </c>
      <c r="C508" s="89" t="str">
        <f>IFERROR(VLOOKUP(A508,Internal_lists_bugs!$A$2:$X1013,24,FALSE()),"please select a BUG ID")</f>
        <v>please select a BUG ID</v>
      </c>
      <c r="E508" s="82"/>
      <c r="F508" s="80"/>
      <c r="H508" s="82"/>
      <c r="I508" s="80"/>
      <c r="J508" s="51" t="str">
        <f>IFERROR(Hyperlink(VLOOKUP(A508,Internal_lists_bugs!$A$2:$G1013,7,FALSE()),"BIC: "&amp;VLOOKUP(A508,Internal_lists_bugs!$A$2:$G1013,7,FALSE())&amp;CHAR(10)&amp;"Intro.Issues: "&amp;VLOOKUP(A508,Internal_lists_bugs!$A$2:$P1013,16,FALSE())),"please select a BUG ID")</f>
        <v>please select a BUG ID</v>
      </c>
    </row>
    <row r="509">
      <c r="A509" s="54"/>
      <c r="B509" s="88" t="str">
        <f>IFERROR(HYPERLINK(VLOOKUP(A509,Internal_lists_bugs!$A$2:$C$73,3,FALSE()), VLOOKUP(A509,Internal_lists_bugs!$A$2:$C$73,3,FALSE())&amp;Char(10) &amp; Char(10) &amp; VLOOKUP(A509,Internal_lists_bugs!$A$2:$Z$73,26,FALSE())),"please select a BUG ID")</f>
        <v>please select a BUG ID</v>
      </c>
      <c r="C509" s="89" t="str">
        <f>IFERROR(VLOOKUP(A509,Internal_lists_bugs!$A$2:$X1013,24,FALSE()),"please select a BUG ID")</f>
        <v>please select a BUG ID</v>
      </c>
      <c r="E509" s="82"/>
      <c r="F509" s="80"/>
      <c r="H509" s="82"/>
      <c r="I509" s="80"/>
      <c r="J509" s="51" t="str">
        <f>IFERROR(Hyperlink(VLOOKUP(A509,Internal_lists_bugs!$A$2:$G1013,7,FALSE()),"BIC: "&amp;VLOOKUP(A509,Internal_lists_bugs!$A$2:$G1013,7,FALSE())&amp;CHAR(10)&amp;"Intro.Issues: "&amp;VLOOKUP(A509,Internal_lists_bugs!$A$2:$P1013,16,FALSE())),"please select a BUG ID")</f>
        <v>please select a BUG ID</v>
      </c>
    </row>
    <row r="510">
      <c r="A510" s="54"/>
      <c r="B510" s="88" t="str">
        <f>IFERROR(HYPERLINK(VLOOKUP(A510,Internal_lists_bugs!$A$2:$C$73,3,FALSE()), VLOOKUP(A510,Internal_lists_bugs!$A$2:$C$73,3,FALSE())&amp;Char(10) &amp; Char(10) &amp; VLOOKUP(A510,Internal_lists_bugs!$A$2:$Z$73,26,FALSE())),"please select a BUG ID")</f>
        <v>please select a BUG ID</v>
      </c>
      <c r="C510" s="89" t="str">
        <f>IFERROR(VLOOKUP(A510,Internal_lists_bugs!$A$2:$X1013,24,FALSE()),"please select a BUG ID")</f>
        <v>please select a BUG ID</v>
      </c>
      <c r="E510" s="82"/>
      <c r="F510" s="80"/>
      <c r="H510" s="82"/>
      <c r="I510" s="80"/>
      <c r="J510" s="51" t="str">
        <f>IFERROR(Hyperlink(VLOOKUP(A510,Internal_lists_bugs!$A$2:$G1013,7,FALSE()),"BIC: "&amp;VLOOKUP(A510,Internal_lists_bugs!$A$2:$G1013,7,FALSE())&amp;CHAR(10)&amp;"Intro.Issues: "&amp;VLOOKUP(A510,Internal_lists_bugs!$A$2:$P1013,16,FALSE())),"please select a BUG ID")</f>
        <v>please select a BUG ID</v>
      </c>
    </row>
    <row r="511">
      <c r="A511" s="54"/>
      <c r="B511" s="88" t="str">
        <f>IFERROR(HYPERLINK(VLOOKUP(A511,Internal_lists_bugs!$A$2:$C$73,3,FALSE()), VLOOKUP(A511,Internal_lists_bugs!$A$2:$C$73,3,FALSE())&amp;Char(10) &amp; Char(10) &amp; VLOOKUP(A511,Internal_lists_bugs!$A$2:$Z$73,26,FALSE())),"please select a BUG ID")</f>
        <v>please select a BUG ID</v>
      </c>
      <c r="C511" s="89" t="str">
        <f>IFERROR(VLOOKUP(A511,Internal_lists_bugs!$A$2:$X1013,24,FALSE()),"please select a BUG ID")</f>
        <v>please select a BUG ID</v>
      </c>
      <c r="E511" s="82"/>
      <c r="F511" s="80"/>
      <c r="H511" s="82"/>
      <c r="I511" s="80"/>
      <c r="J511" s="51" t="str">
        <f>IFERROR(Hyperlink(VLOOKUP(A511,Internal_lists_bugs!$A$2:$G1013,7,FALSE()),"BIC: "&amp;VLOOKUP(A511,Internal_lists_bugs!$A$2:$G1013,7,FALSE())&amp;CHAR(10)&amp;"Intro.Issues: "&amp;VLOOKUP(A511,Internal_lists_bugs!$A$2:$P1013,16,FALSE())),"please select a BUG ID")</f>
        <v>please select a BUG ID</v>
      </c>
    </row>
    <row r="512">
      <c r="A512" s="54"/>
      <c r="B512" s="88" t="str">
        <f>IFERROR(HYPERLINK(VLOOKUP(A512,Internal_lists_bugs!$A$2:$C$73,3,FALSE()), VLOOKUP(A512,Internal_lists_bugs!$A$2:$C$73,3,FALSE())&amp;Char(10) &amp; Char(10) &amp; VLOOKUP(A512,Internal_lists_bugs!$A$2:$Z$73,26,FALSE())),"please select a BUG ID")</f>
        <v>please select a BUG ID</v>
      </c>
      <c r="C512" s="89" t="str">
        <f>IFERROR(VLOOKUP(A512,Internal_lists_bugs!$A$2:$X1013,24,FALSE()),"please select a BUG ID")</f>
        <v>please select a BUG ID</v>
      </c>
      <c r="E512" s="82"/>
      <c r="F512" s="80"/>
      <c r="H512" s="82"/>
      <c r="I512" s="80"/>
      <c r="J512" s="51" t="str">
        <f>IFERROR(Hyperlink(VLOOKUP(A512,Internal_lists_bugs!$A$2:$G1013,7,FALSE()),"BIC: "&amp;VLOOKUP(A512,Internal_lists_bugs!$A$2:$G1013,7,FALSE())&amp;CHAR(10)&amp;"Intro.Issues: "&amp;VLOOKUP(A512,Internal_lists_bugs!$A$2:$P1013,16,FALSE())),"please select a BUG ID")</f>
        <v>please select a BUG ID</v>
      </c>
    </row>
    <row r="513">
      <c r="A513" s="54"/>
      <c r="B513" s="88" t="str">
        <f>IFERROR(HYPERLINK(VLOOKUP(A513,Internal_lists_bugs!$A$2:$C$73,3,FALSE()), VLOOKUP(A513,Internal_lists_bugs!$A$2:$C$73,3,FALSE())&amp;Char(10) &amp; Char(10) &amp; VLOOKUP(A513,Internal_lists_bugs!$A$2:$Z$73,26,FALSE())),"please select a BUG ID")</f>
        <v>please select a BUG ID</v>
      </c>
      <c r="C513" s="89" t="str">
        <f>IFERROR(VLOOKUP(A513,Internal_lists_bugs!$A$2:$X1013,24,FALSE()),"please select a BUG ID")</f>
        <v>please select a BUG ID</v>
      </c>
      <c r="E513" s="82"/>
      <c r="F513" s="80"/>
      <c r="H513" s="82"/>
      <c r="I513" s="80"/>
      <c r="J513" s="51" t="str">
        <f>IFERROR(Hyperlink(VLOOKUP(A513,Internal_lists_bugs!$A$2:$G1013,7,FALSE()),"BIC: "&amp;VLOOKUP(A513,Internal_lists_bugs!$A$2:$G1013,7,FALSE())&amp;CHAR(10)&amp;"Intro.Issues: "&amp;VLOOKUP(A513,Internal_lists_bugs!$A$2:$P1013,16,FALSE())),"please select a BUG ID")</f>
        <v>please select a BUG ID</v>
      </c>
    </row>
    <row r="514">
      <c r="A514" s="54"/>
      <c r="B514" s="88" t="str">
        <f>IFERROR(HYPERLINK(VLOOKUP(A514,Internal_lists_bugs!$A$2:$C$73,3,FALSE()), VLOOKUP(A514,Internal_lists_bugs!$A$2:$C$73,3,FALSE())&amp;Char(10) &amp; Char(10) &amp; VLOOKUP(A514,Internal_lists_bugs!$A$2:$Z$73,26,FALSE())),"please select a BUG ID")</f>
        <v>please select a BUG ID</v>
      </c>
      <c r="C514" s="89" t="str">
        <f>IFERROR(VLOOKUP(A514,Internal_lists_bugs!$A$2:$X1013,24,FALSE()),"please select a BUG ID")</f>
        <v>please select a BUG ID</v>
      </c>
      <c r="E514" s="82"/>
      <c r="F514" s="80"/>
      <c r="H514" s="82"/>
      <c r="I514" s="80"/>
      <c r="J514" s="51" t="str">
        <f>IFERROR(Hyperlink(VLOOKUP(A514,Internal_lists_bugs!$A$2:$G1013,7,FALSE()),"BIC: "&amp;VLOOKUP(A514,Internal_lists_bugs!$A$2:$G1013,7,FALSE())&amp;CHAR(10)&amp;"Intro.Issues: "&amp;VLOOKUP(A514,Internal_lists_bugs!$A$2:$P1013,16,FALSE())),"please select a BUG ID")</f>
        <v>please select a BUG ID</v>
      </c>
    </row>
    <row r="515">
      <c r="A515" s="54"/>
      <c r="B515" s="88" t="str">
        <f>IFERROR(HYPERLINK(VLOOKUP(A515,Internal_lists_bugs!$A$2:$C$73,3,FALSE()), VLOOKUP(A515,Internal_lists_bugs!$A$2:$C$73,3,FALSE())&amp;Char(10) &amp; Char(10) &amp; VLOOKUP(A515,Internal_lists_bugs!$A$2:$Z$73,26,FALSE())),"please select a BUG ID")</f>
        <v>please select a BUG ID</v>
      </c>
      <c r="C515" s="89" t="str">
        <f>IFERROR(VLOOKUP(A515,Internal_lists_bugs!$A$2:$X1013,24,FALSE()),"please select a BUG ID")</f>
        <v>please select a BUG ID</v>
      </c>
      <c r="E515" s="82"/>
      <c r="F515" s="80"/>
      <c r="H515" s="82"/>
      <c r="I515" s="80"/>
      <c r="J515" s="51" t="str">
        <f>IFERROR(Hyperlink(VLOOKUP(A515,Internal_lists_bugs!$A$2:$G1013,7,FALSE()),"BIC: "&amp;VLOOKUP(A515,Internal_lists_bugs!$A$2:$G1013,7,FALSE())&amp;CHAR(10)&amp;"Intro.Issues: "&amp;VLOOKUP(A515,Internal_lists_bugs!$A$2:$P1013,16,FALSE())),"please select a BUG ID")</f>
        <v>please select a BUG ID</v>
      </c>
    </row>
    <row r="516">
      <c r="A516" s="54"/>
      <c r="B516" s="88" t="str">
        <f>IFERROR(HYPERLINK(VLOOKUP(A516,Internal_lists_bugs!$A$2:$C$73,3,FALSE()), VLOOKUP(A516,Internal_lists_bugs!$A$2:$C$73,3,FALSE())&amp;Char(10) &amp; Char(10) &amp; VLOOKUP(A516,Internal_lists_bugs!$A$2:$Z$73,26,FALSE())),"please select a BUG ID")</f>
        <v>please select a BUG ID</v>
      </c>
      <c r="C516" s="89" t="str">
        <f>IFERROR(VLOOKUP(A516,Internal_lists_bugs!$A$2:$X1013,24,FALSE()),"please select a BUG ID")</f>
        <v>please select a BUG ID</v>
      </c>
      <c r="E516" s="82"/>
      <c r="F516" s="80"/>
      <c r="H516" s="82"/>
      <c r="I516" s="80"/>
      <c r="J516" s="51" t="str">
        <f>IFERROR(Hyperlink(VLOOKUP(A516,Internal_lists_bugs!$A$2:$G1013,7,FALSE()),"BIC: "&amp;VLOOKUP(A516,Internal_lists_bugs!$A$2:$G1013,7,FALSE())&amp;CHAR(10)&amp;"Intro.Issues: "&amp;VLOOKUP(A516,Internal_lists_bugs!$A$2:$P1013,16,FALSE())),"please select a BUG ID")</f>
        <v>please select a BUG ID</v>
      </c>
    </row>
    <row r="517">
      <c r="A517" s="54"/>
      <c r="B517" s="88" t="str">
        <f>IFERROR(HYPERLINK(VLOOKUP(A517,Internal_lists_bugs!$A$2:$C$73,3,FALSE()), VLOOKUP(A517,Internal_lists_bugs!$A$2:$C$73,3,FALSE())&amp;Char(10) &amp; Char(10) &amp; VLOOKUP(A517,Internal_lists_bugs!$A$2:$Z$73,26,FALSE())),"please select a BUG ID")</f>
        <v>please select a BUG ID</v>
      </c>
      <c r="C517" s="89" t="str">
        <f>IFERROR(VLOOKUP(A517,Internal_lists_bugs!$A$2:$X1013,24,FALSE()),"please select a BUG ID")</f>
        <v>please select a BUG ID</v>
      </c>
      <c r="E517" s="82"/>
      <c r="F517" s="80"/>
      <c r="H517" s="82"/>
      <c r="I517" s="80"/>
      <c r="J517" s="51" t="str">
        <f>IFERROR(Hyperlink(VLOOKUP(A517,Internal_lists_bugs!$A$2:$G1013,7,FALSE()),"BIC: "&amp;VLOOKUP(A517,Internal_lists_bugs!$A$2:$G1013,7,FALSE())&amp;CHAR(10)&amp;"Intro.Issues: "&amp;VLOOKUP(A517,Internal_lists_bugs!$A$2:$P1013,16,FALSE())),"please select a BUG ID")</f>
        <v>please select a BUG ID</v>
      </c>
    </row>
    <row r="518">
      <c r="A518" s="54"/>
      <c r="B518" s="88" t="str">
        <f>IFERROR(HYPERLINK(VLOOKUP(A518,Internal_lists_bugs!$A$2:$C$73,3,FALSE()), VLOOKUP(A518,Internal_lists_bugs!$A$2:$C$73,3,FALSE())&amp;Char(10) &amp; Char(10) &amp; VLOOKUP(A518,Internal_lists_bugs!$A$2:$Z$73,26,FALSE())),"please select a BUG ID")</f>
        <v>please select a BUG ID</v>
      </c>
      <c r="C518" s="89" t="str">
        <f>IFERROR(VLOOKUP(A518,Internal_lists_bugs!$A$2:$X1013,24,FALSE()),"please select a BUG ID")</f>
        <v>please select a BUG ID</v>
      </c>
      <c r="E518" s="82"/>
      <c r="F518" s="80"/>
      <c r="H518" s="82"/>
      <c r="I518" s="80"/>
      <c r="J518" s="51" t="str">
        <f>IFERROR(Hyperlink(VLOOKUP(A518,Internal_lists_bugs!$A$2:$G1013,7,FALSE()),"BIC: "&amp;VLOOKUP(A518,Internal_lists_bugs!$A$2:$G1013,7,FALSE())&amp;CHAR(10)&amp;"Intro.Issues: "&amp;VLOOKUP(A518,Internal_lists_bugs!$A$2:$P1013,16,FALSE())),"please select a BUG ID")</f>
        <v>please select a BUG ID</v>
      </c>
    </row>
    <row r="519">
      <c r="A519" s="54"/>
      <c r="B519" s="88" t="str">
        <f>IFERROR(HYPERLINK(VLOOKUP(A519,Internal_lists_bugs!$A$2:$C$73,3,FALSE()), VLOOKUP(A519,Internal_lists_bugs!$A$2:$C$73,3,FALSE())&amp;Char(10) &amp; Char(10) &amp; VLOOKUP(A519,Internal_lists_bugs!$A$2:$Z$73,26,FALSE())),"please select a BUG ID")</f>
        <v>please select a BUG ID</v>
      </c>
      <c r="C519" s="89" t="str">
        <f>IFERROR(VLOOKUP(A519,Internal_lists_bugs!$A$2:$X1013,24,FALSE()),"please select a BUG ID")</f>
        <v>please select a BUG ID</v>
      </c>
      <c r="E519" s="82"/>
      <c r="F519" s="80"/>
      <c r="H519" s="82"/>
      <c r="I519" s="80"/>
      <c r="J519" s="51" t="str">
        <f>IFERROR(Hyperlink(VLOOKUP(A519,Internal_lists_bugs!$A$2:$G1013,7,FALSE()),"BIC: "&amp;VLOOKUP(A519,Internal_lists_bugs!$A$2:$G1013,7,FALSE())&amp;CHAR(10)&amp;"Intro.Issues: "&amp;VLOOKUP(A519,Internal_lists_bugs!$A$2:$P1013,16,FALSE())),"please select a BUG ID")</f>
        <v>please select a BUG ID</v>
      </c>
    </row>
    <row r="520">
      <c r="A520" s="54"/>
      <c r="B520" s="88" t="str">
        <f>IFERROR(HYPERLINK(VLOOKUP(A520,Internal_lists_bugs!$A$2:$C$73,3,FALSE()), VLOOKUP(A520,Internal_lists_bugs!$A$2:$C$73,3,FALSE())&amp;Char(10) &amp; Char(10) &amp; VLOOKUP(A520,Internal_lists_bugs!$A$2:$Z$73,26,FALSE())),"please select a BUG ID")</f>
        <v>please select a BUG ID</v>
      </c>
      <c r="C520" s="89" t="str">
        <f>IFERROR(VLOOKUP(A520,Internal_lists_bugs!$A$2:$X1013,24,FALSE()),"please select a BUG ID")</f>
        <v>please select a BUG ID</v>
      </c>
      <c r="E520" s="82"/>
      <c r="F520" s="80"/>
      <c r="H520" s="82"/>
      <c r="I520" s="80"/>
      <c r="J520" s="51" t="str">
        <f>IFERROR(Hyperlink(VLOOKUP(A520,Internal_lists_bugs!$A$2:$G1013,7,FALSE()),"BIC: "&amp;VLOOKUP(A520,Internal_lists_bugs!$A$2:$G1013,7,FALSE())&amp;CHAR(10)&amp;"Intro.Issues: "&amp;VLOOKUP(A520,Internal_lists_bugs!$A$2:$P1013,16,FALSE())),"please select a BUG ID")</f>
        <v>please select a BUG ID</v>
      </c>
    </row>
    <row r="521">
      <c r="A521" s="54"/>
      <c r="B521" s="88" t="str">
        <f>IFERROR(HYPERLINK(VLOOKUP(A521,Internal_lists_bugs!$A$2:$C$73,3,FALSE()), VLOOKUP(A521,Internal_lists_bugs!$A$2:$C$73,3,FALSE())&amp;Char(10) &amp; Char(10) &amp; VLOOKUP(A521,Internal_lists_bugs!$A$2:$Z$73,26,FALSE())),"please select a BUG ID")</f>
        <v>please select a BUG ID</v>
      </c>
      <c r="C521" s="89" t="str">
        <f>IFERROR(VLOOKUP(A521,Internal_lists_bugs!$A$2:$X1013,24,FALSE()),"please select a BUG ID")</f>
        <v>please select a BUG ID</v>
      </c>
      <c r="E521" s="82"/>
      <c r="F521" s="80"/>
      <c r="H521" s="82"/>
      <c r="I521" s="80"/>
      <c r="J521" s="51" t="str">
        <f>IFERROR(Hyperlink(VLOOKUP(A521,Internal_lists_bugs!$A$2:$G1013,7,FALSE()),"BIC: "&amp;VLOOKUP(A521,Internal_lists_bugs!$A$2:$G1013,7,FALSE())&amp;CHAR(10)&amp;"Intro.Issues: "&amp;VLOOKUP(A521,Internal_lists_bugs!$A$2:$P1013,16,FALSE())),"please select a BUG ID")</f>
        <v>please select a BUG ID</v>
      </c>
    </row>
    <row r="522">
      <c r="A522" s="54"/>
      <c r="B522" s="88" t="str">
        <f>IFERROR(HYPERLINK(VLOOKUP(A522,Internal_lists_bugs!$A$2:$C$73,3,FALSE()), VLOOKUP(A522,Internal_lists_bugs!$A$2:$C$73,3,FALSE())&amp;Char(10) &amp; Char(10) &amp; VLOOKUP(A522,Internal_lists_bugs!$A$2:$Z$73,26,FALSE())),"please select a BUG ID")</f>
        <v>please select a BUG ID</v>
      </c>
      <c r="C522" s="89" t="str">
        <f>IFERROR(VLOOKUP(A522,Internal_lists_bugs!$A$2:$X1013,24,FALSE()),"please select a BUG ID")</f>
        <v>please select a BUG ID</v>
      </c>
      <c r="E522" s="82"/>
      <c r="F522" s="80"/>
      <c r="H522" s="82"/>
      <c r="I522" s="80"/>
      <c r="J522" s="51" t="str">
        <f>IFERROR(Hyperlink(VLOOKUP(A522,Internal_lists_bugs!$A$2:$G1013,7,FALSE()),"BIC: "&amp;VLOOKUP(A522,Internal_lists_bugs!$A$2:$G1013,7,FALSE())&amp;CHAR(10)&amp;"Intro.Issues: "&amp;VLOOKUP(A522,Internal_lists_bugs!$A$2:$P1013,16,FALSE())),"please select a BUG ID")</f>
        <v>please select a BUG ID</v>
      </c>
    </row>
    <row r="523">
      <c r="A523" s="54"/>
      <c r="B523" s="88" t="str">
        <f>IFERROR(HYPERLINK(VLOOKUP(A523,Internal_lists_bugs!$A$2:$C$73,3,FALSE()), VLOOKUP(A523,Internal_lists_bugs!$A$2:$C$73,3,FALSE())&amp;Char(10) &amp; Char(10) &amp; VLOOKUP(A523,Internal_lists_bugs!$A$2:$Z$73,26,FALSE())),"please select a BUG ID")</f>
        <v>please select a BUG ID</v>
      </c>
      <c r="C523" s="89" t="str">
        <f>IFERROR(VLOOKUP(A523,Internal_lists_bugs!$A$2:$X1013,24,FALSE()),"please select a BUG ID")</f>
        <v>please select a BUG ID</v>
      </c>
      <c r="E523" s="82"/>
      <c r="F523" s="80"/>
      <c r="H523" s="82"/>
      <c r="I523" s="80"/>
      <c r="J523" s="51" t="str">
        <f>IFERROR(Hyperlink(VLOOKUP(A523,Internal_lists_bugs!$A$2:$G1013,7,FALSE()),"BIC: "&amp;VLOOKUP(A523,Internal_lists_bugs!$A$2:$G1013,7,FALSE())&amp;CHAR(10)&amp;"Intro.Issues: "&amp;VLOOKUP(A523,Internal_lists_bugs!$A$2:$P1013,16,FALSE())),"please select a BUG ID")</f>
        <v>please select a BUG ID</v>
      </c>
    </row>
    <row r="524">
      <c r="A524" s="54"/>
      <c r="B524" s="88" t="str">
        <f>IFERROR(HYPERLINK(VLOOKUP(A524,Internal_lists_bugs!$A$2:$C$73,3,FALSE()), VLOOKUP(A524,Internal_lists_bugs!$A$2:$C$73,3,FALSE())&amp;Char(10) &amp; Char(10) &amp; VLOOKUP(A524,Internal_lists_bugs!$A$2:$Z$73,26,FALSE())),"please select a BUG ID")</f>
        <v>please select a BUG ID</v>
      </c>
      <c r="C524" s="89" t="str">
        <f>IFERROR(VLOOKUP(A524,Internal_lists_bugs!$A$2:$X1013,24,FALSE()),"please select a BUG ID")</f>
        <v>please select a BUG ID</v>
      </c>
      <c r="E524" s="82"/>
      <c r="F524" s="80"/>
      <c r="H524" s="82"/>
      <c r="I524" s="80"/>
      <c r="J524" s="51" t="str">
        <f>IFERROR(Hyperlink(VLOOKUP(A524,Internal_lists_bugs!$A$2:$G1013,7,FALSE()),"BIC: "&amp;VLOOKUP(A524,Internal_lists_bugs!$A$2:$G1013,7,FALSE())&amp;CHAR(10)&amp;"Intro.Issues: "&amp;VLOOKUP(A524,Internal_lists_bugs!$A$2:$P1013,16,FALSE())),"please select a BUG ID")</f>
        <v>please select a BUG ID</v>
      </c>
    </row>
    <row r="525">
      <c r="A525" s="54"/>
      <c r="B525" s="88" t="str">
        <f>IFERROR(HYPERLINK(VLOOKUP(A525,Internal_lists_bugs!$A$2:$C$73,3,FALSE()), VLOOKUP(A525,Internal_lists_bugs!$A$2:$C$73,3,FALSE())&amp;Char(10) &amp; Char(10) &amp; VLOOKUP(A525,Internal_lists_bugs!$A$2:$Z$73,26,FALSE())),"please select a BUG ID")</f>
        <v>please select a BUG ID</v>
      </c>
      <c r="C525" s="89" t="str">
        <f>IFERROR(VLOOKUP(A525,Internal_lists_bugs!$A$2:$X1013,24,FALSE()),"please select a BUG ID")</f>
        <v>please select a BUG ID</v>
      </c>
      <c r="E525" s="82"/>
      <c r="F525" s="80"/>
      <c r="H525" s="82"/>
      <c r="I525" s="80"/>
      <c r="J525" s="51" t="str">
        <f>IFERROR(Hyperlink(VLOOKUP(A525,Internal_lists_bugs!$A$2:$G1013,7,FALSE()),"BIC: "&amp;VLOOKUP(A525,Internal_lists_bugs!$A$2:$G1013,7,FALSE())&amp;CHAR(10)&amp;"Intro.Issues: "&amp;VLOOKUP(A525,Internal_lists_bugs!$A$2:$P1013,16,FALSE())),"please select a BUG ID")</f>
        <v>please select a BUG ID</v>
      </c>
    </row>
    <row r="526">
      <c r="A526" s="54"/>
      <c r="B526" s="88" t="str">
        <f>IFERROR(HYPERLINK(VLOOKUP(A526,Internal_lists_bugs!$A$2:$C$73,3,FALSE()), VLOOKUP(A526,Internal_lists_bugs!$A$2:$C$73,3,FALSE())&amp;Char(10) &amp; Char(10) &amp; VLOOKUP(A526,Internal_lists_bugs!$A$2:$Z$73,26,FALSE())),"please select a BUG ID")</f>
        <v>please select a BUG ID</v>
      </c>
      <c r="C526" s="89" t="str">
        <f>IFERROR(VLOOKUP(A526,Internal_lists_bugs!$A$2:$X1013,24,FALSE()),"please select a BUG ID")</f>
        <v>please select a BUG ID</v>
      </c>
      <c r="E526" s="82"/>
      <c r="F526" s="80"/>
      <c r="H526" s="82"/>
      <c r="I526" s="80"/>
      <c r="J526" s="51" t="str">
        <f>IFERROR(Hyperlink(VLOOKUP(A526,Internal_lists_bugs!$A$2:$G1013,7,FALSE()),"BIC: "&amp;VLOOKUP(A526,Internal_lists_bugs!$A$2:$G1013,7,FALSE())&amp;CHAR(10)&amp;"Intro.Issues: "&amp;VLOOKUP(A526,Internal_lists_bugs!$A$2:$P1013,16,FALSE())),"please select a BUG ID")</f>
        <v>please select a BUG ID</v>
      </c>
    </row>
    <row r="527">
      <c r="A527" s="54"/>
      <c r="B527" s="88" t="str">
        <f>IFERROR(HYPERLINK(VLOOKUP(A527,Internal_lists_bugs!$A$2:$C$73,3,FALSE()), VLOOKUP(A527,Internal_lists_bugs!$A$2:$C$73,3,FALSE())&amp;Char(10) &amp; Char(10) &amp; VLOOKUP(A527,Internal_lists_bugs!$A$2:$Z$73,26,FALSE())),"please select a BUG ID")</f>
        <v>please select a BUG ID</v>
      </c>
      <c r="C527" s="89" t="str">
        <f>IFERROR(VLOOKUP(A527,Internal_lists_bugs!$A$2:$X1013,24,FALSE()),"please select a BUG ID")</f>
        <v>please select a BUG ID</v>
      </c>
      <c r="E527" s="82"/>
      <c r="F527" s="80"/>
      <c r="H527" s="82"/>
      <c r="I527" s="80"/>
      <c r="J527" s="51" t="str">
        <f>IFERROR(Hyperlink(VLOOKUP(A527,Internal_lists_bugs!$A$2:$G1013,7,FALSE()),"BIC: "&amp;VLOOKUP(A527,Internal_lists_bugs!$A$2:$G1013,7,FALSE())&amp;CHAR(10)&amp;"Intro.Issues: "&amp;VLOOKUP(A527,Internal_lists_bugs!$A$2:$P1013,16,FALSE())),"please select a BUG ID")</f>
        <v>please select a BUG ID</v>
      </c>
    </row>
    <row r="528">
      <c r="A528" s="54"/>
      <c r="B528" s="88" t="str">
        <f>IFERROR(HYPERLINK(VLOOKUP(A528,Internal_lists_bugs!$A$2:$C$73,3,FALSE()), VLOOKUP(A528,Internal_lists_bugs!$A$2:$C$73,3,FALSE())&amp;Char(10) &amp; Char(10) &amp; VLOOKUP(A528,Internal_lists_bugs!$A$2:$Z$73,26,FALSE())),"please select a BUG ID")</f>
        <v>please select a BUG ID</v>
      </c>
      <c r="C528" s="89" t="str">
        <f>IFERROR(VLOOKUP(A528,Internal_lists_bugs!$A$2:$X1013,24,FALSE()),"please select a BUG ID")</f>
        <v>please select a BUG ID</v>
      </c>
      <c r="E528" s="82"/>
      <c r="F528" s="80"/>
      <c r="H528" s="82"/>
      <c r="I528" s="80"/>
      <c r="J528" s="51" t="str">
        <f>IFERROR(Hyperlink(VLOOKUP(A528,Internal_lists_bugs!$A$2:$G1013,7,FALSE()),"BIC: "&amp;VLOOKUP(A528,Internal_lists_bugs!$A$2:$G1013,7,FALSE())&amp;CHAR(10)&amp;"Intro.Issues: "&amp;VLOOKUP(A528,Internal_lists_bugs!$A$2:$P1013,16,FALSE())),"please select a BUG ID")</f>
        <v>please select a BUG ID</v>
      </c>
    </row>
    <row r="529">
      <c r="A529" s="54"/>
      <c r="B529" s="88" t="str">
        <f>IFERROR(HYPERLINK(VLOOKUP(A529,Internal_lists_bugs!$A$2:$C$73,3,FALSE()), VLOOKUP(A529,Internal_lists_bugs!$A$2:$C$73,3,FALSE())&amp;Char(10) &amp; Char(10) &amp; VLOOKUP(A529,Internal_lists_bugs!$A$2:$Z$73,26,FALSE())),"please select a BUG ID")</f>
        <v>please select a BUG ID</v>
      </c>
      <c r="C529" s="89" t="str">
        <f>IFERROR(VLOOKUP(A529,Internal_lists_bugs!$A$2:$X1013,24,FALSE()),"please select a BUG ID")</f>
        <v>please select a BUG ID</v>
      </c>
      <c r="E529" s="82"/>
      <c r="F529" s="80"/>
      <c r="H529" s="82"/>
      <c r="I529" s="80"/>
      <c r="J529" s="51" t="str">
        <f>IFERROR(Hyperlink(VLOOKUP(A529,Internal_lists_bugs!$A$2:$G1013,7,FALSE()),"BIC: "&amp;VLOOKUP(A529,Internal_lists_bugs!$A$2:$G1013,7,FALSE())&amp;CHAR(10)&amp;"Intro.Issues: "&amp;VLOOKUP(A529,Internal_lists_bugs!$A$2:$P1013,16,FALSE())),"please select a BUG ID")</f>
        <v>please select a BUG ID</v>
      </c>
    </row>
    <row r="530">
      <c r="A530" s="54"/>
      <c r="B530" s="88" t="str">
        <f>IFERROR(HYPERLINK(VLOOKUP(A530,Internal_lists_bugs!$A$2:$C$73,3,FALSE()), VLOOKUP(A530,Internal_lists_bugs!$A$2:$C$73,3,FALSE())&amp;Char(10) &amp; Char(10) &amp; VLOOKUP(A530,Internal_lists_bugs!$A$2:$Z$73,26,FALSE())),"please select a BUG ID")</f>
        <v>please select a BUG ID</v>
      </c>
      <c r="C530" s="89" t="str">
        <f>IFERROR(VLOOKUP(A530,Internal_lists_bugs!$A$2:$X1013,24,FALSE()),"please select a BUG ID")</f>
        <v>please select a BUG ID</v>
      </c>
      <c r="E530" s="82"/>
      <c r="F530" s="80"/>
      <c r="H530" s="82"/>
      <c r="I530" s="80"/>
      <c r="J530" s="51" t="str">
        <f>IFERROR(Hyperlink(VLOOKUP(A530,Internal_lists_bugs!$A$2:$G1013,7,FALSE()),"BIC: "&amp;VLOOKUP(A530,Internal_lists_bugs!$A$2:$G1013,7,FALSE())&amp;CHAR(10)&amp;"Intro.Issues: "&amp;VLOOKUP(A530,Internal_lists_bugs!$A$2:$P1013,16,FALSE())),"please select a BUG ID")</f>
        <v>please select a BUG ID</v>
      </c>
    </row>
    <row r="531">
      <c r="A531" s="54"/>
      <c r="B531" s="88" t="str">
        <f>IFERROR(HYPERLINK(VLOOKUP(A531,Internal_lists_bugs!$A$2:$C$73,3,FALSE()), VLOOKUP(A531,Internal_lists_bugs!$A$2:$C$73,3,FALSE())&amp;Char(10) &amp; Char(10) &amp; VLOOKUP(A531,Internal_lists_bugs!$A$2:$Z$73,26,FALSE())),"please select a BUG ID")</f>
        <v>please select a BUG ID</v>
      </c>
      <c r="C531" s="89" t="str">
        <f>IFERROR(VLOOKUP(A531,Internal_lists_bugs!$A$2:$X1013,24,FALSE()),"please select a BUG ID")</f>
        <v>please select a BUG ID</v>
      </c>
      <c r="E531" s="82"/>
      <c r="F531" s="80"/>
      <c r="H531" s="82"/>
      <c r="I531" s="80"/>
      <c r="J531" s="51" t="str">
        <f>IFERROR(Hyperlink(VLOOKUP(A531,Internal_lists_bugs!$A$2:$G1013,7,FALSE()),"BIC: "&amp;VLOOKUP(A531,Internal_lists_bugs!$A$2:$G1013,7,FALSE())&amp;CHAR(10)&amp;"Intro.Issues: "&amp;VLOOKUP(A531,Internal_lists_bugs!$A$2:$P1013,16,FALSE())),"please select a BUG ID")</f>
        <v>please select a BUG ID</v>
      </c>
    </row>
    <row r="532">
      <c r="A532" s="54"/>
      <c r="B532" s="88" t="str">
        <f>IFERROR(HYPERLINK(VLOOKUP(A532,Internal_lists_bugs!$A$2:$C$73,3,FALSE()), VLOOKUP(A532,Internal_lists_bugs!$A$2:$C$73,3,FALSE())&amp;Char(10) &amp; Char(10) &amp; VLOOKUP(A532,Internal_lists_bugs!$A$2:$Z$73,26,FALSE())),"please select a BUG ID")</f>
        <v>please select a BUG ID</v>
      </c>
      <c r="C532" s="89" t="str">
        <f>IFERROR(VLOOKUP(A532,Internal_lists_bugs!$A$2:$X1013,24,FALSE()),"please select a BUG ID")</f>
        <v>please select a BUG ID</v>
      </c>
      <c r="E532" s="82"/>
      <c r="F532" s="80"/>
      <c r="H532" s="82"/>
      <c r="I532" s="80"/>
      <c r="J532" s="51" t="str">
        <f>IFERROR(Hyperlink(VLOOKUP(A532,Internal_lists_bugs!$A$2:$G1013,7,FALSE()),"BIC: "&amp;VLOOKUP(A532,Internal_lists_bugs!$A$2:$G1013,7,FALSE())&amp;CHAR(10)&amp;"Intro.Issues: "&amp;VLOOKUP(A532,Internal_lists_bugs!$A$2:$P1013,16,FALSE())),"please select a BUG ID")</f>
        <v>please select a BUG ID</v>
      </c>
    </row>
    <row r="533">
      <c r="A533" s="54"/>
      <c r="B533" s="88" t="str">
        <f>IFERROR(HYPERLINK(VLOOKUP(A533,Internal_lists_bugs!$A$2:$C$73,3,FALSE()), VLOOKUP(A533,Internal_lists_bugs!$A$2:$C$73,3,FALSE())&amp;Char(10) &amp; Char(10) &amp; VLOOKUP(A533,Internal_lists_bugs!$A$2:$Z$73,26,FALSE())),"please select a BUG ID")</f>
        <v>please select a BUG ID</v>
      </c>
      <c r="C533" s="89" t="str">
        <f>IFERROR(VLOOKUP(A533,Internal_lists_bugs!$A$2:$X1013,24,FALSE()),"please select a BUG ID")</f>
        <v>please select a BUG ID</v>
      </c>
      <c r="E533" s="82"/>
      <c r="F533" s="80"/>
      <c r="H533" s="82"/>
      <c r="I533" s="80"/>
      <c r="J533" s="51" t="str">
        <f>IFERROR(Hyperlink(VLOOKUP(A533,Internal_lists_bugs!$A$2:$G1013,7,FALSE()),"BIC: "&amp;VLOOKUP(A533,Internal_lists_bugs!$A$2:$G1013,7,FALSE())&amp;CHAR(10)&amp;"Intro.Issues: "&amp;VLOOKUP(A533,Internal_lists_bugs!$A$2:$P1013,16,FALSE())),"please select a BUG ID")</f>
        <v>please select a BUG ID</v>
      </c>
    </row>
    <row r="534">
      <c r="A534" s="54"/>
      <c r="B534" s="88" t="str">
        <f>IFERROR(HYPERLINK(VLOOKUP(A534,Internal_lists_bugs!$A$2:$C$73,3,FALSE()), VLOOKUP(A534,Internal_lists_bugs!$A$2:$C$73,3,FALSE())&amp;Char(10) &amp; Char(10) &amp; VLOOKUP(A534,Internal_lists_bugs!$A$2:$Z$73,26,FALSE())),"please select a BUG ID")</f>
        <v>please select a BUG ID</v>
      </c>
      <c r="C534" s="89" t="str">
        <f>IFERROR(VLOOKUP(A534,Internal_lists_bugs!$A$2:$X1013,24,FALSE()),"please select a BUG ID")</f>
        <v>please select a BUG ID</v>
      </c>
      <c r="E534" s="82"/>
      <c r="F534" s="80"/>
      <c r="H534" s="82"/>
      <c r="I534" s="80"/>
      <c r="J534" s="51" t="str">
        <f>IFERROR(Hyperlink(VLOOKUP(A534,Internal_lists_bugs!$A$2:$G1013,7,FALSE()),"BIC: "&amp;VLOOKUP(A534,Internal_lists_bugs!$A$2:$G1013,7,FALSE())&amp;CHAR(10)&amp;"Intro.Issues: "&amp;VLOOKUP(A534,Internal_lists_bugs!$A$2:$P1013,16,FALSE())),"please select a BUG ID")</f>
        <v>please select a BUG ID</v>
      </c>
    </row>
    <row r="535">
      <c r="A535" s="54"/>
      <c r="B535" s="88" t="str">
        <f>IFERROR(HYPERLINK(VLOOKUP(A535,Internal_lists_bugs!$A$2:$C$73,3,FALSE()), VLOOKUP(A535,Internal_lists_bugs!$A$2:$C$73,3,FALSE())&amp;Char(10) &amp; Char(10) &amp; VLOOKUP(A535,Internal_lists_bugs!$A$2:$Z$73,26,FALSE())),"please select a BUG ID")</f>
        <v>please select a BUG ID</v>
      </c>
      <c r="C535" s="89" t="str">
        <f>IFERROR(VLOOKUP(A535,Internal_lists_bugs!$A$2:$X1013,24,FALSE()),"please select a BUG ID")</f>
        <v>please select a BUG ID</v>
      </c>
      <c r="E535" s="82"/>
      <c r="F535" s="80"/>
      <c r="H535" s="82"/>
      <c r="I535" s="80"/>
      <c r="J535" s="51" t="str">
        <f>IFERROR(Hyperlink(VLOOKUP(A535,Internal_lists_bugs!$A$2:$G1013,7,FALSE()),"BIC: "&amp;VLOOKUP(A535,Internal_lists_bugs!$A$2:$G1013,7,FALSE())&amp;CHAR(10)&amp;"Intro.Issues: "&amp;VLOOKUP(A535,Internal_lists_bugs!$A$2:$P1013,16,FALSE())),"please select a BUG ID")</f>
        <v>please select a BUG ID</v>
      </c>
    </row>
    <row r="536">
      <c r="A536" s="54"/>
      <c r="B536" s="88" t="str">
        <f>IFERROR(HYPERLINK(VLOOKUP(A536,Internal_lists_bugs!$A$2:$C$73,3,FALSE()), VLOOKUP(A536,Internal_lists_bugs!$A$2:$C$73,3,FALSE())&amp;Char(10) &amp; Char(10) &amp; VLOOKUP(A536,Internal_lists_bugs!$A$2:$Z$73,26,FALSE())),"please select a BUG ID")</f>
        <v>please select a BUG ID</v>
      </c>
      <c r="C536" s="89" t="str">
        <f>IFERROR(VLOOKUP(A536,Internal_lists_bugs!$A$2:$X1013,24,FALSE()),"please select a BUG ID")</f>
        <v>please select a BUG ID</v>
      </c>
      <c r="E536" s="82"/>
      <c r="F536" s="80"/>
      <c r="H536" s="82"/>
      <c r="I536" s="80"/>
      <c r="J536" s="51" t="str">
        <f>IFERROR(Hyperlink(VLOOKUP(A536,Internal_lists_bugs!$A$2:$G1013,7,FALSE()),"BIC: "&amp;VLOOKUP(A536,Internal_lists_bugs!$A$2:$G1013,7,FALSE())&amp;CHAR(10)&amp;"Intro.Issues: "&amp;VLOOKUP(A536,Internal_lists_bugs!$A$2:$P1013,16,FALSE())),"please select a BUG ID")</f>
        <v>please select a BUG ID</v>
      </c>
    </row>
    <row r="537">
      <c r="A537" s="54"/>
      <c r="B537" s="88" t="str">
        <f>IFERROR(HYPERLINK(VLOOKUP(A537,Internal_lists_bugs!$A$2:$C$73,3,FALSE()), VLOOKUP(A537,Internal_lists_bugs!$A$2:$C$73,3,FALSE())&amp;Char(10) &amp; Char(10) &amp; VLOOKUP(A537,Internal_lists_bugs!$A$2:$Z$73,26,FALSE())),"please select a BUG ID")</f>
        <v>please select a BUG ID</v>
      </c>
      <c r="C537" s="89" t="str">
        <f>IFERROR(VLOOKUP(A537,Internal_lists_bugs!$A$2:$X1013,24,FALSE()),"please select a BUG ID")</f>
        <v>please select a BUG ID</v>
      </c>
      <c r="E537" s="82"/>
      <c r="F537" s="80"/>
      <c r="H537" s="82"/>
      <c r="I537" s="80"/>
      <c r="J537" s="51" t="str">
        <f>IFERROR(Hyperlink(VLOOKUP(A537,Internal_lists_bugs!$A$2:$G1013,7,FALSE()),"BIC: "&amp;VLOOKUP(A537,Internal_lists_bugs!$A$2:$G1013,7,FALSE())&amp;CHAR(10)&amp;"Intro.Issues: "&amp;VLOOKUP(A537,Internal_lists_bugs!$A$2:$P1013,16,FALSE())),"please select a BUG ID")</f>
        <v>please select a BUG ID</v>
      </c>
    </row>
    <row r="538">
      <c r="A538" s="54"/>
      <c r="B538" s="88" t="str">
        <f>IFERROR(HYPERLINK(VLOOKUP(A538,Internal_lists_bugs!$A$2:$C$73,3,FALSE()), VLOOKUP(A538,Internal_lists_bugs!$A$2:$C$73,3,FALSE())&amp;Char(10) &amp; Char(10) &amp; VLOOKUP(A538,Internal_lists_bugs!$A$2:$Z$73,26,FALSE())),"please select a BUG ID")</f>
        <v>please select a BUG ID</v>
      </c>
      <c r="C538" s="89" t="str">
        <f>IFERROR(VLOOKUP(A538,Internal_lists_bugs!$A$2:$X1013,24,FALSE()),"please select a BUG ID")</f>
        <v>please select a BUG ID</v>
      </c>
      <c r="E538" s="82"/>
      <c r="F538" s="80"/>
      <c r="H538" s="82"/>
      <c r="I538" s="80"/>
      <c r="J538" s="51" t="str">
        <f>IFERROR(Hyperlink(VLOOKUP(A538,Internal_lists_bugs!$A$2:$G1013,7,FALSE()),"BIC: "&amp;VLOOKUP(A538,Internal_lists_bugs!$A$2:$G1013,7,FALSE())&amp;CHAR(10)&amp;"Intro.Issues: "&amp;VLOOKUP(A538,Internal_lists_bugs!$A$2:$P1013,16,FALSE())),"please select a BUG ID")</f>
        <v>please select a BUG ID</v>
      </c>
    </row>
    <row r="539">
      <c r="A539" s="54"/>
      <c r="B539" s="88" t="str">
        <f>IFERROR(HYPERLINK(VLOOKUP(A539,Internal_lists_bugs!$A$2:$C$73,3,FALSE()), VLOOKUP(A539,Internal_lists_bugs!$A$2:$C$73,3,FALSE())&amp;Char(10) &amp; Char(10) &amp; VLOOKUP(A539,Internal_lists_bugs!$A$2:$Z$73,26,FALSE())),"please select a BUG ID")</f>
        <v>please select a BUG ID</v>
      </c>
      <c r="C539" s="89" t="str">
        <f>IFERROR(VLOOKUP(A539,Internal_lists_bugs!$A$2:$X1013,24,FALSE()),"please select a BUG ID")</f>
        <v>please select a BUG ID</v>
      </c>
      <c r="E539" s="82"/>
      <c r="F539" s="80"/>
      <c r="H539" s="82"/>
      <c r="I539" s="80"/>
      <c r="J539" s="51" t="str">
        <f>IFERROR(Hyperlink(VLOOKUP(A539,Internal_lists_bugs!$A$2:$G1013,7,FALSE()),"BIC: "&amp;VLOOKUP(A539,Internal_lists_bugs!$A$2:$G1013,7,FALSE())&amp;CHAR(10)&amp;"Intro.Issues: "&amp;VLOOKUP(A539,Internal_lists_bugs!$A$2:$P1013,16,FALSE())),"please select a BUG ID")</f>
        <v>please select a BUG ID</v>
      </c>
    </row>
    <row r="540">
      <c r="A540" s="54"/>
      <c r="B540" s="88" t="str">
        <f>IFERROR(HYPERLINK(VLOOKUP(A540,Internal_lists_bugs!$A$2:$C$73,3,FALSE()), VLOOKUP(A540,Internal_lists_bugs!$A$2:$C$73,3,FALSE())&amp;Char(10) &amp; Char(10) &amp; VLOOKUP(A540,Internal_lists_bugs!$A$2:$Z$73,26,FALSE())),"please select a BUG ID")</f>
        <v>please select a BUG ID</v>
      </c>
      <c r="C540" s="89" t="str">
        <f>IFERROR(VLOOKUP(A540,Internal_lists_bugs!$A$2:$X1013,24,FALSE()),"please select a BUG ID")</f>
        <v>please select a BUG ID</v>
      </c>
      <c r="E540" s="82"/>
      <c r="F540" s="80"/>
      <c r="H540" s="82"/>
      <c r="I540" s="80"/>
      <c r="J540" s="51" t="str">
        <f>IFERROR(Hyperlink(VLOOKUP(A540,Internal_lists_bugs!$A$2:$G1013,7,FALSE()),"BIC: "&amp;VLOOKUP(A540,Internal_lists_bugs!$A$2:$G1013,7,FALSE())&amp;CHAR(10)&amp;"Intro.Issues: "&amp;VLOOKUP(A540,Internal_lists_bugs!$A$2:$P1013,16,FALSE())),"please select a BUG ID")</f>
        <v>please select a BUG ID</v>
      </c>
    </row>
    <row r="541">
      <c r="A541" s="54"/>
      <c r="B541" s="88" t="str">
        <f>IFERROR(HYPERLINK(VLOOKUP(A541,Internal_lists_bugs!$A$2:$C$73,3,FALSE()), VLOOKUP(A541,Internal_lists_bugs!$A$2:$C$73,3,FALSE())&amp;Char(10) &amp; Char(10) &amp; VLOOKUP(A541,Internal_lists_bugs!$A$2:$Z$73,26,FALSE())),"please select a BUG ID")</f>
        <v>please select a BUG ID</v>
      </c>
      <c r="C541" s="89" t="str">
        <f>IFERROR(VLOOKUP(A541,Internal_lists_bugs!$A$2:$X1013,24,FALSE()),"please select a BUG ID")</f>
        <v>please select a BUG ID</v>
      </c>
      <c r="E541" s="82"/>
      <c r="F541" s="80"/>
      <c r="H541" s="82"/>
      <c r="I541" s="80"/>
      <c r="J541" s="51" t="str">
        <f>IFERROR(Hyperlink(VLOOKUP(A541,Internal_lists_bugs!$A$2:$G1013,7,FALSE()),"BIC: "&amp;VLOOKUP(A541,Internal_lists_bugs!$A$2:$G1013,7,FALSE())&amp;CHAR(10)&amp;"Intro.Issues: "&amp;VLOOKUP(A541,Internal_lists_bugs!$A$2:$P1013,16,FALSE())),"please select a BUG ID")</f>
        <v>please select a BUG ID</v>
      </c>
    </row>
    <row r="542">
      <c r="A542" s="54"/>
      <c r="B542" s="88" t="str">
        <f>IFERROR(HYPERLINK(VLOOKUP(A542,Internal_lists_bugs!$A$2:$C$73,3,FALSE()), VLOOKUP(A542,Internal_lists_bugs!$A$2:$C$73,3,FALSE())&amp;Char(10) &amp; Char(10) &amp; VLOOKUP(A542,Internal_lists_bugs!$A$2:$Z$73,26,FALSE())),"please select a BUG ID")</f>
        <v>please select a BUG ID</v>
      </c>
      <c r="C542" s="89" t="str">
        <f>IFERROR(VLOOKUP(A542,Internal_lists_bugs!$A$2:$X1013,24,FALSE()),"please select a BUG ID")</f>
        <v>please select a BUG ID</v>
      </c>
      <c r="E542" s="82"/>
      <c r="F542" s="80"/>
      <c r="H542" s="82"/>
      <c r="I542" s="80"/>
      <c r="J542" s="51" t="str">
        <f>IFERROR(Hyperlink(VLOOKUP(A542,Internal_lists_bugs!$A$2:$G1013,7,FALSE()),"BIC: "&amp;VLOOKUP(A542,Internal_lists_bugs!$A$2:$G1013,7,FALSE())&amp;CHAR(10)&amp;"Intro.Issues: "&amp;VLOOKUP(A542,Internal_lists_bugs!$A$2:$P1013,16,FALSE())),"please select a BUG ID")</f>
        <v>please select a BUG ID</v>
      </c>
    </row>
    <row r="543">
      <c r="A543" s="54"/>
      <c r="B543" s="88" t="str">
        <f>IFERROR(HYPERLINK(VLOOKUP(A543,Internal_lists_bugs!$A$2:$C$73,3,FALSE()), VLOOKUP(A543,Internal_lists_bugs!$A$2:$C$73,3,FALSE())&amp;Char(10) &amp; Char(10) &amp; VLOOKUP(A543,Internal_lists_bugs!$A$2:$Z$73,26,FALSE())),"please select a BUG ID")</f>
        <v>please select a BUG ID</v>
      </c>
      <c r="C543" s="89" t="str">
        <f>IFERROR(VLOOKUP(A543,Internal_lists_bugs!$A$2:$X1013,24,FALSE()),"please select a BUG ID")</f>
        <v>please select a BUG ID</v>
      </c>
      <c r="E543" s="82"/>
      <c r="F543" s="80"/>
      <c r="H543" s="82"/>
      <c r="I543" s="80"/>
      <c r="J543" s="51" t="str">
        <f>IFERROR(Hyperlink(VLOOKUP(A543,Internal_lists_bugs!$A$2:$G1013,7,FALSE()),"BIC: "&amp;VLOOKUP(A543,Internal_lists_bugs!$A$2:$G1013,7,FALSE())&amp;CHAR(10)&amp;"Intro.Issues: "&amp;VLOOKUP(A543,Internal_lists_bugs!$A$2:$P1013,16,FALSE())),"please select a BUG ID")</f>
        <v>please select a BUG ID</v>
      </c>
    </row>
    <row r="544">
      <c r="A544" s="54"/>
      <c r="B544" s="88" t="str">
        <f>IFERROR(HYPERLINK(VLOOKUP(A544,Internal_lists_bugs!$A$2:$C$73,3,FALSE()), VLOOKUP(A544,Internal_lists_bugs!$A$2:$C$73,3,FALSE())&amp;Char(10) &amp; Char(10) &amp; VLOOKUP(A544,Internal_lists_bugs!$A$2:$Z$73,26,FALSE())),"please select a BUG ID")</f>
        <v>please select a BUG ID</v>
      </c>
      <c r="C544" s="89" t="str">
        <f>IFERROR(VLOOKUP(A544,Internal_lists_bugs!$A$2:$X1013,24,FALSE()),"please select a BUG ID")</f>
        <v>please select a BUG ID</v>
      </c>
      <c r="E544" s="82"/>
      <c r="F544" s="80"/>
      <c r="H544" s="82"/>
      <c r="I544" s="80"/>
      <c r="J544" s="51" t="str">
        <f>IFERROR(Hyperlink(VLOOKUP(A544,Internal_lists_bugs!$A$2:$G1013,7,FALSE()),"BIC: "&amp;VLOOKUP(A544,Internal_lists_bugs!$A$2:$G1013,7,FALSE())&amp;CHAR(10)&amp;"Intro.Issues: "&amp;VLOOKUP(A544,Internal_lists_bugs!$A$2:$P1013,16,FALSE())),"please select a BUG ID")</f>
        <v>please select a BUG ID</v>
      </c>
    </row>
    <row r="545">
      <c r="A545" s="54"/>
      <c r="B545" s="88" t="str">
        <f>IFERROR(HYPERLINK(VLOOKUP(A545,Internal_lists_bugs!$A$2:$C$73,3,FALSE()), VLOOKUP(A545,Internal_lists_bugs!$A$2:$C$73,3,FALSE())&amp;Char(10) &amp; Char(10) &amp; VLOOKUP(A545,Internal_lists_bugs!$A$2:$Z$73,26,FALSE())),"please select a BUG ID")</f>
        <v>please select a BUG ID</v>
      </c>
      <c r="C545" s="89" t="str">
        <f>IFERROR(VLOOKUP(A545,Internal_lists_bugs!$A$2:$X1013,24,FALSE()),"please select a BUG ID")</f>
        <v>please select a BUG ID</v>
      </c>
      <c r="E545" s="82"/>
      <c r="F545" s="80"/>
      <c r="H545" s="82"/>
      <c r="I545" s="80"/>
      <c r="J545" s="51" t="str">
        <f>IFERROR(Hyperlink(VLOOKUP(A545,Internal_lists_bugs!$A$2:$G1013,7,FALSE()),"BIC: "&amp;VLOOKUP(A545,Internal_lists_bugs!$A$2:$G1013,7,FALSE())&amp;CHAR(10)&amp;"Intro.Issues: "&amp;VLOOKUP(A545,Internal_lists_bugs!$A$2:$P1013,16,FALSE())),"please select a BUG ID")</f>
        <v>please select a BUG ID</v>
      </c>
    </row>
    <row r="546">
      <c r="A546" s="54"/>
      <c r="B546" s="88" t="str">
        <f>IFERROR(HYPERLINK(VLOOKUP(A546,Internal_lists_bugs!$A$2:$C$73,3,FALSE()), VLOOKUP(A546,Internal_lists_bugs!$A$2:$C$73,3,FALSE())&amp;Char(10) &amp; Char(10) &amp; VLOOKUP(A546,Internal_lists_bugs!$A$2:$Z$73,26,FALSE())),"please select a BUG ID")</f>
        <v>please select a BUG ID</v>
      </c>
      <c r="C546" s="89" t="str">
        <f>IFERROR(VLOOKUP(A546,Internal_lists_bugs!$A$2:$X1013,24,FALSE()),"please select a BUG ID")</f>
        <v>please select a BUG ID</v>
      </c>
      <c r="E546" s="82"/>
      <c r="F546" s="80"/>
      <c r="H546" s="82"/>
      <c r="I546" s="80"/>
      <c r="J546" s="51" t="str">
        <f>IFERROR(Hyperlink(VLOOKUP(A546,Internal_lists_bugs!$A$2:$G1013,7,FALSE()),"BIC: "&amp;VLOOKUP(A546,Internal_lists_bugs!$A$2:$G1013,7,FALSE())&amp;CHAR(10)&amp;"Intro.Issues: "&amp;VLOOKUP(A546,Internal_lists_bugs!$A$2:$P1013,16,FALSE())),"please select a BUG ID")</f>
        <v>please select a BUG ID</v>
      </c>
    </row>
    <row r="547">
      <c r="A547" s="54"/>
      <c r="B547" s="88" t="str">
        <f>IFERROR(HYPERLINK(VLOOKUP(A547,Internal_lists_bugs!$A$2:$C$73,3,FALSE()), VLOOKUP(A547,Internal_lists_bugs!$A$2:$C$73,3,FALSE())&amp;Char(10) &amp; Char(10) &amp; VLOOKUP(A547,Internal_lists_bugs!$A$2:$Z$73,26,FALSE())),"please select a BUG ID")</f>
        <v>please select a BUG ID</v>
      </c>
      <c r="C547" s="89" t="str">
        <f>IFERROR(VLOOKUP(A547,Internal_lists_bugs!$A$2:$X1013,24,FALSE()),"please select a BUG ID")</f>
        <v>please select a BUG ID</v>
      </c>
      <c r="E547" s="82"/>
      <c r="F547" s="80"/>
      <c r="H547" s="82"/>
      <c r="I547" s="80"/>
      <c r="J547" s="51" t="str">
        <f>IFERROR(Hyperlink(VLOOKUP(A547,Internal_lists_bugs!$A$2:$G1013,7,FALSE()),"BIC: "&amp;VLOOKUP(A547,Internal_lists_bugs!$A$2:$G1013,7,FALSE())&amp;CHAR(10)&amp;"Intro.Issues: "&amp;VLOOKUP(A547,Internal_lists_bugs!$A$2:$P1013,16,FALSE())),"please select a BUG ID")</f>
        <v>please select a BUG ID</v>
      </c>
    </row>
    <row r="548">
      <c r="A548" s="54"/>
      <c r="B548" s="88" t="str">
        <f>IFERROR(HYPERLINK(VLOOKUP(A548,Internal_lists_bugs!$A$2:$C$73,3,FALSE()), VLOOKUP(A548,Internal_lists_bugs!$A$2:$C$73,3,FALSE())&amp;Char(10) &amp; Char(10) &amp; VLOOKUP(A548,Internal_lists_bugs!$A$2:$Z$73,26,FALSE())),"please select a BUG ID")</f>
        <v>please select a BUG ID</v>
      </c>
      <c r="C548" s="89" t="str">
        <f>IFERROR(VLOOKUP(A548,Internal_lists_bugs!$A$2:$X1013,24,FALSE()),"please select a BUG ID")</f>
        <v>please select a BUG ID</v>
      </c>
      <c r="E548" s="82"/>
      <c r="F548" s="80"/>
      <c r="H548" s="82"/>
      <c r="I548" s="80"/>
      <c r="J548" s="51" t="str">
        <f>IFERROR(Hyperlink(VLOOKUP(A548,Internal_lists_bugs!$A$2:$G1013,7,FALSE()),"BIC: "&amp;VLOOKUP(A548,Internal_lists_bugs!$A$2:$G1013,7,FALSE())&amp;CHAR(10)&amp;"Intro.Issues: "&amp;VLOOKUP(A548,Internal_lists_bugs!$A$2:$P1013,16,FALSE())),"please select a BUG ID")</f>
        <v>please select a BUG ID</v>
      </c>
    </row>
    <row r="549">
      <c r="A549" s="54"/>
      <c r="B549" s="88" t="str">
        <f>IFERROR(HYPERLINK(VLOOKUP(A549,Internal_lists_bugs!$A$2:$C$73,3,FALSE()), VLOOKUP(A549,Internal_lists_bugs!$A$2:$C$73,3,FALSE())&amp;Char(10) &amp; Char(10) &amp; VLOOKUP(A549,Internal_lists_bugs!$A$2:$Z$73,26,FALSE())),"please select a BUG ID")</f>
        <v>please select a BUG ID</v>
      </c>
      <c r="C549" s="89" t="str">
        <f>IFERROR(VLOOKUP(A549,Internal_lists_bugs!$A$2:$X1013,24,FALSE()),"please select a BUG ID")</f>
        <v>please select a BUG ID</v>
      </c>
      <c r="E549" s="82"/>
      <c r="F549" s="80"/>
      <c r="H549" s="82"/>
      <c r="I549" s="80"/>
      <c r="J549" s="51" t="str">
        <f>IFERROR(Hyperlink(VLOOKUP(A549,Internal_lists_bugs!$A$2:$G1013,7,FALSE()),"BIC: "&amp;VLOOKUP(A549,Internal_lists_bugs!$A$2:$G1013,7,FALSE())&amp;CHAR(10)&amp;"Intro.Issues: "&amp;VLOOKUP(A549,Internal_lists_bugs!$A$2:$P1013,16,FALSE())),"please select a BUG ID")</f>
        <v>please select a BUG ID</v>
      </c>
    </row>
    <row r="550">
      <c r="A550" s="54"/>
      <c r="B550" s="88" t="str">
        <f>IFERROR(HYPERLINK(VLOOKUP(A550,Internal_lists_bugs!$A$2:$C$73,3,FALSE()), VLOOKUP(A550,Internal_lists_bugs!$A$2:$C$73,3,FALSE())&amp;Char(10) &amp; Char(10) &amp; VLOOKUP(A550,Internal_lists_bugs!$A$2:$Z$73,26,FALSE())),"please select a BUG ID")</f>
        <v>please select a BUG ID</v>
      </c>
      <c r="C550" s="89" t="str">
        <f>IFERROR(VLOOKUP(A550,Internal_lists_bugs!$A$2:$X1013,24,FALSE()),"please select a BUG ID")</f>
        <v>please select a BUG ID</v>
      </c>
      <c r="E550" s="82"/>
      <c r="F550" s="80"/>
      <c r="H550" s="82"/>
      <c r="I550" s="80"/>
      <c r="J550" s="51" t="str">
        <f>IFERROR(Hyperlink(VLOOKUP(A550,Internal_lists_bugs!$A$2:$G1013,7,FALSE()),"BIC: "&amp;VLOOKUP(A550,Internal_lists_bugs!$A$2:$G1013,7,FALSE())&amp;CHAR(10)&amp;"Intro.Issues: "&amp;VLOOKUP(A550,Internal_lists_bugs!$A$2:$P1013,16,FALSE())),"please select a BUG ID")</f>
        <v>please select a BUG ID</v>
      </c>
    </row>
    <row r="551">
      <c r="A551" s="54"/>
      <c r="B551" s="88" t="str">
        <f>IFERROR(HYPERLINK(VLOOKUP(A551,Internal_lists_bugs!$A$2:$C$73,3,FALSE()), VLOOKUP(A551,Internal_lists_bugs!$A$2:$C$73,3,FALSE())&amp;Char(10) &amp; Char(10) &amp; VLOOKUP(A551,Internal_lists_bugs!$A$2:$Z$73,26,FALSE())),"please select a BUG ID")</f>
        <v>please select a BUG ID</v>
      </c>
      <c r="C551" s="89" t="str">
        <f>IFERROR(VLOOKUP(A551,Internal_lists_bugs!$A$2:$X1013,24,FALSE()),"please select a BUG ID")</f>
        <v>please select a BUG ID</v>
      </c>
      <c r="E551" s="82"/>
      <c r="F551" s="80"/>
      <c r="H551" s="82"/>
      <c r="I551" s="80"/>
      <c r="J551" s="51" t="str">
        <f>IFERROR(Hyperlink(VLOOKUP(A551,Internal_lists_bugs!$A$2:$G1013,7,FALSE()),"BIC: "&amp;VLOOKUP(A551,Internal_lists_bugs!$A$2:$G1013,7,FALSE())&amp;CHAR(10)&amp;"Intro.Issues: "&amp;VLOOKUP(A551,Internal_lists_bugs!$A$2:$P1013,16,FALSE())),"please select a BUG ID")</f>
        <v>please select a BUG ID</v>
      </c>
    </row>
    <row r="552">
      <c r="A552" s="54"/>
      <c r="B552" s="88" t="str">
        <f>IFERROR(HYPERLINK(VLOOKUP(A552,Internal_lists_bugs!$A$2:$C$73,3,FALSE()), VLOOKUP(A552,Internal_lists_bugs!$A$2:$C$73,3,FALSE())&amp;Char(10) &amp; Char(10) &amp; VLOOKUP(A552,Internal_lists_bugs!$A$2:$Z$73,26,FALSE())),"please select a BUG ID")</f>
        <v>please select a BUG ID</v>
      </c>
      <c r="C552" s="89" t="str">
        <f>IFERROR(VLOOKUP(A552,Internal_lists_bugs!$A$2:$X1013,24,FALSE()),"please select a BUG ID")</f>
        <v>please select a BUG ID</v>
      </c>
      <c r="E552" s="82"/>
      <c r="F552" s="80"/>
      <c r="H552" s="82"/>
      <c r="I552" s="80"/>
      <c r="J552" s="51" t="str">
        <f>IFERROR(Hyperlink(VLOOKUP(A552,Internal_lists_bugs!$A$2:$G1013,7,FALSE()),"BIC: "&amp;VLOOKUP(A552,Internal_lists_bugs!$A$2:$G1013,7,FALSE())&amp;CHAR(10)&amp;"Intro.Issues: "&amp;VLOOKUP(A552,Internal_lists_bugs!$A$2:$P1013,16,FALSE())),"please select a BUG ID")</f>
        <v>please select a BUG ID</v>
      </c>
    </row>
    <row r="553">
      <c r="A553" s="54"/>
      <c r="B553" s="88" t="str">
        <f>IFERROR(HYPERLINK(VLOOKUP(A553,Internal_lists_bugs!$A$2:$C$73,3,FALSE()), VLOOKUP(A553,Internal_lists_bugs!$A$2:$C$73,3,FALSE())&amp;Char(10) &amp; Char(10) &amp; VLOOKUP(A553,Internal_lists_bugs!$A$2:$Z$73,26,FALSE())),"please select a BUG ID")</f>
        <v>please select a BUG ID</v>
      </c>
      <c r="C553" s="89" t="str">
        <f>IFERROR(VLOOKUP(A553,Internal_lists_bugs!$A$2:$X1013,24,FALSE()),"please select a BUG ID")</f>
        <v>please select a BUG ID</v>
      </c>
      <c r="E553" s="82"/>
      <c r="F553" s="80"/>
      <c r="H553" s="82"/>
      <c r="I553" s="80"/>
      <c r="J553" s="51" t="str">
        <f>IFERROR(Hyperlink(VLOOKUP(A553,Internal_lists_bugs!$A$2:$G1013,7,FALSE()),"BIC: "&amp;VLOOKUP(A553,Internal_lists_bugs!$A$2:$G1013,7,FALSE())&amp;CHAR(10)&amp;"Intro.Issues: "&amp;VLOOKUP(A553,Internal_lists_bugs!$A$2:$P1013,16,FALSE())),"please select a BUG ID")</f>
        <v>please select a BUG ID</v>
      </c>
    </row>
    <row r="554">
      <c r="A554" s="54"/>
      <c r="B554" s="88" t="str">
        <f>IFERROR(HYPERLINK(VLOOKUP(A554,Internal_lists_bugs!$A$2:$C$73,3,FALSE()), VLOOKUP(A554,Internal_lists_bugs!$A$2:$C$73,3,FALSE())&amp;Char(10) &amp; Char(10) &amp; VLOOKUP(A554,Internal_lists_bugs!$A$2:$Z$73,26,FALSE())),"please select a BUG ID")</f>
        <v>please select a BUG ID</v>
      </c>
      <c r="C554" s="89" t="str">
        <f>IFERROR(VLOOKUP(A554,Internal_lists_bugs!$A$2:$X1013,24,FALSE()),"please select a BUG ID")</f>
        <v>please select a BUG ID</v>
      </c>
      <c r="E554" s="82"/>
      <c r="F554" s="80"/>
      <c r="H554" s="82"/>
      <c r="I554" s="80"/>
      <c r="J554" s="51" t="str">
        <f>IFERROR(Hyperlink(VLOOKUP(A554,Internal_lists_bugs!$A$2:$G1013,7,FALSE()),"BIC: "&amp;VLOOKUP(A554,Internal_lists_bugs!$A$2:$G1013,7,FALSE())&amp;CHAR(10)&amp;"Intro.Issues: "&amp;VLOOKUP(A554,Internal_lists_bugs!$A$2:$P1013,16,FALSE())),"please select a BUG ID")</f>
        <v>please select a BUG ID</v>
      </c>
    </row>
    <row r="555">
      <c r="A555" s="54"/>
      <c r="B555" s="88" t="str">
        <f>IFERROR(HYPERLINK(VLOOKUP(A555,Internal_lists_bugs!$A$2:$C$73,3,FALSE()), VLOOKUP(A555,Internal_lists_bugs!$A$2:$C$73,3,FALSE())&amp;Char(10) &amp; Char(10) &amp; VLOOKUP(A555,Internal_lists_bugs!$A$2:$Z$73,26,FALSE())),"please select a BUG ID")</f>
        <v>please select a BUG ID</v>
      </c>
      <c r="C555" s="89" t="str">
        <f>IFERROR(VLOOKUP(A555,Internal_lists_bugs!$A$2:$X1013,24,FALSE()),"please select a BUG ID")</f>
        <v>please select a BUG ID</v>
      </c>
      <c r="E555" s="82"/>
      <c r="F555" s="80"/>
      <c r="H555" s="82"/>
      <c r="I555" s="80"/>
      <c r="J555" s="51" t="str">
        <f>IFERROR(Hyperlink(VLOOKUP(A555,Internal_lists_bugs!$A$2:$G1013,7,FALSE()),"BIC: "&amp;VLOOKUP(A555,Internal_lists_bugs!$A$2:$G1013,7,FALSE())&amp;CHAR(10)&amp;"Intro.Issues: "&amp;VLOOKUP(A555,Internal_lists_bugs!$A$2:$P1013,16,FALSE())),"please select a BUG ID")</f>
        <v>please select a BUG ID</v>
      </c>
    </row>
    <row r="556">
      <c r="A556" s="54"/>
      <c r="B556" s="88" t="str">
        <f>IFERROR(HYPERLINK(VLOOKUP(A556,Internal_lists_bugs!$A$2:$C$73,3,FALSE()), VLOOKUP(A556,Internal_lists_bugs!$A$2:$C$73,3,FALSE())&amp;Char(10) &amp; Char(10) &amp; VLOOKUP(A556,Internal_lists_bugs!$A$2:$Z$73,26,FALSE())),"please select a BUG ID")</f>
        <v>please select a BUG ID</v>
      </c>
      <c r="C556" s="89" t="str">
        <f>IFERROR(VLOOKUP(A556,Internal_lists_bugs!$A$2:$X1013,24,FALSE()),"please select a BUG ID")</f>
        <v>please select a BUG ID</v>
      </c>
      <c r="E556" s="82"/>
      <c r="F556" s="80"/>
      <c r="H556" s="82"/>
      <c r="I556" s="80"/>
      <c r="J556" s="51" t="str">
        <f>IFERROR(Hyperlink(VLOOKUP(A556,Internal_lists_bugs!$A$2:$G1013,7,FALSE()),"BIC: "&amp;VLOOKUP(A556,Internal_lists_bugs!$A$2:$G1013,7,FALSE())&amp;CHAR(10)&amp;"Intro.Issues: "&amp;VLOOKUP(A556,Internal_lists_bugs!$A$2:$P1013,16,FALSE())),"please select a BUG ID")</f>
        <v>please select a BUG ID</v>
      </c>
    </row>
    <row r="557">
      <c r="A557" s="54"/>
      <c r="B557" s="88" t="str">
        <f>IFERROR(HYPERLINK(VLOOKUP(A557,Internal_lists_bugs!$A$2:$C$73,3,FALSE()), VLOOKUP(A557,Internal_lists_bugs!$A$2:$C$73,3,FALSE())&amp;Char(10) &amp; Char(10) &amp; VLOOKUP(A557,Internal_lists_bugs!$A$2:$Z$73,26,FALSE())),"please select a BUG ID")</f>
        <v>please select a BUG ID</v>
      </c>
      <c r="C557" s="89" t="str">
        <f>IFERROR(VLOOKUP(A557,Internal_lists_bugs!$A$2:$X1013,24,FALSE()),"please select a BUG ID")</f>
        <v>please select a BUG ID</v>
      </c>
      <c r="E557" s="82"/>
      <c r="F557" s="80"/>
      <c r="H557" s="82"/>
      <c r="I557" s="80"/>
      <c r="J557" s="51" t="str">
        <f>IFERROR(Hyperlink(VLOOKUP(A557,Internal_lists_bugs!$A$2:$G1013,7,FALSE()),"BIC: "&amp;VLOOKUP(A557,Internal_lists_bugs!$A$2:$G1013,7,FALSE())&amp;CHAR(10)&amp;"Intro.Issues: "&amp;VLOOKUP(A557,Internal_lists_bugs!$A$2:$P1013,16,FALSE())),"please select a BUG ID")</f>
        <v>please select a BUG ID</v>
      </c>
    </row>
    <row r="558">
      <c r="A558" s="54"/>
      <c r="B558" s="88" t="str">
        <f>IFERROR(HYPERLINK(VLOOKUP(A558,Internal_lists_bugs!$A$2:$C$73,3,FALSE()), VLOOKUP(A558,Internal_lists_bugs!$A$2:$C$73,3,FALSE())&amp;Char(10) &amp; Char(10) &amp; VLOOKUP(A558,Internal_lists_bugs!$A$2:$Z$73,26,FALSE())),"please select a BUG ID")</f>
        <v>please select a BUG ID</v>
      </c>
      <c r="C558" s="89" t="str">
        <f>IFERROR(VLOOKUP(A558,Internal_lists_bugs!$A$2:$X1013,24,FALSE()),"please select a BUG ID")</f>
        <v>please select a BUG ID</v>
      </c>
      <c r="E558" s="82"/>
      <c r="F558" s="80"/>
      <c r="H558" s="82"/>
      <c r="I558" s="80"/>
      <c r="J558" s="51" t="str">
        <f>IFERROR(Hyperlink(VLOOKUP(A558,Internal_lists_bugs!$A$2:$G1013,7,FALSE()),"BIC: "&amp;VLOOKUP(A558,Internal_lists_bugs!$A$2:$G1013,7,FALSE())&amp;CHAR(10)&amp;"Intro.Issues: "&amp;VLOOKUP(A558,Internal_lists_bugs!$A$2:$P1013,16,FALSE())),"please select a BUG ID")</f>
        <v>please select a BUG ID</v>
      </c>
    </row>
    <row r="559">
      <c r="A559" s="54"/>
      <c r="B559" s="88" t="str">
        <f>IFERROR(HYPERLINK(VLOOKUP(A559,Internal_lists_bugs!$A$2:$C$73,3,FALSE()), VLOOKUP(A559,Internal_lists_bugs!$A$2:$C$73,3,FALSE())&amp;Char(10) &amp; Char(10) &amp; VLOOKUP(A559,Internal_lists_bugs!$A$2:$Z$73,26,FALSE())),"please select a BUG ID")</f>
        <v>please select a BUG ID</v>
      </c>
      <c r="C559" s="89" t="str">
        <f>IFERROR(VLOOKUP(A559,Internal_lists_bugs!$A$2:$X1013,24,FALSE()),"please select a BUG ID")</f>
        <v>please select a BUG ID</v>
      </c>
      <c r="E559" s="82"/>
      <c r="F559" s="80"/>
      <c r="H559" s="82"/>
      <c r="I559" s="80"/>
      <c r="J559" s="51" t="str">
        <f>IFERROR(Hyperlink(VLOOKUP(A559,Internal_lists_bugs!$A$2:$G1013,7,FALSE()),"BIC: "&amp;VLOOKUP(A559,Internal_lists_bugs!$A$2:$G1013,7,FALSE())&amp;CHAR(10)&amp;"Intro.Issues: "&amp;VLOOKUP(A559,Internal_lists_bugs!$A$2:$P1013,16,FALSE())),"please select a BUG ID")</f>
        <v>please select a BUG ID</v>
      </c>
    </row>
    <row r="560">
      <c r="A560" s="54"/>
      <c r="B560" s="88" t="str">
        <f>IFERROR(HYPERLINK(VLOOKUP(A560,Internal_lists_bugs!$A$2:$C$73,3,FALSE()), VLOOKUP(A560,Internal_lists_bugs!$A$2:$C$73,3,FALSE())&amp;Char(10) &amp; Char(10) &amp; VLOOKUP(A560,Internal_lists_bugs!$A$2:$Z$73,26,FALSE())),"please select a BUG ID")</f>
        <v>please select a BUG ID</v>
      </c>
      <c r="C560" s="89" t="str">
        <f>IFERROR(VLOOKUP(A560,Internal_lists_bugs!$A$2:$X1013,24,FALSE()),"please select a BUG ID")</f>
        <v>please select a BUG ID</v>
      </c>
      <c r="E560" s="82"/>
      <c r="F560" s="80"/>
      <c r="H560" s="82"/>
      <c r="I560" s="80"/>
      <c r="J560" s="51" t="str">
        <f>IFERROR(Hyperlink(VLOOKUP(A560,Internal_lists_bugs!$A$2:$G1013,7,FALSE()),"BIC: "&amp;VLOOKUP(A560,Internal_lists_bugs!$A$2:$G1013,7,FALSE())&amp;CHAR(10)&amp;"Intro.Issues: "&amp;VLOOKUP(A560,Internal_lists_bugs!$A$2:$P1013,16,FALSE())),"please select a BUG ID")</f>
        <v>please select a BUG ID</v>
      </c>
    </row>
    <row r="561">
      <c r="A561" s="54"/>
      <c r="B561" s="88" t="str">
        <f>IFERROR(HYPERLINK(VLOOKUP(A561,Internal_lists_bugs!$A$2:$C$73,3,FALSE()), VLOOKUP(A561,Internal_lists_bugs!$A$2:$C$73,3,FALSE())&amp;Char(10) &amp; Char(10) &amp; VLOOKUP(A561,Internal_lists_bugs!$A$2:$Z$73,26,FALSE())),"please select a BUG ID")</f>
        <v>please select a BUG ID</v>
      </c>
      <c r="C561" s="89" t="str">
        <f>IFERROR(VLOOKUP(A561,Internal_lists_bugs!$A$2:$X1013,24,FALSE()),"please select a BUG ID")</f>
        <v>please select a BUG ID</v>
      </c>
      <c r="E561" s="82"/>
      <c r="F561" s="80"/>
      <c r="H561" s="82"/>
      <c r="I561" s="80"/>
      <c r="J561" s="51" t="str">
        <f>IFERROR(Hyperlink(VLOOKUP(A561,Internal_lists_bugs!$A$2:$G1013,7,FALSE()),"BIC: "&amp;VLOOKUP(A561,Internal_lists_bugs!$A$2:$G1013,7,FALSE())&amp;CHAR(10)&amp;"Intro.Issues: "&amp;VLOOKUP(A561,Internal_lists_bugs!$A$2:$P1013,16,FALSE())),"please select a BUG ID")</f>
        <v>please select a BUG ID</v>
      </c>
    </row>
    <row r="562">
      <c r="A562" s="54"/>
      <c r="B562" s="88" t="str">
        <f>IFERROR(HYPERLINK(VLOOKUP(A562,Internal_lists_bugs!$A$2:$C$73,3,FALSE()), VLOOKUP(A562,Internal_lists_bugs!$A$2:$C$73,3,FALSE())&amp;Char(10) &amp; Char(10) &amp; VLOOKUP(A562,Internal_lists_bugs!$A$2:$Z$73,26,FALSE())),"please select a BUG ID")</f>
        <v>please select a BUG ID</v>
      </c>
      <c r="C562" s="89" t="str">
        <f>IFERROR(VLOOKUP(A562,Internal_lists_bugs!$A$2:$X1013,24,FALSE()),"please select a BUG ID")</f>
        <v>please select a BUG ID</v>
      </c>
      <c r="E562" s="82"/>
      <c r="F562" s="80"/>
      <c r="H562" s="82"/>
      <c r="I562" s="80"/>
      <c r="J562" s="51" t="str">
        <f>IFERROR(Hyperlink(VLOOKUP(A562,Internal_lists_bugs!$A$2:$G1013,7,FALSE()),"BIC: "&amp;VLOOKUP(A562,Internal_lists_bugs!$A$2:$G1013,7,FALSE())&amp;CHAR(10)&amp;"Intro.Issues: "&amp;VLOOKUP(A562,Internal_lists_bugs!$A$2:$P1013,16,FALSE())),"please select a BUG ID")</f>
        <v>please select a BUG ID</v>
      </c>
    </row>
    <row r="563">
      <c r="A563" s="54"/>
      <c r="B563" s="88" t="str">
        <f>IFERROR(HYPERLINK(VLOOKUP(A563,Internal_lists_bugs!$A$2:$C$73,3,FALSE()), VLOOKUP(A563,Internal_lists_bugs!$A$2:$C$73,3,FALSE())&amp;Char(10) &amp; Char(10) &amp; VLOOKUP(A563,Internal_lists_bugs!$A$2:$Z$73,26,FALSE())),"please select a BUG ID")</f>
        <v>please select a BUG ID</v>
      </c>
      <c r="C563" s="89" t="str">
        <f>IFERROR(VLOOKUP(A563,Internal_lists_bugs!$A$2:$X1013,24,FALSE()),"please select a BUG ID")</f>
        <v>please select a BUG ID</v>
      </c>
      <c r="E563" s="82"/>
      <c r="F563" s="80"/>
      <c r="H563" s="82"/>
      <c r="I563" s="80"/>
      <c r="J563" s="51" t="str">
        <f>IFERROR(Hyperlink(VLOOKUP(A563,Internal_lists_bugs!$A$2:$G1013,7,FALSE()),"BIC: "&amp;VLOOKUP(A563,Internal_lists_bugs!$A$2:$G1013,7,FALSE())&amp;CHAR(10)&amp;"Intro.Issues: "&amp;VLOOKUP(A563,Internal_lists_bugs!$A$2:$P1013,16,FALSE())),"please select a BUG ID")</f>
        <v>please select a BUG ID</v>
      </c>
    </row>
    <row r="564">
      <c r="A564" s="54"/>
      <c r="B564" s="88" t="str">
        <f>IFERROR(HYPERLINK(VLOOKUP(A564,Internal_lists_bugs!$A$2:$C$73,3,FALSE()), VLOOKUP(A564,Internal_lists_bugs!$A$2:$C$73,3,FALSE())&amp;Char(10) &amp; Char(10) &amp; VLOOKUP(A564,Internal_lists_bugs!$A$2:$Z$73,26,FALSE())),"please select a BUG ID")</f>
        <v>please select a BUG ID</v>
      </c>
      <c r="C564" s="89" t="str">
        <f>IFERROR(VLOOKUP(A564,Internal_lists_bugs!$A$2:$X1013,24,FALSE()),"please select a BUG ID")</f>
        <v>please select a BUG ID</v>
      </c>
      <c r="E564" s="82"/>
      <c r="F564" s="80"/>
      <c r="H564" s="82"/>
      <c r="I564" s="80"/>
      <c r="J564" s="51" t="str">
        <f>IFERROR(Hyperlink(VLOOKUP(A564,Internal_lists_bugs!$A$2:$G1013,7,FALSE()),"BIC: "&amp;VLOOKUP(A564,Internal_lists_bugs!$A$2:$G1013,7,FALSE())&amp;CHAR(10)&amp;"Intro.Issues: "&amp;VLOOKUP(A564,Internal_lists_bugs!$A$2:$P1013,16,FALSE())),"please select a BUG ID")</f>
        <v>please select a BUG ID</v>
      </c>
    </row>
    <row r="565">
      <c r="A565" s="54"/>
      <c r="B565" s="88" t="str">
        <f>IFERROR(HYPERLINK(VLOOKUP(A565,Internal_lists_bugs!$A$2:$C$73,3,FALSE()), VLOOKUP(A565,Internal_lists_bugs!$A$2:$C$73,3,FALSE())&amp;Char(10) &amp; Char(10) &amp; VLOOKUP(A565,Internal_lists_bugs!$A$2:$Z$73,26,FALSE())),"please select a BUG ID")</f>
        <v>please select a BUG ID</v>
      </c>
      <c r="C565" s="89" t="str">
        <f>IFERROR(VLOOKUP(A565,Internal_lists_bugs!$A$2:$X1013,24,FALSE()),"please select a BUG ID")</f>
        <v>please select a BUG ID</v>
      </c>
      <c r="E565" s="82"/>
      <c r="F565" s="80"/>
      <c r="H565" s="82"/>
      <c r="I565" s="80"/>
      <c r="J565" s="51" t="str">
        <f>IFERROR(Hyperlink(VLOOKUP(A565,Internal_lists_bugs!$A$2:$G1013,7,FALSE()),"BIC: "&amp;VLOOKUP(A565,Internal_lists_bugs!$A$2:$G1013,7,FALSE())&amp;CHAR(10)&amp;"Intro.Issues: "&amp;VLOOKUP(A565,Internal_lists_bugs!$A$2:$P1013,16,FALSE())),"please select a BUG ID")</f>
        <v>please select a BUG ID</v>
      </c>
    </row>
    <row r="566">
      <c r="A566" s="54"/>
      <c r="B566" s="88" t="str">
        <f>IFERROR(HYPERLINK(VLOOKUP(A566,Internal_lists_bugs!$A$2:$C$73,3,FALSE()), VLOOKUP(A566,Internal_lists_bugs!$A$2:$C$73,3,FALSE())&amp;Char(10) &amp; Char(10) &amp; VLOOKUP(A566,Internal_lists_bugs!$A$2:$Z$73,26,FALSE())),"please select a BUG ID")</f>
        <v>please select a BUG ID</v>
      </c>
      <c r="C566" s="89" t="str">
        <f>IFERROR(VLOOKUP(A566,Internal_lists_bugs!$A$2:$X1013,24,FALSE()),"please select a BUG ID")</f>
        <v>please select a BUG ID</v>
      </c>
      <c r="E566" s="82"/>
      <c r="F566" s="80"/>
      <c r="H566" s="82"/>
      <c r="I566" s="80"/>
      <c r="J566" s="51" t="str">
        <f>IFERROR(Hyperlink(VLOOKUP(A566,Internal_lists_bugs!$A$2:$G1013,7,FALSE()),"BIC: "&amp;VLOOKUP(A566,Internal_lists_bugs!$A$2:$G1013,7,FALSE())&amp;CHAR(10)&amp;"Intro.Issues: "&amp;VLOOKUP(A566,Internal_lists_bugs!$A$2:$P1013,16,FALSE())),"please select a BUG ID")</f>
        <v>please select a BUG ID</v>
      </c>
    </row>
    <row r="567">
      <c r="A567" s="54"/>
      <c r="B567" s="88" t="str">
        <f>IFERROR(HYPERLINK(VLOOKUP(A567,Internal_lists_bugs!$A$2:$C$73,3,FALSE()), VLOOKUP(A567,Internal_lists_bugs!$A$2:$C$73,3,FALSE())&amp;Char(10) &amp; Char(10) &amp; VLOOKUP(A567,Internal_lists_bugs!$A$2:$Z$73,26,FALSE())),"please select a BUG ID")</f>
        <v>please select a BUG ID</v>
      </c>
      <c r="C567" s="89" t="str">
        <f>IFERROR(VLOOKUP(A567,Internal_lists_bugs!$A$2:$X1013,24,FALSE()),"please select a BUG ID")</f>
        <v>please select a BUG ID</v>
      </c>
      <c r="E567" s="82"/>
      <c r="F567" s="80"/>
      <c r="H567" s="82"/>
      <c r="I567" s="80"/>
      <c r="J567" s="51" t="str">
        <f>IFERROR(Hyperlink(VLOOKUP(A567,Internal_lists_bugs!$A$2:$G1013,7,FALSE()),"BIC: "&amp;VLOOKUP(A567,Internal_lists_bugs!$A$2:$G1013,7,FALSE())&amp;CHAR(10)&amp;"Intro.Issues: "&amp;VLOOKUP(A567,Internal_lists_bugs!$A$2:$P1013,16,FALSE())),"please select a BUG ID")</f>
        <v>please select a BUG ID</v>
      </c>
    </row>
    <row r="568">
      <c r="A568" s="54"/>
      <c r="B568" s="88" t="str">
        <f>IFERROR(HYPERLINK(VLOOKUP(A568,Internal_lists_bugs!$A$2:$C$73,3,FALSE()), VLOOKUP(A568,Internal_lists_bugs!$A$2:$C$73,3,FALSE())&amp;Char(10) &amp; Char(10) &amp; VLOOKUP(A568,Internal_lists_bugs!$A$2:$Z$73,26,FALSE())),"please select a BUG ID")</f>
        <v>please select a BUG ID</v>
      </c>
      <c r="C568" s="89" t="str">
        <f>IFERROR(VLOOKUP(A568,Internal_lists_bugs!$A$2:$X1013,24,FALSE()),"please select a BUG ID")</f>
        <v>please select a BUG ID</v>
      </c>
      <c r="E568" s="82"/>
      <c r="F568" s="80"/>
      <c r="H568" s="82"/>
      <c r="I568" s="80"/>
      <c r="J568" s="51" t="str">
        <f>IFERROR(Hyperlink(VLOOKUP(A568,Internal_lists_bugs!$A$2:$G1013,7,FALSE()),"BIC: "&amp;VLOOKUP(A568,Internal_lists_bugs!$A$2:$G1013,7,FALSE())&amp;CHAR(10)&amp;"Intro.Issues: "&amp;VLOOKUP(A568,Internal_lists_bugs!$A$2:$P1013,16,FALSE())),"please select a BUG ID")</f>
        <v>please select a BUG ID</v>
      </c>
    </row>
    <row r="569">
      <c r="A569" s="54"/>
      <c r="B569" s="88" t="str">
        <f>IFERROR(HYPERLINK(VLOOKUP(A569,Internal_lists_bugs!$A$2:$C$73,3,FALSE()), VLOOKUP(A569,Internal_lists_bugs!$A$2:$C$73,3,FALSE())&amp;Char(10) &amp; Char(10) &amp; VLOOKUP(A569,Internal_lists_bugs!$A$2:$Z$73,26,FALSE())),"please select a BUG ID")</f>
        <v>please select a BUG ID</v>
      </c>
      <c r="C569" s="89" t="str">
        <f>IFERROR(VLOOKUP(A569,Internal_lists_bugs!$A$2:$X1013,24,FALSE()),"please select a BUG ID")</f>
        <v>please select a BUG ID</v>
      </c>
      <c r="E569" s="82"/>
      <c r="F569" s="80"/>
      <c r="H569" s="82"/>
      <c r="I569" s="80"/>
      <c r="J569" s="51" t="str">
        <f>IFERROR(Hyperlink(VLOOKUP(A569,Internal_lists_bugs!$A$2:$G1013,7,FALSE()),"BIC: "&amp;VLOOKUP(A569,Internal_lists_bugs!$A$2:$G1013,7,FALSE())&amp;CHAR(10)&amp;"Intro.Issues: "&amp;VLOOKUP(A569,Internal_lists_bugs!$A$2:$P1013,16,FALSE())),"please select a BUG ID")</f>
        <v>please select a BUG ID</v>
      </c>
    </row>
    <row r="570">
      <c r="A570" s="54"/>
      <c r="B570" s="88" t="str">
        <f>IFERROR(HYPERLINK(VLOOKUP(A570,Internal_lists_bugs!$A$2:$C$73,3,FALSE()), VLOOKUP(A570,Internal_lists_bugs!$A$2:$C$73,3,FALSE())&amp;Char(10) &amp; Char(10) &amp; VLOOKUP(A570,Internal_lists_bugs!$A$2:$Z$73,26,FALSE())),"please select a BUG ID")</f>
        <v>please select a BUG ID</v>
      </c>
      <c r="C570" s="89" t="str">
        <f>IFERROR(VLOOKUP(A570,Internal_lists_bugs!$A$2:$X1013,24,FALSE()),"please select a BUG ID")</f>
        <v>please select a BUG ID</v>
      </c>
      <c r="E570" s="82"/>
      <c r="F570" s="80"/>
      <c r="H570" s="82"/>
      <c r="I570" s="80"/>
      <c r="J570" s="51" t="str">
        <f>IFERROR(Hyperlink(VLOOKUP(A570,Internal_lists_bugs!$A$2:$G1013,7,FALSE()),"BIC: "&amp;VLOOKUP(A570,Internal_lists_bugs!$A$2:$G1013,7,FALSE())&amp;CHAR(10)&amp;"Intro.Issues: "&amp;VLOOKUP(A570,Internal_lists_bugs!$A$2:$P1013,16,FALSE())),"please select a BUG ID")</f>
        <v>please select a BUG ID</v>
      </c>
    </row>
    <row r="571">
      <c r="A571" s="54"/>
      <c r="B571" s="88" t="str">
        <f>IFERROR(HYPERLINK(VLOOKUP(A571,Internal_lists_bugs!$A$2:$C$73,3,FALSE()), VLOOKUP(A571,Internal_lists_bugs!$A$2:$C$73,3,FALSE())&amp;Char(10) &amp; Char(10) &amp; VLOOKUP(A571,Internal_lists_bugs!$A$2:$Z$73,26,FALSE())),"please select a BUG ID")</f>
        <v>please select a BUG ID</v>
      </c>
      <c r="C571" s="89" t="str">
        <f>IFERROR(VLOOKUP(A571,Internal_lists_bugs!$A$2:$X1013,24,FALSE()),"please select a BUG ID")</f>
        <v>please select a BUG ID</v>
      </c>
      <c r="E571" s="82"/>
      <c r="F571" s="80"/>
      <c r="H571" s="82"/>
      <c r="I571" s="80"/>
      <c r="J571" s="51" t="str">
        <f>IFERROR(Hyperlink(VLOOKUP(A571,Internal_lists_bugs!$A$2:$G1013,7,FALSE()),"BIC: "&amp;VLOOKUP(A571,Internal_lists_bugs!$A$2:$G1013,7,FALSE())&amp;CHAR(10)&amp;"Intro.Issues: "&amp;VLOOKUP(A571,Internal_lists_bugs!$A$2:$P1013,16,FALSE())),"please select a BUG ID")</f>
        <v>please select a BUG ID</v>
      </c>
    </row>
    <row r="572">
      <c r="A572" s="54"/>
      <c r="B572" s="88" t="str">
        <f>IFERROR(HYPERLINK(VLOOKUP(A572,Internal_lists_bugs!$A$2:$C$73,3,FALSE()), VLOOKUP(A572,Internal_lists_bugs!$A$2:$C$73,3,FALSE())&amp;Char(10) &amp; Char(10) &amp; VLOOKUP(A572,Internal_lists_bugs!$A$2:$Z$73,26,FALSE())),"please select a BUG ID")</f>
        <v>please select a BUG ID</v>
      </c>
      <c r="C572" s="89" t="str">
        <f>IFERROR(VLOOKUP(A572,Internal_lists_bugs!$A$2:$X1013,24,FALSE()),"please select a BUG ID")</f>
        <v>please select a BUG ID</v>
      </c>
      <c r="E572" s="82"/>
      <c r="F572" s="80"/>
      <c r="H572" s="82"/>
      <c r="I572" s="80"/>
      <c r="J572" s="51" t="str">
        <f>IFERROR(Hyperlink(VLOOKUP(A572,Internal_lists_bugs!$A$2:$G1013,7,FALSE()),"BIC: "&amp;VLOOKUP(A572,Internal_lists_bugs!$A$2:$G1013,7,FALSE())&amp;CHAR(10)&amp;"Intro.Issues: "&amp;VLOOKUP(A572,Internal_lists_bugs!$A$2:$P1013,16,FALSE())),"please select a BUG ID")</f>
        <v>please select a BUG ID</v>
      </c>
    </row>
    <row r="573">
      <c r="A573" s="54"/>
      <c r="B573" s="88" t="str">
        <f>IFERROR(HYPERLINK(VLOOKUP(A573,Internal_lists_bugs!$A$2:$C$73,3,FALSE()), VLOOKUP(A573,Internal_lists_bugs!$A$2:$C$73,3,FALSE())&amp;Char(10) &amp; Char(10) &amp; VLOOKUP(A573,Internal_lists_bugs!$A$2:$Z$73,26,FALSE())),"please select a BUG ID")</f>
        <v>please select a BUG ID</v>
      </c>
      <c r="C573" s="89" t="str">
        <f>IFERROR(VLOOKUP(A573,Internal_lists_bugs!$A$2:$X1013,24,FALSE()),"please select a BUG ID")</f>
        <v>please select a BUG ID</v>
      </c>
      <c r="E573" s="82"/>
      <c r="F573" s="80"/>
      <c r="H573" s="82"/>
      <c r="I573" s="80"/>
      <c r="J573" s="51" t="str">
        <f>IFERROR(Hyperlink(VLOOKUP(A573,Internal_lists_bugs!$A$2:$G1013,7,FALSE()),"BIC: "&amp;VLOOKUP(A573,Internal_lists_bugs!$A$2:$G1013,7,FALSE())&amp;CHAR(10)&amp;"Intro.Issues: "&amp;VLOOKUP(A573,Internal_lists_bugs!$A$2:$P1013,16,FALSE())),"please select a BUG ID")</f>
        <v>please select a BUG ID</v>
      </c>
    </row>
    <row r="574">
      <c r="A574" s="54"/>
      <c r="B574" s="88" t="str">
        <f>IFERROR(HYPERLINK(VLOOKUP(A574,Internal_lists_bugs!$A$2:$C$73,3,FALSE()), VLOOKUP(A574,Internal_lists_bugs!$A$2:$C$73,3,FALSE())&amp;Char(10) &amp; Char(10) &amp; VLOOKUP(A574,Internal_lists_bugs!$A$2:$Z$73,26,FALSE())),"please select a BUG ID")</f>
        <v>please select a BUG ID</v>
      </c>
      <c r="C574" s="89" t="str">
        <f>IFERROR(VLOOKUP(A574,Internal_lists_bugs!$A$2:$X1013,24,FALSE()),"please select a BUG ID")</f>
        <v>please select a BUG ID</v>
      </c>
      <c r="E574" s="82"/>
      <c r="F574" s="80"/>
      <c r="H574" s="82"/>
      <c r="I574" s="80"/>
      <c r="J574" s="51" t="str">
        <f>IFERROR(Hyperlink(VLOOKUP(A574,Internal_lists_bugs!$A$2:$G1013,7,FALSE()),"BIC: "&amp;VLOOKUP(A574,Internal_lists_bugs!$A$2:$G1013,7,FALSE())&amp;CHAR(10)&amp;"Intro.Issues: "&amp;VLOOKUP(A574,Internal_lists_bugs!$A$2:$P1013,16,FALSE())),"please select a BUG ID")</f>
        <v>please select a BUG ID</v>
      </c>
    </row>
    <row r="575">
      <c r="A575" s="54"/>
      <c r="B575" s="88" t="str">
        <f>IFERROR(HYPERLINK(VLOOKUP(A575,Internal_lists_bugs!$A$2:$C$73,3,FALSE()), VLOOKUP(A575,Internal_lists_bugs!$A$2:$C$73,3,FALSE())&amp;Char(10) &amp; Char(10) &amp; VLOOKUP(A575,Internal_lists_bugs!$A$2:$Z$73,26,FALSE())),"please select a BUG ID")</f>
        <v>please select a BUG ID</v>
      </c>
      <c r="C575" s="89" t="str">
        <f>IFERROR(VLOOKUP(A575,Internal_lists_bugs!$A$2:$X1013,24,FALSE()),"please select a BUG ID")</f>
        <v>please select a BUG ID</v>
      </c>
      <c r="E575" s="82"/>
      <c r="F575" s="80"/>
      <c r="H575" s="82"/>
      <c r="I575" s="80"/>
      <c r="J575" s="51" t="str">
        <f>IFERROR(Hyperlink(VLOOKUP(A575,Internal_lists_bugs!$A$2:$G1013,7,FALSE()),"BIC: "&amp;VLOOKUP(A575,Internal_lists_bugs!$A$2:$G1013,7,FALSE())&amp;CHAR(10)&amp;"Intro.Issues: "&amp;VLOOKUP(A575,Internal_lists_bugs!$A$2:$P1013,16,FALSE())),"please select a BUG ID")</f>
        <v>please select a BUG ID</v>
      </c>
    </row>
    <row r="576">
      <c r="A576" s="54"/>
      <c r="B576" s="88" t="str">
        <f>IFERROR(HYPERLINK(VLOOKUP(A576,Internal_lists_bugs!$A$2:$C$73,3,FALSE()), VLOOKUP(A576,Internal_lists_bugs!$A$2:$C$73,3,FALSE())&amp;Char(10) &amp; Char(10) &amp; VLOOKUP(A576,Internal_lists_bugs!$A$2:$Z$73,26,FALSE())),"please select a BUG ID")</f>
        <v>please select a BUG ID</v>
      </c>
      <c r="C576" s="89" t="str">
        <f>IFERROR(VLOOKUP(A576,Internal_lists_bugs!$A$2:$X1013,24,FALSE()),"please select a BUG ID")</f>
        <v>please select a BUG ID</v>
      </c>
      <c r="E576" s="82"/>
      <c r="F576" s="80"/>
      <c r="H576" s="82"/>
      <c r="I576" s="80"/>
      <c r="J576" s="51" t="str">
        <f>IFERROR(Hyperlink(VLOOKUP(A576,Internal_lists_bugs!$A$2:$G1013,7,FALSE()),"BIC: "&amp;VLOOKUP(A576,Internal_lists_bugs!$A$2:$G1013,7,FALSE())&amp;CHAR(10)&amp;"Intro.Issues: "&amp;VLOOKUP(A576,Internal_lists_bugs!$A$2:$P1013,16,FALSE())),"please select a BUG ID")</f>
        <v>please select a BUG ID</v>
      </c>
    </row>
    <row r="577">
      <c r="A577" s="54"/>
      <c r="B577" s="88" t="str">
        <f>IFERROR(HYPERLINK(VLOOKUP(A577,Internal_lists_bugs!$A$2:$C$73,3,FALSE()), VLOOKUP(A577,Internal_lists_bugs!$A$2:$C$73,3,FALSE())&amp;Char(10) &amp; Char(10) &amp; VLOOKUP(A577,Internal_lists_bugs!$A$2:$Z$73,26,FALSE())),"please select a BUG ID")</f>
        <v>please select a BUG ID</v>
      </c>
      <c r="C577" s="89" t="str">
        <f>IFERROR(VLOOKUP(A577,Internal_lists_bugs!$A$2:$X1013,24,FALSE()),"please select a BUG ID")</f>
        <v>please select a BUG ID</v>
      </c>
      <c r="E577" s="82"/>
      <c r="F577" s="80"/>
      <c r="H577" s="82"/>
      <c r="I577" s="80"/>
      <c r="J577" s="51" t="str">
        <f>IFERROR(Hyperlink(VLOOKUP(A577,Internal_lists_bugs!$A$2:$G1013,7,FALSE()),"BIC: "&amp;VLOOKUP(A577,Internal_lists_bugs!$A$2:$G1013,7,FALSE())&amp;CHAR(10)&amp;"Intro.Issues: "&amp;VLOOKUP(A577,Internal_lists_bugs!$A$2:$P1013,16,FALSE())),"please select a BUG ID")</f>
        <v>please select a BUG ID</v>
      </c>
    </row>
    <row r="578">
      <c r="A578" s="54"/>
      <c r="B578" s="88" t="str">
        <f>IFERROR(HYPERLINK(VLOOKUP(A578,Internal_lists_bugs!$A$2:$C$73,3,FALSE()), VLOOKUP(A578,Internal_lists_bugs!$A$2:$C$73,3,FALSE())&amp;Char(10) &amp; Char(10) &amp; VLOOKUP(A578,Internal_lists_bugs!$A$2:$Z$73,26,FALSE())),"please select a BUG ID")</f>
        <v>please select a BUG ID</v>
      </c>
      <c r="C578" s="89" t="str">
        <f>IFERROR(VLOOKUP(A578,Internal_lists_bugs!$A$2:$X1013,24,FALSE()),"please select a BUG ID")</f>
        <v>please select a BUG ID</v>
      </c>
      <c r="E578" s="82"/>
      <c r="F578" s="80"/>
      <c r="H578" s="82"/>
      <c r="I578" s="80"/>
      <c r="J578" s="51" t="str">
        <f>IFERROR(Hyperlink(VLOOKUP(A578,Internal_lists_bugs!$A$2:$G1013,7,FALSE()),"BIC: "&amp;VLOOKUP(A578,Internal_lists_bugs!$A$2:$G1013,7,FALSE())&amp;CHAR(10)&amp;"Intro.Issues: "&amp;VLOOKUP(A578,Internal_lists_bugs!$A$2:$P1013,16,FALSE())),"please select a BUG ID")</f>
        <v>please select a BUG ID</v>
      </c>
    </row>
    <row r="579">
      <c r="A579" s="54"/>
      <c r="B579" s="88" t="str">
        <f>IFERROR(HYPERLINK(VLOOKUP(A579,Internal_lists_bugs!$A$2:$C$73,3,FALSE()), VLOOKUP(A579,Internal_lists_bugs!$A$2:$C$73,3,FALSE())&amp;Char(10) &amp; Char(10) &amp; VLOOKUP(A579,Internal_lists_bugs!$A$2:$Z$73,26,FALSE())),"please select a BUG ID")</f>
        <v>please select a BUG ID</v>
      </c>
      <c r="C579" s="89" t="str">
        <f>IFERROR(VLOOKUP(A579,Internal_lists_bugs!$A$2:$X1013,24,FALSE()),"please select a BUG ID")</f>
        <v>please select a BUG ID</v>
      </c>
      <c r="E579" s="82"/>
      <c r="F579" s="80"/>
      <c r="H579" s="82"/>
      <c r="I579" s="80"/>
      <c r="J579" s="51" t="str">
        <f>IFERROR(Hyperlink(VLOOKUP(A579,Internal_lists_bugs!$A$2:$G1013,7,FALSE()),"BIC: "&amp;VLOOKUP(A579,Internal_lists_bugs!$A$2:$G1013,7,FALSE())&amp;CHAR(10)&amp;"Intro.Issues: "&amp;VLOOKUP(A579,Internal_lists_bugs!$A$2:$P1013,16,FALSE())),"please select a BUG ID")</f>
        <v>please select a BUG ID</v>
      </c>
    </row>
    <row r="580">
      <c r="A580" s="54"/>
      <c r="B580" s="88" t="str">
        <f>IFERROR(HYPERLINK(VLOOKUP(A580,Internal_lists_bugs!$A$2:$C$73,3,FALSE()), VLOOKUP(A580,Internal_lists_bugs!$A$2:$C$73,3,FALSE())&amp;Char(10) &amp; Char(10) &amp; VLOOKUP(A580,Internal_lists_bugs!$A$2:$Z$73,26,FALSE())),"please select a BUG ID")</f>
        <v>please select a BUG ID</v>
      </c>
      <c r="C580" s="89" t="str">
        <f>IFERROR(VLOOKUP(A580,Internal_lists_bugs!$A$2:$X1013,24,FALSE()),"please select a BUG ID")</f>
        <v>please select a BUG ID</v>
      </c>
      <c r="E580" s="82"/>
      <c r="F580" s="80"/>
      <c r="H580" s="82"/>
      <c r="I580" s="80"/>
      <c r="J580" s="51" t="str">
        <f>IFERROR(Hyperlink(VLOOKUP(A580,Internal_lists_bugs!$A$2:$G1013,7,FALSE()),"BIC: "&amp;VLOOKUP(A580,Internal_lists_bugs!$A$2:$G1013,7,FALSE())&amp;CHAR(10)&amp;"Intro.Issues: "&amp;VLOOKUP(A580,Internal_lists_bugs!$A$2:$P1013,16,FALSE())),"please select a BUG ID")</f>
        <v>please select a BUG ID</v>
      </c>
    </row>
    <row r="581">
      <c r="A581" s="54"/>
      <c r="B581" s="88" t="str">
        <f>IFERROR(HYPERLINK(VLOOKUP(A581,Internal_lists_bugs!$A$2:$C$73,3,FALSE()), VLOOKUP(A581,Internal_lists_bugs!$A$2:$C$73,3,FALSE())&amp;Char(10) &amp; Char(10) &amp; VLOOKUP(A581,Internal_lists_bugs!$A$2:$Z$73,26,FALSE())),"please select a BUG ID")</f>
        <v>please select a BUG ID</v>
      </c>
      <c r="C581" s="89" t="str">
        <f>IFERROR(VLOOKUP(A581,Internal_lists_bugs!$A$2:$X1013,24,FALSE()),"please select a BUG ID")</f>
        <v>please select a BUG ID</v>
      </c>
      <c r="E581" s="82"/>
      <c r="F581" s="80"/>
      <c r="H581" s="82"/>
      <c r="I581" s="80"/>
      <c r="J581" s="51" t="str">
        <f>IFERROR(Hyperlink(VLOOKUP(A581,Internal_lists_bugs!$A$2:$G1013,7,FALSE()),"BIC: "&amp;VLOOKUP(A581,Internal_lists_bugs!$A$2:$G1013,7,FALSE())&amp;CHAR(10)&amp;"Intro.Issues: "&amp;VLOOKUP(A581,Internal_lists_bugs!$A$2:$P1013,16,FALSE())),"please select a BUG ID")</f>
        <v>please select a BUG ID</v>
      </c>
    </row>
    <row r="582">
      <c r="A582" s="54"/>
      <c r="B582" s="88" t="str">
        <f>IFERROR(HYPERLINK(VLOOKUP(A582,Internal_lists_bugs!$A$2:$C$73,3,FALSE()), VLOOKUP(A582,Internal_lists_bugs!$A$2:$C$73,3,FALSE())&amp;Char(10) &amp; Char(10) &amp; VLOOKUP(A582,Internal_lists_bugs!$A$2:$Z$73,26,FALSE())),"please select a BUG ID")</f>
        <v>please select a BUG ID</v>
      </c>
      <c r="C582" s="89" t="str">
        <f>IFERROR(VLOOKUP(A582,Internal_lists_bugs!$A$2:$X1013,24,FALSE()),"please select a BUG ID")</f>
        <v>please select a BUG ID</v>
      </c>
      <c r="E582" s="82"/>
      <c r="F582" s="80"/>
      <c r="H582" s="82"/>
      <c r="I582" s="80"/>
      <c r="J582" s="51" t="str">
        <f>IFERROR(Hyperlink(VLOOKUP(A582,Internal_lists_bugs!$A$2:$G1013,7,FALSE()),"BIC: "&amp;VLOOKUP(A582,Internal_lists_bugs!$A$2:$G1013,7,FALSE())&amp;CHAR(10)&amp;"Intro.Issues: "&amp;VLOOKUP(A582,Internal_lists_bugs!$A$2:$P1013,16,FALSE())),"please select a BUG ID")</f>
        <v>please select a BUG ID</v>
      </c>
    </row>
    <row r="583">
      <c r="A583" s="54"/>
      <c r="B583" s="88" t="str">
        <f>IFERROR(HYPERLINK(VLOOKUP(A583,Internal_lists_bugs!$A$2:$C$73,3,FALSE()), VLOOKUP(A583,Internal_lists_bugs!$A$2:$C$73,3,FALSE())&amp;Char(10) &amp; Char(10) &amp; VLOOKUP(A583,Internal_lists_bugs!$A$2:$Z$73,26,FALSE())),"please select a BUG ID")</f>
        <v>please select a BUG ID</v>
      </c>
      <c r="C583" s="89" t="str">
        <f>IFERROR(VLOOKUP(A583,Internal_lists_bugs!$A$2:$X1013,24,FALSE()),"please select a BUG ID")</f>
        <v>please select a BUG ID</v>
      </c>
      <c r="E583" s="82"/>
      <c r="F583" s="80"/>
      <c r="H583" s="82"/>
      <c r="I583" s="80"/>
      <c r="J583" s="51" t="str">
        <f>IFERROR(Hyperlink(VLOOKUP(A583,Internal_lists_bugs!$A$2:$G1013,7,FALSE()),"BIC: "&amp;VLOOKUP(A583,Internal_lists_bugs!$A$2:$G1013,7,FALSE())&amp;CHAR(10)&amp;"Intro.Issues: "&amp;VLOOKUP(A583,Internal_lists_bugs!$A$2:$P1013,16,FALSE())),"please select a BUG ID")</f>
        <v>please select a BUG ID</v>
      </c>
    </row>
    <row r="584">
      <c r="A584" s="54"/>
      <c r="B584" s="88" t="str">
        <f>IFERROR(HYPERLINK(VLOOKUP(A584,Internal_lists_bugs!$A$2:$C$73,3,FALSE()), VLOOKUP(A584,Internal_lists_bugs!$A$2:$C$73,3,FALSE())&amp;Char(10) &amp; Char(10) &amp; VLOOKUP(A584,Internal_lists_bugs!$A$2:$Z$73,26,FALSE())),"please select a BUG ID")</f>
        <v>please select a BUG ID</v>
      </c>
      <c r="C584" s="89" t="str">
        <f>IFERROR(VLOOKUP(A584,Internal_lists_bugs!$A$2:$X1013,24,FALSE()),"please select a BUG ID")</f>
        <v>please select a BUG ID</v>
      </c>
      <c r="E584" s="82"/>
      <c r="F584" s="80"/>
      <c r="H584" s="82"/>
      <c r="I584" s="80"/>
      <c r="J584" s="51" t="str">
        <f>IFERROR(Hyperlink(VLOOKUP(A584,Internal_lists_bugs!$A$2:$G1013,7,FALSE()),"BIC: "&amp;VLOOKUP(A584,Internal_lists_bugs!$A$2:$G1013,7,FALSE())&amp;CHAR(10)&amp;"Intro.Issues: "&amp;VLOOKUP(A584,Internal_lists_bugs!$A$2:$P1013,16,FALSE())),"please select a BUG ID")</f>
        <v>please select a BUG ID</v>
      </c>
    </row>
    <row r="585">
      <c r="A585" s="54"/>
      <c r="B585" s="88" t="str">
        <f>IFERROR(HYPERLINK(VLOOKUP(A585,Internal_lists_bugs!$A$2:$C$73,3,FALSE()), VLOOKUP(A585,Internal_lists_bugs!$A$2:$C$73,3,FALSE())&amp;Char(10) &amp; Char(10) &amp; VLOOKUP(A585,Internal_lists_bugs!$A$2:$Z$73,26,FALSE())),"please select a BUG ID")</f>
        <v>please select a BUG ID</v>
      </c>
      <c r="C585" s="89" t="str">
        <f>IFERROR(VLOOKUP(A585,Internal_lists_bugs!$A$2:$X1013,24,FALSE()),"please select a BUG ID")</f>
        <v>please select a BUG ID</v>
      </c>
      <c r="E585" s="82"/>
      <c r="F585" s="80"/>
      <c r="H585" s="82"/>
      <c r="I585" s="80"/>
      <c r="J585" s="51" t="str">
        <f>IFERROR(Hyperlink(VLOOKUP(A585,Internal_lists_bugs!$A$2:$G1013,7,FALSE()),"BIC: "&amp;VLOOKUP(A585,Internal_lists_bugs!$A$2:$G1013,7,FALSE())&amp;CHAR(10)&amp;"Intro.Issues: "&amp;VLOOKUP(A585,Internal_lists_bugs!$A$2:$P1013,16,FALSE())),"please select a BUG ID")</f>
        <v>please select a BUG ID</v>
      </c>
    </row>
    <row r="586">
      <c r="A586" s="54"/>
      <c r="B586" s="88" t="str">
        <f>IFERROR(HYPERLINK(VLOOKUP(A586,Internal_lists_bugs!$A$2:$C$73,3,FALSE()), VLOOKUP(A586,Internal_lists_bugs!$A$2:$C$73,3,FALSE())&amp;Char(10) &amp; Char(10) &amp; VLOOKUP(A586,Internal_lists_bugs!$A$2:$Z$73,26,FALSE())),"please select a BUG ID")</f>
        <v>please select a BUG ID</v>
      </c>
      <c r="C586" s="89" t="str">
        <f>IFERROR(VLOOKUP(A586,Internal_lists_bugs!$A$2:$X1013,24,FALSE()),"please select a BUG ID")</f>
        <v>please select a BUG ID</v>
      </c>
      <c r="E586" s="82"/>
      <c r="F586" s="80"/>
      <c r="H586" s="82"/>
      <c r="I586" s="80"/>
      <c r="J586" s="51" t="str">
        <f>IFERROR(Hyperlink(VLOOKUP(A586,Internal_lists_bugs!$A$2:$G1013,7,FALSE()),"BIC: "&amp;VLOOKUP(A586,Internal_lists_bugs!$A$2:$G1013,7,FALSE())&amp;CHAR(10)&amp;"Intro.Issues: "&amp;VLOOKUP(A586,Internal_lists_bugs!$A$2:$P1013,16,FALSE())),"please select a BUG ID")</f>
        <v>please select a BUG ID</v>
      </c>
    </row>
    <row r="587">
      <c r="A587" s="54"/>
      <c r="B587" s="88" t="str">
        <f>IFERROR(HYPERLINK(VLOOKUP(A587,Internal_lists_bugs!$A$2:$C$73,3,FALSE()), VLOOKUP(A587,Internal_lists_bugs!$A$2:$C$73,3,FALSE())&amp;Char(10) &amp; Char(10) &amp; VLOOKUP(A587,Internal_lists_bugs!$A$2:$Z$73,26,FALSE())),"please select a BUG ID")</f>
        <v>please select a BUG ID</v>
      </c>
      <c r="C587" s="89" t="str">
        <f>IFERROR(VLOOKUP(A587,Internal_lists_bugs!$A$2:$X1013,24,FALSE()),"please select a BUG ID")</f>
        <v>please select a BUG ID</v>
      </c>
      <c r="E587" s="82"/>
      <c r="F587" s="80"/>
      <c r="H587" s="82"/>
      <c r="I587" s="80"/>
      <c r="J587" s="51" t="str">
        <f>IFERROR(Hyperlink(VLOOKUP(A587,Internal_lists_bugs!$A$2:$G1013,7,FALSE()),"BIC: "&amp;VLOOKUP(A587,Internal_lists_bugs!$A$2:$G1013,7,FALSE())&amp;CHAR(10)&amp;"Intro.Issues: "&amp;VLOOKUP(A587,Internal_lists_bugs!$A$2:$P1013,16,FALSE())),"please select a BUG ID")</f>
        <v>please select a BUG ID</v>
      </c>
    </row>
    <row r="588">
      <c r="A588" s="54"/>
      <c r="B588" s="88" t="str">
        <f>IFERROR(HYPERLINK(VLOOKUP(A588,Internal_lists_bugs!$A$2:$C$73,3,FALSE()), VLOOKUP(A588,Internal_lists_bugs!$A$2:$C$73,3,FALSE())&amp;Char(10) &amp; Char(10) &amp; VLOOKUP(A588,Internal_lists_bugs!$A$2:$Z$73,26,FALSE())),"please select a BUG ID")</f>
        <v>please select a BUG ID</v>
      </c>
      <c r="C588" s="89" t="str">
        <f>IFERROR(VLOOKUP(A588,Internal_lists_bugs!$A$2:$X1013,24,FALSE()),"please select a BUG ID")</f>
        <v>please select a BUG ID</v>
      </c>
      <c r="E588" s="82"/>
      <c r="F588" s="80"/>
      <c r="H588" s="82"/>
      <c r="I588" s="80"/>
      <c r="J588" s="51" t="str">
        <f>IFERROR(Hyperlink(VLOOKUP(A588,Internal_lists_bugs!$A$2:$G1013,7,FALSE()),"BIC: "&amp;VLOOKUP(A588,Internal_lists_bugs!$A$2:$G1013,7,FALSE())&amp;CHAR(10)&amp;"Intro.Issues: "&amp;VLOOKUP(A588,Internal_lists_bugs!$A$2:$P1013,16,FALSE())),"please select a BUG ID")</f>
        <v>please select a BUG ID</v>
      </c>
    </row>
    <row r="589">
      <c r="A589" s="54"/>
      <c r="B589" s="88" t="str">
        <f>IFERROR(HYPERLINK(VLOOKUP(A589,Internal_lists_bugs!$A$2:$C$73,3,FALSE()), VLOOKUP(A589,Internal_lists_bugs!$A$2:$C$73,3,FALSE())&amp;Char(10) &amp; Char(10) &amp; VLOOKUP(A589,Internal_lists_bugs!$A$2:$Z$73,26,FALSE())),"please select a BUG ID")</f>
        <v>please select a BUG ID</v>
      </c>
      <c r="C589" s="89" t="str">
        <f>IFERROR(VLOOKUP(A589,Internal_lists_bugs!$A$2:$X1013,24,FALSE()),"please select a BUG ID")</f>
        <v>please select a BUG ID</v>
      </c>
      <c r="E589" s="82"/>
      <c r="F589" s="80"/>
      <c r="H589" s="82"/>
      <c r="I589" s="80"/>
      <c r="J589" s="51" t="str">
        <f>IFERROR(Hyperlink(VLOOKUP(A589,Internal_lists_bugs!$A$2:$G1013,7,FALSE()),"BIC: "&amp;VLOOKUP(A589,Internal_lists_bugs!$A$2:$G1013,7,FALSE())&amp;CHAR(10)&amp;"Intro.Issues: "&amp;VLOOKUP(A589,Internal_lists_bugs!$A$2:$P1013,16,FALSE())),"please select a BUG ID")</f>
        <v>please select a BUG ID</v>
      </c>
    </row>
    <row r="590">
      <c r="A590" s="54"/>
      <c r="B590" s="88" t="str">
        <f>IFERROR(HYPERLINK(VLOOKUP(A590,Internal_lists_bugs!$A$2:$C$73,3,FALSE()), VLOOKUP(A590,Internal_lists_bugs!$A$2:$C$73,3,FALSE())&amp;Char(10) &amp; Char(10) &amp; VLOOKUP(A590,Internal_lists_bugs!$A$2:$Z$73,26,FALSE())),"please select a BUG ID")</f>
        <v>please select a BUG ID</v>
      </c>
      <c r="C590" s="89" t="str">
        <f>IFERROR(VLOOKUP(A590,Internal_lists_bugs!$A$2:$X1013,24,FALSE()),"please select a BUG ID")</f>
        <v>please select a BUG ID</v>
      </c>
      <c r="E590" s="82"/>
      <c r="F590" s="80"/>
      <c r="H590" s="82"/>
      <c r="I590" s="80"/>
      <c r="J590" s="51" t="str">
        <f>IFERROR(Hyperlink(VLOOKUP(A590,Internal_lists_bugs!$A$2:$G1013,7,FALSE()),"BIC: "&amp;VLOOKUP(A590,Internal_lists_bugs!$A$2:$G1013,7,FALSE())&amp;CHAR(10)&amp;"Intro.Issues: "&amp;VLOOKUP(A590,Internal_lists_bugs!$A$2:$P1013,16,FALSE())),"please select a BUG ID")</f>
        <v>please select a BUG ID</v>
      </c>
    </row>
    <row r="591">
      <c r="A591" s="54"/>
      <c r="B591" s="88" t="str">
        <f>IFERROR(HYPERLINK(VLOOKUP(A591,Internal_lists_bugs!$A$2:$C$73,3,FALSE()), VLOOKUP(A591,Internal_lists_bugs!$A$2:$C$73,3,FALSE())&amp;Char(10) &amp; Char(10) &amp; VLOOKUP(A591,Internal_lists_bugs!$A$2:$Z$73,26,FALSE())),"please select a BUG ID")</f>
        <v>please select a BUG ID</v>
      </c>
      <c r="C591" s="89" t="str">
        <f>IFERROR(VLOOKUP(A591,Internal_lists_bugs!$A$2:$X1013,24,FALSE()),"please select a BUG ID")</f>
        <v>please select a BUG ID</v>
      </c>
      <c r="E591" s="82"/>
      <c r="F591" s="80"/>
      <c r="H591" s="82"/>
      <c r="I591" s="80"/>
      <c r="J591" s="51" t="str">
        <f>IFERROR(Hyperlink(VLOOKUP(A591,Internal_lists_bugs!$A$2:$G1013,7,FALSE()),"BIC: "&amp;VLOOKUP(A591,Internal_lists_bugs!$A$2:$G1013,7,FALSE())&amp;CHAR(10)&amp;"Intro.Issues: "&amp;VLOOKUP(A591,Internal_lists_bugs!$A$2:$P1013,16,FALSE())),"please select a BUG ID")</f>
        <v>please select a BUG ID</v>
      </c>
    </row>
    <row r="592">
      <c r="A592" s="54"/>
      <c r="B592" s="88" t="str">
        <f>IFERROR(HYPERLINK(VLOOKUP(A592,Internal_lists_bugs!$A$2:$C$73,3,FALSE()), VLOOKUP(A592,Internal_lists_bugs!$A$2:$C$73,3,FALSE())&amp;Char(10) &amp; Char(10) &amp; VLOOKUP(A592,Internal_lists_bugs!$A$2:$Z$73,26,FALSE())),"please select a BUG ID")</f>
        <v>please select a BUG ID</v>
      </c>
      <c r="C592" s="89" t="str">
        <f>IFERROR(VLOOKUP(A592,Internal_lists_bugs!$A$2:$X1013,24,FALSE()),"please select a BUG ID")</f>
        <v>please select a BUG ID</v>
      </c>
      <c r="E592" s="82"/>
      <c r="F592" s="80"/>
      <c r="H592" s="82"/>
      <c r="I592" s="80"/>
      <c r="J592" s="51" t="str">
        <f>IFERROR(Hyperlink(VLOOKUP(A592,Internal_lists_bugs!$A$2:$G1013,7,FALSE()),"BIC: "&amp;VLOOKUP(A592,Internal_lists_bugs!$A$2:$G1013,7,FALSE())&amp;CHAR(10)&amp;"Intro.Issues: "&amp;VLOOKUP(A592,Internal_lists_bugs!$A$2:$P1013,16,FALSE())),"please select a BUG ID")</f>
        <v>please select a BUG ID</v>
      </c>
    </row>
    <row r="593">
      <c r="A593" s="54"/>
      <c r="B593" s="88" t="str">
        <f>IFERROR(HYPERLINK(VLOOKUP(A593,Internal_lists_bugs!$A$2:$C$73,3,FALSE()), VLOOKUP(A593,Internal_lists_bugs!$A$2:$C$73,3,FALSE())&amp;Char(10) &amp; Char(10) &amp; VLOOKUP(A593,Internal_lists_bugs!$A$2:$Z$73,26,FALSE())),"please select a BUG ID")</f>
        <v>please select a BUG ID</v>
      </c>
      <c r="C593" s="89" t="str">
        <f>IFERROR(VLOOKUP(A593,Internal_lists_bugs!$A$2:$X1013,24,FALSE()),"please select a BUG ID")</f>
        <v>please select a BUG ID</v>
      </c>
      <c r="E593" s="82"/>
      <c r="F593" s="80"/>
      <c r="H593" s="82"/>
      <c r="I593" s="80"/>
      <c r="J593" s="51" t="str">
        <f>IFERROR(Hyperlink(VLOOKUP(A593,Internal_lists_bugs!$A$2:$G1013,7,FALSE()),"BIC: "&amp;VLOOKUP(A593,Internal_lists_bugs!$A$2:$G1013,7,FALSE())&amp;CHAR(10)&amp;"Intro.Issues: "&amp;VLOOKUP(A593,Internal_lists_bugs!$A$2:$P1013,16,FALSE())),"please select a BUG ID")</f>
        <v>please select a BUG ID</v>
      </c>
    </row>
    <row r="594">
      <c r="A594" s="54"/>
      <c r="B594" s="88" t="str">
        <f>IFERROR(HYPERLINK(VLOOKUP(A594,Internal_lists_bugs!$A$2:$C$73,3,FALSE()), VLOOKUP(A594,Internal_lists_bugs!$A$2:$C$73,3,FALSE())&amp;Char(10) &amp; Char(10) &amp; VLOOKUP(A594,Internal_lists_bugs!$A$2:$Z$73,26,FALSE())),"please select a BUG ID")</f>
        <v>please select a BUG ID</v>
      </c>
      <c r="C594" s="89" t="str">
        <f>IFERROR(VLOOKUP(A594,Internal_lists_bugs!$A$2:$X1013,24,FALSE()),"please select a BUG ID")</f>
        <v>please select a BUG ID</v>
      </c>
      <c r="E594" s="82"/>
      <c r="F594" s="80"/>
      <c r="H594" s="82"/>
      <c r="I594" s="80"/>
      <c r="J594" s="51" t="str">
        <f>IFERROR(Hyperlink(VLOOKUP(A594,Internal_lists_bugs!$A$2:$G1013,7,FALSE()),"BIC: "&amp;VLOOKUP(A594,Internal_lists_bugs!$A$2:$G1013,7,FALSE())&amp;CHAR(10)&amp;"Intro.Issues: "&amp;VLOOKUP(A594,Internal_lists_bugs!$A$2:$P1013,16,FALSE())),"please select a BUG ID")</f>
        <v>please select a BUG ID</v>
      </c>
    </row>
    <row r="595">
      <c r="A595" s="54"/>
      <c r="B595" s="88" t="str">
        <f>IFERROR(HYPERLINK(VLOOKUP(A595,Internal_lists_bugs!$A$2:$C$73,3,FALSE()), VLOOKUP(A595,Internal_lists_bugs!$A$2:$C$73,3,FALSE())&amp;Char(10) &amp; Char(10) &amp; VLOOKUP(A595,Internal_lists_bugs!$A$2:$Z$73,26,FALSE())),"please select a BUG ID")</f>
        <v>please select a BUG ID</v>
      </c>
      <c r="C595" s="89" t="str">
        <f>IFERROR(VLOOKUP(A595,Internal_lists_bugs!$A$2:$X1013,24,FALSE()),"please select a BUG ID")</f>
        <v>please select a BUG ID</v>
      </c>
      <c r="E595" s="82"/>
      <c r="F595" s="80"/>
      <c r="H595" s="82"/>
      <c r="I595" s="80"/>
      <c r="J595" s="51" t="str">
        <f>IFERROR(Hyperlink(VLOOKUP(A595,Internal_lists_bugs!$A$2:$G1013,7,FALSE()),"BIC: "&amp;VLOOKUP(A595,Internal_lists_bugs!$A$2:$G1013,7,FALSE())&amp;CHAR(10)&amp;"Intro.Issues: "&amp;VLOOKUP(A595,Internal_lists_bugs!$A$2:$P1013,16,FALSE())),"please select a BUG ID")</f>
        <v>please select a BUG ID</v>
      </c>
    </row>
    <row r="596">
      <c r="A596" s="54"/>
      <c r="B596" s="88" t="str">
        <f>IFERROR(HYPERLINK(VLOOKUP(A596,Internal_lists_bugs!$A$2:$C$73,3,FALSE()), VLOOKUP(A596,Internal_lists_bugs!$A$2:$C$73,3,FALSE())&amp;Char(10) &amp; Char(10) &amp; VLOOKUP(A596,Internal_lists_bugs!$A$2:$Z$73,26,FALSE())),"please select a BUG ID")</f>
        <v>please select a BUG ID</v>
      </c>
      <c r="C596" s="89" t="str">
        <f>IFERROR(VLOOKUP(A596,Internal_lists_bugs!$A$2:$X1013,24,FALSE()),"please select a BUG ID")</f>
        <v>please select a BUG ID</v>
      </c>
      <c r="E596" s="82"/>
      <c r="F596" s="80"/>
      <c r="H596" s="82"/>
      <c r="I596" s="80"/>
      <c r="J596" s="51" t="str">
        <f>IFERROR(Hyperlink(VLOOKUP(A596,Internal_lists_bugs!$A$2:$G1013,7,FALSE()),"BIC: "&amp;VLOOKUP(A596,Internal_lists_bugs!$A$2:$G1013,7,FALSE())&amp;CHAR(10)&amp;"Intro.Issues: "&amp;VLOOKUP(A596,Internal_lists_bugs!$A$2:$P1013,16,FALSE())),"please select a BUG ID")</f>
        <v>please select a BUG ID</v>
      </c>
    </row>
    <row r="597">
      <c r="A597" s="54"/>
      <c r="B597" s="88" t="str">
        <f>IFERROR(HYPERLINK(VLOOKUP(A597,Internal_lists_bugs!$A$2:$C$73,3,FALSE()), VLOOKUP(A597,Internal_lists_bugs!$A$2:$C$73,3,FALSE())&amp;Char(10) &amp; Char(10) &amp; VLOOKUP(A597,Internal_lists_bugs!$A$2:$Z$73,26,FALSE())),"please select a BUG ID")</f>
        <v>please select a BUG ID</v>
      </c>
      <c r="C597" s="89" t="str">
        <f>IFERROR(VLOOKUP(A597,Internal_lists_bugs!$A$2:$X1013,24,FALSE()),"please select a BUG ID")</f>
        <v>please select a BUG ID</v>
      </c>
      <c r="E597" s="82"/>
      <c r="F597" s="80"/>
      <c r="H597" s="82"/>
      <c r="I597" s="80"/>
      <c r="J597" s="51" t="str">
        <f>IFERROR(Hyperlink(VLOOKUP(A597,Internal_lists_bugs!$A$2:$G1013,7,FALSE()),"BIC: "&amp;VLOOKUP(A597,Internal_lists_bugs!$A$2:$G1013,7,FALSE())&amp;CHAR(10)&amp;"Intro.Issues: "&amp;VLOOKUP(A597,Internal_lists_bugs!$A$2:$P1013,16,FALSE())),"please select a BUG ID")</f>
        <v>please select a BUG ID</v>
      </c>
    </row>
    <row r="598">
      <c r="A598" s="54"/>
      <c r="B598" s="88" t="str">
        <f>IFERROR(HYPERLINK(VLOOKUP(A598,Internal_lists_bugs!$A$2:$C$73,3,FALSE()), VLOOKUP(A598,Internal_lists_bugs!$A$2:$C$73,3,FALSE())&amp;Char(10) &amp; Char(10) &amp; VLOOKUP(A598,Internal_lists_bugs!$A$2:$Z$73,26,FALSE())),"please select a BUG ID")</f>
        <v>please select a BUG ID</v>
      </c>
      <c r="C598" s="89" t="str">
        <f>IFERROR(VLOOKUP(A598,Internal_lists_bugs!$A$2:$X1013,24,FALSE()),"please select a BUG ID")</f>
        <v>please select a BUG ID</v>
      </c>
      <c r="E598" s="82"/>
      <c r="F598" s="80"/>
      <c r="H598" s="82"/>
      <c r="I598" s="80"/>
      <c r="J598" s="51" t="str">
        <f>IFERROR(Hyperlink(VLOOKUP(A598,Internal_lists_bugs!$A$2:$G1013,7,FALSE()),"BIC: "&amp;VLOOKUP(A598,Internal_lists_bugs!$A$2:$G1013,7,FALSE())&amp;CHAR(10)&amp;"Intro.Issues: "&amp;VLOOKUP(A598,Internal_lists_bugs!$A$2:$P1013,16,FALSE())),"please select a BUG ID")</f>
        <v>please select a BUG ID</v>
      </c>
    </row>
    <row r="599">
      <c r="A599" s="54"/>
      <c r="B599" s="88" t="str">
        <f>IFERROR(HYPERLINK(VLOOKUP(A599,Internal_lists_bugs!$A$2:$C$73,3,FALSE()), VLOOKUP(A599,Internal_lists_bugs!$A$2:$C$73,3,FALSE())&amp;Char(10) &amp; Char(10) &amp; VLOOKUP(A599,Internal_lists_bugs!$A$2:$Z$73,26,FALSE())),"please select a BUG ID")</f>
        <v>please select a BUG ID</v>
      </c>
      <c r="C599" s="89" t="str">
        <f>IFERROR(VLOOKUP(A599,Internal_lists_bugs!$A$2:$X1013,24,FALSE()),"please select a BUG ID")</f>
        <v>please select a BUG ID</v>
      </c>
      <c r="E599" s="82"/>
      <c r="F599" s="80"/>
      <c r="H599" s="82"/>
      <c r="I599" s="80"/>
      <c r="J599" s="51" t="str">
        <f>IFERROR(Hyperlink(VLOOKUP(A599,Internal_lists_bugs!$A$2:$G1013,7,FALSE()),"BIC: "&amp;VLOOKUP(A599,Internal_lists_bugs!$A$2:$G1013,7,FALSE())&amp;CHAR(10)&amp;"Intro.Issues: "&amp;VLOOKUP(A599,Internal_lists_bugs!$A$2:$P1013,16,FALSE())),"please select a BUG ID")</f>
        <v>please select a BUG ID</v>
      </c>
    </row>
    <row r="600">
      <c r="A600" s="54"/>
      <c r="B600" s="88" t="str">
        <f>IFERROR(HYPERLINK(VLOOKUP(A600,Internal_lists_bugs!$A$2:$C$73,3,FALSE()), VLOOKUP(A600,Internal_lists_bugs!$A$2:$C$73,3,FALSE())&amp;Char(10) &amp; Char(10) &amp; VLOOKUP(A600,Internal_lists_bugs!$A$2:$Z$73,26,FALSE())),"please select a BUG ID")</f>
        <v>please select a BUG ID</v>
      </c>
      <c r="C600" s="89" t="str">
        <f>IFERROR(VLOOKUP(A600,Internal_lists_bugs!$A$2:$X1013,24,FALSE()),"please select a BUG ID")</f>
        <v>please select a BUG ID</v>
      </c>
      <c r="E600" s="82"/>
      <c r="F600" s="80"/>
      <c r="H600" s="82"/>
      <c r="I600" s="80"/>
      <c r="J600" s="51" t="str">
        <f>IFERROR(Hyperlink(VLOOKUP(A600,Internal_lists_bugs!$A$2:$G1013,7,FALSE()),"BIC: "&amp;VLOOKUP(A600,Internal_lists_bugs!$A$2:$G1013,7,FALSE())&amp;CHAR(10)&amp;"Intro.Issues: "&amp;VLOOKUP(A600,Internal_lists_bugs!$A$2:$P1013,16,FALSE())),"please select a BUG ID")</f>
        <v>please select a BUG ID</v>
      </c>
    </row>
    <row r="601">
      <c r="A601" s="54"/>
      <c r="B601" s="88" t="str">
        <f>IFERROR(HYPERLINK(VLOOKUP(A601,Internal_lists_bugs!$A$2:$C$73,3,FALSE()), VLOOKUP(A601,Internal_lists_bugs!$A$2:$C$73,3,FALSE())&amp;Char(10) &amp; Char(10) &amp; VLOOKUP(A601,Internal_lists_bugs!$A$2:$Z$73,26,FALSE())),"please select a BUG ID")</f>
        <v>please select a BUG ID</v>
      </c>
      <c r="C601" s="89" t="str">
        <f>IFERROR(VLOOKUP(A601,Internal_lists_bugs!$A$2:$X1013,24,FALSE()),"please select a BUG ID")</f>
        <v>please select a BUG ID</v>
      </c>
      <c r="E601" s="82"/>
      <c r="F601" s="80"/>
      <c r="H601" s="82"/>
      <c r="I601" s="80"/>
      <c r="J601" s="51" t="str">
        <f>IFERROR(Hyperlink(VLOOKUP(A601,Internal_lists_bugs!$A$2:$G1013,7,FALSE()),"BIC: "&amp;VLOOKUP(A601,Internal_lists_bugs!$A$2:$G1013,7,FALSE())&amp;CHAR(10)&amp;"Intro.Issues: "&amp;VLOOKUP(A601,Internal_lists_bugs!$A$2:$P1013,16,FALSE())),"please select a BUG ID")</f>
        <v>please select a BUG ID</v>
      </c>
    </row>
    <row r="602">
      <c r="A602" s="54"/>
      <c r="B602" s="88" t="str">
        <f>IFERROR(HYPERLINK(VLOOKUP(A602,Internal_lists_bugs!$A$2:$C$73,3,FALSE()), VLOOKUP(A602,Internal_lists_bugs!$A$2:$C$73,3,FALSE())&amp;Char(10) &amp; Char(10) &amp; VLOOKUP(A602,Internal_lists_bugs!$A$2:$Z$73,26,FALSE())),"please select a BUG ID")</f>
        <v>please select a BUG ID</v>
      </c>
      <c r="C602" s="89" t="str">
        <f>IFERROR(VLOOKUP(A602,Internal_lists_bugs!$A$2:$X1013,24,FALSE()),"please select a BUG ID")</f>
        <v>please select a BUG ID</v>
      </c>
      <c r="E602" s="82"/>
      <c r="F602" s="80"/>
      <c r="H602" s="82"/>
      <c r="I602" s="80"/>
      <c r="J602" s="51" t="str">
        <f>IFERROR(Hyperlink(VLOOKUP(A602,Internal_lists_bugs!$A$2:$G1013,7,FALSE()),"BIC: "&amp;VLOOKUP(A602,Internal_lists_bugs!$A$2:$G1013,7,FALSE())&amp;CHAR(10)&amp;"Intro.Issues: "&amp;VLOOKUP(A602,Internal_lists_bugs!$A$2:$P1013,16,FALSE())),"please select a BUG ID")</f>
        <v>please select a BUG ID</v>
      </c>
    </row>
    <row r="603">
      <c r="A603" s="54"/>
      <c r="B603" s="88" t="str">
        <f>IFERROR(HYPERLINK(VLOOKUP(A603,Internal_lists_bugs!$A$2:$C$73,3,FALSE()), VLOOKUP(A603,Internal_lists_bugs!$A$2:$C$73,3,FALSE())&amp;Char(10) &amp; Char(10) &amp; VLOOKUP(A603,Internal_lists_bugs!$A$2:$Z$73,26,FALSE())),"please select a BUG ID")</f>
        <v>please select a BUG ID</v>
      </c>
      <c r="C603" s="89" t="str">
        <f>IFERROR(VLOOKUP(A603,Internal_lists_bugs!$A$2:$X1013,24,FALSE()),"please select a BUG ID")</f>
        <v>please select a BUG ID</v>
      </c>
      <c r="E603" s="82"/>
      <c r="F603" s="80"/>
      <c r="H603" s="82"/>
      <c r="I603" s="80"/>
      <c r="J603" s="51" t="str">
        <f>IFERROR(Hyperlink(VLOOKUP(A603,Internal_lists_bugs!$A$2:$G1013,7,FALSE()),"BIC: "&amp;VLOOKUP(A603,Internal_lists_bugs!$A$2:$G1013,7,FALSE())&amp;CHAR(10)&amp;"Intro.Issues: "&amp;VLOOKUP(A603,Internal_lists_bugs!$A$2:$P1013,16,FALSE())),"please select a BUG ID")</f>
        <v>please select a BUG ID</v>
      </c>
    </row>
    <row r="604">
      <c r="A604" s="54"/>
      <c r="B604" s="88" t="str">
        <f>IFERROR(HYPERLINK(VLOOKUP(A604,Internal_lists_bugs!$A$2:$C$73,3,FALSE()), VLOOKUP(A604,Internal_lists_bugs!$A$2:$C$73,3,FALSE())&amp;Char(10) &amp; Char(10) &amp; VLOOKUP(A604,Internal_lists_bugs!$A$2:$Z$73,26,FALSE())),"please select a BUG ID")</f>
        <v>please select a BUG ID</v>
      </c>
      <c r="C604" s="89" t="str">
        <f>IFERROR(VLOOKUP(A604,Internal_lists_bugs!$A$2:$X1013,24,FALSE()),"please select a BUG ID")</f>
        <v>please select a BUG ID</v>
      </c>
      <c r="E604" s="82"/>
      <c r="F604" s="80"/>
      <c r="H604" s="82"/>
      <c r="I604" s="80"/>
      <c r="J604" s="51" t="str">
        <f>IFERROR(Hyperlink(VLOOKUP(A604,Internal_lists_bugs!$A$2:$G1013,7,FALSE()),"BIC: "&amp;VLOOKUP(A604,Internal_lists_bugs!$A$2:$G1013,7,FALSE())&amp;CHAR(10)&amp;"Intro.Issues: "&amp;VLOOKUP(A604,Internal_lists_bugs!$A$2:$P1013,16,FALSE())),"please select a BUG ID")</f>
        <v>please select a BUG ID</v>
      </c>
    </row>
    <row r="605">
      <c r="A605" s="54"/>
      <c r="B605" s="88" t="str">
        <f>IFERROR(HYPERLINK(VLOOKUP(A605,Internal_lists_bugs!$A$2:$C$73,3,FALSE()), VLOOKUP(A605,Internal_lists_bugs!$A$2:$C$73,3,FALSE())&amp;Char(10) &amp; Char(10) &amp; VLOOKUP(A605,Internal_lists_bugs!$A$2:$Z$73,26,FALSE())),"please select a BUG ID")</f>
        <v>please select a BUG ID</v>
      </c>
      <c r="C605" s="89" t="str">
        <f>IFERROR(VLOOKUP(A605,Internal_lists_bugs!$A$2:$X1013,24,FALSE()),"please select a BUG ID")</f>
        <v>please select a BUG ID</v>
      </c>
      <c r="E605" s="82"/>
      <c r="F605" s="80"/>
      <c r="H605" s="82"/>
      <c r="I605" s="80"/>
      <c r="J605" s="51" t="str">
        <f>IFERROR(Hyperlink(VLOOKUP(A605,Internal_lists_bugs!$A$2:$G1013,7,FALSE()),"BIC: "&amp;VLOOKUP(A605,Internal_lists_bugs!$A$2:$G1013,7,FALSE())&amp;CHAR(10)&amp;"Intro.Issues: "&amp;VLOOKUP(A605,Internal_lists_bugs!$A$2:$P1013,16,FALSE())),"please select a BUG ID")</f>
        <v>please select a BUG ID</v>
      </c>
    </row>
    <row r="606">
      <c r="A606" s="54"/>
      <c r="B606" s="88" t="str">
        <f>IFERROR(HYPERLINK(VLOOKUP(A606,Internal_lists_bugs!$A$2:$C$73,3,FALSE()), VLOOKUP(A606,Internal_lists_bugs!$A$2:$C$73,3,FALSE())&amp;Char(10) &amp; Char(10) &amp; VLOOKUP(A606,Internal_lists_bugs!$A$2:$Z$73,26,FALSE())),"please select a BUG ID")</f>
        <v>please select a BUG ID</v>
      </c>
      <c r="C606" s="89" t="str">
        <f>IFERROR(VLOOKUP(A606,Internal_lists_bugs!$A$2:$X1013,24,FALSE()),"please select a BUG ID")</f>
        <v>please select a BUG ID</v>
      </c>
      <c r="E606" s="82"/>
      <c r="F606" s="80"/>
      <c r="H606" s="82"/>
      <c r="I606" s="80"/>
      <c r="J606" s="51" t="str">
        <f>IFERROR(Hyperlink(VLOOKUP(A606,Internal_lists_bugs!$A$2:$G1013,7,FALSE()),"BIC: "&amp;VLOOKUP(A606,Internal_lists_bugs!$A$2:$G1013,7,FALSE())&amp;CHAR(10)&amp;"Intro.Issues: "&amp;VLOOKUP(A606,Internal_lists_bugs!$A$2:$P1013,16,FALSE())),"please select a BUG ID")</f>
        <v>please select a BUG ID</v>
      </c>
    </row>
    <row r="607">
      <c r="A607" s="54"/>
      <c r="B607" s="88" t="str">
        <f>IFERROR(HYPERLINK(VLOOKUP(A607,Internal_lists_bugs!$A$2:$C$73,3,FALSE()), VLOOKUP(A607,Internal_lists_bugs!$A$2:$C$73,3,FALSE())&amp;Char(10) &amp; Char(10) &amp; VLOOKUP(A607,Internal_lists_bugs!$A$2:$Z$73,26,FALSE())),"please select a BUG ID")</f>
        <v>please select a BUG ID</v>
      </c>
      <c r="C607" s="89" t="str">
        <f>IFERROR(VLOOKUP(A607,Internal_lists_bugs!$A$2:$X1013,24,FALSE()),"please select a BUG ID")</f>
        <v>please select a BUG ID</v>
      </c>
      <c r="E607" s="82"/>
      <c r="F607" s="80"/>
      <c r="H607" s="82"/>
      <c r="I607" s="80"/>
      <c r="J607" s="51" t="str">
        <f>IFERROR(Hyperlink(VLOOKUP(A607,Internal_lists_bugs!$A$2:$G1013,7,FALSE()),"BIC: "&amp;VLOOKUP(A607,Internal_lists_bugs!$A$2:$G1013,7,FALSE())&amp;CHAR(10)&amp;"Intro.Issues: "&amp;VLOOKUP(A607,Internal_lists_bugs!$A$2:$P1013,16,FALSE())),"please select a BUG ID")</f>
        <v>please select a BUG ID</v>
      </c>
    </row>
    <row r="608">
      <c r="A608" s="54"/>
      <c r="B608" s="88" t="str">
        <f>IFERROR(HYPERLINK(VLOOKUP(A608,Internal_lists_bugs!$A$2:$C$73,3,FALSE()), VLOOKUP(A608,Internal_lists_bugs!$A$2:$C$73,3,FALSE())&amp;Char(10) &amp; Char(10) &amp; VLOOKUP(A608,Internal_lists_bugs!$A$2:$Z$73,26,FALSE())),"please select a BUG ID")</f>
        <v>please select a BUG ID</v>
      </c>
      <c r="C608" s="89" t="str">
        <f>IFERROR(VLOOKUP(A608,Internal_lists_bugs!$A$2:$X1013,24,FALSE()),"please select a BUG ID")</f>
        <v>please select a BUG ID</v>
      </c>
      <c r="E608" s="82"/>
      <c r="F608" s="80"/>
      <c r="H608" s="82"/>
      <c r="I608" s="80"/>
      <c r="J608" s="51" t="str">
        <f>IFERROR(Hyperlink(VLOOKUP(A608,Internal_lists_bugs!$A$2:$G1013,7,FALSE()),"BIC: "&amp;VLOOKUP(A608,Internal_lists_bugs!$A$2:$G1013,7,FALSE())&amp;CHAR(10)&amp;"Intro.Issues: "&amp;VLOOKUP(A608,Internal_lists_bugs!$A$2:$P1013,16,FALSE())),"please select a BUG ID")</f>
        <v>please select a BUG ID</v>
      </c>
    </row>
    <row r="609">
      <c r="A609" s="54"/>
      <c r="B609" s="88" t="str">
        <f>IFERROR(HYPERLINK(VLOOKUP(A609,Internal_lists_bugs!$A$2:$C$73,3,FALSE()), VLOOKUP(A609,Internal_lists_bugs!$A$2:$C$73,3,FALSE())&amp;Char(10) &amp; Char(10) &amp; VLOOKUP(A609,Internal_lists_bugs!$A$2:$Z$73,26,FALSE())),"please select a BUG ID")</f>
        <v>please select a BUG ID</v>
      </c>
      <c r="C609" s="89" t="str">
        <f>IFERROR(VLOOKUP(A609,Internal_lists_bugs!$A$2:$X1013,24,FALSE()),"please select a BUG ID")</f>
        <v>please select a BUG ID</v>
      </c>
      <c r="E609" s="82"/>
      <c r="F609" s="80"/>
      <c r="H609" s="82"/>
      <c r="I609" s="80"/>
      <c r="J609" s="51" t="str">
        <f>IFERROR(Hyperlink(VLOOKUP(A609,Internal_lists_bugs!$A$2:$G1013,7,FALSE()),"BIC: "&amp;VLOOKUP(A609,Internal_lists_bugs!$A$2:$G1013,7,FALSE())&amp;CHAR(10)&amp;"Intro.Issues: "&amp;VLOOKUP(A609,Internal_lists_bugs!$A$2:$P1013,16,FALSE())),"please select a BUG ID")</f>
        <v>please select a BUG ID</v>
      </c>
    </row>
    <row r="610">
      <c r="A610" s="54"/>
      <c r="B610" s="88" t="str">
        <f>IFERROR(HYPERLINK(VLOOKUP(A610,Internal_lists_bugs!$A$2:$C$73,3,FALSE()), VLOOKUP(A610,Internal_lists_bugs!$A$2:$C$73,3,FALSE())&amp;Char(10) &amp; Char(10) &amp; VLOOKUP(A610,Internal_lists_bugs!$A$2:$Z$73,26,FALSE())),"please select a BUG ID")</f>
        <v>please select a BUG ID</v>
      </c>
      <c r="C610" s="89" t="str">
        <f>IFERROR(VLOOKUP(A610,Internal_lists_bugs!$A$2:$X1013,24,FALSE()),"please select a BUG ID")</f>
        <v>please select a BUG ID</v>
      </c>
      <c r="E610" s="82"/>
      <c r="F610" s="80"/>
      <c r="H610" s="82"/>
      <c r="I610" s="80"/>
      <c r="J610" s="51" t="str">
        <f>IFERROR(Hyperlink(VLOOKUP(A610,Internal_lists_bugs!$A$2:$G1013,7,FALSE()),"BIC: "&amp;VLOOKUP(A610,Internal_lists_bugs!$A$2:$G1013,7,FALSE())&amp;CHAR(10)&amp;"Intro.Issues: "&amp;VLOOKUP(A610,Internal_lists_bugs!$A$2:$P1013,16,FALSE())),"please select a BUG ID")</f>
        <v>please select a BUG ID</v>
      </c>
    </row>
    <row r="611">
      <c r="A611" s="54"/>
      <c r="B611" s="88" t="str">
        <f>IFERROR(HYPERLINK(VLOOKUP(A611,Internal_lists_bugs!$A$2:$C$73,3,FALSE()), VLOOKUP(A611,Internal_lists_bugs!$A$2:$C$73,3,FALSE())&amp;Char(10) &amp; Char(10) &amp; VLOOKUP(A611,Internal_lists_bugs!$A$2:$Z$73,26,FALSE())),"please select a BUG ID")</f>
        <v>please select a BUG ID</v>
      </c>
      <c r="C611" s="89" t="str">
        <f>IFERROR(VLOOKUP(A611,Internal_lists_bugs!$A$2:$X1013,24,FALSE()),"please select a BUG ID")</f>
        <v>please select a BUG ID</v>
      </c>
      <c r="E611" s="82"/>
      <c r="F611" s="80"/>
      <c r="H611" s="82"/>
      <c r="I611" s="80"/>
      <c r="J611" s="51" t="str">
        <f>IFERROR(Hyperlink(VLOOKUP(A611,Internal_lists_bugs!$A$2:$G1013,7,FALSE()),"BIC: "&amp;VLOOKUP(A611,Internal_lists_bugs!$A$2:$G1013,7,FALSE())&amp;CHAR(10)&amp;"Intro.Issues: "&amp;VLOOKUP(A611,Internal_lists_bugs!$A$2:$P1013,16,FALSE())),"please select a BUG ID")</f>
        <v>please select a BUG ID</v>
      </c>
    </row>
    <row r="612">
      <c r="A612" s="54"/>
      <c r="B612" s="88" t="str">
        <f>IFERROR(HYPERLINK(VLOOKUP(A612,Internal_lists_bugs!$A$2:$C$73,3,FALSE()), VLOOKUP(A612,Internal_lists_bugs!$A$2:$C$73,3,FALSE())&amp;Char(10) &amp; Char(10) &amp; VLOOKUP(A612,Internal_lists_bugs!$A$2:$Z$73,26,FALSE())),"please select a BUG ID")</f>
        <v>please select a BUG ID</v>
      </c>
      <c r="C612" s="89" t="str">
        <f>IFERROR(VLOOKUP(A612,Internal_lists_bugs!$A$2:$X1013,24,FALSE()),"please select a BUG ID")</f>
        <v>please select a BUG ID</v>
      </c>
      <c r="E612" s="82"/>
      <c r="F612" s="80"/>
      <c r="H612" s="82"/>
      <c r="I612" s="80"/>
      <c r="J612" s="51" t="str">
        <f>IFERROR(Hyperlink(VLOOKUP(A612,Internal_lists_bugs!$A$2:$G1013,7,FALSE()),"BIC: "&amp;VLOOKUP(A612,Internal_lists_bugs!$A$2:$G1013,7,FALSE())&amp;CHAR(10)&amp;"Intro.Issues: "&amp;VLOOKUP(A612,Internal_lists_bugs!$A$2:$P1013,16,FALSE())),"please select a BUG ID")</f>
        <v>please select a BUG ID</v>
      </c>
    </row>
    <row r="613">
      <c r="A613" s="54"/>
      <c r="B613" s="88" t="str">
        <f>IFERROR(HYPERLINK(VLOOKUP(A613,Internal_lists_bugs!$A$2:$C$73,3,FALSE()), VLOOKUP(A613,Internal_lists_bugs!$A$2:$C$73,3,FALSE())&amp;Char(10) &amp; Char(10) &amp; VLOOKUP(A613,Internal_lists_bugs!$A$2:$Z$73,26,FALSE())),"please select a BUG ID")</f>
        <v>please select a BUG ID</v>
      </c>
      <c r="C613" s="89" t="str">
        <f>IFERROR(VLOOKUP(A613,Internal_lists_bugs!$A$2:$X1013,24,FALSE()),"please select a BUG ID")</f>
        <v>please select a BUG ID</v>
      </c>
      <c r="E613" s="82"/>
      <c r="F613" s="80"/>
      <c r="H613" s="82"/>
      <c r="I613" s="80"/>
      <c r="J613" s="51" t="str">
        <f>IFERROR(Hyperlink(VLOOKUP(A613,Internal_lists_bugs!$A$2:$G1013,7,FALSE()),"BIC: "&amp;VLOOKUP(A613,Internal_lists_bugs!$A$2:$G1013,7,FALSE())&amp;CHAR(10)&amp;"Intro.Issues: "&amp;VLOOKUP(A613,Internal_lists_bugs!$A$2:$P1013,16,FALSE())),"please select a BUG ID")</f>
        <v>please select a BUG ID</v>
      </c>
    </row>
    <row r="614">
      <c r="A614" s="54"/>
      <c r="B614" s="88" t="str">
        <f>IFERROR(HYPERLINK(VLOOKUP(A614,Internal_lists_bugs!$A$2:$C$73,3,FALSE()), VLOOKUP(A614,Internal_lists_bugs!$A$2:$C$73,3,FALSE())&amp;Char(10) &amp; Char(10) &amp; VLOOKUP(A614,Internal_lists_bugs!$A$2:$Z$73,26,FALSE())),"please select a BUG ID")</f>
        <v>please select a BUG ID</v>
      </c>
      <c r="C614" s="89" t="str">
        <f>IFERROR(VLOOKUP(A614,Internal_lists_bugs!$A$2:$X1013,24,FALSE()),"please select a BUG ID")</f>
        <v>please select a BUG ID</v>
      </c>
      <c r="E614" s="82"/>
      <c r="F614" s="80"/>
      <c r="H614" s="82"/>
      <c r="I614" s="80"/>
      <c r="J614" s="51" t="str">
        <f>IFERROR(Hyperlink(VLOOKUP(A614,Internal_lists_bugs!$A$2:$G1013,7,FALSE()),"BIC: "&amp;VLOOKUP(A614,Internal_lists_bugs!$A$2:$G1013,7,FALSE())&amp;CHAR(10)&amp;"Intro.Issues: "&amp;VLOOKUP(A614,Internal_lists_bugs!$A$2:$P1013,16,FALSE())),"please select a BUG ID")</f>
        <v>please select a BUG ID</v>
      </c>
    </row>
    <row r="615">
      <c r="A615" s="54"/>
      <c r="B615" s="88" t="str">
        <f>IFERROR(HYPERLINK(VLOOKUP(A615,Internal_lists_bugs!$A$2:$C$73,3,FALSE()), VLOOKUP(A615,Internal_lists_bugs!$A$2:$C$73,3,FALSE())&amp;Char(10) &amp; Char(10) &amp; VLOOKUP(A615,Internal_lists_bugs!$A$2:$Z$73,26,FALSE())),"please select a BUG ID")</f>
        <v>please select a BUG ID</v>
      </c>
      <c r="C615" s="89" t="str">
        <f>IFERROR(VLOOKUP(A615,Internal_lists_bugs!$A$2:$X1013,24,FALSE()),"please select a BUG ID")</f>
        <v>please select a BUG ID</v>
      </c>
      <c r="E615" s="82"/>
      <c r="F615" s="80"/>
      <c r="H615" s="82"/>
      <c r="I615" s="80"/>
      <c r="J615" s="51" t="str">
        <f>IFERROR(Hyperlink(VLOOKUP(A615,Internal_lists_bugs!$A$2:$G1013,7,FALSE()),"BIC: "&amp;VLOOKUP(A615,Internal_lists_bugs!$A$2:$G1013,7,FALSE())&amp;CHAR(10)&amp;"Intro.Issues: "&amp;VLOOKUP(A615,Internal_lists_bugs!$A$2:$P1013,16,FALSE())),"please select a BUG ID")</f>
        <v>please select a BUG ID</v>
      </c>
    </row>
    <row r="616">
      <c r="A616" s="54"/>
      <c r="B616" s="88" t="str">
        <f>IFERROR(HYPERLINK(VLOOKUP(A616,Internal_lists_bugs!$A$2:$C$73,3,FALSE()), VLOOKUP(A616,Internal_lists_bugs!$A$2:$C$73,3,FALSE())&amp;Char(10) &amp; Char(10) &amp; VLOOKUP(A616,Internal_lists_bugs!$A$2:$Z$73,26,FALSE())),"please select a BUG ID")</f>
        <v>please select a BUG ID</v>
      </c>
      <c r="C616" s="89" t="str">
        <f>IFERROR(VLOOKUP(A616,Internal_lists_bugs!$A$2:$X1013,24,FALSE()),"please select a BUG ID")</f>
        <v>please select a BUG ID</v>
      </c>
      <c r="E616" s="82"/>
      <c r="F616" s="80"/>
      <c r="H616" s="82"/>
      <c r="I616" s="80"/>
      <c r="J616" s="51" t="str">
        <f>IFERROR(Hyperlink(VLOOKUP(A616,Internal_lists_bugs!$A$2:$G1013,7,FALSE()),"BIC: "&amp;VLOOKUP(A616,Internal_lists_bugs!$A$2:$G1013,7,FALSE())&amp;CHAR(10)&amp;"Intro.Issues: "&amp;VLOOKUP(A616,Internal_lists_bugs!$A$2:$P1013,16,FALSE())),"please select a BUG ID")</f>
        <v>please select a BUG ID</v>
      </c>
    </row>
    <row r="617">
      <c r="A617" s="54"/>
      <c r="B617" s="88" t="str">
        <f>IFERROR(HYPERLINK(VLOOKUP(A617,Internal_lists_bugs!$A$2:$C$73,3,FALSE()), VLOOKUP(A617,Internal_lists_bugs!$A$2:$C$73,3,FALSE())&amp;Char(10) &amp; Char(10) &amp; VLOOKUP(A617,Internal_lists_bugs!$A$2:$Z$73,26,FALSE())),"please select a BUG ID")</f>
        <v>please select a BUG ID</v>
      </c>
      <c r="C617" s="89" t="str">
        <f>IFERROR(VLOOKUP(A617,Internal_lists_bugs!$A$2:$X1013,24,FALSE()),"please select a BUG ID")</f>
        <v>please select a BUG ID</v>
      </c>
      <c r="E617" s="82"/>
      <c r="F617" s="80"/>
      <c r="H617" s="82"/>
      <c r="I617" s="80"/>
      <c r="J617" s="51" t="str">
        <f>IFERROR(Hyperlink(VLOOKUP(A617,Internal_lists_bugs!$A$2:$G1013,7,FALSE()),"BIC: "&amp;VLOOKUP(A617,Internal_lists_bugs!$A$2:$G1013,7,FALSE())&amp;CHAR(10)&amp;"Intro.Issues: "&amp;VLOOKUP(A617,Internal_lists_bugs!$A$2:$P1013,16,FALSE())),"please select a BUG ID")</f>
        <v>please select a BUG ID</v>
      </c>
    </row>
    <row r="618">
      <c r="A618" s="54"/>
      <c r="B618" s="88" t="str">
        <f>IFERROR(HYPERLINK(VLOOKUP(A618,Internal_lists_bugs!$A$2:$C$73,3,FALSE()), VLOOKUP(A618,Internal_lists_bugs!$A$2:$C$73,3,FALSE())&amp;Char(10) &amp; Char(10) &amp; VLOOKUP(A618,Internal_lists_bugs!$A$2:$Z$73,26,FALSE())),"please select a BUG ID")</f>
        <v>please select a BUG ID</v>
      </c>
      <c r="C618" s="89" t="str">
        <f>IFERROR(VLOOKUP(A618,Internal_lists_bugs!$A$2:$X1013,24,FALSE()),"please select a BUG ID")</f>
        <v>please select a BUG ID</v>
      </c>
      <c r="E618" s="82"/>
      <c r="F618" s="80"/>
      <c r="H618" s="82"/>
      <c r="I618" s="80"/>
      <c r="J618" s="51" t="str">
        <f>IFERROR(Hyperlink(VLOOKUP(A618,Internal_lists_bugs!$A$2:$G1013,7,FALSE()),"BIC: "&amp;VLOOKUP(A618,Internal_lists_bugs!$A$2:$G1013,7,FALSE())&amp;CHAR(10)&amp;"Intro.Issues: "&amp;VLOOKUP(A618,Internal_lists_bugs!$A$2:$P1013,16,FALSE())),"please select a BUG ID")</f>
        <v>please select a BUG ID</v>
      </c>
    </row>
    <row r="619">
      <c r="A619" s="54"/>
      <c r="B619" s="88" t="str">
        <f>IFERROR(HYPERLINK(VLOOKUP(A619,Internal_lists_bugs!$A$2:$C$73,3,FALSE()), VLOOKUP(A619,Internal_lists_bugs!$A$2:$C$73,3,FALSE())&amp;Char(10) &amp; Char(10) &amp; VLOOKUP(A619,Internal_lists_bugs!$A$2:$Z$73,26,FALSE())),"please select a BUG ID")</f>
        <v>please select a BUG ID</v>
      </c>
      <c r="C619" s="89" t="str">
        <f>IFERROR(VLOOKUP(A619,Internal_lists_bugs!$A$2:$X1013,24,FALSE()),"please select a BUG ID")</f>
        <v>please select a BUG ID</v>
      </c>
      <c r="E619" s="82"/>
      <c r="F619" s="80"/>
      <c r="H619" s="82"/>
      <c r="I619" s="80"/>
      <c r="J619" s="51" t="str">
        <f>IFERROR(Hyperlink(VLOOKUP(A619,Internal_lists_bugs!$A$2:$G1013,7,FALSE()),"BIC: "&amp;VLOOKUP(A619,Internal_lists_bugs!$A$2:$G1013,7,FALSE())&amp;CHAR(10)&amp;"Intro.Issues: "&amp;VLOOKUP(A619,Internal_lists_bugs!$A$2:$P1013,16,FALSE())),"please select a BUG ID")</f>
        <v>please select a BUG ID</v>
      </c>
    </row>
    <row r="620">
      <c r="A620" s="54"/>
      <c r="B620" s="88" t="str">
        <f>IFERROR(HYPERLINK(VLOOKUP(A620,Internal_lists_bugs!$A$2:$C$73,3,FALSE()), VLOOKUP(A620,Internal_lists_bugs!$A$2:$C$73,3,FALSE())&amp;Char(10) &amp; Char(10) &amp; VLOOKUP(A620,Internal_lists_bugs!$A$2:$Z$73,26,FALSE())),"please select a BUG ID")</f>
        <v>please select a BUG ID</v>
      </c>
      <c r="C620" s="89" t="str">
        <f>IFERROR(VLOOKUP(A620,Internal_lists_bugs!$A$2:$X1013,24,FALSE()),"please select a BUG ID")</f>
        <v>please select a BUG ID</v>
      </c>
      <c r="E620" s="82"/>
      <c r="F620" s="80"/>
      <c r="H620" s="82"/>
      <c r="I620" s="80"/>
      <c r="J620" s="51" t="str">
        <f>IFERROR(Hyperlink(VLOOKUP(A620,Internal_lists_bugs!$A$2:$G1013,7,FALSE()),"BIC: "&amp;VLOOKUP(A620,Internal_lists_bugs!$A$2:$G1013,7,FALSE())&amp;CHAR(10)&amp;"Intro.Issues: "&amp;VLOOKUP(A620,Internal_lists_bugs!$A$2:$P1013,16,FALSE())),"please select a BUG ID")</f>
        <v>please select a BUG ID</v>
      </c>
    </row>
    <row r="621">
      <c r="A621" s="54"/>
      <c r="B621" s="88" t="str">
        <f>IFERROR(HYPERLINK(VLOOKUP(A621,Internal_lists_bugs!$A$2:$C$73,3,FALSE()), VLOOKUP(A621,Internal_lists_bugs!$A$2:$C$73,3,FALSE())&amp;Char(10) &amp; Char(10) &amp; VLOOKUP(A621,Internal_lists_bugs!$A$2:$Z$73,26,FALSE())),"please select a BUG ID")</f>
        <v>please select a BUG ID</v>
      </c>
      <c r="C621" s="89" t="str">
        <f>IFERROR(VLOOKUP(A621,Internal_lists_bugs!$A$2:$X1013,24,FALSE()),"please select a BUG ID")</f>
        <v>please select a BUG ID</v>
      </c>
      <c r="E621" s="82"/>
      <c r="F621" s="80"/>
      <c r="H621" s="82"/>
      <c r="I621" s="80"/>
      <c r="J621" s="51" t="str">
        <f>IFERROR(Hyperlink(VLOOKUP(A621,Internal_lists_bugs!$A$2:$G1013,7,FALSE()),"BIC: "&amp;VLOOKUP(A621,Internal_lists_bugs!$A$2:$G1013,7,FALSE())&amp;CHAR(10)&amp;"Intro.Issues: "&amp;VLOOKUP(A621,Internal_lists_bugs!$A$2:$P1013,16,FALSE())),"please select a BUG ID")</f>
        <v>please select a BUG ID</v>
      </c>
    </row>
    <row r="622">
      <c r="A622" s="54"/>
      <c r="B622" s="88" t="str">
        <f>IFERROR(HYPERLINK(VLOOKUP(A622,Internal_lists_bugs!$A$2:$C$73,3,FALSE()), VLOOKUP(A622,Internal_lists_bugs!$A$2:$C$73,3,FALSE())&amp;Char(10) &amp; Char(10) &amp; VLOOKUP(A622,Internal_lists_bugs!$A$2:$Z$73,26,FALSE())),"please select a BUG ID")</f>
        <v>please select a BUG ID</v>
      </c>
      <c r="C622" s="89" t="str">
        <f>IFERROR(VLOOKUP(A622,Internal_lists_bugs!$A$2:$X1013,24,FALSE()),"please select a BUG ID")</f>
        <v>please select a BUG ID</v>
      </c>
      <c r="E622" s="82"/>
      <c r="F622" s="80"/>
      <c r="H622" s="82"/>
      <c r="I622" s="80"/>
      <c r="J622" s="51" t="str">
        <f>IFERROR(Hyperlink(VLOOKUP(A622,Internal_lists_bugs!$A$2:$G1013,7,FALSE()),"BIC: "&amp;VLOOKUP(A622,Internal_lists_bugs!$A$2:$G1013,7,FALSE())&amp;CHAR(10)&amp;"Intro.Issues: "&amp;VLOOKUP(A622,Internal_lists_bugs!$A$2:$P1013,16,FALSE())),"please select a BUG ID")</f>
        <v>please select a BUG ID</v>
      </c>
    </row>
    <row r="623">
      <c r="A623" s="54"/>
      <c r="B623" s="88" t="str">
        <f>IFERROR(HYPERLINK(VLOOKUP(A623,Internal_lists_bugs!$A$2:$C$73,3,FALSE()), VLOOKUP(A623,Internal_lists_bugs!$A$2:$C$73,3,FALSE())&amp;Char(10) &amp; Char(10) &amp; VLOOKUP(A623,Internal_lists_bugs!$A$2:$Z$73,26,FALSE())),"please select a BUG ID")</f>
        <v>please select a BUG ID</v>
      </c>
      <c r="C623" s="89" t="str">
        <f>IFERROR(VLOOKUP(A623,Internal_lists_bugs!$A$2:$X1013,24,FALSE()),"please select a BUG ID")</f>
        <v>please select a BUG ID</v>
      </c>
      <c r="E623" s="82"/>
      <c r="F623" s="80"/>
      <c r="H623" s="82"/>
      <c r="I623" s="80"/>
      <c r="J623" s="51" t="str">
        <f>IFERROR(Hyperlink(VLOOKUP(A623,Internal_lists_bugs!$A$2:$G1013,7,FALSE()),"BIC: "&amp;VLOOKUP(A623,Internal_lists_bugs!$A$2:$G1013,7,FALSE())&amp;CHAR(10)&amp;"Intro.Issues: "&amp;VLOOKUP(A623,Internal_lists_bugs!$A$2:$P1013,16,FALSE())),"please select a BUG ID")</f>
        <v>please select a BUG ID</v>
      </c>
    </row>
    <row r="624">
      <c r="A624" s="54"/>
      <c r="B624" s="88" t="str">
        <f>IFERROR(HYPERLINK(VLOOKUP(A624,Internal_lists_bugs!$A$2:$C$73,3,FALSE()), VLOOKUP(A624,Internal_lists_bugs!$A$2:$C$73,3,FALSE())&amp;Char(10) &amp; Char(10) &amp; VLOOKUP(A624,Internal_lists_bugs!$A$2:$Z$73,26,FALSE())),"please select a BUG ID")</f>
        <v>please select a BUG ID</v>
      </c>
      <c r="C624" s="89" t="str">
        <f>IFERROR(VLOOKUP(A624,Internal_lists_bugs!$A$2:$X1013,24,FALSE()),"please select a BUG ID")</f>
        <v>please select a BUG ID</v>
      </c>
      <c r="E624" s="82"/>
      <c r="F624" s="80"/>
      <c r="H624" s="82"/>
      <c r="I624" s="80"/>
      <c r="J624" s="51" t="str">
        <f>IFERROR(Hyperlink(VLOOKUP(A624,Internal_lists_bugs!$A$2:$G1013,7,FALSE()),"BIC: "&amp;VLOOKUP(A624,Internal_lists_bugs!$A$2:$G1013,7,FALSE())&amp;CHAR(10)&amp;"Intro.Issues: "&amp;VLOOKUP(A624,Internal_lists_bugs!$A$2:$P1013,16,FALSE())),"please select a BUG ID")</f>
        <v>please select a BUG ID</v>
      </c>
    </row>
    <row r="625">
      <c r="A625" s="54"/>
      <c r="B625" s="88" t="str">
        <f>IFERROR(HYPERLINK(VLOOKUP(A625,Internal_lists_bugs!$A$2:$C$73,3,FALSE()), VLOOKUP(A625,Internal_lists_bugs!$A$2:$C$73,3,FALSE())&amp;Char(10) &amp; Char(10) &amp; VLOOKUP(A625,Internal_lists_bugs!$A$2:$Z$73,26,FALSE())),"please select a BUG ID")</f>
        <v>please select a BUG ID</v>
      </c>
      <c r="C625" s="89" t="str">
        <f>IFERROR(VLOOKUP(A625,Internal_lists_bugs!$A$2:$X1013,24,FALSE()),"please select a BUG ID")</f>
        <v>please select a BUG ID</v>
      </c>
      <c r="E625" s="82"/>
      <c r="F625" s="80"/>
      <c r="H625" s="82"/>
      <c r="I625" s="80"/>
      <c r="J625" s="51" t="str">
        <f>IFERROR(Hyperlink(VLOOKUP(A625,Internal_lists_bugs!$A$2:$G1013,7,FALSE()),"BIC: "&amp;VLOOKUP(A625,Internal_lists_bugs!$A$2:$G1013,7,FALSE())&amp;CHAR(10)&amp;"Intro.Issues: "&amp;VLOOKUP(A625,Internal_lists_bugs!$A$2:$P1013,16,FALSE())),"please select a BUG ID")</f>
        <v>please select a BUG ID</v>
      </c>
    </row>
    <row r="626">
      <c r="A626" s="54"/>
      <c r="B626" s="88" t="str">
        <f>IFERROR(HYPERLINK(VLOOKUP(A626,Internal_lists_bugs!$A$2:$C$73,3,FALSE()), VLOOKUP(A626,Internal_lists_bugs!$A$2:$C$73,3,FALSE())&amp;Char(10) &amp; Char(10) &amp; VLOOKUP(A626,Internal_lists_bugs!$A$2:$Z$73,26,FALSE())),"please select a BUG ID")</f>
        <v>please select a BUG ID</v>
      </c>
      <c r="C626" s="89" t="str">
        <f>IFERROR(VLOOKUP(A626,Internal_lists_bugs!$A$2:$X1013,24,FALSE()),"please select a BUG ID")</f>
        <v>please select a BUG ID</v>
      </c>
      <c r="E626" s="82"/>
      <c r="F626" s="80"/>
      <c r="H626" s="82"/>
      <c r="I626" s="80"/>
      <c r="J626" s="51" t="str">
        <f>IFERROR(Hyperlink(VLOOKUP(A626,Internal_lists_bugs!$A$2:$G1013,7,FALSE()),"BIC: "&amp;VLOOKUP(A626,Internal_lists_bugs!$A$2:$G1013,7,FALSE())&amp;CHAR(10)&amp;"Intro.Issues: "&amp;VLOOKUP(A626,Internal_lists_bugs!$A$2:$P1013,16,FALSE())),"please select a BUG ID")</f>
        <v>please select a BUG ID</v>
      </c>
    </row>
    <row r="627">
      <c r="A627" s="54"/>
      <c r="B627" s="88" t="str">
        <f>IFERROR(HYPERLINK(VLOOKUP(A627,Internal_lists_bugs!$A$2:$C$73,3,FALSE()), VLOOKUP(A627,Internal_lists_bugs!$A$2:$C$73,3,FALSE())&amp;Char(10) &amp; Char(10) &amp; VLOOKUP(A627,Internal_lists_bugs!$A$2:$Z$73,26,FALSE())),"please select a BUG ID")</f>
        <v>please select a BUG ID</v>
      </c>
      <c r="C627" s="89" t="str">
        <f>IFERROR(VLOOKUP(A627,Internal_lists_bugs!$A$2:$X1013,24,FALSE()),"please select a BUG ID")</f>
        <v>please select a BUG ID</v>
      </c>
      <c r="E627" s="82"/>
      <c r="F627" s="80"/>
      <c r="H627" s="82"/>
      <c r="I627" s="80"/>
      <c r="J627" s="51" t="str">
        <f>IFERROR(Hyperlink(VLOOKUP(A627,Internal_lists_bugs!$A$2:$G1013,7,FALSE()),"BIC: "&amp;VLOOKUP(A627,Internal_lists_bugs!$A$2:$G1013,7,FALSE())&amp;CHAR(10)&amp;"Intro.Issues: "&amp;VLOOKUP(A627,Internal_lists_bugs!$A$2:$P1013,16,FALSE())),"please select a BUG ID")</f>
        <v>please select a BUG ID</v>
      </c>
    </row>
    <row r="628">
      <c r="A628" s="54"/>
      <c r="B628" s="88" t="str">
        <f>IFERROR(HYPERLINK(VLOOKUP(A628,Internal_lists_bugs!$A$2:$C$73,3,FALSE()), VLOOKUP(A628,Internal_lists_bugs!$A$2:$C$73,3,FALSE())&amp;Char(10) &amp; Char(10) &amp; VLOOKUP(A628,Internal_lists_bugs!$A$2:$Z$73,26,FALSE())),"please select a BUG ID")</f>
        <v>please select a BUG ID</v>
      </c>
      <c r="C628" s="89" t="str">
        <f>IFERROR(VLOOKUP(A628,Internal_lists_bugs!$A$2:$X1013,24,FALSE()),"please select a BUG ID")</f>
        <v>please select a BUG ID</v>
      </c>
      <c r="E628" s="82"/>
      <c r="F628" s="80"/>
      <c r="H628" s="82"/>
      <c r="I628" s="80"/>
      <c r="J628" s="51" t="str">
        <f>IFERROR(Hyperlink(VLOOKUP(A628,Internal_lists_bugs!$A$2:$G1013,7,FALSE()),"BIC: "&amp;VLOOKUP(A628,Internal_lists_bugs!$A$2:$G1013,7,FALSE())&amp;CHAR(10)&amp;"Intro.Issues: "&amp;VLOOKUP(A628,Internal_lists_bugs!$A$2:$P1013,16,FALSE())),"please select a BUG ID")</f>
        <v>please select a BUG ID</v>
      </c>
    </row>
    <row r="629">
      <c r="A629" s="54"/>
      <c r="B629" s="88" t="str">
        <f>IFERROR(HYPERLINK(VLOOKUP(A629,Internal_lists_bugs!$A$2:$C$73,3,FALSE()), VLOOKUP(A629,Internal_lists_bugs!$A$2:$C$73,3,FALSE())&amp;Char(10) &amp; Char(10) &amp; VLOOKUP(A629,Internal_lists_bugs!$A$2:$Z$73,26,FALSE())),"please select a BUG ID")</f>
        <v>please select a BUG ID</v>
      </c>
      <c r="C629" s="89" t="str">
        <f>IFERROR(VLOOKUP(A629,Internal_lists_bugs!$A$2:$X1013,24,FALSE()),"please select a BUG ID")</f>
        <v>please select a BUG ID</v>
      </c>
      <c r="E629" s="82"/>
      <c r="F629" s="80"/>
      <c r="H629" s="82"/>
      <c r="I629" s="80"/>
      <c r="J629" s="51" t="str">
        <f>IFERROR(Hyperlink(VLOOKUP(A629,Internal_lists_bugs!$A$2:$G1013,7,FALSE()),"BIC: "&amp;VLOOKUP(A629,Internal_lists_bugs!$A$2:$G1013,7,FALSE())&amp;CHAR(10)&amp;"Intro.Issues: "&amp;VLOOKUP(A629,Internal_lists_bugs!$A$2:$P1013,16,FALSE())),"please select a BUG ID")</f>
        <v>please select a BUG ID</v>
      </c>
    </row>
    <row r="630">
      <c r="A630" s="54"/>
      <c r="B630" s="88" t="str">
        <f>IFERROR(HYPERLINK(VLOOKUP(A630,Internal_lists_bugs!$A$2:$C$73,3,FALSE()), VLOOKUP(A630,Internal_lists_bugs!$A$2:$C$73,3,FALSE())&amp;Char(10) &amp; Char(10) &amp; VLOOKUP(A630,Internal_lists_bugs!$A$2:$Z$73,26,FALSE())),"please select a BUG ID")</f>
        <v>please select a BUG ID</v>
      </c>
      <c r="C630" s="89" t="str">
        <f>IFERROR(VLOOKUP(A630,Internal_lists_bugs!$A$2:$X1013,24,FALSE()),"please select a BUG ID")</f>
        <v>please select a BUG ID</v>
      </c>
      <c r="E630" s="82"/>
      <c r="F630" s="80"/>
      <c r="H630" s="82"/>
      <c r="I630" s="80"/>
      <c r="J630" s="51" t="str">
        <f>IFERROR(Hyperlink(VLOOKUP(A630,Internal_lists_bugs!$A$2:$G1013,7,FALSE()),"BIC: "&amp;VLOOKUP(A630,Internal_lists_bugs!$A$2:$G1013,7,FALSE())&amp;CHAR(10)&amp;"Intro.Issues: "&amp;VLOOKUP(A630,Internal_lists_bugs!$A$2:$P1013,16,FALSE())),"please select a BUG ID")</f>
        <v>please select a BUG ID</v>
      </c>
    </row>
    <row r="631">
      <c r="A631" s="54"/>
      <c r="B631" s="88" t="str">
        <f>IFERROR(HYPERLINK(VLOOKUP(A631,Internal_lists_bugs!$A$2:$C$73,3,FALSE()), VLOOKUP(A631,Internal_lists_bugs!$A$2:$C$73,3,FALSE())&amp;Char(10) &amp; Char(10) &amp; VLOOKUP(A631,Internal_lists_bugs!$A$2:$Z$73,26,FALSE())),"please select a BUG ID")</f>
        <v>please select a BUG ID</v>
      </c>
      <c r="C631" s="89" t="str">
        <f>IFERROR(VLOOKUP(A631,Internal_lists_bugs!$A$2:$X1013,24,FALSE()),"please select a BUG ID")</f>
        <v>please select a BUG ID</v>
      </c>
      <c r="E631" s="82"/>
      <c r="F631" s="80"/>
      <c r="H631" s="82"/>
      <c r="I631" s="80"/>
      <c r="J631" s="51" t="str">
        <f>IFERROR(Hyperlink(VLOOKUP(A631,Internal_lists_bugs!$A$2:$G1013,7,FALSE()),"BIC: "&amp;VLOOKUP(A631,Internal_lists_bugs!$A$2:$G1013,7,FALSE())&amp;CHAR(10)&amp;"Intro.Issues: "&amp;VLOOKUP(A631,Internal_lists_bugs!$A$2:$P1013,16,FALSE())),"please select a BUG ID")</f>
        <v>please select a BUG ID</v>
      </c>
    </row>
    <row r="632">
      <c r="A632" s="54"/>
      <c r="B632" s="88" t="str">
        <f>IFERROR(HYPERLINK(VLOOKUP(A632,Internal_lists_bugs!$A$2:$C$73,3,FALSE()), VLOOKUP(A632,Internal_lists_bugs!$A$2:$C$73,3,FALSE())&amp;Char(10) &amp; Char(10) &amp; VLOOKUP(A632,Internal_lists_bugs!$A$2:$Z$73,26,FALSE())),"please select a BUG ID")</f>
        <v>please select a BUG ID</v>
      </c>
      <c r="C632" s="89" t="str">
        <f>IFERROR(VLOOKUP(A632,Internal_lists_bugs!$A$2:$X1013,24,FALSE()),"please select a BUG ID")</f>
        <v>please select a BUG ID</v>
      </c>
      <c r="E632" s="82"/>
      <c r="F632" s="80"/>
      <c r="H632" s="82"/>
      <c r="I632" s="80"/>
      <c r="J632" s="51" t="str">
        <f>IFERROR(Hyperlink(VLOOKUP(A632,Internal_lists_bugs!$A$2:$G1013,7,FALSE()),"BIC: "&amp;VLOOKUP(A632,Internal_lists_bugs!$A$2:$G1013,7,FALSE())&amp;CHAR(10)&amp;"Intro.Issues: "&amp;VLOOKUP(A632,Internal_lists_bugs!$A$2:$P1013,16,FALSE())),"please select a BUG ID")</f>
        <v>please select a BUG ID</v>
      </c>
    </row>
    <row r="633">
      <c r="A633" s="54"/>
      <c r="B633" s="88" t="str">
        <f>IFERROR(HYPERLINK(VLOOKUP(A633,Internal_lists_bugs!$A$2:$C$73,3,FALSE()), VLOOKUP(A633,Internal_lists_bugs!$A$2:$C$73,3,FALSE())&amp;Char(10) &amp; Char(10) &amp; VLOOKUP(A633,Internal_lists_bugs!$A$2:$Z$73,26,FALSE())),"please select a BUG ID")</f>
        <v>please select a BUG ID</v>
      </c>
      <c r="C633" s="89" t="str">
        <f>IFERROR(VLOOKUP(A633,Internal_lists_bugs!$A$2:$X1013,24,FALSE()),"please select a BUG ID")</f>
        <v>please select a BUG ID</v>
      </c>
      <c r="E633" s="82"/>
      <c r="F633" s="80"/>
      <c r="H633" s="82"/>
      <c r="I633" s="80"/>
      <c r="J633" s="51" t="str">
        <f>IFERROR(Hyperlink(VLOOKUP(A633,Internal_lists_bugs!$A$2:$G1013,7,FALSE()),"BIC: "&amp;VLOOKUP(A633,Internal_lists_bugs!$A$2:$G1013,7,FALSE())&amp;CHAR(10)&amp;"Intro.Issues: "&amp;VLOOKUP(A633,Internal_lists_bugs!$A$2:$P1013,16,FALSE())),"please select a BUG ID")</f>
        <v>please select a BUG ID</v>
      </c>
    </row>
    <row r="634">
      <c r="A634" s="54"/>
      <c r="B634" s="88" t="str">
        <f>IFERROR(HYPERLINK(VLOOKUP(A634,Internal_lists_bugs!$A$2:$C$73,3,FALSE()), VLOOKUP(A634,Internal_lists_bugs!$A$2:$C$73,3,FALSE())&amp;Char(10) &amp; Char(10) &amp; VLOOKUP(A634,Internal_lists_bugs!$A$2:$Z$73,26,FALSE())),"please select a BUG ID")</f>
        <v>please select a BUG ID</v>
      </c>
      <c r="C634" s="89" t="str">
        <f>IFERROR(VLOOKUP(A634,Internal_lists_bugs!$A$2:$X1013,24,FALSE()),"please select a BUG ID")</f>
        <v>please select a BUG ID</v>
      </c>
      <c r="E634" s="82"/>
      <c r="F634" s="80"/>
      <c r="H634" s="82"/>
      <c r="I634" s="80"/>
      <c r="J634" s="51" t="str">
        <f>IFERROR(Hyperlink(VLOOKUP(A634,Internal_lists_bugs!$A$2:$G1013,7,FALSE()),"BIC: "&amp;VLOOKUP(A634,Internal_lists_bugs!$A$2:$G1013,7,FALSE())&amp;CHAR(10)&amp;"Intro.Issues: "&amp;VLOOKUP(A634,Internal_lists_bugs!$A$2:$P1013,16,FALSE())),"please select a BUG ID")</f>
        <v>please select a BUG ID</v>
      </c>
    </row>
    <row r="635">
      <c r="A635" s="54"/>
      <c r="B635" s="88" t="str">
        <f>IFERROR(HYPERLINK(VLOOKUP(A635,Internal_lists_bugs!$A$2:$C$73,3,FALSE()), VLOOKUP(A635,Internal_lists_bugs!$A$2:$C$73,3,FALSE())&amp;Char(10) &amp; Char(10) &amp; VLOOKUP(A635,Internal_lists_bugs!$A$2:$Z$73,26,FALSE())),"please select a BUG ID")</f>
        <v>please select a BUG ID</v>
      </c>
      <c r="C635" s="89" t="str">
        <f>IFERROR(VLOOKUP(A635,Internal_lists_bugs!$A$2:$X1013,24,FALSE()),"please select a BUG ID")</f>
        <v>please select a BUG ID</v>
      </c>
      <c r="E635" s="82"/>
      <c r="F635" s="80"/>
      <c r="H635" s="82"/>
      <c r="I635" s="80"/>
      <c r="J635" s="51" t="str">
        <f>IFERROR(Hyperlink(VLOOKUP(A635,Internal_lists_bugs!$A$2:$G1013,7,FALSE()),"BIC: "&amp;VLOOKUP(A635,Internal_lists_bugs!$A$2:$G1013,7,FALSE())&amp;CHAR(10)&amp;"Intro.Issues: "&amp;VLOOKUP(A635,Internal_lists_bugs!$A$2:$P1013,16,FALSE())),"please select a BUG ID")</f>
        <v>please select a BUG ID</v>
      </c>
    </row>
    <row r="636">
      <c r="A636" s="54"/>
      <c r="B636" s="88" t="str">
        <f>IFERROR(HYPERLINK(VLOOKUP(A636,Internal_lists_bugs!$A$2:$C$73,3,FALSE()), VLOOKUP(A636,Internal_lists_bugs!$A$2:$C$73,3,FALSE())&amp;Char(10) &amp; Char(10) &amp; VLOOKUP(A636,Internal_lists_bugs!$A$2:$Z$73,26,FALSE())),"please select a BUG ID")</f>
        <v>please select a BUG ID</v>
      </c>
      <c r="C636" s="89" t="str">
        <f>IFERROR(VLOOKUP(A636,Internal_lists_bugs!$A$2:$X1013,24,FALSE()),"please select a BUG ID")</f>
        <v>please select a BUG ID</v>
      </c>
      <c r="E636" s="82"/>
      <c r="F636" s="80"/>
      <c r="H636" s="82"/>
      <c r="I636" s="80"/>
      <c r="J636" s="51" t="str">
        <f>IFERROR(Hyperlink(VLOOKUP(A636,Internal_lists_bugs!$A$2:$G1013,7,FALSE()),"BIC: "&amp;VLOOKUP(A636,Internal_lists_bugs!$A$2:$G1013,7,FALSE())&amp;CHAR(10)&amp;"Intro.Issues: "&amp;VLOOKUP(A636,Internal_lists_bugs!$A$2:$P1013,16,FALSE())),"please select a BUG ID")</f>
        <v>please select a BUG ID</v>
      </c>
    </row>
    <row r="637">
      <c r="A637" s="54"/>
      <c r="B637" s="88" t="str">
        <f>IFERROR(HYPERLINK(VLOOKUP(A637,Internal_lists_bugs!$A$2:$C$73,3,FALSE()), VLOOKUP(A637,Internal_lists_bugs!$A$2:$C$73,3,FALSE())&amp;Char(10) &amp; Char(10) &amp; VLOOKUP(A637,Internal_lists_bugs!$A$2:$Z$73,26,FALSE())),"please select a BUG ID")</f>
        <v>please select a BUG ID</v>
      </c>
      <c r="C637" s="89" t="str">
        <f>IFERROR(VLOOKUP(A637,Internal_lists_bugs!$A$2:$X1013,24,FALSE()),"please select a BUG ID")</f>
        <v>please select a BUG ID</v>
      </c>
      <c r="E637" s="82"/>
      <c r="F637" s="80"/>
      <c r="H637" s="82"/>
      <c r="I637" s="80"/>
      <c r="J637" s="51" t="str">
        <f>IFERROR(Hyperlink(VLOOKUP(A637,Internal_lists_bugs!$A$2:$G1013,7,FALSE()),"BIC: "&amp;VLOOKUP(A637,Internal_lists_bugs!$A$2:$G1013,7,FALSE())&amp;CHAR(10)&amp;"Intro.Issues: "&amp;VLOOKUP(A637,Internal_lists_bugs!$A$2:$P1013,16,FALSE())),"please select a BUG ID")</f>
        <v>please select a BUG ID</v>
      </c>
    </row>
    <row r="638">
      <c r="A638" s="54"/>
      <c r="B638" s="88" t="str">
        <f>IFERROR(HYPERLINK(VLOOKUP(A638,Internal_lists_bugs!$A$2:$C$73,3,FALSE()), VLOOKUP(A638,Internal_lists_bugs!$A$2:$C$73,3,FALSE())&amp;Char(10) &amp; Char(10) &amp; VLOOKUP(A638,Internal_lists_bugs!$A$2:$Z$73,26,FALSE())),"please select a BUG ID")</f>
        <v>please select a BUG ID</v>
      </c>
      <c r="C638" s="89" t="str">
        <f>IFERROR(VLOOKUP(A638,Internal_lists_bugs!$A$2:$X1013,24,FALSE()),"please select a BUG ID")</f>
        <v>please select a BUG ID</v>
      </c>
      <c r="E638" s="82"/>
      <c r="F638" s="80"/>
      <c r="H638" s="82"/>
      <c r="I638" s="80"/>
      <c r="J638" s="51" t="str">
        <f>IFERROR(Hyperlink(VLOOKUP(A638,Internal_lists_bugs!$A$2:$G1013,7,FALSE()),"BIC: "&amp;VLOOKUP(A638,Internal_lists_bugs!$A$2:$G1013,7,FALSE())&amp;CHAR(10)&amp;"Intro.Issues: "&amp;VLOOKUP(A638,Internal_lists_bugs!$A$2:$P1013,16,FALSE())),"please select a BUG ID")</f>
        <v>please select a BUG ID</v>
      </c>
    </row>
    <row r="639">
      <c r="A639" s="54"/>
      <c r="B639" s="88" t="str">
        <f>IFERROR(HYPERLINK(VLOOKUP(A639,Internal_lists_bugs!$A$2:$C$73,3,FALSE()), VLOOKUP(A639,Internal_lists_bugs!$A$2:$C$73,3,FALSE())&amp;Char(10) &amp; Char(10) &amp; VLOOKUP(A639,Internal_lists_bugs!$A$2:$Z$73,26,FALSE())),"please select a BUG ID")</f>
        <v>please select a BUG ID</v>
      </c>
      <c r="C639" s="89" t="str">
        <f>IFERROR(VLOOKUP(A639,Internal_lists_bugs!$A$2:$X1013,24,FALSE()),"please select a BUG ID")</f>
        <v>please select a BUG ID</v>
      </c>
      <c r="E639" s="82"/>
      <c r="F639" s="80"/>
      <c r="H639" s="82"/>
      <c r="I639" s="80"/>
      <c r="J639" s="51" t="str">
        <f>IFERROR(Hyperlink(VLOOKUP(A639,Internal_lists_bugs!$A$2:$G1013,7,FALSE()),"BIC: "&amp;VLOOKUP(A639,Internal_lists_bugs!$A$2:$G1013,7,FALSE())&amp;CHAR(10)&amp;"Intro.Issues: "&amp;VLOOKUP(A639,Internal_lists_bugs!$A$2:$P1013,16,FALSE())),"please select a BUG ID")</f>
        <v>please select a BUG ID</v>
      </c>
    </row>
    <row r="640">
      <c r="A640" s="54"/>
      <c r="B640" s="88" t="str">
        <f>IFERROR(HYPERLINK(VLOOKUP(A640,Internal_lists_bugs!$A$2:$C$73,3,FALSE()), VLOOKUP(A640,Internal_lists_bugs!$A$2:$C$73,3,FALSE())&amp;Char(10) &amp; Char(10) &amp; VLOOKUP(A640,Internal_lists_bugs!$A$2:$Z$73,26,FALSE())),"please select a BUG ID")</f>
        <v>please select a BUG ID</v>
      </c>
      <c r="C640" s="89" t="str">
        <f>IFERROR(VLOOKUP(A640,Internal_lists_bugs!$A$2:$X1013,24,FALSE()),"please select a BUG ID")</f>
        <v>please select a BUG ID</v>
      </c>
      <c r="E640" s="82"/>
      <c r="F640" s="80"/>
      <c r="H640" s="82"/>
      <c r="I640" s="80"/>
      <c r="J640" s="51" t="str">
        <f>IFERROR(Hyperlink(VLOOKUP(A640,Internal_lists_bugs!$A$2:$G1013,7,FALSE()),"BIC: "&amp;VLOOKUP(A640,Internal_lists_bugs!$A$2:$G1013,7,FALSE())&amp;CHAR(10)&amp;"Intro.Issues: "&amp;VLOOKUP(A640,Internal_lists_bugs!$A$2:$P1013,16,FALSE())),"please select a BUG ID")</f>
        <v>please select a BUG ID</v>
      </c>
    </row>
    <row r="641">
      <c r="A641" s="54"/>
      <c r="B641" s="88" t="str">
        <f>IFERROR(HYPERLINK(VLOOKUP(A641,Internal_lists_bugs!$A$2:$C$73,3,FALSE()), VLOOKUP(A641,Internal_lists_bugs!$A$2:$C$73,3,FALSE())&amp;Char(10) &amp; Char(10) &amp; VLOOKUP(A641,Internal_lists_bugs!$A$2:$Z$73,26,FALSE())),"please select a BUG ID")</f>
        <v>please select a BUG ID</v>
      </c>
      <c r="C641" s="89" t="str">
        <f>IFERROR(VLOOKUP(A641,Internal_lists_bugs!$A$2:$X1013,24,FALSE()),"please select a BUG ID")</f>
        <v>please select a BUG ID</v>
      </c>
      <c r="E641" s="82"/>
      <c r="F641" s="80"/>
      <c r="H641" s="82"/>
      <c r="I641" s="80"/>
      <c r="J641" s="51" t="str">
        <f>IFERROR(Hyperlink(VLOOKUP(A641,Internal_lists_bugs!$A$2:$G1013,7,FALSE()),"BIC: "&amp;VLOOKUP(A641,Internal_lists_bugs!$A$2:$G1013,7,FALSE())&amp;CHAR(10)&amp;"Intro.Issues: "&amp;VLOOKUP(A641,Internal_lists_bugs!$A$2:$P1013,16,FALSE())),"please select a BUG ID")</f>
        <v>please select a BUG ID</v>
      </c>
    </row>
    <row r="642">
      <c r="A642" s="54"/>
      <c r="B642" s="88" t="str">
        <f>IFERROR(HYPERLINK(VLOOKUP(A642,Internal_lists_bugs!$A$2:$C$73,3,FALSE()), VLOOKUP(A642,Internal_lists_bugs!$A$2:$C$73,3,FALSE())&amp;Char(10) &amp; Char(10) &amp; VLOOKUP(A642,Internal_lists_bugs!$A$2:$Z$73,26,FALSE())),"please select a BUG ID")</f>
        <v>please select a BUG ID</v>
      </c>
      <c r="C642" s="89" t="str">
        <f>IFERROR(VLOOKUP(A642,Internal_lists_bugs!$A$2:$X1013,24,FALSE()),"please select a BUG ID")</f>
        <v>please select a BUG ID</v>
      </c>
      <c r="E642" s="82"/>
      <c r="F642" s="80"/>
      <c r="H642" s="82"/>
      <c r="I642" s="80"/>
      <c r="J642" s="51" t="str">
        <f>IFERROR(Hyperlink(VLOOKUP(A642,Internal_lists_bugs!$A$2:$G1013,7,FALSE()),"BIC: "&amp;VLOOKUP(A642,Internal_lists_bugs!$A$2:$G1013,7,FALSE())&amp;CHAR(10)&amp;"Intro.Issues: "&amp;VLOOKUP(A642,Internal_lists_bugs!$A$2:$P1013,16,FALSE())),"please select a BUG ID")</f>
        <v>please select a BUG ID</v>
      </c>
    </row>
    <row r="643">
      <c r="A643" s="54"/>
      <c r="B643" s="88" t="str">
        <f>IFERROR(HYPERLINK(VLOOKUP(A643,Internal_lists_bugs!$A$2:$C$73,3,FALSE()), VLOOKUP(A643,Internal_lists_bugs!$A$2:$C$73,3,FALSE())&amp;Char(10) &amp; Char(10) &amp; VLOOKUP(A643,Internal_lists_bugs!$A$2:$Z$73,26,FALSE())),"please select a BUG ID")</f>
        <v>please select a BUG ID</v>
      </c>
      <c r="C643" s="89" t="str">
        <f>IFERROR(VLOOKUP(A643,Internal_lists_bugs!$A$2:$X1013,24,FALSE()),"please select a BUG ID")</f>
        <v>please select a BUG ID</v>
      </c>
      <c r="E643" s="82"/>
      <c r="F643" s="80"/>
      <c r="H643" s="82"/>
      <c r="I643" s="80"/>
      <c r="J643" s="51" t="str">
        <f>IFERROR(Hyperlink(VLOOKUP(A643,Internal_lists_bugs!$A$2:$G1013,7,FALSE()),"BIC: "&amp;VLOOKUP(A643,Internal_lists_bugs!$A$2:$G1013,7,FALSE())&amp;CHAR(10)&amp;"Intro.Issues: "&amp;VLOOKUP(A643,Internal_lists_bugs!$A$2:$P1013,16,FALSE())),"please select a BUG ID")</f>
        <v>please select a BUG ID</v>
      </c>
    </row>
    <row r="644">
      <c r="A644" s="54"/>
      <c r="B644" s="88" t="str">
        <f>IFERROR(HYPERLINK(VLOOKUP(A644,Internal_lists_bugs!$A$2:$C$73,3,FALSE()), VLOOKUP(A644,Internal_lists_bugs!$A$2:$C$73,3,FALSE())&amp;Char(10) &amp; Char(10) &amp; VLOOKUP(A644,Internal_lists_bugs!$A$2:$Z$73,26,FALSE())),"please select a BUG ID")</f>
        <v>please select a BUG ID</v>
      </c>
      <c r="C644" s="89" t="str">
        <f>IFERROR(VLOOKUP(A644,Internal_lists_bugs!$A$2:$X1013,24,FALSE()),"please select a BUG ID")</f>
        <v>please select a BUG ID</v>
      </c>
      <c r="E644" s="82"/>
      <c r="F644" s="80"/>
      <c r="H644" s="82"/>
      <c r="I644" s="80"/>
      <c r="J644" s="51" t="str">
        <f>IFERROR(Hyperlink(VLOOKUP(A644,Internal_lists_bugs!$A$2:$G1013,7,FALSE()),"BIC: "&amp;VLOOKUP(A644,Internal_lists_bugs!$A$2:$G1013,7,FALSE())&amp;CHAR(10)&amp;"Intro.Issues: "&amp;VLOOKUP(A644,Internal_lists_bugs!$A$2:$P1013,16,FALSE())),"please select a BUG ID")</f>
        <v>please select a BUG ID</v>
      </c>
    </row>
    <row r="645">
      <c r="A645" s="54"/>
      <c r="B645" s="88" t="str">
        <f>IFERROR(HYPERLINK(VLOOKUP(A645,Internal_lists_bugs!$A$2:$C$73,3,FALSE()), VLOOKUP(A645,Internal_lists_bugs!$A$2:$C$73,3,FALSE())&amp;Char(10) &amp; Char(10) &amp; VLOOKUP(A645,Internal_lists_bugs!$A$2:$Z$73,26,FALSE())),"please select a BUG ID")</f>
        <v>please select a BUG ID</v>
      </c>
      <c r="C645" s="89" t="str">
        <f>IFERROR(VLOOKUP(A645,Internal_lists_bugs!$A$2:$X1013,24,FALSE()),"please select a BUG ID")</f>
        <v>please select a BUG ID</v>
      </c>
      <c r="E645" s="82"/>
      <c r="F645" s="80"/>
      <c r="H645" s="82"/>
      <c r="I645" s="80"/>
      <c r="J645" s="51" t="str">
        <f>IFERROR(Hyperlink(VLOOKUP(A645,Internal_lists_bugs!$A$2:$G1013,7,FALSE()),"BIC: "&amp;VLOOKUP(A645,Internal_lists_bugs!$A$2:$G1013,7,FALSE())&amp;CHAR(10)&amp;"Intro.Issues: "&amp;VLOOKUP(A645,Internal_lists_bugs!$A$2:$P1013,16,FALSE())),"please select a BUG ID")</f>
        <v>please select a BUG ID</v>
      </c>
    </row>
    <row r="646">
      <c r="A646" s="54"/>
      <c r="B646" s="88" t="str">
        <f>IFERROR(HYPERLINK(VLOOKUP(A646,Internal_lists_bugs!$A$2:$C$73,3,FALSE()), VLOOKUP(A646,Internal_lists_bugs!$A$2:$C$73,3,FALSE())&amp;Char(10) &amp; Char(10) &amp; VLOOKUP(A646,Internal_lists_bugs!$A$2:$Z$73,26,FALSE())),"please select a BUG ID")</f>
        <v>please select a BUG ID</v>
      </c>
      <c r="C646" s="89" t="str">
        <f>IFERROR(VLOOKUP(A646,Internal_lists_bugs!$A$2:$X1013,24,FALSE()),"please select a BUG ID")</f>
        <v>please select a BUG ID</v>
      </c>
      <c r="E646" s="82"/>
      <c r="F646" s="80"/>
      <c r="H646" s="82"/>
      <c r="I646" s="80"/>
      <c r="J646" s="51" t="str">
        <f>IFERROR(Hyperlink(VLOOKUP(A646,Internal_lists_bugs!$A$2:$G1013,7,FALSE()),"BIC: "&amp;VLOOKUP(A646,Internal_lists_bugs!$A$2:$G1013,7,FALSE())&amp;CHAR(10)&amp;"Intro.Issues: "&amp;VLOOKUP(A646,Internal_lists_bugs!$A$2:$P1013,16,FALSE())),"please select a BUG ID")</f>
        <v>please select a BUG ID</v>
      </c>
    </row>
    <row r="647">
      <c r="A647" s="54"/>
      <c r="B647" s="88" t="str">
        <f>IFERROR(HYPERLINK(VLOOKUP(A647,Internal_lists_bugs!$A$2:$C$73,3,FALSE()), VLOOKUP(A647,Internal_lists_bugs!$A$2:$C$73,3,FALSE())&amp;Char(10) &amp; Char(10) &amp; VLOOKUP(A647,Internal_lists_bugs!$A$2:$Z$73,26,FALSE())),"please select a BUG ID")</f>
        <v>please select a BUG ID</v>
      </c>
      <c r="C647" s="89" t="str">
        <f>IFERROR(VLOOKUP(A647,Internal_lists_bugs!$A$2:$X1013,24,FALSE()),"please select a BUG ID")</f>
        <v>please select a BUG ID</v>
      </c>
      <c r="E647" s="82"/>
      <c r="F647" s="80"/>
      <c r="H647" s="82"/>
      <c r="I647" s="80"/>
      <c r="J647" s="51" t="str">
        <f>IFERROR(Hyperlink(VLOOKUP(A647,Internal_lists_bugs!$A$2:$G1013,7,FALSE()),"BIC: "&amp;VLOOKUP(A647,Internal_lists_bugs!$A$2:$G1013,7,FALSE())&amp;CHAR(10)&amp;"Intro.Issues: "&amp;VLOOKUP(A647,Internal_lists_bugs!$A$2:$P1013,16,FALSE())),"please select a BUG ID")</f>
        <v>please select a BUG ID</v>
      </c>
    </row>
    <row r="648">
      <c r="A648" s="54"/>
      <c r="B648" s="88" t="str">
        <f>IFERROR(HYPERLINK(VLOOKUP(A648,Internal_lists_bugs!$A$2:$C$73,3,FALSE()), VLOOKUP(A648,Internal_lists_bugs!$A$2:$C$73,3,FALSE())&amp;Char(10) &amp; Char(10) &amp; VLOOKUP(A648,Internal_lists_bugs!$A$2:$Z$73,26,FALSE())),"please select a BUG ID")</f>
        <v>please select a BUG ID</v>
      </c>
      <c r="C648" s="89" t="str">
        <f>IFERROR(VLOOKUP(A648,Internal_lists_bugs!$A$2:$X1013,24,FALSE()),"please select a BUG ID")</f>
        <v>please select a BUG ID</v>
      </c>
      <c r="E648" s="82"/>
      <c r="F648" s="80"/>
      <c r="H648" s="82"/>
      <c r="I648" s="80"/>
      <c r="J648" s="51" t="str">
        <f>IFERROR(Hyperlink(VLOOKUP(A648,Internal_lists_bugs!$A$2:$G1013,7,FALSE()),"BIC: "&amp;VLOOKUP(A648,Internal_lists_bugs!$A$2:$G1013,7,FALSE())&amp;CHAR(10)&amp;"Intro.Issues: "&amp;VLOOKUP(A648,Internal_lists_bugs!$A$2:$P1013,16,FALSE())),"please select a BUG ID")</f>
        <v>please select a BUG ID</v>
      </c>
    </row>
    <row r="649">
      <c r="A649" s="54"/>
      <c r="B649" s="88" t="str">
        <f>IFERROR(HYPERLINK(VLOOKUP(A649,Internal_lists_bugs!$A$2:$C$73,3,FALSE()), VLOOKUP(A649,Internal_lists_bugs!$A$2:$C$73,3,FALSE())&amp;Char(10) &amp; Char(10) &amp; VLOOKUP(A649,Internal_lists_bugs!$A$2:$Z$73,26,FALSE())),"please select a BUG ID")</f>
        <v>please select a BUG ID</v>
      </c>
      <c r="C649" s="89" t="str">
        <f>IFERROR(VLOOKUP(A649,Internal_lists_bugs!$A$2:$X1013,24,FALSE()),"please select a BUG ID")</f>
        <v>please select a BUG ID</v>
      </c>
      <c r="E649" s="82"/>
      <c r="F649" s="80"/>
      <c r="H649" s="82"/>
      <c r="I649" s="80"/>
      <c r="J649" s="51" t="str">
        <f>IFERROR(Hyperlink(VLOOKUP(A649,Internal_lists_bugs!$A$2:$G1013,7,FALSE()),"BIC: "&amp;VLOOKUP(A649,Internal_lists_bugs!$A$2:$G1013,7,FALSE())&amp;CHAR(10)&amp;"Intro.Issues: "&amp;VLOOKUP(A649,Internal_lists_bugs!$A$2:$P1013,16,FALSE())),"please select a BUG ID")</f>
        <v>please select a BUG ID</v>
      </c>
    </row>
    <row r="650">
      <c r="A650" s="54"/>
      <c r="B650" s="88" t="str">
        <f>IFERROR(HYPERLINK(VLOOKUP(A650,Internal_lists_bugs!$A$2:$C$73,3,FALSE()), VLOOKUP(A650,Internal_lists_bugs!$A$2:$C$73,3,FALSE())&amp;Char(10) &amp; Char(10) &amp; VLOOKUP(A650,Internal_lists_bugs!$A$2:$Z$73,26,FALSE())),"please select a BUG ID")</f>
        <v>please select a BUG ID</v>
      </c>
      <c r="C650" s="89" t="str">
        <f>IFERROR(VLOOKUP(A650,Internal_lists_bugs!$A$2:$X1013,24,FALSE()),"please select a BUG ID")</f>
        <v>please select a BUG ID</v>
      </c>
      <c r="E650" s="82"/>
      <c r="F650" s="80"/>
      <c r="H650" s="82"/>
      <c r="I650" s="80"/>
      <c r="J650" s="51" t="str">
        <f>IFERROR(Hyperlink(VLOOKUP(A650,Internal_lists_bugs!$A$2:$G1013,7,FALSE()),"BIC: "&amp;VLOOKUP(A650,Internal_lists_bugs!$A$2:$G1013,7,FALSE())&amp;CHAR(10)&amp;"Intro.Issues: "&amp;VLOOKUP(A650,Internal_lists_bugs!$A$2:$P1013,16,FALSE())),"please select a BUG ID")</f>
        <v>please select a BUG ID</v>
      </c>
    </row>
    <row r="651">
      <c r="A651" s="54"/>
      <c r="B651" s="88" t="str">
        <f>IFERROR(HYPERLINK(VLOOKUP(A651,Internal_lists_bugs!$A$2:$C$73,3,FALSE()), VLOOKUP(A651,Internal_lists_bugs!$A$2:$C$73,3,FALSE())&amp;Char(10) &amp; Char(10) &amp; VLOOKUP(A651,Internal_lists_bugs!$A$2:$Z$73,26,FALSE())),"please select a BUG ID")</f>
        <v>please select a BUG ID</v>
      </c>
      <c r="C651" s="89" t="str">
        <f>IFERROR(VLOOKUP(A651,Internal_lists_bugs!$A$2:$X1013,24,FALSE()),"please select a BUG ID")</f>
        <v>please select a BUG ID</v>
      </c>
      <c r="E651" s="82"/>
      <c r="F651" s="80"/>
      <c r="H651" s="82"/>
      <c r="I651" s="80"/>
      <c r="J651" s="51" t="str">
        <f>IFERROR(Hyperlink(VLOOKUP(A651,Internal_lists_bugs!$A$2:$G1013,7,FALSE()),"BIC: "&amp;VLOOKUP(A651,Internal_lists_bugs!$A$2:$G1013,7,FALSE())&amp;CHAR(10)&amp;"Intro.Issues: "&amp;VLOOKUP(A651,Internal_lists_bugs!$A$2:$P1013,16,FALSE())),"please select a BUG ID")</f>
        <v>please select a BUG ID</v>
      </c>
    </row>
    <row r="652">
      <c r="A652" s="54"/>
      <c r="B652" s="88" t="str">
        <f>IFERROR(HYPERLINK(VLOOKUP(A652,Internal_lists_bugs!$A$2:$C$73,3,FALSE()), VLOOKUP(A652,Internal_lists_bugs!$A$2:$C$73,3,FALSE())&amp;Char(10) &amp; Char(10) &amp; VLOOKUP(A652,Internal_lists_bugs!$A$2:$Z$73,26,FALSE())),"please select a BUG ID")</f>
        <v>please select a BUG ID</v>
      </c>
      <c r="C652" s="89" t="str">
        <f>IFERROR(VLOOKUP(A652,Internal_lists_bugs!$A$2:$X1013,24,FALSE()),"please select a BUG ID")</f>
        <v>please select a BUG ID</v>
      </c>
      <c r="E652" s="82"/>
      <c r="F652" s="80"/>
      <c r="H652" s="82"/>
      <c r="I652" s="80"/>
      <c r="J652" s="51" t="str">
        <f>IFERROR(Hyperlink(VLOOKUP(A652,Internal_lists_bugs!$A$2:$G1013,7,FALSE()),"BIC: "&amp;VLOOKUP(A652,Internal_lists_bugs!$A$2:$G1013,7,FALSE())&amp;CHAR(10)&amp;"Intro.Issues: "&amp;VLOOKUP(A652,Internal_lists_bugs!$A$2:$P1013,16,FALSE())),"please select a BUG ID")</f>
        <v>please select a BUG ID</v>
      </c>
    </row>
    <row r="653">
      <c r="A653" s="54"/>
      <c r="B653" s="88" t="str">
        <f>IFERROR(HYPERLINK(VLOOKUP(A653,Internal_lists_bugs!$A$2:$C$73,3,FALSE()), VLOOKUP(A653,Internal_lists_bugs!$A$2:$C$73,3,FALSE())&amp;Char(10) &amp; Char(10) &amp; VLOOKUP(A653,Internal_lists_bugs!$A$2:$Z$73,26,FALSE())),"please select a BUG ID")</f>
        <v>please select a BUG ID</v>
      </c>
      <c r="C653" s="89" t="str">
        <f>IFERROR(VLOOKUP(A653,Internal_lists_bugs!$A$2:$X1013,24,FALSE()),"please select a BUG ID")</f>
        <v>please select a BUG ID</v>
      </c>
      <c r="E653" s="82"/>
      <c r="F653" s="80"/>
      <c r="H653" s="82"/>
      <c r="I653" s="80"/>
      <c r="J653" s="51" t="str">
        <f>IFERROR(Hyperlink(VLOOKUP(A653,Internal_lists_bugs!$A$2:$G1013,7,FALSE()),"BIC: "&amp;VLOOKUP(A653,Internal_lists_bugs!$A$2:$G1013,7,FALSE())&amp;CHAR(10)&amp;"Intro.Issues: "&amp;VLOOKUP(A653,Internal_lists_bugs!$A$2:$P1013,16,FALSE())),"please select a BUG ID")</f>
        <v>please select a BUG ID</v>
      </c>
    </row>
    <row r="654">
      <c r="A654" s="54"/>
      <c r="B654" s="88" t="str">
        <f>IFERROR(HYPERLINK(VLOOKUP(A654,Internal_lists_bugs!$A$2:$C$73,3,FALSE()), VLOOKUP(A654,Internal_lists_bugs!$A$2:$C$73,3,FALSE())&amp;Char(10) &amp; Char(10) &amp; VLOOKUP(A654,Internal_lists_bugs!$A$2:$Z$73,26,FALSE())),"please select a BUG ID")</f>
        <v>please select a BUG ID</v>
      </c>
      <c r="C654" s="89" t="str">
        <f>IFERROR(VLOOKUP(A654,Internal_lists_bugs!$A$2:$X1013,24,FALSE()),"please select a BUG ID")</f>
        <v>please select a BUG ID</v>
      </c>
      <c r="E654" s="82"/>
      <c r="F654" s="80"/>
      <c r="H654" s="82"/>
      <c r="I654" s="80"/>
      <c r="J654" s="51" t="str">
        <f>IFERROR(Hyperlink(VLOOKUP(A654,Internal_lists_bugs!$A$2:$G1013,7,FALSE()),"BIC: "&amp;VLOOKUP(A654,Internal_lists_bugs!$A$2:$G1013,7,FALSE())&amp;CHAR(10)&amp;"Intro.Issues: "&amp;VLOOKUP(A654,Internal_lists_bugs!$A$2:$P1013,16,FALSE())),"please select a BUG ID")</f>
        <v>please select a BUG ID</v>
      </c>
    </row>
    <row r="655">
      <c r="A655" s="54"/>
      <c r="B655" s="88" t="str">
        <f>IFERROR(HYPERLINK(VLOOKUP(A655,Internal_lists_bugs!$A$2:$C$73,3,FALSE()), VLOOKUP(A655,Internal_lists_bugs!$A$2:$C$73,3,FALSE())&amp;Char(10) &amp; Char(10) &amp; VLOOKUP(A655,Internal_lists_bugs!$A$2:$Z$73,26,FALSE())),"please select a BUG ID")</f>
        <v>please select a BUG ID</v>
      </c>
      <c r="C655" s="89" t="str">
        <f>IFERROR(VLOOKUP(A655,Internal_lists_bugs!$A$2:$X1013,24,FALSE()),"please select a BUG ID")</f>
        <v>please select a BUG ID</v>
      </c>
      <c r="E655" s="82"/>
      <c r="F655" s="80"/>
      <c r="H655" s="82"/>
      <c r="I655" s="80"/>
      <c r="J655" s="51" t="str">
        <f>IFERROR(Hyperlink(VLOOKUP(A655,Internal_lists_bugs!$A$2:$G1013,7,FALSE()),"BIC: "&amp;VLOOKUP(A655,Internal_lists_bugs!$A$2:$G1013,7,FALSE())&amp;CHAR(10)&amp;"Intro.Issues: "&amp;VLOOKUP(A655,Internal_lists_bugs!$A$2:$P1013,16,FALSE())),"please select a BUG ID")</f>
        <v>please select a BUG ID</v>
      </c>
    </row>
    <row r="656">
      <c r="A656" s="54"/>
      <c r="B656" s="88" t="str">
        <f>IFERROR(HYPERLINK(VLOOKUP(A656,Internal_lists_bugs!$A$2:$C$73,3,FALSE()), VLOOKUP(A656,Internal_lists_bugs!$A$2:$C$73,3,FALSE())&amp;Char(10) &amp; Char(10) &amp; VLOOKUP(A656,Internal_lists_bugs!$A$2:$Z$73,26,FALSE())),"please select a BUG ID")</f>
        <v>please select a BUG ID</v>
      </c>
      <c r="C656" s="89" t="str">
        <f>IFERROR(VLOOKUP(A656,Internal_lists_bugs!$A$2:$X1013,24,FALSE()),"please select a BUG ID")</f>
        <v>please select a BUG ID</v>
      </c>
      <c r="E656" s="82"/>
      <c r="F656" s="80"/>
      <c r="H656" s="82"/>
      <c r="I656" s="80"/>
      <c r="J656" s="51" t="str">
        <f>IFERROR(Hyperlink(VLOOKUP(A656,Internal_lists_bugs!$A$2:$G1013,7,FALSE()),"BIC: "&amp;VLOOKUP(A656,Internal_lists_bugs!$A$2:$G1013,7,FALSE())&amp;CHAR(10)&amp;"Intro.Issues: "&amp;VLOOKUP(A656,Internal_lists_bugs!$A$2:$P1013,16,FALSE())),"please select a BUG ID")</f>
        <v>please select a BUG ID</v>
      </c>
    </row>
    <row r="657">
      <c r="A657" s="54"/>
      <c r="B657" s="88" t="str">
        <f>IFERROR(HYPERLINK(VLOOKUP(A657,Internal_lists_bugs!$A$2:$C$73,3,FALSE()), VLOOKUP(A657,Internal_lists_bugs!$A$2:$C$73,3,FALSE())&amp;Char(10) &amp; Char(10) &amp; VLOOKUP(A657,Internal_lists_bugs!$A$2:$Z$73,26,FALSE())),"please select a BUG ID")</f>
        <v>please select a BUG ID</v>
      </c>
      <c r="C657" s="89" t="str">
        <f>IFERROR(VLOOKUP(A657,Internal_lists_bugs!$A$2:$X1013,24,FALSE()),"please select a BUG ID")</f>
        <v>please select a BUG ID</v>
      </c>
      <c r="E657" s="82"/>
      <c r="F657" s="80"/>
      <c r="H657" s="82"/>
      <c r="I657" s="80"/>
      <c r="J657" s="51" t="str">
        <f>IFERROR(Hyperlink(VLOOKUP(A657,Internal_lists_bugs!$A$2:$G1013,7,FALSE()),"BIC: "&amp;VLOOKUP(A657,Internal_lists_bugs!$A$2:$G1013,7,FALSE())&amp;CHAR(10)&amp;"Intro.Issues: "&amp;VLOOKUP(A657,Internal_lists_bugs!$A$2:$P1013,16,FALSE())),"please select a BUG ID")</f>
        <v>please select a BUG ID</v>
      </c>
    </row>
    <row r="658">
      <c r="A658" s="54"/>
      <c r="B658" s="88" t="str">
        <f>IFERROR(HYPERLINK(VLOOKUP(A658,Internal_lists_bugs!$A$2:$C$73,3,FALSE()), VLOOKUP(A658,Internal_lists_bugs!$A$2:$C$73,3,FALSE())&amp;Char(10) &amp; Char(10) &amp; VLOOKUP(A658,Internal_lists_bugs!$A$2:$Z$73,26,FALSE())),"please select a BUG ID")</f>
        <v>please select a BUG ID</v>
      </c>
      <c r="C658" s="89" t="str">
        <f>IFERROR(VLOOKUP(A658,Internal_lists_bugs!$A$2:$X1013,24,FALSE()),"please select a BUG ID")</f>
        <v>please select a BUG ID</v>
      </c>
      <c r="E658" s="82"/>
      <c r="F658" s="80"/>
      <c r="H658" s="82"/>
      <c r="I658" s="80"/>
      <c r="J658" s="51" t="str">
        <f>IFERROR(Hyperlink(VLOOKUP(A658,Internal_lists_bugs!$A$2:$G1013,7,FALSE()),"BIC: "&amp;VLOOKUP(A658,Internal_lists_bugs!$A$2:$G1013,7,FALSE())&amp;CHAR(10)&amp;"Intro.Issues: "&amp;VLOOKUP(A658,Internal_lists_bugs!$A$2:$P1013,16,FALSE())),"please select a BUG ID")</f>
        <v>please select a BUG ID</v>
      </c>
    </row>
    <row r="659">
      <c r="A659" s="54"/>
      <c r="B659" s="88" t="str">
        <f>IFERROR(HYPERLINK(VLOOKUP(A659,Internal_lists_bugs!$A$2:$C$73,3,FALSE()), VLOOKUP(A659,Internal_lists_bugs!$A$2:$C$73,3,FALSE())&amp;Char(10) &amp; Char(10) &amp; VLOOKUP(A659,Internal_lists_bugs!$A$2:$Z$73,26,FALSE())),"please select a BUG ID")</f>
        <v>please select a BUG ID</v>
      </c>
      <c r="C659" s="89" t="str">
        <f>IFERROR(VLOOKUP(A659,Internal_lists_bugs!$A$2:$X1013,24,FALSE()),"please select a BUG ID")</f>
        <v>please select a BUG ID</v>
      </c>
      <c r="E659" s="82"/>
      <c r="F659" s="80"/>
      <c r="H659" s="82"/>
      <c r="I659" s="80"/>
      <c r="J659" s="51" t="str">
        <f>IFERROR(Hyperlink(VLOOKUP(A659,Internal_lists_bugs!$A$2:$G1013,7,FALSE()),"BIC: "&amp;VLOOKUP(A659,Internal_lists_bugs!$A$2:$G1013,7,FALSE())&amp;CHAR(10)&amp;"Intro.Issues: "&amp;VLOOKUP(A659,Internal_lists_bugs!$A$2:$P1013,16,FALSE())),"please select a BUG ID")</f>
        <v>please select a BUG ID</v>
      </c>
    </row>
    <row r="660">
      <c r="A660" s="54"/>
      <c r="B660" s="88" t="str">
        <f>IFERROR(HYPERLINK(VLOOKUP(A660,Internal_lists_bugs!$A$2:$C$73,3,FALSE()), VLOOKUP(A660,Internal_lists_bugs!$A$2:$C$73,3,FALSE())&amp;Char(10) &amp; Char(10) &amp; VLOOKUP(A660,Internal_lists_bugs!$A$2:$Z$73,26,FALSE())),"please select a BUG ID")</f>
        <v>please select a BUG ID</v>
      </c>
      <c r="C660" s="89" t="str">
        <f>IFERROR(VLOOKUP(A660,Internal_lists_bugs!$A$2:$X1013,24,FALSE()),"please select a BUG ID")</f>
        <v>please select a BUG ID</v>
      </c>
      <c r="E660" s="82"/>
      <c r="F660" s="80"/>
      <c r="H660" s="82"/>
      <c r="I660" s="80"/>
      <c r="J660" s="51" t="str">
        <f>IFERROR(Hyperlink(VLOOKUP(A660,Internal_lists_bugs!$A$2:$G1013,7,FALSE()),"BIC: "&amp;VLOOKUP(A660,Internal_lists_bugs!$A$2:$G1013,7,FALSE())&amp;CHAR(10)&amp;"Intro.Issues: "&amp;VLOOKUP(A660,Internal_lists_bugs!$A$2:$P1013,16,FALSE())),"please select a BUG ID")</f>
        <v>please select a BUG ID</v>
      </c>
    </row>
    <row r="661">
      <c r="A661" s="54"/>
      <c r="B661" s="88" t="str">
        <f>IFERROR(HYPERLINK(VLOOKUP(A661,Internal_lists_bugs!$A$2:$C$73,3,FALSE()), VLOOKUP(A661,Internal_lists_bugs!$A$2:$C$73,3,FALSE())&amp;Char(10) &amp; Char(10) &amp; VLOOKUP(A661,Internal_lists_bugs!$A$2:$Z$73,26,FALSE())),"please select a BUG ID")</f>
        <v>please select a BUG ID</v>
      </c>
      <c r="C661" s="89" t="str">
        <f>IFERROR(VLOOKUP(A661,Internal_lists_bugs!$A$2:$X1013,24,FALSE()),"please select a BUG ID")</f>
        <v>please select a BUG ID</v>
      </c>
      <c r="E661" s="82"/>
      <c r="F661" s="80"/>
      <c r="H661" s="82"/>
      <c r="I661" s="80"/>
      <c r="J661" s="51" t="str">
        <f>IFERROR(Hyperlink(VLOOKUP(A661,Internal_lists_bugs!$A$2:$G1013,7,FALSE()),"BIC: "&amp;VLOOKUP(A661,Internal_lists_bugs!$A$2:$G1013,7,FALSE())&amp;CHAR(10)&amp;"Intro.Issues: "&amp;VLOOKUP(A661,Internal_lists_bugs!$A$2:$P1013,16,FALSE())),"please select a BUG ID")</f>
        <v>please select a BUG ID</v>
      </c>
    </row>
    <row r="662">
      <c r="A662" s="54"/>
      <c r="B662" s="88" t="str">
        <f>IFERROR(HYPERLINK(VLOOKUP(A662,Internal_lists_bugs!$A$2:$C$73,3,FALSE()), VLOOKUP(A662,Internal_lists_bugs!$A$2:$C$73,3,FALSE())&amp;Char(10) &amp; Char(10) &amp; VLOOKUP(A662,Internal_lists_bugs!$A$2:$Z$73,26,FALSE())),"please select a BUG ID")</f>
        <v>please select a BUG ID</v>
      </c>
      <c r="C662" s="89" t="str">
        <f>IFERROR(VLOOKUP(A662,Internal_lists_bugs!$A$2:$X1013,24,FALSE()),"please select a BUG ID")</f>
        <v>please select a BUG ID</v>
      </c>
      <c r="E662" s="82"/>
      <c r="F662" s="80"/>
      <c r="H662" s="82"/>
      <c r="I662" s="80"/>
      <c r="J662" s="51" t="str">
        <f>IFERROR(Hyperlink(VLOOKUP(A662,Internal_lists_bugs!$A$2:$G1013,7,FALSE()),"BIC: "&amp;VLOOKUP(A662,Internal_lists_bugs!$A$2:$G1013,7,FALSE())&amp;CHAR(10)&amp;"Intro.Issues: "&amp;VLOOKUP(A662,Internal_lists_bugs!$A$2:$P1013,16,FALSE())),"please select a BUG ID")</f>
        <v>please select a BUG ID</v>
      </c>
    </row>
    <row r="663">
      <c r="A663" s="54"/>
      <c r="B663" s="88" t="str">
        <f>IFERROR(HYPERLINK(VLOOKUP(A663,Internal_lists_bugs!$A$2:$C$73,3,FALSE()), VLOOKUP(A663,Internal_lists_bugs!$A$2:$C$73,3,FALSE())&amp;Char(10) &amp; Char(10) &amp; VLOOKUP(A663,Internal_lists_bugs!$A$2:$Z$73,26,FALSE())),"please select a BUG ID")</f>
        <v>please select a BUG ID</v>
      </c>
      <c r="C663" s="89" t="str">
        <f>IFERROR(VLOOKUP(A663,Internal_lists_bugs!$A$2:$X1013,24,FALSE()),"please select a BUG ID")</f>
        <v>please select a BUG ID</v>
      </c>
      <c r="E663" s="82"/>
      <c r="F663" s="80"/>
      <c r="H663" s="82"/>
      <c r="I663" s="80"/>
      <c r="J663" s="51" t="str">
        <f>IFERROR(Hyperlink(VLOOKUP(A663,Internal_lists_bugs!$A$2:$G1013,7,FALSE()),"BIC: "&amp;VLOOKUP(A663,Internal_lists_bugs!$A$2:$G1013,7,FALSE())&amp;CHAR(10)&amp;"Intro.Issues: "&amp;VLOOKUP(A663,Internal_lists_bugs!$A$2:$P1013,16,FALSE())),"please select a BUG ID")</f>
        <v>please select a BUG ID</v>
      </c>
    </row>
    <row r="664">
      <c r="A664" s="54"/>
      <c r="B664" s="88" t="str">
        <f>IFERROR(HYPERLINK(VLOOKUP(A664,Internal_lists_bugs!$A$2:$C$73,3,FALSE()), VLOOKUP(A664,Internal_lists_bugs!$A$2:$C$73,3,FALSE())&amp;Char(10) &amp; Char(10) &amp; VLOOKUP(A664,Internal_lists_bugs!$A$2:$Z$73,26,FALSE())),"please select a BUG ID")</f>
        <v>please select a BUG ID</v>
      </c>
      <c r="C664" s="89" t="str">
        <f>IFERROR(VLOOKUP(A664,Internal_lists_bugs!$A$2:$X1013,24,FALSE()),"please select a BUG ID")</f>
        <v>please select a BUG ID</v>
      </c>
      <c r="E664" s="82"/>
      <c r="F664" s="80"/>
      <c r="H664" s="82"/>
      <c r="I664" s="80"/>
      <c r="J664" s="51" t="str">
        <f>IFERROR(Hyperlink(VLOOKUP(A664,Internal_lists_bugs!$A$2:$G1013,7,FALSE()),"BIC: "&amp;VLOOKUP(A664,Internal_lists_bugs!$A$2:$G1013,7,FALSE())&amp;CHAR(10)&amp;"Intro.Issues: "&amp;VLOOKUP(A664,Internal_lists_bugs!$A$2:$P1013,16,FALSE())),"please select a BUG ID")</f>
        <v>please select a BUG ID</v>
      </c>
    </row>
    <row r="665">
      <c r="A665" s="54"/>
      <c r="B665" s="88" t="str">
        <f>IFERROR(HYPERLINK(VLOOKUP(A665,Internal_lists_bugs!$A$2:$C$73,3,FALSE()), VLOOKUP(A665,Internal_lists_bugs!$A$2:$C$73,3,FALSE())&amp;Char(10) &amp; Char(10) &amp; VLOOKUP(A665,Internal_lists_bugs!$A$2:$Z$73,26,FALSE())),"please select a BUG ID")</f>
        <v>please select a BUG ID</v>
      </c>
      <c r="C665" s="89" t="str">
        <f>IFERROR(VLOOKUP(A665,Internal_lists_bugs!$A$2:$X1013,24,FALSE()),"please select a BUG ID")</f>
        <v>please select a BUG ID</v>
      </c>
      <c r="E665" s="82"/>
      <c r="F665" s="80"/>
      <c r="H665" s="82"/>
      <c r="I665" s="80"/>
      <c r="J665" s="51" t="str">
        <f>IFERROR(Hyperlink(VLOOKUP(A665,Internal_lists_bugs!$A$2:$G1013,7,FALSE()),"BIC: "&amp;VLOOKUP(A665,Internal_lists_bugs!$A$2:$G1013,7,FALSE())&amp;CHAR(10)&amp;"Intro.Issues: "&amp;VLOOKUP(A665,Internal_lists_bugs!$A$2:$P1013,16,FALSE())),"please select a BUG ID")</f>
        <v>please select a BUG ID</v>
      </c>
    </row>
    <row r="666">
      <c r="A666" s="54"/>
      <c r="B666" s="88" t="str">
        <f>IFERROR(HYPERLINK(VLOOKUP(A666,Internal_lists_bugs!$A$2:$C$73,3,FALSE()), VLOOKUP(A666,Internal_lists_bugs!$A$2:$C$73,3,FALSE())&amp;Char(10) &amp; Char(10) &amp; VLOOKUP(A666,Internal_lists_bugs!$A$2:$Z$73,26,FALSE())),"please select a BUG ID")</f>
        <v>please select a BUG ID</v>
      </c>
      <c r="C666" s="89" t="str">
        <f>IFERROR(VLOOKUP(A666,Internal_lists_bugs!$A$2:$X1013,24,FALSE()),"please select a BUG ID")</f>
        <v>please select a BUG ID</v>
      </c>
      <c r="E666" s="82"/>
      <c r="F666" s="80"/>
      <c r="H666" s="82"/>
      <c r="I666" s="80"/>
      <c r="J666" s="51" t="str">
        <f>IFERROR(Hyperlink(VLOOKUP(A666,Internal_lists_bugs!$A$2:$G1013,7,FALSE()),"BIC: "&amp;VLOOKUP(A666,Internal_lists_bugs!$A$2:$G1013,7,FALSE())&amp;CHAR(10)&amp;"Intro.Issues: "&amp;VLOOKUP(A666,Internal_lists_bugs!$A$2:$P1013,16,FALSE())),"please select a BUG ID")</f>
        <v>please select a BUG ID</v>
      </c>
    </row>
    <row r="667">
      <c r="A667" s="54"/>
      <c r="B667" s="88" t="str">
        <f>IFERROR(HYPERLINK(VLOOKUP(A667,Internal_lists_bugs!$A$2:$C$73,3,FALSE()), VLOOKUP(A667,Internal_lists_bugs!$A$2:$C$73,3,FALSE())&amp;Char(10) &amp; Char(10) &amp; VLOOKUP(A667,Internal_lists_bugs!$A$2:$Z$73,26,FALSE())),"please select a BUG ID")</f>
        <v>please select a BUG ID</v>
      </c>
      <c r="C667" s="89" t="str">
        <f>IFERROR(VLOOKUP(A667,Internal_lists_bugs!$A$2:$X1013,24,FALSE()),"please select a BUG ID")</f>
        <v>please select a BUG ID</v>
      </c>
      <c r="E667" s="82"/>
      <c r="F667" s="80"/>
      <c r="H667" s="82"/>
      <c r="I667" s="80"/>
      <c r="J667" s="51" t="str">
        <f>IFERROR(Hyperlink(VLOOKUP(A667,Internal_lists_bugs!$A$2:$G1013,7,FALSE()),"BIC: "&amp;VLOOKUP(A667,Internal_lists_bugs!$A$2:$G1013,7,FALSE())&amp;CHAR(10)&amp;"Intro.Issues: "&amp;VLOOKUP(A667,Internal_lists_bugs!$A$2:$P1013,16,FALSE())),"please select a BUG ID")</f>
        <v>please select a BUG ID</v>
      </c>
    </row>
    <row r="668">
      <c r="A668" s="54"/>
      <c r="B668" s="88" t="str">
        <f>IFERROR(HYPERLINK(VLOOKUP(A668,Internal_lists_bugs!$A$2:$C$73,3,FALSE()), VLOOKUP(A668,Internal_lists_bugs!$A$2:$C$73,3,FALSE())&amp;Char(10) &amp; Char(10) &amp; VLOOKUP(A668,Internal_lists_bugs!$A$2:$Z$73,26,FALSE())),"please select a BUG ID")</f>
        <v>please select a BUG ID</v>
      </c>
      <c r="C668" s="89" t="str">
        <f>IFERROR(VLOOKUP(A668,Internal_lists_bugs!$A$2:$X1013,24,FALSE()),"please select a BUG ID")</f>
        <v>please select a BUG ID</v>
      </c>
      <c r="E668" s="82"/>
      <c r="F668" s="80"/>
      <c r="H668" s="82"/>
      <c r="I668" s="80"/>
      <c r="J668" s="51" t="str">
        <f>IFERROR(Hyperlink(VLOOKUP(A668,Internal_lists_bugs!$A$2:$G1013,7,FALSE()),"BIC: "&amp;VLOOKUP(A668,Internal_lists_bugs!$A$2:$G1013,7,FALSE())&amp;CHAR(10)&amp;"Intro.Issues: "&amp;VLOOKUP(A668,Internal_lists_bugs!$A$2:$P1013,16,FALSE())),"please select a BUG ID")</f>
        <v>please select a BUG ID</v>
      </c>
    </row>
    <row r="669">
      <c r="A669" s="54"/>
      <c r="B669" s="88" t="str">
        <f>IFERROR(HYPERLINK(VLOOKUP(A669,Internal_lists_bugs!$A$2:$C$73,3,FALSE()), VLOOKUP(A669,Internal_lists_bugs!$A$2:$C$73,3,FALSE())&amp;Char(10) &amp; Char(10) &amp; VLOOKUP(A669,Internal_lists_bugs!$A$2:$Z$73,26,FALSE())),"please select a BUG ID")</f>
        <v>please select a BUG ID</v>
      </c>
      <c r="C669" s="89" t="str">
        <f>IFERROR(VLOOKUP(A669,Internal_lists_bugs!$A$2:$X1013,24,FALSE()),"please select a BUG ID")</f>
        <v>please select a BUG ID</v>
      </c>
      <c r="E669" s="82"/>
      <c r="F669" s="80"/>
      <c r="H669" s="82"/>
      <c r="I669" s="80"/>
      <c r="J669" s="51" t="str">
        <f>IFERROR(Hyperlink(VLOOKUP(A669,Internal_lists_bugs!$A$2:$G1013,7,FALSE()),"BIC: "&amp;VLOOKUP(A669,Internal_lists_bugs!$A$2:$G1013,7,FALSE())&amp;CHAR(10)&amp;"Intro.Issues: "&amp;VLOOKUP(A669,Internal_lists_bugs!$A$2:$P1013,16,FALSE())),"please select a BUG ID")</f>
        <v>please select a BUG ID</v>
      </c>
    </row>
    <row r="670">
      <c r="A670" s="54"/>
      <c r="B670" s="88" t="str">
        <f>IFERROR(HYPERLINK(VLOOKUP(A670,Internal_lists_bugs!$A$2:$C$73,3,FALSE()), VLOOKUP(A670,Internal_lists_bugs!$A$2:$C$73,3,FALSE())&amp;Char(10) &amp; Char(10) &amp; VLOOKUP(A670,Internal_lists_bugs!$A$2:$Z$73,26,FALSE())),"please select a BUG ID")</f>
        <v>please select a BUG ID</v>
      </c>
      <c r="C670" s="89" t="str">
        <f>IFERROR(VLOOKUP(A670,Internal_lists_bugs!$A$2:$X1013,24,FALSE()),"please select a BUG ID")</f>
        <v>please select a BUG ID</v>
      </c>
      <c r="E670" s="82"/>
      <c r="F670" s="80"/>
      <c r="H670" s="82"/>
      <c r="I670" s="80"/>
      <c r="J670" s="51" t="str">
        <f>IFERROR(Hyperlink(VLOOKUP(A670,Internal_lists_bugs!$A$2:$G1013,7,FALSE()),"BIC: "&amp;VLOOKUP(A670,Internal_lists_bugs!$A$2:$G1013,7,FALSE())&amp;CHAR(10)&amp;"Intro.Issues: "&amp;VLOOKUP(A670,Internal_lists_bugs!$A$2:$P1013,16,FALSE())),"please select a BUG ID")</f>
        <v>please select a BUG ID</v>
      </c>
    </row>
    <row r="671">
      <c r="A671" s="54"/>
      <c r="B671" s="88" t="str">
        <f>IFERROR(HYPERLINK(VLOOKUP(A671,Internal_lists_bugs!$A$2:$C$73,3,FALSE()), VLOOKUP(A671,Internal_lists_bugs!$A$2:$C$73,3,FALSE())&amp;Char(10) &amp; Char(10) &amp; VLOOKUP(A671,Internal_lists_bugs!$A$2:$Z$73,26,FALSE())),"please select a BUG ID")</f>
        <v>please select a BUG ID</v>
      </c>
      <c r="C671" s="89" t="str">
        <f>IFERROR(VLOOKUP(A671,Internal_lists_bugs!$A$2:$X1013,24,FALSE()),"please select a BUG ID")</f>
        <v>please select a BUG ID</v>
      </c>
      <c r="E671" s="82"/>
      <c r="F671" s="80"/>
      <c r="H671" s="82"/>
      <c r="I671" s="80"/>
      <c r="J671" s="51" t="str">
        <f>IFERROR(Hyperlink(VLOOKUP(A671,Internal_lists_bugs!$A$2:$G1013,7,FALSE()),"BIC: "&amp;VLOOKUP(A671,Internal_lists_bugs!$A$2:$G1013,7,FALSE())&amp;CHAR(10)&amp;"Intro.Issues: "&amp;VLOOKUP(A671,Internal_lists_bugs!$A$2:$P1013,16,FALSE())),"please select a BUG ID")</f>
        <v>please select a BUG ID</v>
      </c>
    </row>
    <row r="672">
      <c r="A672" s="54"/>
      <c r="B672" s="88" t="str">
        <f>IFERROR(HYPERLINK(VLOOKUP(A672,Internal_lists_bugs!$A$2:$C$73,3,FALSE()), VLOOKUP(A672,Internal_lists_bugs!$A$2:$C$73,3,FALSE())&amp;Char(10) &amp; Char(10) &amp; VLOOKUP(A672,Internal_lists_bugs!$A$2:$Z$73,26,FALSE())),"please select a BUG ID")</f>
        <v>please select a BUG ID</v>
      </c>
      <c r="C672" s="89" t="str">
        <f>IFERROR(VLOOKUP(A672,Internal_lists_bugs!$A$2:$X1013,24,FALSE()),"please select a BUG ID")</f>
        <v>please select a BUG ID</v>
      </c>
      <c r="E672" s="82"/>
      <c r="F672" s="80"/>
      <c r="H672" s="82"/>
      <c r="I672" s="80"/>
      <c r="J672" s="51" t="str">
        <f>IFERROR(Hyperlink(VLOOKUP(A672,Internal_lists_bugs!$A$2:$G1013,7,FALSE()),"BIC: "&amp;VLOOKUP(A672,Internal_lists_bugs!$A$2:$G1013,7,FALSE())&amp;CHAR(10)&amp;"Intro.Issues: "&amp;VLOOKUP(A672,Internal_lists_bugs!$A$2:$P1013,16,FALSE())),"please select a BUG ID")</f>
        <v>please select a BUG ID</v>
      </c>
    </row>
    <row r="673">
      <c r="A673" s="54"/>
      <c r="B673" s="88" t="str">
        <f>IFERROR(HYPERLINK(VLOOKUP(A673,Internal_lists_bugs!$A$2:$C$73,3,FALSE()), VLOOKUP(A673,Internal_lists_bugs!$A$2:$C$73,3,FALSE())&amp;Char(10) &amp; Char(10) &amp; VLOOKUP(A673,Internal_lists_bugs!$A$2:$Z$73,26,FALSE())),"please select a BUG ID")</f>
        <v>please select a BUG ID</v>
      </c>
      <c r="C673" s="89" t="str">
        <f>IFERROR(VLOOKUP(A673,Internal_lists_bugs!$A$2:$X1013,24,FALSE()),"please select a BUG ID")</f>
        <v>please select a BUG ID</v>
      </c>
      <c r="E673" s="82"/>
      <c r="F673" s="80"/>
      <c r="H673" s="82"/>
      <c r="I673" s="80"/>
      <c r="J673" s="51" t="str">
        <f>IFERROR(Hyperlink(VLOOKUP(A673,Internal_lists_bugs!$A$2:$G1013,7,FALSE()),"BIC: "&amp;VLOOKUP(A673,Internal_lists_bugs!$A$2:$G1013,7,FALSE())&amp;CHAR(10)&amp;"Intro.Issues: "&amp;VLOOKUP(A673,Internal_lists_bugs!$A$2:$P1013,16,FALSE())),"please select a BUG ID")</f>
        <v>please select a BUG ID</v>
      </c>
    </row>
    <row r="674">
      <c r="A674" s="54"/>
      <c r="B674" s="88" t="str">
        <f>IFERROR(HYPERLINK(VLOOKUP(A674,Internal_lists_bugs!$A$2:$C$73,3,FALSE()), VLOOKUP(A674,Internal_lists_bugs!$A$2:$C$73,3,FALSE())&amp;Char(10) &amp; Char(10) &amp; VLOOKUP(A674,Internal_lists_bugs!$A$2:$Z$73,26,FALSE())),"please select a BUG ID")</f>
        <v>please select a BUG ID</v>
      </c>
      <c r="C674" s="89" t="str">
        <f>IFERROR(VLOOKUP(A674,Internal_lists_bugs!$A$2:$X1013,24,FALSE()),"please select a BUG ID")</f>
        <v>please select a BUG ID</v>
      </c>
      <c r="E674" s="82"/>
      <c r="F674" s="80"/>
      <c r="H674" s="82"/>
      <c r="I674" s="80"/>
      <c r="J674" s="51" t="str">
        <f>IFERROR(Hyperlink(VLOOKUP(A674,Internal_lists_bugs!$A$2:$G1013,7,FALSE()),"BIC: "&amp;VLOOKUP(A674,Internal_lists_bugs!$A$2:$G1013,7,FALSE())&amp;CHAR(10)&amp;"Intro.Issues: "&amp;VLOOKUP(A674,Internal_lists_bugs!$A$2:$P1013,16,FALSE())),"please select a BUG ID")</f>
        <v>please select a BUG ID</v>
      </c>
    </row>
    <row r="675">
      <c r="A675" s="54"/>
      <c r="B675" s="88" t="str">
        <f>IFERROR(HYPERLINK(VLOOKUP(A675,Internal_lists_bugs!$A$2:$C$73,3,FALSE()), VLOOKUP(A675,Internal_lists_bugs!$A$2:$C$73,3,FALSE())&amp;Char(10) &amp; Char(10) &amp; VLOOKUP(A675,Internal_lists_bugs!$A$2:$Z$73,26,FALSE())),"please select a BUG ID")</f>
        <v>please select a BUG ID</v>
      </c>
      <c r="C675" s="89" t="str">
        <f>IFERROR(VLOOKUP(A675,Internal_lists_bugs!$A$2:$X1013,24,FALSE()),"please select a BUG ID")</f>
        <v>please select a BUG ID</v>
      </c>
      <c r="E675" s="82"/>
      <c r="F675" s="80"/>
      <c r="H675" s="82"/>
      <c r="I675" s="80"/>
      <c r="J675" s="51" t="str">
        <f>IFERROR(Hyperlink(VLOOKUP(A675,Internal_lists_bugs!$A$2:$G1013,7,FALSE()),"BIC: "&amp;VLOOKUP(A675,Internal_lists_bugs!$A$2:$G1013,7,FALSE())&amp;CHAR(10)&amp;"Intro.Issues: "&amp;VLOOKUP(A675,Internal_lists_bugs!$A$2:$P1013,16,FALSE())),"please select a BUG ID")</f>
        <v>please select a BUG ID</v>
      </c>
    </row>
    <row r="676">
      <c r="A676" s="54"/>
      <c r="B676" s="88" t="str">
        <f>IFERROR(HYPERLINK(VLOOKUP(A676,Internal_lists_bugs!$A$2:$C$73,3,FALSE()), VLOOKUP(A676,Internal_lists_bugs!$A$2:$C$73,3,FALSE())&amp;Char(10) &amp; Char(10) &amp; VLOOKUP(A676,Internal_lists_bugs!$A$2:$Z$73,26,FALSE())),"please select a BUG ID")</f>
        <v>please select a BUG ID</v>
      </c>
      <c r="C676" s="89" t="str">
        <f>IFERROR(VLOOKUP(A676,Internal_lists_bugs!$A$2:$X1013,24,FALSE()),"please select a BUG ID")</f>
        <v>please select a BUG ID</v>
      </c>
      <c r="E676" s="82"/>
      <c r="F676" s="80"/>
      <c r="H676" s="82"/>
      <c r="I676" s="80"/>
      <c r="J676" s="51" t="str">
        <f>IFERROR(Hyperlink(VLOOKUP(A676,Internal_lists_bugs!$A$2:$G1013,7,FALSE()),"BIC: "&amp;VLOOKUP(A676,Internal_lists_bugs!$A$2:$G1013,7,FALSE())&amp;CHAR(10)&amp;"Intro.Issues: "&amp;VLOOKUP(A676,Internal_lists_bugs!$A$2:$P1013,16,FALSE())),"please select a BUG ID")</f>
        <v>please select a BUG ID</v>
      </c>
    </row>
    <row r="677">
      <c r="A677" s="54"/>
      <c r="B677" s="88" t="str">
        <f>IFERROR(HYPERLINK(VLOOKUP(A677,Internal_lists_bugs!$A$2:$C$73,3,FALSE()), VLOOKUP(A677,Internal_lists_bugs!$A$2:$C$73,3,FALSE())&amp;Char(10) &amp; Char(10) &amp; VLOOKUP(A677,Internal_lists_bugs!$A$2:$Z$73,26,FALSE())),"please select a BUG ID")</f>
        <v>please select a BUG ID</v>
      </c>
      <c r="C677" s="89" t="str">
        <f>IFERROR(VLOOKUP(A677,Internal_lists_bugs!$A$2:$X1013,24,FALSE()),"please select a BUG ID")</f>
        <v>please select a BUG ID</v>
      </c>
      <c r="E677" s="82"/>
      <c r="F677" s="80"/>
      <c r="H677" s="82"/>
      <c r="I677" s="80"/>
      <c r="J677" s="51" t="str">
        <f>IFERROR(Hyperlink(VLOOKUP(A677,Internal_lists_bugs!$A$2:$G1013,7,FALSE()),"BIC: "&amp;VLOOKUP(A677,Internal_lists_bugs!$A$2:$G1013,7,FALSE())&amp;CHAR(10)&amp;"Intro.Issues: "&amp;VLOOKUP(A677,Internal_lists_bugs!$A$2:$P1013,16,FALSE())),"please select a BUG ID")</f>
        <v>please select a BUG ID</v>
      </c>
    </row>
    <row r="678">
      <c r="A678" s="54"/>
      <c r="B678" s="88" t="str">
        <f>IFERROR(HYPERLINK(VLOOKUP(A678,Internal_lists_bugs!$A$2:$C$73,3,FALSE()), VLOOKUP(A678,Internal_lists_bugs!$A$2:$C$73,3,FALSE())&amp;Char(10) &amp; Char(10) &amp; VLOOKUP(A678,Internal_lists_bugs!$A$2:$Z$73,26,FALSE())),"please select a BUG ID")</f>
        <v>please select a BUG ID</v>
      </c>
      <c r="C678" s="89" t="str">
        <f>IFERROR(VLOOKUP(A678,Internal_lists_bugs!$A$2:$X1013,24,FALSE()),"please select a BUG ID")</f>
        <v>please select a BUG ID</v>
      </c>
      <c r="E678" s="82"/>
      <c r="F678" s="80"/>
      <c r="H678" s="82"/>
      <c r="I678" s="80"/>
      <c r="J678" s="51" t="str">
        <f>IFERROR(Hyperlink(VLOOKUP(A678,Internal_lists_bugs!$A$2:$G1013,7,FALSE()),"BIC: "&amp;VLOOKUP(A678,Internal_lists_bugs!$A$2:$G1013,7,FALSE())&amp;CHAR(10)&amp;"Intro.Issues: "&amp;VLOOKUP(A678,Internal_lists_bugs!$A$2:$P1013,16,FALSE())),"please select a BUG ID")</f>
        <v>please select a BUG ID</v>
      </c>
    </row>
    <row r="679">
      <c r="A679" s="54"/>
      <c r="B679" s="88" t="str">
        <f>IFERROR(HYPERLINK(VLOOKUP(A679,Internal_lists_bugs!$A$2:$C$73,3,FALSE()), VLOOKUP(A679,Internal_lists_bugs!$A$2:$C$73,3,FALSE())&amp;Char(10) &amp; Char(10) &amp; VLOOKUP(A679,Internal_lists_bugs!$A$2:$Z$73,26,FALSE())),"please select a BUG ID")</f>
        <v>please select a BUG ID</v>
      </c>
      <c r="C679" s="89" t="str">
        <f>IFERROR(VLOOKUP(A679,Internal_lists_bugs!$A$2:$X1013,24,FALSE()),"please select a BUG ID")</f>
        <v>please select a BUG ID</v>
      </c>
      <c r="E679" s="82"/>
      <c r="F679" s="80"/>
      <c r="H679" s="82"/>
      <c r="I679" s="80"/>
      <c r="J679" s="51" t="str">
        <f>IFERROR(Hyperlink(VLOOKUP(A679,Internal_lists_bugs!$A$2:$G1013,7,FALSE()),"BIC: "&amp;VLOOKUP(A679,Internal_lists_bugs!$A$2:$G1013,7,FALSE())&amp;CHAR(10)&amp;"Intro.Issues: "&amp;VLOOKUP(A679,Internal_lists_bugs!$A$2:$P1013,16,FALSE())),"please select a BUG ID")</f>
        <v>please select a BUG ID</v>
      </c>
    </row>
    <row r="680">
      <c r="A680" s="54"/>
      <c r="B680" s="88" t="str">
        <f>IFERROR(HYPERLINK(VLOOKUP(A680,Internal_lists_bugs!$A$2:$C$73,3,FALSE()), VLOOKUP(A680,Internal_lists_bugs!$A$2:$C$73,3,FALSE())&amp;Char(10) &amp; Char(10) &amp; VLOOKUP(A680,Internal_lists_bugs!$A$2:$Z$73,26,FALSE())),"please select a BUG ID")</f>
        <v>please select a BUG ID</v>
      </c>
      <c r="C680" s="89" t="str">
        <f>IFERROR(VLOOKUP(A680,Internal_lists_bugs!$A$2:$X1013,24,FALSE()),"please select a BUG ID")</f>
        <v>please select a BUG ID</v>
      </c>
      <c r="E680" s="82"/>
      <c r="F680" s="80"/>
      <c r="H680" s="82"/>
      <c r="I680" s="80"/>
      <c r="J680" s="51" t="str">
        <f>IFERROR(Hyperlink(VLOOKUP(A680,Internal_lists_bugs!$A$2:$G1013,7,FALSE()),"BIC: "&amp;VLOOKUP(A680,Internal_lists_bugs!$A$2:$G1013,7,FALSE())&amp;CHAR(10)&amp;"Intro.Issues: "&amp;VLOOKUP(A680,Internal_lists_bugs!$A$2:$P1013,16,FALSE())),"please select a BUG ID")</f>
        <v>please select a BUG ID</v>
      </c>
    </row>
    <row r="681">
      <c r="A681" s="54"/>
      <c r="B681" s="88" t="str">
        <f>IFERROR(HYPERLINK(VLOOKUP(A681,Internal_lists_bugs!$A$2:$C$73,3,FALSE()), VLOOKUP(A681,Internal_lists_bugs!$A$2:$C$73,3,FALSE())&amp;Char(10) &amp; Char(10) &amp; VLOOKUP(A681,Internal_lists_bugs!$A$2:$Z$73,26,FALSE())),"please select a BUG ID")</f>
        <v>please select a BUG ID</v>
      </c>
      <c r="C681" s="89" t="str">
        <f>IFERROR(VLOOKUP(A681,Internal_lists_bugs!$A$2:$X1013,24,FALSE()),"please select a BUG ID")</f>
        <v>please select a BUG ID</v>
      </c>
      <c r="E681" s="82"/>
      <c r="F681" s="80"/>
      <c r="H681" s="82"/>
      <c r="I681" s="80"/>
      <c r="J681" s="51" t="str">
        <f>IFERROR(Hyperlink(VLOOKUP(A681,Internal_lists_bugs!$A$2:$G1013,7,FALSE()),"BIC: "&amp;VLOOKUP(A681,Internal_lists_bugs!$A$2:$G1013,7,FALSE())&amp;CHAR(10)&amp;"Intro.Issues: "&amp;VLOOKUP(A681,Internal_lists_bugs!$A$2:$P1013,16,FALSE())),"please select a BUG ID")</f>
        <v>please select a BUG ID</v>
      </c>
    </row>
    <row r="682">
      <c r="A682" s="54"/>
      <c r="B682" s="88" t="str">
        <f>IFERROR(HYPERLINK(VLOOKUP(A682,Internal_lists_bugs!$A$2:$C$73,3,FALSE()), VLOOKUP(A682,Internal_lists_bugs!$A$2:$C$73,3,FALSE())&amp;Char(10) &amp; Char(10) &amp; VLOOKUP(A682,Internal_lists_bugs!$A$2:$Z$73,26,FALSE())),"please select a BUG ID")</f>
        <v>please select a BUG ID</v>
      </c>
      <c r="C682" s="89" t="str">
        <f>IFERROR(VLOOKUP(A682,Internal_lists_bugs!$A$2:$X1013,24,FALSE()),"please select a BUG ID")</f>
        <v>please select a BUG ID</v>
      </c>
      <c r="E682" s="82"/>
      <c r="F682" s="80"/>
      <c r="H682" s="82"/>
      <c r="I682" s="80"/>
      <c r="J682" s="51" t="str">
        <f>IFERROR(Hyperlink(VLOOKUP(A682,Internal_lists_bugs!$A$2:$G1013,7,FALSE()),"BIC: "&amp;VLOOKUP(A682,Internal_lists_bugs!$A$2:$G1013,7,FALSE())&amp;CHAR(10)&amp;"Intro.Issues: "&amp;VLOOKUP(A682,Internal_lists_bugs!$A$2:$P1013,16,FALSE())),"please select a BUG ID")</f>
        <v>please select a BUG ID</v>
      </c>
    </row>
    <row r="683">
      <c r="A683" s="54"/>
      <c r="B683" s="88" t="str">
        <f>IFERROR(HYPERLINK(VLOOKUP(A683,Internal_lists_bugs!$A$2:$C$73,3,FALSE()), VLOOKUP(A683,Internal_lists_bugs!$A$2:$C$73,3,FALSE())&amp;Char(10) &amp; Char(10) &amp; VLOOKUP(A683,Internal_lists_bugs!$A$2:$Z$73,26,FALSE())),"please select a BUG ID")</f>
        <v>please select a BUG ID</v>
      </c>
      <c r="C683" s="89" t="str">
        <f>IFERROR(VLOOKUP(A683,Internal_lists_bugs!$A$2:$X1013,24,FALSE()),"please select a BUG ID")</f>
        <v>please select a BUG ID</v>
      </c>
      <c r="E683" s="82"/>
      <c r="F683" s="80"/>
      <c r="H683" s="82"/>
      <c r="I683" s="80"/>
      <c r="J683" s="51" t="str">
        <f>IFERROR(Hyperlink(VLOOKUP(A683,Internal_lists_bugs!$A$2:$G1013,7,FALSE()),"BIC: "&amp;VLOOKUP(A683,Internal_lists_bugs!$A$2:$G1013,7,FALSE())&amp;CHAR(10)&amp;"Intro.Issues: "&amp;VLOOKUP(A683,Internal_lists_bugs!$A$2:$P1013,16,FALSE())),"please select a BUG ID")</f>
        <v>please select a BUG ID</v>
      </c>
    </row>
    <row r="684">
      <c r="A684" s="54"/>
      <c r="B684" s="88" t="str">
        <f>IFERROR(HYPERLINK(VLOOKUP(A684,Internal_lists_bugs!$A$2:$C$73,3,FALSE()), VLOOKUP(A684,Internal_lists_bugs!$A$2:$C$73,3,FALSE())&amp;Char(10) &amp; Char(10) &amp; VLOOKUP(A684,Internal_lists_bugs!$A$2:$Z$73,26,FALSE())),"please select a BUG ID")</f>
        <v>please select a BUG ID</v>
      </c>
      <c r="C684" s="89" t="str">
        <f>IFERROR(VLOOKUP(A684,Internal_lists_bugs!$A$2:$X1013,24,FALSE()),"please select a BUG ID")</f>
        <v>please select a BUG ID</v>
      </c>
      <c r="E684" s="82"/>
      <c r="F684" s="80"/>
      <c r="H684" s="82"/>
      <c r="I684" s="80"/>
      <c r="J684" s="51" t="str">
        <f>IFERROR(Hyperlink(VLOOKUP(A684,Internal_lists_bugs!$A$2:$G1013,7,FALSE()),"BIC: "&amp;VLOOKUP(A684,Internal_lists_bugs!$A$2:$G1013,7,FALSE())&amp;CHAR(10)&amp;"Intro.Issues: "&amp;VLOOKUP(A684,Internal_lists_bugs!$A$2:$P1013,16,FALSE())),"please select a BUG ID")</f>
        <v>please select a BUG ID</v>
      </c>
    </row>
    <row r="685">
      <c r="A685" s="54"/>
      <c r="B685" s="88" t="str">
        <f>IFERROR(HYPERLINK(VLOOKUP(A685,Internal_lists_bugs!$A$2:$C$73,3,FALSE()), VLOOKUP(A685,Internal_lists_bugs!$A$2:$C$73,3,FALSE())&amp;Char(10) &amp; Char(10) &amp; VLOOKUP(A685,Internal_lists_bugs!$A$2:$Z$73,26,FALSE())),"please select a BUG ID")</f>
        <v>please select a BUG ID</v>
      </c>
      <c r="C685" s="89" t="str">
        <f>IFERROR(VLOOKUP(A685,Internal_lists_bugs!$A$2:$X1013,24,FALSE()),"please select a BUG ID")</f>
        <v>please select a BUG ID</v>
      </c>
      <c r="E685" s="82"/>
      <c r="F685" s="80"/>
      <c r="H685" s="82"/>
      <c r="I685" s="80"/>
      <c r="J685" s="51" t="str">
        <f>IFERROR(Hyperlink(VLOOKUP(A685,Internal_lists_bugs!$A$2:$G1013,7,FALSE()),"BIC: "&amp;VLOOKUP(A685,Internal_lists_bugs!$A$2:$G1013,7,FALSE())&amp;CHAR(10)&amp;"Intro.Issues: "&amp;VLOOKUP(A685,Internal_lists_bugs!$A$2:$P1013,16,FALSE())),"please select a BUG ID")</f>
        <v>please select a BUG ID</v>
      </c>
    </row>
    <row r="686">
      <c r="A686" s="54"/>
      <c r="B686" s="88" t="str">
        <f>IFERROR(HYPERLINK(VLOOKUP(A686,Internal_lists_bugs!$A$2:$C$73,3,FALSE()), VLOOKUP(A686,Internal_lists_bugs!$A$2:$C$73,3,FALSE())&amp;Char(10) &amp; Char(10) &amp; VLOOKUP(A686,Internal_lists_bugs!$A$2:$Z$73,26,FALSE())),"please select a BUG ID")</f>
        <v>please select a BUG ID</v>
      </c>
      <c r="C686" s="89" t="str">
        <f>IFERROR(VLOOKUP(A686,Internal_lists_bugs!$A$2:$X1013,24,FALSE()),"please select a BUG ID")</f>
        <v>please select a BUG ID</v>
      </c>
      <c r="E686" s="82"/>
      <c r="F686" s="80"/>
      <c r="H686" s="82"/>
      <c r="I686" s="80"/>
      <c r="J686" s="51" t="str">
        <f>IFERROR(Hyperlink(VLOOKUP(A686,Internal_lists_bugs!$A$2:$G1013,7,FALSE()),"BIC: "&amp;VLOOKUP(A686,Internal_lists_bugs!$A$2:$G1013,7,FALSE())&amp;CHAR(10)&amp;"Intro.Issues: "&amp;VLOOKUP(A686,Internal_lists_bugs!$A$2:$P1013,16,FALSE())),"please select a BUG ID")</f>
        <v>please select a BUG ID</v>
      </c>
    </row>
    <row r="687">
      <c r="A687" s="54"/>
      <c r="B687" s="88" t="str">
        <f>IFERROR(HYPERLINK(VLOOKUP(A687,Internal_lists_bugs!$A$2:$C$73,3,FALSE()), VLOOKUP(A687,Internal_lists_bugs!$A$2:$C$73,3,FALSE())&amp;Char(10) &amp; Char(10) &amp; VLOOKUP(A687,Internal_lists_bugs!$A$2:$Z$73,26,FALSE())),"please select a BUG ID")</f>
        <v>please select a BUG ID</v>
      </c>
      <c r="C687" s="89" t="str">
        <f>IFERROR(VLOOKUP(A687,Internal_lists_bugs!$A$2:$X1013,24,FALSE()),"please select a BUG ID")</f>
        <v>please select a BUG ID</v>
      </c>
      <c r="E687" s="82"/>
      <c r="F687" s="80"/>
      <c r="H687" s="82"/>
      <c r="I687" s="80"/>
      <c r="J687" s="51" t="str">
        <f>IFERROR(Hyperlink(VLOOKUP(A687,Internal_lists_bugs!$A$2:$G1013,7,FALSE()),"BIC: "&amp;VLOOKUP(A687,Internal_lists_bugs!$A$2:$G1013,7,FALSE())&amp;CHAR(10)&amp;"Intro.Issues: "&amp;VLOOKUP(A687,Internal_lists_bugs!$A$2:$P1013,16,FALSE())),"please select a BUG ID")</f>
        <v>please select a BUG ID</v>
      </c>
    </row>
    <row r="688">
      <c r="A688" s="54"/>
      <c r="B688" s="88" t="str">
        <f>IFERROR(HYPERLINK(VLOOKUP(A688,Internal_lists_bugs!$A$2:$C$73,3,FALSE()), VLOOKUP(A688,Internal_lists_bugs!$A$2:$C$73,3,FALSE())&amp;Char(10) &amp; Char(10) &amp; VLOOKUP(A688,Internal_lists_bugs!$A$2:$Z$73,26,FALSE())),"please select a BUG ID")</f>
        <v>please select a BUG ID</v>
      </c>
      <c r="C688" s="89" t="str">
        <f>IFERROR(VLOOKUP(A688,Internal_lists_bugs!$A$2:$X1013,24,FALSE()),"please select a BUG ID")</f>
        <v>please select a BUG ID</v>
      </c>
      <c r="E688" s="82"/>
      <c r="F688" s="80"/>
      <c r="H688" s="82"/>
      <c r="I688" s="80"/>
      <c r="J688" s="51" t="str">
        <f>IFERROR(Hyperlink(VLOOKUP(A688,Internal_lists_bugs!$A$2:$G1013,7,FALSE()),"BIC: "&amp;VLOOKUP(A688,Internal_lists_bugs!$A$2:$G1013,7,FALSE())&amp;CHAR(10)&amp;"Intro.Issues: "&amp;VLOOKUP(A688,Internal_lists_bugs!$A$2:$P1013,16,FALSE())),"please select a BUG ID")</f>
        <v>please select a BUG ID</v>
      </c>
    </row>
    <row r="689">
      <c r="A689" s="54"/>
      <c r="B689" s="88" t="str">
        <f>IFERROR(HYPERLINK(VLOOKUP(A689,Internal_lists_bugs!$A$2:$C$73,3,FALSE()), VLOOKUP(A689,Internal_lists_bugs!$A$2:$C$73,3,FALSE())&amp;Char(10) &amp; Char(10) &amp; VLOOKUP(A689,Internal_lists_bugs!$A$2:$Z$73,26,FALSE())),"please select a BUG ID")</f>
        <v>please select a BUG ID</v>
      </c>
      <c r="C689" s="89" t="str">
        <f>IFERROR(VLOOKUP(A689,Internal_lists_bugs!$A$2:$X1013,24,FALSE()),"please select a BUG ID")</f>
        <v>please select a BUG ID</v>
      </c>
      <c r="E689" s="82"/>
      <c r="F689" s="80"/>
      <c r="H689" s="82"/>
      <c r="I689" s="80"/>
      <c r="J689" s="51" t="str">
        <f>IFERROR(Hyperlink(VLOOKUP(A689,Internal_lists_bugs!$A$2:$G1013,7,FALSE()),"BIC: "&amp;VLOOKUP(A689,Internal_lists_bugs!$A$2:$G1013,7,FALSE())&amp;CHAR(10)&amp;"Intro.Issues: "&amp;VLOOKUP(A689,Internal_lists_bugs!$A$2:$P1013,16,FALSE())),"please select a BUG ID")</f>
        <v>please select a BUG ID</v>
      </c>
    </row>
    <row r="690">
      <c r="A690" s="54"/>
      <c r="B690" s="88" t="str">
        <f>IFERROR(HYPERLINK(VLOOKUP(A690,Internal_lists_bugs!$A$2:$C$73,3,FALSE()), VLOOKUP(A690,Internal_lists_bugs!$A$2:$C$73,3,FALSE())&amp;Char(10) &amp; Char(10) &amp; VLOOKUP(A690,Internal_lists_bugs!$A$2:$Z$73,26,FALSE())),"please select a BUG ID")</f>
        <v>please select a BUG ID</v>
      </c>
      <c r="C690" s="89" t="str">
        <f>IFERROR(VLOOKUP(A690,Internal_lists_bugs!$A$2:$X1013,24,FALSE()),"please select a BUG ID")</f>
        <v>please select a BUG ID</v>
      </c>
      <c r="E690" s="82"/>
      <c r="F690" s="80"/>
      <c r="H690" s="82"/>
      <c r="I690" s="80"/>
      <c r="J690" s="51" t="str">
        <f>IFERROR(Hyperlink(VLOOKUP(A690,Internal_lists_bugs!$A$2:$G1013,7,FALSE()),"BIC: "&amp;VLOOKUP(A690,Internal_lists_bugs!$A$2:$G1013,7,FALSE())&amp;CHAR(10)&amp;"Intro.Issues: "&amp;VLOOKUP(A690,Internal_lists_bugs!$A$2:$P1013,16,FALSE())),"please select a BUG ID")</f>
        <v>please select a BUG ID</v>
      </c>
    </row>
    <row r="691">
      <c r="A691" s="54"/>
      <c r="B691" s="88" t="str">
        <f>IFERROR(HYPERLINK(VLOOKUP(A691,Internal_lists_bugs!$A$2:$C$73,3,FALSE()), VLOOKUP(A691,Internal_lists_bugs!$A$2:$C$73,3,FALSE())&amp;Char(10) &amp; Char(10) &amp; VLOOKUP(A691,Internal_lists_bugs!$A$2:$Z$73,26,FALSE())),"please select a BUG ID")</f>
        <v>please select a BUG ID</v>
      </c>
      <c r="C691" s="89" t="str">
        <f>IFERROR(VLOOKUP(A691,Internal_lists_bugs!$A$2:$X1013,24,FALSE()),"please select a BUG ID")</f>
        <v>please select a BUG ID</v>
      </c>
      <c r="E691" s="82"/>
      <c r="F691" s="80"/>
      <c r="H691" s="82"/>
      <c r="I691" s="80"/>
      <c r="J691" s="51" t="str">
        <f>IFERROR(Hyperlink(VLOOKUP(A691,Internal_lists_bugs!$A$2:$G1013,7,FALSE()),"BIC: "&amp;VLOOKUP(A691,Internal_lists_bugs!$A$2:$G1013,7,FALSE())&amp;CHAR(10)&amp;"Intro.Issues: "&amp;VLOOKUP(A691,Internal_lists_bugs!$A$2:$P1013,16,FALSE())),"please select a BUG ID")</f>
        <v>please select a BUG ID</v>
      </c>
    </row>
    <row r="692">
      <c r="A692" s="54"/>
      <c r="B692" s="88" t="str">
        <f>IFERROR(HYPERLINK(VLOOKUP(A692,Internal_lists_bugs!$A$2:$C$73,3,FALSE()), VLOOKUP(A692,Internal_lists_bugs!$A$2:$C$73,3,FALSE())&amp;Char(10) &amp; Char(10) &amp; VLOOKUP(A692,Internal_lists_bugs!$A$2:$Z$73,26,FALSE())),"please select a BUG ID")</f>
        <v>please select a BUG ID</v>
      </c>
      <c r="C692" s="89" t="str">
        <f>IFERROR(VLOOKUP(A692,Internal_lists_bugs!$A$2:$X1013,24,FALSE()),"please select a BUG ID")</f>
        <v>please select a BUG ID</v>
      </c>
      <c r="E692" s="82"/>
      <c r="F692" s="80"/>
      <c r="H692" s="82"/>
      <c r="I692" s="80"/>
      <c r="J692" s="51" t="str">
        <f>IFERROR(Hyperlink(VLOOKUP(A692,Internal_lists_bugs!$A$2:$G1013,7,FALSE()),"BIC: "&amp;VLOOKUP(A692,Internal_lists_bugs!$A$2:$G1013,7,FALSE())&amp;CHAR(10)&amp;"Intro.Issues: "&amp;VLOOKUP(A692,Internal_lists_bugs!$A$2:$P1013,16,FALSE())),"please select a BUG ID")</f>
        <v>please select a BUG ID</v>
      </c>
    </row>
    <row r="693">
      <c r="A693" s="54"/>
      <c r="B693" s="88" t="str">
        <f>IFERROR(HYPERLINK(VLOOKUP(A693,Internal_lists_bugs!$A$2:$C$73,3,FALSE()), VLOOKUP(A693,Internal_lists_bugs!$A$2:$C$73,3,FALSE())&amp;Char(10) &amp; Char(10) &amp; VLOOKUP(A693,Internal_lists_bugs!$A$2:$Z$73,26,FALSE())),"please select a BUG ID")</f>
        <v>please select a BUG ID</v>
      </c>
      <c r="C693" s="89" t="str">
        <f>IFERROR(VLOOKUP(A693,Internal_lists_bugs!$A$2:$X1013,24,FALSE()),"please select a BUG ID")</f>
        <v>please select a BUG ID</v>
      </c>
      <c r="E693" s="82"/>
      <c r="F693" s="80"/>
      <c r="H693" s="82"/>
      <c r="I693" s="80"/>
      <c r="J693" s="51" t="str">
        <f>IFERROR(Hyperlink(VLOOKUP(A693,Internal_lists_bugs!$A$2:$G1013,7,FALSE()),"BIC: "&amp;VLOOKUP(A693,Internal_lists_bugs!$A$2:$G1013,7,FALSE())&amp;CHAR(10)&amp;"Intro.Issues: "&amp;VLOOKUP(A693,Internal_lists_bugs!$A$2:$P1013,16,FALSE())),"please select a BUG ID")</f>
        <v>please select a BUG ID</v>
      </c>
    </row>
    <row r="694">
      <c r="A694" s="54"/>
      <c r="B694" s="88" t="str">
        <f>IFERROR(HYPERLINK(VLOOKUP(A694,Internal_lists_bugs!$A$2:$C$73,3,FALSE()), VLOOKUP(A694,Internal_lists_bugs!$A$2:$C$73,3,FALSE())&amp;Char(10) &amp; Char(10) &amp; VLOOKUP(A694,Internal_lists_bugs!$A$2:$Z$73,26,FALSE())),"please select a BUG ID")</f>
        <v>please select a BUG ID</v>
      </c>
      <c r="C694" s="89" t="str">
        <f>IFERROR(VLOOKUP(A694,Internal_lists_bugs!$A$2:$X1013,24,FALSE()),"please select a BUG ID")</f>
        <v>please select a BUG ID</v>
      </c>
      <c r="E694" s="82"/>
      <c r="F694" s="80"/>
      <c r="H694" s="82"/>
      <c r="I694" s="80"/>
      <c r="J694" s="51" t="str">
        <f>IFERROR(Hyperlink(VLOOKUP(A694,Internal_lists_bugs!$A$2:$G1013,7,FALSE()),"BIC: "&amp;VLOOKUP(A694,Internal_lists_bugs!$A$2:$G1013,7,FALSE())&amp;CHAR(10)&amp;"Intro.Issues: "&amp;VLOOKUP(A694,Internal_lists_bugs!$A$2:$P1013,16,FALSE())),"please select a BUG ID")</f>
        <v>please select a BUG ID</v>
      </c>
    </row>
    <row r="695">
      <c r="A695" s="54"/>
      <c r="B695" s="88" t="str">
        <f>IFERROR(HYPERLINK(VLOOKUP(A695,Internal_lists_bugs!$A$2:$C$73,3,FALSE()), VLOOKUP(A695,Internal_lists_bugs!$A$2:$C$73,3,FALSE())&amp;Char(10) &amp; Char(10) &amp; VLOOKUP(A695,Internal_lists_bugs!$A$2:$Z$73,26,FALSE())),"please select a BUG ID")</f>
        <v>please select a BUG ID</v>
      </c>
      <c r="C695" s="89" t="str">
        <f>IFERROR(VLOOKUP(A695,Internal_lists_bugs!$A$2:$X1013,24,FALSE()),"please select a BUG ID")</f>
        <v>please select a BUG ID</v>
      </c>
      <c r="E695" s="82"/>
      <c r="F695" s="80"/>
      <c r="H695" s="82"/>
      <c r="I695" s="80"/>
      <c r="J695" s="51" t="str">
        <f>IFERROR(Hyperlink(VLOOKUP(A695,Internal_lists_bugs!$A$2:$G1013,7,FALSE()),"BIC: "&amp;VLOOKUP(A695,Internal_lists_bugs!$A$2:$G1013,7,FALSE())&amp;CHAR(10)&amp;"Intro.Issues: "&amp;VLOOKUP(A695,Internal_lists_bugs!$A$2:$P1013,16,FALSE())),"please select a BUG ID")</f>
        <v>please select a BUG ID</v>
      </c>
    </row>
    <row r="696">
      <c r="A696" s="54"/>
      <c r="B696" s="88" t="str">
        <f>IFERROR(HYPERLINK(VLOOKUP(A696,Internal_lists_bugs!$A$2:$C$73,3,FALSE()), VLOOKUP(A696,Internal_lists_bugs!$A$2:$C$73,3,FALSE())&amp;Char(10) &amp; Char(10) &amp; VLOOKUP(A696,Internal_lists_bugs!$A$2:$Z$73,26,FALSE())),"please select a BUG ID")</f>
        <v>please select a BUG ID</v>
      </c>
      <c r="C696" s="89" t="str">
        <f>IFERROR(VLOOKUP(A696,Internal_lists_bugs!$A$2:$X1013,24,FALSE()),"please select a BUG ID")</f>
        <v>please select a BUG ID</v>
      </c>
      <c r="E696" s="82"/>
      <c r="F696" s="80"/>
      <c r="H696" s="82"/>
      <c r="I696" s="80"/>
      <c r="J696" s="51" t="str">
        <f>IFERROR(Hyperlink(VLOOKUP(A696,Internal_lists_bugs!$A$2:$G1013,7,FALSE()),"BIC: "&amp;VLOOKUP(A696,Internal_lists_bugs!$A$2:$G1013,7,FALSE())&amp;CHAR(10)&amp;"Intro.Issues: "&amp;VLOOKUP(A696,Internal_lists_bugs!$A$2:$P1013,16,FALSE())),"please select a BUG ID")</f>
        <v>please select a BUG ID</v>
      </c>
    </row>
    <row r="697">
      <c r="A697" s="54"/>
      <c r="B697" s="88" t="str">
        <f>IFERROR(HYPERLINK(VLOOKUP(A697,Internal_lists_bugs!$A$2:$C$73,3,FALSE()), VLOOKUP(A697,Internal_lists_bugs!$A$2:$C$73,3,FALSE())&amp;Char(10) &amp; Char(10) &amp; VLOOKUP(A697,Internal_lists_bugs!$A$2:$Z$73,26,FALSE())),"please select a BUG ID")</f>
        <v>please select a BUG ID</v>
      </c>
      <c r="C697" s="89" t="str">
        <f>IFERROR(VLOOKUP(A697,Internal_lists_bugs!$A$2:$X1013,24,FALSE()),"please select a BUG ID")</f>
        <v>please select a BUG ID</v>
      </c>
      <c r="E697" s="82"/>
      <c r="F697" s="80"/>
      <c r="H697" s="82"/>
      <c r="I697" s="80"/>
      <c r="J697" s="51" t="str">
        <f>IFERROR(Hyperlink(VLOOKUP(A697,Internal_lists_bugs!$A$2:$G1013,7,FALSE()),"BIC: "&amp;VLOOKUP(A697,Internal_lists_bugs!$A$2:$G1013,7,FALSE())&amp;CHAR(10)&amp;"Intro.Issues: "&amp;VLOOKUP(A697,Internal_lists_bugs!$A$2:$P1013,16,FALSE())),"please select a BUG ID")</f>
        <v>please select a BUG ID</v>
      </c>
    </row>
    <row r="698">
      <c r="A698" s="54"/>
      <c r="B698" s="88" t="str">
        <f>IFERROR(HYPERLINK(VLOOKUP(A698,Internal_lists_bugs!$A$2:$C$73,3,FALSE()), VLOOKUP(A698,Internal_lists_bugs!$A$2:$C$73,3,FALSE())&amp;Char(10) &amp; Char(10) &amp; VLOOKUP(A698,Internal_lists_bugs!$A$2:$Z$73,26,FALSE())),"please select a BUG ID")</f>
        <v>please select a BUG ID</v>
      </c>
      <c r="C698" s="89" t="str">
        <f>IFERROR(VLOOKUP(A698,Internal_lists_bugs!$A$2:$X1013,24,FALSE()),"please select a BUG ID")</f>
        <v>please select a BUG ID</v>
      </c>
      <c r="E698" s="82"/>
      <c r="F698" s="80"/>
      <c r="H698" s="82"/>
      <c r="I698" s="80"/>
      <c r="J698" s="51" t="str">
        <f>IFERROR(Hyperlink(VLOOKUP(A698,Internal_lists_bugs!$A$2:$G1013,7,FALSE()),"BIC: "&amp;VLOOKUP(A698,Internal_lists_bugs!$A$2:$G1013,7,FALSE())&amp;CHAR(10)&amp;"Intro.Issues: "&amp;VLOOKUP(A698,Internal_lists_bugs!$A$2:$P1013,16,FALSE())),"please select a BUG ID")</f>
        <v>please select a BUG ID</v>
      </c>
    </row>
    <row r="699">
      <c r="A699" s="54"/>
      <c r="B699" s="88" t="str">
        <f>IFERROR(HYPERLINK(VLOOKUP(A699,Internal_lists_bugs!$A$2:$C$73,3,FALSE()), VLOOKUP(A699,Internal_lists_bugs!$A$2:$C$73,3,FALSE())&amp;Char(10) &amp; Char(10) &amp; VLOOKUP(A699,Internal_lists_bugs!$A$2:$Z$73,26,FALSE())),"please select a BUG ID")</f>
        <v>please select a BUG ID</v>
      </c>
      <c r="C699" s="89" t="str">
        <f>IFERROR(VLOOKUP(A699,Internal_lists_bugs!$A$2:$X1013,24,FALSE()),"please select a BUG ID")</f>
        <v>please select a BUG ID</v>
      </c>
      <c r="E699" s="82"/>
      <c r="F699" s="80"/>
      <c r="H699" s="82"/>
      <c r="I699" s="80"/>
      <c r="J699" s="51" t="str">
        <f>IFERROR(Hyperlink(VLOOKUP(A699,Internal_lists_bugs!$A$2:$G1013,7,FALSE()),"BIC: "&amp;VLOOKUP(A699,Internal_lists_bugs!$A$2:$G1013,7,FALSE())&amp;CHAR(10)&amp;"Intro.Issues: "&amp;VLOOKUP(A699,Internal_lists_bugs!$A$2:$P1013,16,FALSE())),"please select a BUG ID")</f>
        <v>please select a BUG ID</v>
      </c>
    </row>
    <row r="700">
      <c r="A700" s="54"/>
      <c r="B700" s="88" t="str">
        <f>IFERROR(HYPERLINK(VLOOKUP(A700,Internal_lists_bugs!$A$2:$C$73,3,FALSE()), VLOOKUP(A700,Internal_lists_bugs!$A$2:$C$73,3,FALSE())&amp;Char(10) &amp; Char(10) &amp; VLOOKUP(A700,Internal_lists_bugs!$A$2:$Z$73,26,FALSE())),"please select a BUG ID")</f>
        <v>please select a BUG ID</v>
      </c>
      <c r="C700" s="89" t="str">
        <f>IFERROR(VLOOKUP(A700,Internal_lists_bugs!$A$2:$X1013,24,FALSE()),"please select a BUG ID")</f>
        <v>please select a BUG ID</v>
      </c>
      <c r="E700" s="82"/>
      <c r="F700" s="80"/>
      <c r="H700" s="82"/>
      <c r="I700" s="80"/>
      <c r="J700" s="51" t="str">
        <f>IFERROR(Hyperlink(VLOOKUP(A700,Internal_lists_bugs!$A$2:$G1013,7,FALSE()),"BIC: "&amp;VLOOKUP(A700,Internal_lists_bugs!$A$2:$G1013,7,FALSE())&amp;CHAR(10)&amp;"Intro.Issues: "&amp;VLOOKUP(A700,Internal_lists_bugs!$A$2:$P1013,16,FALSE())),"please select a BUG ID")</f>
        <v>please select a BUG ID</v>
      </c>
    </row>
    <row r="701">
      <c r="A701" s="54"/>
      <c r="B701" s="88" t="str">
        <f>IFERROR(HYPERLINK(VLOOKUP(A701,Internal_lists_bugs!$A$2:$C$73,3,FALSE()), VLOOKUP(A701,Internal_lists_bugs!$A$2:$C$73,3,FALSE())&amp;Char(10) &amp; Char(10) &amp; VLOOKUP(A701,Internal_lists_bugs!$A$2:$Z$73,26,FALSE())),"please select a BUG ID")</f>
        <v>please select a BUG ID</v>
      </c>
      <c r="C701" s="89" t="str">
        <f>IFERROR(VLOOKUP(A701,Internal_lists_bugs!$A$2:$X1013,24,FALSE()),"please select a BUG ID")</f>
        <v>please select a BUG ID</v>
      </c>
      <c r="E701" s="82"/>
      <c r="F701" s="80"/>
      <c r="H701" s="82"/>
      <c r="I701" s="80"/>
      <c r="J701" s="51" t="str">
        <f>IFERROR(Hyperlink(VLOOKUP(A701,Internal_lists_bugs!$A$2:$G1013,7,FALSE()),"BIC: "&amp;VLOOKUP(A701,Internal_lists_bugs!$A$2:$G1013,7,FALSE())&amp;CHAR(10)&amp;"Intro.Issues: "&amp;VLOOKUP(A701,Internal_lists_bugs!$A$2:$P1013,16,FALSE())),"please select a BUG ID")</f>
        <v>please select a BUG ID</v>
      </c>
    </row>
    <row r="702">
      <c r="A702" s="54"/>
      <c r="B702" s="88" t="str">
        <f>IFERROR(HYPERLINK(VLOOKUP(A702,Internal_lists_bugs!$A$2:$C$73,3,FALSE()), VLOOKUP(A702,Internal_lists_bugs!$A$2:$C$73,3,FALSE())&amp;Char(10) &amp; Char(10) &amp; VLOOKUP(A702,Internal_lists_bugs!$A$2:$Z$73,26,FALSE())),"please select a BUG ID")</f>
        <v>please select a BUG ID</v>
      </c>
      <c r="C702" s="89" t="str">
        <f>IFERROR(VLOOKUP(A702,Internal_lists_bugs!$A$2:$X1013,24,FALSE()),"please select a BUG ID")</f>
        <v>please select a BUG ID</v>
      </c>
      <c r="E702" s="82"/>
      <c r="F702" s="80"/>
      <c r="H702" s="82"/>
      <c r="I702" s="80"/>
      <c r="J702" s="51" t="str">
        <f>IFERROR(Hyperlink(VLOOKUP(A702,Internal_lists_bugs!$A$2:$G1013,7,FALSE()),"BIC: "&amp;VLOOKUP(A702,Internal_lists_bugs!$A$2:$G1013,7,FALSE())&amp;CHAR(10)&amp;"Intro.Issues: "&amp;VLOOKUP(A702,Internal_lists_bugs!$A$2:$P1013,16,FALSE())),"please select a BUG ID")</f>
        <v>please select a BUG ID</v>
      </c>
    </row>
    <row r="703">
      <c r="A703" s="54"/>
      <c r="B703" s="88" t="str">
        <f>IFERROR(HYPERLINK(VLOOKUP(A703,Internal_lists_bugs!$A$2:$C$73,3,FALSE()), VLOOKUP(A703,Internal_lists_bugs!$A$2:$C$73,3,FALSE())&amp;Char(10) &amp; Char(10) &amp; VLOOKUP(A703,Internal_lists_bugs!$A$2:$Z$73,26,FALSE())),"please select a BUG ID")</f>
        <v>please select a BUG ID</v>
      </c>
      <c r="C703" s="89" t="str">
        <f>IFERROR(VLOOKUP(A703,Internal_lists_bugs!$A$2:$X1013,24,FALSE()),"please select a BUG ID")</f>
        <v>please select a BUG ID</v>
      </c>
      <c r="E703" s="82"/>
      <c r="F703" s="80"/>
      <c r="H703" s="82"/>
      <c r="I703" s="80"/>
      <c r="J703" s="51" t="str">
        <f>IFERROR(Hyperlink(VLOOKUP(A703,Internal_lists_bugs!$A$2:$G1013,7,FALSE()),"BIC: "&amp;VLOOKUP(A703,Internal_lists_bugs!$A$2:$G1013,7,FALSE())&amp;CHAR(10)&amp;"Intro.Issues: "&amp;VLOOKUP(A703,Internal_lists_bugs!$A$2:$P1013,16,FALSE())),"please select a BUG ID")</f>
        <v>please select a BUG ID</v>
      </c>
    </row>
    <row r="704">
      <c r="A704" s="54"/>
      <c r="B704" s="88" t="str">
        <f>IFERROR(HYPERLINK(VLOOKUP(A704,Internal_lists_bugs!$A$2:$C$73,3,FALSE()), VLOOKUP(A704,Internal_lists_bugs!$A$2:$C$73,3,FALSE())&amp;Char(10) &amp; Char(10) &amp; VLOOKUP(A704,Internal_lists_bugs!$A$2:$Z$73,26,FALSE())),"please select a BUG ID")</f>
        <v>please select a BUG ID</v>
      </c>
      <c r="C704" s="89" t="str">
        <f>IFERROR(VLOOKUP(A704,Internal_lists_bugs!$A$2:$X1013,24,FALSE()),"please select a BUG ID")</f>
        <v>please select a BUG ID</v>
      </c>
      <c r="E704" s="82"/>
      <c r="F704" s="80"/>
      <c r="H704" s="82"/>
      <c r="I704" s="80"/>
      <c r="J704" s="51" t="str">
        <f>IFERROR(Hyperlink(VLOOKUP(A704,Internal_lists_bugs!$A$2:$G1013,7,FALSE()),"BIC: "&amp;VLOOKUP(A704,Internal_lists_bugs!$A$2:$G1013,7,FALSE())&amp;CHAR(10)&amp;"Intro.Issues: "&amp;VLOOKUP(A704,Internal_lists_bugs!$A$2:$P1013,16,FALSE())),"please select a BUG ID")</f>
        <v>please select a BUG ID</v>
      </c>
    </row>
    <row r="705">
      <c r="A705" s="54"/>
      <c r="B705" s="88" t="str">
        <f>IFERROR(HYPERLINK(VLOOKUP(A705,Internal_lists_bugs!$A$2:$C$73,3,FALSE()), VLOOKUP(A705,Internal_lists_bugs!$A$2:$C$73,3,FALSE())&amp;Char(10) &amp; Char(10) &amp; VLOOKUP(A705,Internal_lists_bugs!$A$2:$Z$73,26,FALSE())),"please select a BUG ID")</f>
        <v>please select a BUG ID</v>
      </c>
      <c r="C705" s="89" t="str">
        <f>IFERROR(VLOOKUP(A705,Internal_lists_bugs!$A$2:$X1013,24,FALSE()),"please select a BUG ID")</f>
        <v>please select a BUG ID</v>
      </c>
      <c r="E705" s="82"/>
      <c r="F705" s="80"/>
      <c r="H705" s="82"/>
      <c r="I705" s="80"/>
      <c r="J705" s="51" t="str">
        <f>IFERROR(Hyperlink(VLOOKUP(A705,Internal_lists_bugs!$A$2:$G1013,7,FALSE()),"BIC: "&amp;VLOOKUP(A705,Internal_lists_bugs!$A$2:$G1013,7,FALSE())&amp;CHAR(10)&amp;"Intro.Issues: "&amp;VLOOKUP(A705,Internal_lists_bugs!$A$2:$P1013,16,FALSE())),"please select a BUG ID")</f>
        <v>please select a BUG ID</v>
      </c>
    </row>
    <row r="706">
      <c r="A706" s="54"/>
      <c r="B706" s="88" t="str">
        <f>IFERROR(HYPERLINK(VLOOKUP(A706,Internal_lists_bugs!$A$2:$C$73,3,FALSE()), VLOOKUP(A706,Internal_lists_bugs!$A$2:$C$73,3,FALSE())&amp;Char(10) &amp; Char(10) &amp; VLOOKUP(A706,Internal_lists_bugs!$A$2:$Z$73,26,FALSE())),"please select a BUG ID")</f>
        <v>please select a BUG ID</v>
      </c>
      <c r="C706" s="89" t="str">
        <f>IFERROR(VLOOKUP(A706,Internal_lists_bugs!$A$2:$X1013,24,FALSE()),"please select a BUG ID")</f>
        <v>please select a BUG ID</v>
      </c>
      <c r="E706" s="82"/>
      <c r="F706" s="80"/>
      <c r="H706" s="82"/>
      <c r="I706" s="80"/>
      <c r="J706" s="51" t="str">
        <f>IFERROR(Hyperlink(VLOOKUP(A706,Internal_lists_bugs!$A$2:$G1013,7,FALSE()),"BIC: "&amp;VLOOKUP(A706,Internal_lists_bugs!$A$2:$G1013,7,FALSE())&amp;CHAR(10)&amp;"Intro.Issues: "&amp;VLOOKUP(A706,Internal_lists_bugs!$A$2:$P1013,16,FALSE())),"please select a BUG ID")</f>
        <v>please select a BUG ID</v>
      </c>
    </row>
    <row r="707">
      <c r="A707" s="54"/>
      <c r="B707" s="88" t="str">
        <f>IFERROR(HYPERLINK(VLOOKUP(A707,Internal_lists_bugs!$A$2:$C$73,3,FALSE()), VLOOKUP(A707,Internal_lists_bugs!$A$2:$C$73,3,FALSE())&amp;Char(10) &amp; Char(10) &amp; VLOOKUP(A707,Internal_lists_bugs!$A$2:$Z$73,26,FALSE())),"please select a BUG ID")</f>
        <v>please select a BUG ID</v>
      </c>
      <c r="C707" s="89" t="str">
        <f>IFERROR(VLOOKUP(A707,Internal_lists_bugs!$A$2:$X1013,24,FALSE()),"please select a BUG ID")</f>
        <v>please select a BUG ID</v>
      </c>
      <c r="E707" s="82"/>
      <c r="F707" s="80"/>
      <c r="H707" s="82"/>
      <c r="I707" s="80"/>
      <c r="J707" s="51" t="str">
        <f>IFERROR(Hyperlink(VLOOKUP(A707,Internal_lists_bugs!$A$2:$G1013,7,FALSE()),"BIC: "&amp;VLOOKUP(A707,Internal_lists_bugs!$A$2:$G1013,7,FALSE())&amp;CHAR(10)&amp;"Intro.Issues: "&amp;VLOOKUP(A707,Internal_lists_bugs!$A$2:$P1013,16,FALSE())),"please select a BUG ID")</f>
        <v>please select a BUG ID</v>
      </c>
    </row>
    <row r="708">
      <c r="A708" s="54"/>
      <c r="B708" s="88" t="str">
        <f>IFERROR(HYPERLINK(VLOOKUP(A708,Internal_lists_bugs!$A$2:$C$73,3,FALSE()), VLOOKUP(A708,Internal_lists_bugs!$A$2:$C$73,3,FALSE())&amp;Char(10) &amp; Char(10) &amp; VLOOKUP(A708,Internal_lists_bugs!$A$2:$Z$73,26,FALSE())),"please select a BUG ID")</f>
        <v>please select a BUG ID</v>
      </c>
      <c r="C708" s="89" t="str">
        <f>IFERROR(VLOOKUP(A708,Internal_lists_bugs!$A$2:$X1013,24,FALSE()),"please select a BUG ID")</f>
        <v>please select a BUG ID</v>
      </c>
      <c r="E708" s="82"/>
      <c r="F708" s="80"/>
      <c r="H708" s="82"/>
      <c r="I708" s="80"/>
      <c r="J708" s="51" t="str">
        <f>IFERROR(Hyperlink(VLOOKUP(A708,Internal_lists_bugs!$A$2:$G1013,7,FALSE()),"BIC: "&amp;VLOOKUP(A708,Internal_lists_bugs!$A$2:$G1013,7,FALSE())&amp;CHAR(10)&amp;"Intro.Issues: "&amp;VLOOKUP(A708,Internal_lists_bugs!$A$2:$P1013,16,FALSE())),"please select a BUG ID")</f>
        <v>please select a BUG ID</v>
      </c>
    </row>
    <row r="709">
      <c r="A709" s="54"/>
      <c r="B709" s="88" t="str">
        <f>IFERROR(HYPERLINK(VLOOKUP(A709,Internal_lists_bugs!$A$2:$C$73,3,FALSE()), VLOOKUP(A709,Internal_lists_bugs!$A$2:$C$73,3,FALSE())&amp;Char(10) &amp; Char(10) &amp; VLOOKUP(A709,Internal_lists_bugs!$A$2:$Z$73,26,FALSE())),"please select a BUG ID")</f>
        <v>please select a BUG ID</v>
      </c>
      <c r="C709" s="89" t="str">
        <f>IFERROR(VLOOKUP(A709,Internal_lists_bugs!$A$2:$X1013,24,FALSE()),"please select a BUG ID")</f>
        <v>please select a BUG ID</v>
      </c>
      <c r="E709" s="82"/>
      <c r="F709" s="80"/>
      <c r="H709" s="82"/>
      <c r="I709" s="80"/>
      <c r="J709" s="51" t="str">
        <f>IFERROR(Hyperlink(VLOOKUP(A709,Internal_lists_bugs!$A$2:$G1013,7,FALSE()),"BIC: "&amp;VLOOKUP(A709,Internal_lists_bugs!$A$2:$G1013,7,FALSE())&amp;CHAR(10)&amp;"Intro.Issues: "&amp;VLOOKUP(A709,Internal_lists_bugs!$A$2:$P1013,16,FALSE())),"please select a BUG ID")</f>
        <v>please select a BUG ID</v>
      </c>
    </row>
    <row r="710">
      <c r="A710" s="54"/>
      <c r="B710" s="88" t="str">
        <f>IFERROR(HYPERLINK(VLOOKUP(A710,Internal_lists_bugs!$A$2:$C$73,3,FALSE()), VLOOKUP(A710,Internal_lists_bugs!$A$2:$C$73,3,FALSE())&amp;Char(10) &amp; Char(10) &amp; VLOOKUP(A710,Internal_lists_bugs!$A$2:$Z$73,26,FALSE())),"please select a BUG ID")</f>
        <v>please select a BUG ID</v>
      </c>
      <c r="C710" s="89" t="str">
        <f>IFERROR(VLOOKUP(A710,Internal_lists_bugs!$A$2:$X1013,24,FALSE()),"please select a BUG ID")</f>
        <v>please select a BUG ID</v>
      </c>
      <c r="E710" s="82"/>
      <c r="F710" s="80"/>
      <c r="H710" s="82"/>
      <c r="I710" s="80"/>
      <c r="J710" s="51" t="str">
        <f>IFERROR(Hyperlink(VLOOKUP(A710,Internal_lists_bugs!$A$2:$G1013,7,FALSE()),"BIC: "&amp;VLOOKUP(A710,Internal_lists_bugs!$A$2:$G1013,7,FALSE())&amp;CHAR(10)&amp;"Intro.Issues: "&amp;VLOOKUP(A710,Internal_lists_bugs!$A$2:$P1013,16,FALSE())),"please select a BUG ID")</f>
        <v>please select a BUG ID</v>
      </c>
    </row>
    <row r="711">
      <c r="A711" s="54"/>
      <c r="B711" s="88" t="str">
        <f>IFERROR(HYPERLINK(VLOOKUP(A711,Internal_lists_bugs!$A$2:$C$73,3,FALSE()), VLOOKUP(A711,Internal_lists_bugs!$A$2:$C$73,3,FALSE())&amp;Char(10) &amp; Char(10) &amp; VLOOKUP(A711,Internal_lists_bugs!$A$2:$Z$73,26,FALSE())),"please select a BUG ID")</f>
        <v>please select a BUG ID</v>
      </c>
      <c r="C711" s="89" t="str">
        <f>IFERROR(VLOOKUP(A711,Internal_lists_bugs!$A$2:$X1013,24,FALSE()),"please select a BUG ID")</f>
        <v>please select a BUG ID</v>
      </c>
      <c r="E711" s="82"/>
      <c r="F711" s="80"/>
      <c r="H711" s="82"/>
      <c r="I711" s="80"/>
      <c r="J711" s="51" t="str">
        <f>IFERROR(Hyperlink(VLOOKUP(A711,Internal_lists_bugs!$A$2:$G1013,7,FALSE()),"BIC: "&amp;VLOOKUP(A711,Internal_lists_bugs!$A$2:$G1013,7,FALSE())&amp;CHAR(10)&amp;"Intro.Issues: "&amp;VLOOKUP(A711,Internal_lists_bugs!$A$2:$P1013,16,FALSE())),"please select a BUG ID")</f>
        <v>please select a BUG ID</v>
      </c>
    </row>
    <row r="712">
      <c r="A712" s="54"/>
      <c r="B712" s="88" t="str">
        <f>IFERROR(HYPERLINK(VLOOKUP(A712,Internal_lists_bugs!$A$2:$C$73,3,FALSE()), VLOOKUP(A712,Internal_lists_bugs!$A$2:$C$73,3,FALSE())&amp;Char(10) &amp; Char(10) &amp; VLOOKUP(A712,Internal_lists_bugs!$A$2:$Z$73,26,FALSE())),"please select a BUG ID")</f>
        <v>please select a BUG ID</v>
      </c>
      <c r="C712" s="89" t="str">
        <f>IFERROR(VLOOKUP(A712,Internal_lists_bugs!$A$2:$X1013,24,FALSE()),"please select a BUG ID")</f>
        <v>please select a BUG ID</v>
      </c>
      <c r="E712" s="82"/>
      <c r="F712" s="80"/>
      <c r="H712" s="82"/>
      <c r="I712" s="80"/>
      <c r="J712" s="51" t="str">
        <f>IFERROR(Hyperlink(VLOOKUP(A712,Internal_lists_bugs!$A$2:$G1013,7,FALSE()),"BIC: "&amp;VLOOKUP(A712,Internal_lists_bugs!$A$2:$G1013,7,FALSE())&amp;CHAR(10)&amp;"Intro.Issues: "&amp;VLOOKUP(A712,Internal_lists_bugs!$A$2:$P1013,16,FALSE())),"please select a BUG ID")</f>
        <v>please select a BUG ID</v>
      </c>
    </row>
    <row r="713">
      <c r="A713" s="54"/>
      <c r="B713" s="88" t="str">
        <f>IFERROR(HYPERLINK(VLOOKUP(A713,Internal_lists_bugs!$A$2:$C$73,3,FALSE()), VLOOKUP(A713,Internal_lists_bugs!$A$2:$C$73,3,FALSE())&amp;Char(10) &amp; Char(10) &amp; VLOOKUP(A713,Internal_lists_bugs!$A$2:$Z$73,26,FALSE())),"please select a BUG ID")</f>
        <v>please select a BUG ID</v>
      </c>
      <c r="C713" s="89" t="str">
        <f>IFERROR(VLOOKUP(A713,Internal_lists_bugs!$A$2:$X1013,24,FALSE()),"please select a BUG ID")</f>
        <v>please select a BUG ID</v>
      </c>
      <c r="E713" s="82"/>
      <c r="F713" s="80"/>
      <c r="H713" s="82"/>
      <c r="I713" s="80"/>
      <c r="J713" s="51" t="str">
        <f>IFERROR(Hyperlink(VLOOKUP(A713,Internal_lists_bugs!$A$2:$G1013,7,FALSE()),"BIC: "&amp;VLOOKUP(A713,Internal_lists_bugs!$A$2:$G1013,7,FALSE())&amp;CHAR(10)&amp;"Intro.Issues: "&amp;VLOOKUP(A713,Internal_lists_bugs!$A$2:$P1013,16,FALSE())),"please select a BUG ID")</f>
        <v>please select a BUG ID</v>
      </c>
    </row>
    <row r="714">
      <c r="A714" s="54"/>
      <c r="B714" s="88" t="str">
        <f>IFERROR(HYPERLINK(VLOOKUP(A714,Internal_lists_bugs!$A$2:$C$73,3,FALSE()), VLOOKUP(A714,Internal_lists_bugs!$A$2:$C$73,3,FALSE())&amp;Char(10) &amp; Char(10) &amp; VLOOKUP(A714,Internal_lists_bugs!$A$2:$Z$73,26,FALSE())),"please select a BUG ID")</f>
        <v>please select a BUG ID</v>
      </c>
      <c r="C714" s="89" t="str">
        <f>IFERROR(VLOOKUP(A714,Internal_lists_bugs!$A$2:$X1013,24,FALSE()),"please select a BUG ID")</f>
        <v>please select a BUG ID</v>
      </c>
      <c r="E714" s="82"/>
      <c r="F714" s="80"/>
      <c r="H714" s="82"/>
      <c r="I714" s="80"/>
      <c r="J714" s="51" t="str">
        <f>IFERROR(Hyperlink(VLOOKUP(A714,Internal_lists_bugs!$A$2:$G1013,7,FALSE()),"BIC: "&amp;VLOOKUP(A714,Internal_lists_bugs!$A$2:$G1013,7,FALSE())&amp;CHAR(10)&amp;"Intro.Issues: "&amp;VLOOKUP(A714,Internal_lists_bugs!$A$2:$P1013,16,FALSE())),"please select a BUG ID")</f>
        <v>please select a BUG ID</v>
      </c>
    </row>
    <row r="715">
      <c r="A715" s="54"/>
      <c r="B715" s="88" t="str">
        <f>IFERROR(HYPERLINK(VLOOKUP(A715,Internal_lists_bugs!$A$2:$C$73,3,FALSE()), VLOOKUP(A715,Internal_lists_bugs!$A$2:$C$73,3,FALSE())&amp;Char(10) &amp; Char(10) &amp; VLOOKUP(A715,Internal_lists_bugs!$A$2:$Z$73,26,FALSE())),"please select a BUG ID")</f>
        <v>please select a BUG ID</v>
      </c>
      <c r="C715" s="89" t="str">
        <f>IFERROR(VLOOKUP(A715,Internal_lists_bugs!$A$2:$X1013,24,FALSE()),"please select a BUG ID")</f>
        <v>please select a BUG ID</v>
      </c>
      <c r="E715" s="82"/>
      <c r="F715" s="80"/>
      <c r="H715" s="82"/>
      <c r="I715" s="80"/>
      <c r="J715" s="51" t="str">
        <f>IFERROR(Hyperlink(VLOOKUP(A715,Internal_lists_bugs!$A$2:$G1013,7,FALSE()),"BIC: "&amp;VLOOKUP(A715,Internal_lists_bugs!$A$2:$G1013,7,FALSE())&amp;CHAR(10)&amp;"Intro.Issues: "&amp;VLOOKUP(A715,Internal_lists_bugs!$A$2:$P1013,16,FALSE())),"please select a BUG ID")</f>
        <v>please select a BUG ID</v>
      </c>
    </row>
    <row r="716">
      <c r="A716" s="54"/>
      <c r="B716" s="88" t="str">
        <f>IFERROR(HYPERLINK(VLOOKUP(A716,Internal_lists_bugs!$A$2:$C$73,3,FALSE()), VLOOKUP(A716,Internal_lists_bugs!$A$2:$C$73,3,FALSE())&amp;Char(10) &amp; Char(10) &amp; VLOOKUP(A716,Internal_lists_bugs!$A$2:$Z$73,26,FALSE())),"please select a BUG ID")</f>
        <v>please select a BUG ID</v>
      </c>
      <c r="C716" s="89" t="str">
        <f>IFERROR(VLOOKUP(A716,Internal_lists_bugs!$A$2:$X1013,24,FALSE()),"please select a BUG ID")</f>
        <v>please select a BUG ID</v>
      </c>
      <c r="E716" s="82"/>
      <c r="F716" s="80"/>
      <c r="H716" s="82"/>
      <c r="I716" s="80"/>
      <c r="J716" s="51" t="str">
        <f>IFERROR(Hyperlink(VLOOKUP(A716,Internal_lists_bugs!$A$2:$G1013,7,FALSE()),"BIC: "&amp;VLOOKUP(A716,Internal_lists_bugs!$A$2:$G1013,7,FALSE())&amp;CHAR(10)&amp;"Intro.Issues: "&amp;VLOOKUP(A716,Internal_lists_bugs!$A$2:$P1013,16,FALSE())),"please select a BUG ID")</f>
        <v>please select a BUG ID</v>
      </c>
    </row>
    <row r="717">
      <c r="A717" s="54"/>
      <c r="B717" s="88" t="str">
        <f>IFERROR(HYPERLINK(VLOOKUP(A717,Internal_lists_bugs!$A$2:$C$73,3,FALSE()), VLOOKUP(A717,Internal_lists_bugs!$A$2:$C$73,3,FALSE())&amp;Char(10) &amp; Char(10) &amp; VLOOKUP(A717,Internal_lists_bugs!$A$2:$Z$73,26,FALSE())),"please select a BUG ID")</f>
        <v>please select a BUG ID</v>
      </c>
      <c r="C717" s="89" t="str">
        <f>IFERROR(VLOOKUP(A717,Internal_lists_bugs!$A$2:$X1013,24,FALSE()),"please select a BUG ID")</f>
        <v>please select a BUG ID</v>
      </c>
      <c r="E717" s="82"/>
      <c r="F717" s="80"/>
      <c r="H717" s="82"/>
      <c r="I717" s="80"/>
      <c r="J717" s="51" t="str">
        <f>IFERROR(Hyperlink(VLOOKUP(A717,Internal_lists_bugs!$A$2:$G1013,7,FALSE()),"BIC: "&amp;VLOOKUP(A717,Internal_lists_bugs!$A$2:$G1013,7,FALSE())&amp;CHAR(10)&amp;"Intro.Issues: "&amp;VLOOKUP(A717,Internal_lists_bugs!$A$2:$P1013,16,FALSE())),"please select a BUG ID")</f>
        <v>please select a BUG ID</v>
      </c>
    </row>
    <row r="718">
      <c r="A718" s="54"/>
      <c r="B718" s="88" t="str">
        <f>IFERROR(HYPERLINK(VLOOKUP(A718,Internal_lists_bugs!$A$2:$C$73,3,FALSE()), VLOOKUP(A718,Internal_lists_bugs!$A$2:$C$73,3,FALSE())&amp;Char(10) &amp; Char(10) &amp; VLOOKUP(A718,Internal_lists_bugs!$A$2:$Z$73,26,FALSE())),"please select a BUG ID")</f>
        <v>please select a BUG ID</v>
      </c>
      <c r="C718" s="89" t="str">
        <f>IFERROR(VLOOKUP(A718,Internal_lists_bugs!$A$2:$X1013,24,FALSE()),"please select a BUG ID")</f>
        <v>please select a BUG ID</v>
      </c>
      <c r="E718" s="82"/>
      <c r="F718" s="80"/>
      <c r="H718" s="82"/>
      <c r="I718" s="80"/>
      <c r="J718" s="51" t="str">
        <f>IFERROR(Hyperlink(VLOOKUP(A718,Internal_lists_bugs!$A$2:$G1013,7,FALSE()),"BIC: "&amp;VLOOKUP(A718,Internal_lists_bugs!$A$2:$G1013,7,FALSE())&amp;CHAR(10)&amp;"Intro.Issues: "&amp;VLOOKUP(A718,Internal_lists_bugs!$A$2:$P1013,16,FALSE())),"please select a BUG ID")</f>
        <v>please select a BUG ID</v>
      </c>
    </row>
    <row r="719">
      <c r="A719" s="54"/>
      <c r="B719" s="88" t="str">
        <f>IFERROR(HYPERLINK(VLOOKUP(A719,Internal_lists_bugs!$A$2:$C$73,3,FALSE()), VLOOKUP(A719,Internal_lists_bugs!$A$2:$C$73,3,FALSE())&amp;Char(10) &amp; Char(10) &amp; VLOOKUP(A719,Internal_lists_bugs!$A$2:$Z$73,26,FALSE())),"please select a BUG ID")</f>
        <v>please select a BUG ID</v>
      </c>
      <c r="C719" s="89" t="str">
        <f>IFERROR(VLOOKUP(A719,Internal_lists_bugs!$A$2:$X1013,24,FALSE()),"please select a BUG ID")</f>
        <v>please select a BUG ID</v>
      </c>
      <c r="E719" s="82"/>
      <c r="F719" s="80"/>
      <c r="H719" s="82"/>
      <c r="I719" s="80"/>
      <c r="J719" s="51" t="str">
        <f>IFERROR(Hyperlink(VLOOKUP(A719,Internal_lists_bugs!$A$2:$G1013,7,FALSE()),"BIC: "&amp;VLOOKUP(A719,Internal_lists_bugs!$A$2:$G1013,7,FALSE())&amp;CHAR(10)&amp;"Intro.Issues: "&amp;VLOOKUP(A719,Internal_lists_bugs!$A$2:$P1013,16,FALSE())),"please select a BUG ID")</f>
        <v>please select a BUG ID</v>
      </c>
    </row>
    <row r="720">
      <c r="A720" s="54"/>
      <c r="B720" s="88" t="str">
        <f>IFERROR(HYPERLINK(VLOOKUP(A720,Internal_lists_bugs!$A$2:$C$73,3,FALSE()), VLOOKUP(A720,Internal_lists_bugs!$A$2:$C$73,3,FALSE())&amp;Char(10) &amp; Char(10) &amp; VLOOKUP(A720,Internal_lists_bugs!$A$2:$Z$73,26,FALSE())),"please select a BUG ID")</f>
        <v>please select a BUG ID</v>
      </c>
      <c r="C720" s="89" t="str">
        <f>IFERROR(VLOOKUP(A720,Internal_lists_bugs!$A$2:$X1013,24,FALSE()),"please select a BUG ID")</f>
        <v>please select a BUG ID</v>
      </c>
      <c r="E720" s="82"/>
      <c r="F720" s="80"/>
      <c r="H720" s="82"/>
      <c r="I720" s="80"/>
      <c r="J720" s="51" t="str">
        <f>IFERROR(Hyperlink(VLOOKUP(A720,Internal_lists_bugs!$A$2:$G1013,7,FALSE()),"BIC: "&amp;VLOOKUP(A720,Internal_lists_bugs!$A$2:$G1013,7,FALSE())&amp;CHAR(10)&amp;"Intro.Issues: "&amp;VLOOKUP(A720,Internal_lists_bugs!$A$2:$P1013,16,FALSE())),"please select a BUG ID")</f>
        <v>please select a BUG ID</v>
      </c>
    </row>
    <row r="721">
      <c r="A721" s="54"/>
      <c r="B721" s="88" t="str">
        <f>IFERROR(HYPERLINK(VLOOKUP(A721,Internal_lists_bugs!$A$2:$C$73,3,FALSE()), VLOOKUP(A721,Internal_lists_bugs!$A$2:$C$73,3,FALSE())&amp;Char(10) &amp; Char(10) &amp; VLOOKUP(A721,Internal_lists_bugs!$A$2:$Z$73,26,FALSE())),"please select a BUG ID")</f>
        <v>please select a BUG ID</v>
      </c>
      <c r="C721" s="89" t="str">
        <f>IFERROR(VLOOKUP(A721,Internal_lists_bugs!$A$2:$X1013,24,FALSE()),"please select a BUG ID")</f>
        <v>please select a BUG ID</v>
      </c>
      <c r="E721" s="82"/>
      <c r="F721" s="80"/>
      <c r="H721" s="82"/>
      <c r="I721" s="80"/>
      <c r="J721" s="51" t="str">
        <f>IFERROR(Hyperlink(VLOOKUP(A721,Internal_lists_bugs!$A$2:$G1013,7,FALSE()),"BIC: "&amp;VLOOKUP(A721,Internal_lists_bugs!$A$2:$G1013,7,FALSE())&amp;CHAR(10)&amp;"Intro.Issues: "&amp;VLOOKUP(A721,Internal_lists_bugs!$A$2:$P1013,16,FALSE())),"please select a BUG ID")</f>
        <v>please select a BUG ID</v>
      </c>
    </row>
    <row r="722">
      <c r="A722" s="54"/>
      <c r="B722" s="88" t="str">
        <f>IFERROR(HYPERLINK(VLOOKUP(A722,Internal_lists_bugs!$A$2:$C$73,3,FALSE()), VLOOKUP(A722,Internal_lists_bugs!$A$2:$C$73,3,FALSE())&amp;Char(10) &amp; Char(10) &amp; VLOOKUP(A722,Internal_lists_bugs!$A$2:$Z$73,26,FALSE())),"please select a BUG ID")</f>
        <v>please select a BUG ID</v>
      </c>
      <c r="C722" s="89" t="str">
        <f>IFERROR(VLOOKUP(A722,Internal_lists_bugs!$A$2:$X1013,24,FALSE()),"please select a BUG ID")</f>
        <v>please select a BUG ID</v>
      </c>
      <c r="E722" s="82"/>
      <c r="F722" s="80"/>
      <c r="H722" s="82"/>
      <c r="I722" s="80"/>
      <c r="J722" s="51" t="str">
        <f>IFERROR(Hyperlink(VLOOKUP(A722,Internal_lists_bugs!$A$2:$G1013,7,FALSE()),"BIC: "&amp;VLOOKUP(A722,Internal_lists_bugs!$A$2:$G1013,7,FALSE())&amp;CHAR(10)&amp;"Intro.Issues: "&amp;VLOOKUP(A722,Internal_lists_bugs!$A$2:$P1013,16,FALSE())),"please select a BUG ID")</f>
        <v>please select a BUG ID</v>
      </c>
    </row>
    <row r="723">
      <c r="A723" s="54"/>
      <c r="B723" s="88" t="str">
        <f>IFERROR(HYPERLINK(VLOOKUP(A723,Internal_lists_bugs!$A$2:$C$73,3,FALSE()), VLOOKUP(A723,Internal_lists_bugs!$A$2:$C$73,3,FALSE())&amp;Char(10) &amp; Char(10) &amp; VLOOKUP(A723,Internal_lists_bugs!$A$2:$Z$73,26,FALSE())),"please select a BUG ID")</f>
        <v>please select a BUG ID</v>
      </c>
      <c r="C723" s="89" t="str">
        <f>IFERROR(VLOOKUP(A723,Internal_lists_bugs!$A$2:$X1013,24,FALSE()),"please select a BUG ID")</f>
        <v>please select a BUG ID</v>
      </c>
      <c r="E723" s="82"/>
      <c r="F723" s="80"/>
      <c r="H723" s="82"/>
      <c r="I723" s="80"/>
      <c r="J723" s="51" t="str">
        <f>IFERROR(Hyperlink(VLOOKUP(A723,Internal_lists_bugs!$A$2:$G1013,7,FALSE()),"BIC: "&amp;VLOOKUP(A723,Internal_lists_bugs!$A$2:$G1013,7,FALSE())&amp;CHAR(10)&amp;"Intro.Issues: "&amp;VLOOKUP(A723,Internal_lists_bugs!$A$2:$P1013,16,FALSE())),"please select a BUG ID")</f>
        <v>please select a BUG ID</v>
      </c>
    </row>
    <row r="724">
      <c r="A724" s="54"/>
      <c r="B724" s="88" t="str">
        <f>IFERROR(HYPERLINK(VLOOKUP(A724,Internal_lists_bugs!$A$2:$C$73,3,FALSE()), VLOOKUP(A724,Internal_lists_bugs!$A$2:$C$73,3,FALSE())&amp;Char(10) &amp; Char(10) &amp; VLOOKUP(A724,Internal_lists_bugs!$A$2:$Z$73,26,FALSE())),"please select a BUG ID")</f>
        <v>please select a BUG ID</v>
      </c>
      <c r="C724" s="89" t="str">
        <f>IFERROR(VLOOKUP(A724,Internal_lists_bugs!$A$2:$X1013,24,FALSE()),"please select a BUG ID")</f>
        <v>please select a BUG ID</v>
      </c>
      <c r="E724" s="82"/>
      <c r="F724" s="80"/>
      <c r="H724" s="82"/>
      <c r="I724" s="80"/>
      <c r="J724" s="51" t="str">
        <f>IFERROR(Hyperlink(VLOOKUP(A724,Internal_lists_bugs!$A$2:$G1013,7,FALSE()),"BIC: "&amp;VLOOKUP(A724,Internal_lists_bugs!$A$2:$G1013,7,FALSE())&amp;CHAR(10)&amp;"Intro.Issues: "&amp;VLOOKUP(A724,Internal_lists_bugs!$A$2:$P1013,16,FALSE())),"please select a BUG ID")</f>
        <v>please select a BUG ID</v>
      </c>
    </row>
    <row r="725">
      <c r="A725" s="54"/>
      <c r="B725" s="88" t="str">
        <f>IFERROR(HYPERLINK(VLOOKUP(A725,Internal_lists_bugs!$A$2:$C$73,3,FALSE()), VLOOKUP(A725,Internal_lists_bugs!$A$2:$C$73,3,FALSE())&amp;Char(10) &amp; Char(10) &amp; VLOOKUP(A725,Internal_lists_bugs!$A$2:$Z$73,26,FALSE())),"please select a BUG ID")</f>
        <v>please select a BUG ID</v>
      </c>
      <c r="C725" s="89" t="str">
        <f>IFERROR(VLOOKUP(A725,Internal_lists_bugs!$A$2:$X1013,24,FALSE()),"please select a BUG ID")</f>
        <v>please select a BUG ID</v>
      </c>
      <c r="E725" s="82"/>
      <c r="F725" s="80"/>
      <c r="H725" s="82"/>
      <c r="I725" s="80"/>
      <c r="J725" s="51" t="str">
        <f>IFERROR(Hyperlink(VLOOKUP(A725,Internal_lists_bugs!$A$2:$G1013,7,FALSE()),"BIC: "&amp;VLOOKUP(A725,Internal_lists_bugs!$A$2:$G1013,7,FALSE())&amp;CHAR(10)&amp;"Intro.Issues: "&amp;VLOOKUP(A725,Internal_lists_bugs!$A$2:$P1013,16,FALSE())),"please select a BUG ID")</f>
        <v>please select a BUG ID</v>
      </c>
    </row>
    <row r="726">
      <c r="A726" s="54"/>
      <c r="B726" s="88" t="str">
        <f>IFERROR(HYPERLINK(VLOOKUP(A726,Internal_lists_bugs!$A$2:$C$73,3,FALSE()), VLOOKUP(A726,Internal_lists_bugs!$A$2:$C$73,3,FALSE())&amp;Char(10) &amp; Char(10) &amp; VLOOKUP(A726,Internal_lists_bugs!$A$2:$Z$73,26,FALSE())),"please select a BUG ID")</f>
        <v>please select a BUG ID</v>
      </c>
      <c r="C726" s="89" t="str">
        <f>IFERROR(VLOOKUP(A726,Internal_lists_bugs!$A$2:$X1013,24,FALSE()),"please select a BUG ID")</f>
        <v>please select a BUG ID</v>
      </c>
      <c r="E726" s="82"/>
      <c r="F726" s="80"/>
      <c r="H726" s="82"/>
      <c r="I726" s="80"/>
      <c r="J726" s="51" t="str">
        <f>IFERROR(Hyperlink(VLOOKUP(A726,Internal_lists_bugs!$A$2:$G1013,7,FALSE()),"BIC: "&amp;VLOOKUP(A726,Internal_lists_bugs!$A$2:$G1013,7,FALSE())&amp;CHAR(10)&amp;"Intro.Issues: "&amp;VLOOKUP(A726,Internal_lists_bugs!$A$2:$P1013,16,FALSE())),"please select a BUG ID")</f>
        <v>please select a BUG ID</v>
      </c>
    </row>
    <row r="727">
      <c r="A727" s="54"/>
      <c r="B727" s="88" t="str">
        <f>IFERROR(HYPERLINK(VLOOKUP(A727,Internal_lists_bugs!$A$2:$C$73,3,FALSE()), VLOOKUP(A727,Internal_lists_bugs!$A$2:$C$73,3,FALSE())&amp;Char(10) &amp; Char(10) &amp; VLOOKUP(A727,Internal_lists_bugs!$A$2:$Z$73,26,FALSE())),"please select a BUG ID")</f>
        <v>please select a BUG ID</v>
      </c>
      <c r="C727" s="89" t="str">
        <f>IFERROR(VLOOKUP(A727,Internal_lists_bugs!$A$2:$X1013,24,FALSE()),"please select a BUG ID")</f>
        <v>please select a BUG ID</v>
      </c>
      <c r="E727" s="82"/>
      <c r="F727" s="80"/>
      <c r="H727" s="82"/>
      <c r="I727" s="80"/>
      <c r="J727" s="51" t="str">
        <f>IFERROR(Hyperlink(VLOOKUP(A727,Internal_lists_bugs!$A$2:$G1013,7,FALSE()),"BIC: "&amp;VLOOKUP(A727,Internal_lists_bugs!$A$2:$G1013,7,FALSE())&amp;CHAR(10)&amp;"Intro.Issues: "&amp;VLOOKUP(A727,Internal_lists_bugs!$A$2:$P1013,16,FALSE())),"please select a BUG ID")</f>
        <v>please select a BUG ID</v>
      </c>
    </row>
    <row r="728">
      <c r="A728" s="54"/>
      <c r="B728" s="88" t="str">
        <f>IFERROR(HYPERLINK(VLOOKUP(A728,Internal_lists_bugs!$A$2:$C$73,3,FALSE()), VLOOKUP(A728,Internal_lists_bugs!$A$2:$C$73,3,FALSE())&amp;Char(10) &amp; Char(10) &amp; VLOOKUP(A728,Internal_lists_bugs!$A$2:$Z$73,26,FALSE())),"please select a BUG ID")</f>
        <v>please select a BUG ID</v>
      </c>
      <c r="C728" s="89" t="str">
        <f>IFERROR(VLOOKUP(A728,Internal_lists_bugs!$A$2:$X1013,24,FALSE()),"please select a BUG ID")</f>
        <v>please select a BUG ID</v>
      </c>
      <c r="E728" s="82"/>
      <c r="F728" s="80"/>
      <c r="H728" s="82"/>
      <c r="I728" s="80"/>
      <c r="J728" s="51" t="str">
        <f>IFERROR(Hyperlink(VLOOKUP(A728,Internal_lists_bugs!$A$2:$G1013,7,FALSE()),"BIC: "&amp;VLOOKUP(A728,Internal_lists_bugs!$A$2:$G1013,7,FALSE())&amp;CHAR(10)&amp;"Intro.Issues: "&amp;VLOOKUP(A728,Internal_lists_bugs!$A$2:$P1013,16,FALSE())),"please select a BUG ID")</f>
        <v>please select a BUG ID</v>
      </c>
    </row>
    <row r="729">
      <c r="A729" s="54"/>
      <c r="B729" s="88" t="str">
        <f>IFERROR(HYPERLINK(VLOOKUP(A729,Internal_lists_bugs!$A$2:$C$73,3,FALSE()), VLOOKUP(A729,Internal_lists_bugs!$A$2:$C$73,3,FALSE())&amp;Char(10) &amp; Char(10) &amp; VLOOKUP(A729,Internal_lists_bugs!$A$2:$Z$73,26,FALSE())),"please select a BUG ID")</f>
        <v>please select a BUG ID</v>
      </c>
      <c r="C729" s="89" t="str">
        <f>IFERROR(VLOOKUP(A729,Internal_lists_bugs!$A$2:$X1013,24,FALSE()),"please select a BUG ID")</f>
        <v>please select a BUG ID</v>
      </c>
      <c r="E729" s="82"/>
      <c r="F729" s="80"/>
      <c r="H729" s="82"/>
      <c r="I729" s="80"/>
      <c r="J729" s="51" t="str">
        <f>IFERROR(Hyperlink(VLOOKUP(A729,Internal_lists_bugs!$A$2:$G1013,7,FALSE()),"BIC: "&amp;VLOOKUP(A729,Internal_lists_bugs!$A$2:$G1013,7,FALSE())&amp;CHAR(10)&amp;"Intro.Issues: "&amp;VLOOKUP(A729,Internal_lists_bugs!$A$2:$P1013,16,FALSE())),"please select a BUG ID")</f>
        <v>please select a BUG ID</v>
      </c>
    </row>
    <row r="730">
      <c r="A730" s="54"/>
      <c r="B730" s="88" t="str">
        <f>IFERROR(HYPERLINK(VLOOKUP(A730,Internal_lists_bugs!$A$2:$C$73,3,FALSE()), VLOOKUP(A730,Internal_lists_bugs!$A$2:$C$73,3,FALSE())&amp;Char(10) &amp; Char(10) &amp; VLOOKUP(A730,Internal_lists_bugs!$A$2:$Z$73,26,FALSE())),"please select a BUG ID")</f>
        <v>please select a BUG ID</v>
      </c>
      <c r="C730" s="89" t="str">
        <f>IFERROR(VLOOKUP(A730,Internal_lists_bugs!$A$2:$X1013,24,FALSE()),"please select a BUG ID")</f>
        <v>please select a BUG ID</v>
      </c>
      <c r="E730" s="82"/>
      <c r="F730" s="80"/>
      <c r="H730" s="82"/>
      <c r="I730" s="80"/>
      <c r="J730" s="51" t="str">
        <f>IFERROR(Hyperlink(VLOOKUP(A730,Internal_lists_bugs!$A$2:$G1013,7,FALSE()),"BIC: "&amp;VLOOKUP(A730,Internal_lists_bugs!$A$2:$G1013,7,FALSE())&amp;CHAR(10)&amp;"Intro.Issues: "&amp;VLOOKUP(A730,Internal_lists_bugs!$A$2:$P1013,16,FALSE())),"please select a BUG ID")</f>
        <v>please select a BUG ID</v>
      </c>
    </row>
    <row r="731">
      <c r="A731" s="54"/>
      <c r="B731" s="88" t="str">
        <f>IFERROR(HYPERLINK(VLOOKUP(A731,Internal_lists_bugs!$A$2:$C$73,3,FALSE()), VLOOKUP(A731,Internal_lists_bugs!$A$2:$C$73,3,FALSE())&amp;Char(10) &amp; Char(10) &amp; VLOOKUP(A731,Internal_lists_bugs!$A$2:$Z$73,26,FALSE())),"please select a BUG ID")</f>
        <v>please select a BUG ID</v>
      </c>
      <c r="C731" s="89" t="str">
        <f>IFERROR(VLOOKUP(A731,Internal_lists_bugs!$A$2:$X1013,24,FALSE()),"please select a BUG ID")</f>
        <v>please select a BUG ID</v>
      </c>
      <c r="E731" s="82"/>
      <c r="F731" s="80"/>
      <c r="H731" s="82"/>
      <c r="I731" s="80"/>
      <c r="J731" s="51" t="str">
        <f>IFERROR(Hyperlink(VLOOKUP(A731,Internal_lists_bugs!$A$2:$G1013,7,FALSE()),"BIC: "&amp;VLOOKUP(A731,Internal_lists_bugs!$A$2:$G1013,7,FALSE())&amp;CHAR(10)&amp;"Intro.Issues: "&amp;VLOOKUP(A731,Internal_lists_bugs!$A$2:$P1013,16,FALSE())),"please select a BUG ID")</f>
        <v>please select a BUG ID</v>
      </c>
    </row>
    <row r="732">
      <c r="A732" s="54"/>
      <c r="B732" s="88" t="str">
        <f>IFERROR(HYPERLINK(VLOOKUP(A732,Internal_lists_bugs!$A$2:$C$73,3,FALSE()), VLOOKUP(A732,Internal_lists_bugs!$A$2:$C$73,3,FALSE())&amp;Char(10) &amp; Char(10) &amp; VLOOKUP(A732,Internal_lists_bugs!$A$2:$Z$73,26,FALSE())),"please select a BUG ID")</f>
        <v>please select a BUG ID</v>
      </c>
      <c r="C732" s="89" t="str">
        <f>IFERROR(VLOOKUP(A732,Internal_lists_bugs!$A$2:$X1013,24,FALSE()),"please select a BUG ID")</f>
        <v>please select a BUG ID</v>
      </c>
      <c r="E732" s="82"/>
      <c r="F732" s="80"/>
      <c r="H732" s="82"/>
      <c r="I732" s="80"/>
      <c r="J732" s="51" t="str">
        <f>IFERROR(Hyperlink(VLOOKUP(A732,Internal_lists_bugs!$A$2:$G1013,7,FALSE()),"BIC: "&amp;VLOOKUP(A732,Internal_lists_bugs!$A$2:$G1013,7,FALSE())&amp;CHAR(10)&amp;"Intro.Issues: "&amp;VLOOKUP(A732,Internal_lists_bugs!$A$2:$P1013,16,FALSE())),"please select a BUG ID")</f>
        <v>please select a BUG ID</v>
      </c>
    </row>
    <row r="733">
      <c r="A733" s="54"/>
      <c r="B733" s="88" t="str">
        <f>IFERROR(HYPERLINK(VLOOKUP(A733,Internal_lists_bugs!$A$2:$C$73,3,FALSE()), VLOOKUP(A733,Internal_lists_bugs!$A$2:$C$73,3,FALSE())&amp;Char(10) &amp; Char(10) &amp; VLOOKUP(A733,Internal_lists_bugs!$A$2:$Z$73,26,FALSE())),"please select a BUG ID")</f>
        <v>please select a BUG ID</v>
      </c>
      <c r="C733" s="89" t="str">
        <f>IFERROR(VLOOKUP(A733,Internal_lists_bugs!$A$2:$X1013,24,FALSE()),"please select a BUG ID")</f>
        <v>please select a BUG ID</v>
      </c>
      <c r="E733" s="82"/>
      <c r="F733" s="80"/>
      <c r="H733" s="82"/>
      <c r="I733" s="80"/>
      <c r="J733" s="51" t="str">
        <f>IFERROR(Hyperlink(VLOOKUP(A733,Internal_lists_bugs!$A$2:$G1013,7,FALSE()),"BIC: "&amp;VLOOKUP(A733,Internal_lists_bugs!$A$2:$G1013,7,FALSE())&amp;CHAR(10)&amp;"Intro.Issues: "&amp;VLOOKUP(A733,Internal_lists_bugs!$A$2:$P1013,16,FALSE())),"please select a BUG ID")</f>
        <v>please select a BUG ID</v>
      </c>
    </row>
    <row r="734">
      <c r="A734" s="54"/>
      <c r="B734" s="88" t="str">
        <f>IFERROR(HYPERLINK(VLOOKUP(A734,Internal_lists_bugs!$A$2:$C$73,3,FALSE()), VLOOKUP(A734,Internal_lists_bugs!$A$2:$C$73,3,FALSE())&amp;Char(10) &amp; Char(10) &amp; VLOOKUP(A734,Internal_lists_bugs!$A$2:$Z$73,26,FALSE())),"please select a BUG ID")</f>
        <v>please select a BUG ID</v>
      </c>
      <c r="C734" s="89" t="str">
        <f>IFERROR(VLOOKUP(A734,Internal_lists_bugs!$A$2:$X1013,24,FALSE()),"please select a BUG ID")</f>
        <v>please select a BUG ID</v>
      </c>
      <c r="E734" s="82"/>
      <c r="F734" s="80"/>
      <c r="H734" s="82"/>
      <c r="I734" s="80"/>
      <c r="J734" s="51" t="str">
        <f>IFERROR(Hyperlink(VLOOKUP(A734,Internal_lists_bugs!$A$2:$G1013,7,FALSE()),"BIC: "&amp;VLOOKUP(A734,Internal_lists_bugs!$A$2:$G1013,7,FALSE())&amp;CHAR(10)&amp;"Intro.Issues: "&amp;VLOOKUP(A734,Internal_lists_bugs!$A$2:$P1013,16,FALSE())),"please select a BUG ID")</f>
        <v>please select a BUG ID</v>
      </c>
    </row>
    <row r="735">
      <c r="A735" s="54"/>
      <c r="B735" s="88" t="str">
        <f>IFERROR(HYPERLINK(VLOOKUP(A735,Internal_lists_bugs!$A$2:$C$73,3,FALSE()), VLOOKUP(A735,Internal_lists_bugs!$A$2:$C$73,3,FALSE())&amp;Char(10) &amp; Char(10) &amp; VLOOKUP(A735,Internal_lists_bugs!$A$2:$Z$73,26,FALSE())),"please select a BUG ID")</f>
        <v>please select a BUG ID</v>
      </c>
      <c r="C735" s="89" t="str">
        <f>IFERROR(VLOOKUP(A735,Internal_lists_bugs!$A$2:$X1013,24,FALSE()),"please select a BUG ID")</f>
        <v>please select a BUG ID</v>
      </c>
      <c r="E735" s="82"/>
      <c r="F735" s="80"/>
      <c r="H735" s="82"/>
      <c r="I735" s="80"/>
      <c r="J735" s="51" t="str">
        <f>IFERROR(Hyperlink(VLOOKUP(A735,Internal_lists_bugs!$A$2:$G1013,7,FALSE()),"BIC: "&amp;VLOOKUP(A735,Internal_lists_bugs!$A$2:$G1013,7,FALSE())&amp;CHAR(10)&amp;"Intro.Issues: "&amp;VLOOKUP(A735,Internal_lists_bugs!$A$2:$P1013,16,FALSE())),"please select a BUG ID")</f>
        <v>please select a BUG ID</v>
      </c>
    </row>
    <row r="736">
      <c r="A736" s="54"/>
      <c r="B736" s="88" t="str">
        <f>IFERROR(HYPERLINK(VLOOKUP(A736,Internal_lists_bugs!$A$2:$C$73,3,FALSE()), VLOOKUP(A736,Internal_lists_bugs!$A$2:$C$73,3,FALSE())&amp;Char(10) &amp; Char(10) &amp; VLOOKUP(A736,Internal_lists_bugs!$A$2:$Z$73,26,FALSE())),"please select a BUG ID")</f>
        <v>please select a BUG ID</v>
      </c>
      <c r="C736" s="89" t="str">
        <f>IFERROR(VLOOKUP(A736,Internal_lists_bugs!$A$2:$X1013,24,FALSE()),"please select a BUG ID")</f>
        <v>please select a BUG ID</v>
      </c>
      <c r="E736" s="82"/>
      <c r="F736" s="80"/>
      <c r="H736" s="82"/>
      <c r="I736" s="80"/>
      <c r="J736" s="51" t="str">
        <f>IFERROR(Hyperlink(VLOOKUP(A736,Internal_lists_bugs!$A$2:$G1013,7,FALSE()),"BIC: "&amp;VLOOKUP(A736,Internal_lists_bugs!$A$2:$G1013,7,FALSE())&amp;CHAR(10)&amp;"Intro.Issues: "&amp;VLOOKUP(A736,Internal_lists_bugs!$A$2:$P1013,16,FALSE())),"please select a BUG ID")</f>
        <v>please select a BUG ID</v>
      </c>
    </row>
    <row r="737">
      <c r="A737" s="54"/>
      <c r="B737" s="88" t="str">
        <f>IFERROR(HYPERLINK(VLOOKUP(A737,Internal_lists_bugs!$A$2:$C$73,3,FALSE()), VLOOKUP(A737,Internal_lists_bugs!$A$2:$C$73,3,FALSE())&amp;Char(10) &amp; Char(10) &amp; VLOOKUP(A737,Internal_lists_bugs!$A$2:$Z$73,26,FALSE())),"please select a BUG ID")</f>
        <v>please select a BUG ID</v>
      </c>
      <c r="C737" s="89" t="str">
        <f>IFERROR(VLOOKUP(A737,Internal_lists_bugs!$A$2:$X1013,24,FALSE()),"please select a BUG ID")</f>
        <v>please select a BUG ID</v>
      </c>
      <c r="E737" s="82"/>
      <c r="F737" s="80"/>
      <c r="H737" s="82"/>
      <c r="I737" s="80"/>
      <c r="J737" s="51" t="str">
        <f>IFERROR(Hyperlink(VLOOKUP(A737,Internal_lists_bugs!$A$2:$G1013,7,FALSE()),"BIC: "&amp;VLOOKUP(A737,Internal_lists_bugs!$A$2:$G1013,7,FALSE())&amp;CHAR(10)&amp;"Intro.Issues: "&amp;VLOOKUP(A737,Internal_lists_bugs!$A$2:$P1013,16,FALSE())),"please select a BUG ID")</f>
        <v>please select a BUG ID</v>
      </c>
    </row>
    <row r="738">
      <c r="A738" s="54"/>
      <c r="B738" s="88" t="str">
        <f>IFERROR(HYPERLINK(VLOOKUP(A738,Internal_lists_bugs!$A$2:$C$73,3,FALSE()), VLOOKUP(A738,Internal_lists_bugs!$A$2:$C$73,3,FALSE())&amp;Char(10) &amp; Char(10) &amp; VLOOKUP(A738,Internal_lists_bugs!$A$2:$Z$73,26,FALSE())),"please select a BUG ID")</f>
        <v>please select a BUG ID</v>
      </c>
      <c r="C738" s="89" t="str">
        <f>IFERROR(VLOOKUP(A738,Internal_lists_bugs!$A$2:$X1013,24,FALSE()),"please select a BUG ID")</f>
        <v>please select a BUG ID</v>
      </c>
      <c r="E738" s="82"/>
      <c r="F738" s="80"/>
      <c r="H738" s="82"/>
      <c r="I738" s="80"/>
      <c r="J738" s="51" t="str">
        <f>IFERROR(Hyperlink(VLOOKUP(A738,Internal_lists_bugs!$A$2:$G1013,7,FALSE()),"BIC: "&amp;VLOOKUP(A738,Internal_lists_bugs!$A$2:$G1013,7,FALSE())&amp;CHAR(10)&amp;"Intro.Issues: "&amp;VLOOKUP(A738,Internal_lists_bugs!$A$2:$P1013,16,FALSE())),"please select a BUG ID")</f>
        <v>please select a BUG ID</v>
      </c>
    </row>
    <row r="739">
      <c r="A739" s="54"/>
      <c r="B739" s="88" t="str">
        <f>IFERROR(HYPERLINK(VLOOKUP(A739,Internal_lists_bugs!$A$2:$C$73,3,FALSE()), VLOOKUP(A739,Internal_lists_bugs!$A$2:$C$73,3,FALSE())&amp;Char(10) &amp; Char(10) &amp; VLOOKUP(A739,Internal_lists_bugs!$A$2:$Z$73,26,FALSE())),"please select a BUG ID")</f>
        <v>please select a BUG ID</v>
      </c>
      <c r="C739" s="89" t="str">
        <f>IFERROR(VLOOKUP(A739,Internal_lists_bugs!$A$2:$X1013,24,FALSE()),"please select a BUG ID")</f>
        <v>please select a BUG ID</v>
      </c>
      <c r="E739" s="82"/>
      <c r="F739" s="80"/>
      <c r="H739" s="82"/>
      <c r="I739" s="80"/>
      <c r="J739" s="51" t="str">
        <f>IFERROR(Hyperlink(VLOOKUP(A739,Internal_lists_bugs!$A$2:$G1013,7,FALSE()),"BIC: "&amp;VLOOKUP(A739,Internal_lists_bugs!$A$2:$G1013,7,FALSE())&amp;CHAR(10)&amp;"Intro.Issues: "&amp;VLOOKUP(A739,Internal_lists_bugs!$A$2:$P1013,16,FALSE())),"please select a BUG ID")</f>
        <v>please select a BUG ID</v>
      </c>
    </row>
    <row r="740">
      <c r="A740" s="54"/>
      <c r="B740" s="88" t="str">
        <f>IFERROR(HYPERLINK(VLOOKUP(A740,Internal_lists_bugs!$A$2:$C$73,3,FALSE()), VLOOKUP(A740,Internal_lists_bugs!$A$2:$C$73,3,FALSE())&amp;Char(10) &amp; Char(10) &amp; VLOOKUP(A740,Internal_lists_bugs!$A$2:$Z$73,26,FALSE())),"please select a BUG ID")</f>
        <v>please select a BUG ID</v>
      </c>
      <c r="C740" s="89" t="str">
        <f>IFERROR(VLOOKUP(A740,Internal_lists_bugs!$A$2:$X1013,24,FALSE()),"please select a BUG ID")</f>
        <v>please select a BUG ID</v>
      </c>
      <c r="E740" s="82"/>
      <c r="F740" s="80"/>
      <c r="H740" s="82"/>
      <c r="I740" s="80"/>
      <c r="J740" s="51" t="str">
        <f>IFERROR(Hyperlink(VLOOKUP(A740,Internal_lists_bugs!$A$2:$G1013,7,FALSE()),"BIC: "&amp;VLOOKUP(A740,Internal_lists_bugs!$A$2:$G1013,7,FALSE())&amp;CHAR(10)&amp;"Intro.Issues: "&amp;VLOOKUP(A740,Internal_lists_bugs!$A$2:$P1013,16,FALSE())),"please select a BUG ID")</f>
        <v>please select a BUG ID</v>
      </c>
    </row>
    <row r="741">
      <c r="A741" s="54"/>
      <c r="B741" s="88" t="str">
        <f>IFERROR(HYPERLINK(VLOOKUP(A741,Internal_lists_bugs!$A$2:$C$73,3,FALSE()), VLOOKUP(A741,Internal_lists_bugs!$A$2:$C$73,3,FALSE())&amp;Char(10) &amp; Char(10) &amp; VLOOKUP(A741,Internal_lists_bugs!$A$2:$Z$73,26,FALSE())),"please select a BUG ID")</f>
        <v>please select a BUG ID</v>
      </c>
      <c r="C741" s="89" t="str">
        <f>IFERROR(VLOOKUP(A741,Internal_lists_bugs!$A$2:$X1013,24,FALSE()),"please select a BUG ID")</f>
        <v>please select a BUG ID</v>
      </c>
      <c r="E741" s="82"/>
      <c r="F741" s="80"/>
      <c r="H741" s="82"/>
      <c r="I741" s="80"/>
      <c r="J741" s="51" t="str">
        <f>IFERROR(Hyperlink(VLOOKUP(A741,Internal_lists_bugs!$A$2:$G1013,7,FALSE()),"BIC: "&amp;VLOOKUP(A741,Internal_lists_bugs!$A$2:$G1013,7,FALSE())&amp;CHAR(10)&amp;"Intro.Issues: "&amp;VLOOKUP(A741,Internal_lists_bugs!$A$2:$P1013,16,FALSE())),"please select a BUG ID")</f>
        <v>please select a BUG ID</v>
      </c>
    </row>
    <row r="742">
      <c r="A742" s="54"/>
      <c r="B742" s="88" t="str">
        <f>IFERROR(HYPERLINK(VLOOKUP(A742,Internal_lists_bugs!$A$2:$C$73,3,FALSE()), VLOOKUP(A742,Internal_lists_bugs!$A$2:$C$73,3,FALSE())&amp;Char(10) &amp; Char(10) &amp; VLOOKUP(A742,Internal_lists_bugs!$A$2:$Z$73,26,FALSE())),"please select a BUG ID")</f>
        <v>please select a BUG ID</v>
      </c>
      <c r="C742" s="89" t="str">
        <f>IFERROR(VLOOKUP(A742,Internal_lists_bugs!$A$2:$X1013,24,FALSE()),"please select a BUG ID")</f>
        <v>please select a BUG ID</v>
      </c>
      <c r="E742" s="82"/>
      <c r="F742" s="80"/>
      <c r="H742" s="82"/>
      <c r="I742" s="80"/>
      <c r="J742" s="51" t="str">
        <f>IFERROR(Hyperlink(VLOOKUP(A742,Internal_lists_bugs!$A$2:$G1013,7,FALSE()),"BIC: "&amp;VLOOKUP(A742,Internal_lists_bugs!$A$2:$G1013,7,FALSE())&amp;CHAR(10)&amp;"Intro.Issues: "&amp;VLOOKUP(A742,Internal_lists_bugs!$A$2:$P1013,16,FALSE())),"please select a BUG ID")</f>
        <v>please select a BUG ID</v>
      </c>
    </row>
    <row r="743">
      <c r="A743" s="54"/>
      <c r="B743" s="88" t="str">
        <f>IFERROR(HYPERLINK(VLOOKUP(A743,Internal_lists_bugs!$A$2:$C$73,3,FALSE()), VLOOKUP(A743,Internal_lists_bugs!$A$2:$C$73,3,FALSE())&amp;Char(10) &amp; Char(10) &amp; VLOOKUP(A743,Internal_lists_bugs!$A$2:$Z$73,26,FALSE())),"please select a BUG ID")</f>
        <v>please select a BUG ID</v>
      </c>
      <c r="C743" s="89" t="str">
        <f>IFERROR(VLOOKUP(A743,Internal_lists_bugs!$A$2:$X1013,24,FALSE()),"please select a BUG ID")</f>
        <v>please select a BUG ID</v>
      </c>
      <c r="E743" s="82"/>
      <c r="F743" s="80"/>
      <c r="H743" s="82"/>
      <c r="I743" s="80"/>
      <c r="J743" s="51" t="str">
        <f>IFERROR(Hyperlink(VLOOKUP(A743,Internal_lists_bugs!$A$2:$G1013,7,FALSE()),"BIC: "&amp;VLOOKUP(A743,Internal_lists_bugs!$A$2:$G1013,7,FALSE())&amp;CHAR(10)&amp;"Intro.Issues: "&amp;VLOOKUP(A743,Internal_lists_bugs!$A$2:$P1013,16,FALSE())),"please select a BUG ID")</f>
        <v>please select a BUG ID</v>
      </c>
    </row>
    <row r="744">
      <c r="A744" s="54"/>
      <c r="B744" s="88" t="str">
        <f>IFERROR(HYPERLINK(VLOOKUP(A744,Internal_lists_bugs!$A$2:$C$73,3,FALSE()), VLOOKUP(A744,Internal_lists_bugs!$A$2:$C$73,3,FALSE())&amp;Char(10) &amp; Char(10) &amp; VLOOKUP(A744,Internal_lists_bugs!$A$2:$Z$73,26,FALSE())),"please select a BUG ID")</f>
        <v>please select a BUG ID</v>
      </c>
      <c r="C744" s="89" t="str">
        <f>IFERROR(VLOOKUP(A744,Internal_lists_bugs!$A$2:$X1013,24,FALSE()),"please select a BUG ID")</f>
        <v>please select a BUG ID</v>
      </c>
      <c r="E744" s="82"/>
      <c r="F744" s="80"/>
      <c r="H744" s="82"/>
      <c r="I744" s="80"/>
      <c r="J744" s="51" t="str">
        <f>IFERROR(Hyperlink(VLOOKUP(A744,Internal_lists_bugs!$A$2:$G1013,7,FALSE()),"BIC: "&amp;VLOOKUP(A744,Internal_lists_bugs!$A$2:$G1013,7,FALSE())&amp;CHAR(10)&amp;"Intro.Issues: "&amp;VLOOKUP(A744,Internal_lists_bugs!$A$2:$P1013,16,FALSE())),"please select a BUG ID")</f>
        <v>please select a BUG ID</v>
      </c>
    </row>
    <row r="745">
      <c r="A745" s="54"/>
      <c r="B745" s="88" t="str">
        <f>IFERROR(HYPERLINK(VLOOKUP(A745,Internal_lists_bugs!$A$2:$C$73,3,FALSE()), VLOOKUP(A745,Internal_lists_bugs!$A$2:$C$73,3,FALSE())&amp;Char(10) &amp; Char(10) &amp; VLOOKUP(A745,Internal_lists_bugs!$A$2:$Z$73,26,FALSE())),"please select a BUG ID")</f>
        <v>please select a BUG ID</v>
      </c>
      <c r="C745" s="89" t="str">
        <f>IFERROR(VLOOKUP(A745,Internal_lists_bugs!$A$2:$X1013,24,FALSE()),"please select a BUG ID")</f>
        <v>please select a BUG ID</v>
      </c>
      <c r="E745" s="82"/>
      <c r="F745" s="80"/>
      <c r="H745" s="82"/>
      <c r="I745" s="80"/>
      <c r="J745" s="51" t="str">
        <f>IFERROR(Hyperlink(VLOOKUP(A745,Internal_lists_bugs!$A$2:$G1013,7,FALSE()),"BIC: "&amp;VLOOKUP(A745,Internal_lists_bugs!$A$2:$G1013,7,FALSE())&amp;CHAR(10)&amp;"Intro.Issues: "&amp;VLOOKUP(A745,Internal_lists_bugs!$A$2:$P1013,16,FALSE())),"please select a BUG ID")</f>
        <v>please select a BUG ID</v>
      </c>
    </row>
    <row r="746">
      <c r="A746" s="54"/>
      <c r="B746" s="88" t="str">
        <f>IFERROR(HYPERLINK(VLOOKUP(A746,Internal_lists_bugs!$A$2:$C$73,3,FALSE()), VLOOKUP(A746,Internal_lists_bugs!$A$2:$C$73,3,FALSE())&amp;Char(10) &amp; Char(10) &amp; VLOOKUP(A746,Internal_lists_bugs!$A$2:$Z$73,26,FALSE())),"please select a BUG ID")</f>
        <v>please select a BUG ID</v>
      </c>
      <c r="C746" s="89" t="str">
        <f>IFERROR(VLOOKUP(A746,Internal_lists_bugs!$A$2:$X1013,24,FALSE()),"please select a BUG ID")</f>
        <v>please select a BUG ID</v>
      </c>
      <c r="E746" s="82"/>
      <c r="F746" s="80"/>
      <c r="H746" s="82"/>
      <c r="I746" s="80"/>
      <c r="J746" s="51" t="str">
        <f>IFERROR(Hyperlink(VLOOKUP(A746,Internal_lists_bugs!$A$2:$G1013,7,FALSE()),"BIC: "&amp;VLOOKUP(A746,Internal_lists_bugs!$A$2:$G1013,7,FALSE())&amp;CHAR(10)&amp;"Intro.Issues: "&amp;VLOOKUP(A746,Internal_lists_bugs!$A$2:$P1013,16,FALSE())),"please select a BUG ID")</f>
        <v>please select a BUG ID</v>
      </c>
    </row>
    <row r="747">
      <c r="A747" s="54"/>
      <c r="B747" s="88" t="str">
        <f>IFERROR(HYPERLINK(VLOOKUP(A747,Internal_lists_bugs!$A$2:$C$73,3,FALSE()), VLOOKUP(A747,Internal_lists_bugs!$A$2:$C$73,3,FALSE())&amp;Char(10) &amp; Char(10) &amp; VLOOKUP(A747,Internal_lists_bugs!$A$2:$Z$73,26,FALSE())),"please select a BUG ID")</f>
        <v>please select a BUG ID</v>
      </c>
      <c r="C747" s="89" t="str">
        <f>IFERROR(VLOOKUP(A747,Internal_lists_bugs!$A$2:$X1013,24,FALSE()),"please select a BUG ID")</f>
        <v>please select a BUG ID</v>
      </c>
      <c r="E747" s="82"/>
      <c r="F747" s="80"/>
      <c r="H747" s="82"/>
      <c r="I747" s="80"/>
      <c r="J747" s="51" t="str">
        <f>IFERROR(Hyperlink(VLOOKUP(A747,Internal_lists_bugs!$A$2:$G1013,7,FALSE()),"BIC: "&amp;VLOOKUP(A747,Internal_lists_bugs!$A$2:$G1013,7,FALSE())&amp;CHAR(10)&amp;"Intro.Issues: "&amp;VLOOKUP(A747,Internal_lists_bugs!$A$2:$P1013,16,FALSE())),"please select a BUG ID")</f>
        <v>please select a BUG ID</v>
      </c>
    </row>
    <row r="748">
      <c r="A748" s="54"/>
      <c r="B748" s="88" t="str">
        <f>IFERROR(HYPERLINK(VLOOKUP(A748,Internal_lists_bugs!$A$2:$C$73,3,FALSE()), VLOOKUP(A748,Internal_lists_bugs!$A$2:$C$73,3,FALSE())&amp;Char(10) &amp; Char(10) &amp; VLOOKUP(A748,Internal_lists_bugs!$A$2:$Z$73,26,FALSE())),"please select a BUG ID")</f>
        <v>please select a BUG ID</v>
      </c>
      <c r="C748" s="89" t="str">
        <f>IFERROR(VLOOKUP(A748,Internal_lists_bugs!$A$2:$X1013,24,FALSE()),"please select a BUG ID")</f>
        <v>please select a BUG ID</v>
      </c>
      <c r="E748" s="82"/>
      <c r="F748" s="80"/>
      <c r="H748" s="82"/>
      <c r="I748" s="80"/>
      <c r="J748" s="51" t="str">
        <f>IFERROR(Hyperlink(VLOOKUP(A748,Internal_lists_bugs!$A$2:$G1013,7,FALSE()),"BIC: "&amp;VLOOKUP(A748,Internal_lists_bugs!$A$2:$G1013,7,FALSE())&amp;CHAR(10)&amp;"Intro.Issues: "&amp;VLOOKUP(A748,Internal_lists_bugs!$A$2:$P1013,16,FALSE())),"please select a BUG ID")</f>
        <v>please select a BUG ID</v>
      </c>
    </row>
    <row r="749">
      <c r="A749" s="54"/>
      <c r="B749" s="88" t="str">
        <f>IFERROR(HYPERLINK(VLOOKUP(A749,Internal_lists_bugs!$A$2:$C$73,3,FALSE()), VLOOKUP(A749,Internal_lists_bugs!$A$2:$C$73,3,FALSE())&amp;Char(10) &amp; Char(10) &amp; VLOOKUP(A749,Internal_lists_bugs!$A$2:$Z$73,26,FALSE())),"please select a BUG ID")</f>
        <v>please select a BUG ID</v>
      </c>
      <c r="C749" s="89" t="str">
        <f>IFERROR(VLOOKUP(A749,Internal_lists_bugs!$A$2:$X1013,24,FALSE()),"please select a BUG ID")</f>
        <v>please select a BUG ID</v>
      </c>
      <c r="E749" s="82"/>
      <c r="F749" s="80"/>
      <c r="H749" s="82"/>
      <c r="I749" s="80"/>
      <c r="J749" s="51" t="str">
        <f>IFERROR(Hyperlink(VLOOKUP(A749,Internal_lists_bugs!$A$2:$G1013,7,FALSE()),"BIC: "&amp;VLOOKUP(A749,Internal_lists_bugs!$A$2:$G1013,7,FALSE())&amp;CHAR(10)&amp;"Intro.Issues: "&amp;VLOOKUP(A749,Internal_lists_bugs!$A$2:$P1013,16,FALSE())),"please select a BUG ID")</f>
        <v>please select a BUG ID</v>
      </c>
    </row>
    <row r="750">
      <c r="A750" s="54"/>
      <c r="B750" s="88" t="str">
        <f>IFERROR(HYPERLINK(VLOOKUP(A750,Internal_lists_bugs!$A$2:$C$73,3,FALSE()), VLOOKUP(A750,Internal_lists_bugs!$A$2:$C$73,3,FALSE())&amp;Char(10) &amp; Char(10) &amp; VLOOKUP(A750,Internal_lists_bugs!$A$2:$Z$73,26,FALSE())),"please select a BUG ID")</f>
        <v>please select a BUG ID</v>
      </c>
      <c r="C750" s="89" t="str">
        <f>IFERROR(VLOOKUP(A750,Internal_lists_bugs!$A$2:$X1013,24,FALSE()),"please select a BUG ID")</f>
        <v>please select a BUG ID</v>
      </c>
      <c r="E750" s="82"/>
      <c r="F750" s="80"/>
      <c r="H750" s="82"/>
      <c r="I750" s="80"/>
      <c r="J750" s="51" t="str">
        <f>IFERROR(Hyperlink(VLOOKUP(A750,Internal_lists_bugs!$A$2:$G1013,7,FALSE()),"BIC: "&amp;VLOOKUP(A750,Internal_lists_bugs!$A$2:$G1013,7,FALSE())&amp;CHAR(10)&amp;"Intro.Issues: "&amp;VLOOKUP(A750,Internal_lists_bugs!$A$2:$P1013,16,FALSE())),"please select a BUG ID")</f>
        <v>please select a BUG ID</v>
      </c>
    </row>
    <row r="751">
      <c r="A751" s="54"/>
      <c r="B751" s="88" t="str">
        <f>IFERROR(HYPERLINK(VLOOKUP(A751,Internal_lists_bugs!$A$2:$C$73,3,FALSE()), VLOOKUP(A751,Internal_lists_bugs!$A$2:$C$73,3,FALSE())&amp;Char(10) &amp; Char(10) &amp; VLOOKUP(A751,Internal_lists_bugs!$A$2:$Z$73,26,FALSE())),"please select a BUG ID")</f>
        <v>please select a BUG ID</v>
      </c>
      <c r="C751" s="89" t="str">
        <f>IFERROR(VLOOKUP(A751,Internal_lists_bugs!$A$2:$X1013,24,FALSE()),"please select a BUG ID")</f>
        <v>please select a BUG ID</v>
      </c>
      <c r="E751" s="82"/>
      <c r="F751" s="80"/>
      <c r="H751" s="82"/>
      <c r="I751" s="80"/>
      <c r="J751" s="51" t="str">
        <f>IFERROR(Hyperlink(VLOOKUP(A751,Internal_lists_bugs!$A$2:$G1013,7,FALSE()),"BIC: "&amp;VLOOKUP(A751,Internal_lists_bugs!$A$2:$G1013,7,FALSE())&amp;CHAR(10)&amp;"Intro.Issues: "&amp;VLOOKUP(A751,Internal_lists_bugs!$A$2:$P1013,16,FALSE())),"please select a BUG ID")</f>
        <v>please select a BUG ID</v>
      </c>
    </row>
    <row r="752">
      <c r="A752" s="54"/>
      <c r="B752" s="88" t="str">
        <f>IFERROR(HYPERLINK(VLOOKUP(A752,Internal_lists_bugs!$A$2:$C$73,3,FALSE()), VLOOKUP(A752,Internal_lists_bugs!$A$2:$C$73,3,FALSE())&amp;Char(10) &amp; Char(10) &amp; VLOOKUP(A752,Internal_lists_bugs!$A$2:$Z$73,26,FALSE())),"please select a BUG ID")</f>
        <v>please select a BUG ID</v>
      </c>
      <c r="C752" s="89" t="str">
        <f>IFERROR(VLOOKUP(A752,Internal_lists_bugs!$A$2:$X1013,24,FALSE()),"please select a BUG ID")</f>
        <v>please select a BUG ID</v>
      </c>
      <c r="E752" s="82"/>
      <c r="F752" s="80"/>
      <c r="H752" s="82"/>
      <c r="I752" s="80"/>
      <c r="J752" s="51" t="str">
        <f>IFERROR(Hyperlink(VLOOKUP(A752,Internal_lists_bugs!$A$2:$G1013,7,FALSE()),"BIC: "&amp;VLOOKUP(A752,Internal_lists_bugs!$A$2:$G1013,7,FALSE())&amp;CHAR(10)&amp;"Intro.Issues: "&amp;VLOOKUP(A752,Internal_lists_bugs!$A$2:$P1013,16,FALSE())),"please select a BUG ID")</f>
        <v>please select a BUG ID</v>
      </c>
    </row>
    <row r="753">
      <c r="A753" s="54"/>
      <c r="B753" s="88" t="str">
        <f>IFERROR(HYPERLINK(VLOOKUP(A753,Internal_lists_bugs!$A$2:$C$73,3,FALSE()), VLOOKUP(A753,Internal_lists_bugs!$A$2:$C$73,3,FALSE())&amp;Char(10) &amp; Char(10) &amp; VLOOKUP(A753,Internal_lists_bugs!$A$2:$Z$73,26,FALSE())),"please select a BUG ID")</f>
        <v>please select a BUG ID</v>
      </c>
      <c r="C753" s="89" t="str">
        <f>IFERROR(VLOOKUP(A753,Internal_lists_bugs!$A$2:$X1013,24,FALSE()),"please select a BUG ID")</f>
        <v>please select a BUG ID</v>
      </c>
      <c r="E753" s="82"/>
      <c r="F753" s="80"/>
      <c r="H753" s="82"/>
      <c r="I753" s="80"/>
      <c r="J753" s="51" t="str">
        <f>IFERROR(Hyperlink(VLOOKUP(A753,Internal_lists_bugs!$A$2:$G1013,7,FALSE()),"BIC: "&amp;VLOOKUP(A753,Internal_lists_bugs!$A$2:$G1013,7,FALSE())&amp;CHAR(10)&amp;"Intro.Issues: "&amp;VLOOKUP(A753,Internal_lists_bugs!$A$2:$P1013,16,FALSE())),"please select a BUG ID")</f>
        <v>please select a BUG ID</v>
      </c>
    </row>
    <row r="754">
      <c r="A754" s="54"/>
      <c r="B754" s="88" t="str">
        <f>IFERROR(HYPERLINK(VLOOKUP(A754,Internal_lists_bugs!$A$2:$C$73,3,FALSE()), VLOOKUP(A754,Internal_lists_bugs!$A$2:$C$73,3,FALSE())&amp;Char(10) &amp; Char(10) &amp; VLOOKUP(A754,Internal_lists_bugs!$A$2:$Z$73,26,FALSE())),"please select a BUG ID")</f>
        <v>please select a BUG ID</v>
      </c>
      <c r="C754" s="89" t="str">
        <f>IFERROR(VLOOKUP(A754,Internal_lists_bugs!$A$2:$X1013,24,FALSE()),"please select a BUG ID")</f>
        <v>please select a BUG ID</v>
      </c>
      <c r="E754" s="82"/>
      <c r="F754" s="80"/>
      <c r="H754" s="82"/>
      <c r="I754" s="80"/>
      <c r="J754" s="51" t="str">
        <f>IFERROR(Hyperlink(VLOOKUP(A754,Internal_lists_bugs!$A$2:$G1013,7,FALSE()),"BIC: "&amp;VLOOKUP(A754,Internal_lists_bugs!$A$2:$G1013,7,FALSE())&amp;CHAR(10)&amp;"Intro.Issues: "&amp;VLOOKUP(A754,Internal_lists_bugs!$A$2:$P1013,16,FALSE())),"please select a BUG ID")</f>
        <v>please select a BUG ID</v>
      </c>
    </row>
    <row r="755">
      <c r="A755" s="54"/>
      <c r="B755" s="88" t="str">
        <f>IFERROR(HYPERLINK(VLOOKUP(A755,Internal_lists_bugs!$A$2:$C$73,3,FALSE()), VLOOKUP(A755,Internal_lists_bugs!$A$2:$C$73,3,FALSE())&amp;Char(10) &amp; Char(10) &amp; VLOOKUP(A755,Internal_lists_bugs!$A$2:$Z$73,26,FALSE())),"please select a BUG ID")</f>
        <v>please select a BUG ID</v>
      </c>
      <c r="C755" s="89" t="str">
        <f>IFERROR(VLOOKUP(A755,Internal_lists_bugs!$A$2:$X1013,24,FALSE()),"please select a BUG ID")</f>
        <v>please select a BUG ID</v>
      </c>
      <c r="E755" s="82"/>
      <c r="F755" s="80"/>
      <c r="H755" s="82"/>
      <c r="I755" s="80"/>
      <c r="J755" s="51" t="str">
        <f>IFERROR(Hyperlink(VLOOKUP(A755,Internal_lists_bugs!$A$2:$G1013,7,FALSE()),"BIC: "&amp;VLOOKUP(A755,Internal_lists_bugs!$A$2:$G1013,7,FALSE())&amp;CHAR(10)&amp;"Intro.Issues: "&amp;VLOOKUP(A755,Internal_lists_bugs!$A$2:$P1013,16,FALSE())),"please select a BUG ID")</f>
        <v>please select a BUG ID</v>
      </c>
    </row>
    <row r="756">
      <c r="A756" s="54"/>
      <c r="B756" s="88" t="str">
        <f>IFERROR(HYPERLINK(VLOOKUP(A756,Internal_lists_bugs!$A$2:$C$73,3,FALSE()), VLOOKUP(A756,Internal_lists_bugs!$A$2:$C$73,3,FALSE())&amp;Char(10) &amp; Char(10) &amp; VLOOKUP(A756,Internal_lists_bugs!$A$2:$Z$73,26,FALSE())),"please select a BUG ID")</f>
        <v>please select a BUG ID</v>
      </c>
      <c r="C756" s="89" t="str">
        <f>IFERROR(VLOOKUP(A756,Internal_lists_bugs!$A$2:$X1013,24,FALSE()),"please select a BUG ID")</f>
        <v>please select a BUG ID</v>
      </c>
      <c r="E756" s="82"/>
      <c r="F756" s="80"/>
      <c r="H756" s="82"/>
      <c r="I756" s="80"/>
      <c r="J756" s="51" t="str">
        <f>IFERROR(Hyperlink(VLOOKUP(A756,Internal_lists_bugs!$A$2:$G1013,7,FALSE()),"BIC: "&amp;VLOOKUP(A756,Internal_lists_bugs!$A$2:$G1013,7,FALSE())&amp;CHAR(10)&amp;"Intro.Issues: "&amp;VLOOKUP(A756,Internal_lists_bugs!$A$2:$P1013,16,FALSE())),"please select a BUG ID")</f>
        <v>please select a BUG ID</v>
      </c>
    </row>
    <row r="757">
      <c r="A757" s="54"/>
      <c r="B757" s="88" t="str">
        <f>IFERROR(HYPERLINK(VLOOKUP(A757,Internal_lists_bugs!$A$2:$C$73,3,FALSE()), VLOOKUP(A757,Internal_lists_bugs!$A$2:$C$73,3,FALSE())&amp;Char(10) &amp; Char(10) &amp; VLOOKUP(A757,Internal_lists_bugs!$A$2:$Z$73,26,FALSE())),"please select a BUG ID")</f>
        <v>please select a BUG ID</v>
      </c>
      <c r="C757" s="89" t="str">
        <f>IFERROR(VLOOKUP(A757,Internal_lists_bugs!$A$2:$X1013,24,FALSE()),"please select a BUG ID")</f>
        <v>please select a BUG ID</v>
      </c>
      <c r="E757" s="82"/>
      <c r="F757" s="80"/>
      <c r="H757" s="82"/>
      <c r="I757" s="80"/>
      <c r="J757" s="51" t="str">
        <f>IFERROR(Hyperlink(VLOOKUP(A757,Internal_lists_bugs!$A$2:$G1013,7,FALSE()),"BIC: "&amp;VLOOKUP(A757,Internal_lists_bugs!$A$2:$G1013,7,FALSE())&amp;CHAR(10)&amp;"Intro.Issues: "&amp;VLOOKUP(A757,Internal_lists_bugs!$A$2:$P1013,16,FALSE())),"please select a BUG ID")</f>
        <v>please select a BUG ID</v>
      </c>
    </row>
    <row r="758">
      <c r="A758" s="54"/>
      <c r="B758" s="88" t="str">
        <f>IFERROR(HYPERLINK(VLOOKUP(A758,Internal_lists_bugs!$A$2:$C$73,3,FALSE()), VLOOKUP(A758,Internal_lists_bugs!$A$2:$C$73,3,FALSE())&amp;Char(10) &amp; Char(10) &amp; VLOOKUP(A758,Internal_lists_bugs!$A$2:$Z$73,26,FALSE())),"please select a BUG ID")</f>
        <v>please select a BUG ID</v>
      </c>
      <c r="C758" s="89" t="str">
        <f>IFERROR(VLOOKUP(A758,Internal_lists_bugs!$A$2:$X1013,24,FALSE()),"please select a BUG ID")</f>
        <v>please select a BUG ID</v>
      </c>
      <c r="E758" s="82"/>
      <c r="F758" s="80"/>
      <c r="H758" s="82"/>
      <c r="I758" s="80"/>
      <c r="J758" s="51" t="str">
        <f>IFERROR(Hyperlink(VLOOKUP(A758,Internal_lists_bugs!$A$2:$G1013,7,FALSE()),"BIC: "&amp;VLOOKUP(A758,Internal_lists_bugs!$A$2:$G1013,7,FALSE())&amp;CHAR(10)&amp;"Intro.Issues: "&amp;VLOOKUP(A758,Internal_lists_bugs!$A$2:$P1013,16,FALSE())),"please select a BUG ID")</f>
        <v>please select a BUG ID</v>
      </c>
    </row>
    <row r="759">
      <c r="A759" s="54"/>
      <c r="B759" s="88" t="str">
        <f>IFERROR(HYPERLINK(VLOOKUP(A759,Internal_lists_bugs!$A$2:$C$73,3,FALSE()), VLOOKUP(A759,Internal_lists_bugs!$A$2:$C$73,3,FALSE())&amp;Char(10) &amp; Char(10) &amp; VLOOKUP(A759,Internal_lists_bugs!$A$2:$Z$73,26,FALSE())),"please select a BUG ID")</f>
        <v>please select a BUG ID</v>
      </c>
      <c r="C759" s="89" t="str">
        <f>IFERROR(VLOOKUP(A759,Internal_lists_bugs!$A$2:$X1013,24,FALSE()),"please select a BUG ID")</f>
        <v>please select a BUG ID</v>
      </c>
      <c r="E759" s="82"/>
      <c r="F759" s="80"/>
      <c r="H759" s="82"/>
      <c r="I759" s="80"/>
      <c r="J759" s="51" t="str">
        <f>IFERROR(Hyperlink(VLOOKUP(A759,Internal_lists_bugs!$A$2:$G1013,7,FALSE()),"BIC: "&amp;VLOOKUP(A759,Internal_lists_bugs!$A$2:$G1013,7,FALSE())&amp;CHAR(10)&amp;"Intro.Issues: "&amp;VLOOKUP(A759,Internal_lists_bugs!$A$2:$P1013,16,FALSE())),"please select a BUG ID")</f>
        <v>please select a BUG ID</v>
      </c>
    </row>
    <row r="760">
      <c r="A760" s="54"/>
      <c r="B760" s="88" t="str">
        <f>IFERROR(HYPERLINK(VLOOKUP(A760,Internal_lists_bugs!$A$2:$C$73,3,FALSE()), VLOOKUP(A760,Internal_lists_bugs!$A$2:$C$73,3,FALSE())&amp;Char(10) &amp; Char(10) &amp; VLOOKUP(A760,Internal_lists_bugs!$A$2:$Z$73,26,FALSE())),"please select a BUG ID")</f>
        <v>please select a BUG ID</v>
      </c>
      <c r="C760" s="89" t="str">
        <f>IFERROR(VLOOKUP(A760,Internal_lists_bugs!$A$2:$X1013,24,FALSE()),"please select a BUG ID")</f>
        <v>please select a BUG ID</v>
      </c>
      <c r="E760" s="82"/>
      <c r="F760" s="80"/>
      <c r="H760" s="82"/>
      <c r="I760" s="80"/>
      <c r="J760" s="51" t="str">
        <f>IFERROR(Hyperlink(VLOOKUP(A760,Internal_lists_bugs!$A$2:$G1013,7,FALSE()),"BIC: "&amp;VLOOKUP(A760,Internal_lists_bugs!$A$2:$G1013,7,FALSE())&amp;CHAR(10)&amp;"Intro.Issues: "&amp;VLOOKUP(A760,Internal_lists_bugs!$A$2:$P1013,16,FALSE())),"please select a BUG ID")</f>
        <v>please select a BUG ID</v>
      </c>
    </row>
    <row r="761">
      <c r="A761" s="54"/>
      <c r="B761" s="88" t="str">
        <f>IFERROR(HYPERLINK(VLOOKUP(A761,Internal_lists_bugs!$A$2:$C$73,3,FALSE()), VLOOKUP(A761,Internal_lists_bugs!$A$2:$C$73,3,FALSE())&amp;Char(10) &amp; Char(10) &amp; VLOOKUP(A761,Internal_lists_bugs!$A$2:$Z$73,26,FALSE())),"please select a BUG ID")</f>
        <v>please select a BUG ID</v>
      </c>
      <c r="C761" s="89" t="str">
        <f>IFERROR(VLOOKUP(A761,Internal_lists_bugs!$A$2:$X1013,24,FALSE()),"please select a BUG ID")</f>
        <v>please select a BUG ID</v>
      </c>
      <c r="E761" s="82"/>
      <c r="F761" s="80"/>
      <c r="H761" s="82"/>
      <c r="I761" s="80"/>
      <c r="J761" s="51" t="str">
        <f>IFERROR(Hyperlink(VLOOKUP(A761,Internal_lists_bugs!$A$2:$G1013,7,FALSE()),"BIC: "&amp;VLOOKUP(A761,Internal_lists_bugs!$A$2:$G1013,7,FALSE())&amp;CHAR(10)&amp;"Intro.Issues: "&amp;VLOOKUP(A761,Internal_lists_bugs!$A$2:$P1013,16,FALSE())),"please select a BUG ID")</f>
        <v>please select a BUG ID</v>
      </c>
    </row>
    <row r="762">
      <c r="A762" s="54"/>
      <c r="B762" s="88" t="str">
        <f>IFERROR(HYPERLINK(VLOOKUP(A762,Internal_lists_bugs!$A$2:$C$73,3,FALSE()), VLOOKUP(A762,Internal_lists_bugs!$A$2:$C$73,3,FALSE())&amp;Char(10) &amp; Char(10) &amp; VLOOKUP(A762,Internal_lists_bugs!$A$2:$Z$73,26,FALSE())),"please select a BUG ID")</f>
        <v>please select a BUG ID</v>
      </c>
      <c r="C762" s="89" t="str">
        <f>IFERROR(VLOOKUP(A762,Internal_lists_bugs!$A$2:$X1013,24,FALSE()),"please select a BUG ID")</f>
        <v>please select a BUG ID</v>
      </c>
      <c r="E762" s="82"/>
      <c r="F762" s="80"/>
      <c r="H762" s="82"/>
      <c r="I762" s="80"/>
      <c r="J762" s="51" t="str">
        <f>IFERROR(Hyperlink(VLOOKUP(A762,Internal_lists_bugs!$A$2:$G1013,7,FALSE()),"BIC: "&amp;VLOOKUP(A762,Internal_lists_bugs!$A$2:$G1013,7,FALSE())&amp;CHAR(10)&amp;"Intro.Issues: "&amp;VLOOKUP(A762,Internal_lists_bugs!$A$2:$P1013,16,FALSE())),"please select a BUG ID")</f>
        <v>please select a BUG ID</v>
      </c>
    </row>
    <row r="763">
      <c r="A763" s="54"/>
      <c r="B763" s="88" t="str">
        <f>IFERROR(HYPERLINK(VLOOKUP(A763,Internal_lists_bugs!$A$2:$C$73,3,FALSE()), VLOOKUP(A763,Internal_lists_bugs!$A$2:$C$73,3,FALSE())&amp;Char(10) &amp; Char(10) &amp; VLOOKUP(A763,Internal_lists_bugs!$A$2:$Z$73,26,FALSE())),"please select a BUG ID")</f>
        <v>please select a BUG ID</v>
      </c>
      <c r="C763" s="89" t="str">
        <f>IFERROR(VLOOKUP(A763,Internal_lists_bugs!$A$2:$X1013,24,FALSE()),"please select a BUG ID")</f>
        <v>please select a BUG ID</v>
      </c>
      <c r="E763" s="82"/>
      <c r="F763" s="80"/>
      <c r="H763" s="82"/>
      <c r="I763" s="80"/>
      <c r="J763" s="51" t="str">
        <f>IFERROR(Hyperlink(VLOOKUP(A763,Internal_lists_bugs!$A$2:$G1013,7,FALSE()),"BIC: "&amp;VLOOKUP(A763,Internal_lists_bugs!$A$2:$G1013,7,FALSE())&amp;CHAR(10)&amp;"Intro.Issues: "&amp;VLOOKUP(A763,Internal_lists_bugs!$A$2:$P1013,16,FALSE())),"please select a BUG ID")</f>
        <v>please select a BUG ID</v>
      </c>
    </row>
    <row r="764">
      <c r="A764" s="54"/>
      <c r="B764" s="88" t="str">
        <f>IFERROR(HYPERLINK(VLOOKUP(A764,Internal_lists_bugs!$A$2:$C$73,3,FALSE()), VLOOKUP(A764,Internal_lists_bugs!$A$2:$C$73,3,FALSE())&amp;Char(10) &amp; Char(10) &amp; VLOOKUP(A764,Internal_lists_bugs!$A$2:$Z$73,26,FALSE())),"please select a BUG ID")</f>
        <v>please select a BUG ID</v>
      </c>
      <c r="C764" s="89" t="str">
        <f>IFERROR(VLOOKUP(A764,Internal_lists_bugs!$A$2:$X1013,24,FALSE()),"please select a BUG ID")</f>
        <v>please select a BUG ID</v>
      </c>
      <c r="E764" s="82"/>
      <c r="F764" s="80"/>
      <c r="H764" s="82"/>
      <c r="I764" s="80"/>
      <c r="J764" s="51" t="str">
        <f>IFERROR(Hyperlink(VLOOKUP(A764,Internal_lists_bugs!$A$2:$G1013,7,FALSE()),"BIC: "&amp;VLOOKUP(A764,Internal_lists_bugs!$A$2:$G1013,7,FALSE())&amp;CHAR(10)&amp;"Intro.Issues: "&amp;VLOOKUP(A764,Internal_lists_bugs!$A$2:$P1013,16,FALSE())),"please select a BUG ID")</f>
        <v>please select a BUG ID</v>
      </c>
    </row>
    <row r="765">
      <c r="A765" s="54"/>
      <c r="B765" s="88" t="str">
        <f>IFERROR(HYPERLINK(VLOOKUP(A765,Internal_lists_bugs!$A$2:$C$73,3,FALSE()), VLOOKUP(A765,Internal_lists_bugs!$A$2:$C$73,3,FALSE())&amp;Char(10) &amp; Char(10) &amp; VLOOKUP(A765,Internal_lists_bugs!$A$2:$Z$73,26,FALSE())),"please select a BUG ID")</f>
        <v>please select a BUG ID</v>
      </c>
      <c r="C765" s="89" t="str">
        <f>IFERROR(VLOOKUP(A765,Internal_lists_bugs!$A$2:$X1013,24,FALSE()),"please select a BUG ID")</f>
        <v>please select a BUG ID</v>
      </c>
      <c r="E765" s="82"/>
      <c r="F765" s="80"/>
      <c r="H765" s="82"/>
      <c r="I765" s="80"/>
      <c r="J765" s="51" t="str">
        <f>IFERROR(Hyperlink(VLOOKUP(A765,Internal_lists_bugs!$A$2:$G1013,7,FALSE()),"BIC: "&amp;VLOOKUP(A765,Internal_lists_bugs!$A$2:$G1013,7,FALSE())&amp;CHAR(10)&amp;"Intro.Issues: "&amp;VLOOKUP(A765,Internal_lists_bugs!$A$2:$P1013,16,FALSE())),"please select a BUG ID")</f>
        <v>please select a BUG ID</v>
      </c>
    </row>
    <row r="766">
      <c r="A766" s="54"/>
      <c r="B766" s="88" t="str">
        <f>IFERROR(HYPERLINK(VLOOKUP(A766,Internal_lists_bugs!$A$2:$C$73,3,FALSE()), VLOOKUP(A766,Internal_lists_bugs!$A$2:$C$73,3,FALSE())&amp;Char(10) &amp; Char(10) &amp; VLOOKUP(A766,Internal_lists_bugs!$A$2:$Z$73,26,FALSE())),"please select a BUG ID")</f>
        <v>please select a BUG ID</v>
      </c>
      <c r="C766" s="89" t="str">
        <f>IFERROR(VLOOKUP(A766,Internal_lists_bugs!$A$2:$X1013,24,FALSE()),"please select a BUG ID")</f>
        <v>please select a BUG ID</v>
      </c>
      <c r="E766" s="82"/>
      <c r="F766" s="80"/>
      <c r="H766" s="82"/>
      <c r="I766" s="80"/>
      <c r="J766" s="51" t="str">
        <f>IFERROR(Hyperlink(VLOOKUP(A766,Internal_lists_bugs!$A$2:$G1013,7,FALSE()),"BIC: "&amp;VLOOKUP(A766,Internal_lists_bugs!$A$2:$G1013,7,FALSE())&amp;CHAR(10)&amp;"Intro.Issues: "&amp;VLOOKUP(A766,Internal_lists_bugs!$A$2:$P1013,16,FALSE())),"please select a BUG ID")</f>
        <v>please select a BUG ID</v>
      </c>
    </row>
    <row r="767">
      <c r="A767" s="54"/>
      <c r="B767" s="88" t="str">
        <f>IFERROR(HYPERLINK(VLOOKUP(A767,Internal_lists_bugs!$A$2:$C$73,3,FALSE()), VLOOKUP(A767,Internal_lists_bugs!$A$2:$C$73,3,FALSE())&amp;Char(10) &amp; Char(10) &amp; VLOOKUP(A767,Internal_lists_bugs!$A$2:$Z$73,26,FALSE())),"please select a BUG ID")</f>
        <v>please select a BUG ID</v>
      </c>
      <c r="C767" s="89" t="str">
        <f>IFERROR(VLOOKUP(A767,Internal_lists_bugs!$A$2:$X1013,24,FALSE()),"please select a BUG ID")</f>
        <v>please select a BUG ID</v>
      </c>
      <c r="E767" s="82"/>
      <c r="F767" s="80"/>
      <c r="H767" s="82"/>
      <c r="I767" s="80"/>
      <c r="J767" s="51" t="str">
        <f>IFERROR(Hyperlink(VLOOKUP(A767,Internal_lists_bugs!$A$2:$G1013,7,FALSE()),"BIC: "&amp;VLOOKUP(A767,Internal_lists_bugs!$A$2:$G1013,7,FALSE())&amp;CHAR(10)&amp;"Intro.Issues: "&amp;VLOOKUP(A767,Internal_lists_bugs!$A$2:$P1013,16,FALSE())),"please select a BUG ID")</f>
        <v>please select a BUG ID</v>
      </c>
    </row>
    <row r="768">
      <c r="A768" s="54"/>
      <c r="B768" s="88" t="str">
        <f>IFERROR(HYPERLINK(VLOOKUP(A768,Internal_lists_bugs!$A$2:$C$73,3,FALSE()), VLOOKUP(A768,Internal_lists_bugs!$A$2:$C$73,3,FALSE())&amp;Char(10) &amp; Char(10) &amp; VLOOKUP(A768,Internal_lists_bugs!$A$2:$Z$73,26,FALSE())),"please select a BUG ID")</f>
        <v>please select a BUG ID</v>
      </c>
      <c r="C768" s="89" t="str">
        <f>IFERROR(VLOOKUP(A768,Internal_lists_bugs!$A$2:$X1013,24,FALSE()),"please select a BUG ID")</f>
        <v>please select a BUG ID</v>
      </c>
      <c r="E768" s="82"/>
      <c r="F768" s="80"/>
      <c r="H768" s="82"/>
      <c r="I768" s="80"/>
      <c r="J768" s="51" t="str">
        <f>IFERROR(Hyperlink(VLOOKUP(A768,Internal_lists_bugs!$A$2:$G1013,7,FALSE()),"BIC: "&amp;VLOOKUP(A768,Internal_lists_bugs!$A$2:$G1013,7,FALSE())&amp;CHAR(10)&amp;"Intro.Issues: "&amp;VLOOKUP(A768,Internal_lists_bugs!$A$2:$P1013,16,FALSE())),"please select a BUG ID")</f>
        <v>please select a BUG ID</v>
      </c>
    </row>
    <row r="769">
      <c r="A769" s="54"/>
      <c r="B769" s="88" t="str">
        <f>IFERROR(HYPERLINK(VLOOKUP(A769,Internal_lists_bugs!$A$2:$C$73,3,FALSE()), VLOOKUP(A769,Internal_lists_bugs!$A$2:$C$73,3,FALSE())&amp;Char(10) &amp; Char(10) &amp; VLOOKUP(A769,Internal_lists_bugs!$A$2:$Z$73,26,FALSE())),"please select a BUG ID")</f>
        <v>please select a BUG ID</v>
      </c>
      <c r="C769" s="89" t="str">
        <f>IFERROR(VLOOKUP(A769,Internal_lists_bugs!$A$2:$X1013,24,FALSE()),"please select a BUG ID")</f>
        <v>please select a BUG ID</v>
      </c>
      <c r="E769" s="82"/>
      <c r="F769" s="80"/>
      <c r="H769" s="82"/>
      <c r="I769" s="80"/>
      <c r="J769" s="51" t="str">
        <f>IFERROR(Hyperlink(VLOOKUP(A769,Internal_lists_bugs!$A$2:$G1013,7,FALSE()),"BIC: "&amp;VLOOKUP(A769,Internal_lists_bugs!$A$2:$G1013,7,FALSE())&amp;CHAR(10)&amp;"Intro.Issues: "&amp;VLOOKUP(A769,Internal_lists_bugs!$A$2:$P1013,16,FALSE())),"please select a BUG ID")</f>
        <v>please select a BUG ID</v>
      </c>
    </row>
    <row r="770">
      <c r="A770" s="54"/>
      <c r="B770" s="88" t="str">
        <f>IFERROR(HYPERLINK(VLOOKUP(A770,Internal_lists_bugs!$A$2:$C$73,3,FALSE()), VLOOKUP(A770,Internal_lists_bugs!$A$2:$C$73,3,FALSE())&amp;Char(10) &amp; Char(10) &amp; VLOOKUP(A770,Internal_lists_bugs!$A$2:$Z$73,26,FALSE())),"please select a BUG ID")</f>
        <v>please select a BUG ID</v>
      </c>
      <c r="C770" s="89" t="str">
        <f>IFERROR(VLOOKUP(A770,Internal_lists_bugs!$A$2:$X1013,24,FALSE()),"please select a BUG ID")</f>
        <v>please select a BUG ID</v>
      </c>
      <c r="E770" s="82"/>
      <c r="F770" s="80"/>
      <c r="H770" s="82"/>
      <c r="I770" s="80"/>
      <c r="J770" s="51" t="str">
        <f>IFERROR(Hyperlink(VLOOKUP(A770,Internal_lists_bugs!$A$2:$G1013,7,FALSE()),"BIC: "&amp;VLOOKUP(A770,Internal_lists_bugs!$A$2:$G1013,7,FALSE())&amp;CHAR(10)&amp;"Intro.Issues: "&amp;VLOOKUP(A770,Internal_lists_bugs!$A$2:$P1013,16,FALSE())),"please select a BUG ID")</f>
        <v>please select a BUG ID</v>
      </c>
    </row>
    <row r="771">
      <c r="A771" s="54"/>
      <c r="B771" s="88" t="str">
        <f>IFERROR(HYPERLINK(VLOOKUP(A771,Internal_lists_bugs!$A$2:$C$73,3,FALSE()), VLOOKUP(A771,Internal_lists_bugs!$A$2:$C$73,3,FALSE())&amp;Char(10) &amp; Char(10) &amp; VLOOKUP(A771,Internal_lists_bugs!$A$2:$Z$73,26,FALSE())),"please select a BUG ID")</f>
        <v>please select a BUG ID</v>
      </c>
      <c r="C771" s="89" t="str">
        <f>IFERROR(VLOOKUP(A771,Internal_lists_bugs!$A$2:$X1013,24,FALSE()),"please select a BUG ID")</f>
        <v>please select a BUG ID</v>
      </c>
      <c r="E771" s="82"/>
      <c r="F771" s="80"/>
      <c r="H771" s="82"/>
      <c r="I771" s="80"/>
      <c r="J771" s="51" t="str">
        <f>IFERROR(Hyperlink(VLOOKUP(A771,Internal_lists_bugs!$A$2:$G1013,7,FALSE()),"BIC: "&amp;VLOOKUP(A771,Internal_lists_bugs!$A$2:$G1013,7,FALSE())&amp;CHAR(10)&amp;"Intro.Issues: "&amp;VLOOKUP(A771,Internal_lists_bugs!$A$2:$P1013,16,FALSE())),"please select a BUG ID")</f>
        <v>please select a BUG ID</v>
      </c>
    </row>
    <row r="772">
      <c r="A772" s="54"/>
      <c r="B772" s="88" t="str">
        <f>IFERROR(HYPERLINK(VLOOKUP(A772,Internal_lists_bugs!$A$2:$C$73,3,FALSE()), VLOOKUP(A772,Internal_lists_bugs!$A$2:$C$73,3,FALSE())&amp;Char(10) &amp; Char(10) &amp; VLOOKUP(A772,Internal_lists_bugs!$A$2:$Z$73,26,FALSE())),"please select a BUG ID")</f>
        <v>please select a BUG ID</v>
      </c>
      <c r="C772" s="89" t="str">
        <f>IFERROR(VLOOKUP(A772,Internal_lists_bugs!$A$2:$X1013,24,FALSE()),"please select a BUG ID")</f>
        <v>please select a BUG ID</v>
      </c>
      <c r="E772" s="82"/>
      <c r="F772" s="80"/>
      <c r="H772" s="82"/>
      <c r="I772" s="80"/>
      <c r="J772" s="51" t="str">
        <f>IFERROR(Hyperlink(VLOOKUP(A772,Internal_lists_bugs!$A$2:$G1013,7,FALSE()),"BIC: "&amp;VLOOKUP(A772,Internal_lists_bugs!$A$2:$G1013,7,FALSE())&amp;CHAR(10)&amp;"Intro.Issues: "&amp;VLOOKUP(A772,Internal_lists_bugs!$A$2:$P1013,16,FALSE())),"please select a BUG ID")</f>
        <v>please select a BUG ID</v>
      </c>
    </row>
    <row r="773">
      <c r="A773" s="54"/>
      <c r="B773" s="88" t="str">
        <f>IFERROR(HYPERLINK(VLOOKUP(A773,Internal_lists_bugs!$A$2:$C$73,3,FALSE()), VLOOKUP(A773,Internal_lists_bugs!$A$2:$C$73,3,FALSE())&amp;Char(10) &amp; Char(10) &amp; VLOOKUP(A773,Internal_lists_bugs!$A$2:$Z$73,26,FALSE())),"please select a BUG ID")</f>
        <v>please select a BUG ID</v>
      </c>
      <c r="C773" s="89" t="str">
        <f>IFERROR(VLOOKUP(A773,Internal_lists_bugs!$A$2:$X1013,24,FALSE()),"please select a BUG ID")</f>
        <v>please select a BUG ID</v>
      </c>
      <c r="E773" s="82"/>
      <c r="F773" s="80"/>
      <c r="H773" s="82"/>
      <c r="I773" s="80"/>
      <c r="J773" s="51" t="str">
        <f>IFERROR(Hyperlink(VLOOKUP(A773,Internal_lists_bugs!$A$2:$G1013,7,FALSE()),"BIC: "&amp;VLOOKUP(A773,Internal_lists_bugs!$A$2:$G1013,7,FALSE())&amp;CHAR(10)&amp;"Intro.Issues: "&amp;VLOOKUP(A773,Internal_lists_bugs!$A$2:$P1013,16,FALSE())),"please select a BUG ID")</f>
        <v>please select a BUG ID</v>
      </c>
    </row>
    <row r="774">
      <c r="A774" s="54"/>
      <c r="B774" s="88" t="str">
        <f>IFERROR(HYPERLINK(VLOOKUP(A774,Internal_lists_bugs!$A$2:$C$73,3,FALSE()), VLOOKUP(A774,Internal_lists_bugs!$A$2:$C$73,3,FALSE())&amp;Char(10) &amp; Char(10) &amp; VLOOKUP(A774,Internal_lists_bugs!$A$2:$Z$73,26,FALSE())),"please select a BUG ID")</f>
        <v>please select a BUG ID</v>
      </c>
      <c r="C774" s="89" t="str">
        <f>IFERROR(VLOOKUP(A774,Internal_lists_bugs!$A$2:$X1013,24,FALSE()),"please select a BUG ID")</f>
        <v>please select a BUG ID</v>
      </c>
      <c r="E774" s="82"/>
      <c r="F774" s="80"/>
      <c r="H774" s="82"/>
      <c r="I774" s="80"/>
      <c r="J774" s="51" t="str">
        <f>IFERROR(Hyperlink(VLOOKUP(A774,Internal_lists_bugs!$A$2:$G1013,7,FALSE()),"BIC: "&amp;VLOOKUP(A774,Internal_lists_bugs!$A$2:$G1013,7,FALSE())&amp;CHAR(10)&amp;"Intro.Issues: "&amp;VLOOKUP(A774,Internal_lists_bugs!$A$2:$P1013,16,FALSE())),"please select a BUG ID")</f>
        <v>please select a BUG ID</v>
      </c>
    </row>
    <row r="775">
      <c r="A775" s="54"/>
      <c r="B775" s="88" t="str">
        <f>IFERROR(HYPERLINK(VLOOKUP(A775,Internal_lists_bugs!$A$2:$C$73,3,FALSE()), VLOOKUP(A775,Internal_lists_bugs!$A$2:$C$73,3,FALSE())&amp;Char(10) &amp; Char(10) &amp; VLOOKUP(A775,Internal_lists_bugs!$A$2:$Z$73,26,FALSE())),"please select a BUG ID")</f>
        <v>please select a BUG ID</v>
      </c>
      <c r="C775" s="89" t="str">
        <f>IFERROR(VLOOKUP(A775,Internal_lists_bugs!$A$2:$X1013,24,FALSE()),"please select a BUG ID")</f>
        <v>please select a BUG ID</v>
      </c>
      <c r="E775" s="82"/>
      <c r="F775" s="80"/>
      <c r="H775" s="82"/>
      <c r="I775" s="80"/>
      <c r="J775" s="51" t="str">
        <f>IFERROR(Hyperlink(VLOOKUP(A775,Internal_lists_bugs!$A$2:$G1013,7,FALSE()),"BIC: "&amp;VLOOKUP(A775,Internal_lists_bugs!$A$2:$G1013,7,FALSE())&amp;CHAR(10)&amp;"Intro.Issues: "&amp;VLOOKUP(A775,Internal_lists_bugs!$A$2:$P1013,16,FALSE())),"please select a BUG ID")</f>
        <v>please select a BUG ID</v>
      </c>
    </row>
    <row r="776">
      <c r="A776" s="54"/>
      <c r="B776" s="88" t="str">
        <f>IFERROR(HYPERLINK(VLOOKUP(A776,Internal_lists_bugs!$A$2:$C$73,3,FALSE()), VLOOKUP(A776,Internal_lists_bugs!$A$2:$C$73,3,FALSE())&amp;Char(10) &amp; Char(10) &amp; VLOOKUP(A776,Internal_lists_bugs!$A$2:$Z$73,26,FALSE())),"please select a BUG ID")</f>
        <v>please select a BUG ID</v>
      </c>
      <c r="C776" s="89" t="str">
        <f>IFERROR(VLOOKUP(A776,Internal_lists_bugs!$A$2:$X1013,24,FALSE()),"please select a BUG ID")</f>
        <v>please select a BUG ID</v>
      </c>
      <c r="E776" s="82"/>
      <c r="F776" s="80"/>
      <c r="H776" s="82"/>
      <c r="I776" s="80"/>
      <c r="J776" s="51" t="str">
        <f>IFERROR(Hyperlink(VLOOKUP(A776,Internal_lists_bugs!$A$2:$G1013,7,FALSE()),"BIC: "&amp;VLOOKUP(A776,Internal_lists_bugs!$A$2:$G1013,7,FALSE())&amp;CHAR(10)&amp;"Intro.Issues: "&amp;VLOOKUP(A776,Internal_lists_bugs!$A$2:$P1013,16,FALSE())),"please select a BUG ID")</f>
        <v>please select a BUG ID</v>
      </c>
    </row>
    <row r="777">
      <c r="A777" s="54"/>
      <c r="B777" s="88" t="str">
        <f>IFERROR(HYPERLINK(VLOOKUP(A777,Internal_lists_bugs!$A$2:$C$73,3,FALSE()), VLOOKUP(A777,Internal_lists_bugs!$A$2:$C$73,3,FALSE())&amp;Char(10) &amp; Char(10) &amp; VLOOKUP(A777,Internal_lists_bugs!$A$2:$Z$73,26,FALSE())),"please select a BUG ID")</f>
        <v>please select a BUG ID</v>
      </c>
      <c r="C777" s="89" t="str">
        <f>IFERROR(VLOOKUP(A777,Internal_lists_bugs!$A$2:$X1013,24,FALSE()),"please select a BUG ID")</f>
        <v>please select a BUG ID</v>
      </c>
      <c r="E777" s="82"/>
      <c r="F777" s="80"/>
      <c r="H777" s="82"/>
      <c r="I777" s="80"/>
      <c r="J777" s="51" t="str">
        <f>IFERROR(Hyperlink(VLOOKUP(A777,Internal_lists_bugs!$A$2:$G1013,7,FALSE()),"BIC: "&amp;VLOOKUP(A777,Internal_lists_bugs!$A$2:$G1013,7,FALSE())&amp;CHAR(10)&amp;"Intro.Issues: "&amp;VLOOKUP(A777,Internal_lists_bugs!$A$2:$P1013,16,FALSE())),"please select a BUG ID")</f>
        <v>please select a BUG ID</v>
      </c>
    </row>
    <row r="778">
      <c r="A778" s="54"/>
      <c r="B778" s="88" t="str">
        <f>IFERROR(HYPERLINK(VLOOKUP(A778,Internal_lists_bugs!$A$2:$C$73,3,FALSE()), VLOOKUP(A778,Internal_lists_bugs!$A$2:$C$73,3,FALSE())&amp;Char(10) &amp; Char(10) &amp; VLOOKUP(A778,Internal_lists_bugs!$A$2:$Z$73,26,FALSE())),"please select a BUG ID")</f>
        <v>please select a BUG ID</v>
      </c>
      <c r="C778" s="89" t="str">
        <f>IFERROR(VLOOKUP(A778,Internal_lists_bugs!$A$2:$X1013,24,FALSE()),"please select a BUG ID")</f>
        <v>please select a BUG ID</v>
      </c>
      <c r="E778" s="82"/>
      <c r="F778" s="80"/>
      <c r="H778" s="82"/>
      <c r="I778" s="80"/>
      <c r="J778" s="51" t="str">
        <f>IFERROR(Hyperlink(VLOOKUP(A778,Internal_lists_bugs!$A$2:$G1013,7,FALSE()),"BIC: "&amp;VLOOKUP(A778,Internal_lists_bugs!$A$2:$G1013,7,FALSE())&amp;CHAR(10)&amp;"Intro.Issues: "&amp;VLOOKUP(A778,Internal_lists_bugs!$A$2:$P1013,16,FALSE())),"please select a BUG ID")</f>
        <v>please select a BUG ID</v>
      </c>
    </row>
    <row r="779">
      <c r="A779" s="54"/>
      <c r="B779" s="88" t="str">
        <f>IFERROR(HYPERLINK(VLOOKUP(A779,Internal_lists_bugs!$A$2:$C$73,3,FALSE()), VLOOKUP(A779,Internal_lists_bugs!$A$2:$C$73,3,FALSE())&amp;Char(10) &amp; Char(10) &amp; VLOOKUP(A779,Internal_lists_bugs!$A$2:$Z$73,26,FALSE())),"please select a BUG ID")</f>
        <v>please select a BUG ID</v>
      </c>
      <c r="C779" s="89" t="str">
        <f>IFERROR(VLOOKUP(A779,Internal_lists_bugs!$A$2:$X1013,24,FALSE()),"please select a BUG ID")</f>
        <v>please select a BUG ID</v>
      </c>
      <c r="E779" s="82"/>
      <c r="F779" s="80"/>
      <c r="H779" s="82"/>
      <c r="I779" s="80"/>
      <c r="J779" s="51" t="str">
        <f>IFERROR(Hyperlink(VLOOKUP(A779,Internal_lists_bugs!$A$2:$G1013,7,FALSE()),"BIC: "&amp;VLOOKUP(A779,Internal_lists_bugs!$A$2:$G1013,7,FALSE())&amp;CHAR(10)&amp;"Intro.Issues: "&amp;VLOOKUP(A779,Internal_lists_bugs!$A$2:$P1013,16,FALSE())),"please select a BUG ID")</f>
        <v>please select a BUG ID</v>
      </c>
    </row>
    <row r="780">
      <c r="A780" s="54"/>
      <c r="B780" s="88" t="str">
        <f>IFERROR(HYPERLINK(VLOOKUP(A780,Internal_lists_bugs!$A$2:$C$73,3,FALSE()), VLOOKUP(A780,Internal_lists_bugs!$A$2:$C$73,3,FALSE())&amp;Char(10) &amp; Char(10) &amp; VLOOKUP(A780,Internal_lists_bugs!$A$2:$Z$73,26,FALSE())),"please select a BUG ID")</f>
        <v>please select a BUG ID</v>
      </c>
      <c r="C780" s="89" t="str">
        <f>IFERROR(VLOOKUP(A780,Internal_lists_bugs!$A$2:$X1013,24,FALSE()),"please select a BUG ID")</f>
        <v>please select a BUG ID</v>
      </c>
      <c r="E780" s="82"/>
      <c r="F780" s="80"/>
      <c r="H780" s="82"/>
      <c r="I780" s="80"/>
      <c r="J780" s="51" t="str">
        <f>IFERROR(Hyperlink(VLOOKUP(A780,Internal_lists_bugs!$A$2:$G1013,7,FALSE()),"BIC: "&amp;VLOOKUP(A780,Internal_lists_bugs!$A$2:$G1013,7,FALSE())&amp;CHAR(10)&amp;"Intro.Issues: "&amp;VLOOKUP(A780,Internal_lists_bugs!$A$2:$P1013,16,FALSE())),"please select a BUG ID")</f>
        <v>please select a BUG ID</v>
      </c>
    </row>
    <row r="781">
      <c r="A781" s="54"/>
      <c r="B781" s="88" t="str">
        <f>IFERROR(HYPERLINK(VLOOKUP(A781,Internal_lists_bugs!$A$2:$C$73,3,FALSE()), VLOOKUP(A781,Internal_lists_bugs!$A$2:$C$73,3,FALSE())&amp;Char(10) &amp; Char(10) &amp; VLOOKUP(A781,Internal_lists_bugs!$A$2:$Z$73,26,FALSE())),"please select a BUG ID")</f>
        <v>please select a BUG ID</v>
      </c>
      <c r="C781" s="89" t="str">
        <f>IFERROR(VLOOKUP(A781,Internal_lists_bugs!$A$2:$X1013,24,FALSE()),"please select a BUG ID")</f>
        <v>please select a BUG ID</v>
      </c>
      <c r="E781" s="82"/>
      <c r="F781" s="80"/>
      <c r="H781" s="82"/>
      <c r="I781" s="80"/>
      <c r="J781" s="51" t="str">
        <f>IFERROR(Hyperlink(VLOOKUP(A781,Internal_lists_bugs!$A$2:$G1013,7,FALSE()),"BIC: "&amp;VLOOKUP(A781,Internal_lists_bugs!$A$2:$G1013,7,FALSE())&amp;CHAR(10)&amp;"Intro.Issues: "&amp;VLOOKUP(A781,Internal_lists_bugs!$A$2:$P1013,16,FALSE())),"please select a BUG ID")</f>
        <v>please select a BUG ID</v>
      </c>
    </row>
    <row r="782">
      <c r="A782" s="54"/>
      <c r="B782" s="88" t="str">
        <f>IFERROR(HYPERLINK(VLOOKUP(A782,Internal_lists_bugs!$A$2:$C$73,3,FALSE()), VLOOKUP(A782,Internal_lists_bugs!$A$2:$C$73,3,FALSE())&amp;Char(10) &amp; Char(10) &amp; VLOOKUP(A782,Internal_lists_bugs!$A$2:$Z$73,26,FALSE())),"please select a BUG ID")</f>
        <v>please select a BUG ID</v>
      </c>
      <c r="C782" s="89" t="str">
        <f>IFERROR(VLOOKUP(A782,Internal_lists_bugs!$A$2:$X1013,24,FALSE()),"please select a BUG ID")</f>
        <v>please select a BUG ID</v>
      </c>
      <c r="E782" s="82"/>
      <c r="F782" s="80"/>
      <c r="H782" s="82"/>
      <c r="I782" s="80"/>
      <c r="J782" s="51" t="str">
        <f>IFERROR(Hyperlink(VLOOKUP(A782,Internal_lists_bugs!$A$2:$G1013,7,FALSE()),"BIC: "&amp;VLOOKUP(A782,Internal_lists_bugs!$A$2:$G1013,7,FALSE())&amp;CHAR(10)&amp;"Intro.Issues: "&amp;VLOOKUP(A782,Internal_lists_bugs!$A$2:$P1013,16,FALSE())),"please select a BUG ID")</f>
        <v>please select a BUG ID</v>
      </c>
    </row>
    <row r="783">
      <c r="A783" s="54"/>
      <c r="B783" s="88" t="str">
        <f>IFERROR(HYPERLINK(VLOOKUP(A783,Internal_lists_bugs!$A$2:$C$73,3,FALSE()), VLOOKUP(A783,Internal_lists_bugs!$A$2:$C$73,3,FALSE())&amp;Char(10) &amp; Char(10) &amp; VLOOKUP(A783,Internal_lists_bugs!$A$2:$Z$73,26,FALSE())),"please select a BUG ID")</f>
        <v>please select a BUG ID</v>
      </c>
      <c r="C783" s="89" t="str">
        <f>IFERROR(VLOOKUP(A783,Internal_lists_bugs!$A$2:$X1013,24,FALSE()),"please select a BUG ID")</f>
        <v>please select a BUG ID</v>
      </c>
      <c r="E783" s="82"/>
      <c r="F783" s="80"/>
      <c r="H783" s="82"/>
      <c r="I783" s="80"/>
      <c r="J783" s="51" t="str">
        <f>IFERROR(Hyperlink(VLOOKUP(A783,Internal_lists_bugs!$A$2:$G1013,7,FALSE()),"BIC: "&amp;VLOOKUP(A783,Internal_lists_bugs!$A$2:$G1013,7,FALSE())&amp;CHAR(10)&amp;"Intro.Issues: "&amp;VLOOKUP(A783,Internal_lists_bugs!$A$2:$P1013,16,FALSE())),"please select a BUG ID")</f>
        <v>please select a BUG ID</v>
      </c>
    </row>
    <row r="784">
      <c r="A784" s="54"/>
      <c r="B784" s="88" t="str">
        <f>IFERROR(HYPERLINK(VLOOKUP(A784,Internal_lists_bugs!$A$2:$C$73,3,FALSE()), VLOOKUP(A784,Internal_lists_bugs!$A$2:$C$73,3,FALSE())&amp;Char(10) &amp; Char(10) &amp; VLOOKUP(A784,Internal_lists_bugs!$A$2:$Z$73,26,FALSE())),"please select a BUG ID")</f>
        <v>please select a BUG ID</v>
      </c>
      <c r="C784" s="89" t="str">
        <f>IFERROR(VLOOKUP(A784,Internal_lists_bugs!$A$2:$X1013,24,FALSE()),"please select a BUG ID")</f>
        <v>please select a BUG ID</v>
      </c>
      <c r="E784" s="82"/>
      <c r="F784" s="80"/>
      <c r="H784" s="82"/>
      <c r="I784" s="80"/>
      <c r="J784" s="51" t="str">
        <f>IFERROR(Hyperlink(VLOOKUP(A784,Internal_lists_bugs!$A$2:$G1013,7,FALSE()),"BIC: "&amp;VLOOKUP(A784,Internal_lists_bugs!$A$2:$G1013,7,FALSE())&amp;CHAR(10)&amp;"Intro.Issues: "&amp;VLOOKUP(A784,Internal_lists_bugs!$A$2:$P1013,16,FALSE())),"please select a BUG ID")</f>
        <v>please select a BUG ID</v>
      </c>
    </row>
    <row r="785">
      <c r="A785" s="54"/>
      <c r="B785" s="88" t="str">
        <f>IFERROR(HYPERLINK(VLOOKUP(A785,Internal_lists_bugs!$A$2:$C$73,3,FALSE()), VLOOKUP(A785,Internal_lists_bugs!$A$2:$C$73,3,FALSE())&amp;Char(10) &amp; Char(10) &amp; VLOOKUP(A785,Internal_lists_bugs!$A$2:$Z$73,26,FALSE())),"please select a BUG ID")</f>
        <v>please select a BUG ID</v>
      </c>
      <c r="C785" s="89" t="str">
        <f>IFERROR(VLOOKUP(A785,Internal_lists_bugs!$A$2:$X1013,24,FALSE()),"please select a BUG ID")</f>
        <v>please select a BUG ID</v>
      </c>
      <c r="E785" s="82"/>
      <c r="F785" s="80"/>
      <c r="H785" s="82"/>
      <c r="I785" s="80"/>
      <c r="J785" s="51" t="str">
        <f>IFERROR(Hyperlink(VLOOKUP(A785,Internal_lists_bugs!$A$2:$G1013,7,FALSE()),"BIC: "&amp;VLOOKUP(A785,Internal_lists_bugs!$A$2:$G1013,7,FALSE())&amp;CHAR(10)&amp;"Intro.Issues: "&amp;VLOOKUP(A785,Internal_lists_bugs!$A$2:$P1013,16,FALSE())),"please select a BUG ID")</f>
        <v>please select a BUG ID</v>
      </c>
    </row>
    <row r="786">
      <c r="A786" s="54"/>
      <c r="B786" s="88" t="str">
        <f>IFERROR(HYPERLINK(VLOOKUP(A786,Internal_lists_bugs!$A$2:$C$73,3,FALSE()), VLOOKUP(A786,Internal_lists_bugs!$A$2:$C$73,3,FALSE())&amp;Char(10) &amp; Char(10) &amp; VLOOKUP(A786,Internal_lists_bugs!$A$2:$Z$73,26,FALSE())),"please select a BUG ID")</f>
        <v>please select a BUG ID</v>
      </c>
      <c r="C786" s="89" t="str">
        <f>IFERROR(VLOOKUP(A786,Internal_lists_bugs!$A$2:$X1013,24,FALSE()),"please select a BUG ID")</f>
        <v>please select a BUG ID</v>
      </c>
      <c r="E786" s="82"/>
      <c r="F786" s="80"/>
      <c r="H786" s="82"/>
      <c r="I786" s="80"/>
      <c r="J786" s="51" t="str">
        <f>IFERROR(Hyperlink(VLOOKUP(A786,Internal_lists_bugs!$A$2:$G1013,7,FALSE()),"BIC: "&amp;VLOOKUP(A786,Internal_lists_bugs!$A$2:$G1013,7,FALSE())&amp;CHAR(10)&amp;"Intro.Issues: "&amp;VLOOKUP(A786,Internal_lists_bugs!$A$2:$P1013,16,FALSE())),"please select a BUG ID")</f>
        <v>please select a BUG ID</v>
      </c>
    </row>
    <row r="787">
      <c r="A787" s="54"/>
      <c r="B787" s="88" t="str">
        <f>IFERROR(HYPERLINK(VLOOKUP(A787,Internal_lists_bugs!$A$2:$C$73,3,FALSE()), VLOOKUP(A787,Internal_lists_bugs!$A$2:$C$73,3,FALSE())&amp;Char(10) &amp; Char(10) &amp; VLOOKUP(A787,Internal_lists_bugs!$A$2:$Z$73,26,FALSE())),"please select a BUG ID")</f>
        <v>please select a BUG ID</v>
      </c>
      <c r="C787" s="89" t="str">
        <f>IFERROR(VLOOKUP(A787,Internal_lists_bugs!$A$2:$X1013,24,FALSE()),"please select a BUG ID")</f>
        <v>please select a BUG ID</v>
      </c>
      <c r="E787" s="82"/>
      <c r="F787" s="80"/>
      <c r="H787" s="82"/>
      <c r="I787" s="80"/>
      <c r="J787" s="51" t="str">
        <f>IFERROR(Hyperlink(VLOOKUP(A787,Internal_lists_bugs!$A$2:$G1013,7,FALSE()),"BIC: "&amp;VLOOKUP(A787,Internal_lists_bugs!$A$2:$G1013,7,FALSE())&amp;CHAR(10)&amp;"Intro.Issues: "&amp;VLOOKUP(A787,Internal_lists_bugs!$A$2:$P1013,16,FALSE())),"please select a BUG ID")</f>
        <v>please select a BUG ID</v>
      </c>
    </row>
    <row r="788">
      <c r="A788" s="54"/>
      <c r="B788" s="88" t="str">
        <f>IFERROR(HYPERLINK(VLOOKUP(A788,Internal_lists_bugs!$A$2:$C$73,3,FALSE()), VLOOKUP(A788,Internal_lists_bugs!$A$2:$C$73,3,FALSE())&amp;Char(10) &amp; Char(10) &amp; VLOOKUP(A788,Internal_lists_bugs!$A$2:$Z$73,26,FALSE())),"please select a BUG ID")</f>
        <v>please select a BUG ID</v>
      </c>
      <c r="C788" s="89" t="str">
        <f>IFERROR(VLOOKUP(A788,Internal_lists_bugs!$A$2:$X1013,24,FALSE()),"please select a BUG ID")</f>
        <v>please select a BUG ID</v>
      </c>
      <c r="E788" s="82"/>
      <c r="F788" s="80"/>
      <c r="H788" s="82"/>
      <c r="I788" s="80"/>
      <c r="J788" s="51" t="str">
        <f>IFERROR(Hyperlink(VLOOKUP(A788,Internal_lists_bugs!$A$2:$G1013,7,FALSE()),"BIC: "&amp;VLOOKUP(A788,Internal_lists_bugs!$A$2:$G1013,7,FALSE())&amp;CHAR(10)&amp;"Intro.Issues: "&amp;VLOOKUP(A788,Internal_lists_bugs!$A$2:$P1013,16,FALSE())),"please select a BUG ID")</f>
        <v>please select a BUG ID</v>
      </c>
    </row>
    <row r="789">
      <c r="A789" s="54"/>
      <c r="B789" s="88" t="str">
        <f>IFERROR(HYPERLINK(VLOOKUP(A789,Internal_lists_bugs!$A$2:$C$73,3,FALSE()), VLOOKUP(A789,Internal_lists_bugs!$A$2:$C$73,3,FALSE())&amp;Char(10) &amp; Char(10) &amp; VLOOKUP(A789,Internal_lists_bugs!$A$2:$Z$73,26,FALSE())),"please select a BUG ID")</f>
        <v>please select a BUG ID</v>
      </c>
      <c r="C789" s="89" t="str">
        <f>IFERROR(VLOOKUP(A789,Internal_lists_bugs!$A$2:$X1013,24,FALSE()),"please select a BUG ID")</f>
        <v>please select a BUG ID</v>
      </c>
      <c r="E789" s="82"/>
      <c r="F789" s="80"/>
      <c r="H789" s="82"/>
      <c r="I789" s="80"/>
      <c r="J789" s="51" t="str">
        <f>IFERROR(Hyperlink(VLOOKUP(A789,Internal_lists_bugs!$A$2:$G1013,7,FALSE()),"BIC: "&amp;VLOOKUP(A789,Internal_lists_bugs!$A$2:$G1013,7,FALSE())&amp;CHAR(10)&amp;"Intro.Issues: "&amp;VLOOKUP(A789,Internal_lists_bugs!$A$2:$P1013,16,FALSE())),"please select a BUG ID")</f>
        <v>please select a BUG ID</v>
      </c>
    </row>
    <row r="790">
      <c r="A790" s="54"/>
      <c r="B790" s="88" t="str">
        <f>IFERROR(HYPERLINK(VLOOKUP(A790,Internal_lists_bugs!$A$2:$C$73,3,FALSE()), VLOOKUP(A790,Internal_lists_bugs!$A$2:$C$73,3,FALSE())&amp;Char(10) &amp; Char(10) &amp; VLOOKUP(A790,Internal_lists_bugs!$A$2:$Z$73,26,FALSE())),"please select a BUG ID")</f>
        <v>please select a BUG ID</v>
      </c>
      <c r="C790" s="89" t="str">
        <f>IFERROR(VLOOKUP(A790,Internal_lists_bugs!$A$2:$X1013,24,FALSE()),"please select a BUG ID")</f>
        <v>please select a BUG ID</v>
      </c>
      <c r="E790" s="82"/>
      <c r="F790" s="80"/>
      <c r="H790" s="82"/>
      <c r="I790" s="80"/>
      <c r="J790" s="51" t="str">
        <f>IFERROR(Hyperlink(VLOOKUP(A790,Internal_lists_bugs!$A$2:$G1013,7,FALSE()),"BIC: "&amp;VLOOKUP(A790,Internal_lists_bugs!$A$2:$G1013,7,FALSE())&amp;CHAR(10)&amp;"Intro.Issues: "&amp;VLOOKUP(A790,Internal_lists_bugs!$A$2:$P1013,16,FALSE())),"please select a BUG ID")</f>
        <v>please select a BUG ID</v>
      </c>
    </row>
    <row r="791">
      <c r="A791" s="54"/>
      <c r="B791" s="88" t="str">
        <f>IFERROR(HYPERLINK(VLOOKUP(A791,Internal_lists_bugs!$A$2:$C$73,3,FALSE()), VLOOKUP(A791,Internal_lists_bugs!$A$2:$C$73,3,FALSE())&amp;Char(10) &amp; Char(10) &amp; VLOOKUP(A791,Internal_lists_bugs!$A$2:$Z$73,26,FALSE())),"please select a BUG ID")</f>
        <v>please select a BUG ID</v>
      </c>
      <c r="C791" s="89" t="str">
        <f>IFERROR(VLOOKUP(A791,Internal_lists_bugs!$A$2:$X1013,24,FALSE()),"please select a BUG ID")</f>
        <v>please select a BUG ID</v>
      </c>
      <c r="E791" s="82"/>
      <c r="F791" s="80"/>
      <c r="H791" s="82"/>
      <c r="I791" s="80"/>
      <c r="J791" s="51" t="str">
        <f>IFERROR(Hyperlink(VLOOKUP(A791,Internal_lists_bugs!$A$2:$G1013,7,FALSE()),"BIC: "&amp;VLOOKUP(A791,Internal_lists_bugs!$A$2:$G1013,7,FALSE())&amp;CHAR(10)&amp;"Intro.Issues: "&amp;VLOOKUP(A791,Internal_lists_bugs!$A$2:$P1013,16,FALSE())),"please select a BUG ID")</f>
        <v>please select a BUG ID</v>
      </c>
    </row>
    <row r="792">
      <c r="A792" s="54"/>
      <c r="B792" s="88" t="str">
        <f>IFERROR(HYPERLINK(VLOOKUP(A792,Internal_lists_bugs!$A$2:$C$73,3,FALSE()), VLOOKUP(A792,Internal_lists_bugs!$A$2:$C$73,3,FALSE())&amp;Char(10) &amp; Char(10) &amp; VLOOKUP(A792,Internal_lists_bugs!$A$2:$Z$73,26,FALSE())),"please select a BUG ID")</f>
        <v>please select a BUG ID</v>
      </c>
      <c r="C792" s="89" t="str">
        <f>IFERROR(VLOOKUP(A792,Internal_lists_bugs!$A$2:$X1013,24,FALSE()),"please select a BUG ID")</f>
        <v>please select a BUG ID</v>
      </c>
      <c r="E792" s="82"/>
      <c r="F792" s="80"/>
      <c r="H792" s="82"/>
      <c r="I792" s="80"/>
      <c r="J792" s="51" t="str">
        <f>IFERROR(Hyperlink(VLOOKUP(A792,Internal_lists_bugs!$A$2:$G1013,7,FALSE()),"BIC: "&amp;VLOOKUP(A792,Internal_lists_bugs!$A$2:$G1013,7,FALSE())&amp;CHAR(10)&amp;"Intro.Issues: "&amp;VLOOKUP(A792,Internal_lists_bugs!$A$2:$P1013,16,FALSE())),"please select a BUG ID")</f>
        <v>please select a BUG ID</v>
      </c>
    </row>
    <row r="793">
      <c r="A793" s="54"/>
      <c r="B793" s="88" t="str">
        <f>IFERROR(HYPERLINK(VLOOKUP(A793,Internal_lists_bugs!$A$2:$C$73,3,FALSE()), VLOOKUP(A793,Internal_lists_bugs!$A$2:$C$73,3,FALSE())&amp;Char(10) &amp; Char(10) &amp; VLOOKUP(A793,Internal_lists_bugs!$A$2:$Z$73,26,FALSE())),"please select a BUG ID")</f>
        <v>please select a BUG ID</v>
      </c>
      <c r="C793" s="89" t="str">
        <f>IFERROR(VLOOKUP(A793,Internal_lists_bugs!$A$2:$X1013,24,FALSE()),"please select a BUG ID")</f>
        <v>please select a BUG ID</v>
      </c>
      <c r="E793" s="82"/>
      <c r="F793" s="80"/>
      <c r="H793" s="82"/>
      <c r="I793" s="80"/>
      <c r="J793" s="51" t="str">
        <f>IFERROR(Hyperlink(VLOOKUP(A793,Internal_lists_bugs!$A$2:$G1013,7,FALSE()),"BIC: "&amp;VLOOKUP(A793,Internal_lists_bugs!$A$2:$G1013,7,FALSE())&amp;CHAR(10)&amp;"Intro.Issues: "&amp;VLOOKUP(A793,Internal_lists_bugs!$A$2:$P1013,16,FALSE())),"please select a BUG ID")</f>
        <v>please select a BUG ID</v>
      </c>
    </row>
    <row r="794">
      <c r="A794" s="54"/>
      <c r="B794" s="88" t="str">
        <f>IFERROR(HYPERLINK(VLOOKUP(A794,Internal_lists_bugs!$A$2:$C$73,3,FALSE()), VLOOKUP(A794,Internal_lists_bugs!$A$2:$C$73,3,FALSE())&amp;Char(10) &amp; Char(10) &amp; VLOOKUP(A794,Internal_lists_bugs!$A$2:$Z$73,26,FALSE())),"please select a BUG ID")</f>
        <v>please select a BUG ID</v>
      </c>
      <c r="C794" s="89" t="str">
        <f>IFERROR(VLOOKUP(A794,Internal_lists_bugs!$A$2:$X1013,24,FALSE()),"please select a BUG ID")</f>
        <v>please select a BUG ID</v>
      </c>
      <c r="E794" s="82"/>
      <c r="F794" s="80"/>
      <c r="H794" s="82"/>
      <c r="I794" s="80"/>
      <c r="J794" s="51" t="str">
        <f>IFERROR(Hyperlink(VLOOKUP(A794,Internal_lists_bugs!$A$2:$G1013,7,FALSE()),"BIC: "&amp;VLOOKUP(A794,Internal_lists_bugs!$A$2:$G1013,7,FALSE())&amp;CHAR(10)&amp;"Intro.Issues: "&amp;VLOOKUP(A794,Internal_lists_bugs!$A$2:$P1013,16,FALSE())),"please select a BUG ID")</f>
        <v>please select a BUG ID</v>
      </c>
    </row>
    <row r="795">
      <c r="A795" s="54"/>
      <c r="B795" s="88" t="str">
        <f>IFERROR(HYPERLINK(VLOOKUP(A795,Internal_lists_bugs!$A$2:$C$73,3,FALSE()), VLOOKUP(A795,Internal_lists_bugs!$A$2:$C$73,3,FALSE())&amp;Char(10) &amp; Char(10) &amp; VLOOKUP(A795,Internal_lists_bugs!$A$2:$Z$73,26,FALSE())),"please select a BUG ID")</f>
        <v>please select a BUG ID</v>
      </c>
      <c r="C795" s="89" t="str">
        <f>IFERROR(VLOOKUP(A795,Internal_lists_bugs!$A$2:$X1013,24,FALSE()),"please select a BUG ID")</f>
        <v>please select a BUG ID</v>
      </c>
      <c r="E795" s="82"/>
      <c r="F795" s="80"/>
      <c r="H795" s="82"/>
      <c r="I795" s="80"/>
      <c r="J795" s="51" t="str">
        <f>IFERROR(Hyperlink(VLOOKUP(A795,Internal_lists_bugs!$A$2:$G1013,7,FALSE()),"BIC: "&amp;VLOOKUP(A795,Internal_lists_bugs!$A$2:$G1013,7,FALSE())&amp;CHAR(10)&amp;"Intro.Issues: "&amp;VLOOKUP(A795,Internal_lists_bugs!$A$2:$P1013,16,FALSE())),"please select a BUG ID")</f>
        <v>please select a BUG ID</v>
      </c>
    </row>
    <row r="796">
      <c r="A796" s="54"/>
      <c r="B796" s="88" t="str">
        <f>IFERROR(HYPERLINK(VLOOKUP(A796,Internal_lists_bugs!$A$2:$C$73,3,FALSE()), VLOOKUP(A796,Internal_lists_bugs!$A$2:$C$73,3,FALSE())&amp;Char(10) &amp; Char(10) &amp; VLOOKUP(A796,Internal_lists_bugs!$A$2:$Z$73,26,FALSE())),"please select a BUG ID")</f>
        <v>please select a BUG ID</v>
      </c>
      <c r="C796" s="89" t="str">
        <f>IFERROR(VLOOKUP(A796,Internal_lists_bugs!$A$2:$X1013,24,FALSE()),"please select a BUG ID")</f>
        <v>please select a BUG ID</v>
      </c>
      <c r="E796" s="82"/>
      <c r="F796" s="80"/>
      <c r="H796" s="82"/>
      <c r="I796" s="80"/>
      <c r="J796" s="51" t="str">
        <f>IFERROR(Hyperlink(VLOOKUP(A796,Internal_lists_bugs!$A$2:$G1013,7,FALSE()),"BIC: "&amp;VLOOKUP(A796,Internal_lists_bugs!$A$2:$G1013,7,FALSE())&amp;CHAR(10)&amp;"Intro.Issues: "&amp;VLOOKUP(A796,Internal_lists_bugs!$A$2:$P1013,16,FALSE())),"please select a BUG ID")</f>
        <v>please select a BUG ID</v>
      </c>
    </row>
    <row r="797">
      <c r="A797" s="54"/>
      <c r="B797" s="88" t="str">
        <f>IFERROR(HYPERLINK(VLOOKUP(A797,Internal_lists_bugs!$A$2:$C$73,3,FALSE()), VLOOKUP(A797,Internal_lists_bugs!$A$2:$C$73,3,FALSE())&amp;Char(10) &amp; Char(10) &amp; VLOOKUP(A797,Internal_lists_bugs!$A$2:$Z$73,26,FALSE())),"please select a BUG ID")</f>
        <v>please select a BUG ID</v>
      </c>
      <c r="C797" s="89" t="str">
        <f>IFERROR(VLOOKUP(A797,Internal_lists_bugs!$A$2:$X1013,24,FALSE()),"please select a BUG ID")</f>
        <v>please select a BUG ID</v>
      </c>
      <c r="E797" s="82"/>
      <c r="F797" s="80"/>
      <c r="H797" s="82"/>
      <c r="I797" s="80"/>
      <c r="J797" s="51" t="str">
        <f>IFERROR(Hyperlink(VLOOKUP(A797,Internal_lists_bugs!$A$2:$G1013,7,FALSE()),"BIC: "&amp;VLOOKUP(A797,Internal_lists_bugs!$A$2:$G1013,7,FALSE())&amp;CHAR(10)&amp;"Intro.Issues: "&amp;VLOOKUP(A797,Internal_lists_bugs!$A$2:$P1013,16,FALSE())),"please select a BUG ID")</f>
        <v>please select a BUG ID</v>
      </c>
    </row>
    <row r="798">
      <c r="A798" s="54"/>
      <c r="B798" s="88" t="str">
        <f>IFERROR(HYPERLINK(VLOOKUP(A798,Internal_lists_bugs!$A$2:$C$73,3,FALSE()), VLOOKUP(A798,Internal_lists_bugs!$A$2:$C$73,3,FALSE())&amp;Char(10) &amp; Char(10) &amp; VLOOKUP(A798,Internal_lists_bugs!$A$2:$Z$73,26,FALSE())),"please select a BUG ID")</f>
        <v>please select a BUG ID</v>
      </c>
      <c r="C798" s="89" t="str">
        <f>IFERROR(VLOOKUP(A798,Internal_lists_bugs!$A$2:$X1013,24,FALSE()),"please select a BUG ID")</f>
        <v>please select a BUG ID</v>
      </c>
      <c r="E798" s="82"/>
      <c r="F798" s="80"/>
      <c r="H798" s="82"/>
      <c r="I798" s="80"/>
      <c r="J798" s="51" t="str">
        <f>IFERROR(Hyperlink(VLOOKUP(A798,Internal_lists_bugs!$A$2:$G1013,7,FALSE()),"BIC: "&amp;VLOOKUP(A798,Internal_lists_bugs!$A$2:$G1013,7,FALSE())&amp;CHAR(10)&amp;"Intro.Issues: "&amp;VLOOKUP(A798,Internal_lists_bugs!$A$2:$P1013,16,FALSE())),"please select a BUG ID")</f>
        <v>please select a BUG ID</v>
      </c>
    </row>
    <row r="799">
      <c r="A799" s="54"/>
      <c r="B799" s="88" t="str">
        <f>IFERROR(HYPERLINK(VLOOKUP(A799,Internal_lists_bugs!$A$2:$C$73,3,FALSE()), VLOOKUP(A799,Internal_lists_bugs!$A$2:$C$73,3,FALSE())&amp;Char(10) &amp; Char(10) &amp; VLOOKUP(A799,Internal_lists_bugs!$A$2:$Z$73,26,FALSE())),"please select a BUG ID")</f>
        <v>please select a BUG ID</v>
      </c>
      <c r="C799" s="89" t="str">
        <f>IFERROR(VLOOKUP(A799,Internal_lists_bugs!$A$2:$X1013,24,FALSE()),"please select a BUG ID")</f>
        <v>please select a BUG ID</v>
      </c>
      <c r="E799" s="82"/>
      <c r="F799" s="80"/>
      <c r="H799" s="82"/>
      <c r="I799" s="80"/>
      <c r="J799" s="51" t="str">
        <f>IFERROR(Hyperlink(VLOOKUP(A799,Internal_lists_bugs!$A$2:$G1013,7,FALSE()),"BIC: "&amp;VLOOKUP(A799,Internal_lists_bugs!$A$2:$G1013,7,FALSE())&amp;CHAR(10)&amp;"Intro.Issues: "&amp;VLOOKUP(A799,Internal_lists_bugs!$A$2:$P1013,16,FALSE())),"please select a BUG ID")</f>
        <v>please select a BUG ID</v>
      </c>
    </row>
    <row r="800">
      <c r="A800" s="54"/>
      <c r="B800" s="88" t="str">
        <f>IFERROR(HYPERLINK(VLOOKUP(A800,Internal_lists_bugs!$A$2:$C$73,3,FALSE()), VLOOKUP(A800,Internal_lists_bugs!$A$2:$C$73,3,FALSE())&amp;Char(10) &amp; Char(10) &amp; VLOOKUP(A800,Internal_lists_bugs!$A$2:$Z$73,26,FALSE())),"please select a BUG ID")</f>
        <v>please select a BUG ID</v>
      </c>
      <c r="C800" s="89" t="str">
        <f>IFERROR(VLOOKUP(A800,Internal_lists_bugs!$A$2:$X1013,24,FALSE()),"please select a BUG ID")</f>
        <v>please select a BUG ID</v>
      </c>
      <c r="E800" s="82"/>
      <c r="F800" s="80"/>
      <c r="H800" s="82"/>
      <c r="I800" s="80"/>
      <c r="J800" s="51" t="str">
        <f>IFERROR(Hyperlink(VLOOKUP(A800,Internal_lists_bugs!$A$2:$G1013,7,FALSE()),"BIC: "&amp;VLOOKUP(A800,Internal_lists_bugs!$A$2:$G1013,7,FALSE())&amp;CHAR(10)&amp;"Intro.Issues: "&amp;VLOOKUP(A800,Internal_lists_bugs!$A$2:$P1013,16,FALSE())),"please select a BUG ID")</f>
        <v>please select a BUG ID</v>
      </c>
    </row>
    <row r="801">
      <c r="A801" s="54"/>
      <c r="B801" s="88" t="str">
        <f>IFERROR(HYPERLINK(VLOOKUP(A801,Internal_lists_bugs!$A$2:$C$73,3,FALSE()), VLOOKUP(A801,Internal_lists_bugs!$A$2:$C$73,3,FALSE())&amp;Char(10) &amp; Char(10) &amp; VLOOKUP(A801,Internal_lists_bugs!$A$2:$Z$73,26,FALSE())),"please select a BUG ID")</f>
        <v>please select a BUG ID</v>
      </c>
      <c r="C801" s="89" t="str">
        <f>IFERROR(VLOOKUP(A801,Internal_lists_bugs!$A$2:$X1013,24,FALSE()),"please select a BUG ID")</f>
        <v>please select a BUG ID</v>
      </c>
      <c r="E801" s="82"/>
      <c r="F801" s="80"/>
      <c r="H801" s="82"/>
      <c r="I801" s="80"/>
      <c r="J801" s="51" t="str">
        <f>IFERROR(Hyperlink(VLOOKUP(A801,Internal_lists_bugs!$A$2:$G1013,7,FALSE()),"BIC: "&amp;VLOOKUP(A801,Internal_lists_bugs!$A$2:$G1013,7,FALSE())&amp;CHAR(10)&amp;"Intro.Issues: "&amp;VLOOKUP(A801,Internal_lists_bugs!$A$2:$P1013,16,FALSE())),"please select a BUG ID")</f>
        <v>please select a BUG ID</v>
      </c>
    </row>
    <row r="802">
      <c r="A802" s="54"/>
      <c r="B802" s="88" t="str">
        <f>IFERROR(HYPERLINK(VLOOKUP(A802,Internal_lists_bugs!$A$2:$C$73,3,FALSE()), VLOOKUP(A802,Internal_lists_bugs!$A$2:$C$73,3,FALSE())&amp;Char(10) &amp; Char(10) &amp; VLOOKUP(A802,Internal_lists_bugs!$A$2:$Z$73,26,FALSE())),"please select a BUG ID")</f>
        <v>please select a BUG ID</v>
      </c>
      <c r="C802" s="89" t="str">
        <f>IFERROR(VLOOKUP(A802,Internal_lists_bugs!$A$2:$X1013,24,FALSE()),"please select a BUG ID")</f>
        <v>please select a BUG ID</v>
      </c>
      <c r="E802" s="82"/>
      <c r="F802" s="80"/>
      <c r="H802" s="82"/>
      <c r="I802" s="80"/>
      <c r="J802" s="51" t="str">
        <f>IFERROR(Hyperlink(VLOOKUP(A802,Internal_lists_bugs!$A$2:$G1013,7,FALSE()),"BIC: "&amp;VLOOKUP(A802,Internal_lists_bugs!$A$2:$G1013,7,FALSE())&amp;CHAR(10)&amp;"Intro.Issues: "&amp;VLOOKUP(A802,Internal_lists_bugs!$A$2:$P1013,16,FALSE())),"please select a BUG ID")</f>
        <v>please select a BUG ID</v>
      </c>
    </row>
    <row r="803">
      <c r="A803" s="54"/>
      <c r="B803" s="88" t="str">
        <f>IFERROR(HYPERLINK(VLOOKUP(A803,Internal_lists_bugs!$A$2:$C$73,3,FALSE()), VLOOKUP(A803,Internal_lists_bugs!$A$2:$C$73,3,FALSE())&amp;Char(10) &amp; Char(10) &amp; VLOOKUP(A803,Internal_lists_bugs!$A$2:$Z$73,26,FALSE())),"please select a BUG ID")</f>
        <v>please select a BUG ID</v>
      </c>
      <c r="C803" s="89" t="str">
        <f>IFERROR(VLOOKUP(A803,Internal_lists_bugs!$A$2:$X1013,24,FALSE()),"please select a BUG ID")</f>
        <v>please select a BUG ID</v>
      </c>
      <c r="E803" s="82"/>
      <c r="F803" s="80"/>
      <c r="H803" s="82"/>
      <c r="I803" s="80"/>
      <c r="J803" s="51" t="str">
        <f>IFERROR(Hyperlink(VLOOKUP(A803,Internal_lists_bugs!$A$2:$G1013,7,FALSE()),"BIC: "&amp;VLOOKUP(A803,Internal_lists_bugs!$A$2:$G1013,7,FALSE())&amp;CHAR(10)&amp;"Intro.Issues: "&amp;VLOOKUP(A803,Internal_lists_bugs!$A$2:$P1013,16,FALSE())),"please select a BUG ID")</f>
        <v>please select a BUG ID</v>
      </c>
    </row>
    <row r="804">
      <c r="A804" s="54"/>
      <c r="B804" s="88" t="str">
        <f>IFERROR(HYPERLINK(VLOOKUP(A804,Internal_lists_bugs!$A$2:$C$73,3,FALSE()), VLOOKUP(A804,Internal_lists_bugs!$A$2:$C$73,3,FALSE())&amp;Char(10) &amp; Char(10) &amp; VLOOKUP(A804,Internal_lists_bugs!$A$2:$Z$73,26,FALSE())),"please select a BUG ID")</f>
        <v>please select a BUG ID</v>
      </c>
      <c r="C804" s="89" t="str">
        <f>IFERROR(VLOOKUP(A804,Internal_lists_bugs!$A$2:$X1013,24,FALSE()),"please select a BUG ID")</f>
        <v>please select a BUG ID</v>
      </c>
      <c r="E804" s="82"/>
      <c r="F804" s="80"/>
      <c r="H804" s="82"/>
      <c r="I804" s="80"/>
      <c r="J804" s="51" t="str">
        <f>IFERROR(Hyperlink(VLOOKUP(A804,Internal_lists_bugs!$A$2:$G1013,7,FALSE()),"BIC: "&amp;VLOOKUP(A804,Internal_lists_bugs!$A$2:$G1013,7,FALSE())&amp;CHAR(10)&amp;"Intro.Issues: "&amp;VLOOKUP(A804,Internal_lists_bugs!$A$2:$P1013,16,FALSE())),"please select a BUG ID")</f>
        <v>please select a BUG ID</v>
      </c>
    </row>
    <row r="805">
      <c r="A805" s="54"/>
      <c r="B805" s="88" t="str">
        <f>IFERROR(HYPERLINK(VLOOKUP(A805,Internal_lists_bugs!$A$2:$C$73,3,FALSE()), VLOOKUP(A805,Internal_lists_bugs!$A$2:$C$73,3,FALSE())&amp;Char(10) &amp; Char(10) &amp; VLOOKUP(A805,Internal_lists_bugs!$A$2:$Z$73,26,FALSE())),"please select a BUG ID")</f>
        <v>please select a BUG ID</v>
      </c>
      <c r="C805" s="89" t="str">
        <f>IFERROR(VLOOKUP(A805,Internal_lists_bugs!$A$2:$X1013,24,FALSE()),"please select a BUG ID")</f>
        <v>please select a BUG ID</v>
      </c>
      <c r="E805" s="82"/>
      <c r="F805" s="80"/>
      <c r="H805" s="82"/>
      <c r="I805" s="80"/>
      <c r="J805" s="51" t="str">
        <f>IFERROR(Hyperlink(VLOOKUP(A805,Internal_lists_bugs!$A$2:$G1013,7,FALSE()),"BIC: "&amp;VLOOKUP(A805,Internal_lists_bugs!$A$2:$G1013,7,FALSE())&amp;CHAR(10)&amp;"Intro.Issues: "&amp;VLOOKUP(A805,Internal_lists_bugs!$A$2:$P1013,16,FALSE())),"please select a BUG ID")</f>
        <v>please select a BUG ID</v>
      </c>
    </row>
    <row r="806">
      <c r="A806" s="54"/>
      <c r="B806" s="88" t="str">
        <f>IFERROR(HYPERLINK(VLOOKUP(A806,Internal_lists_bugs!$A$2:$C$73,3,FALSE()), VLOOKUP(A806,Internal_lists_bugs!$A$2:$C$73,3,FALSE())&amp;Char(10) &amp; Char(10) &amp; VLOOKUP(A806,Internal_lists_bugs!$A$2:$Z$73,26,FALSE())),"please select a BUG ID")</f>
        <v>please select a BUG ID</v>
      </c>
      <c r="C806" s="89" t="str">
        <f>IFERROR(VLOOKUP(A806,Internal_lists_bugs!$A$2:$X1013,24,FALSE()),"please select a BUG ID")</f>
        <v>please select a BUG ID</v>
      </c>
      <c r="E806" s="82"/>
      <c r="F806" s="80"/>
      <c r="H806" s="82"/>
      <c r="I806" s="80"/>
      <c r="J806" s="51" t="str">
        <f>IFERROR(Hyperlink(VLOOKUP(A806,Internal_lists_bugs!$A$2:$G1013,7,FALSE()),"BIC: "&amp;VLOOKUP(A806,Internal_lists_bugs!$A$2:$G1013,7,FALSE())&amp;CHAR(10)&amp;"Intro.Issues: "&amp;VLOOKUP(A806,Internal_lists_bugs!$A$2:$P1013,16,FALSE())),"please select a BUG ID")</f>
        <v>please select a BUG ID</v>
      </c>
    </row>
    <row r="807">
      <c r="A807" s="54"/>
      <c r="B807" s="88" t="str">
        <f>IFERROR(HYPERLINK(VLOOKUP(A807,Internal_lists_bugs!$A$2:$C$73,3,FALSE()), VLOOKUP(A807,Internal_lists_bugs!$A$2:$C$73,3,FALSE())&amp;Char(10) &amp; Char(10) &amp; VLOOKUP(A807,Internal_lists_bugs!$A$2:$Z$73,26,FALSE())),"please select a BUG ID")</f>
        <v>please select a BUG ID</v>
      </c>
      <c r="C807" s="89" t="str">
        <f>IFERROR(VLOOKUP(A807,Internal_lists_bugs!$A$2:$X1013,24,FALSE()),"please select a BUG ID")</f>
        <v>please select a BUG ID</v>
      </c>
      <c r="E807" s="82"/>
      <c r="F807" s="80"/>
      <c r="H807" s="82"/>
      <c r="I807" s="80"/>
      <c r="J807" s="51" t="str">
        <f>IFERROR(Hyperlink(VLOOKUP(A807,Internal_lists_bugs!$A$2:$G1013,7,FALSE()),"BIC: "&amp;VLOOKUP(A807,Internal_lists_bugs!$A$2:$G1013,7,FALSE())&amp;CHAR(10)&amp;"Intro.Issues: "&amp;VLOOKUP(A807,Internal_lists_bugs!$A$2:$P1013,16,FALSE())),"please select a BUG ID")</f>
        <v>please select a BUG ID</v>
      </c>
    </row>
    <row r="808">
      <c r="A808" s="54"/>
      <c r="B808" s="88" t="str">
        <f>IFERROR(HYPERLINK(VLOOKUP(A808,Internal_lists_bugs!$A$2:$C$73,3,FALSE()), VLOOKUP(A808,Internal_lists_bugs!$A$2:$C$73,3,FALSE())&amp;Char(10) &amp; Char(10) &amp; VLOOKUP(A808,Internal_lists_bugs!$A$2:$Z$73,26,FALSE())),"please select a BUG ID")</f>
        <v>please select a BUG ID</v>
      </c>
      <c r="C808" s="89" t="str">
        <f>IFERROR(VLOOKUP(A808,Internal_lists_bugs!$A$2:$X1013,24,FALSE()),"please select a BUG ID")</f>
        <v>please select a BUG ID</v>
      </c>
      <c r="E808" s="82"/>
      <c r="F808" s="80"/>
      <c r="H808" s="82"/>
      <c r="I808" s="80"/>
      <c r="J808" s="51" t="str">
        <f>IFERROR(Hyperlink(VLOOKUP(A808,Internal_lists_bugs!$A$2:$G1013,7,FALSE()),"BIC: "&amp;VLOOKUP(A808,Internal_lists_bugs!$A$2:$G1013,7,FALSE())&amp;CHAR(10)&amp;"Intro.Issues: "&amp;VLOOKUP(A808,Internal_lists_bugs!$A$2:$P1013,16,FALSE())),"please select a BUG ID")</f>
        <v>please select a BUG ID</v>
      </c>
    </row>
    <row r="809">
      <c r="A809" s="54"/>
      <c r="B809" s="88" t="str">
        <f>IFERROR(HYPERLINK(VLOOKUP(A809,Internal_lists_bugs!$A$2:$C$73,3,FALSE()), VLOOKUP(A809,Internal_lists_bugs!$A$2:$C$73,3,FALSE())&amp;Char(10) &amp; Char(10) &amp; VLOOKUP(A809,Internal_lists_bugs!$A$2:$Z$73,26,FALSE())),"please select a BUG ID")</f>
        <v>please select a BUG ID</v>
      </c>
      <c r="C809" s="89" t="str">
        <f>IFERROR(VLOOKUP(A809,Internal_lists_bugs!$A$2:$X1013,24,FALSE()),"please select a BUG ID")</f>
        <v>please select a BUG ID</v>
      </c>
      <c r="E809" s="82"/>
      <c r="F809" s="80"/>
      <c r="H809" s="82"/>
      <c r="I809" s="80"/>
      <c r="J809" s="51" t="str">
        <f>IFERROR(Hyperlink(VLOOKUP(A809,Internal_lists_bugs!$A$2:$G1013,7,FALSE()),"BIC: "&amp;VLOOKUP(A809,Internal_lists_bugs!$A$2:$G1013,7,FALSE())&amp;CHAR(10)&amp;"Intro.Issues: "&amp;VLOOKUP(A809,Internal_lists_bugs!$A$2:$P1013,16,FALSE())),"please select a BUG ID")</f>
        <v>please select a BUG ID</v>
      </c>
    </row>
    <row r="810">
      <c r="A810" s="54"/>
      <c r="B810" s="88" t="str">
        <f>IFERROR(HYPERLINK(VLOOKUP(A810,Internal_lists_bugs!$A$2:$C$73,3,FALSE()), VLOOKUP(A810,Internal_lists_bugs!$A$2:$C$73,3,FALSE())&amp;Char(10) &amp; Char(10) &amp; VLOOKUP(A810,Internal_lists_bugs!$A$2:$Z$73,26,FALSE())),"please select a BUG ID")</f>
        <v>please select a BUG ID</v>
      </c>
      <c r="C810" s="89" t="str">
        <f>IFERROR(VLOOKUP(A810,Internal_lists_bugs!$A$2:$X1013,24,FALSE()),"please select a BUG ID")</f>
        <v>please select a BUG ID</v>
      </c>
      <c r="E810" s="82"/>
      <c r="F810" s="80"/>
      <c r="H810" s="82"/>
      <c r="I810" s="80"/>
      <c r="J810" s="51" t="str">
        <f>IFERROR(Hyperlink(VLOOKUP(A810,Internal_lists_bugs!$A$2:$G1013,7,FALSE()),"BIC: "&amp;VLOOKUP(A810,Internal_lists_bugs!$A$2:$G1013,7,FALSE())&amp;CHAR(10)&amp;"Intro.Issues: "&amp;VLOOKUP(A810,Internal_lists_bugs!$A$2:$P1013,16,FALSE())),"please select a BUG ID")</f>
        <v>please select a BUG ID</v>
      </c>
    </row>
    <row r="811">
      <c r="A811" s="54"/>
      <c r="B811" s="88" t="str">
        <f>IFERROR(HYPERLINK(VLOOKUP(A811,Internal_lists_bugs!$A$2:$C$73,3,FALSE()), VLOOKUP(A811,Internal_lists_bugs!$A$2:$C$73,3,FALSE())&amp;Char(10) &amp; Char(10) &amp; VLOOKUP(A811,Internal_lists_bugs!$A$2:$Z$73,26,FALSE())),"please select a BUG ID")</f>
        <v>please select a BUG ID</v>
      </c>
      <c r="C811" s="89" t="str">
        <f>IFERROR(VLOOKUP(A811,Internal_lists_bugs!$A$2:$X1013,24,FALSE()),"please select a BUG ID")</f>
        <v>please select a BUG ID</v>
      </c>
      <c r="E811" s="82"/>
      <c r="F811" s="80"/>
      <c r="H811" s="82"/>
      <c r="I811" s="80"/>
      <c r="J811" s="51" t="str">
        <f>IFERROR(Hyperlink(VLOOKUP(A811,Internal_lists_bugs!$A$2:$G1013,7,FALSE()),"BIC: "&amp;VLOOKUP(A811,Internal_lists_bugs!$A$2:$G1013,7,FALSE())&amp;CHAR(10)&amp;"Intro.Issues: "&amp;VLOOKUP(A811,Internal_lists_bugs!$A$2:$P1013,16,FALSE())),"please select a BUG ID")</f>
        <v>please select a BUG ID</v>
      </c>
    </row>
    <row r="812">
      <c r="A812" s="54"/>
      <c r="B812" s="88" t="str">
        <f>IFERROR(HYPERLINK(VLOOKUP(A812,Internal_lists_bugs!$A$2:$C$73,3,FALSE()), VLOOKUP(A812,Internal_lists_bugs!$A$2:$C$73,3,FALSE())&amp;Char(10) &amp; Char(10) &amp; VLOOKUP(A812,Internal_lists_bugs!$A$2:$Z$73,26,FALSE())),"please select a BUG ID")</f>
        <v>please select a BUG ID</v>
      </c>
      <c r="C812" s="89" t="str">
        <f>IFERROR(VLOOKUP(A812,Internal_lists_bugs!$A$2:$X1013,24,FALSE()),"please select a BUG ID")</f>
        <v>please select a BUG ID</v>
      </c>
      <c r="E812" s="82"/>
      <c r="F812" s="80"/>
      <c r="H812" s="82"/>
      <c r="I812" s="80"/>
      <c r="J812" s="51" t="str">
        <f>IFERROR(Hyperlink(VLOOKUP(A812,Internal_lists_bugs!$A$2:$G1013,7,FALSE()),"BIC: "&amp;VLOOKUP(A812,Internal_lists_bugs!$A$2:$G1013,7,FALSE())&amp;CHAR(10)&amp;"Intro.Issues: "&amp;VLOOKUP(A812,Internal_lists_bugs!$A$2:$P1013,16,FALSE())),"please select a BUG ID")</f>
        <v>please select a BUG ID</v>
      </c>
    </row>
    <row r="813">
      <c r="A813" s="54"/>
      <c r="B813" s="88" t="str">
        <f>IFERROR(HYPERLINK(VLOOKUP(A813,Internal_lists_bugs!$A$2:$C$73,3,FALSE()), VLOOKUP(A813,Internal_lists_bugs!$A$2:$C$73,3,FALSE())&amp;Char(10) &amp; Char(10) &amp; VLOOKUP(A813,Internal_lists_bugs!$A$2:$Z$73,26,FALSE())),"please select a BUG ID")</f>
        <v>please select a BUG ID</v>
      </c>
      <c r="C813" s="89" t="str">
        <f>IFERROR(VLOOKUP(A813,Internal_lists_bugs!$A$2:$X1013,24,FALSE()),"please select a BUG ID")</f>
        <v>please select a BUG ID</v>
      </c>
      <c r="E813" s="82"/>
      <c r="F813" s="80"/>
      <c r="H813" s="82"/>
      <c r="I813" s="80"/>
      <c r="J813" s="51" t="str">
        <f>IFERROR(Hyperlink(VLOOKUP(A813,Internal_lists_bugs!$A$2:$G1013,7,FALSE()),"BIC: "&amp;VLOOKUP(A813,Internal_lists_bugs!$A$2:$G1013,7,FALSE())&amp;CHAR(10)&amp;"Intro.Issues: "&amp;VLOOKUP(A813,Internal_lists_bugs!$A$2:$P1013,16,FALSE())),"please select a BUG ID")</f>
        <v>please select a BUG ID</v>
      </c>
    </row>
    <row r="814">
      <c r="A814" s="54"/>
      <c r="B814" s="88" t="str">
        <f>IFERROR(HYPERLINK(VLOOKUP(A814,Internal_lists_bugs!$A$2:$C$73,3,FALSE()), VLOOKUP(A814,Internal_lists_bugs!$A$2:$C$73,3,FALSE())&amp;Char(10) &amp; Char(10) &amp; VLOOKUP(A814,Internal_lists_bugs!$A$2:$Z$73,26,FALSE())),"please select a BUG ID")</f>
        <v>please select a BUG ID</v>
      </c>
      <c r="C814" s="89" t="str">
        <f>IFERROR(VLOOKUP(A814,Internal_lists_bugs!$A$2:$X1013,24,FALSE()),"please select a BUG ID")</f>
        <v>please select a BUG ID</v>
      </c>
      <c r="E814" s="82"/>
      <c r="F814" s="80"/>
      <c r="H814" s="82"/>
      <c r="I814" s="80"/>
      <c r="J814" s="51" t="str">
        <f>IFERROR(Hyperlink(VLOOKUP(A814,Internal_lists_bugs!$A$2:$G1013,7,FALSE()),"BIC: "&amp;VLOOKUP(A814,Internal_lists_bugs!$A$2:$G1013,7,FALSE())&amp;CHAR(10)&amp;"Intro.Issues: "&amp;VLOOKUP(A814,Internal_lists_bugs!$A$2:$P1013,16,FALSE())),"please select a BUG ID")</f>
        <v>please select a BUG ID</v>
      </c>
    </row>
    <row r="815">
      <c r="A815" s="54"/>
      <c r="B815" s="88" t="str">
        <f>IFERROR(HYPERLINK(VLOOKUP(A815,Internal_lists_bugs!$A$2:$C$73,3,FALSE()), VLOOKUP(A815,Internal_lists_bugs!$A$2:$C$73,3,FALSE())&amp;Char(10) &amp; Char(10) &amp; VLOOKUP(A815,Internal_lists_bugs!$A$2:$Z$73,26,FALSE())),"please select a BUG ID")</f>
        <v>please select a BUG ID</v>
      </c>
      <c r="C815" s="89" t="str">
        <f>IFERROR(VLOOKUP(A815,Internal_lists_bugs!$A$2:$X1013,24,FALSE()),"please select a BUG ID")</f>
        <v>please select a BUG ID</v>
      </c>
      <c r="E815" s="82"/>
      <c r="F815" s="80"/>
      <c r="H815" s="82"/>
      <c r="I815" s="80"/>
      <c r="J815" s="51" t="str">
        <f>IFERROR(Hyperlink(VLOOKUP(A815,Internal_lists_bugs!$A$2:$G1013,7,FALSE()),"BIC: "&amp;VLOOKUP(A815,Internal_lists_bugs!$A$2:$G1013,7,FALSE())&amp;CHAR(10)&amp;"Intro.Issues: "&amp;VLOOKUP(A815,Internal_lists_bugs!$A$2:$P1013,16,FALSE())),"please select a BUG ID")</f>
        <v>please select a BUG ID</v>
      </c>
    </row>
    <row r="816">
      <c r="A816" s="54"/>
      <c r="B816" s="88" t="str">
        <f>IFERROR(HYPERLINK(VLOOKUP(A816,Internal_lists_bugs!$A$2:$C$73,3,FALSE()), VLOOKUP(A816,Internal_lists_bugs!$A$2:$C$73,3,FALSE())&amp;Char(10) &amp; Char(10) &amp; VLOOKUP(A816,Internal_lists_bugs!$A$2:$Z$73,26,FALSE())),"please select a BUG ID")</f>
        <v>please select a BUG ID</v>
      </c>
      <c r="C816" s="89" t="str">
        <f>IFERROR(VLOOKUP(A816,Internal_lists_bugs!$A$2:$X1013,24,FALSE()),"please select a BUG ID")</f>
        <v>please select a BUG ID</v>
      </c>
      <c r="E816" s="82"/>
      <c r="F816" s="80"/>
      <c r="H816" s="82"/>
      <c r="I816" s="80"/>
      <c r="J816" s="51" t="str">
        <f>IFERROR(Hyperlink(VLOOKUP(A816,Internal_lists_bugs!$A$2:$G1013,7,FALSE()),"BIC: "&amp;VLOOKUP(A816,Internal_lists_bugs!$A$2:$G1013,7,FALSE())&amp;CHAR(10)&amp;"Intro.Issues: "&amp;VLOOKUP(A816,Internal_lists_bugs!$A$2:$P1013,16,FALSE())),"please select a BUG ID")</f>
        <v>please select a BUG ID</v>
      </c>
    </row>
    <row r="817">
      <c r="A817" s="54"/>
      <c r="B817" s="88" t="str">
        <f>IFERROR(HYPERLINK(VLOOKUP(A817,Internal_lists_bugs!$A$2:$C$73,3,FALSE()), VLOOKUP(A817,Internal_lists_bugs!$A$2:$C$73,3,FALSE())&amp;Char(10) &amp; Char(10) &amp; VLOOKUP(A817,Internal_lists_bugs!$A$2:$Z$73,26,FALSE())),"please select a BUG ID")</f>
        <v>please select a BUG ID</v>
      </c>
      <c r="C817" s="89" t="str">
        <f>IFERROR(VLOOKUP(A817,Internal_lists_bugs!$A$2:$X1013,24,FALSE()),"please select a BUG ID")</f>
        <v>please select a BUG ID</v>
      </c>
      <c r="E817" s="82"/>
      <c r="F817" s="80"/>
      <c r="H817" s="82"/>
      <c r="I817" s="80"/>
      <c r="J817" s="51" t="str">
        <f>IFERROR(Hyperlink(VLOOKUP(A817,Internal_lists_bugs!$A$2:$G1013,7,FALSE()),"BIC: "&amp;VLOOKUP(A817,Internal_lists_bugs!$A$2:$G1013,7,FALSE())&amp;CHAR(10)&amp;"Intro.Issues: "&amp;VLOOKUP(A817,Internal_lists_bugs!$A$2:$P1013,16,FALSE())),"please select a BUG ID")</f>
        <v>please select a BUG ID</v>
      </c>
    </row>
    <row r="818">
      <c r="A818" s="54"/>
      <c r="B818" s="88" t="str">
        <f>IFERROR(HYPERLINK(VLOOKUP(A818,Internal_lists_bugs!$A$2:$C$73,3,FALSE()), VLOOKUP(A818,Internal_lists_bugs!$A$2:$C$73,3,FALSE())&amp;Char(10) &amp; Char(10) &amp; VLOOKUP(A818,Internal_lists_bugs!$A$2:$Z$73,26,FALSE())),"please select a BUG ID")</f>
        <v>please select a BUG ID</v>
      </c>
      <c r="C818" s="89" t="str">
        <f>IFERROR(VLOOKUP(A818,Internal_lists_bugs!$A$2:$X1013,24,FALSE()),"please select a BUG ID")</f>
        <v>please select a BUG ID</v>
      </c>
      <c r="E818" s="82"/>
      <c r="F818" s="80"/>
      <c r="H818" s="82"/>
      <c r="I818" s="80"/>
      <c r="J818" s="51" t="str">
        <f>IFERROR(Hyperlink(VLOOKUP(A818,Internal_lists_bugs!$A$2:$G1013,7,FALSE()),"BIC: "&amp;VLOOKUP(A818,Internal_lists_bugs!$A$2:$G1013,7,FALSE())&amp;CHAR(10)&amp;"Intro.Issues: "&amp;VLOOKUP(A818,Internal_lists_bugs!$A$2:$P1013,16,FALSE())),"please select a BUG ID")</f>
        <v>please select a BUG ID</v>
      </c>
    </row>
    <row r="819">
      <c r="A819" s="54"/>
      <c r="B819" s="88" t="str">
        <f>IFERROR(HYPERLINK(VLOOKUP(A819,Internal_lists_bugs!$A$2:$C$73,3,FALSE()), VLOOKUP(A819,Internal_lists_bugs!$A$2:$C$73,3,FALSE())&amp;Char(10) &amp; Char(10) &amp; VLOOKUP(A819,Internal_lists_bugs!$A$2:$Z$73,26,FALSE())),"please select a BUG ID")</f>
        <v>please select a BUG ID</v>
      </c>
      <c r="C819" s="89" t="str">
        <f>IFERROR(VLOOKUP(A819,Internal_lists_bugs!$A$2:$X1013,24,FALSE()),"please select a BUG ID")</f>
        <v>please select a BUG ID</v>
      </c>
      <c r="E819" s="82"/>
      <c r="F819" s="80"/>
      <c r="H819" s="82"/>
      <c r="I819" s="80"/>
      <c r="J819" s="51" t="str">
        <f>IFERROR(Hyperlink(VLOOKUP(A819,Internal_lists_bugs!$A$2:$G1013,7,FALSE()),"BIC: "&amp;VLOOKUP(A819,Internal_lists_bugs!$A$2:$G1013,7,FALSE())&amp;CHAR(10)&amp;"Intro.Issues: "&amp;VLOOKUP(A819,Internal_lists_bugs!$A$2:$P1013,16,FALSE())),"please select a BUG ID")</f>
        <v>please select a BUG ID</v>
      </c>
    </row>
    <row r="820">
      <c r="A820" s="54"/>
      <c r="B820" s="88" t="str">
        <f>IFERROR(HYPERLINK(VLOOKUP(A820,Internal_lists_bugs!$A$2:$C$73,3,FALSE()), VLOOKUP(A820,Internal_lists_bugs!$A$2:$C$73,3,FALSE())&amp;Char(10) &amp; Char(10) &amp; VLOOKUP(A820,Internal_lists_bugs!$A$2:$Z$73,26,FALSE())),"please select a BUG ID")</f>
        <v>please select a BUG ID</v>
      </c>
      <c r="C820" s="89" t="str">
        <f>IFERROR(VLOOKUP(A820,Internal_lists_bugs!$A$2:$X1013,24,FALSE()),"please select a BUG ID")</f>
        <v>please select a BUG ID</v>
      </c>
      <c r="E820" s="82"/>
      <c r="F820" s="80"/>
      <c r="H820" s="82"/>
      <c r="I820" s="80"/>
      <c r="J820" s="51" t="str">
        <f>IFERROR(Hyperlink(VLOOKUP(A820,Internal_lists_bugs!$A$2:$G1013,7,FALSE()),"BIC: "&amp;VLOOKUP(A820,Internal_lists_bugs!$A$2:$G1013,7,FALSE())&amp;CHAR(10)&amp;"Intro.Issues: "&amp;VLOOKUP(A820,Internal_lists_bugs!$A$2:$P1013,16,FALSE())),"please select a BUG ID")</f>
        <v>please select a BUG ID</v>
      </c>
    </row>
    <row r="821">
      <c r="A821" s="54"/>
      <c r="B821" s="88" t="str">
        <f>IFERROR(HYPERLINK(VLOOKUP(A821,Internal_lists_bugs!$A$2:$C$73,3,FALSE()), VLOOKUP(A821,Internal_lists_bugs!$A$2:$C$73,3,FALSE())&amp;Char(10) &amp; Char(10) &amp; VLOOKUP(A821,Internal_lists_bugs!$A$2:$Z$73,26,FALSE())),"please select a BUG ID")</f>
        <v>please select a BUG ID</v>
      </c>
      <c r="C821" s="89" t="str">
        <f>IFERROR(VLOOKUP(A821,Internal_lists_bugs!$A$2:$X1013,24,FALSE()),"please select a BUG ID")</f>
        <v>please select a BUG ID</v>
      </c>
      <c r="E821" s="82"/>
      <c r="F821" s="80"/>
      <c r="H821" s="82"/>
      <c r="I821" s="80"/>
      <c r="J821" s="51" t="str">
        <f>IFERROR(Hyperlink(VLOOKUP(A821,Internal_lists_bugs!$A$2:$G1013,7,FALSE()),"BIC: "&amp;VLOOKUP(A821,Internal_lists_bugs!$A$2:$G1013,7,FALSE())&amp;CHAR(10)&amp;"Intro.Issues: "&amp;VLOOKUP(A821,Internal_lists_bugs!$A$2:$P1013,16,FALSE())),"please select a BUG ID")</f>
        <v>please select a BUG ID</v>
      </c>
    </row>
    <row r="822">
      <c r="A822" s="54"/>
      <c r="B822" s="88" t="str">
        <f>IFERROR(HYPERLINK(VLOOKUP(A822,Internal_lists_bugs!$A$2:$C$73,3,FALSE()), VLOOKUP(A822,Internal_lists_bugs!$A$2:$C$73,3,FALSE())&amp;Char(10) &amp; Char(10) &amp; VLOOKUP(A822,Internal_lists_bugs!$A$2:$Z$73,26,FALSE())),"please select a BUG ID")</f>
        <v>please select a BUG ID</v>
      </c>
      <c r="C822" s="89" t="str">
        <f>IFERROR(VLOOKUP(A822,Internal_lists_bugs!$A$2:$X1013,24,FALSE()),"please select a BUG ID")</f>
        <v>please select a BUG ID</v>
      </c>
      <c r="E822" s="82"/>
      <c r="F822" s="80"/>
      <c r="H822" s="82"/>
      <c r="I822" s="80"/>
      <c r="J822" s="51" t="str">
        <f>IFERROR(Hyperlink(VLOOKUP(A822,Internal_lists_bugs!$A$2:$G1013,7,FALSE()),"BIC: "&amp;VLOOKUP(A822,Internal_lists_bugs!$A$2:$G1013,7,FALSE())&amp;CHAR(10)&amp;"Intro.Issues: "&amp;VLOOKUP(A822,Internal_lists_bugs!$A$2:$P1013,16,FALSE())),"please select a BUG ID")</f>
        <v>please select a BUG ID</v>
      </c>
    </row>
    <row r="823">
      <c r="A823" s="54"/>
      <c r="B823" s="88" t="str">
        <f>IFERROR(HYPERLINK(VLOOKUP(A823,Internal_lists_bugs!$A$2:$C$73,3,FALSE()), VLOOKUP(A823,Internal_lists_bugs!$A$2:$C$73,3,FALSE())&amp;Char(10) &amp; Char(10) &amp; VLOOKUP(A823,Internal_lists_bugs!$A$2:$Z$73,26,FALSE())),"please select a BUG ID")</f>
        <v>please select a BUG ID</v>
      </c>
      <c r="C823" s="89" t="str">
        <f>IFERROR(VLOOKUP(A823,Internal_lists_bugs!$A$2:$X1013,24,FALSE()),"please select a BUG ID")</f>
        <v>please select a BUG ID</v>
      </c>
      <c r="E823" s="82"/>
      <c r="F823" s="80"/>
      <c r="H823" s="82"/>
      <c r="I823" s="80"/>
      <c r="J823" s="51" t="str">
        <f>IFERROR(Hyperlink(VLOOKUP(A823,Internal_lists_bugs!$A$2:$G1013,7,FALSE()),"BIC: "&amp;VLOOKUP(A823,Internal_lists_bugs!$A$2:$G1013,7,FALSE())&amp;CHAR(10)&amp;"Intro.Issues: "&amp;VLOOKUP(A823,Internal_lists_bugs!$A$2:$P1013,16,FALSE())),"please select a BUG ID")</f>
        <v>please select a BUG ID</v>
      </c>
    </row>
    <row r="824">
      <c r="A824" s="54"/>
      <c r="B824" s="88" t="str">
        <f>IFERROR(HYPERLINK(VLOOKUP(A824,Internal_lists_bugs!$A$2:$C$73,3,FALSE()), VLOOKUP(A824,Internal_lists_bugs!$A$2:$C$73,3,FALSE())&amp;Char(10) &amp; Char(10) &amp; VLOOKUP(A824,Internal_lists_bugs!$A$2:$Z$73,26,FALSE())),"please select a BUG ID")</f>
        <v>please select a BUG ID</v>
      </c>
      <c r="C824" s="89" t="str">
        <f>IFERROR(VLOOKUP(A824,Internal_lists_bugs!$A$2:$X1013,24,FALSE()),"please select a BUG ID")</f>
        <v>please select a BUG ID</v>
      </c>
      <c r="E824" s="82"/>
      <c r="F824" s="80"/>
      <c r="H824" s="82"/>
      <c r="I824" s="80"/>
      <c r="J824" s="51" t="str">
        <f>IFERROR(Hyperlink(VLOOKUP(A824,Internal_lists_bugs!$A$2:$G1013,7,FALSE()),"BIC: "&amp;VLOOKUP(A824,Internal_lists_bugs!$A$2:$G1013,7,FALSE())&amp;CHAR(10)&amp;"Intro.Issues: "&amp;VLOOKUP(A824,Internal_lists_bugs!$A$2:$P1013,16,FALSE())),"please select a BUG ID")</f>
        <v>please select a BUG ID</v>
      </c>
    </row>
    <row r="825">
      <c r="A825" s="54"/>
      <c r="B825" s="88" t="str">
        <f>IFERROR(HYPERLINK(VLOOKUP(A825,Internal_lists_bugs!$A$2:$C$73,3,FALSE()), VLOOKUP(A825,Internal_lists_bugs!$A$2:$C$73,3,FALSE())&amp;Char(10) &amp; Char(10) &amp; VLOOKUP(A825,Internal_lists_bugs!$A$2:$Z$73,26,FALSE())),"please select a BUG ID")</f>
        <v>please select a BUG ID</v>
      </c>
      <c r="C825" s="89" t="str">
        <f>IFERROR(VLOOKUP(A825,Internal_lists_bugs!$A$2:$X1013,24,FALSE()),"please select a BUG ID")</f>
        <v>please select a BUG ID</v>
      </c>
      <c r="E825" s="82"/>
      <c r="F825" s="80"/>
      <c r="H825" s="82"/>
      <c r="I825" s="80"/>
      <c r="J825" s="51" t="str">
        <f>IFERROR(Hyperlink(VLOOKUP(A825,Internal_lists_bugs!$A$2:$G1013,7,FALSE()),"BIC: "&amp;VLOOKUP(A825,Internal_lists_bugs!$A$2:$G1013,7,FALSE())&amp;CHAR(10)&amp;"Intro.Issues: "&amp;VLOOKUP(A825,Internal_lists_bugs!$A$2:$P1013,16,FALSE())),"please select a BUG ID")</f>
        <v>please select a BUG ID</v>
      </c>
    </row>
    <row r="826">
      <c r="A826" s="54"/>
      <c r="B826" s="88" t="str">
        <f>IFERROR(HYPERLINK(VLOOKUP(A826,Internal_lists_bugs!$A$2:$C$73,3,FALSE()), VLOOKUP(A826,Internal_lists_bugs!$A$2:$C$73,3,FALSE())&amp;Char(10) &amp; Char(10) &amp; VLOOKUP(A826,Internal_lists_bugs!$A$2:$Z$73,26,FALSE())),"please select a BUG ID")</f>
        <v>please select a BUG ID</v>
      </c>
      <c r="C826" s="89" t="str">
        <f>IFERROR(VLOOKUP(A826,Internal_lists_bugs!$A$2:$X1013,24,FALSE()),"please select a BUG ID")</f>
        <v>please select a BUG ID</v>
      </c>
      <c r="E826" s="82"/>
      <c r="F826" s="80"/>
      <c r="H826" s="82"/>
      <c r="I826" s="80"/>
      <c r="J826" s="51" t="str">
        <f>IFERROR(Hyperlink(VLOOKUP(A826,Internal_lists_bugs!$A$2:$G1013,7,FALSE()),"BIC: "&amp;VLOOKUP(A826,Internal_lists_bugs!$A$2:$G1013,7,FALSE())&amp;CHAR(10)&amp;"Intro.Issues: "&amp;VLOOKUP(A826,Internal_lists_bugs!$A$2:$P1013,16,FALSE())),"please select a BUG ID")</f>
        <v>please select a BUG ID</v>
      </c>
    </row>
    <row r="827">
      <c r="A827" s="54"/>
      <c r="B827" s="88" t="str">
        <f>IFERROR(HYPERLINK(VLOOKUP(A827,Internal_lists_bugs!$A$2:$C$73,3,FALSE()), VLOOKUP(A827,Internal_lists_bugs!$A$2:$C$73,3,FALSE())&amp;Char(10) &amp; Char(10) &amp; VLOOKUP(A827,Internal_lists_bugs!$A$2:$Z$73,26,FALSE())),"please select a BUG ID")</f>
        <v>please select a BUG ID</v>
      </c>
      <c r="C827" s="89" t="str">
        <f>IFERROR(VLOOKUP(A827,Internal_lists_bugs!$A$2:$X1013,24,FALSE()),"please select a BUG ID")</f>
        <v>please select a BUG ID</v>
      </c>
      <c r="E827" s="82"/>
      <c r="F827" s="80"/>
      <c r="H827" s="82"/>
      <c r="I827" s="80"/>
      <c r="J827" s="51" t="str">
        <f>IFERROR(Hyperlink(VLOOKUP(A827,Internal_lists_bugs!$A$2:$G1013,7,FALSE()),"BIC: "&amp;VLOOKUP(A827,Internal_lists_bugs!$A$2:$G1013,7,FALSE())&amp;CHAR(10)&amp;"Intro.Issues: "&amp;VLOOKUP(A827,Internal_lists_bugs!$A$2:$P1013,16,FALSE())),"please select a BUG ID")</f>
        <v>please select a BUG ID</v>
      </c>
    </row>
    <row r="828">
      <c r="A828" s="54"/>
      <c r="B828" s="88" t="str">
        <f>IFERROR(HYPERLINK(VLOOKUP(A828,Internal_lists_bugs!$A$2:$C$73,3,FALSE()), VLOOKUP(A828,Internal_lists_bugs!$A$2:$C$73,3,FALSE())&amp;Char(10) &amp; Char(10) &amp; VLOOKUP(A828,Internal_lists_bugs!$A$2:$Z$73,26,FALSE())),"please select a BUG ID")</f>
        <v>please select a BUG ID</v>
      </c>
      <c r="C828" s="89" t="str">
        <f>IFERROR(VLOOKUP(A828,Internal_lists_bugs!$A$2:$X1013,24,FALSE()),"please select a BUG ID")</f>
        <v>please select a BUG ID</v>
      </c>
      <c r="E828" s="82"/>
      <c r="F828" s="80"/>
      <c r="H828" s="82"/>
      <c r="I828" s="80"/>
      <c r="J828" s="51" t="str">
        <f>IFERROR(Hyperlink(VLOOKUP(A828,Internal_lists_bugs!$A$2:$G1013,7,FALSE()),"BIC: "&amp;VLOOKUP(A828,Internal_lists_bugs!$A$2:$G1013,7,FALSE())&amp;CHAR(10)&amp;"Intro.Issues: "&amp;VLOOKUP(A828,Internal_lists_bugs!$A$2:$P1013,16,FALSE())),"please select a BUG ID")</f>
        <v>please select a BUG ID</v>
      </c>
    </row>
    <row r="829">
      <c r="A829" s="54"/>
      <c r="B829" s="88" t="str">
        <f>IFERROR(HYPERLINK(VLOOKUP(A829,Internal_lists_bugs!$A$2:$C$73,3,FALSE()), VLOOKUP(A829,Internal_lists_bugs!$A$2:$C$73,3,FALSE())&amp;Char(10) &amp; Char(10) &amp; VLOOKUP(A829,Internal_lists_bugs!$A$2:$Z$73,26,FALSE())),"please select a BUG ID")</f>
        <v>please select a BUG ID</v>
      </c>
      <c r="C829" s="89" t="str">
        <f>IFERROR(VLOOKUP(A829,Internal_lists_bugs!$A$2:$X1013,24,FALSE()),"please select a BUG ID")</f>
        <v>please select a BUG ID</v>
      </c>
      <c r="E829" s="82"/>
      <c r="F829" s="80"/>
      <c r="H829" s="82"/>
      <c r="I829" s="80"/>
      <c r="J829" s="51" t="str">
        <f>IFERROR(Hyperlink(VLOOKUP(A829,Internal_lists_bugs!$A$2:$G1013,7,FALSE()),"BIC: "&amp;VLOOKUP(A829,Internal_lists_bugs!$A$2:$G1013,7,FALSE())&amp;CHAR(10)&amp;"Intro.Issues: "&amp;VLOOKUP(A829,Internal_lists_bugs!$A$2:$P1013,16,FALSE())),"please select a BUG ID")</f>
        <v>please select a BUG ID</v>
      </c>
    </row>
    <row r="830">
      <c r="A830" s="54"/>
      <c r="B830" s="88" t="str">
        <f>IFERROR(HYPERLINK(VLOOKUP(A830,Internal_lists_bugs!$A$2:$C$73,3,FALSE()), VLOOKUP(A830,Internal_lists_bugs!$A$2:$C$73,3,FALSE())&amp;Char(10) &amp; Char(10) &amp; VLOOKUP(A830,Internal_lists_bugs!$A$2:$Z$73,26,FALSE())),"please select a BUG ID")</f>
        <v>please select a BUG ID</v>
      </c>
      <c r="C830" s="89" t="str">
        <f>IFERROR(VLOOKUP(A830,Internal_lists_bugs!$A$2:$X1013,24,FALSE()),"please select a BUG ID")</f>
        <v>please select a BUG ID</v>
      </c>
      <c r="E830" s="82"/>
      <c r="F830" s="80"/>
      <c r="H830" s="82"/>
      <c r="I830" s="80"/>
      <c r="J830" s="51" t="str">
        <f>IFERROR(Hyperlink(VLOOKUP(A830,Internal_lists_bugs!$A$2:$G1013,7,FALSE()),"BIC: "&amp;VLOOKUP(A830,Internal_lists_bugs!$A$2:$G1013,7,FALSE())&amp;CHAR(10)&amp;"Intro.Issues: "&amp;VLOOKUP(A830,Internal_lists_bugs!$A$2:$P1013,16,FALSE())),"please select a BUG ID")</f>
        <v>please select a BUG ID</v>
      </c>
    </row>
    <row r="831">
      <c r="A831" s="54"/>
      <c r="B831" s="88" t="str">
        <f>IFERROR(HYPERLINK(VLOOKUP(A831,Internal_lists_bugs!$A$2:$C$73,3,FALSE()), VLOOKUP(A831,Internal_lists_bugs!$A$2:$C$73,3,FALSE())&amp;Char(10) &amp; Char(10) &amp; VLOOKUP(A831,Internal_lists_bugs!$A$2:$Z$73,26,FALSE())),"please select a BUG ID")</f>
        <v>please select a BUG ID</v>
      </c>
      <c r="C831" s="89" t="str">
        <f>IFERROR(VLOOKUP(A831,Internal_lists_bugs!$A$2:$X1013,24,FALSE()),"please select a BUG ID")</f>
        <v>please select a BUG ID</v>
      </c>
      <c r="E831" s="82"/>
      <c r="F831" s="80"/>
      <c r="H831" s="82"/>
      <c r="I831" s="80"/>
      <c r="J831" s="51" t="str">
        <f>IFERROR(Hyperlink(VLOOKUP(A831,Internal_lists_bugs!$A$2:$G1013,7,FALSE()),"BIC: "&amp;VLOOKUP(A831,Internal_lists_bugs!$A$2:$G1013,7,FALSE())&amp;CHAR(10)&amp;"Intro.Issues: "&amp;VLOOKUP(A831,Internal_lists_bugs!$A$2:$P1013,16,FALSE())),"please select a BUG ID")</f>
        <v>please select a BUG ID</v>
      </c>
    </row>
    <row r="832">
      <c r="A832" s="54"/>
      <c r="B832" s="88" t="str">
        <f>IFERROR(HYPERLINK(VLOOKUP(A832,Internal_lists_bugs!$A$2:$C$73,3,FALSE()), VLOOKUP(A832,Internal_lists_bugs!$A$2:$C$73,3,FALSE())&amp;Char(10) &amp; Char(10) &amp; VLOOKUP(A832,Internal_lists_bugs!$A$2:$Z$73,26,FALSE())),"please select a BUG ID")</f>
        <v>please select a BUG ID</v>
      </c>
      <c r="C832" s="89" t="str">
        <f>IFERROR(VLOOKUP(A832,Internal_lists_bugs!$A$2:$X1013,24,FALSE()),"please select a BUG ID")</f>
        <v>please select a BUG ID</v>
      </c>
      <c r="E832" s="82"/>
      <c r="F832" s="80"/>
      <c r="H832" s="82"/>
      <c r="I832" s="80"/>
      <c r="J832" s="51" t="str">
        <f>IFERROR(Hyperlink(VLOOKUP(A832,Internal_lists_bugs!$A$2:$G1013,7,FALSE()),"BIC: "&amp;VLOOKUP(A832,Internal_lists_bugs!$A$2:$G1013,7,FALSE())&amp;CHAR(10)&amp;"Intro.Issues: "&amp;VLOOKUP(A832,Internal_lists_bugs!$A$2:$P1013,16,FALSE())),"please select a BUG ID")</f>
        <v>please select a BUG ID</v>
      </c>
    </row>
    <row r="833">
      <c r="A833" s="54"/>
      <c r="B833" s="88" t="str">
        <f>IFERROR(HYPERLINK(VLOOKUP(A833,Internal_lists_bugs!$A$2:$C$73,3,FALSE()), VLOOKUP(A833,Internal_lists_bugs!$A$2:$C$73,3,FALSE())&amp;Char(10) &amp; Char(10) &amp; VLOOKUP(A833,Internal_lists_bugs!$A$2:$Z$73,26,FALSE())),"please select a BUG ID")</f>
        <v>please select a BUG ID</v>
      </c>
      <c r="C833" s="89" t="str">
        <f>IFERROR(VLOOKUP(A833,Internal_lists_bugs!$A$2:$X1013,24,FALSE()),"please select a BUG ID")</f>
        <v>please select a BUG ID</v>
      </c>
      <c r="E833" s="82"/>
      <c r="F833" s="80"/>
      <c r="H833" s="82"/>
      <c r="I833" s="80"/>
      <c r="J833" s="51" t="str">
        <f>IFERROR(Hyperlink(VLOOKUP(A833,Internal_lists_bugs!$A$2:$G1013,7,FALSE()),"BIC: "&amp;VLOOKUP(A833,Internal_lists_bugs!$A$2:$G1013,7,FALSE())&amp;CHAR(10)&amp;"Intro.Issues: "&amp;VLOOKUP(A833,Internal_lists_bugs!$A$2:$P1013,16,FALSE())),"please select a BUG ID")</f>
        <v>please select a BUG ID</v>
      </c>
    </row>
    <row r="834">
      <c r="A834" s="54"/>
      <c r="B834" s="88" t="str">
        <f>IFERROR(HYPERLINK(VLOOKUP(A834,Internal_lists_bugs!$A$2:$C$73,3,FALSE()), VLOOKUP(A834,Internal_lists_bugs!$A$2:$C$73,3,FALSE())&amp;Char(10) &amp; Char(10) &amp; VLOOKUP(A834,Internal_lists_bugs!$A$2:$Z$73,26,FALSE())),"please select a BUG ID")</f>
        <v>please select a BUG ID</v>
      </c>
      <c r="C834" s="89" t="str">
        <f>IFERROR(VLOOKUP(A834,Internal_lists_bugs!$A$2:$X1013,24,FALSE()),"please select a BUG ID")</f>
        <v>please select a BUG ID</v>
      </c>
      <c r="E834" s="82"/>
      <c r="F834" s="80"/>
      <c r="H834" s="82"/>
      <c r="I834" s="80"/>
      <c r="J834" s="51" t="str">
        <f>IFERROR(Hyperlink(VLOOKUP(A834,Internal_lists_bugs!$A$2:$G1013,7,FALSE()),"BIC: "&amp;VLOOKUP(A834,Internal_lists_bugs!$A$2:$G1013,7,FALSE())&amp;CHAR(10)&amp;"Intro.Issues: "&amp;VLOOKUP(A834,Internal_lists_bugs!$A$2:$P1013,16,FALSE())),"please select a BUG ID")</f>
        <v>please select a BUG ID</v>
      </c>
    </row>
    <row r="835">
      <c r="A835" s="54"/>
      <c r="B835" s="88" t="str">
        <f>IFERROR(HYPERLINK(VLOOKUP(A835,Internal_lists_bugs!$A$2:$C$73,3,FALSE()), VLOOKUP(A835,Internal_lists_bugs!$A$2:$C$73,3,FALSE())&amp;Char(10) &amp; Char(10) &amp; VLOOKUP(A835,Internal_lists_bugs!$A$2:$Z$73,26,FALSE())),"please select a BUG ID")</f>
        <v>please select a BUG ID</v>
      </c>
      <c r="C835" s="89" t="str">
        <f>IFERROR(VLOOKUP(A835,Internal_lists_bugs!$A$2:$X1013,24,FALSE()),"please select a BUG ID")</f>
        <v>please select a BUG ID</v>
      </c>
      <c r="E835" s="82"/>
      <c r="F835" s="80"/>
      <c r="H835" s="82"/>
      <c r="I835" s="80"/>
      <c r="J835" s="51" t="str">
        <f>IFERROR(Hyperlink(VLOOKUP(A835,Internal_lists_bugs!$A$2:$G1013,7,FALSE()),"BIC: "&amp;VLOOKUP(A835,Internal_lists_bugs!$A$2:$G1013,7,FALSE())&amp;CHAR(10)&amp;"Intro.Issues: "&amp;VLOOKUP(A835,Internal_lists_bugs!$A$2:$P1013,16,FALSE())),"please select a BUG ID")</f>
        <v>please select a BUG ID</v>
      </c>
    </row>
    <row r="836">
      <c r="A836" s="54"/>
      <c r="B836" s="88" t="str">
        <f>IFERROR(HYPERLINK(VLOOKUP(A836,Internal_lists_bugs!$A$2:$C$73,3,FALSE()), VLOOKUP(A836,Internal_lists_bugs!$A$2:$C$73,3,FALSE())&amp;Char(10) &amp; Char(10) &amp; VLOOKUP(A836,Internal_lists_bugs!$A$2:$Z$73,26,FALSE())),"please select a BUG ID")</f>
        <v>please select a BUG ID</v>
      </c>
      <c r="C836" s="89" t="str">
        <f>IFERROR(VLOOKUP(A836,Internal_lists_bugs!$A$2:$X1013,24,FALSE()),"please select a BUG ID")</f>
        <v>please select a BUG ID</v>
      </c>
      <c r="E836" s="82"/>
      <c r="F836" s="80"/>
      <c r="H836" s="82"/>
      <c r="I836" s="80"/>
      <c r="J836" s="51" t="str">
        <f>IFERROR(Hyperlink(VLOOKUP(A836,Internal_lists_bugs!$A$2:$G1013,7,FALSE()),"BIC: "&amp;VLOOKUP(A836,Internal_lists_bugs!$A$2:$G1013,7,FALSE())&amp;CHAR(10)&amp;"Intro.Issues: "&amp;VLOOKUP(A836,Internal_lists_bugs!$A$2:$P1013,16,FALSE())),"please select a BUG ID")</f>
        <v>please select a BUG ID</v>
      </c>
    </row>
    <row r="837">
      <c r="A837" s="54"/>
      <c r="B837" s="88" t="str">
        <f>IFERROR(HYPERLINK(VLOOKUP(A837,Internal_lists_bugs!$A$2:$C$73,3,FALSE()), VLOOKUP(A837,Internal_lists_bugs!$A$2:$C$73,3,FALSE())&amp;Char(10) &amp; Char(10) &amp; VLOOKUP(A837,Internal_lists_bugs!$A$2:$Z$73,26,FALSE())),"please select a BUG ID")</f>
        <v>please select a BUG ID</v>
      </c>
      <c r="C837" s="89" t="str">
        <f>IFERROR(VLOOKUP(A837,Internal_lists_bugs!$A$2:$X1013,24,FALSE()),"please select a BUG ID")</f>
        <v>please select a BUG ID</v>
      </c>
      <c r="E837" s="82"/>
      <c r="F837" s="80"/>
      <c r="H837" s="82"/>
      <c r="I837" s="80"/>
      <c r="J837" s="51" t="str">
        <f>IFERROR(Hyperlink(VLOOKUP(A837,Internal_lists_bugs!$A$2:$G1013,7,FALSE()),"BIC: "&amp;VLOOKUP(A837,Internal_lists_bugs!$A$2:$G1013,7,FALSE())&amp;CHAR(10)&amp;"Intro.Issues: "&amp;VLOOKUP(A837,Internal_lists_bugs!$A$2:$P1013,16,FALSE())),"please select a BUG ID")</f>
        <v>please select a BUG ID</v>
      </c>
    </row>
    <row r="838">
      <c r="A838" s="54"/>
      <c r="B838" s="88" t="str">
        <f>IFERROR(HYPERLINK(VLOOKUP(A838,Internal_lists_bugs!$A$2:$C$73,3,FALSE()), VLOOKUP(A838,Internal_lists_bugs!$A$2:$C$73,3,FALSE())&amp;Char(10) &amp; Char(10) &amp; VLOOKUP(A838,Internal_lists_bugs!$A$2:$Z$73,26,FALSE())),"please select a BUG ID")</f>
        <v>please select a BUG ID</v>
      </c>
      <c r="C838" s="89" t="str">
        <f>IFERROR(VLOOKUP(A838,Internal_lists_bugs!$A$2:$X1013,24,FALSE()),"please select a BUG ID")</f>
        <v>please select a BUG ID</v>
      </c>
      <c r="E838" s="82"/>
      <c r="F838" s="80"/>
      <c r="H838" s="82"/>
      <c r="I838" s="80"/>
      <c r="J838" s="51" t="str">
        <f>IFERROR(Hyperlink(VLOOKUP(A838,Internal_lists_bugs!$A$2:$G1013,7,FALSE()),"BIC: "&amp;VLOOKUP(A838,Internal_lists_bugs!$A$2:$G1013,7,FALSE())&amp;CHAR(10)&amp;"Intro.Issues: "&amp;VLOOKUP(A838,Internal_lists_bugs!$A$2:$P1013,16,FALSE())),"please select a BUG ID")</f>
        <v>please select a BUG ID</v>
      </c>
    </row>
    <row r="839">
      <c r="A839" s="54"/>
      <c r="B839" s="88" t="str">
        <f>IFERROR(HYPERLINK(VLOOKUP(A839,Internal_lists_bugs!$A$2:$C$73,3,FALSE()), VLOOKUP(A839,Internal_lists_bugs!$A$2:$C$73,3,FALSE())&amp;Char(10) &amp; Char(10) &amp; VLOOKUP(A839,Internal_lists_bugs!$A$2:$Z$73,26,FALSE())),"please select a BUG ID")</f>
        <v>please select a BUG ID</v>
      </c>
      <c r="C839" s="89" t="str">
        <f>IFERROR(VLOOKUP(A839,Internal_lists_bugs!$A$2:$X1013,24,FALSE()),"please select a BUG ID")</f>
        <v>please select a BUG ID</v>
      </c>
      <c r="E839" s="82"/>
      <c r="F839" s="80"/>
      <c r="H839" s="82"/>
      <c r="I839" s="80"/>
      <c r="J839" s="51" t="str">
        <f>IFERROR(Hyperlink(VLOOKUP(A839,Internal_lists_bugs!$A$2:$G1013,7,FALSE()),"BIC: "&amp;VLOOKUP(A839,Internal_lists_bugs!$A$2:$G1013,7,FALSE())&amp;CHAR(10)&amp;"Intro.Issues: "&amp;VLOOKUP(A839,Internal_lists_bugs!$A$2:$P1013,16,FALSE())),"please select a BUG ID")</f>
        <v>please select a BUG ID</v>
      </c>
    </row>
    <row r="840">
      <c r="A840" s="54"/>
      <c r="B840" s="88" t="str">
        <f>IFERROR(HYPERLINK(VLOOKUP(A840,Internal_lists_bugs!$A$2:$C$73,3,FALSE()), VLOOKUP(A840,Internal_lists_bugs!$A$2:$C$73,3,FALSE())&amp;Char(10) &amp; Char(10) &amp; VLOOKUP(A840,Internal_lists_bugs!$A$2:$Z$73,26,FALSE())),"please select a BUG ID")</f>
        <v>please select a BUG ID</v>
      </c>
      <c r="C840" s="89" t="str">
        <f>IFERROR(VLOOKUP(A840,Internal_lists_bugs!$A$2:$X1013,24,FALSE()),"please select a BUG ID")</f>
        <v>please select a BUG ID</v>
      </c>
      <c r="E840" s="82"/>
      <c r="F840" s="80"/>
      <c r="H840" s="82"/>
      <c r="I840" s="80"/>
      <c r="J840" s="51" t="str">
        <f>IFERROR(Hyperlink(VLOOKUP(A840,Internal_lists_bugs!$A$2:$G1013,7,FALSE()),"BIC: "&amp;VLOOKUP(A840,Internal_lists_bugs!$A$2:$G1013,7,FALSE())&amp;CHAR(10)&amp;"Intro.Issues: "&amp;VLOOKUP(A840,Internal_lists_bugs!$A$2:$P1013,16,FALSE())),"please select a BUG ID")</f>
        <v>please select a BUG ID</v>
      </c>
    </row>
    <row r="841">
      <c r="A841" s="54"/>
      <c r="B841" s="88" t="str">
        <f>IFERROR(HYPERLINK(VLOOKUP(A841,Internal_lists_bugs!$A$2:$C$73,3,FALSE()), VLOOKUP(A841,Internal_lists_bugs!$A$2:$C$73,3,FALSE())&amp;Char(10) &amp; Char(10) &amp; VLOOKUP(A841,Internal_lists_bugs!$A$2:$Z$73,26,FALSE())),"please select a BUG ID")</f>
        <v>please select a BUG ID</v>
      </c>
      <c r="C841" s="89" t="str">
        <f>IFERROR(VLOOKUP(A841,Internal_lists_bugs!$A$2:$X1013,24,FALSE()),"please select a BUG ID")</f>
        <v>please select a BUG ID</v>
      </c>
      <c r="E841" s="82"/>
      <c r="F841" s="80"/>
      <c r="H841" s="82"/>
      <c r="I841" s="80"/>
      <c r="J841" s="51" t="str">
        <f>IFERROR(Hyperlink(VLOOKUP(A841,Internal_lists_bugs!$A$2:$G1013,7,FALSE()),"BIC: "&amp;VLOOKUP(A841,Internal_lists_bugs!$A$2:$G1013,7,FALSE())&amp;CHAR(10)&amp;"Intro.Issues: "&amp;VLOOKUP(A841,Internal_lists_bugs!$A$2:$P1013,16,FALSE())),"please select a BUG ID")</f>
        <v>please select a BUG ID</v>
      </c>
    </row>
    <row r="842">
      <c r="A842" s="54"/>
      <c r="B842" s="88" t="str">
        <f>IFERROR(HYPERLINK(VLOOKUP(A842,Internal_lists_bugs!$A$2:$C$73,3,FALSE()), VLOOKUP(A842,Internal_lists_bugs!$A$2:$C$73,3,FALSE())&amp;Char(10) &amp; Char(10) &amp; VLOOKUP(A842,Internal_lists_bugs!$A$2:$Z$73,26,FALSE())),"please select a BUG ID")</f>
        <v>please select a BUG ID</v>
      </c>
      <c r="C842" s="89" t="str">
        <f>IFERROR(VLOOKUP(A842,Internal_lists_bugs!$A$2:$X1013,24,FALSE()),"please select a BUG ID")</f>
        <v>please select a BUG ID</v>
      </c>
      <c r="E842" s="82"/>
      <c r="F842" s="80"/>
      <c r="H842" s="82"/>
      <c r="I842" s="80"/>
      <c r="J842" s="51" t="str">
        <f>IFERROR(Hyperlink(VLOOKUP(A842,Internal_lists_bugs!$A$2:$G1013,7,FALSE()),"BIC: "&amp;VLOOKUP(A842,Internal_lists_bugs!$A$2:$G1013,7,FALSE())&amp;CHAR(10)&amp;"Intro.Issues: "&amp;VLOOKUP(A842,Internal_lists_bugs!$A$2:$P1013,16,FALSE())),"please select a BUG ID")</f>
        <v>please select a BUG ID</v>
      </c>
    </row>
    <row r="843">
      <c r="A843" s="54"/>
      <c r="B843" s="88" t="str">
        <f>IFERROR(HYPERLINK(VLOOKUP(A843,Internal_lists_bugs!$A$2:$C$73,3,FALSE()), VLOOKUP(A843,Internal_lists_bugs!$A$2:$C$73,3,FALSE())&amp;Char(10) &amp; Char(10) &amp; VLOOKUP(A843,Internal_lists_bugs!$A$2:$Z$73,26,FALSE())),"please select a BUG ID")</f>
        <v>please select a BUG ID</v>
      </c>
      <c r="C843" s="89" t="str">
        <f>IFERROR(VLOOKUP(A843,Internal_lists_bugs!$A$2:$X1013,24,FALSE()),"please select a BUG ID")</f>
        <v>please select a BUG ID</v>
      </c>
      <c r="E843" s="82"/>
      <c r="F843" s="80"/>
      <c r="H843" s="82"/>
      <c r="I843" s="80"/>
      <c r="J843" s="51" t="str">
        <f>IFERROR(Hyperlink(VLOOKUP(A843,Internal_lists_bugs!$A$2:$G1013,7,FALSE()),"BIC: "&amp;VLOOKUP(A843,Internal_lists_bugs!$A$2:$G1013,7,FALSE())&amp;CHAR(10)&amp;"Intro.Issues: "&amp;VLOOKUP(A843,Internal_lists_bugs!$A$2:$P1013,16,FALSE())),"please select a BUG ID")</f>
        <v>please select a BUG ID</v>
      </c>
    </row>
    <row r="844">
      <c r="A844" s="54"/>
      <c r="B844" s="88" t="str">
        <f>IFERROR(HYPERLINK(VLOOKUP(A844,Internal_lists_bugs!$A$2:$C$73,3,FALSE()), VLOOKUP(A844,Internal_lists_bugs!$A$2:$C$73,3,FALSE())&amp;Char(10) &amp; Char(10) &amp; VLOOKUP(A844,Internal_lists_bugs!$A$2:$Z$73,26,FALSE())),"please select a BUG ID")</f>
        <v>please select a BUG ID</v>
      </c>
      <c r="C844" s="89" t="str">
        <f>IFERROR(VLOOKUP(A844,Internal_lists_bugs!$A$2:$X1013,24,FALSE()),"please select a BUG ID")</f>
        <v>please select a BUG ID</v>
      </c>
      <c r="E844" s="82"/>
      <c r="F844" s="80"/>
      <c r="H844" s="82"/>
      <c r="I844" s="80"/>
      <c r="J844" s="51" t="str">
        <f>IFERROR(Hyperlink(VLOOKUP(A844,Internal_lists_bugs!$A$2:$G1013,7,FALSE()),"BIC: "&amp;VLOOKUP(A844,Internal_lists_bugs!$A$2:$G1013,7,FALSE())&amp;CHAR(10)&amp;"Intro.Issues: "&amp;VLOOKUP(A844,Internal_lists_bugs!$A$2:$P1013,16,FALSE())),"please select a BUG ID")</f>
        <v>please select a BUG ID</v>
      </c>
    </row>
    <row r="845">
      <c r="A845" s="54"/>
      <c r="B845" s="88" t="str">
        <f>IFERROR(HYPERLINK(VLOOKUP(A845,Internal_lists_bugs!$A$2:$C$73,3,FALSE()), VLOOKUP(A845,Internal_lists_bugs!$A$2:$C$73,3,FALSE())&amp;Char(10) &amp; Char(10) &amp; VLOOKUP(A845,Internal_lists_bugs!$A$2:$Z$73,26,FALSE())),"please select a BUG ID")</f>
        <v>please select a BUG ID</v>
      </c>
      <c r="C845" s="89" t="str">
        <f>IFERROR(VLOOKUP(A845,Internal_lists_bugs!$A$2:$X1013,24,FALSE()),"please select a BUG ID")</f>
        <v>please select a BUG ID</v>
      </c>
      <c r="E845" s="82"/>
      <c r="F845" s="80"/>
      <c r="H845" s="82"/>
      <c r="I845" s="80"/>
      <c r="J845" s="51" t="str">
        <f>IFERROR(Hyperlink(VLOOKUP(A845,Internal_lists_bugs!$A$2:$G1013,7,FALSE()),"BIC: "&amp;VLOOKUP(A845,Internal_lists_bugs!$A$2:$G1013,7,FALSE())&amp;CHAR(10)&amp;"Intro.Issues: "&amp;VLOOKUP(A845,Internal_lists_bugs!$A$2:$P1013,16,FALSE())),"please select a BUG ID")</f>
        <v>please select a BUG ID</v>
      </c>
    </row>
    <row r="846">
      <c r="A846" s="54"/>
      <c r="B846" s="88" t="str">
        <f>IFERROR(HYPERLINK(VLOOKUP(A846,Internal_lists_bugs!$A$2:$C$73,3,FALSE()), VLOOKUP(A846,Internal_lists_bugs!$A$2:$C$73,3,FALSE())&amp;Char(10) &amp; Char(10) &amp; VLOOKUP(A846,Internal_lists_bugs!$A$2:$Z$73,26,FALSE())),"please select a BUG ID")</f>
        <v>please select a BUG ID</v>
      </c>
      <c r="C846" s="89" t="str">
        <f>IFERROR(VLOOKUP(A846,Internal_lists_bugs!$A$2:$X1013,24,FALSE()),"please select a BUG ID")</f>
        <v>please select a BUG ID</v>
      </c>
      <c r="E846" s="82"/>
      <c r="F846" s="80"/>
      <c r="H846" s="82"/>
      <c r="I846" s="80"/>
      <c r="J846" s="51" t="str">
        <f>IFERROR(Hyperlink(VLOOKUP(A846,Internal_lists_bugs!$A$2:$G1013,7,FALSE()),"BIC: "&amp;VLOOKUP(A846,Internal_lists_bugs!$A$2:$G1013,7,FALSE())&amp;CHAR(10)&amp;"Intro.Issues: "&amp;VLOOKUP(A846,Internal_lists_bugs!$A$2:$P1013,16,FALSE())),"please select a BUG ID")</f>
        <v>please select a BUG ID</v>
      </c>
    </row>
    <row r="847">
      <c r="A847" s="54"/>
      <c r="B847" s="88" t="str">
        <f>IFERROR(HYPERLINK(VLOOKUP(A847,Internal_lists_bugs!$A$2:$C$73,3,FALSE()), VLOOKUP(A847,Internal_lists_bugs!$A$2:$C$73,3,FALSE())&amp;Char(10) &amp; Char(10) &amp; VLOOKUP(A847,Internal_lists_bugs!$A$2:$Z$73,26,FALSE())),"please select a BUG ID")</f>
        <v>please select a BUG ID</v>
      </c>
      <c r="C847" s="89" t="str">
        <f>IFERROR(VLOOKUP(A847,Internal_lists_bugs!$A$2:$X1013,24,FALSE()),"please select a BUG ID")</f>
        <v>please select a BUG ID</v>
      </c>
      <c r="E847" s="82"/>
      <c r="F847" s="80"/>
      <c r="H847" s="82"/>
      <c r="I847" s="80"/>
      <c r="J847" s="51" t="str">
        <f>IFERROR(Hyperlink(VLOOKUP(A847,Internal_lists_bugs!$A$2:$G1013,7,FALSE()),"BIC: "&amp;VLOOKUP(A847,Internal_lists_bugs!$A$2:$G1013,7,FALSE())&amp;CHAR(10)&amp;"Intro.Issues: "&amp;VLOOKUP(A847,Internal_lists_bugs!$A$2:$P1013,16,FALSE())),"please select a BUG ID")</f>
        <v>please select a BUG ID</v>
      </c>
    </row>
    <row r="848">
      <c r="A848" s="54"/>
      <c r="B848" s="88" t="str">
        <f>IFERROR(HYPERLINK(VLOOKUP(A848,Internal_lists_bugs!$A$2:$C$73,3,FALSE()), VLOOKUP(A848,Internal_lists_bugs!$A$2:$C$73,3,FALSE())&amp;Char(10) &amp; Char(10) &amp; VLOOKUP(A848,Internal_lists_bugs!$A$2:$Z$73,26,FALSE())),"please select a BUG ID")</f>
        <v>please select a BUG ID</v>
      </c>
      <c r="C848" s="89" t="str">
        <f>IFERROR(VLOOKUP(A848,Internal_lists_bugs!$A$2:$X1013,24,FALSE()),"please select a BUG ID")</f>
        <v>please select a BUG ID</v>
      </c>
      <c r="E848" s="82"/>
      <c r="F848" s="80"/>
      <c r="H848" s="82"/>
      <c r="I848" s="80"/>
      <c r="J848" s="51" t="str">
        <f>IFERROR(Hyperlink(VLOOKUP(A848,Internal_lists_bugs!$A$2:$G1013,7,FALSE()),"BIC: "&amp;VLOOKUP(A848,Internal_lists_bugs!$A$2:$G1013,7,FALSE())&amp;CHAR(10)&amp;"Intro.Issues: "&amp;VLOOKUP(A848,Internal_lists_bugs!$A$2:$P1013,16,FALSE())),"please select a BUG ID")</f>
        <v>please select a BUG ID</v>
      </c>
    </row>
    <row r="849">
      <c r="A849" s="54"/>
      <c r="B849" s="88" t="str">
        <f>IFERROR(HYPERLINK(VLOOKUP(A849,Internal_lists_bugs!$A$2:$C$73,3,FALSE()), VLOOKUP(A849,Internal_lists_bugs!$A$2:$C$73,3,FALSE())&amp;Char(10) &amp; Char(10) &amp; VLOOKUP(A849,Internal_lists_bugs!$A$2:$Z$73,26,FALSE())),"please select a BUG ID")</f>
        <v>please select a BUG ID</v>
      </c>
      <c r="C849" s="89" t="str">
        <f>IFERROR(VLOOKUP(A849,Internal_lists_bugs!$A$2:$X1013,24,FALSE()),"please select a BUG ID")</f>
        <v>please select a BUG ID</v>
      </c>
      <c r="E849" s="82"/>
      <c r="F849" s="80"/>
      <c r="H849" s="82"/>
      <c r="I849" s="80"/>
      <c r="J849" s="51" t="str">
        <f>IFERROR(Hyperlink(VLOOKUP(A849,Internal_lists_bugs!$A$2:$G1013,7,FALSE()),"BIC: "&amp;VLOOKUP(A849,Internal_lists_bugs!$A$2:$G1013,7,FALSE())&amp;CHAR(10)&amp;"Intro.Issues: "&amp;VLOOKUP(A849,Internal_lists_bugs!$A$2:$P1013,16,FALSE())),"please select a BUG ID")</f>
        <v>please select a BUG ID</v>
      </c>
    </row>
    <row r="850">
      <c r="A850" s="54"/>
      <c r="B850" s="88" t="str">
        <f>IFERROR(HYPERLINK(VLOOKUP(A850,Internal_lists_bugs!$A$2:$C$73,3,FALSE()), VLOOKUP(A850,Internal_lists_bugs!$A$2:$C$73,3,FALSE())&amp;Char(10) &amp; Char(10) &amp; VLOOKUP(A850,Internal_lists_bugs!$A$2:$Z$73,26,FALSE())),"please select a BUG ID")</f>
        <v>please select a BUG ID</v>
      </c>
      <c r="C850" s="89" t="str">
        <f>IFERROR(VLOOKUP(A850,Internal_lists_bugs!$A$2:$X1013,24,FALSE()),"please select a BUG ID")</f>
        <v>please select a BUG ID</v>
      </c>
      <c r="E850" s="82"/>
      <c r="F850" s="80"/>
      <c r="H850" s="82"/>
      <c r="I850" s="80"/>
      <c r="J850" s="51" t="str">
        <f>IFERROR(Hyperlink(VLOOKUP(A850,Internal_lists_bugs!$A$2:$G1013,7,FALSE()),"BIC: "&amp;VLOOKUP(A850,Internal_lists_bugs!$A$2:$G1013,7,FALSE())&amp;CHAR(10)&amp;"Intro.Issues: "&amp;VLOOKUP(A850,Internal_lists_bugs!$A$2:$P1013,16,FALSE())),"please select a BUG ID")</f>
        <v>please select a BUG ID</v>
      </c>
    </row>
    <row r="851">
      <c r="A851" s="54"/>
      <c r="B851" s="88" t="str">
        <f>IFERROR(HYPERLINK(VLOOKUP(A851,Internal_lists_bugs!$A$2:$C$73,3,FALSE()), VLOOKUP(A851,Internal_lists_bugs!$A$2:$C$73,3,FALSE())&amp;Char(10) &amp; Char(10) &amp; VLOOKUP(A851,Internal_lists_bugs!$A$2:$Z$73,26,FALSE())),"please select a BUG ID")</f>
        <v>please select a BUG ID</v>
      </c>
      <c r="C851" s="89" t="str">
        <f>IFERROR(VLOOKUP(A851,Internal_lists_bugs!$A$2:$X1013,24,FALSE()),"please select a BUG ID")</f>
        <v>please select a BUG ID</v>
      </c>
      <c r="E851" s="82"/>
      <c r="F851" s="80"/>
      <c r="H851" s="82"/>
      <c r="I851" s="80"/>
      <c r="J851" s="51" t="str">
        <f>IFERROR(Hyperlink(VLOOKUP(A851,Internal_lists_bugs!$A$2:$G1013,7,FALSE()),"BIC: "&amp;VLOOKUP(A851,Internal_lists_bugs!$A$2:$G1013,7,FALSE())&amp;CHAR(10)&amp;"Intro.Issues: "&amp;VLOOKUP(A851,Internal_lists_bugs!$A$2:$P1013,16,FALSE())),"please select a BUG ID")</f>
        <v>please select a BUG ID</v>
      </c>
    </row>
    <row r="852">
      <c r="A852" s="54"/>
      <c r="B852" s="88" t="str">
        <f>IFERROR(HYPERLINK(VLOOKUP(A852,Internal_lists_bugs!$A$2:$C$73,3,FALSE()), VLOOKUP(A852,Internal_lists_bugs!$A$2:$C$73,3,FALSE())&amp;Char(10) &amp; Char(10) &amp; VLOOKUP(A852,Internal_lists_bugs!$A$2:$Z$73,26,FALSE())),"please select a BUG ID")</f>
        <v>please select a BUG ID</v>
      </c>
      <c r="C852" s="89" t="str">
        <f>IFERROR(VLOOKUP(A852,Internal_lists_bugs!$A$2:$X1013,24,FALSE()),"please select a BUG ID")</f>
        <v>please select a BUG ID</v>
      </c>
      <c r="E852" s="82"/>
      <c r="F852" s="80"/>
      <c r="H852" s="82"/>
      <c r="I852" s="80"/>
      <c r="J852" s="51" t="str">
        <f>IFERROR(Hyperlink(VLOOKUP(A852,Internal_lists_bugs!$A$2:$G1013,7,FALSE()),"BIC: "&amp;VLOOKUP(A852,Internal_lists_bugs!$A$2:$G1013,7,FALSE())&amp;CHAR(10)&amp;"Intro.Issues: "&amp;VLOOKUP(A852,Internal_lists_bugs!$A$2:$P1013,16,FALSE())),"please select a BUG ID")</f>
        <v>please select a BUG ID</v>
      </c>
    </row>
    <row r="853">
      <c r="A853" s="54"/>
      <c r="B853" s="88" t="str">
        <f>IFERROR(HYPERLINK(VLOOKUP(A853,Internal_lists_bugs!$A$2:$C$73,3,FALSE()), VLOOKUP(A853,Internal_lists_bugs!$A$2:$C$73,3,FALSE())&amp;Char(10) &amp; Char(10) &amp; VLOOKUP(A853,Internal_lists_bugs!$A$2:$Z$73,26,FALSE())),"please select a BUG ID")</f>
        <v>please select a BUG ID</v>
      </c>
      <c r="C853" s="89" t="str">
        <f>IFERROR(VLOOKUP(A853,Internal_lists_bugs!$A$2:$X1013,24,FALSE()),"please select a BUG ID")</f>
        <v>please select a BUG ID</v>
      </c>
      <c r="E853" s="82"/>
      <c r="F853" s="80"/>
      <c r="H853" s="82"/>
      <c r="I853" s="80"/>
      <c r="J853" s="51" t="str">
        <f>IFERROR(Hyperlink(VLOOKUP(A853,Internal_lists_bugs!$A$2:$G1013,7,FALSE()),"BIC: "&amp;VLOOKUP(A853,Internal_lists_bugs!$A$2:$G1013,7,FALSE())&amp;CHAR(10)&amp;"Intro.Issues: "&amp;VLOOKUP(A853,Internal_lists_bugs!$A$2:$P1013,16,FALSE())),"please select a BUG ID")</f>
        <v>please select a BUG ID</v>
      </c>
    </row>
    <row r="854">
      <c r="A854" s="54"/>
      <c r="B854" s="88" t="str">
        <f>IFERROR(HYPERLINK(VLOOKUP(A854,Internal_lists_bugs!$A$2:$C$73,3,FALSE()), VLOOKUP(A854,Internal_lists_bugs!$A$2:$C$73,3,FALSE())&amp;Char(10) &amp; Char(10) &amp; VLOOKUP(A854,Internal_lists_bugs!$A$2:$Z$73,26,FALSE())),"please select a BUG ID")</f>
        <v>please select a BUG ID</v>
      </c>
      <c r="C854" s="89" t="str">
        <f>IFERROR(VLOOKUP(A854,Internal_lists_bugs!$A$2:$X1013,24,FALSE()),"please select a BUG ID")</f>
        <v>please select a BUG ID</v>
      </c>
      <c r="E854" s="82"/>
      <c r="F854" s="80"/>
      <c r="H854" s="82"/>
      <c r="I854" s="80"/>
      <c r="J854" s="51" t="str">
        <f>IFERROR(Hyperlink(VLOOKUP(A854,Internal_lists_bugs!$A$2:$G1013,7,FALSE()),"BIC: "&amp;VLOOKUP(A854,Internal_lists_bugs!$A$2:$G1013,7,FALSE())&amp;CHAR(10)&amp;"Intro.Issues: "&amp;VLOOKUP(A854,Internal_lists_bugs!$A$2:$P1013,16,FALSE())),"please select a BUG ID")</f>
        <v>please select a BUG ID</v>
      </c>
    </row>
    <row r="855">
      <c r="A855" s="54"/>
      <c r="B855" s="88" t="str">
        <f>IFERROR(HYPERLINK(VLOOKUP(A855,Internal_lists_bugs!$A$2:$C$73,3,FALSE()), VLOOKUP(A855,Internal_lists_bugs!$A$2:$C$73,3,FALSE())&amp;Char(10) &amp; Char(10) &amp; VLOOKUP(A855,Internal_lists_bugs!$A$2:$Z$73,26,FALSE())),"please select a BUG ID")</f>
        <v>please select a BUG ID</v>
      </c>
      <c r="C855" s="89" t="str">
        <f>IFERROR(VLOOKUP(A855,Internal_lists_bugs!$A$2:$X1013,24,FALSE()),"please select a BUG ID")</f>
        <v>please select a BUG ID</v>
      </c>
      <c r="E855" s="82"/>
      <c r="F855" s="80"/>
      <c r="H855" s="82"/>
      <c r="I855" s="80"/>
      <c r="J855" s="51" t="str">
        <f>IFERROR(Hyperlink(VLOOKUP(A855,Internal_lists_bugs!$A$2:$G1013,7,FALSE()),"BIC: "&amp;VLOOKUP(A855,Internal_lists_bugs!$A$2:$G1013,7,FALSE())&amp;CHAR(10)&amp;"Intro.Issues: "&amp;VLOOKUP(A855,Internal_lists_bugs!$A$2:$P1013,16,FALSE())),"please select a BUG ID")</f>
        <v>please select a BUG ID</v>
      </c>
    </row>
    <row r="856">
      <c r="A856" s="54"/>
      <c r="B856" s="88" t="str">
        <f>IFERROR(HYPERLINK(VLOOKUP(A856,Internal_lists_bugs!$A$2:$C$73,3,FALSE()), VLOOKUP(A856,Internal_lists_bugs!$A$2:$C$73,3,FALSE())&amp;Char(10) &amp; Char(10) &amp; VLOOKUP(A856,Internal_lists_bugs!$A$2:$Z$73,26,FALSE())),"please select a BUG ID")</f>
        <v>please select a BUG ID</v>
      </c>
      <c r="C856" s="89" t="str">
        <f>IFERROR(VLOOKUP(A856,Internal_lists_bugs!$A$2:$X1013,24,FALSE()),"please select a BUG ID")</f>
        <v>please select a BUG ID</v>
      </c>
      <c r="E856" s="82"/>
      <c r="F856" s="80"/>
      <c r="H856" s="82"/>
      <c r="I856" s="80"/>
      <c r="J856" s="51" t="str">
        <f>IFERROR(Hyperlink(VLOOKUP(A856,Internal_lists_bugs!$A$2:$G1013,7,FALSE()),"BIC: "&amp;VLOOKUP(A856,Internal_lists_bugs!$A$2:$G1013,7,FALSE())&amp;CHAR(10)&amp;"Intro.Issues: "&amp;VLOOKUP(A856,Internal_lists_bugs!$A$2:$P1013,16,FALSE())),"please select a BUG ID")</f>
        <v>please select a BUG ID</v>
      </c>
    </row>
    <row r="857">
      <c r="A857" s="54"/>
      <c r="B857" s="88" t="str">
        <f>IFERROR(HYPERLINK(VLOOKUP(A857,Internal_lists_bugs!$A$2:$C$73,3,FALSE()), VLOOKUP(A857,Internal_lists_bugs!$A$2:$C$73,3,FALSE())&amp;Char(10) &amp; Char(10) &amp; VLOOKUP(A857,Internal_lists_bugs!$A$2:$Z$73,26,FALSE())),"please select a BUG ID")</f>
        <v>please select a BUG ID</v>
      </c>
      <c r="C857" s="89" t="str">
        <f>IFERROR(VLOOKUP(A857,Internal_lists_bugs!$A$2:$X1013,24,FALSE()),"please select a BUG ID")</f>
        <v>please select a BUG ID</v>
      </c>
      <c r="E857" s="82"/>
      <c r="F857" s="80"/>
      <c r="H857" s="82"/>
      <c r="I857" s="80"/>
      <c r="J857" s="51" t="str">
        <f>IFERROR(Hyperlink(VLOOKUP(A857,Internal_lists_bugs!$A$2:$G1013,7,FALSE()),"BIC: "&amp;VLOOKUP(A857,Internal_lists_bugs!$A$2:$G1013,7,FALSE())&amp;CHAR(10)&amp;"Intro.Issues: "&amp;VLOOKUP(A857,Internal_lists_bugs!$A$2:$P1013,16,FALSE())),"please select a BUG ID")</f>
        <v>please select a BUG ID</v>
      </c>
    </row>
    <row r="858">
      <c r="A858" s="54"/>
      <c r="B858" s="88" t="str">
        <f>IFERROR(HYPERLINK(VLOOKUP(A858,Internal_lists_bugs!$A$2:$C$73,3,FALSE()), VLOOKUP(A858,Internal_lists_bugs!$A$2:$C$73,3,FALSE())&amp;Char(10) &amp; Char(10) &amp; VLOOKUP(A858,Internal_lists_bugs!$A$2:$Z$73,26,FALSE())),"please select a BUG ID")</f>
        <v>please select a BUG ID</v>
      </c>
      <c r="C858" s="89" t="str">
        <f>IFERROR(VLOOKUP(A858,Internal_lists_bugs!$A$2:$X1013,24,FALSE()),"please select a BUG ID")</f>
        <v>please select a BUG ID</v>
      </c>
      <c r="E858" s="82"/>
      <c r="F858" s="80"/>
      <c r="H858" s="82"/>
      <c r="I858" s="80"/>
      <c r="J858" s="51" t="str">
        <f>IFERROR(Hyperlink(VLOOKUP(A858,Internal_lists_bugs!$A$2:$G1013,7,FALSE()),"BIC: "&amp;VLOOKUP(A858,Internal_lists_bugs!$A$2:$G1013,7,FALSE())&amp;CHAR(10)&amp;"Intro.Issues: "&amp;VLOOKUP(A858,Internal_lists_bugs!$A$2:$P1013,16,FALSE())),"please select a BUG ID")</f>
        <v>please select a BUG ID</v>
      </c>
    </row>
    <row r="859">
      <c r="A859" s="54"/>
      <c r="B859" s="88" t="str">
        <f>IFERROR(HYPERLINK(VLOOKUP(A859,Internal_lists_bugs!$A$2:$C$73,3,FALSE()), VLOOKUP(A859,Internal_lists_bugs!$A$2:$C$73,3,FALSE())&amp;Char(10) &amp; Char(10) &amp; VLOOKUP(A859,Internal_lists_bugs!$A$2:$Z$73,26,FALSE())),"please select a BUG ID")</f>
        <v>please select a BUG ID</v>
      </c>
      <c r="C859" s="89" t="str">
        <f>IFERROR(VLOOKUP(A859,Internal_lists_bugs!$A$2:$X1013,24,FALSE()),"please select a BUG ID")</f>
        <v>please select a BUG ID</v>
      </c>
      <c r="E859" s="82"/>
      <c r="F859" s="80"/>
      <c r="H859" s="82"/>
      <c r="I859" s="80"/>
      <c r="J859" s="51" t="str">
        <f>IFERROR(Hyperlink(VLOOKUP(A859,Internal_lists_bugs!$A$2:$G1013,7,FALSE()),"BIC: "&amp;VLOOKUP(A859,Internal_lists_bugs!$A$2:$G1013,7,FALSE())&amp;CHAR(10)&amp;"Intro.Issues: "&amp;VLOOKUP(A859,Internal_lists_bugs!$A$2:$P1013,16,FALSE())),"please select a BUG ID")</f>
        <v>please select a BUG ID</v>
      </c>
    </row>
    <row r="860">
      <c r="A860" s="54"/>
      <c r="B860" s="88" t="str">
        <f>IFERROR(HYPERLINK(VLOOKUP(A860,Internal_lists_bugs!$A$2:$C$73,3,FALSE()), VLOOKUP(A860,Internal_lists_bugs!$A$2:$C$73,3,FALSE())&amp;Char(10) &amp; Char(10) &amp; VLOOKUP(A860,Internal_lists_bugs!$A$2:$Z$73,26,FALSE())),"please select a BUG ID")</f>
        <v>please select a BUG ID</v>
      </c>
      <c r="C860" s="89" t="str">
        <f>IFERROR(VLOOKUP(A860,Internal_lists_bugs!$A$2:$X1013,24,FALSE()),"please select a BUG ID")</f>
        <v>please select a BUG ID</v>
      </c>
      <c r="E860" s="82"/>
      <c r="F860" s="80"/>
      <c r="H860" s="82"/>
      <c r="I860" s="80"/>
      <c r="J860" s="51" t="str">
        <f>IFERROR(Hyperlink(VLOOKUP(A860,Internal_lists_bugs!$A$2:$G1013,7,FALSE()),"BIC: "&amp;VLOOKUP(A860,Internal_lists_bugs!$A$2:$G1013,7,FALSE())&amp;CHAR(10)&amp;"Intro.Issues: "&amp;VLOOKUP(A860,Internal_lists_bugs!$A$2:$P1013,16,FALSE())),"please select a BUG ID")</f>
        <v>please select a BUG ID</v>
      </c>
    </row>
    <row r="861">
      <c r="A861" s="54"/>
      <c r="B861" s="88" t="str">
        <f>IFERROR(HYPERLINK(VLOOKUP(A861,Internal_lists_bugs!$A$2:$C$73,3,FALSE()), VLOOKUP(A861,Internal_lists_bugs!$A$2:$C$73,3,FALSE())&amp;Char(10) &amp; Char(10) &amp; VLOOKUP(A861,Internal_lists_bugs!$A$2:$Z$73,26,FALSE())),"please select a BUG ID")</f>
        <v>please select a BUG ID</v>
      </c>
      <c r="C861" s="89" t="str">
        <f>IFERROR(VLOOKUP(A861,Internal_lists_bugs!$A$2:$X1013,24,FALSE()),"please select a BUG ID")</f>
        <v>please select a BUG ID</v>
      </c>
      <c r="E861" s="82"/>
      <c r="F861" s="80"/>
      <c r="H861" s="82"/>
      <c r="I861" s="80"/>
      <c r="J861" s="51" t="str">
        <f>IFERROR(Hyperlink(VLOOKUP(A861,Internal_lists_bugs!$A$2:$G1013,7,FALSE()),"BIC: "&amp;VLOOKUP(A861,Internal_lists_bugs!$A$2:$G1013,7,FALSE())&amp;CHAR(10)&amp;"Intro.Issues: "&amp;VLOOKUP(A861,Internal_lists_bugs!$A$2:$P1013,16,FALSE())),"please select a BUG ID")</f>
        <v>please select a BUG ID</v>
      </c>
    </row>
    <row r="862">
      <c r="A862" s="54"/>
      <c r="B862" s="88" t="str">
        <f>IFERROR(HYPERLINK(VLOOKUP(A862,Internal_lists_bugs!$A$2:$C$73,3,FALSE()), VLOOKUP(A862,Internal_lists_bugs!$A$2:$C$73,3,FALSE())&amp;Char(10) &amp; Char(10) &amp; VLOOKUP(A862,Internal_lists_bugs!$A$2:$Z$73,26,FALSE())),"please select a BUG ID")</f>
        <v>please select a BUG ID</v>
      </c>
      <c r="C862" s="89" t="str">
        <f>IFERROR(VLOOKUP(A862,Internal_lists_bugs!$A$2:$X1013,24,FALSE()),"please select a BUG ID")</f>
        <v>please select a BUG ID</v>
      </c>
      <c r="E862" s="82"/>
      <c r="F862" s="80"/>
      <c r="H862" s="82"/>
      <c r="I862" s="80"/>
      <c r="J862" s="51" t="str">
        <f>IFERROR(Hyperlink(VLOOKUP(A862,Internal_lists_bugs!$A$2:$G1013,7,FALSE()),"BIC: "&amp;VLOOKUP(A862,Internal_lists_bugs!$A$2:$G1013,7,FALSE())&amp;CHAR(10)&amp;"Intro.Issues: "&amp;VLOOKUP(A862,Internal_lists_bugs!$A$2:$P1013,16,FALSE())),"please select a BUG ID")</f>
        <v>please select a BUG ID</v>
      </c>
    </row>
    <row r="863">
      <c r="A863" s="54"/>
      <c r="B863" s="88" t="str">
        <f>IFERROR(HYPERLINK(VLOOKUP(A863,Internal_lists_bugs!$A$2:$C$73,3,FALSE()), VLOOKUP(A863,Internal_lists_bugs!$A$2:$C$73,3,FALSE())&amp;Char(10) &amp; Char(10) &amp; VLOOKUP(A863,Internal_lists_bugs!$A$2:$Z$73,26,FALSE())),"please select a BUG ID")</f>
        <v>please select a BUG ID</v>
      </c>
      <c r="C863" s="89" t="str">
        <f>IFERROR(VLOOKUP(A863,Internal_lists_bugs!$A$2:$X1013,24,FALSE()),"please select a BUG ID")</f>
        <v>please select a BUG ID</v>
      </c>
      <c r="E863" s="82"/>
      <c r="F863" s="80"/>
      <c r="H863" s="82"/>
      <c r="I863" s="80"/>
      <c r="J863" s="51" t="str">
        <f>IFERROR(Hyperlink(VLOOKUP(A863,Internal_lists_bugs!$A$2:$G1013,7,FALSE()),"BIC: "&amp;VLOOKUP(A863,Internal_lists_bugs!$A$2:$G1013,7,FALSE())&amp;CHAR(10)&amp;"Intro.Issues: "&amp;VLOOKUP(A863,Internal_lists_bugs!$A$2:$P1013,16,FALSE())),"please select a BUG ID")</f>
        <v>please select a BUG ID</v>
      </c>
    </row>
    <row r="864">
      <c r="A864" s="54"/>
      <c r="B864" s="88" t="str">
        <f>IFERROR(HYPERLINK(VLOOKUP(A864,Internal_lists_bugs!$A$2:$C$73,3,FALSE()), VLOOKUP(A864,Internal_lists_bugs!$A$2:$C$73,3,FALSE())&amp;Char(10) &amp; Char(10) &amp; VLOOKUP(A864,Internal_lists_bugs!$A$2:$Z$73,26,FALSE())),"please select a BUG ID")</f>
        <v>please select a BUG ID</v>
      </c>
      <c r="C864" s="89" t="str">
        <f>IFERROR(VLOOKUP(A864,Internal_lists_bugs!$A$2:$X1013,24,FALSE()),"please select a BUG ID")</f>
        <v>please select a BUG ID</v>
      </c>
      <c r="E864" s="82"/>
      <c r="F864" s="80"/>
      <c r="H864" s="82"/>
      <c r="I864" s="80"/>
      <c r="J864" s="51" t="str">
        <f>IFERROR(Hyperlink(VLOOKUP(A864,Internal_lists_bugs!$A$2:$G1013,7,FALSE()),"BIC: "&amp;VLOOKUP(A864,Internal_lists_bugs!$A$2:$G1013,7,FALSE())&amp;CHAR(10)&amp;"Intro.Issues: "&amp;VLOOKUP(A864,Internal_lists_bugs!$A$2:$P1013,16,FALSE())),"please select a BUG ID")</f>
        <v>please select a BUG ID</v>
      </c>
    </row>
    <row r="865">
      <c r="A865" s="54"/>
      <c r="B865" s="88" t="str">
        <f>IFERROR(HYPERLINK(VLOOKUP(A865,Internal_lists_bugs!$A$2:$C$73,3,FALSE()), VLOOKUP(A865,Internal_lists_bugs!$A$2:$C$73,3,FALSE())&amp;Char(10) &amp; Char(10) &amp; VLOOKUP(A865,Internal_lists_bugs!$A$2:$Z$73,26,FALSE())),"please select a BUG ID")</f>
        <v>please select a BUG ID</v>
      </c>
      <c r="C865" s="89" t="str">
        <f>IFERROR(VLOOKUP(A865,Internal_lists_bugs!$A$2:$X1013,24,FALSE()),"please select a BUG ID")</f>
        <v>please select a BUG ID</v>
      </c>
      <c r="E865" s="82"/>
      <c r="F865" s="80"/>
      <c r="H865" s="82"/>
      <c r="I865" s="80"/>
      <c r="J865" s="51" t="str">
        <f>IFERROR(Hyperlink(VLOOKUP(A865,Internal_lists_bugs!$A$2:$G1013,7,FALSE()),"BIC: "&amp;VLOOKUP(A865,Internal_lists_bugs!$A$2:$G1013,7,FALSE())&amp;CHAR(10)&amp;"Intro.Issues: "&amp;VLOOKUP(A865,Internal_lists_bugs!$A$2:$P1013,16,FALSE())),"please select a BUG ID")</f>
        <v>please select a BUG ID</v>
      </c>
    </row>
    <row r="866">
      <c r="A866" s="54"/>
      <c r="B866" s="88" t="str">
        <f>IFERROR(HYPERLINK(VLOOKUP(A866,Internal_lists_bugs!$A$2:$C$73,3,FALSE()), VLOOKUP(A866,Internal_lists_bugs!$A$2:$C$73,3,FALSE())&amp;Char(10) &amp; Char(10) &amp; VLOOKUP(A866,Internal_lists_bugs!$A$2:$Z$73,26,FALSE())),"please select a BUG ID")</f>
        <v>please select a BUG ID</v>
      </c>
      <c r="C866" s="89" t="str">
        <f>IFERROR(VLOOKUP(A866,Internal_lists_bugs!$A$2:$X1013,24,FALSE()),"please select a BUG ID")</f>
        <v>please select a BUG ID</v>
      </c>
      <c r="E866" s="82"/>
      <c r="F866" s="80"/>
      <c r="H866" s="82"/>
      <c r="I866" s="80"/>
      <c r="J866" s="51" t="str">
        <f>IFERROR(Hyperlink(VLOOKUP(A866,Internal_lists_bugs!$A$2:$G1013,7,FALSE()),"BIC: "&amp;VLOOKUP(A866,Internal_lists_bugs!$A$2:$G1013,7,FALSE())&amp;CHAR(10)&amp;"Intro.Issues: "&amp;VLOOKUP(A866,Internal_lists_bugs!$A$2:$P1013,16,FALSE())),"please select a BUG ID")</f>
        <v>please select a BUG ID</v>
      </c>
    </row>
    <row r="867">
      <c r="A867" s="54"/>
      <c r="B867" s="88" t="str">
        <f>IFERROR(HYPERLINK(VLOOKUP(A867,Internal_lists_bugs!$A$2:$C$73,3,FALSE()), VLOOKUP(A867,Internal_lists_bugs!$A$2:$C$73,3,FALSE())&amp;Char(10) &amp; Char(10) &amp; VLOOKUP(A867,Internal_lists_bugs!$A$2:$Z$73,26,FALSE())),"please select a BUG ID")</f>
        <v>please select a BUG ID</v>
      </c>
      <c r="C867" s="89" t="str">
        <f>IFERROR(VLOOKUP(A867,Internal_lists_bugs!$A$2:$X1013,24,FALSE()),"please select a BUG ID")</f>
        <v>please select a BUG ID</v>
      </c>
      <c r="E867" s="82"/>
      <c r="F867" s="80"/>
      <c r="H867" s="82"/>
      <c r="I867" s="80"/>
      <c r="J867" s="51" t="str">
        <f>IFERROR(Hyperlink(VLOOKUP(A867,Internal_lists_bugs!$A$2:$G1013,7,FALSE()),"BIC: "&amp;VLOOKUP(A867,Internal_lists_bugs!$A$2:$G1013,7,FALSE())&amp;CHAR(10)&amp;"Intro.Issues: "&amp;VLOOKUP(A867,Internal_lists_bugs!$A$2:$P1013,16,FALSE())),"please select a BUG ID")</f>
        <v>please select a BUG ID</v>
      </c>
    </row>
    <row r="868">
      <c r="A868" s="54"/>
      <c r="B868" s="88" t="str">
        <f>IFERROR(HYPERLINK(VLOOKUP(A868,Internal_lists_bugs!$A$2:$C$73,3,FALSE()), VLOOKUP(A868,Internal_lists_bugs!$A$2:$C$73,3,FALSE())&amp;Char(10) &amp; Char(10) &amp; VLOOKUP(A868,Internal_lists_bugs!$A$2:$Z$73,26,FALSE())),"please select a BUG ID")</f>
        <v>please select a BUG ID</v>
      </c>
      <c r="C868" s="89" t="str">
        <f>IFERROR(VLOOKUP(A868,Internal_lists_bugs!$A$2:$X1013,24,FALSE()),"please select a BUG ID")</f>
        <v>please select a BUG ID</v>
      </c>
      <c r="E868" s="82"/>
      <c r="F868" s="80"/>
      <c r="H868" s="82"/>
      <c r="I868" s="80"/>
      <c r="J868" s="51" t="str">
        <f>IFERROR(Hyperlink(VLOOKUP(A868,Internal_lists_bugs!$A$2:$G1013,7,FALSE()),"BIC: "&amp;VLOOKUP(A868,Internal_lists_bugs!$A$2:$G1013,7,FALSE())&amp;CHAR(10)&amp;"Intro.Issues: "&amp;VLOOKUP(A868,Internal_lists_bugs!$A$2:$P1013,16,FALSE())),"please select a BUG ID")</f>
        <v>please select a BUG ID</v>
      </c>
    </row>
    <row r="869">
      <c r="A869" s="54"/>
      <c r="B869" s="88" t="str">
        <f>IFERROR(HYPERLINK(VLOOKUP(A869,Internal_lists_bugs!$A$2:$C$73,3,FALSE()), VLOOKUP(A869,Internal_lists_bugs!$A$2:$C$73,3,FALSE())&amp;Char(10) &amp; Char(10) &amp; VLOOKUP(A869,Internal_lists_bugs!$A$2:$Z$73,26,FALSE())),"please select a BUG ID")</f>
        <v>please select a BUG ID</v>
      </c>
      <c r="C869" s="89" t="str">
        <f>IFERROR(VLOOKUP(A869,Internal_lists_bugs!$A$2:$X1013,24,FALSE()),"please select a BUG ID")</f>
        <v>please select a BUG ID</v>
      </c>
      <c r="E869" s="82"/>
      <c r="F869" s="80"/>
      <c r="H869" s="82"/>
      <c r="I869" s="80"/>
      <c r="J869" s="51" t="str">
        <f>IFERROR(Hyperlink(VLOOKUP(A869,Internal_lists_bugs!$A$2:$G1013,7,FALSE()),"BIC: "&amp;VLOOKUP(A869,Internal_lists_bugs!$A$2:$G1013,7,FALSE())&amp;CHAR(10)&amp;"Intro.Issues: "&amp;VLOOKUP(A869,Internal_lists_bugs!$A$2:$P1013,16,FALSE())),"please select a BUG ID")</f>
        <v>please select a BUG ID</v>
      </c>
    </row>
    <row r="870">
      <c r="A870" s="54"/>
      <c r="B870" s="88" t="str">
        <f>IFERROR(HYPERLINK(VLOOKUP(A870,Internal_lists_bugs!$A$2:$C$73,3,FALSE()), VLOOKUP(A870,Internal_lists_bugs!$A$2:$C$73,3,FALSE())&amp;Char(10) &amp; Char(10) &amp; VLOOKUP(A870,Internal_lists_bugs!$A$2:$Z$73,26,FALSE())),"please select a BUG ID")</f>
        <v>please select a BUG ID</v>
      </c>
      <c r="C870" s="89" t="str">
        <f>IFERROR(VLOOKUP(A870,Internal_lists_bugs!$A$2:$X1013,24,FALSE()),"please select a BUG ID")</f>
        <v>please select a BUG ID</v>
      </c>
      <c r="E870" s="82"/>
      <c r="F870" s="80"/>
      <c r="H870" s="82"/>
      <c r="I870" s="80"/>
      <c r="J870" s="51" t="str">
        <f>IFERROR(Hyperlink(VLOOKUP(A870,Internal_lists_bugs!$A$2:$G1013,7,FALSE()),"BIC: "&amp;VLOOKUP(A870,Internal_lists_bugs!$A$2:$G1013,7,FALSE())&amp;CHAR(10)&amp;"Intro.Issues: "&amp;VLOOKUP(A870,Internal_lists_bugs!$A$2:$P1013,16,FALSE())),"please select a BUG ID")</f>
        <v>please select a BUG ID</v>
      </c>
    </row>
    <row r="871">
      <c r="A871" s="54"/>
      <c r="B871" s="88" t="str">
        <f>IFERROR(HYPERLINK(VLOOKUP(A871,Internal_lists_bugs!$A$2:$C$73,3,FALSE()), VLOOKUP(A871,Internal_lists_bugs!$A$2:$C$73,3,FALSE())&amp;Char(10) &amp; Char(10) &amp; VLOOKUP(A871,Internal_lists_bugs!$A$2:$Z$73,26,FALSE())),"please select a BUG ID")</f>
        <v>please select a BUG ID</v>
      </c>
      <c r="C871" s="89" t="str">
        <f>IFERROR(VLOOKUP(A871,Internal_lists_bugs!$A$2:$X1013,24,FALSE()),"please select a BUG ID")</f>
        <v>please select a BUG ID</v>
      </c>
      <c r="E871" s="82"/>
      <c r="F871" s="80"/>
      <c r="H871" s="82"/>
      <c r="I871" s="80"/>
      <c r="J871" s="51" t="str">
        <f>IFERROR(Hyperlink(VLOOKUP(A871,Internal_lists_bugs!$A$2:$G1013,7,FALSE()),"BIC: "&amp;VLOOKUP(A871,Internal_lists_bugs!$A$2:$G1013,7,FALSE())&amp;CHAR(10)&amp;"Intro.Issues: "&amp;VLOOKUP(A871,Internal_lists_bugs!$A$2:$P1013,16,FALSE())),"please select a BUG ID")</f>
        <v>please select a BUG ID</v>
      </c>
    </row>
    <row r="872">
      <c r="A872" s="54"/>
      <c r="B872" s="88" t="str">
        <f>IFERROR(HYPERLINK(VLOOKUP(A872,Internal_lists_bugs!$A$2:$C$73,3,FALSE()), VLOOKUP(A872,Internal_lists_bugs!$A$2:$C$73,3,FALSE())&amp;Char(10) &amp; Char(10) &amp; VLOOKUP(A872,Internal_lists_bugs!$A$2:$Z$73,26,FALSE())),"please select a BUG ID")</f>
        <v>please select a BUG ID</v>
      </c>
      <c r="C872" s="89" t="str">
        <f>IFERROR(VLOOKUP(A872,Internal_lists_bugs!$A$2:$X1013,24,FALSE()),"please select a BUG ID")</f>
        <v>please select a BUG ID</v>
      </c>
      <c r="E872" s="82"/>
      <c r="F872" s="80"/>
      <c r="H872" s="82"/>
      <c r="I872" s="80"/>
      <c r="J872" s="51" t="str">
        <f>IFERROR(Hyperlink(VLOOKUP(A872,Internal_lists_bugs!$A$2:$G1013,7,FALSE()),"BIC: "&amp;VLOOKUP(A872,Internal_lists_bugs!$A$2:$G1013,7,FALSE())&amp;CHAR(10)&amp;"Intro.Issues: "&amp;VLOOKUP(A872,Internal_lists_bugs!$A$2:$P1013,16,FALSE())),"please select a BUG ID")</f>
        <v>please select a BUG ID</v>
      </c>
    </row>
    <row r="873">
      <c r="A873" s="54"/>
      <c r="B873" s="88" t="str">
        <f>IFERROR(HYPERLINK(VLOOKUP(A873,Internal_lists_bugs!$A$2:$C$73,3,FALSE()), VLOOKUP(A873,Internal_lists_bugs!$A$2:$C$73,3,FALSE())&amp;Char(10) &amp; Char(10) &amp; VLOOKUP(A873,Internal_lists_bugs!$A$2:$Z$73,26,FALSE())),"please select a BUG ID")</f>
        <v>please select a BUG ID</v>
      </c>
      <c r="C873" s="89" t="str">
        <f>IFERROR(VLOOKUP(A873,Internal_lists_bugs!$A$2:$X1013,24,FALSE()),"please select a BUG ID")</f>
        <v>please select a BUG ID</v>
      </c>
      <c r="E873" s="82"/>
      <c r="F873" s="80"/>
      <c r="H873" s="82"/>
      <c r="I873" s="80"/>
      <c r="J873" s="51" t="str">
        <f>IFERROR(Hyperlink(VLOOKUP(A873,Internal_lists_bugs!$A$2:$G1013,7,FALSE()),"BIC: "&amp;VLOOKUP(A873,Internal_lists_bugs!$A$2:$G1013,7,FALSE())&amp;CHAR(10)&amp;"Intro.Issues: "&amp;VLOOKUP(A873,Internal_lists_bugs!$A$2:$P1013,16,FALSE())),"please select a BUG ID")</f>
        <v>please select a BUG ID</v>
      </c>
    </row>
    <row r="874">
      <c r="A874" s="54"/>
      <c r="B874" s="88" t="str">
        <f>IFERROR(HYPERLINK(VLOOKUP(A874,Internal_lists_bugs!$A$2:$C$73,3,FALSE()), VLOOKUP(A874,Internal_lists_bugs!$A$2:$C$73,3,FALSE())&amp;Char(10) &amp; Char(10) &amp; VLOOKUP(A874,Internal_lists_bugs!$A$2:$Z$73,26,FALSE())),"please select a BUG ID")</f>
        <v>please select a BUG ID</v>
      </c>
      <c r="C874" s="89" t="str">
        <f>IFERROR(VLOOKUP(A874,Internal_lists_bugs!$A$2:$X1013,24,FALSE()),"please select a BUG ID")</f>
        <v>please select a BUG ID</v>
      </c>
      <c r="E874" s="82"/>
      <c r="F874" s="80"/>
      <c r="H874" s="82"/>
      <c r="I874" s="80"/>
      <c r="J874" s="51" t="str">
        <f>IFERROR(Hyperlink(VLOOKUP(A874,Internal_lists_bugs!$A$2:$G1013,7,FALSE()),"BIC: "&amp;VLOOKUP(A874,Internal_lists_bugs!$A$2:$G1013,7,FALSE())&amp;CHAR(10)&amp;"Intro.Issues: "&amp;VLOOKUP(A874,Internal_lists_bugs!$A$2:$P1013,16,FALSE())),"please select a BUG ID")</f>
        <v>please select a BUG ID</v>
      </c>
    </row>
    <row r="875">
      <c r="A875" s="54"/>
      <c r="B875" s="88" t="str">
        <f>IFERROR(HYPERLINK(VLOOKUP(A875,Internal_lists_bugs!$A$2:$C$73,3,FALSE()), VLOOKUP(A875,Internal_lists_bugs!$A$2:$C$73,3,FALSE())&amp;Char(10) &amp; Char(10) &amp; VLOOKUP(A875,Internal_lists_bugs!$A$2:$Z$73,26,FALSE())),"please select a BUG ID")</f>
        <v>please select a BUG ID</v>
      </c>
      <c r="C875" s="89" t="str">
        <f>IFERROR(VLOOKUP(A875,Internal_lists_bugs!$A$2:$X1013,24,FALSE()),"please select a BUG ID")</f>
        <v>please select a BUG ID</v>
      </c>
      <c r="E875" s="82"/>
      <c r="F875" s="80"/>
      <c r="H875" s="82"/>
      <c r="I875" s="80"/>
      <c r="J875" s="51" t="str">
        <f>IFERROR(Hyperlink(VLOOKUP(A875,Internal_lists_bugs!$A$2:$G1013,7,FALSE()),"BIC: "&amp;VLOOKUP(A875,Internal_lists_bugs!$A$2:$G1013,7,FALSE())&amp;CHAR(10)&amp;"Intro.Issues: "&amp;VLOOKUP(A875,Internal_lists_bugs!$A$2:$P1013,16,FALSE())),"please select a BUG ID")</f>
        <v>please select a BUG ID</v>
      </c>
    </row>
    <row r="876">
      <c r="A876" s="54"/>
      <c r="B876" s="88" t="str">
        <f>IFERROR(HYPERLINK(VLOOKUP(A876,Internal_lists_bugs!$A$2:$C$73,3,FALSE()), VLOOKUP(A876,Internal_lists_bugs!$A$2:$C$73,3,FALSE())&amp;Char(10) &amp; Char(10) &amp; VLOOKUP(A876,Internal_lists_bugs!$A$2:$Z$73,26,FALSE())),"please select a BUG ID")</f>
        <v>please select a BUG ID</v>
      </c>
      <c r="C876" s="89" t="str">
        <f>IFERROR(VLOOKUP(A876,Internal_lists_bugs!$A$2:$X1013,24,FALSE()),"please select a BUG ID")</f>
        <v>please select a BUG ID</v>
      </c>
      <c r="E876" s="82"/>
      <c r="F876" s="80"/>
      <c r="H876" s="82"/>
      <c r="I876" s="80"/>
      <c r="J876" s="51" t="str">
        <f>IFERROR(Hyperlink(VLOOKUP(A876,Internal_lists_bugs!$A$2:$G1013,7,FALSE()),"BIC: "&amp;VLOOKUP(A876,Internal_lists_bugs!$A$2:$G1013,7,FALSE())&amp;CHAR(10)&amp;"Intro.Issues: "&amp;VLOOKUP(A876,Internal_lists_bugs!$A$2:$P1013,16,FALSE())),"please select a BUG ID")</f>
        <v>please select a BUG ID</v>
      </c>
    </row>
    <row r="877">
      <c r="A877" s="54"/>
      <c r="B877" s="88" t="str">
        <f>IFERROR(HYPERLINK(VLOOKUP(A877,Internal_lists_bugs!$A$2:$C$73,3,FALSE()), VLOOKUP(A877,Internal_lists_bugs!$A$2:$C$73,3,FALSE())&amp;Char(10) &amp; Char(10) &amp; VLOOKUP(A877,Internal_lists_bugs!$A$2:$Z$73,26,FALSE())),"please select a BUG ID")</f>
        <v>please select a BUG ID</v>
      </c>
      <c r="C877" s="89" t="str">
        <f>IFERROR(VLOOKUP(A877,Internal_lists_bugs!$A$2:$X1013,24,FALSE()),"please select a BUG ID")</f>
        <v>please select a BUG ID</v>
      </c>
      <c r="E877" s="82"/>
      <c r="F877" s="80"/>
      <c r="H877" s="82"/>
      <c r="I877" s="80"/>
      <c r="J877" s="51" t="str">
        <f>IFERROR(Hyperlink(VLOOKUP(A877,Internal_lists_bugs!$A$2:$G1013,7,FALSE()),"BIC: "&amp;VLOOKUP(A877,Internal_lists_bugs!$A$2:$G1013,7,FALSE())&amp;CHAR(10)&amp;"Intro.Issues: "&amp;VLOOKUP(A877,Internal_lists_bugs!$A$2:$P1013,16,FALSE())),"please select a BUG ID")</f>
        <v>please select a BUG ID</v>
      </c>
    </row>
    <row r="878">
      <c r="A878" s="54"/>
      <c r="B878" s="88" t="str">
        <f>IFERROR(HYPERLINK(VLOOKUP(A878,Internal_lists_bugs!$A$2:$C$73,3,FALSE()), VLOOKUP(A878,Internal_lists_bugs!$A$2:$C$73,3,FALSE())&amp;Char(10) &amp; Char(10) &amp; VLOOKUP(A878,Internal_lists_bugs!$A$2:$Z$73,26,FALSE())),"please select a BUG ID")</f>
        <v>please select a BUG ID</v>
      </c>
      <c r="C878" s="89" t="str">
        <f>IFERROR(VLOOKUP(A878,Internal_lists_bugs!$A$2:$X1013,24,FALSE()),"please select a BUG ID")</f>
        <v>please select a BUG ID</v>
      </c>
      <c r="E878" s="82"/>
      <c r="F878" s="80"/>
      <c r="H878" s="82"/>
      <c r="I878" s="80"/>
      <c r="J878" s="51" t="str">
        <f>IFERROR(Hyperlink(VLOOKUP(A878,Internal_lists_bugs!$A$2:$G1013,7,FALSE()),"BIC: "&amp;VLOOKUP(A878,Internal_lists_bugs!$A$2:$G1013,7,FALSE())&amp;CHAR(10)&amp;"Intro.Issues: "&amp;VLOOKUP(A878,Internal_lists_bugs!$A$2:$P1013,16,FALSE())),"please select a BUG ID")</f>
        <v>please select a BUG ID</v>
      </c>
    </row>
    <row r="879">
      <c r="A879" s="54"/>
      <c r="B879" s="88" t="str">
        <f>IFERROR(HYPERLINK(VLOOKUP(A879,Internal_lists_bugs!$A$2:$C$73,3,FALSE()), VLOOKUP(A879,Internal_lists_bugs!$A$2:$C$73,3,FALSE())&amp;Char(10) &amp; Char(10) &amp; VLOOKUP(A879,Internal_lists_bugs!$A$2:$Z$73,26,FALSE())),"please select a BUG ID")</f>
        <v>please select a BUG ID</v>
      </c>
      <c r="C879" s="89" t="str">
        <f>IFERROR(VLOOKUP(A879,Internal_lists_bugs!$A$2:$X1013,24,FALSE()),"please select a BUG ID")</f>
        <v>please select a BUG ID</v>
      </c>
      <c r="E879" s="82"/>
      <c r="F879" s="80"/>
      <c r="H879" s="82"/>
      <c r="I879" s="80"/>
      <c r="J879" s="51" t="str">
        <f>IFERROR(Hyperlink(VLOOKUP(A879,Internal_lists_bugs!$A$2:$G1013,7,FALSE()),"BIC: "&amp;VLOOKUP(A879,Internal_lists_bugs!$A$2:$G1013,7,FALSE())&amp;CHAR(10)&amp;"Intro.Issues: "&amp;VLOOKUP(A879,Internal_lists_bugs!$A$2:$P1013,16,FALSE())),"please select a BUG ID")</f>
        <v>please select a BUG ID</v>
      </c>
    </row>
    <row r="880">
      <c r="A880" s="54"/>
      <c r="B880" s="88" t="str">
        <f>IFERROR(HYPERLINK(VLOOKUP(A880,Internal_lists_bugs!$A$2:$C$73,3,FALSE()), VLOOKUP(A880,Internal_lists_bugs!$A$2:$C$73,3,FALSE())&amp;Char(10) &amp; Char(10) &amp; VLOOKUP(A880,Internal_lists_bugs!$A$2:$Z$73,26,FALSE())),"please select a BUG ID")</f>
        <v>please select a BUG ID</v>
      </c>
      <c r="C880" s="89" t="str">
        <f>IFERROR(VLOOKUP(A880,Internal_lists_bugs!$A$2:$X1013,24,FALSE()),"please select a BUG ID")</f>
        <v>please select a BUG ID</v>
      </c>
      <c r="E880" s="82"/>
      <c r="F880" s="80"/>
      <c r="H880" s="82"/>
      <c r="I880" s="80"/>
      <c r="J880" s="51" t="str">
        <f>IFERROR(Hyperlink(VLOOKUP(A880,Internal_lists_bugs!$A$2:$G1013,7,FALSE()),"BIC: "&amp;VLOOKUP(A880,Internal_lists_bugs!$A$2:$G1013,7,FALSE())&amp;CHAR(10)&amp;"Intro.Issues: "&amp;VLOOKUP(A880,Internal_lists_bugs!$A$2:$P1013,16,FALSE())),"please select a BUG ID")</f>
        <v>please select a BUG ID</v>
      </c>
    </row>
    <row r="881">
      <c r="A881" s="54"/>
      <c r="B881" s="88" t="str">
        <f>IFERROR(HYPERLINK(VLOOKUP(A881,Internal_lists_bugs!$A$2:$C$73,3,FALSE()), VLOOKUP(A881,Internal_lists_bugs!$A$2:$C$73,3,FALSE())&amp;Char(10) &amp; Char(10) &amp; VLOOKUP(A881,Internal_lists_bugs!$A$2:$Z$73,26,FALSE())),"please select a BUG ID")</f>
        <v>please select a BUG ID</v>
      </c>
      <c r="C881" s="89" t="str">
        <f>IFERROR(VLOOKUP(A881,Internal_lists_bugs!$A$2:$X1013,24,FALSE()),"please select a BUG ID")</f>
        <v>please select a BUG ID</v>
      </c>
      <c r="E881" s="82"/>
      <c r="F881" s="80"/>
      <c r="H881" s="82"/>
      <c r="I881" s="80"/>
      <c r="J881" s="51" t="str">
        <f>IFERROR(Hyperlink(VLOOKUP(A881,Internal_lists_bugs!$A$2:$G1013,7,FALSE()),"BIC: "&amp;VLOOKUP(A881,Internal_lists_bugs!$A$2:$G1013,7,FALSE())&amp;CHAR(10)&amp;"Intro.Issues: "&amp;VLOOKUP(A881,Internal_lists_bugs!$A$2:$P1013,16,FALSE())),"please select a BUG ID")</f>
        <v>please select a BUG ID</v>
      </c>
    </row>
    <row r="882">
      <c r="A882" s="54"/>
      <c r="B882" s="88" t="str">
        <f>IFERROR(HYPERLINK(VLOOKUP(A882,Internal_lists_bugs!$A$2:$C$73,3,FALSE()), VLOOKUP(A882,Internal_lists_bugs!$A$2:$C$73,3,FALSE())&amp;Char(10) &amp; Char(10) &amp; VLOOKUP(A882,Internal_lists_bugs!$A$2:$Z$73,26,FALSE())),"please select a BUG ID")</f>
        <v>please select a BUG ID</v>
      </c>
      <c r="C882" s="89" t="str">
        <f>IFERROR(VLOOKUP(A882,Internal_lists_bugs!$A$2:$X1013,24,FALSE()),"please select a BUG ID")</f>
        <v>please select a BUG ID</v>
      </c>
      <c r="E882" s="82"/>
      <c r="F882" s="80"/>
      <c r="H882" s="82"/>
      <c r="I882" s="80"/>
      <c r="J882" s="51" t="str">
        <f>IFERROR(Hyperlink(VLOOKUP(A882,Internal_lists_bugs!$A$2:$G1013,7,FALSE()),"BIC: "&amp;VLOOKUP(A882,Internal_lists_bugs!$A$2:$G1013,7,FALSE())&amp;CHAR(10)&amp;"Intro.Issues: "&amp;VLOOKUP(A882,Internal_lists_bugs!$A$2:$P1013,16,FALSE())),"please select a BUG ID")</f>
        <v>please select a BUG ID</v>
      </c>
    </row>
    <row r="883">
      <c r="A883" s="54"/>
      <c r="B883" s="88" t="str">
        <f>IFERROR(HYPERLINK(VLOOKUP(A883,Internal_lists_bugs!$A$2:$C$73,3,FALSE()), VLOOKUP(A883,Internal_lists_bugs!$A$2:$C$73,3,FALSE())&amp;Char(10) &amp; Char(10) &amp; VLOOKUP(A883,Internal_lists_bugs!$A$2:$Z$73,26,FALSE())),"please select a BUG ID")</f>
        <v>please select a BUG ID</v>
      </c>
      <c r="C883" s="89" t="str">
        <f>IFERROR(VLOOKUP(A883,Internal_lists_bugs!$A$2:$X1013,24,FALSE()),"please select a BUG ID")</f>
        <v>please select a BUG ID</v>
      </c>
      <c r="E883" s="82"/>
      <c r="F883" s="80"/>
      <c r="H883" s="82"/>
      <c r="I883" s="80"/>
      <c r="J883" s="51" t="str">
        <f>IFERROR(Hyperlink(VLOOKUP(A883,Internal_lists_bugs!$A$2:$G1013,7,FALSE()),"BIC: "&amp;VLOOKUP(A883,Internal_lists_bugs!$A$2:$G1013,7,FALSE())&amp;CHAR(10)&amp;"Intro.Issues: "&amp;VLOOKUP(A883,Internal_lists_bugs!$A$2:$P1013,16,FALSE())),"please select a BUG ID")</f>
        <v>please select a BUG ID</v>
      </c>
    </row>
    <row r="884">
      <c r="A884" s="54"/>
      <c r="B884" s="88" t="str">
        <f>IFERROR(HYPERLINK(VLOOKUP(A884,Internal_lists_bugs!$A$2:$C$73,3,FALSE()), VLOOKUP(A884,Internal_lists_bugs!$A$2:$C$73,3,FALSE())&amp;Char(10) &amp; Char(10) &amp; VLOOKUP(A884,Internal_lists_bugs!$A$2:$Z$73,26,FALSE())),"please select a BUG ID")</f>
        <v>please select a BUG ID</v>
      </c>
      <c r="C884" s="89" t="str">
        <f>IFERROR(VLOOKUP(A884,Internal_lists_bugs!$A$2:$X1013,24,FALSE()),"please select a BUG ID")</f>
        <v>please select a BUG ID</v>
      </c>
      <c r="E884" s="82"/>
      <c r="F884" s="80"/>
      <c r="H884" s="82"/>
      <c r="I884" s="80"/>
      <c r="J884" s="51" t="str">
        <f>IFERROR(Hyperlink(VLOOKUP(A884,Internal_lists_bugs!$A$2:$G1013,7,FALSE()),"BIC: "&amp;VLOOKUP(A884,Internal_lists_bugs!$A$2:$G1013,7,FALSE())&amp;CHAR(10)&amp;"Intro.Issues: "&amp;VLOOKUP(A884,Internal_lists_bugs!$A$2:$P1013,16,FALSE())),"please select a BUG ID")</f>
        <v>please select a BUG ID</v>
      </c>
    </row>
    <row r="885">
      <c r="A885" s="54"/>
      <c r="B885" s="88" t="str">
        <f>IFERROR(HYPERLINK(VLOOKUP(A885,Internal_lists_bugs!$A$2:$C$73,3,FALSE()), VLOOKUP(A885,Internal_lists_bugs!$A$2:$C$73,3,FALSE())&amp;Char(10) &amp; Char(10) &amp; VLOOKUP(A885,Internal_lists_bugs!$A$2:$Z$73,26,FALSE())),"please select a BUG ID")</f>
        <v>please select a BUG ID</v>
      </c>
      <c r="C885" s="89" t="str">
        <f>IFERROR(VLOOKUP(A885,Internal_lists_bugs!$A$2:$X1013,24,FALSE()),"please select a BUG ID")</f>
        <v>please select a BUG ID</v>
      </c>
      <c r="E885" s="82"/>
      <c r="F885" s="80"/>
      <c r="H885" s="82"/>
      <c r="I885" s="80"/>
      <c r="J885" s="51" t="str">
        <f>IFERROR(Hyperlink(VLOOKUP(A885,Internal_lists_bugs!$A$2:$G1013,7,FALSE()),"BIC: "&amp;VLOOKUP(A885,Internal_lists_bugs!$A$2:$G1013,7,FALSE())&amp;CHAR(10)&amp;"Intro.Issues: "&amp;VLOOKUP(A885,Internal_lists_bugs!$A$2:$P1013,16,FALSE())),"please select a BUG ID")</f>
        <v>please select a BUG ID</v>
      </c>
    </row>
    <row r="886">
      <c r="A886" s="54"/>
      <c r="B886" s="88" t="str">
        <f>IFERROR(HYPERLINK(VLOOKUP(A886,Internal_lists_bugs!$A$2:$C$73,3,FALSE()), VLOOKUP(A886,Internal_lists_bugs!$A$2:$C$73,3,FALSE())&amp;Char(10) &amp; Char(10) &amp; VLOOKUP(A886,Internal_lists_bugs!$A$2:$Z$73,26,FALSE())),"please select a BUG ID")</f>
        <v>please select a BUG ID</v>
      </c>
      <c r="C886" s="89" t="str">
        <f>IFERROR(VLOOKUP(A886,Internal_lists_bugs!$A$2:$X1013,24,FALSE()),"please select a BUG ID")</f>
        <v>please select a BUG ID</v>
      </c>
      <c r="E886" s="82"/>
      <c r="F886" s="80"/>
      <c r="H886" s="82"/>
      <c r="I886" s="80"/>
      <c r="J886" s="51" t="str">
        <f>IFERROR(Hyperlink(VLOOKUP(A886,Internal_lists_bugs!$A$2:$G1013,7,FALSE()),"BIC: "&amp;VLOOKUP(A886,Internal_lists_bugs!$A$2:$G1013,7,FALSE())&amp;CHAR(10)&amp;"Intro.Issues: "&amp;VLOOKUP(A886,Internal_lists_bugs!$A$2:$P1013,16,FALSE())),"please select a BUG ID")</f>
        <v>please select a BUG ID</v>
      </c>
    </row>
    <row r="887">
      <c r="A887" s="54"/>
      <c r="B887" s="88" t="str">
        <f>IFERROR(HYPERLINK(VLOOKUP(A887,Internal_lists_bugs!$A$2:$C$73,3,FALSE()), VLOOKUP(A887,Internal_lists_bugs!$A$2:$C$73,3,FALSE())&amp;Char(10) &amp; Char(10) &amp; VLOOKUP(A887,Internal_lists_bugs!$A$2:$Z$73,26,FALSE())),"please select a BUG ID")</f>
        <v>please select a BUG ID</v>
      </c>
      <c r="C887" s="89" t="str">
        <f>IFERROR(VLOOKUP(A887,Internal_lists_bugs!$A$2:$X1013,24,FALSE()),"please select a BUG ID")</f>
        <v>please select a BUG ID</v>
      </c>
      <c r="E887" s="82"/>
      <c r="F887" s="80"/>
      <c r="H887" s="82"/>
      <c r="I887" s="80"/>
      <c r="J887" s="51" t="str">
        <f>IFERROR(Hyperlink(VLOOKUP(A887,Internal_lists_bugs!$A$2:$G1013,7,FALSE()),"BIC: "&amp;VLOOKUP(A887,Internal_lists_bugs!$A$2:$G1013,7,FALSE())&amp;CHAR(10)&amp;"Intro.Issues: "&amp;VLOOKUP(A887,Internal_lists_bugs!$A$2:$P1013,16,FALSE())),"please select a BUG ID")</f>
        <v>please select a BUG ID</v>
      </c>
    </row>
    <row r="888">
      <c r="A888" s="54"/>
      <c r="B888" s="88" t="str">
        <f>IFERROR(HYPERLINK(VLOOKUP(A888,Internal_lists_bugs!$A$2:$C$73,3,FALSE()), VLOOKUP(A888,Internal_lists_bugs!$A$2:$C$73,3,FALSE())&amp;Char(10) &amp; Char(10) &amp; VLOOKUP(A888,Internal_lists_bugs!$A$2:$Z$73,26,FALSE())),"please select a BUG ID")</f>
        <v>please select a BUG ID</v>
      </c>
      <c r="C888" s="89" t="str">
        <f>IFERROR(VLOOKUP(A888,Internal_lists_bugs!$A$2:$X1013,24,FALSE()),"please select a BUG ID")</f>
        <v>please select a BUG ID</v>
      </c>
      <c r="E888" s="82"/>
      <c r="F888" s="80"/>
      <c r="H888" s="82"/>
      <c r="I888" s="80"/>
      <c r="J888" s="51" t="str">
        <f>IFERROR(Hyperlink(VLOOKUP(A888,Internal_lists_bugs!$A$2:$G1013,7,FALSE()),"BIC: "&amp;VLOOKUP(A888,Internal_lists_bugs!$A$2:$G1013,7,FALSE())&amp;CHAR(10)&amp;"Intro.Issues: "&amp;VLOOKUP(A888,Internal_lists_bugs!$A$2:$P1013,16,FALSE())),"please select a BUG ID")</f>
        <v>please select a BUG ID</v>
      </c>
    </row>
    <row r="889">
      <c r="A889" s="54"/>
      <c r="B889" s="88" t="str">
        <f>IFERROR(HYPERLINK(VLOOKUP(A889,Internal_lists_bugs!$A$2:$C$73,3,FALSE()), VLOOKUP(A889,Internal_lists_bugs!$A$2:$C$73,3,FALSE())&amp;Char(10) &amp; Char(10) &amp; VLOOKUP(A889,Internal_lists_bugs!$A$2:$Z$73,26,FALSE())),"please select a BUG ID")</f>
        <v>please select a BUG ID</v>
      </c>
      <c r="C889" s="89" t="str">
        <f>IFERROR(VLOOKUP(A889,Internal_lists_bugs!$A$2:$X1013,24,FALSE()),"please select a BUG ID")</f>
        <v>please select a BUG ID</v>
      </c>
      <c r="E889" s="82"/>
      <c r="F889" s="80"/>
      <c r="H889" s="82"/>
      <c r="I889" s="80"/>
      <c r="J889" s="51" t="str">
        <f>IFERROR(Hyperlink(VLOOKUP(A889,Internal_lists_bugs!$A$2:$G1013,7,FALSE()),"BIC: "&amp;VLOOKUP(A889,Internal_lists_bugs!$A$2:$G1013,7,FALSE())&amp;CHAR(10)&amp;"Intro.Issues: "&amp;VLOOKUP(A889,Internal_lists_bugs!$A$2:$P1013,16,FALSE())),"please select a BUG ID")</f>
        <v>please select a BUG ID</v>
      </c>
    </row>
    <row r="890">
      <c r="A890" s="54"/>
      <c r="B890" s="88" t="str">
        <f>IFERROR(HYPERLINK(VLOOKUP(A890,Internal_lists_bugs!$A$2:$C$73,3,FALSE()), VLOOKUP(A890,Internal_lists_bugs!$A$2:$C$73,3,FALSE())&amp;Char(10) &amp; Char(10) &amp; VLOOKUP(A890,Internal_lists_bugs!$A$2:$Z$73,26,FALSE())),"please select a BUG ID")</f>
        <v>please select a BUG ID</v>
      </c>
      <c r="C890" s="89" t="str">
        <f>IFERROR(VLOOKUP(A890,Internal_lists_bugs!$A$2:$X1013,24,FALSE()),"please select a BUG ID")</f>
        <v>please select a BUG ID</v>
      </c>
      <c r="E890" s="82"/>
      <c r="F890" s="80"/>
      <c r="H890" s="82"/>
      <c r="I890" s="80"/>
      <c r="J890" s="51" t="str">
        <f>IFERROR(Hyperlink(VLOOKUP(A890,Internal_lists_bugs!$A$2:$G1013,7,FALSE()),"BIC: "&amp;VLOOKUP(A890,Internal_lists_bugs!$A$2:$G1013,7,FALSE())&amp;CHAR(10)&amp;"Intro.Issues: "&amp;VLOOKUP(A890,Internal_lists_bugs!$A$2:$P1013,16,FALSE())),"please select a BUG ID")</f>
        <v>please select a BUG ID</v>
      </c>
    </row>
    <row r="891">
      <c r="A891" s="54"/>
      <c r="B891" s="88" t="str">
        <f>IFERROR(HYPERLINK(VLOOKUP(A891,Internal_lists_bugs!$A$2:$C$73,3,FALSE()), VLOOKUP(A891,Internal_lists_bugs!$A$2:$C$73,3,FALSE())&amp;Char(10) &amp; Char(10) &amp; VLOOKUP(A891,Internal_lists_bugs!$A$2:$Z$73,26,FALSE())),"please select a BUG ID")</f>
        <v>please select a BUG ID</v>
      </c>
      <c r="C891" s="89" t="str">
        <f>IFERROR(VLOOKUP(A891,Internal_lists_bugs!$A$2:$X1013,24,FALSE()),"please select a BUG ID")</f>
        <v>please select a BUG ID</v>
      </c>
      <c r="E891" s="82"/>
      <c r="F891" s="80"/>
      <c r="H891" s="82"/>
      <c r="I891" s="80"/>
      <c r="J891" s="51" t="str">
        <f>IFERROR(Hyperlink(VLOOKUP(A891,Internal_lists_bugs!$A$2:$G1013,7,FALSE()),"BIC: "&amp;VLOOKUP(A891,Internal_lists_bugs!$A$2:$G1013,7,FALSE())&amp;CHAR(10)&amp;"Intro.Issues: "&amp;VLOOKUP(A891,Internal_lists_bugs!$A$2:$P1013,16,FALSE())),"please select a BUG ID")</f>
        <v>please select a BUG ID</v>
      </c>
    </row>
    <row r="892">
      <c r="A892" s="54"/>
      <c r="B892" s="88" t="str">
        <f>IFERROR(HYPERLINK(VLOOKUP(A892,Internal_lists_bugs!$A$2:$C$73,3,FALSE()), VLOOKUP(A892,Internal_lists_bugs!$A$2:$C$73,3,FALSE())&amp;Char(10) &amp; Char(10) &amp; VLOOKUP(A892,Internal_lists_bugs!$A$2:$Z$73,26,FALSE())),"please select a BUG ID")</f>
        <v>please select a BUG ID</v>
      </c>
      <c r="C892" s="89" t="str">
        <f>IFERROR(VLOOKUP(A892,Internal_lists_bugs!$A$2:$X1013,24,FALSE()),"please select a BUG ID")</f>
        <v>please select a BUG ID</v>
      </c>
      <c r="E892" s="82"/>
      <c r="F892" s="80"/>
      <c r="H892" s="82"/>
      <c r="I892" s="80"/>
      <c r="J892" s="51" t="str">
        <f>IFERROR(Hyperlink(VLOOKUP(A892,Internal_lists_bugs!$A$2:$G1013,7,FALSE()),"BIC: "&amp;VLOOKUP(A892,Internal_lists_bugs!$A$2:$G1013,7,FALSE())&amp;CHAR(10)&amp;"Intro.Issues: "&amp;VLOOKUP(A892,Internal_lists_bugs!$A$2:$P1013,16,FALSE())),"please select a BUG ID")</f>
        <v>please select a BUG ID</v>
      </c>
    </row>
    <row r="893">
      <c r="A893" s="54"/>
      <c r="B893" s="88" t="str">
        <f>IFERROR(HYPERLINK(VLOOKUP(A893,Internal_lists_bugs!$A$2:$C$73,3,FALSE()), VLOOKUP(A893,Internal_lists_bugs!$A$2:$C$73,3,FALSE())&amp;Char(10) &amp; Char(10) &amp; VLOOKUP(A893,Internal_lists_bugs!$A$2:$Z$73,26,FALSE())),"please select a BUG ID")</f>
        <v>please select a BUG ID</v>
      </c>
      <c r="C893" s="89" t="str">
        <f>IFERROR(VLOOKUP(A893,Internal_lists_bugs!$A$2:$X1013,24,FALSE()),"please select a BUG ID")</f>
        <v>please select a BUG ID</v>
      </c>
      <c r="E893" s="82"/>
      <c r="F893" s="80"/>
      <c r="H893" s="82"/>
      <c r="I893" s="80"/>
      <c r="J893" s="51" t="str">
        <f>IFERROR(Hyperlink(VLOOKUP(A893,Internal_lists_bugs!$A$2:$G1013,7,FALSE()),"BIC: "&amp;VLOOKUP(A893,Internal_lists_bugs!$A$2:$G1013,7,FALSE())&amp;CHAR(10)&amp;"Intro.Issues: "&amp;VLOOKUP(A893,Internal_lists_bugs!$A$2:$P1013,16,FALSE())),"please select a BUG ID")</f>
        <v>please select a BUG ID</v>
      </c>
    </row>
    <row r="894">
      <c r="A894" s="54"/>
      <c r="B894" s="88" t="str">
        <f>IFERROR(HYPERLINK(VLOOKUP(A894,Internal_lists_bugs!$A$2:$C$73,3,FALSE()), VLOOKUP(A894,Internal_lists_bugs!$A$2:$C$73,3,FALSE())&amp;Char(10) &amp; Char(10) &amp; VLOOKUP(A894,Internal_lists_bugs!$A$2:$Z$73,26,FALSE())),"please select a BUG ID")</f>
        <v>please select a BUG ID</v>
      </c>
      <c r="C894" s="89" t="str">
        <f>IFERROR(VLOOKUP(A894,Internal_lists_bugs!$A$2:$X1013,24,FALSE()),"please select a BUG ID")</f>
        <v>please select a BUG ID</v>
      </c>
      <c r="E894" s="82"/>
      <c r="F894" s="80"/>
      <c r="H894" s="82"/>
      <c r="I894" s="80"/>
      <c r="J894" s="51" t="str">
        <f>IFERROR(Hyperlink(VLOOKUP(A894,Internal_lists_bugs!$A$2:$G1013,7,FALSE()),"BIC: "&amp;VLOOKUP(A894,Internal_lists_bugs!$A$2:$G1013,7,FALSE())&amp;CHAR(10)&amp;"Intro.Issues: "&amp;VLOOKUP(A894,Internal_lists_bugs!$A$2:$P1013,16,FALSE())),"please select a BUG ID")</f>
        <v>please select a BUG ID</v>
      </c>
    </row>
    <row r="895">
      <c r="A895" s="54"/>
      <c r="B895" s="88" t="str">
        <f>IFERROR(HYPERLINK(VLOOKUP(A895,Internal_lists_bugs!$A$2:$C$73,3,FALSE()), VLOOKUP(A895,Internal_lists_bugs!$A$2:$C$73,3,FALSE())&amp;Char(10) &amp; Char(10) &amp; VLOOKUP(A895,Internal_lists_bugs!$A$2:$Z$73,26,FALSE())),"please select a BUG ID")</f>
        <v>please select a BUG ID</v>
      </c>
      <c r="C895" s="89" t="str">
        <f>IFERROR(VLOOKUP(A895,Internal_lists_bugs!$A$2:$X1013,24,FALSE()),"please select a BUG ID")</f>
        <v>please select a BUG ID</v>
      </c>
      <c r="E895" s="82"/>
      <c r="F895" s="80"/>
      <c r="H895" s="82"/>
      <c r="I895" s="80"/>
      <c r="J895" s="51" t="str">
        <f>IFERROR(Hyperlink(VLOOKUP(A895,Internal_lists_bugs!$A$2:$G1013,7,FALSE()),"BIC: "&amp;VLOOKUP(A895,Internal_lists_bugs!$A$2:$G1013,7,FALSE())&amp;CHAR(10)&amp;"Intro.Issues: "&amp;VLOOKUP(A895,Internal_lists_bugs!$A$2:$P1013,16,FALSE())),"please select a BUG ID")</f>
        <v>please select a BUG ID</v>
      </c>
    </row>
    <row r="896">
      <c r="A896" s="54"/>
      <c r="B896" s="88" t="str">
        <f>IFERROR(HYPERLINK(VLOOKUP(A896,Internal_lists_bugs!$A$2:$C$73,3,FALSE()), VLOOKUP(A896,Internal_lists_bugs!$A$2:$C$73,3,FALSE())&amp;Char(10) &amp; Char(10) &amp; VLOOKUP(A896,Internal_lists_bugs!$A$2:$Z$73,26,FALSE())),"please select a BUG ID")</f>
        <v>please select a BUG ID</v>
      </c>
      <c r="C896" s="89" t="str">
        <f>IFERROR(VLOOKUP(A896,Internal_lists_bugs!$A$2:$X1013,24,FALSE()),"please select a BUG ID")</f>
        <v>please select a BUG ID</v>
      </c>
      <c r="E896" s="82"/>
      <c r="F896" s="80"/>
      <c r="H896" s="82"/>
      <c r="I896" s="80"/>
      <c r="J896" s="51" t="str">
        <f>IFERROR(Hyperlink(VLOOKUP(A896,Internal_lists_bugs!$A$2:$G1013,7,FALSE()),"BIC: "&amp;VLOOKUP(A896,Internal_lists_bugs!$A$2:$G1013,7,FALSE())&amp;CHAR(10)&amp;"Intro.Issues: "&amp;VLOOKUP(A896,Internal_lists_bugs!$A$2:$P1013,16,FALSE())),"please select a BUG ID")</f>
        <v>please select a BUG ID</v>
      </c>
    </row>
    <row r="897">
      <c r="A897" s="54"/>
      <c r="B897" s="88" t="str">
        <f>IFERROR(HYPERLINK(VLOOKUP(A897,Internal_lists_bugs!$A$2:$C$73,3,FALSE()), VLOOKUP(A897,Internal_lists_bugs!$A$2:$C$73,3,FALSE())&amp;Char(10) &amp; Char(10) &amp; VLOOKUP(A897,Internal_lists_bugs!$A$2:$Z$73,26,FALSE())),"please select a BUG ID")</f>
        <v>please select a BUG ID</v>
      </c>
      <c r="C897" s="89" t="str">
        <f>IFERROR(VLOOKUP(A897,Internal_lists_bugs!$A$2:$X1013,24,FALSE()),"please select a BUG ID")</f>
        <v>please select a BUG ID</v>
      </c>
      <c r="E897" s="82"/>
      <c r="F897" s="80"/>
      <c r="H897" s="82"/>
      <c r="I897" s="80"/>
      <c r="J897" s="51" t="str">
        <f>IFERROR(Hyperlink(VLOOKUP(A897,Internal_lists_bugs!$A$2:$G1013,7,FALSE()),"BIC: "&amp;VLOOKUP(A897,Internal_lists_bugs!$A$2:$G1013,7,FALSE())&amp;CHAR(10)&amp;"Intro.Issues: "&amp;VLOOKUP(A897,Internal_lists_bugs!$A$2:$P1013,16,FALSE())),"please select a BUG ID")</f>
        <v>please select a BUG ID</v>
      </c>
    </row>
    <row r="898">
      <c r="A898" s="54"/>
      <c r="B898" s="88" t="str">
        <f>IFERROR(HYPERLINK(VLOOKUP(A898,Internal_lists_bugs!$A$2:$C$73,3,FALSE()), VLOOKUP(A898,Internal_lists_bugs!$A$2:$C$73,3,FALSE())&amp;Char(10) &amp; Char(10) &amp; VLOOKUP(A898,Internal_lists_bugs!$A$2:$Z$73,26,FALSE())),"please select a BUG ID")</f>
        <v>please select a BUG ID</v>
      </c>
      <c r="C898" s="89" t="str">
        <f>IFERROR(VLOOKUP(A898,Internal_lists_bugs!$A$2:$X1013,24,FALSE()),"please select a BUG ID")</f>
        <v>please select a BUG ID</v>
      </c>
      <c r="E898" s="82"/>
      <c r="F898" s="80"/>
      <c r="H898" s="82"/>
      <c r="I898" s="80"/>
      <c r="J898" s="51" t="str">
        <f>IFERROR(Hyperlink(VLOOKUP(A898,Internal_lists_bugs!$A$2:$G1013,7,FALSE()),"BIC: "&amp;VLOOKUP(A898,Internal_lists_bugs!$A$2:$G1013,7,FALSE())&amp;CHAR(10)&amp;"Intro.Issues: "&amp;VLOOKUP(A898,Internal_lists_bugs!$A$2:$P1013,16,FALSE())),"please select a BUG ID")</f>
        <v>please select a BUG ID</v>
      </c>
    </row>
    <row r="899">
      <c r="A899" s="54"/>
      <c r="B899" s="88" t="str">
        <f>IFERROR(HYPERLINK(VLOOKUP(A899,Internal_lists_bugs!$A$2:$C$73,3,FALSE()), VLOOKUP(A899,Internal_lists_bugs!$A$2:$C$73,3,FALSE())&amp;Char(10) &amp; Char(10) &amp; VLOOKUP(A899,Internal_lists_bugs!$A$2:$Z$73,26,FALSE())),"please select a BUG ID")</f>
        <v>please select a BUG ID</v>
      </c>
      <c r="C899" s="89" t="str">
        <f>IFERROR(VLOOKUP(A899,Internal_lists_bugs!$A$2:$X1013,24,FALSE()),"please select a BUG ID")</f>
        <v>please select a BUG ID</v>
      </c>
      <c r="E899" s="82"/>
      <c r="F899" s="80"/>
      <c r="H899" s="82"/>
      <c r="I899" s="80"/>
      <c r="J899" s="51" t="str">
        <f>IFERROR(Hyperlink(VLOOKUP(A899,Internal_lists_bugs!$A$2:$G1013,7,FALSE()),"BIC: "&amp;VLOOKUP(A899,Internal_lists_bugs!$A$2:$G1013,7,FALSE())&amp;CHAR(10)&amp;"Intro.Issues: "&amp;VLOOKUP(A899,Internal_lists_bugs!$A$2:$P1013,16,FALSE())),"please select a BUG ID")</f>
        <v>please select a BUG ID</v>
      </c>
    </row>
    <row r="900">
      <c r="A900" s="54"/>
      <c r="B900" s="88" t="str">
        <f>IFERROR(HYPERLINK(VLOOKUP(A900,Internal_lists_bugs!$A$2:$C$73,3,FALSE()), VLOOKUP(A900,Internal_lists_bugs!$A$2:$C$73,3,FALSE())&amp;Char(10) &amp; Char(10) &amp; VLOOKUP(A900,Internal_lists_bugs!$A$2:$Z$73,26,FALSE())),"please select a BUG ID")</f>
        <v>please select a BUG ID</v>
      </c>
      <c r="C900" s="89" t="str">
        <f>IFERROR(VLOOKUP(A900,Internal_lists_bugs!$A$2:$X1013,24,FALSE()),"please select a BUG ID")</f>
        <v>please select a BUG ID</v>
      </c>
      <c r="E900" s="82"/>
      <c r="F900" s="80"/>
      <c r="H900" s="82"/>
      <c r="I900" s="80"/>
      <c r="J900" s="51" t="str">
        <f>IFERROR(Hyperlink(VLOOKUP(A900,Internal_lists_bugs!$A$2:$G1013,7,FALSE()),"BIC: "&amp;VLOOKUP(A900,Internal_lists_bugs!$A$2:$G1013,7,FALSE())&amp;CHAR(10)&amp;"Intro.Issues: "&amp;VLOOKUP(A900,Internal_lists_bugs!$A$2:$P1013,16,FALSE())),"please select a BUG ID")</f>
        <v>please select a BUG ID</v>
      </c>
    </row>
    <row r="901">
      <c r="A901" s="54"/>
      <c r="B901" s="88" t="str">
        <f>IFERROR(HYPERLINK(VLOOKUP(A901,Internal_lists_bugs!$A$2:$C$73,3,FALSE()), VLOOKUP(A901,Internal_lists_bugs!$A$2:$C$73,3,FALSE())&amp;Char(10) &amp; Char(10) &amp; VLOOKUP(A901,Internal_lists_bugs!$A$2:$Z$73,26,FALSE())),"please select a BUG ID")</f>
        <v>please select a BUG ID</v>
      </c>
      <c r="C901" s="89" t="str">
        <f>IFERROR(VLOOKUP(A901,Internal_lists_bugs!$A$2:$X1013,24,FALSE()),"please select a BUG ID")</f>
        <v>please select a BUG ID</v>
      </c>
      <c r="E901" s="82"/>
      <c r="F901" s="80"/>
      <c r="H901" s="82"/>
      <c r="I901" s="80"/>
      <c r="J901" s="51" t="str">
        <f>IFERROR(Hyperlink(VLOOKUP(A901,Internal_lists_bugs!$A$2:$G1013,7,FALSE()),"BIC: "&amp;VLOOKUP(A901,Internal_lists_bugs!$A$2:$G1013,7,FALSE())&amp;CHAR(10)&amp;"Intro.Issues: "&amp;VLOOKUP(A901,Internal_lists_bugs!$A$2:$P1013,16,FALSE())),"please select a BUG ID")</f>
        <v>please select a BUG ID</v>
      </c>
    </row>
    <row r="902">
      <c r="A902" s="54"/>
      <c r="B902" s="88" t="str">
        <f>IFERROR(HYPERLINK(VLOOKUP(A902,Internal_lists_bugs!$A$2:$C$73,3,FALSE()), VLOOKUP(A902,Internal_lists_bugs!$A$2:$C$73,3,FALSE())&amp;Char(10) &amp; Char(10) &amp; VLOOKUP(A902,Internal_lists_bugs!$A$2:$Z$73,26,FALSE())),"please select a BUG ID")</f>
        <v>please select a BUG ID</v>
      </c>
      <c r="C902" s="89" t="str">
        <f>IFERROR(VLOOKUP(A902,Internal_lists_bugs!$A$2:$X1013,24,FALSE()),"please select a BUG ID")</f>
        <v>please select a BUG ID</v>
      </c>
      <c r="E902" s="82"/>
      <c r="F902" s="80"/>
      <c r="H902" s="82"/>
      <c r="I902" s="80"/>
      <c r="J902" s="51" t="str">
        <f>IFERROR(Hyperlink(VLOOKUP(A902,Internal_lists_bugs!$A$2:$G1013,7,FALSE()),"BIC: "&amp;VLOOKUP(A902,Internal_lists_bugs!$A$2:$G1013,7,FALSE())&amp;CHAR(10)&amp;"Intro.Issues: "&amp;VLOOKUP(A902,Internal_lists_bugs!$A$2:$P1013,16,FALSE())),"please select a BUG ID")</f>
        <v>please select a BUG ID</v>
      </c>
    </row>
    <row r="903">
      <c r="A903" s="54"/>
      <c r="B903" s="88" t="str">
        <f>IFERROR(HYPERLINK(VLOOKUP(A903,Internal_lists_bugs!$A$2:$C$73,3,FALSE()), VLOOKUP(A903,Internal_lists_bugs!$A$2:$C$73,3,FALSE())&amp;Char(10) &amp; Char(10) &amp; VLOOKUP(A903,Internal_lists_bugs!$A$2:$Z$73,26,FALSE())),"please select a BUG ID")</f>
        <v>please select a BUG ID</v>
      </c>
      <c r="C903" s="89" t="str">
        <f>IFERROR(VLOOKUP(A903,Internal_lists_bugs!$A$2:$X1013,24,FALSE()),"please select a BUG ID")</f>
        <v>please select a BUG ID</v>
      </c>
      <c r="E903" s="82"/>
      <c r="F903" s="80"/>
      <c r="H903" s="82"/>
      <c r="I903" s="80"/>
      <c r="J903" s="51" t="str">
        <f>IFERROR(Hyperlink(VLOOKUP(A903,Internal_lists_bugs!$A$2:$G1013,7,FALSE()),"BIC: "&amp;VLOOKUP(A903,Internal_lists_bugs!$A$2:$G1013,7,FALSE())&amp;CHAR(10)&amp;"Intro.Issues: "&amp;VLOOKUP(A903,Internal_lists_bugs!$A$2:$P1013,16,FALSE())),"please select a BUG ID")</f>
        <v>please select a BUG ID</v>
      </c>
    </row>
    <row r="904">
      <c r="A904" s="54"/>
      <c r="B904" s="88" t="str">
        <f>IFERROR(HYPERLINK(VLOOKUP(A904,Internal_lists_bugs!$A$2:$C$73,3,FALSE()), VLOOKUP(A904,Internal_lists_bugs!$A$2:$C$73,3,FALSE())&amp;Char(10) &amp; Char(10) &amp; VLOOKUP(A904,Internal_lists_bugs!$A$2:$Z$73,26,FALSE())),"please select a BUG ID")</f>
        <v>please select a BUG ID</v>
      </c>
      <c r="C904" s="89" t="str">
        <f>IFERROR(VLOOKUP(A904,Internal_lists_bugs!$A$2:$X1013,24,FALSE()),"please select a BUG ID")</f>
        <v>please select a BUG ID</v>
      </c>
      <c r="E904" s="82"/>
      <c r="F904" s="80"/>
      <c r="H904" s="82"/>
      <c r="I904" s="80"/>
      <c r="J904" s="51" t="str">
        <f>IFERROR(Hyperlink(VLOOKUP(A904,Internal_lists_bugs!$A$2:$G1013,7,FALSE()),"BIC: "&amp;VLOOKUP(A904,Internal_lists_bugs!$A$2:$G1013,7,FALSE())&amp;CHAR(10)&amp;"Intro.Issues: "&amp;VLOOKUP(A904,Internal_lists_bugs!$A$2:$P1013,16,FALSE())),"please select a BUG ID")</f>
        <v>please select a BUG ID</v>
      </c>
    </row>
    <row r="905">
      <c r="A905" s="54"/>
      <c r="B905" s="88" t="str">
        <f>IFERROR(HYPERLINK(VLOOKUP(A905,Internal_lists_bugs!$A$2:$C$73,3,FALSE()), VLOOKUP(A905,Internal_lists_bugs!$A$2:$C$73,3,FALSE())&amp;Char(10) &amp; Char(10) &amp; VLOOKUP(A905,Internal_lists_bugs!$A$2:$Z$73,26,FALSE())),"please select a BUG ID")</f>
        <v>please select a BUG ID</v>
      </c>
      <c r="C905" s="89" t="str">
        <f>IFERROR(VLOOKUP(A905,Internal_lists_bugs!$A$2:$X1013,24,FALSE()),"please select a BUG ID")</f>
        <v>please select a BUG ID</v>
      </c>
      <c r="E905" s="82"/>
      <c r="F905" s="80"/>
      <c r="H905" s="82"/>
      <c r="I905" s="80"/>
      <c r="J905" s="51" t="str">
        <f>IFERROR(Hyperlink(VLOOKUP(A905,Internal_lists_bugs!$A$2:$G1013,7,FALSE()),"BIC: "&amp;VLOOKUP(A905,Internal_lists_bugs!$A$2:$G1013,7,FALSE())&amp;CHAR(10)&amp;"Intro.Issues: "&amp;VLOOKUP(A905,Internal_lists_bugs!$A$2:$P1013,16,FALSE())),"please select a BUG ID")</f>
        <v>please select a BUG ID</v>
      </c>
    </row>
    <row r="906">
      <c r="A906" s="54"/>
      <c r="B906" s="88" t="str">
        <f>IFERROR(HYPERLINK(VLOOKUP(A906,Internal_lists_bugs!$A$2:$C$73,3,FALSE()), VLOOKUP(A906,Internal_lists_bugs!$A$2:$C$73,3,FALSE())&amp;Char(10) &amp; Char(10) &amp; VLOOKUP(A906,Internal_lists_bugs!$A$2:$Z$73,26,FALSE())),"please select a BUG ID")</f>
        <v>please select a BUG ID</v>
      </c>
      <c r="C906" s="89" t="str">
        <f>IFERROR(VLOOKUP(A906,Internal_lists_bugs!$A$2:$X1013,24,FALSE()),"please select a BUG ID")</f>
        <v>please select a BUG ID</v>
      </c>
      <c r="E906" s="82"/>
      <c r="F906" s="80"/>
      <c r="H906" s="82"/>
      <c r="I906" s="80"/>
      <c r="J906" s="51" t="str">
        <f>IFERROR(Hyperlink(VLOOKUP(A906,Internal_lists_bugs!$A$2:$G1013,7,FALSE()),"BIC: "&amp;VLOOKUP(A906,Internal_lists_bugs!$A$2:$G1013,7,FALSE())&amp;CHAR(10)&amp;"Intro.Issues: "&amp;VLOOKUP(A906,Internal_lists_bugs!$A$2:$P1013,16,FALSE())),"please select a BUG ID")</f>
        <v>please select a BUG ID</v>
      </c>
    </row>
    <row r="907">
      <c r="A907" s="54"/>
      <c r="B907" s="88" t="str">
        <f>IFERROR(HYPERLINK(VLOOKUP(A907,Internal_lists_bugs!$A$2:$C$73,3,FALSE()), VLOOKUP(A907,Internal_lists_bugs!$A$2:$C$73,3,FALSE())&amp;Char(10) &amp; Char(10) &amp; VLOOKUP(A907,Internal_lists_bugs!$A$2:$Z$73,26,FALSE())),"please select a BUG ID")</f>
        <v>please select a BUG ID</v>
      </c>
      <c r="C907" s="89" t="str">
        <f>IFERROR(VLOOKUP(A907,Internal_lists_bugs!$A$2:$X1013,24,FALSE()),"please select a BUG ID")</f>
        <v>please select a BUG ID</v>
      </c>
      <c r="E907" s="82"/>
      <c r="F907" s="80"/>
      <c r="H907" s="82"/>
      <c r="I907" s="80"/>
      <c r="J907" s="51" t="str">
        <f>IFERROR(Hyperlink(VLOOKUP(A907,Internal_lists_bugs!$A$2:$G1013,7,FALSE()),"BIC: "&amp;VLOOKUP(A907,Internal_lists_bugs!$A$2:$G1013,7,FALSE())&amp;CHAR(10)&amp;"Intro.Issues: "&amp;VLOOKUP(A907,Internal_lists_bugs!$A$2:$P1013,16,FALSE())),"please select a BUG ID")</f>
        <v>please select a BUG ID</v>
      </c>
    </row>
    <row r="908">
      <c r="A908" s="54"/>
      <c r="B908" s="88" t="str">
        <f>IFERROR(HYPERLINK(VLOOKUP(A908,Internal_lists_bugs!$A$2:$C$73,3,FALSE()), VLOOKUP(A908,Internal_lists_bugs!$A$2:$C$73,3,FALSE())&amp;Char(10) &amp; Char(10) &amp; VLOOKUP(A908,Internal_lists_bugs!$A$2:$Z$73,26,FALSE())),"please select a BUG ID")</f>
        <v>please select a BUG ID</v>
      </c>
      <c r="C908" s="89" t="str">
        <f>IFERROR(VLOOKUP(A908,Internal_lists_bugs!$A$2:$X1013,24,FALSE()),"please select a BUG ID")</f>
        <v>please select a BUG ID</v>
      </c>
      <c r="E908" s="82"/>
      <c r="F908" s="80"/>
      <c r="H908" s="82"/>
      <c r="I908" s="80"/>
      <c r="J908" s="51" t="str">
        <f>IFERROR(Hyperlink(VLOOKUP(A908,Internal_lists_bugs!$A$2:$G1013,7,FALSE()),"BIC: "&amp;VLOOKUP(A908,Internal_lists_bugs!$A$2:$G1013,7,FALSE())&amp;CHAR(10)&amp;"Intro.Issues: "&amp;VLOOKUP(A908,Internal_lists_bugs!$A$2:$P1013,16,FALSE())),"please select a BUG ID")</f>
        <v>please select a BUG ID</v>
      </c>
    </row>
    <row r="909">
      <c r="A909" s="54"/>
      <c r="B909" s="88" t="str">
        <f>IFERROR(HYPERLINK(VLOOKUP(A909,Internal_lists_bugs!$A$2:$C$73,3,FALSE()), VLOOKUP(A909,Internal_lists_bugs!$A$2:$C$73,3,FALSE())&amp;Char(10) &amp; Char(10) &amp; VLOOKUP(A909,Internal_lists_bugs!$A$2:$Z$73,26,FALSE())),"please select a BUG ID")</f>
        <v>please select a BUG ID</v>
      </c>
      <c r="C909" s="89" t="str">
        <f>IFERROR(VLOOKUP(A909,Internal_lists_bugs!$A$2:$X1013,24,FALSE()),"please select a BUG ID")</f>
        <v>please select a BUG ID</v>
      </c>
      <c r="E909" s="82"/>
      <c r="F909" s="80"/>
      <c r="H909" s="82"/>
      <c r="I909" s="80"/>
      <c r="J909" s="51" t="str">
        <f>IFERROR(Hyperlink(VLOOKUP(A909,Internal_lists_bugs!$A$2:$G1013,7,FALSE()),"BIC: "&amp;VLOOKUP(A909,Internal_lists_bugs!$A$2:$G1013,7,FALSE())&amp;CHAR(10)&amp;"Intro.Issues: "&amp;VLOOKUP(A909,Internal_lists_bugs!$A$2:$P1013,16,FALSE())),"please select a BUG ID")</f>
        <v>please select a BUG ID</v>
      </c>
    </row>
    <row r="910">
      <c r="A910" s="54"/>
      <c r="B910" s="88" t="str">
        <f>IFERROR(HYPERLINK(VLOOKUP(A910,Internal_lists_bugs!$A$2:$C$73,3,FALSE()), VLOOKUP(A910,Internal_lists_bugs!$A$2:$C$73,3,FALSE())&amp;Char(10) &amp; Char(10) &amp; VLOOKUP(A910,Internal_lists_bugs!$A$2:$Z$73,26,FALSE())),"please select a BUG ID")</f>
        <v>please select a BUG ID</v>
      </c>
      <c r="C910" s="89" t="str">
        <f>IFERROR(VLOOKUP(A910,Internal_lists_bugs!$A$2:$X1013,24,FALSE()),"please select a BUG ID")</f>
        <v>please select a BUG ID</v>
      </c>
      <c r="E910" s="82"/>
      <c r="F910" s="80"/>
      <c r="H910" s="82"/>
      <c r="I910" s="80"/>
      <c r="J910" s="51" t="str">
        <f>IFERROR(Hyperlink(VLOOKUP(A910,Internal_lists_bugs!$A$2:$G1013,7,FALSE()),"BIC: "&amp;VLOOKUP(A910,Internal_lists_bugs!$A$2:$G1013,7,FALSE())&amp;CHAR(10)&amp;"Intro.Issues: "&amp;VLOOKUP(A910,Internal_lists_bugs!$A$2:$P1013,16,FALSE())),"please select a BUG ID")</f>
        <v>please select a BUG ID</v>
      </c>
    </row>
    <row r="911">
      <c r="A911" s="54"/>
      <c r="B911" s="88" t="str">
        <f>IFERROR(HYPERLINK(VLOOKUP(A911,Internal_lists_bugs!$A$2:$C$73,3,FALSE()), VLOOKUP(A911,Internal_lists_bugs!$A$2:$C$73,3,FALSE())&amp;Char(10) &amp; Char(10) &amp; VLOOKUP(A911,Internal_lists_bugs!$A$2:$Z$73,26,FALSE())),"please select a BUG ID")</f>
        <v>please select a BUG ID</v>
      </c>
      <c r="C911" s="89" t="str">
        <f>IFERROR(VLOOKUP(A911,Internal_lists_bugs!$A$2:$X1013,24,FALSE()),"please select a BUG ID")</f>
        <v>please select a BUG ID</v>
      </c>
      <c r="E911" s="82"/>
      <c r="F911" s="80"/>
      <c r="H911" s="82"/>
      <c r="I911" s="80"/>
      <c r="J911" s="51" t="str">
        <f>IFERROR(Hyperlink(VLOOKUP(A911,Internal_lists_bugs!$A$2:$G1013,7,FALSE()),"BIC: "&amp;VLOOKUP(A911,Internal_lists_bugs!$A$2:$G1013,7,FALSE())&amp;CHAR(10)&amp;"Intro.Issues: "&amp;VLOOKUP(A911,Internal_lists_bugs!$A$2:$P1013,16,FALSE())),"please select a BUG ID")</f>
        <v>please select a BUG ID</v>
      </c>
    </row>
    <row r="912">
      <c r="A912" s="54"/>
      <c r="B912" s="88" t="str">
        <f>IFERROR(HYPERLINK(VLOOKUP(A912,Internal_lists_bugs!$A$2:$C$73,3,FALSE()), VLOOKUP(A912,Internal_lists_bugs!$A$2:$C$73,3,FALSE())&amp;Char(10) &amp; Char(10) &amp; VLOOKUP(A912,Internal_lists_bugs!$A$2:$Z$73,26,FALSE())),"please select a BUG ID")</f>
        <v>please select a BUG ID</v>
      </c>
      <c r="C912" s="89" t="str">
        <f>IFERROR(VLOOKUP(A912,Internal_lists_bugs!$A$2:$X1013,24,FALSE()),"please select a BUG ID")</f>
        <v>please select a BUG ID</v>
      </c>
      <c r="E912" s="82"/>
      <c r="F912" s="80"/>
      <c r="H912" s="82"/>
      <c r="I912" s="80"/>
      <c r="J912" s="51" t="str">
        <f>IFERROR(Hyperlink(VLOOKUP(A912,Internal_lists_bugs!$A$2:$G1013,7,FALSE()),"BIC: "&amp;VLOOKUP(A912,Internal_lists_bugs!$A$2:$G1013,7,FALSE())&amp;CHAR(10)&amp;"Intro.Issues: "&amp;VLOOKUP(A912,Internal_lists_bugs!$A$2:$P1013,16,FALSE())),"please select a BUG ID")</f>
        <v>please select a BUG ID</v>
      </c>
    </row>
    <row r="913">
      <c r="A913" s="54"/>
      <c r="B913" s="88" t="str">
        <f>IFERROR(HYPERLINK(VLOOKUP(A913,Internal_lists_bugs!$A$2:$C$73,3,FALSE()), VLOOKUP(A913,Internal_lists_bugs!$A$2:$C$73,3,FALSE())&amp;Char(10) &amp; Char(10) &amp; VLOOKUP(A913,Internal_lists_bugs!$A$2:$Z$73,26,FALSE())),"please select a BUG ID")</f>
        <v>please select a BUG ID</v>
      </c>
      <c r="C913" s="89" t="str">
        <f>IFERROR(VLOOKUP(A913,Internal_lists_bugs!$A$2:$X1013,24,FALSE()),"please select a BUG ID")</f>
        <v>please select a BUG ID</v>
      </c>
      <c r="E913" s="82"/>
      <c r="F913" s="80"/>
      <c r="H913" s="82"/>
      <c r="I913" s="80"/>
      <c r="J913" s="51" t="str">
        <f>IFERROR(Hyperlink(VLOOKUP(A913,Internal_lists_bugs!$A$2:$G1013,7,FALSE()),"BIC: "&amp;VLOOKUP(A913,Internal_lists_bugs!$A$2:$G1013,7,FALSE())&amp;CHAR(10)&amp;"Intro.Issues: "&amp;VLOOKUP(A913,Internal_lists_bugs!$A$2:$P1013,16,FALSE())),"please select a BUG ID")</f>
        <v>please select a BUG ID</v>
      </c>
    </row>
    <row r="914">
      <c r="A914" s="54"/>
      <c r="B914" s="88" t="str">
        <f>IFERROR(HYPERLINK(VLOOKUP(A914,Internal_lists_bugs!$A$2:$C$73,3,FALSE()), VLOOKUP(A914,Internal_lists_bugs!$A$2:$C$73,3,FALSE())&amp;Char(10) &amp; Char(10) &amp; VLOOKUP(A914,Internal_lists_bugs!$A$2:$Z$73,26,FALSE())),"please select a BUG ID")</f>
        <v>please select a BUG ID</v>
      </c>
      <c r="C914" s="89" t="str">
        <f>IFERROR(VLOOKUP(A914,Internal_lists_bugs!$A$2:$X1013,24,FALSE()),"please select a BUG ID")</f>
        <v>please select a BUG ID</v>
      </c>
      <c r="E914" s="82"/>
      <c r="F914" s="80"/>
      <c r="H914" s="82"/>
      <c r="I914" s="80"/>
      <c r="J914" s="51" t="str">
        <f>IFERROR(Hyperlink(VLOOKUP(A914,Internal_lists_bugs!$A$2:$G1013,7,FALSE()),"BIC: "&amp;VLOOKUP(A914,Internal_lists_bugs!$A$2:$G1013,7,FALSE())&amp;CHAR(10)&amp;"Intro.Issues: "&amp;VLOOKUP(A914,Internal_lists_bugs!$A$2:$P1013,16,FALSE())),"please select a BUG ID")</f>
        <v>please select a BUG ID</v>
      </c>
    </row>
    <row r="915">
      <c r="A915" s="54"/>
      <c r="B915" s="88" t="str">
        <f>IFERROR(HYPERLINK(VLOOKUP(A915,Internal_lists_bugs!$A$2:$C$73,3,FALSE()), VLOOKUP(A915,Internal_lists_bugs!$A$2:$C$73,3,FALSE())&amp;Char(10) &amp; Char(10) &amp; VLOOKUP(A915,Internal_lists_bugs!$A$2:$Z$73,26,FALSE())),"please select a BUG ID")</f>
        <v>please select a BUG ID</v>
      </c>
      <c r="C915" s="89" t="str">
        <f>IFERROR(VLOOKUP(A915,Internal_lists_bugs!$A$2:$X1013,24,FALSE()),"please select a BUG ID")</f>
        <v>please select a BUG ID</v>
      </c>
      <c r="E915" s="82"/>
      <c r="F915" s="80"/>
      <c r="H915" s="82"/>
      <c r="I915" s="80"/>
      <c r="J915" s="51" t="str">
        <f>IFERROR(Hyperlink(VLOOKUP(A915,Internal_lists_bugs!$A$2:$G1013,7,FALSE()),"BIC: "&amp;VLOOKUP(A915,Internal_lists_bugs!$A$2:$G1013,7,FALSE())&amp;CHAR(10)&amp;"Intro.Issues: "&amp;VLOOKUP(A915,Internal_lists_bugs!$A$2:$P1013,16,FALSE())),"please select a BUG ID")</f>
        <v>please select a BUG ID</v>
      </c>
    </row>
    <row r="916">
      <c r="A916" s="54"/>
      <c r="B916" s="88" t="str">
        <f>IFERROR(HYPERLINK(VLOOKUP(A916,Internal_lists_bugs!$A$2:$C$73,3,FALSE()), VLOOKUP(A916,Internal_lists_bugs!$A$2:$C$73,3,FALSE())&amp;Char(10) &amp; Char(10) &amp; VLOOKUP(A916,Internal_lists_bugs!$A$2:$Z$73,26,FALSE())),"please select a BUG ID")</f>
        <v>please select a BUG ID</v>
      </c>
      <c r="C916" s="89" t="str">
        <f>IFERROR(VLOOKUP(A916,Internal_lists_bugs!$A$2:$X1013,24,FALSE()),"please select a BUG ID")</f>
        <v>please select a BUG ID</v>
      </c>
      <c r="E916" s="82"/>
      <c r="F916" s="80"/>
      <c r="H916" s="82"/>
      <c r="I916" s="80"/>
      <c r="J916" s="51" t="str">
        <f>IFERROR(Hyperlink(VLOOKUP(A916,Internal_lists_bugs!$A$2:$G1013,7,FALSE()),"BIC: "&amp;VLOOKUP(A916,Internal_lists_bugs!$A$2:$G1013,7,FALSE())&amp;CHAR(10)&amp;"Intro.Issues: "&amp;VLOOKUP(A916,Internal_lists_bugs!$A$2:$P1013,16,FALSE())),"please select a BUG ID")</f>
        <v>please select a BUG ID</v>
      </c>
    </row>
    <row r="917">
      <c r="A917" s="54"/>
      <c r="B917" s="88" t="str">
        <f>IFERROR(HYPERLINK(VLOOKUP(A917,Internal_lists_bugs!$A$2:$C$73,3,FALSE()), VLOOKUP(A917,Internal_lists_bugs!$A$2:$C$73,3,FALSE())&amp;Char(10) &amp; Char(10) &amp; VLOOKUP(A917,Internal_lists_bugs!$A$2:$Z$73,26,FALSE())),"please select a BUG ID")</f>
        <v>please select a BUG ID</v>
      </c>
      <c r="C917" s="89" t="str">
        <f>IFERROR(VLOOKUP(A917,Internal_lists_bugs!$A$2:$X1013,24,FALSE()),"please select a BUG ID")</f>
        <v>please select a BUG ID</v>
      </c>
      <c r="E917" s="82"/>
      <c r="F917" s="80"/>
      <c r="H917" s="82"/>
      <c r="I917" s="80"/>
      <c r="J917" s="51" t="str">
        <f>IFERROR(Hyperlink(VLOOKUP(A917,Internal_lists_bugs!$A$2:$G1013,7,FALSE()),"BIC: "&amp;VLOOKUP(A917,Internal_lists_bugs!$A$2:$G1013,7,FALSE())&amp;CHAR(10)&amp;"Intro.Issues: "&amp;VLOOKUP(A917,Internal_lists_bugs!$A$2:$P1013,16,FALSE())),"please select a BUG ID")</f>
        <v>please select a BUG ID</v>
      </c>
    </row>
    <row r="918">
      <c r="A918" s="54"/>
      <c r="B918" s="88" t="str">
        <f>IFERROR(HYPERLINK(VLOOKUP(A918,Internal_lists_bugs!$A$2:$C$73,3,FALSE()), VLOOKUP(A918,Internal_lists_bugs!$A$2:$C$73,3,FALSE())&amp;Char(10) &amp; Char(10) &amp; VLOOKUP(A918,Internal_lists_bugs!$A$2:$Z$73,26,FALSE())),"please select a BUG ID")</f>
        <v>please select a BUG ID</v>
      </c>
      <c r="C918" s="89" t="str">
        <f>IFERROR(VLOOKUP(A918,Internal_lists_bugs!$A$2:$X1013,24,FALSE()),"please select a BUG ID")</f>
        <v>please select a BUG ID</v>
      </c>
      <c r="E918" s="82"/>
      <c r="F918" s="80"/>
      <c r="H918" s="82"/>
      <c r="I918" s="80"/>
      <c r="J918" s="51" t="str">
        <f>IFERROR(Hyperlink(VLOOKUP(A918,Internal_lists_bugs!$A$2:$G1013,7,FALSE()),"BIC: "&amp;VLOOKUP(A918,Internal_lists_bugs!$A$2:$G1013,7,FALSE())&amp;CHAR(10)&amp;"Intro.Issues: "&amp;VLOOKUP(A918,Internal_lists_bugs!$A$2:$P1013,16,FALSE())),"please select a BUG ID")</f>
        <v>please select a BUG ID</v>
      </c>
    </row>
    <row r="919">
      <c r="A919" s="54"/>
      <c r="B919" s="88" t="str">
        <f>IFERROR(HYPERLINK(VLOOKUP(A919,Internal_lists_bugs!$A$2:$C$73,3,FALSE()), VLOOKUP(A919,Internal_lists_bugs!$A$2:$C$73,3,FALSE())&amp;Char(10) &amp; Char(10) &amp; VLOOKUP(A919,Internal_lists_bugs!$A$2:$Z$73,26,FALSE())),"please select a BUG ID")</f>
        <v>please select a BUG ID</v>
      </c>
      <c r="C919" s="89" t="str">
        <f>IFERROR(VLOOKUP(A919,Internal_lists_bugs!$A$2:$X1013,24,FALSE()),"please select a BUG ID")</f>
        <v>please select a BUG ID</v>
      </c>
      <c r="E919" s="82"/>
      <c r="F919" s="80"/>
      <c r="H919" s="82"/>
      <c r="I919" s="80"/>
      <c r="J919" s="51" t="str">
        <f>IFERROR(Hyperlink(VLOOKUP(A919,Internal_lists_bugs!$A$2:$G1013,7,FALSE()),"BIC: "&amp;VLOOKUP(A919,Internal_lists_bugs!$A$2:$G1013,7,FALSE())&amp;CHAR(10)&amp;"Intro.Issues: "&amp;VLOOKUP(A919,Internal_lists_bugs!$A$2:$P1013,16,FALSE())),"please select a BUG ID")</f>
        <v>please select a BUG ID</v>
      </c>
    </row>
    <row r="920">
      <c r="A920" s="54"/>
      <c r="B920" s="88" t="str">
        <f>IFERROR(HYPERLINK(VLOOKUP(A920,Internal_lists_bugs!$A$2:$C$73,3,FALSE()), VLOOKUP(A920,Internal_lists_bugs!$A$2:$C$73,3,FALSE())&amp;Char(10) &amp; Char(10) &amp; VLOOKUP(A920,Internal_lists_bugs!$A$2:$Z$73,26,FALSE())),"please select a BUG ID")</f>
        <v>please select a BUG ID</v>
      </c>
      <c r="C920" s="89" t="str">
        <f>IFERROR(VLOOKUP(A920,Internal_lists_bugs!$A$2:$X1013,24,FALSE()),"please select a BUG ID")</f>
        <v>please select a BUG ID</v>
      </c>
      <c r="E920" s="82"/>
      <c r="F920" s="80"/>
      <c r="H920" s="82"/>
      <c r="I920" s="80"/>
      <c r="J920" s="51" t="str">
        <f>IFERROR(Hyperlink(VLOOKUP(A920,Internal_lists_bugs!$A$2:$G1013,7,FALSE()),"BIC: "&amp;VLOOKUP(A920,Internal_lists_bugs!$A$2:$G1013,7,FALSE())&amp;CHAR(10)&amp;"Intro.Issues: "&amp;VLOOKUP(A920,Internal_lists_bugs!$A$2:$P1013,16,FALSE())),"please select a BUG ID")</f>
        <v>please select a BUG ID</v>
      </c>
    </row>
    <row r="921">
      <c r="A921" s="54"/>
      <c r="B921" s="88" t="str">
        <f>IFERROR(HYPERLINK(VLOOKUP(A921,Internal_lists_bugs!$A$2:$C$73,3,FALSE()), VLOOKUP(A921,Internal_lists_bugs!$A$2:$C$73,3,FALSE())&amp;Char(10) &amp; Char(10) &amp; VLOOKUP(A921,Internal_lists_bugs!$A$2:$Z$73,26,FALSE())),"please select a BUG ID")</f>
        <v>please select a BUG ID</v>
      </c>
      <c r="C921" s="89" t="str">
        <f>IFERROR(VLOOKUP(A921,Internal_lists_bugs!$A$2:$X1013,24,FALSE()),"please select a BUG ID")</f>
        <v>please select a BUG ID</v>
      </c>
      <c r="E921" s="82"/>
      <c r="F921" s="80"/>
      <c r="H921" s="82"/>
      <c r="I921" s="80"/>
      <c r="J921" s="51" t="str">
        <f>IFERROR(Hyperlink(VLOOKUP(A921,Internal_lists_bugs!$A$2:$G1013,7,FALSE()),"BIC: "&amp;VLOOKUP(A921,Internal_lists_bugs!$A$2:$G1013,7,FALSE())&amp;CHAR(10)&amp;"Intro.Issues: "&amp;VLOOKUP(A921,Internal_lists_bugs!$A$2:$P1013,16,FALSE())),"please select a BUG ID")</f>
        <v>please select a BUG ID</v>
      </c>
    </row>
    <row r="922">
      <c r="A922" s="54"/>
      <c r="B922" s="88" t="str">
        <f>IFERROR(HYPERLINK(VLOOKUP(A922,Internal_lists_bugs!$A$2:$C$73,3,FALSE()), VLOOKUP(A922,Internal_lists_bugs!$A$2:$C$73,3,FALSE())&amp;Char(10) &amp; Char(10) &amp; VLOOKUP(A922,Internal_lists_bugs!$A$2:$Z$73,26,FALSE())),"please select a BUG ID")</f>
        <v>please select a BUG ID</v>
      </c>
      <c r="C922" s="89" t="str">
        <f>IFERROR(VLOOKUP(A922,Internal_lists_bugs!$A$2:$X1013,24,FALSE()),"please select a BUG ID")</f>
        <v>please select a BUG ID</v>
      </c>
      <c r="E922" s="82"/>
      <c r="F922" s="80"/>
      <c r="H922" s="82"/>
      <c r="I922" s="80"/>
      <c r="J922" s="51" t="str">
        <f>IFERROR(Hyperlink(VLOOKUP(A922,Internal_lists_bugs!$A$2:$G1013,7,FALSE()),"BIC: "&amp;VLOOKUP(A922,Internal_lists_bugs!$A$2:$G1013,7,FALSE())&amp;CHAR(10)&amp;"Intro.Issues: "&amp;VLOOKUP(A922,Internal_lists_bugs!$A$2:$P1013,16,FALSE())),"please select a BUG ID")</f>
        <v>please select a BUG ID</v>
      </c>
    </row>
    <row r="923">
      <c r="A923" s="54"/>
      <c r="B923" s="88" t="str">
        <f>IFERROR(HYPERLINK(VLOOKUP(A923,Internal_lists_bugs!$A$2:$C$73,3,FALSE()), VLOOKUP(A923,Internal_lists_bugs!$A$2:$C$73,3,FALSE())&amp;Char(10) &amp; Char(10) &amp; VLOOKUP(A923,Internal_lists_bugs!$A$2:$Z$73,26,FALSE())),"please select a BUG ID")</f>
        <v>please select a BUG ID</v>
      </c>
      <c r="C923" s="89" t="str">
        <f>IFERROR(VLOOKUP(A923,Internal_lists_bugs!$A$2:$X1013,24,FALSE()),"please select a BUG ID")</f>
        <v>please select a BUG ID</v>
      </c>
      <c r="E923" s="82"/>
      <c r="F923" s="80"/>
      <c r="H923" s="82"/>
      <c r="I923" s="80"/>
      <c r="J923" s="51" t="str">
        <f>IFERROR(Hyperlink(VLOOKUP(A923,Internal_lists_bugs!$A$2:$G1013,7,FALSE()),"BIC: "&amp;VLOOKUP(A923,Internal_lists_bugs!$A$2:$G1013,7,FALSE())&amp;CHAR(10)&amp;"Intro.Issues: "&amp;VLOOKUP(A923,Internal_lists_bugs!$A$2:$P1013,16,FALSE())),"please select a BUG ID")</f>
        <v>please select a BUG ID</v>
      </c>
    </row>
    <row r="924">
      <c r="A924" s="54"/>
      <c r="B924" s="88" t="str">
        <f>IFERROR(HYPERLINK(VLOOKUP(A924,Internal_lists_bugs!$A$2:$C$73,3,FALSE()), VLOOKUP(A924,Internal_lists_bugs!$A$2:$C$73,3,FALSE())&amp;Char(10) &amp; Char(10) &amp; VLOOKUP(A924,Internal_lists_bugs!$A$2:$Z$73,26,FALSE())),"please select a BUG ID")</f>
        <v>please select a BUG ID</v>
      </c>
      <c r="C924" s="89" t="str">
        <f>IFERROR(VLOOKUP(A924,Internal_lists_bugs!$A$2:$X1013,24,FALSE()),"please select a BUG ID")</f>
        <v>please select a BUG ID</v>
      </c>
      <c r="E924" s="82"/>
      <c r="F924" s="80"/>
      <c r="H924" s="82"/>
      <c r="I924" s="80"/>
      <c r="J924" s="51" t="str">
        <f>IFERROR(Hyperlink(VLOOKUP(A924,Internal_lists_bugs!$A$2:$G1013,7,FALSE()),"BIC: "&amp;VLOOKUP(A924,Internal_lists_bugs!$A$2:$G1013,7,FALSE())&amp;CHAR(10)&amp;"Intro.Issues: "&amp;VLOOKUP(A924,Internal_lists_bugs!$A$2:$P1013,16,FALSE())),"please select a BUG ID")</f>
        <v>please select a BUG ID</v>
      </c>
    </row>
    <row r="925">
      <c r="A925" s="54"/>
      <c r="B925" s="88" t="str">
        <f>IFERROR(HYPERLINK(VLOOKUP(A925,Internal_lists_bugs!$A$2:$C$73,3,FALSE()), VLOOKUP(A925,Internal_lists_bugs!$A$2:$C$73,3,FALSE())&amp;Char(10) &amp; Char(10) &amp; VLOOKUP(A925,Internal_lists_bugs!$A$2:$Z$73,26,FALSE())),"please select a BUG ID")</f>
        <v>please select a BUG ID</v>
      </c>
      <c r="C925" s="89" t="str">
        <f>IFERROR(VLOOKUP(A925,Internal_lists_bugs!$A$2:$X1013,24,FALSE()),"please select a BUG ID")</f>
        <v>please select a BUG ID</v>
      </c>
      <c r="E925" s="82"/>
      <c r="F925" s="80"/>
      <c r="H925" s="82"/>
      <c r="I925" s="80"/>
      <c r="J925" s="51" t="str">
        <f>IFERROR(Hyperlink(VLOOKUP(A925,Internal_lists_bugs!$A$2:$G1013,7,FALSE()),"BIC: "&amp;VLOOKUP(A925,Internal_lists_bugs!$A$2:$G1013,7,FALSE())&amp;CHAR(10)&amp;"Intro.Issues: "&amp;VLOOKUP(A925,Internal_lists_bugs!$A$2:$P1013,16,FALSE())),"please select a BUG ID")</f>
        <v>please select a BUG ID</v>
      </c>
    </row>
    <row r="926">
      <c r="A926" s="54"/>
      <c r="B926" s="88" t="str">
        <f>IFERROR(HYPERLINK(VLOOKUP(A926,Internal_lists_bugs!$A$2:$C$73,3,FALSE()), VLOOKUP(A926,Internal_lists_bugs!$A$2:$C$73,3,FALSE())&amp;Char(10) &amp; Char(10) &amp; VLOOKUP(A926,Internal_lists_bugs!$A$2:$Z$73,26,FALSE())),"please select a BUG ID")</f>
        <v>please select a BUG ID</v>
      </c>
      <c r="C926" s="89" t="str">
        <f>IFERROR(VLOOKUP(A926,Internal_lists_bugs!$A$2:$X1013,24,FALSE()),"please select a BUG ID")</f>
        <v>please select a BUG ID</v>
      </c>
      <c r="E926" s="82"/>
      <c r="F926" s="80"/>
      <c r="H926" s="82"/>
      <c r="I926" s="80"/>
      <c r="J926" s="51" t="str">
        <f>IFERROR(Hyperlink(VLOOKUP(A926,Internal_lists_bugs!$A$2:$G1013,7,FALSE()),"BIC: "&amp;VLOOKUP(A926,Internal_lists_bugs!$A$2:$G1013,7,FALSE())&amp;CHAR(10)&amp;"Intro.Issues: "&amp;VLOOKUP(A926,Internal_lists_bugs!$A$2:$P1013,16,FALSE())),"please select a BUG ID")</f>
        <v>please select a BUG ID</v>
      </c>
    </row>
    <row r="927">
      <c r="A927" s="54"/>
      <c r="B927" s="88" t="str">
        <f>IFERROR(HYPERLINK(VLOOKUP(A927,Internal_lists_bugs!$A$2:$C$73,3,FALSE()), VLOOKUP(A927,Internal_lists_bugs!$A$2:$C$73,3,FALSE())&amp;Char(10) &amp; Char(10) &amp; VLOOKUP(A927,Internal_lists_bugs!$A$2:$Z$73,26,FALSE())),"please select a BUG ID")</f>
        <v>please select a BUG ID</v>
      </c>
      <c r="C927" s="89" t="str">
        <f>IFERROR(VLOOKUP(A927,Internal_lists_bugs!$A$2:$X1013,24,FALSE()),"please select a BUG ID")</f>
        <v>please select a BUG ID</v>
      </c>
      <c r="E927" s="82"/>
      <c r="F927" s="80"/>
      <c r="H927" s="82"/>
      <c r="I927" s="80"/>
      <c r="J927" s="51" t="str">
        <f>IFERROR(Hyperlink(VLOOKUP(A927,Internal_lists_bugs!$A$2:$G1013,7,FALSE()),"BIC: "&amp;VLOOKUP(A927,Internal_lists_bugs!$A$2:$G1013,7,FALSE())&amp;CHAR(10)&amp;"Intro.Issues: "&amp;VLOOKUP(A927,Internal_lists_bugs!$A$2:$P1013,16,FALSE())),"please select a BUG ID")</f>
        <v>please select a BUG ID</v>
      </c>
    </row>
    <row r="928">
      <c r="A928" s="54"/>
      <c r="B928" s="88" t="str">
        <f>IFERROR(HYPERLINK(VLOOKUP(A928,Internal_lists_bugs!$A$2:$C$73,3,FALSE()), VLOOKUP(A928,Internal_lists_bugs!$A$2:$C$73,3,FALSE())&amp;Char(10) &amp; Char(10) &amp; VLOOKUP(A928,Internal_lists_bugs!$A$2:$Z$73,26,FALSE())),"please select a BUG ID")</f>
        <v>please select a BUG ID</v>
      </c>
      <c r="C928" s="89" t="str">
        <f>IFERROR(VLOOKUP(A928,Internal_lists_bugs!$A$2:$X1013,24,FALSE()),"please select a BUG ID")</f>
        <v>please select a BUG ID</v>
      </c>
      <c r="E928" s="82"/>
      <c r="F928" s="80"/>
      <c r="H928" s="82"/>
      <c r="I928" s="80"/>
      <c r="J928" s="51" t="str">
        <f>IFERROR(Hyperlink(VLOOKUP(A928,Internal_lists_bugs!$A$2:$G1013,7,FALSE()),"BIC: "&amp;VLOOKUP(A928,Internal_lists_bugs!$A$2:$G1013,7,FALSE())&amp;CHAR(10)&amp;"Intro.Issues: "&amp;VLOOKUP(A928,Internal_lists_bugs!$A$2:$P1013,16,FALSE())),"please select a BUG ID")</f>
        <v>please select a BUG ID</v>
      </c>
    </row>
    <row r="929">
      <c r="A929" s="54"/>
      <c r="B929" s="88" t="str">
        <f>IFERROR(HYPERLINK(VLOOKUP(A929,Internal_lists_bugs!$A$2:$C$73,3,FALSE()), VLOOKUP(A929,Internal_lists_bugs!$A$2:$C$73,3,FALSE())&amp;Char(10) &amp; Char(10) &amp; VLOOKUP(A929,Internal_lists_bugs!$A$2:$Z$73,26,FALSE())),"please select a BUG ID")</f>
        <v>please select a BUG ID</v>
      </c>
      <c r="C929" s="89" t="str">
        <f>IFERROR(VLOOKUP(A929,Internal_lists_bugs!$A$2:$X1013,24,FALSE()),"please select a BUG ID")</f>
        <v>please select a BUG ID</v>
      </c>
      <c r="E929" s="82"/>
      <c r="F929" s="80"/>
      <c r="H929" s="82"/>
      <c r="I929" s="80"/>
      <c r="J929" s="51" t="str">
        <f>IFERROR(Hyperlink(VLOOKUP(A929,Internal_lists_bugs!$A$2:$G1013,7,FALSE()),"BIC: "&amp;VLOOKUP(A929,Internal_lists_bugs!$A$2:$G1013,7,FALSE())&amp;CHAR(10)&amp;"Intro.Issues: "&amp;VLOOKUP(A929,Internal_lists_bugs!$A$2:$P1013,16,FALSE())),"please select a BUG ID")</f>
        <v>please select a BUG ID</v>
      </c>
    </row>
    <row r="930">
      <c r="A930" s="54"/>
      <c r="B930" s="88" t="str">
        <f>IFERROR(HYPERLINK(VLOOKUP(A930,Internal_lists_bugs!$A$2:$C$73,3,FALSE()), VLOOKUP(A930,Internal_lists_bugs!$A$2:$C$73,3,FALSE())&amp;Char(10) &amp; Char(10) &amp; VLOOKUP(A930,Internal_lists_bugs!$A$2:$Z$73,26,FALSE())),"please select a BUG ID")</f>
        <v>please select a BUG ID</v>
      </c>
      <c r="C930" s="89" t="str">
        <f>IFERROR(VLOOKUP(A930,Internal_lists_bugs!$A$2:$X1013,24,FALSE()),"please select a BUG ID")</f>
        <v>please select a BUG ID</v>
      </c>
      <c r="E930" s="82"/>
      <c r="F930" s="80"/>
      <c r="H930" s="82"/>
      <c r="I930" s="80"/>
      <c r="J930" s="51" t="str">
        <f>IFERROR(Hyperlink(VLOOKUP(A930,Internal_lists_bugs!$A$2:$G1013,7,FALSE()),"BIC: "&amp;VLOOKUP(A930,Internal_lists_bugs!$A$2:$G1013,7,FALSE())&amp;CHAR(10)&amp;"Intro.Issues: "&amp;VLOOKUP(A930,Internal_lists_bugs!$A$2:$P1013,16,FALSE())),"please select a BUG ID")</f>
        <v>please select a BUG ID</v>
      </c>
    </row>
    <row r="931">
      <c r="A931" s="54"/>
      <c r="B931" s="88" t="str">
        <f>IFERROR(HYPERLINK(VLOOKUP(A931,Internal_lists_bugs!$A$2:$C$73,3,FALSE()), VLOOKUP(A931,Internal_lists_bugs!$A$2:$C$73,3,FALSE())&amp;Char(10) &amp; Char(10) &amp; VLOOKUP(A931,Internal_lists_bugs!$A$2:$Z$73,26,FALSE())),"please select a BUG ID")</f>
        <v>please select a BUG ID</v>
      </c>
      <c r="C931" s="89" t="str">
        <f>IFERROR(VLOOKUP(A931,Internal_lists_bugs!$A$2:$X1013,24,FALSE()),"please select a BUG ID")</f>
        <v>please select a BUG ID</v>
      </c>
      <c r="E931" s="82"/>
      <c r="F931" s="80"/>
      <c r="H931" s="82"/>
      <c r="I931" s="80"/>
      <c r="J931" s="51" t="str">
        <f>IFERROR(Hyperlink(VLOOKUP(A931,Internal_lists_bugs!$A$2:$G1013,7,FALSE()),"BIC: "&amp;VLOOKUP(A931,Internal_lists_bugs!$A$2:$G1013,7,FALSE())&amp;CHAR(10)&amp;"Intro.Issues: "&amp;VLOOKUP(A931,Internal_lists_bugs!$A$2:$P1013,16,FALSE())),"please select a BUG ID")</f>
        <v>please select a BUG ID</v>
      </c>
    </row>
    <row r="932">
      <c r="A932" s="54"/>
      <c r="B932" s="88" t="str">
        <f>IFERROR(HYPERLINK(VLOOKUP(A932,Internal_lists_bugs!$A$2:$C$73,3,FALSE()), VLOOKUP(A932,Internal_lists_bugs!$A$2:$C$73,3,FALSE())&amp;Char(10) &amp; Char(10) &amp; VLOOKUP(A932,Internal_lists_bugs!$A$2:$Z$73,26,FALSE())),"please select a BUG ID")</f>
        <v>please select a BUG ID</v>
      </c>
      <c r="C932" s="89" t="str">
        <f>IFERROR(VLOOKUP(A932,Internal_lists_bugs!$A$2:$X1013,24,FALSE()),"please select a BUG ID")</f>
        <v>please select a BUG ID</v>
      </c>
      <c r="E932" s="82"/>
      <c r="F932" s="80"/>
      <c r="H932" s="82"/>
      <c r="I932" s="80"/>
      <c r="J932" s="51" t="str">
        <f>IFERROR(Hyperlink(VLOOKUP(A932,Internal_lists_bugs!$A$2:$G1013,7,FALSE()),"BIC: "&amp;VLOOKUP(A932,Internal_lists_bugs!$A$2:$G1013,7,FALSE())&amp;CHAR(10)&amp;"Intro.Issues: "&amp;VLOOKUP(A932,Internal_lists_bugs!$A$2:$P1013,16,FALSE())),"please select a BUG ID")</f>
        <v>please select a BUG ID</v>
      </c>
    </row>
    <row r="933">
      <c r="A933" s="54"/>
      <c r="B933" s="88" t="str">
        <f>IFERROR(HYPERLINK(VLOOKUP(A933,Internal_lists_bugs!$A$2:$C$73,3,FALSE()), VLOOKUP(A933,Internal_lists_bugs!$A$2:$C$73,3,FALSE())&amp;Char(10) &amp; Char(10) &amp; VLOOKUP(A933,Internal_lists_bugs!$A$2:$Z$73,26,FALSE())),"please select a BUG ID")</f>
        <v>please select a BUG ID</v>
      </c>
      <c r="C933" s="89" t="str">
        <f>IFERROR(VLOOKUP(A933,Internal_lists_bugs!$A$2:$X1013,24,FALSE()),"please select a BUG ID")</f>
        <v>please select a BUG ID</v>
      </c>
      <c r="E933" s="82"/>
      <c r="F933" s="80"/>
      <c r="H933" s="82"/>
      <c r="I933" s="80"/>
      <c r="J933" s="51" t="str">
        <f>IFERROR(Hyperlink(VLOOKUP(A933,Internal_lists_bugs!$A$2:$G1013,7,FALSE()),"BIC: "&amp;VLOOKUP(A933,Internal_lists_bugs!$A$2:$G1013,7,FALSE())&amp;CHAR(10)&amp;"Intro.Issues: "&amp;VLOOKUP(A933,Internal_lists_bugs!$A$2:$P1013,16,FALSE())),"please select a BUG ID")</f>
        <v>please select a BUG ID</v>
      </c>
    </row>
    <row r="934">
      <c r="A934" s="54"/>
      <c r="B934" s="88" t="str">
        <f>IFERROR(HYPERLINK(VLOOKUP(A934,Internal_lists_bugs!$A$2:$C$73,3,FALSE()), VLOOKUP(A934,Internal_lists_bugs!$A$2:$C$73,3,FALSE())&amp;Char(10) &amp; Char(10) &amp; VLOOKUP(A934,Internal_lists_bugs!$A$2:$Z$73,26,FALSE())),"please select a BUG ID")</f>
        <v>please select a BUG ID</v>
      </c>
      <c r="C934" s="89" t="str">
        <f>IFERROR(VLOOKUP(A934,Internal_lists_bugs!$A$2:$X1013,24,FALSE()),"please select a BUG ID")</f>
        <v>please select a BUG ID</v>
      </c>
      <c r="E934" s="82"/>
      <c r="F934" s="80"/>
      <c r="H934" s="82"/>
      <c r="I934" s="80"/>
      <c r="J934" s="51" t="str">
        <f>IFERROR(Hyperlink(VLOOKUP(A934,Internal_lists_bugs!$A$2:$G1013,7,FALSE()),"BIC: "&amp;VLOOKUP(A934,Internal_lists_bugs!$A$2:$G1013,7,FALSE())&amp;CHAR(10)&amp;"Intro.Issues: "&amp;VLOOKUP(A934,Internal_lists_bugs!$A$2:$P1013,16,FALSE())),"please select a BUG ID")</f>
        <v>please select a BUG ID</v>
      </c>
    </row>
    <row r="935">
      <c r="A935" s="54"/>
      <c r="B935" s="88" t="str">
        <f>IFERROR(HYPERLINK(VLOOKUP(A935,Internal_lists_bugs!$A$2:$C$73,3,FALSE()), VLOOKUP(A935,Internal_lists_bugs!$A$2:$C$73,3,FALSE())&amp;Char(10) &amp; Char(10) &amp; VLOOKUP(A935,Internal_lists_bugs!$A$2:$Z$73,26,FALSE())),"please select a BUG ID")</f>
        <v>please select a BUG ID</v>
      </c>
      <c r="C935" s="89" t="str">
        <f>IFERROR(VLOOKUP(A935,Internal_lists_bugs!$A$2:$X1013,24,FALSE()),"please select a BUG ID")</f>
        <v>please select a BUG ID</v>
      </c>
      <c r="E935" s="82"/>
      <c r="F935" s="80"/>
      <c r="H935" s="82"/>
      <c r="I935" s="80"/>
      <c r="J935" s="51" t="str">
        <f>IFERROR(Hyperlink(VLOOKUP(A935,Internal_lists_bugs!$A$2:$G1013,7,FALSE()),"BIC: "&amp;VLOOKUP(A935,Internal_lists_bugs!$A$2:$G1013,7,FALSE())&amp;CHAR(10)&amp;"Intro.Issues: "&amp;VLOOKUP(A935,Internal_lists_bugs!$A$2:$P1013,16,FALSE())),"please select a BUG ID")</f>
        <v>please select a BUG ID</v>
      </c>
    </row>
    <row r="936">
      <c r="A936" s="54"/>
      <c r="B936" s="88" t="str">
        <f>IFERROR(HYPERLINK(VLOOKUP(A936,Internal_lists_bugs!$A$2:$C$73,3,FALSE()), VLOOKUP(A936,Internal_lists_bugs!$A$2:$C$73,3,FALSE())&amp;Char(10) &amp; Char(10) &amp; VLOOKUP(A936,Internal_lists_bugs!$A$2:$Z$73,26,FALSE())),"please select a BUG ID")</f>
        <v>please select a BUG ID</v>
      </c>
      <c r="C936" s="89" t="str">
        <f>IFERROR(VLOOKUP(A936,Internal_lists_bugs!$A$2:$X1013,24,FALSE()),"please select a BUG ID")</f>
        <v>please select a BUG ID</v>
      </c>
      <c r="E936" s="82"/>
      <c r="F936" s="80"/>
      <c r="H936" s="82"/>
      <c r="I936" s="80"/>
      <c r="J936" s="51" t="str">
        <f>IFERROR(Hyperlink(VLOOKUP(A936,Internal_lists_bugs!$A$2:$G1013,7,FALSE()),"BIC: "&amp;VLOOKUP(A936,Internal_lists_bugs!$A$2:$G1013,7,FALSE())&amp;CHAR(10)&amp;"Intro.Issues: "&amp;VLOOKUP(A936,Internal_lists_bugs!$A$2:$P1013,16,FALSE())),"please select a BUG ID")</f>
        <v>please select a BUG ID</v>
      </c>
    </row>
    <row r="937">
      <c r="A937" s="54"/>
      <c r="B937" s="88" t="str">
        <f>IFERROR(HYPERLINK(VLOOKUP(A937,Internal_lists_bugs!$A$2:$C$73,3,FALSE()), VLOOKUP(A937,Internal_lists_bugs!$A$2:$C$73,3,FALSE())&amp;Char(10) &amp; Char(10) &amp; VLOOKUP(A937,Internal_lists_bugs!$A$2:$Z$73,26,FALSE())),"please select a BUG ID")</f>
        <v>please select a BUG ID</v>
      </c>
      <c r="C937" s="89" t="str">
        <f>IFERROR(VLOOKUP(A937,Internal_lists_bugs!$A$2:$X1013,24,FALSE()),"please select a BUG ID")</f>
        <v>please select a BUG ID</v>
      </c>
      <c r="E937" s="82"/>
      <c r="F937" s="80"/>
      <c r="H937" s="82"/>
      <c r="I937" s="80"/>
      <c r="J937" s="51" t="str">
        <f>IFERROR(Hyperlink(VLOOKUP(A937,Internal_lists_bugs!$A$2:$G1013,7,FALSE()),"BIC: "&amp;VLOOKUP(A937,Internal_lists_bugs!$A$2:$G1013,7,FALSE())&amp;CHAR(10)&amp;"Intro.Issues: "&amp;VLOOKUP(A937,Internal_lists_bugs!$A$2:$P1013,16,FALSE())),"please select a BUG ID")</f>
        <v>please select a BUG ID</v>
      </c>
    </row>
    <row r="938">
      <c r="A938" s="54"/>
      <c r="B938" s="88" t="str">
        <f>IFERROR(HYPERLINK(VLOOKUP(A938,Internal_lists_bugs!$A$2:$C$73,3,FALSE()), VLOOKUP(A938,Internal_lists_bugs!$A$2:$C$73,3,FALSE())&amp;Char(10) &amp; Char(10) &amp; VLOOKUP(A938,Internal_lists_bugs!$A$2:$Z$73,26,FALSE())),"please select a BUG ID")</f>
        <v>please select a BUG ID</v>
      </c>
      <c r="C938" s="89" t="str">
        <f>IFERROR(VLOOKUP(A938,Internal_lists_bugs!$A$2:$X1013,24,FALSE()),"please select a BUG ID")</f>
        <v>please select a BUG ID</v>
      </c>
      <c r="E938" s="82"/>
      <c r="F938" s="80"/>
      <c r="H938" s="82"/>
      <c r="I938" s="80"/>
      <c r="J938" s="51" t="str">
        <f>IFERROR(Hyperlink(VLOOKUP(A938,Internal_lists_bugs!$A$2:$G1013,7,FALSE()),"BIC: "&amp;VLOOKUP(A938,Internal_lists_bugs!$A$2:$G1013,7,FALSE())&amp;CHAR(10)&amp;"Intro.Issues: "&amp;VLOOKUP(A938,Internal_lists_bugs!$A$2:$P1013,16,FALSE())),"please select a BUG ID")</f>
        <v>please select a BUG ID</v>
      </c>
    </row>
    <row r="939">
      <c r="A939" s="54"/>
      <c r="B939" s="88" t="str">
        <f>IFERROR(HYPERLINK(VLOOKUP(A939,Internal_lists_bugs!$A$2:$C$73,3,FALSE()), VLOOKUP(A939,Internal_lists_bugs!$A$2:$C$73,3,FALSE())&amp;Char(10) &amp; Char(10) &amp; VLOOKUP(A939,Internal_lists_bugs!$A$2:$Z$73,26,FALSE())),"please select a BUG ID")</f>
        <v>please select a BUG ID</v>
      </c>
      <c r="C939" s="89" t="str">
        <f>IFERROR(VLOOKUP(A939,Internal_lists_bugs!$A$2:$X1013,24,FALSE()),"please select a BUG ID")</f>
        <v>please select a BUG ID</v>
      </c>
      <c r="E939" s="82"/>
      <c r="F939" s="80"/>
      <c r="H939" s="82"/>
      <c r="I939" s="80"/>
      <c r="J939" s="51" t="str">
        <f>IFERROR(Hyperlink(VLOOKUP(A939,Internal_lists_bugs!$A$2:$G1013,7,FALSE()),"BIC: "&amp;VLOOKUP(A939,Internal_lists_bugs!$A$2:$G1013,7,FALSE())&amp;CHAR(10)&amp;"Intro.Issues: "&amp;VLOOKUP(A939,Internal_lists_bugs!$A$2:$P1013,16,FALSE())),"please select a BUG ID")</f>
        <v>please select a BUG ID</v>
      </c>
    </row>
    <row r="940">
      <c r="A940" s="54"/>
      <c r="B940" s="88" t="str">
        <f>IFERROR(HYPERLINK(VLOOKUP(A940,Internal_lists_bugs!$A$2:$C$73,3,FALSE()), VLOOKUP(A940,Internal_lists_bugs!$A$2:$C$73,3,FALSE())&amp;Char(10) &amp; Char(10) &amp; VLOOKUP(A940,Internal_lists_bugs!$A$2:$Z$73,26,FALSE())),"please select a BUG ID")</f>
        <v>please select a BUG ID</v>
      </c>
      <c r="C940" s="89" t="str">
        <f>IFERROR(VLOOKUP(A940,Internal_lists_bugs!$A$2:$X1013,24,FALSE()),"please select a BUG ID")</f>
        <v>please select a BUG ID</v>
      </c>
      <c r="E940" s="82"/>
      <c r="F940" s="80"/>
      <c r="H940" s="82"/>
      <c r="I940" s="80"/>
      <c r="J940" s="51" t="str">
        <f>IFERROR(Hyperlink(VLOOKUP(A940,Internal_lists_bugs!$A$2:$G1013,7,FALSE()),"BIC: "&amp;VLOOKUP(A940,Internal_lists_bugs!$A$2:$G1013,7,FALSE())&amp;CHAR(10)&amp;"Intro.Issues: "&amp;VLOOKUP(A940,Internal_lists_bugs!$A$2:$P1013,16,FALSE())),"please select a BUG ID")</f>
        <v>please select a BUG ID</v>
      </c>
    </row>
    <row r="941">
      <c r="A941" s="54"/>
      <c r="B941" s="88" t="str">
        <f>IFERROR(HYPERLINK(VLOOKUP(A941,Internal_lists_bugs!$A$2:$C$73,3,FALSE()), VLOOKUP(A941,Internal_lists_bugs!$A$2:$C$73,3,FALSE())&amp;Char(10) &amp; Char(10) &amp; VLOOKUP(A941,Internal_lists_bugs!$A$2:$Z$73,26,FALSE())),"please select a BUG ID")</f>
        <v>please select a BUG ID</v>
      </c>
      <c r="C941" s="89" t="str">
        <f>IFERROR(VLOOKUP(A941,Internal_lists_bugs!$A$2:$X1013,24,FALSE()),"please select a BUG ID")</f>
        <v>please select a BUG ID</v>
      </c>
      <c r="E941" s="82"/>
      <c r="F941" s="80"/>
      <c r="H941" s="82"/>
      <c r="I941" s="80"/>
      <c r="J941" s="51" t="str">
        <f>IFERROR(Hyperlink(VLOOKUP(A941,Internal_lists_bugs!$A$2:$G1013,7,FALSE()),"BIC: "&amp;VLOOKUP(A941,Internal_lists_bugs!$A$2:$G1013,7,FALSE())&amp;CHAR(10)&amp;"Intro.Issues: "&amp;VLOOKUP(A941,Internal_lists_bugs!$A$2:$P1013,16,FALSE())),"please select a BUG ID")</f>
        <v>please select a BUG ID</v>
      </c>
    </row>
    <row r="942">
      <c r="A942" s="54"/>
      <c r="B942" s="88" t="str">
        <f>IFERROR(HYPERLINK(VLOOKUP(A942,Internal_lists_bugs!$A$2:$C$73,3,FALSE()), VLOOKUP(A942,Internal_lists_bugs!$A$2:$C$73,3,FALSE())&amp;Char(10) &amp; Char(10) &amp; VLOOKUP(A942,Internal_lists_bugs!$A$2:$Z$73,26,FALSE())),"please select a BUG ID")</f>
        <v>please select a BUG ID</v>
      </c>
      <c r="C942" s="89" t="str">
        <f>IFERROR(VLOOKUP(A942,Internal_lists_bugs!$A$2:$X1013,24,FALSE()),"please select a BUG ID")</f>
        <v>please select a BUG ID</v>
      </c>
      <c r="E942" s="82"/>
      <c r="F942" s="80"/>
      <c r="H942" s="82"/>
      <c r="I942" s="80"/>
      <c r="J942" s="51" t="str">
        <f>IFERROR(Hyperlink(VLOOKUP(A942,Internal_lists_bugs!$A$2:$G1013,7,FALSE()),"BIC: "&amp;VLOOKUP(A942,Internal_lists_bugs!$A$2:$G1013,7,FALSE())&amp;CHAR(10)&amp;"Intro.Issues: "&amp;VLOOKUP(A942,Internal_lists_bugs!$A$2:$P1013,16,FALSE())),"please select a BUG ID")</f>
        <v>please select a BUG ID</v>
      </c>
    </row>
    <row r="943">
      <c r="A943" s="54"/>
      <c r="B943" s="88" t="str">
        <f>IFERROR(HYPERLINK(VLOOKUP(A943,Internal_lists_bugs!$A$2:$C$73,3,FALSE()), VLOOKUP(A943,Internal_lists_bugs!$A$2:$C$73,3,FALSE())&amp;Char(10) &amp; Char(10) &amp; VLOOKUP(A943,Internal_lists_bugs!$A$2:$Z$73,26,FALSE())),"please select a BUG ID")</f>
        <v>please select a BUG ID</v>
      </c>
      <c r="C943" s="89" t="str">
        <f>IFERROR(VLOOKUP(A943,Internal_lists_bugs!$A$2:$X1013,24,FALSE()),"please select a BUG ID")</f>
        <v>please select a BUG ID</v>
      </c>
      <c r="E943" s="82"/>
      <c r="F943" s="80"/>
      <c r="H943" s="82"/>
      <c r="I943" s="80"/>
      <c r="J943" s="51" t="str">
        <f>IFERROR(Hyperlink(VLOOKUP(A943,Internal_lists_bugs!$A$2:$G1013,7,FALSE()),"BIC: "&amp;VLOOKUP(A943,Internal_lists_bugs!$A$2:$G1013,7,FALSE())&amp;CHAR(10)&amp;"Intro.Issues: "&amp;VLOOKUP(A943,Internal_lists_bugs!$A$2:$P1013,16,FALSE())),"please select a BUG ID")</f>
        <v>please select a BUG ID</v>
      </c>
    </row>
    <row r="944">
      <c r="A944" s="54"/>
      <c r="B944" s="88" t="str">
        <f>IFERROR(HYPERLINK(VLOOKUP(A944,Internal_lists_bugs!$A$2:$C$73,3,FALSE()), VLOOKUP(A944,Internal_lists_bugs!$A$2:$C$73,3,FALSE())&amp;Char(10) &amp; Char(10) &amp; VLOOKUP(A944,Internal_lists_bugs!$A$2:$Z$73,26,FALSE())),"please select a BUG ID")</f>
        <v>please select a BUG ID</v>
      </c>
      <c r="C944" s="89" t="str">
        <f>IFERROR(VLOOKUP(A944,Internal_lists_bugs!$A$2:$X1013,24,FALSE()),"please select a BUG ID")</f>
        <v>please select a BUG ID</v>
      </c>
      <c r="E944" s="82"/>
      <c r="F944" s="80"/>
      <c r="H944" s="82"/>
      <c r="I944" s="80"/>
      <c r="J944" s="51" t="str">
        <f>IFERROR(Hyperlink(VLOOKUP(A944,Internal_lists_bugs!$A$2:$G1013,7,FALSE()),"BIC: "&amp;VLOOKUP(A944,Internal_lists_bugs!$A$2:$G1013,7,FALSE())&amp;CHAR(10)&amp;"Intro.Issues: "&amp;VLOOKUP(A944,Internal_lists_bugs!$A$2:$P1013,16,FALSE())),"please select a BUG ID")</f>
        <v>please select a BUG ID</v>
      </c>
    </row>
    <row r="945">
      <c r="A945" s="54"/>
      <c r="B945" s="88" t="str">
        <f>IFERROR(HYPERLINK(VLOOKUP(A945,Internal_lists_bugs!$A$2:$C$73,3,FALSE()), VLOOKUP(A945,Internal_lists_bugs!$A$2:$C$73,3,FALSE())&amp;Char(10) &amp; Char(10) &amp; VLOOKUP(A945,Internal_lists_bugs!$A$2:$Z$73,26,FALSE())),"please select a BUG ID")</f>
        <v>please select a BUG ID</v>
      </c>
      <c r="C945" s="89" t="str">
        <f>IFERROR(VLOOKUP(A945,Internal_lists_bugs!$A$2:$X1013,24,FALSE()),"please select a BUG ID")</f>
        <v>please select a BUG ID</v>
      </c>
      <c r="E945" s="82"/>
      <c r="F945" s="80"/>
      <c r="H945" s="82"/>
      <c r="I945" s="80"/>
      <c r="J945" s="51" t="str">
        <f>IFERROR(Hyperlink(VLOOKUP(A945,Internal_lists_bugs!$A$2:$G1013,7,FALSE()),"BIC: "&amp;VLOOKUP(A945,Internal_lists_bugs!$A$2:$G1013,7,FALSE())&amp;CHAR(10)&amp;"Intro.Issues: "&amp;VLOOKUP(A945,Internal_lists_bugs!$A$2:$P1013,16,FALSE())),"please select a BUG ID")</f>
        <v>please select a BUG ID</v>
      </c>
    </row>
    <row r="946">
      <c r="A946" s="54"/>
      <c r="B946" s="88" t="str">
        <f>IFERROR(HYPERLINK(VLOOKUP(A946,Internal_lists_bugs!$A$2:$C$73,3,FALSE()), VLOOKUP(A946,Internal_lists_bugs!$A$2:$C$73,3,FALSE())&amp;Char(10) &amp; Char(10) &amp; VLOOKUP(A946,Internal_lists_bugs!$A$2:$Z$73,26,FALSE())),"please select a BUG ID")</f>
        <v>please select a BUG ID</v>
      </c>
      <c r="C946" s="89" t="str">
        <f>IFERROR(VLOOKUP(A946,Internal_lists_bugs!$A$2:$X1013,24,FALSE()),"please select a BUG ID")</f>
        <v>please select a BUG ID</v>
      </c>
      <c r="E946" s="82"/>
      <c r="F946" s="80"/>
      <c r="H946" s="82"/>
      <c r="I946" s="80"/>
      <c r="J946" s="51" t="str">
        <f>IFERROR(Hyperlink(VLOOKUP(A946,Internal_lists_bugs!$A$2:$G1013,7,FALSE()),"BIC: "&amp;VLOOKUP(A946,Internal_lists_bugs!$A$2:$G1013,7,FALSE())&amp;CHAR(10)&amp;"Intro.Issues: "&amp;VLOOKUP(A946,Internal_lists_bugs!$A$2:$P1013,16,FALSE())),"please select a BUG ID")</f>
        <v>please select a BUG ID</v>
      </c>
    </row>
    <row r="947">
      <c r="A947" s="54"/>
      <c r="B947" s="88" t="str">
        <f>IFERROR(HYPERLINK(VLOOKUP(A947,Internal_lists_bugs!$A$2:$C$73,3,FALSE()), VLOOKUP(A947,Internal_lists_bugs!$A$2:$C$73,3,FALSE())&amp;Char(10) &amp; Char(10) &amp; VLOOKUP(A947,Internal_lists_bugs!$A$2:$Z$73,26,FALSE())),"please select a BUG ID")</f>
        <v>please select a BUG ID</v>
      </c>
      <c r="C947" s="89" t="str">
        <f>IFERROR(VLOOKUP(A947,Internal_lists_bugs!$A$2:$X1013,24,FALSE()),"please select a BUG ID")</f>
        <v>please select a BUG ID</v>
      </c>
      <c r="E947" s="82"/>
      <c r="F947" s="80"/>
      <c r="H947" s="82"/>
      <c r="I947" s="80"/>
      <c r="J947" s="51" t="str">
        <f>IFERROR(Hyperlink(VLOOKUP(A947,Internal_lists_bugs!$A$2:$G1013,7,FALSE()),"BIC: "&amp;VLOOKUP(A947,Internal_lists_bugs!$A$2:$G1013,7,FALSE())&amp;CHAR(10)&amp;"Intro.Issues: "&amp;VLOOKUP(A947,Internal_lists_bugs!$A$2:$P1013,16,FALSE())),"please select a BUG ID")</f>
        <v>please select a BUG ID</v>
      </c>
    </row>
    <row r="948">
      <c r="A948" s="54"/>
      <c r="B948" s="88" t="str">
        <f>IFERROR(HYPERLINK(VLOOKUP(A948,Internal_lists_bugs!$A$2:$C$73,3,FALSE()), VLOOKUP(A948,Internal_lists_bugs!$A$2:$C$73,3,FALSE())&amp;Char(10) &amp; Char(10) &amp; VLOOKUP(A948,Internal_lists_bugs!$A$2:$Z$73,26,FALSE())),"please select a BUG ID")</f>
        <v>please select a BUG ID</v>
      </c>
      <c r="C948" s="89" t="str">
        <f>IFERROR(VLOOKUP(A948,Internal_lists_bugs!$A$2:$X1013,24,FALSE()),"please select a BUG ID")</f>
        <v>please select a BUG ID</v>
      </c>
      <c r="E948" s="82"/>
      <c r="F948" s="80"/>
      <c r="H948" s="82"/>
      <c r="I948" s="80"/>
      <c r="J948" s="51" t="str">
        <f>IFERROR(Hyperlink(VLOOKUP(A948,Internal_lists_bugs!$A$2:$G1013,7,FALSE()),"BIC: "&amp;VLOOKUP(A948,Internal_lists_bugs!$A$2:$G1013,7,FALSE())&amp;CHAR(10)&amp;"Intro.Issues: "&amp;VLOOKUP(A948,Internal_lists_bugs!$A$2:$P1013,16,FALSE())),"please select a BUG ID")</f>
        <v>please select a BUG ID</v>
      </c>
    </row>
    <row r="949">
      <c r="A949" s="54"/>
      <c r="B949" s="88" t="str">
        <f>IFERROR(HYPERLINK(VLOOKUP(A949,Internal_lists_bugs!$A$2:$C$73,3,FALSE()), VLOOKUP(A949,Internal_lists_bugs!$A$2:$C$73,3,FALSE())&amp;Char(10) &amp; Char(10) &amp; VLOOKUP(A949,Internal_lists_bugs!$A$2:$Z$73,26,FALSE())),"please select a BUG ID")</f>
        <v>please select a BUG ID</v>
      </c>
      <c r="C949" s="89" t="str">
        <f>IFERROR(VLOOKUP(A949,Internal_lists_bugs!$A$2:$X1013,24,FALSE()),"please select a BUG ID")</f>
        <v>please select a BUG ID</v>
      </c>
      <c r="E949" s="82"/>
      <c r="F949" s="80"/>
      <c r="H949" s="82"/>
      <c r="I949" s="80"/>
      <c r="J949" s="51" t="str">
        <f>IFERROR(Hyperlink(VLOOKUP(A949,Internal_lists_bugs!$A$2:$G1013,7,FALSE()),"BIC: "&amp;VLOOKUP(A949,Internal_lists_bugs!$A$2:$G1013,7,FALSE())&amp;CHAR(10)&amp;"Intro.Issues: "&amp;VLOOKUP(A949,Internal_lists_bugs!$A$2:$P1013,16,FALSE())),"please select a BUG ID")</f>
        <v>please select a BUG ID</v>
      </c>
    </row>
    <row r="950">
      <c r="A950" s="54"/>
      <c r="B950" s="88" t="str">
        <f>IFERROR(HYPERLINK(VLOOKUP(A950,Internal_lists_bugs!$A$2:$C$73,3,FALSE()), VLOOKUP(A950,Internal_lists_bugs!$A$2:$C$73,3,FALSE())&amp;Char(10) &amp; Char(10) &amp; VLOOKUP(A950,Internal_lists_bugs!$A$2:$Z$73,26,FALSE())),"please select a BUG ID")</f>
        <v>please select a BUG ID</v>
      </c>
      <c r="C950" s="89" t="str">
        <f>IFERROR(VLOOKUP(A950,Internal_lists_bugs!$A$2:$X1013,24,FALSE()),"please select a BUG ID")</f>
        <v>please select a BUG ID</v>
      </c>
      <c r="E950" s="82"/>
      <c r="F950" s="80"/>
      <c r="H950" s="82"/>
      <c r="I950" s="80"/>
      <c r="J950" s="51" t="str">
        <f>IFERROR(Hyperlink(VLOOKUP(A950,Internal_lists_bugs!$A$2:$G1013,7,FALSE()),"BIC: "&amp;VLOOKUP(A950,Internal_lists_bugs!$A$2:$G1013,7,FALSE())&amp;CHAR(10)&amp;"Intro.Issues: "&amp;VLOOKUP(A950,Internal_lists_bugs!$A$2:$P1013,16,FALSE())),"please select a BUG ID")</f>
        <v>please select a BUG ID</v>
      </c>
    </row>
    <row r="951">
      <c r="A951" s="54"/>
      <c r="B951" s="88" t="str">
        <f>IFERROR(HYPERLINK(VLOOKUP(A951,Internal_lists_bugs!$A$2:$C$73,3,FALSE()), VLOOKUP(A951,Internal_lists_bugs!$A$2:$C$73,3,FALSE())&amp;Char(10) &amp; Char(10) &amp; VLOOKUP(A951,Internal_lists_bugs!$A$2:$Z$73,26,FALSE())),"please select a BUG ID")</f>
        <v>please select a BUG ID</v>
      </c>
      <c r="C951" s="89" t="str">
        <f>IFERROR(VLOOKUP(A951,Internal_lists_bugs!$A$2:$X1013,24,FALSE()),"please select a BUG ID")</f>
        <v>please select a BUG ID</v>
      </c>
      <c r="E951" s="82"/>
      <c r="F951" s="80"/>
      <c r="H951" s="82"/>
      <c r="I951" s="80"/>
      <c r="J951" s="51" t="str">
        <f>IFERROR(Hyperlink(VLOOKUP(A951,Internal_lists_bugs!$A$2:$G1013,7,FALSE()),"BIC: "&amp;VLOOKUP(A951,Internal_lists_bugs!$A$2:$G1013,7,FALSE())&amp;CHAR(10)&amp;"Intro.Issues: "&amp;VLOOKUP(A951,Internal_lists_bugs!$A$2:$P1013,16,FALSE())),"please select a BUG ID")</f>
        <v>please select a BUG ID</v>
      </c>
    </row>
    <row r="952">
      <c r="A952" s="54"/>
      <c r="B952" s="88" t="str">
        <f>IFERROR(HYPERLINK(VLOOKUP(A952,Internal_lists_bugs!$A$2:$C$73,3,FALSE()), VLOOKUP(A952,Internal_lists_bugs!$A$2:$C$73,3,FALSE())&amp;Char(10) &amp; Char(10) &amp; VLOOKUP(A952,Internal_lists_bugs!$A$2:$Z$73,26,FALSE())),"please select a BUG ID")</f>
        <v>please select a BUG ID</v>
      </c>
      <c r="C952" s="89" t="str">
        <f>IFERROR(VLOOKUP(A952,Internal_lists_bugs!$A$2:$X1013,24,FALSE()),"please select a BUG ID")</f>
        <v>please select a BUG ID</v>
      </c>
      <c r="E952" s="82"/>
      <c r="F952" s="80"/>
      <c r="H952" s="82"/>
      <c r="I952" s="80"/>
      <c r="J952" s="51" t="str">
        <f>IFERROR(Hyperlink(VLOOKUP(A952,Internal_lists_bugs!$A$2:$G1013,7,FALSE()),"BIC: "&amp;VLOOKUP(A952,Internal_lists_bugs!$A$2:$G1013,7,FALSE())&amp;CHAR(10)&amp;"Intro.Issues: "&amp;VLOOKUP(A952,Internal_lists_bugs!$A$2:$P1013,16,FALSE())),"please select a BUG ID")</f>
        <v>please select a BUG ID</v>
      </c>
    </row>
    <row r="953">
      <c r="A953" s="54"/>
      <c r="B953" s="88" t="str">
        <f>IFERROR(HYPERLINK(VLOOKUP(A953,Internal_lists_bugs!$A$2:$C$73,3,FALSE()), VLOOKUP(A953,Internal_lists_bugs!$A$2:$C$73,3,FALSE())&amp;Char(10) &amp; Char(10) &amp; VLOOKUP(A953,Internal_lists_bugs!$A$2:$Z$73,26,FALSE())),"please select a BUG ID")</f>
        <v>please select a BUG ID</v>
      </c>
      <c r="C953" s="89" t="str">
        <f>IFERROR(VLOOKUP(A953,Internal_lists_bugs!$A$2:$X1013,24,FALSE()),"please select a BUG ID")</f>
        <v>please select a BUG ID</v>
      </c>
      <c r="E953" s="82"/>
      <c r="F953" s="80"/>
      <c r="H953" s="82"/>
      <c r="I953" s="80"/>
      <c r="J953" s="51" t="str">
        <f>IFERROR(Hyperlink(VLOOKUP(A953,Internal_lists_bugs!$A$2:$G1013,7,FALSE()),"BIC: "&amp;VLOOKUP(A953,Internal_lists_bugs!$A$2:$G1013,7,FALSE())&amp;CHAR(10)&amp;"Intro.Issues: "&amp;VLOOKUP(A953,Internal_lists_bugs!$A$2:$P1013,16,FALSE())),"please select a BUG ID")</f>
        <v>please select a BUG ID</v>
      </c>
    </row>
    <row r="954">
      <c r="A954" s="54"/>
      <c r="B954" s="88" t="str">
        <f>IFERROR(HYPERLINK(VLOOKUP(A954,Internal_lists_bugs!$A$2:$C$73,3,FALSE()), VLOOKUP(A954,Internal_lists_bugs!$A$2:$C$73,3,FALSE())&amp;Char(10) &amp; Char(10) &amp; VLOOKUP(A954,Internal_lists_bugs!$A$2:$Z$73,26,FALSE())),"please select a BUG ID")</f>
        <v>please select a BUG ID</v>
      </c>
      <c r="C954" s="89" t="str">
        <f>IFERROR(VLOOKUP(A954,Internal_lists_bugs!$A$2:$X1013,24,FALSE()),"please select a BUG ID")</f>
        <v>please select a BUG ID</v>
      </c>
      <c r="E954" s="82"/>
      <c r="F954" s="80"/>
      <c r="H954" s="82"/>
      <c r="I954" s="80"/>
      <c r="J954" s="51" t="str">
        <f>IFERROR(Hyperlink(VLOOKUP(A954,Internal_lists_bugs!$A$2:$G1013,7,FALSE()),"BIC: "&amp;VLOOKUP(A954,Internal_lists_bugs!$A$2:$G1013,7,FALSE())&amp;CHAR(10)&amp;"Intro.Issues: "&amp;VLOOKUP(A954,Internal_lists_bugs!$A$2:$P1013,16,FALSE())),"please select a BUG ID")</f>
        <v>please select a BUG ID</v>
      </c>
    </row>
    <row r="955">
      <c r="A955" s="54"/>
      <c r="B955" s="88" t="str">
        <f>IFERROR(HYPERLINK(VLOOKUP(A955,Internal_lists_bugs!$A$2:$C$73,3,FALSE()), VLOOKUP(A955,Internal_lists_bugs!$A$2:$C$73,3,FALSE())&amp;Char(10) &amp; Char(10) &amp; VLOOKUP(A955,Internal_lists_bugs!$A$2:$Z$73,26,FALSE())),"please select a BUG ID")</f>
        <v>please select a BUG ID</v>
      </c>
      <c r="C955" s="89" t="str">
        <f>IFERROR(VLOOKUP(A955,Internal_lists_bugs!$A$2:$X1013,24,FALSE()),"please select a BUG ID")</f>
        <v>please select a BUG ID</v>
      </c>
      <c r="E955" s="82"/>
      <c r="F955" s="80"/>
      <c r="H955" s="82"/>
      <c r="I955" s="80"/>
      <c r="J955" s="51" t="str">
        <f>IFERROR(Hyperlink(VLOOKUP(A955,Internal_lists_bugs!$A$2:$G1013,7,FALSE()),"BIC: "&amp;VLOOKUP(A955,Internal_lists_bugs!$A$2:$G1013,7,FALSE())&amp;CHAR(10)&amp;"Intro.Issues: "&amp;VLOOKUP(A955,Internal_lists_bugs!$A$2:$P1013,16,FALSE())),"please select a BUG ID")</f>
        <v>please select a BUG ID</v>
      </c>
    </row>
    <row r="956">
      <c r="A956" s="54"/>
      <c r="B956" s="88" t="str">
        <f>IFERROR(HYPERLINK(VLOOKUP(A956,Internal_lists_bugs!$A$2:$C$73,3,FALSE()), VLOOKUP(A956,Internal_lists_bugs!$A$2:$C$73,3,FALSE())&amp;Char(10) &amp; Char(10) &amp; VLOOKUP(A956,Internal_lists_bugs!$A$2:$Z$73,26,FALSE())),"please select a BUG ID")</f>
        <v>please select a BUG ID</v>
      </c>
      <c r="C956" s="89" t="str">
        <f>IFERROR(VLOOKUP(A956,Internal_lists_bugs!$A$2:$X1013,24,FALSE()),"please select a BUG ID")</f>
        <v>please select a BUG ID</v>
      </c>
      <c r="E956" s="82"/>
      <c r="F956" s="80"/>
      <c r="H956" s="82"/>
      <c r="I956" s="80"/>
      <c r="J956" s="51" t="str">
        <f>IFERROR(Hyperlink(VLOOKUP(A956,Internal_lists_bugs!$A$2:$G1013,7,FALSE()),"BIC: "&amp;VLOOKUP(A956,Internal_lists_bugs!$A$2:$G1013,7,FALSE())&amp;CHAR(10)&amp;"Intro.Issues: "&amp;VLOOKUP(A956,Internal_lists_bugs!$A$2:$P1013,16,FALSE())),"please select a BUG ID")</f>
        <v>please select a BUG ID</v>
      </c>
    </row>
    <row r="957">
      <c r="A957" s="54"/>
      <c r="B957" s="88" t="str">
        <f>IFERROR(HYPERLINK(VLOOKUP(A957,Internal_lists_bugs!$A$2:$C$73,3,FALSE()), VLOOKUP(A957,Internal_lists_bugs!$A$2:$C$73,3,FALSE())&amp;Char(10) &amp; Char(10) &amp; VLOOKUP(A957,Internal_lists_bugs!$A$2:$Z$73,26,FALSE())),"please select a BUG ID")</f>
        <v>please select a BUG ID</v>
      </c>
      <c r="C957" s="89" t="str">
        <f>IFERROR(VLOOKUP(A957,Internal_lists_bugs!$A$2:$X1013,24,FALSE()),"please select a BUG ID")</f>
        <v>please select a BUG ID</v>
      </c>
      <c r="E957" s="82"/>
      <c r="F957" s="80"/>
      <c r="H957" s="82"/>
      <c r="I957" s="80"/>
      <c r="J957" s="51" t="str">
        <f>IFERROR(Hyperlink(VLOOKUP(A957,Internal_lists_bugs!$A$2:$G1013,7,FALSE()),"BIC: "&amp;VLOOKUP(A957,Internal_lists_bugs!$A$2:$G1013,7,FALSE())&amp;CHAR(10)&amp;"Intro.Issues: "&amp;VLOOKUP(A957,Internal_lists_bugs!$A$2:$P1013,16,FALSE())),"please select a BUG ID")</f>
        <v>please select a BUG ID</v>
      </c>
    </row>
    <row r="958">
      <c r="A958" s="54"/>
      <c r="B958" s="88" t="str">
        <f>IFERROR(HYPERLINK(VLOOKUP(A958,Internal_lists_bugs!$A$2:$C$73,3,FALSE()), VLOOKUP(A958,Internal_lists_bugs!$A$2:$C$73,3,FALSE())&amp;Char(10) &amp; Char(10) &amp; VLOOKUP(A958,Internal_lists_bugs!$A$2:$Z$73,26,FALSE())),"please select a BUG ID")</f>
        <v>please select a BUG ID</v>
      </c>
      <c r="C958" s="89" t="str">
        <f>IFERROR(VLOOKUP(A958,Internal_lists_bugs!$A$2:$X1013,24,FALSE()),"please select a BUG ID")</f>
        <v>please select a BUG ID</v>
      </c>
      <c r="E958" s="82"/>
      <c r="F958" s="80"/>
      <c r="H958" s="82"/>
      <c r="I958" s="80"/>
      <c r="J958" s="51" t="str">
        <f>IFERROR(Hyperlink(VLOOKUP(A958,Internal_lists_bugs!$A$2:$G1013,7,FALSE()),"BIC: "&amp;VLOOKUP(A958,Internal_lists_bugs!$A$2:$G1013,7,FALSE())&amp;CHAR(10)&amp;"Intro.Issues: "&amp;VLOOKUP(A958,Internal_lists_bugs!$A$2:$P1013,16,FALSE())),"please select a BUG ID")</f>
        <v>please select a BUG ID</v>
      </c>
    </row>
    <row r="959">
      <c r="A959" s="54"/>
      <c r="B959" s="88" t="str">
        <f>IFERROR(HYPERLINK(VLOOKUP(A959,Internal_lists_bugs!$A$2:$C$73,3,FALSE()), VLOOKUP(A959,Internal_lists_bugs!$A$2:$C$73,3,FALSE())&amp;Char(10) &amp; Char(10) &amp; VLOOKUP(A959,Internal_lists_bugs!$A$2:$Z$73,26,FALSE())),"please select a BUG ID")</f>
        <v>please select a BUG ID</v>
      </c>
      <c r="C959" s="89" t="str">
        <f>IFERROR(VLOOKUP(A959,Internal_lists_bugs!$A$2:$X1013,24,FALSE()),"please select a BUG ID")</f>
        <v>please select a BUG ID</v>
      </c>
      <c r="E959" s="82"/>
      <c r="F959" s="80"/>
      <c r="H959" s="82"/>
      <c r="I959" s="80"/>
      <c r="J959" s="51" t="str">
        <f>IFERROR(Hyperlink(VLOOKUP(A959,Internal_lists_bugs!$A$2:$G1013,7,FALSE()),"BIC: "&amp;VLOOKUP(A959,Internal_lists_bugs!$A$2:$G1013,7,FALSE())&amp;CHAR(10)&amp;"Intro.Issues: "&amp;VLOOKUP(A959,Internal_lists_bugs!$A$2:$P1013,16,FALSE())),"please select a BUG ID")</f>
        <v>please select a BUG ID</v>
      </c>
    </row>
    <row r="960">
      <c r="A960" s="54"/>
      <c r="B960" s="88" t="str">
        <f>IFERROR(HYPERLINK(VLOOKUP(A960,Internal_lists_bugs!$A$2:$C$73,3,FALSE()), VLOOKUP(A960,Internal_lists_bugs!$A$2:$C$73,3,FALSE())&amp;Char(10) &amp; Char(10) &amp; VLOOKUP(A960,Internal_lists_bugs!$A$2:$Z$73,26,FALSE())),"please select a BUG ID")</f>
        <v>please select a BUG ID</v>
      </c>
      <c r="C960" s="89" t="str">
        <f>IFERROR(VLOOKUP(A960,Internal_lists_bugs!$A$2:$X1013,24,FALSE()),"please select a BUG ID")</f>
        <v>please select a BUG ID</v>
      </c>
      <c r="E960" s="82"/>
      <c r="F960" s="80"/>
      <c r="H960" s="82"/>
      <c r="I960" s="80"/>
      <c r="J960" s="51" t="str">
        <f>IFERROR(Hyperlink(VLOOKUP(A960,Internal_lists_bugs!$A$2:$G1013,7,FALSE()),"BIC: "&amp;VLOOKUP(A960,Internal_lists_bugs!$A$2:$G1013,7,FALSE())&amp;CHAR(10)&amp;"Intro.Issues: "&amp;VLOOKUP(A960,Internal_lists_bugs!$A$2:$P1013,16,FALSE())),"please select a BUG ID")</f>
        <v>please select a BUG ID</v>
      </c>
    </row>
    <row r="961">
      <c r="A961" s="54"/>
      <c r="B961" s="88" t="str">
        <f>IFERROR(HYPERLINK(VLOOKUP(A961,Internal_lists_bugs!$A$2:$C$73,3,FALSE()), VLOOKUP(A961,Internal_lists_bugs!$A$2:$C$73,3,FALSE())&amp;Char(10) &amp; Char(10) &amp; VLOOKUP(A961,Internal_lists_bugs!$A$2:$Z$73,26,FALSE())),"please select a BUG ID")</f>
        <v>please select a BUG ID</v>
      </c>
      <c r="C961" s="89" t="str">
        <f>IFERROR(VLOOKUP(A961,Internal_lists_bugs!$A$2:$X1013,24,FALSE()),"please select a BUG ID")</f>
        <v>please select a BUG ID</v>
      </c>
      <c r="E961" s="82"/>
      <c r="F961" s="80"/>
      <c r="H961" s="82"/>
      <c r="I961" s="80"/>
      <c r="J961" s="51" t="str">
        <f>IFERROR(Hyperlink(VLOOKUP(A961,Internal_lists_bugs!$A$2:$G1013,7,FALSE()),"BIC: "&amp;VLOOKUP(A961,Internal_lists_bugs!$A$2:$G1013,7,FALSE())&amp;CHAR(10)&amp;"Intro.Issues: "&amp;VLOOKUP(A961,Internal_lists_bugs!$A$2:$P1013,16,FALSE())),"please select a BUG ID")</f>
        <v>please select a BUG ID</v>
      </c>
    </row>
    <row r="962">
      <c r="A962" s="54"/>
      <c r="B962" s="88" t="str">
        <f>IFERROR(HYPERLINK(VLOOKUP(A962,Internal_lists_bugs!$A$2:$C$73,3,FALSE()), VLOOKUP(A962,Internal_lists_bugs!$A$2:$C$73,3,FALSE())&amp;Char(10) &amp; Char(10) &amp; VLOOKUP(A962,Internal_lists_bugs!$A$2:$Z$73,26,FALSE())),"please select a BUG ID")</f>
        <v>please select a BUG ID</v>
      </c>
      <c r="C962" s="89" t="str">
        <f>IFERROR(VLOOKUP(A962,Internal_lists_bugs!$A$2:$X1013,24,FALSE()),"please select a BUG ID")</f>
        <v>please select a BUG ID</v>
      </c>
      <c r="E962" s="82"/>
      <c r="F962" s="80"/>
      <c r="H962" s="82"/>
      <c r="I962" s="80"/>
      <c r="J962" s="51" t="str">
        <f>IFERROR(Hyperlink(VLOOKUP(A962,Internal_lists_bugs!$A$2:$G1013,7,FALSE()),"BIC: "&amp;VLOOKUP(A962,Internal_lists_bugs!$A$2:$G1013,7,FALSE())&amp;CHAR(10)&amp;"Intro.Issues: "&amp;VLOOKUP(A962,Internal_lists_bugs!$A$2:$P1013,16,FALSE())),"please select a BUG ID")</f>
        <v>please select a BUG ID</v>
      </c>
    </row>
    <row r="963">
      <c r="A963" s="54"/>
      <c r="B963" s="88" t="str">
        <f>IFERROR(HYPERLINK(VLOOKUP(A963,Internal_lists_bugs!$A$2:$C$73,3,FALSE()), VLOOKUP(A963,Internal_lists_bugs!$A$2:$C$73,3,FALSE())&amp;Char(10) &amp; Char(10) &amp; VLOOKUP(A963,Internal_lists_bugs!$A$2:$Z$73,26,FALSE())),"please select a BUG ID")</f>
        <v>please select a BUG ID</v>
      </c>
      <c r="C963" s="89" t="str">
        <f>IFERROR(VLOOKUP(A963,Internal_lists_bugs!$A$2:$X1013,24,FALSE()),"please select a BUG ID")</f>
        <v>please select a BUG ID</v>
      </c>
      <c r="E963" s="82"/>
      <c r="F963" s="80"/>
      <c r="H963" s="82"/>
      <c r="I963" s="80"/>
      <c r="J963" s="51" t="str">
        <f>IFERROR(Hyperlink(VLOOKUP(A963,Internal_lists_bugs!$A$2:$G1013,7,FALSE()),"BIC: "&amp;VLOOKUP(A963,Internal_lists_bugs!$A$2:$G1013,7,FALSE())&amp;CHAR(10)&amp;"Intro.Issues: "&amp;VLOOKUP(A963,Internal_lists_bugs!$A$2:$P1013,16,FALSE())),"please select a BUG ID")</f>
        <v>please select a BUG ID</v>
      </c>
    </row>
    <row r="964">
      <c r="A964" s="54"/>
      <c r="B964" s="88" t="str">
        <f>IFERROR(HYPERLINK(VLOOKUP(A964,Internal_lists_bugs!$A$2:$C$73,3,FALSE()), VLOOKUP(A964,Internal_lists_bugs!$A$2:$C$73,3,FALSE())&amp;Char(10) &amp; Char(10) &amp; VLOOKUP(A964,Internal_lists_bugs!$A$2:$Z$73,26,FALSE())),"please select a BUG ID")</f>
        <v>please select a BUG ID</v>
      </c>
      <c r="C964" s="89" t="str">
        <f>IFERROR(VLOOKUP(A964,Internal_lists_bugs!$A$2:$X1013,24,FALSE()),"please select a BUG ID")</f>
        <v>please select a BUG ID</v>
      </c>
      <c r="E964" s="82"/>
      <c r="F964" s="80"/>
      <c r="H964" s="82"/>
      <c r="I964" s="80"/>
      <c r="J964" s="51" t="str">
        <f>IFERROR(Hyperlink(VLOOKUP(A964,Internal_lists_bugs!$A$2:$G1013,7,FALSE()),"BIC: "&amp;VLOOKUP(A964,Internal_lists_bugs!$A$2:$G1013,7,FALSE())&amp;CHAR(10)&amp;"Intro.Issues: "&amp;VLOOKUP(A964,Internal_lists_bugs!$A$2:$P1013,16,FALSE())),"please select a BUG ID")</f>
        <v>please select a BUG ID</v>
      </c>
    </row>
    <row r="965">
      <c r="A965" s="54"/>
      <c r="B965" s="88" t="str">
        <f>IFERROR(HYPERLINK(VLOOKUP(A965,Internal_lists_bugs!$A$2:$C$73,3,FALSE()), VLOOKUP(A965,Internal_lists_bugs!$A$2:$C$73,3,FALSE())&amp;Char(10) &amp; Char(10) &amp; VLOOKUP(A965,Internal_lists_bugs!$A$2:$Z$73,26,FALSE())),"please select a BUG ID")</f>
        <v>please select a BUG ID</v>
      </c>
      <c r="C965" s="89" t="str">
        <f>IFERROR(VLOOKUP(A965,Internal_lists_bugs!$A$2:$X1013,24,FALSE()),"please select a BUG ID")</f>
        <v>please select a BUG ID</v>
      </c>
      <c r="E965" s="82"/>
      <c r="F965" s="80"/>
      <c r="H965" s="82"/>
      <c r="I965" s="80"/>
      <c r="J965" s="51" t="str">
        <f>IFERROR(Hyperlink(VLOOKUP(A965,Internal_lists_bugs!$A$2:$G1013,7,FALSE()),"BIC: "&amp;VLOOKUP(A965,Internal_lists_bugs!$A$2:$G1013,7,FALSE())&amp;CHAR(10)&amp;"Intro.Issues: "&amp;VLOOKUP(A965,Internal_lists_bugs!$A$2:$P1013,16,FALSE())),"please select a BUG ID")</f>
        <v>please select a BUG ID</v>
      </c>
    </row>
    <row r="966">
      <c r="A966" s="54"/>
      <c r="B966" s="88" t="str">
        <f>IFERROR(HYPERLINK(VLOOKUP(A966,Internal_lists_bugs!$A$2:$C$73,3,FALSE()), VLOOKUP(A966,Internal_lists_bugs!$A$2:$C$73,3,FALSE())&amp;Char(10) &amp; Char(10) &amp; VLOOKUP(A966,Internal_lists_bugs!$A$2:$Z$73,26,FALSE())),"please select a BUG ID")</f>
        <v>please select a BUG ID</v>
      </c>
      <c r="C966" s="89" t="str">
        <f>IFERROR(VLOOKUP(A966,Internal_lists_bugs!$A$2:$X1013,24,FALSE()),"please select a BUG ID")</f>
        <v>please select a BUG ID</v>
      </c>
      <c r="E966" s="82"/>
      <c r="F966" s="80"/>
      <c r="H966" s="82"/>
      <c r="I966" s="80"/>
      <c r="J966" s="51" t="str">
        <f>IFERROR(Hyperlink(VLOOKUP(A966,Internal_lists_bugs!$A$2:$G1013,7,FALSE()),"BIC: "&amp;VLOOKUP(A966,Internal_lists_bugs!$A$2:$G1013,7,FALSE())&amp;CHAR(10)&amp;"Intro.Issues: "&amp;VLOOKUP(A966,Internal_lists_bugs!$A$2:$P1013,16,FALSE())),"please select a BUG ID")</f>
        <v>please select a BUG ID</v>
      </c>
    </row>
    <row r="967">
      <c r="A967" s="54"/>
      <c r="B967" s="88" t="str">
        <f>IFERROR(HYPERLINK(VLOOKUP(A967,Internal_lists_bugs!$A$2:$C$73,3,FALSE()), VLOOKUP(A967,Internal_lists_bugs!$A$2:$C$73,3,FALSE())&amp;Char(10) &amp; Char(10) &amp; VLOOKUP(A967,Internal_lists_bugs!$A$2:$Z$73,26,FALSE())),"please select a BUG ID")</f>
        <v>please select a BUG ID</v>
      </c>
      <c r="C967" s="89" t="str">
        <f>IFERROR(VLOOKUP(A967,Internal_lists_bugs!$A$2:$X1013,24,FALSE()),"please select a BUG ID")</f>
        <v>please select a BUG ID</v>
      </c>
      <c r="E967" s="82"/>
      <c r="F967" s="80"/>
      <c r="H967" s="82"/>
      <c r="I967" s="80"/>
      <c r="J967" s="51" t="str">
        <f>IFERROR(Hyperlink(VLOOKUP(A967,Internal_lists_bugs!$A$2:$G1013,7,FALSE()),"BIC: "&amp;VLOOKUP(A967,Internal_lists_bugs!$A$2:$G1013,7,FALSE())&amp;CHAR(10)&amp;"Intro.Issues: "&amp;VLOOKUP(A967,Internal_lists_bugs!$A$2:$P1013,16,FALSE())),"please select a BUG ID")</f>
        <v>please select a BUG ID</v>
      </c>
    </row>
    <row r="968">
      <c r="A968" s="54"/>
      <c r="B968" s="88" t="str">
        <f>IFERROR(HYPERLINK(VLOOKUP(A968,Internal_lists_bugs!$A$2:$C$73,3,FALSE()), VLOOKUP(A968,Internal_lists_bugs!$A$2:$C$73,3,FALSE())&amp;Char(10) &amp; Char(10) &amp; VLOOKUP(A968,Internal_lists_bugs!$A$2:$Z$73,26,FALSE())),"please select a BUG ID")</f>
        <v>please select a BUG ID</v>
      </c>
      <c r="C968" s="89" t="str">
        <f>IFERROR(VLOOKUP(A968,Internal_lists_bugs!$A$2:$X1013,24,FALSE()),"please select a BUG ID")</f>
        <v>please select a BUG ID</v>
      </c>
      <c r="E968" s="82"/>
      <c r="F968" s="80"/>
      <c r="H968" s="82"/>
      <c r="I968" s="80"/>
      <c r="J968" s="51" t="str">
        <f>IFERROR(Hyperlink(VLOOKUP(A968,Internal_lists_bugs!$A$2:$G1013,7,FALSE()),"BIC: "&amp;VLOOKUP(A968,Internal_lists_bugs!$A$2:$G1013,7,FALSE())&amp;CHAR(10)&amp;"Intro.Issues: "&amp;VLOOKUP(A968,Internal_lists_bugs!$A$2:$P1013,16,FALSE())),"please select a BUG ID")</f>
        <v>please select a BUG ID</v>
      </c>
    </row>
    <row r="969">
      <c r="A969" s="54"/>
      <c r="B969" s="88" t="str">
        <f>IFERROR(HYPERLINK(VLOOKUP(A969,Internal_lists_bugs!$A$2:$C$73,3,FALSE()), VLOOKUP(A969,Internal_lists_bugs!$A$2:$C$73,3,FALSE())&amp;Char(10) &amp; Char(10) &amp; VLOOKUP(A969,Internal_lists_bugs!$A$2:$Z$73,26,FALSE())),"please select a BUG ID")</f>
        <v>please select a BUG ID</v>
      </c>
      <c r="C969" s="89" t="str">
        <f>IFERROR(VLOOKUP(A969,Internal_lists_bugs!$A$2:$X1013,24,FALSE()),"please select a BUG ID")</f>
        <v>please select a BUG ID</v>
      </c>
      <c r="E969" s="82"/>
      <c r="F969" s="80"/>
      <c r="H969" s="82"/>
      <c r="I969" s="80"/>
      <c r="J969" s="51" t="str">
        <f>IFERROR(Hyperlink(VLOOKUP(A969,Internal_lists_bugs!$A$2:$G1013,7,FALSE()),"BIC: "&amp;VLOOKUP(A969,Internal_lists_bugs!$A$2:$G1013,7,FALSE())&amp;CHAR(10)&amp;"Intro.Issues: "&amp;VLOOKUP(A969,Internal_lists_bugs!$A$2:$P1013,16,FALSE())),"please select a BUG ID")</f>
        <v>please select a BUG ID</v>
      </c>
    </row>
    <row r="970">
      <c r="A970" s="54"/>
      <c r="B970" s="88" t="str">
        <f>IFERROR(HYPERLINK(VLOOKUP(A970,Internal_lists_bugs!$A$2:$C$73,3,FALSE()), VLOOKUP(A970,Internal_lists_bugs!$A$2:$C$73,3,FALSE())&amp;Char(10) &amp; Char(10) &amp; VLOOKUP(A970,Internal_lists_bugs!$A$2:$Z$73,26,FALSE())),"please select a BUG ID")</f>
        <v>please select a BUG ID</v>
      </c>
      <c r="C970" s="89" t="str">
        <f>IFERROR(VLOOKUP(A970,Internal_lists_bugs!$A$2:$X1013,24,FALSE()),"please select a BUG ID")</f>
        <v>please select a BUG ID</v>
      </c>
      <c r="E970" s="82"/>
      <c r="F970" s="80"/>
      <c r="H970" s="82"/>
      <c r="I970" s="80"/>
      <c r="J970" s="51" t="str">
        <f>IFERROR(Hyperlink(VLOOKUP(A970,Internal_lists_bugs!$A$2:$G1013,7,FALSE()),"BIC: "&amp;VLOOKUP(A970,Internal_lists_bugs!$A$2:$G1013,7,FALSE())&amp;CHAR(10)&amp;"Intro.Issues: "&amp;VLOOKUP(A970,Internal_lists_bugs!$A$2:$P1013,16,FALSE())),"please select a BUG ID")</f>
        <v>please select a BUG ID</v>
      </c>
    </row>
    <row r="971">
      <c r="A971" s="54"/>
      <c r="B971" s="88" t="str">
        <f>IFERROR(HYPERLINK(VLOOKUP(A971,Internal_lists_bugs!$A$2:$C$73,3,FALSE()), VLOOKUP(A971,Internal_lists_bugs!$A$2:$C$73,3,FALSE())&amp;Char(10) &amp; Char(10) &amp; VLOOKUP(A971,Internal_lists_bugs!$A$2:$Z$73,26,FALSE())),"please select a BUG ID")</f>
        <v>please select a BUG ID</v>
      </c>
      <c r="C971" s="89" t="str">
        <f>IFERROR(VLOOKUP(A971,Internal_lists_bugs!$A$2:$X1013,24,FALSE()),"please select a BUG ID")</f>
        <v>please select a BUG ID</v>
      </c>
      <c r="E971" s="82"/>
      <c r="F971" s="80"/>
      <c r="H971" s="82"/>
      <c r="I971" s="80"/>
      <c r="J971" s="51" t="str">
        <f>IFERROR(Hyperlink(VLOOKUP(A971,Internal_lists_bugs!$A$2:$G1013,7,FALSE()),"BIC: "&amp;VLOOKUP(A971,Internal_lists_bugs!$A$2:$G1013,7,FALSE())&amp;CHAR(10)&amp;"Intro.Issues: "&amp;VLOOKUP(A971,Internal_lists_bugs!$A$2:$P1013,16,FALSE())),"please select a BUG ID")</f>
        <v>please select a BUG ID</v>
      </c>
    </row>
    <row r="972">
      <c r="A972" s="54"/>
      <c r="B972" s="88" t="str">
        <f>IFERROR(HYPERLINK(VLOOKUP(A972,Internal_lists_bugs!$A$2:$C$73,3,FALSE()), VLOOKUP(A972,Internal_lists_bugs!$A$2:$C$73,3,FALSE())&amp;Char(10) &amp; Char(10) &amp; VLOOKUP(A972,Internal_lists_bugs!$A$2:$Z$73,26,FALSE())),"please select a BUG ID")</f>
        <v>please select a BUG ID</v>
      </c>
      <c r="C972" s="89" t="str">
        <f>IFERROR(VLOOKUP(A972,Internal_lists_bugs!$A$2:$X1013,24,FALSE()),"please select a BUG ID")</f>
        <v>please select a BUG ID</v>
      </c>
      <c r="E972" s="82"/>
      <c r="F972" s="80"/>
      <c r="H972" s="82"/>
      <c r="I972" s="80"/>
      <c r="J972" s="51" t="str">
        <f>IFERROR(Hyperlink(VLOOKUP(A972,Internal_lists_bugs!$A$2:$G1013,7,FALSE()),"BIC: "&amp;VLOOKUP(A972,Internal_lists_bugs!$A$2:$G1013,7,FALSE())&amp;CHAR(10)&amp;"Intro.Issues: "&amp;VLOOKUP(A972,Internal_lists_bugs!$A$2:$P1013,16,FALSE())),"please select a BUG ID")</f>
        <v>please select a BUG ID</v>
      </c>
    </row>
    <row r="973">
      <c r="A973" s="54"/>
      <c r="B973" s="88" t="str">
        <f>IFERROR(HYPERLINK(VLOOKUP(A973,Internal_lists_bugs!$A$2:$C$73,3,FALSE()), VLOOKUP(A973,Internal_lists_bugs!$A$2:$C$73,3,FALSE())&amp;Char(10) &amp; Char(10) &amp; VLOOKUP(A973,Internal_lists_bugs!$A$2:$Z$73,26,FALSE())),"please select a BUG ID")</f>
        <v>please select a BUG ID</v>
      </c>
      <c r="C973" s="89" t="str">
        <f>IFERROR(VLOOKUP(A973,Internal_lists_bugs!$A$2:$X1013,24,FALSE()),"please select a BUG ID")</f>
        <v>please select a BUG ID</v>
      </c>
      <c r="E973" s="82"/>
      <c r="F973" s="80"/>
      <c r="H973" s="82"/>
      <c r="I973" s="80"/>
      <c r="J973" s="51" t="str">
        <f>IFERROR(Hyperlink(VLOOKUP(A973,Internal_lists_bugs!$A$2:$G1013,7,FALSE()),"BIC: "&amp;VLOOKUP(A973,Internal_lists_bugs!$A$2:$G1013,7,FALSE())&amp;CHAR(10)&amp;"Intro.Issues: "&amp;VLOOKUP(A973,Internal_lists_bugs!$A$2:$P1013,16,FALSE())),"please select a BUG ID")</f>
        <v>please select a BUG ID</v>
      </c>
    </row>
    <row r="974">
      <c r="A974" s="54"/>
      <c r="B974" s="88" t="str">
        <f>IFERROR(HYPERLINK(VLOOKUP(A974,Internal_lists_bugs!$A$2:$C$73,3,FALSE()), VLOOKUP(A974,Internal_lists_bugs!$A$2:$C$73,3,FALSE())&amp;Char(10) &amp; Char(10) &amp; VLOOKUP(A974,Internal_lists_bugs!$A$2:$Z$73,26,FALSE())),"please select a BUG ID")</f>
        <v>please select a BUG ID</v>
      </c>
      <c r="C974" s="89" t="str">
        <f>IFERROR(VLOOKUP(A974,Internal_lists_bugs!$A$2:$X1013,24,FALSE()),"please select a BUG ID")</f>
        <v>please select a BUG ID</v>
      </c>
      <c r="E974" s="82"/>
      <c r="F974" s="80"/>
      <c r="H974" s="82"/>
      <c r="I974" s="80"/>
      <c r="J974" s="51" t="str">
        <f>IFERROR(Hyperlink(VLOOKUP(A974,Internal_lists_bugs!$A$2:$G1013,7,FALSE()),"BIC: "&amp;VLOOKUP(A974,Internal_lists_bugs!$A$2:$G1013,7,FALSE())&amp;CHAR(10)&amp;"Intro.Issues: "&amp;VLOOKUP(A974,Internal_lists_bugs!$A$2:$P1013,16,FALSE())),"please select a BUG ID")</f>
        <v>please select a BUG ID</v>
      </c>
    </row>
    <row r="975">
      <c r="A975" s="54"/>
      <c r="B975" s="88" t="str">
        <f>IFERROR(HYPERLINK(VLOOKUP(A975,Internal_lists_bugs!$A$2:$C$73,3,FALSE()), VLOOKUP(A975,Internal_lists_bugs!$A$2:$C$73,3,FALSE())&amp;Char(10) &amp; Char(10) &amp; VLOOKUP(A975,Internal_lists_bugs!$A$2:$Z$73,26,FALSE())),"please select a BUG ID")</f>
        <v>please select a BUG ID</v>
      </c>
      <c r="C975" s="89" t="str">
        <f>IFERROR(VLOOKUP(A975,Internal_lists_bugs!$A$2:$X1013,24,FALSE()),"please select a BUG ID")</f>
        <v>please select a BUG ID</v>
      </c>
      <c r="E975" s="82"/>
      <c r="F975" s="80"/>
      <c r="H975" s="82"/>
      <c r="I975" s="80"/>
      <c r="J975" s="51" t="str">
        <f>IFERROR(Hyperlink(VLOOKUP(A975,Internal_lists_bugs!$A$2:$G1013,7,FALSE()),"BIC: "&amp;VLOOKUP(A975,Internal_lists_bugs!$A$2:$G1013,7,FALSE())&amp;CHAR(10)&amp;"Intro.Issues: "&amp;VLOOKUP(A975,Internal_lists_bugs!$A$2:$P1013,16,FALSE())),"please select a BUG ID")</f>
        <v>please select a BUG ID</v>
      </c>
    </row>
    <row r="976">
      <c r="A976" s="54"/>
      <c r="B976" s="88" t="str">
        <f>IFERROR(HYPERLINK(VLOOKUP(A976,Internal_lists_bugs!$A$2:$C$73,3,FALSE()), VLOOKUP(A976,Internal_lists_bugs!$A$2:$C$73,3,FALSE())&amp;Char(10) &amp; Char(10) &amp; VLOOKUP(A976,Internal_lists_bugs!$A$2:$Z$73,26,FALSE())),"please select a BUG ID")</f>
        <v>please select a BUG ID</v>
      </c>
      <c r="C976" s="89" t="str">
        <f>IFERROR(VLOOKUP(A976,Internal_lists_bugs!$A$2:$X1013,24,FALSE()),"please select a BUG ID")</f>
        <v>please select a BUG ID</v>
      </c>
      <c r="E976" s="82"/>
      <c r="F976" s="80"/>
      <c r="H976" s="82"/>
      <c r="I976" s="80"/>
      <c r="J976" s="51" t="str">
        <f>IFERROR(Hyperlink(VLOOKUP(A976,Internal_lists_bugs!$A$2:$G1013,7,FALSE()),"BIC: "&amp;VLOOKUP(A976,Internal_lists_bugs!$A$2:$G1013,7,FALSE())&amp;CHAR(10)&amp;"Intro.Issues: "&amp;VLOOKUP(A976,Internal_lists_bugs!$A$2:$P1013,16,FALSE())),"please select a BUG ID")</f>
        <v>please select a BUG ID</v>
      </c>
    </row>
    <row r="977">
      <c r="A977" s="54"/>
      <c r="B977" s="88" t="str">
        <f>IFERROR(HYPERLINK(VLOOKUP(A977,Internal_lists_bugs!$A$2:$C$73,3,FALSE()), VLOOKUP(A977,Internal_lists_bugs!$A$2:$C$73,3,FALSE())&amp;Char(10) &amp; Char(10) &amp; VLOOKUP(A977,Internal_lists_bugs!$A$2:$Z$73,26,FALSE())),"please select a BUG ID")</f>
        <v>please select a BUG ID</v>
      </c>
      <c r="C977" s="89" t="str">
        <f>IFERROR(VLOOKUP(A977,Internal_lists_bugs!$A$2:$X1013,24,FALSE()),"please select a BUG ID")</f>
        <v>please select a BUG ID</v>
      </c>
      <c r="E977" s="82"/>
      <c r="F977" s="80"/>
      <c r="H977" s="82"/>
      <c r="I977" s="80"/>
      <c r="J977" s="51" t="str">
        <f>IFERROR(Hyperlink(VLOOKUP(A977,Internal_lists_bugs!$A$2:$G1013,7,FALSE()),"BIC: "&amp;VLOOKUP(A977,Internal_lists_bugs!$A$2:$G1013,7,FALSE())&amp;CHAR(10)&amp;"Intro.Issues: "&amp;VLOOKUP(A977,Internal_lists_bugs!$A$2:$P1013,16,FALSE())),"please select a BUG ID")</f>
        <v>please select a BUG ID</v>
      </c>
    </row>
    <row r="978">
      <c r="A978" s="54"/>
      <c r="B978" s="88" t="str">
        <f>IFERROR(HYPERLINK(VLOOKUP(A978,Internal_lists_bugs!$A$2:$C$73,3,FALSE()), VLOOKUP(A978,Internal_lists_bugs!$A$2:$C$73,3,FALSE())&amp;Char(10) &amp; Char(10) &amp; VLOOKUP(A978,Internal_lists_bugs!$A$2:$Z$73,26,FALSE())),"please select a BUG ID")</f>
        <v>please select a BUG ID</v>
      </c>
      <c r="C978" s="89" t="str">
        <f>IFERROR(VLOOKUP(A978,Internal_lists_bugs!$A$2:$X1013,24,FALSE()),"please select a BUG ID")</f>
        <v>please select a BUG ID</v>
      </c>
      <c r="E978" s="82"/>
      <c r="F978" s="80"/>
      <c r="H978" s="82"/>
      <c r="I978" s="80"/>
      <c r="J978" s="51" t="str">
        <f>IFERROR(Hyperlink(VLOOKUP(A978,Internal_lists_bugs!$A$2:$G1013,7,FALSE()),"BIC: "&amp;VLOOKUP(A978,Internal_lists_bugs!$A$2:$G1013,7,FALSE())&amp;CHAR(10)&amp;"Intro.Issues: "&amp;VLOOKUP(A978,Internal_lists_bugs!$A$2:$P1013,16,FALSE())),"please select a BUG ID")</f>
        <v>please select a BUG ID</v>
      </c>
    </row>
    <row r="979">
      <c r="A979" s="54"/>
      <c r="B979" s="88" t="str">
        <f>IFERROR(HYPERLINK(VLOOKUP(A979,Internal_lists_bugs!$A$2:$C$73,3,FALSE()), VLOOKUP(A979,Internal_lists_bugs!$A$2:$C$73,3,FALSE())&amp;Char(10) &amp; Char(10) &amp; VLOOKUP(A979,Internal_lists_bugs!$A$2:$Z$73,26,FALSE())),"please select a BUG ID")</f>
        <v>please select a BUG ID</v>
      </c>
      <c r="C979" s="89" t="str">
        <f>IFERROR(VLOOKUP(A979,Internal_lists_bugs!$A$2:$X1013,24,FALSE()),"please select a BUG ID")</f>
        <v>please select a BUG ID</v>
      </c>
      <c r="E979" s="82"/>
      <c r="F979" s="80"/>
      <c r="H979" s="82"/>
      <c r="I979" s="80"/>
      <c r="J979" s="51" t="str">
        <f>IFERROR(Hyperlink(VLOOKUP(A979,Internal_lists_bugs!$A$2:$G1013,7,FALSE()),"BIC: "&amp;VLOOKUP(A979,Internal_lists_bugs!$A$2:$G1013,7,FALSE())&amp;CHAR(10)&amp;"Intro.Issues: "&amp;VLOOKUP(A979,Internal_lists_bugs!$A$2:$P1013,16,FALSE())),"please select a BUG ID")</f>
        <v>please select a BUG ID</v>
      </c>
    </row>
    <row r="980">
      <c r="A980" s="54"/>
      <c r="B980" s="88" t="str">
        <f>IFERROR(HYPERLINK(VLOOKUP(A980,Internal_lists_bugs!$A$2:$C$73,3,FALSE()), VLOOKUP(A980,Internal_lists_bugs!$A$2:$C$73,3,FALSE())&amp;Char(10) &amp; Char(10) &amp; VLOOKUP(A980,Internal_lists_bugs!$A$2:$Z$73,26,FALSE())),"please select a BUG ID")</f>
        <v>please select a BUG ID</v>
      </c>
      <c r="C980" s="89" t="str">
        <f>IFERROR(VLOOKUP(A980,Internal_lists_bugs!$A$2:$X1013,24,FALSE()),"please select a BUG ID")</f>
        <v>please select a BUG ID</v>
      </c>
      <c r="E980" s="82"/>
      <c r="F980" s="80"/>
      <c r="H980" s="82"/>
      <c r="I980" s="80"/>
      <c r="J980" s="51" t="str">
        <f>IFERROR(Hyperlink(VLOOKUP(A980,Internal_lists_bugs!$A$2:$G1013,7,FALSE()),"BIC: "&amp;VLOOKUP(A980,Internal_lists_bugs!$A$2:$G1013,7,FALSE())&amp;CHAR(10)&amp;"Intro.Issues: "&amp;VLOOKUP(A980,Internal_lists_bugs!$A$2:$P1013,16,FALSE())),"please select a BUG ID")</f>
        <v>please select a BUG ID</v>
      </c>
    </row>
    <row r="981">
      <c r="A981" s="54"/>
      <c r="B981" s="88" t="str">
        <f>IFERROR(HYPERLINK(VLOOKUP(A981,Internal_lists_bugs!$A$2:$C$73,3,FALSE()), VLOOKUP(A981,Internal_lists_bugs!$A$2:$C$73,3,FALSE())&amp;Char(10) &amp; Char(10) &amp; VLOOKUP(A981,Internal_lists_bugs!$A$2:$Z$73,26,FALSE())),"please select a BUG ID")</f>
        <v>please select a BUG ID</v>
      </c>
      <c r="C981" s="89" t="str">
        <f>IFERROR(VLOOKUP(A981,Internal_lists_bugs!$A$2:$X1013,24,FALSE()),"please select a BUG ID")</f>
        <v>please select a BUG ID</v>
      </c>
      <c r="E981" s="82"/>
      <c r="F981" s="80"/>
      <c r="H981" s="82"/>
      <c r="I981" s="80"/>
      <c r="J981" s="51" t="str">
        <f>IFERROR(Hyperlink(VLOOKUP(A981,Internal_lists_bugs!$A$2:$G1013,7,FALSE()),"BIC: "&amp;VLOOKUP(A981,Internal_lists_bugs!$A$2:$G1013,7,FALSE())&amp;CHAR(10)&amp;"Intro.Issues: "&amp;VLOOKUP(A981,Internal_lists_bugs!$A$2:$P1013,16,FALSE())),"please select a BUG ID")</f>
        <v>please select a BUG ID</v>
      </c>
    </row>
    <row r="982">
      <c r="A982" s="54"/>
      <c r="B982" s="88" t="str">
        <f>IFERROR(HYPERLINK(VLOOKUP(A982,Internal_lists_bugs!$A$2:$C$73,3,FALSE()), VLOOKUP(A982,Internal_lists_bugs!$A$2:$C$73,3,FALSE())&amp;Char(10) &amp; Char(10) &amp; VLOOKUP(A982,Internal_lists_bugs!$A$2:$Z$73,26,FALSE())),"please select a BUG ID")</f>
        <v>please select a BUG ID</v>
      </c>
      <c r="C982" s="89" t="str">
        <f>IFERROR(VLOOKUP(A982,Internal_lists_bugs!$A$2:$X1013,24,FALSE()),"please select a BUG ID")</f>
        <v>please select a BUG ID</v>
      </c>
      <c r="E982" s="82"/>
      <c r="F982" s="80"/>
      <c r="H982" s="82"/>
      <c r="I982" s="80"/>
      <c r="J982" s="51" t="str">
        <f>IFERROR(Hyperlink(VLOOKUP(A982,Internal_lists_bugs!$A$2:$G1013,7,FALSE()),"BIC: "&amp;VLOOKUP(A982,Internal_lists_bugs!$A$2:$G1013,7,FALSE())&amp;CHAR(10)&amp;"Intro.Issues: "&amp;VLOOKUP(A982,Internal_lists_bugs!$A$2:$P1013,16,FALSE())),"please select a BUG ID")</f>
        <v>please select a BUG ID</v>
      </c>
    </row>
    <row r="983">
      <c r="A983" s="54"/>
      <c r="B983" s="88" t="str">
        <f>IFERROR(HYPERLINK(VLOOKUP(A983,Internal_lists_bugs!$A$2:$C$73,3,FALSE()), VLOOKUP(A983,Internal_lists_bugs!$A$2:$C$73,3,FALSE())&amp;Char(10) &amp; Char(10) &amp; VLOOKUP(A983,Internal_lists_bugs!$A$2:$Z$73,26,FALSE())),"please select a BUG ID")</f>
        <v>please select a BUG ID</v>
      </c>
      <c r="C983" s="89" t="str">
        <f>IFERROR(VLOOKUP(A983,Internal_lists_bugs!$A$2:$X1013,24,FALSE()),"please select a BUG ID")</f>
        <v>please select a BUG ID</v>
      </c>
      <c r="E983" s="82"/>
      <c r="F983" s="80"/>
      <c r="H983" s="82"/>
      <c r="I983" s="80"/>
      <c r="J983" s="51" t="str">
        <f>IFERROR(Hyperlink(VLOOKUP(A983,Internal_lists_bugs!$A$2:$G1013,7,FALSE()),"BIC: "&amp;VLOOKUP(A983,Internal_lists_bugs!$A$2:$G1013,7,FALSE())&amp;CHAR(10)&amp;"Intro.Issues: "&amp;VLOOKUP(A983,Internal_lists_bugs!$A$2:$P1013,16,FALSE())),"please select a BUG ID")</f>
        <v>please select a BUG ID</v>
      </c>
    </row>
    <row r="984">
      <c r="A984" s="54"/>
      <c r="B984" s="88" t="str">
        <f>IFERROR(HYPERLINK(VLOOKUP(A984,Internal_lists_bugs!$A$2:$C$73,3,FALSE()), VLOOKUP(A984,Internal_lists_bugs!$A$2:$C$73,3,FALSE())&amp;Char(10) &amp; Char(10) &amp; VLOOKUP(A984,Internal_lists_bugs!$A$2:$Z$73,26,FALSE())),"please select a BUG ID")</f>
        <v>please select a BUG ID</v>
      </c>
      <c r="C984" s="89" t="str">
        <f>IFERROR(VLOOKUP(A984,Internal_lists_bugs!$A$2:$X1013,24,FALSE()),"please select a BUG ID")</f>
        <v>please select a BUG ID</v>
      </c>
      <c r="E984" s="82"/>
      <c r="F984" s="80"/>
      <c r="H984" s="82"/>
      <c r="I984" s="80"/>
      <c r="J984" s="51" t="str">
        <f>IFERROR(Hyperlink(VLOOKUP(A984,Internal_lists_bugs!$A$2:$G1013,7,FALSE()),"BIC: "&amp;VLOOKUP(A984,Internal_lists_bugs!$A$2:$G1013,7,FALSE())&amp;CHAR(10)&amp;"Intro.Issues: "&amp;VLOOKUP(A984,Internal_lists_bugs!$A$2:$P1013,16,FALSE())),"please select a BUG ID")</f>
        <v>please select a BUG ID</v>
      </c>
    </row>
    <row r="985">
      <c r="A985" s="54"/>
      <c r="B985" s="88" t="str">
        <f>IFERROR(HYPERLINK(VLOOKUP(A985,Internal_lists_bugs!$A$2:$C$73,3,FALSE()), VLOOKUP(A985,Internal_lists_bugs!$A$2:$C$73,3,FALSE())&amp;Char(10) &amp; Char(10) &amp; VLOOKUP(A985,Internal_lists_bugs!$A$2:$Z$73,26,FALSE())),"please select a BUG ID")</f>
        <v>please select a BUG ID</v>
      </c>
      <c r="C985" s="89" t="str">
        <f>IFERROR(VLOOKUP(A985,Internal_lists_bugs!$A$2:$X1013,24,FALSE()),"please select a BUG ID")</f>
        <v>please select a BUG ID</v>
      </c>
      <c r="E985" s="82"/>
      <c r="F985" s="80"/>
      <c r="H985" s="82"/>
      <c r="I985" s="80"/>
      <c r="J985" s="51" t="str">
        <f>IFERROR(Hyperlink(VLOOKUP(A985,Internal_lists_bugs!$A$2:$G1013,7,FALSE()),"BIC: "&amp;VLOOKUP(A985,Internal_lists_bugs!$A$2:$G1013,7,FALSE())&amp;CHAR(10)&amp;"Intro.Issues: "&amp;VLOOKUP(A985,Internal_lists_bugs!$A$2:$P1013,16,FALSE())),"please select a BUG ID")</f>
        <v>please select a BUG ID</v>
      </c>
    </row>
    <row r="986">
      <c r="A986" s="54"/>
      <c r="B986" s="88" t="str">
        <f>IFERROR(HYPERLINK(VLOOKUP(A986,Internal_lists_bugs!$A$2:$C$73,3,FALSE()), VLOOKUP(A986,Internal_lists_bugs!$A$2:$C$73,3,FALSE())&amp;Char(10) &amp; Char(10) &amp; VLOOKUP(A986,Internal_lists_bugs!$A$2:$Z$73,26,FALSE())),"please select a BUG ID")</f>
        <v>please select a BUG ID</v>
      </c>
      <c r="C986" s="89" t="str">
        <f>IFERROR(VLOOKUP(A986,Internal_lists_bugs!$A$2:$X1013,24,FALSE()),"please select a BUG ID")</f>
        <v>please select a BUG ID</v>
      </c>
      <c r="E986" s="82"/>
      <c r="F986" s="80"/>
      <c r="H986" s="82"/>
      <c r="I986" s="80"/>
      <c r="J986" s="51" t="str">
        <f>IFERROR(Hyperlink(VLOOKUP(A986,Internal_lists_bugs!$A$2:$G1013,7,FALSE()),"BIC: "&amp;VLOOKUP(A986,Internal_lists_bugs!$A$2:$G1013,7,FALSE())&amp;CHAR(10)&amp;"Intro.Issues: "&amp;VLOOKUP(A986,Internal_lists_bugs!$A$2:$P1013,16,FALSE())),"please select a BUG ID")</f>
        <v>please select a BUG ID</v>
      </c>
    </row>
    <row r="987">
      <c r="A987" s="54"/>
      <c r="B987" s="88" t="str">
        <f>IFERROR(HYPERLINK(VLOOKUP(A987,Internal_lists_bugs!$A$2:$C$73,3,FALSE()), VLOOKUP(A987,Internal_lists_bugs!$A$2:$C$73,3,FALSE())&amp;Char(10) &amp; Char(10) &amp; VLOOKUP(A987,Internal_lists_bugs!$A$2:$Z$73,26,FALSE())),"please select a BUG ID")</f>
        <v>please select a BUG ID</v>
      </c>
      <c r="C987" s="89" t="str">
        <f>IFERROR(VLOOKUP(A987,Internal_lists_bugs!$A$2:$X1013,24,FALSE()),"please select a BUG ID")</f>
        <v>please select a BUG ID</v>
      </c>
      <c r="E987" s="82"/>
      <c r="F987" s="80"/>
      <c r="H987" s="82"/>
      <c r="I987" s="80"/>
      <c r="J987" s="51" t="str">
        <f>IFERROR(Hyperlink(VLOOKUP(A987,Internal_lists_bugs!$A$2:$G1013,7,FALSE()),"BIC: "&amp;VLOOKUP(A987,Internal_lists_bugs!$A$2:$G1013,7,FALSE())&amp;CHAR(10)&amp;"Intro.Issues: "&amp;VLOOKUP(A987,Internal_lists_bugs!$A$2:$P1013,16,FALSE())),"please select a BUG ID")</f>
        <v>please select a BUG ID</v>
      </c>
    </row>
    <row r="988">
      <c r="A988" s="54"/>
      <c r="B988" s="88" t="str">
        <f>IFERROR(HYPERLINK(VLOOKUP(A988,Internal_lists_bugs!$A$2:$C$73,3,FALSE()), VLOOKUP(A988,Internal_lists_bugs!$A$2:$C$73,3,FALSE())&amp;Char(10) &amp; Char(10) &amp; VLOOKUP(A988,Internal_lists_bugs!$A$2:$Z$73,26,FALSE())),"please select a BUG ID")</f>
        <v>please select a BUG ID</v>
      </c>
      <c r="C988" s="89" t="str">
        <f>IFERROR(VLOOKUP(A988,Internal_lists_bugs!$A$2:$X1013,24,FALSE()),"please select a BUG ID")</f>
        <v>please select a BUG ID</v>
      </c>
      <c r="E988" s="82"/>
      <c r="F988" s="80"/>
      <c r="H988" s="82"/>
      <c r="I988" s="80"/>
      <c r="J988" s="51" t="str">
        <f>IFERROR(Hyperlink(VLOOKUP(A988,Internal_lists_bugs!$A$2:$G1013,7,FALSE()),"BIC: "&amp;VLOOKUP(A988,Internal_lists_bugs!$A$2:$G1013,7,FALSE())&amp;CHAR(10)&amp;"Intro.Issues: "&amp;VLOOKUP(A988,Internal_lists_bugs!$A$2:$P1013,16,FALSE())),"please select a BUG ID")</f>
        <v>please select a BUG ID</v>
      </c>
    </row>
    <row r="989">
      <c r="A989" s="54"/>
      <c r="B989" s="88" t="str">
        <f>IFERROR(HYPERLINK(VLOOKUP(A989,Internal_lists_bugs!$A$2:$C$73,3,FALSE()), VLOOKUP(A989,Internal_lists_bugs!$A$2:$C$73,3,FALSE())&amp;Char(10) &amp; Char(10) &amp; VLOOKUP(A989,Internal_lists_bugs!$A$2:$Z$73,26,FALSE())),"please select a BUG ID")</f>
        <v>please select a BUG ID</v>
      </c>
      <c r="C989" s="89" t="str">
        <f>IFERROR(VLOOKUP(A989,Internal_lists_bugs!$A$2:$X1013,24,FALSE()),"please select a BUG ID")</f>
        <v>please select a BUG ID</v>
      </c>
      <c r="E989" s="82"/>
      <c r="F989" s="80"/>
      <c r="H989" s="82"/>
      <c r="I989" s="80"/>
      <c r="J989" s="51" t="str">
        <f>IFERROR(Hyperlink(VLOOKUP(A989,Internal_lists_bugs!$A$2:$G1013,7,FALSE()),"BIC: "&amp;VLOOKUP(A989,Internal_lists_bugs!$A$2:$G1013,7,FALSE())&amp;CHAR(10)&amp;"Intro.Issues: "&amp;VLOOKUP(A989,Internal_lists_bugs!$A$2:$P1013,16,FALSE())),"please select a BUG ID")</f>
        <v>please select a BUG ID</v>
      </c>
    </row>
    <row r="990">
      <c r="A990" s="54"/>
      <c r="B990" s="88" t="str">
        <f>IFERROR(HYPERLINK(VLOOKUP(A990,Internal_lists_bugs!$A$2:$C$73,3,FALSE()), VLOOKUP(A990,Internal_lists_bugs!$A$2:$C$73,3,FALSE())&amp;Char(10) &amp; Char(10) &amp; VLOOKUP(A990,Internal_lists_bugs!$A$2:$Z$73,26,FALSE())),"please select a BUG ID")</f>
        <v>please select a BUG ID</v>
      </c>
      <c r="C990" s="89" t="str">
        <f>IFERROR(VLOOKUP(A990,Internal_lists_bugs!$A$2:$X1013,24,FALSE()),"please select a BUG ID")</f>
        <v>please select a BUG ID</v>
      </c>
      <c r="E990" s="82"/>
      <c r="F990" s="80"/>
      <c r="H990" s="82"/>
      <c r="I990" s="80"/>
      <c r="J990" s="51" t="str">
        <f>IFERROR(Hyperlink(VLOOKUP(A990,Internal_lists_bugs!$A$2:$G1013,7,FALSE()),"BIC: "&amp;VLOOKUP(A990,Internal_lists_bugs!$A$2:$G1013,7,FALSE())&amp;CHAR(10)&amp;"Intro.Issues: "&amp;VLOOKUP(A990,Internal_lists_bugs!$A$2:$P1013,16,FALSE())),"please select a BUG ID")</f>
        <v>please select a BUG ID</v>
      </c>
    </row>
    <row r="991">
      <c r="A991" s="54"/>
      <c r="B991" s="88" t="str">
        <f>IFERROR(HYPERLINK(VLOOKUP(A991,Internal_lists_bugs!$A$2:$C$73,3,FALSE()), VLOOKUP(A991,Internal_lists_bugs!$A$2:$C$73,3,FALSE())&amp;Char(10) &amp; Char(10) &amp; VLOOKUP(A991,Internal_lists_bugs!$A$2:$Z$73,26,FALSE())),"please select a BUG ID")</f>
        <v>please select a BUG ID</v>
      </c>
      <c r="C991" s="89" t="str">
        <f>IFERROR(VLOOKUP(A991,Internal_lists_bugs!$A$2:$X1013,24,FALSE()),"please select a BUG ID")</f>
        <v>please select a BUG ID</v>
      </c>
      <c r="E991" s="82"/>
      <c r="F991" s="80"/>
      <c r="H991" s="82"/>
      <c r="I991" s="80"/>
      <c r="J991" s="51" t="str">
        <f>IFERROR(Hyperlink(VLOOKUP(A991,Internal_lists_bugs!$A$2:$G1013,7,FALSE()),"BIC: "&amp;VLOOKUP(A991,Internal_lists_bugs!$A$2:$G1013,7,FALSE())&amp;CHAR(10)&amp;"Intro.Issues: "&amp;VLOOKUP(A991,Internal_lists_bugs!$A$2:$P1013,16,FALSE())),"please select a BUG ID")</f>
        <v>please select a BUG ID</v>
      </c>
    </row>
    <row r="992">
      <c r="A992" s="54"/>
      <c r="B992" s="88" t="str">
        <f>IFERROR(HYPERLINK(VLOOKUP(A992,Internal_lists_bugs!$A$2:$C$73,3,FALSE()), VLOOKUP(A992,Internal_lists_bugs!$A$2:$C$73,3,FALSE())&amp;Char(10) &amp; Char(10) &amp; VLOOKUP(A992,Internal_lists_bugs!$A$2:$Z$73,26,FALSE())),"please select a BUG ID")</f>
        <v>please select a BUG ID</v>
      </c>
      <c r="C992" s="89" t="str">
        <f>IFERROR(VLOOKUP(A992,Internal_lists_bugs!$A$2:$X1013,24,FALSE()),"please select a BUG ID")</f>
        <v>please select a BUG ID</v>
      </c>
      <c r="E992" s="82"/>
      <c r="F992" s="80"/>
      <c r="H992" s="82"/>
      <c r="I992" s="80"/>
      <c r="J992" s="51" t="str">
        <f>IFERROR(Hyperlink(VLOOKUP(A992,Internal_lists_bugs!$A$2:$G1013,7,FALSE()),"BIC: "&amp;VLOOKUP(A992,Internal_lists_bugs!$A$2:$G1013,7,FALSE())&amp;CHAR(10)&amp;"Intro.Issues: "&amp;VLOOKUP(A992,Internal_lists_bugs!$A$2:$P1013,16,FALSE())),"please select a BUG ID")</f>
        <v>please select a BUG ID</v>
      </c>
    </row>
    <row r="993">
      <c r="A993" s="54"/>
      <c r="B993" s="88" t="str">
        <f>IFERROR(HYPERLINK(VLOOKUP(A993,Internal_lists_bugs!$A$2:$C$73,3,FALSE()), VLOOKUP(A993,Internal_lists_bugs!$A$2:$C$73,3,FALSE())&amp;Char(10) &amp; Char(10) &amp; VLOOKUP(A993,Internal_lists_bugs!$A$2:$Z$73,26,FALSE())),"please select a BUG ID")</f>
        <v>please select a BUG ID</v>
      </c>
      <c r="C993" s="89" t="str">
        <f>IFERROR(VLOOKUP(A993,Internal_lists_bugs!$A$2:$X1013,24,FALSE()),"please select a BUG ID")</f>
        <v>please select a BUG ID</v>
      </c>
      <c r="E993" s="82"/>
      <c r="F993" s="80"/>
      <c r="H993" s="82"/>
      <c r="I993" s="80"/>
      <c r="J993" s="51" t="str">
        <f>IFERROR(Hyperlink(VLOOKUP(A993,Internal_lists_bugs!$A$2:$G1013,7,FALSE()),"BIC: "&amp;VLOOKUP(A993,Internal_lists_bugs!$A$2:$G1013,7,FALSE())&amp;CHAR(10)&amp;"Intro.Issues: "&amp;VLOOKUP(A993,Internal_lists_bugs!$A$2:$P1013,16,FALSE())),"please select a BUG ID")</f>
        <v>please select a BUG ID</v>
      </c>
    </row>
    <row r="994">
      <c r="A994" s="54"/>
      <c r="B994" s="88" t="str">
        <f>IFERROR(HYPERLINK(VLOOKUP(A994,Internal_lists_bugs!$A$2:$C$73,3,FALSE()), VLOOKUP(A994,Internal_lists_bugs!$A$2:$C$73,3,FALSE())&amp;Char(10) &amp; Char(10) &amp; VLOOKUP(A994,Internal_lists_bugs!$A$2:$Z$73,26,FALSE())),"please select a BUG ID")</f>
        <v>please select a BUG ID</v>
      </c>
      <c r="C994" s="89" t="str">
        <f>IFERROR(VLOOKUP(A994,Internal_lists_bugs!$A$2:$X1013,24,FALSE()),"please select a BUG ID")</f>
        <v>please select a BUG ID</v>
      </c>
      <c r="E994" s="82"/>
      <c r="F994" s="80"/>
      <c r="H994" s="82"/>
      <c r="I994" s="80"/>
      <c r="J994" s="51" t="str">
        <f>IFERROR(Hyperlink(VLOOKUP(A994,Internal_lists_bugs!$A$2:$G1013,7,FALSE()),"BIC: "&amp;VLOOKUP(A994,Internal_lists_bugs!$A$2:$G1013,7,FALSE())&amp;CHAR(10)&amp;"Intro.Issues: "&amp;VLOOKUP(A994,Internal_lists_bugs!$A$2:$P1013,16,FALSE())),"please select a BUG ID")</f>
        <v>please select a BUG ID</v>
      </c>
    </row>
    <row r="995">
      <c r="A995" s="54"/>
      <c r="B995" s="88" t="str">
        <f>IFERROR(HYPERLINK(VLOOKUP(A995,Internal_lists_bugs!$A$2:$C$73,3,FALSE()), VLOOKUP(A995,Internal_lists_bugs!$A$2:$C$73,3,FALSE())&amp;Char(10) &amp; Char(10) &amp; VLOOKUP(A995,Internal_lists_bugs!$A$2:$Z$73,26,FALSE())),"please select a BUG ID")</f>
        <v>please select a BUG ID</v>
      </c>
      <c r="C995" s="89" t="str">
        <f>IFERROR(VLOOKUP(A995,Internal_lists_bugs!$A$2:$X1013,24,FALSE()),"please select a BUG ID")</f>
        <v>please select a BUG ID</v>
      </c>
      <c r="E995" s="82"/>
      <c r="F995" s="80"/>
      <c r="H995" s="82"/>
      <c r="I995" s="80"/>
      <c r="J995" s="51" t="str">
        <f>IFERROR(Hyperlink(VLOOKUP(A995,Internal_lists_bugs!$A$2:$G1013,7,FALSE()),"BIC: "&amp;VLOOKUP(A995,Internal_lists_bugs!$A$2:$G1013,7,FALSE())&amp;CHAR(10)&amp;"Intro.Issues: "&amp;VLOOKUP(A995,Internal_lists_bugs!$A$2:$P1013,16,FALSE())),"please select a BUG ID")</f>
        <v>please select a BUG ID</v>
      </c>
    </row>
    <row r="996">
      <c r="A996" s="54"/>
      <c r="B996" s="88" t="str">
        <f>IFERROR(HYPERLINK(VLOOKUP(A996,Internal_lists_bugs!$A$2:$C$73,3,FALSE()), VLOOKUP(A996,Internal_lists_bugs!$A$2:$C$73,3,FALSE())&amp;Char(10) &amp; Char(10) &amp; VLOOKUP(A996,Internal_lists_bugs!$A$2:$Z$73,26,FALSE())),"please select a BUG ID")</f>
        <v>please select a BUG ID</v>
      </c>
      <c r="C996" s="89" t="str">
        <f>IFERROR(VLOOKUP(A996,Internal_lists_bugs!$A$2:$X1013,24,FALSE()),"please select a BUG ID")</f>
        <v>please select a BUG ID</v>
      </c>
      <c r="E996" s="82"/>
      <c r="F996" s="80"/>
      <c r="H996" s="82"/>
      <c r="I996" s="80"/>
      <c r="J996" s="51" t="str">
        <f>IFERROR(Hyperlink(VLOOKUP(A996,Internal_lists_bugs!$A$2:$G1013,7,FALSE()),"BIC: "&amp;VLOOKUP(A996,Internal_lists_bugs!$A$2:$G1013,7,FALSE())&amp;CHAR(10)&amp;"Intro.Issues: "&amp;VLOOKUP(A996,Internal_lists_bugs!$A$2:$P1013,16,FALSE())),"please select a BUG ID")</f>
        <v>please select a BUG ID</v>
      </c>
    </row>
    <row r="997">
      <c r="A997" s="54"/>
      <c r="B997" s="88" t="str">
        <f>IFERROR(HYPERLINK(VLOOKUP(A997,Internal_lists_bugs!$A$2:$C$73,3,FALSE()), VLOOKUP(A997,Internal_lists_bugs!$A$2:$C$73,3,FALSE())&amp;Char(10) &amp; Char(10) &amp; VLOOKUP(A997,Internal_lists_bugs!$A$2:$Z$73,26,FALSE())),"please select a BUG ID")</f>
        <v>please select a BUG ID</v>
      </c>
      <c r="C997" s="89" t="str">
        <f>IFERROR(VLOOKUP(A997,Internal_lists_bugs!$A$2:$X1013,24,FALSE()),"please select a BUG ID")</f>
        <v>please select a BUG ID</v>
      </c>
      <c r="E997" s="82"/>
      <c r="F997" s="80"/>
      <c r="H997" s="82"/>
      <c r="I997" s="80"/>
      <c r="J997" s="51" t="str">
        <f>IFERROR(Hyperlink(VLOOKUP(A997,Internal_lists_bugs!$A$2:$G1013,7,FALSE()),"BIC: "&amp;VLOOKUP(A997,Internal_lists_bugs!$A$2:$G1013,7,FALSE())&amp;CHAR(10)&amp;"Intro.Issues: "&amp;VLOOKUP(A997,Internal_lists_bugs!$A$2:$P1013,16,FALSE())),"please select a BUG ID")</f>
        <v>please select a BUG ID</v>
      </c>
    </row>
    <row r="998">
      <c r="A998" s="54"/>
      <c r="B998" s="88" t="str">
        <f>IFERROR(HYPERLINK(VLOOKUP(A998,Internal_lists_bugs!$A$2:$C$73,3,FALSE()), VLOOKUP(A998,Internal_lists_bugs!$A$2:$C$73,3,FALSE())&amp;Char(10) &amp; Char(10) &amp; VLOOKUP(A998,Internal_lists_bugs!$A$2:$Z$73,26,FALSE())),"please select a BUG ID")</f>
        <v>please select a BUG ID</v>
      </c>
      <c r="C998" s="89" t="str">
        <f>IFERROR(VLOOKUP(A998,Internal_lists_bugs!$A$2:$X1013,24,FALSE()),"please select a BUG ID")</f>
        <v>please select a BUG ID</v>
      </c>
      <c r="E998" s="82"/>
      <c r="F998" s="80"/>
      <c r="H998" s="82"/>
      <c r="I998" s="80"/>
      <c r="J998" s="51" t="str">
        <f>IFERROR(Hyperlink(VLOOKUP(A998,Internal_lists_bugs!$A$2:$G1013,7,FALSE()),"BIC: "&amp;VLOOKUP(A998,Internal_lists_bugs!$A$2:$G1013,7,FALSE())&amp;CHAR(10)&amp;"Intro.Issues: "&amp;VLOOKUP(A998,Internal_lists_bugs!$A$2:$P1013,16,FALSE())),"please select a BUG ID")</f>
        <v>please select a BUG ID</v>
      </c>
    </row>
    <row r="999">
      <c r="A999" s="54"/>
      <c r="B999" s="88" t="str">
        <f>IFERROR(HYPERLINK(VLOOKUP(A999,Internal_lists_bugs!$A$2:$C$73,3,FALSE()), VLOOKUP(A999,Internal_lists_bugs!$A$2:$C$73,3,FALSE())&amp;Char(10) &amp; Char(10) &amp; VLOOKUP(A999,Internal_lists_bugs!$A$2:$Z$73,26,FALSE())),"please select a BUG ID")</f>
        <v>please select a BUG ID</v>
      </c>
      <c r="C999" s="89" t="str">
        <f>IFERROR(VLOOKUP(A999,Internal_lists_bugs!$A$2:$X1013,24,FALSE()),"please select a BUG ID")</f>
        <v>please select a BUG ID</v>
      </c>
      <c r="E999" s="82"/>
      <c r="F999" s="80"/>
      <c r="H999" s="82"/>
      <c r="I999" s="80"/>
      <c r="J999" s="51" t="str">
        <f>IFERROR(Hyperlink(VLOOKUP(A999,Internal_lists_bugs!$A$2:$G1013,7,FALSE()),"BIC: "&amp;VLOOKUP(A999,Internal_lists_bugs!$A$2:$G1013,7,FALSE())&amp;CHAR(10)&amp;"Intro.Issues: "&amp;VLOOKUP(A999,Internal_lists_bugs!$A$2:$P1013,16,FALSE())),"please select a BUG ID")</f>
        <v>please select a BUG ID</v>
      </c>
    </row>
    <row r="1000">
      <c r="A1000" s="54"/>
      <c r="B1000" s="88" t="str">
        <f>IFERROR(HYPERLINK(VLOOKUP(A1000,Internal_lists_bugs!$A$2:$C$73,3,FALSE()), VLOOKUP(A1000,Internal_lists_bugs!$A$2:$C$73,3,FALSE())&amp;Char(10) &amp; Char(10) &amp; VLOOKUP(A1000,Internal_lists_bugs!$A$2:$Z$73,26,FALSE())),"please select a BUG ID")</f>
        <v>please select a BUG ID</v>
      </c>
      <c r="C1000" s="89" t="str">
        <f>IFERROR(VLOOKUP(A1000,Internal_lists_bugs!$A$2:$X1013,24,FALSE()),"please select a BUG ID")</f>
        <v>please select a BUG ID</v>
      </c>
      <c r="E1000" s="82"/>
      <c r="F1000" s="80"/>
      <c r="H1000" s="82"/>
      <c r="I1000" s="80"/>
      <c r="J1000" s="51" t="str">
        <f>IFERROR(Hyperlink(VLOOKUP(A1000,Internal_lists_bugs!$A$2:$G1013,7,FALSE()),"BIC: "&amp;VLOOKUP(A1000,Internal_lists_bugs!$A$2:$G1013,7,FALSE())&amp;CHAR(10)&amp;"Intro.Issues: "&amp;VLOOKUP(A1000,Internal_lists_bugs!$A$2:$P1013,16,FALSE())),"please select a BUG ID")</f>
        <v>please select a BUG ID</v>
      </c>
    </row>
    <row r="1001">
      <c r="A1001" s="54"/>
      <c r="B1001" s="88" t="str">
        <f>IFERROR(HYPERLINK(VLOOKUP(A1001,Internal_lists_bugs!$A$2:$C$73,3,FALSE()), VLOOKUP(A1001,Internal_lists_bugs!$A$2:$C$73,3,FALSE())&amp;Char(10) &amp; Char(10) &amp; VLOOKUP(A1001,Internal_lists_bugs!$A$2:$Z$73,26,FALSE())),"please select a BUG ID")</f>
        <v>please select a BUG ID</v>
      </c>
      <c r="C1001" s="89" t="str">
        <f>IFERROR(VLOOKUP(A1001,Internal_lists_bugs!$A$2:$X1013,24,FALSE()),"please select a BUG ID")</f>
        <v>please select a BUG ID</v>
      </c>
      <c r="E1001" s="82"/>
      <c r="F1001" s="80"/>
      <c r="H1001" s="82"/>
      <c r="I1001" s="80"/>
      <c r="J1001" s="51" t="str">
        <f>IFERROR(Hyperlink(VLOOKUP(A1001,Internal_lists_bugs!$A$2:$G1013,7,FALSE()),"BIC: "&amp;VLOOKUP(A1001,Internal_lists_bugs!$A$2:$G1013,7,FALSE())&amp;CHAR(10)&amp;"Intro.Issues: "&amp;VLOOKUP(A1001,Internal_lists_bugs!$A$2:$P1013,16,FALSE())),"please select a BUG ID")</f>
        <v>please select a BUG ID</v>
      </c>
    </row>
    <row r="1002">
      <c r="A1002" s="54"/>
      <c r="B1002" s="88" t="str">
        <f>IFERROR(HYPERLINK(VLOOKUP(A1002,Internal_lists_bugs!$A$2:$C$73,3,FALSE()), VLOOKUP(A1002,Internal_lists_bugs!$A$2:$C$73,3,FALSE())&amp;Char(10) &amp; Char(10) &amp; VLOOKUP(A1002,Internal_lists_bugs!$A$2:$Z$73,26,FALSE())),"please select a BUG ID")</f>
        <v>please select a BUG ID</v>
      </c>
      <c r="C1002" s="89" t="str">
        <f>IFERROR(VLOOKUP(A1002,Internal_lists_bugs!$A$2:$X1013,24,FALSE()),"please select a BUG ID")</f>
        <v>please select a BUG ID</v>
      </c>
      <c r="E1002" s="82"/>
      <c r="F1002" s="80"/>
      <c r="H1002" s="82"/>
      <c r="I1002" s="80"/>
      <c r="J1002" s="51" t="str">
        <f>IFERROR(Hyperlink(VLOOKUP(A1002,Internal_lists_bugs!$A$2:$G1013,7,FALSE()),"BIC: "&amp;VLOOKUP(A1002,Internal_lists_bugs!$A$2:$G1013,7,FALSE())&amp;CHAR(10)&amp;"Intro.Issues: "&amp;VLOOKUP(A1002,Internal_lists_bugs!$A$2:$P1013,16,FALSE())),"please select a BUG ID")</f>
        <v>please select a BUG ID</v>
      </c>
    </row>
    <row r="1003">
      <c r="A1003" s="54"/>
      <c r="B1003" s="88" t="str">
        <f>IFERROR(HYPERLINK(VLOOKUP(A1003,Internal_lists_bugs!$A$2:$C$73,3,FALSE()), VLOOKUP(A1003,Internal_lists_bugs!$A$2:$C$73,3,FALSE())&amp;Char(10) &amp; Char(10) &amp; VLOOKUP(A1003,Internal_lists_bugs!$A$2:$Z$73,26,FALSE())),"please select a BUG ID")</f>
        <v>please select a BUG ID</v>
      </c>
      <c r="C1003" s="89" t="str">
        <f>IFERROR(VLOOKUP(A1003,Internal_lists_bugs!$A$2:$X1013,24,FALSE()),"please select a BUG ID")</f>
        <v>please select a BUG ID</v>
      </c>
      <c r="E1003" s="82"/>
      <c r="F1003" s="80"/>
      <c r="H1003" s="82"/>
      <c r="I1003" s="80"/>
      <c r="J1003" s="51" t="str">
        <f>IFERROR(Hyperlink(VLOOKUP(A1003,Internal_lists_bugs!$A$2:$G1013,7,FALSE()),"BIC: "&amp;VLOOKUP(A1003,Internal_lists_bugs!$A$2:$G1013,7,FALSE())&amp;CHAR(10)&amp;"Intro.Issues: "&amp;VLOOKUP(A1003,Internal_lists_bugs!$A$2:$P1013,16,FALSE())),"please select a BUG ID")</f>
        <v>please select a BUG ID</v>
      </c>
    </row>
    <row r="1004">
      <c r="A1004" s="54"/>
      <c r="B1004" s="88" t="str">
        <f>IFERROR(HYPERLINK(VLOOKUP(A1004,Internal_lists_bugs!$A$2:$C$73,3,FALSE()), VLOOKUP(A1004,Internal_lists_bugs!$A$2:$C$73,3,FALSE())&amp;Char(10) &amp; Char(10) &amp; VLOOKUP(A1004,Internal_lists_bugs!$A$2:$Z$73,26,FALSE())),"please select a BUG ID")</f>
        <v>please select a BUG ID</v>
      </c>
      <c r="C1004" s="89" t="str">
        <f>IFERROR(VLOOKUP(A1004,Internal_lists_bugs!$A$2:$X1013,24,FALSE()),"please select a BUG ID")</f>
        <v>please select a BUG ID</v>
      </c>
      <c r="E1004" s="82"/>
      <c r="F1004" s="80"/>
      <c r="H1004" s="82"/>
      <c r="I1004" s="80"/>
      <c r="J1004" s="51" t="str">
        <f>IFERROR(Hyperlink(VLOOKUP(A1004,Internal_lists_bugs!$A$2:$G1013,7,FALSE()),"BIC: "&amp;VLOOKUP(A1004,Internal_lists_bugs!$A$2:$G1013,7,FALSE())&amp;CHAR(10)&amp;"Intro.Issues: "&amp;VLOOKUP(A1004,Internal_lists_bugs!$A$2:$P1013,16,FALSE())),"please select a BUG ID")</f>
        <v>please select a BUG ID</v>
      </c>
    </row>
    <row r="1005">
      <c r="A1005" s="54"/>
      <c r="B1005" s="88" t="str">
        <f>IFERROR(HYPERLINK(VLOOKUP(A1005,Internal_lists_bugs!$A$2:$C$73,3,FALSE()), VLOOKUP(A1005,Internal_lists_bugs!$A$2:$C$73,3,FALSE())&amp;Char(10) &amp; Char(10) &amp; VLOOKUP(A1005,Internal_lists_bugs!$A$2:$Z$73,26,FALSE())),"please select a BUG ID")</f>
        <v>please select a BUG ID</v>
      </c>
      <c r="C1005" s="89" t="str">
        <f>IFERROR(VLOOKUP(A1005,Internal_lists_bugs!$A$2:$X1013,24,FALSE()),"please select a BUG ID")</f>
        <v>please select a BUG ID</v>
      </c>
      <c r="E1005" s="82"/>
      <c r="F1005" s="80"/>
      <c r="H1005" s="82"/>
      <c r="I1005" s="80"/>
      <c r="J1005" s="51" t="str">
        <f>IFERROR(Hyperlink(VLOOKUP(A1005,Internal_lists_bugs!$A$2:$G1013,7,FALSE()),"BIC: "&amp;VLOOKUP(A1005,Internal_lists_bugs!$A$2:$G1013,7,FALSE())&amp;CHAR(10)&amp;"Intro.Issues: "&amp;VLOOKUP(A1005,Internal_lists_bugs!$A$2:$P1013,16,FALSE())),"please select a BUG ID")</f>
        <v>please select a BUG ID</v>
      </c>
    </row>
    <row r="1006">
      <c r="A1006" s="54"/>
      <c r="B1006" s="88" t="str">
        <f>IFERROR(HYPERLINK(VLOOKUP(A1006,Internal_lists_bugs!$A$2:$C$73,3,FALSE()), VLOOKUP(A1006,Internal_lists_bugs!$A$2:$C$73,3,FALSE())&amp;Char(10) &amp; Char(10) &amp; VLOOKUP(A1006,Internal_lists_bugs!$A$2:$Z$73,26,FALSE())),"please select a BUG ID")</f>
        <v>please select a BUG ID</v>
      </c>
      <c r="C1006" s="89" t="str">
        <f>IFERROR(VLOOKUP(A1006,Internal_lists_bugs!$A$2:$X1013,24,FALSE()),"please select a BUG ID")</f>
        <v>please select a BUG ID</v>
      </c>
      <c r="E1006" s="82"/>
      <c r="F1006" s="80"/>
      <c r="H1006" s="82"/>
      <c r="I1006" s="80"/>
      <c r="J1006" s="51" t="str">
        <f>IFERROR(Hyperlink(VLOOKUP(A1006,Internal_lists_bugs!$A$2:$G1013,7,FALSE()),"BIC: "&amp;VLOOKUP(A1006,Internal_lists_bugs!$A$2:$G1013,7,FALSE())&amp;CHAR(10)&amp;"Intro.Issues: "&amp;VLOOKUP(A1006,Internal_lists_bugs!$A$2:$P1013,16,FALSE())),"please select a BUG ID")</f>
        <v>please select a BUG ID</v>
      </c>
    </row>
    <row r="1007">
      <c r="A1007" s="54"/>
      <c r="B1007" s="88" t="str">
        <f>IFERROR(HYPERLINK(VLOOKUP(A1007,Internal_lists_bugs!$A$2:$C$73,3,FALSE()), VLOOKUP(A1007,Internal_lists_bugs!$A$2:$C$73,3,FALSE())&amp;Char(10) &amp; Char(10) &amp; VLOOKUP(A1007,Internal_lists_bugs!$A$2:$Z$73,26,FALSE())),"please select a BUG ID")</f>
        <v>please select a BUG ID</v>
      </c>
      <c r="C1007" s="89" t="str">
        <f>IFERROR(VLOOKUP(A1007,Internal_lists_bugs!$A$2:$X1013,24,FALSE()),"please select a BUG ID")</f>
        <v>please select a BUG ID</v>
      </c>
      <c r="E1007" s="82"/>
      <c r="F1007" s="80"/>
      <c r="H1007" s="82"/>
      <c r="I1007" s="80"/>
      <c r="J1007" s="51" t="str">
        <f>IFERROR(Hyperlink(VLOOKUP(A1007,Internal_lists_bugs!$A$2:$G1013,7,FALSE()),"BIC: "&amp;VLOOKUP(A1007,Internal_lists_bugs!$A$2:$G1013,7,FALSE())&amp;CHAR(10)&amp;"Intro.Issues: "&amp;VLOOKUP(A1007,Internal_lists_bugs!$A$2:$P1013,16,FALSE())),"please select a BUG ID")</f>
        <v>please select a BUG ID</v>
      </c>
    </row>
    <row r="1008">
      <c r="A1008" s="54"/>
      <c r="B1008" s="88" t="str">
        <f>IFERROR(HYPERLINK(VLOOKUP(A1008,Internal_lists_bugs!$A$2:$C$73,3,FALSE()), VLOOKUP(A1008,Internal_lists_bugs!$A$2:$C$73,3,FALSE())&amp;Char(10) &amp; Char(10) &amp; VLOOKUP(A1008,Internal_lists_bugs!$A$2:$Z$73,26,FALSE())),"please select a BUG ID")</f>
        <v>please select a BUG ID</v>
      </c>
      <c r="C1008" s="89" t="str">
        <f>IFERROR(VLOOKUP(A1008,Internal_lists_bugs!$A$2:$X1013,24,FALSE()),"please select a BUG ID")</f>
        <v>please select a BUG ID</v>
      </c>
      <c r="E1008" s="82"/>
      <c r="F1008" s="80"/>
      <c r="H1008" s="82"/>
      <c r="I1008" s="80"/>
      <c r="J1008" s="51" t="str">
        <f>IFERROR(Hyperlink(VLOOKUP(A1008,Internal_lists_bugs!$A$2:$G1013,7,FALSE()),"BIC: "&amp;VLOOKUP(A1008,Internal_lists_bugs!$A$2:$G1013,7,FALSE())&amp;CHAR(10)&amp;"Intro.Issues: "&amp;VLOOKUP(A1008,Internal_lists_bugs!$A$2:$P1013,16,FALSE())),"please select a BUG ID")</f>
        <v>please select a BUG ID</v>
      </c>
    </row>
    <row r="1009">
      <c r="A1009" s="54"/>
      <c r="B1009" s="88" t="str">
        <f>IFERROR(HYPERLINK(VLOOKUP(A1009,Internal_lists_bugs!$A$2:$C$73,3,FALSE()), VLOOKUP(A1009,Internal_lists_bugs!$A$2:$C$73,3,FALSE())&amp;Char(10) &amp; Char(10) &amp; VLOOKUP(A1009,Internal_lists_bugs!$A$2:$Z$73,26,FALSE())),"please select a BUG ID")</f>
        <v>please select a BUG ID</v>
      </c>
      <c r="C1009" s="89" t="str">
        <f>IFERROR(VLOOKUP(A1009,Internal_lists_bugs!$A$2:$X1013,24,FALSE()),"please select a BUG ID")</f>
        <v>please select a BUG ID</v>
      </c>
      <c r="E1009" s="82"/>
      <c r="F1009" s="80"/>
      <c r="H1009" s="82"/>
      <c r="I1009" s="80"/>
      <c r="J1009" s="51" t="str">
        <f>IFERROR(Hyperlink(VLOOKUP(A1009,Internal_lists_bugs!$A$2:$G1013,7,FALSE()),"BIC: "&amp;VLOOKUP(A1009,Internal_lists_bugs!$A$2:$G1013,7,FALSE())&amp;CHAR(10)&amp;"Intro.Issues: "&amp;VLOOKUP(A1009,Internal_lists_bugs!$A$2:$P1013,16,FALSE())),"please select a BUG ID")</f>
        <v>please select a BUG ID</v>
      </c>
    </row>
    <row r="1010">
      <c r="A1010" s="54"/>
      <c r="B1010" s="88" t="str">
        <f>IFERROR(HYPERLINK(VLOOKUP(A1010,Internal_lists_bugs!$A$2:$C$73,3,FALSE()), VLOOKUP(A1010,Internal_lists_bugs!$A$2:$C$73,3,FALSE())&amp;Char(10) &amp; Char(10) &amp; VLOOKUP(A1010,Internal_lists_bugs!$A$2:$Z$73,26,FALSE())),"please select a BUG ID")</f>
        <v>please select a BUG ID</v>
      </c>
      <c r="C1010" s="89" t="str">
        <f>IFERROR(VLOOKUP(A1010,Internal_lists_bugs!$A$2:$X1013,24,FALSE()),"please select a BUG ID")</f>
        <v>please select a BUG ID</v>
      </c>
      <c r="E1010" s="82"/>
      <c r="F1010" s="80"/>
      <c r="H1010" s="82"/>
      <c r="I1010" s="80"/>
      <c r="J1010" s="51" t="str">
        <f>IFERROR(Hyperlink(VLOOKUP(A1010,Internal_lists_bugs!$A$2:$G1013,7,FALSE()),"BIC: "&amp;VLOOKUP(A1010,Internal_lists_bugs!$A$2:$G1013,7,FALSE())&amp;CHAR(10)&amp;"Intro.Issues: "&amp;VLOOKUP(A1010,Internal_lists_bugs!$A$2:$P1013,16,FALSE())),"please select a BUG ID")</f>
        <v>please select a BUG ID</v>
      </c>
    </row>
    <row r="1011">
      <c r="A1011" s="54"/>
      <c r="B1011" s="88" t="str">
        <f>IFERROR(HYPERLINK(VLOOKUP(A1011,Internal_lists_bugs!$A$2:$C$73,3,FALSE()), VLOOKUP(A1011,Internal_lists_bugs!$A$2:$C$73,3,FALSE())&amp;Char(10) &amp; Char(10) &amp; VLOOKUP(A1011,Internal_lists_bugs!$A$2:$Z$73,26,FALSE())),"please select a BUG ID")</f>
        <v>please select a BUG ID</v>
      </c>
      <c r="C1011" s="89" t="str">
        <f>IFERROR(VLOOKUP(A1011,Internal_lists_bugs!$A$2:$X1013,24,FALSE()),"please select a BUG ID")</f>
        <v>please select a BUG ID</v>
      </c>
      <c r="E1011" s="82"/>
      <c r="F1011" s="80"/>
      <c r="H1011" s="82"/>
      <c r="I1011" s="80"/>
      <c r="J1011" s="51" t="str">
        <f>IFERROR(Hyperlink(VLOOKUP(A1011,Internal_lists_bugs!$A$2:$G1013,7,FALSE()),"BIC: "&amp;VLOOKUP(A1011,Internal_lists_bugs!$A$2:$G1013,7,FALSE())&amp;CHAR(10)&amp;"Intro.Issues: "&amp;VLOOKUP(A1011,Internal_lists_bugs!$A$2:$P1013,16,FALSE())),"please select a BUG ID")</f>
        <v>please select a BUG ID</v>
      </c>
    </row>
    <row r="1012">
      <c r="A1012" s="26" t="s">
        <v>46</v>
      </c>
      <c r="B1012" s="77" t="str">
        <f>IFERROR(HYPERLINK(VLOOKUP(A1012,Internal_lists_bugs!$A$2:$C$73,3,FALSE()), VLOOKUP(A1012,Internal_lists_bugs!$A$2:$C$73,3,FALSE())&amp;Char(10) &amp; Char(10) &amp; VLOOKUP(A1012,Internal_lists_bugs!$A$2:$Z$73,26,FALSE())),"please select a BUG ID")</f>
        <v>https://bugs.launchpad.net/nova/+bug/1434855
/os-extended-volumes/v2.3/server-get-resp.json
/os-extended-volumes/v2.3/servers-detail-resp.json </v>
      </c>
      <c r="C1012" s="78" t="str">
        <f>IFERROR(VLOOKUP(A1012,Internal_lists_bugs!$A$2:$X1013,24,FALSE()),"please select a BUG ID")</f>
        <v>https://www.mail-archive.com/openstack-dev@lists.openstack.org/ </v>
      </c>
      <c r="E1012" s="82"/>
      <c r="F1012" s="14" t="s">
        <v>1101</v>
      </c>
      <c r="H1012" s="82"/>
      <c r="I1012" s="80"/>
      <c r="J1012" s="81" t="str">
        <f>IFERROR(Hyperlink(VLOOKUP(A1012,Internal_lists_bugs!$A$2:$G1013,7,FALSE()),"BIC: "&amp;VLOOKUP(A1012,Internal_lists_bugs!$A$2:$G1013,7,FALSE())&amp;CHAR(10)&amp;"Intro.Issues: "&amp;VLOOKUP(A1012,Internal_lists_bugs!$A$2:$P1013,16,FALSE())),"please select a BUG ID")</f>
        <v>BIC: https://opendev.org/openstack/nova/commit/abc656d
Intro.Issues: blueprint ec2-api</v>
      </c>
    </row>
    <row r="1013">
      <c r="A1013" s="26" t="s">
        <v>46</v>
      </c>
      <c r="B1013" s="77" t="str">
        <f>IFERROR(HYPERLINK(VLOOKUP(A1013,Internal_lists_bugs!$A$2:$C$73,3,FALSE()), VLOOKUP(A1013,Internal_lists_bugs!$A$2:$C$73,3,FALSE())&amp;Char(10) &amp; Char(10) &amp; VLOOKUP(A1013,Internal_lists_bugs!$A$2:$Z$73,26,FALSE())),"please select a BUG ID")</f>
        <v>https://bugs.launchpad.net/nova/+bug/1434855
/os-extended-volumes/v2.3/server-get-resp.json
/os-extended-volumes/v2.3/servers-detail-resp.json </v>
      </c>
      <c r="C1013" s="78" t="str">
        <f>IFERROR(VLOOKUP(A1013,Internal_lists_bugs!$A$2:$X1013,24,FALSE()),"please select a BUG ID")</f>
        <v>https://www.mail-archive.com/openstack-dev@lists.openstack.org/ </v>
      </c>
      <c r="D1013" s="16" t="s">
        <v>124</v>
      </c>
      <c r="E1013" s="82"/>
      <c r="F1013" s="14" t="s">
        <v>1102</v>
      </c>
      <c r="H1013" s="82"/>
      <c r="I1013" s="80"/>
      <c r="J1013" s="81" t="str">
        <f>IFERROR(Hyperlink(VLOOKUP(A1013,Internal_lists_bugs!$A$2:$G1013,7,FALSE()),"BIC: "&amp;VLOOKUP(A1013,Internal_lists_bugs!$A$2:$G1013,7,FALSE())&amp;CHAR(10)&amp;"Intro.Issues: "&amp;VLOOKUP(A1013,Internal_lists_bugs!$A$2:$P1013,16,FALSE())),"please select a BUG ID")</f>
        <v>BIC: https://opendev.org/openstack/nova/commit/abc656d
Intro.Issues: blueprint ec2-api</v>
      </c>
    </row>
  </sheetData>
  <mergeCells count="2">
    <mergeCell ref="E1:F1"/>
    <mergeCell ref="H1:I1"/>
  </mergeCells>
  <dataValidations>
    <dataValidation type="list" allowBlank="1" sqref="E3:E173 E175:E1013">
      <formula1>Internal_lists_variables!$E$2:$E1013</formula1>
    </dataValidation>
    <dataValidation type="list" allowBlank="1" sqref="H3:H44 E174 H46:H1013">
      <formula1>Internal_lists_variables!$F$2:$F1013</formula1>
    </dataValidation>
    <dataValidation type="list" allowBlank="1" showInputMessage="1" prompt="Project BugID" sqref="A3:A10">
      <formula1>Internal_lists_bugs!$A$2:$A1013</formula1>
    </dataValidation>
    <dataValidation type="list" allowBlank="1" showInputMessage="1" showErrorMessage="1" prompt="Project BugID" sqref="A11:A1013">
      <formula1>Internal_lists_bugs!$A$2:$A1013</formula1>
    </dataValidation>
  </dataValidations>
  <hyperlinks>
    <hyperlink r:id="rId2" ref="A1"/>
    <hyperlink r:id="rId3" location="gid=405816964" ref="B1"/>
    <hyperlink r:id="rId4" ref="F115"/>
    <hyperlink r:id="rId5" location="/c/162113/" ref="I156"/>
    <hyperlink r:id="rId6" location="/c/151665" ref="I164"/>
    <hyperlink r:id="rId7" location="/c/198385/" ref="F174"/>
    <hyperlink r:id="rId8" location="/c/173362/" ref="F175"/>
    <hyperlink r:id="rId9" ref="I214"/>
    <hyperlink r:id="rId10" location="/c/147882/" ref="I215"/>
    <hyperlink r:id="rId11" location="/c/147882" ref="I278"/>
    <hyperlink r:id="rId12" ref="I279"/>
    <hyperlink r:id="rId13" ref="I280"/>
    <hyperlink r:id="rId14" ref="I281"/>
    <hyperlink r:id="rId15" ref="F1012"/>
    <hyperlink r:id="rId16" ref="F1013"/>
  </hyperlinks>
  <drawing r:id="rId17"/>
  <legacyDrawing r:id="rId18"/>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2.63" defaultRowHeight="15.75" outlineLevelCol="1"/>
  <cols>
    <col customWidth="1" min="1" max="1" width="24.63"/>
    <col customWidth="1" min="2" max="2" width="39.25"/>
    <col customWidth="1" min="3" max="3" width="46.88"/>
    <col customWidth="1" min="4" max="4" width="20.25" outlineLevel="1"/>
    <col customWidth="1" min="5" max="5" width="22.25" outlineLevel="1"/>
    <col customWidth="1" min="6" max="7" width="19.63" outlineLevel="1"/>
    <col customWidth="1" min="8" max="8" width="33.5"/>
    <col customWidth="1" min="9" max="9" width="46.88"/>
  </cols>
  <sheetData>
    <row r="1">
      <c r="A1" s="32" t="s">
        <v>103</v>
      </c>
      <c r="B1" s="32" t="s">
        <v>104</v>
      </c>
      <c r="C1" s="33" t="s">
        <v>105</v>
      </c>
      <c r="D1" s="34" t="s">
        <v>1103</v>
      </c>
      <c r="E1" s="34" t="s">
        <v>1104</v>
      </c>
      <c r="F1" s="73" t="s">
        <v>1105</v>
      </c>
      <c r="G1" s="36"/>
      <c r="H1" s="37" t="s">
        <v>1106</v>
      </c>
      <c r="I1" s="33" t="s">
        <v>1107</v>
      </c>
      <c r="J1" s="16"/>
      <c r="K1" s="16"/>
    </row>
    <row r="2">
      <c r="A2" s="39" t="s">
        <v>111</v>
      </c>
      <c r="B2" s="90" t="s">
        <v>1108</v>
      </c>
      <c r="C2" s="41" t="s">
        <v>1109</v>
      </c>
      <c r="D2" s="42" t="s">
        <v>1110</v>
      </c>
      <c r="E2" s="42" t="s">
        <v>1111</v>
      </c>
      <c r="F2" s="43" t="s">
        <v>114</v>
      </c>
      <c r="G2" s="44" t="s">
        <v>115</v>
      </c>
      <c r="H2" s="42" t="s">
        <v>114</v>
      </c>
      <c r="I2" s="91" t="s">
        <v>1112</v>
      </c>
      <c r="J2" s="48"/>
      <c r="K2" s="48"/>
    </row>
    <row r="3" ht="108.75" customHeight="1">
      <c r="A3" s="16" t="s">
        <v>32</v>
      </c>
      <c r="B3" s="50" t="str">
        <f>IFERROR(HYPERLINK(VLOOKUP(A3,Internal_lists_bugs!$A$2:$C$73,3,FALSE()), VLOOKUP(A3,Internal_lists_bugs!$A$2:$C$73,3,FALSE())&amp;Char(10) &amp; Char(10) &amp; VLOOKUP(A3,Internal_lists_bugs!$A$2:$Z$73,26,FALSE())),"please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 s="51" t="str">
        <f>IFERROR(VLOOKUP(A3,Internal_lists_bugs!$A$2:$T1058,20,FALSE()),"please select a BUG ID")</f>
        <v>None identified</v>
      </c>
      <c r="D3" s="16" t="s">
        <v>124</v>
      </c>
      <c r="E3" s="54"/>
      <c r="F3" s="82"/>
      <c r="G3" s="92"/>
      <c r="H3" s="16" t="s">
        <v>1113</v>
      </c>
      <c r="I3" s="81" t="str">
        <f>IFERROR(VLOOKUP(A3,Internal_lists_bugs!$A$2:$G1058,7,FALSE()),"please select a BUG ID")</f>
        <v>https://opendev.org/openstack/nova/commit/e7aa4022374fb35d2131a7c633212c5d6302db3d</v>
      </c>
    </row>
    <row r="4">
      <c r="A4" s="16" t="s">
        <v>33</v>
      </c>
      <c r="B4" s="50" t="str">
        <f>IFERROR(HYPERLINK(VLOOKUP(A4,Internal_lists_bugs!$A$2:$C$73,3,FALSE()), VLOOKUP(A4,Internal_lists_bugs!$A$2:$C$73,3,FALSE())&amp;Char(10) &amp; Char(10) &amp; VLOOKUP(A4,Internal_lists_bugs!$A$2:$Z$73,26,FALSE())),"please select a BUG ID")</f>
        <v>https://bugs.launchpad.net/nova/+bug/1367363
/libvirt/driver.py</v>
      </c>
      <c r="C4" s="51" t="str">
        <f>IFERROR(VLOOKUP(A4,Internal_lists_bugs!$A$2:$T1058,20,FALSE()),"please select a BUG ID")</f>
        <v>None identified</v>
      </c>
      <c r="D4" s="16" t="s">
        <v>124</v>
      </c>
      <c r="E4" s="54"/>
      <c r="F4" s="79"/>
      <c r="G4" s="92"/>
      <c r="H4" s="16" t="s">
        <v>1114</v>
      </c>
      <c r="I4" s="81" t="str">
        <f>IFERROR(VLOOKUP(A4,Internal_lists_bugs!$A$2:$G1058,7,FALSE()),"please select a BUG ID")</f>
        <v>https://opendev.org/openstack/nova/commit/0fcbb7b</v>
      </c>
    </row>
    <row r="5">
      <c r="A5" s="16" t="s">
        <v>34</v>
      </c>
      <c r="B5" s="50" t="str">
        <f>IFERROR(HYPERLINK(VLOOKUP(A5,Internal_lists_bugs!$A$2:$C$73,3,FALSE()), VLOOKUP(A5,Internal_lists_bugs!$A$2:$C$73,3,FALSE())&amp;Char(10) &amp; Char(10) &amp; VLOOKUP(A5,Internal_lists_bugs!$A$2:$Z$73,26,FALSE())),"please select a BUG ID")</f>
        <v>https://bugs.launchpad.net/nova/+bug/1438331
/libvirt/rbd_utils.py</v>
      </c>
      <c r="C5" s="51" t="str">
        <f>IFERROR(VLOOKUP(A5,Internal_lists_bugs!$A$2:$T1058,20,FALSE()),"please select a BUG ID")</f>
        <v>None identified</v>
      </c>
      <c r="D5" s="16" t="s">
        <v>124</v>
      </c>
      <c r="E5" s="54"/>
      <c r="F5" s="79"/>
      <c r="G5" s="92"/>
      <c r="H5" s="16" t="s">
        <v>1115</v>
      </c>
      <c r="I5" s="81" t="str">
        <f>IFERROR(VLOOKUP(A5,Internal_lists_bugs!$A$2:$G1058,7,FALSE()),"please select a BUG ID")</f>
        <v>https://opendev.org/openstack/nova/commit/13e2bd0</v>
      </c>
      <c r="J5" s="14" t="s">
        <v>1116</v>
      </c>
    </row>
    <row r="6">
      <c r="A6" s="16" t="s">
        <v>35</v>
      </c>
      <c r="B6" s="50" t="str">
        <f>IFERROR(HYPERLINK(VLOOKUP(A6,Internal_lists_bugs!$A$2:$C$73,3,FALSE()), VLOOKUP(A6,Internal_lists_bugs!$A$2:$C$73,3,FALSE())&amp;Char(10) &amp; Char(10) &amp; VLOOKUP(A6,Internal_lists_bugs!$A$2:$Z$73,26,FALSE())),"please select a BUG ID")</f>
        <v>https://bugs.launchpad.net/nova/+bug/1375379
/console/websocketproxy.py</v>
      </c>
      <c r="C6" s="51" t="str">
        <f>IFERROR(VLOOKUP(A6,Internal_lists_bugs!$A$2:$T1058,20,FALSE()),"please select a BUG ID")</f>
        <v>None identified</v>
      </c>
      <c r="D6" s="16" t="s">
        <v>124</v>
      </c>
      <c r="E6" s="54"/>
      <c r="F6" s="79"/>
      <c r="G6" s="92"/>
      <c r="H6" s="16" t="s">
        <v>1114</v>
      </c>
      <c r="I6" s="81" t="str">
        <f>IFERROR(VLOOKUP(A6,Internal_lists_bugs!$A$2:$G1058,7,FALSE()),"please select a BUG ID")</f>
        <v>https://opendev.org/openstack/nova/commit/e71e8c2</v>
      </c>
    </row>
    <row r="7">
      <c r="A7" s="16" t="s">
        <v>36</v>
      </c>
      <c r="B7" s="50" t="str">
        <f>IFERROR(HYPERLINK(VLOOKUP(A7,Internal_lists_bugs!$A$2:$C$73,3,FALSE()), VLOOKUP(A7,Internal_lists_bugs!$A$2:$C$73,3,FALSE())&amp;Char(10) &amp; Char(10) &amp; VLOOKUP(A7,Internal_lists_bugs!$A$2:$Z$73,26,FALSE())),"please select a BUG ID")</f>
        <v>https://bugs.launchpad.net/nova/+bug/1486541
/compute/cells_api.py</v>
      </c>
      <c r="C7" s="51" t="str">
        <f>IFERROR(VLOOKUP(A7,Internal_lists_bugs!$A$2:$T1058,20,FALSE()),"please select a BUG ID")</f>
        <v>None identified</v>
      </c>
      <c r="D7" s="16" t="s">
        <v>124</v>
      </c>
      <c r="E7" s="54"/>
      <c r="F7" s="79"/>
      <c r="G7" s="92"/>
      <c r="H7" s="16" t="s">
        <v>123</v>
      </c>
      <c r="I7" s="81" t="str">
        <f>IFERROR(VLOOKUP(A7,Internal_lists_bugs!$A$2:$G1058,7,FALSE()),"please select a BUG ID")</f>
        <v>https://opendev.org/openstack/nova/commit/f5071bd1ac00ed68102d37c8025</v>
      </c>
    </row>
    <row r="8">
      <c r="A8" s="16" t="s">
        <v>49</v>
      </c>
      <c r="B8" s="50" t="str">
        <f>IFERROR(HYPERLINK(VLOOKUP(A8,Internal_lists_bugs!$A$2:$C$73,3,FALSE()), VLOOKUP(A8,Internal_lists_bugs!$A$2:$C$73,3,FALSE())&amp;Char(10) &amp; Char(10) &amp; VLOOKUP(A8,Internal_lists_bugs!$A$2:$Z$73,26,FALSE())),"please select a BUG ID")</f>
        <v>https://bugs.launchpad.net/nova/+bug/1370177
nova/block_device.py</v>
      </c>
      <c r="C8" s="51" t="str">
        <f>IFERROR(VLOOKUP(A8,Internal_lists_bugs!$A$2:$T1058,20,FALSE()),"please select a BUG ID")</f>
        <v>None identified</v>
      </c>
      <c r="D8" s="16" t="s">
        <v>124</v>
      </c>
      <c r="E8" s="54"/>
      <c r="F8" s="79"/>
      <c r="G8" s="92"/>
      <c r="H8" s="16" t="s">
        <v>1114</v>
      </c>
      <c r="I8" s="81" t="str">
        <f>IFERROR(VLOOKUP(A8,Internal_lists_bugs!$A$2:$G1058,7,FALSE()),"please select a BUG ID")</f>
        <v>https://opendev.org/openstack/nova/commit/33e3d4c6b9</v>
      </c>
      <c r="J8" s="66"/>
    </row>
    <row r="9">
      <c r="A9" s="16" t="s">
        <v>37</v>
      </c>
      <c r="B9" s="50" t="str">
        <f>IFERROR(HYPERLINK(VLOOKUP(A9,Internal_lists_bugs!$A$2:$C$73,3,FALSE()), VLOOKUP(A9,Internal_lists_bugs!$A$2:$C$73,3,FALSE())&amp;Char(10) &amp; Char(10) &amp; VLOOKUP(A9,Internal_lists_bugs!$A$2:$Z$73,26,FALSE())),"please select a BUG ID")</f>
        <v>https://bugs.launchpad.net/nova/+bug/1314677
/cells/state.py</v>
      </c>
      <c r="C9" s="51" t="str">
        <f>IFERROR(VLOOKUP(A9,Internal_lists_bugs!$A$2:$T1058,20,FALSE()),"please select a BUG ID")</f>
        <v>None identified, the attached patch is ignored</v>
      </c>
      <c r="D9" s="14" t="s">
        <v>1117</v>
      </c>
      <c r="E9" s="16" t="s">
        <v>1118</v>
      </c>
      <c r="F9" s="79" t="s">
        <v>1119</v>
      </c>
      <c r="G9" s="93" t="s">
        <v>1120</v>
      </c>
      <c r="H9" s="16" t="s">
        <v>1114</v>
      </c>
      <c r="I9" s="81" t="str">
        <f>IFERROR(VLOOKUP(A9,Internal_lists_bugs!$A$2:$G1058,7,FALSE()),"please select a BUG ID")</f>
        <v>https://opendev.org/openstack/nova/commit/88ab936</v>
      </c>
      <c r="J9" s="66"/>
    </row>
    <row r="10">
      <c r="A10" s="16" t="s">
        <v>37</v>
      </c>
      <c r="B10" s="50" t="str">
        <f>IFERROR(HYPERLINK(VLOOKUP(A10,Internal_lists_bugs!$A$2:$C$73,3,FALSE()), VLOOKUP(A10,Internal_lists_bugs!$A$2:$C$73,3,FALSE())&amp;Char(10) &amp; Char(10) &amp; VLOOKUP(A10,Internal_lists_bugs!$A$2:$Z$73,26,FALSE())),"please select a BUG ID")</f>
        <v>https://bugs.launchpad.net/nova/+bug/1314677
/cells/state.py</v>
      </c>
      <c r="C10" s="51" t="str">
        <f>IFERROR(VLOOKUP(A10,Internal_lists_bugs!$A$2:$T1058,20,FALSE()),"please select a BUG ID")</f>
        <v>None identified, the attached patch is ignored</v>
      </c>
      <c r="D10" s="14" t="s">
        <v>1117</v>
      </c>
      <c r="E10" s="54"/>
      <c r="F10" s="79" t="s">
        <v>1121</v>
      </c>
      <c r="G10" s="93" t="s">
        <v>1122</v>
      </c>
      <c r="H10" s="54"/>
      <c r="I10" s="81" t="str">
        <f>IFERROR(VLOOKUP(A10,Internal_lists_bugs!$A$2:$G1058,7,FALSE()),"please select a BUG ID")</f>
        <v>https://opendev.org/openstack/nova/commit/88ab936</v>
      </c>
    </row>
    <row r="11">
      <c r="A11" s="16" t="s">
        <v>37</v>
      </c>
      <c r="B11" s="50" t="str">
        <f>IFERROR(HYPERLINK(VLOOKUP(A11,Internal_lists_bugs!$A$2:$C$73,3,FALSE()), VLOOKUP(A11,Internal_lists_bugs!$A$2:$C$73,3,FALSE())&amp;Char(10) &amp; Char(10) &amp; VLOOKUP(A11,Internal_lists_bugs!$A$2:$Z$73,26,FALSE())),"please select a BUG ID")</f>
        <v>https://bugs.launchpad.net/nova/+bug/1314677
/cells/state.py</v>
      </c>
      <c r="C11" s="51" t="str">
        <f>IFERROR(VLOOKUP(A11,Internal_lists_bugs!$A$2:$T1058,20,FALSE()),"please select a BUG ID")</f>
        <v>None identified, the attached patch is ignored</v>
      </c>
      <c r="D11" s="14" t="s">
        <v>1117</v>
      </c>
      <c r="E11" s="54"/>
      <c r="F11" s="79" t="s">
        <v>1123</v>
      </c>
      <c r="G11" s="93" t="s">
        <v>1124</v>
      </c>
      <c r="H11" s="54"/>
      <c r="I11" s="81" t="str">
        <f>IFERROR(VLOOKUP(A11,Internal_lists_bugs!$A$2:$G1058,7,FALSE()),"please select a BUG ID")</f>
        <v>https://opendev.org/openstack/nova/commit/88ab936</v>
      </c>
    </row>
    <row r="12">
      <c r="A12" s="16" t="s">
        <v>37</v>
      </c>
      <c r="B12" s="50" t="str">
        <f>IFERROR(HYPERLINK(VLOOKUP(A12,Internal_lists_bugs!$A$2:$C$73,3,FALSE()), VLOOKUP(A12,Internal_lists_bugs!$A$2:$C$73,3,FALSE())&amp;Char(10) &amp; Char(10) &amp; VLOOKUP(A12,Internal_lists_bugs!$A$2:$Z$73,26,FALSE())),"please select a BUG ID")</f>
        <v>https://bugs.launchpad.net/nova/+bug/1314677
/cells/state.py</v>
      </c>
      <c r="C12" s="51" t="str">
        <f>IFERROR(VLOOKUP(A12,Internal_lists_bugs!$A$2:$T1058,20,FALSE()),"please select a BUG ID")</f>
        <v>None identified, the attached patch is ignored</v>
      </c>
      <c r="D12" s="14" t="s">
        <v>1117</v>
      </c>
      <c r="E12" s="54"/>
      <c r="F12" s="79" t="s">
        <v>1125</v>
      </c>
      <c r="G12" s="93" t="s">
        <v>1126</v>
      </c>
      <c r="H12" s="54"/>
      <c r="I12" s="81" t="str">
        <f>IFERROR(VLOOKUP(A12,Internal_lists_bugs!$A$2:$G1058,7,FALSE()),"please select a BUG ID")</f>
        <v>https://opendev.org/openstack/nova/commit/88ab936</v>
      </c>
    </row>
    <row r="13">
      <c r="A13" s="16" t="s">
        <v>37</v>
      </c>
      <c r="B13" s="50" t="str">
        <f>IFERROR(HYPERLINK(VLOOKUP(A13,Internal_lists_bugs!$A$2:$C$73,3,FALSE()), VLOOKUP(A13,Internal_lists_bugs!$A$2:$C$73,3,FALSE())&amp;Char(10) &amp; Char(10) &amp; VLOOKUP(A13,Internal_lists_bugs!$A$2:$Z$73,26,FALSE())),"please select a BUG ID")</f>
        <v>https://bugs.launchpad.net/nova/+bug/1314677
/cells/state.py</v>
      </c>
      <c r="C13" s="51" t="str">
        <f>IFERROR(VLOOKUP(A13,Internal_lists_bugs!$A$2:$T1058,20,FALSE()),"please select a BUG ID")</f>
        <v>None identified, the attached patch is ignored</v>
      </c>
      <c r="D13" s="14" t="s">
        <v>1117</v>
      </c>
      <c r="E13" s="54"/>
      <c r="F13" s="79" t="s">
        <v>1127</v>
      </c>
      <c r="G13" s="93" t="s">
        <v>1128</v>
      </c>
      <c r="H13" s="54"/>
      <c r="I13" s="81" t="str">
        <f>IFERROR(VLOOKUP(A13,Internal_lists_bugs!$A$2:$G1058,7,FALSE()),"please select a BUG ID")</f>
        <v>https://opendev.org/openstack/nova/commit/88ab936</v>
      </c>
    </row>
    <row r="14">
      <c r="A14" s="16" t="s">
        <v>37</v>
      </c>
      <c r="B14" s="50" t="str">
        <f>IFERROR(HYPERLINK(VLOOKUP(A14,Internal_lists_bugs!$A$2:$C$73,3,FALSE()), VLOOKUP(A14,Internal_lists_bugs!$A$2:$C$73,3,FALSE())&amp;Char(10) &amp; Char(10) &amp; VLOOKUP(A14,Internal_lists_bugs!$A$2:$Z$73,26,FALSE())),"please select a BUG ID")</f>
        <v>https://bugs.launchpad.net/nova/+bug/1314677
/cells/state.py</v>
      </c>
      <c r="C14" s="51" t="str">
        <f>IFERROR(VLOOKUP(A14,Internal_lists_bugs!$A$2:$T1058,20,FALSE()),"please select a BUG ID")</f>
        <v>None identified, the attached patch is ignored</v>
      </c>
      <c r="D14" s="14" t="s">
        <v>1117</v>
      </c>
      <c r="E14" s="54"/>
      <c r="F14" s="79" t="s">
        <v>1129</v>
      </c>
      <c r="G14" s="93" t="s">
        <v>1130</v>
      </c>
      <c r="H14" s="54"/>
      <c r="I14" s="81" t="str">
        <f>IFERROR(VLOOKUP(A14,Internal_lists_bugs!$A$2:$G1058,7,FALSE()),"please select a BUG ID")</f>
        <v>https://opendev.org/openstack/nova/commit/88ab936</v>
      </c>
    </row>
    <row r="15">
      <c r="A15" s="16" t="s">
        <v>37</v>
      </c>
      <c r="B15" s="50" t="str">
        <f>IFERROR(HYPERLINK(VLOOKUP(A15,Internal_lists_bugs!$A$2:$C$73,3,FALSE()), VLOOKUP(A15,Internal_lists_bugs!$A$2:$C$73,3,FALSE())&amp;Char(10) &amp; Char(10) &amp; VLOOKUP(A15,Internal_lists_bugs!$A$2:$Z$73,26,FALSE())),"please select a BUG ID")</f>
        <v>https://bugs.launchpad.net/nova/+bug/1314677
/cells/state.py</v>
      </c>
      <c r="C15" s="51" t="str">
        <f>IFERROR(VLOOKUP(A15,Internal_lists_bugs!$A$2:$T1058,20,FALSE()),"please select a BUG ID")</f>
        <v>None identified, the attached patch is ignored</v>
      </c>
      <c r="D15" s="14" t="s">
        <v>1117</v>
      </c>
      <c r="E15" s="54"/>
      <c r="F15" s="79" t="s">
        <v>1131</v>
      </c>
      <c r="G15" s="93" t="s">
        <v>1132</v>
      </c>
      <c r="H15" s="54"/>
      <c r="I15" s="81" t="str">
        <f>IFERROR(VLOOKUP(A15,Internal_lists_bugs!$A$2:$G1058,7,FALSE()),"please select a BUG ID")</f>
        <v>https://opendev.org/openstack/nova/commit/88ab936</v>
      </c>
    </row>
    <row r="16">
      <c r="A16" s="16" t="s">
        <v>38</v>
      </c>
      <c r="B16" s="50" t="str">
        <f>IFERROR(HYPERLINK(VLOOKUP(A16,Internal_lists_bugs!$A$2:$C$73,3,FALSE()), VLOOKUP(A16,Internal_lists_bugs!$A$2:$C$73,3,FALSE())&amp;Char(10) &amp; Char(10) &amp; VLOOKUP(A16,Internal_lists_bugs!$A$2:$Z$73,26,FALSE())),"please select a BUG ID")</f>
        <v>https://bugs.launchpad.net/nova/+bug/1294939
/network/manager.py</v>
      </c>
      <c r="C16" s="51" t="str">
        <f>IFERROR(VLOOKUP(A16,Internal_lists_bugs!$A$2:$T1058,20,FALSE()),"please select a BUG ID")</f>
        <v>None identified. However, double check yourself</v>
      </c>
      <c r="D16" s="16" t="s">
        <v>124</v>
      </c>
      <c r="E16" s="54"/>
      <c r="F16" s="82"/>
      <c r="G16" s="92"/>
      <c r="H16" s="16" t="s">
        <v>1114</v>
      </c>
      <c r="I16" s="81" t="str">
        <f>IFERROR(VLOOKUP(A16,Internal_lists_bugs!$A$2:$G1058,7,FALSE()),"please select a BUG ID")</f>
        <v>https://opendev.org/openstack/nova/commit/542958fac7445a14dea</v>
      </c>
    </row>
    <row r="17">
      <c r="A17" s="16" t="s">
        <v>39</v>
      </c>
      <c r="B17" s="50" t="str">
        <f>IFERROR(HYPERLINK(VLOOKUP(A17,Internal_lists_bugs!$A$2:$C$73,3,FALSE()), VLOOKUP(A17,Internal_lists_bugs!$A$2:$C$73,3,FALSE())&amp;Char(10) &amp; Char(10) &amp; VLOOKUP(A17,Internal_lists_bugs!$A$2:$Z$73,26,FALSE())),"please select a BUG ID")</f>
        <v>https://bugs.launchpad.net/nova/+bug/1443697
/vmwareapi/vmops.py</v>
      </c>
      <c r="C17" s="51" t="str">
        <f>IFERROR(VLOOKUP(A17,Internal_lists_bugs!$A$2:$T1058,20,FALSE()),"please select a BUG ID")</f>
        <v>None identified</v>
      </c>
      <c r="D17" s="16" t="s">
        <v>124</v>
      </c>
      <c r="E17" s="54"/>
      <c r="F17" s="82"/>
      <c r="G17" s="92"/>
      <c r="H17" s="16" t="s">
        <v>1114</v>
      </c>
      <c r="I17" s="81" t="str">
        <f>IFERROR(VLOOKUP(A17,Internal_lists_bugs!$A$2:$G1058,7,FALSE()),"please select a BUG ID")</f>
        <v>https://opendev.org/openstack/nova/commit/f3f1a53f</v>
      </c>
    </row>
    <row r="18">
      <c r="A18" s="16" t="s">
        <v>40</v>
      </c>
      <c r="B18" s="50" t="str">
        <f>IFERROR(HYPERLINK(VLOOKUP(A18,Internal_lists_bugs!$A$2:$C$73,3,FALSE()), VLOOKUP(A18,Internal_lists_bugs!$A$2:$C$73,3,FALSE())&amp;Char(10) &amp; Char(10) &amp; VLOOKUP(A18,Internal_lists_bugs!$A$2:$Z$73,26,FALSE())),"please select a BUG ID")</f>
        <v>https://bugs.launchpad.net/nova/+bug/1300788
/vmwareapi/vmops.py</v>
      </c>
      <c r="C18" s="51" t="str">
        <f>IFERROR(VLOOKUP(A18,Internal_lists_bugs!$A$2:$T1058,20,FALSE()),"please select a BUG ID")</f>
        <v>None identified. However, double check yourself</v>
      </c>
      <c r="D18" s="16" t="s">
        <v>124</v>
      </c>
      <c r="E18" s="54"/>
      <c r="F18" s="82"/>
      <c r="G18" s="92"/>
      <c r="H18" s="16" t="s">
        <v>1114</v>
      </c>
      <c r="I18" s="81" t="str">
        <f>IFERROR(VLOOKUP(A18,Internal_lists_bugs!$A$2:$G1058,7,FALSE()),"please select a BUG ID")</f>
        <v>https://opendev.org/openstack/nova/commit/e517e5668ab</v>
      </c>
    </row>
    <row r="19">
      <c r="A19" s="16" t="s">
        <v>41</v>
      </c>
      <c r="B19" s="50" t="str">
        <f>IFERROR(HYPERLINK(VLOOKUP(A19,Internal_lists_bugs!$A$2:$C$73,3,FALSE()), VLOOKUP(A19,Internal_lists_bugs!$A$2:$C$73,3,FALSE())&amp;Char(10) &amp; Char(10) &amp; VLOOKUP(A19,Internal_lists_bugs!$A$2:$Z$73,26,FALSE())),"please select a BUG ID")</f>
        <v>https://bugs.launchpad.net/nova/+bug/1466390
/sqlalchemy/api.py</v>
      </c>
      <c r="C19" s="51" t="str">
        <f>IFERROR(VLOOKUP(A19,Internal_lists_bugs!$A$2:$T1058,20,FALSE()),"please select a BUG ID")</f>
        <v>None identified</v>
      </c>
      <c r="D19" s="14" t="s">
        <v>1133</v>
      </c>
      <c r="E19" s="16" t="s">
        <v>1118</v>
      </c>
      <c r="F19" s="79" t="s">
        <v>1134</v>
      </c>
      <c r="G19" s="93" t="s">
        <v>1135</v>
      </c>
      <c r="H19" s="16" t="s">
        <v>1114</v>
      </c>
      <c r="I19" s="81" t="str">
        <f>IFERROR(VLOOKUP(A19,Internal_lists_bugs!$A$2:$G1058,7,FALSE()),"please select a BUG ID")</f>
        <v>https://opendev.org/openstack/nova/commit/501ff41</v>
      </c>
    </row>
    <row r="20">
      <c r="A20" s="16" t="s">
        <v>41</v>
      </c>
      <c r="B20" s="50" t="str">
        <f>IFERROR(HYPERLINK(VLOOKUP(A20,Internal_lists_bugs!$A$2:$C$73,3,FALSE()), VLOOKUP(A20,Internal_lists_bugs!$A$2:$C$73,3,FALSE())&amp;Char(10) &amp; Char(10) &amp; VLOOKUP(A20,Internal_lists_bugs!$A$2:$Z$73,26,FALSE())),"please select a BUG ID")</f>
        <v>https://bugs.launchpad.net/nova/+bug/1466390
/sqlalchemy/api.py</v>
      </c>
      <c r="C20" s="51" t="str">
        <f>IFERROR(VLOOKUP(A20,Internal_lists_bugs!$A$2:$T1058,20,FALSE()),"please select a BUG ID")</f>
        <v>None identified</v>
      </c>
      <c r="D20" s="63" t="s">
        <v>1133</v>
      </c>
      <c r="E20" s="54"/>
      <c r="F20" s="79" t="s">
        <v>1136</v>
      </c>
      <c r="G20" s="93" t="s">
        <v>1137</v>
      </c>
      <c r="H20" s="54"/>
      <c r="I20" s="81" t="str">
        <f>IFERROR(VLOOKUP(A20,Internal_lists_bugs!$A$2:$G1058,7,FALSE()),"please select a BUG ID")</f>
        <v>https://opendev.org/openstack/nova/commit/501ff41</v>
      </c>
    </row>
    <row r="21">
      <c r="A21" s="16" t="s">
        <v>41</v>
      </c>
      <c r="B21" s="50" t="str">
        <f>IFERROR(HYPERLINK(VLOOKUP(A21,Internal_lists_bugs!$A$2:$C$73,3,FALSE()), VLOOKUP(A21,Internal_lists_bugs!$A$2:$C$73,3,FALSE())&amp;Char(10) &amp; Char(10) &amp; VLOOKUP(A21,Internal_lists_bugs!$A$2:$Z$73,26,FALSE())),"please select a BUG ID")</f>
        <v>https://bugs.launchpad.net/nova/+bug/1466390
/sqlalchemy/api.py</v>
      </c>
      <c r="C21" s="51" t="str">
        <f>IFERROR(VLOOKUP(A21,Internal_lists_bugs!$A$2:$T1058,20,FALSE()),"please select a BUG ID")</f>
        <v>None identified</v>
      </c>
      <c r="D21" s="63" t="s">
        <v>1133</v>
      </c>
      <c r="E21" s="54"/>
      <c r="F21" s="79" t="s">
        <v>1138</v>
      </c>
      <c r="G21" s="93" t="s">
        <v>1139</v>
      </c>
      <c r="H21" s="54"/>
      <c r="I21" s="81" t="str">
        <f>IFERROR(VLOOKUP(A21,Internal_lists_bugs!$A$2:$G1058,7,FALSE()),"please select a BUG ID")</f>
        <v>https://opendev.org/openstack/nova/commit/501ff41</v>
      </c>
    </row>
    <row r="22">
      <c r="A22" s="16" t="s">
        <v>41</v>
      </c>
      <c r="B22" s="50" t="str">
        <f>IFERROR(HYPERLINK(VLOOKUP(A22,Internal_lists_bugs!$A$2:$C$73,3,FALSE()), VLOOKUP(A22,Internal_lists_bugs!$A$2:$C$73,3,FALSE())&amp;Char(10) &amp; Char(10) &amp; VLOOKUP(A22,Internal_lists_bugs!$A$2:$Z$73,26,FALSE())),"please select a BUG ID")</f>
        <v>https://bugs.launchpad.net/nova/+bug/1466390
/sqlalchemy/api.py</v>
      </c>
      <c r="C22" s="51" t="str">
        <f>IFERROR(VLOOKUP(A22,Internal_lists_bugs!$A$2:$T1058,20,FALSE()),"please select a BUG ID")</f>
        <v>None identified</v>
      </c>
      <c r="D22" s="63" t="s">
        <v>1133</v>
      </c>
      <c r="E22" s="54"/>
      <c r="F22" s="79" t="s">
        <v>1140</v>
      </c>
      <c r="G22" s="93" t="s">
        <v>1141</v>
      </c>
      <c r="H22" s="54"/>
      <c r="I22" s="81" t="str">
        <f>IFERROR(VLOOKUP(A22,Internal_lists_bugs!$A$2:$G1058,7,FALSE()),"please select a BUG ID")</f>
        <v>https://opendev.org/openstack/nova/commit/501ff41</v>
      </c>
    </row>
    <row r="23">
      <c r="A23" s="16" t="s">
        <v>41</v>
      </c>
      <c r="B23" s="50" t="str">
        <f>IFERROR(HYPERLINK(VLOOKUP(A23,Internal_lists_bugs!$A$2:$C$73,3,FALSE()), VLOOKUP(A23,Internal_lists_bugs!$A$2:$C$73,3,FALSE())&amp;Char(10) &amp; Char(10) &amp; VLOOKUP(A23,Internal_lists_bugs!$A$2:$Z$73,26,FALSE())),"please select a BUG ID")</f>
        <v>https://bugs.launchpad.net/nova/+bug/1466390
/sqlalchemy/api.py</v>
      </c>
      <c r="C23" s="51" t="str">
        <f>IFERROR(VLOOKUP(A23,Internal_lists_bugs!$A$2:$T1058,20,FALSE()),"please select a BUG ID")</f>
        <v>None identified</v>
      </c>
      <c r="D23" s="63" t="s">
        <v>1133</v>
      </c>
      <c r="E23" s="54"/>
      <c r="F23" s="79" t="s">
        <v>1142</v>
      </c>
      <c r="G23" s="93" t="s">
        <v>1143</v>
      </c>
      <c r="H23" s="54"/>
      <c r="I23" s="81" t="str">
        <f>IFERROR(VLOOKUP(A23,Internal_lists_bugs!$A$2:$G1058,7,FALSE()),"please select a BUG ID")</f>
        <v>https://opendev.org/openstack/nova/commit/501ff41</v>
      </c>
    </row>
    <row r="24">
      <c r="A24" s="16" t="s">
        <v>41</v>
      </c>
      <c r="B24" s="50" t="str">
        <f>IFERROR(HYPERLINK(VLOOKUP(A24,Internal_lists_bugs!$A$2:$C$73,3,FALSE()), VLOOKUP(A24,Internal_lists_bugs!$A$2:$C$73,3,FALSE())&amp;Char(10) &amp; Char(10) &amp; VLOOKUP(A24,Internal_lists_bugs!$A$2:$Z$73,26,FALSE())),"please select a BUG ID")</f>
        <v>https://bugs.launchpad.net/nova/+bug/1466390
/sqlalchemy/api.py</v>
      </c>
      <c r="C24" s="51" t="str">
        <f>IFERROR(VLOOKUP(A24,Internal_lists_bugs!$A$2:$T1058,20,FALSE()),"please select a BUG ID")</f>
        <v>None identified</v>
      </c>
      <c r="D24" s="63" t="s">
        <v>1133</v>
      </c>
      <c r="E24" s="54"/>
      <c r="F24" s="79" t="s">
        <v>1144</v>
      </c>
      <c r="G24" s="93" t="s">
        <v>1145</v>
      </c>
      <c r="H24" s="54"/>
      <c r="I24" s="81" t="str">
        <f>IFERROR(VLOOKUP(A24,Internal_lists_bugs!$A$2:$G1058,7,FALSE()),"please select a BUG ID")</f>
        <v>https://opendev.org/openstack/nova/commit/501ff41</v>
      </c>
    </row>
    <row r="25">
      <c r="A25" s="16" t="s">
        <v>41</v>
      </c>
      <c r="B25" s="50" t="str">
        <f>IFERROR(HYPERLINK(VLOOKUP(A25,Internal_lists_bugs!$A$2:$C$73,3,FALSE()), VLOOKUP(A25,Internal_lists_bugs!$A$2:$C$73,3,FALSE())&amp;Char(10) &amp; Char(10) &amp; VLOOKUP(A25,Internal_lists_bugs!$A$2:$Z$73,26,FALSE())),"please select a BUG ID")</f>
        <v>https://bugs.launchpad.net/nova/+bug/1466390
/sqlalchemy/api.py</v>
      </c>
      <c r="C25" s="51" t="str">
        <f>IFERROR(VLOOKUP(A25,Internal_lists_bugs!$A$2:$T1058,20,FALSE()),"please select a BUG ID")</f>
        <v>None identified</v>
      </c>
      <c r="D25" s="63" t="s">
        <v>1133</v>
      </c>
      <c r="E25" s="54"/>
      <c r="F25" s="79" t="s">
        <v>1146</v>
      </c>
      <c r="G25" s="93" t="s">
        <v>1147</v>
      </c>
      <c r="H25" s="54"/>
      <c r="I25" s="81" t="str">
        <f>IFERROR(VLOOKUP(A25,Internal_lists_bugs!$A$2:$G1058,7,FALSE()),"please select a BUG ID")</f>
        <v>https://opendev.org/openstack/nova/commit/501ff41</v>
      </c>
    </row>
    <row r="26">
      <c r="A26" s="16" t="s">
        <v>41</v>
      </c>
      <c r="B26" s="50" t="str">
        <f>IFERROR(HYPERLINK(VLOOKUP(A26,Internal_lists_bugs!$A$2:$C$73,3,FALSE()), VLOOKUP(A26,Internal_lists_bugs!$A$2:$C$73,3,FALSE())&amp;Char(10) &amp; Char(10) &amp; VLOOKUP(A26,Internal_lists_bugs!$A$2:$Z$73,26,FALSE())),"please select a BUG ID")</f>
        <v>https://bugs.launchpad.net/nova/+bug/1466390
/sqlalchemy/api.py</v>
      </c>
      <c r="C26" s="51" t="str">
        <f>IFERROR(VLOOKUP(A26,Internal_lists_bugs!$A$2:$T1058,20,FALSE()),"please select a BUG ID")</f>
        <v>None identified</v>
      </c>
      <c r="D26" s="14" t="s">
        <v>1148</v>
      </c>
      <c r="E26" s="16" t="s">
        <v>1149</v>
      </c>
      <c r="F26" s="79" t="s">
        <v>1134</v>
      </c>
      <c r="G26" s="93" t="s">
        <v>1135</v>
      </c>
      <c r="H26" s="54"/>
      <c r="I26" s="81" t="str">
        <f>IFERROR(VLOOKUP(A26,Internal_lists_bugs!$A$2:$G1058,7,FALSE()),"please select a BUG ID")</f>
        <v>https://opendev.org/openstack/nova/commit/501ff41</v>
      </c>
    </row>
    <row r="27">
      <c r="A27" s="16" t="s">
        <v>41</v>
      </c>
      <c r="B27" s="50" t="str">
        <f>IFERROR(HYPERLINK(VLOOKUP(A27,Internal_lists_bugs!$A$2:$C$73,3,FALSE()), VLOOKUP(A27,Internal_lists_bugs!$A$2:$C$73,3,FALSE())&amp;Char(10) &amp; Char(10) &amp; VLOOKUP(A27,Internal_lists_bugs!$A$2:$Z$73,26,FALSE())),"please select a BUG ID")</f>
        <v>https://bugs.launchpad.net/nova/+bug/1466390
/sqlalchemy/api.py</v>
      </c>
      <c r="C27" s="51" t="str">
        <f>IFERROR(VLOOKUP(A27,Internal_lists_bugs!$A$2:$T1058,20,FALSE()),"please select a BUG ID")</f>
        <v>None identified</v>
      </c>
      <c r="D27" s="14" t="s">
        <v>1148</v>
      </c>
      <c r="E27" s="54"/>
      <c r="F27" s="79" t="s">
        <v>1136</v>
      </c>
      <c r="G27" s="93" t="s">
        <v>1137</v>
      </c>
      <c r="H27" s="54"/>
      <c r="I27" s="81" t="str">
        <f>IFERROR(VLOOKUP(A27,Internal_lists_bugs!$A$2:$G1058,7,FALSE()),"please select a BUG ID")</f>
        <v>https://opendev.org/openstack/nova/commit/501ff41</v>
      </c>
    </row>
    <row r="28">
      <c r="A28" s="16" t="s">
        <v>41</v>
      </c>
      <c r="B28" s="50" t="str">
        <f>IFERROR(HYPERLINK(VLOOKUP(A28,Internal_lists_bugs!$A$2:$C$73,3,FALSE()), VLOOKUP(A28,Internal_lists_bugs!$A$2:$C$73,3,FALSE())&amp;Char(10) &amp; Char(10) &amp; VLOOKUP(A28,Internal_lists_bugs!$A$2:$Z$73,26,FALSE())),"please select a BUG ID")</f>
        <v>https://bugs.launchpad.net/nova/+bug/1466390
/sqlalchemy/api.py</v>
      </c>
      <c r="C28" s="51" t="str">
        <f>IFERROR(VLOOKUP(A28,Internal_lists_bugs!$A$2:$T1058,20,FALSE()),"please select a BUG ID")</f>
        <v>None identified</v>
      </c>
      <c r="D28" s="14" t="s">
        <v>1148</v>
      </c>
      <c r="E28" s="54"/>
      <c r="F28" s="79" t="s">
        <v>1138</v>
      </c>
      <c r="G28" s="93" t="s">
        <v>1139</v>
      </c>
      <c r="H28" s="54"/>
      <c r="I28" s="81" t="str">
        <f>IFERROR(VLOOKUP(A28,Internal_lists_bugs!$A$2:$G1058,7,FALSE()),"please select a BUG ID")</f>
        <v>https://opendev.org/openstack/nova/commit/501ff41</v>
      </c>
    </row>
    <row r="29">
      <c r="A29" s="16" t="s">
        <v>41</v>
      </c>
      <c r="B29" s="50" t="str">
        <f>IFERROR(HYPERLINK(VLOOKUP(A29,Internal_lists_bugs!$A$2:$C$73,3,FALSE()), VLOOKUP(A29,Internal_lists_bugs!$A$2:$C$73,3,FALSE())&amp;Char(10) &amp; Char(10) &amp; VLOOKUP(A29,Internal_lists_bugs!$A$2:$Z$73,26,FALSE())),"please select a BUG ID")</f>
        <v>https://bugs.launchpad.net/nova/+bug/1466390
/sqlalchemy/api.py</v>
      </c>
      <c r="C29" s="51" t="str">
        <f>IFERROR(VLOOKUP(A29,Internal_lists_bugs!$A$2:$T1058,20,FALSE()),"please select a BUG ID")</f>
        <v>None identified</v>
      </c>
      <c r="D29" s="14" t="s">
        <v>1148</v>
      </c>
      <c r="E29" s="54"/>
      <c r="F29" s="79" t="s">
        <v>1140</v>
      </c>
      <c r="G29" s="93" t="s">
        <v>1141</v>
      </c>
      <c r="H29" s="54"/>
      <c r="I29" s="81" t="str">
        <f>IFERROR(VLOOKUP(A29,Internal_lists_bugs!$A$2:$G1058,7,FALSE()),"please select a BUG ID")</f>
        <v>https://opendev.org/openstack/nova/commit/501ff41</v>
      </c>
    </row>
    <row r="30">
      <c r="A30" s="16" t="s">
        <v>41</v>
      </c>
      <c r="B30" s="50" t="str">
        <f>IFERROR(HYPERLINK(VLOOKUP(A30,Internal_lists_bugs!$A$2:$C$73,3,FALSE()), VLOOKUP(A30,Internal_lists_bugs!$A$2:$C$73,3,FALSE())&amp;Char(10) &amp; Char(10) &amp; VLOOKUP(A30,Internal_lists_bugs!$A$2:$Z$73,26,FALSE())),"please select a BUG ID")</f>
        <v>https://bugs.launchpad.net/nova/+bug/1466390
/sqlalchemy/api.py</v>
      </c>
      <c r="C30" s="51" t="str">
        <f>IFERROR(VLOOKUP(A30,Internal_lists_bugs!$A$2:$T1058,20,FALSE()),"please select a BUG ID")</f>
        <v>None identified</v>
      </c>
      <c r="D30" s="14" t="s">
        <v>1148</v>
      </c>
      <c r="E30" s="54"/>
      <c r="F30" s="79" t="s">
        <v>1142</v>
      </c>
      <c r="G30" s="93" t="s">
        <v>1143</v>
      </c>
      <c r="H30" s="54"/>
      <c r="I30" s="81" t="str">
        <f>IFERROR(VLOOKUP(A30,Internal_lists_bugs!$A$2:$G1058,7,FALSE()),"please select a BUG ID")</f>
        <v>https://opendev.org/openstack/nova/commit/501ff41</v>
      </c>
    </row>
    <row r="31">
      <c r="A31" s="16" t="s">
        <v>41</v>
      </c>
      <c r="B31" s="50" t="str">
        <f>IFERROR(HYPERLINK(VLOOKUP(A31,Internal_lists_bugs!$A$2:$C$73,3,FALSE()), VLOOKUP(A31,Internal_lists_bugs!$A$2:$C$73,3,FALSE())&amp;Char(10) &amp; Char(10) &amp; VLOOKUP(A31,Internal_lists_bugs!$A$2:$Z$73,26,FALSE())),"please select a BUG ID")</f>
        <v>https://bugs.launchpad.net/nova/+bug/1466390
/sqlalchemy/api.py</v>
      </c>
      <c r="C31" s="51" t="str">
        <f>IFERROR(VLOOKUP(A31,Internal_lists_bugs!$A$2:$T1058,20,FALSE()),"please select a BUG ID")</f>
        <v>None identified</v>
      </c>
      <c r="D31" s="14" t="s">
        <v>1148</v>
      </c>
      <c r="E31" s="54"/>
      <c r="F31" s="79" t="s">
        <v>1144</v>
      </c>
      <c r="G31" s="93" t="s">
        <v>1145</v>
      </c>
      <c r="H31" s="54"/>
      <c r="I31" s="81" t="str">
        <f>IFERROR(VLOOKUP(A31,Internal_lists_bugs!$A$2:$G1058,7,FALSE()),"please select a BUG ID")</f>
        <v>https://opendev.org/openstack/nova/commit/501ff41</v>
      </c>
    </row>
    <row r="32">
      <c r="A32" s="16" t="s">
        <v>41</v>
      </c>
      <c r="B32" s="50" t="str">
        <f>IFERROR(HYPERLINK(VLOOKUP(A32,Internal_lists_bugs!$A$2:$C$73,3,FALSE()), VLOOKUP(A32,Internal_lists_bugs!$A$2:$C$73,3,FALSE())&amp;Char(10) &amp; Char(10) &amp; VLOOKUP(A32,Internal_lists_bugs!$A$2:$Z$73,26,FALSE())),"please select a BUG ID")</f>
        <v>https://bugs.launchpad.net/nova/+bug/1466390
/sqlalchemy/api.py</v>
      </c>
      <c r="C32" s="51" t="str">
        <f>IFERROR(VLOOKUP(A32,Internal_lists_bugs!$A$2:$T1058,20,FALSE()),"please select a BUG ID")</f>
        <v>None identified</v>
      </c>
      <c r="D32" s="14" t="s">
        <v>1148</v>
      </c>
      <c r="E32" s="54"/>
      <c r="F32" s="79" t="s">
        <v>1146</v>
      </c>
      <c r="G32" s="93" t="s">
        <v>1147</v>
      </c>
      <c r="H32" s="54"/>
      <c r="I32" s="81" t="str">
        <f>IFERROR(VLOOKUP(A32,Internal_lists_bugs!$A$2:$G1058,7,FALSE()),"please select a BUG ID")</f>
        <v>https://opendev.org/openstack/nova/commit/501ff41</v>
      </c>
    </row>
    <row r="33">
      <c r="A33" s="16" t="s">
        <v>42</v>
      </c>
      <c r="B33" s="50" t="str">
        <f>IFERROR(HYPERLINK(VLOOKUP(A33,Internal_lists_bugs!$A$2:$C$73,3,FALSE()), VLOOKUP(A33,Internal_lists_bugs!$A$2:$C$73,3,FALSE())&amp;Char(10) &amp; Char(10) &amp; VLOOKUP(A33,Internal_lists_bugs!$A$2:$Z$73,26,FALSE())),"please select a BUG ID")</f>
        <v>https://bugs.launchpad.net/nova/+bug/1467451
/hyperv/vmutils.py
/virt/hyperv/vmutilsv2.py </v>
      </c>
      <c r="C33" s="51" t="str">
        <f>IFERROR(VLOOKUP(A33,Internal_lists_bugs!$A$2:$T1058,20,FALSE()),"please select a BUG ID")</f>
        <v>None identified</v>
      </c>
      <c r="D33" s="14" t="s">
        <v>1150</v>
      </c>
      <c r="E33" s="16" t="s">
        <v>1151</v>
      </c>
      <c r="F33" s="79" t="s">
        <v>1152</v>
      </c>
      <c r="G33" s="94" t="s">
        <v>1153</v>
      </c>
      <c r="H33" s="54"/>
      <c r="I33" s="81" t="str">
        <f>IFERROR(VLOOKUP(A33,Internal_lists_bugs!$A$2:$G1058,7,FALSE()),"please select a BUG ID")</f>
        <v>https://opendev.org/openstack/nova/commit/0e02db2980dc4e76ef7949ba4ec131af9fc4a44d</v>
      </c>
    </row>
    <row r="34">
      <c r="A34" s="16" t="s">
        <v>42</v>
      </c>
      <c r="B34" s="50" t="str">
        <f>IFERROR(HYPERLINK(VLOOKUP(A34,Internal_lists_bugs!$A$2:$C$73,3,FALSE()), VLOOKUP(A34,Internal_lists_bugs!$A$2:$C$73,3,FALSE())&amp;Char(10) &amp; Char(10) &amp; VLOOKUP(A34,Internal_lists_bugs!$A$2:$Z$73,26,FALSE())),"please select a BUG ID")</f>
        <v>https://bugs.launchpad.net/nova/+bug/1467451
/hyperv/vmutils.py
/virt/hyperv/vmutilsv2.py </v>
      </c>
      <c r="C34" s="51" t="str">
        <f>IFERROR(VLOOKUP(A34,Internal_lists_bugs!$A$2:$T1058,20,FALSE()),"please select a BUG ID")</f>
        <v>None identified</v>
      </c>
      <c r="D34" s="14" t="s">
        <v>1154</v>
      </c>
      <c r="E34" s="16" t="s">
        <v>1151</v>
      </c>
      <c r="F34" s="79" t="s">
        <v>1152</v>
      </c>
      <c r="G34" s="94" t="s">
        <v>1155</v>
      </c>
      <c r="H34" s="54"/>
      <c r="I34" s="81" t="str">
        <f>IFERROR(VLOOKUP(A34,Internal_lists_bugs!$A$2:$G1058,7,FALSE()),"please select a BUG ID")</f>
        <v>https://opendev.org/openstack/nova/commit/0e02db2980dc4e76ef7949ba4ec131af9fc4a44d</v>
      </c>
    </row>
    <row r="35">
      <c r="A35" s="16" t="s">
        <v>42</v>
      </c>
      <c r="B35" s="50" t="str">
        <f>IFERROR(HYPERLINK(VLOOKUP(A35,Internal_lists_bugs!$A$2:$C$73,3,FALSE()), VLOOKUP(A35,Internal_lists_bugs!$A$2:$C$73,3,FALSE())&amp;Char(10) &amp; Char(10) &amp; VLOOKUP(A35,Internal_lists_bugs!$A$2:$Z$73,26,FALSE())),"please select a BUG ID")</f>
        <v>https://bugs.launchpad.net/nova/+bug/1467451
/hyperv/vmutils.py
/virt/hyperv/vmutilsv2.py </v>
      </c>
      <c r="C35" s="51" t="str">
        <f>IFERROR(VLOOKUP(A35,Internal_lists_bugs!$A$2:$T1058,20,FALSE()),"please select a BUG ID")</f>
        <v>None identified</v>
      </c>
      <c r="D35" s="14" t="s">
        <v>1156</v>
      </c>
      <c r="E35" s="16" t="s">
        <v>1157</v>
      </c>
      <c r="F35" s="79" t="s">
        <v>1136</v>
      </c>
      <c r="G35" s="93" t="s">
        <v>1158</v>
      </c>
      <c r="H35" s="54"/>
      <c r="I35" s="81" t="str">
        <f>IFERROR(VLOOKUP(A35,Internal_lists_bugs!$A$2:$G1058,7,FALSE()),"please select a BUG ID")</f>
        <v>https://opendev.org/openstack/nova/commit/0e02db2980dc4e76ef7949ba4ec131af9fc4a44d</v>
      </c>
    </row>
    <row r="36">
      <c r="A36" s="16" t="s">
        <v>42</v>
      </c>
      <c r="B36" s="50" t="str">
        <f>IFERROR(HYPERLINK(VLOOKUP(A36,Internal_lists_bugs!$A$2:$C$73,3,FALSE()), VLOOKUP(A36,Internal_lists_bugs!$A$2:$C$73,3,FALSE())&amp;Char(10) &amp; Char(10) &amp; VLOOKUP(A36,Internal_lists_bugs!$A$2:$Z$73,26,FALSE())),"please select a BUG ID")</f>
        <v>https://bugs.launchpad.net/nova/+bug/1467451
/hyperv/vmutils.py
/virt/hyperv/vmutilsv2.py </v>
      </c>
      <c r="C36" s="51" t="str">
        <f>IFERROR(VLOOKUP(A36,Internal_lists_bugs!$A$2:$T1058,20,FALSE()),"please select a BUG ID")</f>
        <v>None identified</v>
      </c>
      <c r="D36" s="14" t="s">
        <v>1156</v>
      </c>
      <c r="E36" s="54"/>
      <c r="F36" s="79" t="s">
        <v>1121</v>
      </c>
      <c r="G36" s="93" t="s">
        <v>1159</v>
      </c>
      <c r="H36" s="54"/>
      <c r="I36" s="81" t="str">
        <f>IFERROR(VLOOKUP(A36,Internal_lists_bugs!$A$2:$G1058,7,FALSE()),"please select a BUG ID")</f>
        <v>https://opendev.org/openstack/nova/commit/0e02db2980dc4e76ef7949ba4ec131af9fc4a44d</v>
      </c>
    </row>
    <row r="37">
      <c r="A37" s="16" t="s">
        <v>42</v>
      </c>
      <c r="B37" s="50" t="str">
        <f>IFERROR(HYPERLINK(VLOOKUP(A37,Internal_lists_bugs!$A$2:$C$73,3,FALSE()), VLOOKUP(A37,Internal_lists_bugs!$A$2:$C$73,3,FALSE())&amp;Char(10) &amp; Char(10) &amp; VLOOKUP(A37,Internal_lists_bugs!$A$2:$Z$73,26,FALSE())),"please select a BUG ID")</f>
        <v>https://bugs.launchpad.net/nova/+bug/1467451
/hyperv/vmutils.py
/virt/hyperv/vmutilsv2.py </v>
      </c>
      <c r="C37" s="51" t="str">
        <f>IFERROR(VLOOKUP(A37,Internal_lists_bugs!$A$2:$T1058,20,FALSE()),"please select a BUG ID")</f>
        <v>None identified</v>
      </c>
      <c r="D37" s="14" t="s">
        <v>1156</v>
      </c>
      <c r="E37" s="54"/>
      <c r="F37" s="79" t="s">
        <v>1160</v>
      </c>
      <c r="G37" s="93" t="s">
        <v>1161</v>
      </c>
      <c r="H37" s="54"/>
      <c r="I37" s="81" t="str">
        <f>IFERROR(VLOOKUP(A37,Internal_lists_bugs!$A$2:$G1058,7,FALSE()),"please select a BUG ID")</f>
        <v>https://opendev.org/openstack/nova/commit/0e02db2980dc4e76ef7949ba4ec131af9fc4a44d</v>
      </c>
    </row>
    <row r="38">
      <c r="A38" s="16" t="s">
        <v>42</v>
      </c>
      <c r="B38" s="50" t="str">
        <f>IFERROR(HYPERLINK(VLOOKUP(A38,Internal_lists_bugs!$A$2:$C$73,3,FALSE()), VLOOKUP(A38,Internal_lists_bugs!$A$2:$C$73,3,FALSE())&amp;Char(10) &amp; Char(10) &amp; VLOOKUP(A38,Internal_lists_bugs!$A$2:$Z$73,26,FALSE())),"please select a BUG ID")</f>
        <v>https://bugs.launchpad.net/nova/+bug/1467451
/hyperv/vmutils.py
/virt/hyperv/vmutilsv2.py </v>
      </c>
      <c r="C38" s="51" t="str">
        <f>IFERROR(VLOOKUP(A38,Internal_lists_bugs!$A$2:$T1058,20,FALSE()),"please select a BUG ID")</f>
        <v>None identified</v>
      </c>
      <c r="D38" s="14" t="s">
        <v>1156</v>
      </c>
      <c r="E38" s="54"/>
      <c r="F38" s="79" t="s">
        <v>1162</v>
      </c>
      <c r="G38" s="93" t="s">
        <v>1163</v>
      </c>
      <c r="H38" s="54"/>
      <c r="I38" s="81" t="str">
        <f>IFERROR(VLOOKUP(A38,Internal_lists_bugs!$A$2:$G1058,7,FALSE()),"please select a BUG ID")</f>
        <v>https://opendev.org/openstack/nova/commit/0e02db2980dc4e76ef7949ba4ec131af9fc4a44d</v>
      </c>
    </row>
    <row r="39">
      <c r="A39" s="16" t="s">
        <v>42</v>
      </c>
      <c r="B39" s="50" t="str">
        <f>IFERROR(HYPERLINK(VLOOKUP(A39,Internal_lists_bugs!$A$2:$C$73,3,FALSE()), VLOOKUP(A39,Internal_lists_bugs!$A$2:$C$73,3,FALSE())&amp;Char(10) &amp; Char(10) &amp; VLOOKUP(A39,Internal_lists_bugs!$A$2:$Z$73,26,FALSE())),"please select a BUG ID")</f>
        <v>https://bugs.launchpad.net/nova/+bug/1467451
/hyperv/vmutils.py
/virt/hyperv/vmutilsv2.py </v>
      </c>
      <c r="C39" s="51" t="str">
        <f>IFERROR(VLOOKUP(A39,Internal_lists_bugs!$A$2:$T1058,20,FALSE()),"please select a BUG ID")</f>
        <v>None identified</v>
      </c>
      <c r="D39" s="14" t="s">
        <v>1156</v>
      </c>
      <c r="E39" s="54"/>
      <c r="F39" s="79" t="s">
        <v>1164</v>
      </c>
      <c r="G39" s="93" t="s">
        <v>1165</v>
      </c>
      <c r="H39" s="54"/>
      <c r="I39" s="81" t="str">
        <f>IFERROR(VLOOKUP(A39,Internal_lists_bugs!$A$2:$G1058,7,FALSE()),"please select a BUG ID")</f>
        <v>https://opendev.org/openstack/nova/commit/0e02db2980dc4e76ef7949ba4ec131af9fc4a44d</v>
      </c>
    </row>
    <row r="40">
      <c r="A40" s="16" t="s">
        <v>42</v>
      </c>
      <c r="B40" s="50" t="str">
        <f>IFERROR(HYPERLINK(VLOOKUP(A40,Internal_lists_bugs!$A$2:$C$73,3,FALSE()), VLOOKUP(A40,Internal_lists_bugs!$A$2:$C$73,3,FALSE())&amp;Char(10) &amp; Char(10) &amp; VLOOKUP(A40,Internal_lists_bugs!$A$2:$Z$73,26,FALSE())),"please select a BUG ID")</f>
        <v>https://bugs.launchpad.net/nova/+bug/1467451
/hyperv/vmutils.py
/virt/hyperv/vmutilsv2.py </v>
      </c>
      <c r="C40" s="51" t="str">
        <f>IFERROR(VLOOKUP(A40,Internal_lists_bugs!$A$2:$T1058,20,FALSE()),"please select a BUG ID")</f>
        <v>None identified</v>
      </c>
      <c r="D40" s="14" t="s">
        <v>1156</v>
      </c>
      <c r="E40" s="54"/>
      <c r="F40" s="79" t="s">
        <v>1166</v>
      </c>
      <c r="G40" s="93" t="s">
        <v>1167</v>
      </c>
      <c r="H40" s="54"/>
      <c r="I40" s="81" t="str">
        <f>IFERROR(VLOOKUP(A40,Internal_lists_bugs!$A$2:$G1058,7,FALSE()),"please select a BUG ID")</f>
        <v>https://opendev.org/openstack/nova/commit/0e02db2980dc4e76ef7949ba4ec131af9fc4a44d</v>
      </c>
    </row>
    <row r="41">
      <c r="A41" s="16" t="s">
        <v>42</v>
      </c>
      <c r="B41" s="50" t="str">
        <f>IFERROR(HYPERLINK(VLOOKUP(A41,Internal_lists_bugs!$A$2:$C$73,3,FALSE()), VLOOKUP(A41,Internal_lists_bugs!$A$2:$C$73,3,FALSE())&amp;Char(10) &amp; Char(10) &amp; VLOOKUP(A41,Internal_lists_bugs!$A$2:$Z$73,26,FALSE())),"please select a BUG ID")</f>
        <v>https://bugs.launchpad.net/nova/+bug/1467451
/hyperv/vmutils.py
/virt/hyperv/vmutilsv2.py </v>
      </c>
      <c r="C41" s="51" t="str">
        <f>IFERROR(VLOOKUP(A41,Internal_lists_bugs!$A$2:$T1058,20,FALSE()),"please select a BUG ID")</f>
        <v>None identified</v>
      </c>
      <c r="D41" s="14" t="s">
        <v>1156</v>
      </c>
      <c r="E41" s="54"/>
      <c r="F41" s="79" t="s">
        <v>1168</v>
      </c>
      <c r="G41" s="93" t="s">
        <v>1169</v>
      </c>
      <c r="H41" s="54"/>
      <c r="I41" s="81" t="str">
        <f>IFERROR(VLOOKUP(A41,Internal_lists_bugs!$A$2:$G1058,7,FALSE()),"please select a BUG ID")</f>
        <v>https://opendev.org/openstack/nova/commit/0e02db2980dc4e76ef7949ba4ec131af9fc4a44d</v>
      </c>
    </row>
    <row r="42">
      <c r="A42" s="16" t="s">
        <v>42</v>
      </c>
      <c r="B42" s="50" t="str">
        <f>IFERROR(HYPERLINK(VLOOKUP(A42,Internal_lists_bugs!$A$2:$C$73,3,FALSE()), VLOOKUP(A42,Internal_lists_bugs!$A$2:$C$73,3,FALSE())&amp;Char(10) &amp; Char(10) &amp; VLOOKUP(A42,Internal_lists_bugs!$A$2:$Z$73,26,FALSE())),"please select a BUG ID")</f>
        <v>https://bugs.launchpad.net/nova/+bug/1467451
/hyperv/vmutils.py
/virt/hyperv/vmutilsv2.py </v>
      </c>
      <c r="C42" s="51" t="str">
        <f>IFERROR(VLOOKUP(A42,Internal_lists_bugs!$A$2:$T1058,20,FALSE()),"please select a BUG ID")</f>
        <v>None identified</v>
      </c>
      <c r="D42" s="14" t="s">
        <v>1156</v>
      </c>
      <c r="E42" s="54"/>
      <c r="F42" s="79" t="s">
        <v>1170</v>
      </c>
      <c r="G42" s="93" t="s">
        <v>1171</v>
      </c>
      <c r="H42" s="54"/>
      <c r="I42" s="81" t="str">
        <f>IFERROR(VLOOKUP(A42,Internal_lists_bugs!$A$2:$G1058,7,FALSE()),"please select a BUG ID")</f>
        <v>https://opendev.org/openstack/nova/commit/0e02db2980dc4e76ef7949ba4ec131af9fc4a44d</v>
      </c>
    </row>
    <row r="43">
      <c r="A43" s="16" t="s">
        <v>42</v>
      </c>
      <c r="B43" s="50" t="str">
        <f>IFERROR(HYPERLINK(VLOOKUP(A43,Internal_lists_bugs!$A$2:$C$73,3,FALSE()), VLOOKUP(A43,Internal_lists_bugs!$A$2:$C$73,3,FALSE())&amp;Char(10) &amp; Char(10) &amp; VLOOKUP(A43,Internal_lists_bugs!$A$2:$Z$73,26,FALSE())),"please select a BUG ID")</f>
        <v>https://bugs.launchpad.net/nova/+bug/1467451
/hyperv/vmutils.py
/virt/hyperv/vmutilsv2.py </v>
      </c>
      <c r="C43" s="51" t="str">
        <f>IFERROR(VLOOKUP(A43,Internal_lists_bugs!$A$2:$T1058,20,FALSE()),"please select a BUG ID")</f>
        <v>None identified</v>
      </c>
      <c r="D43" s="14" t="s">
        <v>1156</v>
      </c>
      <c r="E43" s="54"/>
      <c r="F43" s="79" t="s">
        <v>1172</v>
      </c>
      <c r="G43" s="93" t="s">
        <v>1173</v>
      </c>
      <c r="H43" s="54"/>
      <c r="I43" s="81" t="str">
        <f>IFERROR(VLOOKUP(A43,Internal_lists_bugs!$A$2:$G1058,7,FALSE()),"please select a BUG ID")</f>
        <v>https://opendev.org/openstack/nova/commit/0e02db2980dc4e76ef7949ba4ec131af9fc4a44d</v>
      </c>
    </row>
    <row r="44">
      <c r="A44" s="16" t="s">
        <v>42</v>
      </c>
      <c r="B44" s="50" t="str">
        <f>IFERROR(HYPERLINK(VLOOKUP(A44,Internal_lists_bugs!$A$2:$C$73,3,FALSE()), VLOOKUP(A44,Internal_lists_bugs!$A$2:$C$73,3,FALSE())&amp;Char(10) &amp; Char(10) &amp; VLOOKUP(A44,Internal_lists_bugs!$A$2:$Z$73,26,FALSE())),"please select a BUG ID")</f>
        <v>https://bugs.launchpad.net/nova/+bug/1467451
/hyperv/vmutils.py
/virt/hyperv/vmutilsv2.py </v>
      </c>
      <c r="C44" s="51" t="str">
        <f>IFERROR(VLOOKUP(A44,Internal_lists_bugs!$A$2:$T1058,20,FALSE()),"please select a BUG ID")</f>
        <v>None identified</v>
      </c>
      <c r="D44" s="14" t="s">
        <v>1156</v>
      </c>
      <c r="E44" s="54"/>
      <c r="F44" s="79" t="s">
        <v>1174</v>
      </c>
      <c r="G44" s="93" t="s">
        <v>1175</v>
      </c>
      <c r="H44" s="54"/>
      <c r="I44" s="81" t="str">
        <f>IFERROR(VLOOKUP(A44,Internal_lists_bugs!$A$2:$G1058,7,FALSE()),"please select a BUG ID")</f>
        <v>https://opendev.org/openstack/nova/commit/0e02db2980dc4e76ef7949ba4ec131af9fc4a44d</v>
      </c>
    </row>
    <row r="45">
      <c r="A45" s="16" t="s">
        <v>42</v>
      </c>
      <c r="B45" s="50" t="str">
        <f>IFERROR(HYPERLINK(VLOOKUP(A45,Internal_lists_bugs!$A$2:$C$73,3,FALSE()), VLOOKUP(A45,Internal_lists_bugs!$A$2:$C$73,3,FALSE())&amp;Char(10) &amp; Char(10) &amp; VLOOKUP(A45,Internal_lists_bugs!$A$2:$Z$73,26,FALSE())),"please select a BUG ID")</f>
        <v>https://bugs.launchpad.net/nova/+bug/1467451
/hyperv/vmutils.py
/virt/hyperv/vmutilsv2.py </v>
      </c>
      <c r="C45" s="51" t="str">
        <f>IFERROR(VLOOKUP(A45,Internal_lists_bugs!$A$2:$T1058,20,FALSE()),"please select a BUG ID")</f>
        <v>None identified</v>
      </c>
      <c r="D45" s="14" t="s">
        <v>1156</v>
      </c>
      <c r="E45" s="54"/>
      <c r="F45" s="79" t="s">
        <v>1176</v>
      </c>
      <c r="G45" s="93" t="s">
        <v>1177</v>
      </c>
      <c r="H45" s="54"/>
      <c r="I45" s="81" t="str">
        <f>IFERROR(VLOOKUP(A45,Internal_lists_bugs!$A$2:$G1058,7,FALSE()),"please select a BUG ID")</f>
        <v>https://opendev.org/openstack/nova/commit/0e02db2980dc4e76ef7949ba4ec131af9fc4a44d</v>
      </c>
    </row>
    <row r="46">
      <c r="A46" s="16" t="s">
        <v>42</v>
      </c>
      <c r="B46" s="50" t="str">
        <f>IFERROR(HYPERLINK(VLOOKUP(A46,Internal_lists_bugs!$A$2:$C$73,3,FALSE()), VLOOKUP(A46,Internal_lists_bugs!$A$2:$C$73,3,FALSE())&amp;Char(10) &amp; Char(10) &amp; VLOOKUP(A46,Internal_lists_bugs!$A$2:$Z$73,26,FALSE())),"please select a BUG ID")</f>
        <v>https://bugs.launchpad.net/nova/+bug/1467451
/hyperv/vmutils.py
/virt/hyperv/vmutilsv2.py </v>
      </c>
      <c r="C46" s="51" t="str">
        <f>IFERROR(VLOOKUP(A46,Internal_lists_bugs!$A$2:$T1058,20,FALSE()),"please select a BUG ID")</f>
        <v>None identified</v>
      </c>
      <c r="D46" s="14" t="s">
        <v>1156</v>
      </c>
      <c r="E46" s="54"/>
      <c r="F46" s="79" t="s">
        <v>1178</v>
      </c>
      <c r="G46" s="93" t="s">
        <v>1179</v>
      </c>
      <c r="H46" s="54"/>
      <c r="I46" s="81" t="str">
        <f>IFERROR(VLOOKUP(A46,Internal_lists_bugs!$A$2:$G1058,7,FALSE()),"please select a BUG ID")</f>
        <v>https://opendev.org/openstack/nova/commit/0e02db2980dc4e76ef7949ba4ec131af9fc4a44d</v>
      </c>
    </row>
    <row r="47">
      <c r="A47" s="16" t="s">
        <v>42</v>
      </c>
      <c r="B47" s="50" t="str">
        <f>IFERROR(HYPERLINK(VLOOKUP(A47,Internal_lists_bugs!$A$2:$C$73,3,FALSE()), VLOOKUP(A47,Internal_lists_bugs!$A$2:$C$73,3,FALSE())&amp;Char(10) &amp; Char(10) &amp; VLOOKUP(A47,Internal_lists_bugs!$A$2:$Z$73,26,FALSE())),"please select a BUG ID")</f>
        <v>https://bugs.launchpad.net/nova/+bug/1467451
/hyperv/vmutils.py
/virt/hyperv/vmutilsv2.py </v>
      </c>
      <c r="C47" s="51" t="str">
        <f>IFERROR(VLOOKUP(A47,Internal_lists_bugs!$A$2:$T1058,20,FALSE()),"please select a BUG ID")</f>
        <v>None identified</v>
      </c>
      <c r="D47" s="14" t="s">
        <v>1156</v>
      </c>
      <c r="E47" s="54"/>
      <c r="F47" s="79" t="s">
        <v>1144</v>
      </c>
      <c r="G47" s="93" t="s">
        <v>1180</v>
      </c>
      <c r="H47" s="54"/>
      <c r="I47" s="81" t="str">
        <f>IFERROR(VLOOKUP(A47,Internal_lists_bugs!$A$2:$G1058,7,FALSE()),"please select a BUG ID")</f>
        <v>https://opendev.org/openstack/nova/commit/0e02db2980dc4e76ef7949ba4ec131af9fc4a44d</v>
      </c>
    </row>
    <row r="48">
      <c r="A48" s="16" t="s">
        <v>42</v>
      </c>
      <c r="B48" s="50" t="str">
        <f>IFERROR(HYPERLINK(VLOOKUP(A48,Internal_lists_bugs!$A$2:$C$73,3,FALSE()), VLOOKUP(A48,Internal_lists_bugs!$A$2:$C$73,3,FALSE())&amp;Char(10) &amp; Char(10) &amp; VLOOKUP(A48,Internal_lists_bugs!$A$2:$Z$73,26,FALSE())),"please select a BUG ID")</f>
        <v>https://bugs.launchpad.net/nova/+bug/1467451
/hyperv/vmutils.py
/virt/hyperv/vmutilsv2.py </v>
      </c>
      <c r="C48" s="51" t="str">
        <f>IFERROR(VLOOKUP(A48,Internal_lists_bugs!$A$2:$T1058,20,FALSE()),"please select a BUG ID")</f>
        <v>None identified</v>
      </c>
      <c r="D48" s="14" t="s">
        <v>1156</v>
      </c>
      <c r="E48" s="54"/>
      <c r="F48" s="79" t="s">
        <v>1123</v>
      </c>
      <c r="G48" s="93" t="s">
        <v>1181</v>
      </c>
      <c r="H48" s="54"/>
      <c r="I48" s="81" t="str">
        <f>IFERROR(VLOOKUP(A48,Internal_lists_bugs!$A$2:$G1058,7,FALSE()),"please select a BUG ID")</f>
        <v>https://opendev.org/openstack/nova/commit/0e02db2980dc4e76ef7949ba4ec131af9fc4a44d</v>
      </c>
    </row>
    <row r="49">
      <c r="A49" s="16" t="s">
        <v>42</v>
      </c>
      <c r="B49" s="50" t="str">
        <f>IFERROR(HYPERLINK(VLOOKUP(A49,Internal_lists_bugs!$A$2:$C$73,3,FALSE()), VLOOKUP(A49,Internal_lists_bugs!$A$2:$C$73,3,FALSE())&amp;Char(10) &amp; Char(10) &amp; VLOOKUP(A49,Internal_lists_bugs!$A$2:$Z$73,26,FALSE())),"please select a BUG ID")</f>
        <v>https://bugs.launchpad.net/nova/+bug/1467451
/hyperv/vmutils.py
/virt/hyperv/vmutilsv2.py </v>
      </c>
      <c r="C49" s="51" t="str">
        <f>IFERROR(VLOOKUP(A49,Internal_lists_bugs!$A$2:$T1058,20,FALSE()),"please select a BUG ID")</f>
        <v>None identified</v>
      </c>
      <c r="D49" s="14" t="s">
        <v>1156</v>
      </c>
      <c r="E49" s="54"/>
      <c r="F49" s="79" t="s">
        <v>1182</v>
      </c>
      <c r="G49" s="93" t="s">
        <v>1183</v>
      </c>
      <c r="H49" s="54"/>
      <c r="I49" s="81" t="str">
        <f>IFERROR(VLOOKUP(A49,Internal_lists_bugs!$A$2:$G1058,7,FALSE()),"please select a BUG ID")</f>
        <v>https://opendev.org/openstack/nova/commit/0e02db2980dc4e76ef7949ba4ec131af9fc4a44d</v>
      </c>
    </row>
    <row r="50">
      <c r="A50" s="16" t="s">
        <v>42</v>
      </c>
      <c r="B50" s="50" t="str">
        <f>IFERROR(HYPERLINK(VLOOKUP(A50,Internal_lists_bugs!$A$2:$C$73,3,FALSE()), VLOOKUP(A50,Internal_lists_bugs!$A$2:$C$73,3,FALSE())&amp;Char(10) &amp; Char(10) &amp; VLOOKUP(A50,Internal_lists_bugs!$A$2:$Z$73,26,FALSE())),"please select a BUG ID")</f>
        <v>https://bugs.launchpad.net/nova/+bug/1467451
/hyperv/vmutils.py
/virt/hyperv/vmutilsv2.py </v>
      </c>
      <c r="C50" s="51" t="str">
        <f>IFERROR(VLOOKUP(A50,Internal_lists_bugs!$A$2:$T1058,20,FALSE()),"please select a BUG ID")</f>
        <v>None identified</v>
      </c>
      <c r="D50" s="14" t="s">
        <v>1156</v>
      </c>
      <c r="E50" s="54"/>
      <c r="F50" s="79" t="s">
        <v>1134</v>
      </c>
      <c r="G50" s="93" t="s">
        <v>1184</v>
      </c>
      <c r="H50" s="54"/>
      <c r="I50" s="81" t="str">
        <f>IFERROR(VLOOKUP(A50,Internal_lists_bugs!$A$2:$G1058,7,FALSE()),"please select a BUG ID")</f>
        <v>https://opendev.org/openstack/nova/commit/0e02db2980dc4e76ef7949ba4ec131af9fc4a44d</v>
      </c>
    </row>
    <row r="51">
      <c r="A51" s="16" t="s">
        <v>42</v>
      </c>
      <c r="B51" s="50" t="str">
        <f>IFERROR(HYPERLINK(VLOOKUP(A51,Internal_lists_bugs!$A$2:$C$73,3,FALSE()), VLOOKUP(A51,Internal_lists_bugs!$A$2:$C$73,3,FALSE())&amp;Char(10) &amp; Char(10) &amp; VLOOKUP(A51,Internal_lists_bugs!$A$2:$Z$73,26,FALSE())),"please select a BUG ID")</f>
        <v>https://bugs.launchpad.net/nova/+bug/1467451
/hyperv/vmutils.py
/virt/hyperv/vmutilsv2.py </v>
      </c>
      <c r="C51" s="51" t="str">
        <f>IFERROR(VLOOKUP(A51,Internal_lists_bugs!$A$2:$T1058,20,FALSE()),"please select a BUG ID")</f>
        <v>None identified</v>
      </c>
      <c r="D51" s="14" t="s">
        <v>1156</v>
      </c>
      <c r="E51" s="54"/>
      <c r="F51" s="79" t="s">
        <v>1146</v>
      </c>
      <c r="G51" s="93" t="s">
        <v>1185</v>
      </c>
      <c r="H51" s="54"/>
      <c r="I51" s="81" t="str">
        <f>IFERROR(VLOOKUP(A51,Internal_lists_bugs!$A$2:$G1058,7,FALSE()),"please select a BUG ID")</f>
        <v>https://opendev.org/openstack/nova/commit/0e02db2980dc4e76ef7949ba4ec131af9fc4a44d</v>
      </c>
    </row>
    <row r="52">
      <c r="A52" s="16" t="s">
        <v>42</v>
      </c>
      <c r="B52" s="50" t="str">
        <f>IFERROR(HYPERLINK(VLOOKUP(A52,Internal_lists_bugs!$A$2:$C$73,3,FALSE()), VLOOKUP(A52,Internal_lists_bugs!$A$2:$C$73,3,FALSE())&amp;Char(10) &amp; Char(10) &amp; VLOOKUP(A52,Internal_lists_bugs!$A$2:$Z$73,26,FALSE())),"please select a BUG ID")</f>
        <v>https://bugs.launchpad.net/nova/+bug/1467451
/hyperv/vmutils.py
/virt/hyperv/vmutilsv2.py </v>
      </c>
      <c r="C52" s="51" t="str">
        <f>IFERROR(VLOOKUP(A52,Internal_lists_bugs!$A$2:$T1058,20,FALSE()),"please select a BUG ID")</f>
        <v>None identified</v>
      </c>
      <c r="D52" s="14" t="s">
        <v>1156</v>
      </c>
      <c r="E52" s="54"/>
      <c r="F52" s="79" t="s">
        <v>1186</v>
      </c>
      <c r="G52" s="93" t="s">
        <v>1187</v>
      </c>
      <c r="H52" s="54"/>
      <c r="I52" s="81" t="str">
        <f>IFERROR(VLOOKUP(A52,Internal_lists_bugs!$A$2:$G1058,7,FALSE()),"please select a BUG ID")</f>
        <v>https://opendev.org/openstack/nova/commit/0e02db2980dc4e76ef7949ba4ec131af9fc4a44d</v>
      </c>
    </row>
    <row r="53">
      <c r="A53" s="16" t="s">
        <v>42</v>
      </c>
      <c r="B53" s="50" t="str">
        <f>IFERROR(HYPERLINK(VLOOKUP(A53,Internal_lists_bugs!$A$2:$C$73,3,FALSE()), VLOOKUP(A53,Internal_lists_bugs!$A$2:$C$73,3,FALSE())&amp;Char(10) &amp; Char(10) &amp; VLOOKUP(A53,Internal_lists_bugs!$A$2:$Z$73,26,FALSE())),"please select a BUG ID")</f>
        <v>https://bugs.launchpad.net/nova/+bug/1467451
/hyperv/vmutils.py
/virt/hyperv/vmutilsv2.py </v>
      </c>
      <c r="C53" s="51" t="str">
        <f>IFERROR(VLOOKUP(A53,Internal_lists_bugs!$A$2:$T1058,20,FALSE()),"please select a BUG ID")</f>
        <v>None identified</v>
      </c>
      <c r="D53" s="14" t="s">
        <v>1156</v>
      </c>
      <c r="E53" s="54"/>
      <c r="F53" s="79" t="s">
        <v>1188</v>
      </c>
      <c r="G53" s="93" t="s">
        <v>1189</v>
      </c>
      <c r="H53" s="16" t="s">
        <v>1114</v>
      </c>
      <c r="I53" s="81" t="str">
        <f>IFERROR(VLOOKUP(A53,Internal_lists_bugs!$A$2:$G1058,7,FALSE()),"please select a BUG ID")</f>
        <v>https://opendev.org/openstack/nova/commit/0e02db2980dc4e76ef7949ba4ec131af9fc4a44d</v>
      </c>
    </row>
    <row r="54">
      <c r="A54" s="16" t="s">
        <v>43</v>
      </c>
      <c r="B54" s="50" t="str">
        <f>IFERROR(HYPERLINK(VLOOKUP(A54,Internal_lists_bugs!$A$2:$C$73,3,FALSE()), VLOOKUP(A54,Internal_lists_bugs!$A$2:$C$73,3,FALSE())&amp;Char(10) &amp; Char(10) &amp; VLOOKUP(A54,Internal_lists_bugs!$A$2:$Z$73,26,FALSE())),"please select a BUG ID")</f>
        <v>https://bugs.launchpad.net/nova/+bug/1392798
/compute/manager.py</v>
      </c>
      <c r="C54" s="51" t="str">
        <f>IFERROR(VLOOKUP(A54,Internal_lists_bugs!$A$2:$T1058,20,FALSE()),"please select a BUG ID")</f>
        <v>None identified</v>
      </c>
      <c r="D54" s="16" t="s">
        <v>124</v>
      </c>
      <c r="E54" s="54"/>
      <c r="F54" s="82"/>
      <c r="G54" s="92"/>
      <c r="H54" s="16" t="s">
        <v>1114</v>
      </c>
      <c r="I54" s="81" t="str">
        <f>IFERROR(VLOOKUP(A54,Internal_lists_bugs!$A$2:$G1058,7,FALSE()),"please select a BUG ID")</f>
        <v>https://opendev.org/openstack/nova/commit/a9d0313c</v>
      </c>
    </row>
    <row r="55">
      <c r="A55" s="16" t="s">
        <v>44</v>
      </c>
      <c r="B55" s="50" t="str">
        <f>IFERROR(HYPERLINK(VLOOKUP(A55,Internal_lists_bugs!$A$2:$C$73,3,FALSE()), VLOOKUP(A55,Internal_lists_bugs!$A$2:$C$73,3,FALSE())&amp;Char(10) &amp; Char(10) &amp; VLOOKUP(A55,Internal_lists_bugs!$A$2:$Z$73,26,FALSE())),"please select a BUG ID")</f>
        <v>https://bugs.launchpad.net/nova/+bug/1475911
cmd/idmapshift.py</v>
      </c>
      <c r="C55" s="51" t="str">
        <f>IFERROR(VLOOKUP(A55,Internal_lists_bugs!$A$2:$T1058,20,FALSE()),"please select a BUG ID")</f>
        <v>None identified</v>
      </c>
      <c r="D55" s="14" t="s">
        <v>1190</v>
      </c>
      <c r="E55" s="16" t="s">
        <v>1157</v>
      </c>
      <c r="F55" s="79" t="s">
        <v>1136</v>
      </c>
      <c r="G55" s="93" t="s">
        <v>1191</v>
      </c>
      <c r="H55" s="16" t="s">
        <v>1114</v>
      </c>
      <c r="I55" s="81" t="str">
        <f>IFERROR(VLOOKUP(A55,Internal_lists_bugs!$A$2:$G1058,7,FALSE()),"please select a BUG ID")</f>
        <v>https://opendev.org/openstack/nova/commit/e310985</v>
      </c>
    </row>
    <row r="56">
      <c r="A56" s="16" t="s">
        <v>44</v>
      </c>
      <c r="B56" s="50" t="str">
        <f>IFERROR(HYPERLINK(VLOOKUP(A56,Internal_lists_bugs!$A$2:$C$73,3,FALSE()), VLOOKUP(A56,Internal_lists_bugs!$A$2:$C$73,3,FALSE())&amp;Char(10) &amp; Char(10) &amp; VLOOKUP(A56,Internal_lists_bugs!$A$2:$Z$73,26,FALSE())),"please select a BUG ID")</f>
        <v>https://bugs.launchpad.net/nova/+bug/1475911
cmd/idmapshift.py</v>
      </c>
      <c r="C56" s="51" t="str">
        <f>IFERROR(VLOOKUP(A56,Internal_lists_bugs!$A$2:$T1058,20,FALSE()),"please select a BUG ID")</f>
        <v>None identified</v>
      </c>
      <c r="D56" s="14" t="s">
        <v>1190</v>
      </c>
      <c r="E56" s="54"/>
      <c r="F56" s="79" t="s">
        <v>1121</v>
      </c>
      <c r="G56" s="93" t="s">
        <v>1192</v>
      </c>
      <c r="H56" s="54"/>
      <c r="I56" s="81" t="str">
        <f>IFERROR(VLOOKUP(A56,Internal_lists_bugs!$A$2:$G1058,7,FALSE()),"please select a BUG ID")</f>
        <v>https://opendev.org/openstack/nova/commit/e310985</v>
      </c>
    </row>
    <row r="57">
      <c r="A57" s="16" t="s">
        <v>44</v>
      </c>
      <c r="B57" s="50" t="str">
        <f>IFERROR(HYPERLINK(VLOOKUP(A57,Internal_lists_bugs!$A$2:$C$73,3,FALSE()), VLOOKUP(A57,Internal_lists_bugs!$A$2:$C$73,3,FALSE())&amp;Char(10) &amp; Char(10) &amp; VLOOKUP(A57,Internal_lists_bugs!$A$2:$Z$73,26,FALSE())),"please select a BUG ID")</f>
        <v>https://bugs.launchpad.net/nova/+bug/1475911
cmd/idmapshift.py</v>
      </c>
      <c r="C57" s="51" t="str">
        <f>IFERROR(VLOOKUP(A57,Internal_lists_bugs!$A$2:$T1058,20,FALSE()),"please select a BUG ID")</f>
        <v>None identified</v>
      </c>
      <c r="D57" s="14" t="s">
        <v>1190</v>
      </c>
      <c r="E57" s="54"/>
      <c r="F57" s="79" t="s">
        <v>1127</v>
      </c>
      <c r="G57" s="93" t="s">
        <v>1193</v>
      </c>
      <c r="H57" s="54"/>
      <c r="I57" s="81" t="str">
        <f>IFERROR(VLOOKUP(A57,Internal_lists_bugs!$A$2:$G1058,7,FALSE()),"please select a BUG ID")</f>
        <v>https://opendev.org/openstack/nova/commit/e310985</v>
      </c>
    </row>
    <row r="58">
      <c r="A58" s="16" t="s">
        <v>44</v>
      </c>
      <c r="B58" s="50" t="str">
        <f>IFERROR(HYPERLINK(VLOOKUP(A58,Internal_lists_bugs!$A$2:$C$73,3,FALSE()), VLOOKUP(A58,Internal_lists_bugs!$A$2:$C$73,3,FALSE())&amp;Char(10) &amp; Char(10) &amp; VLOOKUP(A58,Internal_lists_bugs!$A$2:$Z$73,26,FALSE())),"please select a BUG ID")</f>
        <v>https://bugs.launchpad.net/nova/+bug/1475911
cmd/idmapshift.py</v>
      </c>
      <c r="C58" s="51" t="str">
        <f>IFERROR(VLOOKUP(A58,Internal_lists_bugs!$A$2:$T1058,20,FALSE()),"please select a BUG ID")</f>
        <v>None identified</v>
      </c>
      <c r="D58" s="14" t="s">
        <v>1190</v>
      </c>
      <c r="E58" s="54"/>
      <c r="F58" s="79" t="s">
        <v>1123</v>
      </c>
      <c r="G58" s="93" t="s">
        <v>1194</v>
      </c>
      <c r="H58" s="54"/>
      <c r="I58" s="81" t="str">
        <f>IFERROR(VLOOKUP(A58,Internal_lists_bugs!$A$2:$G1058,7,FALSE()),"please select a BUG ID")</f>
        <v>https://opendev.org/openstack/nova/commit/e310985</v>
      </c>
    </row>
    <row r="59">
      <c r="A59" s="16" t="s">
        <v>44</v>
      </c>
      <c r="B59" s="50" t="str">
        <f>IFERROR(HYPERLINK(VLOOKUP(A59,Internal_lists_bugs!$A$2:$C$73,3,FALSE()), VLOOKUP(A59,Internal_lists_bugs!$A$2:$C$73,3,FALSE())&amp;Char(10) &amp; Char(10) &amp; VLOOKUP(A59,Internal_lists_bugs!$A$2:$Z$73,26,FALSE())),"please select a BUG ID")</f>
        <v>https://bugs.launchpad.net/nova/+bug/1475911
cmd/idmapshift.py</v>
      </c>
      <c r="C59" s="51" t="str">
        <f>IFERROR(VLOOKUP(A59,Internal_lists_bugs!$A$2:$T1058,20,FALSE()),"please select a BUG ID")</f>
        <v>None identified</v>
      </c>
      <c r="D59" s="14" t="s">
        <v>1190</v>
      </c>
      <c r="E59" s="54"/>
      <c r="F59" s="79" t="s">
        <v>1164</v>
      </c>
      <c r="G59" s="93" t="s">
        <v>1165</v>
      </c>
      <c r="H59" s="54"/>
      <c r="I59" s="81" t="str">
        <f>IFERROR(VLOOKUP(A59,Internal_lists_bugs!$A$2:$G1058,7,FALSE()),"please select a BUG ID")</f>
        <v>https://opendev.org/openstack/nova/commit/e310985</v>
      </c>
    </row>
    <row r="60">
      <c r="A60" s="16" t="s">
        <v>44</v>
      </c>
      <c r="B60" s="50" t="str">
        <f>IFERROR(HYPERLINK(VLOOKUP(A60,Internal_lists_bugs!$A$2:$C$73,3,FALSE()), VLOOKUP(A60,Internal_lists_bugs!$A$2:$C$73,3,FALSE())&amp;Char(10) &amp; Char(10) &amp; VLOOKUP(A60,Internal_lists_bugs!$A$2:$Z$73,26,FALSE())),"please select a BUG ID")</f>
        <v>https://bugs.launchpad.net/nova/+bug/1475911
cmd/idmapshift.py</v>
      </c>
      <c r="C60" s="51" t="str">
        <f>IFERROR(VLOOKUP(A60,Internal_lists_bugs!$A$2:$T1058,20,FALSE()),"please select a BUG ID")</f>
        <v>None identified</v>
      </c>
      <c r="D60" s="14" t="s">
        <v>1190</v>
      </c>
      <c r="E60" s="54"/>
      <c r="F60" s="79" t="s">
        <v>1166</v>
      </c>
      <c r="G60" s="93" t="s">
        <v>1167</v>
      </c>
      <c r="H60" s="54"/>
      <c r="I60" s="81" t="str">
        <f>IFERROR(VLOOKUP(A60,Internal_lists_bugs!$A$2:$G1058,7,FALSE()),"please select a BUG ID")</f>
        <v>https://opendev.org/openstack/nova/commit/e310985</v>
      </c>
    </row>
    <row r="61">
      <c r="A61" s="16" t="s">
        <v>44</v>
      </c>
      <c r="B61" s="50" t="str">
        <f>IFERROR(HYPERLINK(VLOOKUP(A61,Internal_lists_bugs!$A$2:$C$73,3,FALSE()), VLOOKUP(A61,Internal_lists_bugs!$A$2:$C$73,3,FALSE())&amp;Char(10) &amp; Char(10) &amp; VLOOKUP(A61,Internal_lists_bugs!$A$2:$Z$73,26,FALSE())),"please select a BUG ID")</f>
        <v>https://bugs.launchpad.net/nova/+bug/1475911
cmd/idmapshift.py</v>
      </c>
      <c r="C61" s="51" t="str">
        <f>IFERROR(VLOOKUP(A61,Internal_lists_bugs!$A$2:$T1058,20,FALSE()),"please select a BUG ID")</f>
        <v>None identified</v>
      </c>
      <c r="D61" s="14" t="s">
        <v>1190</v>
      </c>
      <c r="E61" s="54"/>
      <c r="F61" s="79" t="s">
        <v>1168</v>
      </c>
      <c r="G61" s="93" t="s">
        <v>1169</v>
      </c>
      <c r="H61" s="54"/>
      <c r="I61" s="81" t="str">
        <f>IFERROR(VLOOKUP(A61,Internal_lists_bugs!$A$2:$G1058,7,FALSE()),"please select a BUG ID")</f>
        <v>https://opendev.org/openstack/nova/commit/e310985</v>
      </c>
    </row>
    <row r="62">
      <c r="A62" s="16" t="s">
        <v>44</v>
      </c>
      <c r="B62" s="50" t="str">
        <f>IFERROR(HYPERLINK(VLOOKUP(A62,Internal_lists_bugs!$A$2:$C$73,3,FALSE()), VLOOKUP(A62,Internal_lists_bugs!$A$2:$C$73,3,FALSE())&amp;Char(10) &amp; Char(10) &amp; VLOOKUP(A62,Internal_lists_bugs!$A$2:$Z$73,26,FALSE())),"please select a BUG ID")</f>
        <v>https://bugs.launchpad.net/nova/+bug/1475911
cmd/idmapshift.py</v>
      </c>
      <c r="C62" s="51" t="str">
        <f>IFERROR(VLOOKUP(A62,Internal_lists_bugs!$A$2:$T1058,20,FALSE()),"please select a BUG ID")</f>
        <v>None identified</v>
      </c>
      <c r="D62" s="14" t="s">
        <v>1190</v>
      </c>
      <c r="E62" s="54"/>
      <c r="F62" s="79" t="s">
        <v>1182</v>
      </c>
      <c r="G62" s="93" t="s">
        <v>1195</v>
      </c>
      <c r="H62" s="54"/>
      <c r="I62" s="81" t="str">
        <f>IFERROR(VLOOKUP(A62,Internal_lists_bugs!$A$2:$G1058,7,FALSE()),"please select a BUG ID")</f>
        <v>https://opendev.org/openstack/nova/commit/e310985</v>
      </c>
    </row>
    <row r="63">
      <c r="A63" s="16" t="s">
        <v>44</v>
      </c>
      <c r="B63" s="50" t="str">
        <f>IFERROR(HYPERLINK(VLOOKUP(A63,Internal_lists_bugs!$A$2:$C$73,3,FALSE()), VLOOKUP(A63,Internal_lists_bugs!$A$2:$C$73,3,FALSE())&amp;Char(10) &amp; Char(10) &amp; VLOOKUP(A63,Internal_lists_bugs!$A$2:$Z$73,26,FALSE())),"please select a BUG ID")</f>
        <v>https://bugs.launchpad.net/nova/+bug/1475911
cmd/idmapshift.py</v>
      </c>
      <c r="C63" s="51" t="str">
        <f>IFERROR(VLOOKUP(A63,Internal_lists_bugs!$A$2:$T1058,20,FALSE()),"please select a BUG ID")</f>
        <v>None identified</v>
      </c>
      <c r="D63" s="14" t="s">
        <v>1190</v>
      </c>
      <c r="E63" s="54"/>
      <c r="F63" s="79" t="s">
        <v>1172</v>
      </c>
      <c r="G63" s="93" t="s">
        <v>1196</v>
      </c>
      <c r="H63" s="54"/>
      <c r="I63" s="81" t="str">
        <f>IFERROR(VLOOKUP(A63,Internal_lists_bugs!$A$2:$G1058,7,FALSE()),"please select a BUG ID")</f>
        <v>https://opendev.org/openstack/nova/commit/e310985</v>
      </c>
    </row>
    <row r="64">
      <c r="A64" s="16" t="s">
        <v>44</v>
      </c>
      <c r="B64" s="50" t="str">
        <f>IFERROR(HYPERLINK(VLOOKUP(A64,Internal_lists_bugs!$A$2:$C$73,3,FALSE()), VLOOKUP(A64,Internal_lists_bugs!$A$2:$C$73,3,FALSE())&amp;Char(10) &amp; Char(10) &amp; VLOOKUP(A64,Internal_lists_bugs!$A$2:$Z$73,26,FALSE())),"please select a BUG ID")</f>
        <v>https://bugs.launchpad.net/nova/+bug/1475911
cmd/idmapshift.py</v>
      </c>
      <c r="C64" s="51" t="str">
        <f>IFERROR(VLOOKUP(A64,Internal_lists_bugs!$A$2:$T1058,20,FALSE()),"please select a BUG ID")</f>
        <v>None identified</v>
      </c>
      <c r="D64" s="14" t="s">
        <v>1190</v>
      </c>
      <c r="E64" s="54"/>
      <c r="F64" s="79" t="s">
        <v>1170</v>
      </c>
      <c r="G64" s="93" t="s">
        <v>1197</v>
      </c>
      <c r="H64" s="54"/>
      <c r="I64" s="81" t="str">
        <f>IFERROR(VLOOKUP(A64,Internal_lists_bugs!$A$2:$G1058,7,FALSE()),"please select a BUG ID")</f>
        <v>https://opendev.org/openstack/nova/commit/e310985</v>
      </c>
    </row>
    <row r="65">
      <c r="A65" s="16" t="s">
        <v>44</v>
      </c>
      <c r="B65" s="50" t="str">
        <f>IFERROR(HYPERLINK(VLOOKUP(A65,Internal_lists_bugs!$A$2:$C$73,3,FALSE()), VLOOKUP(A65,Internal_lists_bugs!$A$2:$C$73,3,FALSE())&amp;Char(10) &amp; Char(10) &amp; VLOOKUP(A65,Internal_lists_bugs!$A$2:$Z$73,26,FALSE())),"please select a BUG ID")</f>
        <v>https://bugs.launchpad.net/nova/+bug/1475911
cmd/idmapshift.py</v>
      </c>
      <c r="C65" s="51" t="str">
        <f>IFERROR(VLOOKUP(A65,Internal_lists_bugs!$A$2:$T1058,20,FALSE()),"please select a BUG ID")</f>
        <v>None identified</v>
      </c>
      <c r="D65" s="14" t="s">
        <v>1190</v>
      </c>
      <c r="E65" s="54"/>
      <c r="F65" s="79" t="s">
        <v>1174</v>
      </c>
      <c r="G65" s="93" t="s">
        <v>1175</v>
      </c>
      <c r="H65" s="54"/>
      <c r="I65" s="81" t="str">
        <f>IFERROR(VLOOKUP(A65,Internal_lists_bugs!$A$2:$G1058,7,FALSE()),"please select a BUG ID")</f>
        <v>https://opendev.org/openstack/nova/commit/e310985</v>
      </c>
    </row>
    <row r="66">
      <c r="A66" s="16" t="s">
        <v>44</v>
      </c>
      <c r="B66" s="50" t="str">
        <f>IFERROR(HYPERLINK(VLOOKUP(A66,Internal_lists_bugs!$A$2:$C$73,3,FALSE()), VLOOKUP(A66,Internal_lists_bugs!$A$2:$C$73,3,FALSE())&amp;Char(10) &amp; Char(10) &amp; VLOOKUP(A66,Internal_lists_bugs!$A$2:$Z$73,26,FALSE())),"please select a BUG ID")</f>
        <v>https://bugs.launchpad.net/nova/+bug/1475911
cmd/idmapshift.py</v>
      </c>
      <c r="C66" s="51" t="str">
        <f>IFERROR(VLOOKUP(A66,Internal_lists_bugs!$A$2:$T1058,20,FALSE()),"please select a BUG ID")</f>
        <v>None identified</v>
      </c>
      <c r="D66" s="14" t="s">
        <v>1190</v>
      </c>
      <c r="E66" s="54"/>
      <c r="F66" s="79" t="s">
        <v>1176</v>
      </c>
      <c r="G66" s="93" t="s">
        <v>1177</v>
      </c>
      <c r="H66" s="54"/>
      <c r="I66" s="81" t="str">
        <f>IFERROR(VLOOKUP(A66,Internal_lists_bugs!$A$2:$G1058,7,FALSE()),"please select a BUG ID")</f>
        <v>https://opendev.org/openstack/nova/commit/e310985</v>
      </c>
    </row>
    <row r="67">
      <c r="A67" s="16" t="s">
        <v>44</v>
      </c>
      <c r="B67" s="50" t="str">
        <f>IFERROR(HYPERLINK(VLOOKUP(A67,Internal_lists_bugs!$A$2:$C$73,3,FALSE()), VLOOKUP(A67,Internal_lists_bugs!$A$2:$C$73,3,FALSE())&amp;Char(10) &amp; Char(10) &amp; VLOOKUP(A67,Internal_lists_bugs!$A$2:$Z$73,26,FALSE())),"please select a BUG ID")</f>
        <v>https://bugs.launchpad.net/nova/+bug/1475911
cmd/idmapshift.py</v>
      </c>
      <c r="C67" s="51" t="str">
        <f>IFERROR(VLOOKUP(A67,Internal_lists_bugs!$A$2:$T1058,20,FALSE()),"please select a BUG ID")</f>
        <v>None identified</v>
      </c>
      <c r="D67" s="14" t="s">
        <v>1190</v>
      </c>
      <c r="E67" s="54"/>
      <c r="F67" s="79" t="s">
        <v>1134</v>
      </c>
      <c r="G67" s="93" t="s">
        <v>1198</v>
      </c>
      <c r="H67" s="54"/>
      <c r="I67" s="81" t="str">
        <f>IFERROR(VLOOKUP(A67,Internal_lists_bugs!$A$2:$G1058,7,FALSE()),"please select a BUG ID")</f>
        <v>https://opendev.org/openstack/nova/commit/e310985</v>
      </c>
    </row>
    <row r="68">
      <c r="A68" s="16" t="s">
        <v>44</v>
      </c>
      <c r="B68" s="50" t="str">
        <f>IFERROR(HYPERLINK(VLOOKUP(A68,Internal_lists_bugs!$A$2:$C$73,3,FALSE()), VLOOKUP(A68,Internal_lists_bugs!$A$2:$C$73,3,FALSE())&amp;Char(10) &amp; Char(10) &amp; VLOOKUP(A68,Internal_lists_bugs!$A$2:$Z$73,26,FALSE())),"please select a BUG ID")</f>
        <v>https://bugs.launchpad.net/nova/+bug/1475911
cmd/idmapshift.py</v>
      </c>
      <c r="C68" s="51" t="str">
        <f>IFERROR(VLOOKUP(A68,Internal_lists_bugs!$A$2:$T1058,20,FALSE()),"please select a BUG ID")</f>
        <v>None identified</v>
      </c>
      <c r="D68" s="14" t="s">
        <v>1190</v>
      </c>
      <c r="E68" s="54"/>
      <c r="F68" s="79" t="s">
        <v>1146</v>
      </c>
      <c r="G68" s="93" t="s">
        <v>1199</v>
      </c>
      <c r="H68" s="54"/>
      <c r="I68" s="81" t="str">
        <f>IFERROR(VLOOKUP(A68,Internal_lists_bugs!$A$2:$G1058,7,FALSE()),"please select a BUG ID")</f>
        <v>https://opendev.org/openstack/nova/commit/e310985</v>
      </c>
    </row>
    <row r="69">
      <c r="A69" s="16" t="s">
        <v>44</v>
      </c>
      <c r="B69" s="50" t="str">
        <f>IFERROR(HYPERLINK(VLOOKUP(A69,Internal_lists_bugs!$A$2:$C$73,3,FALSE()), VLOOKUP(A69,Internal_lists_bugs!$A$2:$C$73,3,FALSE())&amp;Char(10) &amp; Char(10) &amp; VLOOKUP(A69,Internal_lists_bugs!$A$2:$Z$73,26,FALSE())),"please select a BUG ID")</f>
        <v>https://bugs.launchpad.net/nova/+bug/1475911
cmd/idmapshift.py</v>
      </c>
      <c r="C69" s="51" t="str">
        <f>IFERROR(VLOOKUP(A69,Internal_lists_bugs!$A$2:$T1058,20,FALSE()),"please select a BUG ID")</f>
        <v>None identified</v>
      </c>
      <c r="D69" s="14" t="s">
        <v>1190</v>
      </c>
      <c r="E69" s="54"/>
      <c r="F69" s="79" t="s">
        <v>1186</v>
      </c>
      <c r="G69" s="93" t="s">
        <v>1200</v>
      </c>
      <c r="H69" s="54"/>
      <c r="I69" s="81" t="str">
        <f>IFERROR(VLOOKUP(A69,Internal_lists_bugs!$A$2:$G1058,7,FALSE()),"please select a BUG ID")</f>
        <v>https://opendev.org/openstack/nova/commit/e310985</v>
      </c>
    </row>
    <row r="70">
      <c r="A70" s="16" t="s">
        <v>44</v>
      </c>
      <c r="B70" s="50" t="str">
        <f>IFERROR(HYPERLINK(VLOOKUP(A70,Internal_lists_bugs!$A$2:$C$73,3,FALSE()), VLOOKUP(A70,Internal_lists_bugs!$A$2:$C$73,3,FALSE())&amp;Char(10) &amp; Char(10) &amp; VLOOKUP(A70,Internal_lists_bugs!$A$2:$Z$73,26,FALSE())),"please select a BUG ID")</f>
        <v>https://bugs.launchpad.net/nova/+bug/1475911
cmd/idmapshift.py</v>
      </c>
      <c r="C70" s="51" t="str">
        <f>IFERROR(VLOOKUP(A70,Internal_lists_bugs!$A$2:$T1058,20,FALSE()),"please select a BUG ID")</f>
        <v>None identified</v>
      </c>
      <c r="D70" s="14" t="s">
        <v>1190</v>
      </c>
      <c r="E70" s="54"/>
      <c r="F70" s="79" t="s">
        <v>1188</v>
      </c>
      <c r="G70" s="93" t="s">
        <v>1201</v>
      </c>
      <c r="H70" s="54"/>
      <c r="I70" s="81" t="str">
        <f>IFERROR(VLOOKUP(A70,Internal_lists_bugs!$A$2:$G1058,7,FALSE()),"please select a BUG ID")</f>
        <v>https://opendev.org/openstack/nova/commit/e310985</v>
      </c>
    </row>
    <row r="71">
      <c r="A71" s="16" t="s">
        <v>44</v>
      </c>
      <c r="B71" s="50" t="str">
        <f>IFERROR(HYPERLINK(VLOOKUP(A71,Internal_lists_bugs!$A$2:$C$73,3,FALSE()), VLOOKUP(A71,Internal_lists_bugs!$A$2:$C$73,3,FALSE())&amp;Char(10) &amp; Char(10) &amp; VLOOKUP(A71,Internal_lists_bugs!$A$2:$Z$73,26,FALSE())),"please select a BUG ID")</f>
        <v>https://bugs.launchpad.net/nova/+bug/1475911
cmd/idmapshift.py</v>
      </c>
      <c r="C71" s="51" t="str">
        <f>IFERROR(VLOOKUP(A71,Internal_lists_bugs!$A$2:$T1058,20,FALSE()),"please select a BUG ID")</f>
        <v>None identified</v>
      </c>
      <c r="D71" s="14" t="s">
        <v>1190</v>
      </c>
      <c r="E71" s="54"/>
      <c r="F71" s="79" t="s">
        <v>1202</v>
      </c>
      <c r="G71" s="93" t="s">
        <v>1203</v>
      </c>
      <c r="H71" s="54"/>
      <c r="I71" s="81" t="str">
        <f>IFERROR(VLOOKUP(A71,Internal_lists_bugs!$A$2:$G1058,7,FALSE()),"please select a BUG ID")</f>
        <v>https://opendev.org/openstack/nova/commit/e310985</v>
      </c>
    </row>
    <row r="72">
      <c r="A72" s="16" t="s">
        <v>44</v>
      </c>
      <c r="B72" s="50" t="str">
        <f>IFERROR(HYPERLINK(VLOOKUP(A72,Internal_lists_bugs!$A$2:$C$73,3,FALSE()), VLOOKUP(A72,Internal_lists_bugs!$A$2:$C$73,3,FALSE())&amp;Char(10) &amp; Char(10) &amp; VLOOKUP(A72,Internal_lists_bugs!$A$2:$Z$73,26,FALSE())),"please select a BUG ID")</f>
        <v>https://bugs.launchpad.net/nova/+bug/1475911
cmd/idmapshift.py</v>
      </c>
      <c r="C72" s="51" t="str">
        <f>IFERROR(VLOOKUP(A72,Internal_lists_bugs!$A$2:$T1058,20,FALSE()),"please select a BUG ID")</f>
        <v>None identified</v>
      </c>
      <c r="D72" s="14" t="s">
        <v>1190</v>
      </c>
      <c r="E72" s="16"/>
      <c r="F72" s="79" t="s">
        <v>1178</v>
      </c>
      <c r="G72" s="93" t="s">
        <v>1204</v>
      </c>
      <c r="H72" s="16"/>
      <c r="I72" s="81" t="str">
        <f>IFERROR(VLOOKUP(A72,Internal_lists_bugs!$A$2:$G1058,7,FALSE()),"please select a BUG ID")</f>
        <v>https://opendev.org/openstack/nova/commit/e310985</v>
      </c>
    </row>
    <row r="73">
      <c r="A73" s="16" t="s">
        <v>45</v>
      </c>
      <c r="B73" s="50" t="str">
        <f>IFERROR(HYPERLINK(VLOOKUP(A73,Internal_lists_bugs!$A$2:$C$73,3,FALSE()), VLOOKUP(A73,Internal_lists_bugs!$A$2:$C$73,3,FALSE())&amp;Char(10) &amp; Char(10) &amp; VLOOKUP(A73,Internal_lists_bugs!$A$2:$Z$73,26,FALSE())),"please select a BUG ID")</f>
        <v>https://bugs.launchpad.net/nova/+bug/1437855
/contrib/floating_ips.py
/v3/floating_ips.py </v>
      </c>
      <c r="C73" s="51" t="str">
        <f>IFERROR(VLOOKUP(A73,Internal_lists_bugs!$A$2:$T1058,20,FALSE()),"please select a BUG ID")</f>
        <v>None identified</v>
      </c>
      <c r="D73" s="66" t="s">
        <v>124</v>
      </c>
      <c r="E73" s="16"/>
      <c r="F73" s="79"/>
      <c r="G73" s="93"/>
      <c r="H73" s="16" t="s">
        <v>1113</v>
      </c>
      <c r="I73" s="81" t="str">
        <f>IFERROR(VLOOKUP(A73,Internal_lists_bugs!$A$2:$G1058,7,FALSE()),"please select a BUG ID")</f>
        <v>https://opendev.org/openstack/nova/commit/1b2c121f133b1</v>
      </c>
      <c r="J73" s="16" t="s">
        <v>1205</v>
      </c>
    </row>
    <row r="74">
      <c r="A74" s="16" t="s">
        <v>46</v>
      </c>
      <c r="B74" s="50" t="str">
        <f>IFERROR(HYPERLINK(VLOOKUP(A74,Internal_lists_bugs!$A$2:$C$73,3,FALSE()), VLOOKUP(A74,Internal_lists_bugs!$A$2:$C$73,3,FALSE())&amp;Char(10) &amp; Char(10) &amp; VLOOKUP(A74,Internal_lists_bugs!$A$2:$Z$73,26,FALSE())),"please select a BUG ID")</f>
        <v>https://bugs.launchpad.net/nova/+bug/1434855
/os-extended-volumes/v2.3/server-get-resp.json
/os-extended-volumes/v2.3/servers-detail-resp.json </v>
      </c>
      <c r="C74" s="81" t="str">
        <f>IFERROR(VLOOKUP(A74,Internal_lists_bugs!$A$2:$T1058,20,FALSE()),"please select a BUG ID")</f>
        <v>https://opendev.org/openstack/nova/commit/abc656d</v>
      </c>
      <c r="D74" s="14" t="s">
        <v>1206</v>
      </c>
      <c r="E74" s="16" t="s">
        <v>1157</v>
      </c>
      <c r="F74" s="79" t="s">
        <v>1136</v>
      </c>
      <c r="G74" s="93" t="s">
        <v>1207</v>
      </c>
      <c r="H74" s="16" t="s">
        <v>1114</v>
      </c>
      <c r="I74" s="81" t="str">
        <f>IFERROR(VLOOKUP(A74,Internal_lists_bugs!$A$2:$G1058,7,FALSE()),"please select a BUG ID")</f>
        <v>https://opendev.org/openstack/nova/commit/abc656d</v>
      </c>
    </row>
    <row r="75">
      <c r="A75" s="16" t="s">
        <v>46</v>
      </c>
      <c r="B75" s="50" t="str">
        <f>IFERROR(HYPERLINK(VLOOKUP(A75,Internal_lists_bugs!$A$2:$C$73,3,FALSE()), VLOOKUP(A75,Internal_lists_bugs!$A$2:$C$73,3,FALSE())&amp;Char(10) &amp; Char(10) &amp; VLOOKUP(A75,Internal_lists_bugs!$A$2:$Z$73,26,FALSE())),"please select a BUG ID")</f>
        <v>https://bugs.launchpad.net/nova/+bug/1434855
/os-extended-volumes/v2.3/server-get-resp.json
/os-extended-volumes/v2.3/servers-detail-resp.json </v>
      </c>
      <c r="C75" s="81" t="str">
        <f>IFERROR(VLOOKUP(A75,Internal_lists_bugs!$A$2:$T1058,20,FALSE()),"please select a BUG ID")</f>
        <v>https://opendev.org/openstack/nova/commit/abc656d</v>
      </c>
      <c r="D75" s="14" t="s">
        <v>1206</v>
      </c>
      <c r="E75" s="54"/>
      <c r="F75" s="79" t="s">
        <v>1121</v>
      </c>
      <c r="G75" s="93" t="s">
        <v>1208</v>
      </c>
      <c r="H75" s="54"/>
      <c r="I75" s="81" t="str">
        <f>IFERROR(VLOOKUP(A75,Internal_lists_bugs!$A$2:$G1058,7,FALSE()),"please select a BUG ID")</f>
        <v>https://opendev.org/openstack/nova/commit/abc656d</v>
      </c>
    </row>
    <row r="76">
      <c r="A76" s="16" t="s">
        <v>46</v>
      </c>
      <c r="B76" s="50" t="str">
        <f>IFERROR(HYPERLINK(VLOOKUP(A76,Internal_lists_bugs!$A$2:$C$73,3,FALSE()), VLOOKUP(A76,Internal_lists_bugs!$A$2:$C$73,3,FALSE())&amp;Char(10) &amp; Char(10) &amp; VLOOKUP(A76,Internal_lists_bugs!$A$2:$Z$73,26,FALSE())),"please select a BUG ID")</f>
        <v>https://bugs.launchpad.net/nova/+bug/1434855
/os-extended-volumes/v2.3/server-get-resp.json
/os-extended-volumes/v2.3/servers-detail-resp.json </v>
      </c>
      <c r="C76" s="81" t="str">
        <f>IFERROR(VLOOKUP(A76,Internal_lists_bugs!$A$2:$T1058,20,FALSE()),"please select a BUG ID")</f>
        <v>https://opendev.org/openstack/nova/commit/abc656d</v>
      </c>
      <c r="D76" s="14" t="s">
        <v>1206</v>
      </c>
      <c r="E76" s="54"/>
      <c r="F76" s="79" t="s">
        <v>1144</v>
      </c>
      <c r="G76" s="93" t="s">
        <v>1209</v>
      </c>
      <c r="H76" s="54"/>
      <c r="I76" s="81" t="str">
        <f>IFERROR(VLOOKUP(A76,Internal_lists_bugs!$A$2:$G1058,7,FALSE()),"please select a BUG ID")</f>
        <v>https://opendev.org/openstack/nova/commit/abc656d</v>
      </c>
    </row>
    <row r="77">
      <c r="A77" s="16" t="s">
        <v>46</v>
      </c>
      <c r="B77" s="50" t="str">
        <f>IFERROR(HYPERLINK(VLOOKUP(A77,Internal_lists_bugs!$A$2:$C$73,3,FALSE()), VLOOKUP(A77,Internal_lists_bugs!$A$2:$C$73,3,FALSE())&amp;Char(10) &amp; Char(10) &amp; VLOOKUP(A77,Internal_lists_bugs!$A$2:$Z$73,26,FALSE())),"please select a BUG ID")</f>
        <v>https://bugs.launchpad.net/nova/+bug/1434855
/os-extended-volumes/v2.3/server-get-resp.json
/os-extended-volumes/v2.3/servers-detail-resp.json </v>
      </c>
      <c r="C77" s="81" t="str">
        <f>IFERROR(VLOOKUP(A77,Internal_lists_bugs!$A$2:$T1058,20,FALSE()),"please select a BUG ID")</f>
        <v>https://opendev.org/openstack/nova/commit/abc656d</v>
      </c>
      <c r="D77" s="14" t="s">
        <v>1206</v>
      </c>
      <c r="E77" s="54"/>
      <c r="F77" s="79" t="s">
        <v>1160</v>
      </c>
      <c r="G77" s="93" t="s">
        <v>1210</v>
      </c>
      <c r="H77" s="54"/>
      <c r="I77" s="81" t="str">
        <f>IFERROR(VLOOKUP(A77,Internal_lists_bugs!$A$2:$G1058,7,FALSE()),"please select a BUG ID")</f>
        <v>https://opendev.org/openstack/nova/commit/abc656d</v>
      </c>
    </row>
    <row r="78">
      <c r="A78" s="16" t="s">
        <v>46</v>
      </c>
      <c r="B78" s="50" t="str">
        <f>IFERROR(HYPERLINK(VLOOKUP(A78,Internal_lists_bugs!$A$2:$C$73,3,FALSE()), VLOOKUP(A78,Internal_lists_bugs!$A$2:$C$73,3,FALSE())&amp;Char(10) &amp; Char(10) &amp; VLOOKUP(A78,Internal_lists_bugs!$A$2:$Z$73,26,FALSE())),"please select a BUG ID")</f>
        <v>https://bugs.launchpad.net/nova/+bug/1434855
/os-extended-volumes/v2.3/server-get-resp.json
/os-extended-volumes/v2.3/servers-detail-resp.json </v>
      </c>
      <c r="C78" s="81" t="str">
        <f>IFERROR(VLOOKUP(A78,Internal_lists_bugs!$A$2:$T1058,20,FALSE()),"please select a BUG ID")</f>
        <v>https://opendev.org/openstack/nova/commit/abc656d</v>
      </c>
      <c r="D78" s="14" t="s">
        <v>1206</v>
      </c>
      <c r="E78" s="54"/>
      <c r="F78" s="79" t="s">
        <v>1123</v>
      </c>
      <c r="G78" s="93" t="s">
        <v>1211</v>
      </c>
      <c r="H78" s="54"/>
      <c r="I78" s="81" t="str">
        <f>IFERROR(VLOOKUP(A78,Internal_lists_bugs!$A$2:$G1058,7,FALSE()),"please select a BUG ID")</f>
        <v>https://opendev.org/openstack/nova/commit/abc656d</v>
      </c>
    </row>
    <row r="79">
      <c r="A79" s="16" t="s">
        <v>46</v>
      </c>
      <c r="B79" s="50" t="str">
        <f>IFERROR(HYPERLINK(VLOOKUP(A79,Internal_lists_bugs!$A$2:$C$73,3,FALSE()), VLOOKUP(A79,Internal_lists_bugs!$A$2:$C$73,3,FALSE())&amp;Char(10) &amp; Char(10) &amp; VLOOKUP(A79,Internal_lists_bugs!$A$2:$Z$73,26,FALSE())),"please select a BUG ID")</f>
        <v>https://bugs.launchpad.net/nova/+bug/1434855
/os-extended-volumes/v2.3/server-get-resp.json
/os-extended-volumes/v2.3/servers-detail-resp.json </v>
      </c>
      <c r="C79" s="81" t="str">
        <f>IFERROR(VLOOKUP(A79,Internal_lists_bugs!$A$2:$T1058,20,FALSE()),"please select a BUG ID")</f>
        <v>https://opendev.org/openstack/nova/commit/abc656d</v>
      </c>
      <c r="D79" s="14" t="s">
        <v>1206</v>
      </c>
      <c r="E79" s="54"/>
      <c r="F79" s="79" t="s">
        <v>1162</v>
      </c>
      <c r="G79" s="93" t="s">
        <v>1212</v>
      </c>
      <c r="H79" s="54"/>
      <c r="I79" s="81" t="str">
        <f>IFERROR(VLOOKUP(A79,Internal_lists_bugs!$A$2:$G1058,7,FALSE()),"please select a BUG ID")</f>
        <v>https://opendev.org/openstack/nova/commit/abc656d</v>
      </c>
    </row>
    <row r="80">
      <c r="A80" s="16" t="s">
        <v>46</v>
      </c>
      <c r="B80" s="50" t="str">
        <f>IFERROR(HYPERLINK(VLOOKUP(A80,Internal_lists_bugs!$A$2:$C$73,3,FALSE()), VLOOKUP(A80,Internal_lists_bugs!$A$2:$C$73,3,FALSE())&amp;Char(10) &amp; Char(10) &amp; VLOOKUP(A80,Internal_lists_bugs!$A$2:$Z$73,26,FALSE())),"please select a BUG ID")</f>
        <v>https://bugs.launchpad.net/nova/+bug/1434855
/os-extended-volumes/v2.3/server-get-resp.json
/os-extended-volumes/v2.3/servers-detail-resp.json </v>
      </c>
      <c r="C80" s="81" t="str">
        <f>IFERROR(VLOOKUP(A80,Internal_lists_bugs!$A$2:$T1058,20,FALSE()),"please select a BUG ID")</f>
        <v>https://opendev.org/openstack/nova/commit/abc656d</v>
      </c>
      <c r="D80" s="14" t="s">
        <v>1206</v>
      </c>
      <c r="E80" s="54"/>
      <c r="F80" s="79" t="s">
        <v>1164</v>
      </c>
      <c r="G80" s="93" t="s">
        <v>1213</v>
      </c>
      <c r="H80" s="54"/>
      <c r="I80" s="81" t="str">
        <f>IFERROR(VLOOKUP(A80,Internal_lists_bugs!$A$2:$G1058,7,FALSE()),"please select a BUG ID")</f>
        <v>https://opendev.org/openstack/nova/commit/abc656d</v>
      </c>
    </row>
    <row r="81">
      <c r="A81" s="16" t="s">
        <v>46</v>
      </c>
      <c r="B81" s="50" t="str">
        <f>IFERROR(HYPERLINK(VLOOKUP(A81,Internal_lists_bugs!$A$2:$C$73,3,FALSE()), VLOOKUP(A81,Internal_lists_bugs!$A$2:$C$73,3,FALSE())&amp;Char(10) &amp; Char(10) &amp; VLOOKUP(A81,Internal_lists_bugs!$A$2:$Z$73,26,FALSE())),"please select a BUG ID")</f>
        <v>https://bugs.launchpad.net/nova/+bug/1434855
/os-extended-volumes/v2.3/server-get-resp.json
/os-extended-volumes/v2.3/servers-detail-resp.json </v>
      </c>
      <c r="C81" s="81" t="str">
        <f>IFERROR(VLOOKUP(A81,Internal_lists_bugs!$A$2:$T1058,20,FALSE()),"please select a BUG ID")</f>
        <v>https://opendev.org/openstack/nova/commit/abc656d</v>
      </c>
      <c r="D81" s="14" t="s">
        <v>1206</v>
      </c>
      <c r="E81" s="54"/>
      <c r="F81" s="79" t="s">
        <v>1166</v>
      </c>
      <c r="G81" s="93" t="s">
        <v>1214</v>
      </c>
      <c r="H81" s="54"/>
      <c r="I81" s="81" t="str">
        <f>IFERROR(VLOOKUP(A81,Internal_lists_bugs!$A$2:$G1058,7,FALSE()),"please select a BUG ID")</f>
        <v>https://opendev.org/openstack/nova/commit/abc656d</v>
      </c>
    </row>
    <row r="82">
      <c r="A82" s="16" t="s">
        <v>46</v>
      </c>
      <c r="B82" s="50" t="str">
        <f>IFERROR(HYPERLINK(VLOOKUP(A82,Internal_lists_bugs!$A$2:$C$73,3,FALSE()), VLOOKUP(A82,Internal_lists_bugs!$A$2:$C$73,3,FALSE())&amp;Char(10) &amp; Char(10) &amp; VLOOKUP(A82,Internal_lists_bugs!$A$2:$Z$73,26,FALSE())),"please select a BUG ID")</f>
        <v>https://bugs.launchpad.net/nova/+bug/1434855
/os-extended-volumes/v2.3/server-get-resp.json
/os-extended-volumes/v2.3/servers-detail-resp.json </v>
      </c>
      <c r="C82" s="81" t="str">
        <f>IFERROR(VLOOKUP(A82,Internal_lists_bugs!$A$2:$T1058,20,FALSE()),"please select a BUG ID")</f>
        <v>https://opendev.org/openstack/nova/commit/abc656d</v>
      </c>
      <c r="D82" s="14" t="s">
        <v>1206</v>
      </c>
      <c r="E82" s="54"/>
      <c r="F82" s="79" t="s">
        <v>1182</v>
      </c>
      <c r="G82" s="93" t="s">
        <v>1215</v>
      </c>
      <c r="H82" s="54"/>
      <c r="I82" s="81" t="str">
        <f>IFERROR(VLOOKUP(A82,Internal_lists_bugs!$A$2:$G1058,7,FALSE()),"please select a BUG ID")</f>
        <v>https://opendev.org/openstack/nova/commit/abc656d</v>
      </c>
    </row>
    <row r="83">
      <c r="A83" s="16" t="s">
        <v>46</v>
      </c>
      <c r="B83" s="50" t="str">
        <f>IFERROR(HYPERLINK(VLOOKUP(A83,Internal_lists_bugs!$A$2:$C$73,3,FALSE()), VLOOKUP(A83,Internal_lists_bugs!$A$2:$C$73,3,FALSE())&amp;Char(10) &amp; Char(10) &amp; VLOOKUP(A83,Internal_lists_bugs!$A$2:$Z$73,26,FALSE())),"please select a BUG ID")</f>
        <v>https://bugs.launchpad.net/nova/+bug/1434855
/os-extended-volumes/v2.3/server-get-resp.json
/os-extended-volumes/v2.3/servers-detail-resp.json </v>
      </c>
      <c r="C83" s="81" t="str">
        <f>IFERROR(VLOOKUP(A83,Internal_lists_bugs!$A$2:$T1058,20,FALSE()),"please select a BUG ID")</f>
        <v>https://opendev.org/openstack/nova/commit/abc656d</v>
      </c>
      <c r="D83" s="14" t="s">
        <v>1206</v>
      </c>
      <c r="E83" s="54"/>
      <c r="F83" s="79" t="s">
        <v>1168</v>
      </c>
      <c r="G83" s="93" t="s">
        <v>1169</v>
      </c>
      <c r="H83" s="54"/>
      <c r="I83" s="81" t="str">
        <f>IFERROR(VLOOKUP(A83,Internal_lists_bugs!$A$2:$G1058,7,FALSE()),"please select a BUG ID")</f>
        <v>https://opendev.org/openstack/nova/commit/abc656d</v>
      </c>
    </row>
    <row r="84">
      <c r="A84" s="16" t="s">
        <v>46</v>
      </c>
      <c r="B84" s="50" t="str">
        <f>IFERROR(HYPERLINK(VLOOKUP(A84,Internal_lists_bugs!$A$2:$C$73,3,FALSE()), VLOOKUP(A84,Internal_lists_bugs!$A$2:$C$73,3,FALSE())&amp;Char(10) &amp; Char(10) &amp; VLOOKUP(A84,Internal_lists_bugs!$A$2:$Z$73,26,FALSE())),"please select a BUG ID")</f>
        <v>https://bugs.launchpad.net/nova/+bug/1434855
/os-extended-volumes/v2.3/server-get-resp.json
/os-extended-volumes/v2.3/servers-detail-resp.json </v>
      </c>
      <c r="C84" s="81" t="str">
        <f>IFERROR(VLOOKUP(A84,Internal_lists_bugs!$A$2:$T1058,20,FALSE()),"please select a BUG ID")</f>
        <v>https://opendev.org/openstack/nova/commit/abc656d</v>
      </c>
      <c r="D84" s="14" t="s">
        <v>1206</v>
      </c>
      <c r="E84" s="54"/>
      <c r="F84" s="79" t="s">
        <v>1170</v>
      </c>
      <c r="G84" s="93" t="s">
        <v>1171</v>
      </c>
      <c r="H84" s="54"/>
      <c r="I84" s="81" t="str">
        <f>IFERROR(VLOOKUP(A84,Internal_lists_bugs!$A$2:$G1058,7,FALSE()),"please select a BUG ID")</f>
        <v>https://opendev.org/openstack/nova/commit/abc656d</v>
      </c>
    </row>
    <row r="85">
      <c r="A85" s="16" t="s">
        <v>46</v>
      </c>
      <c r="B85" s="50" t="str">
        <f>IFERROR(HYPERLINK(VLOOKUP(A85,Internal_lists_bugs!$A$2:$C$73,3,FALSE()), VLOOKUP(A85,Internal_lists_bugs!$A$2:$C$73,3,FALSE())&amp;Char(10) &amp; Char(10) &amp; VLOOKUP(A85,Internal_lists_bugs!$A$2:$Z$73,26,FALSE())),"please select a BUG ID")</f>
        <v>https://bugs.launchpad.net/nova/+bug/1434855
/os-extended-volumes/v2.3/server-get-resp.json
/os-extended-volumes/v2.3/servers-detail-resp.json </v>
      </c>
      <c r="C85" s="81" t="str">
        <f>IFERROR(VLOOKUP(A85,Internal_lists_bugs!$A$2:$T1058,20,FALSE()),"please select a BUG ID")</f>
        <v>https://opendev.org/openstack/nova/commit/abc656d</v>
      </c>
      <c r="D85" s="14" t="s">
        <v>1206</v>
      </c>
      <c r="E85" s="54"/>
      <c r="F85" s="79" t="s">
        <v>1172</v>
      </c>
      <c r="G85" s="93" t="s">
        <v>1216</v>
      </c>
      <c r="H85" s="54"/>
      <c r="I85" s="81" t="str">
        <f>IFERROR(VLOOKUP(A85,Internal_lists_bugs!$A$2:$G1058,7,FALSE()),"please select a BUG ID")</f>
        <v>https://opendev.org/openstack/nova/commit/abc656d</v>
      </c>
    </row>
    <row r="86">
      <c r="A86" s="16" t="s">
        <v>46</v>
      </c>
      <c r="B86" s="50" t="str">
        <f>IFERROR(HYPERLINK(VLOOKUP(A86,Internal_lists_bugs!$A$2:$C$73,3,FALSE()), VLOOKUP(A86,Internal_lists_bugs!$A$2:$C$73,3,FALSE())&amp;Char(10) &amp; Char(10) &amp; VLOOKUP(A86,Internal_lists_bugs!$A$2:$Z$73,26,FALSE())),"please select a BUG ID")</f>
        <v>https://bugs.launchpad.net/nova/+bug/1434855
/os-extended-volumes/v2.3/server-get-resp.json
/os-extended-volumes/v2.3/servers-detail-resp.json </v>
      </c>
      <c r="C86" s="81" t="str">
        <f>IFERROR(VLOOKUP(A86,Internal_lists_bugs!$A$2:$T1058,20,FALSE()),"please select a BUG ID")</f>
        <v>https://opendev.org/openstack/nova/commit/abc656d</v>
      </c>
      <c r="D86" s="14" t="s">
        <v>1206</v>
      </c>
      <c r="E86" s="54"/>
      <c r="F86" s="79" t="s">
        <v>1174</v>
      </c>
      <c r="G86" s="93" t="s">
        <v>1175</v>
      </c>
      <c r="H86" s="54"/>
      <c r="I86" s="81" t="str">
        <f>IFERROR(VLOOKUP(A86,Internal_lists_bugs!$A$2:$G1058,7,FALSE()),"please select a BUG ID")</f>
        <v>https://opendev.org/openstack/nova/commit/abc656d</v>
      </c>
    </row>
    <row r="87">
      <c r="A87" s="16" t="s">
        <v>46</v>
      </c>
      <c r="B87" s="50" t="str">
        <f>IFERROR(HYPERLINK(VLOOKUP(A87,Internal_lists_bugs!$A$2:$C$73,3,FALSE()), VLOOKUP(A87,Internal_lists_bugs!$A$2:$C$73,3,FALSE())&amp;Char(10) &amp; Char(10) &amp; VLOOKUP(A87,Internal_lists_bugs!$A$2:$Z$73,26,FALSE())),"please select a BUG ID")</f>
        <v>https://bugs.launchpad.net/nova/+bug/1434855
/os-extended-volumes/v2.3/server-get-resp.json
/os-extended-volumes/v2.3/servers-detail-resp.json </v>
      </c>
      <c r="C87" s="81" t="str">
        <f>IFERROR(VLOOKUP(A87,Internal_lists_bugs!$A$2:$T1058,20,FALSE()),"please select a BUG ID")</f>
        <v>https://opendev.org/openstack/nova/commit/abc656d</v>
      </c>
      <c r="D87" s="14" t="s">
        <v>1206</v>
      </c>
      <c r="E87" s="54"/>
      <c r="F87" s="79" t="s">
        <v>1176</v>
      </c>
      <c r="G87" s="93" t="s">
        <v>1177</v>
      </c>
      <c r="H87" s="54"/>
      <c r="I87" s="81" t="str">
        <f>IFERROR(VLOOKUP(A87,Internal_lists_bugs!$A$2:$G1058,7,FALSE()),"please select a BUG ID")</f>
        <v>https://opendev.org/openstack/nova/commit/abc656d</v>
      </c>
    </row>
    <row r="88">
      <c r="A88" s="16" t="s">
        <v>46</v>
      </c>
      <c r="B88" s="50" t="str">
        <f>IFERROR(HYPERLINK(VLOOKUP(A88,Internal_lists_bugs!$A$2:$C$73,3,FALSE()), VLOOKUP(A88,Internal_lists_bugs!$A$2:$C$73,3,FALSE())&amp;Char(10) &amp; Char(10) &amp; VLOOKUP(A88,Internal_lists_bugs!$A$2:$Z$73,26,FALSE())),"please select a BUG ID")</f>
        <v>https://bugs.launchpad.net/nova/+bug/1434855
/os-extended-volumes/v2.3/server-get-resp.json
/os-extended-volumes/v2.3/servers-detail-resp.json </v>
      </c>
      <c r="C88" s="81" t="str">
        <f>IFERROR(VLOOKUP(A88,Internal_lists_bugs!$A$2:$T1058,20,FALSE()),"please select a BUG ID")</f>
        <v>https://opendev.org/openstack/nova/commit/abc656d</v>
      </c>
      <c r="D88" s="14" t="s">
        <v>1206</v>
      </c>
      <c r="E88" s="54"/>
      <c r="F88" s="79" t="s">
        <v>1134</v>
      </c>
      <c r="G88" s="93" t="s">
        <v>1217</v>
      </c>
      <c r="H88" s="54"/>
      <c r="I88" s="81" t="str">
        <f>IFERROR(VLOOKUP(A88,Internal_lists_bugs!$A$2:$G1058,7,FALSE()),"please select a BUG ID")</f>
        <v>https://opendev.org/openstack/nova/commit/abc656d</v>
      </c>
    </row>
    <row r="89">
      <c r="A89" s="16" t="s">
        <v>46</v>
      </c>
      <c r="B89" s="50" t="str">
        <f>IFERROR(HYPERLINK(VLOOKUP(A89,Internal_lists_bugs!$A$2:$C$73,3,FALSE()), VLOOKUP(A89,Internal_lists_bugs!$A$2:$C$73,3,FALSE())&amp;Char(10) &amp; Char(10) &amp; VLOOKUP(A89,Internal_lists_bugs!$A$2:$Z$73,26,FALSE())),"please select a BUG ID")</f>
        <v>https://bugs.launchpad.net/nova/+bug/1434855
/os-extended-volumes/v2.3/server-get-resp.json
/os-extended-volumes/v2.3/servers-detail-resp.json </v>
      </c>
      <c r="C89" s="81" t="str">
        <f>IFERROR(VLOOKUP(A89,Internal_lists_bugs!$A$2:$T1058,20,FALSE()),"please select a BUG ID")</f>
        <v>https://opendev.org/openstack/nova/commit/abc656d</v>
      </c>
      <c r="D89" s="14" t="s">
        <v>1206</v>
      </c>
      <c r="E89" s="54"/>
      <c r="F89" s="79" t="s">
        <v>1146</v>
      </c>
      <c r="G89" s="93" t="s">
        <v>1218</v>
      </c>
      <c r="H89" s="54"/>
      <c r="I89" s="81" t="str">
        <f>IFERROR(VLOOKUP(A89,Internal_lists_bugs!$A$2:$G1058,7,FALSE()),"please select a BUG ID")</f>
        <v>https://opendev.org/openstack/nova/commit/abc656d</v>
      </c>
    </row>
    <row r="90">
      <c r="A90" s="16" t="s">
        <v>46</v>
      </c>
      <c r="B90" s="50" t="str">
        <f>IFERROR(HYPERLINK(VLOOKUP(A90,Internal_lists_bugs!$A$2:$C$73,3,FALSE()), VLOOKUP(A90,Internal_lists_bugs!$A$2:$C$73,3,FALSE())&amp;Char(10) &amp; Char(10) &amp; VLOOKUP(A90,Internal_lists_bugs!$A$2:$Z$73,26,FALSE())),"please select a BUG ID")</f>
        <v>https://bugs.launchpad.net/nova/+bug/1434855
/os-extended-volumes/v2.3/server-get-resp.json
/os-extended-volumes/v2.3/servers-detail-resp.json </v>
      </c>
      <c r="C90" s="81" t="str">
        <f>IFERROR(VLOOKUP(A90,Internal_lists_bugs!$A$2:$T1058,20,FALSE()),"please select a BUG ID")</f>
        <v>https://opendev.org/openstack/nova/commit/abc656d</v>
      </c>
      <c r="D90" s="14" t="s">
        <v>1206</v>
      </c>
      <c r="E90" s="54"/>
      <c r="F90" s="79" t="s">
        <v>1188</v>
      </c>
      <c r="G90" s="93" t="s">
        <v>1219</v>
      </c>
      <c r="H90" s="54"/>
      <c r="I90" s="81" t="str">
        <f>IFERROR(VLOOKUP(A90,Internal_lists_bugs!$A$2:$G1058,7,FALSE()),"please select a BUG ID")</f>
        <v>https://opendev.org/openstack/nova/commit/abc656d</v>
      </c>
    </row>
    <row r="91">
      <c r="A91" s="16" t="s">
        <v>46</v>
      </c>
      <c r="B91" s="50" t="str">
        <f>IFERROR(HYPERLINK(VLOOKUP(A91,Internal_lists_bugs!$A$2:$C$73,3,FALSE()), VLOOKUP(A91,Internal_lists_bugs!$A$2:$C$73,3,FALSE())&amp;Char(10) &amp; Char(10) &amp; VLOOKUP(A91,Internal_lists_bugs!$A$2:$Z$73,26,FALSE())),"please select a BUG ID")</f>
        <v>https://bugs.launchpad.net/nova/+bug/1434855
/os-extended-volumes/v2.3/server-get-resp.json
/os-extended-volumes/v2.3/servers-detail-resp.json </v>
      </c>
      <c r="C91" s="81" t="str">
        <f>IFERROR(VLOOKUP(A91,Internal_lists_bugs!$A$2:$T1058,20,FALSE()),"please select a BUG ID")</f>
        <v>https://opendev.org/openstack/nova/commit/abc656d</v>
      </c>
      <c r="D91" s="14" t="s">
        <v>1206</v>
      </c>
      <c r="E91" s="54"/>
      <c r="F91" s="79" t="s">
        <v>1186</v>
      </c>
      <c r="G91" s="93" t="s">
        <v>1220</v>
      </c>
      <c r="H91" s="54"/>
      <c r="I91" s="81" t="str">
        <f>IFERROR(VLOOKUP(A91,Internal_lists_bugs!$A$2:$G1058,7,FALSE()),"please select a BUG ID")</f>
        <v>https://opendev.org/openstack/nova/commit/abc656d</v>
      </c>
    </row>
    <row r="92">
      <c r="A92" s="16" t="s">
        <v>46</v>
      </c>
      <c r="B92" s="50" t="str">
        <f>IFERROR(HYPERLINK(VLOOKUP(A92,Internal_lists_bugs!$A$2:$C$73,3,FALSE()), VLOOKUP(A92,Internal_lists_bugs!$A$2:$C$73,3,FALSE())&amp;Char(10) &amp; Char(10) &amp; VLOOKUP(A92,Internal_lists_bugs!$A$2:$Z$73,26,FALSE())),"please select a BUG ID")</f>
        <v>https://bugs.launchpad.net/nova/+bug/1434855
/os-extended-volumes/v2.3/server-get-resp.json
/os-extended-volumes/v2.3/servers-detail-resp.json </v>
      </c>
      <c r="C92" s="81" t="str">
        <f>IFERROR(VLOOKUP(A92,Internal_lists_bugs!$A$2:$T1058,20,FALSE()),"please select a BUG ID")</f>
        <v>https://opendev.org/openstack/nova/commit/abc656d</v>
      </c>
      <c r="D92" s="14" t="s">
        <v>1206</v>
      </c>
      <c r="E92" s="54"/>
      <c r="F92" s="79" t="s">
        <v>1202</v>
      </c>
      <c r="G92" s="93" t="s">
        <v>1221</v>
      </c>
      <c r="H92" s="54"/>
      <c r="I92" s="81" t="str">
        <f>IFERROR(VLOOKUP(A92,Internal_lists_bugs!$A$2:$G1058,7,FALSE()),"please select a BUG ID")</f>
        <v>https://opendev.org/openstack/nova/commit/abc656d</v>
      </c>
    </row>
    <row r="93">
      <c r="A93" s="16" t="s">
        <v>46</v>
      </c>
      <c r="B93" s="50" t="str">
        <f>IFERROR(HYPERLINK(VLOOKUP(A93,Internal_lists_bugs!$A$2:$C$73,3,FALSE()), VLOOKUP(A93,Internal_lists_bugs!$A$2:$C$73,3,FALSE())&amp;Char(10) &amp; Char(10) &amp; VLOOKUP(A93,Internal_lists_bugs!$A$2:$Z$73,26,FALSE())),"please select a BUG ID")</f>
        <v>https://bugs.launchpad.net/nova/+bug/1434855
/os-extended-volumes/v2.3/server-get-resp.json
/os-extended-volumes/v2.3/servers-detail-resp.json </v>
      </c>
      <c r="C93" s="81" t="str">
        <f>IFERROR(VLOOKUP(A93,Internal_lists_bugs!$A$2:$T1058,20,FALSE()),"please select a BUG ID")</f>
        <v>https://opendev.org/openstack/nova/commit/abc656d</v>
      </c>
      <c r="D93" s="14" t="s">
        <v>1206</v>
      </c>
      <c r="E93" s="54"/>
      <c r="F93" s="79" t="s">
        <v>1222</v>
      </c>
      <c r="G93" s="94" t="s">
        <v>1223</v>
      </c>
      <c r="H93" s="54"/>
      <c r="I93" s="81" t="str">
        <f>IFERROR(VLOOKUP(A93,Internal_lists_bugs!$A$2:$G1058,7,FALSE()),"please select a BUG ID")</f>
        <v>https://opendev.org/openstack/nova/commit/abc656d</v>
      </c>
    </row>
    <row r="94">
      <c r="A94" s="95" t="s">
        <v>46</v>
      </c>
      <c r="B94" s="50" t="str">
        <f>IFERROR(HYPERLINK(VLOOKUP(A94,Internal_lists_bugs!$A$2:$C$73,3,FALSE()), VLOOKUP(A94,Internal_lists_bugs!$A$2:$C$73,3,FALSE())&amp;Char(10) &amp; Char(10) &amp; VLOOKUP(A94,Internal_lists_bugs!$A$2:$Z$73,26,FALSE())),"please select a BUG ID")</f>
        <v>https://bugs.launchpad.net/nova/+bug/1434855
/os-extended-volumes/v2.3/server-get-resp.json
/os-extended-volumes/v2.3/servers-detail-resp.json </v>
      </c>
      <c r="C94" s="81" t="str">
        <f>IFERROR(VLOOKUP(A94,Internal_lists_bugs!$A$2:$T1058,20,FALSE()),"please select a BUG ID")</f>
        <v>https://opendev.org/openstack/nova/commit/abc656d</v>
      </c>
      <c r="D94" s="96"/>
      <c r="E94" s="16"/>
      <c r="F94" s="97"/>
      <c r="G94" s="98"/>
      <c r="H94" s="16"/>
      <c r="I94" s="51"/>
    </row>
    <row r="95">
      <c r="A95" s="95" t="s">
        <v>46</v>
      </c>
      <c r="B95" s="50" t="str">
        <f>IFERROR(HYPERLINK(VLOOKUP(A95,Internal_lists_bugs!$A$2:$C$73,3,FALSE()), VLOOKUP(A95,Internal_lists_bugs!$A$2:$C$73,3,FALSE())&amp;Char(10) &amp; Char(10) &amp; VLOOKUP(A95,Internal_lists_bugs!$A$2:$Z$73,26,FALSE())),"please select a BUG ID")</f>
        <v>https://bugs.launchpad.net/nova/+bug/1434855
/os-extended-volumes/v2.3/server-get-resp.json
/os-extended-volumes/v2.3/servers-detail-resp.json </v>
      </c>
      <c r="C95" s="81" t="str">
        <f>IFERROR(VLOOKUP(A95,Internal_lists_bugs!$A$2:$T1058,20,FALSE()),"please select a BUG ID")</f>
        <v>https://opendev.org/openstack/nova/commit/abc656d</v>
      </c>
      <c r="D95" s="96"/>
      <c r="E95" s="16"/>
      <c r="F95" s="97"/>
      <c r="G95" s="98"/>
      <c r="H95" s="16"/>
      <c r="I95" s="51"/>
    </row>
    <row r="96">
      <c r="A96" s="95" t="s">
        <v>46</v>
      </c>
      <c r="B96" s="50" t="str">
        <f>IFERROR(HYPERLINK(VLOOKUP(A96,Internal_lists_bugs!$A$2:$C$73,3,FALSE()), VLOOKUP(A96,Internal_lists_bugs!$A$2:$C$73,3,FALSE())&amp;Char(10) &amp; Char(10) &amp; VLOOKUP(A96,Internal_lists_bugs!$A$2:$Z$73,26,FALSE())),"please select a BUG ID")</f>
        <v>https://bugs.launchpad.net/nova/+bug/1434855
/os-extended-volumes/v2.3/server-get-resp.json
/os-extended-volumes/v2.3/servers-detail-resp.json </v>
      </c>
      <c r="C96" s="81" t="str">
        <f>IFERROR(VLOOKUP(A96,Internal_lists_bugs!$A$2:$T1058,20,FALSE()),"please select a BUG ID")</f>
        <v>https://opendev.org/openstack/nova/commit/abc656d</v>
      </c>
      <c r="D96" s="96"/>
      <c r="E96" s="16"/>
      <c r="F96" s="97"/>
      <c r="G96" s="98"/>
      <c r="H96" s="16"/>
      <c r="I96" s="51"/>
    </row>
    <row r="97">
      <c r="A97" s="95" t="s">
        <v>46</v>
      </c>
      <c r="B97" s="50" t="str">
        <f>IFERROR(HYPERLINK(VLOOKUP(A97,Internal_lists_bugs!$A$2:$C$73,3,FALSE()), VLOOKUP(A97,Internal_lists_bugs!$A$2:$C$73,3,FALSE())&amp;Char(10) &amp; Char(10) &amp; VLOOKUP(A97,Internal_lists_bugs!$A$2:$Z$73,26,FALSE())),"please select a BUG ID")</f>
        <v>https://bugs.launchpad.net/nova/+bug/1434855
/os-extended-volumes/v2.3/server-get-resp.json
/os-extended-volumes/v2.3/servers-detail-resp.json </v>
      </c>
      <c r="C97" s="81" t="str">
        <f>IFERROR(VLOOKUP(A97,Internal_lists_bugs!$A$2:$T1058,20,FALSE()),"please select a BUG ID")</f>
        <v>https://opendev.org/openstack/nova/commit/abc656d</v>
      </c>
      <c r="D97" s="96"/>
      <c r="E97" s="16"/>
      <c r="F97" s="97"/>
      <c r="G97" s="98"/>
      <c r="H97" s="16"/>
      <c r="I97" s="51"/>
    </row>
    <row r="98">
      <c r="A98" s="95" t="s">
        <v>46</v>
      </c>
      <c r="B98" s="50" t="str">
        <f>IFERROR(HYPERLINK(VLOOKUP(A98,Internal_lists_bugs!$A$2:$C$73,3,FALSE()), VLOOKUP(A98,Internal_lists_bugs!$A$2:$C$73,3,FALSE())&amp;Char(10) &amp; Char(10) &amp; VLOOKUP(A98,Internal_lists_bugs!$A$2:$Z$73,26,FALSE())),"please select a BUG ID")</f>
        <v>https://bugs.launchpad.net/nova/+bug/1434855
/os-extended-volumes/v2.3/server-get-resp.json
/os-extended-volumes/v2.3/servers-detail-resp.json </v>
      </c>
      <c r="C98" s="81" t="str">
        <f>IFERROR(VLOOKUP(A98,Internal_lists_bugs!$A$2:$T1058,20,FALSE()),"please select a BUG ID")</f>
        <v>https://opendev.org/openstack/nova/commit/abc656d</v>
      </c>
      <c r="D98" s="96"/>
      <c r="E98" s="16"/>
      <c r="F98" s="97"/>
      <c r="G98" s="98"/>
      <c r="H98" s="16"/>
      <c r="I98" s="51"/>
    </row>
    <row r="99">
      <c r="A99" s="95" t="s">
        <v>46</v>
      </c>
      <c r="B99" s="50" t="str">
        <f>IFERROR(HYPERLINK(VLOOKUP(A99,Internal_lists_bugs!$A$2:$C$73,3,FALSE()), VLOOKUP(A99,Internal_lists_bugs!$A$2:$C$73,3,FALSE())&amp;Char(10) &amp; Char(10) &amp; VLOOKUP(A99,Internal_lists_bugs!$A$2:$Z$73,26,FALSE())),"please select a BUG ID")</f>
        <v>https://bugs.launchpad.net/nova/+bug/1434855
/os-extended-volumes/v2.3/server-get-resp.json
/os-extended-volumes/v2.3/servers-detail-resp.json </v>
      </c>
      <c r="C99" s="81" t="str">
        <f>IFERROR(VLOOKUP(A99,Internal_lists_bugs!$A$2:$T1058,20,FALSE()),"please select a BUG ID")</f>
        <v>https://opendev.org/openstack/nova/commit/abc656d</v>
      </c>
      <c r="D99" s="96"/>
      <c r="E99" s="16"/>
      <c r="F99" s="97"/>
      <c r="G99" s="98"/>
      <c r="H99" s="16"/>
      <c r="I99" s="51"/>
    </row>
    <row r="100">
      <c r="A100" s="95" t="s">
        <v>46</v>
      </c>
      <c r="B100" s="50" t="str">
        <f>IFERROR(HYPERLINK(VLOOKUP(A100,Internal_lists_bugs!$A$2:$C$73,3,FALSE()), VLOOKUP(A100,Internal_lists_bugs!$A$2:$C$73,3,FALSE())&amp;Char(10) &amp; Char(10) &amp; VLOOKUP(A100,Internal_lists_bugs!$A$2:$Z$73,26,FALSE())),"please select a BUG ID")</f>
        <v>https://bugs.launchpad.net/nova/+bug/1434855
/os-extended-volumes/v2.3/server-get-resp.json
/os-extended-volumes/v2.3/servers-detail-resp.json </v>
      </c>
      <c r="C100" s="81" t="str">
        <f>IFERROR(VLOOKUP(A100,Internal_lists_bugs!$A$2:$T1058,20,FALSE()),"please select a BUG ID")</f>
        <v>https://opendev.org/openstack/nova/commit/abc656d</v>
      </c>
      <c r="D100" s="96"/>
      <c r="E100" s="16"/>
      <c r="F100" s="97"/>
      <c r="G100" s="98"/>
      <c r="H100" s="16"/>
      <c r="I100" s="51"/>
    </row>
    <row r="101">
      <c r="A101" s="95" t="s">
        <v>46</v>
      </c>
      <c r="B101" s="50" t="str">
        <f>IFERROR(HYPERLINK(VLOOKUP(A101,Internal_lists_bugs!$A$2:$C$73,3,FALSE()), VLOOKUP(A101,Internal_lists_bugs!$A$2:$C$73,3,FALSE())&amp;Char(10) &amp; Char(10) &amp; VLOOKUP(A101,Internal_lists_bugs!$A$2:$Z$73,26,FALSE())),"please select a BUG ID")</f>
        <v>https://bugs.launchpad.net/nova/+bug/1434855
/os-extended-volumes/v2.3/server-get-resp.json
/os-extended-volumes/v2.3/servers-detail-resp.json </v>
      </c>
      <c r="C101" s="81" t="str">
        <f>IFERROR(VLOOKUP(A101,Internal_lists_bugs!$A$2:$T1058,20,FALSE()),"please select a BUG ID")</f>
        <v>https://opendev.org/openstack/nova/commit/abc656d</v>
      </c>
      <c r="D101" s="96"/>
      <c r="E101" s="16"/>
      <c r="F101" s="97"/>
      <c r="G101" s="98"/>
      <c r="H101" s="16"/>
      <c r="I101" s="51"/>
    </row>
    <row r="102">
      <c r="A102" s="16" t="s">
        <v>47</v>
      </c>
      <c r="B102" s="50" t="str">
        <f>IFERROR(HYPERLINK(VLOOKUP(A102,Internal_lists_bugs!$A$2:$C$73,3,FALSE()), VLOOKUP(A102,Internal_lists_bugs!$A$2:$C$73,3,FALSE())&amp;Char(10) &amp; Char(10) &amp; VLOOKUP(A102,Internal_lists_bugs!$A$2:$Z$73,26,FALSE())),"please select a BUG ID")</f>
        <v>https://bugs.launchpad.net/nova/+bug/1447249
/virt/ironic/driver.py</v>
      </c>
      <c r="C102" s="51" t="str">
        <f>IFERROR(VLOOKUP(A102,Internal_lists_bugs!$A$2:$T1058,20,FALSE()),"please select a BUG ID")</f>
        <v>None identified</v>
      </c>
      <c r="D102" s="14" t="s">
        <v>1224</v>
      </c>
      <c r="E102" s="16" t="s">
        <v>1157</v>
      </c>
      <c r="F102" s="79" t="s">
        <v>1136</v>
      </c>
      <c r="G102" s="93" t="s">
        <v>1225</v>
      </c>
      <c r="H102" s="16" t="s">
        <v>1114</v>
      </c>
      <c r="I102" s="81" t="str">
        <f>IFERROR(VLOOKUP(A102,Internal_lists_bugs!$A$2:$G1058,7,FALSE()),"please select a BUG ID")</f>
        <v>https://opendev.org/openstack/nova/commit/1682c5b</v>
      </c>
    </row>
    <row r="103">
      <c r="A103" s="16" t="s">
        <v>47</v>
      </c>
      <c r="B103" s="50" t="str">
        <f>IFERROR(HYPERLINK(VLOOKUP(A103,Internal_lists_bugs!$A$2:$C$73,3,FALSE()), VLOOKUP(A103,Internal_lists_bugs!$A$2:$C$73,3,FALSE())&amp;Char(10) &amp; Char(10) &amp; VLOOKUP(A103,Internal_lists_bugs!$A$2:$Z$73,26,FALSE())),"please select a BUG ID")</f>
        <v>https://bugs.launchpad.net/nova/+bug/1447249
/virt/ironic/driver.py</v>
      </c>
      <c r="C103" s="51" t="str">
        <f>IFERROR(VLOOKUP(A103,Internal_lists_bugs!$A$2:$T1058,20,FALSE()),"please select a BUG ID")</f>
        <v>None identified</v>
      </c>
      <c r="D103" s="14" t="s">
        <v>1224</v>
      </c>
      <c r="E103" s="54"/>
      <c r="F103" s="79" t="s">
        <v>1121</v>
      </c>
      <c r="G103" s="93" t="s">
        <v>1226</v>
      </c>
      <c r="H103" s="54"/>
      <c r="I103" s="81" t="str">
        <f>IFERROR(VLOOKUP(A103,Internal_lists_bugs!$A$2:$G1058,7,FALSE()),"please select a BUG ID")</f>
        <v>https://opendev.org/openstack/nova/commit/1682c5b</v>
      </c>
    </row>
    <row r="104">
      <c r="A104" s="16" t="s">
        <v>47</v>
      </c>
      <c r="B104" s="50" t="str">
        <f>IFERROR(HYPERLINK(VLOOKUP(A104,Internal_lists_bugs!$A$2:$C$73,3,FALSE()), VLOOKUP(A104,Internal_lists_bugs!$A$2:$C$73,3,FALSE())&amp;Char(10) &amp; Char(10) &amp; VLOOKUP(A104,Internal_lists_bugs!$A$2:$Z$73,26,FALSE())),"please select a BUG ID")</f>
        <v>https://bugs.launchpad.net/nova/+bug/1447249
/virt/ironic/driver.py</v>
      </c>
      <c r="C104" s="51" t="str">
        <f>IFERROR(VLOOKUP(A104,Internal_lists_bugs!$A$2:$T1058,20,FALSE()),"please select a BUG ID")</f>
        <v>None identified</v>
      </c>
      <c r="D104" s="14" t="s">
        <v>1224</v>
      </c>
      <c r="E104" s="54"/>
      <c r="F104" s="79" t="s">
        <v>1144</v>
      </c>
      <c r="G104" s="93" t="s">
        <v>1227</v>
      </c>
      <c r="H104" s="54"/>
      <c r="I104" s="81" t="str">
        <f>IFERROR(VLOOKUP(A104,Internal_lists_bugs!$A$2:$G1058,7,FALSE()),"please select a BUG ID")</f>
        <v>https://opendev.org/openstack/nova/commit/1682c5b</v>
      </c>
    </row>
    <row r="105">
      <c r="A105" s="16" t="s">
        <v>47</v>
      </c>
      <c r="B105" s="50" t="str">
        <f>IFERROR(HYPERLINK(VLOOKUP(A105,Internal_lists_bugs!$A$2:$C$73,3,FALSE()), VLOOKUP(A105,Internal_lists_bugs!$A$2:$C$73,3,FALSE())&amp;Char(10) &amp; Char(10) &amp; VLOOKUP(A105,Internal_lists_bugs!$A$2:$Z$73,26,FALSE())),"please select a BUG ID")</f>
        <v>https://bugs.launchpad.net/nova/+bug/1447249
/virt/ironic/driver.py</v>
      </c>
      <c r="C105" s="51" t="str">
        <f>IFERROR(VLOOKUP(A105,Internal_lists_bugs!$A$2:$T1058,20,FALSE()),"please select a BUG ID")</f>
        <v>None identified</v>
      </c>
      <c r="D105" s="14" t="s">
        <v>1224</v>
      </c>
      <c r="E105" s="54"/>
      <c r="F105" s="79" t="s">
        <v>1160</v>
      </c>
      <c r="G105" s="93" t="s">
        <v>1228</v>
      </c>
      <c r="H105" s="54"/>
      <c r="I105" s="81" t="str">
        <f>IFERROR(VLOOKUP(A105,Internal_lists_bugs!$A$2:$G1058,7,FALSE()),"please select a BUG ID")</f>
        <v>https://opendev.org/openstack/nova/commit/1682c5b</v>
      </c>
    </row>
    <row r="106">
      <c r="A106" s="16" t="s">
        <v>47</v>
      </c>
      <c r="B106" s="50" t="str">
        <f>IFERROR(HYPERLINK(VLOOKUP(A106,Internal_lists_bugs!$A$2:$C$73,3,FALSE()), VLOOKUP(A106,Internal_lists_bugs!$A$2:$C$73,3,FALSE())&amp;Char(10) &amp; Char(10) &amp; VLOOKUP(A106,Internal_lists_bugs!$A$2:$Z$73,26,FALSE())),"please select a BUG ID")</f>
        <v>https://bugs.launchpad.net/nova/+bug/1447249
/virt/ironic/driver.py</v>
      </c>
      <c r="C106" s="51" t="str">
        <f>IFERROR(VLOOKUP(A106,Internal_lists_bugs!$A$2:$T1058,20,FALSE()),"please select a BUG ID")</f>
        <v>None identified</v>
      </c>
      <c r="D106" s="14" t="s">
        <v>1224</v>
      </c>
      <c r="E106" s="54"/>
      <c r="F106" s="79" t="s">
        <v>1123</v>
      </c>
      <c r="G106" s="93" t="s">
        <v>1229</v>
      </c>
      <c r="H106" s="54"/>
      <c r="I106" s="81" t="str">
        <f>IFERROR(VLOOKUP(A106,Internal_lists_bugs!$A$2:$G1058,7,FALSE()),"please select a BUG ID")</f>
        <v>https://opendev.org/openstack/nova/commit/1682c5b</v>
      </c>
    </row>
    <row r="107">
      <c r="A107" s="16" t="s">
        <v>47</v>
      </c>
      <c r="B107" s="50" t="str">
        <f>IFERROR(HYPERLINK(VLOOKUP(A107,Internal_lists_bugs!$A$2:$C$73,3,FALSE()), VLOOKUP(A107,Internal_lists_bugs!$A$2:$C$73,3,FALSE())&amp;Char(10) &amp; Char(10) &amp; VLOOKUP(A107,Internal_lists_bugs!$A$2:$Z$73,26,FALSE())),"please select a BUG ID")</f>
        <v>https://bugs.launchpad.net/nova/+bug/1447249
/virt/ironic/driver.py</v>
      </c>
      <c r="C107" s="51" t="str">
        <f>IFERROR(VLOOKUP(A107,Internal_lists_bugs!$A$2:$T1058,20,FALSE()),"please select a BUG ID")</f>
        <v>None identified</v>
      </c>
      <c r="D107" s="14" t="s">
        <v>1224</v>
      </c>
      <c r="E107" s="54"/>
      <c r="F107" s="79" t="s">
        <v>1162</v>
      </c>
      <c r="G107" s="93" t="s">
        <v>1230</v>
      </c>
      <c r="H107" s="54"/>
      <c r="I107" s="81" t="str">
        <f>IFERROR(VLOOKUP(A107,Internal_lists_bugs!$A$2:$G1058,7,FALSE()),"please select a BUG ID")</f>
        <v>https://opendev.org/openstack/nova/commit/1682c5b</v>
      </c>
    </row>
    <row r="108">
      <c r="A108" s="16" t="s">
        <v>47</v>
      </c>
      <c r="B108" s="50" t="str">
        <f>IFERROR(HYPERLINK(VLOOKUP(A108,Internal_lists_bugs!$A$2:$C$73,3,FALSE()), VLOOKUP(A108,Internal_lists_bugs!$A$2:$C$73,3,FALSE())&amp;Char(10) &amp; Char(10) &amp; VLOOKUP(A108,Internal_lists_bugs!$A$2:$Z$73,26,FALSE())),"please select a BUG ID")</f>
        <v>https://bugs.launchpad.net/nova/+bug/1447249
/virt/ironic/driver.py</v>
      </c>
      <c r="C108" s="51" t="str">
        <f>IFERROR(VLOOKUP(A108,Internal_lists_bugs!$A$2:$T1058,20,FALSE()),"please select a BUG ID")</f>
        <v>None identified</v>
      </c>
      <c r="D108" s="14" t="s">
        <v>1224</v>
      </c>
      <c r="E108" s="54"/>
      <c r="F108" s="79" t="s">
        <v>1164</v>
      </c>
      <c r="G108" s="93" t="s">
        <v>1231</v>
      </c>
      <c r="H108" s="54"/>
      <c r="I108" s="81" t="str">
        <f>IFERROR(VLOOKUP(A108,Internal_lists_bugs!$A$2:$G1058,7,FALSE()),"please select a BUG ID")</f>
        <v>https://opendev.org/openstack/nova/commit/1682c5b</v>
      </c>
    </row>
    <row r="109">
      <c r="A109" s="16" t="s">
        <v>47</v>
      </c>
      <c r="B109" s="50" t="str">
        <f>IFERROR(HYPERLINK(VLOOKUP(A109,Internal_lists_bugs!$A$2:$C$73,3,FALSE()), VLOOKUP(A109,Internal_lists_bugs!$A$2:$C$73,3,FALSE())&amp;Char(10) &amp; Char(10) &amp; VLOOKUP(A109,Internal_lists_bugs!$A$2:$Z$73,26,FALSE())),"please select a BUG ID")</f>
        <v>https://bugs.launchpad.net/nova/+bug/1447249
/virt/ironic/driver.py</v>
      </c>
      <c r="C109" s="51" t="str">
        <f>IFERROR(VLOOKUP(A109,Internal_lists_bugs!$A$2:$T1058,20,FALSE()),"please select a BUG ID")</f>
        <v>None identified</v>
      </c>
      <c r="D109" s="14" t="s">
        <v>1224</v>
      </c>
      <c r="E109" s="54"/>
      <c r="F109" s="79" t="s">
        <v>1166</v>
      </c>
      <c r="G109" s="93" t="s">
        <v>1232</v>
      </c>
      <c r="H109" s="54"/>
      <c r="I109" s="81" t="str">
        <f>IFERROR(VLOOKUP(A109,Internal_lists_bugs!$A$2:$G1058,7,FALSE()),"please select a BUG ID")</f>
        <v>https://opendev.org/openstack/nova/commit/1682c5b</v>
      </c>
    </row>
    <row r="110">
      <c r="A110" s="16" t="s">
        <v>47</v>
      </c>
      <c r="B110" s="50" t="str">
        <f>IFERROR(HYPERLINK(VLOOKUP(A110,Internal_lists_bugs!$A$2:$C$73,3,FALSE()), VLOOKUP(A110,Internal_lists_bugs!$A$2:$C$73,3,FALSE())&amp;Char(10) &amp; Char(10) &amp; VLOOKUP(A110,Internal_lists_bugs!$A$2:$Z$73,26,FALSE())),"please select a BUG ID")</f>
        <v>https://bugs.launchpad.net/nova/+bug/1447249
/virt/ironic/driver.py</v>
      </c>
      <c r="C110" s="51" t="str">
        <f>IFERROR(VLOOKUP(A110,Internal_lists_bugs!$A$2:$T1058,20,FALSE()),"please select a BUG ID")</f>
        <v>None identified</v>
      </c>
      <c r="D110" s="14" t="s">
        <v>1224</v>
      </c>
      <c r="E110" s="54"/>
      <c r="F110" s="79" t="s">
        <v>1182</v>
      </c>
      <c r="G110" s="93" t="s">
        <v>1233</v>
      </c>
      <c r="H110" s="54"/>
      <c r="I110" s="81" t="str">
        <f>IFERROR(VLOOKUP(A110,Internal_lists_bugs!$A$2:$G1058,7,FALSE()),"please select a BUG ID")</f>
        <v>https://opendev.org/openstack/nova/commit/1682c5b</v>
      </c>
    </row>
    <row r="111">
      <c r="A111" s="16" t="s">
        <v>47</v>
      </c>
      <c r="B111" s="50" t="str">
        <f>IFERROR(HYPERLINK(VLOOKUP(A111,Internal_lists_bugs!$A$2:$C$73,3,FALSE()), VLOOKUP(A111,Internal_lists_bugs!$A$2:$C$73,3,FALSE())&amp;Char(10) &amp; Char(10) &amp; VLOOKUP(A111,Internal_lists_bugs!$A$2:$Z$73,26,FALSE())),"please select a BUG ID")</f>
        <v>https://bugs.launchpad.net/nova/+bug/1447249
/virt/ironic/driver.py</v>
      </c>
      <c r="C111" s="51" t="str">
        <f>IFERROR(VLOOKUP(A111,Internal_lists_bugs!$A$2:$T1058,20,FALSE()),"please select a BUG ID")</f>
        <v>None identified</v>
      </c>
      <c r="D111" s="14" t="s">
        <v>1224</v>
      </c>
      <c r="E111" s="54"/>
      <c r="F111" s="79" t="s">
        <v>1172</v>
      </c>
      <c r="G111" s="93" t="s">
        <v>1234</v>
      </c>
      <c r="H111" s="54"/>
      <c r="I111" s="81" t="str">
        <f>IFERROR(VLOOKUP(A111,Internal_lists_bugs!$A$2:$G1058,7,FALSE()),"please select a BUG ID")</f>
        <v>https://opendev.org/openstack/nova/commit/1682c5b</v>
      </c>
    </row>
    <row r="112">
      <c r="A112" s="16" t="s">
        <v>47</v>
      </c>
      <c r="B112" s="50" t="str">
        <f>IFERROR(HYPERLINK(VLOOKUP(A112,Internal_lists_bugs!$A$2:$C$73,3,FALSE()), VLOOKUP(A112,Internal_lists_bugs!$A$2:$C$73,3,FALSE())&amp;Char(10) &amp; Char(10) &amp; VLOOKUP(A112,Internal_lists_bugs!$A$2:$Z$73,26,FALSE())),"please select a BUG ID")</f>
        <v>https://bugs.launchpad.net/nova/+bug/1447249
/virt/ironic/driver.py</v>
      </c>
      <c r="C112" s="51" t="str">
        <f>IFERROR(VLOOKUP(A112,Internal_lists_bugs!$A$2:$T1058,20,FALSE()),"please select a BUG ID")</f>
        <v>None identified</v>
      </c>
      <c r="D112" s="14" t="s">
        <v>1224</v>
      </c>
      <c r="E112" s="54"/>
      <c r="F112" s="79" t="s">
        <v>1174</v>
      </c>
      <c r="G112" s="93" t="s">
        <v>1235</v>
      </c>
      <c r="H112" s="54"/>
      <c r="I112" s="51"/>
    </row>
    <row r="113">
      <c r="A113" s="16" t="s">
        <v>47</v>
      </c>
      <c r="B113" s="50" t="str">
        <f>IFERROR(HYPERLINK(VLOOKUP(A113,Internal_lists_bugs!$A$2:$C$73,3,FALSE()), VLOOKUP(A113,Internal_lists_bugs!$A$2:$C$73,3,FALSE())&amp;Char(10) &amp; Char(10) &amp; VLOOKUP(A113,Internal_lists_bugs!$A$2:$Z$73,26,FALSE())),"please select a BUG ID")</f>
        <v>https://bugs.launchpad.net/nova/+bug/1447249
/virt/ironic/driver.py</v>
      </c>
      <c r="C113" s="51" t="str">
        <f>IFERROR(VLOOKUP(A113,Internal_lists_bugs!$A$2:$T1058,20,FALSE()),"please select a BUG ID")</f>
        <v>None identified</v>
      </c>
      <c r="D113" s="14" t="s">
        <v>1224</v>
      </c>
      <c r="E113" s="54"/>
      <c r="F113" s="79" t="s">
        <v>1176</v>
      </c>
      <c r="G113" s="93" t="s">
        <v>1236</v>
      </c>
      <c r="H113" s="54"/>
      <c r="I113" s="51"/>
    </row>
    <row r="114">
      <c r="A114" s="16" t="s">
        <v>47</v>
      </c>
      <c r="B114" s="50" t="str">
        <f>IFERROR(HYPERLINK(VLOOKUP(A114,Internal_lists_bugs!$A$2:$C$73,3,FALSE()), VLOOKUP(A114,Internal_lists_bugs!$A$2:$C$73,3,FALSE())&amp;Char(10) &amp; Char(10) &amp; VLOOKUP(A114,Internal_lists_bugs!$A$2:$Z$73,26,FALSE())),"please select a BUG ID")</f>
        <v>https://bugs.launchpad.net/nova/+bug/1447249
/virt/ironic/driver.py</v>
      </c>
      <c r="C114" s="51" t="str">
        <f>IFERROR(VLOOKUP(A114,Internal_lists_bugs!$A$2:$T1058,20,FALSE()),"please select a BUG ID")</f>
        <v>None identified</v>
      </c>
      <c r="D114" s="14" t="s">
        <v>1224</v>
      </c>
      <c r="E114" s="54"/>
      <c r="F114" s="79" t="s">
        <v>1134</v>
      </c>
      <c r="G114" s="93" t="s">
        <v>1237</v>
      </c>
      <c r="H114" s="54"/>
      <c r="I114" s="81" t="str">
        <f>IFERROR(VLOOKUP(A114,Internal_lists_bugs!$A$2:$G1058,7,FALSE()),"please select a BUG ID")</f>
        <v>https://opendev.org/openstack/nova/commit/1682c5b</v>
      </c>
    </row>
    <row r="115">
      <c r="A115" s="16" t="s">
        <v>47</v>
      </c>
      <c r="B115" s="50" t="str">
        <f>IFERROR(HYPERLINK(VLOOKUP(A115,Internal_lists_bugs!$A$2:$C$73,3,FALSE()), VLOOKUP(A115,Internal_lists_bugs!$A$2:$C$73,3,FALSE())&amp;Char(10) &amp; Char(10) &amp; VLOOKUP(A115,Internal_lists_bugs!$A$2:$Z$73,26,FALSE())),"please select a BUG ID")</f>
        <v>https://bugs.launchpad.net/nova/+bug/1447249
/virt/ironic/driver.py</v>
      </c>
      <c r="C115" s="51" t="str">
        <f>IFERROR(VLOOKUP(A115,Internal_lists_bugs!$A$2:$T1058,20,FALSE()),"please select a BUG ID")</f>
        <v>None identified</v>
      </c>
      <c r="D115" s="14" t="s">
        <v>1224</v>
      </c>
      <c r="E115" s="54"/>
      <c r="F115" s="79" t="s">
        <v>1146</v>
      </c>
      <c r="G115" s="93" t="s">
        <v>1238</v>
      </c>
      <c r="H115" s="54"/>
      <c r="I115" s="81" t="str">
        <f>IFERROR(VLOOKUP(A115,Internal_lists_bugs!$A$2:$G1058,7,FALSE()),"please select a BUG ID")</f>
        <v>https://opendev.org/openstack/nova/commit/1682c5b</v>
      </c>
    </row>
    <row r="116">
      <c r="A116" s="16" t="s">
        <v>47</v>
      </c>
      <c r="B116" s="50" t="str">
        <f>IFERROR(HYPERLINK(VLOOKUP(A116,Internal_lists_bugs!$A$2:$C$73,3,FALSE()), VLOOKUP(A116,Internal_lists_bugs!$A$2:$C$73,3,FALSE())&amp;Char(10) &amp; Char(10) &amp; VLOOKUP(A116,Internal_lists_bugs!$A$2:$Z$73,26,FALSE())),"please select a BUG ID")</f>
        <v>https://bugs.launchpad.net/nova/+bug/1447249
/virt/ironic/driver.py</v>
      </c>
      <c r="C116" s="51" t="str">
        <f>IFERROR(VLOOKUP(A116,Internal_lists_bugs!$A$2:$T1058,20,FALSE()),"please select a BUG ID")</f>
        <v>None identified</v>
      </c>
      <c r="D116" s="14" t="s">
        <v>1224</v>
      </c>
      <c r="E116" s="54"/>
      <c r="F116" s="79" t="s">
        <v>1178</v>
      </c>
      <c r="G116" s="93" t="s">
        <v>1239</v>
      </c>
      <c r="H116" s="54"/>
      <c r="I116" s="81" t="str">
        <f>IFERROR(VLOOKUP(A116,Internal_lists_bugs!$A$2:$G1058,7,FALSE()),"please select a BUG ID")</f>
        <v>https://opendev.org/openstack/nova/commit/1682c5b</v>
      </c>
    </row>
    <row r="117">
      <c r="A117" s="16" t="s">
        <v>47</v>
      </c>
      <c r="B117" s="50" t="str">
        <f>IFERROR(HYPERLINK(VLOOKUP(A117,Internal_lists_bugs!$A$2:$C$73,3,FALSE()), VLOOKUP(A117,Internal_lists_bugs!$A$2:$C$73,3,FALSE())&amp;Char(10) &amp; Char(10) &amp; VLOOKUP(A117,Internal_lists_bugs!$A$2:$Z$73,26,FALSE())),"please select a BUG ID")</f>
        <v>https://bugs.launchpad.net/nova/+bug/1447249
/virt/ironic/driver.py</v>
      </c>
      <c r="C117" s="51" t="str">
        <f>IFERROR(VLOOKUP(A117,Internal_lists_bugs!$A$2:$T1058,20,FALSE()),"please select a BUG ID")</f>
        <v>None identified</v>
      </c>
      <c r="D117" s="14" t="s">
        <v>1224</v>
      </c>
      <c r="E117" s="54"/>
      <c r="F117" s="79" t="s">
        <v>1186</v>
      </c>
      <c r="G117" s="93" t="s">
        <v>1240</v>
      </c>
      <c r="H117" s="54"/>
      <c r="I117" s="81" t="str">
        <f>IFERROR(VLOOKUP(A117,Internal_lists_bugs!$A$2:$G1058,7,FALSE()),"please select a BUG ID")</f>
        <v>https://opendev.org/openstack/nova/commit/1682c5b</v>
      </c>
    </row>
    <row r="118">
      <c r="A118" s="16" t="s">
        <v>47</v>
      </c>
      <c r="B118" s="50" t="str">
        <f>IFERROR(HYPERLINK(VLOOKUP(A118,Internal_lists_bugs!$A$2:$C$73,3,FALSE()), VLOOKUP(A118,Internal_lists_bugs!$A$2:$C$73,3,FALSE())&amp;Char(10) &amp; Char(10) &amp; VLOOKUP(A118,Internal_lists_bugs!$A$2:$Z$73,26,FALSE())),"please select a BUG ID")</f>
        <v>https://bugs.launchpad.net/nova/+bug/1447249
/virt/ironic/driver.py</v>
      </c>
      <c r="C118" s="51" t="str">
        <f>IFERROR(VLOOKUP(A118,Internal_lists_bugs!$A$2:$T1058,20,FALSE()),"please select a BUG ID")</f>
        <v>None identified</v>
      </c>
      <c r="D118" s="14" t="s">
        <v>1224</v>
      </c>
      <c r="E118" s="54"/>
      <c r="F118" s="79" t="s">
        <v>1188</v>
      </c>
      <c r="G118" s="93" t="s">
        <v>1241</v>
      </c>
      <c r="H118" s="54"/>
      <c r="I118" s="81" t="str">
        <f>IFERROR(VLOOKUP(A118,Internal_lists_bugs!$A$2:$G1058,7,FALSE()),"please select a BUG ID")</f>
        <v>https://opendev.org/openstack/nova/commit/1682c5b</v>
      </c>
    </row>
    <row r="119">
      <c r="A119" s="16" t="s">
        <v>47</v>
      </c>
      <c r="B119" s="50" t="str">
        <f>IFERROR(HYPERLINK(VLOOKUP(A119,Internal_lists_bugs!$A$2:$C$73,3,FALSE()), VLOOKUP(A119,Internal_lists_bugs!$A$2:$C$73,3,FALSE())&amp;Char(10) &amp; Char(10) &amp; VLOOKUP(A119,Internal_lists_bugs!$A$2:$Z$73,26,FALSE())),"please select a BUG ID")</f>
        <v>https://bugs.launchpad.net/nova/+bug/1447249
/virt/ironic/driver.py</v>
      </c>
      <c r="C119" s="51" t="str">
        <f>IFERROR(VLOOKUP(A119,Internal_lists_bugs!$A$2:$T1058,20,FALSE()),"please select a BUG ID")</f>
        <v>None identified</v>
      </c>
      <c r="D119" s="14" t="s">
        <v>1224</v>
      </c>
      <c r="E119" s="54"/>
      <c r="F119" s="79" t="s">
        <v>1242</v>
      </c>
      <c r="G119" s="93" t="s">
        <v>1243</v>
      </c>
      <c r="H119" s="54"/>
      <c r="I119" s="81" t="str">
        <f>IFERROR(VLOOKUP(A119,Internal_lists_bugs!$A$2:$G1058,7,FALSE()),"please select a BUG ID")</f>
        <v>https://opendev.org/openstack/nova/commit/1682c5b</v>
      </c>
    </row>
    <row r="120">
      <c r="A120" s="16" t="s">
        <v>48</v>
      </c>
      <c r="B120" s="50" t="str">
        <f>IFERROR(HYPERLINK(VLOOKUP(A120,Internal_lists_bugs!$A$2:$C$73,3,FALSE()), VLOOKUP(A120,Internal_lists_bugs!$A$2:$C$73,3,FALSE())&amp;Char(10) &amp; Char(10) &amp; VLOOKUP(A120,Internal_lists_bugs!$A$2:$Z$73,26,FALSE())),"please select a BUG ID")</f>
        <v>https://bugs.launchpad.net/nova/+bug/1475356
/objects/base.py</v>
      </c>
      <c r="C120" s="51" t="str">
        <f>IFERROR(VLOOKUP(A120,Internal_lists_bugs!$A$2:$T1058,20,FALSE()),"please select a BUG ID")</f>
        <v>None identified</v>
      </c>
      <c r="D120" s="16" t="s">
        <v>124</v>
      </c>
      <c r="E120" s="54"/>
      <c r="F120" s="82"/>
      <c r="G120" s="92"/>
      <c r="H120" s="16" t="s">
        <v>1114</v>
      </c>
      <c r="I120" s="81" t="str">
        <f>IFERROR(VLOOKUP(A120,Internal_lists_bugs!$A$2:$G1058,7,FALSE()),"please select a BUG ID")</f>
        <v>https://opendev.org/openstack/nova/commit/0eb7e35fbf</v>
      </c>
    </row>
    <row r="121">
      <c r="A121" s="16" t="s">
        <v>50</v>
      </c>
      <c r="B121" s="50" t="str">
        <f>IFERROR(HYPERLINK(VLOOKUP(A121,Internal_lists_bugs!$A$2:$C$73,3,FALSE()), VLOOKUP(A121,Internal_lists_bugs!$A$2:$C$73,3,FALSE())&amp;Char(10) &amp; Char(10) &amp; VLOOKUP(A121,Internal_lists_bugs!$A$2:$Z$73,26,FALSE())),"please select a BUG ID")</f>
        <v>https://bugs.launchpad.net/nova/+bug/1403544
/compute/api.py</v>
      </c>
      <c r="C121" s="51" t="str">
        <f>IFERROR(VLOOKUP(A121,Internal_lists_bugs!$A$2:$T1058,20,FALSE()),"please select a BUG ID")</f>
        <v>None identified</v>
      </c>
      <c r="D121" s="16" t="s">
        <v>124</v>
      </c>
      <c r="E121" s="54"/>
      <c r="F121" s="82"/>
      <c r="G121" s="92"/>
      <c r="H121" s="16" t="s">
        <v>1114</v>
      </c>
      <c r="I121" s="81" t="str">
        <f>IFERROR(VLOOKUP(A121,Internal_lists_bugs!$A$2:$G1058,7,FALSE()),"please select a BUG ID")</f>
        <v>https://opendev.org/openstack/nova/commit/6956057ac490c788</v>
      </c>
    </row>
    <row r="122">
      <c r="A122" s="16" t="s">
        <v>51</v>
      </c>
      <c r="B122" s="50" t="str">
        <f>IFERROR(HYPERLINK(VLOOKUP(A122,Internal_lists_bugs!$A$2:$C$73,3,FALSE()), VLOOKUP(A122,Internal_lists_bugs!$A$2:$C$73,3,FALSE())&amp;Char(10) &amp; Char(10) &amp; VLOOKUP(A122,Internal_lists_bugs!$A$2:$Z$73,26,FALSE())),"please select a BUG ID")</f>
        <v>https://bugs.launchpad.net/nova/+bug/1370590
/libvirt/driver.py</v>
      </c>
      <c r="C122" s="51" t="str">
        <f>IFERROR(VLOOKUP(A122,Internal_lists_bugs!$A$2:$T1058,20,FALSE()),"please select a BUG ID")</f>
        <v>None identified</v>
      </c>
      <c r="D122" s="14" t="s">
        <v>1244</v>
      </c>
      <c r="E122" s="16" t="s">
        <v>1157</v>
      </c>
      <c r="F122" s="79" t="s">
        <v>1136</v>
      </c>
      <c r="G122" s="93" t="s">
        <v>1245</v>
      </c>
      <c r="H122" s="16" t="s">
        <v>1114</v>
      </c>
      <c r="I122" s="81" t="str">
        <f>IFERROR(VLOOKUP(A122,Internal_lists_bugs!$A$2:$G1058,7,FALSE()),"please select a BUG ID")</f>
        <v>https://opendev.org/openstack/nova/commit/7326bac8f95</v>
      </c>
    </row>
    <row r="123">
      <c r="A123" s="16" t="s">
        <v>51</v>
      </c>
      <c r="B123" s="50" t="str">
        <f>IFERROR(HYPERLINK(VLOOKUP(A123,Internal_lists_bugs!$A$2:$C$73,3,FALSE()), VLOOKUP(A123,Internal_lists_bugs!$A$2:$C$73,3,FALSE())&amp;Char(10) &amp; Char(10) &amp; VLOOKUP(A123,Internal_lists_bugs!$A$2:$Z$73,26,FALSE())),"please select a BUG ID")</f>
        <v>https://bugs.launchpad.net/nova/+bug/1370590
/libvirt/driver.py</v>
      </c>
      <c r="C123" s="51" t="str">
        <f>IFERROR(VLOOKUP(A123,Internal_lists_bugs!$A$2:$T1058,20,FALSE()),"please select a BUG ID")</f>
        <v>None identified</v>
      </c>
      <c r="D123" s="14" t="s">
        <v>1244</v>
      </c>
      <c r="E123" s="54"/>
      <c r="F123" s="79" t="s">
        <v>1121</v>
      </c>
      <c r="G123" s="93" t="s">
        <v>1246</v>
      </c>
      <c r="H123" s="54"/>
      <c r="I123" s="81" t="str">
        <f>IFERROR(VLOOKUP(A123,Internal_lists_bugs!$A$2:$G1058,7,FALSE()),"please select a BUG ID")</f>
        <v>https://opendev.org/openstack/nova/commit/7326bac8f95</v>
      </c>
    </row>
    <row r="124">
      <c r="A124" s="16" t="s">
        <v>51</v>
      </c>
      <c r="B124" s="50" t="str">
        <f>IFERROR(HYPERLINK(VLOOKUP(A124,Internal_lists_bugs!$A$2:$C$73,3,FALSE()), VLOOKUP(A124,Internal_lists_bugs!$A$2:$C$73,3,FALSE())&amp;Char(10) &amp; Char(10) &amp; VLOOKUP(A124,Internal_lists_bugs!$A$2:$Z$73,26,FALSE())),"please select a BUG ID")</f>
        <v>https://bugs.launchpad.net/nova/+bug/1370590
/libvirt/driver.py</v>
      </c>
      <c r="C124" s="51" t="str">
        <f>IFERROR(VLOOKUP(A124,Internal_lists_bugs!$A$2:$T1058,20,FALSE()),"please select a BUG ID")</f>
        <v>None identified</v>
      </c>
      <c r="D124" s="14" t="s">
        <v>1244</v>
      </c>
      <c r="E124" s="54"/>
      <c r="F124" s="79" t="s">
        <v>1123</v>
      </c>
      <c r="G124" s="93" t="s">
        <v>1247</v>
      </c>
      <c r="H124" s="54"/>
      <c r="I124" s="81" t="str">
        <f>IFERROR(VLOOKUP(A124,Internal_lists_bugs!$A$2:$G1058,7,FALSE()),"please select a BUG ID")</f>
        <v>https://opendev.org/openstack/nova/commit/7326bac8f95</v>
      </c>
    </row>
    <row r="125">
      <c r="A125" s="16" t="s">
        <v>51</v>
      </c>
      <c r="B125" s="50" t="str">
        <f>IFERROR(HYPERLINK(VLOOKUP(A125,Internal_lists_bugs!$A$2:$C$73,3,FALSE()), VLOOKUP(A125,Internal_lists_bugs!$A$2:$C$73,3,FALSE())&amp;Char(10) &amp; Char(10) &amp; VLOOKUP(A125,Internal_lists_bugs!$A$2:$Z$73,26,FALSE())),"please select a BUG ID")</f>
        <v>https://bugs.launchpad.net/nova/+bug/1370590
/libvirt/driver.py</v>
      </c>
      <c r="C125" s="51" t="str">
        <f>IFERROR(VLOOKUP(A125,Internal_lists_bugs!$A$2:$T1058,20,FALSE()),"please select a BUG ID")</f>
        <v>None identified</v>
      </c>
      <c r="D125" s="14" t="s">
        <v>1244</v>
      </c>
      <c r="E125" s="54"/>
      <c r="F125" s="79" t="s">
        <v>1162</v>
      </c>
      <c r="G125" s="93" t="s">
        <v>1163</v>
      </c>
      <c r="H125" s="54"/>
      <c r="I125" s="81" t="str">
        <f>IFERROR(VLOOKUP(A125,Internal_lists_bugs!$A$2:$G1058,7,FALSE()),"please select a BUG ID")</f>
        <v>https://opendev.org/openstack/nova/commit/7326bac8f95</v>
      </c>
    </row>
    <row r="126">
      <c r="A126" s="16" t="s">
        <v>51</v>
      </c>
      <c r="B126" s="50" t="str">
        <f>IFERROR(HYPERLINK(VLOOKUP(A126,Internal_lists_bugs!$A$2:$C$73,3,FALSE()), VLOOKUP(A126,Internal_lists_bugs!$A$2:$C$73,3,FALSE())&amp;Char(10) &amp; Char(10) &amp; VLOOKUP(A126,Internal_lists_bugs!$A$2:$Z$73,26,FALSE())),"please select a BUG ID")</f>
        <v>https://bugs.launchpad.net/nova/+bug/1370590
/libvirt/driver.py</v>
      </c>
      <c r="C126" s="51" t="str">
        <f>IFERROR(VLOOKUP(A126,Internal_lists_bugs!$A$2:$T1058,20,FALSE()),"please select a BUG ID")</f>
        <v>None identified</v>
      </c>
      <c r="D126" s="14" t="s">
        <v>1244</v>
      </c>
      <c r="E126" s="54"/>
      <c r="F126" s="79" t="s">
        <v>1164</v>
      </c>
      <c r="G126" s="93" t="s">
        <v>1165</v>
      </c>
      <c r="H126" s="54"/>
      <c r="I126" s="81" t="str">
        <f>IFERROR(VLOOKUP(A126,Internal_lists_bugs!$A$2:$G1058,7,FALSE()),"please select a BUG ID")</f>
        <v>https://opendev.org/openstack/nova/commit/7326bac8f95</v>
      </c>
    </row>
    <row r="127">
      <c r="A127" s="16" t="s">
        <v>51</v>
      </c>
      <c r="B127" s="50" t="str">
        <f>IFERROR(HYPERLINK(VLOOKUP(A127,Internal_lists_bugs!$A$2:$C$73,3,FALSE()), VLOOKUP(A127,Internal_lists_bugs!$A$2:$C$73,3,FALSE())&amp;Char(10) &amp; Char(10) &amp; VLOOKUP(A127,Internal_lists_bugs!$A$2:$Z$73,26,FALSE())),"please select a BUG ID")</f>
        <v>https://bugs.launchpad.net/nova/+bug/1370590
/libvirt/driver.py</v>
      </c>
      <c r="C127" s="51" t="str">
        <f>IFERROR(VLOOKUP(A127,Internal_lists_bugs!$A$2:$T1058,20,FALSE()),"please select a BUG ID")</f>
        <v>None identified</v>
      </c>
      <c r="D127" s="14" t="s">
        <v>1244</v>
      </c>
      <c r="E127" s="54"/>
      <c r="F127" s="79" t="s">
        <v>1166</v>
      </c>
      <c r="G127" s="93" t="s">
        <v>1167</v>
      </c>
      <c r="H127" s="54"/>
      <c r="I127" s="81" t="str">
        <f>IFERROR(VLOOKUP(A127,Internal_lists_bugs!$A$2:$G1058,7,FALSE()),"please select a BUG ID")</f>
        <v>https://opendev.org/openstack/nova/commit/7326bac8f95</v>
      </c>
    </row>
    <row r="128">
      <c r="A128" s="16" t="s">
        <v>51</v>
      </c>
      <c r="B128" s="50" t="str">
        <f>IFERROR(HYPERLINK(VLOOKUP(A128,Internal_lists_bugs!$A$2:$C$73,3,FALSE()), VLOOKUP(A128,Internal_lists_bugs!$A$2:$C$73,3,FALSE())&amp;Char(10) &amp; Char(10) &amp; VLOOKUP(A128,Internal_lists_bugs!$A$2:$Z$73,26,FALSE())),"please select a BUG ID")</f>
        <v>https://bugs.launchpad.net/nova/+bug/1370590
/libvirt/driver.py</v>
      </c>
      <c r="C128" s="51" t="str">
        <f>IFERROR(VLOOKUP(A128,Internal_lists_bugs!$A$2:$T1058,20,FALSE()),"please select a BUG ID")</f>
        <v>None identified</v>
      </c>
      <c r="D128" s="14" t="s">
        <v>1244</v>
      </c>
      <c r="E128" s="54"/>
      <c r="F128" s="79" t="s">
        <v>1164</v>
      </c>
      <c r="G128" s="93" t="s">
        <v>1231</v>
      </c>
      <c r="H128" s="54"/>
      <c r="I128" s="81" t="str">
        <f>IFERROR(VLOOKUP(A128,Internal_lists_bugs!$A$2:$G1058,7,FALSE()),"please select a BUG ID")</f>
        <v>https://opendev.org/openstack/nova/commit/7326bac8f95</v>
      </c>
    </row>
    <row r="129">
      <c r="A129" s="16" t="s">
        <v>51</v>
      </c>
      <c r="B129" s="50" t="str">
        <f>IFERROR(HYPERLINK(VLOOKUP(A129,Internal_lists_bugs!$A$2:$C$73,3,FALSE()), VLOOKUP(A129,Internal_lists_bugs!$A$2:$C$73,3,FALSE())&amp;Char(10) &amp; Char(10) &amp; VLOOKUP(A129,Internal_lists_bugs!$A$2:$Z$73,26,FALSE())),"please select a BUG ID")</f>
        <v>https://bugs.launchpad.net/nova/+bug/1370590
/libvirt/driver.py</v>
      </c>
      <c r="C129" s="51" t="str">
        <f>IFERROR(VLOOKUP(A129,Internal_lists_bugs!$A$2:$T1058,20,FALSE()),"please select a BUG ID")</f>
        <v>None identified</v>
      </c>
      <c r="D129" s="14" t="s">
        <v>1244</v>
      </c>
      <c r="E129" s="54"/>
      <c r="F129" s="79" t="s">
        <v>1166</v>
      </c>
      <c r="G129" s="93" t="s">
        <v>1232</v>
      </c>
      <c r="H129" s="54"/>
      <c r="I129" s="81" t="str">
        <f>IFERROR(VLOOKUP(A129,Internal_lists_bugs!$A$2:$G1058,7,FALSE()),"please select a BUG ID")</f>
        <v>https://opendev.org/openstack/nova/commit/7326bac8f95</v>
      </c>
    </row>
    <row r="130">
      <c r="A130" s="16" t="s">
        <v>51</v>
      </c>
      <c r="B130" s="50" t="str">
        <f>IFERROR(HYPERLINK(VLOOKUP(A130,Internal_lists_bugs!$A$2:$C$73,3,FALSE()), VLOOKUP(A130,Internal_lists_bugs!$A$2:$C$73,3,FALSE())&amp;Char(10) &amp; Char(10) &amp; VLOOKUP(A130,Internal_lists_bugs!$A$2:$Z$73,26,FALSE())),"please select a BUG ID")</f>
        <v>https://bugs.launchpad.net/nova/+bug/1370590
/libvirt/driver.py</v>
      </c>
      <c r="C130" s="51" t="str">
        <f>IFERROR(VLOOKUP(A130,Internal_lists_bugs!$A$2:$T1058,20,FALSE()),"please select a BUG ID")</f>
        <v>None identified</v>
      </c>
      <c r="D130" s="14" t="s">
        <v>1244</v>
      </c>
      <c r="E130" s="54"/>
      <c r="F130" s="79" t="s">
        <v>1182</v>
      </c>
      <c r="G130" s="93" t="s">
        <v>1248</v>
      </c>
      <c r="H130" s="54"/>
      <c r="I130" s="81" t="str">
        <f>IFERROR(VLOOKUP(A130,Internal_lists_bugs!$A$2:$G1058,7,FALSE()),"please select a BUG ID")</f>
        <v>https://opendev.org/openstack/nova/commit/7326bac8f95</v>
      </c>
    </row>
    <row r="131">
      <c r="A131" s="16" t="s">
        <v>51</v>
      </c>
      <c r="B131" s="50" t="str">
        <f>IFERROR(HYPERLINK(VLOOKUP(A131,Internal_lists_bugs!$A$2:$C$73,3,FALSE()), VLOOKUP(A131,Internal_lists_bugs!$A$2:$C$73,3,FALSE())&amp;Char(10) &amp; Char(10) &amp; VLOOKUP(A131,Internal_lists_bugs!$A$2:$Z$73,26,FALSE())),"please select a BUG ID")</f>
        <v>https://bugs.launchpad.net/nova/+bug/1370590
/libvirt/driver.py</v>
      </c>
      <c r="C131" s="51" t="str">
        <f>IFERROR(VLOOKUP(A131,Internal_lists_bugs!$A$2:$T1058,20,FALSE()),"please select a BUG ID")</f>
        <v>None identified</v>
      </c>
      <c r="D131" s="14" t="s">
        <v>1244</v>
      </c>
      <c r="E131" s="54"/>
      <c r="F131" s="79" t="s">
        <v>1168</v>
      </c>
      <c r="G131" s="93" t="s">
        <v>1169</v>
      </c>
      <c r="H131" s="54"/>
      <c r="I131" s="81" t="str">
        <f>IFERROR(VLOOKUP(A131,Internal_lists_bugs!$A$2:$G1058,7,FALSE()),"please select a BUG ID")</f>
        <v>https://opendev.org/openstack/nova/commit/7326bac8f95</v>
      </c>
    </row>
    <row r="132">
      <c r="A132" s="16" t="s">
        <v>51</v>
      </c>
      <c r="B132" s="50" t="str">
        <f>IFERROR(HYPERLINK(VLOOKUP(A132,Internal_lists_bugs!$A$2:$C$73,3,FALSE()), VLOOKUP(A132,Internal_lists_bugs!$A$2:$C$73,3,FALSE())&amp;Char(10) &amp; Char(10) &amp; VLOOKUP(A132,Internal_lists_bugs!$A$2:$Z$73,26,FALSE())),"please select a BUG ID")</f>
        <v>https://bugs.launchpad.net/nova/+bug/1370590
/libvirt/driver.py</v>
      </c>
      <c r="C132" s="51" t="str">
        <f>IFERROR(VLOOKUP(A132,Internal_lists_bugs!$A$2:$T1058,20,FALSE()),"please select a BUG ID")</f>
        <v>None identified</v>
      </c>
      <c r="D132" s="14" t="s">
        <v>1244</v>
      </c>
      <c r="E132" s="54"/>
      <c r="F132" s="79" t="s">
        <v>1170</v>
      </c>
      <c r="G132" s="93" t="s">
        <v>1171</v>
      </c>
      <c r="H132" s="54"/>
      <c r="I132" s="81" t="str">
        <f>IFERROR(VLOOKUP(A132,Internal_lists_bugs!$A$2:$G1058,7,FALSE()),"please select a BUG ID")</f>
        <v>https://opendev.org/openstack/nova/commit/7326bac8f95</v>
      </c>
    </row>
    <row r="133">
      <c r="A133" s="16" t="s">
        <v>51</v>
      </c>
      <c r="B133" s="50" t="str">
        <f>IFERROR(HYPERLINK(VLOOKUP(A133,Internal_lists_bugs!$A$2:$C$73,3,FALSE()), VLOOKUP(A133,Internal_lists_bugs!$A$2:$C$73,3,FALSE())&amp;Char(10) &amp; Char(10) &amp; VLOOKUP(A133,Internal_lists_bugs!$A$2:$Z$73,26,FALSE())),"please select a BUG ID")</f>
        <v>https://bugs.launchpad.net/nova/+bug/1370590
/libvirt/driver.py</v>
      </c>
      <c r="C133" s="51" t="str">
        <f>IFERROR(VLOOKUP(A133,Internal_lists_bugs!$A$2:$T1058,20,FALSE()),"please select a BUG ID")</f>
        <v>None identified</v>
      </c>
      <c r="D133" s="14" t="s">
        <v>1244</v>
      </c>
      <c r="E133" s="54"/>
      <c r="F133" s="79" t="s">
        <v>1172</v>
      </c>
      <c r="G133" s="93" t="s">
        <v>1173</v>
      </c>
      <c r="H133" s="54"/>
      <c r="I133" s="81" t="str">
        <f>IFERROR(VLOOKUP(A133,Internal_lists_bugs!$A$2:$G1058,7,FALSE()),"please select a BUG ID")</f>
        <v>https://opendev.org/openstack/nova/commit/7326bac8f95</v>
      </c>
    </row>
    <row r="134">
      <c r="A134" s="16" t="s">
        <v>51</v>
      </c>
      <c r="B134" s="50" t="str">
        <f>IFERROR(HYPERLINK(VLOOKUP(A134,Internal_lists_bugs!$A$2:$C$73,3,FALSE()), VLOOKUP(A134,Internal_lists_bugs!$A$2:$C$73,3,FALSE())&amp;Char(10) &amp; Char(10) &amp; VLOOKUP(A134,Internal_lists_bugs!$A$2:$Z$73,26,FALSE())),"please select a BUG ID")</f>
        <v>https://bugs.launchpad.net/nova/+bug/1370590
/libvirt/driver.py</v>
      </c>
      <c r="C134" s="51" t="str">
        <f>IFERROR(VLOOKUP(A134,Internal_lists_bugs!$A$2:$T1058,20,FALSE()),"please select a BUG ID")</f>
        <v>None identified</v>
      </c>
      <c r="D134" s="14" t="s">
        <v>1244</v>
      </c>
      <c r="E134" s="54"/>
      <c r="F134" s="79" t="s">
        <v>1174</v>
      </c>
      <c r="G134" s="93" t="s">
        <v>1175</v>
      </c>
      <c r="H134" s="54"/>
      <c r="I134" s="81" t="str">
        <f>IFERROR(VLOOKUP(A134,Internal_lists_bugs!$A$2:$G1058,7,FALSE()),"please select a BUG ID")</f>
        <v>https://opendev.org/openstack/nova/commit/7326bac8f95</v>
      </c>
    </row>
    <row r="135">
      <c r="A135" s="16" t="s">
        <v>51</v>
      </c>
      <c r="B135" s="50" t="str">
        <f>IFERROR(HYPERLINK(VLOOKUP(A135,Internal_lists_bugs!$A$2:$C$73,3,FALSE()), VLOOKUP(A135,Internal_lists_bugs!$A$2:$C$73,3,FALSE())&amp;Char(10) &amp; Char(10) &amp; VLOOKUP(A135,Internal_lists_bugs!$A$2:$Z$73,26,FALSE())),"please select a BUG ID")</f>
        <v>https://bugs.launchpad.net/nova/+bug/1370590
/libvirt/driver.py</v>
      </c>
      <c r="C135" s="51" t="str">
        <f>IFERROR(VLOOKUP(A135,Internal_lists_bugs!$A$2:$T1058,20,FALSE()),"please select a BUG ID")</f>
        <v>None identified</v>
      </c>
      <c r="D135" s="14" t="s">
        <v>1244</v>
      </c>
      <c r="E135" s="54"/>
      <c r="F135" s="79" t="s">
        <v>1176</v>
      </c>
      <c r="G135" s="93" t="s">
        <v>1249</v>
      </c>
      <c r="H135" s="54"/>
      <c r="I135" s="81" t="str">
        <f>IFERROR(VLOOKUP(A135,Internal_lists_bugs!$A$2:$G1058,7,FALSE()),"please select a BUG ID")</f>
        <v>https://opendev.org/openstack/nova/commit/7326bac8f95</v>
      </c>
    </row>
    <row r="136">
      <c r="A136" s="16" t="s">
        <v>51</v>
      </c>
      <c r="B136" s="50" t="str">
        <f>IFERROR(HYPERLINK(VLOOKUP(A136,Internal_lists_bugs!$A$2:$C$73,3,FALSE()), VLOOKUP(A136,Internal_lists_bugs!$A$2:$C$73,3,FALSE())&amp;Char(10) &amp; Char(10) &amp; VLOOKUP(A136,Internal_lists_bugs!$A$2:$Z$73,26,FALSE())),"please select a BUG ID")</f>
        <v>https://bugs.launchpad.net/nova/+bug/1370590
/libvirt/driver.py</v>
      </c>
      <c r="C136" s="51" t="str">
        <f>IFERROR(VLOOKUP(A136,Internal_lists_bugs!$A$2:$T1058,20,FALSE()),"please select a BUG ID")</f>
        <v>None identified</v>
      </c>
      <c r="D136" s="14" t="s">
        <v>1244</v>
      </c>
      <c r="E136" s="54"/>
      <c r="F136" s="79" t="s">
        <v>1134</v>
      </c>
      <c r="G136" s="93" t="s">
        <v>1250</v>
      </c>
      <c r="H136" s="54"/>
      <c r="I136" s="81" t="str">
        <f>IFERROR(VLOOKUP(A136,Internal_lists_bugs!$A$2:$G1058,7,FALSE()),"please select a BUG ID")</f>
        <v>https://opendev.org/openstack/nova/commit/7326bac8f95</v>
      </c>
    </row>
    <row r="137">
      <c r="A137" s="16" t="s">
        <v>51</v>
      </c>
      <c r="B137" s="50" t="str">
        <f>IFERROR(HYPERLINK(VLOOKUP(A137,Internal_lists_bugs!$A$2:$C$73,3,FALSE()), VLOOKUP(A137,Internal_lists_bugs!$A$2:$C$73,3,FALSE())&amp;Char(10) &amp; Char(10) &amp; VLOOKUP(A137,Internal_lists_bugs!$A$2:$Z$73,26,FALSE())),"please select a BUG ID")</f>
        <v>https://bugs.launchpad.net/nova/+bug/1370590
/libvirt/driver.py</v>
      </c>
      <c r="C137" s="51" t="str">
        <f>IFERROR(VLOOKUP(A137,Internal_lists_bugs!$A$2:$T1058,20,FALSE()),"please select a BUG ID")</f>
        <v>None identified</v>
      </c>
      <c r="D137" s="14" t="s">
        <v>1244</v>
      </c>
      <c r="E137" s="54"/>
      <c r="F137" s="79" t="s">
        <v>1146</v>
      </c>
      <c r="G137" s="93" t="s">
        <v>1251</v>
      </c>
      <c r="H137" s="54"/>
      <c r="I137" s="81" t="str">
        <f>IFERROR(VLOOKUP(A137,Internal_lists_bugs!$A$2:$G1058,7,FALSE()),"please select a BUG ID")</f>
        <v>https://opendev.org/openstack/nova/commit/7326bac8f95</v>
      </c>
    </row>
    <row r="138">
      <c r="A138" s="16" t="s">
        <v>51</v>
      </c>
      <c r="B138" s="50" t="str">
        <f>IFERROR(HYPERLINK(VLOOKUP(A138,Internal_lists_bugs!$A$2:$C$73,3,FALSE()), VLOOKUP(A138,Internal_lists_bugs!$A$2:$C$73,3,FALSE())&amp;Char(10) &amp; Char(10) &amp; VLOOKUP(A138,Internal_lists_bugs!$A$2:$Z$73,26,FALSE())),"please select a BUG ID")</f>
        <v>https://bugs.launchpad.net/nova/+bug/1370590
/libvirt/driver.py</v>
      </c>
      <c r="C138" s="51" t="str">
        <f>IFERROR(VLOOKUP(A138,Internal_lists_bugs!$A$2:$T1058,20,FALSE()),"please select a BUG ID")</f>
        <v>None identified</v>
      </c>
      <c r="D138" s="14" t="s">
        <v>1244</v>
      </c>
      <c r="E138" s="54"/>
      <c r="F138" s="79" t="s">
        <v>1178</v>
      </c>
      <c r="G138" s="99" t="s">
        <v>1179</v>
      </c>
      <c r="H138" s="54"/>
      <c r="I138" s="81" t="str">
        <f>IFERROR(VLOOKUP(A138,Internal_lists_bugs!$A$2:$G1058,7,FALSE()),"please select a BUG ID")</f>
        <v>https://opendev.org/openstack/nova/commit/7326bac8f95</v>
      </c>
    </row>
    <row r="139">
      <c r="A139" s="16" t="s">
        <v>51</v>
      </c>
      <c r="B139" s="50" t="str">
        <f>IFERROR(HYPERLINK(VLOOKUP(A139,Internal_lists_bugs!$A$2:$C$73,3,FALSE()), VLOOKUP(A139,Internal_lists_bugs!$A$2:$C$73,3,FALSE())&amp;Char(10) &amp; Char(10) &amp; VLOOKUP(A139,Internal_lists_bugs!$A$2:$Z$73,26,FALSE())),"please select a BUG ID")</f>
        <v>https://bugs.launchpad.net/nova/+bug/1370590
/libvirt/driver.py</v>
      </c>
      <c r="C139" s="51" t="str">
        <f>IFERROR(VLOOKUP(A139,Internal_lists_bugs!$A$2:$T1058,20,FALSE()),"please select a BUG ID")</f>
        <v>None identified</v>
      </c>
      <c r="D139" s="14" t="s">
        <v>1244</v>
      </c>
      <c r="E139" s="54"/>
      <c r="F139" s="79" t="s">
        <v>1186</v>
      </c>
      <c r="G139" s="99" t="s">
        <v>1252</v>
      </c>
      <c r="H139" s="54"/>
      <c r="I139" s="81" t="str">
        <f>IFERROR(VLOOKUP(A139,Internal_lists_bugs!$A$2:$G1058,7,FALSE()),"please select a BUG ID")</f>
        <v>https://opendev.org/openstack/nova/commit/7326bac8f95</v>
      </c>
    </row>
    <row r="140">
      <c r="A140" s="16" t="s">
        <v>51</v>
      </c>
      <c r="B140" s="50" t="str">
        <f>IFERROR(HYPERLINK(VLOOKUP(A140,Internal_lists_bugs!$A$2:$C$73,3,FALSE()), VLOOKUP(A140,Internal_lists_bugs!$A$2:$C$73,3,FALSE())&amp;Char(10) &amp; Char(10) &amp; VLOOKUP(A140,Internal_lists_bugs!$A$2:$Z$73,26,FALSE())),"please select a BUG ID")</f>
        <v>https://bugs.launchpad.net/nova/+bug/1370590
/libvirt/driver.py</v>
      </c>
      <c r="C140" s="51" t="str">
        <f>IFERROR(VLOOKUP(A140,Internal_lists_bugs!$A$2:$T1058,20,FALSE()),"please select a BUG ID")</f>
        <v>None identified</v>
      </c>
      <c r="D140" s="14" t="s">
        <v>1244</v>
      </c>
      <c r="E140" s="54"/>
      <c r="F140" s="79" t="s">
        <v>1188</v>
      </c>
      <c r="G140" s="99" t="s">
        <v>1253</v>
      </c>
      <c r="H140" s="54"/>
      <c r="I140" s="81" t="str">
        <f>IFERROR(VLOOKUP(A140,Internal_lists_bugs!$A$2:$G1058,7,FALSE()),"please select a BUG ID")</f>
        <v>https://opendev.org/openstack/nova/commit/7326bac8f95</v>
      </c>
    </row>
    <row r="141">
      <c r="A141" s="16" t="s">
        <v>51</v>
      </c>
      <c r="B141" s="50" t="str">
        <f>IFERROR(HYPERLINK(VLOOKUP(A141,Internal_lists_bugs!$A$2:$C$73,3,FALSE()), VLOOKUP(A141,Internal_lists_bugs!$A$2:$C$73,3,FALSE())&amp;Char(10) &amp; Char(10) &amp; VLOOKUP(A141,Internal_lists_bugs!$A$2:$Z$73,26,FALSE())),"please select a BUG ID")</f>
        <v>https://bugs.launchpad.net/nova/+bug/1370590
/libvirt/driver.py</v>
      </c>
      <c r="C141" s="51" t="str">
        <f>IFERROR(VLOOKUP(A141,Internal_lists_bugs!$A$2:$T1058,20,FALSE()),"please select a BUG ID")</f>
        <v>None identified</v>
      </c>
      <c r="D141" s="14" t="s">
        <v>1244</v>
      </c>
      <c r="E141" s="54"/>
      <c r="F141" s="79" t="s">
        <v>1242</v>
      </c>
      <c r="G141" s="94" t="s">
        <v>1254</v>
      </c>
      <c r="H141" s="54"/>
      <c r="I141" s="81" t="str">
        <f>IFERROR(VLOOKUP(A141,Internal_lists_bugs!$A$2:$G1058,7,FALSE()),"please select a BUG ID")</f>
        <v>https://opendev.org/openstack/nova/commit/7326bac8f95</v>
      </c>
    </row>
    <row r="142">
      <c r="A142" s="16" t="s">
        <v>52</v>
      </c>
      <c r="B142" s="50" t="str">
        <f>IFERROR(HYPERLINK(VLOOKUP(A142,Internal_lists_bugs!$A$2:$C$73,3,FALSE()), VLOOKUP(A142,Internal_lists_bugs!$A$2:$C$73,3,FALSE())&amp;Char(10) &amp; Char(10) &amp; VLOOKUP(A142,Internal_lists_bugs!$A$2:$Z$73,26,FALSE())),"please select a BUG ID")</f>
        <v>https://bugs.launchpad.net/nova/+bug/1419002
/libvirt/driver.py
/compute/utils.py</v>
      </c>
      <c r="C142" s="51" t="str">
        <f>IFERROR(VLOOKUP(A142,Internal_lists_bugs!$A$2:$T1058,20,FALSE()),"please select a BUG ID")</f>
        <v>None identified</v>
      </c>
      <c r="D142" s="66" t="s">
        <v>124</v>
      </c>
      <c r="E142" s="54"/>
      <c r="F142" s="79"/>
      <c r="G142" s="92"/>
      <c r="H142" s="16" t="s">
        <v>123</v>
      </c>
      <c r="I142" s="81" t="str">
        <f>IFERROR(VLOOKUP(A142,Internal_lists_bugs!$A$2:$G1058,7,FALSE()),"please select a BUG ID")</f>
        <v>https://opendev.org/openstack/nova/commit/2ef03c6a0a8c5705</v>
      </c>
      <c r="J142" s="16" t="s">
        <v>1255</v>
      </c>
    </row>
    <row r="143">
      <c r="A143" s="16" t="s">
        <v>53</v>
      </c>
      <c r="B143" s="50" t="str">
        <f>IFERROR(HYPERLINK(VLOOKUP(A143,Internal_lists_bugs!$A$2:$C$73,3,FALSE()), VLOOKUP(A143,Internal_lists_bugs!$A$2:$C$73,3,FALSE())&amp;Char(10) &amp; Char(10) &amp; VLOOKUP(A143,Internal_lists_bugs!$A$2:$Z$73,26,FALSE())),"please select a BUG ID")</f>
        <v>https://bugs.launchpad.net/nova/+bug/1336127
/compute/manager.py</v>
      </c>
      <c r="C143" s="51" t="str">
        <f>IFERROR(VLOOKUP(A143,Internal_lists_bugs!$A$2:$T1058,20,FALSE()),"please select a BUG ID")</f>
        <v>None identified. However, double check yourself</v>
      </c>
      <c r="D143" s="14" t="s">
        <v>1256</v>
      </c>
      <c r="E143" s="16" t="s">
        <v>1157</v>
      </c>
      <c r="F143" s="79" t="s">
        <v>1136</v>
      </c>
      <c r="G143" s="93" t="s">
        <v>1257</v>
      </c>
      <c r="H143" s="16" t="s">
        <v>1114</v>
      </c>
      <c r="I143" s="81" t="str">
        <f>IFERROR(VLOOKUP(A143,Internal_lists_bugs!$A$2:$G1058,7,FALSE()),"please select a BUG ID")</f>
        <v>https://opendev.org/openstack/nova/commit/2c62e34</v>
      </c>
    </row>
    <row r="144">
      <c r="A144" s="16" t="s">
        <v>53</v>
      </c>
      <c r="B144" s="50" t="str">
        <f>IFERROR(HYPERLINK(VLOOKUP(A144,Internal_lists_bugs!$A$2:$C$73,3,FALSE()), VLOOKUP(A144,Internal_lists_bugs!$A$2:$C$73,3,FALSE())&amp;Char(10) &amp; Char(10) &amp; VLOOKUP(A144,Internal_lists_bugs!$A$2:$Z$73,26,FALSE())),"please select a BUG ID")</f>
        <v>https://bugs.launchpad.net/nova/+bug/1336127
/compute/manager.py</v>
      </c>
      <c r="C144" s="51" t="str">
        <f>IFERROR(VLOOKUP(A144,Internal_lists_bugs!$A$2:$T1058,20,FALSE()),"please select a BUG ID")</f>
        <v>None identified. However, double check yourself</v>
      </c>
      <c r="D144" s="14" t="s">
        <v>1256</v>
      </c>
      <c r="E144" s="54"/>
      <c r="F144" s="79" t="s">
        <v>1121</v>
      </c>
      <c r="G144" s="93" t="s">
        <v>1258</v>
      </c>
      <c r="H144" s="54"/>
      <c r="I144" s="81" t="str">
        <f>IFERROR(VLOOKUP(A144,Internal_lists_bugs!$A$2:$G1058,7,FALSE()),"please select a BUG ID")</f>
        <v>https://opendev.org/openstack/nova/commit/2c62e34</v>
      </c>
    </row>
    <row r="145">
      <c r="A145" s="16" t="s">
        <v>53</v>
      </c>
      <c r="B145" s="50" t="str">
        <f>IFERROR(HYPERLINK(VLOOKUP(A145,Internal_lists_bugs!$A$2:$C$73,3,FALSE()), VLOOKUP(A145,Internal_lists_bugs!$A$2:$C$73,3,FALSE())&amp;Char(10) &amp; Char(10) &amp; VLOOKUP(A145,Internal_lists_bugs!$A$2:$Z$73,26,FALSE())),"please select a BUG ID")</f>
        <v>https://bugs.launchpad.net/nova/+bug/1336127
/compute/manager.py</v>
      </c>
      <c r="C145" s="51" t="str">
        <f>IFERROR(VLOOKUP(A145,Internal_lists_bugs!$A$2:$T1058,20,FALSE()),"please select a BUG ID")</f>
        <v>None identified. However, double check yourself</v>
      </c>
      <c r="D145" s="14" t="s">
        <v>1256</v>
      </c>
      <c r="E145" s="54"/>
      <c r="F145" s="79" t="s">
        <v>1123</v>
      </c>
      <c r="G145" s="93" t="s">
        <v>1259</v>
      </c>
      <c r="H145" s="54"/>
      <c r="I145" s="81" t="str">
        <f>IFERROR(VLOOKUP(A145,Internal_lists_bugs!$A$2:$G1058,7,FALSE()),"please select a BUG ID")</f>
        <v>https://opendev.org/openstack/nova/commit/2c62e34</v>
      </c>
    </row>
    <row r="146">
      <c r="A146" s="16" t="s">
        <v>53</v>
      </c>
      <c r="B146" s="50" t="str">
        <f>IFERROR(HYPERLINK(VLOOKUP(A146,Internal_lists_bugs!$A$2:$C$73,3,FALSE()), VLOOKUP(A146,Internal_lists_bugs!$A$2:$C$73,3,FALSE())&amp;Char(10) &amp; Char(10) &amp; VLOOKUP(A146,Internal_lists_bugs!$A$2:$Z$73,26,FALSE())),"please select a BUG ID")</f>
        <v>https://bugs.launchpad.net/nova/+bug/1336127
/compute/manager.py</v>
      </c>
      <c r="C146" s="51" t="str">
        <f>IFERROR(VLOOKUP(A146,Internal_lists_bugs!$A$2:$T1058,20,FALSE()),"please select a BUG ID")</f>
        <v>None identified. However, double check yourself</v>
      </c>
      <c r="D146" s="14" t="s">
        <v>1256</v>
      </c>
      <c r="E146" s="54"/>
      <c r="F146" s="79" t="s">
        <v>1162</v>
      </c>
      <c r="G146" s="93" t="s">
        <v>1260</v>
      </c>
      <c r="H146" s="54"/>
      <c r="I146" s="81" t="str">
        <f>IFERROR(VLOOKUP(A146,Internal_lists_bugs!$A$2:$G1058,7,FALSE()),"please select a BUG ID")</f>
        <v>https://opendev.org/openstack/nova/commit/2c62e34</v>
      </c>
    </row>
    <row r="147">
      <c r="A147" s="16" t="s">
        <v>53</v>
      </c>
      <c r="B147" s="50" t="str">
        <f>IFERROR(HYPERLINK(VLOOKUP(A147,Internal_lists_bugs!$A$2:$C$73,3,FALSE()), VLOOKUP(A147,Internal_lists_bugs!$A$2:$C$73,3,FALSE())&amp;Char(10) &amp; Char(10) &amp; VLOOKUP(A147,Internal_lists_bugs!$A$2:$Z$73,26,FALSE())),"please select a BUG ID")</f>
        <v>https://bugs.launchpad.net/nova/+bug/1336127
/compute/manager.py</v>
      </c>
      <c r="C147" s="51" t="str">
        <f>IFERROR(VLOOKUP(A147,Internal_lists_bugs!$A$2:$T1058,20,FALSE()),"please select a BUG ID")</f>
        <v>None identified. However, double check yourself</v>
      </c>
      <c r="D147" s="14" t="s">
        <v>1256</v>
      </c>
      <c r="E147" s="54"/>
      <c r="F147" s="79" t="s">
        <v>1164</v>
      </c>
      <c r="G147" s="93" t="s">
        <v>1165</v>
      </c>
      <c r="H147" s="54"/>
      <c r="I147" s="81" t="str">
        <f>IFERROR(VLOOKUP(A147,Internal_lists_bugs!$A$2:$G1058,7,FALSE()),"please select a BUG ID")</f>
        <v>https://opendev.org/openstack/nova/commit/2c62e34</v>
      </c>
    </row>
    <row r="148">
      <c r="A148" s="16" t="s">
        <v>53</v>
      </c>
      <c r="B148" s="50" t="str">
        <f>IFERROR(HYPERLINK(VLOOKUP(A148,Internal_lists_bugs!$A$2:$C$73,3,FALSE()), VLOOKUP(A148,Internal_lists_bugs!$A$2:$C$73,3,FALSE())&amp;Char(10) &amp; Char(10) &amp; VLOOKUP(A148,Internal_lists_bugs!$A$2:$Z$73,26,FALSE())),"please select a BUG ID")</f>
        <v>https://bugs.launchpad.net/nova/+bug/1336127
/compute/manager.py</v>
      </c>
      <c r="C148" s="51" t="str">
        <f>IFERROR(VLOOKUP(A148,Internal_lists_bugs!$A$2:$T1058,20,FALSE()),"please select a BUG ID")</f>
        <v>None identified. However, double check yourself</v>
      </c>
      <c r="D148" s="14" t="s">
        <v>1256</v>
      </c>
      <c r="E148" s="54"/>
      <c r="F148" s="79" t="s">
        <v>1166</v>
      </c>
      <c r="G148" s="93" t="s">
        <v>1167</v>
      </c>
      <c r="H148" s="54"/>
      <c r="I148" s="81" t="str">
        <f>IFERROR(VLOOKUP(A148,Internal_lists_bugs!$A$2:$G1058,7,FALSE()),"please select a BUG ID")</f>
        <v>https://opendev.org/openstack/nova/commit/2c62e34</v>
      </c>
    </row>
    <row r="149">
      <c r="A149" s="16" t="s">
        <v>53</v>
      </c>
      <c r="B149" s="50" t="str">
        <f>IFERROR(HYPERLINK(VLOOKUP(A149,Internal_lists_bugs!$A$2:$C$73,3,FALSE()), VLOOKUP(A149,Internal_lists_bugs!$A$2:$C$73,3,FALSE())&amp;Char(10) &amp; Char(10) &amp; VLOOKUP(A149,Internal_lists_bugs!$A$2:$Z$73,26,FALSE())),"please select a BUG ID")</f>
        <v>https://bugs.launchpad.net/nova/+bug/1336127
/compute/manager.py</v>
      </c>
      <c r="C149" s="51" t="str">
        <f>IFERROR(VLOOKUP(A149,Internal_lists_bugs!$A$2:$T1058,20,FALSE()),"please select a BUG ID")</f>
        <v>None identified. However, double check yourself</v>
      </c>
      <c r="D149" s="14" t="s">
        <v>1256</v>
      </c>
      <c r="E149" s="54"/>
      <c r="F149" s="79" t="s">
        <v>1182</v>
      </c>
      <c r="G149" s="93" t="s">
        <v>1215</v>
      </c>
      <c r="H149" s="54"/>
      <c r="I149" s="81" t="str">
        <f>IFERROR(VLOOKUP(A149,Internal_lists_bugs!$A$2:$G1058,7,FALSE()),"please select a BUG ID")</f>
        <v>https://opendev.org/openstack/nova/commit/2c62e34</v>
      </c>
    </row>
    <row r="150">
      <c r="A150" s="16" t="s">
        <v>53</v>
      </c>
      <c r="B150" s="50" t="str">
        <f>IFERROR(HYPERLINK(VLOOKUP(A150,Internal_lists_bugs!$A$2:$C$73,3,FALSE()), VLOOKUP(A150,Internal_lists_bugs!$A$2:$C$73,3,FALSE())&amp;Char(10) &amp; Char(10) &amp; VLOOKUP(A150,Internal_lists_bugs!$A$2:$Z$73,26,FALSE())),"please select a BUG ID")</f>
        <v>https://bugs.launchpad.net/nova/+bug/1336127
/compute/manager.py</v>
      </c>
      <c r="C150" s="51" t="str">
        <f>IFERROR(VLOOKUP(A150,Internal_lists_bugs!$A$2:$T1058,20,FALSE()),"please select a BUG ID")</f>
        <v>None identified. However, double check yourself</v>
      </c>
      <c r="D150" s="14" t="s">
        <v>1256</v>
      </c>
      <c r="E150" s="54"/>
      <c r="F150" s="79" t="s">
        <v>1168</v>
      </c>
      <c r="G150" s="93" t="s">
        <v>1261</v>
      </c>
      <c r="H150" s="54"/>
      <c r="I150" s="81" t="str">
        <f>IFERROR(VLOOKUP(A150,Internal_lists_bugs!$A$2:$G1058,7,FALSE()),"please select a BUG ID")</f>
        <v>https://opendev.org/openstack/nova/commit/2c62e34</v>
      </c>
    </row>
    <row r="151">
      <c r="A151" s="16" t="s">
        <v>53</v>
      </c>
      <c r="B151" s="50" t="str">
        <f>IFERROR(HYPERLINK(VLOOKUP(A151,Internal_lists_bugs!$A$2:$C$73,3,FALSE()), VLOOKUP(A151,Internal_lists_bugs!$A$2:$C$73,3,FALSE())&amp;Char(10) &amp; Char(10) &amp; VLOOKUP(A151,Internal_lists_bugs!$A$2:$Z$73,26,FALSE())),"please select a BUG ID")</f>
        <v>https://bugs.launchpad.net/nova/+bug/1336127
/compute/manager.py</v>
      </c>
      <c r="C151" s="51" t="str">
        <f>IFERROR(VLOOKUP(A151,Internal_lists_bugs!$A$2:$T1058,20,FALSE()),"please select a BUG ID")</f>
        <v>None identified. However, double check yourself</v>
      </c>
      <c r="D151" s="14" t="s">
        <v>1256</v>
      </c>
      <c r="E151" s="54"/>
      <c r="F151" s="79" t="s">
        <v>1170</v>
      </c>
      <c r="G151" s="93" t="s">
        <v>1171</v>
      </c>
      <c r="H151" s="54"/>
      <c r="I151" s="81" t="str">
        <f>IFERROR(VLOOKUP(A151,Internal_lists_bugs!$A$2:$G1058,7,FALSE()),"please select a BUG ID")</f>
        <v>https://opendev.org/openstack/nova/commit/2c62e34</v>
      </c>
    </row>
    <row r="152">
      <c r="A152" s="16" t="s">
        <v>53</v>
      </c>
      <c r="B152" s="50" t="str">
        <f>IFERROR(HYPERLINK(VLOOKUP(A152,Internal_lists_bugs!$A$2:$C$73,3,FALSE()), VLOOKUP(A152,Internal_lists_bugs!$A$2:$C$73,3,FALSE())&amp;Char(10) &amp; Char(10) &amp; VLOOKUP(A152,Internal_lists_bugs!$A$2:$Z$73,26,FALSE())),"please select a BUG ID")</f>
        <v>https://bugs.launchpad.net/nova/+bug/1336127
/compute/manager.py</v>
      </c>
      <c r="C152" s="51" t="str">
        <f>IFERROR(VLOOKUP(A152,Internal_lists_bugs!$A$2:$T1058,20,FALSE()),"please select a BUG ID")</f>
        <v>None identified. However, double check yourself</v>
      </c>
      <c r="D152" s="14" t="s">
        <v>1256</v>
      </c>
      <c r="E152" s="54"/>
      <c r="F152" s="79" t="s">
        <v>1172</v>
      </c>
      <c r="G152" s="93" t="s">
        <v>1262</v>
      </c>
      <c r="H152" s="54"/>
      <c r="I152" s="81" t="str">
        <f>IFERROR(VLOOKUP(A152,Internal_lists_bugs!$A$2:$G1058,7,FALSE()),"please select a BUG ID")</f>
        <v>https://opendev.org/openstack/nova/commit/2c62e34</v>
      </c>
    </row>
    <row r="153">
      <c r="A153" s="16" t="s">
        <v>53</v>
      </c>
      <c r="B153" s="50" t="str">
        <f>IFERROR(HYPERLINK(VLOOKUP(A153,Internal_lists_bugs!$A$2:$C$73,3,FALSE()), VLOOKUP(A153,Internal_lists_bugs!$A$2:$C$73,3,FALSE())&amp;Char(10) &amp; Char(10) &amp; VLOOKUP(A153,Internal_lists_bugs!$A$2:$Z$73,26,FALSE())),"please select a BUG ID")</f>
        <v>https://bugs.launchpad.net/nova/+bug/1336127
/compute/manager.py</v>
      </c>
      <c r="C153" s="51" t="str">
        <f>IFERROR(VLOOKUP(A153,Internal_lists_bugs!$A$2:$T1058,20,FALSE()),"please select a BUG ID")</f>
        <v>None identified. However, double check yourself</v>
      </c>
      <c r="D153" s="14" t="s">
        <v>1256</v>
      </c>
      <c r="E153" s="54"/>
      <c r="F153" s="79" t="s">
        <v>1174</v>
      </c>
      <c r="G153" s="93" t="s">
        <v>1235</v>
      </c>
      <c r="H153" s="54"/>
      <c r="I153" s="81" t="str">
        <f>IFERROR(VLOOKUP(A153,Internal_lists_bugs!$A$2:$G1058,7,FALSE()),"please select a BUG ID")</f>
        <v>https://opendev.org/openstack/nova/commit/2c62e34</v>
      </c>
    </row>
    <row r="154">
      <c r="A154" s="16" t="s">
        <v>53</v>
      </c>
      <c r="B154" s="50" t="str">
        <f>IFERROR(HYPERLINK(VLOOKUP(A154,Internal_lists_bugs!$A$2:$C$73,3,FALSE()), VLOOKUP(A154,Internal_lists_bugs!$A$2:$C$73,3,FALSE())&amp;Char(10) &amp; Char(10) &amp; VLOOKUP(A154,Internal_lists_bugs!$A$2:$Z$73,26,FALSE())),"please select a BUG ID")</f>
        <v>https://bugs.launchpad.net/nova/+bug/1336127
/compute/manager.py</v>
      </c>
      <c r="C154" s="51" t="str">
        <f>IFERROR(VLOOKUP(A154,Internal_lists_bugs!$A$2:$T1058,20,FALSE()),"please select a BUG ID")</f>
        <v>None identified. However, double check yourself</v>
      </c>
      <c r="D154" s="14" t="s">
        <v>1256</v>
      </c>
      <c r="E154" s="54"/>
      <c r="F154" s="79" t="s">
        <v>1176</v>
      </c>
      <c r="G154" s="93" t="s">
        <v>1263</v>
      </c>
      <c r="H154" s="54"/>
      <c r="I154" s="81" t="str">
        <f>IFERROR(VLOOKUP(A154,Internal_lists_bugs!$A$2:$G1058,7,FALSE()),"please select a BUG ID")</f>
        <v>https://opendev.org/openstack/nova/commit/2c62e34</v>
      </c>
    </row>
    <row r="155">
      <c r="A155" s="16" t="s">
        <v>53</v>
      </c>
      <c r="B155" s="50" t="str">
        <f>IFERROR(HYPERLINK(VLOOKUP(A155,Internal_lists_bugs!$A$2:$C$73,3,FALSE()), VLOOKUP(A155,Internal_lists_bugs!$A$2:$C$73,3,FALSE())&amp;Char(10) &amp; Char(10) &amp; VLOOKUP(A155,Internal_lists_bugs!$A$2:$Z$73,26,FALSE())),"please select a BUG ID")</f>
        <v>https://bugs.launchpad.net/nova/+bug/1336127
/compute/manager.py</v>
      </c>
      <c r="C155" s="51" t="str">
        <f>IFERROR(VLOOKUP(A155,Internal_lists_bugs!$A$2:$T1058,20,FALSE()),"please select a BUG ID")</f>
        <v>None identified. However, double check yourself</v>
      </c>
      <c r="D155" s="14" t="s">
        <v>1256</v>
      </c>
      <c r="E155" s="54"/>
      <c r="F155" s="79" t="s">
        <v>1134</v>
      </c>
      <c r="G155" s="93" t="s">
        <v>1264</v>
      </c>
      <c r="H155" s="54"/>
      <c r="I155" s="81" t="str">
        <f>IFERROR(VLOOKUP(A155,Internal_lists_bugs!$A$2:$G1058,7,FALSE()),"please select a BUG ID")</f>
        <v>https://opendev.org/openstack/nova/commit/2c62e34</v>
      </c>
    </row>
    <row r="156">
      <c r="A156" s="16" t="s">
        <v>53</v>
      </c>
      <c r="B156" s="50" t="str">
        <f>IFERROR(HYPERLINK(VLOOKUP(A156,Internal_lists_bugs!$A$2:$C$73,3,FALSE()), VLOOKUP(A156,Internal_lists_bugs!$A$2:$C$73,3,FALSE())&amp;Char(10) &amp; Char(10) &amp; VLOOKUP(A156,Internal_lists_bugs!$A$2:$Z$73,26,FALSE())),"please select a BUG ID")</f>
        <v>https://bugs.launchpad.net/nova/+bug/1336127
/compute/manager.py</v>
      </c>
      <c r="C156" s="51" t="str">
        <f>IFERROR(VLOOKUP(A156,Internal_lists_bugs!$A$2:$T1058,20,FALSE()),"please select a BUG ID")</f>
        <v>None identified. However, double check yourself</v>
      </c>
      <c r="D156" s="14" t="s">
        <v>1256</v>
      </c>
      <c r="E156" s="54"/>
      <c r="F156" s="79" t="s">
        <v>1146</v>
      </c>
      <c r="G156" s="93" t="s">
        <v>1265</v>
      </c>
      <c r="H156" s="54"/>
      <c r="I156" s="81" t="str">
        <f>IFERROR(VLOOKUP(A156,Internal_lists_bugs!$A$2:$G1058,7,FALSE()),"please select a BUG ID")</f>
        <v>https://opendev.org/openstack/nova/commit/2c62e34</v>
      </c>
    </row>
    <row r="157">
      <c r="A157" s="16" t="s">
        <v>53</v>
      </c>
      <c r="B157" s="50" t="str">
        <f>IFERROR(HYPERLINK(VLOOKUP(A157,Internal_lists_bugs!$A$2:$C$73,3,FALSE()), VLOOKUP(A157,Internal_lists_bugs!$A$2:$C$73,3,FALSE())&amp;Char(10) &amp; Char(10) &amp; VLOOKUP(A157,Internal_lists_bugs!$A$2:$Z$73,26,FALSE())),"please select a BUG ID")</f>
        <v>https://bugs.launchpad.net/nova/+bug/1336127
/compute/manager.py</v>
      </c>
      <c r="C157" s="51" t="str">
        <f>IFERROR(VLOOKUP(A157,Internal_lists_bugs!$A$2:$T1058,20,FALSE()),"please select a BUG ID")</f>
        <v>None identified. However, double check yourself</v>
      </c>
      <c r="D157" s="14" t="s">
        <v>1256</v>
      </c>
      <c r="E157" s="54"/>
      <c r="F157" s="79" t="s">
        <v>1178</v>
      </c>
      <c r="G157" s="93" t="s">
        <v>1179</v>
      </c>
      <c r="H157" s="54"/>
      <c r="I157" s="81" t="str">
        <f>IFERROR(VLOOKUP(A157,Internal_lists_bugs!$A$2:$G1058,7,FALSE()),"please select a BUG ID")</f>
        <v>https://opendev.org/openstack/nova/commit/2c62e34</v>
      </c>
    </row>
    <row r="158">
      <c r="A158" s="16" t="s">
        <v>53</v>
      </c>
      <c r="B158" s="50" t="str">
        <f>IFERROR(HYPERLINK(VLOOKUP(A158,Internal_lists_bugs!$A$2:$C$73,3,FALSE()), VLOOKUP(A158,Internal_lists_bugs!$A$2:$C$73,3,FALSE())&amp;Char(10) &amp; Char(10) &amp; VLOOKUP(A158,Internal_lists_bugs!$A$2:$Z$73,26,FALSE())),"please select a BUG ID")</f>
        <v>https://bugs.launchpad.net/nova/+bug/1336127
/compute/manager.py</v>
      </c>
      <c r="C158" s="51" t="str">
        <f>IFERROR(VLOOKUP(A158,Internal_lists_bugs!$A$2:$T1058,20,FALSE()),"please select a BUG ID")</f>
        <v>None identified. However, double check yourself</v>
      </c>
      <c r="D158" s="14" t="s">
        <v>1256</v>
      </c>
      <c r="E158" s="54"/>
      <c r="F158" s="79" t="s">
        <v>1186</v>
      </c>
      <c r="G158" s="93" t="s">
        <v>1266</v>
      </c>
      <c r="H158" s="54"/>
      <c r="I158" s="81" t="str">
        <f>IFERROR(VLOOKUP(A158,Internal_lists_bugs!$A$2:$G1058,7,FALSE()),"please select a BUG ID")</f>
        <v>https://opendev.org/openstack/nova/commit/2c62e34</v>
      </c>
    </row>
    <row r="159">
      <c r="A159" s="16" t="s">
        <v>53</v>
      </c>
      <c r="B159" s="50" t="str">
        <f>IFERROR(HYPERLINK(VLOOKUP(A159,Internal_lists_bugs!$A$2:$C$73,3,FALSE()), VLOOKUP(A159,Internal_lists_bugs!$A$2:$C$73,3,FALSE())&amp;Char(10) &amp; Char(10) &amp; VLOOKUP(A159,Internal_lists_bugs!$A$2:$Z$73,26,FALSE())),"please select a BUG ID")</f>
        <v>https://bugs.launchpad.net/nova/+bug/1336127
/compute/manager.py</v>
      </c>
      <c r="C159" s="51" t="str">
        <f>IFERROR(VLOOKUP(A159,Internal_lists_bugs!$A$2:$T1058,20,FALSE()),"please select a BUG ID")</f>
        <v>None identified. However, double check yourself</v>
      </c>
      <c r="D159" s="14" t="s">
        <v>1256</v>
      </c>
      <c r="E159" s="54"/>
      <c r="F159" s="79" t="s">
        <v>1188</v>
      </c>
      <c r="G159" s="93" t="s">
        <v>1253</v>
      </c>
      <c r="H159" s="16"/>
      <c r="I159" s="81" t="str">
        <f>IFERROR(VLOOKUP(A159,Internal_lists_bugs!$A$2:$G1058,7,FALSE()),"please select a BUG ID")</f>
        <v>https://opendev.org/openstack/nova/commit/2c62e34</v>
      </c>
    </row>
    <row r="160">
      <c r="A160" s="16" t="s">
        <v>53</v>
      </c>
      <c r="B160" s="50" t="str">
        <f>IFERROR(HYPERLINK(VLOOKUP(A160,Internal_lists_bugs!$A$2:$C$73,3,FALSE()), VLOOKUP(A160,Internal_lists_bugs!$A$2:$C$73,3,FALSE())&amp;Char(10) &amp; Char(10) &amp; VLOOKUP(A160,Internal_lists_bugs!$A$2:$Z$73,26,FALSE())),"please select a BUG ID")</f>
        <v>https://bugs.launchpad.net/nova/+bug/1336127
/compute/manager.py</v>
      </c>
      <c r="C160" s="51" t="str">
        <f>IFERROR(VLOOKUP(A160,Internal_lists_bugs!$A$2:$T1058,20,FALSE()),"please select a BUG ID")</f>
        <v>None identified. However, double check yourself</v>
      </c>
      <c r="D160" s="14" t="s">
        <v>1256</v>
      </c>
      <c r="E160" s="54"/>
      <c r="F160" s="79" t="s">
        <v>1242</v>
      </c>
      <c r="G160" s="93" t="s">
        <v>1267</v>
      </c>
      <c r="H160" s="16"/>
      <c r="I160" s="81" t="str">
        <f>IFERROR(VLOOKUP(A160,Internal_lists_bugs!$A$2:$G1058,7,FALSE()),"please select a BUG ID")</f>
        <v>https://opendev.org/openstack/nova/commit/2c62e34</v>
      </c>
    </row>
    <row r="161">
      <c r="A161" s="16" t="s">
        <v>54</v>
      </c>
      <c r="B161" s="50" t="str">
        <f>IFERROR(HYPERLINK(VLOOKUP(A161,Internal_lists_bugs!$A$2:$C$73,3,FALSE()), VLOOKUP(A161,Internal_lists_bugs!$A$2:$C$73,3,FALSE())&amp;Char(10) &amp; Char(10) &amp; VLOOKUP(A161,Internal_lists_bugs!$A$2:$Z$73,26,FALSE())),"please select a BUG ID")</f>
        <v>https://bugs.launchpad.net/nova/+bug/1307791
/compute/api.py</v>
      </c>
      <c r="C161" s="51" t="str">
        <f>IFERROR(VLOOKUP(A161,Internal_lists_bugs!$A$2:$T1058,20,FALSE()),"please select a BUG ID")</f>
        <v>None identified. However, double check yourself</v>
      </c>
      <c r="D161" s="66" t="s">
        <v>124</v>
      </c>
      <c r="E161" s="54"/>
      <c r="F161" s="79"/>
      <c r="G161" s="92"/>
      <c r="H161" s="16" t="s">
        <v>1114</v>
      </c>
      <c r="I161" s="81" t="str">
        <f>IFERROR(VLOOKUP(A161,Internal_lists_bugs!$A$2:$G1058,7,FALSE()),"please select a BUG ID")</f>
        <v>https://opendev.org/openstack/nova/commit/3dff4335661</v>
      </c>
    </row>
    <row r="162">
      <c r="A162" s="16" t="s">
        <v>55</v>
      </c>
      <c r="B162" s="50" t="str">
        <f>IFERROR(HYPERLINK(VLOOKUP(A162,Internal_lists_bugs!$A$2:$C$73,3,FALSE()), VLOOKUP(A162,Internal_lists_bugs!$A$2:$C$73,3,FALSE())&amp;Char(10) &amp; Char(10) &amp; VLOOKUP(A162,Internal_lists_bugs!$A$2:$Z$73,26,FALSE())),"please select a BUG ID")</f>
        <v>https://bugs.launchpad.net/nova/+bug/1402535
/virt/libvirt/volume.py</v>
      </c>
      <c r="C162" s="51" t="str">
        <f>IFERROR(VLOOKUP(A162,Internal_lists_bugs!$A$2:$T1058,20,FALSE()),"please select a BUG ID")</f>
        <v>None identified</v>
      </c>
      <c r="D162" s="16" t="s">
        <v>124</v>
      </c>
      <c r="E162" s="54"/>
      <c r="F162" s="79"/>
      <c r="G162" s="92"/>
      <c r="H162" s="16" t="s">
        <v>1114</v>
      </c>
      <c r="I162" s="81" t="str">
        <f>IFERROR(VLOOKUP(A162,Internal_lists_bugs!$A$2:$G1058,7,FALSE()),"please select a BUG ID")</f>
        <v>https://opendev.org/openstack/nova/commit/933365a58</v>
      </c>
    </row>
    <row r="163">
      <c r="A163" s="16" t="s">
        <v>56</v>
      </c>
      <c r="B163" s="50" t="str">
        <f>IFERROR(HYPERLINK(VLOOKUP(A163,Internal_lists_bugs!$A$2:$C$73,3,FALSE()), VLOOKUP(A163,Internal_lists_bugs!$A$2:$C$73,3,FALSE())&amp;Char(10) &amp; Char(10) &amp; VLOOKUP(A163,Internal_lists_bugs!$A$2:$Z$73,26,FALSE())),"please select a BUG ID")</f>
        <v>https://bugs.launchpad.net/nova/+bug/1371677
/libvirt/driver.py</v>
      </c>
      <c r="C163" s="51" t="str">
        <f>IFERROR(VLOOKUP(A163,Internal_lists_bugs!$A$2:$T1058,20,FALSE()),"please select a BUG ID")</f>
        <v>None identified</v>
      </c>
      <c r="D163" s="14" t="s">
        <v>1268</v>
      </c>
      <c r="E163" s="16" t="s">
        <v>1157</v>
      </c>
      <c r="F163" s="79" t="s">
        <v>1136</v>
      </c>
      <c r="G163" s="93" t="s">
        <v>1269</v>
      </c>
      <c r="H163" s="16" t="s">
        <v>1114</v>
      </c>
      <c r="I163" s="81" t="str">
        <f>IFERROR(VLOOKUP(A163,Internal_lists_bugs!$A$2:$G1058,7,FALSE()),"please select a BUG ID")</f>
        <v>https://opendev.org/openstack/nova/commit/5fa74bc</v>
      </c>
    </row>
    <row r="164">
      <c r="A164" s="16" t="s">
        <v>56</v>
      </c>
      <c r="B164" s="50" t="str">
        <f>IFERROR(HYPERLINK(VLOOKUP(A164,Internal_lists_bugs!$A$2:$C$73,3,FALSE()), VLOOKUP(A164,Internal_lists_bugs!$A$2:$C$73,3,FALSE())&amp;Char(10) &amp; Char(10) &amp; VLOOKUP(A164,Internal_lists_bugs!$A$2:$Z$73,26,FALSE())),"please select a BUG ID")</f>
        <v>https://bugs.launchpad.net/nova/+bug/1371677
/libvirt/driver.py</v>
      </c>
      <c r="C164" s="51" t="str">
        <f>IFERROR(VLOOKUP(A164,Internal_lists_bugs!$A$2:$T1058,20,FALSE()),"please select a BUG ID")</f>
        <v>None identified</v>
      </c>
      <c r="D164" s="14" t="s">
        <v>1268</v>
      </c>
      <c r="E164" s="54"/>
      <c r="F164" s="79" t="s">
        <v>1121</v>
      </c>
      <c r="G164" s="93" t="s">
        <v>1270</v>
      </c>
      <c r="H164" s="54"/>
      <c r="I164" s="81" t="str">
        <f>IFERROR(VLOOKUP(A164,Internal_lists_bugs!$A$2:$G1058,7,FALSE()),"please select a BUG ID")</f>
        <v>https://opendev.org/openstack/nova/commit/5fa74bc</v>
      </c>
    </row>
    <row r="165">
      <c r="A165" s="16" t="s">
        <v>56</v>
      </c>
      <c r="B165" s="50" t="str">
        <f>IFERROR(HYPERLINK(VLOOKUP(A165,Internal_lists_bugs!$A$2:$C$73,3,FALSE()), VLOOKUP(A165,Internal_lists_bugs!$A$2:$C$73,3,FALSE())&amp;Char(10) &amp; Char(10) &amp; VLOOKUP(A165,Internal_lists_bugs!$A$2:$Z$73,26,FALSE())),"please select a BUG ID")</f>
        <v>https://bugs.launchpad.net/nova/+bug/1371677
/libvirt/driver.py</v>
      </c>
      <c r="C165" s="51" t="str">
        <f>IFERROR(VLOOKUP(A165,Internal_lists_bugs!$A$2:$T1058,20,FALSE()),"please select a BUG ID")</f>
        <v>None identified</v>
      </c>
      <c r="D165" s="14" t="s">
        <v>1268</v>
      </c>
      <c r="E165" s="54"/>
      <c r="F165" s="79" t="s">
        <v>1123</v>
      </c>
      <c r="G165" s="93" t="s">
        <v>1271</v>
      </c>
      <c r="H165" s="54"/>
      <c r="I165" s="81" t="str">
        <f>IFERROR(VLOOKUP(A165,Internal_lists_bugs!$A$2:$G1058,7,FALSE()),"please select a BUG ID")</f>
        <v>https://opendev.org/openstack/nova/commit/5fa74bc</v>
      </c>
    </row>
    <row r="166">
      <c r="A166" s="16" t="s">
        <v>56</v>
      </c>
      <c r="B166" s="50" t="str">
        <f>IFERROR(HYPERLINK(VLOOKUP(A166,Internal_lists_bugs!$A$2:$C$73,3,FALSE()), VLOOKUP(A166,Internal_lists_bugs!$A$2:$C$73,3,FALSE())&amp;Char(10) &amp; Char(10) &amp; VLOOKUP(A166,Internal_lists_bugs!$A$2:$Z$73,26,FALSE())),"please select a BUG ID")</f>
        <v>https://bugs.launchpad.net/nova/+bug/1371677
/libvirt/driver.py</v>
      </c>
      <c r="C166" s="51" t="str">
        <f>IFERROR(VLOOKUP(A166,Internal_lists_bugs!$A$2:$T1058,20,FALSE()),"please select a BUG ID")</f>
        <v>None identified</v>
      </c>
      <c r="D166" s="14" t="s">
        <v>1268</v>
      </c>
      <c r="E166" s="54"/>
      <c r="F166" s="79" t="s">
        <v>1162</v>
      </c>
      <c r="G166" s="93" t="s">
        <v>1272</v>
      </c>
      <c r="H166" s="54"/>
      <c r="I166" s="81" t="str">
        <f>IFERROR(VLOOKUP(A166,Internal_lists_bugs!$A$2:$G1058,7,FALSE()),"please select a BUG ID")</f>
        <v>https://opendev.org/openstack/nova/commit/5fa74bc</v>
      </c>
    </row>
    <row r="167">
      <c r="A167" s="16" t="s">
        <v>56</v>
      </c>
      <c r="B167" s="50" t="str">
        <f>IFERROR(HYPERLINK(VLOOKUP(A167,Internal_lists_bugs!$A$2:$C$73,3,FALSE()), VLOOKUP(A167,Internal_lists_bugs!$A$2:$C$73,3,FALSE())&amp;Char(10) &amp; Char(10) &amp; VLOOKUP(A167,Internal_lists_bugs!$A$2:$Z$73,26,FALSE())),"please select a BUG ID")</f>
        <v>https://bugs.launchpad.net/nova/+bug/1371677
/libvirt/driver.py</v>
      </c>
      <c r="C167" s="51" t="str">
        <f>IFERROR(VLOOKUP(A167,Internal_lists_bugs!$A$2:$T1058,20,FALSE()),"please select a BUG ID")</f>
        <v>None identified</v>
      </c>
      <c r="D167" s="14" t="s">
        <v>1268</v>
      </c>
      <c r="E167" s="54"/>
      <c r="F167" s="79" t="s">
        <v>1164</v>
      </c>
      <c r="G167" s="93" t="s">
        <v>1273</v>
      </c>
      <c r="H167" s="54"/>
      <c r="I167" s="81" t="str">
        <f>IFERROR(VLOOKUP(A167,Internal_lists_bugs!$A$2:$G1058,7,FALSE()),"please select a BUG ID")</f>
        <v>https://opendev.org/openstack/nova/commit/5fa74bc</v>
      </c>
    </row>
    <row r="168">
      <c r="A168" s="16" t="s">
        <v>56</v>
      </c>
      <c r="B168" s="50" t="str">
        <f>IFERROR(HYPERLINK(VLOOKUP(A168,Internal_lists_bugs!$A$2:$C$73,3,FALSE()), VLOOKUP(A168,Internal_lists_bugs!$A$2:$C$73,3,FALSE())&amp;Char(10) &amp; Char(10) &amp; VLOOKUP(A168,Internal_lists_bugs!$A$2:$Z$73,26,FALSE())),"please select a BUG ID")</f>
        <v>https://bugs.launchpad.net/nova/+bug/1371677
/libvirt/driver.py</v>
      </c>
      <c r="C168" s="51" t="str">
        <f>IFERROR(VLOOKUP(A168,Internal_lists_bugs!$A$2:$T1058,20,FALSE()),"please select a BUG ID")</f>
        <v>None identified</v>
      </c>
      <c r="D168" s="14" t="s">
        <v>1268</v>
      </c>
      <c r="E168" s="54"/>
      <c r="F168" s="79" t="s">
        <v>1166</v>
      </c>
      <c r="G168" s="93" t="s">
        <v>1167</v>
      </c>
      <c r="H168" s="54"/>
      <c r="I168" s="81" t="str">
        <f>IFERROR(VLOOKUP(A168,Internal_lists_bugs!$A$2:$G1058,7,FALSE()),"please select a BUG ID")</f>
        <v>https://opendev.org/openstack/nova/commit/5fa74bc</v>
      </c>
    </row>
    <row r="169">
      <c r="A169" s="16" t="s">
        <v>56</v>
      </c>
      <c r="B169" s="50" t="str">
        <f>IFERROR(HYPERLINK(VLOOKUP(A169,Internal_lists_bugs!$A$2:$C$73,3,FALSE()), VLOOKUP(A169,Internal_lists_bugs!$A$2:$C$73,3,FALSE())&amp;Char(10) &amp; Char(10) &amp; VLOOKUP(A169,Internal_lists_bugs!$A$2:$Z$73,26,FALSE())),"please select a BUG ID")</f>
        <v>https://bugs.launchpad.net/nova/+bug/1371677
/libvirt/driver.py</v>
      </c>
      <c r="C169" s="51" t="str">
        <f>IFERROR(VLOOKUP(A169,Internal_lists_bugs!$A$2:$T1058,20,FALSE()),"please select a BUG ID")</f>
        <v>None identified</v>
      </c>
      <c r="D169" s="14" t="s">
        <v>1268</v>
      </c>
      <c r="E169" s="54"/>
      <c r="F169" s="79" t="s">
        <v>1182</v>
      </c>
      <c r="G169" s="93" t="s">
        <v>1274</v>
      </c>
      <c r="H169" s="54"/>
      <c r="I169" s="81" t="str">
        <f>IFERROR(VLOOKUP(A169,Internal_lists_bugs!$A$2:$G1058,7,FALSE()),"please select a BUG ID")</f>
        <v>https://opendev.org/openstack/nova/commit/5fa74bc</v>
      </c>
    </row>
    <row r="170">
      <c r="A170" s="16" t="s">
        <v>56</v>
      </c>
      <c r="B170" s="50" t="str">
        <f>IFERROR(HYPERLINK(VLOOKUP(A170,Internal_lists_bugs!$A$2:$C$73,3,FALSE()), VLOOKUP(A170,Internal_lists_bugs!$A$2:$C$73,3,FALSE())&amp;Char(10) &amp; Char(10) &amp; VLOOKUP(A170,Internal_lists_bugs!$A$2:$Z$73,26,FALSE())),"please select a BUG ID")</f>
        <v>https://bugs.launchpad.net/nova/+bug/1371677
/libvirt/driver.py</v>
      </c>
      <c r="C170" s="51" t="str">
        <f>IFERROR(VLOOKUP(A170,Internal_lists_bugs!$A$2:$T1058,20,FALSE()),"please select a BUG ID")</f>
        <v>None identified</v>
      </c>
      <c r="D170" s="14" t="s">
        <v>1268</v>
      </c>
      <c r="E170" s="54"/>
      <c r="F170" s="79" t="s">
        <v>1168</v>
      </c>
      <c r="G170" s="93" t="s">
        <v>1169</v>
      </c>
      <c r="H170" s="54"/>
      <c r="I170" s="81" t="str">
        <f>IFERROR(VLOOKUP(A170,Internal_lists_bugs!$A$2:$G1058,7,FALSE()),"please select a BUG ID")</f>
        <v>https://opendev.org/openstack/nova/commit/5fa74bc</v>
      </c>
    </row>
    <row r="171">
      <c r="A171" s="16" t="s">
        <v>56</v>
      </c>
      <c r="B171" s="50" t="str">
        <f>IFERROR(HYPERLINK(VLOOKUP(A171,Internal_lists_bugs!$A$2:$C$73,3,FALSE()), VLOOKUP(A171,Internal_lists_bugs!$A$2:$C$73,3,FALSE())&amp;Char(10) &amp; Char(10) &amp; VLOOKUP(A171,Internal_lists_bugs!$A$2:$Z$73,26,FALSE())),"please select a BUG ID")</f>
        <v>https://bugs.launchpad.net/nova/+bug/1371677
/libvirt/driver.py</v>
      </c>
      <c r="C171" s="51" t="str">
        <f>IFERROR(VLOOKUP(A171,Internal_lists_bugs!$A$2:$T1058,20,FALSE()),"please select a BUG ID")</f>
        <v>None identified</v>
      </c>
      <c r="D171" s="14" t="s">
        <v>1268</v>
      </c>
      <c r="E171" s="54"/>
      <c r="F171" s="79" t="s">
        <v>1170</v>
      </c>
      <c r="G171" s="93" t="s">
        <v>1275</v>
      </c>
      <c r="H171" s="54"/>
      <c r="I171" s="81" t="str">
        <f>IFERROR(VLOOKUP(A171,Internal_lists_bugs!$A$2:$G1058,7,FALSE()),"please select a BUG ID")</f>
        <v>https://opendev.org/openstack/nova/commit/5fa74bc</v>
      </c>
    </row>
    <row r="172">
      <c r="A172" s="16" t="s">
        <v>56</v>
      </c>
      <c r="B172" s="50" t="str">
        <f>IFERROR(HYPERLINK(VLOOKUP(A172,Internal_lists_bugs!$A$2:$C$73,3,FALSE()), VLOOKUP(A172,Internal_lists_bugs!$A$2:$C$73,3,FALSE())&amp;Char(10) &amp; Char(10) &amp; VLOOKUP(A172,Internal_lists_bugs!$A$2:$Z$73,26,FALSE())),"please select a BUG ID")</f>
        <v>https://bugs.launchpad.net/nova/+bug/1371677
/libvirt/driver.py</v>
      </c>
      <c r="C172" s="51" t="str">
        <f>IFERROR(VLOOKUP(A172,Internal_lists_bugs!$A$2:$T1058,20,FALSE()),"please select a BUG ID")</f>
        <v>None identified</v>
      </c>
      <c r="D172" s="14" t="s">
        <v>1268</v>
      </c>
      <c r="E172" s="54"/>
      <c r="F172" s="79" t="s">
        <v>1172</v>
      </c>
      <c r="G172" s="93" t="s">
        <v>1276</v>
      </c>
      <c r="H172" s="54"/>
      <c r="I172" s="81" t="str">
        <f>IFERROR(VLOOKUP(A172,Internal_lists_bugs!$A$2:$G1058,7,FALSE()),"please select a BUG ID")</f>
        <v>https://opendev.org/openstack/nova/commit/5fa74bc</v>
      </c>
    </row>
    <row r="173">
      <c r="A173" s="16" t="s">
        <v>56</v>
      </c>
      <c r="B173" s="50" t="str">
        <f>IFERROR(HYPERLINK(VLOOKUP(A173,Internal_lists_bugs!$A$2:$C$73,3,FALSE()), VLOOKUP(A173,Internal_lists_bugs!$A$2:$C$73,3,FALSE())&amp;Char(10) &amp; Char(10) &amp; VLOOKUP(A173,Internal_lists_bugs!$A$2:$Z$73,26,FALSE())),"please select a BUG ID")</f>
        <v>https://bugs.launchpad.net/nova/+bug/1371677
/libvirt/driver.py</v>
      </c>
      <c r="C173" s="51" t="str">
        <f>IFERROR(VLOOKUP(A173,Internal_lists_bugs!$A$2:$T1058,20,FALSE()),"please select a BUG ID")</f>
        <v>None identified</v>
      </c>
      <c r="D173" s="14" t="s">
        <v>1268</v>
      </c>
      <c r="E173" s="54"/>
      <c r="F173" s="79" t="s">
        <v>1174</v>
      </c>
      <c r="G173" s="93" t="s">
        <v>1277</v>
      </c>
      <c r="H173" s="54"/>
      <c r="I173" s="81" t="str">
        <f>IFERROR(VLOOKUP(A173,Internal_lists_bugs!$A$2:$G1058,7,FALSE()),"please select a BUG ID")</f>
        <v>https://opendev.org/openstack/nova/commit/5fa74bc</v>
      </c>
    </row>
    <row r="174">
      <c r="A174" s="16" t="s">
        <v>56</v>
      </c>
      <c r="B174" s="50" t="str">
        <f>IFERROR(HYPERLINK(VLOOKUP(A174,Internal_lists_bugs!$A$2:$C$73,3,FALSE()), VLOOKUP(A174,Internal_lists_bugs!$A$2:$C$73,3,FALSE())&amp;Char(10) &amp; Char(10) &amp; VLOOKUP(A174,Internal_lists_bugs!$A$2:$Z$73,26,FALSE())),"please select a BUG ID")</f>
        <v>https://bugs.launchpad.net/nova/+bug/1371677
/libvirt/driver.py</v>
      </c>
      <c r="C174" s="51" t="str">
        <f>IFERROR(VLOOKUP(A174,Internal_lists_bugs!$A$2:$T1058,20,FALSE()),"please select a BUG ID")</f>
        <v>None identified</v>
      </c>
      <c r="D174" s="14" t="s">
        <v>1268</v>
      </c>
      <c r="E174" s="54"/>
      <c r="F174" s="79" t="s">
        <v>1176</v>
      </c>
      <c r="G174" s="93" t="s">
        <v>1177</v>
      </c>
      <c r="H174" s="54"/>
      <c r="I174" s="81" t="str">
        <f>IFERROR(VLOOKUP(A174,Internal_lists_bugs!$A$2:$G1058,7,FALSE()),"please select a BUG ID")</f>
        <v>https://opendev.org/openstack/nova/commit/5fa74bc</v>
      </c>
    </row>
    <row r="175">
      <c r="A175" s="16" t="s">
        <v>56</v>
      </c>
      <c r="B175" s="50" t="str">
        <f>IFERROR(HYPERLINK(VLOOKUP(A175,Internal_lists_bugs!$A$2:$C$73,3,FALSE()), VLOOKUP(A175,Internal_lists_bugs!$A$2:$C$73,3,FALSE())&amp;Char(10) &amp; Char(10) &amp; VLOOKUP(A175,Internal_lists_bugs!$A$2:$Z$73,26,FALSE())),"please select a BUG ID")</f>
        <v>https://bugs.launchpad.net/nova/+bug/1371677
/libvirt/driver.py</v>
      </c>
      <c r="C175" s="51" t="str">
        <f>IFERROR(VLOOKUP(A175,Internal_lists_bugs!$A$2:$T1058,20,FALSE()),"please select a BUG ID")</f>
        <v>None identified</v>
      </c>
      <c r="D175" s="14" t="s">
        <v>1268</v>
      </c>
      <c r="E175" s="54"/>
      <c r="F175" s="79" t="s">
        <v>1134</v>
      </c>
      <c r="G175" s="93" t="s">
        <v>1278</v>
      </c>
      <c r="H175" s="54"/>
      <c r="I175" s="81" t="str">
        <f>IFERROR(VLOOKUP(A175,Internal_lists_bugs!$A$2:$G1058,7,FALSE()),"please select a BUG ID")</f>
        <v>https://opendev.org/openstack/nova/commit/5fa74bc</v>
      </c>
    </row>
    <row r="176">
      <c r="A176" s="16" t="s">
        <v>56</v>
      </c>
      <c r="B176" s="50" t="str">
        <f>IFERROR(HYPERLINK(VLOOKUP(A176,Internal_lists_bugs!$A$2:$C$73,3,FALSE()), VLOOKUP(A176,Internal_lists_bugs!$A$2:$C$73,3,FALSE())&amp;Char(10) &amp; Char(10) &amp; VLOOKUP(A176,Internal_lists_bugs!$A$2:$Z$73,26,FALSE())),"please select a BUG ID")</f>
        <v>https://bugs.launchpad.net/nova/+bug/1371677
/libvirt/driver.py</v>
      </c>
      <c r="C176" s="51" t="str">
        <f>IFERROR(VLOOKUP(A176,Internal_lists_bugs!$A$2:$T1058,20,FALSE()),"please select a BUG ID")</f>
        <v>None identified</v>
      </c>
      <c r="D176" s="14" t="s">
        <v>1268</v>
      </c>
      <c r="E176" s="54"/>
      <c r="F176" s="79" t="s">
        <v>1146</v>
      </c>
      <c r="G176" s="93" t="s">
        <v>1279</v>
      </c>
      <c r="H176" s="54"/>
      <c r="I176" s="81" t="str">
        <f>IFERROR(VLOOKUP(A176,Internal_lists_bugs!$A$2:$G1058,7,FALSE()),"please select a BUG ID")</f>
        <v>https://opendev.org/openstack/nova/commit/5fa74bc</v>
      </c>
    </row>
    <row r="177">
      <c r="A177" s="16" t="s">
        <v>56</v>
      </c>
      <c r="B177" s="50" t="str">
        <f>IFERROR(HYPERLINK(VLOOKUP(A177,Internal_lists_bugs!$A$2:$C$73,3,FALSE()), VLOOKUP(A177,Internal_lists_bugs!$A$2:$C$73,3,FALSE())&amp;Char(10) &amp; Char(10) &amp; VLOOKUP(A177,Internal_lists_bugs!$A$2:$Z$73,26,FALSE())),"please select a BUG ID")</f>
        <v>https://bugs.launchpad.net/nova/+bug/1371677
/libvirt/driver.py</v>
      </c>
      <c r="C177" s="51" t="str">
        <f>IFERROR(VLOOKUP(A177,Internal_lists_bugs!$A$2:$T1058,20,FALSE()),"please select a BUG ID")</f>
        <v>None identified</v>
      </c>
      <c r="D177" s="14" t="s">
        <v>1268</v>
      </c>
      <c r="E177" s="54"/>
      <c r="F177" s="79" t="s">
        <v>1178</v>
      </c>
      <c r="G177" s="93" t="s">
        <v>1280</v>
      </c>
      <c r="H177" s="54"/>
      <c r="I177" s="81" t="str">
        <f>IFERROR(VLOOKUP(A177,Internal_lists_bugs!$A$2:$G1058,7,FALSE()),"please select a BUG ID")</f>
        <v>https://opendev.org/openstack/nova/commit/5fa74bc</v>
      </c>
    </row>
    <row r="178">
      <c r="A178" s="16" t="s">
        <v>56</v>
      </c>
      <c r="B178" s="50" t="str">
        <f>IFERROR(HYPERLINK(VLOOKUP(A178,Internal_lists_bugs!$A$2:$C$73,3,FALSE()), VLOOKUP(A178,Internal_lists_bugs!$A$2:$C$73,3,FALSE())&amp;Char(10) &amp; Char(10) &amp; VLOOKUP(A178,Internal_lists_bugs!$A$2:$Z$73,26,FALSE())),"please select a BUG ID")</f>
        <v>https://bugs.launchpad.net/nova/+bug/1371677
/libvirt/driver.py</v>
      </c>
      <c r="C178" s="51" t="str">
        <f>IFERROR(VLOOKUP(A178,Internal_lists_bugs!$A$2:$T1058,20,FALSE()),"please select a BUG ID")</f>
        <v>None identified</v>
      </c>
      <c r="D178" s="14" t="s">
        <v>1268</v>
      </c>
      <c r="E178" s="54"/>
      <c r="F178" s="79" t="s">
        <v>1188</v>
      </c>
      <c r="G178" s="93" t="s">
        <v>1281</v>
      </c>
      <c r="H178" s="54"/>
      <c r="I178" s="81" t="str">
        <f>IFERROR(VLOOKUP(A178,Internal_lists_bugs!$A$2:$G1058,7,FALSE()),"please select a BUG ID")</f>
        <v>https://opendev.org/openstack/nova/commit/5fa74bc</v>
      </c>
    </row>
    <row r="179">
      <c r="A179" s="16" t="s">
        <v>56</v>
      </c>
      <c r="B179" s="50" t="str">
        <f>IFERROR(HYPERLINK(VLOOKUP(A179,Internal_lists_bugs!$A$2:$C$73,3,FALSE()), VLOOKUP(A179,Internal_lists_bugs!$A$2:$C$73,3,FALSE())&amp;Char(10) &amp; Char(10) &amp; VLOOKUP(A179,Internal_lists_bugs!$A$2:$Z$73,26,FALSE())),"please select a BUG ID")</f>
        <v>https://bugs.launchpad.net/nova/+bug/1371677
/libvirt/driver.py</v>
      </c>
      <c r="C179" s="51" t="str">
        <f>IFERROR(VLOOKUP(A179,Internal_lists_bugs!$A$2:$T1058,20,FALSE()),"please select a BUG ID")</f>
        <v>None identified</v>
      </c>
      <c r="D179" s="14" t="s">
        <v>1268</v>
      </c>
      <c r="E179" s="54"/>
      <c r="F179" s="79" t="s">
        <v>1186</v>
      </c>
      <c r="G179" s="93" t="s">
        <v>1282</v>
      </c>
      <c r="H179" s="54"/>
      <c r="I179" s="81" t="str">
        <f>IFERROR(VLOOKUP(A179,Internal_lists_bugs!$A$2:$G1058,7,FALSE()),"please select a BUG ID")</f>
        <v>https://opendev.org/openstack/nova/commit/5fa74bc</v>
      </c>
    </row>
    <row r="180">
      <c r="A180" s="16" t="s">
        <v>56</v>
      </c>
      <c r="B180" s="50" t="str">
        <f>IFERROR(HYPERLINK(VLOOKUP(A180,Internal_lists_bugs!$A$2:$C$73,3,FALSE()), VLOOKUP(A180,Internal_lists_bugs!$A$2:$C$73,3,FALSE())&amp;Char(10) &amp; Char(10) &amp; VLOOKUP(A180,Internal_lists_bugs!$A$2:$Z$73,26,FALSE())),"please select a BUG ID")</f>
        <v>https://bugs.launchpad.net/nova/+bug/1371677
/libvirt/driver.py</v>
      </c>
      <c r="C180" s="51" t="str">
        <f>IFERROR(VLOOKUP(A180,Internal_lists_bugs!$A$2:$T1058,20,FALSE()),"please select a BUG ID")</f>
        <v>None identified</v>
      </c>
      <c r="D180" s="14" t="s">
        <v>1268</v>
      </c>
      <c r="E180" s="54"/>
      <c r="F180" s="79" t="s">
        <v>1242</v>
      </c>
      <c r="G180" s="93" t="s">
        <v>1283</v>
      </c>
      <c r="H180" s="54"/>
      <c r="I180" s="81" t="str">
        <f>IFERROR(VLOOKUP(A180,Internal_lists_bugs!$A$2:$G1058,7,FALSE()),"please select a BUG ID")</f>
        <v>https://opendev.org/openstack/nova/commit/5fa74bc</v>
      </c>
    </row>
    <row r="181">
      <c r="A181" s="16" t="s">
        <v>57</v>
      </c>
      <c r="B181" s="50" t="str">
        <f>IFERROR(HYPERLINK(VLOOKUP(A181,Internal_lists_bugs!$A$2:$C$73,3,FALSE()), VLOOKUP(A181,Internal_lists_bugs!$A$2:$C$73,3,FALSE())&amp;Char(10) &amp; Char(10) &amp; VLOOKUP(A181,Internal_lists_bugs!$A$2:$Z$73,26,FALSE())),"please select a BUG ID")</f>
        <v>https://bugs.launchpad.net/nova/+bug/1481078
/xenapi/vmops.py</v>
      </c>
      <c r="C181" s="51" t="str">
        <f>IFERROR(VLOOKUP(A181,Internal_lists_bugs!$A$2:$T1058,20,FALSE()),"please select a BUG ID")</f>
        <v>None identified</v>
      </c>
      <c r="D181" s="16" t="s">
        <v>124</v>
      </c>
      <c r="E181" s="54"/>
      <c r="F181" s="79"/>
      <c r="G181" s="92"/>
      <c r="H181" s="16" t="s">
        <v>1114</v>
      </c>
      <c r="I181" s="81" t="str">
        <f>IFERROR(VLOOKUP(A181,Internal_lists_bugs!$A$2:$G1058,7,FALSE()),"please select a BUG ID")</f>
        <v>https://opendev.org/openstack/nova/commit/31f208423405</v>
      </c>
    </row>
    <row r="182">
      <c r="A182" s="16" t="s">
        <v>58</v>
      </c>
      <c r="B182" s="50" t="str">
        <f>IFERROR(HYPERLINK(VLOOKUP(A182,Internal_lists_bugs!$A$2:$C$73,3,FALSE()), VLOOKUP(A182,Internal_lists_bugs!$A$2:$C$73,3,FALSE())&amp;Char(10) &amp; Char(10) &amp; VLOOKUP(A182,Internal_lists_bugs!$A$2:$Z$73,26,FALSE())),"please select a BUG ID")</f>
        <v>https://bugs.launchpad.net/nova/+bug/1402728
/vmwareapi/vm_util.py
/vmwareapi/vmops.py </v>
      </c>
      <c r="C182" s="51" t="str">
        <f>IFERROR(VLOOKUP(A182,Internal_lists_bugs!$A$2:$T1058,20,FALSE()),"please select a BUG ID")</f>
        <v>None identified</v>
      </c>
      <c r="D182" s="16" t="s">
        <v>124</v>
      </c>
      <c r="E182" s="54"/>
      <c r="F182" s="82"/>
      <c r="G182" s="92"/>
      <c r="H182" s="16" t="s">
        <v>1114</v>
      </c>
      <c r="I182" s="81" t="str">
        <f>IFERROR(VLOOKUP(A182,Internal_lists_bugs!$A$2:$G1058,7,FALSE()),"please select a BUG ID")</f>
        <v>https://opendev.org/openstack/nova/commit/2bcda65d512</v>
      </c>
    </row>
    <row r="183">
      <c r="A183" s="16" t="s">
        <v>59</v>
      </c>
      <c r="B183" s="50" t="str">
        <f>IFERROR(HYPERLINK(VLOOKUP(A183,Internal_lists_bugs!$A$2:$C$73,3,FALSE()), VLOOKUP(A183,Internal_lists_bugs!$A$2:$C$73,3,FALSE())&amp;Char(10) &amp; Char(10) &amp; VLOOKUP(A183,Internal_lists_bugs!$A$2:$Z$73,26,FALSE())),"please select a BUG ID")</f>
        <v>https://bugs.launchpad.net/nova/+bug/1441000
/libvirt/driver.py</v>
      </c>
      <c r="C183" s="51" t="str">
        <f>IFERROR(VLOOKUP(A183,Internal_lists_bugs!$A$2:$T1058,20,FALSE()),"please select a BUG ID")</f>
        <v>None identified</v>
      </c>
      <c r="D183" s="16" t="s">
        <v>124</v>
      </c>
      <c r="E183" s="54"/>
      <c r="F183" s="82"/>
      <c r="G183" s="92"/>
      <c r="H183" s="16" t="s">
        <v>1114</v>
      </c>
      <c r="I183" s="81" t="str">
        <f>IFERROR(VLOOKUP(A183,Internal_lists_bugs!$A$2:$G1058,7,FALSE()),"please select a BUG ID")</f>
        <v>https://opendev.org/openstack/nova/commit/7dd6a4a</v>
      </c>
    </row>
    <row r="184" ht="41.25" customHeight="1">
      <c r="A184" s="16" t="s">
        <v>60</v>
      </c>
      <c r="B184" s="50" t="str">
        <f>IFERROR(HYPERLINK(VLOOKUP(A184,Internal_lists_bugs!$A$2:$C$73,3,FALSE()), VLOOKUP(A184,Internal_lists_bugs!$A$2:$C$73,3,FALSE())&amp;Char(10) &amp; Char(10) &amp; VLOOKUP(A184,Internal_lists_bugs!$A$2:$Z$73,26,FALSE())),"please select a BUG ID")</f>
        <v>https://bugs.launchpad.net/nova/+bug/1505471
/servicegroup/drivers/db.py</v>
      </c>
      <c r="C184" s="51" t="str">
        <f>IFERROR(VLOOKUP(A184,Internal_lists_bugs!$A$2:$T1058,20,FALSE()),"please select a BUG ID")</f>
        <v>None identified</v>
      </c>
      <c r="D184" s="16" t="s">
        <v>124</v>
      </c>
      <c r="E184" s="54"/>
      <c r="F184" s="82"/>
      <c r="G184" s="92"/>
      <c r="H184" s="95" t="s">
        <v>1115</v>
      </c>
      <c r="I184" s="81" t="str">
        <f>IFERROR(VLOOKUP(A184,Internal_lists_bugs!$A$2:$G1058,7,FALSE()),"please select a BUG ID")</f>
        <v>https://opendev.org/openstack/nova/commit/64e167eb6</v>
      </c>
      <c r="J184" s="14" t="s">
        <v>1284</v>
      </c>
    </row>
    <row r="185">
      <c r="A185" s="16" t="s">
        <v>61</v>
      </c>
      <c r="B185" s="50" t="str">
        <f>IFERROR(HYPERLINK(VLOOKUP(A185,Internal_lists_bugs!$A$2:$C$73,3,FALSE()), VLOOKUP(A185,Internal_lists_bugs!$A$2:$C$73,3,FALSE())&amp;Char(10) &amp; Char(10) &amp; VLOOKUP(A185,Internal_lists_bugs!$A$2:$Z$73,26,FALSE())),"please select a BUG ID")</f>
        <v>https://bugs.launchpad.net/nova/+bug/1453274
/libvirt/driver.py</v>
      </c>
      <c r="C185" s="81" t="str">
        <f>IFERROR(VLOOKUP(A185,Internal_lists_bugs!$A$2:$T1058,20,FALSE()),"please select a BUG ID")</f>
        <v>https://bugs.launchpad.net/nova/+bug/1388386</v>
      </c>
      <c r="D185" s="54" t="s">
        <v>1285</v>
      </c>
      <c r="E185" s="16" t="s">
        <v>1286</v>
      </c>
      <c r="F185" s="79" t="s">
        <v>119</v>
      </c>
      <c r="G185" s="93" t="s">
        <v>1287</v>
      </c>
      <c r="H185" s="16" t="s">
        <v>1114</v>
      </c>
      <c r="I185" s="81" t="str">
        <f>IFERROR(VLOOKUP(A185,Internal_lists_bugs!$A$2:$G1058,7,FALSE()),"please select a BUG ID")</f>
        <v>https://opendev.org/openstack/nova/commit/60c90f7</v>
      </c>
    </row>
    <row r="186">
      <c r="A186" s="16" t="s">
        <v>61</v>
      </c>
      <c r="B186" s="50" t="str">
        <f>IFERROR(HYPERLINK(VLOOKUP(A186,Internal_lists_bugs!$A$2:$C$73,3,FALSE()), VLOOKUP(A186,Internal_lists_bugs!$A$2:$C$73,3,FALSE())&amp;Char(10) &amp; Char(10) &amp; VLOOKUP(A186,Internal_lists_bugs!$A$2:$Z$73,26,FALSE())),"please select a BUG ID")</f>
        <v>https://bugs.launchpad.net/nova/+bug/1453274
/libvirt/driver.py</v>
      </c>
      <c r="C186" s="81" t="str">
        <f>IFERROR(VLOOKUP(A186,Internal_lists_bugs!$A$2:$T1058,20,FALSE()),"please select a BUG ID")</f>
        <v>https://bugs.launchpad.net/nova/+bug/1388386</v>
      </c>
      <c r="D186" s="54" t="s">
        <v>1285</v>
      </c>
      <c r="E186" s="54"/>
      <c r="F186" s="79" t="s">
        <v>119</v>
      </c>
      <c r="G186" s="93" t="s">
        <v>1288</v>
      </c>
      <c r="H186" s="54"/>
      <c r="I186" s="81" t="str">
        <f>IFERROR(VLOOKUP(A186,Internal_lists_bugs!$A$2:$G1058,7,FALSE()),"please select a BUG ID")</f>
        <v>https://opendev.org/openstack/nova/commit/60c90f7</v>
      </c>
    </row>
    <row r="187">
      <c r="A187" s="16" t="s">
        <v>61</v>
      </c>
      <c r="B187" s="50" t="str">
        <f>IFERROR(HYPERLINK(VLOOKUP(A187,Internal_lists_bugs!$A$2:$C$73,3,FALSE()), VLOOKUP(A187,Internal_lists_bugs!$A$2:$C$73,3,FALSE())&amp;Char(10) &amp; Char(10) &amp; VLOOKUP(A187,Internal_lists_bugs!$A$2:$Z$73,26,FALSE())),"please select a BUG ID")</f>
        <v>https://bugs.launchpad.net/nova/+bug/1453274
/libvirt/driver.py</v>
      </c>
      <c r="C187" s="81" t="str">
        <f>IFERROR(VLOOKUP(A187,Internal_lists_bugs!$A$2:$T1058,20,FALSE()),"please select a BUG ID")</f>
        <v>https://bugs.launchpad.net/nova/+bug/1388386</v>
      </c>
      <c r="D187" s="54" t="s">
        <v>1285</v>
      </c>
      <c r="E187" s="54"/>
      <c r="F187" s="79" t="s">
        <v>1289</v>
      </c>
      <c r="G187" s="94" t="s">
        <v>1290</v>
      </c>
      <c r="H187" s="54"/>
      <c r="I187" s="81" t="str">
        <f>IFERROR(VLOOKUP(A187,Internal_lists_bugs!$A$2:$G1058,7,FALSE()),"please select a BUG ID")</f>
        <v>https://opendev.org/openstack/nova/commit/60c90f7</v>
      </c>
    </row>
    <row r="188">
      <c r="A188" s="16" t="s">
        <v>61</v>
      </c>
      <c r="B188" s="50" t="str">
        <f>IFERROR(HYPERLINK(VLOOKUP(A188,Internal_lists_bugs!$A$2:$C$73,3,FALSE()), VLOOKUP(A188,Internal_lists_bugs!$A$2:$C$73,3,FALSE())&amp;Char(10) &amp; Char(10) &amp; VLOOKUP(A188,Internal_lists_bugs!$A$2:$Z$73,26,FALSE())),"please select a BUG ID")</f>
        <v>https://bugs.launchpad.net/nova/+bug/1453274
/libvirt/driver.py</v>
      </c>
      <c r="C188" s="81" t="str">
        <f>IFERROR(VLOOKUP(A188,Internal_lists_bugs!$A$2:$T1058,20,FALSE()),"please select a BUG ID")</f>
        <v>https://bugs.launchpad.net/nova/+bug/1388386</v>
      </c>
      <c r="D188" s="54" t="s">
        <v>1285</v>
      </c>
      <c r="E188" s="54"/>
      <c r="F188" s="79" t="s">
        <v>343</v>
      </c>
      <c r="G188" s="93" t="s">
        <v>1291</v>
      </c>
      <c r="H188" s="54"/>
      <c r="I188" s="81" t="str">
        <f>IFERROR(VLOOKUP(A188,Internal_lists_bugs!$A$2:$G1058,7,FALSE()),"please select a BUG ID")</f>
        <v>https://opendev.org/openstack/nova/commit/60c90f7</v>
      </c>
    </row>
    <row r="189">
      <c r="A189" s="16" t="s">
        <v>61</v>
      </c>
      <c r="B189" s="50" t="str">
        <f>IFERROR(HYPERLINK(VLOOKUP(A189,Internal_lists_bugs!$A$2:$C$73,3,FALSE()), VLOOKUP(A189,Internal_lists_bugs!$A$2:$C$73,3,FALSE())&amp;Char(10) &amp; Char(10) &amp; VLOOKUP(A189,Internal_lists_bugs!$A$2:$Z$73,26,FALSE())),"please select a BUG ID")</f>
        <v>https://bugs.launchpad.net/nova/+bug/1453274
/libvirt/driver.py</v>
      </c>
      <c r="C189" s="81" t="str">
        <f>IFERROR(VLOOKUP(A189,Internal_lists_bugs!$A$2:$T1058,20,FALSE()),"please select a BUG ID")</f>
        <v>https://bugs.launchpad.net/nova/+bug/1388386</v>
      </c>
      <c r="D189" s="54" t="s">
        <v>1285</v>
      </c>
      <c r="E189" s="54"/>
      <c r="F189" s="79" t="s">
        <v>129</v>
      </c>
      <c r="G189" s="93" t="s">
        <v>204</v>
      </c>
      <c r="H189" s="54"/>
      <c r="I189" s="81" t="str">
        <f>IFERROR(VLOOKUP(A189,Internal_lists_bugs!$A$2:$G1058,7,FALSE()),"please select a BUG ID")</f>
        <v>https://opendev.org/openstack/nova/commit/60c90f7</v>
      </c>
    </row>
    <row r="190">
      <c r="A190" s="16" t="s">
        <v>61</v>
      </c>
      <c r="B190" s="50" t="str">
        <f>IFERROR(HYPERLINK(VLOOKUP(A190,Internal_lists_bugs!$A$2:$C$73,3,FALSE()), VLOOKUP(A190,Internal_lists_bugs!$A$2:$C$73,3,FALSE())&amp;Char(10) &amp; Char(10) &amp; VLOOKUP(A190,Internal_lists_bugs!$A$2:$Z$73,26,FALSE())),"please select a BUG ID")</f>
        <v>https://bugs.launchpad.net/nova/+bug/1453274
/libvirt/driver.py</v>
      </c>
      <c r="C190" s="81" t="str">
        <f>IFERROR(VLOOKUP(A190,Internal_lists_bugs!$A$2:$T1058,20,FALSE()),"please select a BUG ID")</f>
        <v>https://bugs.launchpad.net/nova/+bug/1388386</v>
      </c>
      <c r="D190" s="54" t="s">
        <v>1285</v>
      </c>
      <c r="E190" s="54"/>
      <c r="F190" s="79" t="s">
        <v>1292</v>
      </c>
      <c r="G190" s="93" t="s">
        <v>205</v>
      </c>
      <c r="H190" s="54"/>
      <c r="I190" s="81" t="str">
        <f>IFERROR(VLOOKUP(A190,Internal_lists_bugs!$A$2:$G1058,7,FALSE()),"please select a BUG ID")</f>
        <v>https://opendev.org/openstack/nova/commit/60c90f7</v>
      </c>
    </row>
    <row r="191">
      <c r="A191" s="16" t="s">
        <v>61</v>
      </c>
      <c r="B191" s="50" t="str">
        <f>IFERROR(HYPERLINK(VLOOKUP(A191,Internal_lists_bugs!$A$2:$C$73,3,FALSE()), VLOOKUP(A191,Internal_lists_bugs!$A$2:$C$73,3,FALSE())&amp;Char(10) &amp; Char(10) &amp; VLOOKUP(A191,Internal_lists_bugs!$A$2:$Z$73,26,FALSE())),"please select a BUG ID")</f>
        <v>https://bugs.launchpad.net/nova/+bug/1453274
/libvirt/driver.py</v>
      </c>
      <c r="C191" s="81" t="str">
        <f>IFERROR(VLOOKUP(A191,Internal_lists_bugs!$A$2:$T1058,20,FALSE()),"please select a BUG ID")</f>
        <v>https://bugs.launchpad.net/nova/+bug/1388386</v>
      </c>
      <c r="D191" s="54" t="s">
        <v>1285</v>
      </c>
      <c r="E191" s="54"/>
      <c r="F191" s="79" t="s">
        <v>153</v>
      </c>
      <c r="G191" s="93" t="s">
        <v>229</v>
      </c>
      <c r="H191" s="54"/>
      <c r="I191" s="81" t="str">
        <f>IFERROR(VLOOKUP(A191,Internal_lists_bugs!$A$2:$G1058,7,FALSE()),"please select a BUG ID")</f>
        <v>https://opendev.org/openstack/nova/commit/60c90f7</v>
      </c>
    </row>
    <row r="192">
      <c r="A192" s="16" t="s">
        <v>61</v>
      </c>
      <c r="B192" s="50" t="str">
        <f>IFERROR(HYPERLINK(VLOOKUP(A192,Internal_lists_bugs!$A$2:$C$73,3,FALSE()), VLOOKUP(A192,Internal_lists_bugs!$A$2:$C$73,3,FALSE())&amp;Char(10) &amp; Char(10) &amp; VLOOKUP(A192,Internal_lists_bugs!$A$2:$Z$73,26,FALSE())),"please select a BUG ID")</f>
        <v>https://bugs.launchpad.net/nova/+bug/1453274
/libvirt/driver.py</v>
      </c>
      <c r="C192" s="81" t="str">
        <f>IFERROR(VLOOKUP(A192,Internal_lists_bugs!$A$2:$T1058,20,FALSE()),"please select a BUG ID")</f>
        <v>https://bugs.launchpad.net/nova/+bug/1388386</v>
      </c>
      <c r="D192" s="54" t="s">
        <v>1285</v>
      </c>
      <c r="E192" s="54"/>
      <c r="F192" s="79" t="s">
        <v>1293</v>
      </c>
      <c r="G192" s="93" t="s">
        <v>216</v>
      </c>
      <c r="H192" s="54"/>
      <c r="I192" s="81" t="str">
        <f>IFERROR(VLOOKUP(A192,Internal_lists_bugs!$A$2:$G1058,7,FALSE()),"please select a BUG ID")</f>
        <v>https://opendev.org/openstack/nova/commit/60c90f7</v>
      </c>
    </row>
    <row r="193">
      <c r="A193" s="16" t="s">
        <v>62</v>
      </c>
      <c r="B193" s="50" t="str">
        <f>IFERROR(HYPERLINK(VLOOKUP(A193,Internal_lists_bugs!$A$2:$C$73,3,FALSE()), VLOOKUP(A193,Internal_lists_bugs!$A$2:$C$73,3,FALSE())&amp;Char(10) &amp; Char(10) &amp; VLOOKUP(A193,Internal_lists_bugs!$A$2:$Z$73,26,FALSE())),"please select a BUG ID")</f>
        <v>https://bugs.launchpad.net/nova/+bug/1424647
/cmd/baseproxy.py
/cmd/novncproxy.py
/cmd/serialproxy.py
/cmd/spicehtml5proxy.py </v>
      </c>
      <c r="C193" s="51" t="str">
        <f>IFERROR(VLOOKUP(A193,Internal_lists_bugs!$A$2:$T1058,20,FALSE()),"please select a BUG ID")</f>
        <v>None identified</v>
      </c>
      <c r="D193" s="16" t="s">
        <v>124</v>
      </c>
      <c r="E193" s="54"/>
      <c r="F193" s="82"/>
      <c r="G193" s="93"/>
      <c r="H193" s="16" t="s">
        <v>1114</v>
      </c>
      <c r="I193" s="81" t="str">
        <f>IFERROR(VLOOKUP(A193,Internal_lists_bugs!$A$2:$G1058,7,FALSE()),"please select a BUG ID")</f>
        <v>https://opendev.org/openstack/nova/commit/d2cbb9a</v>
      </c>
    </row>
    <row r="194">
      <c r="A194" s="16" t="s">
        <v>63</v>
      </c>
      <c r="B194" s="50" t="str">
        <f>IFERROR(HYPERLINK(VLOOKUP(A194,Internal_lists_bugs!$A$2:$C$73,3,FALSE()), VLOOKUP(A194,Internal_lists_bugs!$A$2:$C$73,3,FALSE())&amp;Char(10) &amp; Char(10) &amp; VLOOKUP(A194,Internal_lists_bugs!$A$2:$Z$73,26,FALSE())),"please select a BUG ID")</f>
        <v>https://bugs.launchpad.net/nova/+bug/1443970
/network/manager.py</v>
      </c>
      <c r="C194" s="51" t="str">
        <f>IFERROR(VLOOKUP(A194,Internal_lists_bugs!$A$2:$T1058,20,FALSE()),"please select a BUG ID")</f>
        <v>None identified</v>
      </c>
      <c r="D194" s="14" t="s">
        <v>1294</v>
      </c>
      <c r="E194" s="16" t="s">
        <v>1151</v>
      </c>
      <c r="F194" s="79" t="s">
        <v>1152</v>
      </c>
      <c r="G194" s="93" t="s">
        <v>1295</v>
      </c>
      <c r="H194" s="16" t="s">
        <v>1114</v>
      </c>
      <c r="I194" s="81" t="str">
        <f>IFERROR(VLOOKUP(A194,Internal_lists_bugs!$A$2:$G1058,7,FALSE()),"please select a BUG ID")</f>
        <v>https://opendev.org/openstack/nova/commit/447641972539f1</v>
      </c>
    </row>
    <row r="195">
      <c r="A195" s="16" t="s">
        <v>63</v>
      </c>
      <c r="B195" s="50" t="str">
        <f>IFERROR(HYPERLINK(VLOOKUP(A195,Internal_lists_bugs!$A$2:$C$73,3,FALSE()), VLOOKUP(A195,Internal_lists_bugs!$A$2:$C$73,3,FALSE())&amp;Char(10) &amp; Char(10) &amp; VLOOKUP(A195,Internal_lists_bugs!$A$2:$Z$73,26,FALSE())),"please select a BUG ID")</f>
        <v>https://bugs.launchpad.net/nova/+bug/1443970
/network/manager.py</v>
      </c>
      <c r="C195" s="51" t="str">
        <f>IFERROR(VLOOKUP(A195,Internal_lists_bugs!$A$2:$T1058,20,FALSE()),"please select a BUG ID")</f>
        <v>None identified</v>
      </c>
      <c r="D195" s="14" t="s">
        <v>1296</v>
      </c>
      <c r="E195" s="16" t="s">
        <v>1157</v>
      </c>
      <c r="F195" s="79" t="s">
        <v>1136</v>
      </c>
      <c r="G195" s="93" t="s">
        <v>1297</v>
      </c>
      <c r="H195" s="54"/>
      <c r="I195" s="81" t="str">
        <f>IFERROR(VLOOKUP(A195,Internal_lists_bugs!$A$2:$G1058,7,FALSE()),"please select a BUG ID")</f>
        <v>https://opendev.org/openstack/nova/commit/447641972539f1</v>
      </c>
    </row>
    <row r="196">
      <c r="A196" s="16" t="s">
        <v>63</v>
      </c>
      <c r="B196" s="50" t="str">
        <f>IFERROR(HYPERLINK(VLOOKUP(A196,Internal_lists_bugs!$A$2:$C$73,3,FALSE()), VLOOKUP(A196,Internal_lists_bugs!$A$2:$C$73,3,FALSE())&amp;Char(10) &amp; Char(10) &amp; VLOOKUP(A196,Internal_lists_bugs!$A$2:$Z$73,26,FALSE())),"please select a BUG ID")</f>
        <v>https://bugs.launchpad.net/nova/+bug/1443970
/network/manager.py</v>
      </c>
      <c r="C196" s="51" t="str">
        <f>IFERROR(VLOOKUP(A196,Internal_lists_bugs!$A$2:$T1058,20,FALSE()),"please select a BUG ID")</f>
        <v>None identified</v>
      </c>
      <c r="D196" s="14" t="s">
        <v>1296</v>
      </c>
      <c r="E196" s="54"/>
      <c r="F196" s="79" t="s">
        <v>1121</v>
      </c>
      <c r="G196" s="93" t="s">
        <v>1298</v>
      </c>
      <c r="H196" s="54"/>
      <c r="I196" s="81" t="str">
        <f>IFERROR(VLOOKUP(A196,Internal_lists_bugs!$A$2:$G1058,7,FALSE()),"please select a BUG ID")</f>
        <v>https://opendev.org/openstack/nova/commit/447641972539f1</v>
      </c>
    </row>
    <row r="197">
      <c r="A197" s="16" t="s">
        <v>63</v>
      </c>
      <c r="B197" s="50" t="str">
        <f>IFERROR(HYPERLINK(VLOOKUP(A197,Internal_lists_bugs!$A$2:$C$73,3,FALSE()), VLOOKUP(A197,Internal_lists_bugs!$A$2:$C$73,3,FALSE())&amp;Char(10) &amp; Char(10) &amp; VLOOKUP(A197,Internal_lists_bugs!$A$2:$Z$73,26,FALSE())),"please select a BUG ID")</f>
        <v>https://bugs.launchpad.net/nova/+bug/1443970
/network/manager.py</v>
      </c>
      <c r="C197" s="51" t="str">
        <f>IFERROR(VLOOKUP(A197,Internal_lists_bugs!$A$2:$T1058,20,FALSE()),"please select a BUG ID")</f>
        <v>None identified</v>
      </c>
      <c r="D197" s="14" t="s">
        <v>1296</v>
      </c>
      <c r="E197" s="54"/>
      <c r="F197" s="79" t="s">
        <v>1123</v>
      </c>
      <c r="G197" s="93" t="s">
        <v>1299</v>
      </c>
      <c r="H197" s="54"/>
      <c r="I197" s="81" t="str">
        <f>IFERROR(VLOOKUP(A197,Internal_lists_bugs!$A$2:$G1058,7,FALSE()),"please select a BUG ID")</f>
        <v>https://opendev.org/openstack/nova/commit/447641972539f1</v>
      </c>
    </row>
    <row r="198">
      <c r="A198" s="16" t="s">
        <v>63</v>
      </c>
      <c r="B198" s="50" t="str">
        <f>IFERROR(HYPERLINK(VLOOKUP(A198,Internal_lists_bugs!$A$2:$C$73,3,FALSE()), VLOOKUP(A198,Internal_lists_bugs!$A$2:$C$73,3,FALSE())&amp;Char(10) &amp; Char(10) &amp; VLOOKUP(A198,Internal_lists_bugs!$A$2:$Z$73,26,FALSE())),"please select a BUG ID")</f>
        <v>https://bugs.launchpad.net/nova/+bug/1443970
/network/manager.py</v>
      </c>
      <c r="C198" s="51" t="str">
        <f>IFERROR(VLOOKUP(A198,Internal_lists_bugs!$A$2:$T1058,20,FALSE()),"please select a BUG ID")</f>
        <v>None identified</v>
      </c>
      <c r="D198" s="14" t="s">
        <v>1296</v>
      </c>
      <c r="E198" s="54"/>
      <c r="F198" s="79" t="s">
        <v>1162</v>
      </c>
      <c r="G198" s="93" t="s">
        <v>1300</v>
      </c>
      <c r="H198" s="54"/>
      <c r="I198" s="81" t="str">
        <f>IFERROR(VLOOKUP(A198,Internal_lists_bugs!$A$2:$G1058,7,FALSE()),"please select a BUG ID")</f>
        <v>https://opendev.org/openstack/nova/commit/447641972539f1</v>
      </c>
    </row>
    <row r="199">
      <c r="A199" s="16" t="s">
        <v>63</v>
      </c>
      <c r="B199" s="50" t="str">
        <f>IFERROR(HYPERLINK(VLOOKUP(A199,Internal_lists_bugs!$A$2:$C$73,3,FALSE()), VLOOKUP(A199,Internal_lists_bugs!$A$2:$C$73,3,FALSE())&amp;Char(10) &amp; Char(10) &amp; VLOOKUP(A199,Internal_lists_bugs!$A$2:$Z$73,26,FALSE())),"please select a BUG ID")</f>
        <v>https://bugs.launchpad.net/nova/+bug/1443970
/network/manager.py</v>
      </c>
      <c r="C199" s="51" t="str">
        <f>IFERROR(VLOOKUP(A199,Internal_lists_bugs!$A$2:$T1058,20,FALSE()),"please select a BUG ID")</f>
        <v>None identified</v>
      </c>
      <c r="D199" s="14" t="s">
        <v>1296</v>
      </c>
      <c r="E199" s="54"/>
      <c r="F199" s="79" t="s">
        <v>1164</v>
      </c>
      <c r="G199" s="93" t="s">
        <v>1301</v>
      </c>
      <c r="H199" s="54"/>
      <c r="I199" s="81" t="str">
        <f>IFERROR(VLOOKUP(A199,Internal_lists_bugs!$A$2:$G1058,7,FALSE()),"please select a BUG ID")</f>
        <v>https://opendev.org/openstack/nova/commit/447641972539f1</v>
      </c>
    </row>
    <row r="200">
      <c r="A200" s="16" t="s">
        <v>63</v>
      </c>
      <c r="B200" s="50" t="str">
        <f>IFERROR(HYPERLINK(VLOOKUP(A200,Internal_lists_bugs!$A$2:$C$73,3,FALSE()), VLOOKUP(A200,Internal_lists_bugs!$A$2:$C$73,3,FALSE())&amp;Char(10) &amp; Char(10) &amp; VLOOKUP(A200,Internal_lists_bugs!$A$2:$Z$73,26,FALSE())),"please select a BUG ID")</f>
        <v>https://bugs.launchpad.net/nova/+bug/1443970
/network/manager.py</v>
      </c>
      <c r="C200" s="51" t="str">
        <f>IFERROR(VLOOKUP(A200,Internal_lists_bugs!$A$2:$T1058,20,FALSE()),"please select a BUG ID")</f>
        <v>None identified</v>
      </c>
      <c r="D200" s="14" t="s">
        <v>1296</v>
      </c>
      <c r="E200" s="54"/>
      <c r="F200" s="79" t="s">
        <v>1166</v>
      </c>
      <c r="G200" s="93" t="s">
        <v>1302</v>
      </c>
      <c r="H200" s="54"/>
      <c r="I200" s="81" t="str">
        <f>IFERROR(VLOOKUP(A200,Internal_lists_bugs!$A$2:$G1058,7,FALSE()),"please select a BUG ID")</f>
        <v>https://opendev.org/openstack/nova/commit/447641972539f1</v>
      </c>
    </row>
    <row r="201">
      <c r="A201" s="16" t="s">
        <v>63</v>
      </c>
      <c r="B201" s="50" t="str">
        <f>IFERROR(HYPERLINK(VLOOKUP(A201,Internal_lists_bugs!$A$2:$C$73,3,FALSE()), VLOOKUP(A201,Internal_lists_bugs!$A$2:$C$73,3,FALSE())&amp;Char(10) &amp; Char(10) &amp; VLOOKUP(A201,Internal_lists_bugs!$A$2:$Z$73,26,FALSE())),"please select a BUG ID")</f>
        <v>https://bugs.launchpad.net/nova/+bug/1443970
/network/manager.py</v>
      </c>
      <c r="C201" s="51" t="str">
        <f>IFERROR(VLOOKUP(A201,Internal_lists_bugs!$A$2:$T1058,20,FALSE()),"please select a BUG ID")</f>
        <v>None identified</v>
      </c>
      <c r="D201" s="14" t="s">
        <v>1296</v>
      </c>
      <c r="E201" s="54"/>
      <c r="F201" s="79" t="s">
        <v>1182</v>
      </c>
      <c r="G201" s="93" t="s">
        <v>1303</v>
      </c>
      <c r="H201" s="54"/>
      <c r="I201" s="81" t="str">
        <f>IFERROR(VLOOKUP(A201,Internal_lists_bugs!$A$2:$G1058,7,FALSE()),"please select a BUG ID")</f>
        <v>https://opendev.org/openstack/nova/commit/447641972539f1</v>
      </c>
    </row>
    <row r="202">
      <c r="A202" s="16" t="s">
        <v>63</v>
      </c>
      <c r="B202" s="50" t="str">
        <f>IFERROR(HYPERLINK(VLOOKUP(A202,Internal_lists_bugs!$A$2:$C$73,3,FALSE()), VLOOKUP(A202,Internal_lists_bugs!$A$2:$C$73,3,FALSE())&amp;Char(10) &amp; Char(10) &amp; VLOOKUP(A202,Internal_lists_bugs!$A$2:$Z$73,26,FALSE())),"please select a BUG ID")</f>
        <v>https://bugs.launchpad.net/nova/+bug/1443970
/network/manager.py</v>
      </c>
      <c r="C202" s="51" t="str">
        <f>IFERROR(VLOOKUP(A202,Internal_lists_bugs!$A$2:$T1058,20,FALSE()),"please select a BUG ID")</f>
        <v>None identified</v>
      </c>
      <c r="D202" s="14" t="s">
        <v>1296</v>
      </c>
      <c r="E202" s="54"/>
      <c r="F202" s="79" t="s">
        <v>1168</v>
      </c>
      <c r="G202" s="93" t="s">
        <v>1304</v>
      </c>
      <c r="H202" s="54"/>
      <c r="I202" s="81" t="str">
        <f>IFERROR(VLOOKUP(A202,Internal_lists_bugs!$A$2:$G1058,7,FALSE()),"please select a BUG ID")</f>
        <v>https://opendev.org/openstack/nova/commit/447641972539f1</v>
      </c>
    </row>
    <row r="203">
      <c r="A203" s="16" t="s">
        <v>63</v>
      </c>
      <c r="B203" s="50" t="str">
        <f>IFERROR(HYPERLINK(VLOOKUP(A203,Internal_lists_bugs!$A$2:$C$73,3,FALSE()), VLOOKUP(A203,Internal_lists_bugs!$A$2:$C$73,3,FALSE())&amp;Char(10) &amp; Char(10) &amp; VLOOKUP(A203,Internal_lists_bugs!$A$2:$Z$73,26,FALSE())),"please select a BUG ID")</f>
        <v>https://bugs.launchpad.net/nova/+bug/1443970
/network/manager.py</v>
      </c>
      <c r="C203" s="51" t="str">
        <f>IFERROR(VLOOKUP(A203,Internal_lists_bugs!$A$2:$T1058,20,FALSE()),"please select a BUG ID")</f>
        <v>None identified</v>
      </c>
      <c r="D203" s="14" t="s">
        <v>1296</v>
      </c>
      <c r="E203" s="54"/>
      <c r="F203" s="79" t="s">
        <v>1170</v>
      </c>
      <c r="G203" s="93" t="s">
        <v>1305</v>
      </c>
      <c r="H203" s="54"/>
      <c r="I203" s="81" t="str">
        <f>IFERROR(VLOOKUP(A203,Internal_lists_bugs!$A$2:$G1058,7,FALSE()),"please select a BUG ID")</f>
        <v>https://opendev.org/openstack/nova/commit/447641972539f1</v>
      </c>
    </row>
    <row r="204">
      <c r="A204" s="16" t="s">
        <v>63</v>
      </c>
      <c r="B204" s="50" t="str">
        <f>IFERROR(HYPERLINK(VLOOKUP(A204,Internal_lists_bugs!$A$2:$C$73,3,FALSE()), VLOOKUP(A204,Internal_lists_bugs!$A$2:$C$73,3,FALSE())&amp;Char(10) &amp; Char(10) &amp; VLOOKUP(A204,Internal_lists_bugs!$A$2:$Z$73,26,FALSE())),"please select a BUG ID")</f>
        <v>https://bugs.launchpad.net/nova/+bug/1443970
/network/manager.py</v>
      </c>
      <c r="C204" s="51" t="str">
        <f>IFERROR(VLOOKUP(A204,Internal_lists_bugs!$A$2:$T1058,20,FALSE()),"please select a BUG ID")</f>
        <v>None identified</v>
      </c>
      <c r="D204" s="14" t="s">
        <v>1296</v>
      </c>
      <c r="E204" s="54"/>
      <c r="F204" s="79" t="s">
        <v>1172</v>
      </c>
      <c r="G204" s="93" t="s">
        <v>1306</v>
      </c>
      <c r="H204" s="54"/>
      <c r="I204" s="81" t="str">
        <f>IFERROR(VLOOKUP(A204,Internal_lists_bugs!$A$2:$G1058,7,FALSE()),"please select a BUG ID")</f>
        <v>https://opendev.org/openstack/nova/commit/447641972539f1</v>
      </c>
    </row>
    <row r="205">
      <c r="A205" s="16" t="s">
        <v>63</v>
      </c>
      <c r="B205" s="50" t="str">
        <f>IFERROR(HYPERLINK(VLOOKUP(A205,Internal_lists_bugs!$A$2:$C$73,3,FALSE()), VLOOKUP(A205,Internal_lists_bugs!$A$2:$C$73,3,FALSE())&amp;Char(10) &amp; Char(10) &amp; VLOOKUP(A205,Internal_lists_bugs!$A$2:$Z$73,26,FALSE())),"please select a BUG ID")</f>
        <v>https://bugs.launchpad.net/nova/+bug/1443970
/network/manager.py</v>
      </c>
      <c r="C205" s="51" t="str">
        <f>IFERROR(VLOOKUP(A205,Internal_lists_bugs!$A$2:$T1058,20,FALSE()),"please select a BUG ID")</f>
        <v>None identified</v>
      </c>
      <c r="D205" s="14" t="s">
        <v>1296</v>
      </c>
      <c r="E205" s="54"/>
      <c r="F205" s="79" t="s">
        <v>1174</v>
      </c>
      <c r="G205" s="93" t="s">
        <v>1307</v>
      </c>
      <c r="H205" s="54"/>
      <c r="I205" s="81" t="str">
        <f>IFERROR(VLOOKUP(A205,Internal_lists_bugs!$A$2:$G1058,7,FALSE()),"please select a BUG ID")</f>
        <v>https://opendev.org/openstack/nova/commit/447641972539f1</v>
      </c>
    </row>
    <row r="206">
      <c r="A206" s="16" t="s">
        <v>63</v>
      </c>
      <c r="B206" s="50" t="str">
        <f>IFERROR(HYPERLINK(VLOOKUP(A206,Internal_lists_bugs!$A$2:$C$73,3,FALSE()), VLOOKUP(A206,Internal_lists_bugs!$A$2:$C$73,3,FALSE())&amp;Char(10) &amp; Char(10) &amp; VLOOKUP(A206,Internal_lists_bugs!$A$2:$Z$73,26,FALSE())),"please select a BUG ID")</f>
        <v>https://bugs.launchpad.net/nova/+bug/1443970
/network/manager.py</v>
      </c>
      <c r="C206" s="51" t="str">
        <f>IFERROR(VLOOKUP(A206,Internal_lists_bugs!$A$2:$T1058,20,FALSE()),"please select a BUG ID")</f>
        <v>None identified</v>
      </c>
      <c r="D206" s="14" t="s">
        <v>1296</v>
      </c>
      <c r="E206" s="54"/>
      <c r="F206" s="79" t="s">
        <v>1176</v>
      </c>
      <c r="G206" s="93" t="s">
        <v>1308</v>
      </c>
      <c r="H206" s="54"/>
      <c r="I206" s="81" t="str">
        <f>IFERROR(VLOOKUP(A206,Internal_lists_bugs!$A$2:$G1058,7,FALSE()),"please select a BUG ID")</f>
        <v>https://opendev.org/openstack/nova/commit/447641972539f1</v>
      </c>
    </row>
    <row r="207">
      <c r="A207" s="16" t="s">
        <v>63</v>
      </c>
      <c r="B207" s="50" t="str">
        <f>IFERROR(HYPERLINK(VLOOKUP(A207,Internal_lists_bugs!$A$2:$C$73,3,FALSE()), VLOOKUP(A207,Internal_lists_bugs!$A$2:$C$73,3,FALSE())&amp;Char(10) &amp; Char(10) &amp; VLOOKUP(A207,Internal_lists_bugs!$A$2:$Z$73,26,FALSE())),"please select a BUG ID")</f>
        <v>https://bugs.launchpad.net/nova/+bug/1443970
/network/manager.py</v>
      </c>
      <c r="C207" s="51" t="str">
        <f>IFERROR(VLOOKUP(A207,Internal_lists_bugs!$A$2:$T1058,20,FALSE()),"please select a BUG ID")</f>
        <v>None identified</v>
      </c>
      <c r="D207" s="14" t="s">
        <v>1296</v>
      </c>
      <c r="E207" s="54"/>
      <c r="F207" s="79" t="s">
        <v>1134</v>
      </c>
      <c r="G207" s="93" t="s">
        <v>1309</v>
      </c>
      <c r="H207" s="54"/>
      <c r="I207" s="81" t="str">
        <f>IFERROR(VLOOKUP(A207,Internal_lists_bugs!$A$2:$G1058,7,FALSE()),"please select a BUG ID")</f>
        <v>https://opendev.org/openstack/nova/commit/447641972539f1</v>
      </c>
    </row>
    <row r="208">
      <c r="A208" s="16" t="s">
        <v>63</v>
      </c>
      <c r="B208" s="50" t="str">
        <f>IFERROR(HYPERLINK(VLOOKUP(A208,Internal_lists_bugs!$A$2:$C$73,3,FALSE()), VLOOKUP(A208,Internal_lists_bugs!$A$2:$C$73,3,FALSE())&amp;Char(10) &amp; Char(10) &amp; VLOOKUP(A208,Internal_lists_bugs!$A$2:$Z$73,26,FALSE())),"please select a BUG ID")</f>
        <v>https://bugs.launchpad.net/nova/+bug/1443970
/network/manager.py</v>
      </c>
      <c r="C208" s="51" t="str">
        <f>IFERROR(VLOOKUP(A208,Internal_lists_bugs!$A$2:$T1058,20,FALSE()),"please select a BUG ID")</f>
        <v>None identified</v>
      </c>
      <c r="D208" s="14" t="s">
        <v>1296</v>
      </c>
      <c r="E208" s="54"/>
      <c r="F208" s="79" t="s">
        <v>1146</v>
      </c>
      <c r="G208" s="93" t="s">
        <v>1310</v>
      </c>
      <c r="H208" s="54"/>
      <c r="I208" s="81" t="str">
        <f>IFERROR(VLOOKUP(A208,Internal_lists_bugs!$A$2:$G1058,7,FALSE()),"please select a BUG ID")</f>
        <v>https://opendev.org/openstack/nova/commit/447641972539f1</v>
      </c>
    </row>
    <row r="209">
      <c r="A209" s="16" t="s">
        <v>63</v>
      </c>
      <c r="B209" s="50" t="str">
        <f>IFERROR(HYPERLINK(VLOOKUP(A209,Internal_lists_bugs!$A$2:$C$73,3,FALSE()), VLOOKUP(A209,Internal_lists_bugs!$A$2:$C$73,3,FALSE())&amp;Char(10) &amp; Char(10) &amp; VLOOKUP(A209,Internal_lists_bugs!$A$2:$Z$73,26,FALSE())),"please select a BUG ID")</f>
        <v>https://bugs.launchpad.net/nova/+bug/1443970
/network/manager.py</v>
      </c>
      <c r="C209" s="51" t="str">
        <f>IFERROR(VLOOKUP(A209,Internal_lists_bugs!$A$2:$T1058,20,FALSE()),"please select a BUG ID")</f>
        <v>None identified</v>
      </c>
      <c r="D209" s="14" t="s">
        <v>1296</v>
      </c>
      <c r="E209" s="54"/>
      <c r="F209" s="79" t="s">
        <v>1178</v>
      </c>
      <c r="G209" s="93" t="s">
        <v>1311</v>
      </c>
      <c r="H209" s="54"/>
      <c r="I209" s="81" t="str">
        <f>IFERROR(VLOOKUP(A209,Internal_lists_bugs!$A$2:$G1058,7,FALSE()),"please select a BUG ID")</f>
        <v>https://opendev.org/openstack/nova/commit/447641972539f1</v>
      </c>
    </row>
    <row r="210">
      <c r="A210" s="16" t="s">
        <v>63</v>
      </c>
      <c r="B210" s="50" t="str">
        <f>IFERROR(HYPERLINK(VLOOKUP(A210,Internal_lists_bugs!$A$2:$C$73,3,FALSE()), VLOOKUP(A210,Internal_lists_bugs!$A$2:$C$73,3,FALSE())&amp;Char(10) &amp; Char(10) &amp; VLOOKUP(A210,Internal_lists_bugs!$A$2:$Z$73,26,FALSE())),"please select a BUG ID")</f>
        <v>https://bugs.launchpad.net/nova/+bug/1443970
/network/manager.py</v>
      </c>
      <c r="C210" s="51" t="str">
        <f>IFERROR(VLOOKUP(A210,Internal_lists_bugs!$A$2:$T1058,20,FALSE()),"please select a BUG ID")</f>
        <v>None identified</v>
      </c>
      <c r="D210" s="14" t="s">
        <v>1296</v>
      </c>
      <c r="E210" s="54"/>
      <c r="F210" s="79" t="s">
        <v>1188</v>
      </c>
      <c r="G210" s="93" t="s">
        <v>1312</v>
      </c>
      <c r="H210" s="54"/>
      <c r="I210" s="81" t="str">
        <f>IFERROR(VLOOKUP(A210,Internal_lists_bugs!$A$2:$G1058,7,FALSE()),"please select a BUG ID")</f>
        <v>https://opendev.org/openstack/nova/commit/447641972539f1</v>
      </c>
    </row>
    <row r="211">
      <c r="A211" s="16" t="s">
        <v>63</v>
      </c>
      <c r="B211" s="50" t="str">
        <f>IFERROR(HYPERLINK(VLOOKUP(A211,Internal_lists_bugs!$A$2:$C$73,3,FALSE()), VLOOKUP(A211,Internal_lists_bugs!$A$2:$C$73,3,FALSE())&amp;Char(10) &amp; Char(10) &amp; VLOOKUP(A211,Internal_lists_bugs!$A$2:$Z$73,26,FALSE())),"please select a BUG ID")</f>
        <v>https://bugs.launchpad.net/nova/+bug/1443970
/network/manager.py</v>
      </c>
      <c r="C211" s="51" t="str">
        <f>IFERROR(VLOOKUP(A211,Internal_lists_bugs!$A$2:$T1058,20,FALSE()),"please select a BUG ID")</f>
        <v>None identified</v>
      </c>
      <c r="D211" s="14" t="s">
        <v>1296</v>
      </c>
      <c r="E211" s="54"/>
      <c r="F211" s="79" t="s">
        <v>1186</v>
      </c>
      <c r="G211" s="93" t="s">
        <v>1313</v>
      </c>
      <c r="H211" s="54"/>
      <c r="I211" s="81" t="str">
        <f>IFERROR(VLOOKUP(A211,Internal_lists_bugs!$A$2:$G1058,7,FALSE()),"please select a BUG ID")</f>
        <v>https://opendev.org/openstack/nova/commit/447641972539f1</v>
      </c>
    </row>
    <row r="212">
      <c r="A212" s="16" t="s">
        <v>63</v>
      </c>
      <c r="B212" s="50" t="str">
        <f>IFERROR(HYPERLINK(VLOOKUP(A212,Internal_lists_bugs!$A$2:$C$73,3,FALSE()), VLOOKUP(A212,Internal_lists_bugs!$A$2:$C$73,3,FALSE())&amp;Char(10) &amp; Char(10) &amp; VLOOKUP(A212,Internal_lists_bugs!$A$2:$Z$73,26,FALSE())),"please select a BUG ID")</f>
        <v>https://bugs.launchpad.net/nova/+bug/1443970
/network/manager.py</v>
      </c>
      <c r="C212" s="51" t="str">
        <f>IFERROR(VLOOKUP(A212,Internal_lists_bugs!$A$2:$T1058,20,FALSE()),"please select a BUG ID")</f>
        <v>None identified</v>
      </c>
      <c r="D212" s="14" t="s">
        <v>1296</v>
      </c>
      <c r="E212" s="54"/>
      <c r="F212" s="79" t="s">
        <v>1242</v>
      </c>
      <c r="G212" s="93" t="s">
        <v>1267</v>
      </c>
      <c r="H212" s="54"/>
      <c r="I212" s="81" t="str">
        <f>IFERROR(VLOOKUP(A212,Internal_lists_bugs!$A$2:$G1058,7,FALSE()),"please select a BUG ID")</f>
        <v>https://opendev.org/openstack/nova/commit/447641972539f1</v>
      </c>
    </row>
    <row r="213">
      <c r="A213" s="16" t="s">
        <v>64</v>
      </c>
      <c r="B213" s="50" t="str">
        <f>IFERROR(HYPERLINK(VLOOKUP(A213,Internal_lists_bugs!$A$2:$C$73,3,FALSE()), VLOOKUP(A213,Internal_lists_bugs!$A$2:$C$73,3,FALSE())&amp;Char(10) &amp; Char(10) &amp; VLOOKUP(A213,Internal_lists_bugs!$A$2:$Z$73,26,FALSE())),"please select a BUG ID")</f>
        <v>https://bugs.launchpad.net/nova/+bug/1381468
/filters/trusted_filter.py</v>
      </c>
      <c r="C213" s="51" t="str">
        <f>IFERROR(VLOOKUP(A213,Internal_lists_bugs!$A$2:$T1058,20,FALSE()),"please select a BUG ID")</f>
        <v>None identified</v>
      </c>
      <c r="D213" s="66" t="s">
        <v>124</v>
      </c>
      <c r="E213" s="54"/>
      <c r="F213" s="82"/>
      <c r="G213" s="92"/>
      <c r="H213" s="16" t="s">
        <v>1114</v>
      </c>
      <c r="I213" s="81" t="str">
        <f>IFERROR(VLOOKUP(A213,Internal_lists_bugs!$A$2:$G1058,7,FALSE()),"please select a BUG ID")</f>
        <v>https://opendev.org/openstack/nova/commit/30871e870</v>
      </c>
    </row>
    <row r="214">
      <c r="A214" s="54"/>
      <c r="B214" s="71" t="str">
        <f>IFERROR(HYPERLINK(VLOOKUP(A214,Internal_lists_bugs!$A$2:$C$73,3,FALSE()), VLOOKUP(A214,Internal_lists_bugs!$A$2:$C$73,3,FALSE())&amp;Char(10) &amp; Char(10) &amp; VLOOKUP(A214,Internal_lists_bugs!$A$2:$Z$73,26,FALSE())),"please select a BUG ID")</f>
        <v>please select a BUG ID</v>
      </c>
      <c r="C214" s="51" t="str">
        <f>IFERROR(VLOOKUP(A214,Internal_lists_bugs!$A$2:$T1058,20,FALSE()),"please select a BUG ID")</f>
        <v>please select a BUG ID</v>
      </c>
      <c r="D214" s="66"/>
      <c r="E214" s="54"/>
      <c r="F214" s="82"/>
      <c r="G214" s="92"/>
      <c r="H214" s="54"/>
      <c r="I214" s="51" t="str">
        <f>IFERROR(VLOOKUP(A214,Internal_lists_bugs!$A$2:$G1058,7,FALSE()),"please select a BUG ID")</f>
        <v>please select a BUG ID</v>
      </c>
    </row>
    <row r="215">
      <c r="A215" s="54"/>
      <c r="B215" s="71" t="str">
        <f>IFERROR(HYPERLINK(VLOOKUP(A215,Internal_lists_bugs!$A$2:$C$73,3,FALSE()), VLOOKUP(A215,Internal_lists_bugs!$A$2:$C$73,3,FALSE())&amp;Char(10) &amp; Char(10) &amp; VLOOKUP(A215,Internal_lists_bugs!$A$2:$Z$73,26,FALSE())),"please select a BUG ID")</f>
        <v>please select a BUG ID</v>
      </c>
      <c r="C215" s="51" t="str">
        <f>IFERROR(VLOOKUP(A215,Internal_lists_bugs!$A$2:$T1058,20,FALSE()),"please select a BUG ID")</f>
        <v>please select a BUG ID</v>
      </c>
      <c r="D215" s="66"/>
      <c r="E215" s="54"/>
      <c r="F215" s="82"/>
      <c r="G215" s="92"/>
      <c r="H215" s="54"/>
      <c r="I215" s="51" t="str">
        <f>IFERROR(VLOOKUP(A215,Internal_lists_bugs!$A$2:$G1058,7,FALSE()),"please select a BUG ID")</f>
        <v>please select a BUG ID</v>
      </c>
    </row>
    <row r="216">
      <c r="A216" s="54"/>
      <c r="B216" s="71" t="str">
        <f>IFERROR(HYPERLINK(VLOOKUP(A216,Internal_lists_bugs!$A$2:$C$73,3,FALSE()), VLOOKUP(A216,Internal_lists_bugs!$A$2:$C$73,3,FALSE())&amp;Char(10) &amp; Char(10) &amp; VLOOKUP(A216,Internal_lists_bugs!$A$2:$Z$73,26,FALSE())),"please select a BUG ID")</f>
        <v>please select a BUG ID</v>
      </c>
      <c r="C216" s="51" t="str">
        <f>IFERROR(VLOOKUP(A216,Internal_lists_bugs!$A$2:$T1058,20,FALSE()),"please select a BUG ID")</f>
        <v>please select a BUG ID</v>
      </c>
      <c r="D216" s="66"/>
      <c r="E216" s="54"/>
      <c r="F216" s="82"/>
      <c r="G216" s="92"/>
      <c r="H216" s="54"/>
      <c r="I216" s="51" t="str">
        <f>IFERROR(VLOOKUP(A216,Internal_lists_bugs!$A$2:$G1058,7,FALSE()),"please select a BUG ID")</f>
        <v>please select a BUG ID</v>
      </c>
    </row>
    <row r="217">
      <c r="A217" s="54"/>
      <c r="B217" s="71" t="str">
        <f>IFERROR(HYPERLINK(VLOOKUP(A217,Internal_lists_bugs!$A$2:$C$73,3,FALSE()), VLOOKUP(A217,Internal_lists_bugs!$A$2:$C$73,3,FALSE())&amp;Char(10) &amp; Char(10) &amp; VLOOKUP(A217,Internal_lists_bugs!$A$2:$Z$73,26,FALSE())),"please select a BUG ID")</f>
        <v>please select a BUG ID</v>
      </c>
      <c r="C217" s="51" t="str">
        <f>IFERROR(VLOOKUP(A217,Internal_lists_bugs!$A$2:$T1058,20,FALSE()),"please select a BUG ID")</f>
        <v>please select a BUG ID</v>
      </c>
      <c r="D217" s="66"/>
      <c r="E217" s="54"/>
      <c r="F217" s="82"/>
      <c r="G217" s="92"/>
      <c r="H217" s="54"/>
      <c r="I217" s="51" t="str">
        <f>IFERROR(VLOOKUP(A217,Internal_lists_bugs!$A$2:$G1058,7,FALSE()),"please select a BUG ID")</f>
        <v>please select a BUG ID</v>
      </c>
    </row>
    <row r="218">
      <c r="A218" s="54"/>
      <c r="B218" s="71" t="str">
        <f>IFERROR(HYPERLINK(VLOOKUP(A218,Internal_lists_bugs!$A$2:$C$73,3,FALSE()), VLOOKUP(A218,Internal_lists_bugs!$A$2:$C$73,3,FALSE())&amp;Char(10) &amp; Char(10) &amp; VLOOKUP(A218,Internal_lists_bugs!$A$2:$Z$73,26,FALSE())),"please select a BUG ID")</f>
        <v>please select a BUG ID</v>
      </c>
      <c r="C218" s="51" t="str">
        <f>IFERROR(VLOOKUP(A218,Internal_lists_bugs!$A$2:$T1058,20,FALSE()),"please select a BUG ID")</f>
        <v>please select a BUG ID</v>
      </c>
      <c r="D218" s="66"/>
      <c r="E218" s="54"/>
      <c r="F218" s="82"/>
      <c r="G218" s="92"/>
      <c r="H218" s="54"/>
      <c r="I218" s="51" t="str">
        <f>IFERROR(VLOOKUP(A218,Internal_lists_bugs!$A$2:$G1058,7,FALSE()),"please select a BUG ID")</f>
        <v>please select a BUG ID</v>
      </c>
    </row>
    <row r="219">
      <c r="A219" s="54"/>
      <c r="B219" s="71" t="str">
        <f>IFERROR(HYPERLINK(VLOOKUP(A219,Internal_lists_bugs!$A$2:$C$73,3,FALSE()), VLOOKUP(A219,Internal_lists_bugs!$A$2:$C$73,3,FALSE())&amp;Char(10) &amp; Char(10) &amp; VLOOKUP(A219,Internal_lists_bugs!$A$2:$Z$73,26,FALSE())),"please select a BUG ID")</f>
        <v>please select a BUG ID</v>
      </c>
      <c r="C219" s="51" t="str">
        <f>IFERROR(VLOOKUP(A219,Internal_lists_bugs!$A$2:$T1058,20,FALSE()),"please select a BUG ID")</f>
        <v>please select a BUG ID</v>
      </c>
      <c r="D219" s="66"/>
      <c r="E219" s="54"/>
      <c r="F219" s="82"/>
      <c r="G219" s="92"/>
      <c r="H219" s="54"/>
      <c r="I219" s="51" t="str">
        <f>IFERROR(VLOOKUP(A219,Internal_lists_bugs!$A$2:$G1058,7,FALSE()),"please select a BUG ID")</f>
        <v>please select a BUG ID</v>
      </c>
    </row>
    <row r="220">
      <c r="A220" s="54"/>
      <c r="B220" s="71" t="str">
        <f>IFERROR(HYPERLINK(VLOOKUP(A220,Internal_lists_bugs!$A$2:$C$73,3,FALSE()), VLOOKUP(A220,Internal_lists_bugs!$A$2:$C$73,3,FALSE())&amp;Char(10) &amp; Char(10) &amp; VLOOKUP(A220,Internal_lists_bugs!$A$2:$Z$73,26,FALSE())),"please select a BUG ID")</f>
        <v>please select a BUG ID</v>
      </c>
      <c r="C220" s="51" t="str">
        <f>IFERROR(VLOOKUP(A220,Internal_lists_bugs!$A$2:$T1058,20,FALSE()),"please select a BUG ID")</f>
        <v>please select a BUG ID</v>
      </c>
      <c r="D220" s="66"/>
      <c r="E220" s="54"/>
      <c r="F220" s="82"/>
      <c r="G220" s="92"/>
      <c r="H220" s="54"/>
      <c r="I220" s="51" t="str">
        <f>IFERROR(VLOOKUP(A220,Internal_lists_bugs!$A$2:$G1058,7,FALSE()),"please select a BUG ID")</f>
        <v>please select a BUG ID</v>
      </c>
    </row>
    <row r="221">
      <c r="A221" s="54"/>
      <c r="B221" s="71" t="str">
        <f>IFERROR(HYPERLINK(VLOOKUP(A221,Internal_lists_bugs!$A$2:$C$73,3,FALSE()), VLOOKUP(A221,Internal_lists_bugs!$A$2:$C$73,3,FALSE())&amp;Char(10) &amp; Char(10) &amp; VLOOKUP(A221,Internal_lists_bugs!$A$2:$Z$73,26,FALSE())),"please select a BUG ID")</f>
        <v>please select a BUG ID</v>
      </c>
      <c r="C221" s="51" t="str">
        <f>IFERROR(VLOOKUP(A221,Internal_lists_bugs!$A$2:$T1058,20,FALSE()),"please select a BUG ID")</f>
        <v>please select a BUG ID</v>
      </c>
      <c r="D221" s="66"/>
      <c r="E221" s="54"/>
      <c r="F221" s="82"/>
      <c r="G221" s="92"/>
      <c r="H221" s="54"/>
      <c r="I221" s="51" t="str">
        <f>IFERROR(VLOOKUP(A221,Internal_lists_bugs!$A$2:$G1058,7,FALSE()),"please select a BUG ID")</f>
        <v>please select a BUG ID</v>
      </c>
    </row>
    <row r="222">
      <c r="A222" s="54"/>
      <c r="B222" s="71" t="str">
        <f>IFERROR(HYPERLINK(VLOOKUP(A222,Internal_lists_bugs!$A$2:$C$73,3,FALSE()), VLOOKUP(A222,Internal_lists_bugs!$A$2:$C$73,3,FALSE())&amp;Char(10) &amp; Char(10) &amp; VLOOKUP(A222,Internal_lists_bugs!$A$2:$Z$73,26,FALSE())),"please select a BUG ID")</f>
        <v>please select a BUG ID</v>
      </c>
      <c r="C222" s="51" t="str">
        <f>IFERROR(VLOOKUP(A222,Internal_lists_bugs!$A$2:$T1058,20,FALSE()),"please select a BUG ID")</f>
        <v>please select a BUG ID</v>
      </c>
      <c r="D222" s="66"/>
      <c r="E222" s="54"/>
      <c r="F222" s="82"/>
      <c r="G222" s="92"/>
      <c r="H222" s="54"/>
      <c r="I222" s="51" t="str">
        <f>IFERROR(VLOOKUP(A222,Internal_lists_bugs!$A$2:$G1058,7,FALSE()),"please select a BUG ID")</f>
        <v>please select a BUG ID</v>
      </c>
    </row>
    <row r="223">
      <c r="A223" s="54"/>
      <c r="B223" s="71" t="str">
        <f>IFERROR(HYPERLINK(VLOOKUP(A223,Internal_lists_bugs!$A$2:$C$73,3,FALSE()), VLOOKUP(A223,Internal_lists_bugs!$A$2:$C$73,3,FALSE())&amp;Char(10) &amp; Char(10) &amp; VLOOKUP(A223,Internal_lists_bugs!$A$2:$Z$73,26,FALSE())),"please select a BUG ID")</f>
        <v>please select a BUG ID</v>
      </c>
      <c r="C223" s="51" t="str">
        <f>IFERROR(VLOOKUP(A223,Internal_lists_bugs!$A$2:$T1058,20,FALSE()),"please select a BUG ID")</f>
        <v>please select a BUG ID</v>
      </c>
      <c r="D223" s="66"/>
      <c r="E223" s="54"/>
      <c r="F223" s="82"/>
      <c r="G223" s="92"/>
      <c r="H223" s="54"/>
      <c r="I223" s="51" t="str">
        <f>IFERROR(VLOOKUP(A223,Internal_lists_bugs!$A$2:$G1058,7,FALSE()),"please select a BUG ID")</f>
        <v>please select a BUG ID</v>
      </c>
    </row>
    <row r="224">
      <c r="A224" s="54"/>
      <c r="B224" s="71" t="str">
        <f>IFERROR(HYPERLINK(VLOOKUP(A224,Internal_lists_bugs!$A$2:$C$73,3,FALSE()), VLOOKUP(A224,Internal_lists_bugs!$A$2:$C$73,3,FALSE())&amp;Char(10) &amp; Char(10) &amp; VLOOKUP(A224,Internal_lists_bugs!$A$2:$Z$73,26,FALSE())),"please select a BUG ID")</f>
        <v>please select a BUG ID</v>
      </c>
      <c r="C224" s="51" t="str">
        <f>IFERROR(VLOOKUP(A224,Internal_lists_bugs!$A$2:$T1058,20,FALSE()),"please select a BUG ID")</f>
        <v>please select a BUG ID</v>
      </c>
      <c r="D224" s="66"/>
      <c r="E224" s="54"/>
      <c r="F224" s="82"/>
      <c r="G224" s="92"/>
      <c r="H224" s="54"/>
      <c r="I224" s="51" t="str">
        <f>IFERROR(VLOOKUP(A224,Internal_lists_bugs!$A$2:$G1058,7,FALSE()),"please select a BUG ID")</f>
        <v>please select a BUG ID</v>
      </c>
    </row>
    <row r="225">
      <c r="A225" s="54"/>
      <c r="B225" s="71" t="str">
        <f>IFERROR(HYPERLINK(VLOOKUP(A225,Internal_lists_bugs!$A$2:$C$73,3,FALSE()), VLOOKUP(A225,Internal_lists_bugs!$A$2:$C$73,3,FALSE())&amp;Char(10) &amp; Char(10) &amp; VLOOKUP(A225,Internal_lists_bugs!$A$2:$Z$73,26,FALSE())),"please select a BUG ID")</f>
        <v>please select a BUG ID</v>
      </c>
      <c r="C225" s="51" t="str">
        <f>IFERROR(VLOOKUP(A225,Internal_lists_bugs!$A$2:$T1058,20,FALSE()),"please select a BUG ID")</f>
        <v>please select a BUG ID</v>
      </c>
      <c r="D225" s="66"/>
      <c r="E225" s="54"/>
      <c r="F225" s="82"/>
      <c r="G225" s="92"/>
      <c r="H225" s="54"/>
      <c r="I225" s="51" t="str">
        <f>IFERROR(VLOOKUP(A225,Internal_lists_bugs!$A$2:$G1058,7,FALSE()),"please select a BUG ID")</f>
        <v>please select a BUG ID</v>
      </c>
    </row>
    <row r="226">
      <c r="A226" s="54"/>
      <c r="B226" s="71" t="str">
        <f>IFERROR(HYPERLINK(VLOOKUP(A226,Internal_lists_bugs!$A$2:$C$73,3,FALSE()), VLOOKUP(A226,Internal_lists_bugs!$A$2:$C$73,3,FALSE())&amp;Char(10) &amp; Char(10) &amp; VLOOKUP(A226,Internal_lists_bugs!$A$2:$Z$73,26,FALSE())),"please select a BUG ID")</f>
        <v>please select a BUG ID</v>
      </c>
      <c r="C226" s="51" t="str">
        <f>IFERROR(VLOOKUP(A226,Internal_lists_bugs!$A$2:$T1058,20,FALSE()),"please select a BUG ID")</f>
        <v>please select a BUG ID</v>
      </c>
      <c r="D226" s="66"/>
      <c r="E226" s="54"/>
      <c r="F226" s="82"/>
      <c r="G226" s="92"/>
      <c r="H226" s="54"/>
      <c r="I226" s="51" t="str">
        <f>IFERROR(VLOOKUP(A226,Internal_lists_bugs!$A$2:$G1058,7,FALSE()),"please select a BUG ID")</f>
        <v>please select a BUG ID</v>
      </c>
    </row>
    <row r="227">
      <c r="A227" s="54"/>
      <c r="B227" s="71" t="str">
        <f>IFERROR(HYPERLINK(VLOOKUP(A227,Internal_lists_bugs!$A$2:$C$73,3,FALSE()), VLOOKUP(A227,Internal_lists_bugs!$A$2:$C$73,3,FALSE())&amp;Char(10) &amp; Char(10) &amp; VLOOKUP(A227,Internal_lists_bugs!$A$2:$Z$73,26,FALSE())),"please select a BUG ID")</f>
        <v>please select a BUG ID</v>
      </c>
      <c r="C227" s="51" t="str">
        <f>IFERROR(VLOOKUP(A227,Internal_lists_bugs!$A$2:$T1058,20,FALSE()),"please select a BUG ID")</f>
        <v>please select a BUG ID</v>
      </c>
      <c r="D227" s="66"/>
      <c r="E227" s="54"/>
      <c r="F227" s="82"/>
      <c r="G227" s="92"/>
      <c r="H227" s="54"/>
      <c r="I227" s="51" t="str">
        <f>IFERROR(VLOOKUP(A227,Internal_lists_bugs!$A$2:$G1058,7,FALSE()),"please select a BUG ID")</f>
        <v>please select a BUG ID</v>
      </c>
    </row>
    <row r="228">
      <c r="A228" s="54"/>
      <c r="B228" s="71" t="str">
        <f>IFERROR(HYPERLINK(VLOOKUP(A228,Internal_lists_bugs!$A$2:$C$73,3,FALSE()), VLOOKUP(A228,Internal_lists_bugs!$A$2:$C$73,3,FALSE())&amp;Char(10) &amp; Char(10) &amp; VLOOKUP(A228,Internal_lists_bugs!$A$2:$Z$73,26,FALSE())),"please select a BUG ID")</f>
        <v>please select a BUG ID</v>
      </c>
      <c r="C228" s="51" t="str">
        <f>IFERROR(VLOOKUP(A228,Internal_lists_bugs!$A$2:$T1058,20,FALSE()),"please select a BUG ID")</f>
        <v>please select a BUG ID</v>
      </c>
      <c r="D228" s="66"/>
      <c r="E228" s="54"/>
      <c r="F228" s="82"/>
      <c r="G228" s="92"/>
      <c r="H228" s="54"/>
      <c r="I228" s="51" t="str">
        <f>IFERROR(VLOOKUP(A228,Internal_lists_bugs!$A$2:$G1058,7,FALSE()),"please select a BUG ID")</f>
        <v>please select a BUG ID</v>
      </c>
    </row>
    <row r="229">
      <c r="A229" s="54"/>
      <c r="B229" s="71" t="str">
        <f>IFERROR(HYPERLINK(VLOOKUP(A229,Internal_lists_bugs!$A$2:$C$73,3,FALSE()), VLOOKUP(A229,Internal_lists_bugs!$A$2:$C$73,3,FALSE())&amp;Char(10) &amp; Char(10) &amp; VLOOKUP(A229,Internal_lists_bugs!$A$2:$Z$73,26,FALSE())),"please select a BUG ID")</f>
        <v>please select a BUG ID</v>
      </c>
      <c r="C229" s="51" t="str">
        <f>IFERROR(VLOOKUP(A229,Internal_lists_bugs!$A$2:$T1058,20,FALSE()),"please select a BUG ID")</f>
        <v>please select a BUG ID</v>
      </c>
      <c r="D229" s="66"/>
      <c r="E229" s="54"/>
      <c r="F229" s="82"/>
      <c r="G229" s="92"/>
      <c r="H229" s="54"/>
      <c r="I229" s="51" t="str">
        <f>IFERROR(VLOOKUP(A229,Internal_lists_bugs!$A$2:$G1058,7,FALSE()),"please select a BUG ID")</f>
        <v>please select a BUG ID</v>
      </c>
    </row>
    <row r="230">
      <c r="A230" s="54"/>
      <c r="B230" s="71" t="str">
        <f>IFERROR(HYPERLINK(VLOOKUP(A230,Internal_lists_bugs!$A$2:$C$73,3,FALSE()), VLOOKUP(A230,Internal_lists_bugs!$A$2:$C$73,3,FALSE())&amp;Char(10) &amp; Char(10) &amp; VLOOKUP(A230,Internal_lists_bugs!$A$2:$Z$73,26,FALSE())),"please select a BUG ID")</f>
        <v>please select a BUG ID</v>
      </c>
      <c r="C230" s="51" t="str">
        <f>IFERROR(VLOOKUP(A230,Internal_lists_bugs!$A$2:$T1058,20,FALSE()),"please select a BUG ID")</f>
        <v>please select a BUG ID</v>
      </c>
      <c r="D230" s="66"/>
      <c r="E230" s="54"/>
      <c r="F230" s="82"/>
      <c r="G230" s="92"/>
      <c r="H230" s="54"/>
      <c r="I230" s="51" t="str">
        <f>IFERROR(VLOOKUP(A230,Internal_lists_bugs!$A$2:$G1058,7,FALSE()),"please select a BUG ID")</f>
        <v>please select a BUG ID</v>
      </c>
    </row>
    <row r="231">
      <c r="A231" s="54"/>
      <c r="B231" s="71" t="str">
        <f>IFERROR(HYPERLINK(VLOOKUP(A231,Internal_lists_bugs!$A$2:$C$73,3,FALSE()), VLOOKUP(A231,Internal_lists_bugs!$A$2:$C$73,3,FALSE())&amp;Char(10) &amp; Char(10) &amp; VLOOKUP(A231,Internal_lists_bugs!$A$2:$Z$73,26,FALSE())),"please select a BUG ID")</f>
        <v>please select a BUG ID</v>
      </c>
      <c r="C231" s="51" t="str">
        <f>IFERROR(VLOOKUP(A231,Internal_lists_bugs!$A$2:$T1058,20,FALSE()),"please select a BUG ID")</f>
        <v>please select a BUG ID</v>
      </c>
      <c r="E231" s="54"/>
      <c r="F231" s="82"/>
      <c r="G231" s="92"/>
      <c r="H231" s="54"/>
      <c r="I231" s="51" t="str">
        <f>IFERROR(VLOOKUP(A231,Internal_lists_bugs!$A$2:$G1058,7,FALSE()),"please select a BUG ID")</f>
        <v>please select a BUG ID</v>
      </c>
    </row>
    <row r="232">
      <c r="A232" s="54"/>
      <c r="B232" s="71" t="str">
        <f>IFERROR(HYPERLINK(VLOOKUP(A232,Internal_lists_bugs!$A$2:$C$73,3,FALSE()), VLOOKUP(A232,Internal_lists_bugs!$A$2:$C$73,3,FALSE())&amp;Char(10) &amp; Char(10) &amp; VLOOKUP(A232,Internal_lists_bugs!$A$2:$Z$73,26,FALSE())),"please select a BUG ID")</f>
        <v>please select a BUG ID</v>
      </c>
      <c r="C232" s="51" t="str">
        <f>IFERROR(VLOOKUP(A232,Internal_lists_bugs!$A$2:$T1058,20,FALSE()),"please select a BUG ID")</f>
        <v>please select a BUG ID</v>
      </c>
      <c r="E232" s="54"/>
      <c r="F232" s="82"/>
      <c r="G232" s="92"/>
      <c r="H232" s="54"/>
      <c r="I232" s="51" t="str">
        <f>IFERROR(VLOOKUP(A232,Internal_lists_bugs!$A$2:$G1058,7,FALSE()),"please select a BUG ID")</f>
        <v>please select a BUG ID</v>
      </c>
    </row>
    <row r="233">
      <c r="A233" s="54"/>
      <c r="B233" s="71" t="str">
        <f>IFERROR(HYPERLINK(VLOOKUP(A233,Internal_lists_bugs!$A$2:$C$73,3,FALSE()), VLOOKUP(A233,Internal_lists_bugs!$A$2:$C$73,3,FALSE())&amp;Char(10) &amp; Char(10) &amp; VLOOKUP(A233,Internal_lists_bugs!$A$2:$Z$73,26,FALSE())),"please select a BUG ID")</f>
        <v>please select a BUG ID</v>
      </c>
      <c r="C233" s="51" t="str">
        <f>IFERROR(VLOOKUP(A233,Internal_lists_bugs!$A$2:$T1058,20,FALSE()),"please select a BUG ID")</f>
        <v>please select a BUG ID</v>
      </c>
      <c r="E233" s="54"/>
      <c r="F233" s="82"/>
      <c r="G233" s="92"/>
      <c r="H233" s="54"/>
      <c r="I233" s="51" t="str">
        <f>IFERROR(VLOOKUP(A233,Internal_lists_bugs!$A$2:$G1058,7,FALSE()),"please select a BUG ID")</f>
        <v>please select a BUG ID</v>
      </c>
    </row>
    <row r="234">
      <c r="A234" s="54"/>
      <c r="B234" s="71" t="str">
        <f>IFERROR(HYPERLINK(VLOOKUP(A234,Internal_lists_bugs!$A$2:$C$73,3,FALSE()), VLOOKUP(A234,Internal_lists_bugs!$A$2:$C$73,3,FALSE())&amp;Char(10) &amp; Char(10) &amp; VLOOKUP(A234,Internal_lists_bugs!$A$2:$Z$73,26,FALSE())),"please select a BUG ID")</f>
        <v>please select a BUG ID</v>
      </c>
      <c r="C234" s="51" t="str">
        <f>IFERROR(VLOOKUP(A234,Internal_lists_bugs!$A$2:$T1058,20,FALSE()),"please select a BUG ID")</f>
        <v>please select a BUG ID</v>
      </c>
      <c r="E234" s="54"/>
      <c r="F234" s="82"/>
      <c r="G234" s="92"/>
      <c r="H234" s="54"/>
      <c r="I234" s="51" t="str">
        <f>IFERROR(VLOOKUP(A234,Internal_lists_bugs!$A$2:$G1058,7,FALSE()),"please select a BUG ID")</f>
        <v>please select a BUG ID</v>
      </c>
    </row>
    <row r="235">
      <c r="A235" s="54"/>
      <c r="B235" s="71" t="str">
        <f>IFERROR(HYPERLINK(VLOOKUP(A235,Internal_lists_bugs!$A$2:$C$73,3,FALSE()), VLOOKUP(A235,Internal_lists_bugs!$A$2:$C$73,3,FALSE())&amp;Char(10) &amp; Char(10) &amp; VLOOKUP(A235,Internal_lists_bugs!$A$2:$Z$73,26,FALSE())),"please select a BUG ID")</f>
        <v>please select a BUG ID</v>
      </c>
      <c r="C235" s="51" t="str">
        <f>IFERROR(VLOOKUP(A235,Internal_lists_bugs!$A$2:$T1058,20,FALSE()),"please select a BUG ID")</f>
        <v>please select a BUG ID</v>
      </c>
      <c r="E235" s="54"/>
      <c r="F235" s="82"/>
      <c r="G235" s="92"/>
      <c r="H235" s="54"/>
      <c r="I235" s="51" t="str">
        <f>IFERROR(VLOOKUP(A235,Internal_lists_bugs!$A$2:$G1058,7,FALSE()),"please select a BUG ID")</f>
        <v>please select a BUG ID</v>
      </c>
    </row>
    <row r="236">
      <c r="A236" s="54"/>
      <c r="B236" s="71" t="str">
        <f>IFERROR(HYPERLINK(VLOOKUP(A236,Internal_lists_bugs!$A$2:$C$73,3,FALSE()), VLOOKUP(A236,Internal_lists_bugs!$A$2:$C$73,3,FALSE())&amp;Char(10) &amp; Char(10) &amp; VLOOKUP(A236,Internal_lists_bugs!$A$2:$Z$73,26,FALSE())),"please select a BUG ID")</f>
        <v>please select a BUG ID</v>
      </c>
      <c r="C236" s="51" t="str">
        <f>IFERROR(VLOOKUP(A236,Internal_lists_bugs!$A$2:$T1058,20,FALSE()),"please select a BUG ID")</f>
        <v>please select a BUG ID</v>
      </c>
      <c r="E236" s="54"/>
      <c r="F236" s="82"/>
      <c r="G236" s="92"/>
      <c r="H236" s="54"/>
      <c r="I236" s="51" t="str">
        <f>IFERROR(VLOOKUP(A236,Internal_lists_bugs!$A$2:$G1058,7,FALSE()),"please select a BUG ID")</f>
        <v>please select a BUG ID</v>
      </c>
    </row>
    <row r="237">
      <c r="A237" s="54"/>
      <c r="B237" s="71" t="str">
        <f>IFERROR(HYPERLINK(VLOOKUP(A237,Internal_lists_bugs!$A$2:$C$73,3,FALSE()), VLOOKUP(A237,Internal_lists_bugs!$A$2:$C$73,3,FALSE())&amp;Char(10) &amp; Char(10) &amp; VLOOKUP(A237,Internal_lists_bugs!$A$2:$Z$73,26,FALSE())),"please select a BUG ID")</f>
        <v>please select a BUG ID</v>
      </c>
      <c r="C237" s="51" t="str">
        <f>IFERROR(VLOOKUP(A237,Internal_lists_bugs!$A$2:$T1058,20,FALSE()),"please select a BUG ID")</f>
        <v>please select a BUG ID</v>
      </c>
      <c r="E237" s="54"/>
      <c r="F237" s="82"/>
      <c r="G237" s="92"/>
      <c r="H237" s="54"/>
      <c r="I237" s="51" t="str">
        <f>IFERROR(VLOOKUP(A237,Internal_lists_bugs!$A$2:$G1058,7,FALSE()),"please select a BUG ID")</f>
        <v>please select a BUG ID</v>
      </c>
    </row>
    <row r="238">
      <c r="A238" s="54"/>
      <c r="B238" s="71" t="str">
        <f>IFERROR(HYPERLINK(VLOOKUP(A238,Internal_lists_bugs!$A$2:$C$73,3,FALSE()), VLOOKUP(A238,Internal_lists_bugs!$A$2:$C$73,3,FALSE())&amp;Char(10) &amp; Char(10) &amp; VLOOKUP(A238,Internal_lists_bugs!$A$2:$Z$73,26,FALSE())),"please select a BUG ID")</f>
        <v>please select a BUG ID</v>
      </c>
      <c r="C238" s="51" t="str">
        <f>IFERROR(VLOOKUP(A238,Internal_lists_bugs!$A$2:$T1058,20,FALSE()),"please select a BUG ID")</f>
        <v>please select a BUG ID</v>
      </c>
      <c r="E238" s="54"/>
      <c r="F238" s="82"/>
      <c r="G238" s="92"/>
      <c r="H238" s="54"/>
      <c r="I238" s="51" t="str">
        <f>IFERROR(VLOOKUP(A238,Internal_lists_bugs!$A$2:$G1058,7,FALSE()),"please select a BUG ID")</f>
        <v>please select a BUG ID</v>
      </c>
    </row>
    <row r="239">
      <c r="A239" s="54"/>
      <c r="B239" s="71" t="str">
        <f>IFERROR(HYPERLINK(VLOOKUP(A239,Internal_lists_bugs!$A$2:$C$73,3,FALSE()), VLOOKUP(A239,Internal_lists_bugs!$A$2:$C$73,3,FALSE())&amp;Char(10) &amp; Char(10) &amp; VLOOKUP(A239,Internal_lists_bugs!$A$2:$Z$73,26,FALSE())),"please select a BUG ID")</f>
        <v>please select a BUG ID</v>
      </c>
      <c r="C239" s="51" t="str">
        <f>IFERROR(VLOOKUP(A239,Internal_lists_bugs!$A$2:$T1058,20,FALSE()),"please select a BUG ID")</f>
        <v>please select a BUG ID</v>
      </c>
      <c r="E239" s="54"/>
      <c r="F239" s="82"/>
      <c r="G239" s="92"/>
      <c r="H239" s="54"/>
      <c r="I239" s="51" t="str">
        <f>IFERROR(VLOOKUP(A239,Internal_lists_bugs!$A$2:$G1058,7,FALSE()),"please select a BUG ID")</f>
        <v>please select a BUG ID</v>
      </c>
    </row>
    <row r="240">
      <c r="A240" s="54"/>
      <c r="B240" s="71" t="str">
        <f>IFERROR(HYPERLINK(VLOOKUP(A240,Internal_lists_bugs!$A$2:$C$73,3,FALSE()), VLOOKUP(A240,Internal_lists_bugs!$A$2:$C$73,3,FALSE())&amp;Char(10) &amp; Char(10) &amp; VLOOKUP(A240,Internal_lists_bugs!$A$2:$Z$73,26,FALSE())),"please select a BUG ID")</f>
        <v>please select a BUG ID</v>
      </c>
      <c r="C240" s="51" t="str">
        <f>IFERROR(VLOOKUP(A240,Internal_lists_bugs!$A$2:$T1058,20,FALSE()),"please select a BUG ID")</f>
        <v>please select a BUG ID</v>
      </c>
      <c r="E240" s="54"/>
      <c r="F240" s="82"/>
      <c r="G240" s="92"/>
      <c r="H240" s="54"/>
      <c r="I240" s="51" t="str">
        <f>IFERROR(VLOOKUP(A240,Internal_lists_bugs!$A$2:$G1058,7,FALSE()),"please select a BUG ID")</f>
        <v>please select a BUG ID</v>
      </c>
    </row>
    <row r="241">
      <c r="A241" s="54"/>
      <c r="B241" s="71" t="str">
        <f>IFERROR(HYPERLINK(VLOOKUP(A241,Internal_lists_bugs!$A$2:$C$73,3,FALSE()), VLOOKUP(A241,Internal_lists_bugs!$A$2:$C$73,3,FALSE())&amp;Char(10) &amp; Char(10) &amp; VLOOKUP(A241,Internal_lists_bugs!$A$2:$Z$73,26,FALSE())),"please select a BUG ID")</f>
        <v>please select a BUG ID</v>
      </c>
      <c r="C241" s="51" t="str">
        <f>IFERROR(VLOOKUP(A241,Internal_lists_bugs!$A$2:$T1058,20,FALSE()),"please select a BUG ID")</f>
        <v>please select a BUG ID</v>
      </c>
      <c r="E241" s="54"/>
      <c r="F241" s="82"/>
      <c r="G241" s="92"/>
      <c r="H241" s="54"/>
      <c r="I241" s="51" t="str">
        <f>IFERROR(VLOOKUP(A241,Internal_lists_bugs!$A$2:$G1058,7,FALSE()),"please select a BUG ID")</f>
        <v>please select a BUG ID</v>
      </c>
    </row>
    <row r="242">
      <c r="A242" s="54"/>
      <c r="B242" s="71" t="str">
        <f>IFERROR(HYPERLINK(VLOOKUP(A242,Internal_lists_bugs!$A$2:$C$73,3,FALSE()), VLOOKUP(A242,Internal_lists_bugs!$A$2:$C$73,3,FALSE())&amp;Char(10) &amp; Char(10) &amp; VLOOKUP(A242,Internal_lists_bugs!$A$2:$Z$73,26,FALSE())),"please select a BUG ID")</f>
        <v>please select a BUG ID</v>
      </c>
      <c r="C242" s="51" t="str">
        <f>IFERROR(VLOOKUP(A242,Internal_lists_bugs!$A$2:$T1058,20,FALSE()),"please select a BUG ID")</f>
        <v>please select a BUG ID</v>
      </c>
      <c r="E242" s="54"/>
      <c r="F242" s="82"/>
      <c r="G242" s="92"/>
      <c r="H242" s="54"/>
      <c r="I242" s="51" t="str">
        <f>IFERROR(VLOOKUP(A242,Internal_lists_bugs!$A$2:$G1058,7,FALSE()),"please select a BUG ID")</f>
        <v>please select a BUG ID</v>
      </c>
    </row>
    <row r="243">
      <c r="A243" s="54"/>
      <c r="B243" s="71" t="str">
        <f>IFERROR(HYPERLINK(VLOOKUP(A243,Internal_lists_bugs!$A$2:$C$73,3,FALSE()), VLOOKUP(A243,Internal_lists_bugs!$A$2:$C$73,3,FALSE())&amp;Char(10) &amp; Char(10) &amp; VLOOKUP(A243,Internal_lists_bugs!$A$2:$Z$73,26,FALSE())),"please select a BUG ID")</f>
        <v>please select a BUG ID</v>
      </c>
      <c r="C243" s="51" t="str">
        <f>IFERROR(VLOOKUP(A243,Internal_lists_bugs!$A$2:$T1058,20,FALSE()),"please select a BUG ID")</f>
        <v>please select a BUG ID</v>
      </c>
      <c r="E243" s="54"/>
      <c r="F243" s="82"/>
      <c r="G243" s="92"/>
      <c r="H243" s="54"/>
      <c r="I243" s="51" t="str">
        <f>IFERROR(VLOOKUP(A243,Internal_lists_bugs!$A$2:$G1058,7,FALSE()),"please select a BUG ID")</f>
        <v>please select a BUG ID</v>
      </c>
    </row>
    <row r="244">
      <c r="A244" s="54"/>
      <c r="B244" s="71" t="str">
        <f>IFERROR(HYPERLINK(VLOOKUP(A244,Internal_lists_bugs!$A$2:$C$73,3,FALSE()), VLOOKUP(A244,Internal_lists_bugs!$A$2:$C$73,3,FALSE())&amp;Char(10) &amp; Char(10) &amp; VLOOKUP(A244,Internal_lists_bugs!$A$2:$Z$73,26,FALSE())),"please select a BUG ID")</f>
        <v>please select a BUG ID</v>
      </c>
      <c r="C244" s="51" t="str">
        <f>IFERROR(VLOOKUP(A244,Internal_lists_bugs!$A$2:$T1058,20,FALSE()),"please select a BUG ID")</f>
        <v>please select a BUG ID</v>
      </c>
      <c r="E244" s="54"/>
      <c r="F244" s="82"/>
      <c r="G244" s="92"/>
      <c r="H244" s="54"/>
      <c r="I244" s="51" t="str">
        <f>IFERROR(VLOOKUP(A244,Internal_lists_bugs!$A$2:$G1058,7,FALSE()),"please select a BUG ID")</f>
        <v>please select a BUG ID</v>
      </c>
    </row>
    <row r="245">
      <c r="A245" s="54"/>
      <c r="B245" s="71" t="str">
        <f>IFERROR(HYPERLINK(VLOOKUP(A245,Internal_lists_bugs!$A$2:$C$73,3,FALSE()), VLOOKUP(A245,Internal_lists_bugs!$A$2:$C$73,3,FALSE())&amp;Char(10) &amp; Char(10) &amp; VLOOKUP(A245,Internal_lists_bugs!$A$2:$Z$73,26,FALSE())),"please select a BUG ID")</f>
        <v>please select a BUG ID</v>
      </c>
      <c r="C245" s="51" t="str">
        <f>IFERROR(VLOOKUP(A245,Internal_lists_bugs!$A$2:$T1058,20,FALSE()),"please select a BUG ID")</f>
        <v>please select a BUG ID</v>
      </c>
      <c r="E245" s="54"/>
      <c r="F245" s="82"/>
      <c r="G245" s="92"/>
      <c r="H245" s="54"/>
      <c r="I245" s="51" t="str">
        <f>IFERROR(VLOOKUP(A245,Internal_lists_bugs!$A$2:$G1058,7,FALSE()),"please select a BUG ID")</f>
        <v>please select a BUG ID</v>
      </c>
    </row>
    <row r="246">
      <c r="A246" s="54"/>
      <c r="B246" s="71" t="str">
        <f>IFERROR(HYPERLINK(VLOOKUP(A246,Internal_lists_bugs!$A$2:$C$73,3,FALSE()), VLOOKUP(A246,Internal_lists_bugs!$A$2:$C$73,3,FALSE())&amp;Char(10) &amp; Char(10) &amp; VLOOKUP(A246,Internal_lists_bugs!$A$2:$Z$73,26,FALSE())),"please select a BUG ID")</f>
        <v>please select a BUG ID</v>
      </c>
      <c r="C246" s="51" t="str">
        <f>IFERROR(VLOOKUP(A246,Internal_lists_bugs!$A$2:$T1058,20,FALSE()),"please select a BUG ID")</f>
        <v>please select a BUG ID</v>
      </c>
      <c r="E246" s="54"/>
      <c r="F246" s="82"/>
      <c r="G246" s="92"/>
      <c r="H246" s="54"/>
      <c r="I246" s="51" t="str">
        <f>IFERROR(VLOOKUP(A246,Internal_lists_bugs!$A$2:$G1058,7,FALSE()),"please select a BUG ID")</f>
        <v>please select a BUG ID</v>
      </c>
    </row>
    <row r="247">
      <c r="A247" s="54"/>
      <c r="B247" s="71" t="str">
        <f>IFERROR(HYPERLINK(VLOOKUP(A247,Internal_lists_bugs!$A$2:$C$73,3,FALSE()), VLOOKUP(A247,Internal_lists_bugs!$A$2:$C$73,3,FALSE())&amp;Char(10) &amp; Char(10) &amp; VLOOKUP(A247,Internal_lists_bugs!$A$2:$Z$73,26,FALSE())),"please select a BUG ID")</f>
        <v>please select a BUG ID</v>
      </c>
      <c r="C247" s="51" t="str">
        <f>IFERROR(VLOOKUP(A247,Internal_lists_bugs!$A$2:$T1058,20,FALSE()),"please select a BUG ID")</f>
        <v>please select a BUG ID</v>
      </c>
      <c r="E247" s="54"/>
      <c r="F247" s="82"/>
      <c r="G247" s="92"/>
      <c r="H247" s="54"/>
      <c r="I247" s="51" t="str">
        <f>IFERROR(VLOOKUP(A247,Internal_lists_bugs!$A$2:$G1058,7,FALSE()),"please select a BUG ID")</f>
        <v>please select a BUG ID</v>
      </c>
    </row>
    <row r="248">
      <c r="A248" s="54"/>
      <c r="B248" s="71" t="str">
        <f>IFERROR(HYPERLINK(VLOOKUP(A248,Internal_lists_bugs!$A$2:$C$73,3,FALSE()), VLOOKUP(A248,Internal_lists_bugs!$A$2:$C$73,3,FALSE())&amp;Char(10) &amp; Char(10) &amp; VLOOKUP(A248,Internal_lists_bugs!$A$2:$Z$73,26,FALSE())),"please select a BUG ID")</f>
        <v>please select a BUG ID</v>
      </c>
      <c r="C248" s="51" t="str">
        <f>IFERROR(VLOOKUP(A248,Internal_lists_bugs!$A$2:$T1058,20,FALSE()),"please select a BUG ID")</f>
        <v>please select a BUG ID</v>
      </c>
      <c r="E248" s="54"/>
      <c r="F248" s="82"/>
      <c r="G248" s="92"/>
      <c r="H248" s="54"/>
      <c r="I248" s="51" t="str">
        <f>IFERROR(VLOOKUP(A248,Internal_lists_bugs!$A$2:$G1058,7,FALSE()),"please select a BUG ID")</f>
        <v>please select a BUG ID</v>
      </c>
    </row>
    <row r="249">
      <c r="A249" s="54"/>
      <c r="B249" s="71" t="str">
        <f>IFERROR(HYPERLINK(VLOOKUP(A249,Internal_lists_bugs!$A$2:$C$73,3,FALSE()), VLOOKUP(A249,Internal_lists_bugs!$A$2:$C$73,3,FALSE())&amp;Char(10) &amp; Char(10) &amp; VLOOKUP(A249,Internal_lists_bugs!$A$2:$Z$73,26,FALSE())),"please select a BUG ID")</f>
        <v>please select a BUG ID</v>
      </c>
      <c r="C249" s="51" t="str">
        <f>IFERROR(VLOOKUP(A249,Internal_lists_bugs!$A$2:$T1058,20,FALSE()),"please select a BUG ID")</f>
        <v>please select a BUG ID</v>
      </c>
      <c r="E249" s="54"/>
      <c r="F249" s="82"/>
      <c r="G249" s="92"/>
      <c r="H249" s="54"/>
      <c r="I249" s="51" t="str">
        <f>IFERROR(VLOOKUP(A249,Internal_lists_bugs!$A$2:$G1058,7,FALSE()),"please select a BUG ID")</f>
        <v>please select a BUG ID</v>
      </c>
    </row>
    <row r="250">
      <c r="A250" s="54"/>
      <c r="B250" s="71" t="str">
        <f>IFERROR(HYPERLINK(VLOOKUP(A250,Internal_lists_bugs!$A$2:$C$73,3,FALSE()), VLOOKUP(A250,Internal_lists_bugs!$A$2:$C$73,3,FALSE())&amp;Char(10) &amp; Char(10) &amp; VLOOKUP(A250,Internal_lists_bugs!$A$2:$Z$73,26,FALSE())),"please select a BUG ID")</f>
        <v>please select a BUG ID</v>
      </c>
      <c r="C250" s="51" t="str">
        <f>IFERROR(VLOOKUP(A250,Internal_lists_bugs!$A$2:$T1058,20,FALSE()),"please select a BUG ID")</f>
        <v>please select a BUG ID</v>
      </c>
      <c r="E250" s="54"/>
      <c r="F250" s="82"/>
      <c r="G250" s="92"/>
      <c r="H250" s="54"/>
      <c r="I250" s="51" t="str">
        <f>IFERROR(VLOOKUP(A250,Internal_lists_bugs!$A$2:$G1058,7,FALSE()),"please select a BUG ID")</f>
        <v>please select a BUG ID</v>
      </c>
    </row>
    <row r="251">
      <c r="A251" s="54"/>
      <c r="B251" s="71" t="str">
        <f>IFERROR(HYPERLINK(VLOOKUP(A251,Internal_lists_bugs!$A$2:$C$73,3,FALSE()), VLOOKUP(A251,Internal_lists_bugs!$A$2:$C$73,3,FALSE())&amp;Char(10) &amp; Char(10) &amp; VLOOKUP(A251,Internal_lists_bugs!$A$2:$Z$73,26,FALSE())),"please select a BUG ID")</f>
        <v>please select a BUG ID</v>
      </c>
      <c r="C251" s="51" t="str">
        <f>IFERROR(VLOOKUP(A251,Internal_lists_bugs!$A$2:$T1058,20,FALSE()),"please select a BUG ID")</f>
        <v>please select a BUG ID</v>
      </c>
      <c r="E251" s="54"/>
      <c r="F251" s="82"/>
      <c r="G251" s="92"/>
      <c r="H251" s="54"/>
      <c r="I251" s="51" t="str">
        <f>IFERROR(VLOOKUP(A251,Internal_lists_bugs!$A$2:$G1058,7,FALSE()),"please select a BUG ID")</f>
        <v>please select a BUG ID</v>
      </c>
    </row>
    <row r="252">
      <c r="A252" s="54"/>
      <c r="B252" s="71" t="str">
        <f>IFERROR(HYPERLINK(VLOOKUP(A252,Internal_lists_bugs!$A$2:$C$73,3,FALSE()), VLOOKUP(A252,Internal_lists_bugs!$A$2:$C$73,3,FALSE())&amp;Char(10) &amp; Char(10) &amp; VLOOKUP(A252,Internal_lists_bugs!$A$2:$Z$73,26,FALSE())),"please select a BUG ID")</f>
        <v>please select a BUG ID</v>
      </c>
      <c r="C252" s="51" t="str">
        <f>IFERROR(VLOOKUP(A252,Internal_lists_bugs!$A$2:$T1058,20,FALSE()),"please select a BUG ID")</f>
        <v>please select a BUG ID</v>
      </c>
      <c r="E252" s="54"/>
      <c r="F252" s="82"/>
      <c r="G252" s="92"/>
      <c r="H252" s="54"/>
      <c r="I252" s="51" t="str">
        <f>IFERROR(VLOOKUP(A252,Internal_lists_bugs!$A$2:$G1058,7,FALSE()),"please select a BUG ID")</f>
        <v>please select a BUG ID</v>
      </c>
    </row>
    <row r="253">
      <c r="A253" s="54"/>
      <c r="B253" s="71" t="str">
        <f>IFERROR(HYPERLINK(VLOOKUP(A253,Internal_lists_bugs!$A$2:$C$73,3,FALSE()), VLOOKUP(A253,Internal_lists_bugs!$A$2:$C$73,3,FALSE())&amp;Char(10) &amp; Char(10) &amp; VLOOKUP(A253,Internal_lists_bugs!$A$2:$Z$73,26,FALSE())),"please select a BUG ID")</f>
        <v>please select a BUG ID</v>
      </c>
      <c r="C253" s="51" t="str">
        <f>IFERROR(VLOOKUP(A253,Internal_lists_bugs!$A$2:$T1058,20,FALSE()),"please select a BUG ID")</f>
        <v>please select a BUG ID</v>
      </c>
      <c r="E253" s="54"/>
      <c r="F253" s="82"/>
      <c r="G253" s="92"/>
      <c r="H253" s="54"/>
      <c r="I253" s="51" t="str">
        <f>IFERROR(VLOOKUP(A253,Internal_lists_bugs!$A$2:$G1058,7,FALSE()),"please select a BUG ID")</f>
        <v>please select a BUG ID</v>
      </c>
    </row>
    <row r="254">
      <c r="A254" s="54"/>
      <c r="B254" s="71" t="str">
        <f>IFERROR(HYPERLINK(VLOOKUP(A254,Internal_lists_bugs!$A$2:$C$73,3,FALSE()), VLOOKUP(A254,Internal_lists_bugs!$A$2:$C$73,3,FALSE())&amp;Char(10) &amp; Char(10) &amp; VLOOKUP(A254,Internal_lists_bugs!$A$2:$Z$73,26,FALSE())),"please select a BUG ID")</f>
        <v>please select a BUG ID</v>
      </c>
      <c r="C254" s="51" t="str">
        <f>IFERROR(VLOOKUP(A254,Internal_lists_bugs!$A$2:$T1058,20,FALSE()),"please select a BUG ID")</f>
        <v>please select a BUG ID</v>
      </c>
      <c r="E254" s="54"/>
      <c r="F254" s="82"/>
      <c r="G254" s="92"/>
      <c r="H254" s="54"/>
      <c r="I254" s="51" t="str">
        <f>IFERROR(VLOOKUP(A254,Internal_lists_bugs!$A$2:$G1058,7,FALSE()),"please select a BUG ID")</f>
        <v>please select a BUG ID</v>
      </c>
    </row>
    <row r="255">
      <c r="A255" s="54"/>
      <c r="B255" s="71" t="str">
        <f>IFERROR(HYPERLINK(VLOOKUP(A255,Internal_lists_bugs!$A$2:$C$73,3,FALSE()), VLOOKUP(A255,Internal_lists_bugs!$A$2:$C$73,3,FALSE())&amp;Char(10) &amp; Char(10) &amp; VLOOKUP(A255,Internal_lists_bugs!$A$2:$Z$73,26,FALSE())),"please select a BUG ID")</f>
        <v>please select a BUG ID</v>
      </c>
      <c r="C255" s="51" t="str">
        <f>IFERROR(VLOOKUP(A255,Internal_lists_bugs!$A$2:$T1058,20,FALSE()),"please select a BUG ID")</f>
        <v>please select a BUG ID</v>
      </c>
      <c r="E255" s="54"/>
      <c r="F255" s="82"/>
      <c r="G255" s="92"/>
      <c r="H255" s="54"/>
      <c r="I255" s="51" t="str">
        <f>IFERROR(VLOOKUP(A255,Internal_lists_bugs!$A$2:$G1058,7,FALSE()),"please select a BUG ID")</f>
        <v>please select a BUG ID</v>
      </c>
    </row>
    <row r="256">
      <c r="A256" s="54"/>
      <c r="B256" s="71" t="str">
        <f>IFERROR(HYPERLINK(VLOOKUP(A256,Internal_lists_bugs!$A$2:$C$73,3,FALSE()), VLOOKUP(A256,Internal_lists_bugs!$A$2:$C$73,3,FALSE())&amp;Char(10) &amp; Char(10) &amp; VLOOKUP(A256,Internal_lists_bugs!$A$2:$Z$73,26,FALSE())),"please select a BUG ID")</f>
        <v>please select a BUG ID</v>
      </c>
      <c r="C256" s="51" t="str">
        <f>IFERROR(VLOOKUP(A256,Internal_lists_bugs!$A$2:$T1058,20,FALSE()),"please select a BUG ID")</f>
        <v>please select a BUG ID</v>
      </c>
      <c r="E256" s="54"/>
      <c r="F256" s="82"/>
      <c r="G256" s="92"/>
      <c r="H256" s="54"/>
      <c r="I256" s="51" t="str">
        <f>IFERROR(VLOOKUP(A256,Internal_lists_bugs!$A$2:$G1058,7,FALSE()),"please select a BUG ID")</f>
        <v>please select a BUG ID</v>
      </c>
    </row>
    <row r="257">
      <c r="A257" s="54"/>
      <c r="B257" s="71" t="str">
        <f>IFERROR(HYPERLINK(VLOOKUP(A257,Internal_lists_bugs!$A$2:$C$73,3,FALSE()), VLOOKUP(A257,Internal_lists_bugs!$A$2:$C$73,3,FALSE())&amp;Char(10) &amp; Char(10) &amp; VLOOKUP(A257,Internal_lists_bugs!$A$2:$Z$73,26,FALSE())),"please select a BUG ID")</f>
        <v>please select a BUG ID</v>
      </c>
      <c r="C257" s="51" t="str">
        <f>IFERROR(VLOOKUP(A257,Internal_lists_bugs!$A$2:$T1058,20,FALSE()),"please select a BUG ID")</f>
        <v>please select a BUG ID</v>
      </c>
      <c r="E257" s="54"/>
      <c r="F257" s="82"/>
      <c r="G257" s="92"/>
      <c r="H257" s="54"/>
      <c r="I257" s="51" t="str">
        <f>IFERROR(VLOOKUP(A257,Internal_lists_bugs!$A$2:$G1058,7,FALSE()),"please select a BUG ID")</f>
        <v>please select a BUG ID</v>
      </c>
    </row>
    <row r="258">
      <c r="A258" s="54"/>
      <c r="B258" s="71" t="str">
        <f>IFERROR(HYPERLINK(VLOOKUP(A258,Internal_lists_bugs!$A$2:$C$73,3,FALSE()), VLOOKUP(A258,Internal_lists_bugs!$A$2:$C$73,3,FALSE())&amp;Char(10) &amp; Char(10) &amp; VLOOKUP(A258,Internal_lists_bugs!$A$2:$Z$73,26,FALSE())),"please select a BUG ID")</f>
        <v>please select a BUG ID</v>
      </c>
      <c r="C258" s="51" t="str">
        <f>IFERROR(VLOOKUP(A258,Internal_lists_bugs!$A$2:$T1058,20,FALSE()),"please select a BUG ID")</f>
        <v>please select a BUG ID</v>
      </c>
      <c r="E258" s="54"/>
      <c r="F258" s="82"/>
      <c r="G258" s="92"/>
      <c r="H258" s="54"/>
      <c r="I258" s="51" t="str">
        <f>IFERROR(VLOOKUP(A258,Internal_lists_bugs!$A$2:$G1058,7,FALSE()),"please select a BUG ID")</f>
        <v>please select a BUG ID</v>
      </c>
    </row>
    <row r="259">
      <c r="A259" s="54"/>
      <c r="B259" s="71" t="str">
        <f>IFERROR(HYPERLINK(VLOOKUP(A259,Internal_lists_bugs!$A$2:$C$73,3,FALSE()), VLOOKUP(A259,Internal_lists_bugs!$A$2:$C$73,3,FALSE())&amp;Char(10) &amp; Char(10) &amp; VLOOKUP(A259,Internal_lists_bugs!$A$2:$Z$73,26,FALSE())),"please select a BUG ID")</f>
        <v>please select a BUG ID</v>
      </c>
      <c r="C259" s="51" t="str">
        <f>IFERROR(VLOOKUP(A259,Internal_lists_bugs!$A$2:$T1058,20,FALSE()),"please select a BUG ID")</f>
        <v>please select a BUG ID</v>
      </c>
      <c r="E259" s="54"/>
      <c r="F259" s="82"/>
      <c r="G259" s="92"/>
      <c r="H259" s="54"/>
      <c r="I259" s="51" t="str">
        <f>IFERROR(VLOOKUP(A259,Internal_lists_bugs!$A$2:$G1058,7,FALSE()),"please select a BUG ID")</f>
        <v>please select a BUG ID</v>
      </c>
    </row>
    <row r="260">
      <c r="A260" s="54"/>
      <c r="B260" s="71" t="str">
        <f>IFERROR(HYPERLINK(VLOOKUP(A260,Internal_lists_bugs!$A$2:$C$73,3,FALSE()), VLOOKUP(A260,Internal_lists_bugs!$A$2:$C$73,3,FALSE())&amp;Char(10) &amp; Char(10) &amp; VLOOKUP(A260,Internal_lists_bugs!$A$2:$Z$73,26,FALSE())),"please select a BUG ID")</f>
        <v>please select a BUG ID</v>
      </c>
      <c r="C260" s="51" t="str">
        <f>IFERROR(VLOOKUP(A260,Internal_lists_bugs!$A$2:$T1058,20,FALSE()),"please select a BUG ID")</f>
        <v>please select a BUG ID</v>
      </c>
      <c r="E260" s="54"/>
      <c r="F260" s="82"/>
      <c r="G260" s="92"/>
      <c r="H260" s="54"/>
      <c r="I260" s="51" t="str">
        <f>IFERROR(VLOOKUP(A260,Internal_lists_bugs!$A$2:$G1058,7,FALSE()),"please select a BUG ID")</f>
        <v>please select a BUG ID</v>
      </c>
    </row>
    <row r="261">
      <c r="A261" s="54"/>
      <c r="B261" s="71" t="str">
        <f>IFERROR(HYPERLINK(VLOOKUP(A261,Internal_lists_bugs!$A$2:$C$73,3,FALSE()), VLOOKUP(A261,Internal_lists_bugs!$A$2:$C$73,3,FALSE())&amp;Char(10) &amp; Char(10) &amp; VLOOKUP(A261,Internal_lists_bugs!$A$2:$Z$73,26,FALSE())),"please select a BUG ID")</f>
        <v>please select a BUG ID</v>
      </c>
      <c r="C261" s="51" t="str">
        <f>IFERROR(VLOOKUP(A261,Internal_lists_bugs!$A$2:$T1058,20,FALSE()),"please select a BUG ID")</f>
        <v>please select a BUG ID</v>
      </c>
      <c r="E261" s="54"/>
      <c r="F261" s="82"/>
      <c r="G261" s="92"/>
      <c r="H261" s="54"/>
      <c r="I261" s="51" t="str">
        <f>IFERROR(VLOOKUP(A261,Internal_lists_bugs!$A$2:$G1058,7,FALSE()),"please select a BUG ID")</f>
        <v>please select a BUG ID</v>
      </c>
    </row>
    <row r="262">
      <c r="A262" s="54"/>
      <c r="B262" s="71" t="str">
        <f>IFERROR(HYPERLINK(VLOOKUP(A262,Internal_lists_bugs!$A$2:$C$73,3,FALSE()), VLOOKUP(A262,Internal_lists_bugs!$A$2:$C$73,3,FALSE())&amp;Char(10) &amp; Char(10) &amp; VLOOKUP(A262,Internal_lists_bugs!$A$2:$Z$73,26,FALSE())),"please select a BUG ID")</f>
        <v>please select a BUG ID</v>
      </c>
      <c r="C262" s="51" t="str">
        <f>IFERROR(VLOOKUP(A262,Internal_lists_bugs!$A$2:$T1058,20,FALSE()),"please select a BUG ID")</f>
        <v>please select a BUG ID</v>
      </c>
      <c r="E262" s="54"/>
      <c r="F262" s="82"/>
      <c r="G262" s="92"/>
      <c r="H262" s="54"/>
      <c r="I262" s="51" t="str">
        <f>IFERROR(VLOOKUP(A262,Internal_lists_bugs!$A$2:$G1058,7,FALSE()),"please select a BUG ID")</f>
        <v>please select a BUG ID</v>
      </c>
    </row>
    <row r="263">
      <c r="A263" s="54"/>
      <c r="B263" s="71" t="str">
        <f>IFERROR(HYPERLINK(VLOOKUP(A263,Internal_lists_bugs!$A$2:$C$73,3,FALSE()), VLOOKUP(A263,Internal_lists_bugs!$A$2:$C$73,3,FALSE())&amp;Char(10) &amp; Char(10) &amp; VLOOKUP(A263,Internal_lists_bugs!$A$2:$Z$73,26,FALSE())),"please select a BUG ID")</f>
        <v>please select a BUG ID</v>
      </c>
      <c r="C263" s="51" t="str">
        <f>IFERROR(VLOOKUP(A263,Internal_lists_bugs!$A$2:$T1058,20,FALSE()),"please select a BUG ID")</f>
        <v>please select a BUG ID</v>
      </c>
      <c r="E263" s="54"/>
      <c r="F263" s="82"/>
      <c r="G263" s="92"/>
      <c r="H263" s="54"/>
      <c r="I263" s="51" t="str">
        <f>IFERROR(VLOOKUP(A263,Internal_lists_bugs!$A$2:$G1058,7,FALSE()),"please select a BUG ID")</f>
        <v>please select a BUG ID</v>
      </c>
    </row>
    <row r="264">
      <c r="A264" s="54"/>
      <c r="B264" s="71" t="str">
        <f>IFERROR(HYPERLINK(VLOOKUP(A264,Internal_lists_bugs!$A$2:$C$73,3,FALSE()), VLOOKUP(A264,Internal_lists_bugs!$A$2:$C$73,3,FALSE())&amp;Char(10) &amp; Char(10) &amp; VLOOKUP(A264,Internal_lists_bugs!$A$2:$Z$73,26,FALSE())),"please select a BUG ID")</f>
        <v>please select a BUG ID</v>
      </c>
      <c r="C264" s="51" t="str">
        <f>IFERROR(VLOOKUP(A264,Internal_lists_bugs!$A$2:$T1058,20,FALSE()),"please select a BUG ID")</f>
        <v>please select a BUG ID</v>
      </c>
      <c r="E264" s="54"/>
      <c r="F264" s="82"/>
      <c r="G264" s="92"/>
      <c r="H264" s="54"/>
      <c r="I264" s="51" t="str">
        <f>IFERROR(VLOOKUP(A264,Internal_lists_bugs!$A$2:$G1058,7,FALSE()),"please select a BUG ID")</f>
        <v>please select a BUG ID</v>
      </c>
    </row>
    <row r="265">
      <c r="A265" s="54"/>
      <c r="B265" s="71" t="str">
        <f>IFERROR(HYPERLINK(VLOOKUP(A265,Internal_lists_bugs!$A$2:$C$73,3,FALSE()), VLOOKUP(A265,Internal_lists_bugs!$A$2:$C$73,3,FALSE())&amp;Char(10) &amp; Char(10) &amp; VLOOKUP(A265,Internal_lists_bugs!$A$2:$Z$73,26,FALSE())),"please select a BUG ID")</f>
        <v>please select a BUG ID</v>
      </c>
      <c r="C265" s="51" t="str">
        <f>IFERROR(VLOOKUP(A265,Internal_lists_bugs!$A$2:$T1058,20,FALSE()),"please select a BUG ID")</f>
        <v>please select a BUG ID</v>
      </c>
      <c r="E265" s="54"/>
      <c r="F265" s="82"/>
      <c r="G265" s="92"/>
      <c r="H265" s="54"/>
      <c r="I265" s="51" t="str">
        <f>IFERROR(VLOOKUP(A265,Internal_lists_bugs!$A$2:$G1058,7,FALSE()),"please select a BUG ID")</f>
        <v>please select a BUG ID</v>
      </c>
    </row>
    <row r="266">
      <c r="A266" s="54"/>
      <c r="B266" s="71" t="str">
        <f>IFERROR(HYPERLINK(VLOOKUP(A266,Internal_lists_bugs!$A$2:$C$73,3,FALSE()), VLOOKUP(A266,Internal_lists_bugs!$A$2:$C$73,3,FALSE())&amp;Char(10) &amp; Char(10) &amp; VLOOKUP(A266,Internal_lists_bugs!$A$2:$Z$73,26,FALSE())),"please select a BUG ID")</f>
        <v>please select a BUG ID</v>
      </c>
      <c r="C266" s="51" t="str">
        <f>IFERROR(VLOOKUP(A266,Internal_lists_bugs!$A$2:$T1058,20,FALSE()),"please select a BUG ID")</f>
        <v>please select a BUG ID</v>
      </c>
      <c r="E266" s="54"/>
      <c r="F266" s="82"/>
      <c r="G266" s="92"/>
      <c r="H266" s="54"/>
      <c r="I266" s="51" t="str">
        <f>IFERROR(VLOOKUP(A266,Internal_lists_bugs!$A$2:$G1058,7,FALSE()),"please select a BUG ID")</f>
        <v>please select a BUG ID</v>
      </c>
    </row>
    <row r="267">
      <c r="A267" s="54"/>
      <c r="B267" s="71" t="str">
        <f>IFERROR(HYPERLINK(VLOOKUP(A267,Internal_lists_bugs!$A$2:$C$73,3,FALSE()), VLOOKUP(A267,Internal_lists_bugs!$A$2:$C$73,3,FALSE())&amp;Char(10) &amp; Char(10) &amp; VLOOKUP(A267,Internal_lists_bugs!$A$2:$Z$73,26,FALSE())),"please select a BUG ID")</f>
        <v>please select a BUG ID</v>
      </c>
      <c r="C267" s="51" t="str">
        <f>IFERROR(VLOOKUP(A267,Internal_lists_bugs!$A$2:$T1058,20,FALSE()),"please select a BUG ID")</f>
        <v>please select a BUG ID</v>
      </c>
      <c r="E267" s="54"/>
      <c r="F267" s="82"/>
      <c r="G267" s="92"/>
      <c r="H267" s="54"/>
      <c r="I267" s="51" t="str">
        <f>IFERROR(VLOOKUP(A267,Internal_lists_bugs!$A$2:$G1058,7,FALSE()),"please select a BUG ID")</f>
        <v>please select a BUG ID</v>
      </c>
    </row>
    <row r="268">
      <c r="A268" s="54"/>
      <c r="B268" s="71" t="str">
        <f>IFERROR(HYPERLINK(VLOOKUP(A268,Internal_lists_bugs!$A$2:$C$73,3,FALSE()), VLOOKUP(A268,Internal_lists_bugs!$A$2:$C$73,3,FALSE())&amp;Char(10) &amp; Char(10) &amp; VLOOKUP(A268,Internal_lists_bugs!$A$2:$Z$73,26,FALSE())),"please select a BUG ID")</f>
        <v>please select a BUG ID</v>
      </c>
      <c r="C268" s="51" t="str">
        <f>IFERROR(VLOOKUP(A268,Internal_lists_bugs!$A$2:$T1058,20,FALSE()),"please select a BUG ID")</f>
        <v>please select a BUG ID</v>
      </c>
      <c r="E268" s="54"/>
      <c r="F268" s="82"/>
      <c r="G268" s="92"/>
      <c r="H268" s="54"/>
      <c r="I268" s="51" t="str">
        <f>IFERROR(VLOOKUP(A268,Internal_lists_bugs!$A$2:$G1058,7,FALSE()),"please select a BUG ID")</f>
        <v>please select a BUG ID</v>
      </c>
    </row>
    <row r="269">
      <c r="A269" s="54"/>
      <c r="B269" s="71" t="str">
        <f>IFERROR(HYPERLINK(VLOOKUP(A269,Internal_lists_bugs!$A$2:$C$73,3,FALSE()), VLOOKUP(A269,Internal_lists_bugs!$A$2:$C$73,3,FALSE())&amp;Char(10) &amp; Char(10) &amp; VLOOKUP(A269,Internal_lists_bugs!$A$2:$Z$73,26,FALSE())),"please select a BUG ID")</f>
        <v>please select a BUG ID</v>
      </c>
      <c r="C269" s="51" t="str">
        <f>IFERROR(VLOOKUP(A269,Internal_lists_bugs!$A$2:$T1058,20,FALSE()),"please select a BUG ID")</f>
        <v>please select a BUG ID</v>
      </c>
      <c r="E269" s="54"/>
      <c r="F269" s="82"/>
      <c r="G269" s="92"/>
      <c r="H269" s="54"/>
      <c r="I269" s="51" t="str">
        <f>IFERROR(VLOOKUP(A269,Internal_lists_bugs!$A$2:$G1058,7,FALSE()),"please select a BUG ID")</f>
        <v>please select a BUG ID</v>
      </c>
    </row>
    <row r="270">
      <c r="A270" s="54"/>
      <c r="B270" s="71" t="str">
        <f>IFERROR(HYPERLINK(VLOOKUP(A270,Internal_lists_bugs!$A$2:$C$73,3,FALSE()), VLOOKUP(A270,Internal_lists_bugs!$A$2:$C$73,3,FALSE())&amp;Char(10) &amp; Char(10) &amp; VLOOKUP(A270,Internal_lists_bugs!$A$2:$Z$73,26,FALSE())),"please select a BUG ID")</f>
        <v>please select a BUG ID</v>
      </c>
      <c r="C270" s="51" t="str">
        <f>IFERROR(VLOOKUP(A270,Internal_lists_bugs!$A$2:$T1058,20,FALSE()),"please select a BUG ID")</f>
        <v>please select a BUG ID</v>
      </c>
      <c r="E270" s="54"/>
      <c r="F270" s="82"/>
      <c r="G270" s="92"/>
      <c r="H270" s="54"/>
      <c r="I270" s="51" t="str">
        <f>IFERROR(VLOOKUP(A270,Internal_lists_bugs!$A$2:$G1058,7,FALSE()),"please select a BUG ID")</f>
        <v>please select a BUG ID</v>
      </c>
    </row>
    <row r="271">
      <c r="A271" s="54"/>
      <c r="B271" s="71" t="str">
        <f>IFERROR(HYPERLINK(VLOOKUP(A271,Internal_lists_bugs!$A$2:$C$73,3,FALSE()), VLOOKUP(A271,Internal_lists_bugs!$A$2:$C$73,3,FALSE())&amp;Char(10) &amp; Char(10) &amp; VLOOKUP(A271,Internal_lists_bugs!$A$2:$Z$73,26,FALSE())),"please select a BUG ID")</f>
        <v>please select a BUG ID</v>
      </c>
      <c r="C271" s="51" t="str">
        <f>IFERROR(VLOOKUP(A271,Internal_lists_bugs!$A$2:$T1058,20,FALSE()),"please select a BUG ID")</f>
        <v>please select a BUG ID</v>
      </c>
      <c r="E271" s="54"/>
      <c r="F271" s="82"/>
      <c r="G271" s="92"/>
      <c r="H271" s="54"/>
      <c r="I271" s="51" t="str">
        <f>IFERROR(VLOOKUP(A271,Internal_lists_bugs!$A$2:$G1058,7,FALSE()),"please select a BUG ID")</f>
        <v>please select a BUG ID</v>
      </c>
    </row>
    <row r="272">
      <c r="A272" s="54"/>
      <c r="B272" s="71" t="str">
        <f>IFERROR(HYPERLINK(VLOOKUP(A272,Internal_lists_bugs!$A$2:$C$73,3,FALSE()), VLOOKUP(A272,Internal_lists_bugs!$A$2:$C$73,3,FALSE())&amp;Char(10) &amp; Char(10) &amp; VLOOKUP(A272,Internal_lists_bugs!$A$2:$Z$73,26,FALSE())),"please select a BUG ID")</f>
        <v>please select a BUG ID</v>
      </c>
      <c r="C272" s="51" t="str">
        <f>IFERROR(VLOOKUP(A272,Internal_lists_bugs!$A$2:$T1058,20,FALSE()),"please select a BUG ID")</f>
        <v>please select a BUG ID</v>
      </c>
      <c r="E272" s="54"/>
      <c r="F272" s="82"/>
      <c r="G272" s="92"/>
      <c r="H272" s="54"/>
      <c r="I272" s="51" t="str">
        <f>IFERROR(VLOOKUP(A272,Internal_lists_bugs!$A$2:$G1058,7,FALSE()),"please select a BUG ID")</f>
        <v>please select a BUG ID</v>
      </c>
    </row>
    <row r="273">
      <c r="A273" s="54"/>
      <c r="B273" s="71" t="str">
        <f>IFERROR(HYPERLINK(VLOOKUP(A273,Internal_lists_bugs!$A$2:$C$73,3,FALSE()), VLOOKUP(A273,Internal_lists_bugs!$A$2:$C$73,3,FALSE())&amp;Char(10) &amp; Char(10) &amp; VLOOKUP(A273,Internal_lists_bugs!$A$2:$Z$73,26,FALSE())),"please select a BUG ID")</f>
        <v>please select a BUG ID</v>
      </c>
      <c r="C273" s="51" t="str">
        <f>IFERROR(VLOOKUP(A273,Internal_lists_bugs!$A$2:$T1058,20,FALSE()),"please select a BUG ID")</f>
        <v>please select a BUG ID</v>
      </c>
      <c r="E273" s="54"/>
      <c r="F273" s="82"/>
      <c r="G273" s="92"/>
      <c r="H273" s="54"/>
      <c r="I273" s="51" t="str">
        <f>IFERROR(VLOOKUP(A273,Internal_lists_bugs!$A$2:$G1058,7,FALSE()),"please select a BUG ID")</f>
        <v>please select a BUG ID</v>
      </c>
    </row>
    <row r="274">
      <c r="A274" s="54"/>
      <c r="B274" s="71" t="str">
        <f>IFERROR(HYPERLINK(VLOOKUP(A274,Internal_lists_bugs!$A$2:$C$73,3,FALSE()), VLOOKUP(A274,Internal_lists_bugs!$A$2:$C$73,3,FALSE())&amp;Char(10) &amp; Char(10) &amp; VLOOKUP(A274,Internal_lists_bugs!$A$2:$Z$73,26,FALSE())),"please select a BUG ID")</f>
        <v>please select a BUG ID</v>
      </c>
      <c r="C274" s="51" t="str">
        <f>IFERROR(VLOOKUP(A274,Internal_lists_bugs!$A$2:$T1058,20,FALSE()),"please select a BUG ID")</f>
        <v>please select a BUG ID</v>
      </c>
      <c r="E274" s="54"/>
      <c r="F274" s="82"/>
      <c r="G274" s="92"/>
      <c r="H274" s="54"/>
      <c r="I274" s="51" t="str">
        <f>IFERROR(VLOOKUP(A274,Internal_lists_bugs!$A$2:$G1058,7,FALSE()),"please select a BUG ID")</f>
        <v>please select a BUG ID</v>
      </c>
    </row>
    <row r="275">
      <c r="A275" s="54"/>
      <c r="B275" s="71" t="str">
        <f>IFERROR(HYPERLINK(VLOOKUP(A275,Internal_lists_bugs!$A$2:$C$73,3,FALSE()), VLOOKUP(A275,Internal_lists_bugs!$A$2:$C$73,3,FALSE())&amp;Char(10) &amp; Char(10) &amp; VLOOKUP(A275,Internal_lists_bugs!$A$2:$Z$73,26,FALSE())),"please select a BUG ID")</f>
        <v>please select a BUG ID</v>
      </c>
      <c r="C275" s="51" t="str">
        <f>IFERROR(VLOOKUP(A275,Internal_lists_bugs!$A$2:$T1058,20,FALSE()),"please select a BUG ID")</f>
        <v>please select a BUG ID</v>
      </c>
      <c r="E275" s="54"/>
      <c r="F275" s="82"/>
      <c r="G275" s="92"/>
      <c r="H275" s="54"/>
      <c r="I275" s="51" t="str">
        <f>IFERROR(VLOOKUP(A275,Internal_lists_bugs!$A$2:$G1058,7,FALSE()),"please select a BUG ID")</f>
        <v>please select a BUG ID</v>
      </c>
    </row>
    <row r="276">
      <c r="A276" s="54"/>
      <c r="B276" s="71" t="str">
        <f>IFERROR(HYPERLINK(VLOOKUP(A276,Internal_lists_bugs!$A$2:$C$73,3,FALSE()), VLOOKUP(A276,Internal_lists_bugs!$A$2:$C$73,3,FALSE())&amp;Char(10) &amp; Char(10) &amp; VLOOKUP(A276,Internal_lists_bugs!$A$2:$Z$73,26,FALSE())),"please select a BUG ID")</f>
        <v>please select a BUG ID</v>
      </c>
      <c r="C276" s="51" t="str">
        <f>IFERROR(VLOOKUP(A276,Internal_lists_bugs!$A$2:$T1058,20,FALSE()),"please select a BUG ID")</f>
        <v>please select a BUG ID</v>
      </c>
      <c r="E276" s="54"/>
      <c r="F276" s="82"/>
      <c r="G276" s="92"/>
      <c r="H276" s="54"/>
      <c r="I276" s="51" t="str">
        <f>IFERROR(VLOOKUP(A276,Internal_lists_bugs!$A$2:$G1058,7,FALSE()),"please select a BUG ID")</f>
        <v>please select a BUG ID</v>
      </c>
    </row>
    <row r="277">
      <c r="A277" s="54"/>
      <c r="B277" s="71" t="str">
        <f>IFERROR(HYPERLINK(VLOOKUP(A277,Internal_lists_bugs!$A$2:$C$73,3,FALSE()), VLOOKUP(A277,Internal_lists_bugs!$A$2:$C$73,3,FALSE())&amp;Char(10) &amp; Char(10) &amp; VLOOKUP(A277,Internal_lists_bugs!$A$2:$Z$73,26,FALSE())),"please select a BUG ID")</f>
        <v>please select a BUG ID</v>
      </c>
      <c r="C277" s="51" t="str">
        <f>IFERROR(VLOOKUP(A277,Internal_lists_bugs!$A$2:$T1058,20,FALSE()),"please select a BUG ID")</f>
        <v>please select a BUG ID</v>
      </c>
      <c r="E277" s="54"/>
      <c r="F277" s="82"/>
      <c r="G277" s="92"/>
      <c r="H277" s="54"/>
      <c r="I277" s="51" t="str">
        <f>IFERROR(VLOOKUP(A277,Internal_lists_bugs!$A$2:$G1058,7,FALSE()),"please select a BUG ID")</f>
        <v>please select a BUG ID</v>
      </c>
    </row>
    <row r="278">
      <c r="A278" s="54"/>
      <c r="B278" s="71" t="str">
        <f>IFERROR(HYPERLINK(VLOOKUP(A278,Internal_lists_bugs!$A$2:$C$73,3,FALSE()), VLOOKUP(A278,Internal_lists_bugs!$A$2:$C$73,3,FALSE())&amp;Char(10) &amp; Char(10) &amp; VLOOKUP(A278,Internal_lists_bugs!$A$2:$Z$73,26,FALSE())),"please select a BUG ID")</f>
        <v>please select a BUG ID</v>
      </c>
      <c r="C278" s="51" t="str">
        <f>IFERROR(VLOOKUP(A278,Internal_lists_bugs!$A$2:$T1058,20,FALSE()),"please select a BUG ID")</f>
        <v>please select a BUG ID</v>
      </c>
      <c r="E278" s="54"/>
      <c r="F278" s="82"/>
      <c r="G278" s="92"/>
      <c r="H278" s="54"/>
      <c r="I278" s="51" t="str">
        <f>IFERROR(VLOOKUP(A278,Internal_lists_bugs!$A$2:$G1058,7,FALSE()),"please select a BUG ID")</f>
        <v>please select a BUG ID</v>
      </c>
    </row>
    <row r="279">
      <c r="A279" s="54"/>
      <c r="B279" s="71" t="str">
        <f>IFERROR(HYPERLINK(VLOOKUP(A279,Internal_lists_bugs!$A$2:$C$73,3,FALSE()), VLOOKUP(A279,Internal_lists_bugs!$A$2:$C$73,3,FALSE())&amp;Char(10) &amp; Char(10) &amp; VLOOKUP(A279,Internal_lists_bugs!$A$2:$Z$73,26,FALSE())),"please select a BUG ID")</f>
        <v>please select a BUG ID</v>
      </c>
      <c r="C279" s="51" t="str">
        <f>IFERROR(VLOOKUP(A279,Internal_lists_bugs!$A$2:$T1058,20,FALSE()),"please select a BUG ID")</f>
        <v>please select a BUG ID</v>
      </c>
      <c r="E279" s="54"/>
      <c r="F279" s="82"/>
      <c r="G279" s="92"/>
      <c r="H279" s="54"/>
      <c r="I279" s="51" t="str">
        <f>IFERROR(VLOOKUP(A279,Internal_lists_bugs!$A$2:$G1058,7,FALSE()),"please select a BUG ID")</f>
        <v>please select a BUG ID</v>
      </c>
    </row>
    <row r="280">
      <c r="A280" s="54"/>
      <c r="B280" s="71" t="str">
        <f>IFERROR(HYPERLINK(VLOOKUP(A280,Internal_lists_bugs!$A$2:$C$73,3,FALSE()), VLOOKUP(A280,Internal_lists_bugs!$A$2:$C$73,3,FALSE())&amp;Char(10) &amp; Char(10) &amp; VLOOKUP(A280,Internal_lists_bugs!$A$2:$Z$73,26,FALSE())),"please select a BUG ID")</f>
        <v>please select a BUG ID</v>
      </c>
      <c r="C280" s="51" t="str">
        <f>IFERROR(VLOOKUP(A280,Internal_lists_bugs!$A$2:$T1058,20,FALSE()),"please select a BUG ID")</f>
        <v>please select a BUG ID</v>
      </c>
      <c r="E280" s="54"/>
      <c r="F280" s="82"/>
      <c r="G280" s="92"/>
      <c r="H280" s="54"/>
      <c r="I280" s="51" t="str">
        <f>IFERROR(VLOOKUP(A280,Internal_lists_bugs!$A$2:$G1058,7,FALSE()),"please select a BUG ID")</f>
        <v>please select a BUG ID</v>
      </c>
    </row>
    <row r="281">
      <c r="A281" s="54"/>
      <c r="B281" s="71" t="str">
        <f>IFERROR(HYPERLINK(VLOOKUP(A281,Internal_lists_bugs!$A$2:$C$73,3,FALSE()), VLOOKUP(A281,Internal_lists_bugs!$A$2:$C$73,3,FALSE())&amp;Char(10) &amp; Char(10) &amp; VLOOKUP(A281,Internal_lists_bugs!$A$2:$Z$73,26,FALSE())),"please select a BUG ID")</f>
        <v>please select a BUG ID</v>
      </c>
      <c r="C281" s="51" t="str">
        <f>IFERROR(VLOOKUP(A281,Internal_lists_bugs!$A$2:$T1058,20,FALSE()),"please select a BUG ID")</f>
        <v>please select a BUG ID</v>
      </c>
      <c r="E281" s="54"/>
      <c r="F281" s="82"/>
      <c r="G281" s="92"/>
      <c r="H281" s="54"/>
      <c r="I281" s="51" t="str">
        <f>IFERROR(VLOOKUP(A281,Internal_lists_bugs!$A$2:$G1058,7,FALSE()),"please select a BUG ID")</f>
        <v>please select a BUG ID</v>
      </c>
    </row>
    <row r="282">
      <c r="A282" s="54"/>
      <c r="B282" s="71" t="str">
        <f>IFERROR(HYPERLINK(VLOOKUP(A282,Internal_lists_bugs!$A$2:$C$73,3,FALSE()), VLOOKUP(A282,Internal_lists_bugs!$A$2:$C$73,3,FALSE())&amp;Char(10) &amp; Char(10) &amp; VLOOKUP(A282,Internal_lists_bugs!$A$2:$Z$73,26,FALSE())),"please select a BUG ID")</f>
        <v>please select a BUG ID</v>
      </c>
      <c r="C282" s="51" t="str">
        <f>IFERROR(VLOOKUP(A282,Internal_lists_bugs!$A$2:$T1058,20,FALSE()),"please select a BUG ID")</f>
        <v>please select a BUG ID</v>
      </c>
      <c r="E282" s="54"/>
      <c r="F282" s="82"/>
      <c r="G282" s="92"/>
      <c r="H282" s="54"/>
      <c r="I282" s="51" t="str">
        <f>IFERROR(VLOOKUP(A282,Internal_lists_bugs!$A$2:$G1058,7,FALSE()),"please select a BUG ID")</f>
        <v>please select a BUG ID</v>
      </c>
    </row>
    <row r="283">
      <c r="A283" s="54"/>
      <c r="B283" s="71" t="str">
        <f>IFERROR(HYPERLINK(VLOOKUP(A283,Internal_lists_bugs!$A$2:$C$73,3,FALSE()), VLOOKUP(A283,Internal_lists_bugs!$A$2:$C$73,3,FALSE())&amp;Char(10) &amp; Char(10) &amp; VLOOKUP(A283,Internal_lists_bugs!$A$2:$Z$73,26,FALSE())),"please select a BUG ID")</f>
        <v>please select a BUG ID</v>
      </c>
      <c r="C283" s="51" t="str">
        <f>IFERROR(VLOOKUP(A283,Internal_lists_bugs!$A$2:$T1058,20,FALSE()),"please select a BUG ID")</f>
        <v>please select a BUG ID</v>
      </c>
      <c r="E283" s="54"/>
      <c r="F283" s="82"/>
      <c r="G283" s="92"/>
      <c r="H283" s="54"/>
      <c r="I283" s="51" t="str">
        <f>IFERROR(VLOOKUP(A283,Internal_lists_bugs!$A$2:$G1058,7,FALSE()),"please select a BUG ID")</f>
        <v>please select a BUG ID</v>
      </c>
    </row>
    <row r="284">
      <c r="A284" s="54"/>
      <c r="B284" s="71" t="str">
        <f>IFERROR(HYPERLINK(VLOOKUP(A284,Internal_lists_bugs!$A$2:$C$73,3,FALSE()), VLOOKUP(A284,Internal_lists_bugs!$A$2:$C$73,3,FALSE())&amp;Char(10) &amp; Char(10) &amp; VLOOKUP(A284,Internal_lists_bugs!$A$2:$Z$73,26,FALSE())),"please select a BUG ID")</f>
        <v>please select a BUG ID</v>
      </c>
      <c r="C284" s="51" t="str">
        <f>IFERROR(VLOOKUP(A284,Internal_lists_bugs!$A$2:$T1058,20,FALSE()),"please select a BUG ID")</f>
        <v>please select a BUG ID</v>
      </c>
      <c r="E284" s="54"/>
      <c r="F284" s="82"/>
      <c r="G284" s="92"/>
      <c r="H284" s="54"/>
      <c r="I284" s="51" t="str">
        <f>IFERROR(VLOOKUP(A284,Internal_lists_bugs!$A$2:$G1058,7,FALSE()),"please select a BUG ID")</f>
        <v>please select a BUG ID</v>
      </c>
    </row>
    <row r="285">
      <c r="A285" s="54"/>
      <c r="B285" s="71" t="str">
        <f>IFERROR(HYPERLINK(VLOOKUP(A285,Internal_lists_bugs!$A$2:$C$73,3,FALSE()), VLOOKUP(A285,Internal_lists_bugs!$A$2:$C$73,3,FALSE())&amp;Char(10) &amp; Char(10) &amp; VLOOKUP(A285,Internal_lists_bugs!$A$2:$Z$73,26,FALSE())),"please select a BUG ID")</f>
        <v>please select a BUG ID</v>
      </c>
      <c r="C285" s="51" t="str">
        <f>IFERROR(VLOOKUP(A285,Internal_lists_bugs!$A$2:$T1058,20,FALSE()),"please select a BUG ID")</f>
        <v>please select a BUG ID</v>
      </c>
      <c r="E285" s="54"/>
      <c r="F285" s="82"/>
      <c r="G285" s="92"/>
      <c r="H285" s="54"/>
      <c r="I285" s="51" t="str">
        <f>IFERROR(VLOOKUP(A285,Internal_lists_bugs!$A$2:$G1058,7,FALSE()),"please select a BUG ID")</f>
        <v>please select a BUG ID</v>
      </c>
    </row>
    <row r="286">
      <c r="A286" s="54"/>
      <c r="B286" s="71" t="str">
        <f>IFERROR(HYPERLINK(VLOOKUP(A286,Internal_lists_bugs!$A$2:$C$73,3,FALSE()), VLOOKUP(A286,Internal_lists_bugs!$A$2:$C$73,3,FALSE())&amp;Char(10) &amp; Char(10) &amp; VLOOKUP(A286,Internal_lists_bugs!$A$2:$Z$73,26,FALSE())),"please select a BUG ID")</f>
        <v>please select a BUG ID</v>
      </c>
      <c r="C286" s="51" t="str">
        <f>IFERROR(VLOOKUP(A286,Internal_lists_bugs!$A$2:$T1058,20,FALSE()),"please select a BUG ID")</f>
        <v>please select a BUG ID</v>
      </c>
      <c r="E286" s="54"/>
      <c r="F286" s="82"/>
      <c r="G286" s="92"/>
      <c r="H286" s="54"/>
      <c r="I286" s="51" t="str">
        <f>IFERROR(VLOOKUP(A286,Internal_lists_bugs!$A$2:$G1058,7,FALSE()),"please select a BUG ID")</f>
        <v>please select a BUG ID</v>
      </c>
    </row>
    <row r="287">
      <c r="A287" s="54"/>
      <c r="B287" s="71" t="str">
        <f>IFERROR(HYPERLINK(VLOOKUP(A287,Internal_lists_bugs!$A$2:$C$73,3,FALSE()), VLOOKUP(A287,Internal_lists_bugs!$A$2:$C$73,3,FALSE())&amp;Char(10) &amp; Char(10) &amp; VLOOKUP(A287,Internal_lists_bugs!$A$2:$Z$73,26,FALSE())),"please select a BUG ID")</f>
        <v>please select a BUG ID</v>
      </c>
      <c r="C287" s="51" t="str">
        <f>IFERROR(VLOOKUP(A287,Internal_lists_bugs!$A$2:$T1058,20,FALSE()),"please select a BUG ID")</f>
        <v>please select a BUG ID</v>
      </c>
      <c r="E287" s="54"/>
      <c r="F287" s="82"/>
      <c r="G287" s="92"/>
      <c r="H287" s="54"/>
      <c r="I287" s="51" t="str">
        <f>IFERROR(VLOOKUP(A287,Internal_lists_bugs!$A$2:$G1058,7,FALSE()),"please select a BUG ID")</f>
        <v>please select a BUG ID</v>
      </c>
    </row>
    <row r="288">
      <c r="A288" s="54"/>
      <c r="B288" s="71" t="str">
        <f>IFERROR(HYPERLINK(VLOOKUP(A288,Internal_lists_bugs!$A$2:$C$73,3,FALSE()), VLOOKUP(A288,Internal_lists_bugs!$A$2:$C$73,3,FALSE())&amp;Char(10) &amp; Char(10) &amp; VLOOKUP(A288,Internal_lists_bugs!$A$2:$Z$73,26,FALSE())),"please select a BUG ID")</f>
        <v>please select a BUG ID</v>
      </c>
      <c r="C288" s="51" t="str">
        <f>IFERROR(VLOOKUP(A288,Internal_lists_bugs!$A$2:$T1058,20,FALSE()),"please select a BUG ID")</f>
        <v>please select a BUG ID</v>
      </c>
      <c r="E288" s="54"/>
      <c r="F288" s="82"/>
      <c r="G288" s="92"/>
      <c r="H288" s="54"/>
      <c r="I288" s="51" t="str">
        <f>IFERROR(VLOOKUP(A288,Internal_lists_bugs!$A$2:$G1058,7,FALSE()),"please select a BUG ID")</f>
        <v>please select a BUG ID</v>
      </c>
    </row>
    <row r="289">
      <c r="A289" s="54"/>
      <c r="B289" s="71" t="str">
        <f>IFERROR(HYPERLINK(VLOOKUP(A289,Internal_lists_bugs!$A$2:$C$73,3,FALSE()), VLOOKUP(A289,Internal_lists_bugs!$A$2:$C$73,3,FALSE())&amp;Char(10) &amp; Char(10) &amp; VLOOKUP(A289,Internal_lists_bugs!$A$2:$Z$73,26,FALSE())),"please select a BUG ID")</f>
        <v>please select a BUG ID</v>
      </c>
      <c r="C289" s="51" t="str">
        <f>IFERROR(VLOOKUP(A289,Internal_lists_bugs!$A$2:$T1058,20,FALSE()),"please select a BUG ID")</f>
        <v>please select a BUG ID</v>
      </c>
      <c r="E289" s="54"/>
      <c r="F289" s="82"/>
      <c r="G289" s="92"/>
      <c r="H289" s="54"/>
      <c r="I289" s="51" t="str">
        <f>IFERROR(VLOOKUP(A289,Internal_lists_bugs!$A$2:$G1058,7,FALSE()),"please select a BUG ID")</f>
        <v>please select a BUG ID</v>
      </c>
    </row>
    <row r="290">
      <c r="A290" s="54"/>
      <c r="B290" s="71" t="str">
        <f>IFERROR(HYPERLINK(VLOOKUP(A290,Internal_lists_bugs!$A$2:$C$73,3,FALSE()), VLOOKUP(A290,Internal_lists_bugs!$A$2:$C$73,3,FALSE())&amp;Char(10) &amp; Char(10) &amp; VLOOKUP(A290,Internal_lists_bugs!$A$2:$Z$73,26,FALSE())),"please select a BUG ID")</f>
        <v>please select a BUG ID</v>
      </c>
      <c r="C290" s="51" t="str">
        <f>IFERROR(VLOOKUP(A290,Internal_lists_bugs!$A$2:$T1058,20,FALSE()),"please select a BUG ID")</f>
        <v>please select a BUG ID</v>
      </c>
      <c r="E290" s="54"/>
      <c r="F290" s="82"/>
      <c r="G290" s="92"/>
      <c r="H290" s="54"/>
      <c r="I290" s="51" t="str">
        <f>IFERROR(VLOOKUP(A290,Internal_lists_bugs!$A$2:$G1058,7,FALSE()),"please select a BUG ID")</f>
        <v>please select a BUG ID</v>
      </c>
    </row>
    <row r="291">
      <c r="A291" s="54"/>
      <c r="B291" s="71" t="str">
        <f>IFERROR(HYPERLINK(VLOOKUP(A291,Internal_lists_bugs!$A$2:$C$73,3,FALSE()), VLOOKUP(A291,Internal_lists_bugs!$A$2:$C$73,3,FALSE())&amp;Char(10) &amp; Char(10) &amp; VLOOKUP(A291,Internal_lists_bugs!$A$2:$Z$73,26,FALSE())),"please select a BUG ID")</f>
        <v>please select a BUG ID</v>
      </c>
      <c r="C291" s="51" t="str">
        <f>IFERROR(VLOOKUP(A291,Internal_lists_bugs!$A$2:$T1058,20,FALSE()),"please select a BUG ID")</f>
        <v>please select a BUG ID</v>
      </c>
      <c r="E291" s="54"/>
      <c r="F291" s="82"/>
      <c r="G291" s="92"/>
      <c r="H291" s="54"/>
      <c r="I291" s="51" t="str">
        <f>IFERROR(VLOOKUP(A291,Internal_lists_bugs!$A$2:$G1058,7,FALSE()),"please select a BUG ID")</f>
        <v>please select a BUG ID</v>
      </c>
    </row>
    <row r="292">
      <c r="A292" s="54"/>
      <c r="B292" s="71" t="str">
        <f>IFERROR(HYPERLINK(VLOOKUP(A292,Internal_lists_bugs!$A$2:$C$73,3,FALSE()), VLOOKUP(A292,Internal_lists_bugs!$A$2:$C$73,3,FALSE())&amp;Char(10) &amp; Char(10) &amp; VLOOKUP(A292,Internal_lists_bugs!$A$2:$Z$73,26,FALSE())),"please select a BUG ID")</f>
        <v>please select a BUG ID</v>
      </c>
      <c r="C292" s="51" t="str">
        <f>IFERROR(VLOOKUP(A292,Internal_lists_bugs!$A$2:$T1058,20,FALSE()),"please select a BUG ID")</f>
        <v>please select a BUG ID</v>
      </c>
      <c r="E292" s="54"/>
      <c r="F292" s="82"/>
      <c r="G292" s="92"/>
      <c r="H292" s="54"/>
      <c r="I292" s="51" t="str">
        <f>IFERROR(VLOOKUP(A292,Internal_lists_bugs!$A$2:$G1058,7,FALSE()),"please select a BUG ID")</f>
        <v>please select a BUG ID</v>
      </c>
    </row>
    <row r="293">
      <c r="A293" s="54"/>
      <c r="B293" s="71" t="str">
        <f>IFERROR(HYPERLINK(VLOOKUP(A293,Internal_lists_bugs!$A$2:$C$73,3,FALSE()), VLOOKUP(A293,Internal_lists_bugs!$A$2:$C$73,3,FALSE())&amp;Char(10) &amp; Char(10) &amp; VLOOKUP(A293,Internal_lists_bugs!$A$2:$Z$73,26,FALSE())),"please select a BUG ID")</f>
        <v>please select a BUG ID</v>
      </c>
      <c r="C293" s="51" t="str">
        <f>IFERROR(VLOOKUP(A293,Internal_lists_bugs!$A$2:$T1058,20,FALSE()),"please select a BUG ID")</f>
        <v>please select a BUG ID</v>
      </c>
      <c r="E293" s="54"/>
      <c r="F293" s="82"/>
      <c r="G293" s="92"/>
      <c r="H293" s="54"/>
      <c r="I293" s="51" t="str">
        <f>IFERROR(VLOOKUP(A293,Internal_lists_bugs!$A$2:$G1058,7,FALSE()),"please select a BUG ID")</f>
        <v>please select a BUG ID</v>
      </c>
    </row>
    <row r="294">
      <c r="A294" s="54"/>
      <c r="B294" s="71" t="str">
        <f>IFERROR(HYPERLINK(VLOOKUP(A294,Internal_lists_bugs!$A$2:$C$73,3,FALSE()), VLOOKUP(A294,Internal_lists_bugs!$A$2:$C$73,3,FALSE())&amp;Char(10) &amp; Char(10) &amp; VLOOKUP(A294,Internal_lists_bugs!$A$2:$Z$73,26,FALSE())),"please select a BUG ID")</f>
        <v>please select a BUG ID</v>
      </c>
      <c r="C294" s="51" t="str">
        <f>IFERROR(VLOOKUP(A294,Internal_lists_bugs!$A$2:$T1058,20,FALSE()),"please select a BUG ID")</f>
        <v>please select a BUG ID</v>
      </c>
      <c r="E294" s="54"/>
      <c r="F294" s="82"/>
      <c r="G294" s="92"/>
      <c r="H294" s="54"/>
      <c r="I294" s="51" t="str">
        <f>IFERROR(VLOOKUP(A294,Internal_lists_bugs!$A$2:$G1058,7,FALSE()),"please select a BUG ID")</f>
        <v>please select a BUG ID</v>
      </c>
    </row>
    <row r="295">
      <c r="A295" s="54"/>
      <c r="B295" s="71" t="str">
        <f>IFERROR(HYPERLINK(VLOOKUP(A295,Internal_lists_bugs!$A$2:$C$73,3,FALSE()), VLOOKUP(A295,Internal_lists_bugs!$A$2:$C$73,3,FALSE())&amp;Char(10) &amp; Char(10) &amp; VLOOKUP(A295,Internal_lists_bugs!$A$2:$Z$73,26,FALSE())),"please select a BUG ID")</f>
        <v>please select a BUG ID</v>
      </c>
      <c r="C295" s="51" t="str">
        <f>IFERROR(VLOOKUP(A295,Internal_lists_bugs!$A$2:$T1058,20,FALSE()),"please select a BUG ID")</f>
        <v>please select a BUG ID</v>
      </c>
      <c r="E295" s="54"/>
      <c r="F295" s="82"/>
      <c r="G295" s="92"/>
      <c r="H295" s="54"/>
      <c r="I295" s="51" t="str">
        <f>IFERROR(VLOOKUP(A295,Internal_lists_bugs!$A$2:$G1058,7,FALSE()),"please select a BUG ID")</f>
        <v>please select a BUG ID</v>
      </c>
    </row>
    <row r="296">
      <c r="A296" s="54"/>
      <c r="B296" s="71" t="str">
        <f>IFERROR(HYPERLINK(VLOOKUP(A296,Internal_lists_bugs!$A$2:$C$73,3,FALSE()), VLOOKUP(A296,Internal_lists_bugs!$A$2:$C$73,3,FALSE())&amp;Char(10) &amp; Char(10) &amp; VLOOKUP(A296,Internal_lists_bugs!$A$2:$Z$73,26,FALSE())),"please select a BUG ID")</f>
        <v>please select a BUG ID</v>
      </c>
      <c r="C296" s="51" t="str">
        <f>IFERROR(VLOOKUP(A296,Internal_lists_bugs!$A$2:$T1058,20,FALSE()),"please select a BUG ID")</f>
        <v>please select a BUG ID</v>
      </c>
      <c r="E296" s="54"/>
      <c r="F296" s="82"/>
      <c r="G296" s="92"/>
      <c r="H296" s="54"/>
      <c r="I296" s="51" t="str">
        <f>IFERROR(VLOOKUP(A296,Internal_lists_bugs!$A$2:$G1058,7,FALSE()),"please select a BUG ID")</f>
        <v>please select a BUG ID</v>
      </c>
    </row>
    <row r="297">
      <c r="A297" s="54"/>
      <c r="B297" s="71" t="str">
        <f>IFERROR(HYPERLINK(VLOOKUP(A297,Internal_lists_bugs!$A$2:$C$73,3,FALSE()), VLOOKUP(A297,Internal_lists_bugs!$A$2:$C$73,3,FALSE())&amp;Char(10) &amp; Char(10) &amp; VLOOKUP(A297,Internal_lists_bugs!$A$2:$Z$73,26,FALSE())),"please select a BUG ID")</f>
        <v>please select a BUG ID</v>
      </c>
      <c r="C297" s="51" t="str">
        <f>IFERROR(VLOOKUP(A297,Internal_lists_bugs!$A$2:$T1058,20,FALSE()),"please select a BUG ID")</f>
        <v>please select a BUG ID</v>
      </c>
      <c r="E297" s="54"/>
      <c r="F297" s="82"/>
      <c r="G297" s="92"/>
      <c r="H297" s="54"/>
      <c r="I297" s="51" t="str">
        <f>IFERROR(VLOOKUP(A297,Internal_lists_bugs!$A$2:$G1058,7,FALSE()),"please select a BUG ID")</f>
        <v>please select a BUG ID</v>
      </c>
    </row>
    <row r="298">
      <c r="A298" s="54"/>
      <c r="B298" s="71" t="str">
        <f>IFERROR(HYPERLINK(VLOOKUP(A298,Internal_lists_bugs!$A$2:$C$73,3,FALSE()), VLOOKUP(A298,Internal_lists_bugs!$A$2:$C$73,3,FALSE())&amp;Char(10) &amp; Char(10) &amp; VLOOKUP(A298,Internal_lists_bugs!$A$2:$Z$73,26,FALSE())),"please select a BUG ID")</f>
        <v>please select a BUG ID</v>
      </c>
      <c r="C298" s="51" t="str">
        <f>IFERROR(VLOOKUP(A298,Internal_lists_bugs!$A$2:$T1058,20,FALSE()),"please select a BUG ID")</f>
        <v>please select a BUG ID</v>
      </c>
      <c r="E298" s="54"/>
      <c r="F298" s="82"/>
      <c r="G298" s="92"/>
      <c r="H298" s="54"/>
      <c r="I298" s="51" t="str">
        <f>IFERROR(VLOOKUP(A298,Internal_lists_bugs!$A$2:$G1058,7,FALSE()),"please select a BUG ID")</f>
        <v>please select a BUG ID</v>
      </c>
    </row>
    <row r="299">
      <c r="A299" s="54"/>
      <c r="B299" s="71" t="str">
        <f>IFERROR(HYPERLINK(VLOOKUP(A299,Internal_lists_bugs!$A$2:$C$73,3,FALSE()), VLOOKUP(A299,Internal_lists_bugs!$A$2:$C$73,3,FALSE())&amp;Char(10) &amp; Char(10) &amp; VLOOKUP(A299,Internal_lists_bugs!$A$2:$Z$73,26,FALSE())),"please select a BUG ID")</f>
        <v>please select a BUG ID</v>
      </c>
      <c r="C299" s="51" t="str">
        <f>IFERROR(VLOOKUP(A299,Internal_lists_bugs!$A$2:$T1058,20,FALSE()),"please select a BUG ID")</f>
        <v>please select a BUG ID</v>
      </c>
      <c r="E299" s="54"/>
      <c r="F299" s="82"/>
      <c r="G299" s="92"/>
      <c r="H299" s="54"/>
      <c r="I299" s="51" t="str">
        <f>IFERROR(VLOOKUP(A299,Internal_lists_bugs!$A$2:$G1058,7,FALSE()),"please select a BUG ID")</f>
        <v>please select a BUG ID</v>
      </c>
    </row>
    <row r="300">
      <c r="A300" s="54"/>
      <c r="B300" s="71" t="str">
        <f>IFERROR(HYPERLINK(VLOOKUP(A300,Internal_lists_bugs!$A$2:$C$73,3,FALSE()), VLOOKUP(A300,Internal_lists_bugs!$A$2:$C$73,3,FALSE())&amp;Char(10) &amp; Char(10) &amp; VLOOKUP(A300,Internal_lists_bugs!$A$2:$Z$73,26,FALSE())),"please select a BUG ID")</f>
        <v>please select a BUG ID</v>
      </c>
      <c r="C300" s="51" t="str">
        <f>IFERROR(VLOOKUP(A300,Internal_lists_bugs!$A$2:$T1058,20,FALSE()),"please select a BUG ID")</f>
        <v>please select a BUG ID</v>
      </c>
      <c r="E300" s="54"/>
      <c r="F300" s="82"/>
      <c r="G300" s="92"/>
      <c r="H300" s="54"/>
      <c r="I300" s="51" t="str">
        <f>IFERROR(VLOOKUP(A300,Internal_lists_bugs!$A$2:$G1058,7,FALSE()),"please select a BUG ID")</f>
        <v>please select a BUG ID</v>
      </c>
    </row>
    <row r="301">
      <c r="A301" s="54"/>
      <c r="B301" s="71" t="str">
        <f>IFERROR(HYPERLINK(VLOOKUP(A301,Internal_lists_bugs!$A$2:$C$73,3,FALSE()), VLOOKUP(A301,Internal_lists_bugs!$A$2:$C$73,3,FALSE())&amp;Char(10) &amp; Char(10) &amp; VLOOKUP(A301,Internal_lists_bugs!$A$2:$Z$73,26,FALSE())),"please select a BUG ID")</f>
        <v>please select a BUG ID</v>
      </c>
      <c r="C301" s="51" t="str">
        <f>IFERROR(VLOOKUP(A301,Internal_lists_bugs!$A$2:$T1058,20,FALSE()),"please select a BUG ID")</f>
        <v>please select a BUG ID</v>
      </c>
      <c r="E301" s="54"/>
      <c r="F301" s="82"/>
      <c r="G301" s="92"/>
      <c r="H301" s="54"/>
      <c r="I301" s="51" t="str">
        <f>IFERROR(VLOOKUP(A301,Internal_lists_bugs!$A$2:$G1058,7,FALSE()),"please select a BUG ID")</f>
        <v>please select a BUG ID</v>
      </c>
    </row>
    <row r="302">
      <c r="A302" s="54"/>
      <c r="B302" s="71" t="str">
        <f>IFERROR(HYPERLINK(VLOOKUP(A302,Internal_lists_bugs!$A$2:$C$73,3,FALSE()), VLOOKUP(A302,Internal_lists_bugs!$A$2:$C$73,3,FALSE())&amp;Char(10) &amp; Char(10) &amp; VLOOKUP(A302,Internal_lists_bugs!$A$2:$Z$73,26,FALSE())),"please select a BUG ID")</f>
        <v>please select a BUG ID</v>
      </c>
      <c r="C302" s="51" t="str">
        <f>IFERROR(VLOOKUP(A302,Internal_lists_bugs!$A$2:$T1058,20,FALSE()),"please select a BUG ID")</f>
        <v>please select a BUG ID</v>
      </c>
      <c r="E302" s="54"/>
      <c r="F302" s="82"/>
      <c r="G302" s="92"/>
      <c r="H302" s="54"/>
      <c r="I302" s="51" t="str">
        <f>IFERROR(VLOOKUP(A302,Internal_lists_bugs!$A$2:$G1058,7,FALSE()),"please select a BUG ID")</f>
        <v>please select a BUG ID</v>
      </c>
    </row>
    <row r="303">
      <c r="A303" s="54"/>
      <c r="B303" s="71" t="str">
        <f>IFERROR(HYPERLINK(VLOOKUP(A303,Internal_lists_bugs!$A$2:$C$73,3,FALSE()), VLOOKUP(A303,Internal_lists_bugs!$A$2:$C$73,3,FALSE())&amp;Char(10) &amp; Char(10) &amp; VLOOKUP(A303,Internal_lists_bugs!$A$2:$Z$73,26,FALSE())),"please select a BUG ID")</f>
        <v>please select a BUG ID</v>
      </c>
      <c r="C303" s="51" t="str">
        <f>IFERROR(VLOOKUP(A303,Internal_lists_bugs!$A$2:$T1058,20,FALSE()),"please select a BUG ID")</f>
        <v>please select a BUG ID</v>
      </c>
      <c r="E303" s="54"/>
      <c r="F303" s="82"/>
      <c r="G303" s="92"/>
      <c r="H303" s="54"/>
      <c r="I303" s="51" t="str">
        <f>IFERROR(VLOOKUP(A303,Internal_lists_bugs!$A$2:$G1058,7,FALSE()),"please select a BUG ID")</f>
        <v>please select a BUG ID</v>
      </c>
    </row>
    <row r="304">
      <c r="A304" s="54"/>
      <c r="B304" s="71" t="str">
        <f>IFERROR(HYPERLINK(VLOOKUP(A304,Internal_lists_bugs!$A$2:$C$73,3,FALSE()), VLOOKUP(A304,Internal_lists_bugs!$A$2:$C$73,3,FALSE())&amp;Char(10) &amp; Char(10) &amp; VLOOKUP(A304,Internal_lists_bugs!$A$2:$Z$73,26,FALSE())),"please select a BUG ID")</f>
        <v>please select a BUG ID</v>
      </c>
      <c r="C304" s="51" t="str">
        <f>IFERROR(VLOOKUP(A304,Internal_lists_bugs!$A$2:$T1058,20,FALSE()),"please select a BUG ID")</f>
        <v>please select a BUG ID</v>
      </c>
      <c r="E304" s="54"/>
      <c r="F304" s="82"/>
      <c r="G304" s="92"/>
      <c r="H304" s="54"/>
      <c r="I304" s="51" t="str">
        <f>IFERROR(VLOOKUP(A304,Internal_lists_bugs!$A$2:$G1058,7,FALSE()),"please select a BUG ID")</f>
        <v>please select a BUG ID</v>
      </c>
    </row>
    <row r="305">
      <c r="A305" s="54"/>
      <c r="B305" s="71" t="str">
        <f>IFERROR(HYPERLINK(VLOOKUP(A305,Internal_lists_bugs!$A$2:$C$73,3,FALSE()), VLOOKUP(A305,Internal_lists_bugs!$A$2:$C$73,3,FALSE())&amp;Char(10) &amp; Char(10) &amp; VLOOKUP(A305,Internal_lists_bugs!$A$2:$Z$73,26,FALSE())),"please select a BUG ID")</f>
        <v>please select a BUG ID</v>
      </c>
      <c r="C305" s="51" t="str">
        <f>IFERROR(VLOOKUP(A305,Internal_lists_bugs!$A$2:$T1058,20,FALSE()),"please select a BUG ID")</f>
        <v>please select a BUG ID</v>
      </c>
      <c r="E305" s="54"/>
      <c r="F305" s="82"/>
      <c r="G305" s="92"/>
      <c r="H305" s="54"/>
      <c r="I305" s="51" t="str">
        <f>IFERROR(VLOOKUP(A305,Internal_lists_bugs!$A$2:$G1058,7,FALSE()),"please select a BUG ID")</f>
        <v>please select a BUG ID</v>
      </c>
    </row>
    <row r="306">
      <c r="A306" s="54"/>
      <c r="B306" s="71" t="str">
        <f>IFERROR(HYPERLINK(VLOOKUP(A306,Internal_lists_bugs!$A$2:$C$73,3,FALSE()), VLOOKUP(A306,Internal_lists_bugs!$A$2:$C$73,3,FALSE())&amp;Char(10) &amp; Char(10) &amp; VLOOKUP(A306,Internal_lists_bugs!$A$2:$Z$73,26,FALSE())),"please select a BUG ID")</f>
        <v>please select a BUG ID</v>
      </c>
      <c r="C306" s="51" t="str">
        <f>IFERROR(VLOOKUP(A306,Internal_lists_bugs!$A$2:$T1058,20,FALSE()),"please select a BUG ID")</f>
        <v>please select a BUG ID</v>
      </c>
      <c r="E306" s="54"/>
      <c r="F306" s="82"/>
      <c r="G306" s="92"/>
      <c r="H306" s="54"/>
      <c r="I306" s="51" t="str">
        <f>IFERROR(VLOOKUP(A306,Internal_lists_bugs!$A$2:$G1058,7,FALSE()),"please select a BUG ID")</f>
        <v>please select a BUG ID</v>
      </c>
    </row>
    <row r="307">
      <c r="A307" s="54"/>
      <c r="B307" s="71" t="str">
        <f>IFERROR(HYPERLINK(VLOOKUP(A307,Internal_lists_bugs!$A$2:$C$73,3,FALSE()), VLOOKUP(A307,Internal_lists_bugs!$A$2:$C$73,3,FALSE())&amp;Char(10) &amp; Char(10) &amp; VLOOKUP(A307,Internal_lists_bugs!$A$2:$Z$73,26,FALSE())),"please select a BUG ID")</f>
        <v>please select a BUG ID</v>
      </c>
      <c r="C307" s="51" t="str">
        <f>IFERROR(VLOOKUP(A307,Internal_lists_bugs!$A$2:$T1058,20,FALSE()),"please select a BUG ID")</f>
        <v>please select a BUG ID</v>
      </c>
      <c r="E307" s="54"/>
      <c r="F307" s="82"/>
      <c r="G307" s="92"/>
      <c r="H307" s="54"/>
      <c r="I307" s="51" t="str">
        <f>IFERROR(VLOOKUP(A307,Internal_lists_bugs!$A$2:$G1058,7,FALSE()),"please select a BUG ID")</f>
        <v>please select a BUG ID</v>
      </c>
    </row>
    <row r="308">
      <c r="A308" s="54"/>
      <c r="B308" s="71" t="str">
        <f>IFERROR(HYPERLINK(VLOOKUP(A308,Internal_lists_bugs!$A$2:$C$73,3,FALSE()), VLOOKUP(A308,Internal_lists_bugs!$A$2:$C$73,3,FALSE())&amp;Char(10) &amp; Char(10) &amp; VLOOKUP(A308,Internal_lists_bugs!$A$2:$Z$73,26,FALSE())),"please select a BUG ID")</f>
        <v>please select a BUG ID</v>
      </c>
      <c r="C308" s="51" t="str">
        <f>IFERROR(VLOOKUP(A308,Internal_lists_bugs!$A$2:$T1058,20,FALSE()),"please select a BUG ID")</f>
        <v>please select a BUG ID</v>
      </c>
      <c r="E308" s="54"/>
      <c r="F308" s="82"/>
      <c r="G308" s="92"/>
      <c r="H308" s="54"/>
      <c r="I308" s="51" t="str">
        <f>IFERROR(VLOOKUP(A308,Internal_lists_bugs!$A$2:$G1058,7,FALSE()),"please select a BUG ID")</f>
        <v>please select a BUG ID</v>
      </c>
    </row>
    <row r="309">
      <c r="A309" s="54"/>
      <c r="B309" s="71" t="str">
        <f>IFERROR(HYPERLINK(VLOOKUP(A309,Internal_lists_bugs!$A$2:$C$73,3,FALSE()), VLOOKUP(A309,Internal_lists_bugs!$A$2:$C$73,3,FALSE())&amp;Char(10) &amp; Char(10) &amp; VLOOKUP(A309,Internal_lists_bugs!$A$2:$Z$73,26,FALSE())),"please select a BUG ID")</f>
        <v>please select a BUG ID</v>
      </c>
      <c r="C309" s="51" t="str">
        <f>IFERROR(VLOOKUP(A309,Internal_lists_bugs!$A$2:$T1058,20,FALSE()),"please select a BUG ID")</f>
        <v>please select a BUG ID</v>
      </c>
      <c r="E309" s="54"/>
      <c r="F309" s="82"/>
      <c r="G309" s="92"/>
      <c r="H309" s="54"/>
      <c r="I309" s="51" t="str">
        <f>IFERROR(VLOOKUP(A309,Internal_lists_bugs!$A$2:$G1058,7,FALSE()),"please select a BUG ID")</f>
        <v>please select a BUG ID</v>
      </c>
    </row>
    <row r="310">
      <c r="A310" s="54"/>
      <c r="B310" s="71" t="str">
        <f>IFERROR(HYPERLINK(VLOOKUP(A310,Internal_lists_bugs!$A$2:$C$73,3,FALSE()), VLOOKUP(A310,Internal_lists_bugs!$A$2:$C$73,3,FALSE())&amp;Char(10) &amp; Char(10) &amp; VLOOKUP(A310,Internal_lists_bugs!$A$2:$Z$73,26,FALSE())),"please select a BUG ID")</f>
        <v>please select a BUG ID</v>
      </c>
      <c r="C310" s="51" t="str">
        <f>IFERROR(VLOOKUP(A310,Internal_lists_bugs!$A$2:$T1058,20,FALSE()),"please select a BUG ID")</f>
        <v>please select a BUG ID</v>
      </c>
      <c r="E310" s="54"/>
      <c r="F310" s="82"/>
      <c r="G310" s="92"/>
      <c r="H310" s="54"/>
      <c r="I310" s="51" t="str">
        <f>IFERROR(VLOOKUP(A310,Internal_lists_bugs!$A$2:$G1058,7,FALSE()),"please select a BUG ID")</f>
        <v>please select a BUG ID</v>
      </c>
    </row>
    <row r="311">
      <c r="A311" s="54"/>
      <c r="B311" s="71" t="str">
        <f>IFERROR(HYPERLINK(VLOOKUP(A311,Internal_lists_bugs!$A$2:$C$73,3,FALSE()), VLOOKUP(A311,Internal_lists_bugs!$A$2:$C$73,3,FALSE())&amp;Char(10) &amp; Char(10) &amp; VLOOKUP(A311,Internal_lists_bugs!$A$2:$Z$73,26,FALSE())),"please select a BUG ID")</f>
        <v>please select a BUG ID</v>
      </c>
      <c r="C311" s="51" t="str">
        <f>IFERROR(VLOOKUP(A311,Internal_lists_bugs!$A$2:$T1058,20,FALSE()),"please select a BUG ID")</f>
        <v>please select a BUG ID</v>
      </c>
      <c r="E311" s="54"/>
      <c r="F311" s="82"/>
      <c r="G311" s="92"/>
      <c r="H311" s="54"/>
      <c r="I311" s="51" t="str">
        <f>IFERROR(VLOOKUP(A311,Internal_lists_bugs!$A$2:$G1058,7,FALSE()),"please select a BUG ID")</f>
        <v>please select a BUG ID</v>
      </c>
    </row>
    <row r="312">
      <c r="A312" s="54"/>
      <c r="B312" s="71" t="str">
        <f>IFERROR(HYPERLINK(VLOOKUP(A312,Internal_lists_bugs!$A$2:$C$73,3,FALSE()), VLOOKUP(A312,Internal_lists_bugs!$A$2:$C$73,3,FALSE())&amp;Char(10) &amp; Char(10) &amp; VLOOKUP(A312,Internal_lists_bugs!$A$2:$Z$73,26,FALSE())),"please select a BUG ID")</f>
        <v>please select a BUG ID</v>
      </c>
      <c r="C312" s="51" t="str">
        <f>IFERROR(VLOOKUP(A312,Internal_lists_bugs!$A$2:$T1058,20,FALSE()),"please select a BUG ID")</f>
        <v>please select a BUG ID</v>
      </c>
      <c r="E312" s="54"/>
      <c r="F312" s="82"/>
      <c r="G312" s="92"/>
      <c r="H312" s="54"/>
      <c r="I312" s="51" t="str">
        <f>IFERROR(VLOOKUP(A312,Internal_lists_bugs!$A$2:$G1058,7,FALSE()),"please select a BUG ID")</f>
        <v>please select a BUG ID</v>
      </c>
    </row>
    <row r="313">
      <c r="A313" s="54"/>
      <c r="B313" s="71" t="str">
        <f>IFERROR(HYPERLINK(VLOOKUP(A313,Internal_lists_bugs!$A$2:$C$73,3,FALSE()), VLOOKUP(A313,Internal_lists_bugs!$A$2:$C$73,3,FALSE())&amp;Char(10) &amp; Char(10) &amp; VLOOKUP(A313,Internal_lists_bugs!$A$2:$Z$73,26,FALSE())),"please select a BUG ID")</f>
        <v>please select a BUG ID</v>
      </c>
      <c r="C313" s="51" t="str">
        <f>IFERROR(VLOOKUP(A313,Internal_lists_bugs!$A$2:$T1058,20,FALSE()),"please select a BUG ID")</f>
        <v>please select a BUG ID</v>
      </c>
      <c r="E313" s="54"/>
      <c r="F313" s="82"/>
      <c r="G313" s="92"/>
      <c r="H313" s="54"/>
      <c r="I313" s="51" t="str">
        <f>IFERROR(VLOOKUP(A313,Internal_lists_bugs!$A$2:$G1058,7,FALSE()),"please select a BUG ID")</f>
        <v>please select a BUG ID</v>
      </c>
    </row>
    <row r="314">
      <c r="A314" s="54"/>
      <c r="B314" s="71" t="str">
        <f>IFERROR(HYPERLINK(VLOOKUP(A314,Internal_lists_bugs!$A$2:$C$73,3,FALSE()), VLOOKUP(A314,Internal_lists_bugs!$A$2:$C$73,3,FALSE())&amp;Char(10) &amp; Char(10) &amp; VLOOKUP(A314,Internal_lists_bugs!$A$2:$Z$73,26,FALSE())),"please select a BUG ID")</f>
        <v>please select a BUG ID</v>
      </c>
      <c r="C314" s="51" t="str">
        <f>IFERROR(VLOOKUP(A314,Internal_lists_bugs!$A$2:$T1058,20,FALSE()),"please select a BUG ID")</f>
        <v>please select a BUG ID</v>
      </c>
      <c r="E314" s="54"/>
      <c r="F314" s="82"/>
      <c r="G314" s="92"/>
      <c r="H314" s="54"/>
      <c r="I314" s="51" t="str">
        <f>IFERROR(VLOOKUP(A314,Internal_lists_bugs!$A$2:$G1058,7,FALSE()),"please select a BUG ID")</f>
        <v>please select a BUG ID</v>
      </c>
    </row>
    <row r="315">
      <c r="A315" s="54"/>
      <c r="B315" s="71" t="str">
        <f>IFERROR(HYPERLINK(VLOOKUP(A315,Internal_lists_bugs!$A$2:$C$73,3,FALSE()), VLOOKUP(A315,Internal_lists_bugs!$A$2:$C$73,3,FALSE())&amp;Char(10) &amp; Char(10) &amp; VLOOKUP(A315,Internal_lists_bugs!$A$2:$Z$73,26,FALSE())),"please select a BUG ID")</f>
        <v>please select a BUG ID</v>
      </c>
      <c r="C315" s="51" t="str">
        <f>IFERROR(VLOOKUP(A315,Internal_lists_bugs!$A$2:$T1058,20,FALSE()),"please select a BUG ID")</f>
        <v>please select a BUG ID</v>
      </c>
      <c r="E315" s="54"/>
      <c r="F315" s="82"/>
      <c r="G315" s="92"/>
      <c r="H315" s="54"/>
      <c r="I315" s="51" t="str">
        <f>IFERROR(VLOOKUP(A315,Internal_lists_bugs!$A$2:$G1058,7,FALSE()),"please select a BUG ID")</f>
        <v>please select a BUG ID</v>
      </c>
    </row>
    <row r="316">
      <c r="A316" s="54"/>
      <c r="B316" s="71" t="str">
        <f>IFERROR(HYPERLINK(VLOOKUP(A316,Internal_lists_bugs!$A$2:$C$73,3,FALSE()), VLOOKUP(A316,Internal_lists_bugs!$A$2:$C$73,3,FALSE())&amp;Char(10) &amp; Char(10) &amp; VLOOKUP(A316,Internal_lists_bugs!$A$2:$Z$73,26,FALSE())),"please select a BUG ID")</f>
        <v>please select a BUG ID</v>
      </c>
      <c r="C316" s="51" t="str">
        <f>IFERROR(VLOOKUP(A316,Internal_lists_bugs!$A$2:$T1058,20,FALSE()),"please select a BUG ID")</f>
        <v>please select a BUG ID</v>
      </c>
      <c r="E316" s="54"/>
      <c r="F316" s="82"/>
      <c r="G316" s="92"/>
      <c r="H316" s="54"/>
      <c r="I316" s="51" t="str">
        <f>IFERROR(VLOOKUP(A316,Internal_lists_bugs!$A$2:$G1058,7,FALSE()),"please select a BUG ID")</f>
        <v>please select a BUG ID</v>
      </c>
    </row>
    <row r="317">
      <c r="A317" s="54"/>
      <c r="B317" s="71" t="str">
        <f>IFERROR(HYPERLINK(VLOOKUP(A317,Internal_lists_bugs!$A$2:$C$73,3,FALSE()), VLOOKUP(A317,Internal_lists_bugs!$A$2:$C$73,3,FALSE())&amp;Char(10) &amp; Char(10) &amp; VLOOKUP(A317,Internal_lists_bugs!$A$2:$Z$73,26,FALSE())),"please select a BUG ID")</f>
        <v>please select a BUG ID</v>
      </c>
      <c r="C317" s="51" t="str">
        <f>IFERROR(VLOOKUP(A317,Internal_lists_bugs!$A$2:$T1058,20,FALSE()),"please select a BUG ID")</f>
        <v>please select a BUG ID</v>
      </c>
      <c r="E317" s="54"/>
      <c r="F317" s="82"/>
      <c r="G317" s="92"/>
      <c r="H317" s="54"/>
      <c r="I317" s="51" t="str">
        <f>IFERROR(VLOOKUP(A317,Internal_lists_bugs!$A$2:$G1058,7,FALSE()),"please select a BUG ID")</f>
        <v>please select a BUG ID</v>
      </c>
    </row>
    <row r="318">
      <c r="A318" s="54"/>
      <c r="B318" s="71" t="str">
        <f>IFERROR(HYPERLINK(VLOOKUP(A318,Internal_lists_bugs!$A$2:$C$73,3,FALSE()), VLOOKUP(A318,Internal_lists_bugs!$A$2:$C$73,3,FALSE())&amp;Char(10) &amp; Char(10) &amp; VLOOKUP(A318,Internal_lists_bugs!$A$2:$Z$73,26,FALSE())),"please select a BUG ID")</f>
        <v>please select a BUG ID</v>
      </c>
      <c r="C318" s="51" t="str">
        <f>IFERROR(VLOOKUP(A318,Internal_lists_bugs!$A$2:$T1058,20,FALSE()),"please select a BUG ID")</f>
        <v>please select a BUG ID</v>
      </c>
      <c r="E318" s="54"/>
      <c r="F318" s="82"/>
      <c r="G318" s="92"/>
      <c r="H318" s="54"/>
      <c r="I318" s="51" t="str">
        <f>IFERROR(VLOOKUP(A318,Internal_lists_bugs!$A$2:$G1058,7,FALSE()),"please select a BUG ID")</f>
        <v>please select a BUG ID</v>
      </c>
    </row>
    <row r="319">
      <c r="A319" s="54"/>
      <c r="B319" s="71" t="str">
        <f>IFERROR(HYPERLINK(VLOOKUP(A319,Internal_lists_bugs!$A$2:$C$73,3,FALSE()), VLOOKUP(A319,Internal_lists_bugs!$A$2:$C$73,3,FALSE())&amp;Char(10) &amp; Char(10) &amp; VLOOKUP(A319,Internal_lists_bugs!$A$2:$Z$73,26,FALSE())),"please select a BUG ID")</f>
        <v>please select a BUG ID</v>
      </c>
      <c r="C319" s="51" t="str">
        <f>IFERROR(VLOOKUP(A319,Internal_lists_bugs!$A$2:$T1058,20,FALSE()),"please select a BUG ID")</f>
        <v>please select a BUG ID</v>
      </c>
      <c r="E319" s="54"/>
      <c r="F319" s="82"/>
      <c r="G319" s="92"/>
      <c r="H319" s="54"/>
      <c r="I319" s="51" t="str">
        <f>IFERROR(VLOOKUP(A319,Internal_lists_bugs!$A$2:$G1058,7,FALSE()),"please select a BUG ID")</f>
        <v>please select a BUG ID</v>
      </c>
    </row>
    <row r="320">
      <c r="A320" s="54"/>
      <c r="B320" s="71" t="str">
        <f>IFERROR(HYPERLINK(VLOOKUP(A320,Internal_lists_bugs!$A$2:$C$73,3,FALSE()), VLOOKUP(A320,Internal_lists_bugs!$A$2:$C$73,3,FALSE())&amp;Char(10) &amp; Char(10) &amp; VLOOKUP(A320,Internal_lists_bugs!$A$2:$Z$73,26,FALSE())),"please select a BUG ID")</f>
        <v>please select a BUG ID</v>
      </c>
      <c r="C320" s="51" t="str">
        <f>IFERROR(VLOOKUP(A320,Internal_lists_bugs!$A$2:$T1058,20,FALSE()),"please select a BUG ID")</f>
        <v>please select a BUG ID</v>
      </c>
      <c r="E320" s="54"/>
      <c r="F320" s="82"/>
      <c r="G320" s="92"/>
      <c r="H320" s="54"/>
      <c r="I320" s="51" t="str">
        <f>IFERROR(VLOOKUP(A320,Internal_lists_bugs!$A$2:$G1058,7,FALSE()),"please select a BUG ID")</f>
        <v>please select a BUG ID</v>
      </c>
    </row>
    <row r="321">
      <c r="A321" s="54"/>
      <c r="B321" s="71" t="str">
        <f>IFERROR(HYPERLINK(VLOOKUP(A321,Internal_lists_bugs!$A$2:$C$73,3,FALSE()), VLOOKUP(A321,Internal_lists_bugs!$A$2:$C$73,3,FALSE())&amp;Char(10) &amp; Char(10) &amp; VLOOKUP(A321,Internal_lists_bugs!$A$2:$Z$73,26,FALSE())),"please select a BUG ID")</f>
        <v>please select a BUG ID</v>
      </c>
      <c r="C321" s="51" t="str">
        <f>IFERROR(VLOOKUP(A321,Internal_lists_bugs!$A$2:$T1058,20,FALSE()),"please select a BUG ID")</f>
        <v>please select a BUG ID</v>
      </c>
      <c r="E321" s="54"/>
      <c r="F321" s="82"/>
      <c r="G321" s="92"/>
      <c r="H321" s="54"/>
      <c r="I321" s="51" t="str">
        <f>IFERROR(VLOOKUP(A321,Internal_lists_bugs!$A$2:$G1058,7,FALSE()),"please select a BUG ID")</f>
        <v>please select a BUG ID</v>
      </c>
    </row>
    <row r="322">
      <c r="A322" s="54"/>
      <c r="B322" s="71" t="str">
        <f>IFERROR(HYPERLINK(VLOOKUP(A322,Internal_lists_bugs!$A$2:$C$73,3,FALSE()), VLOOKUP(A322,Internal_lists_bugs!$A$2:$C$73,3,FALSE())&amp;Char(10) &amp; Char(10) &amp; VLOOKUP(A322,Internal_lists_bugs!$A$2:$Z$73,26,FALSE())),"please select a BUG ID")</f>
        <v>please select a BUG ID</v>
      </c>
      <c r="C322" s="51" t="str">
        <f>IFERROR(VLOOKUP(A322,Internal_lists_bugs!$A$2:$T1058,20,FALSE()),"please select a BUG ID")</f>
        <v>please select a BUG ID</v>
      </c>
      <c r="E322" s="54"/>
      <c r="F322" s="82"/>
      <c r="G322" s="92"/>
      <c r="H322" s="54"/>
      <c r="I322" s="51" t="str">
        <f>IFERROR(VLOOKUP(A322,Internal_lists_bugs!$A$2:$G1058,7,FALSE()),"please select a BUG ID")</f>
        <v>please select a BUG ID</v>
      </c>
    </row>
    <row r="323">
      <c r="A323" s="54"/>
      <c r="B323" s="71" t="str">
        <f>IFERROR(HYPERLINK(VLOOKUP(A323,Internal_lists_bugs!$A$2:$C$73,3,FALSE()), VLOOKUP(A323,Internal_lists_bugs!$A$2:$C$73,3,FALSE())&amp;Char(10) &amp; Char(10) &amp; VLOOKUP(A323,Internal_lists_bugs!$A$2:$Z$73,26,FALSE())),"please select a BUG ID")</f>
        <v>please select a BUG ID</v>
      </c>
      <c r="C323" s="51" t="str">
        <f>IFERROR(VLOOKUP(A323,Internal_lists_bugs!$A$2:$T1058,20,FALSE()),"please select a BUG ID")</f>
        <v>please select a BUG ID</v>
      </c>
      <c r="E323" s="54"/>
      <c r="F323" s="82"/>
      <c r="G323" s="92"/>
      <c r="H323" s="54"/>
      <c r="I323" s="51" t="str">
        <f>IFERROR(VLOOKUP(A323,Internal_lists_bugs!$A$2:$G1058,7,FALSE()),"please select a BUG ID")</f>
        <v>please select a BUG ID</v>
      </c>
    </row>
    <row r="324">
      <c r="A324" s="54"/>
      <c r="B324" s="71" t="str">
        <f>IFERROR(HYPERLINK(VLOOKUP(A324,Internal_lists_bugs!$A$2:$C$73,3,FALSE()), VLOOKUP(A324,Internal_lists_bugs!$A$2:$C$73,3,FALSE())&amp;Char(10) &amp; Char(10) &amp; VLOOKUP(A324,Internal_lists_bugs!$A$2:$Z$73,26,FALSE())),"please select a BUG ID")</f>
        <v>please select a BUG ID</v>
      </c>
      <c r="C324" s="51" t="str">
        <f>IFERROR(VLOOKUP(A324,Internal_lists_bugs!$A$2:$T1058,20,FALSE()),"please select a BUG ID")</f>
        <v>please select a BUG ID</v>
      </c>
      <c r="E324" s="54"/>
      <c r="F324" s="82"/>
      <c r="G324" s="92"/>
      <c r="H324" s="54"/>
      <c r="I324" s="51" t="str">
        <f>IFERROR(VLOOKUP(A324,Internal_lists_bugs!$A$2:$G1058,7,FALSE()),"please select a BUG ID")</f>
        <v>please select a BUG ID</v>
      </c>
    </row>
    <row r="325">
      <c r="A325" s="54"/>
      <c r="B325" s="71" t="str">
        <f>IFERROR(HYPERLINK(VLOOKUP(A325,Internal_lists_bugs!$A$2:$C$73,3,FALSE()), VLOOKUP(A325,Internal_lists_bugs!$A$2:$C$73,3,FALSE())&amp;Char(10) &amp; Char(10) &amp; VLOOKUP(A325,Internal_lists_bugs!$A$2:$Z$73,26,FALSE())),"please select a BUG ID")</f>
        <v>please select a BUG ID</v>
      </c>
      <c r="C325" s="51" t="str">
        <f>IFERROR(VLOOKUP(A325,Internal_lists_bugs!$A$2:$T1058,20,FALSE()),"please select a BUG ID")</f>
        <v>please select a BUG ID</v>
      </c>
      <c r="E325" s="54"/>
      <c r="F325" s="82"/>
      <c r="G325" s="92"/>
      <c r="H325" s="54"/>
      <c r="I325" s="51" t="str">
        <f>IFERROR(VLOOKUP(A325,Internal_lists_bugs!$A$2:$G1058,7,FALSE()),"please select a BUG ID")</f>
        <v>please select a BUG ID</v>
      </c>
    </row>
    <row r="326">
      <c r="A326" s="54"/>
      <c r="B326" s="71" t="str">
        <f>IFERROR(HYPERLINK(VLOOKUP(A326,Internal_lists_bugs!$A$2:$C$73,3,FALSE()), VLOOKUP(A326,Internal_lists_bugs!$A$2:$C$73,3,FALSE())&amp;Char(10) &amp; Char(10) &amp; VLOOKUP(A326,Internal_lists_bugs!$A$2:$Z$73,26,FALSE())),"please select a BUG ID")</f>
        <v>please select a BUG ID</v>
      </c>
      <c r="C326" s="51" t="str">
        <f>IFERROR(VLOOKUP(A326,Internal_lists_bugs!$A$2:$T1058,20,FALSE()),"please select a BUG ID")</f>
        <v>please select a BUG ID</v>
      </c>
      <c r="E326" s="54"/>
      <c r="F326" s="82"/>
      <c r="G326" s="92"/>
      <c r="H326" s="54"/>
      <c r="I326" s="51" t="str">
        <f>IFERROR(VLOOKUP(A326,Internal_lists_bugs!$A$2:$G1058,7,FALSE()),"please select a BUG ID")</f>
        <v>please select a BUG ID</v>
      </c>
    </row>
    <row r="327">
      <c r="A327" s="54"/>
      <c r="B327" s="71" t="str">
        <f>IFERROR(HYPERLINK(VLOOKUP(A327,Internal_lists_bugs!$A$2:$C$73,3,FALSE()), VLOOKUP(A327,Internal_lists_bugs!$A$2:$C$73,3,FALSE())&amp;Char(10) &amp; Char(10) &amp; VLOOKUP(A327,Internal_lists_bugs!$A$2:$Z$73,26,FALSE())),"please select a BUG ID")</f>
        <v>please select a BUG ID</v>
      </c>
      <c r="C327" s="51" t="str">
        <f>IFERROR(VLOOKUP(A327,Internal_lists_bugs!$A$2:$T1058,20,FALSE()),"please select a BUG ID")</f>
        <v>please select a BUG ID</v>
      </c>
      <c r="E327" s="54"/>
      <c r="F327" s="82"/>
      <c r="G327" s="92"/>
      <c r="H327" s="54"/>
      <c r="I327" s="51" t="str">
        <f>IFERROR(VLOOKUP(A327,Internal_lists_bugs!$A$2:$G1058,7,FALSE()),"please select a BUG ID")</f>
        <v>please select a BUG ID</v>
      </c>
    </row>
    <row r="328">
      <c r="A328" s="54"/>
      <c r="B328" s="71" t="str">
        <f>IFERROR(HYPERLINK(VLOOKUP(A328,Internal_lists_bugs!$A$2:$C$73,3,FALSE()), VLOOKUP(A328,Internal_lists_bugs!$A$2:$C$73,3,FALSE())&amp;Char(10) &amp; Char(10) &amp; VLOOKUP(A328,Internal_lists_bugs!$A$2:$Z$73,26,FALSE())),"please select a BUG ID")</f>
        <v>please select a BUG ID</v>
      </c>
      <c r="C328" s="51" t="str">
        <f>IFERROR(VLOOKUP(A328,Internal_lists_bugs!$A$2:$T1058,20,FALSE()),"please select a BUG ID")</f>
        <v>please select a BUG ID</v>
      </c>
      <c r="E328" s="54"/>
      <c r="F328" s="82"/>
      <c r="G328" s="92"/>
      <c r="H328" s="54"/>
      <c r="I328" s="51" t="str">
        <f>IFERROR(VLOOKUP(A328,Internal_lists_bugs!$A$2:$G1058,7,FALSE()),"please select a BUG ID")</f>
        <v>please select a BUG ID</v>
      </c>
    </row>
    <row r="329">
      <c r="A329" s="54"/>
      <c r="B329" s="71" t="str">
        <f>IFERROR(HYPERLINK(VLOOKUP(A329,Internal_lists_bugs!$A$2:$C$73,3,FALSE()), VLOOKUP(A329,Internal_lists_bugs!$A$2:$C$73,3,FALSE())&amp;Char(10) &amp; Char(10) &amp; VLOOKUP(A329,Internal_lists_bugs!$A$2:$Z$73,26,FALSE())),"please select a BUG ID")</f>
        <v>please select a BUG ID</v>
      </c>
      <c r="C329" s="51" t="str">
        <f>IFERROR(VLOOKUP(A329,Internal_lists_bugs!$A$2:$T1058,20,FALSE()),"please select a BUG ID")</f>
        <v>please select a BUG ID</v>
      </c>
      <c r="E329" s="54"/>
      <c r="F329" s="82"/>
      <c r="G329" s="92"/>
      <c r="H329" s="54"/>
      <c r="I329" s="51" t="str">
        <f>IFERROR(VLOOKUP(A329,Internal_lists_bugs!$A$2:$G1058,7,FALSE()),"please select a BUG ID")</f>
        <v>please select a BUG ID</v>
      </c>
    </row>
    <row r="330">
      <c r="A330" s="54"/>
      <c r="B330" s="71" t="str">
        <f>IFERROR(HYPERLINK(VLOOKUP(A330,Internal_lists_bugs!$A$2:$C$73,3,FALSE()), VLOOKUP(A330,Internal_lists_bugs!$A$2:$C$73,3,FALSE())&amp;Char(10) &amp; Char(10) &amp; VLOOKUP(A330,Internal_lists_bugs!$A$2:$Z$73,26,FALSE())),"please select a BUG ID")</f>
        <v>please select a BUG ID</v>
      </c>
      <c r="C330" s="51" t="str">
        <f>IFERROR(VLOOKUP(A330,Internal_lists_bugs!$A$2:$T1058,20,FALSE()),"please select a BUG ID")</f>
        <v>please select a BUG ID</v>
      </c>
      <c r="E330" s="54"/>
      <c r="F330" s="82"/>
      <c r="G330" s="92"/>
      <c r="H330" s="54"/>
      <c r="I330" s="51" t="str">
        <f>IFERROR(VLOOKUP(A330,Internal_lists_bugs!$A$2:$G1058,7,FALSE()),"please select a BUG ID")</f>
        <v>please select a BUG ID</v>
      </c>
    </row>
    <row r="331">
      <c r="A331" s="54"/>
      <c r="B331" s="71" t="str">
        <f>IFERROR(HYPERLINK(VLOOKUP(A331,Internal_lists_bugs!$A$2:$C$73,3,FALSE()), VLOOKUP(A331,Internal_lists_bugs!$A$2:$C$73,3,FALSE())&amp;Char(10) &amp; Char(10) &amp; VLOOKUP(A331,Internal_lists_bugs!$A$2:$Z$73,26,FALSE())),"please select a BUG ID")</f>
        <v>please select a BUG ID</v>
      </c>
      <c r="C331" s="51" t="str">
        <f>IFERROR(VLOOKUP(A331,Internal_lists_bugs!$A$2:$T1058,20,FALSE()),"please select a BUG ID")</f>
        <v>please select a BUG ID</v>
      </c>
      <c r="E331" s="54"/>
      <c r="F331" s="82"/>
      <c r="G331" s="92"/>
      <c r="H331" s="54"/>
      <c r="I331" s="51" t="str">
        <f>IFERROR(VLOOKUP(A331,Internal_lists_bugs!$A$2:$G1058,7,FALSE()),"please select a BUG ID")</f>
        <v>please select a BUG ID</v>
      </c>
    </row>
    <row r="332">
      <c r="A332" s="54"/>
      <c r="B332" s="71" t="str">
        <f>IFERROR(HYPERLINK(VLOOKUP(A332,Internal_lists_bugs!$A$2:$C$73,3,FALSE()), VLOOKUP(A332,Internal_lists_bugs!$A$2:$C$73,3,FALSE())&amp;Char(10) &amp; Char(10) &amp; VLOOKUP(A332,Internal_lists_bugs!$A$2:$Z$73,26,FALSE())),"please select a BUG ID")</f>
        <v>please select a BUG ID</v>
      </c>
      <c r="C332" s="51" t="str">
        <f>IFERROR(VLOOKUP(A332,Internal_lists_bugs!$A$2:$T1058,20,FALSE()),"please select a BUG ID")</f>
        <v>please select a BUG ID</v>
      </c>
      <c r="E332" s="54"/>
      <c r="F332" s="82"/>
      <c r="G332" s="92"/>
      <c r="H332" s="54"/>
      <c r="I332" s="51" t="str">
        <f>IFERROR(VLOOKUP(A332,Internal_lists_bugs!$A$2:$G1058,7,FALSE()),"please select a BUG ID")</f>
        <v>please select a BUG ID</v>
      </c>
    </row>
    <row r="333">
      <c r="A333" s="54"/>
      <c r="B333" s="71" t="str">
        <f>IFERROR(HYPERLINK(VLOOKUP(A333,Internal_lists_bugs!$A$2:$C$73,3,FALSE()), VLOOKUP(A333,Internal_lists_bugs!$A$2:$C$73,3,FALSE())&amp;Char(10) &amp; Char(10) &amp; VLOOKUP(A333,Internal_lists_bugs!$A$2:$Z$73,26,FALSE())),"please select a BUG ID")</f>
        <v>please select a BUG ID</v>
      </c>
      <c r="C333" s="51" t="str">
        <f>IFERROR(VLOOKUP(A333,Internal_lists_bugs!$A$2:$T1058,20,FALSE()),"please select a BUG ID")</f>
        <v>please select a BUG ID</v>
      </c>
      <c r="E333" s="54"/>
      <c r="F333" s="82"/>
      <c r="G333" s="92"/>
      <c r="H333" s="54"/>
      <c r="I333" s="51" t="str">
        <f>IFERROR(VLOOKUP(A333,Internal_lists_bugs!$A$2:$G1058,7,FALSE()),"please select a BUG ID")</f>
        <v>please select a BUG ID</v>
      </c>
    </row>
    <row r="334">
      <c r="A334" s="54"/>
      <c r="B334" s="71" t="str">
        <f>IFERROR(HYPERLINK(VLOOKUP(A334,Internal_lists_bugs!$A$2:$C$73,3,FALSE()), VLOOKUP(A334,Internal_lists_bugs!$A$2:$C$73,3,FALSE())&amp;Char(10) &amp; Char(10) &amp; VLOOKUP(A334,Internal_lists_bugs!$A$2:$Z$73,26,FALSE())),"please select a BUG ID")</f>
        <v>please select a BUG ID</v>
      </c>
      <c r="C334" s="51" t="str">
        <f>IFERROR(VLOOKUP(A334,Internal_lists_bugs!$A$2:$T1058,20,FALSE()),"please select a BUG ID")</f>
        <v>please select a BUG ID</v>
      </c>
      <c r="E334" s="54"/>
      <c r="F334" s="82"/>
      <c r="G334" s="92"/>
      <c r="H334" s="54"/>
      <c r="I334" s="51" t="str">
        <f>IFERROR(VLOOKUP(A334,Internal_lists_bugs!$A$2:$G1058,7,FALSE()),"please select a BUG ID")</f>
        <v>please select a BUG ID</v>
      </c>
    </row>
    <row r="335">
      <c r="A335" s="54"/>
      <c r="B335" s="71" t="str">
        <f>IFERROR(HYPERLINK(VLOOKUP(A335,Internal_lists_bugs!$A$2:$C$73,3,FALSE()), VLOOKUP(A335,Internal_lists_bugs!$A$2:$C$73,3,FALSE())&amp;Char(10) &amp; Char(10) &amp; VLOOKUP(A335,Internal_lists_bugs!$A$2:$Z$73,26,FALSE())),"please select a BUG ID")</f>
        <v>please select a BUG ID</v>
      </c>
      <c r="C335" s="51" t="str">
        <f>IFERROR(VLOOKUP(A335,Internal_lists_bugs!$A$2:$T1058,20,FALSE()),"please select a BUG ID")</f>
        <v>please select a BUG ID</v>
      </c>
      <c r="E335" s="54"/>
      <c r="F335" s="82"/>
      <c r="G335" s="92"/>
      <c r="H335" s="54"/>
      <c r="I335" s="51" t="str">
        <f>IFERROR(VLOOKUP(A335,Internal_lists_bugs!$A$2:$G1058,7,FALSE()),"please select a BUG ID")</f>
        <v>please select a BUG ID</v>
      </c>
    </row>
    <row r="336">
      <c r="A336" s="54"/>
      <c r="B336" s="71" t="str">
        <f>IFERROR(HYPERLINK(VLOOKUP(A336,Internal_lists_bugs!$A$2:$C$73,3,FALSE()), VLOOKUP(A336,Internal_lists_bugs!$A$2:$C$73,3,FALSE())&amp;Char(10) &amp; Char(10) &amp; VLOOKUP(A336,Internal_lists_bugs!$A$2:$Z$73,26,FALSE())),"please select a BUG ID")</f>
        <v>please select a BUG ID</v>
      </c>
      <c r="C336" s="51" t="str">
        <f>IFERROR(VLOOKUP(A336,Internal_lists_bugs!$A$2:$T1058,20,FALSE()),"please select a BUG ID")</f>
        <v>please select a BUG ID</v>
      </c>
      <c r="E336" s="54"/>
      <c r="F336" s="82"/>
      <c r="G336" s="92"/>
      <c r="H336" s="54"/>
      <c r="I336" s="51" t="str">
        <f>IFERROR(VLOOKUP(A336,Internal_lists_bugs!$A$2:$G1058,7,FALSE()),"please select a BUG ID")</f>
        <v>please select a BUG ID</v>
      </c>
    </row>
    <row r="337">
      <c r="A337" s="54"/>
      <c r="B337" s="71" t="str">
        <f>IFERROR(HYPERLINK(VLOOKUP(A337,Internal_lists_bugs!$A$2:$C$73,3,FALSE()), VLOOKUP(A337,Internal_lists_bugs!$A$2:$C$73,3,FALSE())&amp;Char(10) &amp; Char(10) &amp; VLOOKUP(A337,Internal_lists_bugs!$A$2:$Z$73,26,FALSE())),"please select a BUG ID")</f>
        <v>please select a BUG ID</v>
      </c>
      <c r="C337" s="51" t="str">
        <f>IFERROR(VLOOKUP(A337,Internal_lists_bugs!$A$2:$T1058,20,FALSE()),"please select a BUG ID")</f>
        <v>please select a BUG ID</v>
      </c>
      <c r="E337" s="54"/>
      <c r="F337" s="82"/>
      <c r="G337" s="92"/>
      <c r="H337" s="54"/>
      <c r="I337" s="51" t="str">
        <f>IFERROR(VLOOKUP(A337,Internal_lists_bugs!$A$2:$G1058,7,FALSE()),"please select a BUG ID")</f>
        <v>please select a BUG ID</v>
      </c>
    </row>
    <row r="338">
      <c r="A338" s="54"/>
      <c r="B338" s="71" t="str">
        <f>IFERROR(HYPERLINK(VLOOKUP(A338,Internal_lists_bugs!$A$2:$C$73,3,FALSE()), VLOOKUP(A338,Internal_lists_bugs!$A$2:$C$73,3,FALSE())&amp;Char(10) &amp; Char(10) &amp; VLOOKUP(A338,Internal_lists_bugs!$A$2:$Z$73,26,FALSE())),"please select a BUG ID")</f>
        <v>please select a BUG ID</v>
      </c>
      <c r="C338" s="51" t="str">
        <f>IFERROR(VLOOKUP(A338,Internal_lists_bugs!$A$2:$T1058,20,FALSE()),"please select a BUG ID")</f>
        <v>please select a BUG ID</v>
      </c>
      <c r="E338" s="54"/>
      <c r="F338" s="82"/>
      <c r="G338" s="92"/>
      <c r="H338" s="54"/>
      <c r="I338" s="51" t="str">
        <f>IFERROR(VLOOKUP(A338,Internal_lists_bugs!$A$2:$G1058,7,FALSE()),"please select a BUG ID")</f>
        <v>please select a BUG ID</v>
      </c>
    </row>
    <row r="339">
      <c r="A339" s="54"/>
      <c r="B339" s="71" t="str">
        <f>IFERROR(HYPERLINK(VLOOKUP(A339,Internal_lists_bugs!$A$2:$C$73,3,FALSE()), VLOOKUP(A339,Internal_lists_bugs!$A$2:$C$73,3,FALSE())&amp;Char(10) &amp; Char(10) &amp; VLOOKUP(A339,Internal_lists_bugs!$A$2:$Z$73,26,FALSE())),"please select a BUG ID")</f>
        <v>please select a BUG ID</v>
      </c>
      <c r="C339" s="51" t="str">
        <f>IFERROR(VLOOKUP(A339,Internal_lists_bugs!$A$2:$T1058,20,FALSE()),"please select a BUG ID")</f>
        <v>please select a BUG ID</v>
      </c>
      <c r="E339" s="54"/>
      <c r="F339" s="82"/>
      <c r="G339" s="92"/>
      <c r="H339" s="54"/>
      <c r="I339" s="51" t="str">
        <f>IFERROR(VLOOKUP(A339,Internal_lists_bugs!$A$2:$G1058,7,FALSE()),"please select a BUG ID")</f>
        <v>please select a BUG ID</v>
      </c>
    </row>
    <row r="340">
      <c r="A340" s="54"/>
      <c r="B340" s="71" t="str">
        <f>IFERROR(HYPERLINK(VLOOKUP(A340,Internal_lists_bugs!$A$2:$C$73,3,FALSE()), VLOOKUP(A340,Internal_lists_bugs!$A$2:$C$73,3,FALSE())&amp;Char(10) &amp; Char(10) &amp; VLOOKUP(A340,Internal_lists_bugs!$A$2:$Z$73,26,FALSE())),"please select a BUG ID")</f>
        <v>please select a BUG ID</v>
      </c>
      <c r="C340" s="51" t="str">
        <f>IFERROR(VLOOKUP(A340,Internal_lists_bugs!$A$2:$T1058,20,FALSE()),"please select a BUG ID")</f>
        <v>please select a BUG ID</v>
      </c>
      <c r="E340" s="54"/>
      <c r="F340" s="82"/>
      <c r="G340" s="92"/>
      <c r="H340" s="54"/>
      <c r="I340" s="51" t="str">
        <f>IFERROR(VLOOKUP(A340,Internal_lists_bugs!$A$2:$G1058,7,FALSE()),"please select a BUG ID")</f>
        <v>please select a BUG ID</v>
      </c>
    </row>
    <row r="341">
      <c r="A341" s="54"/>
      <c r="B341" s="71" t="str">
        <f>IFERROR(HYPERLINK(VLOOKUP(A341,Internal_lists_bugs!$A$2:$C$73,3,FALSE()), VLOOKUP(A341,Internal_lists_bugs!$A$2:$C$73,3,FALSE())&amp;Char(10) &amp; Char(10) &amp; VLOOKUP(A341,Internal_lists_bugs!$A$2:$Z$73,26,FALSE())),"please select a BUG ID")</f>
        <v>please select a BUG ID</v>
      </c>
      <c r="C341" s="51" t="str">
        <f>IFERROR(VLOOKUP(A341,Internal_lists_bugs!$A$2:$T1058,20,FALSE()),"please select a BUG ID")</f>
        <v>please select a BUG ID</v>
      </c>
      <c r="E341" s="54"/>
      <c r="F341" s="82"/>
      <c r="G341" s="92"/>
      <c r="H341" s="54"/>
      <c r="I341" s="51" t="str">
        <f>IFERROR(VLOOKUP(A341,Internal_lists_bugs!$A$2:$G1058,7,FALSE()),"please select a BUG ID")</f>
        <v>please select a BUG ID</v>
      </c>
    </row>
    <row r="342">
      <c r="A342" s="54"/>
      <c r="B342" s="71" t="str">
        <f>IFERROR(HYPERLINK(VLOOKUP(A342,Internal_lists_bugs!$A$2:$C$73,3,FALSE()), VLOOKUP(A342,Internal_lists_bugs!$A$2:$C$73,3,FALSE())&amp;Char(10) &amp; Char(10) &amp; VLOOKUP(A342,Internal_lists_bugs!$A$2:$Z$73,26,FALSE())),"please select a BUG ID")</f>
        <v>please select a BUG ID</v>
      </c>
      <c r="C342" s="51" t="str">
        <f>IFERROR(VLOOKUP(A342,Internal_lists_bugs!$A$2:$T1058,20,FALSE()),"please select a BUG ID")</f>
        <v>please select a BUG ID</v>
      </c>
      <c r="E342" s="54"/>
      <c r="F342" s="82"/>
      <c r="G342" s="92"/>
      <c r="H342" s="54"/>
      <c r="I342" s="51" t="str">
        <f>IFERROR(VLOOKUP(A342,Internal_lists_bugs!$A$2:$G1058,7,FALSE()),"please select a BUG ID")</f>
        <v>please select a BUG ID</v>
      </c>
    </row>
    <row r="343">
      <c r="A343" s="54"/>
      <c r="B343" s="71" t="str">
        <f>IFERROR(HYPERLINK(VLOOKUP(A343,Internal_lists_bugs!$A$2:$C$73,3,FALSE()), VLOOKUP(A343,Internal_lists_bugs!$A$2:$C$73,3,FALSE())&amp;Char(10) &amp; Char(10) &amp; VLOOKUP(A343,Internal_lists_bugs!$A$2:$Z$73,26,FALSE())),"please select a BUG ID")</f>
        <v>please select a BUG ID</v>
      </c>
      <c r="C343" s="51" t="str">
        <f>IFERROR(VLOOKUP(A343,Internal_lists_bugs!$A$2:$T1058,20,FALSE()),"please select a BUG ID")</f>
        <v>please select a BUG ID</v>
      </c>
      <c r="E343" s="54"/>
      <c r="F343" s="82"/>
      <c r="G343" s="92"/>
      <c r="H343" s="54"/>
      <c r="I343" s="51" t="str">
        <f>IFERROR(VLOOKUP(A343,Internal_lists_bugs!$A$2:$G1058,7,FALSE()),"please select a BUG ID")</f>
        <v>please select a BUG ID</v>
      </c>
    </row>
    <row r="344">
      <c r="A344" s="54"/>
      <c r="B344" s="71" t="str">
        <f>IFERROR(HYPERLINK(VLOOKUP(A344,Internal_lists_bugs!$A$2:$C$73,3,FALSE()), VLOOKUP(A344,Internal_lists_bugs!$A$2:$C$73,3,FALSE())&amp;Char(10) &amp; Char(10) &amp; VLOOKUP(A344,Internal_lists_bugs!$A$2:$Z$73,26,FALSE())),"please select a BUG ID")</f>
        <v>please select a BUG ID</v>
      </c>
      <c r="C344" s="51" t="str">
        <f>IFERROR(VLOOKUP(A344,Internal_lists_bugs!$A$2:$T1058,20,FALSE()),"please select a BUG ID")</f>
        <v>please select a BUG ID</v>
      </c>
      <c r="E344" s="54"/>
      <c r="F344" s="82"/>
      <c r="G344" s="92"/>
      <c r="H344" s="54"/>
      <c r="I344" s="51" t="str">
        <f>IFERROR(VLOOKUP(A344,Internal_lists_bugs!$A$2:$G1058,7,FALSE()),"please select a BUG ID")</f>
        <v>please select a BUG ID</v>
      </c>
    </row>
    <row r="345">
      <c r="A345" s="54"/>
      <c r="B345" s="71" t="str">
        <f>IFERROR(HYPERLINK(VLOOKUP(A345,Internal_lists_bugs!$A$2:$C$73,3,FALSE()), VLOOKUP(A345,Internal_lists_bugs!$A$2:$C$73,3,FALSE())&amp;Char(10) &amp; Char(10) &amp; VLOOKUP(A345,Internal_lists_bugs!$A$2:$Z$73,26,FALSE())),"please select a BUG ID")</f>
        <v>please select a BUG ID</v>
      </c>
      <c r="C345" s="51" t="str">
        <f>IFERROR(VLOOKUP(A345,Internal_lists_bugs!$A$2:$T1058,20,FALSE()),"please select a BUG ID")</f>
        <v>please select a BUG ID</v>
      </c>
      <c r="E345" s="54"/>
      <c r="F345" s="82"/>
      <c r="G345" s="92"/>
      <c r="H345" s="54"/>
      <c r="I345" s="51" t="str">
        <f>IFERROR(VLOOKUP(A345,Internal_lists_bugs!$A$2:$G1058,7,FALSE()),"please select a BUG ID")</f>
        <v>please select a BUG ID</v>
      </c>
    </row>
    <row r="346">
      <c r="A346" s="54"/>
      <c r="B346" s="71" t="str">
        <f>IFERROR(HYPERLINK(VLOOKUP(A346,Internal_lists_bugs!$A$2:$C$73,3,FALSE()), VLOOKUP(A346,Internal_lists_bugs!$A$2:$C$73,3,FALSE())&amp;Char(10) &amp; Char(10) &amp; VLOOKUP(A346,Internal_lists_bugs!$A$2:$Z$73,26,FALSE())),"please select a BUG ID")</f>
        <v>please select a BUG ID</v>
      </c>
      <c r="C346" s="51" t="str">
        <f>IFERROR(VLOOKUP(A346,Internal_lists_bugs!$A$2:$T1058,20,FALSE()),"please select a BUG ID")</f>
        <v>please select a BUG ID</v>
      </c>
      <c r="E346" s="54"/>
      <c r="F346" s="82"/>
      <c r="G346" s="92"/>
      <c r="H346" s="54"/>
      <c r="I346" s="51" t="str">
        <f>IFERROR(VLOOKUP(A346,Internal_lists_bugs!$A$2:$G1058,7,FALSE()),"please select a BUG ID")</f>
        <v>please select a BUG ID</v>
      </c>
    </row>
    <row r="347">
      <c r="A347" s="54"/>
      <c r="B347" s="71" t="str">
        <f>IFERROR(HYPERLINK(VLOOKUP(A347,Internal_lists_bugs!$A$2:$C$73,3,FALSE()), VLOOKUP(A347,Internal_lists_bugs!$A$2:$C$73,3,FALSE())&amp;Char(10) &amp; Char(10) &amp; VLOOKUP(A347,Internal_lists_bugs!$A$2:$Z$73,26,FALSE())),"please select a BUG ID")</f>
        <v>please select a BUG ID</v>
      </c>
      <c r="C347" s="51" t="str">
        <f>IFERROR(VLOOKUP(A347,Internal_lists_bugs!$A$2:$T1058,20,FALSE()),"please select a BUG ID")</f>
        <v>please select a BUG ID</v>
      </c>
      <c r="E347" s="54"/>
      <c r="F347" s="82"/>
      <c r="G347" s="92"/>
      <c r="H347" s="54"/>
      <c r="I347" s="51" t="str">
        <f>IFERROR(VLOOKUP(A347,Internal_lists_bugs!$A$2:$G1058,7,FALSE()),"please select a BUG ID")</f>
        <v>please select a BUG ID</v>
      </c>
    </row>
    <row r="348">
      <c r="A348" s="54"/>
      <c r="B348" s="71" t="str">
        <f>IFERROR(HYPERLINK(VLOOKUP(A348,Internal_lists_bugs!$A$2:$C$73,3,FALSE()), VLOOKUP(A348,Internal_lists_bugs!$A$2:$C$73,3,FALSE())&amp;Char(10) &amp; Char(10) &amp; VLOOKUP(A348,Internal_lists_bugs!$A$2:$Z$73,26,FALSE())),"please select a BUG ID")</f>
        <v>please select a BUG ID</v>
      </c>
      <c r="C348" s="51" t="str">
        <f>IFERROR(VLOOKUP(A348,Internal_lists_bugs!$A$2:$T1058,20,FALSE()),"please select a BUG ID")</f>
        <v>please select a BUG ID</v>
      </c>
      <c r="E348" s="54"/>
      <c r="F348" s="82"/>
      <c r="G348" s="92"/>
      <c r="H348" s="54"/>
      <c r="I348" s="51" t="str">
        <f>IFERROR(VLOOKUP(A348,Internal_lists_bugs!$A$2:$G1058,7,FALSE()),"please select a BUG ID")</f>
        <v>please select a BUG ID</v>
      </c>
    </row>
    <row r="349">
      <c r="A349" s="54"/>
      <c r="B349" s="71" t="str">
        <f>IFERROR(HYPERLINK(VLOOKUP(A349,Internal_lists_bugs!$A$2:$C$73,3,FALSE()), VLOOKUP(A349,Internal_lists_bugs!$A$2:$C$73,3,FALSE())&amp;Char(10) &amp; Char(10) &amp; VLOOKUP(A349,Internal_lists_bugs!$A$2:$Z$73,26,FALSE())),"please select a BUG ID")</f>
        <v>please select a BUG ID</v>
      </c>
      <c r="C349" s="51" t="str">
        <f>IFERROR(VLOOKUP(A349,Internal_lists_bugs!$A$2:$T1058,20,FALSE()),"please select a BUG ID")</f>
        <v>please select a BUG ID</v>
      </c>
      <c r="E349" s="54"/>
      <c r="F349" s="82"/>
      <c r="G349" s="92"/>
      <c r="H349" s="54"/>
      <c r="I349" s="51" t="str">
        <f>IFERROR(VLOOKUP(A349,Internal_lists_bugs!$A$2:$G1058,7,FALSE()),"please select a BUG ID")</f>
        <v>please select a BUG ID</v>
      </c>
    </row>
    <row r="350">
      <c r="A350" s="54"/>
      <c r="B350" s="71" t="str">
        <f>IFERROR(HYPERLINK(VLOOKUP(A350,Internal_lists_bugs!$A$2:$C$73,3,FALSE()), VLOOKUP(A350,Internal_lists_bugs!$A$2:$C$73,3,FALSE())&amp;Char(10) &amp; Char(10) &amp; VLOOKUP(A350,Internal_lists_bugs!$A$2:$Z$73,26,FALSE())),"please select a BUG ID")</f>
        <v>please select a BUG ID</v>
      </c>
      <c r="C350" s="51" t="str">
        <f>IFERROR(VLOOKUP(A350,Internal_lists_bugs!$A$2:$T1058,20,FALSE()),"please select a BUG ID")</f>
        <v>please select a BUG ID</v>
      </c>
      <c r="E350" s="54"/>
      <c r="F350" s="82"/>
      <c r="G350" s="92"/>
      <c r="H350" s="54"/>
      <c r="I350" s="51" t="str">
        <f>IFERROR(VLOOKUP(A350,Internal_lists_bugs!$A$2:$G1058,7,FALSE()),"please select a BUG ID")</f>
        <v>please select a BUG ID</v>
      </c>
    </row>
    <row r="351">
      <c r="A351" s="54"/>
      <c r="B351" s="71" t="str">
        <f>IFERROR(HYPERLINK(VLOOKUP(A351,Internal_lists_bugs!$A$2:$C$73,3,FALSE()), VLOOKUP(A351,Internal_lists_bugs!$A$2:$C$73,3,FALSE())&amp;Char(10) &amp; Char(10) &amp; VLOOKUP(A351,Internal_lists_bugs!$A$2:$Z$73,26,FALSE())),"please select a BUG ID")</f>
        <v>please select a BUG ID</v>
      </c>
      <c r="C351" s="51" t="str">
        <f>IFERROR(VLOOKUP(A351,Internal_lists_bugs!$A$2:$T1058,20,FALSE()),"please select a BUG ID")</f>
        <v>please select a BUG ID</v>
      </c>
      <c r="E351" s="54"/>
      <c r="F351" s="82"/>
      <c r="G351" s="92"/>
      <c r="H351" s="54"/>
      <c r="I351" s="51" t="str">
        <f>IFERROR(VLOOKUP(A351,Internal_lists_bugs!$A$2:$G1058,7,FALSE()),"please select a BUG ID")</f>
        <v>please select a BUG ID</v>
      </c>
    </row>
    <row r="352">
      <c r="A352" s="54"/>
      <c r="B352" s="71" t="str">
        <f>IFERROR(HYPERLINK(VLOOKUP(A352,Internal_lists_bugs!$A$2:$C$73,3,FALSE()), VLOOKUP(A352,Internal_lists_bugs!$A$2:$C$73,3,FALSE())&amp;Char(10) &amp; Char(10) &amp; VLOOKUP(A352,Internal_lists_bugs!$A$2:$Z$73,26,FALSE())),"please select a BUG ID")</f>
        <v>please select a BUG ID</v>
      </c>
      <c r="C352" s="51" t="str">
        <f>IFERROR(VLOOKUP(A352,Internal_lists_bugs!$A$2:$T1058,20,FALSE()),"please select a BUG ID")</f>
        <v>please select a BUG ID</v>
      </c>
      <c r="E352" s="54"/>
      <c r="F352" s="82"/>
      <c r="G352" s="92"/>
      <c r="H352" s="54"/>
      <c r="I352" s="51" t="str">
        <f>IFERROR(VLOOKUP(A352,Internal_lists_bugs!$A$2:$G1058,7,FALSE()),"please select a BUG ID")</f>
        <v>please select a BUG ID</v>
      </c>
    </row>
    <row r="353">
      <c r="A353" s="54"/>
      <c r="B353" s="71" t="str">
        <f>IFERROR(HYPERLINK(VLOOKUP(A353,Internal_lists_bugs!$A$2:$C$73,3,FALSE()), VLOOKUP(A353,Internal_lists_bugs!$A$2:$C$73,3,FALSE())&amp;Char(10) &amp; Char(10) &amp; VLOOKUP(A353,Internal_lists_bugs!$A$2:$Z$73,26,FALSE())),"please select a BUG ID")</f>
        <v>please select a BUG ID</v>
      </c>
      <c r="C353" s="51" t="str">
        <f>IFERROR(VLOOKUP(A353,Internal_lists_bugs!$A$2:$T1058,20,FALSE()),"please select a BUG ID")</f>
        <v>please select a BUG ID</v>
      </c>
      <c r="E353" s="54"/>
      <c r="F353" s="82"/>
      <c r="G353" s="92"/>
      <c r="H353" s="54"/>
      <c r="I353" s="51" t="str">
        <f>IFERROR(VLOOKUP(A353,Internal_lists_bugs!$A$2:$G1058,7,FALSE()),"please select a BUG ID")</f>
        <v>please select a BUG ID</v>
      </c>
    </row>
    <row r="354">
      <c r="A354" s="54"/>
      <c r="B354" s="71" t="str">
        <f>IFERROR(HYPERLINK(VLOOKUP(A354,Internal_lists_bugs!$A$2:$C$73,3,FALSE()), VLOOKUP(A354,Internal_lists_bugs!$A$2:$C$73,3,FALSE())&amp;Char(10) &amp; Char(10) &amp; VLOOKUP(A354,Internal_lists_bugs!$A$2:$Z$73,26,FALSE())),"please select a BUG ID")</f>
        <v>please select a BUG ID</v>
      </c>
      <c r="C354" s="51" t="str">
        <f>IFERROR(VLOOKUP(A354,Internal_lists_bugs!$A$2:$T1058,20,FALSE()),"please select a BUG ID")</f>
        <v>please select a BUG ID</v>
      </c>
      <c r="E354" s="54"/>
      <c r="F354" s="82"/>
      <c r="G354" s="92"/>
      <c r="H354" s="54"/>
      <c r="I354" s="51" t="str">
        <f>IFERROR(VLOOKUP(A354,Internal_lists_bugs!$A$2:$G1058,7,FALSE()),"please select a BUG ID")</f>
        <v>please select a BUG ID</v>
      </c>
    </row>
    <row r="355">
      <c r="A355" s="54"/>
      <c r="B355" s="71" t="str">
        <f>IFERROR(HYPERLINK(VLOOKUP(A355,Internal_lists_bugs!$A$2:$C$73,3,FALSE()), VLOOKUP(A355,Internal_lists_bugs!$A$2:$C$73,3,FALSE())&amp;Char(10) &amp; Char(10) &amp; VLOOKUP(A355,Internal_lists_bugs!$A$2:$Z$73,26,FALSE())),"please select a BUG ID")</f>
        <v>please select a BUG ID</v>
      </c>
      <c r="C355" s="51" t="str">
        <f>IFERROR(VLOOKUP(A355,Internal_lists_bugs!$A$2:$T1058,20,FALSE()),"please select a BUG ID")</f>
        <v>please select a BUG ID</v>
      </c>
      <c r="E355" s="54"/>
      <c r="F355" s="82"/>
      <c r="G355" s="92"/>
      <c r="H355" s="54"/>
      <c r="I355" s="51" t="str">
        <f>IFERROR(VLOOKUP(A355,Internal_lists_bugs!$A$2:$G1058,7,FALSE()),"please select a BUG ID")</f>
        <v>please select a BUG ID</v>
      </c>
    </row>
    <row r="356">
      <c r="A356" s="54"/>
      <c r="B356" s="71" t="str">
        <f>IFERROR(HYPERLINK(VLOOKUP(A356,Internal_lists_bugs!$A$2:$C$73,3,FALSE()), VLOOKUP(A356,Internal_lists_bugs!$A$2:$C$73,3,FALSE())&amp;Char(10) &amp; Char(10) &amp; VLOOKUP(A356,Internal_lists_bugs!$A$2:$Z$73,26,FALSE())),"please select a BUG ID")</f>
        <v>please select a BUG ID</v>
      </c>
      <c r="C356" s="51" t="str">
        <f>IFERROR(VLOOKUP(A356,Internal_lists_bugs!$A$2:$T1058,20,FALSE()),"please select a BUG ID")</f>
        <v>please select a BUG ID</v>
      </c>
      <c r="E356" s="54"/>
      <c r="F356" s="82"/>
      <c r="G356" s="92"/>
      <c r="H356" s="54"/>
      <c r="I356" s="51" t="str">
        <f>IFERROR(VLOOKUP(A356,Internal_lists_bugs!$A$2:$G1058,7,FALSE()),"please select a BUG ID")</f>
        <v>please select a BUG ID</v>
      </c>
    </row>
    <row r="357">
      <c r="A357" s="54"/>
      <c r="B357" s="71" t="str">
        <f>IFERROR(HYPERLINK(VLOOKUP(A357,Internal_lists_bugs!$A$2:$C$73,3,FALSE()), VLOOKUP(A357,Internal_lists_bugs!$A$2:$C$73,3,FALSE())&amp;Char(10) &amp; Char(10) &amp; VLOOKUP(A357,Internal_lists_bugs!$A$2:$Z$73,26,FALSE())),"please select a BUG ID")</f>
        <v>please select a BUG ID</v>
      </c>
      <c r="C357" s="51" t="str">
        <f>IFERROR(VLOOKUP(A357,Internal_lists_bugs!$A$2:$T1058,20,FALSE()),"please select a BUG ID")</f>
        <v>please select a BUG ID</v>
      </c>
      <c r="E357" s="54"/>
      <c r="F357" s="82"/>
      <c r="G357" s="92"/>
      <c r="H357" s="54"/>
      <c r="I357" s="51" t="str">
        <f>IFERROR(VLOOKUP(A357,Internal_lists_bugs!$A$2:$G1058,7,FALSE()),"please select a BUG ID")</f>
        <v>please select a BUG ID</v>
      </c>
    </row>
    <row r="358">
      <c r="A358" s="54"/>
      <c r="B358" s="71" t="str">
        <f>IFERROR(HYPERLINK(VLOOKUP(A358,Internal_lists_bugs!$A$2:$C$73,3,FALSE()), VLOOKUP(A358,Internal_lists_bugs!$A$2:$C$73,3,FALSE())&amp;Char(10) &amp; Char(10) &amp; VLOOKUP(A358,Internal_lists_bugs!$A$2:$Z$73,26,FALSE())),"please select a BUG ID")</f>
        <v>please select a BUG ID</v>
      </c>
      <c r="C358" s="51" t="str">
        <f>IFERROR(VLOOKUP(A358,Internal_lists_bugs!$A$2:$T1058,20,FALSE()),"please select a BUG ID")</f>
        <v>please select a BUG ID</v>
      </c>
      <c r="E358" s="54"/>
      <c r="F358" s="82"/>
      <c r="G358" s="92"/>
      <c r="H358" s="54"/>
      <c r="I358" s="51" t="str">
        <f>IFERROR(VLOOKUP(A358,Internal_lists_bugs!$A$2:$G1058,7,FALSE()),"please select a BUG ID")</f>
        <v>please select a BUG ID</v>
      </c>
    </row>
    <row r="359">
      <c r="A359" s="54"/>
      <c r="B359" s="71" t="str">
        <f>IFERROR(HYPERLINK(VLOOKUP(A359,Internal_lists_bugs!$A$2:$C$73,3,FALSE()), VLOOKUP(A359,Internal_lists_bugs!$A$2:$C$73,3,FALSE())&amp;Char(10) &amp; Char(10) &amp; VLOOKUP(A359,Internal_lists_bugs!$A$2:$Z$73,26,FALSE())),"please select a BUG ID")</f>
        <v>please select a BUG ID</v>
      </c>
      <c r="C359" s="51" t="str">
        <f>IFERROR(VLOOKUP(A359,Internal_lists_bugs!$A$2:$T1058,20,FALSE()),"please select a BUG ID")</f>
        <v>please select a BUG ID</v>
      </c>
      <c r="E359" s="54"/>
      <c r="F359" s="82"/>
      <c r="G359" s="92"/>
      <c r="H359" s="54"/>
      <c r="I359" s="51" t="str">
        <f>IFERROR(VLOOKUP(A359,Internal_lists_bugs!$A$2:$G1058,7,FALSE()),"please select a BUG ID")</f>
        <v>please select a BUG ID</v>
      </c>
    </row>
    <row r="360">
      <c r="A360" s="54"/>
      <c r="B360" s="71" t="str">
        <f>IFERROR(HYPERLINK(VLOOKUP(A360,Internal_lists_bugs!$A$2:$C$73,3,FALSE()), VLOOKUP(A360,Internal_lists_bugs!$A$2:$C$73,3,FALSE())&amp;Char(10) &amp; Char(10) &amp; VLOOKUP(A360,Internal_lists_bugs!$A$2:$Z$73,26,FALSE())),"please select a BUG ID")</f>
        <v>please select a BUG ID</v>
      </c>
      <c r="C360" s="51" t="str">
        <f>IFERROR(VLOOKUP(A360,Internal_lists_bugs!$A$2:$T1058,20,FALSE()),"please select a BUG ID")</f>
        <v>please select a BUG ID</v>
      </c>
      <c r="E360" s="54"/>
      <c r="F360" s="82"/>
      <c r="G360" s="92"/>
      <c r="H360" s="54"/>
      <c r="I360" s="51" t="str">
        <f>IFERROR(VLOOKUP(A360,Internal_lists_bugs!$A$2:$G1058,7,FALSE()),"please select a BUG ID")</f>
        <v>please select a BUG ID</v>
      </c>
    </row>
    <row r="361">
      <c r="A361" s="54"/>
      <c r="B361" s="71" t="str">
        <f>IFERROR(HYPERLINK(VLOOKUP(A361,Internal_lists_bugs!$A$2:$C$73,3,FALSE()), VLOOKUP(A361,Internal_lists_bugs!$A$2:$C$73,3,FALSE())&amp;Char(10) &amp; Char(10) &amp; VLOOKUP(A361,Internal_lists_bugs!$A$2:$Z$73,26,FALSE())),"please select a BUG ID")</f>
        <v>please select a BUG ID</v>
      </c>
      <c r="C361" s="51" t="str">
        <f>IFERROR(VLOOKUP(A361,Internal_lists_bugs!$A$2:$T1058,20,FALSE()),"please select a BUG ID")</f>
        <v>please select a BUG ID</v>
      </c>
      <c r="E361" s="54"/>
      <c r="F361" s="82"/>
      <c r="G361" s="92"/>
      <c r="H361" s="54"/>
      <c r="I361" s="51" t="str">
        <f>IFERROR(VLOOKUP(A361,Internal_lists_bugs!$A$2:$G1058,7,FALSE()),"please select a BUG ID")</f>
        <v>please select a BUG ID</v>
      </c>
    </row>
    <row r="362">
      <c r="A362" s="54"/>
      <c r="B362" s="71" t="str">
        <f>IFERROR(HYPERLINK(VLOOKUP(A362,Internal_lists_bugs!$A$2:$C$73,3,FALSE()), VLOOKUP(A362,Internal_lists_bugs!$A$2:$C$73,3,FALSE())&amp;Char(10) &amp; Char(10) &amp; VLOOKUP(A362,Internal_lists_bugs!$A$2:$Z$73,26,FALSE())),"please select a BUG ID")</f>
        <v>please select a BUG ID</v>
      </c>
      <c r="C362" s="51" t="str">
        <f>IFERROR(VLOOKUP(A362,Internal_lists_bugs!$A$2:$T1058,20,FALSE()),"please select a BUG ID")</f>
        <v>please select a BUG ID</v>
      </c>
      <c r="E362" s="54"/>
      <c r="F362" s="82"/>
      <c r="G362" s="92"/>
      <c r="H362" s="54"/>
      <c r="I362" s="51" t="str">
        <f>IFERROR(VLOOKUP(A362,Internal_lists_bugs!$A$2:$G1058,7,FALSE()),"please select a BUG ID")</f>
        <v>please select a BUG ID</v>
      </c>
    </row>
    <row r="363">
      <c r="A363" s="54"/>
      <c r="B363" s="71" t="str">
        <f>IFERROR(HYPERLINK(VLOOKUP(A363,Internal_lists_bugs!$A$2:$C$73,3,FALSE()), VLOOKUP(A363,Internal_lists_bugs!$A$2:$C$73,3,FALSE())&amp;Char(10) &amp; Char(10) &amp; VLOOKUP(A363,Internal_lists_bugs!$A$2:$Z$73,26,FALSE())),"please select a BUG ID")</f>
        <v>please select a BUG ID</v>
      </c>
      <c r="C363" s="51" t="str">
        <f>IFERROR(VLOOKUP(A363,Internal_lists_bugs!$A$2:$T1058,20,FALSE()),"please select a BUG ID")</f>
        <v>please select a BUG ID</v>
      </c>
      <c r="E363" s="54"/>
      <c r="F363" s="82"/>
      <c r="G363" s="92"/>
      <c r="H363" s="54"/>
      <c r="I363" s="51" t="str">
        <f>IFERROR(VLOOKUP(A363,Internal_lists_bugs!$A$2:$G1058,7,FALSE()),"please select a BUG ID")</f>
        <v>please select a BUG ID</v>
      </c>
    </row>
    <row r="364">
      <c r="A364" s="54"/>
      <c r="B364" s="71" t="str">
        <f>IFERROR(HYPERLINK(VLOOKUP(A364,Internal_lists_bugs!$A$2:$C$73,3,FALSE()), VLOOKUP(A364,Internal_lists_bugs!$A$2:$C$73,3,FALSE())&amp;Char(10) &amp; Char(10) &amp; VLOOKUP(A364,Internal_lists_bugs!$A$2:$Z$73,26,FALSE())),"please select a BUG ID")</f>
        <v>please select a BUG ID</v>
      </c>
      <c r="C364" s="51" t="str">
        <f>IFERROR(VLOOKUP(A364,Internal_lists_bugs!$A$2:$T1058,20,FALSE()),"please select a BUG ID")</f>
        <v>please select a BUG ID</v>
      </c>
      <c r="E364" s="54"/>
      <c r="F364" s="82"/>
      <c r="G364" s="92"/>
      <c r="H364" s="54"/>
      <c r="I364" s="51" t="str">
        <f>IFERROR(VLOOKUP(A364,Internal_lists_bugs!$A$2:$G1058,7,FALSE()),"please select a BUG ID")</f>
        <v>please select a BUG ID</v>
      </c>
    </row>
    <row r="365">
      <c r="A365" s="54"/>
      <c r="B365" s="71" t="str">
        <f>IFERROR(HYPERLINK(VLOOKUP(A365,Internal_lists_bugs!$A$2:$C$73,3,FALSE()), VLOOKUP(A365,Internal_lists_bugs!$A$2:$C$73,3,FALSE())&amp;Char(10) &amp; Char(10) &amp; VLOOKUP(A365,Internal_lists_bugs!$A$2:$Z$73,26,FALSE())),"please select a BUG ID")</f>
        <v>please select a BUG ID</v>
      </c>
      <c r="C365" s="51" t="str">
        <f>IFERROR(VLOOKUP(A365,Internal_lists_bugs!$A$2:$T1058,20,FALSE()),"please select a BUG ID")</f>
        <v>please select a BUG ID</v>
      </c>
      <c r="E365" s="54"/>
      <c r="F365" s="82"/>
      <c r="G365" s="92"/>
      <c r="H365" s="54"/>
      <c r="I365" s="51" t="str">
        <f>IFERROR(VLOOKUP(A365,Internal_lists_bugs!$A$2:$G1058,7,FALSE()),"please select a BUG ID")</f>
        <v>please select a BUG ID</v>
      </c>
    </row>
    <row r="366">
      <c r="A366" s="54"/>
      <c r="B366" s="71" t="str">
        <f>IFERROR(HYPERLINK(VLOOKUP(A366,Internal_lists_bugs!$A$2:$C$73,3,FALSE()), VLOOKUP(A366,Internal_lists_bugs!$A$2:$C$73,3,FALSE())&amp;Char(10) &amp; Char(10) &amp; VLOOKUP(A366,Internal_lists_bugs!$A$2:$Z$73,26,FALSE())),"please select a BUG ID")</f>
        <v>please select a BUG ID</v>
      </c>
      <c r="C366" s="51" t="str">
        <f>IFERROR(VLOOKUP(A366,Internal_lists_bugs!$A$2:$T1058,20,FALSE()),"please select a BUG ID")</f>
        <v>please select a BUG ID</v>
      </c>
      <c r="E366" s="54"/>
      <c r="F366" s="82"/>
      <c r="G366" s="92"/>
      <c r="H366" s="54"/>
      <c r="I366" s="51" t="str">
        <f>IFERROR(VLOOKUP(A366,Internal_lists_bugs!$A$2:$G1058,7,FALSE()),"please select a BUG ID")</f>
        <v>please select a BUG ID</v>
      </c>
    </row>
    <row r="367">
      <c r="A367" s="54"/>
      <c r="B367" s="71" t="str">
        <f>IFERROR(HYPERLINK(VLOOKUP(A367,Internal_lists_bugs!$A$2:$C$73,3,FALSE()), VLOOKUP(A367,Internal_lists_bugs!$A$2:$C$73,3,FALSE())&amp;Char(10) &amp; Char(10) &amp; VLOOKUP(A367,Internal_lists_bugs!$A$2:$Z$73,26,FALSE())),"please select a BUG ID")</f>
        <v>please select a BUG ID</v>
      </c>
      <c r="C367" s="51" t="str">
        <f>IFERROR(VLOOKUP(A367,Internal_lists_bugs!$A$2:$T1058,20,FALSE()),"please select a BUG ID")</f>
        <v>please select a BUG ID</v>
      </c>
      <c r="E367" s="54"/>
      <c r="F367" s="82"/>
      <c r="G367" s="92"/>
      <c r="H367" s="54"/>
      <c r="I367" s="51" t="str">
        <f>IFERROR(VLOOKUP(A367,Internal_lists_bugs!$A$2:$G1058,7,FALSE()),"please select a BUG ID")</f>
        <v>please select a BUG ID</v>
      </c>
    </row>
    <row r="368">
      <c r="A368" s="54"/>
      <c r="B368" s="71" t="str">
        <f>IFERROR(HYPERLINK(VLOOKUP(A368,Internal_lists_bugs!$A$2:$C$73,3,FALSE()), VLOOKUP(A368,Internal_lists_bugs!$A$2:$C$73,3,FALSE())&amp;Char(10) &amp; Char(10) &amp; VLOOKUP(A368,Internal_lists_bugs!$A$2:$Z$73,26,FALSE())),"please select a BUG ID")</f>
        <v>please select a BUG ID</v>
      </c>
      <c r="C368" s="51" t="str">
        <f>IFERROR(VLOOKUP(A368,Internal_lists_bugs!$A$2:$T1058,20,FALSE()),"please select a BUG ID")</f>
        <v>please select a BUG ID</v>
      </c>
      <c r="E368" s="54"/>
      <c r="F368" s="82"/>
      <c r="G368" s="92"/>
      <c r="H368" s="54"/>
      <c r="I368" s="51" t="str">
        <f>IFERROR(VLOOKUP(A368,Internal_lists_bugs!$A$2:$G1058,7,FALSE()),"please select a BUG ID")</f>
        <v>please select a BUG ID</v>
      </c>
    </row>
    <row r="369">
      <c r="A369" s="54"/>
      <c r="B369" s="71" t="str">
        <f>IFERROR(HYPERLINK(VLOOKUP(A369,Internal_lists_bugs!$A$2:$C$73,3,FALSE()), VLOOKUP(A369,Internal_lists_bugs!$A$2:$C$73,3,FALSE())&amp;Char(10) &amp; Char(10) &amp; VLOOKUP(A369,Internal_lists_bugs!$A$2:$Z$73,26,FALSE())),"please select a BUG ID")</f>
        <v>please select a BUG ID</v>
      </c>
      <c r="C369" s="51" t="str">
        <f>IFERROR(VLOOKUP(A369,Internal_lists_bugs!$A$2:$T1058,20,FALSE()),"please select a BUG ID")</f>
        <v>please select a BUG ID</v>
      </c>
      <c r="E369" s="54"/>
      <c r="F369" s="82"/>
      <c r="G369" s="92"/>
      <c r="H369" s="54"/>
      <c r="I369" s="51" t="str">
        <f>IFERROR(VLOOKUP(A369,Internal_lists_bugs!$A$2:$G1058,7,FALSE()),"please select a BUG ID")</f>
        <v>please select a BUG ID</v>
      </c>
    </row>
    <row r="370">
      <c r="A370" s="54"/>
      <c r="B370" s="71" t="str">
        <f>IFERROR(HYPERLINK(VLOOKUP(A370,Internal_lists_bugs!$A$2:$C$73,3,FALSE()), VLOOKUP(A370,Internal_lists_bugs!$A$2:$C$73,3,FALSE())&amp;Char(10) &amp; Char(10) &amp; VLOOKUP(A370,Internal_lists_bugs!$A$2:$Z$73,26,FALSE())),"please select a BUG ID")</f>
        <v>please select a BUG ID</v>
      </c>
      <c r="C370" s="51" t="str">
        <f>IFERROR(VLOOKUP(A370,Internal_lists_bugs!$A$2:$T1058,20,FALSE()),"please select a BUG ID")</f>
        <v>please select a BUG ID</v>
      </c>
      <c r="E370" s="54"/>
      <c r="F370" s="82"/>
      <c r="G370" s="92"/>
      <c r="H370" s="54"/>
      <c r="I370" s="51" t="str">
        <f>IFERROR(VLOOKUP(A370,Internal_lists_bugs!$A$2:$G1058,7,FALSE()),"please select a BUG ID")</f>
        <v>please select a BUG ID</v>
      </c>
    </row>
    <row r="371">
      <c r="A371" s="54"/>
      <c r="B371" s="71" t="str">
        <f>IFERROR(HYPERLINK(VLOOKUP(A371,Internal_lists_bugs!$A$2:$C$73,3,FALSE()), VLOOKUP(A371,Internal_lists_bugs!$A$2:$C$73,3,FALSE())&amp;Char(10) &amp; Char(10) &amp; VLOOKUP(A371,Internal_lists_bugs!$A$2:$Z$73,26,FALSE())),"please select a BUG ID")</f>
        <v>please select a BUG ID</v>
      </c>
      <c r="C371" s="51" t="str">
        <f>IFERROR(VLOOKUP(A371,Internal_lists_bugs!$A$2:$T1058,20,FALSE()),"please select a BUG ID")</f>
        <v>please select a BUG ID</v>
      </c>
      <c r="E371" s="54"/>
      <c r="F371" s="82"/>
      <c r="G371" s="92"/>
      <c r="H371" s="54"/>
      <c r="I371" s="51" t="str">
        <f>IFERROR(VLOOKUP(A371,Internal_lists_bugs!$A$2:$G1058,7,FALSE()),"please select a BUG ID")</f>
        <v>please select a BUG ID</v>
      </c>
    </row>
    <row r="372">
      <c r="A372" s="54"/>
      <c r="B372" s="71" t="str">
        <f>IFERROR(HYPERLINK(VLOOKUP(A372,Internal_lists_bugs!$A$2:$C$73,3,FALSE()), VLOOKUP(A372,Internal_lists_bugs!$A$2:$C$73,3,FALSE())&amp;Char(10) &amp; Char(10) &amp; VLOOKUP(A372,Internal_lists_bugs!$A$2:$Z$73,26,FALSE())),"please select a BUG ID")</f>
        <v>please select a BUG ID</v>
      </c>
      <c r="C372" s="51" t="str">
        <f>IFERROR(VLOOKUP(A372,Internal_lists_bugs!$A$2:$T1058,20,FALSE()),"please select a BUG ID")</f>
        <v>please select a BUG ID</v>
      </c>
      <c r="E372" s="54"/>
      <c r="F372" s="82"/>
      <c r="G372" s="92"/>
      <c r="H372" s="54"/>
      <c r="I372" s="51" t="str">
        <f>IFERROR(VLOOKUP(A372,Internal_lists_bugs!$A$2:$G1058,7,FALSE()),"please select a BUG ID")</f>
        <v>please select a BUG ID</v>
      </c>
    </row>
    <row r="373">
      <c r="A373" s="54"/>
      <c r="B373" s="71" t="str">
        <f>IFERROR(HYPERLINK(VLOOKUP(A373,Internal_lists_bugs!$A$2:$C$73,3,FALSE()), VLOOKUP(A373,Internal_lists_bugs!$A$2:$C$73,3,FALSE())&amp;Char(10) &amp; Char(10) &amp; VLOOKUP(A373,Internal_lists_bugs!$A$2:$Z$73,26,FALSE())),"please select a BUG ID")</f>
        <v>please select a BUG ID</v>
      </c>
      <c r="C373" s="51" t="str">
        <f>IFERROR(VLOOKUP(A373,Internal_lists_bugs!$A$2:$T1058,20,FALSE()),"please select a BUG ID")</f>
        <v>please select a BUG ID</v>
      </c>
      <c r="E373" s="54"/>
      <c r="F373" s="82"/>
      <c r="G373" s="92"/>
      <c r="H373" s="54"/>
      <c r="I373" s="51" t="str">
        <f>IFERROR(VLOOKUP(A373,Internal_lists_bugs!$A$2:$G1058,7,FALSE()),"please select a BUG ID")</f>
        <v>please select a BUG ID</v>
      </c>
    </row>
    <row r="374">
      <c r="A374" s="54"/>
      <c r="B374" s="71" t="str">
        <f>IFERROR(HYPERLINK(VLOOKUP(A374,Internal_lists_bugs!$A$2:$C$73,3,FALSE()), VLOOKUP(A374,Internal_lists_bugs!$A$2:$C$73,3,FALSE())&amp;Char(10) &amp; Char(10) &amp; VLOOKUP(A374,Internal_lists_bugs!$A$2:$Z$73,26,FALSE())),"please select a BUG ID")</f>
        <v>please select a BUG ID</v>
      </c>
      <c r="C374" s="51" t="str">
        <f>IFERROR(VLOOKUP(A374,Internal_lists_bugs!$A$2:$T1058,20,FALSE()),"please select a BUG ID")</f>
        <v>please select a BUG ID</v>
      </c>
      <c r="E374" s="54"/>
      <c r="F374" s="82"/>
      <c r="G374" s="92"/>
      <c r="H374" s="54"/>
      <c r="I374" s="51" t="str">
        <f>IFERROR(VLOOKUP(A374,Internal_lists_bugs!$A$2:$G1058,7,FALSE()),"please select a BUG ID")</f>
        <v>please select a BUG ID</v>
      </c>
    </row>
    <row r="375">
      <c r="A375" s="54"/>
      <c r="B375" s="71" t="str">
        <f>IFERROR(HYPERLINK(VLOOKUP(A375,Internal_lists_bugs!$A$2:$C$73,3,FALSE()), VLOOKUP(A375,Internal_lists_bugs!$A$2:$C$73,3,FALSE())&amp;Char(10) &amp; Char(10) &amp; VLOOKUP(A375,Internal_lists_bugs!$A$2:$Z$73,26,FALSE())),"please select a BUG ID")</f>
        <v>please select a BUG ID</v>
      </c>
      <c r="C375" s="51" t="str">
        <f>IFERROR(VLOOKUP(A375,Internal_lists_bugs!$A$2:$T1058,20,FALSE()),"please select a BUG ID")</f>
        <v>please select a BUG ID</v>
      </c>
      <c r="E375" s="54"/>
      <c r="F375" s="82"/>
      <c r="G375" s="92"/>
      <c r="H375" s="54"/>
      <c r="I375" s="51" t="str">
        <f>IFERROR(VLOOKUP(A375,Internal_lists_bugs!$A$2:$G1058,7,FALSE()),"please select a BUG ID")</f>
        <v>please select a BUG ID</v>
      </c>
    </row>
    <row r="376">
      <c r="A376" s="54"/>
      <c r="B376" s="71" t="str">
        <f>IFERROR(HYPERLINK(VLOOKUP(A376,Internal_lists_bugs!$A$2:$C$73,3,FALSE()), VLOOKUP(A376,Internal_lists_bugs!$A$2:$C$73,3,FALSE())&amp;Char(10) &amp; Char(10) &amp; VLOOKUP(A376,Internal_lists_bugs!$A$2:$Z$73,26,FALSE())),"please select a BUG ID")</f>
        <v>please select a BUG ID</v>
      </c>
      <c r="C376" s="51" t="str">
        <f>IFERROR(VLOOKUP(A376,Internal_lists_bugs!$A$2:$T1058,20,FALSE()),"please select a BUG ID")</f>
        <v>please select a BUG ID</v>
      </c>
      <c r="E376" s="54"/>
      <c r="F376" s="82"/>
      <c r="G376" s="92"/>
      <c r="H376" s="54"/>
      <c r="I376" s="51" t="str">
        <f>IFERROR(VLOOKUP(A376,Internal_lists_bugs!$A$2:$G1058,7,FALSE()),"please select a BUG ID")</f>
        <v>please select a BUG ID</v>
      </c>
    </row>
    <row r="377">
      <c r="A377" s="54"/>
      <c r="B377" s="71" t="str">
        <f>IFERROR(HYPERLINK(VLOOKUP(A377,Internal_lists_bugs!$A$2:$C$73,3,FALSE()), VLOOKUP(A377,Internal_lists_bugs!$A$2:$C$73,3,FALSE())&amp;Char(10) &amp; Char(10) &amp; VLOOKUP(A377,Internal_lists_bugs!$A$2:$Z$73,26,FALSE())),"please select a BUG ID")</f>
        <v>please select a BUG ID</v>
      </c>
      <c r="C377" s="51" t="str">
        <f>IFERROR(VLOOKUP(A377,Internal_lists_bugs!$A$2:$T1058,20,FALSE()),"please select a BUG ID")</f>
        <v>please select a BUG ID</v>
      </c>
      <c r="E377" s="54"/>
      <c r="F377" s="82"/>
      <c r="G377" s="92"/>
      <c r="H377" s="54"/>
      <c r="I377" s="51" t="str">
        <f>IFERROR(VLOOKUP(A377,Internal_lists_bugs!$A$2:$G1058,7,FALSE()),"please select a BUG ID")</f>
        <v>please select a BUG ID</v>
      </c>
    </row>
    <row r="378">
      <c r="A378" s="54"/>
      <c r="B378" s="71" t="str">
        <f>IFERROR(HYPERLINK(VLOOKUP(A378,Internal_lists_bugs!$A$2:$C$73,3,FALSE()), VLOOKUP(A378,Internal_lists_bugs!$A$2:$C$73,3,FALSE())&amp;Char(10) &amp; Char(10) &amp; VLOOKUP(A378,Internal_lists_bugs!$A$2:$Z$73,26,FALSE())),"please select a BUG ID")</f>
        <v>please select a BUG ID</v>
      </c>
      <c r="C378" s="51" t="str">
        <f>IFERROR(VLOOKUP(A378,Internal_lists_bugs!$A$2:$T1058,20,FALSE()),"please select a BUG ID")</f>
        <v>please select a BUG ID</v>
      </c>
      <c r="E378" s="54"/>
      <c r="F378" s="82"/>
      <c r="G378" s="92"/>
      <c r="H378" s="54"/>
      <c r="I378" s="51" t="str">
        <f>IFERROR(VLOOKUP(A378,Internal_lists_bugs!$A$2:$G1058,7,FALSE()),"please select a BUG ID")</f>
        <v>please select a BUG ID</v>
      </c>
    </row>
    <row r="379">
      <c r="A379" s="54"/>
      <c r="B379" s="71" t="str">
        <f>IFERROR(HYPERLINK(VLOOKUP(A379,Internal_lists_bugs!$A$2:$C$73,3,FALSE()), VLOOKUP(A379,Internal_lists_bugs!$A$2:$C$73,3,FALSE())&amp;Char(10) &amp; Char(10) &amp; VLOOKUP(A379,Internal_lists_bugs!$A$2:$Z$73,26,FALSE())),"please select a BUG ID")</f>
        <v>please select a BUG ID</v>
      </c>
      <c r="C379" s="51" t="str">
        <f>IFERROR(VLOOKUP(A379,Internal_lists_bugs!$A$2:$T1058,20,FALSE()),"please select a BUG ID")</f>
        <v>please select a BUG ID</v>
      </c>
      <c r="E379" s="54"/>
      <c r="F379" s="82"/>
      <c r="G379" s="92"/>
      <c r="H379" s="54"/>
      <c r="I379" s="51" t="str">
        <f>IFERROR(VLOOKUP(A379,Internal_lists_bugs!$A$2:$G1058,7,FALSE()),"please select a BUG ID")</f>
        <v>please select a BUG ID</v>
      </c>
    </row>
    <row r="380">
      <c r="A380" s="54"/>
      <c r="B380" s="71" t="str">
        <f>IFERROR(HYPERLINK(VLOOKUP(A380,Internal_lists_bugs!$A$2:$C$73,3,FALSE()), VLOOKUP(A380,Internal_lists_bugs!$A$2:$C$73,3,FALSE())&amp;Char(10) &amp; Char(10) &amp; VLOOKUP(A380,Internal_lists_bugs!$A$2:$Z$73,26,FALSE())),"please select a BUG ID")</f>
        <v>please select a BUG ID</v>
      </c>
      <c r="C380" s="51" t="str">
        <f>IFERROR(VLOOKUP(A380,Internal_lists_bugs!$A$2:$T1058,20,FALSE()),"please select a BUG ID")</f>
        <v>please select a BUG ID</v>
      </c>
      <c r="E380" s="54"/>
      <c r="F380" s="82"/>
      <c r="G380" s="92"/>
      <c r="H380" s="54"/>
      <c r="I380" s="51" t="str">
        <f>IFERROR(VLOOKUP(A380,Internal_lists_bugs!$A$2:$G1058,7,FALSE()),"please select a BUG ID")</f>
        <v>please select a BUG ID</v>
      </c>
    </row>
    <row r="381">
      <c r="A381" s="54"/>
      <c r="B381" s="71" t="str">
        <f>IFERROR(HYPERLINK(VLOOKUP(A381,Internal_lists_bugs!$A$2:$C$73,3,FALSE()), VLOOKUP(A381,Internal_lists_bugs!$A$2:$C$73,3,FALSE())&amp;Char(10) &amp; Char(10) &amp; VLOOKUP(A381,Internal_lists_bugs!$A$2:$Z$73,26,FALSE())),"please select a BUG ID")</f>
        <v>please select a BUG ID</v>
      </c>
      <c r="C381" s="51" t="str">
        <f>IFERROR(VLOOKUP(A381,Internal_lists_bugs!$A$2:$T1058,20,FALSE()),"please select a BUG ID")</f>
        <v>please select a BUG ID</v>
      </c>
      <c r="E381" s="54"/>
      <c r="F381" s="82"/>
      <c r="G381" s="92"/>
      <c r="H381" s="54"/>
      <c r="I381" s="51" t="str">
        <f>IFERROR(VLOOKUP(A381,Internal_lists_bugs!$A$2:$G1058,7,FALSE()),"please select a BUG ID")</f>
        <v>please select a BUG ID</v>
      </c>
    </row>
    <row r="382">
      <c r="A382" s="54"/>
      <c r="B382" s="71" t="str">
        <f>IFERROR(HYPERLINK(VLOOKUP(A382,Internal_lists_bugs!$A$2:$C$73,3,FALSE()), VLOOKUP(A382,Internal_lists_bugs!$A$2:$C$73,3,FALSE())&amp;Char(10) &amp; Char(10) &amp; VLOOKUP(A382,Internal_lists_bugs!$A$2:$Z$73,26,FALSE())),"please select a BUG ID")</f>
        <v>please select a BUG ID</v>
      </c>
      <c r="C382" s="51" t="str">
        <f>IFERROR(VLOOKUP(A382,Internal_lists_bugs!$A$2:$T1058,20,FALSE()),"please select a BUG ID")</f>
        <v>please select a BUG ID</v>
      </c>
      <c r="E382" s="54"/>
      <c r="F382" s="82"/>
      <c r="G382" s="92"/>
      <c r="H382" s="54"/>
      <c r="I382" s="51" t="str">
        <f>IFERROR(VLOOKUP(A382,Internal_lists_bugs!$A$2:$G1058,7,FALSE()),"please select a BUG ID")</f>
        <v>please select a BUG ID</v>
      </c>
    </row>
    <row r="383">
      <c r="A383" s="54"/>
      <c r="B383" s="71" t="str">
        <f>IFERROR(HYPERLINK(VLOOKUP(A383,Internal_lists_bugs!$A$2:$C$73,3,FALSE()), VLOOKUP(A383,Internal_lists_bugs!$A$2:$C$73,3,FALSE())&amp;Char(10) &amp; Char(10) &amp; VLOOKUP(A383,Internal_lists_bugs!$A$2:$Z$73,26,FALSE())),"please select a BUG ID")</f>
        <v>please select a BUG ID</v>
      </c>
      <c r="C383" s="51" t="str">
        <f>IFERROR(VLOOKUP(A383,Internal_lists_bugs!$A$2:$T1058,20,FALSE()),"please select a BUG ID")</f>
        <v>please select a BUG ID</v>
      </c>
      <c r="E383" s="54"/>
      <c r="F383" s="82"/>
      <c r="G383" s="92"/>
      <c r="H383" s="54"/>
      <c r="I383" s="51" t="str">
        <f>IFERROR(VLOOKUP(A383,Internal_lists_bugs!$A$2:$G1058,7,FALSE()),"please select a BUG ID")</f>
        <v>please select a BUG ID</v>
      </c>
    </row>
    <row r="384">
      <c r="A384" s="54"/>
      <c r="B384" s="71" t="str">
        <f>IFERROR(HYPERLINK(VLOOKUP(A384,Internal_lists_bugs!$A$2:$C$73,3,FALSE()), VLOOKUP(A384,Internal_lists_bugs!$A$2:$C$73,3,FALSE())&amp;Char(10) &amp; Char(10) &amp; VLOOKUP(A384,Internal_lists_bugs!$A$2:$Z$73,26,FALSE())),"please select a BUG ID")</f>
        <v>please select a BUG ID</v>
      </c>
      <c r="C384" s="51" t="str">
        <f>IFERROR(VLOOKUP(A384,Internal_lists_bugs!$A$2:$T1058,20,FALSE()),"please select a BUG ID")</f>
        <v>please select a BUG ID</v>
      </c>
      <c r="E384" s="54"/>
      <c r="F384" s="82"/>
      <c r="G384" s="92"/>
      <c r="H384" s="54"/>
      <c r="I384" s="51" t="str">
        <f>IFERROR(VLOOKUP(A384,Internal_lists_bugs!$A$2:$G1058,7,FALSE()),"please select a BUG ID")</f>
        <v>please select a BUG ID</v>
      </c>
    </row>
    <row r="385">
      <c r="A385" s="54"/>
      <c r="B385" s="71" t="str">
        <f>IFERROR(HYPERLINK(VLOOKUP(A385,Internal_lists_bugs!$A$2:$C$73,3,FALSE()), VLOOKUP(A385,Internal_lists_bugs!$A$2:$C$73,3,FALSE())&amp;Char(10) &amp; Char(10) &amp; VLOOKUP(A385,Internal_lists_bugs!$A$2:$Z$73,26,FALSE())),"please select a BUG ID")</f>
        <v>please select a BUG ID</v>
      </c>
      <c r="C385" s="51" t="str">
        <f>IFERROR(VLOOKUP(A385,Internal_lists_bugs!$A$2:$T1058,20,FALSE()),"please select a BUG ID")</f>
        <v>please select a BUG ID</v>
      </c>
      <c r="E385" s="54"/>
      <c r="F385" s="82"/>
      <c r="G385" s="92"/>
      <c r="H385" s="54"/>
      <c r="I385" s="51" t="str">
        <f>IFERROR(VLOOKUP(A385,Internal_lists_bugs!$A$2:$G1058,7,FALSE()),"please select a BUG ID")</f>
        <v>please select a BUG ID</v>
      </c>
    </row>
    <row r="386">
      <c r="A386" s="54"/>
      <c r="B386" s="71" t="str">
        <f>IFERROR(HYPERLINK(VLOOKUP(A386,Internal_lists_bugs!$A$2:$C$73,3,FALSE()), VLOOKUP(A386,Internal_lists_bugs!$A$2:$C$73,3,FALSE())&amp;Char(10) &amp; Char(10) &amp; VLOOKUP(A386,Internal_lists_bugs!$A$2:$Z$73,26,FALSE())),"please select a BUG ID")</f>
        <v>please select a BUG ID</v>
      </c>
      <c r="C386" s="51" t="str">
        <f>IFERROR(VLOOKUP(A386,Internal_lists_bugs!$A$2:$T1058,20,FALSE()),"please select a BUG ID")</f>
        <v>please select a BUG ID</v>
      </c>
      <c r="E386" s="54"/>
      <c r="F386" s="82"/>
      <c r="G386" s="92"/>
      <c r="H386" s="54"/>
      <c r="I386" s="51" t="str">
        <f>IFERROR(VLOOKUP(A386,Internal_lists_bugs!$A$2:$G1058,7,FALSE()),"please select a BUG ID")</f>
        <v>please select a BUG ID</v>
      </c>
    </row>
    <row r="387">
      <c r="A387" s="54"/>
      <c r="B387" s="71" t="str">
        <f>IFERROR(HYPERLINK(VLOOKUP(A387,Internal_lists_bugs!$A$2:$C$73,3,FALSE()), VLOOKUP(A387,Internal_lists_bugs!$A$2:$C$73,3,FALSE())&amp;Char(10) &amp; Char(10) &amp; VLOOKUP(A387,Internal_lists_bugs!$A$2:$Z$73,26,FALSE())),"please select a BUG ID")</f>
        <v>please select a BUG ID</v>
      </c>
      <c r="C387" s="51" t="str">
        <f>IFERROR(VLOOKUP(A387,Internal_lists_bugs!$A$2:$T1058,20,FALSE()),"please select a BUG ID")</f>
        <v>please select a BUG ID</v>
      </c>
      <c r="E387" s="54"/>
      <c r="F387" s="82"/>
      <c r="G387" s="92"/>
      <c r="H387" s="54"/>
      <c r="I387" s="51" t="str">
        <f>IFERROR(VLOOKUP(A387,Internal_lists_bugs!$A$2:$G1058,7,FALSE()),"please select a BUG ID")</f>
        <v>please select a BUG ID</v>
      </c>
    </row>
    <row r="388">
      <c r="A388" s="54"/>
      <c r="B388" s="71" t="str">
        <f>IFERROR(HYPERLINK(VLOOKUP(A388,Internal_lists_bugs!$A$2:$C$73,3,FALSE()), VLOOKUP(A388,Internal_lists_bugs!$A$2:$C$73,3,FALSE())&amp;Char(10) &amp; Char(10) &amp; VLOOKUP(A388,Internal_lists_bugs!$A$2:$Z$73,26,FALSE())),"please select a BUG ID")</f>
        <v>please select a BUG ID</v>
      </c>
      <c r="C388" s="51" t="str">
        <f>IFERROR(VLOOKUP(A388,Internal_lists_bugs!$A$2:$T1058,20,FALSE()),"please select a BUG ID")</f>
        <v>please select a BUG ID</v>
      </c>
      <c r="E388" s="54"/>
      <c r="F388" s="82"/>
      <c r="G388" s="92"/>
      <c r="H388" s="54"/>
      <c r="I388" s="51" t="str">
        <f>IFERROR(VLOOKUP(A388,Internal_lists_bugs!$A$2:$G1058,7,FALSE()),"please select a BUG ID")</f>
        <v>please select a BUG ID</v>
      </c>
    </row>
    <row r="389">
      <c r="A389" s="54"/>
      <c r="B389" s="71" t="str">
        <f>IFERROR(HYPERLINK(VLOOKUP(A389,Internal_lists_bugs!$A$2:$C$73,3,FALSE()), VLOOKUP(A389,Internal_lists_bugs!$A$2:$C$73,3,FALSE())&amp;Char(10) &amp; Char(10) &amp; VLOOKUP(A389,Internal_lists_bugs!$A$2:$Z$73,26,FALSE())),"please select a BUG ID")</f>
        <v>please select a BUG ID</v>
      </c>
      <c r="C389" s="51" t="str">
        <f>IFERROR(VLOOKUP(A389,Internal_lists_bugs!$A$2:$T1058,20,FALSE()),"please select a BUG ID")</f>
        <v>please select a BUG ID</v>
      </c>
      <c r="E389" s="54"/>
      <c r="F389" s="82"/>
      <c r="G389" s="92"/>
      <c r="H389" s="54"/>
      <c r="I389" s="51" t="str">
        <f>IFERROR(VLOOKUP(A389,Internal_lists_bugs!$A$2:$G1058,7,FALSE()),"please select a BUG ID")</f>
        <v>please select a BUG ID</v>
      </c>
    </row>
    <row r="390">
      <c r="A390" s="54"/>
      <c r="B390" s="71" t="str">
        <f>IFERROR(HYPERLINK(VLOOKUP(A390,Internal_lists_bugs!$A$2:$C$73,3,FALSE()), VLOOKUP(A390,Internal_lists_bugs!$A$2:$C$73,3,FALSE())&amp;Char(10) &amp; Char(10) &amp; VLOOKUP(A390,Internal_lists_bugs!$A$2:$Z$73,26,FALSE())),"please select a BUG ID")</f>
        <v>please select a BUG ID</v>
      </c>
      <c r="C390" s="51" t="str">
        <f>IFERROR(VLOOKUP(A390,Internal_lists_bugs!$A$2:$T1058,20,FALSE()),"please select a BUG ID")</f>
        <v>please select a BUG ID</v>
      </c>
      <c r="E390" s="54"/>
      <c r="F390" s="82"/>
      <c r="G390" s="92"/>
      <c r="H390" s="54"/>
      <c r="I390" s="51" t="str">
        <f>IFERROR(VLOOKUP(A390,Internal_lists_bugs!$A$2:$G1058,7,FALSE()),"please select a BUG ID")</f>
        <v>please select a BUG ID</v>
      </c>
    </row>
    <row r="391">
      <c r="A391" s="54"/>
      <c r="B391" s="71" t="str">
        <f>IFERROR(HYPERLINK(VLOOKUP(A391,Internal_lists_bugs!$A$2:$C$73,3,FALSE()), VLOOKUP(A391,Internal_lists_bugs!$A$2:$C$73,3,FALSE())&amp;Char(10) &amp; Char(10) &amp; VLOOKUP(A391,Internal_lists_bugs!$A$2:$Z$73,26,FALSE())),"please select a BUG ID")</f>
        <v>please select a BUG ID</v>
      </c>
      <c r="C391" s="51" t="str">
        <f>IFERROR(VLOOKUP(A391,Internal_lists_bugs!$A$2:$T1058,20,FALSE()),"please select a BUG ID")</f>
        <v>please select a BUG ID</v>
      </c>
      <c r="E391" s="54"/>
      <c r="F391" s="82"/>
      <c r="G391" s="92"/>
      <c r="H391" s="54"/>
      <c r="I391" s="51" t="str">
        <f>IFERROR(VLOOKUP(A391,Internal_lists_bugs!$A$2:$G1058,7,FALSE()),"please select a BUG ID")</f>
        <v>please select a BUG ID</v>
      </c>
    </row>
    <row r="392">
      <c r="A392" s="54"/>
      <c r="B392" s="71" t="str">
        <f>IFERROR(HYPERLINK(VLOOKUP(A392,Internal_lists_bugs!$A$2:$C$73,3,FALSE()), VLOOKUP(A392,Internal_lists_bugs!$A$2:$C$73,3,FALSE())&amp;Char(10) &amp; Char(10) &amp; VLOOKUP(A392,Internal_lists_bugs!$A$2:$Z$73,26,FALSE())),"please select a BUG ID")</f>
        <v>please select a BUG ID</v>
      </c>
      <c r="C392" s="51" t="str">
        <f>IFERROR(VLOOKUP(A392,Internal_lists_bugs!$A$2:$T1058,20,FALSE()),"please select a BUG ID")</f>
        <v>please select a BUG ID</v>
      </c>
      <c r="E392" s="54"/>
      <c r="F392" s="82"/>
      <c r="G392" s="92"/>
      <c r="H392" s="54"/>
      <c r="I392" s="51" t="str">
        <f>IFERROR(VLOOKUP(A392,Internal_lists_bugs!$A$2:$G1058,7,FALSE()),"please select a BUG ID")</f>
        <v>please select a BUG ID</v>
      </c>
    </row>
    <row r="393">
      <c r="A393" s="54"/>
      <c r="B393" s="71" t="str">
        <f>IFERROR(HYPERLINK(VLOOKUP(A393,Internal_lists_bugs!$A$2:$C$73,3,FALSE()), VLOOKUP(A393,Internal_lists_bugs!$A$2:$C$73,3,FALSE())&amp;Char(10) &amp; Char(10) &amp; VLOOKUP(A393,Internal_lists_bugs!$A$2:$Z$73,26,FALSE())),"please select a BUG ID")</f>
        <v>please select a BUG ID</v>
      </c>
      <c r="C393" s="51" t="str">
        <f>IFERROR(VLOOKUP(A393,Internal_lists_bugs!$A$2:$T1058,20,FALSE()),"please select a BUG ID")</f>
        <v>please select a BUG ID</v>
      </c>
      <c r="E393" s="54"/>
      <c r="F393" s="82"/>
      <c r="G393" s="92"/>
      <c r="H393" s="54"/>
      <c r="I393" s="51" t="str">
        <f>IFERROR(VLOOKUP(A393,Internal_lists_bugs!$A$2:$G1058,7,FALSE()),"please select a BUG ID")</f>
        <v>please select a BUG ID</v>
      </c>
    </row>
    <row r="394">
      <c r="A394" s="54"/>
      <c r="B394" s="71" t="str">
        <f>IFERROR(HYPERLINK(VLOOKUP(A394,Internal_lists_bugs!$A$2:$C$73,3,FALSE()), VLOOKUP(A394,Internal_lists_bugs!$A$2:$C$73,3,FALSE())&amp;Char(10) &amp; Char(10) &amp; VLOOKUP(A394,Internal_lists_bugs!$A$2:$Z$73,26,FALSE())),"please select a BUG ID")</f>
        <v>please select a BUG ID</v>
      </c>
      <c r="C394" s="51" t="str">
        <f>IFERROR(VLOOKUP(A394,Internal_lists_bugs!$A$2:$T1058,20,FALSE()),"please select a BUG ID")</f>
        <v>please select a BUG ID</v>
      </c>
      <c r="E394" s="54"/>
      <c r="F394" s="82"/>
      <c r="G394" s="92"/>
      <c r="H394" s="54"/>
      <c r="I394" s="51" t="str">
        <f>IFERROR(VLOOKUP(A394,Internal_lists_bugs!$A$2:$G1058,7,FALSE()),"please select a BUG ID")</f>
        <v>please select a BUG ID</v>
      </c>
    </row>
    <row r="395">
      <c r="A395" s="54"/>
      <c r="B395" s="71" t="str">
        <f>IFERROR(HYPERLINK(VLOOKUP(A395,Internal_lists_bugs!$A$2:$C$73,3,FALSE()), VLOOKUP(A395,Internal_lists_bugs!$A$2:$C$73,3,FALSE())&amp;Char(10) &amp; Char(10) &amp; VLOOKUP(A395,Internal_lists_bugs!$A$2:$Z$73,26,FALSE())),"please select a BUG ID")</f>
        <v>please select a BUG ID</v>
      </c>
      <c r="C395" s="51" t="str">
        <f>IFERROR(VLOOKUP(A395,Internal_lists_bugs!$A$2:$T1058,20,FALSE()),"please select a BUG ID")</f>
        <v>please select a BUG ID</v>
      </c>
      <c r="E395" s="54"/>
      <c r="F395" s="82"/>
      <c r="G395" s="92"/>
      <c r="H395" s="54"/>
      <c r="I395" s="51" t="str">
        <f>IFERROR(VLOOKUP(A395,Internal_lists_bugs!$A$2:$G1058,7,FALSE()),"please select a BUG ID")</f>
        <v>please select a BUG ID</v>
      </c>
    </row>
    <row r="396">
      <c r="A396" s="54"/>
      <c r="B396" s="71" t="str">
        <f>IFERROR(HYPERLINK(VLOOKUP(A396,Internal_lists_bugs!$A$2:$C$73,3,FALSE()), VLOOKUP(A396,Internal_lists_bugs!$A$2:$C$73,3,FALSE())&amp;Char(10) &amp; Char(10) &amp; VLOOKUP(A396,Internal_lists_bugs!$A$2:$Z$73,26,FALSE())),"please select a BUG ID")</f>
        <v>please select a BUG ID</v>
      </c>
      <c r="C396" s="51" t="str">
        <f>IFERROR(VLOOKUP(A396,Internal_lists_bugs!$A$2:$T1058,20,FALSE()),"please select a BUG ID")</f>
        <v>please select a BUG ID</v>
      </c>
      <c r="E396" s="54"/>
      <c r="F396" s="82"/>
      <c r="G396" s="92"/>
      <c r="H396" s="54"/>
      <c r="I396" s="51" t="str">
        <f>IFERROR(VLOOKUP(A396,Internal_lists_bugs!$A$2:$G1058,7,FALSE()),"please select a BUG ID")</f>
        <v>please select a BUG ID</v>
      </c>
    </row>
    <row r="397">
      <c r="A397" s="54"/>
      <c r="B397" s="71" t="str">
        <f>IFERROR(HYPERLINK(VLOOKUP(A397,Internal_lists_bugs!$A$2:$C$73,3,FALSE()), VLOOKUP(A397,Internal_lists_bugs!$A$2:$C$73,3,FALSE())&amp;Char(10) &amp; Char(10) &amp; VLOOKUP(A397,Internal_lists_bugs!$A$2:$Z$73,26,FALSE())),"please select a BUG ID")</f>
        <v>please select a BUG ID</v>
      </c>
      <c r="C397" s="51" t="str">
        <f>IFERROR(VLOOKUP(A397,Internal_lists_bugs!$A$2:$T1058,20,FALSE()),"please select a BUG ID")</f>
        <v>please select a BUG ID</v>
      </c>
      <c r="E397" s="54"/>
      <c r="F397" s="82"/>
      <c r="G397" s="92"/>
      <c r="H397" s="54"/>
      <c r="I397" s="51" t="str">
        <f>IFERROR(VLOOKUP(A397,Internal_lists_bugs!$A$2:$G1058,7,FALSE()),"please select a BUG ID")</f>
        <v>please select a BUG ID</v>
      </c>
    </row>
    <row r="398">
      <c r="A398" s="54"/>
      <c r="B398" s="71" t="str">
        <f>IFERROR(HYPERLINK(VLOOKUP(A398,Internal_lists_bugs!$A$2:$C$73,3,FALSE()), VLOOKUP(A398,Internal_lists_bugs!$A$2:$C$73,3,FALSE())&amp;Char(10) &amp; Char(10) &amp; VLOOKUP(A398,Internal_lists_bugs!$A$2:$Z$73,26,FALSE())),"please select a BUG ID")</f>
        <v>please select a BUG ID</v>
      </c>
      <c r="C398" s="51" t="str">
        <f>IFERROR(VLOOKUP(A398,Internal_lists_bugs!$A$2:$T1058,20,FALSE()),"please select a BUG ID")</f>
        <v>please select a BUG ID</v>
      </c>
      <c r="E398" s="54"/>
      <c r="F398" s="82"/>
      <c r="G398" s="92"/>
      <c r="H398" s="54"/>
      <c r="I398" s="51" t="str">
        <f>IFERROR(VLOOKUP(A398,Internal_lists_bugs!$A$2:$G1058,7,FALSE()),"please select a BUG ID")</f>
        <v>please select a BUG ID</v>
      </c>
    </row>
    <row r="399">
      <c r="A399" s="54"/>
      <c r="B399" s="71" t="str">
        <f>IFERROR(HYPERLINK(VLOOKUP(A399,Internal_lists_bugs!$A$2:$C$73,3,FALSE()), VLOOKUP(A399,Internal_lists_bugs!$A$2:$C$73,3,FALSE())&amp;Char(10) &amp; Char(10) &amp; VLOOKUP(A399,Internal_lists_bugs!$A$2:$Z$73,26,FALSE())),"please select a BUG ID")</f>
        <v>please select a BUG ID</v>
      </c>
      <c r="C399" s="51" t="str">
        <f>IFERROR(VLOOKUP(A399,Internal_lists_bugs!$A$2:$T1058,20,FALSE()),"please select a BUG ID")</f>
        <v>please select a BUG ID</v>
      </c>
      <c r="E399" s="54"/>
      <c r="F399" s="82"/>
      <c r="G399" s="92"/>
      <c r="H399" s="54"/>
      <c r="I399" s="51" t="str">
        <f>IFERROR(VLOOKUP(A399,Internal_lists_bugs!$A$2:$G1058,7,FALSE()),"please select a BUG ID")</f>
        <v>please select a BUG ID</v>
      </c>
    </row>
    <row r="400">
      <c r="A400" s="54"/>
      <c r="B400" s="71" t="str">
        <f>IFERROR(HYPERLINK(VLOOKUP(A400,Internal_lists_bugs!$A$2:$C$73,3,FALSE()), VLOOKUP(A400,Internal_lists_bugs!$A$2:$C$73,3,FALSE())&amp;Char(10) &amp; Char(10) &amp; VLOOKUP(A400,Internal_lists_bugs!$A$2:$Z$73,26,FALSE())),"please select a BUG ID")</f>
        <v>please select a BUG ID</v>
      </c>
      <c r="C400" s="51" t="str">
        <f>IFERROR(VLOOKUP(A400,Internal_lists_bugs!$A$2:$T1058,20,FALSE()),"please select a BUG ID")</f>
        <v>please select a BUG ID</v>
      </c>
      <c r="E400" s="54"/>
      <c r="F400" s="82"/>
      <c r="G400" s="92"/>
      <c r="H400" s="54"/>
      <c r="I400" s="51" t="str">
        <f>IFERROR(VLOOKUP(A400,Internal_lists_bugs!$A$2:$G1058,7,FALSE()),"please select a BUG ID")</f>
        <v>please select a BUG ID</v>
      </c>
    </row>
    <row r="401">
      <c r="A401" s="54"/>
      <c r="B401" s="71" t="str">
        <f>IFERROR(HYPERLINK(VLOOKUP(A401,Internal_lists_bugs!$A$2:$C$73,3,FALSE()), VLOOKUP(A401,Internal_lists_bugs!$A$2:$C$73,3,FALSE())&amp;Char(10) &amp; Char(10) &amp; VLOOKUP(A401,Internal_lists_bugs!$A$2:$Z$73,26,FALSE())),"please select a BUG ID")</f>
        <v>please select a BUG ID</v>
      </c>
      <c r="C401" s="51" t="str">
        <f>IFERROR(VLOOKUP(A401,Internal_lists_bugs!$A$2:$T1058,20,FALSE()),"please select a BUG ID")</f>
        <v>please select a BUG ID</v>
      </c>
      <c r="E401" s="54"/>
      <c r="F401" s="82"/>
      <c r="G401" s="92"/>
      <c r="H401" s="54"/>
      <c r="I401" s="51" t="str">
        <f>IFERROR(VLOOKUP(A401,Internal_lists_bugs!$A$2:$G1058,7,FALSE()),"please select a BUG ID")</f>
        <v>please select a BUG ID</v>
      </c>
    </row>
    <row r="402">
      <c r="A402" s="54"/>
      <c r="B402" s="71" t="str">
        <f>IFERROR(HYPERLINK(VLOOKUP(A402,Internal_lists_bugs!$A$2:$C$73,3,FALSE()), VLOOKUP(A402,Internal_lists_bugs!$A$2:$C$73,3,FALSE())&amp;Char(10) &amp; Char(10) &amp; VLOOKUP(A402,Internal_lists_bugs!$A$2:$Z$73,26,FALSE())),"please select a BUG ID")</f>
        <v>please select a BUG ID</v>
      </c>
      <c r="C402" s="51" t="str">
        <f>IFERROR(VLOOKUP(A402,Internal_lists_bugs!$A$2:$T1058,20,FALSE()),"please select a BUG ID")</f>
        <v>please select a BUG ID</v>
      </c>
      <c r="E402" s="54"/>
      <c r="F402" s="82"/>
      <c r="G402" s="92"/>
      <c r="H402" s="54"/>
      <c r="I402" s="51" t="str">
        <f>IFERROR(VLOOKUP(A402,Internal_lists_bugs!$A$2:$G1058,7,FALSE()),"please select a BUG ID")</f>
        <v>please select a BUG ID</v>
      </c>
    </row>
    <row r="403">
      <c r="A403" s="54"/>
      <c r="B403" s="71" t="str">
        <f>IFERROR(HYPERLINK(VLOOKUP(A403,Internal_lists_bugs!$A$2:$C$73,3,FALSE()), VLOOKUP(A403,Internal_lists_bugs!$A$2:$C$73,3,FALSE())&amp;Char(10) &amp; Char(10) &amp; VLOOKUP(A403,Internal_lists_bugs!$A$2:$Z$73,26,FALSE())),"please select a BUG ID")</f>
        <v>please select a BUG ID</v>
      </c>
      <c r="C403" s="51" t="str">
        <f>IFERROR(VLOOKUP(A403,Internal_lists_bugs!$A$2:$T1058,20,FALSE()),"please select a BUG ID")</f>
        <v>please select a BUG ID</v>
      </c>
      <c r="E403" s="54"/>
      <c r="F403" s="82"/>
      <c r="G403" s="92"/>
      <c r="H403" s="54"/>
      <c r="I403" s="51" t="str">
        <f>IFERROR(VLOOKUP(A403,Internal_lists_bugs!$A$2:$G1058,7,FALSE()),"please select a BUG ID")</f>
        <v>please select a BUG ID</v>
      </c>
    </row>
    <row r="404">
      <c r="A404" s="54"/>
      <c r="B404" s="71" t="str">
        <f>IFERROR(HYPERLINK(VLOOKUP(A404,Internal_lists_bugs!$A$2:$C$73,3,FALSE()), VLOOKUP(A404,Internal_lists_bugs!$A$2:$C$73,3,FALSE())&amp;Char(10) &amp; Char(10) &amp; VLOOKUP(A404,Internal_lists_bugs!$A$2:$Z$73,26,FALSE())),"please select a BUG ID")</f>
        <v>please select a BUG ID</v>
      </c>
      <c r="C404" s="51" t="str">
        <f>IFERROR(VLOOKUP(A404,Internal_lists_bugs!$A$2:$T1058,20,FALSE()),"please select a BUG ID")</f>
        <v>please select a BUG ID</v>
      </c>
      <c r="E404" s="54"/>
      <c r="F404" s="82"/>
      <c r="G404" s="92"/>
      <c r="H404" s="54"/>
      <c r="I404" s="51" t="str">
        <f>IFERROR(VLOOKUP(A404,Internal_lists_bugs!$A$2:$G1058,7,FALSE()),"please select a BUG ID")</f>
        <v>please select a BUG ID</v>
      </c>
    </row>
    <row r="405">
      <c r="A405" s="54"/>
      <c r="B405" s="71" t="str">
        <f>IFERROR(HYPERLINK(VLOOKUP(A405,Internal_lists_bugs!$A$2:$C$73,3,FALSE()), VLOOKUP(A405,Internal_lists_bugs!$A$2:$C$73,3,FALSE())&amp;Char(10) &amp; Char(10) &amp; VLOOKUP(A405,Internal_lists_bugs!$A$2:$Z$73,26,FALSE())),"please select a BUG ID")</f>
        <v>please select a BUG ID</v>
      </c>
      <c r="C405" s="51" t="str">
        <f>IFERROR(VLOOKUP(A405,Internal_lists_bugs!$A$2:$T1058,20,FALSE()),"please select a BUG ID")</f>
        <v>please select a BUG ID</v>
      </c>
      <c r="E405" s="54"/>
      <c r="F405" s="82"/>
      <c r="G405" s="92"/>
      <c r="H405" s="54"/>
      <c r="I405" s="51" t="str">
        <f>IFERROR(VLOOKUP(A405,Internal_lists_bugs!$A$2:$G1058,7,FALSE()),"please select a BUG ID")</f>
        <v>please select a BUG ID</v>
      </c>
    </row>
    <row r="406">
      <c r="A406" s="54"/>
      <c r="B406" s="71" t="str">
        <f>IFERROR(HYPERLINK(VLOOKUP(A406,Internal_lists_bugs!$A$2:$C$73,3,FALSE()), VLOOKUP(A406,Internal_lists_bugs!$A$2:$C$73,3,FALSE())&amp;Char(10) &amp; Char(10) &amp; VLOOKUP(A406,Internal_lists_bugs!$A$2:$Z$73,26,FALSE())),"please select a BUG ID")</f>
        <v>please select a BUG ID</v>
      </c>
      <c r="C406" s="51" t="str">
        <f>IFERROR(VLOOKUP(A406,Internal_lists_bugs!$A$2:$T1058,20,FALSE()),"please select a BUG ID")</f>
        <v>please select a BUG ID</v>
      </c>
      <c r="E406" s="54"/>
      <c r="F406" s="82"/>
      <c r="G406" s="92"/>
      <c r="H406" s="54"/>
      <c r="I406" s="51" t="str">
        <f>IFERROR(VLOOKUP(A406,Internal_lists_bugs!$A$2:$G1058,7,FALSE()),"please select a BUG ID")</f>
        <v>please select a BUG ID</v>
      </c>
    </row>
    <row r="407">
      <c r="A407" s="54"/>
      <c r="B407" s="71" t="str">
        <f>IFERROR(HYPERLINK(VLOOKUP(A407,Internal_lists_bugs!$A$2:$C$73,3,FALSE()), VLOOKUP(A407,Internal_lists_bugs!$A$2:$C$73,3,FALSE())&amp;Char(10) &amp; Char(10) &amp; VLOOKUP(A407,Internal_lists_bugs!$A$2:$Z$73,26,FALSE())),"please select a BUG ID")</f>
        <v>please select a BUG ID</v>
      </c>
      <c r="C407" s="51" t="str">
        <f>IFERROR(VLOOKUP(A407,Internal_lists_bugs!$A$2:$T1058,20,FALSE()),"please select a BUG ID")</f>
        <v>please select a BUG ID</v>
      </c>
      <c r="E407" s="54"/>
      <c r="F407" s="82"/>
      <c r="G407" s="92"/>
      <c r="H407" s="54"/>
      <c r="I407" s="51" t="str">
        <f>IFERROR(VLOOKUP(A407,Internal_lists_bugs!$A$2:$G1058,7,FALSE()),"please select a BUG ID")</f>
        <v>please select a BUG ID</v>
      </c>
    </row>
    <row r="408">
      <c r="A408" s="54"/>
      <c r="B408" s="71" t="str">
        <f>IFERROR(HYPERLINK(VLOOKUP(A408,Internal_lists_bugs!$A$2:$C$73,3,FALSE()), VLOOKUP(A408,Internal_lists_bugs!$A$2:$C$73,3,FALSE())&amp;Char(10) &amp; Char(10) &amp; VLOOKUP(A408,Internal_lists_bugs!$A$2:$Z$73,26,FALSE())),"please select a BUG ID")</f>
        <v>please select a BUG ID</v>
      </c>
      <c r="C408" s="51" t="str">
        <f>IFERROR(VLOOKUP(A408,Internal_lists_bugs!$A$2:$T1058,20,FALSE()),"please select a BUG ID")</f>
        <v>please select a BUG ID</v>
      </c>
      <c r="E408" s="54"/>
      <c r="F408" s="82"/>
      <c r="G408" s="92"/>
      <c r="H408" s="54"/>
      <c r="I408" s="51" t="str">
        <f>IFERROR(VLOOKUP(A408,Internal_lists_bugs!$A$2:$G1058,7,FALSE()),"please select a BUG ID")</f>
        <v>please select a BUG ID</v>
      </c>
    </row>
    <row r="409">
      <c r="A409" s="54"/>
      <c r="B409" s="71" t="str">
        <f>IFERROR(HYPERLINK(VLOOKUP(A409,Internal_lists_bugs!$A$2:$C$73,3,FALSE()), VLOOKUP(A409,Internal_lists_bugs!$A$2:$C$73,3,FALSE())&amp;Char(10) &amp; Char(10) &amp; VLOOKUP(A409,Internal_lists_bugs!$A$2:$Z$73,26,FALSE())),"please select a BUG ID")</f>
        <v>please select a BUG ID</v>
      </c>
      <c r="C409" s="51" t="str">
        <f>IFERROR(VLOOKUP(A409,Internal_lists_bugs!$A$2:$T1058,20,FALSE()),"please select a BUG ID")</f>
        <v>please select a BUG ID</v>
      </c>
      <c r="E409" s="54"/>
      <c r="F409" s="82"/>
      <c r="G409" s="92"/>
      <c r="H409" s="54"/>
      <c r="I409" s="51" t="str">
        <f>IFERROR(VLOOKUP(A409,Internal_lists_bugs!$A$2:$G1058,7,FALSE()),"please select a BUG ID")</f>
        <v>please select a BUG ID</v>
      </c>
    </row>
    <row r="410">
      <c r="A410" s="54"/>
      <c r="B410" s="71" t="str">
        <f>IFERROR(HYPERLINK(VLOOKUP(A410,Internal_lists_bugs!$A$2:$C$73,3,FALSE()), VLOOKUP(A410,Internal_lists_bugs!$A$2:$C$73,3,FALSE())&amp;Char(10) &amp; Char(10) &amp; VLOOKUP(A410,Internal_lists_bugs!$A$2:$Z$73,26,FALSE())),"please select a BUG ID")</f>
        <v>please select a BUG ID</v>
      </c>
      <c r="C410" s="51" t="str">
        <f>IFERROR(VLOOKUP(A410,Internal_lists_bugs!$A$2:$T1058,20,FALSE()),"please select a BUG ID")</f>
        <v>please select a BUG ID</v>
      </c>
      <c r="E410" s="54"/>
      <c r="F410" s="82"/>
      <c r="G410" s="92"/>
      <c r="H410" s="54"/>
      <c r="I410" s="51" t="str">
        <f>IFERROR(VLOOKUP(A410,Internal_lists_bugs!$A$2:$G1058,7,FALSE()),"please select a BUG ID")</f>
        <v>please select a BUG ID</v>
      </c>
    </row>
    <row r="411">
      <c r="A411" s="54"/>
      <c r="B411" s="71" t="str">
        <f>IFERROR(HYPERLINK(VLOOKUP(A411,Internal_lists_bugs!$A$2:$C$73,3,FALSE()), VLOOKUP(A411,Internal_lists_bugs!$A$2:$C$73,3,FALSE())&amp;Char(10) &amp; Char(10) &amp; VLOOKUP(A411,Internal_lists_bugs!$A$2:$Z$73,26,FALSE())),"please select a BUG ID")</f>
        <v>please select a BUG ID</v>
      </c>
      <c r="C411" s="51" t="str">
        <f>IFERROR(VLOOKUP(A411,Internal_lists_bugs!$A$2:$T1058,20,FALSE()),"please select a BUG ID")</f>
        <v>please select a BUG ID</v>
      </c>
      <c r="E411" s="54"/>
      <c r="F411" s="82"/>
      <c r="G411" s="92"/>
      <c r="H411" s="54"/>
      <c r="I411" s="51" t="str">
        <f>IFERROR(VLOOKUP(A411,Internal_lists_bugs!$A$2:$G1058,7,FALSE()),"please select a BUG ID")</f>
        <v>please select a BUG ID</v>
      </c>
    </row>
    <row r="412">
      <c r="A412" s="54"/>
      <c r="B412" s="71" t="str">
        <f>IFERROR(HYPERLINK(VLOOKUP(A412,Internal_lists_bugs!$A$2:$C$73,3,FALSE()), VLOOKUP(A412,Internal_lists_bugs!$A$2:$C$73,3,FALSE())&amp;Char(10) &amp; Char(10) &amp; VLOOKUP(A412,Internal_lists_bugs!$A$2:$Z$73,26,FALSE())),"please select a BUG ID")</f>
        <v>please select a BUG ID</v>
      </c>
      <c r="C412" s="51" t="str">
        <f>IFERROR(VLOOKUP(A412,Internal_lists_bugs!$A$2:$T1058,20,FALSE()),"please select a BUG ID")</f>
        <v>please select a BUG ID</v>
      </c>
      <c r="E412" s="54"/>
      <c r="F412" s="82"/>
      <c r="G412" s="92"/>
      <c r="H412" s="54"/>
      <c r="I412" s="51" t="str">
        <f>IFERROR(VLOOKUP(A412,Internal_lists_bugs!$A$2:$G1058,7,FALSE()),"please select a BUG ID")</f>
        <v>please select a BUG ID</v>
      </c>
    </row>
    <row r="413">
      <c r="A413" s="54"/>
      <c r="B413" s="71" t="str">
        <f>IFERROR(HYPERLINK(VLOOKUP(A413,Internal_lists_bugs!$A$2:$C$73,3,FALSE()), VLOOKUP(A413,Internal_lists_bugs!$A$2:$C$73,3,FALSE())&amp;Char(10) &amp; Char(10) &amp; VLOOKUP(A413,Internal_lists_bugs!$A$2:$Z$73,26,FALSE())),"please select a BUG ID")</f>
        <v>please select a BUG ID</v>
      </c>
      <c r="C413" s="51" t="str">
        <f>IFERROR(VLOOKUP(A413,Internal_lists_bugs!$A$2:$T1058,20,FALSE()),"please select a BUG ID")</f>
        <v>please select a BUG ID</v>
      </c>
      <c r="E413" s="54"/>
      <c r="F413" s="82"/>
      <c r="G413" s="92"/>
      <c r="H413" s="54"/>
      <c r="I413" s="51" t="str">
        <f>IFERROR(VLOOKUP(A413,Internal_lists_bugs!$A$2:$G1058,7,FALSE()),"please select a BUG ID")</f>
        <v>please select a BUG ID</v>
      </c>
    </row>
    <row r="414">
      <c r="A414" s="54"/>
      <c r="B414" s="71" t="str">
        <f>IFERROR(HYPERLINK(VLOOKUP(A414,Internal_lists_bugs!$A$2:$C$73,3,FALSE()), VLOOKUP(A414,Internal_lists_bugs!$A$2:$C$73,3,FALSE())&amp;Char(10) &amp; Char(10) &amp; VLOOKUP(A414,Internal_lists_bugs!$A$2:$Z$73,26,FALSE())),"please select a BUG ID")</f>
        <v>please select a BUG ID</v>
      </c>
      <c r="C414" s="51" t="str">
        <f>IFERROR(VLOOKUP(A414,Internal_lists_bugs!$A$2:$T1058,20,FALSE()),"please select a BUG ID")</f>
        <v>please select a BUG ID</v>
      </c>
      <c r="E414" s="54"/>
      <c r="F414" s="82"/>
      <c r="G414" s="92"/>
      <c r="H414" s="54"/>
      <c r="I414" s="51" t="str">
        <f>IFERROR(VLOOKUP(A414,Internal_lists_bugs!$A$2:$G1058,7,FALSE()),"please select a BUG ID")</f>
        <v>please select a BUG ID</v>
      </c>
    </row>
    <row r="415">
      <c r="A415" s="54"/>
      <c r="B415" s="71" t="str">
        <f>IFERROR(HYPERLINK(VLOOKUP(A415,Internal_lists_bugs!$A$2:$C$73,3,FALSE()), VLOOKUP(A415,Internal_lists_bugs!$A$2:$C$73,3,FALSE())&amp;Char(10) &amp; Char(10) &amp; VLOOKUP(A415,Internal_lists_bugs!$A$2:$Z$73,26,FALSE())),"please select a BUG ID")</f>
        <v>please select a BUG ID</v>
      </c>
      <c r="C415" s="51" t="str">
        <f>IFERROR(VLOOKUP(A415,Internal_lists_bugs!$A$2:$T1058,20,FALSE()),"please select a BUG ID")</f>
        <v>please select a BUG ID</v>
      </c>
      <c r="E415" s="54"/>
      <c r="F415" s="82"/>
      <c r="G415" s="92"/>
      <c r="H415" s="54"/>
      <c r="I415" s="51" t="str">
        <f>IFERROR(VLOOKUP(A415,Internal_lists_bugs!$A$2:$G1058,7,FALSE()),"please select a BUG ID")</f>
        <v>please select a BUG ID</v>
      </c>
    </row>
    <row r="416">
      <c r="A416" s="54"/>
      <c r="B416" s="71" t="str">
        <f>IFERROR(HYPERLINK(VLOOKUP(A416,Internal_lists_bugs!$A$2:$C$73,3,FALSE()), VLOOKUP(A416,Internal_lists_bugs!$A$2:$C$73,3,FALSE())&amp;Char(10) &amp; Char(10) &amp; VLOOKUP(A416,Internal_lists_bugs!$A$2:$Z$73,26,FALSE())),"please select a BUG ID")</f>
        <v>please select a BUG ID</v>
      </c>
      <c r="C416" s="51" t="str">
        <f>IFERROR(VLOOKUP(A416,Internal_lists_bugs!$A$2:$T1058,20,FALSE()),"please select a BUG ID")</f>
        <v>please select a BUG ID</v>
      </c>
      <c r="E416" s="54"/>
      <c r="F416" s="82"/>
      <c r="G416" s="92"/>
      <c r="H416" s="54"/>
      <c r="I416" s="51" t="str">
        <f>IFERROR(VLOOKUP(A416,Internal_lists_bugs!$A$2:$G1058,7,FALSE()),"please select a BUG ID")</f>
        <v>please select a BUG ID</v>
      </c>
    </row>
    <row r="417">
      <c r="A417" s="54"/>
      <c r="B417" s="71" t="str">
        <f>IFERROR(HYPERLINK(VLOOKUP(A417,Internal_lists_bugs!$A$2:$C$73,3,FALSE()), VLOOKUP(A417,Internal_lists_bugs!$A$2:$C$73,3,FALSE())&amp;Char(10) &amp; Char(10) &amp; VLOOKUP(A417,Internal_lists_bugs!$A$2:$Z$73,26,FALSE())),"please select a BUG ID")</f>
        <v>please select a BUG ID</v>
      </c>
      <c r="C417" s="51" t="str">
        <f>IFERROR(VLOOKUP(A417,Internal_lists_bugs!$A$2:$T1058,20,FALSE()),"please select a BUG ID")</f>
        <v>please select a BUG ID</v>
      </c>
      <c r="E417" s="54"/>
      <c r="F417" s="82"/>
      <c r="G417" s="92"/>
      <c r="H417" s="54"/>
      <c r="I417" s="51" t="str">
        <f>IFERROR(VLOOKUP(A417,Internal_lists_bugs!$A$2:$G1058,7,FALSE()),"please select a BUG ID")</f>
        <v>please select a BUG ID</v>
      </c>
    </row>
    <row r="418">
      <c r="A418" s="54"/>
      <c r="B418" s="71" t="str">
        <f>IFERROR(HYPERLINK(VLOOKUP(A418,Internal_lists_bugs!$A$2:$C$73,3,FALSE()), VLOOKUP(A418,Internal_lists_bugs!$A$2:$C$73,3,FALSE())&amp;Char(10) &amp; Char(10) &amp; VLOOKUP(A418,Internal_lists_bugs!$A$2:$Z$73,26,FALSE())),"please select a BUG ID")</f>
        <v>please select a BUG ID</v>
      </c>
      <c r="C418" s="51" t="str">
        <f>IFERROR(VLOOKUP(A418,Internal_lists_bugs!$A$2:$T1058,20,FALSE()),"please select a BUG ID")</f>
        <v>please select a BUG ID</v>
      </c>
      <c r="E418" s="54"/>
      <c r="F418" s="82"/>
      <c r="G418" s="92"/>
      <c r="H418" s="54"/>
      <c r="I418" s="51" t="str">
        <f>IFERROR(VLOOKUP(A418,Internal_lists_bugs!$A$2:$G1058,7,FALSE()),"please select a BUG ID")</f>
        <v>please select a BUG ID</v>
      </c>
    </row>
    <row r="419">
      <c r="A419" s="54"/>
      <c r="B419" s="71" t="str">
        <f>IFERROR(HYPERLINK(VLOOKUP(A419,Internal_lists_bugs!$A$2:$C$73,3,FALSE()), VLOOKUP(A419,Internal_lists_bugs!$A$2:$C$73,3,FALSE())&amp;Char(10) &amp; Char(10) &amp; VLOOKUP(A419,Internal_lists_bugs!$A$2:$Z$73,26,FALSE())),"please select a BUG ID")</f>
        <v>please select a BUG ID</v>
      </c>
      <c r="C419" s="51" t="str">
        <f>IFERROR(VLOOKUP(A419,Internal_lists_bugs!$A$2:$T1058,20,FALSE()),"please select a BUG ID")</f>
        <v>please select a BUG ID</v>
      </c>
      <c r="E419" s="54"/>
      <c r="F419" s="82"/>
      <c r="G419" s="92"/>
      <c r="H419" s="54"/>
      <c r="I419" s="51" t="str">
        <f>IFERROR(VLOOKUP(A419,Internal_lists_bugs!$A$2:$G1058,7,FALSE()),"please select a BUG ID")</f>
        <v>please select a BUG ID</v>
      </c>
    </row>
    <row r="420">
      <c r="A420" s="54"/>
      <c r="B420" s="71" t="str">
        <f>IFERROR(HYPERLINK(VLOOKUP(A420,Internal_lists_bugs!$A$2:$C$73,3,FALSE()), VLOOKUP(A420,Internal_lists_bugs!$A$2:$C$73,3,FALSE())&amp;Char(10) &amp; Char(10) &amp; VLOOKUP(A420,Internal_lists_bugs!$A$2:$Z$73,26,FALSE())),"please select a BUG ID")</f>
        <v>please select a BUG ID</v>
      </c>
      <c r="C420" s="51" t="str">
        <f>IFERROR(VLOOKUP(A420,Internal_lists_bugs!$A$2:$T1058,20,FALSE()),"please select a BUG ID")</f>
        <v>please select a BUG ID</v>
      </c>
      <c r="E420" s="54"/>
      <c r="F420" s="82"/>
      <c r="G420" s="92"/>
      <c r="H420" s="54"/>
      <c r="I420" s="51" t="str">
        <f>IFERROR(VLOOKUP(A420,Internal_lists_bugs!$A$2:$G1058,7,FALSE()),"please select a BUG ID")</f>
        <v>please select a BUG ID</v>
      </c>
    </row>
    <row r="421">
      <c r="A421" s="54"/>
      <c r="B421" s="71" t="str">
        <f>IFERROR(HYPERLINK(VLOOKUP(A421,Internal_lists_bugs!$A$2:$C$73,3,FALSE()), VLOOKUP(A421,Internal_lists_bugs!$A$2:$C$73,3,FALSE())&amp;Char(10) &amp; Char(10) &amp; VLOOKUP(A421,Internal_lists_bugs!$A$2:$Z$73,26,FALSE())),"please select a BUG ID")</f>
        <v>please select a BUG ID</v>
      </c>
      <c r="C421" s="51" t="str">
        <f>IFERROR(VLOOKUP(A421,Internal_lists_bugs!$A$2:$T1058,20,FALSE()),"please select a BUG ID")</f>
        <v>please select a BUG ID</v>
      </c>
      <c r="E421" s="54"/>
      <c r="F421" s="82"/>
      <c r="G421" s="92"/>
      <c r="H421" s="54"/>
      <c r="I421" s="51" t="str">
        <f>IFERROR(VLOOKUP(A421,Internal_lists_bugs!$A$2:$G1058,7,FALSE()),"please select a BUG ID")</f>
        <v>please select a BUG ID</v>
      </c>
    </row>
    <row r="422">
      <c r="A422" s="54"/>
      <c r="B422" s="71" t="str">
        <f>IFERROR(HYPERLINK(VLOOKUP(A422,Internal_lists_bugs!$A$2:$C$73,3,FALSE()), VLOOKUP(A422,Internal_lists_bugs!$A$2:$C$73,3,FALSE())&amp;Char(10) &amp; Char(10) &amp; VLOOKUP(A422,Internal_lists_bugs!$A$2:$Z$73,26,FALSE())),"please select a BUG ID")</f>
        <v>please select a BUG ID</v>
      </c>
      <c r="C422" s="51" t="str">
        <f>IFERROR(VLOOKUP(A422,Internal_lists_bugs!$A$2:$T1058,20,FALSE()),"please select a BUG ID")</f>
        <v>please select a BUG ID</v>
      </c>
      <c r="E422" s="54"/>
      <c r="F422" s="82"/>
      <c r="G422" s="92"/>
      <c r="H422" s="54"/>
      <c r="I422" s="51" t="str">
        <f>IFERROR(VLOOKUP(A422,Internal_lists_bugs!$A$2:$G1058,7,FALSE()),"please select a BUG ID")</f>
        <v>please select a BUG ID</v>
      </c>
    </row>
    <row r="423">
      <c r="A423" s="54"/>
      <c r="B423" s="71" t="str">
        <f>IFERROR(HYPERLINK(VLOOKUP(A423,Internal_lists_bugs!$A$2:$C$73,3,FALSE()), VLOOKUP(A423,Internal_lists_bugs!$A$2:$C$73,3,FALSE())&amp;Char(10) &amp; Char(10) &amp; VLOOKUP(A423,Internal_lists_bugs!$A$2:$Z$73,26,FALSE())),"please select a BUG ID")</f>
        <v>please select a BUG ID</v>
      </c>
      <c r="C423" s="51" t="str">
        <f>IFERROR(VLOOKUP(A423,Internal_lists_bugs!$A$2:$T1058,20,FALSE()),"please select a BUG ID")</f>
        <v>please select a BUG ID</v>
      </c>
      <c r="E423" s="54"/>
      <c r="F423" s="82"/>
      <c r="G423" s="92"/>
      <c r="H423" s="54"/>
      <c r="I423" s="51" t="str">
        <f>IFERROR(VLOOKUP(A423,Internal_lists_bugs!$A$2:$G1058,7,FALSE()),"please select a BUG ID")</f>
        <v>please select a BUG ID</v>
      </c>
    </row>
    <row r="424">
      <c r="A424" s="54"/>
      <c r="B424" s="71" t="str">
        <f>IFERROR(HYPERLINK(VLOOKUP(A424,Internal_lists_bugs!$A$2:$C$73,3,FALSE()), VLOOKUP(A424,Internal_lists_bugs!$A$2:$C$73,3,FALSE())&amp;Char(10) &amp; Char(10) &amp; VLOOKUP(A424,Internal_lists_bugs!$A$2:$Z$73,26,FALSE())),"please select a BUG ID")</f>
        <v>please select a BUG ID</v>
      </c>
      <c r="C424" s="51" t="str">
        <f>IFERROR(VLOOKUP(A424,Internal_lists_bugs!$A$2:$T1058,20,FALSE()),"please select a BUG ID")</f>
        <v>please select a BUG ID</v>
      </c>
      <c r="E424" s="54"/>
      <c r="F424" s="82"/>
      <c r="G424" s="92"/>
      <c r="H424" s="54"/>
      <c r="I424" s="51" t="str">
        <f>IFERROR(VLOOKUP(A424,Internal_lists_bugs!$A$2:$G1058,7,FALSE()),"please select a BUG ID")</f>
        <v>please select a BUG ID</v>
      </c>
    </row>
    <row r="425">
      <c r="A425" s="54"/>
      <c r="B425" s="71" t="str">
        <f>IFERROR(HYPERLINK(VLOOKUP(A425,Internal_lists_bugs!$A$2:$C$73,3,FALSE()), VLOOKUP(A425,Internal_lists_bugs!$A$2:$C$73,3,FALSE())&amp;Char(10) &amp; Char(10) &amp; VLOOKUP(A425,Internal_lists_bugs!$A$2:$Z$73,26,FALSE())),"please select a BUG ID")</f>
        <v>please select a BUG ID</v>
      </c>
      <c r="C425" s="51" t="str">
        <f>IFERROR(VLOOKUP(A425,Internal_lists_bugs!$A$2:$T1058,20,FALSE()),"please select a BUG ID")</f>
        <v>please select a BUG ID</v>
      </c>
      <c r="E425" s="54"/>
      <c r="F425" s="82"/>
      <c r="G425" s="92"/>
      <c r="H425" s="54"/>
      <c r="I425" s="51" t="str">
        <f>IFERROR(VLOOKUP(A425,Internal_lists_bugs!$A$2:$G1058,7,FALSE()),"please select a BUG ID")</f>
        <v>please select a BUG ID</v>
      </c>
    </row>
    <row r="426">
      <c r="A426" s="54"/>
      <c r="B426" s="71" t="str">
        <f>IFERROR(HYPERLINK(VLOOKUP(A426,Internal_lists_bugs!$A$2:$C$73,3,FALSE()), VLOOKUP(A426,Internal_lists_bugs!$A$2:$C$73,3,FALSE())&amp;Char(10) &amp; Char(10) &amp; VLOOKUP(A426,Internal_lists_bugs!$A$2:$Z$73,26,FALSE())),"please select a BUG ID")</f>
        <v>please select a BUG ID</v>
      </c>
      <c r="C426" s="51" t="str">
        <f>IFERROR(VLOOKUP(A426,Internal_lists_bugs!$A$2:$T1058,20,FALSE()),"please select a BUG ID")</f>
        <v>please select a BUG ID</v>
      </c>
      <c r="E426" s="54"/>
      <c r="F426" s="82"/>
      <c r="G426" s="92"/>
      <c r="H426" s="54"/>
      <c r="I426" s="51" t="str">
        <f>IFERROR(VLOOKUP(A426,Internal_lists_bugs!$A$2:$G1058,7,FALSE()),"please select a BUG ID")</f>
        <v>please select a BUG ID</v>
      </c>
    </row>
    <row r="427">
      <c r="A427" s="54"/>
      <c r="B427" s="71" t="str">
        <f>IFERROR(HYPERLINK(VLOOKUP(A427,Internal_lists_bugs!$A$2:$C$73,3,FALSE()), VLOOKUP(A427,Internal_lists_bugs!$A$2:$C$73,3,FALSE())&amp;Char(10) &amp; Char(10) &amp; VLOOKUP(A427,Internal_lists_bugs!$A$2:$Z$73,26,FALSE())),"please select a BUG ID")</f>
        <v>please select a BUG ID</v>
      </c>
      <c r="C427" s="51" t="str">
        <f>IFERROR(VLOOKUP(A427,Internal_lists_bugs!$A$2:$T1058,20,FALSE()),"please select a BUG ID")</f>
        <v>please select a BUG ID</v>
      </c>
      <c r="E427" s="54"/>
      <c r="F427" s="82"/>
      <c r="G427" s="92"/>
      <c r="H427" s="54"/>
      <c r="I427" s="51" t="str">
        <f>IFERROR(VLOOKUP(A427,Internal_lists_bugs!$A$2:$G1058,7,FALSE()),"please select a BUG ID")</f>
        <v>please select a BUG ID</v>
      </c>
    </row>
    <row r="428">
      <c r="A428" s="54"/>
      <c r="B428" s="71" t="str">
        <f>IFERROR(HYPERLINK(VLOOKUP(A428,Internal_lists_bugs!$A$2:$C$73,3,FALSE()), VLOOKUP(A428,Internal_lists_bugs!$A$2:$C$73,3,FALSE())&amp;Char(10) &amp; Char(10) &amp; VLOOKUP(A428,Internal_lists_bugs!$A$2:$Z$73,26,FALSE())),"please select a BUG ID")</f>
        <v>please select a BUG ID</v>
      </c>
      <c r="C428" s="51" t="str">
        <f>IFERROR(VLOOKUP(A428,Internal_lists_bugs!$A$2:$T1058,20,FALSE()),"please select a BUG ID")</f>
        <v>please select a BUG ID</v>
      </c>
      <c r="E428" s="54"/>
      <c r="F428" s="82"/>
      <c r="G428" s="92"/>
      <c r="H428" s="54"/>
      <c r="I428" s="51" t="str">
        <f>IFERROR(VLOOKUP(A428,Internal_lists_bugs!$A$2:$G1058,7,FALSE()),"please select a BUG ID")</f>
        <v>please select a BUG ID</v>
      </c>
    </row>
    <row r="429">
      <c r="A429" s="54"/>
      <c r="B429" s="71" t="str">
        <f>IFERROR(HYPERLINK(VLOOKUP(A429,Internal_lists_bugs!$A$2:$C$73,3,FALSE()), VLOOKUP(A429,Internal_lists_bugs!$A$2:$C$73,3,FALSE())&amp;Char(10) &amp; Char(10) &amp; VLOOKUP(A429,Internal_lists_bugs!$A$2:$Z$73,26,FALSE())),"please select a BUG ID")</f>
        <v>please select a BUG ID</v>
      </c>
      <c r="C429" s="51" t="str">
        <f>IFERROR(VLOOKUP(A429,Internal_lists_bugs!$A$2:$T1058,20,FALSE()),"please select a BUG ID")</f>
        <v>please select a BUG ID</v>
      </c>
      <c r="E429" s="54"/>
      <c r="F429" s="82"/>
      <c r="G429" s="92"/>
      <c r="H429" s="54"/>
      <c r="I429" s="51" t="str">
        <f>IFERROR(VLOOKUP(A429,Internal_lists_bugs!$A$2:$G1058,7,FALSE()),"please select a BUG ID")</f>
        <v>please select a BUG ID</v>
      </c>
    </row>
    <row r="430">
      <c r="A430" s="54"/>
      <c r="B430" s="71" t="str">
        <f>IFERROR(HYPERLINK(VLOOKUP(A430,Internal_lists_bugs!$A$2:$C$73,3,FALSE()), VLOOKUP(A430,Internal_lists_bugs!$A$2:$C$73,3,FALSE())&amp;Char(10) &amp; Char(10) &amp; VLOOKUP(A430,Internal_lists_bugs!$A$2:$Z$73,26,FALSE())),"please select a BUG ID")</f>
        <v>please select a BUG ID</v>
      </c>
      <c r="C430" s="51" t="str">
        <f>IFERROR(VLOOKUP(A430,Internal_lists_bugs!$A$2:$T1058,20,FALSE()),"please select a BUG ID")</f>
        <v>please select a BUG ID</v>
      </c>
      <c r="E430" s="54"/>
      <c r="F430" s="82"/>
      <c r="G430" s="92"/>
      <c r="H430" s="54"/>
      <c r="I430" s="51" t="str">
        <f>IFERROR(VLOOKUP(A430,Internal_lists_bugs!$A$2:$G1058,7,FALSE()),"please select a BUG ID")</f>
        <v>please select a BUG ID</v>
      </c>
    </row>
    <row r="431">
      <c r="A431" s="54"/>
      <c r="B431" s="71" t="str">
        <f>IFERROR(HYPERLINK(VLOOKUP(A431,Internal_lists_bugs!$A$2:$C$73,3,FALSE()), VLOOKUP(A431,Internal_lists_bugs!$A$2:$C$73,3,FALSE())&amp;Char(10) &amp; Char(10) &amp; VLOOKUP(A431,Internal_lists_bugs!$A$2:$Z$73,26,FALSE())),"please select a BUG ID")</f>
        <v>please select a BUG ID</v>
      </c>
      <c r="C431" s="51" t="str">
        <f>IFERROR(VLOOKUP(A431,Internal_lists_bugs!$A$2:$T1058,20,FALSE()),"please select a BUG ID")</f>
        <v>please select a BUG ID</v>
      </c>
      <c r="E431" s="54"/>
      <c r="F431" s="82"/>
      <c r="G431" s="92"/>
      <c r="H431" s="54"/>
      <c r="I431" s="51" t="str">
        <f>IFERROR(VLOOKUP(A431,Internal_lists_bugs!$A$2:$G1058,7,FALSE()),"please select a BUG ID")</f>
        <v>please select a BUG ID</v>
      </c>
    </row>
    <row r="432">
      <c r="A432" s="54"/>
      <c r="B432" s="71" t="str">
        <f>IFERROR(HYPERLINK(VLOOKUP(A432,Internal_lists_bugs!$A$2:$C$73,3,FALSE()), VLOOKUP(A432,Internal_lists_bugs!$A$2:$C$73,3,FALSE())&amp;Char(10) &amp; Char(10) &amp; VLOOKUP(A432,Internal_lists_bugs!$A$2:$Z$73,26,FALSE())),"please select a BUG ID")</f>
        <v>please select a BUG ID</v>
      </c>
      <c r="C432" s="51" t="str">
        <f>IFERROR(VLOOKUP(A432,Internal_lists_bugs!$A$2:$T1058,20,FALSE()),"please select a BUG ID")</f>
        <v>please select a BUG ID</v>
      </c>
      <c r="E432" s="54"/>
      <c r="F432" s="82"/>
      <c r="G432" s="92"/>
      <c r="H432" s="54"/>
      <c r="I432" s="51" t="str">
        <f>IFERROR(VLOOKUP(A432,Internal_lists_bugs!$A$2:$G1058,7,FALSE()),"please select a BUG ID")</f>
        <v>please select a BUG ID</v>
      </c>
    </row>
    <row r="433">
      <c r="A433" s="54"/>
      <c r="B433" s="71" t="str">
        <f>IFERROR(HYPERLINK(VLOOKUP(A433,Internal_lists_bugs!$A$2:$C$73,3,FALSE()), VLOOKUP(A433,Internal_lists_bugs!$A$2:$C$73,3,FALSE())&amp;Char(10) &amp; Char(10) &amp; VLOOKUP(A433,Internal_lists_bugs!$A$2:$Z$73,26,FALSE())),"please select a BUG ID")</f>
        <v>please select a BUG ID</v>
      </c>
      <c r="C433" s="51" t="str">
        <f>IFERROR(VLOOKUP(A433,Internal_lists_bugs!$A$2:$T1058,20,FALSE()),"please select a BUG ID")</f>
        <v>please select a BUG ID</v>
      </c>
      <c r="E433" s="54"/>
      <c r="F433" s="82"/>
      <c r="G433" s="92"/>
      <c r="H433" s="54"/>
      <c r="I433" s="51" t="str">
        <f>IFERROR(VLOOKUP(A433,Internal_lists_bugs!$A$2:$G1058,7,FALSE()),"please select a BUG ID")</f>
        <v>please select a BUG ID</v>
      </c>
    </row>
    <row r="434">
      <c r="A434" s="54"/>
      <c r="B434" s="71" t="str">
        <f>IFERROR(HYPERLINK(VLOOKUP(A434,Internal_lists_bugs!$A$2:$C$73,3,FALSE()), VLOOKUP(A434,Internal_lists_bugs!$A$2:$C$73,3,FALSE())&amp;Char(10) &amp; Char(10) &amp; VLOOKUP(A434,Internal_lists_bugs!$A$2:$Z$73,26,FALSE())),"please select a BUG ID")</f>
        <v>please select a BUG ID</v>
      </c>
      <c r="C434" s="51" t="str">
        <f>IFERROR(VLOOKUP(A434,Internal_lists_bugs!$A$2:$T1058,20,FALSE()),"please select a BUG ID")</f>
        <v>please select a BUG ID</v>
      </c>
      <c r="E434" s="54"/>
      <c r="F434" s="82"/>
      <c r="G434" s="92"/>
      <c r="H434" s="54"/>
      <c r="I434" s="51" t="str">
        <f>IFERROR(VLOOKUP(A434,Internal_lists_bugs!$A$2:$G1058,7,FALSE()),"please select a BUG ID")</f>
        <v>please select a BUG ID</v>
      </c>
    </row>
    <row r="435">
      <c r="A435" s="54"/>
      <c r="B435" s="71" t="str">
        <f>IFERROR(HYPERLINK(VLOOKUP(A435,Internal_lists_bugs!$A$2:$C$73,3,FALSE()), VLOOKUP(A435,Internal_lists_bugs!$A$2:$C$73,3,FALSE())&amp;Char(10) &amp; Char(10) &amp; VLOOKUP(A435,Internal_lists_bugs!$A$2:$Z$73,26,FALSE())),"please select a BUG ID")</f>
        <v>please select a BUG ID</v>
      </c>
      <c r="C435" s="51" t="str">
        <f>IFERROR(VLOOKUP(A435,Internal_lists_bugs!$A$2:$T1058,20,FALSE()),"please select a BUG ID")</f>
        <v>please select a BUG ID</v>
      </c>
      <c r="E435" s="54"/>
      <c r="F435" s="82"/>
      <c r="G435" s="92"/>
      <c r="H435" s="54"/>
      <c r="I435" s="51" t="str">
        <f>IFERROR(VLOOKUP(A435,Internal_lists_bugs!$A$2:$G1058,7,FALSE()),"please select a BUG ID")</f>
        <v>please select a BUG ID</v>
      </c>
    </row>
    <row r="436">
      <c r="A436" s="54"/>
      <c r="B436" s="71" t="str">
        <f>IFERROR(HYPERLINK(VLOOKUP(A436,Internal_lists_bugs!$A$2:$C$73,3,FALSE()), VLOOKUP(A436,Internal_lists_bugs!$A$2:$C$73,3,FALSE())&amp;Char(10) &amp; Char(10) &amp; VLOOKUP(A436,Internal_lists_bugs!$A$2:$Z$73,26,FALSE())),"please select a BUG ID")</f>
        <v>please select a BUG ID</v>
      </c>
      <c r="C436" s="51" t="str">
        <f>IFERROR(VLOOKUP(A436,Internal_lists_bugs!$A$2:$T1058,20,FALSE()),"please select a BUG ID")</f>
        <v>please select a BUG ID</v>
      </c>
      <c r="E436" s="54"/>
      <c r="F436" s="82"/>
      <c r="G436" s="92"/>
      <c r="H436" s="54"/>
      <c r="I436" s="51" t="str">
        <f>IFERROR(VLOOKUP(A436,Internal_lists_bugs!$A$2:$G1058,7,FALSE()),"please select a BUG ID")</f>
        <v>please select a BUG ID</v>
      </c>
    </row>
    <row r="437">
      <c r="A437" s="54"/>
      <c r="B437" s="71" t="str">
        <f>IFERROR(HYPERLINK(VLOOKUP(A437,Internal_lists_bugs!$A$2:$C$73,3,FALSE()), VLOOKUP(A437,Internal_lists_bugs!$A$2:$C$73,3,FALSE())&amp;Char(10) &amp; Char(10) &amp; VLOOKUP(A437,Internal_lists_bugs!$A$2:$Z$73,26,FALSE())),"please select a BUG ID")</f>
        <v>please select a BUG ID</v>
      </c>
      <c r="C437" s="51" t="str">
        <f>IFERROR(VLOOKUP(A437,Internal_lists_bugs!$A$2:$T1058,20,FALSE()),"please select a BUG ID")</f>
        <v>please select a BUG ID</v>
      </c>
      <c r="E437" s="54"/>
      <c r="F437" s="82"/>
      <c r="G437" s="92"/>
      <c r="H437" s="54"/>
      <c r="I437" s="51" t="str">
        <f>IFERROR(VLOOKUP(A437,Internal_lists_bugs!$A$2:$G1058,7,FALSE()),"please select a BUG ID")</f>
        <v>please select a BUG ID</v>
      </c>
    </row>
    <row r="438">
      <c r="A438" s="54"/>
      <c r="B438" s="71" t="str">
        <f>IFERROR(HYPERLINK(VLOOKUP(A438,Internal_lists_bugs!$A$2:$C$73,3,FALSE()), VLOOKUP(A438,Internal_lists_bugs!$A$2:$C$73,3,FALSE())&amp;Char(10) &amp; Char(10) &amp; VLOOKUP(A438,Internal_lists_bugs!$A$2:$Z$73,26,FALSE())),"please select a BUG ID")</f>
        <v>please select a BUG ID</v>
      </c>
      <c r="C438" s="51" t="str">
        <f>IFERROR(VLOOKUP(A438,Internal_lists_bugs!$A$2:$T1058,20,FALSE()),"please select a BUG ID")</f>
        <v>please select a BUG ID</v>
      </c>
      <c r="E438" s="54"/>
      <c r="F438" s="82"/>
      <c r="G438" s="92"/>
      <c r="H438" s="54"/>
      <c r="I438" s="51" t="str">
        <f>IFERROR(VLOOKUP(A438,Internal_lists_bugs!$A$2:$G1058,7,FALSE()),"please select a BUG ID")</f>
        <v>please select a BUG ID</v>
      </c>
    </row>
    <row r="439">
      <c r="A439" s="54"/>
      <c r="B439" s="71" t="str">
        <f>IFERROR(HYPERLINK(VLOOKUP(A439,Internal_lists_bugs!$A$2:$C$73,3,FALSE()), VLOOKUP(A439,Internal_lists_bugs!$A$2:$C$73,3,FALSE())&amp;Char(10) &amp; Char(10) &amp; VLOOKUP(A439,Internal_lists_bugs!$A$2:$Z$73,26,FALSE())),"please select a BUG ID")</f>
        <v>please select a BUG ID</v>
      </c>
      <c r="C439" s="51" t="str">
        <f>IFERROR(VLOOKUP(A439,Internal_lists_bugs!$A$2:$T1058,20,FALSE()),"please select a BUG ID")</f>
        <v>please select a BUG ID</v>
      </c>
      <c r="E439" s="54"/>
      <c r="F439" s="82"/>
      <c r="G439" s="92"/>
      <c r="H439" s="54"/>
      <c r="I439" s="51" t="str">
        <f>IFERROR(VLOOKUP(A439,Internal_lists_bugs!$A$2:$G1058,7,FALSE()),"please select a BUG ID")</f>
        <v>please select a BUG ID</v>
      </c>
    </row>
    <row r="440">
      <c r="A440" s="54"/>
      <c r="B440" s="71" t="str">
        <f>IFERROR(HYPERLINK(VLOOKUP(A440,Internal_lists_bugs!$A$2:$C$73,3,FALSE()), VLOOKUP(A440,Internal_lists_bugs!$A$2:$C$73,3,FALSE())&amp;Char(10) &amp; Char(10) &amp; VLOOKUP(A440,Internal_lists_bugs!$A$2:$Z$73,26,FALSE())),"please select a BUG ID")</f>
        <v>please select a BUG ID</v>
      </c>
      <c r="C440" s="51" t="str">
        <f>IFERROR(VLOOKUP(A440,Internal_lists_bugs!$A$2:$T1058,20,FALSE()),"please select a BUG ID")</f>
        <v>please select a BUG ID</v>
      </c>
      <c r="E440" s="54"/>
      <c r="F440" s="82"/>
      <c r="G440" s="92"/>
      <c r="H440" s="54"/>
      <c r="I440" s="51" t="str">
        <f>IFERROR(VLOOKUP(A440,Internal_lists_bugs!$A$2:$G1058,7,FALSE()),"please select a BUG ID")</f>
        <v>please select a BUG ID</v>
      </c>
    </row>
    <row r="441">
      <c r="A441" s="54"/>
      <c r="B441" s="71" t="str">
        <f>IFERROR(HYPERLINK(VLOOKUP(A441,Internal_lists_bugs!$A$2:$C$73,3,FALSE()), VLOOKUP(A441,Internal_lists_bugs!$A$2:$C$73,3,FALSE())&amp;Char(10) &amp; Char(10) &amp; VLOOKUP(A441,Internal_lists_bugs!$A$2:$Z$73,26,FALSE())),"please select a BUG ID")</f>
        <v>please select a BUG ID</v>
      </c>
      <c r="C441" s="51" t="str">
        <f>IFERROR(VLOOKUP(A441,Internal_lists_bugs!$A$2:$T1058,20,FALSE()),"please select a BUG ID")</f>
        <v>please select a BUG ID</v>
      </c>
      <c r="E441" s="54"/>
      <c r="F441" s="82"/>
      <c r="G441" s="92"/>
      <c r="H441" s="54"/>
      <c r="I441" s="51" t="str">
        <f>IFERROR(VLOOKUP(A441,Internal_lists_bugs!$A$2:$G1058,7,FALSE()),"please select a BUG ID")</f>
        <v>please select a BUG ID</v>
      </c>
    </row>
    <row r="442">
      <c r="A442" s="54"/>
      <c r="B442" s="71" t="str">
        <f>IFERROR(HYPERLINK(VLOOKUP(A442,Internal_lists_bugs!$A$2:$C$73,3,FALSE()), VLOOKUP(A442,Internal_lists_bugs!$A$2:$C$73,3,FALSE())&amp;Char(10) &amp; Char(10) &amp; VLOOKUP(A442,Internal_lists_bugs!$A$2:$Z$73,26,FALSE())),"please select a BUG ID")</f>
        <v>please select a BUG ID</v>
      </c>
      <c r="C442" s="51" t="str">
        <f>IFERROR(VLOOKUP(A442,Internal_lists_bugs!$A$2:$T1058,20,FALSE()),"please select a BUG ID")</f>
        <v>please select a BUG ID</v>
      </c>
      <c r="E442" s="54"/>
      <c r="F442" s="82"/>
      <c r="G442" s="92"/>
      <c r="H442" s="54"/>
      <c r="I442" s="51" t="str">
        <f>IFERROR(VLOOKUP(A442,Internal_lists_bugs!$A$2:$G1058,7,FALSE()),"please select a BUG ID")</f>
        <v>please select a BUG ID</v>
      </c>
    </row>
    <row r="443">
      <c r="A443" s="54"/>
      <c r="B443" s="71" t="str">
        <f>IFERROR(HYPERLINK(VLOOKUP(A443,Internal_lists_bugs!$A$2:$C$73,3,FALSE()), VLOOKUP(A443,Internal_lists_bugs!$A$2:$C$73,3,FALSE())&amp;Char(10) &amp; Char(10) &amp; VLOOKUP(A443,Internal_lists_bugs!$A$2:$Z$73,26,FALSE())),"please select a BUG ID")</f>
        <v>please select a BUG ID</v>
      </c>
      <c r="C443" s="51" t="str">
        <f>IFERROR(VLOOKUP(A443,Internal_lists_bugs!$A$2:$T1058,20,FALSE()),"please select a BUG ID")</f>
        <v>please select a BUG ID</v>
      </c>
      <c r="E443" s="54"/>
      <c r="F443" s="82"/>
      <c r="G443" s="92"/>
      <c r="H443" s="54"/>
      <c r="I443" s="51" t="str">
        <f>IFERROR(VLOOKUP(A443,Internal_lists_bugs!$A$2:$G1058,7,FALSE()),"please select a BUG ID")</f>
        <v>please select a BUG ID</v>
      </c>
    </row>
    <row r="444">
      <c r="A444" s="54"/>
      <c r="B444" s="71" t="str">
        <f>IFERROR(HYPERLINK(VLOOKUP(A444,Internal_lists_bugs!$A$2:$C$73,3,FALSE()), VLOOKUP(A444,Internal_lists_bugs!$A$2:$C$73,3,FALSE())&amp;Char(10) &amp; Char(10) &amp; VLOOKUP(A444,Internal_lists_bugs!$A$2:$Z$73,26,FALSE())),"please select a BUG ID")</f>
        <v>please select a BUG ID</v>
      </c>
      <c r="C444" s="51" t="str">
        <f>IFERROR(VLOOKUP(A444,Internal_lists_bugs!$A$2:$T1058,20,FALSE()),"please select a BUG ID")</f>
        <v>please select a BUG ID</v>
      </c>
      <c r="E444" s="54"/>
      <c r="F444" s="82"/>
      <c r="G444" s="92"/>
      <c r="H444" s="54"/>
      <c r="I444" s="51" t="str">
        <f>IFERROR(VLOOKUP(A444,Internal_lists_bugs!$A$2:$G1058,7,FALSE()),"please select a BUG ID")</f>
        <v>please select a BUG ID</v>
      </c>
    </row>
    <row r="445">
      <c r="A445" s="54"/>
      <c r="B445" s="71" t="str">
        <f>IFERROR(HYPERLINK(VLOOKUP(A445,Internal_lists_bugs!$A$2:$C$73,3,FALSE()), VLOOKUP(A445,Internal_lists_bugs!$A$2:$C$73,3,FALSE())&amp;Char(10) &amp; Char(10) &amp; VLOOKUP(A445,Internal_lists_bugs!$A$2:$Z$73,26,FALSE())),"please select a BUG ID")</f>
        <v>please select a BUG ID</v>
      </c>
      <c r="C445" s="51" t="str">
        <f>IFERROR(VLOOKUP(A445,Internal_lists_bugs!$A$2:$T1058,20,FALSE()),"please select a BUG ID")</f>
        <v>please select a BUG ID</v>
      </c>
      <c r="E445" s="54"/>
      <c r="F445" s="82"/>
      <c r="G445" s="92"/>
      <c r="H445" s="54"/>
      <c r="I445" s="51" t="str">
        <f>IFERROR(VLOOKUP(A445,Internal_lists_bugs!$A$2:$G1058,7,FALSE()),"please select a BUG ID")</f>
        <v>please select a BUG ID</v>
      </c>
    </row>
    <row r="446">
      <c r="A446" s="54"/>
      <c r="B446" s="71" t="str">
        <f>IFERROR(HYPERLINK(VLOOKUP(A446,Internal_lists_bugs!$A$2:$C$73,3,FALSE()), VLOOKUP(A446,Internal_lists_bugs!$A$2:$C$73,3,FALSE())&amp;Char(10) &amp; Char(10) &amp; VLOOKUP(A446,Internal_lists_bugs!$A$2:$Z$73,26,FALSE())),"please select a BUG ID")</f>
        <v>please select a BUG ID</v>
      </c>
      <c r="C446" s="51" t="str">
        <f>IFERROR(VLOOKUP(A446,Internal_lists_bugs!$A$2:$T1058,20,FALSE()),"please select a BUG ID")</f>
        <v>please select a BUG ID</v>
      </c>
      <c r="E446" s="54"/>
      <c r="F446" s="82"/>
      <c r="G446" s="92"/>
      <c r="H446" s="54"/>
      <c r="I446" s="51" t="str">
        <f>IFERROR(VLOOKUP(A446,Internal_lists_bugs!$A$2:$G1058,7,FALSE()),"please select a BUG ID")</f>
        <v>please select a BUG ID</v>
      </c>
    </row>
    <row r="447">
      <c r="A447" s="54"/>
      <c r="B447" s="71" t="str">
        <f>IFERROR(HYPERLINK(VLOOKUP(A447,Internal_lists_bugs!$A$2:$C$73,3,FALSE()), VLOOKUP(A447,Internal_lists_bugs!$A$2:$C$73,3,FALSE())&amp;Char(10) &amp; Char(10) &amp; VLOOKUP(A447,Internal_lists_bugs!$A$2:$Z$73,26,FALSE())),"please select a BUG ID")</f>
        <v>please select a BUG ID</v>
      </c>
      <c r="C447" s="51" t="str">
        <f>IFERROR(VLOOKUP(A447,Internal_lists_bugs!$A$2:$T1058,20,FALSE()),"please select a BUG ID")</f>
        <v>please select a BUG ID</v>
      </c>
      <c r="E447" s="54"/>
      <c r="F447" s="82"/>
      <c r="G447" s="92"/>
      <c r="H447" s="54"/>
      <c r="I447" s="51" t="str">
        <f>IFERROR(VLOOKUP(A447,Internal_lists_bugs!$A$2:$G1058,7,FALSE()),"please select a BUG ID")</f>
        <v>please select a BUG ID</v>
      </c>
    </row>
    <row r="448">
      <c r="A448" s="54"/>
      <c r="B448" s="71" t="str">
        <f>IFERROR(HYPERLINK(VLOOKUP(A448,Internal_lists_bugs!$A$2:$C$73,3,FALSE()), VLOOKUP(A448,Internal_lists_bugs!$A$2:$C$73,3,FALSE())&amp;Char(10) &amp; Char(10) &amp; VLOOKUP(A448,Internal_lists_bugs!$A$2:$Z$73,26,FALSE())),"please select a BUG ID")</f>
        <v>please select a BUG ID</v>
      </c>
      <c r="C448" s="51" t="str">
        <f>IFERROR(VLOOKUP(A448,Internal_lists_bugs!$A$2:$T1058,20,FALSE()),"please select a BUG ID")</f>
        <v>please select a BUG ID</v>
      </c>
      <c r="E448" s="54"/>
      <c r="F448" s="82"/>
      <c r="G448" s="92"/>
      <c r="H448" s="54"/>
      <c r="I448" s="51" t="str">
        <f>IFERROR(VLOOKUP(A448,Internal_lists_bugs!$A$2:$G1058,7,FALSE()),"please select a BUG ID")</f>
        <v>please select a BUG ID</v>
      </c>
    </row>
    <row r="449">
      <c r="A449" s="54"/>
      <c r="B449" s="71" t="str">
        <f>IFERROR(HYPERLINK(VLOOKUP(A449,Internal_lists_bugs!$A$2:$C$73,3,FALSE()), VLOOKUP(A449,Internal_lists_bugs!$A$2:$C$73,3,FALSE())&amp;Char(10) &amp; Char(10) &amp; VLOOKUP(A449,Internal_lists_bugs!$A$2:$Z$73,26,FALSE())),"please select a BUG ID")</f>
        <v>please select a BUG ID</v>
      </c>
      <c r="C449" s="51" t="str">
        <f>IFERROR(VLOOKUP(A449,Internal_lists_bugs!$A$2:$T1058,20,FALSE()),"please select a BUG ID")</f>
        <v>please select a BUG ID</v>
      </c>
      <c r="E449" s="54"/>
      <c r="F449" s="82"/>
      <c r="G449" s="92"/>
      <c r="H449" s="54"/>
      <c r="I449" s="51" t="str">
        <f>IFERROR(VLOOKUP(A449,Internal_lists_bugs!$A$2:$G1058,7,FALSE()),"please select a BUG ID")</f>
        <v>please select a BUG ID</v>
      </c>
    </row>
    <row r="450">
      <c r="A450" s="54"/>
      <c r="B450" s="71" t="str">
        <f>IFERROR(HYPERLINK(VLOOKUP(A450,Internal_lists_bugs!$A$2:$C$73,3,FALSE()), VLOOKUP(A450,Internal_lists_bugs!$A$2:$C$73,3,FALSE())&amp;Char(10) &amp; Char(10) &amp; VLOOKUP(A450,Internal_lists_bugs!$A$2:$Z$73,26,FALSE())),"please select a BUG ID")</f>
        <v>please select a BUG ID</v>
      </c>
      <c r="C450" s="51" t="str">
        <f>IFERROR(VLOOKUP(A450,Internal_lists_bugs!$A$2:$T1058,20,FALSE()),"please select a BUG ID")</f>
        <v>please select a BUG ID</v>
      </c>
      <c r="E450" s="54"/>
      <c r="F450" s="82"/>
      <c r="G450" s="92"/>
      <c r="H450" s="54"/>
      <c r="I450" s="51" t="str">
        <f>IFERROR(VLOOKUP(A450,Internal_lists_bugs!$A$2:$G1058,7,FALSE()),"please select a BUG ID")</f>
        <v>please select a BUG ID</v>
      </c>
    </row>
    <row r="451">
      <c r="A451" s="54"/>
      <c r="B451" s="71" t="str">
        <f>IFERROR(HYPERLINK(VLOOKUP(A451,Internal_lists_bugs!$A$2:$C$73,3,FALSE()), VLOOKUP(A451,Internal_lists_bugs!$A$2:$C$73,3,FALSE())&amp;Char(10) &amp; Char(10) &amp; VLOOKUP(A451,Internal_lists_bugs!$A$2:$Z$73,26,FALSE())),"please select a BUG ID")</f>
        <v>please select a BUG ID</v>
      </c>
      <c r="C451" s="51" t="str">
        <f>IFERROR(VLOOKUP(A451,Internal_lists_bugs!$A$2:$T1058,20,FALSE()),"please select a BUG ID")</f>
        <v>please select a BUG ID</v>
      </c>
      <c r="E451" s="54"/>
      <c r="F451" s="82"/>
      <c r="G451" s="92"/>
      <c r="H451" s="54"/>
      <c r="I451" s="51" t="str">
        <f>IFERROR(VLOOKUP(A451,Internal_lists_bugs!$A$2:$G1058,7,FALSE()),"please select a BUG ID")</f>
        <v>please select a BUG ID</v>
      </c>
    </row>
    <row r="452">
      <c r="A452" s="54"/>
      <c r="B452" s="71" t="str">
        <f>IFERROR(HYPERLINK(VLOOKUP(A452,Internal_lists_bugs!$A$2:$C$73,3,FALSE()), VLOOKUP(A452,Internal_lists_bugs!$A$2:$C$73,3,FALSE())&amp;Char(10) &amp; Char(10) &amp; VLOOKUP(A452,Internal_lists_bugs!$A$2:$Z$73,26,FALSE())),"please select a BUG ID")</f>
        <v>please select a BUG ID</v>
      </c>
      <c r="C452" s="51" t="str">
        <f>IFERROR(VLOOKUP(A452,Internal_lists_bugs!$A$2:$T1058,20,FALSE()),"please select a BUG ID")</f>
        <v>please select a BUG ID</v>
      </c>
      <c r="E452" s="54"/>
      <c r="F452" s="82"/>
      <c r="G452" s="92"/>
      <c r="H452" s="54"/>
      <c r="I452" s="51" t="str">
        <f>IFERROR(VLOOKUP(A452,Internal_lists_bugs!$A$2:$G1058,7,FALSE()),"please select a BUG ID")</f>
        <v>please select a BUG ID</v>
      </c>
    </row>
    <row r="453">
      <c r="A453" s="54"/>
      <c r="B453" s="71" t="str">
        <f>IFERROR(HYPERLINK(VLOOKUP(A453,Internal_lists_bugs!$A$2:$C$73,3,FALSE()), VLOOKUP(A453,Internal_lists_bugs!$A$2:$C$73,3,FALSE())&amp;Char(10) &amp; Char(10) &amp; VLOOKUP(A453,Internal_lists_bugs!$A$2:$Z$73,26,FALSE())),"please select a BUG ID")</f>
        <v>please select a BUG ID</v>
      </c>
      <c r="C453" s="51" t="str">
        <f>IFERROR(VLOOKUP(A453,Internal_lists_bugs!$A$2:$T1058,20,FALSE()),"please select a BUG ID")</f>
        <v>please select a BUG ID</v>
      </c>
      <c r="E453" s="54"/>
      <c r="F453" s="82"/>
      <c r="G453" s="92"/>
      <c r="H453" s="54"/>
      <c r="I453" s="51" t="str">
        <f>IFERROR(VLOOKUP(A453,Internal_lists_bugs!$A$2:$G1058,7,FALSE()),"please select a BUG ID")</f>
        <v>please select a BUG ID</v>
      </c>
    </row>
    <row r="454">
      <c r="A454" s="54"/>
      <c r="B454" s="71" t="str">
        <f>IFERROR(HYPERLINK(VLOOKUP(A454,Internal_lists_bugs!$A$2:$C$73,3,FALSE()), VLOOKUP(A454,Internal_lists_bugs!$A$2:$C$73,3,FALSE())&amp;Char(10) &amp; Char(10) &amp; VLOOKUP(A454,Internal_lists_bugs!$A$2:$Z$73,26,FALSE())),"please select a BUG ID")</f>
        <v>please select a BUG ID</v>
      </c>
      <c r="C454" s="51" t="str">
        <f>IFERROR(VLOOKUP(A454,Internal_lists_bugs!$A$2:$T1058,20,FALSE()),"please select a BUG ID")</f>
        <v>please select a BUG ID</v>
      </c>
      <c r="E454" s="54"/>
      <c r="F454" s="82"/>
      <c r="G454" s="92"/>
      <c r="H454" s="54"/>
      <c r="I454" s="51" t="str">
        <f>IFERROR(VLOOKUP(A454,Internal_lists_bugs!$A$2:$G1058,7,FALSE()),"please select a BUG ID")</f>
        <v>please select a BUG ID</v>
      </c>
    </row>
    <row r="455">
      <c r="A455" s="54"/>
      <c r="B455" s="71" t="str">
        <f>IFERROR(HYPERLINK(VLOOKUP(A455,Internal_lists_bugs!$A$2:$C$73,3,FALSE()), VLOOKUP(A455,Internal_lists_bugs!$A$2:$C$73,3,FALSE())&amp;Char(10) &amp; Char(10) &amp; VLOOKUP(A455,Internal_lists_bugs!$A$2:$Z$73,26,FALSE())),"please select a BUG ID")</f>
        <v>please select a BUG ID</v>
      </c>
      <c r="C455" s="51" t="str">
        <f>IFERROR(VLOOKUP(A455,Internal_lists_bugs!$A$2:$T1058,20,FALSE()),"please select a BUG ID")</f>
        <v>please select a BUG ID</v>
      </c>
      <c r="E455" s="54"/>
      <c r="F455" s="82"/>
      <c r="G455" s="92"/>
      <c r="H455" s="54"/>
      <c r="I455" s="51" t="str">
        <f>IFERROR(VLOOKUP(A455,Internal_lists_bugs!$A$2:$G1058,7,FALSE()),"please select a BUG ID")</f>
        <v>please select a BUG ID</v>
      </c>
    </row>
    <row r="456">
      <c r="A456" s="54"/>
      <c r="B456" s="71" t="str">
        <f>IFERROR(HYPERLINK(VLOOKUP(A456,Internal_lists_bugs!$A$2:$C$73,3,FALSE()), VLOOKUP(A456,Internal_lists_bugs!$A$2:$C$73,3,FALSE())&amp;Char(10) &amp; Char(10) &amp; VLOOKUP(A456,Internal_lists_bugs!$A$2:$Z$73,26,FALSE())),"please select a BUG ID")</f>
        <v>please select a BUG ID</v>
      </c>
      <c r="C456" s="51" t="str">
        <f>IFERROR(VLOOKUP(A456,Internal_lists_bugs!$A$2:$T1058,20,FALSE()),"please select a BUG ID")</f>
        <v>please select a BUG ID</v>
      </c>
      <c r="E456" s="54"/>
      <c r="F456" s="82"/>
      <c r="G456" s="92"/>
      <c r="H456" s="54"/>
      <c r="I456" s="51" t="str">
        <f>IFERROR(VLOOKUP(A456,Internal_lists_bugs!$A$2:$G1058,7,FALSE()),"please select a BUG ID")</f>
        <v>please select a BUG ID</v>
      </c>
    </row>
    <row r="457">
      <c r="A457" s="54"/>
      <c r="B457" s="71" t="str">
        <f>IFERROR(HYPERLINK(VLOOKUP(A457,Internal_lists_bugs!$A$2:$C$73,3,FALSE()), VLOOKUP(A457,Internal_lists_bugs!$A$2:$C$73,3,FALSE())&amp;Char(10) &amp; Char(10) &amp; VLOOKUP(A457,Internal_lists_bugs!$A$2:$Z$73,26,FALSE())),"please select a BUG ID")</f>
        <v>please select a BUG ID</v>
      </c>
      <c r="C457" s="51" t="str">
        <f>IFERROR(VLOOKUP(A457,Internal_lists_bugs!$A$2:$T1058,20,FALSE()),"please select a BUG ID")</f>
        <v>please select a BUG ID</v>
      </c>
      <c r="E457" s="54"/>
      <c r="F457" s="82"/>
      <c r="G457" s="92"/>
      <c r="H457" s="54"/>
      <c r="I457" s="51" t="str">
        <f>IFERROR(VLOOKUP(A457,Internal_lists_bugs!$A$2:$G1058,7,FALSE()),"please select a BUG ID")</f>
        <v>please select a BUG ID</v>
      </c>
    </row>
    <row r="458">
      <c r="A458" s="54"/>
      <c r="B458" s="71" t="str">
        <f>IFERROR(HYPERLINK(VLOOKUP(A458,Internal_lists_bugs!$A$2:$C$73,3,FALSE()), VLOOKUP(A458,Internal_lists_bugs!$A$2:$C$73,3,FALSE())&amp;Char(10) &amp; Char(10) &amp; VLOOKUP(A458,Internal_lists_bugs!$A$2:$Z$73,26,FALSE())),"please select a BUG ID")</f>
        <v>please select a BUG ID</v>
      </c>
      <c r="C458" s="51" t="str">
        <f>IFERROR(VLOOKUP(A458,Internal_lists_bugs!$A$2:$T1058,20,FALSE()),"please select a BUG ID")</f>
        <v>please select a BUG ID</v>
      </c>
      <c r="E458" s="54"/>
      <c r="F458" s="82"/>
      <c r="G458" s="92"/>
      <c r="H458" s="54"/>
      <c r="I458" s="51" t="str">
        <f>IFERROR(VLOOKUP(A458,Internal_lists_bugs!$A$2:$G1058,7,FALSE()),"please select a BUG ID")</f>
        <v>please select a BUG ID</v>
      </c>
    </row>
    <row r="459">
      <c r="A459" s="54"/>
      <c r="B459" s="71" t="str">
        <f>IFERROR(HYPERLINK(VLOOKUP(A459,Internal_lists_bugs!$A$2:$C$73,3,FALSE()), VLOOKUP(A459,Internal_lists_bugs!$A$2:$C$73,3,FALSE())&amp;Char(10) &amp; Char(10) &amp; VLOOKUP(A459,Internal_lists_bugs!$A$2:$Z$73,26,FALSE())),"please select a BUG ID")</f>
        <v>please select a BUG ID</v>
      </c>
      <c r="C459" s="51" t="str">
        <f>IFERROR(VLOOKUP(A459,Internal_lists_bugs!$A$2:$T1058,20,FALSE()),"please select a BUG ID")</f>
        <v>please select a BUG ID</v>
      </c>
      <c r="E459" s="54"/>
      <c r="F459" s="82"/>
      <c r="G459" s="92"/>
      <c r="H459" s="54"/>
      <c r="I459" s="51" t="str">
        <f>IFERROR(VLOOKUP(A459,Internal_lists_bugs!$A$2:$G1058,7,FALSE()),"please select a BUG ID")</f>
        <v>please select a BUG ID</v>
      </c>
    </row>
    <row r="460">
      <c r="A460" s="54"/>
      <c r="B460" s="71" t="str">
        <f>IFERROR(HYPERLINK(VLOOKUP(A460,Internal_lists_bugs!$A$2:$C$73,3,FALSE()), VLOOKUP(A460,Internal_lists_bugs!$A$2:$C$73,3,FALSE())&amp;Char(10) &amp; Char(10) &amp; VLOOKUP(A460,Internal_lists_bugs!$A$2:$Z$73,26,FALSE())),"please select a BUG ID")</f>
        <v>please select a BUG ID</v>
      </c>
      <c r="C460" s="51" t="str">
        <f>IFERROR(VLOOKUP(A460,Internal_lists_bugs!$A$2:$T1058,20,FALSE()),"please select a BUG ID")</f>
        <v>please select a BUG ID</v>
      </c>
      <c r="E460" s="54"/>
      <c r="F460" s="82"/>
      <c r="G460" s="92"/>
      <c r="H460" s="54"/>
      <c r="I460" s="51" t="str">
        <f>IFERROR(VLOOKUP(A460,Internal_lists_bugs!$A$2:$G1058,7,FALSE()),"please select a BUG ID")</f>
        <v>please select a BUG ID</v>
      </c>
    </row>
    <row r="461">
      <c r="A461" s="54"/>
      <c r="B461" s="71" t="str">
        <f>IFERROR(HYPERLINK(VLOOKUP(A461,Internal_lists_bugs!$A$2:$C$73,3,FALSE()), VLOOKUP(A461,Internal_lists_bugs!$A$2:$C$73,3,FALSE())&amp;Char(10) &amp; Char(10) &amp; VLOOKUP(A461,Internal_lists_bugs!$A$2:$Z$73,26,FALSE())),"please select a BUG ID")</f>
        <v>please select a BUG ID</v>
      </c>
      <c r="C461" s="51" t="str">
        <f>IFERROR(VLOOKUP(A461,Internal_lists_bugs!$A$2:$T1058,20,FALSE()),"please select a BUG ID")</f>
        <v>please select a BUG ID</v>
      </c>
      <c r="E461" s="54"/>
      <c r="F461" s="82"/>
      <c r="G461" s="92"/>
      <c r="H461" s="54"/>
      <c r="I461" s="51" t="str">
        <f>IFERROR(VLOOKUP(A461,Internal_lists_bugs!$A$2:$G1058,7,FALSE()),"please select a BUG ID")</f>
        <v>please select a BUG ID</v>
      </c>
    </row>
    <row r="462">
      <c r="A462" s="54"/>
      <c r="B462" s="71" t="str">
        <f>IFERROR(HYPERLINK(VLOOKUP(A462,Internal_lists_bugs!$A$2:$C$73,3,FALSE()), VLOOKUP(A462,Internal_lists_bugs!$A$2:$C$73,3,FALSE())&amp;Char(10) &amp; Char(10) &amp; VLOOKUP(A462,Internal_lists_bugs!$A$2:$Z$73,26,FALSE())),"please select a BUG ID")</f>
        <v>please select a BUG ID</v>
      </c>
      <c r="C462" s="51" t="str">
        <f>IFERROR(VLOOKUP(A462,Internal_lists_bugs!$A$2:$T1058,20,FALSE()),"please select a BUG ID")</f>
        <v>please select a BUG ID</v>
      </c>
      <c r="E462" s="54"/>
      <c r="F462" s="82"/>
      <c r="G462" s="92"/>
      <c r="H462" s="54"/>
      <c r="I462" s="51" t="str">
        <f>IFERROR(VLOOKUP(A462,Internal_lists_bugs!$A$2:$G1058,7,FALSE()),"please select a BUG ID")</f>
        <v>please select a BUG ID</v>
      </c>
    </row>
    <row r="463">
      <c r="A463" s="54"/>
      <c r="B463" s="71" t="str">
        <f>IFERROR(HYPERLINK(VLOOKUP(A463,Internal_lists_bugs!$A$2:$C$73,3,FALSE()), VLOOKUP(A463,Internal_lists_bugs!$A$2:$C$73,3,FALSE())&amp;Char(10) &amp; Char(10) &amp; VLOOKUP(A463,Internal_lists_bugs!$A$2:$Z$73,26,FALSE())),"please select a BUG ID")</f>
        <v>please select a BUG ID</v>
      </c>
      <c r="C463" s="51" t="str">
        <f>IFERROR(VLOOKUP(A463,Internal_lists_bugs!$A$2:$T1058,20,FALSE()),"please select a BUG ID")</f>
        <v>please select a BUG ID</v>
      </c>
      <c r="E463" s="54"/>
      <c r="F463" s="82"/>
      <c r="G463" s="92"/>
      <c r="H463" s="54"/>
      <c r="I463" s="51" t="str">
        <f>IFERROR(VLOOKUP(A463,Internal_lists_bugs!$A$2:$G1058,7,FALSE()),"please select a BUG ID")</f>
        <v>please select a BUG ID</v>
      </c>
    </row>
    <row r="464">
      <c r="A464" s="54"/>
      <c r="B464" s="71" t="str">
        <f>IFERROR(HYPERLINK(VLOOKUP(A464,Internal_lists_bugs!$A$2:$C$73,3,FALSE()), VLOOKUP(A464,Internal_lists_bugs!$A$2:$C$73,3,FALSE())&amp;Char(10) &amp; Char(10) &amp; VLOOKUP(A464,Internal_lists_bugs!$A$2:$Z$73,26,FALSE())),"please select a BUG ID")</f>
        <v>please select a BUG ID</v>
      </c>
      <c r="C464" s="51" t="str">
        <f>IFERROR(VLOOKUP(A464,Internal_lists_bugs!$A$2:$T1058,20,FALSE()),"please select a BUG ID")</f>
        <v>please select a BUG ID</v>
      </c>
      <c r="E464" s="54"/>
      <c r="F464" s="82"/>
      <c r="G464" s="92"/>
      <c r="H464" s="54"/>
      <c r="I464" s="51" t="str">
        <f>IFERROR(VLOOKUP(A464,Internal_lists_bugs!$A$2:$G1058,7,FALSE()),"please select a BUG ID")</f>
        <v>please select a BUG ID</v>
      </c>
    </row>
    <row r="465">
      <c r="A465" s="54"/>
      <c r="B465" s="71" t="str">
        <f>IFERROR(HYPERLINK(VLOOKUP(A465,Internal_lists_bugs!$A$2:$C$73,3,FALSE()), VLOOKUP(A465,Internal_lists_bugs!$A$2:$C$73,3,FALSE())&amp;Char(10) &amp; Char(10) &amp; VLOOKUP(A465,Internal_lists_bugs!$A$2:$Z$73,26,FALSE())),"please select a BUG ID")</f>
        <v>please select a BUG ID</v>
      </c>
      <c r="C465" s="51" t="str">
        <f>IFERROR(VLOOKUP(A465,Internal_lists_bugs!$A$2:$T1058,20,FALSE()),"please select a BUG ID")</f>
        <v>please select a BUG ID</v>
      </c>
      <c r="E465" s="54"/>
      <c r="F465" s="82"/>
      <c r="G465" s="92"/>
      <c r="H465" s="54"/>
      <c r="I465" s="51" t="str">
        <f>IFERROR(VLOOKUP(A465,Internal_lists_bugs!$A$2:$G1058,7,FALSE()),"please select a BUG ID")</f>
        <v>please select a BUG ID</v>
      </c>
    </row>
    <row r="466">
      <c r="A466" s="54"/>
      <c r="B466" s="71" t="str">
        <f>IFERROR(HYPERLINK(VLOOKUP(A466,Internal_lists_bugs!$A$2:$C$73,3,FALSE()), VLOOKUP(A466,Internal_lists_bugs!$A$2:$C$73,3,FALSE())&amp;Char(10) &amp; Char(10) &amp; VLOOKUP(A466,Internal_lists_bugs!$A$2:$Z$73,26,FALSE())),"please select a BUG ID")</f>
        <v>please select a BUG ID</v>
      </c>
      <c r="C466" s="51" t="str">
        <f>IFERROR(VLOOKUP(A466,Internal_lists_bugs!$A$2:$T1058,20,FALSE()),"please select a BUG ID")</f>
        <v>please select a BUG ID</v>
      </c>
      <c r="E466" s="54"/>
      <c r="F466" s="82"/>
      <c r="G466" s="92"/>
      <c r="H466" s="54"/>
      <c r="I466" s="51" t="str">
        <f>IFERROR(VLOOKUP(A466,Internal_lists_bugs!$A$2:$G1058,7,FALSE()),"please select a BUG ID")</f>
        <v>please select a BUG ID</v>
      </c>
    </row>
    <row r="467">
      <c r="A467" s="54"/>
      <c r="B467" s="71" t="str">
        <f>IFERROR(HYPERLINK(VLOOKUP(A467,Internal_lists_bugs!$A$2:$C$73,3,FALSE()), VLOOKUP(A467,Internal_lists_bugs!$A$2:$C$73,3,FALSE())&amp;Char(10) &amp; Char(10) &amp; VLOOKUP(A467,Internal_lists_bugs!$A$2:$Z$73,26,FALSE())),"please select a BUG ID")</f>
        <v>please select a BUG ID</v>
      </c>
      <c r="C467" s="51" t="str">
        <f>IFERROR(VLOOKUP(A467,Internal_lists_bugs!$A$2:$T1058,20,FALSE()),"please select a BUG ID")</f>
        <v>please select a BUG ID</v>
      </c>
      <c r="E467" s="54"/>
      <c r="F467" s="82"/>
      <c r="G467" s="92"/>
      <c r="H467" s="54"/>
      <c r="I467" s="51" t="str">
        <f>IFERROR(VLOOKUP(A467,Internal_lists_bugs!$A$2:$G1058,7,FALSE()),"please select a BUG ID")</f>
        <v>please select a BUG ID</v>
      </c>
    </row>
    <row r="468">
      <c r="A468" s="54"/>
      <c r="B468" s="71" t="str">
        <f>IFERROR(HYPERLINK(VLOOKUP(A468,Internal_lists_bugs!$A$2:$C$73,3,FALSE()), VLOOKUP(A468,Internal_lists_bugs!$A$2:$C$73,3,FALSE())&amp;Char(10) &amp; Char(10) &amp; VLOOKUP(A468,Internal_lists_bugs!$A$2:$Z$73,26,FALSE())),"please select a BUG ID")</f>
        <v>please select a BUG ID</v>
      </c>
      <c r="C468" s="51" t="str">
        <f>IFERROR(VLOOKUP(A468,Internal_lists_bugs!$A$2:$T1058,20,FALSE()),"please select a BUG ID")</f>
        <v>please select a BUG ID</v>
      </c>
      <c r="E468" s="54"/>
      <c r="F468" s="82"/>
      <c r="G468" s="92"/>
      <c r="H468" s="54"/>
      <c r="I468" s="51" t="str">
        <f>IFERROR(VLOOKUP(A468,Internal_lists_bugs!$A$2:$G1058,7,FALSE()),"please select a BUG ID")</f>
        <v>please select a BUG ID</v>
      </c>
    </row>
    <row r="469">
      <c r="A469" s="54"/>
      <c r="B469" s="71" t="str">
        <f>IFERROR(HYPERLINK(VLOOKUP(A469,Internal_lists_bugs!$A$2:$C$73,3,FALSE()), VLOOKUP(A469,Internal_lists_bugs!$A$2:$C$73,3,FALSE())&amp;Char(10) &amp; Char(10) &amp; VLOOKUP(A469,Internal_lists_bugs!$A$2:$Z$73,26,FALSE())),"please select a BUG ID")</f>
        <v>please select a BUG ID</v>
      </c>
      <c r="C469" s="51" t="str">
        <f>IFERROR(VLOOKUP(A469,Internal_lists_bugs!$A$2:$T1058,20,FALSE()),"please select a BUG ID")</f>
        <v>please select a BUG ID</v>
      </c>
      <c r="E469" s="54"/>
      <c r="F469" s="82"/>
      <c r="G469" s="92"/>
      <c r="H469" s="54"/>
      <c r="I469" s="51" t="str">
        <f>IFERROR(VLOOKUP(A469,Internal_lists_bugs!$A$2:$G1058,7,FALSE()),"please select a BUG ID")</f>
        <v>please select a BUG ID</v>
      </c>
    </row>
    <row r="470">
      <c r="A470" s="54"/>
      <c r="B470" s="71" t="str">
        <f>IFERROR(HYPERLINK(VLOOKUP(A470,Internal_lists_bugs!$A$2:$C$73,3,FALSE()), VLOOKUP(A470,Internal_lists_bugs!$A$2:$C$73,3,FALSE())&amp;Char(10) &amp; Char(10) &amp; VLOOKUP(A470,Internal_lists_bugs!$A$2:$Z$73,26,FALSE())),"please select a BUG ID")</f>
        <v>please select a BUG ID</v>
      </c>
      <c r="C470" s="51" t="str">
        <f>IFERROR(VLOOKUP(A470,Internal_lists_bugs!$A$2:$T1058,20,FALSE()),"please select a BUG ID")</f>
        <v>please select a BUG ID</v>
      </c>
      <c r="E470" s="54"/>
      <c r="F470" s="82"/>
      <c r="G470" s="92"/>
      <c r="H470" s="54"/>
      <c r="I470" s="51" t="str">
        <f>IFERROR(VLOOKUP(A470,Internal_lists_bugs!$A$2:$G1058,7,FALSE()),"please select a BUG ID")</f>
        <v>please select a BUG ID</v>
      </c>
    </row>
    <row r="471">
      <c r="A471" s="54"/>
      <c r="B471" s="71" t="str">
        <f>IFERROR(HYPERLINK(VLOOKUP(A471,Internal_lists_bugs!$A$2:$C$73,3,FALSE()), VLOOKUP(A471,Internal_lists_bugs!$A$2:$C$73,3,FALSE())&amp;Char(10) &amp; Char(10) &amp; VLOOKUP(A471,Internal_lists_bugs!$A$2:$Z$73,26,FALSE())),"please select a BUG ID")</f>
        <v>please select a BUG ID</v>
      </c>
      <c r="C471" s="51" t="str">
        <f>IFERROR(VLOOKUP(A471,Internal_lists_bugs!$A$2:$T1058,20,FALSE()),"please select a BUG ID")</f>
        <v>please select a BUG ID</v>
      </c>
      <c r="E471" s="54"/>
      <c r="F471" s="82"/>
      <c r="G471" s="92"/>
      <c r="H471" s="54"/>
      <c r="I471" s="51" t="str">
        <f>IFERROR(VLOOKUP(A471,Internal_lists_bugs!$A$2:$G1058,7,FALSE()),"please select a BUG ID")</f>
        <v>please select a BUG ID</v>
      </c>
    </row>
    <row r="472">
      <c r="A472" s="54"/>
      <c r="B472" s="71" t="str">
        <f>IFERROR(HYPERLINK(VLOOKUP(A472,Internal_lists_bugs!$A$2:$C$73,3,FALSE()), VLOOKUP(A472,Internal_lists_bugs!$A$2:$C$73,3,FALSE())&amp;Char(10) &amp; Char(10) &amp; VLOOKUP(A472,Internal_lists_bugs!$A$2:$Z$73,26,FALSE())),"please select a BUG ID")</f>
        <v>please select a BUG ID</v>
      </c>
      <c r="C472" s="51" t="str">
        <f>IFERROR(VLOOKUP(A472,Internal_lists_bugs!$A$2:$T1058,20,FALSE()),"please select a BUG ID")</f>
        <v>please select a BUG ID</v>
      </c>
      <c r="E472" s="54"/>
      <c r="F472" s="82"/>
      <c r="G472" s="92"/>
      <c r="H472" s="54"/>
      <c r="I472" s="51" t="str">
        <f>IFERROR(VLOOKUP(A472,Internal_lists_bugs!$A$2:$G1058,7,FALSE()),"please select a BUG ID")</f>
        <v>please select a BUG ID</v>
      </c>
    </row>
    <row r="473">
      <c r="A473" s="54"/>
      <c r="B473" s="71" t="str">
        <f>IFERROR(HYPERLINK(VLOOKUP(A473,Internal_lists_bugs!$A$2:$C$73,3,FALSE()), VLOOKUP(A473,Internal_lists_bugs!$A$2:$C$73,3,FALSE())&amp;Char(10) &amp; Char(10) &amp; VLOOKUP(A473,Internal_lists_bugs!$A$2:$Z$73,26,FALSE())),"please select a BUG ID")</f>
        <v>please select a BUG ID</v>
      </c>
      <c r="C473" s="51" t="str">
        <f>IFERROR(VLOOKUP(A473,Internal_lists_bugs!$A$2:$T1058,20,FALSE()),"please select a BUG ID")</f>
        <v>please select a BUG ID</v>
      </c>
      <c r="E473" s="54"/>
      <c r="F473" s="82"/>
      <c r="G473" s="92"/>
      <c r="H473" s="54"/>
      <c r="I473" s="51" t="str">
        <f>IFERROR(VLOOKUP(A473,Internal_lists_bugs!$A$2:$G1058,7,FALSE()),"please select a BUG ID")</f>
        <v>please select a BUG ID</v>
      </c>
    </row>
    <row r="474">
      <c r="A474" s="54"/>
      <c r="B474" s="71" t="str">
        <f>IFERROR(HYPERLINK(VLOOKUP(A474,Internal_lists_bugs!$A$2:$C$73,3,FALSE()), VLOOKUP(A474,Internal_lists_bugs!$A$2:$C$73,3,FALSE())&amp;Char(10) &amp; Char(10) &amp; VLOOKUP(A474,Internal_lists_bugs!$A$2:$Z$73,26,FALSE())),"please select a BUG ID")</f>
        <v>please select a BUG ID</v>
      </c>
      <c r="C474" s="51" t="str">
        <f>IFERROR(VLOOKUP(A474,Internal_lists_bugs!$A$2:$T1058,20,FALSE()),"please select a BUG ID")</f>
        <v>please select a BUG ID</v>
      </c>
      <c r="E474" s="54"/>
      <c r="F474" s="82"/>
      <c r="G474" s="92"/>
      <c r="H474" s="54"/>
      <c r="I474" s="51" t="str">
        <f>IFERROR(VLOOKUP(A474,Internal_lists_bugs!$A$2:$G1058,7,FALSE()),"please select a BUG ID")</f>
        <v>please select a BUG ID</v>
      </c>
    </row>
    <row r="475">
      <c r="A475" s="54"/>
      <c r="B475" s="71" t="str">
        <f>IFERROR(HYPERLINK(VLOOKUP(A475,Internal_lists_bugs!$A$2:$C$73,3,FALSE()), VLOOKUP(A475,Internal_lists_bugs!$A$2:$C$73,3,FALSE())&amp;Char(10) &amp; Char(10) &amp; VLOOKUP(A475,Internal_lists_bugs!$A$2:$Z$73,26,FALSE())),"please select a BUG ID")</f>
        <v>please select a BUG ID</v>
      </c>
      <c r="C475" s="51" t="str">
        <f>IFERROR(VLOOKUP(A475,Internal_lists_bugs!$A$2:$T1058,20,FALSE()),"please select a BUG ID")</f>
        <v>please select a BUG ID</v>
      </c>
      <c r="E475" s="54"/>
      <c r="F475" s="82"/>
      <c r="G475" s="92"/>
      <c r="H475" s="54"/>
      <c r="I475" s="51" t="str">
        <f>IFERROR(VLOOKUP(A475,Internal_lists_bugs!$A$2:$G1058,7,FALSE()),"please select a BUG ID")</f>
        <v>please select a BUG ID</v>
      </c>
    </row>
    <row r="476">
      <c r="A476" s="54"/>
      <c r="B476" s="71" t="str">
        <f>IFERROR(HYPERLINK(VLOOKUP(A476,Internal_lists_bugs!$A$2:$C$73,3,FALSE()), VLOOKUP(A476,Internal_lists_bugs!$A$2:$C$73,3,FALSE())&amp;Char(10) &amp; Char(10) &amp; VLOOKUP(A476,Internal_lists_bugs!$A$2:$Z$73,26,FALSE())),"please select a BUG ID")</f>
        <v>please select a BUG ID</v>
      </c>
      <c r="C476" s="51" t="str">
        <f>IFERROR(VLOOKUP(A476,Internal_lists_bugs!$A$2:$T1058,20,FALSE()),"please select a BUG ID")</f>
        <v>please select a BUG ID</v>
      </c>
      <c r="E476" s="54"/>
      <c r="F476" s="82"/>
      <c r="G476" s="92"/>
      <c r="H476" s="54"/>
      <c r="I476" s="51" t="str">
        <f>IFERROR(VLOOKUP(A476,Internal_lists_bugs!$A$2:$G1058,7,FALSE()),"please select a BUG ID")</f>
        <v>please select a BUG ID</v>
      </c>
    </row>
    <row r="477">
      <c r="A477" s="54"/>
      <c r="B477" s="71" t="str">
        <f>IFERROR(HYPERLINK(VLOOKUP(A477,Internal_lists_bugs!$A$2:$C$73,3,FALSE()), VLOOKUP(A477,Internal_lists_bugs!$A$2:$C$73,3,FALSE())&amp;Char(10) &amp; Char(10) &amp; VLOOKUP(A477,Internal_lists_bugs!$A$2:$Z$73,26,FALSE())),"please select a BUG ID")</f>
        <v>please select a BUG ID</v>
      </c>
      <c r="C477" s="51" t="str">
        <f>IFERROR(VLOOKUP(A477,Internal_lists_bugs!$A$2:$T1058,20,FALSE()),"please select a BUG ID")</f>
        <v>please select a BUG ID</v>
      </c>
      <c r="E477" s="54"/>
      <c r="F477" s="82"/>
      <c r="G477" s="92"/>
      <c r="H477" s="54"/>
      <c r="I477" s="51" t="str">
        <f>IFERROR(VLOOKUP(A477,Internal_lists_bugs!$A$2:$G1058,7,FALSE()),"please select a BUG ID")</f>
        <v>please select a BUG ID</v>
      </c>
    </row>
    <row r="478">
      <c r="A478" s="54"/>
      <c r="B478" s="71" t="str">
        <f>IFERROR(HYPERLINK(VLOOKUP(A478,Internal_lists_bugs!$A$2:$C$73,3,FALSE()), VLOOKUP(A478,Internal_lists_bugs!$A$2:$C$73,3,FALSE())&amp;Char(10) &amp; Char(10) &amp; VLOOKUP(A478,Internal_lists_bugs!$A$2:$Z$73,26,FALSE())),"please select a BUG ID")</f>
        <v>please select a BUG ID</v>
      </c>
      <c r="C478" s="51" t="str">
        <f>IFERROR(VLOOKUP(A478,Internal_lists_bugs!$A$2:$T1058,20,FALSE()),"please select a BUG ID")</f>
        <v>please select a BUG ID</v>
      </c>
      <c r="E478" s="54"/>
      <c r="F478" s="82"/>
      <c r="G478" s="92"/>
      <c r="H478" s="54"/>
      <c r="I478" s="51" t="str">
        <f>IFERROR(VLOOKUP(A478,Internal_lists_bugs!$A$2:$G1058,7,FALSE()),"please select a BUG ID")</f>
        <v>please select a BUG ID</v>
      </c>
    </row>
    <row r="479">
      <c r="A479" s="54"/>
      <c r="B479" s="71" t="str">
        <f>IFERROR(HYPERLINK(VLOOKUP(A479,Internal_lists_bugs!$A$2:$C$73,3,FALSE()), VLOOKUP(A479,Internal_lists_bugs!$A$2:$C$73,3,FALSE())&amp;Char(10) &amp; Char(10) &amp; VLOOKUP(A479,Internal_lists_bugs!$A$2:$Z$73,26,FALSE())),"please select a BUG ID")</f>
        <v>please select a BUG ID</v>
      </c>
      <c r="C479" s="51" t="str">
        <f>IFERROR(VLOOKUP(A479,Internal_lists_bugs!$A$2:$T1058,20,FALSE()),"please select a BUG ID")</f>
        <v>please select a BUG ID</v>
      </c>
      <c r="E479" s="54"/>
      <c r="F479" s="82"/>
      <c r="G479" s="92"/>
      <c r="H479" s="54"/>
      <c r="I479" s="51" t="str">
        <f>IFERROR(VLOOKUP(A479,Internal_lists_bugs!$A$2:$G1058,7,FALSE()),"please select a BUG ID")</f>
        <v>please select a BUG ID</v>
      </c>
    </row>
    <row r="480">
      <c r="A480" s="54"/>
      <c r="B480" s="71" t="str">
        <f>IFERROR(HYPERLINK(VLOOKUP(A480,Internal_lists_bugs!$A$2:$C$73,3,FALSE()), VLOOKUP(A480,Internal_lists_bugs!$A$2:$C$73,3,FALSE())&amp;Char(10) &amp; Char(10) &amp; VLOOKUP(A480,Internal_lists_bugs!$A$2:$Z$73,26,FALSE())),"please select a BUG ID")</f>
        <v>please select a BUG ID</v>
      </c>
      <c r="C480" s="51" t="str">
        <f>IFERROR(VLOOKUP(A480,Internal_lists_bugs!$A$2:$T1058,20,FALSE()),"please select a BUG ID")</f>
        <v>please select a BUG ID</v>
      </c>
      <c r="E480" s="54"/>
      <c r="F480" s="82"/>
      <c r="G480" s="92"/>
      <c r="H480" s="54"/>
      <c r="I480" s="51" t="str">
        <f>IFERROR(VLOOKUP(A480,Internal_lists_bugs!$A$2:$G1058,7,FALSE()),"please select a BUG ID")</f>
        <v>please select a BUG ID</v>
      </c>
    </row>
    <row r="481">
      <c r="A481" s="54"/>
      <c r="B481" s="71" t="str">
        <f>IFERROR(HYPERLINK(VLOOKUP(A481,Internal_lists_bugs!$A$2:$C$73,3,FALSE()), VLOOKUP(A481,Internal_lists_bugs!$A$2:$C$73,3,FALSE())&amp;Char(10) &amp; Char(10) &amp; VLOOKUP(A481,Internal_lists_bugs!$A$2:$Z$73,26,FALSE())),"please select a BUG ID")</f>
        <v>please select a BUG ID</v>
      </c>
      <c r="C481" s="51" t="str">
        <f>IFERROR(VLOOKUP(A481,Internal_lists_bugs!$A$2:$T1058,20,FALSE()),"please select a BUG ID")</f>
        <v>please select a BUG ID</v>
      </c>
      <c r="E481" s="54"/>
      <c r="F481" s="82"/>
      <c r="G481" s="92"/>
      <c r="H481" s="54"/>
      <c r="I481" s="51" t="str">
        <f>IFERROR(VLOOKUP(A481,Internal_lists_bugs!$A$2:$G1058,7,FALSE()),"please select a BUG ID")</f>
        <v>please select a BUG ID</v>
      </c>
    </row>
    <row r="482">
      <c r="A482" s="54"/>
      <c r="B482" s="71" t="str">
        <f>IFERROR(HYPERLINK(VLOOKUP(A482,Internal_lists_bugs!$A$2:$C$73,3,FALSE()), VLOOKUP(A482,Internal_lists_bugs!$A$2:$C$73,3,FALSE())&amp;Char(10) &amp; Char(10) &amp; VLOOKUP(A482,Internal_lists_bugs!$A$2:$Z$73,26,FALSE())),"please select a BUG ID")</f>
        <v>please select a BUG ID</v>
      </c>
      <c r="C482" s="51" t="str">
        <f>IFERROR(VLOOKUP(A482,Internal_lists_bugs!$A$2:$T1058,20,FALSE()),"please select a BUG ID")</f>
        <v>please select a BUG ID</v>
      </c>
      <c r="E482" s="54"/>
      <c r="F482" s="82"/>
      <c r="G482" s="92"/>
      <c r="H482" s="54"/>
      <c r="I482" s="51" t="str">
        <f>IFERROR(VLOOKUP(A482,Internal_lists_bugs!$A$2:$G1058,7,FALSE()),"please select a BUG ID")</f>
        <v>please select a BUG ID</v>
      </c>
    </row>
    <row r="483">
      <c r="A483" s="54"/>
      <c r="B483" s="71" t="str">
        <f>IFERROR(HYPERLINK(VLOOKUP(A483,Internal_lists_bugs!$A$2:$C$73,3,FALSE()), VLOOKUP(A483,Internal_lists_bugs!$A$2:$C$73,3,FALSE())&amp;Char(10) &amp; Char(10) &amp; VLOOKUP(A483,Internal_lists_bugs!$A$2:$Z$73,26,FALSE())),"please select a BUG ID")</f>
        <v>please select a BUG ID</v>
      </c>
      <c r="C483" s="51" t="str">
        <f>IFERROR(VLOOKUP(A483,Internal_lists_bugs!$A$2:$T1058,20,FALSE()),"please select a BUG ID")</f>
        <v>please select a BUG ID</v>
      </c>
      <c r="E483" s="54"/>
      <c r="F483" s="82"/>
      <c r="G483" s="92"/>
      <c r="H483" s="54"/>
      <c r="I483" s="51" t="str">
        <f>IFERROR(VLOOKUP(A483,Internal_lists_bugs!$A$2:$G1058,7,FALSE()),"please select a BUG ID")</f>
        <v>please select a BUG ID</v>
      </c>
    </row>
    <row r="484">
      <c r="A484" s="54"/>
      <c r="B484" s="71" t="str">
        <f>IFERROR(HYPERLINK(VLOOKUP(A484,Internal_lists_bugs!$A$2:$C$73,3,FALSE()), VLOOKUP(A484,Internal_lists_bugs!$A$2:$C$73,3,FALSE())&amp;Char(10) &amp; Char(10) &amp; VLOOKUP(A484,Internal_lists_bugs!$A$2:$Z$73,26,FALSE())),"please select a BUG ID")</f>
        <v>please select a BUG ID</v>
      </c>
      <c r="C484" s="51" t="str">
        <f>IFERROR(VLOOKUP(A484,Internal_lists_bugs!$A$2:$T1058,20,FALSE()),"please select a BUG ID")</f>
        <v>please select a BUG ID</v>
      </c>
      <c r="E484" s="54"/>
      <c r="F484" s="82"/>
      <c r="G484" s="92"/>
      <c r="H484" s="54"/>
      <c r="I484" s="51" t="str">
        <f>IFERROR(VLOOKUP(A484,Internal_lists_bugs!$A$2:$G1058,7,FALSE()),"please select a BUG ID")</f>
        <v>please select a BUG ID</v>
      </c>
    </row>
    <row r="485">
      <c r="A485" s="54"/>
      <c r="B485" s="71" t="str">
        <f>IFERROR(HYPERLINK(VLOOKUP(A485,Internal_lists_bugs!$A$2:$C$73,3,FALSE()), VLOOKUP(A485,Internal_lists_bugs!$A$2:$C$73,3,FALSE())&amp;Char(10) &amp; Char(10) &amp; VLOOKUP(A485,Internal_lists_bugs!$A$2:$Z$73,26,FALSE())),"please select a BUG ID")</f>
        <v>please select a BUG ID</v>
      </c>
      <c r="C485" s="51" t="str">
        <f>IFERROR(VLOOKUP(A485,Internal_lists_bugs!$A$2:$T1058,20,FALSE()),"please select a BUG ID")</f>
        <v>please select a BUG ID</v>
      </c>
      <c r="E485" s="54"/>
      <c r="F485" s="82"/>
      <c r="G485" s="92"/>
      <c r="H485" s="54"/>
      <c r="I485" s="51" t="str">
        <f>IFERROR(VLOOKUP(A485,Internal_lists_bugs!$A$2:$G1058,7,FALSE()),"please select a BUG ID")</f>
        <v>please select a BUG ID</v>
      </c>
    </row>
    <row r="486">
      <c r="A486" s="54"/>
      <c r="B486" s="71" t="str">
        <f>IFERROR(HYPERLINK(VLOOKUP(A486,Internal_lists_bugs!$A$2:$C$73,3,FALSE()), VLOOKUP(A486,Internal_lists_bugs!$A$2:$C$73,3,FALSE())&amp;Char(10) &amp; Char(10) &amp; VLOOKUP(A486,Internal_lists_bugs!$A$2:$Z$73,26,FALSE())),"please select a BUG ID")</f>
        <v>please select a BUG ID</v>
      </c>
      <c r="C486" s="51" t="str">
        <f>IFERROR(VLOOKUP(A486,Internal_lists_bugs!$A$2:$T1058,20,FALSE()),"please select a BUG ID")</f>
        <v>please select a BUG ID</v>
      </c>
      <c r="E486" s="54"/>
      <c r="F486" s="82"/>
      <c r="G486" s="92"/>
      <c r="H486" s="54"/>
      <c r="I486" s="51" t="str">
        <f>IFERROR(VLOOKUP(A486,Internal_lists_bugs!$A$2:$G1058,7,FALSE()),"please select a BUG ID")</f>
        <v>please select a BUG ID</v>
      </c>
    </row>
    <row r="487">
      <c r="A487" s="54"/>
      <c r="B487" s="71" t="str">
        <f>IFERROR(HYPERLINK(VLOOKUP(A487,Internal_lists_bugs!$A$2:$C$73,3,FALSE()), VLOOKUP(A487,Internal_lists_bugs!$A$2:$C$73,3,FALSE())&amp;Char(10) &amp; Char(10) &amp; VLOOKUP(A487,Internal_lists_bugs!$A$2:$Z$73,26,FALSE())),"please select a BUG ID")</f>
        <v>please select a BUG ID</v>
      </c>
      <c r="C487" s="51" t="str">
        <f>IFERROR(VLOOKUP(A487,Internal_lists_bugs!$A$2:$T1058,20,FALSE()),"please select a BUG ID")</f>
        <v>please select a BUG ID</v>
      </c>
      <c r="E487" s="54"/>
      <c r="F487" s="82"/>
      <c r="G487" s="92"/>
      <c r="H487" s="54"/>
      <c r="I487" s="51" t="str">
        <f>IFERROR(VLOOKUP(A487,Internal_lists_bugs!$A$2:$G1058,7,FALSE()),"please select a BUG ID")</f>
        <v>please select a BUG ID</v>
      </c>
    </row>
    <row r="488">
      <c r="A488" s="54"/>
      <c r="B488" s="71" t="str">
        <f>IFERROR(HYPERLINK(VLOOKUP(A488,Internal_lists_bugs!$A$2:$C$73,3,FALSE()), VLOOKUP(A488,Internal_lists_bugs!$A$2:$C$73,3,FALSE())&amp;Char(10) &amp; Char(10) &amp; VLOOKUP(A488,Internal_lists_bugs!$A$2:$Z$73,26,FALSE())),"please select a BUG ID")</f>
        <v>please select a BUG ID</v>
      </c>
      <c r="C488" s="51" t="str">
        <f>IFERROR(VLOOKUP(A488,Internal_lists_bugs!$A$2:$T1058,20,FALSE()),"please select a BUG ID")</f>
        <v>please select a BUG ID</v>
      </c>
      <c r="E488" s="54"/>
      <c r="F488" s="82"/>
      <c r="G488" s="92"/>
      <c r="H488" s="54"/>
      <c r="I488" s="51" t="str">
        <f>IFERROR(VLOOKUP(A488,Internal_lists_bugs!$A$2:$G1058,7,FALSE()),"please select a BUG ID")</f>
        <v>please select a BUG ID</v>
      </c>
    </row>
    <row r="489">
      <c r="A489" s="54"/>
      <c r="B489" s="71" t="str">
        <f>IFERROR(HYPERLINK(VLOOKUP(A489,Internal_lists_bugs!$A$2:$C$73,3,FALSE()), VLOOKUP(A489,Internal_lists_bugs!$A$2:$C$73,3,FALSE())&amp;Char(10) &amp; Char(10) &amp; VLOOKUP(A489,Internal_lists_bugs!$A$2:$Z$73,26,FALSE())),"please select a BUG ID")</f>
        <v>please select a BUG ID</v>
      </c>
      <c r="C489" s="51" t="str">
        <f>IFERROR(VLOOKUP(A489,Internal_lists_bugs!$A$2:$T1058,20,FALSE()),"please select a BUG ID")</f>
        <v>please select a BUG ID</v>
      </c>
      <c r="E489" s="54"/>
      <c r="F489" s="82"/>
      <c r="G489" s="92"/>
      <c r="H489" s="54"/>
      <c r="I489" s="51" t="str">
        <f>IFERROR(VLOOKUP(A489,Internal_lists_bugs!$A$2:$G1058,7,FALSE()),"please select a BUG ID")</f>
        <v>please select a BUG ID</v>
      </c>
    </row>
    <row r="490">
      <c r="A490" s="54"/>
      <c r="B490" s="71" t="str">
        <f>IFERROR(HYPERLINK(VLOOKUP(A490,Internal_lists_bugs!$A$2:$C$73,3,FALSE()), VLOOKUP(A490,Internal_lists_bugs!$A$2:$C$73,3,FALSE())&amp;Char(10) &amp; Char(10) &amp; VLOOKUP(A490,Internal_lists_bugs!$A$2:$Z$73,26,FALSE())),"please select a BUG ID")</f>
        <v>please select a BUG ID</v>
      </c>
      <c r="C490" s="51" t="str">
        <f>IFERROR(VLOOKUP(A490,Internal_lists_bugs!$A$2:$T1058,20,FALSE()),"please select a BUG ID")</f>
        <v>please select a BUG ID</v>
      </c>
      <c r="E490" s="54"/>
      <c r="F490" s="82"/>
      <c r="G490" s="92"/>
      <c r="H490" s="54"/>
      <c r="I490" s="51" t="str">
        <f>IFERROR(VLOOKUP(A490,Internal_lists_bugs!$A$2:$G1058,7,FALSE()),"please select a BUG ID")</f>
        <v>please select a BUG ID</v>
      </c>
    </row>
    <row r="491">
      <c r="A491" s="54"/>
      <c r="B491" s="71" t="str">
        <f>IFERROR(HYPERLINK(VLOOKUP(A491,Internal_lists_bugs!$A$2:$C$73,3,FALSE()), VLOOKUP(A491,Internal_lists_bugs!$A$2:$C$73,3,FALSE())&amp;Char(10) &amp; Char(10) &amp; VLOOKUP(A491,Internal_lists_bugs!$A$2:$Z$73,26,FALSE())),"please select a BUG ID")</f>
        <v>please select a BUG ID</v>
      </c>
      <c r="C491" s="51" t="str">
        <f>IFERROR(VLOOKUP(A491,Internal_lists_bugs!$A$2:$T1058,20,FALSE()),"please select a BUG ID")</f>
        <v>please select a BUG ID</v>
      </c>
      <c r="E491" s="54"/>
      <c r="F491" s="82"/>
      <c r="G491" s="92"/>
      <c r="H491" s="54"/>
      <c r="I491" s="51" t="str">
        <f>IFERROR(VLOOKUP(A491,Internal_lists_bugs!$A$2:$G1058,7,FALSE()),"please select a BUG ID")</f>
        <v>please select a BUG ID</v>
      </c>
    </row>
    <row r="492">
      <c r="A492" s="54"/>
      <c r="B492" s="71" t="str">
        <f>IFERROR(HYPERLINK(VLOOKUP(A492,Internal_lists_bugs!$A$2:$C$73,3,FALSE()), VLOOKUP(A492,Internal_lists_bugs!$A$2:$C$73,3,FALSE())&amp;Char(10) &amp; Char(10) &amp; VLOOKUP(A492,Internal_lists_bugs!$A$2:$Z$73,26,FALSE())),"please select a BUG ID")</f>
        <v>please select a BUG ID</v>
      </c>
      <c r="C492" s="51" t="str">
        <f>IFERROR(VLOOKUP(A492,Internal_lists_bugs!$A$2:$T1058,20,FALSE()),"please select a BUG ID")</f>
        <v>please select a BUG ID</v>
      </c>
      <c r="E492" s="54"/>
      <c r="F492" s="82"/>
      <c r="G492" s="92"/>
      <c r="H492" s="54"/>
      <c r="I492" s="51" t="str">
        <f>IFERROR(VLOOKUP(A492,Internal_lists_bugs!$A$2:$G1058,7,FALSE()),"please select a BUG ID")</f>
        <v>please select a BUG ID</v>
      </c>
    </row>
    <row r="493">
      <c r="A493" s="54"/>
      <c r="B493" s="71" t="str">
        <f>IFERROR(HYPERLINK(VLOOKUP(A493,Internal_lists_bugs!$A$2:$C$73,3,FALSE()), VLOOKUP(A493,Internal_lists_bugs!$A$2:$C$73,3,FALSE())&amp;Char(10) &amp; Char(10) &amp; VLOOKUP(A493,Internal_lists_bugs!$A$2:$Z$73,26,FALSE())),"please select a BUG ID")</f>
        <v>please select a BUG ID</v>
      </c>
      <c r="C493" s="51" t="str">
        <f>IFERROR(VLOOKUP(A493,Internal_lists_bugs!$A$2:$T1058,20,FALSE()),"please select a BUG ID")</f>
        <v>please select a BUG ID</v>
      </c>
      <c r="E493" s="54"/>
      <c r="F493" s="82"/>
      <c r="G493" s="92"/>
      <c r="H493" s="54"/>
      <c r="I493" s="51" t="str">
        <f>IFERROR(VLOOKUP(A493,Internal_lists_bugs!$A$2:$G1058,7,FALSE()),"please select a BUG ID")</f>
        <v>please select a BUG ID</v>
      </c>
    </row>
    <row r="494">
      <c r="A494" s="54"/>
      <c r="B494" s="71" t="str">
        <f>IFERROR(HYPERLINK(VLOOKUP(A494,Internal_lists_bugs!$A$2:$C$73,3,FALSE()), VLOOKUP(A494,Internal_lists_bugs!$A$2:$C$73,3,FALSE())&amp;Char(10) &amp; Char(10) &amp; VLOOKUP(A494,Internal_lists_bugs!$A$2:$Z$73,26,FALSE())),"please select a BUG ID")</f>
        <v>please select a BUG ID</v>
      </c>
      <c r="C494" s="51" t="str">
        <f>IFERROR(VLOOKUP(A494,Internal_lists_bugs!$A$2:$T1058,20,FALSE()),"please select a BUG ID")</f>
        <v>please select a BUG ID</v>
      </c>
      <c r="E494" s="54"/>
      <c r="F494" s="82"/>
      <c r="G494" s="92"/>
      <c r="H494" s="54"/>
      <c r="I494" s="51" t="str">
        <f>IFERROR(VLOOKUP(A494,Internal_lists_bugs!$A$2:$G1058,7,FALSE()),"please select a BUG ID")</f>
        <v>please select a BUG ID</v>
      </c>
    </row>
    <row r="495">
      <c r="A495" s="54"/>
      <c r="B495" s="71" t="str">
        <f>IFERROR(HYPERLINK(VLOOKUP(A495,Internal_lists_bugs!$A$2:$C$73,3,FALSE()), VLOOKUP(A495,Internal_lists_bugs!$A$2:$C$73,3,FALSE())&amp;Char(10) &amp; Char(10) &amp; VLOOKUP(A495,Internal_lists_bugs!$A$2:$Z$73,26,FALSE())),"please select a BUG ID")</f>
        <v>please select a BUG ID</v>
      </c>
      <c r="C495" s="51" t="str">
        <f>IFERROR(VLOOKUP(A495,Internal_lists_bugs!$A$2:$T1058,20,FALSE()),"please select a BUG ID")</f>
        <v>please select a BUG ID</v>
      </c>
      <c r="E495" s="54"/>
      <c r="F495" s="82"/>
      <c r="G495" s="92"/>
      <c r="H495" s="54"/>
      <c r="I495" s="51" t="str">
        <f>IFERROR(VLOOKUP(A495,Internal_lists_bugs!$A$2:$G1058,7,FALSE()),"please select a BUG ID")</f>
        <v>please select a BUG ID</v>
      </c>
    </row>
    <row r="496">
      <c r="A496" s="54"/>
      <c r="B496" s="71" t="str">
        <f>IFERROR(HYPERLINK(VLOOKUP(A496,Internal_lists_bugs!$A$2:$C$73,3,FALSE()), VLOOKUP(A496,Internal_lists_bugs!$A$2:$C$73,3,FALSE())&amp;Char(10) &amp; Char(10) &amp; VLOOKUP(A496,Internal_lists_bugs!$A$2:$Z$73,26,FALSE())),"please select a BUG ID")</f>
        <v>please select a BUG ID</v>
      </c>
      <c r="C496" s="51" t="str">
        <f>IFERROR(VLOOKUP(A496,Internal_lists_bugs!$A$2:$T1058,20,FALSE()),"please select a BUG ID")</f>
        <v>please select a BUG ID</v>
      </c>
      <c r="E496" s="54"/>
      <c r="F496" s="82"/>
      <c r="G496" s="92"/>
      <c r="H496" s="54"/>
      <c r="I496" s="51" t="str">
        <f>IFERROR(VLOOKUP(A496,Internal_lists_bugs!$A$2:$G1058,7,FALSE()),"please select a BUG ID")</f>
        <v>please select a BUG ID</v>
      </c>
    </row>
    <row r="497">
      <c r="A497" s="54"/>
      <c r="B497" s="71" t="str">
        <f>IFERROR(HYPERLINK(VLOOKUP(A497,Internal_lists_bugs!$A$2:$C$73,3,FALSE()), VLOOKUP(A497,Internal_lists_bugs!$A$2:$C$73,3,FALSE())&amp;Char(10) &amp; Char(10) &amp; VLOOKUP(A497,Internal_lists_bugs!$A$2:$Z$73,26,FALSE())),"please select a BUG ID")</f>
        <v>please select a BUG ID</v>
      </c>
      <c r="C497" s="51" t="str">
        <f>IFERROR(VLOOKUP(A497,Internal_lists_bugs!$A$2:$T1058,20,FALSE()),"please select a BUG ID")</f>
        <v>please select a BUG ID</v>
      </c>
      <c r="E497" s="54"/>
      <c r="F497" s="82"/>
      <c r="G497" s="92"/>
      <c r="H497" s="54"/>
      <c r="I497" s="51" t="str">
        <f>IFERROR(VLOOKUP(A497,Internal_lists_bugs!$A$2:$G1058,7,FALSE()),"please select a BUG ID")</f>
        <v>please select a BUG ID</v>
      </c>
    </row>
    <row r="498">
      <c r="A498" s="54"/>
      <c r="B498" s="71" t="str">
        <f>IFERROR(HYPERLINK(VLOOKUP(A498,Internal_lists_bugs!$A$2:$C$73,3,FALSE()), VLOOKUP(A498,Internal_lists_bugs!$A$2:$C$73,3,FALSE())&amp;Char(10) &amp; Char(10) &amp; VLOOKUP(A498,Internal_lists_bugs!$A$2:$Z$73,26,FALSE())),"please select a BUG ID")</f>
        <v>please select a BUG ID</v>
      </c>
      <c r="C498" s="51" t="str">
        <f>IFERROR(VLOOKUP(A498,Internal_lists_bugs!$A$2:$T1058,20,FALSE()),"please select a BUG ID")</f>
        <v>please select a BUG ID</v>
      </c>
      <c r="E498" s="54"/>
      <c r="F498" s="82"/>
      <c r="G498" s="92"/>
      <c r="H498" s="54"/>
      <c r="I498" s="51" t="str">
        <f>IFERROR(VLOOKUP(A498,Internal_lists_bugs!$A$2:$G1058,7,FALSE()),"please select a BUG ID")</f>
        <v>please select a BUG ID</v>
      </c>
    </row>
    <row r="499">
      <c r="A499" s="54"/>
      <c r="B499" s="71" t="str">
        <f>IFERROR(HYPERLINK(VLOOKUP(A499,Internal_lists_bugs!$A$2:$C$73,3,FALSE()), VLOOKUP(A499,Internal_lists_bugs!$A$2:$C$73,3,FALSE())&amp;Char(10) &amp; Char(10) &amp; VLOOKUP(A499,Internal_lists_bugs!$A$2:$Z$73,26,FALSE())),"please select a BUG ID")</f>
        <v>please select a BUG ID</v>
      </c>
      <c r="C499" s="51" t="str">
        <f>IFERROR(VLOOKUP(A499,Internal_lists_bugs!$A$2:$T1058,20,FALSE()),"please select a BUG ID")</f>
        <v>please select a BUG ID</v>
      </c>
      <c r="E499" s="54"/>
      <c r="F499" s="82"/>
      <c r="G499" s="92"/>
      <c r="H499" s="54"/>
      <c r="I499" s="51" t="str">
        <f>IFERROR(VLOOKUP(A499,Internal_lists_bugs!$A$2:$G1058,7,FALSE()),"please select a BUG ID")</f>
        <v>please select a BUG ID</v>
      </c>
    </row>
    <row r="500">
      <c r="A500" s="54"/>
      <c r="B500" s="71" t="str">
        <f>IFERROR(HYPERLINK(VLOOKUP(A500,Internal_lists_bugs!$A$2:$C$73,3,FALSE()), VLOOKUP(A500,Internal_lists_bugs!$A$2:$C$73,3,FALSE())&amp;Char(10) &amp; Char(10) &amp; VLOOKUP(A500,Internal_lists_bugs!$A$2:$Z$73,26,FALSE())),"please select a BUG ID")</f>
        <v>please select a BUG ID</v>
      </c>
      <c r="C500" s="51" t="str">
        <f>IFERROR(VLOOKUP(A500,Internal_lists_bugs!$A$2:$T1058,20,FALSE()),"please select a BUG ID")</f>
        <v>please select a BUG ID</v>
      </c>
      <c r="E500" s="54"/>
      <c r="F500" s="82"/>
      <c r="G500" s="92"/>
      <c r="H500" s="54"/>
      <c r="I500" s="51" t="str">
        <f>IFERROR(VLOOKUP(A500,Internal_lists_bugs!$A$2:$G1058,7,FALSE()),"please select a BUG ID")</f>
        <v>please select a BUG ID</v>
      </c>
    </row>
    <row r="501">
      <c r="A501" s="54"/>
      <c r="B501" s="71" t="str">
        <f>IFERROR(HYPERLINK(VLOOKUP(A501,Internal_lists_bugs!$A$2:$C$73,3,FALSE()), VLOOKUP(A501,Internal_lists_bugs!$A$2:$C$73,3,FALSE())&amp;Char(10) &amp; Char(10) &amp; VLOOKUP(A501,Internal_lists_bugs!$A$2:$Z$73,26,FALSE())),"please select a BUG ID")</f>
        <v>please select a BUG ID</v>
      </c>
      <c r="C501" s="51" t="str">
        <f>IFERROR(VLOOKUP(A501,Internal_lists_bugs!$A$2:$T1058,20,FALSE()),"please select a BUG ID")</f>
        <v>please select a BUG ID</v>
      </c>
      <c r="E501" s="54"/>
      <c r="F501" s="82"/>
      <c r="G501" s="92"/>
      <c r="H501" s="54"/>
      <c r="I501" s="51" t="str">
        <f>IFERROR(VLOOKUP(A501,Internal_lists_bugs!$A$2:$G1058,7,FALSE()),"please select a BUG ID")</f>
        <v>please select a BUG ID</v>
      </c>
    </row>
    <row r="502">
      <c r="A502" s="54"/>
      <c r="B502" s="71" t="str">
        <f>IFERROR(HYPERLINK(VLOOKUP(A502,Internal_lists_bugs!$A$2:$C$73,3,FALSE()), VLOOKUP(A502,Internal_lists_bugs!$A$2:$C$73,3,FALSE())&amp;Char(10) &amp; Char(10) &amp; VLOOKUP(A502,Internal_lists_bugs!$A$2:$Z$73,26,FALSE())),"please select a BUG ID")</f>
        <v>please select a BUG ID</v>
      </c>
      <c r="C502" s="51" t="str">
        <f>IFERROR(VLOOKUP(A502,Internal_lists_bugs!$A$2:$T1058,20,FALSE()),"please select a BUG ID")</f>
        <v>please select a BUG ID</v>
      </c>
      <c r="E502" s="54"/>
      <c r="F502" s="82"/>
      <c r="G502" s="92"/>
      <c r="H502" s="54"/>
      <c r="I502" s="51" t="str">
        <f>IFERROR(VLOOKUP(A502,Internal_lists_bugs!$A$2:$G1058,7,FALSE()),"please select a BUG ID")</f>
        <v>please select a BUG ID</v>
      </c>
    </row>
    <row r="503">
      <c r="A503" s="54"/>
      <c r="B503" s="71" t="str">
        <f>IFERROR(HYPERLINK(VLOOKUP(A503,Internal_lists_bugs!$A$2:$C$73,3,FALSE()), VLOOKUP(A503,Internal_lists_bugs!$A$2:$C$73,3,FALSE())&amp;Char(10) &amp; Char(10) &amp; VLOOKUP(A503,Internal_lists_bugs!$A$2:$Z$73,26,FALSE())),"please select a BUG ID")</f>
        <v>please select a BUG ID</v>
      </c>
      <c r="C503" s="51" t="str">
        <f>IFERROR(VLOOKUP(A503,Internal_lists_bugs!$A$2:$T1058,20,FALSE()),"please select a BUG ID")</f>
        <v>please select a BUG ID</v>
      </c>
      <c r="E503" s="54"/>
      <c r="F503" s="82"/>
      <c r="G503" s="92"/>
      <c r="H503" s="54"/>
      <c r="I503" s="51" t="str">
        <f>IFERROR(VLOOKUP(A503,Internal_lists_bugs!$A$2:$G1058,7,FALSE()),"please select a BUG ID")</f>
        <v>please select a BUG ID</v>
      </c>
    </row>
    <row r="504">
      <c r="A504" s="54"/>
      <c r="B504" s="71" t="str">
        <f>IFERROR(HYPERLINK(VLOOKUP(A504,Internal_lists_bugs!$A$2:$C$73,3,FALSE()), VLOOKUP(A504,Internal_lists_bugs!$A$2:$C$73,3,FALSE())&amp;Char(10) &amp; Char(10) &amp; VLOOKUP(A504,Internal_lists_bugs!$A$2:$Z$73,26,FALSE())),"please select a BUG ID")</f>
        <v>please select a BUG ID</v>
      </c>
      <c r="C504" s="51" t="str">
        <f>IFERROR(VLOOKUP(A504,Internal_lists_bugs!$A$2:$T1058,20,FALSE()),"please select a BUG ID")</f>
        <v>please select a BUG ID</v>
      </c>
      <c r="E504" s="54"/>
      <c r="F504" s="82"/>
      <c r="G504" s="92"/>
      <c r="H504" s="54"/>
      <c r="I504" s="51" t="str">
        <f>IFERROR(VLOOKUP(A504,Internal_lists_bugs!$A$2:$G1058,7,FALSE()),"please select a BUG ID")</f>
        <v>please select a BUG ID</v>
      </c>
    </row>
    <row r="505">
      <c r="A505" s="54"/>
      <c r="B505" s="71" t="str">
        <f>IFERROR(HYPERLINK(VLOOKUP(A505,Internal_lists_bugs!$A$2:$C$73,3,FALSE()), VLOOKUP(A505,Internal_lists_bugs!$A$2:$C$73,3,FALSE())&amp;Char(10) &amp; Char(10) &amp; VLOOKUP(A505,Internal_lists_bugs!$A$2:$Z$73,26,FALSE())),"please select a BUG ID")</f>
        <v>please select a BUG ID</v>
      </c>
      <c r="C505" s="51" t="str">
        <f>IFERROR(VLOOKUP(A505,Internal_lists_bugs!$A$2:$T1058,20,FALSE()),"please select a BUG ID")</f>
        <v>please select a BUG ID</v>
      </c>
      <c r="E505" s="54"/>
      <c r="F505" s="82"/>
      <c r="G505" s="92"/>
      <c r="H505" s="54"/>
      <c r="I505" s="51" t="str">
        <f>IFERROR(VLOOKUP(A505,Internal_lists_bugs!$A$2:$G1058,7,FALSE()),"please select a BUG ID")</f>
        <v>please select a BUG ID</v>
      </c>
    </row>
    <row r="506">
      <c r="A506" s="54"/>
      <c r="B506" s="71" t="str">
        <f>IFERROR(HYPERLINK(VLOOKUP(A506,Internal_lists_bugs!$A$2:$C$73,3,FALSE()), VLOOKUP(A506,Internal_lists_bugs!$A$2:$C$73,3,FALSE())&amp;Char(10) &amp; Char(10) &amp; VLOOKUP(A506,Internal_lists_bugs!$A$2:$Z$73,26,FALSE())),"please select a BUG ID")</f>
        <v>please select a BUG ID</v>
      </c>
      <c r="C506" s="51" t="str">
        <f>IFERROR(VLOOKUP(A506,Internal_lists_bugs!$A$2:$T1058,20,FALSE()),"please select a BUG ID")</f>
        <v>please select a BUG ID</v>
      </c>
      <c r="E506" s="54"/>
      <c r="F506" s="82"/>
      <c r="G506" s="92"/>
      <c r="H506" s="54"/>
      <c r="I506" s="51" t="str">
        <f>IFERROR(VLOOKUP(A506,Internal_lists_bugs!$A$2:$G1058,7,FALSE()),"please select a BUG ID")</f>
        <v>please select a BUG ID</v>
      </c>
    </row>
    <row r="507">
      <c r="A507" s="54"/>
      <c r="B507" s="71" t="str">
        <f>IFERROR(HYPERLINK(VLOOKUP(A507,Internal_lists_bugs!$A$2:$C$73,3,FALSE()), VLOOKUP(A507,Internal_lists_bugs!$A$2:$C$73,3,FALSE())&amp;Char(10) &amp; Char(10) &amp; VLOOKUP(A507,Internal_lists_bugs!$A$2:$Z$73,26,FALSE())),"please select a BUG ID")</f>
        <v>please select a BUG ID</v>
      </c>
      <c r="C507" s="51" t="str">
        <f>IFERROR(VLOOKUP(A507,Internal_lists_bugs!$A$2:$T1058,20,FALSE()),"please select a BUG ID")</f>
        <v>please select a BUG ID</v>
      </c>
      <c r="E507" s="54"/>
      <c r="F507" s="82"/>
      <c r="G507" s="92"/>
      <c r="H507" s="54"/>
      <c r="I507" s="51" t="str">
        <f>IFERROR(VLOOKUP(A507,Internal_lists_bugs!$A$2:$G1058,7,FALSE()),"please select a BUG ID")</f>
        <v>please select a BUG ID</v>
      </c>
    </row>
    <row r="508">
      <c r="A508" s="54"/>
      <c r="B508" s="71" t="str">
        <f>IFERROR(HYPERLINK(VLOOKUP(A508,Internal_lists_bugs!$A$2:$C$73,3,FALSE()), VLOOKUP(A508,Internal_lists_bugs!$A$2:$C$73,3,FALSE())&amp;Char(10) &amp; Char(10) &amp; VLOOKUP(A508,Internal_lists_bugs!$A$2:$Z$73,26,FALSE())),"please select a BUG ID")</f>
        <v>please select a BUG ID</v>
      </c>
      <c r="C508" s="51" t="str">
        <f>IFERROR(VLOOKUP(A508,Internal_lists_bugs!$A$2:$T1058,20,FALSE()),"please select a BUG ID")</f>
        <v>please select a BUG ID</v>
      </c>
      <c r="E508" s="54"/>
      <c r="F508" s="82"/>
      <c r="G508" s="92"/>
      <c r="H508" s="54"/>
      <c r="I508" s="51" t="str">
        <f>IFERROR(VLOOKUP(A508,Internal_lists_bugs!$A$2:$G1058,7,FALSE()),"please select a BUG ID")</f>
        <v>please select a BUG ID</v>
      </c>
    </row>
    <row r="509">
      <c r="A509" s="54"/>
      <c r="B509" s="71" t="str">
        <f>IFERROR(HYPERLINK(VLOOKUP(A509,Internal_lists_bugs!$A$2:$C$73,3,FALSE()), VLOOKUP(A509,Internal_lists_bugs!$A$2:$C$73,3,FALSE())&amp;Char(10) &amp; Char(10) &amp; VLOOKUP(A509,Internal_lists_bugs!$A$2:$Z$73,26,FALSE())),"please select a BUG ID")</f>
        <v>please select a BUG ID</v>
      </c>
      <c r="C509" s="51" t="str">
        <f>IFERROR(VLOOKUP(A509,Internal_lists_bugs!$A$2:$T1058,20,FALSE()),"please select a BUG ID")</f>
        <v>please select a BUG ID</v>
      </c>
      <c r="E509" s="54"/>
      <c r="F509" s="82"/>
      <c r="G509" s="92"/>
      <c r="H509" s="54"/>
      <c r="I509" s="51" t="str">
        <f>IFERROR(VLOOKUP(A509,Internal_lists_bugs!$A$2:$G1058,7,FALSE()),"please select a BUG ID")</f>
        <v>please select a BUG ID</v>
      </c>
    </row>
    <row r="510">
      <c r="A510" s="54"/>
      <c r="B510" s="71" t="str">
        <f>IFERROR(HYPERLINK(VLOOKUP(A510,Internal_lists_bugs!$A$2:$C$73,3,FALSE()), VLOOKUP(A510,Internal_lists_bugs!$A$2:$C$73,3,FALSE())&amp;Char(10) &amp; Char(10) &amp; VLOOKUP(A510,Internal_lists_bugs!$A$2:$Z$73,26,FALSE())),"please select a BUG ID")</f>
        <v>please select a BUG ID</v>
      </c>
      <c r="C510" s="51" t="str">
        <f>IFERROR(VLOOKUP(A510,Internal_lists_bugs!$A$2:$T1058,20,FALSE()),"please select a BUG ID")</f>
        <v>please select a BUG ID</v>
      </c>
      <c r="E510" s="54"/>
      <c r="F510" s="82"/>
      <c r="G510" s="92"/>
      <c r="H510" s="54"/>
      <c r="I510" s="51" t="str">
        <f>IFERROR(VLOOKUP(A510,Internal_lists_bugs!$A$2:$G1058,7,FALSE()),"please select a BUG ID")</f>
        <v>please select a BUG ID</v>
      </c>
    </row>
    <row r="511">
      <c r="A511" s="54"/>
      <c r="B511" s="71" t="str">
        <f>IFERROR(HYPERLINK(VLOOKUP(A511,Internal_lists_bugs!$A$2:$C$73,3,FALSE()), VLOOKUP(A511,Internal_lists_bugs!$A$2:$C$73,3,FALSE())&amp;Char(10) &amp; Char(10) &amp; VLOOKUP(A511,Internal_lists_bugs!$A$2:$Z$73,26,FALSE())),"please select a BUG ID")</f>
        <v>please select a BUG ID</v>
      </c>
      <c r="C511" s="51" t="str">
        <f>IFERROR(VLOOKUP(A511,Internal_lists_bugs!$A$2:$T1058,20,FALSE()),"please select a BUG ID")</f>
        <v>please select a BUG ID</v>
      </c>
      <c r="E511" s="54"/>
      <c r="F511" s="82"/>
      <c r="G511" s="92"/>
      <c r="H511" s="54"/>
      <c r="I511" s="51" t="str">
        <f>IFERROR(VLOOKUP(A511,Internal_lists_bugs!$A$2:$G1058,7,FALSE()),"please select a BUG ID")</f>
        <v>please select a BUG ID</v>
      </c>
    </row>
    <row r="512">
      <c r="A512" s="54"/>
      <c r="B512" s="71" t="str">
        <f>IFERROR(HYPERLINK(VLOOKUP(A512,Internal_lists_bugs!$A$2:$C$73,3,FALSE()), VLOOKUP(A512,Internal_lists_bugs!$A$2:$C$73,3,FALSE())&amp;Char(10) &amp; Char(10) &amp; VLOOKUP(A512,Internal_lists_bugs!$A$2:$Z$73,26,FALSE())),"please select a BUG ID")</f>
        <v>please select a BUG ID</v>
      </c>
      <c r="C512" s="51" t="str">
        <f>IFERROR(VLOOKUP(A512,Internal_lists_bugs!$A$2:$T1058,20,FALSE()),"please select a BUG ID")</f>
        <v>please select a BUG ID</v>
      </c>
      <c r="E512" s="54"/>
      <c r="F512" s="82"/>
      <c r="G512" s="92"/>
      <c r="H512" s="54"/>
      <c r="I512" s="51" t="str">
        <f>IFERROR(VLOOKUP(A512,Internal_lists_bugs!$A$2:$G1058,7,FALSE()),"please select a BUG ID")</f>
        <v>please select a BUG ID</v>
      </c>
    </row>
    <row r="513">
      <c r="A513" s="54"/>
      <c r="B513" s="71" t="str">
        <f>IFERROR(HYPERLINK(VLOOKUP(A513,Internal_lists_bugs!$A$2:$C$73,3,FALSE()), VLOOKUP(A513,Internal_lists_bugs!$A$2:$C$73,3,FALSE())&amp;Char(10) &amp; Char(10) &amp; VLOOKUP(A513,Internal_lists_bugs!$A$2:$Z$73,26,FALSE())),"please select a BUG ID")</f>
        <v>please select a BUG ID</v>
      </c>
      <c r="C513" s="51" t="str">
        <f>IFERROR(VLOOKUP(A513,Internal_lists_bugs!$A$2:$T1058,20,FALSE()),"please select a BUG ID")</f>
        <v>please select a BUG ID</v>
      </c>
      <c r="E513" s="54"/>
      <c r="F513" s="82"/>
      <c r="G513" s="92"/>
      <c r="H513" s="54"/>
      <c r="I513" s="51" t="str">
        <f>IFERROR(VLOOKUP(A513,Internal_lists_bugs!$A$2:$G1058,7,FALSE()),"please select a BUG ID")</f>
        <v>please select a BUG ID</v>
      </c>
    </row>
    <row r="514">
      <c r="A514" s="54"/>
      <c r="B514" s="71" t="str">
        <f>IFERROR(HYPERLINK(VLOOKUP(A514,Internal_lists_bugs!$A$2:$C$73,3,FALSE()), VLOOKUP(A514,Internal_lists_bugs!$A$2:$C$73,3,FALSE())&amp;Char(10) &amp; Char(10) &amp; VLOOKUP(A514,Internal_lists_bugs!$A$2:$Z$73,26,FALSE())),"please select a BUG ID")</f>
        <v>please select a BUG ID</v>
      </c>
      <c r="C514" s="51" t="str">
        <f>IFERROR(VLOOKUP(A514,Internal_lists_bugs!$A$2:$T1058,20,FALSE()),"please select a BUG ID")</f>
        <v>please select a BUG ID</v>
      </c>
      <c r="E514" s="54"/>
      <c r="F514" s="82"/>
      <c r="G514" s="92"/>
      <c r="H514" s="54"/>
      <c r="I514" s="51" t="str">
        <f>IFERROR(VLOOKUP(A514,Internal_lists_bugs!$A$2:$G1058,7,FALSE()),"please select a BUG ID")</f>
        <v>please select a BUG ID</v>
      </c>
    </row>
    <row r="515">
      <c r="A515" s="54"/>
      <c r="B515" s="71" t="str">
        <f>IFERROR(HYPERLINK(VLOOKUP(A515,Internal_lists_bugs!$A$2:$C$73,3,FALSE()), VLOOKUP(A515,Internal_lists_bugs!$A$2:$C$73,3,FALSE())&amp;Char(10) &amp; Char(10) &amp; VLOOKUP(A515,Internal_lists_bugs!$A$2:$Z$73,26,FALSE())),"please select a BUG ID")</f>
        <v>please select a BUG ID</v>
      </c>
      <c r="C515" s="51" t="str">
        <f>IFERROR(VLOOKUP(A515,Internal_lists_bugs!$A$2:$T1058,20,FALSE()),"please select a BUG ID")</f>
        <v>please select a BUG ID</v>
      </c>
      <c r="E515" s="54"/>
      <c r="F515" s="82"/>
      <c r="G515" s="92"/>
      <c r="H515" s="54"/>
      <c r="I515" s="51" t="str">
        <f>IFERROR(VLOOKUP(A515,Internal_lists_bugs!$A$2:$G1058,7,FALSE()),"please select a BUG ID")</f>
        <v>please select a BUG ID</v>
      </c>
    </row>
    <row r="516">
      <c r="A516" s="54"/>
      <c r="B516" s="71" t="str">
        <f>IFERROR(HYPERLINK(VLOOKUP(A516,Internal_lists_bugs!$A$2:$C$73,3,FALSE()), VLOOKUP(A516,Internal_lists_bugs!$A$2:$C$73,3,FALSE())&amp;Char(10) &amp; Char(10) &amp; VLOOKUP(A516,Internal_lists_bugs!$A$2:$Z$73,26,FALSE())),"please select a BUG ID")</f>
        <v>please select a BUG ID</v>
      </c>
      <c r="C516" s="51" t="str">
        <f>IFERROR(VLOOKUP(A516,Internal_lists_bugs!$A$2:$T1058,20,FALSE()),"please select a BUG ID")</f>
        <v>please select a BUG ID</v>
      </c>
      <c r="E516" s="54"/>
      <c r="F516" s="82"/>
      <c r="G516" s="92"/>
      <c r="H516" s="54"/>
      <c r="I516" s="51" t="str">
        <f>IFERROR(VLOOKUP(A516,Internal_lists_bugs!$A$2:$G1058,7,FALSE()),"please select a BUG ID")</f>
        <v>please select a BUG ID</v>
      </c>
    </row>
    <row r="517">
      <c r="A517" s="54"/>
      <c r="B517" s="71" t="str">
        <f>IFERROR(HYPERLINK(VLOOKUP(A517,Internal_lists_bugs!$A$2:$C$73,3,FALSE()), VLOOKUP(A517,Internal_lists_bugs!$A$2:$C$73,3,FALSE())&amp;Char(10) &amp; Char(10) &amp; VLOOKUP(A517,Internal_lists_bugs!$A$2:$Z$73,26,FALSE())),"please select a BUG ID")</f>
        <v>please select a BUG ID</v>
      </c>
      <c r="C517" s="51" t="str">
        <f>IFERROR(VLOOKUP(A517,Internal_lists_bugs!$A$2:$T1058,20,FALSE()),"please select a BUG ID")</f>
        <v>please select a BUG ID</v>
      </c>
      <c r="E517" s="54"/>
      <c r="F517" s="82"/>
      <c r="G517" s="92"/>
      <c r="H517" s="54"/>
      <c r="I517" s="51" t="str">
        <f>IFERROR(VLOOKUP(A517,Internal_lists_bugs!$A$2:$G1058,7,FALSE()),"please select a BUG ID")</f>
        <v>please select a BUG ID</v>
      </c>
    </row>
    <row r="518">
      <c r="A518" s="54"/>
      <c r="B518" s="71" t="str">
        <f>IFERROR(HYPERLINK(VLOOKUP(A518,Internal_lists_bugs!$A$2:$C$73,3,FALSE()), VLOOKUP(A518,Internal_lists_bugs!$A$2:$C$73,3,FALSE())&amp;Char(10) &amp; Char(10) &amp; VLOOKUP(A518,Internal_lists_bugs!$A$2:$Z$73,26,FALSE())),"please select a BUG ID")</f>
        <v>please select a BUG ID</v>
      </c>
      <c r="C518" s="51" t="str">
        <f>IFERROR(VLOOKUP(A518,Internal_lists_bugs!$A$2:$T1058,20,FALSE()),"please select a BUG ID")</f>
        <v>please select a BUG ID</v>
      </c>
      <c r="E518" s="54"/>
      <c r="F518" s="82"/>
      <c r="G518" s="92"/>
      <c r="H518" s="54"/>
      <c r="I518" s="51" t="str">
        <f>IFERROR(VLOOKUP(A518,Internal_lists_bugs!$A$2:$G1058,7,FALSE()),"please select a BUG ID")</f>
        <v>please select a BUG ID</v>
      </c>
    </row>
    <row r="519">
      <c r="A519" s="54"/>
      <c r="B519" s="71" t="str">
        <f>IFERROR(HYPERLINK(VLOOKUP(A519,Internal_lists_bugs!$A$2:$C$73,3,FALSE()), VLOOKUP(A519,Internal_lists_bugs!$A$2:$C$73,3,FALSE())&amp;Char(10) &amp; Char(10) &amp; VLOOKUP(A519,Internal_lists_bugs!$A$2:$Z$73,26,FALSE())),"please select a BUG ID")</f>
        <v>please select a BUG ID</v>
      </c>
      <c r="C519" s="51" t="str">
        <f>IFERROR(VLOOKUP(A519,Internal_lists_bugs!$A$2:$T1058,20,FALSE()),"please select a BUG ID")</f>
        <v>please select a BUG ID</v>
      </c>
      <c r="E519" s="54"/>
      <c r="F519" s="82"/>
      <c r="G519" s="92"/>
      <c r="H519" s="54"/>
      <c r="I519" s="51" t="str">
        <f>IFERROR(VLOOKUP(A519,Internal_lists_bugs!$A$2:$G1058,7,FALSE()),"please select a BUG ID")</f>
        <v>please select a BUG ID</v>
      </c>
    </row>
    <row r="520">
      <c r="A520" s="54"/>
      <c r="B520" s="71" t="str">
        <f>IFERROR(HYPERLINK(VLOOKUP(A520,Internal_lists_bugs!$A$2:$C$73,3,FALSE()), VLOOKUP(A520,Internal_lists_bugs!$A$2:$C$73,3,FALSE())&amp;Char(10) &amp; Char(10) &amp; VLOOKUP(A520,Internal_lists_bugs!$A$2:$Z$73,26,FALSE())),"please select a BUG ID")</f>
        <v>please select a BUG ID</v>
      </c>
      <c r="C520" s="51" t="str">
        <f>IFERROR(VLOOKUP(A520,Internal_lists_bugs!$A$2:$T1058,20,FALSE()),"please select a BUG ID")</f>
        <v>please select a BUG ID</v>
      </c>
      <c r="E520" s="54"/>
      <c r="F520" s="82"/>
      <c r="G520" s="92"/>
      <c r="H520" s="54"/>
      <c r="I520" s="51" t="str">
        <f>IFERROR(VLOOKUP(A520,Internal_lists_bugs!$A$2:$G1058,7,FALSE()),"please select a BUG ID")</f>
        <v>please select a BUG ID</v>
      </c>
    </row>
    <row r="521">
      <c r="A521" s="54"/>
      <c r="B521" s="71" t="str">
        <f>IFERROR(HYPERLINK(VLOOKUP(A521,Internal_lists_bugs!$A$2:$C$73,3,FALSE()), VLOOKUP(A521,Internal_lists_bugs!$A$2:$C$73,3,FALSE())&amp;Char(10) &amp; Char(10) &amp; VLOOKUP(A521,Internal_lists_bugs!$A$2:$Z$73,26,FALSE())),"please select a BUG ID")</f>
        <v>please select a BUG ID</v>
      </c>
      <c r="C521" s="51" t="str">
        <f>IFERROR(VLOOKUP(A521,Internal_lists_bugs!$A$2:$T1058,20,FALSE()),"please select a BUG ID")</f>
        <v>please select a BUG ID</v>
      </c>
      <c r="E521" s="54"/>
      <c r="F521" s="82"/>
      <c r="G521" s="92"/>
      <c r="H521" s="54"/>
      <c r="I521" s="51" t="str">
        <f>IFERROR(VLOOKUP(A521,Internal_lists_bugs!$A$2:$G1058,7,FALSE()),"please select a BUG ID")</f>
        <v>please select a BUG ID</v>
      </c>
    </row>
    <row r="522">
      <c r="A522" s="54"/>
      <c r="B522" s="71" t="str">
        <f>IFERROR(HYPERLINK(VLOOKUP(A522,Internal_lists_bugs!$A$2:$C$73,3,FALSE()), VLOOKUP(A522,Internal_lists_bugs!$A$2:$C$73,3,FALSE())&amp;Char(10) &amp; Char(10) &amp; VLOOKUP(A522,Internal_lists_bugs!$A$2:$Z$73,26,FALSE())),"please select a BUG ID")</f>
        <v>please select a BUG ID</v>
      </c>
      <c r="C522" s="51" t="str">
        <f>IFERROR(VLOOKUP(A522,Internal_lists_bugs!$A$2:$T1058,20,FALSE()),"please select a BUG ID")</f>
        <v>please select a BUG ID</v>
      </c>
      <c r="E522" s="54"/>
      <c r="F522" s="82"/>
      <c r="G522" s="92"/>
      <c r="H522" s="54"/>
      <c r="I522" s="51" t="str">
        <f>IFERROR(VLOOKUP(A522,Internal_lists_bugs!$A$2:$G1058,7,FALSE()),"please select a BUG ID")</f>
        <v>please select a BUG ID</v>
      </c>
    </row>
    <row r="523">
      <c r="A523" s="54"/>
      <c r="B523" s="71" t="str">
        <f>IFERROR(HYPERLINK(VLOOKUP(A523,Internal_lists_bugs!$A$2:$C$73,3,FALSE()), VLOOKUP(A523,Internal_lists_bugs!$A$2:$C$73,3,FALSE())&amp;Char(10) &amp; Char(10) &amp; VLOOKUP(A523,Internal_lists_bugs!$A$2:$Z$73,26,FALSE())),"please select a BUG ID")</f>
        <v>please select a BUG ID</v>
      </c>
      <c r="C523" s="51" t="str">
        <f>IFERROR(VLOOKUP(A523,Internal_lists_bugs!$A$2:$T1058,20,FALSE()),"please select a BUG ID")</f>
        <v>please select a BUG ID</v>
      </c>
      <c r="E523" s="54"/>
      <c r="F523" s="82"/>
      <c r="G523" s="92"/>
      <c r="H523" s="54"/>
      <c r="I523" s="51" t="str">
        <f>IFERROR(VLOOKUP(A523,Internal_lists_bugs!$A$2:$G1058,7,FALSE()),"please select a BUG ID")</f>
        <v>please select a BUG ID</v>
      </c>
    </row>
    <row r="524">
      <c r="A524" s="54"/>
      <c r="B524" s="71" t="str">
        <f>IFERROR(HYPERLINK(VLOOKUP(A524,Internal_lists_bugs!$A$2:$C$73,3,FALSE()), VLOOKUP(A524,Internal_lists_bugs!$A$2:$C$73,3,FALSE())&amp;Char(10) &amp; Char(10) &amp; VLOOKUP(A524,Internal_lists_bugs!$A$2:$Z$73,26,FALSE())),"please select a BUG ID")</f>
        <v>please select a BUG ID</v>
      </c>
      <c r="C524" s="51" t="str">
        <f>IFERROR(VLOOKUP(A524,Internal_lists_bugs!$A$2:$T1058,20,FALSE()),"please select a BUG ID")</f>
        <v>please select a BUG ID</v>
      </c>
      <c r="E524" s="54"/>
      <c r="F524" s="82"/>
      <c r="G524" s="92"/>
      <c r="H524" s="54"/>
      <c r="I524" s="51" t="str">
        <f>IFERROR(VLOOKUP(A524,Internal_lists_bugs!$A$2:$G1058,7,FALSE()),"please select a BUG ID")</f>
        <v>please select a BUG ID</v>
      </c>
    </row>
    <row r="525">
      <c r="A525" s="54"/>
      <c r="B525" s="71" t="str">
        <f>IFERROR(HYPERLINK(VLOOKUP(A525,Internal_lists_bugs!$A$2:$C$73,3,FALSE()), VLOOKUP(A525,Internal_lists_bugs!$A$2:$C$73,3,FALSE())&amp;Char(10) &amp; Char(10) &amp; VLOOKUP(A525,Internal_lists_bugs!$A$2:$Z$73,26,FALSE())),"please select a BUG ID")</f>
        <v>please select a BUG ID</v>
      </c>
      <c r="C525" s="51" t="str">
        <f>IFERROR(VLOOKUP(A525,Internal_lists_bugs!$A$2:$T1058,20,FALSE()),"please select a BUG ID")</f>
        <v>please select a BUG ID</v>
      </c>
      <c r="E525" s="54"/>
      <c r="F525" s="82"/>
      <c r="G525" s="92"/>
      <c r="H525" s="54"/>
      <c r="I525" s="51" t="str">
        <f>IFERROR(VLOOKUP(A525,Internal_lists_bugs!$A$2:$G1058,7,FALSE()),"please select a BUG ID")</f>
        <v>please select a BUG ID</v>
      </c>
    </row>
    <row r="526">
      <c r="A526" s="54"/>
      <c r="B526" s="71" t="str">
        <f>IFERROR(HYPERLINK(VLOOKUP(A526,Internal_lists_bugs!$A$2:$C$73,3,FALSE()), VLOOKUP(A526,Internal_lists_bugs!$A$2:$C$73,3,FALSE())&amp;Char(10) &amp; Char(10) &amp; VLOOKUP(A526,Internal_lists_bugs!$A$2:$Z$73,26,FALSE())),"please select a BUG ID")</f>
        <v>please select a BUG ID</v>
      </c>
      <c r="C526" s="51" t="str">
        <f>IFERROR(VLOOKUP(A526,Internal_lists_bugs!$A$2:$T1058,20,FALSE()),"please select a BUG ID")</f>
        <v>please select a BUG ID</v>
      </c>
      <c r="E526" s="54"/>
      <c r="F526" s="82"/>
      <c r="G526" s="92"/>
      <c r="H526" s="54"/>
      <c r="I526" s="51" t="str">
        <f>IFERROR(VLOOKUP(A526,Internal_lists_bugs!$A$2:$G1058,7,FALSE()),"please select a BUG ID")</f>
        <v>please select a BUG ID</v>
      </c>
    </row>
    <row r="527">
      <c r="A527" s="54"/>
      <c r="B527" s="71" t="str">
        <f>IFERROR(HYPERLINK(VLOOKUP(A527,Internal_lists_bugs!$A$2:$C$73,3,FALSE()), VLOOKUP(A527,Internal_lists_bugs!$A$2:$C$73,3,FALSE())&amp;Char(10) &amp; Char(10) &amp; VLOOKUP(A527,Internal_lists_bugs!$A$2:$Z$73,26,FALSE())),"please select a BUG ID")</f>
        <v>please select a BUG ID</v>
      </c>
      <c r="C527" s="51" t="str">
        <f>IFERROR(VLOOKUP(A527,Internal_lists_bugs!$A$2:$T1058,20,FALSE()),"please select a BUG ID")</f>
        <v>please select a BUG ID</v>
      </c>
      <c r="E527" s="54"/>
      <c r="F527" s="82"/>
      <c r="G527" s="92"/>
      <c r="H527" s="54"/>
      <c r="I527" s="51" t="str">
        <f>IFERROR(VLOOKUP(A527,Internal_lists_bugs!$A$2:$G1058,7,FALSE()),"please select a BUG ID")</f>
        <v>please select a BUG ID</v>
      </c>
    </row>
    <row r="528">
      <c r="A528" s="54"/>
      <c r="B528" s="71" t="str">
        <f>IFERROR(HYPERLINK(VLOOKUP(A528,Internal_lists_bugs!$A$2:$C$73,3,FALSE()), VLOOKUP(A528,Internal_lists_bugs!$A$2:$C$73,3,FALSE())&amp;Char(10) &amp; Char(10) &amp; VLOOKUP(A528,Internal_lists_bugs!$A$2:$Z$73,26,FALSE())),"please select a BUG ID")</f>
        <v>please select a BUG ID</v>
      </c>
      <c r="C528" s="51" t="str">
        <f>IFERROR(VLOOKUP(A528,Internal_lists_bugs!$A$2:$T1058,20,FALSE()),"please select a BUG ID")</f>
        <v>please select a BUG ID</v>
      </c>
      <c r="E528" s="54"/>
      <c r="F528" s="82"/>
      <c r="G528" s="92"/>
      <c r="H528" s="54"/>
      <c r="I528" s="51" t="str">
        <f>IFERROR(VLOOKUP(A528,Internal_lists_bugs!$A$2:$G1058,7,FALSE()),"please select a BUG ID")</f>
        <v>please select a BUG ID</v>
      </c>
    </row>
    <row r="529">
      <c r="A529" s="54"/>
      <c r="B529" s="71" t="str">
        <f>IFERROR(HYPERLINK(VLOOKUP(A529,Internal_lists_bugs!$A$2:$C$73,3,FALSE()), VLOOKUP(A529,Internal_lists_bugs!$A$2:$C$73,3,FALSE())&amp;Char(10) &amp; Char(10) &amp; VLOOKUP(A529,Internal_lists_bugs!$A$2:$Z$73,26,FALSE())),"please select a BUG ID")</f>
        <v>please select a BUG ID</v>
      </c>
      <c r="C529" s="51" t="str">
        <f>IFERROR(VLOOKUP(A529,Internal_lists_bugs!$A$2:$T1058,20,FALSE()),"please select a BUG ID")</f>
        <v>please select a BUG ID</v>
      </c>
      <c r="E529" s="54"/>
      <c r="F529" s="82"/>
      <c r="G529" s="92"/>
      <c r="H529" s="54"/>
      <c r="I529" s="51" t="str">
        <f>IFERROR(VLOOKUP(A529,Internal_lists_bugs!$A$2:$G1058,7,FALSE()),"please select a BUG ID")</f>
        <v>please select a BUG ID</v>
      </c>
    </row>
    <row r="530">
      <c r="A530" s="54"/>
      <c r="B530" s="71" t="str">
        <f>IFERROR(HYPERLINK(VLOOKUP(A530,Internal_lists_bugs!$A$2:$C$73,3,FALSE()), VLOOKUP(A530,Internal_lists_bugs!$A$2:$C$73,3,FALSE())&amp;Char(10) &amp; Char(10) &amp; VLOOKUP(A530,Internal_lists_bugs!$A$2:$Z$73,26,FALSE())),"please select a BUG ID")</f>
        <v>please select a BUG ID</v>
      </c>
      <c r="C530" s="51" t="str">
        <f>IFERROR(VLOOKUP(A530,Internal_lists_bugs!$A$2:$T1058,20,FALSE()),"please select a BUG ID")</f>
        <v>please select a BUG ID</v>
      </c>
      <c r="E530" s="54"/>
      <c r="F530" s="82"/>
      <c r="G530" s="92"/>
      <c r="H530" s="54"/>
      <c r="I530" s="51" t="str">
        <f>IFERROR(VLOOKUP(A530,Internal_lists_bugs!$A$2:$G1058,7,FALSE()),"please select a BUG ID")</f>
        <v>please select a BUG ID</v>
      </c>
    </row>
    <row r="531">
      <c r="A531" s="54"/>
      <c r="B531" s="71" t="str">
        <f>IFERROR(HYPERLINK(VLOOKUP(A531,Internal_lists_bugs!$A$2:$C$73,3,FALSE()), VLOOKUP(A531,Internal_lists_bugs!$A$2:$C$73,3,FALSE())&amp;Char(10) &amp; Char(10) &amp; VLOOKUP(A531,Internal_lists_bugs!$A$2:$Z$73,26,FALSE())),"please select a BUG ID")</f>
        <v>please select a BUG ID</v>
      </c>
      <c r="C531" s="51" t="str">
        <f>IFERROR(VLOOKUP(A531,Internal_lists_bugs!$A$2:$T1058,20,FALSE()),"please select a BUG ID")</f>
        <v>please select a BUG ID</v>
      </c>
      <c r="E531" s="54"/>
      <c r="F531" s="82"/>
      <c r="G531" s="92"/>
      <c r="H531" s="54"/>
      <c r="I531" s="51" t="str">
        <f>IFERROR(VLOOKUP(A531,Internal_lists_bugs!$A$2:$G1058,7,FALSE()),"please select a BUG ID")</f>
        <v>please select a BUG ID</v>
      </c>
    </row>
    <row r="532">
      <c r="A532" s="54"/>
      <c r="B532" s="71" t="str">
        <f>IFERROR(HYPERLINK(VLOOKUP(A532,Internal_lists_bugs!$A$2:$C$73,3,FALSE()), VLOOKUP(A532,Internal_lists_bugs!$A$2:$C$73,3,FALSE())&amp;Char(10) &amp; Char(10) &amp; VLOOKUP(A532,Internal_lists_bugs!$A$2:$Z$73,26,FALSE())),"please select a BUG ID")</f>
        <v>please select a BUG ID</v>
      </c>
      <c r="C532" s="51" t="str">
        <f>IFERROR(VLOOKUP(A532,Internal_lists_bugs!$A$2:$T1058,20,FALSE()),"please select a BUG ID")</f>
        <v>please select a BUG ID</v>
      </c>
      <c r="E532" s="54"/>
      <c r="F532" s="82"/>
      <c r="G532" s="92"/>
      <c r="H532" s="54"/>
      <c r="I532" s="51" t="str">
        <f>IFERROR(VLOOKUP(A532,Internal_lists_bugs!$A$2:$G1058,7,FALSE()),"please select a BUG ID")</f>
        <v>please select a BUG ID</v>
      </c>
    </row>
    <row r="533">
      <c r="A533" s="54"/>
      <c r="B533" s="71" t="str">
        <f>IFERROR(HYPERLINK(VLOOKUP(A533,Internal_lists_bugs!$A$2:$C$73,3,FALSE()), VLOOKUP(A533,Internal_lists_bugs!$A$2:$C$73,3,FALSE())&amp;Char(10) &amp; Char(10) &amp; VLOOKUP(A533,Internal_lists_bugs!$A$2:$Z$73,26,FALSE())),"please select a BUG ID")</f>
        <v>please select a BUG ID</v>
      </c>
      <c r="C533" s="51" t="str">
        <f>IFERROR(VLOOKUP(A533,Internal_lists_bugs!$A$2:$T1058,20,FALSE()),"please select a BUG ID")</f>
        <v>please select a BUG ID</v>
      </c>
      <c r="E533" s="54"/>
      <c r="F533" s="82"/>
      <c r="G533" s="92"/>
      <c r="H533" s="54"/>
      <c r="I533" s="51" t="str">
        <f>IFERROR(VLOOKUP(A533,Internal_lists_bugs!$A$2:$G1058,7,FALSE()),"please select a BUG ID")</f>
        <v>please select a BUG ID</v>
      </c>
    </row>
    <row r="534">
      <c r="A534" s="54"/>
      <c r="B534" s="71" t="str">
        <f>IFERROR(HYPERLINK(VLOOKUP(A534,Internal_lists_bugs!$A$2:$C$73,3,FALSE()), VLOOKUP(A534,Internal_lists_bugs!$A$2:$C$73,3,FALSE())&amp;Char(10) &amp; Char(10) &amp; VLOOKUP(A534,Internal_lists_bugs!$A$2:$Z$73,26,FALSE())),"please select a BUG ID")</f>
        <v>please select a BUG ID</v>
      </c>
      <c r="C534" s="51" t="str">
        <f>IFERROR(VLOOKUP(A534,Internal_lists_bugs!$A$2:$T1058,20,FALSE()),"please select a BUG ID")</f>
        <v>please select a BUG ID</v>
      </c>
      <c r="E534" s="54"/>
      <c r="F534" s="82"/>
      <c r="G534" s="92"/>
      <c r="H534" s="54"/>
      <c r="I534" s="51" t="str">
        <f>IFERROR(VLOOKUP(A534,Internal_lists_bugs!$A$2:$G1058,7,FALSE()),"please select a BUG ID")</f>
        <v>please select a BUG ID</v>
      </c>
    </row>
    <row r="535">
      <c r="A535" s="54"/>
      <c r="B535" s="71" t="str">
        <f>IFERROR(HYPERLINK(VLOOKUP(A535,Internal_lists_bugs!$A$2:$C$73,3,FALSE()), VLOOKUP(A535,Internal_lists_bugs!$A$2:$C$73,3,FALSE())&amp;Char(10) &amp; Char(10) &amp; VLOOKUP(A535,Internal_lists_bugs!$A$2:$Z$73,26,FALSE())),"please select a BUG ID")</f>
        <v>please select a BUG ID</v>
      </c>
      <c r="C535" s="51" t="str">
        <f>IFERROR(VLOOKUP(A535,Internal_lists_bugs!$A$2:$T1058,20,FALSE()),"please select a BUG ID")</f>
        <v>please select a BUG ID</v>
      </c>
      <c r="E535" s="54"/>
      <c r="F535" s="82"/>
      <c r="G535" s="92"/>
      <c r="H535" s="54"/>
      <c r="I535" s="51" t="str">
        <f>IFERROR(VLOOKUP(A535,Internal_lists_bugs!$A$2:$G1058,7,FALSE()),"please select a BUG ID")</f>
        <v>please select a BUG ID</v>
      </c>
    </row>
    <row r="536">
      <c r="A536" s="54"/>
      <c r="B536" s="71" t="str">
        <f>IFERROR(HYPERLINK(VLOOKUP(A536,Internal_lists_bugs!$A$2:$C$73,3,FALSE()), VLOOKUP(A536,Internal_lists_bugs!$A$2:$C$73,3,FALSE())&amp;Char(10) &amp; Char(10) &amp; VLOOKUP(A536,Internal_lists_bugs!$A$2:$Z$73,26,FALSE())),"please select a BUG ID")</f>
        <v>please select a BUG ID</v>
      </c>
      <c r="C536" s="51" t="str">
        <f>IFERROR(VLOOKUP(A536,Internal_lists_bugs!$A$2:$T1058,20,FALSE()),"please select a BUG ID")</f>
        <v>please select a BUG ID</v>
      </c>
      <c r="E536" s="54"/>
      <c r="F536" s="82"/>
      <c r="G536" s="92"/>
      <c r="H536" s="54"/>
      <c r="I536" s="51" t="str">
        <f>IFERROR(VLOOKUP(A536,Internal_lists_bugs!$A$2:$G1058,7,FALSE()),"please select a BUG ID")</f>
        <v>please select a BUG ID</v>
      </c>
    </row>
    <row r="537">
      <c r="A537" s="54"/>
      <c r="B537" s="71" t="str">
        <f>IFERROR(HYPERLINK(VLOOKUP(A537,Internal_lists_bugs!$A$2:$C$73,3,FALSE()), VLOOKUP(A537,Internal_lists_bugs!$A$2:$C$73,3,FALSE())&amp;Char(10) &amp; Char(10) &amp; VLOOKUP(A537,Internal_lists_bugs!$A$2:$Z$73,26,FALSE())),"please select a BUG ID")</f>
        <v>please select a BUG ID</v>
      </c>
      <c r="C537" s="51" t="str">
        <f>IFERROR(VLOOKUP(A537,Internal_lists_bugs!$A$2:$T1058,20,FALSE()),"please select a BUG ID")</f>
        <v>please select a BUG ID</v>
      </c>
      <c r="E537" s="54"/>
      <c r="F537" s="82"/>
      <c r="G537" s="92"/>
      <c r="H537" s="54"/>
      <c r="I537" s="51" t="str">
        <f>IFERROR(VLOOKUP(A537,Internal_lists_bugs!$A$2:$G1058,7,FALSE()),"please select a BUG ID")</f>
        <v>please select a BUG ID</v>
      </c>
    </row>
    <row r="538">
      <c r="A538" s="54"/>
      <c r="B538" s="71" t="str">
        <f>IFERROR(HYPERLINK(VLOOKUP(A538,Internal_lists_bugs!$A$2:$C$73,3,FALSE()), VLOOKUP(A538,Internal_lists_bugs!$A$2:$C$73,3,FALSE())&amp;Char(10) &amp; Char(10) &amp; VLOOKUP(A538,Internal_lists_bugs!$A$2:$Z$73,26,FALSE())),"please select a BUG ID")</f>
        <v>please select a BUG ID</v>
      </c>
      <c r="C538" s="51" t="str">
        <f>IFERROR(VLOOKUP(A538,Internal_lists_bugs!$A$2:$T1058,20,FALSE()),"please select a BUG ID")</f>
        <v>please select a BUG ID</v>
      </c>
      <c r="E538" s="54"/>
      <c r="F538" s="82"/>
      <c r="G538" s="92"/>
      <c r="H538" s="54"/>
      <c r="I538" s="51" t="str">
        <f>IFERROR(VLOOKUP(A538,Internal_lists_bugs!$A$2:$G1058,7,FALSE()),"please select a BUG ID")</f>
        <v>please select a BUG ID</v>
      </c>
    </row>
    <row r="539">
      <c r="A539" s="54"/>
      <c r="B539" s="71" t="str">
        <f>IFERROR(HYPERLINK(VLOOKUP(A539,Internal_lists_bugs!$A$2:$C$73,3,FALSE()), VLOOKUP(A539,Internal_lists_bugs!$A$2:$C$73,3,FALSE())&amp;Char(10) &amp; Char(10) &amp; VLOOKUP(A539,Internal_lists_bugs!$A$2:$Z$73,26,FALSE())),"please select a BUG ID")</f>
        <v>please select a BUG ID</v>
      </c>
      <c r="C539" s="51" t="str">
        <f>IFERROR(VLOOKUP(A539,Internal_lists_bugs!$A$2:$T1058,20,FALSE()),"please select a BUG ID")</f>
        <v>please select a BUG ID</v>
      </c>
      <c r="E539" s="54"/>
      <c r="F539" s="82"/>
      <c r="G539" s="92"/>
      <c r="H539" s="54"/>
      <c r="I539" s="51" t="str">
        <f>IFERROR(VLOOKUP(A539,Internal_lists_bugs!$A$2:$G1058,7,FALSE()),"please select a BUG ID")</f>
        <v>please select a BUG ID</v>
      </c>
    </row>
    <row r="540">
      <c r="A540" s="54"/>
      <c r="B540" s="71" t="str">
        <f>IFERROR(HYPERLINK(VLOOKUP(A540,Internal_lists_bugs!$A$2:$C$73,3,FALSE()), VLOOKUP(A540,Internal_lists_bugs!$A$2:$C$73,3,FALSE())&amp;Char(10) &amp; Char(10) &amp; VLOOKUP(A540,Internal_lists_bugs!$A$2:$Z$73,26,FALSE())),"please select a BUG ID")</f>
        <v>please select a BUG ID</v>
      </c>
      <c r="C540" s="51" t="str">
        <f>IFERROR(VLOOKUP(A540,Internal_lists_bugs!$A$2:$T1058,20,FALSE()),"please select a BUG ID")</f>
        <v>please select a BUG ID</v>
      </c>
      <c r="E540" s="54"/>
      <c r="F540" s="82"/>
      <c r="G540" s="92"/>
      <c r="H540" s="54"/>
      <c r="I540" s="51" t="str">
        <f>IFERROR(VLOOKUP(A540,Internal_lists_bugs!$A$2:$G1058,7,FALSE()),"please select a BUG ID")</f>
        <v>please select a BUG ID</v>
      </c>
    </row>
    <row r="541">
      <c r="A541" s="54"/>
      <c r="B541" s="71" t="str">
        <f>IFERROR(HYPERLINK(VLOOKUP(A541,Internal_lists_bugs!$A$2:$C$73,3,FALSE()), VLOOKUP(A541,Internal_lists_bugs!$A$2:$C$73,3,FALSE())&amp;Char(10) &amp; Char(10) &amp; VLOOKUP(A541,Internal_lists_bugs!$A$2:$Z$73,26,FALSE())),"please select a BUG ID")</f>
        <v>please select a BUG ID</v>
      </c>
      <c r="C541" s="51" t="str">
        <f>IFERROR(VLOOKUP(A541,Internal_lists_bugs!$A$2:$T1058,20,FALSE()),"please select a BUG ID")</f>
        <v>please select a BUG ID</v>
      </c>
      <c r="E541" s="54"/>
      <c r="F541" s="82"/>
      <c r="G541" s="92"/>
      <c r="H541" s="54"/>
      <c r="I541" s="51" t="str">
        <f>IFERROR(VLOOKUP(A541,Internal_lists_bugs!$A$2:$G1058,7,FALSE()),"please select a BUG ID")</f>
        <v>please select a BUG ID</v>
      </c>
    </row>
    <row r="542">
      <c r="A542" s="54"/>
      <c r="B542" s="71" t="str">
        <f>IFERROR(HYPERLINK(VLOOKUP(A542,Internal_lists_bugs!$A$2:$C$73,3,FALSE()), VLOOKUP(A542,Internal_lists_bugs!$A$2:$C$73,3,FALSE())&amp;Char(10) &amp; Char(10) &amp; VLOOKUP(A542,Internal_lists_bugs!$A$2:$Z$73,26,FALSE())),"please select a BUG ID")</f>
        <v>please select a BUG ID</v>
      </c>
      <c r="C542" s="51" t="str">
        <f>IFERROR(VLOOKUP(A542,Internal_lists_bugs!$A$2:$T1058,20,FALSE()),"please select a BUG ID")</f>
        <v>please select a BUG ID</v>
      </c>
      <c r="E542" s="54"/>
      <c r="F542" s="82"/>
      <c r="G542" s="92"/>
      <c r="H542" s="54"/>
      <c r="I542" s="51" t="str">
        <f>IFERROR(VLOOKUP(A542,Internal_lists_bugs!$A$2:$G1058,7,FALSE()),"please select a BUG ID")</f>
        <v>please select a BUG ID</v>
      </c>
    </row>
    <row r="543">
      <c r="A543" s="54"/>
      <c r="B543" s="71" t="str">
        <f>IFERROR(HYPERLINK(VLOOKUP(A543,Internal_lists_bugs!$A$2:$C$73,3,FALSE()), VLOOKUP(A543,Internal_lists_bugs!$A$2:$C$73,3,FALSE())&amp;Char(10) &amp; Char(10) &amp; VLOOKUP(A543,Internal_lists_bugs!$A$2:$Z$73,26,FALSE())),"please select a BUG ID")</f>
        <v>please select a BUG ID</v>
      </c>
      <c r="C543" s="51" t="str">
        <f>IFERROR(VLOOKUP(A543,Internal_lists_bugs!$A$2:$T1058,20,FALSE()),"please select a BUG ID")</f>
        <v>please select a BUG ID</v>
      </c>
      <c r="E543" s="54"/>
      <c r="F543" s="82"/>
      <c r="G543" s="92"/>
      <c r="H543" s="54"/>
      <c r="I543" s="51" t="str">
        <f>IFERROR(VLOOKUP(A543,Internal_lists_bugs!$A$2:$G1058,7,FALSE()),"please select a BUG ID")</f>
        <v>please select a BUG ID</v>
      </c>
    </row>
    <row r="544">
      <c r="A544" s="54"/>
      <c r="B544" s="71" t="str">
        <f>IFERROR(HYPERLINK(VLOOKUP(A544,Internal_lists_bugs!$A$2:$C$73,3,FALSE()), VLOOKUP(A544,Internal_lists_bugs!$A$2:$C$73,3,FALSE())&amp;Char(10) &amp; Char(10) &amp; VLOOKUP(A544,Internal_lists_bugs!$A$2:$Z$73,26,FALSE())),"please select a BUG ID")</f>
        <v>please select a BUG ID</v>
      </c>
      <c r="C544" s="51" t="str">
        <f>IFERROR(VLOOKUP(A544,Internal_lists_bugs!$A$2:$T1058,20,FALSE()),"please select a BUG ID")</f>
        <v>please select a BUG ID</v>
      </c>
      <c r="E544" s="54"/>
      <c r="F544" s="82"/>
      <c r="G544" s="92"/>
      <c r="H544" s="54"/>
      <c r="I544" s="51" t="str">
        <f>IFERROR(VLOOKUP(A544,Internal_lists_bugs!$A$2:$G1058,7,FALSE()),"please select a BUG ID")</f>
        <v>please select a BUG ID</v>
      </c>
    </row>
    <row r="545">
      <c r="A545" s="54"/>
      <c r="B545" s="71" t="str">
        <f>IFERROR(HYPERLINK(VLOOKUP(A545,Internal_lists_bugs!$A$2:$C$73,3,FALSE()), VLOOKUP(A545,Internal_lists_bugs!$A$2:$C$73,3,FALSE())&amp;Char(10) &amp; Char(10) &amp; VLOOKUP(A545,Internal_lists_bugs!$A$2:$Z$73,26,FALSE())),"please select a BUG ID")</f>
        <v>please select a BUG ID</v>
      </c>
      <c r="C545" s="51" t="str">
        <f>IFERROR(VLOOKUP(A545,Internal_lists_bugs!$A$2:$T1058,20,FALSE()),"please select a BUG ID")</f>
        <v>please select a BUG ID</v>
      </c>
      <c r="E545" s="54"/>
      <c r="F545" s="82"/>
      <c r="G545" s="92"/>
      <c r="H545" s="54"/>
      <c r="I545" s="51" t="str">
        <f>IFERROR(VLOOKUP(A545,Internal_lists_bugs!$A$2:$G1058,7,FALSE()),"please select a BUG ID")</f>
        <v>please select a BUG ID</v>
      </c>
    </row>
    <row r="546">
      <c r="A546" s="54"/>
      <c r="B546" s="71" t="str">
        <f>IFERROR(HYPERLINK(VLOOKUP(A546,Internal_lists_bugs!$A$2:$C$73,3,FALSE()), VLOOKUP(A546,Internal_lists_bugs!$A$2:$C$73,3,FALSE())&amp;Char(10) &amp; Char(10) &amp; VLOOKUP(A546,Internal_lists_bugs!$A$2:$Z$73,26,FALSE())),"please select a BUG ID")</f>
        <v>please select a BUG ID</v>
      </c>
      <c r="C546" s="51" t="str">
        <f>IFERROR(VLOOKUP(A546,Internal_lists_bugs!$A$2:$T1058,20,FALSE()),"please select a BUG ID")</f>
        <v>please select a BUG ID</v>
      </c>
      <c r="E546" s="54"/>
      <c r="F546" s="82"/>
      <c r="G546" s="92"/>
      <c r="H546" s="54"/>
      <c r="I546" s="51" t="str">
        <f>IFERROR(VLOOKUP(A546,Internal_lists_bugs!$A$2:$G1058,7,FALSE()),"please select a BUG ID")</f>
        <v>please select a BUG ID</v>
      </c>
    </row>
    <row r="547">
      <c r="A547" s="54"/>
      <c r="B547" s="71" t="str">
        <f>IFERROR(HYPERLINK(VLOOKUP(A547,Internal_lists_bugs!$A$2:$C$73,3,FALSE()), VLOOKUP(A547,Internal_lists_bugs!$A$2:$C$73,3,FALSE())&amp;Char(10) &amp; Char(10) &amp; VLOOKUP(A547,Internal_lists_bugs!$A$2:$Z$73,26,FALSE())),"please select a BUG ID")</f>
        <v>please select a BUG ID</v>
      </c>
      <c r="C547" s="51" t="str">
        <f>IFERROR(VLOOKUP(A547,Internal_lists_bugs!$A$2:$T1058,20,FALSE()),"please select a BUG ID")</f>
        <v>please select a BUG ID</v>
      </c>
      <c r="E547" s="54"/>
      <c r="F547" s="82"/>
      <c r="G547" s="92"/>
      <c r="H547" s="54"/>
      <c r="I547" s="51" t="str">
        <f>IFERROR(VLOOKUP(A547,Internal_lists_bugs!$A$2:$G1058,7,FALSE()),"please select a BUG ID")</f>
        <v>please select a BUG ID</v>
      </c>
    </row>
    <row r="548">
      <c r="A548" s="54"/>
      <c r="B548" s="71" t="str">
        <f>IFERROR(HYPERLINK(VLOOKUP(A548,Internal_lists_bugs!$A$2:$C$73,3,FALSE()), VLOOKUP(A548,Internal_lists_bugs!$A$2:$C$73,3,FALSE())&amp;Char(10) &amp; Char(10) &amp; VLOOKUP(A548,Internal_lists_bugs!$A$2:$Z$73,26,FALSE())),"please select a BUG ID")</f>
        <v>please select a BUG ID</v>
      </c>
      <c r="C548" s="51" t="str">
        <f>IFERROR(VLOOKUP(A548,Internal_lists_bugs!$A$2:$T1058,20,FALSE()),"please select a BUG ID")</f>
        <v>please select a BUG ID</v>
      </c>
      <c r="E548" s="54"/>
      <c r="F548" s="82"/>
      <c r="G548" s="92"/>
      <c r="H548" s="54"/>
      <c r="I548" s="51" t="str">
        <f>IFERROR(VLOOKUP(A548,Internal_lists_bugs!$A$2:$G1058,7,FALSE()),"please select a BUG ID")</f>
        <v>please select a BUG ID</v>
      </c>
    </row>
    <row r="549">
      <c r="A549" s="54"/>
      <c r="B549" s="71" t="str">
        <f>IFERROR(HYPERLINK(VLOOKUP(A549,Internal_lists_bugs!$A$2:$C$73,3,FALSE()), VLOOKUP(A549,Internal_lists_bugs!$A$2:$C$73,3,FALSE())&amp;Char(10) &amp; Char(10) &amp; VLOOKUP(A549,Internal_lists_bugs!$A$2:$Z$73,26,FALSE())),"please select a BUG ID")</f>
        <v>please select a BUG ID</v>
      </c>
      <c r="C549" s="51" t="str">
        <f>IFERROR(VLOOKUP(A549,Internal_lists_bugs!$A$2:$T1058,20,FALSE()),"please select a BUG ID")</f>
        <v>please select a BUG ID</v>
      </c>
      <c r="E549" s="54"/>
      <c r="F549" s="82"/>
      <c r="G549" s="92"/>
      <c r="H549" s="54"/>
      <c r="I549" s="51" t="str">
        <f>IFERROR(VLOOKUP(A549,Internal_lists_bugs!$A$2:$G1058,7,FALSE()),"please select a BUG ID")</f>
        <v>please select a BUG ID</v>
      </c>
    </row>
    <row r="550">
      <c r="A550" s="54"/>
      <c r="B550" s="71" t="str">
        <f>IFERROR(HYPERLINK(VLOOKUP(A550,Internal_lists_bugs!$A$2:$C$73,3,FALSE()), VLOOKUP(A550,Internal_lists_bugs!$A$2:$C$73,3,FALSE())&amp;Char(10) &amp; Char(10) &amp; VLOOKUP(A550,Internal_lists_bugs!$A$2:$Z$73,26,FALSE())),"please select a BUG ID")</f>
        <v>please select a BUG ID</v>
      </c>
      <c r="C550" s="51" t="str">
        <f>IFERROR(VLOOKUP(A550,Internal_lists_bugs!$A$2:$T1058,20,FALSE()),"please select a BUG ID")</f>
        <v>please select a BUG ID</v>
      </c>
      <c r="E550" s="54"/>
      <c r="F550" s="82"/>
      <c r="G550" s="92"/>
      <c r="H550" s="54"/>
      <c r="I550" s="51" t="str">
        <f>IFERROR(VLOOKUP(A550,Internal_lists_bugs!$A$2:$G1058,7,FALSE()),"please select a BUG ID")</f>
        <v>please select a BUG ID</v>
      </c>
    </row>
    <row r="551">
      <c r="A551" s="54"/>
      <c r="B551" s="71" t="str">
        <f>IFERROR(HYPERLINK(VLOOKUP(A551,Internal_lists_bugs!$A$2:$C$73,3,FALSE()), VLOOKUP(A551,Internal_lists_bugs!$A$2:$C$73,3,FALSE())&amp;Char(10) &amp; Char(10) &amp; VLOOKUP(A551,Internal_lists_bugs!$A$2:$Z$73,26,FALSE())),"please select a BUG ID")</f>
        <v>please select a BUG ID</v>
      </c>
      <c r="C551" s="51" t="str">
        <f>IFERROR(VLOOKUP(A551,Internal_lists_bugs!$A$2:$T1058,20,FALSE()),"please select a BUG ID")</f>
        <v>please select a BUG ID</v>
      </c>
      <c r="E551" s="54"/>
      <c r="F551" s="82"/>
      <c r="G551" s="92"/>
      <c r="H551" s="54"/>
      <c r="I551" s="51" t="str">
        <f>IFERROR(VLOOKUP(A551,Internal_lists_bugs!$A$2:$G1058,7,FALSE()),"please select a BUG ID")</f>
        <v>please select a BUG ID</v>
      </c>
    </row>
    <row r="552">
      <c r="A552" s="54"/>
      <c r="B552" s="71" t="str">
        <f>IFERROR(HYPERLINK(VLOOKUP(A552,Internal_lists_bugs!$A$2:$C$73,3,FALSE()), VLOOKUP(A552,Internal_lists_bugs!$A$2:$C$73,3,FALSE())&amp;Char(10) &amp; Char(10) &amp; VLOOKUP(A552,Internal_lists_bugs!$A$2:$Z$73,26,FALSE())),"please select a BUG ID")</f>
        <v>please select a BUG ID</v>
      </c>
      <c r="C552" s="51" t="str">
        <f>IFERROR(VLOOKUP(A552,Internal_lists_bugs!$A$2:$T1058,20,FALSE()),"please select a BUG ID")</f>
        <v>please select a BUG ID</v>
      </c>
      <c r="E552" s="54"/>
      <c r="F552" s="82"/>
      <c r="G552" s="92"/>
      <c r="H552" s="54"/>
      <c r="I552" s="51" t="str">
        <f>IFERROR(VLOOKUP(A552,Internal_lists_bugs!$A$2:$G1058,7,FALSE()),"please select a BUG ID")</f>
        <v>please select a BUG ID</v>
      </c>
    </row>
    <row r="553">
      <c r="A553" s="54"/>
      <c r="B553" s="71" t="str">
        <f>IFERROR(HYPERLINK(VLOOKUP(A553,Internal_lists_bugs!$A$2:$C$73,3,FALSE()), VLOOKUP(A553,Internal_lists_bugs!$A$2:$C$73,3,FALSE())&amp;Char(10) &amp; Char(10) &amp; VLOOKUP(A553,Internal_lists_bugs!$A$2:$Z$73,26,FALSE())),"please select a BUG ID")</f>
        <v>please select a BUG ID</v>
      </c>
      <c r="C553" s="51" t="str">
        <f>IFERROR(VLOOKUP(A553,Internal_lists_bugs!$A$2:$T1058,20,FALSE()),"please select a BUG ID")</f>
        <v>please select a BUG ID</v>
      </c>
      <c r="E553" s="54"/>
      <c r="F553" s="82"/>
      <c r="G553" s="92"/>
      <c r="H553" s="54"/>
      <c r="I553" s="51" t="str">
        <f>IFERROR(VLOOKUP(A553,Internal_lists_bugs!$A$2:$G1058,7,FALSE()),"please select a BUG ID")</f>
        <v>please select a BUG ID</v>
      </c>
    </row>
    <row r="554">
      <c r="A554" s="54"/>
      <c r="B554" s="71" t="str">
        <f>IFERROR(HYPERLINK(VLOOKUP(A554,Internal_lists_bugs!$A$2:$C$73,3,FALSE()), VLOOKUP(A554,Internal_lists_bugs!$A$2:$C$73,3,FALSE())&amp;Char(10) &amp; Char(10) &amp; VLOOKUP(A554,Internal_lists_bugs!$A$2:$Z$73,26,FALSE())),"please select a BUG ID")</f>
        <v>please select a BUG ID</v>
      </c>
      <c r="C554" s="51" t="str">
        <f>IFERROR(VLOOKUP(A554,Internal_lists_bugs!$A$2:$T1058,20,FALSE()),"please select a BUG ID")</f>
        <v>please select a BUG ID</v>
      </c>
      <c r="E554" s="54"/>
      <c r="F554" s="82"/>
      <c r="G554" s="92"/>
      <c r="H554" s="54"/>
      <c r="I554" s="51" t="str">
        <f>IFERROR(VLOOKUP(A554,Internal_lists_bugs!$A$2:$G1058,7,FALSE()),"please select a BUG ID")</f>
        <v>please select a BUG ID</v>
      </c>
    </row>
    <row r="555">
      <c r="A555" s="54"/>
      <c r="B555" s="71" t="str">
        <f>IFERROR(HYPERLINK(VLOOKUP(A555,Internal_lists_bugs!$A$2:$C$73,3,FALSE()), VLOOKUP(A555,Internal_lists_bugs!$A$2:$C$73,3,FALSE())&amp;Char(10) &amp; Char(10) &amp; VLOOKUP(A555,Internal_lists_bugs!$A$2:$Z$73,26,FALSE())),"please select a BUG ID")</f>
        <v>please select a BUG ID</v>
      </c>
      <c r="C555" s="51" t="str">
        <f>IFERROR(VLOOKUP(A555,Internal_lists_bugs!$A$2:$T1058,20,FALSE()),"please select a BUG ID")</f>
        <v>please select a BUG ID</v>
      </c>
      <c r="E555" s="54"/>
      <c r="F555" s="82"/>
      <c r="G555" s="92"/>
      <c r="H555" s="54"/>
      <c r="I555" s="51" t="str">
        <f>IFERROR(VLOOKUP(A555,Internal_lists_bugs!$A$2:$G1058,7,FALSE()),"please select a BUG ID")</f>
        <v>please select a BUG ID</v>
      </c>
    </row>
    <row r="556">
      <c r="A556" s="54"/>
      <c r="B556" s="71" t="str">
        <f>IFERROR(HYPERLINK(VLOOKUP(A556,Internal_lists_bugs!$A$2:$C$73,3,FALSE()), VLOOKUP(A556,Internal_lists_bugs!$A$2:$C$73,3,FALSE())&amp;Char(10) &amp; Char(10) &amp; VLOOKUP(A556,Internal_lists_bugs!$A$2:$Z$73,26,FALSE())),"please select a BUG ID")</f>
        <v>please select a BUG ID</v>
      </c>
      <c r="C556" s="51" t="str">
        <f>IFERROR(VLOOKUP(A556,Internal_lists_bugs!$A$2:$T1058,20,FALSE()),"please select a BUG ID")</f>
        <v>please select a BUG ID</v>
      </c>
      <c r="E556" s="54"/>
      <c r="F556" s="82"/>
      <c r="G556" s="92"/>
      <c r="H556" s="54"/>
      <c r="I556" s="51" t="str">
        <f>IFERROR(VLOOKUP(A556,Internal_lists_bugs!$A$2:$G1058,7,FALSE()),"please select a BUG ID")</f>
        <v>please select a BUG ID</v>
      </c>
    </row>
    <row r="557">
      <c r="A557" s="54"/>
      <c r="B557" s="71" t="str">
        <f>IFERROR(HYPERLINK(VLOOKUP(A557,Internal_lists_bugs!$A$2:$C$73,3,FALSE()), VLOOKUP(A557,Internal_lists_bugs!$A$2:$C$73,3,FALSE())&amp;Char(10) &amp; Char(10) &amp; VLOOKUP(A557,Internal_lists_bugs!$A$2:$Z$73,26,FALSE())),"please select a BUG ID")</f>
        <v>please select a BUG ID</v>
      </c>
      <c r="C557" s="51" t="str">
        <f>IFERROR(VLOOKUP(A557,Internal_lists_bugs!$A$2:$T1058,20,FALSE()),"please select a BUG ID")</f>
        <v>please select a BUG ID</v>
      </c>
      <c r="E557" s="54"/>
      <c r="F557" s="82"/>
      <c r="G557" s="92"/>
      <c r="H557" s="54"/>
      <c r="I557" s="51" t="str">
        <f>IFERROR(VLOOKUP(A557,Internal_lists_bugs!$A$2:$G1058,7,FALSE()),"please select a BUG ID")</f>
        <v>please select a BUG ID</v>
      </c>
    </row>
    <row r="558">
      <c r="A558" s="54"/>
      <c r="B558" s="71" t="str">
        <f>IFERROR(HYPERLINK(VLOOKUP(A558,Internal_lists_bugs!$A$2:$C$73,3,FALSE()), VLOOKUP(A558,Internal_lists_bugs!$A$2:$C$73,3,FALSE())&amp;Char(10) &amp; Char(10) &amp; VLOOKUP(A558,Internal_lists_bugs!$A$2:$Z$73,26,FALSE())),"please select a BUG ID")</f>
        <v>please select a BUG ID</v>
      </c>
      <c r="C558" s="51" t="str">
        <f>IFERROR(VLOOKUP(A558,Internal_lists_bugs!$A$2:$T1058,20,FALSE()),"please select a BUG ID")</f>
        <v>please select a BUG ID</v>
      </c>
      <c r="E558" s="54"/>
      <c r="F558" s="82"/>
      <c r="G558" s="92"/>
      <c r="H558" s="54"/>
      <c r="I558" s="51" t="str">
        <f>IFERROR(VLOOKUP(A558,Internal_lists_bugs!$A$2:$G1058,7,FALSE()),"please select a BUG ID")</f>
        <v>please select a BUG ID</v>
      </c>
    </row>
    <row r="559">
      <c r="A559" s="54"/>
      <c r="B559" s="71" t="str">
        <f>IFERROR(HYPERLINK(VLOOKUP(A559,Internal_lists_bugs!$A$2:$C$73,3,FALSE()), VLOOKUP(A559,Internal_lists_bugs!$A$2:$C$73,3,FALSE())&amp;Char(10) &amp; Char(10) &amp; VLOOKUP(A559,Internal_lists_bugs!$A$2:$Z$73,26,FALSE())),"please select a BUG ID")</f>
        <v>please select a BUG ID</v>
      </c>
      <c r="C559" s="51" t="str">
        <f>IFERROR(VLOOKUP(A559,Internal_lists_bugs!$A$2:$T1058,20,FALSE()),"please select a BUG ID")</f>
        <v>please select a BUG ID</v>
      </c>
      <c r="E559" s="54"/>
      <c r="F559" s="82"/>
      <c r="G559" s="92"/>
      <c r="H559" s="54"/>
      <c r="I559" s="51" t="str">
        <f>IFERROR(VLOOKUP(A559,Internal_lists_bugs!$A$2:$G1058,7,FALSE()),"please select a BUG ID")</f>
        <v>please select a BUG ID</v>
      </c>
    </row>
    <row r="560">
      <c r="A560" s="54"/>
      <c r="B560" s="71" t="str">
        <f>IFERROR(HYPERLINK(VLOOKUP(A560,Internal_lists_bugs!$A$2:$C$73,3,FALSE()), VLOOKUP(A560,Internal_lists_bugs!$A$2:$C$73,3,FALSE())&amp;Char(10) &amp; Char(10) &amp; VLOOKUP(A560,Internal_lists_bugs!$A$2:$Z$73,26,FALSE())),"please select a BUG ID")</f>
        <v>please select a BUG ID</v>
      </c>
      <c r="C560" s="51" t="str">
        <f>IFERROR(VLOOKUP(A560,Internal_lists_bugs!$A$2:$T1058,20,FALSE()),"please select a BUG ID")</f>
        <v>please select a BUG ID</v>
      </c>
      <c r="E560" s="54"/>
      <c r="F560" s="82"/>
      <c r="G560" s="92"/>
      <c r="H560" s="54"/>
      <c r="I560" s="51" t="str">
        <f>IFERROR(VLOOKUP(A560,Internal_lists_bugs!$A$2:$G1058,7,FALSE()),"please select a BUG ID")</f>
        <v>please select a BUG ID</v>
      </c>
    </row>
    <row r="561">
      <c r="A561" s="54"/>
      <c r="B561" s="71" t="str">
        <f>IFERROR(HYPERLINK(VLOOKUP(A561,Internal_lists_bugs!$A$2:$C$73,3,FALSE()), VLOOKUP(A561,Internal_lists_bugs!$A$2:$C$73,3,FALSE())&amp;Char(10) &amp; Char(10) &amp; VLOOKUP(A561,Internal_lists_bugs!$A$2:$Z$73,26,FALSE())),"please select a BUG ID")</f>
        <v>please select a BUG ID</v>
      </c>
      <c r="C561" s="51" t="str">
        <f>IFERROR(VLOOKUP(A561,Internal_lists_bugs!$A$2:$T1058,20,FALSE()),"please select a BUG ID")</f>
        <v>please select a BUG ID</v>
      </c>
      <c r="E561" s="54"/>
      <c r="F561" s="82"/>
      <c r="G561" s="92"/>
      <c r="H561" s="54"/>
      <c r="I561" s="51" t="str">
        <f>IFERROR(VLOOKUP(A561,Internal_lists_bugs!$A$2:$G1058,7,FALSE()),"please select a BUG ID")</f>
        <v>please select a BUG ID</v>
      </c>
    </row>
    <row r="562">
      <c r="A562" s="54"/>
      <c r="B562" s="71" t="str">
        <f>IFERROR(HYPERLINK(VLOOKUP(A562,Internal_lists_bugs!$A$2:$C$73,3,FALSE()), VLOOKUP(A562,Internal_lists_bugs!$A$2:$C$73,3,FALSE())&amp;Char(10) &amp; Char(10) &amp; VLOOKUP(A562,Internal_lists_bugs!$A$2:$Z$73,26,FALSE())),"please select a BUG ID")</f>
        <v>please select a BUG ID</v>
      </c>
      <c r="C562" s="51" t="str">
        <f>IFERROR(VLOOKUP(A562,Internal_lists_bugs!$A$2:$T1058,20,FALSE()),"please select a BUG ID")</f>
        <v>please select a BUG ID</v>
      </c>
      <c r="E562" s="54"/>
      <c r="F562" s="82"/>
      <c r="G562" s="92"/>
      <c r="H562" s="54"/>
      <c r="I562" s="51" t="str">
        <f>IFERROR(VLOOKUP(A562,Internal_lists_bugs!$A$2:$G1058,7,FALSE()),"please select a BUG ID")</f>
        <v>please select a BUG ID</v>
      </c>
    </row>
    <row r="563">
      <c r="A563" s="54"/>
      <c r="B563" s="71" t="str">
        <f>IFERROR(HYPERLINK(VLOOKUP(A563,Internal_lists_bugs!$A$2:$C$73,3,FALSE()), VLOOKUP(A563,Internal_lists_bugs!$A$2:$C$73,3,FALSE())&amp;Char(10) &amp; Char(10) &amp; VLOOKUP(A563,Internal_lists_bugs!$A$2:$Z$73,26,FALSE())),"please select a BUG ID")</f>
        <v>please select a BUG ID</v>
      </c>
      <c r="C563" s="51" t="str">
        <f>IFERROR(VLOOKUP(A563,Internal_lists_bugs!$A$2:$T1058,20,FALSE()),"please select a BUG ID")</f>
        <v>please select a BUG ID</v>
      </c>
      <c r="E563" s="54"/>
      <c r="F563" s="82"/>
      <c r="G563" s="92"/>
      <c r="H563" s="54"/>
      <c r="I563" s="51" t="str">
        <f>IFERROR(VLOOKUP(A563,Internal_lists_bugs!$A$2:$G1058,7,FALSE()),"please select a BUG ID")</f>
        <v>please select a BUG ID</v>
      </c>
    </row>
    <row r="564">
      <c r="A564" s="54"/>
      <c r="B564" s="71" t="str">
        <f>IFERROR(HYPERLINK(VLOOKUP(A564,Internal_lists_bugs!$A$2:$C$73,3,FALSE()), VLOOKUP(A564,Internal_lists_bugs!$A$2:$C$73,3,FALSE())&amp;Char(10) &amp; Char(10) &amp; VLOOKUP(A564,Internal_lists_bugs!$A$2:$Z$73,26,FALSE())),"please select a BUG ID")</f>
        <v>please select a BUG ID</v>
      </c>
      <c r="C564" s="51" t="str">
        <f>IFERROR(VLOOKUP(A564,Internal_lists_bugs!$A$2:$T1058,20,FALSE()),"please select a BUG ID")</f>
        <v>please select a BUG ID</v>
      </c>
      <c r="E564" s="54"/>
      <c r="F564" s="82"/>
      <c r="G564" s="92"/>
      <c r="H564" s="54"/>
      <c r="I564" s="51" t="str">
        <f>IFERROR(VLOOKUP(A564,Internal_lists_bugs!$A$2:$G1058,7,FALSE()),"please select a BUG ID")</f>
        <v>please select a BUG ID</v>
      </c>
    </row>
    <row r="565">
      <c r="A565" s="54"/>
      <c r="B565" s="71" t="str">
        <f>IFERROR(HYPERLINK(VLOOKUP(A565,Internal_lists_bugs!$A$2:$C$73,3,FALSE()), VLOOKUP(A565,Internal_lists_bugs!$A$2:$C$73,3,FALSE())&amp;Char(10) &amp; Char(10) &amp; VLOOKUP(A565,Internal_lists_bugs!$A$2:$Z$73,26,FALSE())),"please select a BUG ID")</f>
        <v>please select a BUG ID</v>
      </c>
      <c r="C565" s="51" t="str">
        <f>IFERROR(VLOOKUP(A565,Internal_lists_bugs!$A$2:$T1058,20,FALSE()),"please select a BUG ID")</f>
        <v>please select a BUG ID</v>
      </c>
      <c r="E565" s="54"/>
      <c r="F565" s="82"/>
      <c r="G565" s="92"/>
      <c r="H565" s="54"/>
      <c r="I565" s="51" t="str">
        <f>IFERROR(VLOOKUP(A565,Internal_lists_bugs!$A$2:$G1058,7,FALSE()),"please select a BUG ID")</f>
        <v>please select a BUG ID</v>
      </c>
    </row>
    <row r="566">
      <c r="A566" s="54"/>
      <c r="B566" s="71" t="str">
        <f>IFERROR(HYPERLINK(VLOOKUP(A566,Internal_lists_bugs!$A$2:$C$73,3,FALSE()), VLOOKUP(A566,Internal_lists_bugs!$A$2:$C$73,3,FALSE())&amp;Char(10) &amp; Char(10) &amp; VLOOKUP(A566,Internal_lists_bugs!$A$2:$Z$73,26,FALSE())),"please select a BUG ID")</f>
        <v>please select a BUG ID</v>
      </c>
      <c r="C566" s="51" t="str">
        <f>IFERROR(VLOOKUP(A566,Internal_lists_bugs!$A$2:$T1058,20,FALSE()),"please select a BUG ID")</f>
        <v>please select a BUG ID</v>
      </c>
      <c r="E566" s="54"/>
      <c r="F566" s="82"/>
      <c r="G566" s="92"/>
      <c r="H566" s="54"/>
      <c r="I566" s="51" t="str">
        <f>IFERROR(VLOOKUP(A566,Internal_lists_bugs!$A$2:$G1058,7,FALSE()),"please select a BUG ID")</f>
        <v>please select a BUG ID</v>
      </c>
    </row>
    <row r="567">
      <c r="A567" s="54"/>
      <c r="B567" s="71" t="str">
        <f>IFERROR(HYPERLINK(VLOOKUP(A567,Internal_lists_bugs!$A$2:$C$73,3,FALSE()), VLOOKUP(A567,Internal_lists_bugs!$A$2:$C$73,3,FALSE())&amp;Char(10) &amp; Char(10) &amp; VLOOKUP(A567,Internal_lists_bugs!$A$2:$Z$73,26,FALSE())),"please select a BUG ID")</f>
        <v>please select a BUG ID</v>
      </c>
      <c r="C567" s="51" t="str">
        <f>IFERROR(VLOOKUP(A567,Internal_lists_bugs!$A$2:$T1058,20,FALSE()),"please select a BUG ID")</f>
        <v>please select a BUG ID</v>
      </c>
      <c r="E567" s="54"/>
      <c r="F567" s="82"/>
      <c r="G567" s="92"/>
      <c r="H567" s="54"/>
      <c r="I567" s="51" t="str">
        <f>IFERROR(VLOOKUP(A567,Internal_lists_bugs!$A$2:$G1058,7,FALSE()),"please select a BUG ID")</f>
        <v>please select a BUG ID</v>
      </c>
    </row>
    <row r="568">
      <c r="A568" s="54"/>
      <c r="B568" s="71" t="str">
        <f>IFERROR(HYPERLINK(VLOOKUP(A568,Internal_lists_bugs!$A$2:$C$73,3,FALSE()), VLOOKUP(A568,Internal_lists_bugs!$A$2:$C$73,3,FALSE())&amp;Char(10) &amp; Char(10) &amp; VLOOKUP(A568,Internal_lists_bugs!$A$2:$Z$73,26,FALSE())),"please select a BUG ID")</f>
        <v>please select a BUG ID</v>
      </c>
      <c r="C568" s="51" t="str">
        <f>IFERROR(VLOOKUP(A568,Internal_lists_bugs!$A$2:$T1058,20,FALSE()),"please select a BUG ID")</f>
        <v>please select a BUG ID</v>
      </c>
      <c r="E568" s="54"/>
      <c r="F568" s="82"/>
      <c r="G568" s="92"/>
      <c r="H568" s="54"/>
      <c r="I568" s="51" t="str">
        <f>IFERROR(VLOOKUP(A568,Internal_lists_bugs!$A$2:$G1058,7,FALSE()),"please select a BUG ID")</f>
        <v>please select a BUG ID</v>
      </c>
    </row>
    <row r="569">
      <c r="A569" s="54"/>
      <c r="B569" s="71" t="str">
        <f>IFERROR(HYPERLINK(VLOOKUP(A569,Internal_lists_bugs!$A$2:$C$73,3,FALSE()), VLOOKUP(A569,Internal_lists_bugs!$A$2:$C$73,3,FALSE())&amp;Char(10) &amp; Char(10) &amp; VLOOKUP(A569,Internal_lists_bugs!$A$2:$Z$73,26,FALSE())),"please select a BUG ID")</f>
        <v>please select a BUG ID</v>
      </c>
      <c r="C569" s="51" t="str">
        <f>IFERROR(VLOOKUP(A569,Internal_lists_bugs!$A$2:$T1058,20,FALSE()),"please select a BUG ID")</f>
        <v>please select a BUG ID</v>
      </c>
      <c r="E569" s="54"/>
      <c r="F569" s="82"/>
      <c r="G569" s="92"/>
      <c r="H569" s="54"/>
      <c r="I569" s="51" t="str">
        <f>IFERROR(VLOOKUP(A569,Internal_lists_bugs!$A$2:$G1058,7,FALSE()),"please select a BUG ID")</f>
        <v>please select a BUG ID</v>
      </c>
    </row>
    <row r="570">
      <c r="A570" s="54"/>
      <c r="B570" s="71" t="str">
        <f>IFERROR(HYPERLINK(VLOOKUP(A570,Internal_lists_bugs!$A$2:$C$73,3,FALSE()), VLOOKUP(A570,Internal_lists_bugs!$A$2:$C$73,3,FALSE())&amp;Char(10) &amp; Char(10) &amp; VLOOKUP(A570,Internal_lists_bugs!$A$2:$Z$73,26,FALSE())),"please select a BUG ID")</f>
        <v>please select a BUG ID</v>
      </c>
      <c r="C570" s="51" t="str">
        <f>IFERROR(VLOOKUP(A570,Internal_lists_bugs!$A$2:$T1058,20,FALSE()),"please select a BUG ID")</f>
        <v>please select a BUG ID</v>
      </c>
      <c r="E570" s="54"/>
      <c r="F570" s="82"/>
      <c r="G570" s="92"/>
      <c r="H570" s="54"/>
      <c r="I570" s="51" t="str">
        <f>IFERROR(VLOOKUP(A570,Internal_lists_bugs!$A$2:$G1058,7,FALSE()),"please select a BUG ID")</f>
        <v>please select a BUG ID</v>
      </c>
    </row>
    <row r="571">
      <c r="A571" s="54"/>
      <c r="B571" s="71" t="str">
        <f>IFERROR(HYPERLINK(VLOOKUP(A571,Internal_lists_bugs!$A$2:$C$73,3,FALSE()), VLOOKUP(A571,Internal_lists_bugs!$A$2:$C$73,3,FALSE())&amp;Char(10) &amp; Char(10) &amp; VLOOKUP(A571,Internal_lists_bugs!$A$2:$Z$73,26,FALSE())),"please select a BUG ID")</f>
        <v>please select a BUG ID</v>
      </c>
      <c r="C571" s="51" t="str">
        <f>IFERROR(VLOOKUP(A571,Internal_lists_bugs!$A$2:$T1058,20,FALSE()),"please select a BUG ID")</f>
        <v>please select a BUG ID</v>
      </c>
      <c r="E571" s="54"/>
      <c r="F571" s="82"/>
      <c r="G571" s="92"/>
      <c r="H571" s="54"/>
      <c r="I571" s="51" t="str">
        <f>IFERROR(VLOOKUP(A571,Internal_lists_bugs!$A$2:$G1058,7,FALSE()),"please select a BUG ID")</f>
        <v>please select a BUG ID</v>
      </c>
    </row>
    <row r="572">
      <c r="A572" s="54"/>
      <c r="B572" s="71" t="str">
        <f>IFERROR(HYPERLINK(VLOOKUP(A572,Internal_lists_bugs!$A$2:$C$73,3,FALSE()), VLOOKUP(A572,Internal_lists_bugs!$A$2:$C$73,3,FALSE())&amp;Char(10) &amp; Char(10) &amp; VLOOKUP(A572,Internal_lists_bugs!$A$2:$Z$73,26,FALSE())),"please select a BUG ID")</f>
        <v>please select a BUG ID</v>
      </c>
      <c r="C572" s="51" t="str">
        <f>IFERROR(VLOOKUP(A572,Internal_lists_bugs!$A$2:$T1058,20,FALSE()),"please select a BUG ID")</f>
        <v>please select a BUG ID</v>
      </c>
      <c r="E572" s="54"/>
      <c r="F572" s="82"/>
      <c r="G572" s="92"/>
      <c r="H572" s="54"/>
      <c r="I572" s="51" t="str">
        <f>IFERROR(VLOOKUP(A572,Internal_lists_bugs!$A$2:$G1058,7,FALSE()),"please select a BUG ID")</f>
        <v>please select a BUG ID</v>
      </c>
    </row>
    <row r="573">
      <c r="A573" s="54"/>
      <c r="B573" s="71" t="str">
        <f>IFERROR(HYPERLINK(VLOOKUP(A573,Internal_lists_bugs!$A$2:$C$73,3,FALSE()), VLOOKUP(A573,Internal_lists_bugs!$A$2:$C$73,3,FALSE())&amp;Char(10) &amp; Char(10) &amp; VLOOKUP(A573,Internal_lists_bugs!$A$2:$Z$73,26,FALSE())),"please select a BUG ID")</f>
        <v>please select a BUG ID</v>
      </c>
      <c r="C573" s="51" t="str">
        <f>IFERROR(VLOOKUP(A573,Internal_lists_bugs!$A$2:$T1058,20,FALSE()),"please select a BUG ID")</f>
        <v>please select a BUG ID</v>
      </c>
      <c r="E573" s="54"/>
      <c r="F573" s="82"/>
      <c r="G573" s="92"/>
      <c r="H573" s="54"/>
      <c r="I573" s="51" t="str">
        <f>IFERROR(VLOOKUP(A573,Internal_lists_bugs!$A$2:$G1058,7,FALSE()),"please select a BUG ID")</f>
        <v>please select a BUG ID</v>
      </c>
    </row>
    <row r="574">
      <c r="A574" s="54"/>
      <c r="B574" s="71" t="str">
        <f>IFERROR(HYPERLINK(VLOOKUP(A574,Internal_lists_bugs!$A$2:$C$73,3,FALSE()), VLOOKUP(A574,Internal_lists_bugs!$A$2:$C$73,3,FALSE())&amp;Char(10) &amp; Char(10) &amp; VLOOKUP(A574,Internal_lists_bugs!$A$2:$Z$73,26,FALSE())),"please select a BUG ID")</f>
        <v>please select a BUG ID</v>
      </c>
      <c r="C574" s="51" t="str">
        <f>IFERROR(VLOOKUP(A574,Internal_lists_bugs!$A$2:$T1058,20,FALSE()),"please select a BUG ID")</f>
        <v>please select a BUG ID</v>
      </c>
      <c r="E574" s="54"/>
      <c r="F574" s="82"/>
      <c r="G574" s="92"/>
      <c r="H574" s="54"/>
      <c r="I574" s="51" t="str">
        <f>IFERROR(VLOOKUP(A574,Internal_lists_bugs!$A$2:$G1058,7,FALSE()),"please select a BUG ID")</f>
        <v>please select a BUG ID</v>
      </c>
    </row>
    <row r="575">
      <c r="A575" s="54"/>
      <c r="B575" s="71" t="str">
        <f>IFERROR(HYPERLINK(VLOOKUP(A575,Internal_lists_bugs!$A$2:$C$73,3,FALSE()), VLOOKUP(A575,Internal_lists_bugs!$A$2:$C$73,3,FALSE())&amp;Char(10) &amp; Char(10) &amp; VLOOKUP(A575,Internal_lists_bugs!$A$2:$Z$73,26,FALSE())),"please select a BUG ID")</f>
        <v>please select a BUG ID</v>
      </c>
      <c r="C575" s="51" t="str">
        <f>IFERROR(VLOOKUP(A575,Internal_lists_bugs!$A$2:$T1058,20,FALSE()),"please select a BUG ID")</f>
        <v>please select a BUG ID</v>
      </c>
      <c r="E575" s="54"/>
      <c r="F575" s="82"/>
      <c r="G575" s="92"/>
      <c r="H575" s="54"/>
      <c r="I575" s="51" t="str">
        <f>IFERROR(VLOOKUP(A575,Internal_lists_bugs!$A$2:$G1058,7,FALSE()),"please select a BUG ID")</f>
        <v>please select a BUG ID</v>
      </c>
    </row>
    <row r="576">
      <c r="A576" s="54"/>
      <c r="B576" s="71" t="str">
        <f>IFERROR(HYPERLINK(VLOOKUP(A576,Internal_lists_bugs!$A$2:$C$73,3,FALSE()), VLOOKUP(A576,Internal_lists_bugs!$A$2:$C$73,3,FALSE())&amp;Char(10) &amp; Char(10) &amp; VLOOKUP(A576,Internal_lists_bugs!$A$2:$Z$73,26,FALSE())),"please select a BUG ID")</f>
        <v>please select a BUG ID</v>
      </c>
      <c r="C576" s="51" t="str">
        <f>IFERROR(VLOOKUP(A576,Internal_lists_bugs!$A$2:$T1058,20,FALSE()),"please select a BUG ID")</f>
        <v>please select a BUG ID</v>
      </c>
      <c r="E576" s="54"/>
      <c r="F576" s="82"/>
      <c r="G576" s="92"/>
      <c r="H576" s="54"/>
      <c r="I576" s="51" t="str">
        <f>IFERROR(VLOOKUP(A576,Internal_lists_bugs!$A$2:$G1058,7,FALSE()),"please select a BUG ID")</f>
        <v>please select a BUG ID</v>
      </c>
    </row>
    <row r="577">
      <c r="A577" s="54"/>
      <c r="B577" s="71" t="str">
        <f>IFERROR(HYPERLINK(VLOOKUP(A577,Internal_lists_bugs!$A$2:$C$73,3,FALSE()), VLOOKUP(A577,Internal_lists_bugs!$A$2:$C$73,3,FALSE())&amp;Char(10) &amp; Char(10) &amp; VLOOKUP(A577,Internal_lists_bugs!$A$2:$Z$73,26,FALSE())),"please select a BUG ID")</f>
        <v>please select a BUG ID</v>
      </c>
      <c r="C577" s="51" t="str">
        <f>IFERROR(VLOOKUP(A577,Internal_lists_bugs!$A$2:$T1058,20,FALSE()),"please select a BUG ID")</f>
        <v>please select a BUG ID</v>
      </c>
      <c r="E577" s="54"/>
      <c r="F577" s="82"/>
      <c r="G577" s="92"/>
      <c r="H577" s="54"/>
      <c r="I577" s="51" t="str">
        <f>IFERROR(VLOOKUP(A577,Internal_lists_bugs!$A$2:$G1058,7,FALSE()),"please select a BUG ID")</f>
        <v>please select a BUG ID</v>
      </c>
    </row>
    <row r="578">
      <c r="A578" s="54"/>
      <c r="B578" s="71" t="str">
        <f>IFERROR(HYPERLINK(VLOOKUP(A578,Internal_lists_bugs!$A$2:$C$73,3,FALSE()), VLOOKUP(A578,Internal_lists_bugs!$A$2:$C$73,3,FALSE())&amp;Char(10) &amp; Char(10) &amp; VLOOKUP(A578,Internal_lists_bugs!$A$2:$Z$73,26,FALSE())),"please select a BUG ID")</f>
        <v>please select a BUG ID</v>
      </c>
      <c r="C578" s="51" t="str">
        <f>IFERROR(VLOOKUP(A578,Internal_lists_bugs!$A$2:$T1058,20,FALSE()),"please select a BUG ID")</f>
        <v>please select a BUG ID</v>
      </c>
      <c r="E578" s="54"/>
      <c r="F578" s="82"/>
      <c r="G578" s="92"/>
      <c r="H578" s="54"/>
      <c r="I578" s="51" t="str">
        <f>IFERROR(VLOOKUP(A578,Internal_lists_bugs!$A$2:$G1058,7,FALSE()),"please select a BUG ID")</f>
        <v>please select a BUG ID</v>
      </c>
    </row>
    <row r="579">
      <c r="A579" s="54"/>
      <c r="B579" s="71" t="str">
        <f>IFERROR(HYPERLINK(VLOOKUP(A579,Internal_lists_bugs!$A$2:$C$73,3,FALSE()), VLOOKUP(A579,Internal_lists_bugs!$A$2:$C$73,3,FALSE())&amp;Char(10) &amp; Char(10) &amp; VLOOKUP(A579,Internal_lists_bugs!$A$2:$Z$73,26,FALSE())),"please select a BUG ID")</f>
        <v>please select a BUG ID</v>
      </c>
      <c r="C579" s="51" t="str">
        <f>IFERROR(VLOOKUP(A579,Internal_lists_bugs!$A$2:$T1058,20,FALSE()),"please select a BUG ID")</f>
        <v>please select a BUG ID</v>
      </c>
      <c r="E579" s="54"/>
      <c r="F579" s="82"/>
      <c r="G579" s="92"/>
      <c r="H579" s="54"/>
      <c r="I579" s="51" t="str">
        <f>IFERROR(VLOOKUP(A579,Internal_lists_bugs!$A$2:$G1058,7,FALSE()),"please select a BUG ID")</f>
        <v>please select a BUG ID</v>
      </c>
    </row>
    <row r="580">
      <c r="A580" s="54"/>
      <c r="B580" s="71" t="str">
        <f>IFERROR(HYPERLINK(VLOOKUP(A580,Internal_lists_bugs!$A$2:$C$73,3,FALSE()), VLOOKUP(A580,Internal_lists_bugs!$A$2:$C$73,3,FALSE())&amp;Char(10) &amp; Char(10) &amp; VLOOKUP(A580,Internal_lists_bugs!$A$2:$Z$73,26,FALSE())),"please select a BUG ID")</f>
        <v>please select a BUG ID</v>
      </c>
      <c r="C580" s="51" t="str">
        <f>IFERROR(VLOOKUP(A580,Internal_lists_bugs!$A$2:$T1058,20,FALSE()),"please select a BUG ID")</f>
        <v>please select a BUG ID</v>
      </c>
      <c r="E580" s="54"/>
      <c r="F580" s="82"/>
      <c r="G580" s="92"/>
      <c r="H580" s="54"/>
      <c r="I580" s="51" t="str">
        <f>IFERROR(VLOOKUP(A580,Internal_lists_bugs!$A$2:$G1058,7,FALSE()),"please select a BUG ID")</f>
        <v>please select a BUG ID</v>
      </c>
    </row>
    <row r="581">
      <c r="A581" s="54"/>
      <c r="B581" s="71" t="str">
        <f>IFERROR(HYPERLINK(VLOOKUP(A581,Internal_lists_bugs!$A$2:$C$73,3,FALSE()), VLOOKUP(A581,Internal_lists_bugs!$A$2:$C$73,3,FALSE())&amp;Char(10) &amp; Char(10) &amp; VLOOKUP(A581,Internal_lists_bugs!$A$2:$Z$73,26,FALSE())),"please select a BUG ID")</f>
        <v>please select a BUG ID</v>
      </c>
      <c r="C581" s="51" t="str">
        <f>IFERROR(VLOOKUP(A581,Internal_lists_bugs!$A$2:$T1058,20,FALSE()),"please select a BUG ID")</f>
        <v>please select a BUG ID</v>
      </c>
      <c r="E581" s="54"/>
      <c r="F581" s="82"/>
      <c r="G581" s="92"/>
      <c r="H581" s="54"/>
      <c r="I581" s="51" t="str">
        <f>IFERROR(VLOOKUP(A581,Internal_lists_bugs!$A$2:$G1058,7,FALSE()),"please select a BUG ID")</f>
        <v>please select a BUG ID</v>
      </c>
    </row>
    <row r="582">
      <c r="A582" s="54"/>
      <c r="B582" s="71" t="str">
        <f>IFERROR(HYPERLINK(VLOOKUP(A582,Internal_lists_bugs!$A$2:$C$73,3,FALSE()), VLOOKUP(A582,Internal_lists_bugs!$A$2:$C$73,3,FALSE())&amp;Char(10) &amp; Char(10) &amp; VLOOKUP(A582,Internal_lists_bugs!$A$2:$Z$73,26,FALSE())),"please select a BUG ID")</f>
        <v>please select a BUG ID</v>
      </c>
      <c r="C582" s="51" t="str">
        <f>IFERROR(VLOOKUP(A582,Internal_lists_bugs!$A$2:$T1058,20,FALSE()),"please select a BUG ID")</f>
        <v>please select a BUG ID</v>
      </c>
      <c r="E582" s="54"/>
      <c r="F582" s="82"/>
      <c r="G582" s="92"/>
      <c r="H582" s="54"/>
      <c r="I582" s="51" t="str">
        <f>IFERROR(VLOOKUP(A582,Internal_lists_bugs!$A$2:$G1058,7,FALSE()),"please select a BUG ID")</f>
        <v>please select a BUG ID</v>
      </c>
    </row>
    <row r="583">
      <c r="A583" s="54"/>
      <c r="B583" s="71" t="str">
        <f>IFERROR(HYPERLINK(VLOOKUP(A583,Internal_lists_bugs!$A$2:$C$73,3,FALSE()), VLOOKUP(A583,Internal_lists_bugs!$A$2:$C$73,3,FALSE())&amp;Char(10) &amp; Char(10) &amp; VLOOKUP(A583,Internal_lists_bugs!$A$2:$Z$73,26,FALSE())),"please select a BUG ID")</f>
        <v>please select a BUG ID</v>
      </c>
      <c r="C583" s="51" t="str">
        <f>IFERROR(VLOOKUP(A583,Internal_lists_bugs!$A$2:$T1058,20,FALSE()),"please select a BUG ID")</f>
        <v>please select a BUG ID</v>
      </c>
      <c r="E583" s="54"/>
      <c r="F583" s="82"/>
      <c r="G583" s="92"/>
      <c r="H583" s="54"/>
      <c r="I583" s="51" t="str">
        <f>IFERROR(VLOOKUP(A583,Internal_lists_bugs!$A$2:$G1058,7,FALSE()),"please select a BUG ID")</f>
        <v>please select a BUG ID</v>
      </c>
    </row>
    <row r="584">
      <c r="A584" s="54"/>
      <c r="B584" s="71" t="str">
        <f>IFERROR(HYPERLINK(VLOOKUP(A584,Internal_lists_bugs!$A$2:$C$73,3,FALSE()), VLOOKUP(A584,Internal_lists_bugs!$A$2:$C$73,3,FALSE())&amp;Char(10) &amp; Char(10) &amp; VLOOKUP(A584,Internal_lists_bugs!$A$2:$Z$73,26,FALSE())),"please select a BUG ID")</f>
        <v>please select a BUG ID</v>
      </c>
      <c r="C584" s="51" t="str">
        <f>IFERROR(VLOOKUP(A584,Internal_lists_bugs!$A$2:$T1058,20,FALSE()),"please select a BUG ID")</f>
        <v>please select a BUG ID</v>
      </c>
      <c r="E584" s="54"/>
      <c r="F584" s="82"/>
      <c r="G584" s="92"/>
      <c r="H584" s="54"/>
      <c r="I584" s="51" t="str">
        <f>IFERROR(VLOOKUP(A584,Internal_lists_bugs!$A$2:$G1058,7,FALSE()),"please select a BUG ID")</f>
        <v>please select a BUG ID</v>
      </c>
    </row>
    <row r="585">
      <c r="A585" s="54"/>
      <c r="B585" s="71" t="str">
        <f>IFERROR(HYPERLINK(VLOOKUP(A585,Internal_lists_bugs!$A$2:$C$73,3,FALSE()), VLOOKUP(A585,Internal_lists_bugs!$A$2:$C$73,3,FALSE())&amp;Char(10) &amp; Char(10) &amp; VLOOKUP(A585,Internal_lists_bugs!$A$2:$Z$73,26,FALSE())),"please select a BUG ID")</f>
        <v>please select a BUG ID</v>
      </c>
      <c r="C585" s="51" t="str">
        <f>IFERROR(VLOOKUP(A585,Internal_lists_bugs!$A$2:$T1058,20,FALSE()),"please select a BUG ID")</f>
        <v>please select a BUG ID</v>
      </c>
      <c r="E585" s="54"/>
      <c r="F585" s="82"/>
      <c r="G585" s="92"/>
      <c r="H585" s="54"/>
      <c r="I585" s="51" t="str">
        <f>IFERROR(VLOOKUP(A585,Internal_lists_bugs!$A$2:$G1058,7,FALSE()),"please select a BUG ID")</f>
        <v>please select a BUG ID</v>
      </c>
    </row>
    <row r="586">
      <c r="A586" s="54"/>
      <c r="B586" s="71" t="str">
        <f>IFERROR(HYPERLINK(VLOOKUP(A586,Internal_lists_bugs!$A$2:$C$73,3,FALSE()), VLOOKUP(A586,Internal_lists_bugs!$A$2:$C$73,3,FALSE())&amp;Char(10) &amp; Char(10) &amp; VLOOKUP(A586,Internal_lists_bugs!$A$2:$Z$73,26,FALSE())),"please select a BUG ID")</f>
        <v>please select a BUG ID</v>
      </c>
      <c r="C586" s="51" t="str">
        <f>IFERROR(VLOOKUP(A586,Internal_lists_bugs!$A$2:$T1058,20,FALSE()),"please select a BUG ID")</f>
        <v>please select a BUG ID</v>
      </c>
      <c r="E586" s="54"/>
      <c r="F586" s="82"/>
      <c r="G586" s="92"/>
      <c r="H586" s="54"/>
      <c r="I586" s="51" t="str">
        <f>IFERROR(VLOOKUP(A586,Internal_lists_bugs!$A$2:$G1058,7,FALSE()),"please select a BUG ID")</f>
        <v>please select a BUG ID</v>
      </c>
    </row>
    <row r="587">
      <c r="A587" s="54"/>
      <c r="B587" s="71" t="str">
        <f>IFERROR(HYPERLINK(VLOOKUP(A587,Internal_lists_bugs!$A$2:$C$73,3,FALSE()), VLOOKUP(A587,Internal_lists_bugs!$A$2:$C$73,3,FALSE())&amp;Char(10) &amp; Char(10) &amp; VLOOKUP(A587,Internal_lists_bugs!$A$2:$Z$73,26,FALSE())),"please select a BUG ID")</f>
        <v>please select a BUG ID</v>
      </c>
      <c r="C587" s="51" t="str">
        <f>IFERROR(VLOOKUP(A587,Internal_lists_bugs!$A$2:$T1058,20,FALSE()),"please select a BUG ID")</f>
        <v>please select a BUG ID</v>
      </c>
      <c r="E587" s="54"/>
      <c r="F587" s="82"/>
      <c r="G587" s="92"/>
      <c r="H587" s="54"/>
      <c r="I587" s="51" t="str">
        <f>IFERROR(VLOOKUP(A587,Internal_lists_bugs!$A$2:$G1058,7,FALSE()),"please select a BUG ID")</f>
        <v>please select a BUG ID</v>
      </c>
    </row>
    <row r="588">
      <c r="A588" s="54"/>
      <c r="B588" s="71" t="str">
        <f>IFERROR(HYPERLINK(VLOOKUP(A588,Internal_lists_bugs!$A$2:$C$73,3,FALSE()), VLOOKUP(A588,Internal_lists_bugs!$A$2:$C$73,3,FALSE())&amp;Char(10) &amp; Char(10) &amp; VLOOKUP(A588,Internal_lists_bugs!$A$2:$Z$73,26,FALSE())),"please select a BUG ID")</f>
        <v>please select a BUG ID</v>
      </c>
      <c r="C588" s="51" t="str">
        <f>IFERROR(VLOOKUP(A588,Internal_lists_bugs!$A$2:$T1058,20,FALSE()),"please select a BUG ID")</f>
        <v>please select a BUG ID</v>
      </c>
      <c r="E588" s="54"/>
      <c r="F588" s="82"/>
      <c r="G588" s="92"/>
      <c r="H588" s="54"/>
      <c r="I588" s="51" t="str">
        <f>IFERROR(VLOOKUP(A588,Internal_lists_bugs!$A$2:$G1058,7,FALSE()),"please select a BUG ID")</f>
        <v>please select a BUG ID</v>
      </c>
    </row>
    <row r="589">
      <c r="A589" s="54"/>
      <c r="B589" s="71" t="str">
        <f>IFERROR(HYPERLINK(VLOOKUP(A589,Internal_lists_bugs!$A$2:$C$73,3,FALSE()), VLOOKUP(A589,Internal_lists_bugs!$A$2:$C$73,3,FALSE())&amp;Char(10) &amp; Char(10) &amp; VLOOKUP(A589,Internal_lists_bugs!$A$2:$Z$73,26,FALSE())),"please select a BUG ID")</f>
        <v>please select a BUG ID</v>
      </c>
      <c r="C589" s="51" t="str">
        <f>IFERROR(VLOOKUP(A589,Internal_lists_bugs!$A$2:$T1058,20,FALSE()),"please select a BUG ID")</f>
        <v>please select a BUG ID</v>
      </c>
      <c r="E589" s="54"/>
      <c r="F589" s="82"/>
      <c r="G589" s="92"/>
      <c r="H589" s="54"/>
      <c r="I589" s="51" t="str">
        <f>IFERROR(VLOOKUP(A589,Internal_lists_bugs!$A$2:$G1058,7,FALSE()),"please select a BUG ID")</f>
        <v>please select a BUG ID</v>
      </c>
    </row>
    <row r="590">
      <c r="A590" s="54"/>
      <c r="B590" s="71" t="str">
        <f>IFERROR(HYPERLINK(VLOOKUP(A590,Internal_lists_bugs!$A$2:$C$73,3,FALSE()), VLOOKUP(A590,Internal_lists_bugs!$A$2:$C$73,3,FALSE())&amp;Char(10) &amp; Char(10) &amp; VLOOKUP(A590,Internal_lists_bugs!$A$2:$Z$73,26,FALSE())),"please select a BUG ID")</f>
        <v>please select a BUG ID</v>
      </c>
      <c r="C590" s="51" t="str">
        <f>IFERROR(VLOOKUP(A590,Internal_lists_bugs!$A$2:$T1058,20,FALSE()),"please select a BUG ID")</f>
        <v>please select a BUG ID</v>
      </c>
      <c r="E590" s="54"/>
      <c r="F590" s="82"/>
      <c r="G590" s="92"/>
      <c r="H590" s="54"/>
      <c r="I590" s="51" t="str">
        <f>IFERROR(VLOOKUP(A590,Internal_lists_bugs!$A$2:$G1058,7,FALSE()),"please select a BUG ID")</f>
        <v>please select a BUG ID</v>
      </c>
    </row>
    <row r="591">
      <c r="A591" s="54"/>
      <c r="B591" s="71" t="str">
        <f>IFERROR(HYPERLINK(VLOOKUP(A591,Internal_lists_bugs!$A$2:$C$73,3,FALSE()), VLOOKUP(A591,Internal_lists_bugs!$A$2:$C$73,3,FALSE())&amp;Char(10) &amp; Char(10) &amp; VLOOKUP(A591,Internal_lists_bugs!$A$2:$Z$73,26,FALSE())),"please select a BUG ID")</f>
        <v>please select a BUG ID</v>
      </c>
      <c r="C591" s="51" t="str">
        <f>IFERROR(VLOOKUP(A591,Internal_lists_bugs!$A$2:$T1058,20,FALSE()),"please select a BUG ID")</f>
        <v>please select a BUG ID</v>
      </c>
      <c r="E591" s="54"/>
      <c r="F591" s="82"/>
      <c r="G591" s="92"/>
      <c r="H591" s="54"/>
      <c r="I591" s="51" t="str">
        <f>IFERROR(VLOOKUP(A591,Internal_lists_bugs!$A$2:$G1058,7,FALSE()),"please select a BUG ID")</f>
        <v>please select a BUG ID</v>
      </c>
    </row>
    <row r="592">
      <c r="A592" s="54"/>
      <c r="B592" s="71" t="str">
        <f>IFERROR(HYPERLINK(VLOOKUP(A592,Internal_lists_bugs!$A$2:$C$73,3,FALSE()), VLOOKUP(A592,Internal_lists_bugs!$A$2:$C$73,3,FALSE())&amp;Char(10) &amp; Char(10) &amp; VLOOKUP(A592,Internal_lists_bugs!$A$2:$Z$73,26,FALSE())),"please select a BUG ID")</f>
        <v>please select a BUG ID</v>
      </c>
      <c r="C592" s="51" t="str">
        <f>IFERROR(VLOOKUP(A592,Internal_lists_bugs!$A$2:$T1058,20,FALSE()),"please select a BUG ID")</f>
        <v>please select a BUG ID</v>
      </c>
      <c r="E592" s="54"/>
      <c r="F592" s="82"/>
      <c r="G592" s="92"/>
      <c r="H592" s="54"/>
      <c r="I592" s="51" t="str">
        <f>IFERROR(VLOOKUP(A592,Internal_lists_bugs!$A$2:$G1058,7,FALSE()),"please select a BUG ID")</f>
        <v>please select a BUG ID</v>
      </c>
    </row>
    <row r="593">
      <c r="A593" s="54"/>
      <c r="B593" s="71" t="str">
        <f>IFERROR(HYPERLINK(VLOOKUP(A593,Internal_lists_bugs!$A$2:$C$73,3,FALSE()), VLOOKUP(A593,Internal_lists_bugs!$A$2:$C$73,3,FALSE())&amp;Char(10) &amp; Char(10) &amp; VLOOKUP(A593,Internal_lists_bugs!$A$2:$Z$73,26,FALSE())),"please select a BUG ID")</f>
        <v>please select a BUG ID</v>
      </c>
      <c r="C593" s="51" t="str">
        <f>IFERROR(VLOOKUP(A593,Internal_lists_bugs!$A$2:$T1058,20,FALSE()),"please select a BUG ID")</f>
        <v>please select a BUG ID</v>
      </c>
      <c r="E593" s="54"/>
      <c r="F593" s="82"/>
      <c r="G593" s="92"/>
      <c r="H593" s="54"/>
      <c r="I593" s="51" t="str">
        <f>IFERROR(VLOOKUP(A593,Internal_lists_bugs!$A$2:$G1058,7,FALSE()),"please select a BUG ID")</f>
        <v>please select a BUG ID</v>
      </c>
    </row>
    <row r="594">
      <c r="A594" s="54"/>
      <c r="B594" s="71" t="str">
        <f>IFERROR(HYPERLINK(VLOOKUP(A594,Internal_lists_bugs!$A$2:$C$73,3,FALSE()), VLOOKUP(A594,Internal_lists_bugs!$A$2:$C$73,3,FALSE())&amp;Char(10) &amp; Char(10) &amp; VLOOKUP(A594,Internal_lists_bugs!$A$2:$Z$73,26,FALSE())),"please select a BUG ID")</f>
        <v>please select a BUG ID</v>
      </c>
      <c r="C594" s="51" t="str">
        <f>IFERROR(VLOOKUP(A594,Internal_lists_bugs!$A$2:$T1058,20,FALSE()),"please select a BUG ID")</f>
        <v>please select a BUG ID</v>
      </c>
      <c r="E594" s="54"/>
      <c r="F594" s="82"/>
      <c r="G594" s="92"/>
      <c r="H594" s="54"/>
      <c r="I594" s="51" t="str">
        <f>IFERROR(VLOOKUP(A594,Internal_lists_bugs!$A$2:$G1058,7,FALSE()),"please select a BUG ID")</f>
        <v>please select a BUG ID</v>
      </c>
    </row>
    <row r="595">
      <c r="A595" s="54"/>
      <c r="B595" s="71" t="str">
        <f>IFERROR(HYPERLINK(VLOOKUP(A595,Internal_lists_bugs!$A$2:$C$73,3,FALSE()), VLOOKUP(A595,Internal_lists_bugs!$A$2:$C$73,3,FALSE())&amp;Char(10) &amp; Char(10) &amp; VLOOKUP(A595,Internal_lists_bugs!$A$2:$Z$73,26,FALSE())),"please select a BUG ID")</f>
        <v>please select a BUG ID</v>
      </c>
      <c r="C595" s="51" t="str">
        <f>IFERROR(VLOOKUP(A595,Internal_lists_bugs!$A$2:$T1058,20,FALSE()),"please select a BUG ID")</f>
        <v>please select a BUG ID</v>
      </c>
      <c r="E595" s="54"/>
      <c r="F595" s="82"/>
      <c r="G595" s="92"/>
      <c r="H595" s="54"/>
      <c r="I595" s="51" t="str">
        <f>IFERROR(VLOOKUP(A595,Internal_lists_bugs!$A$2:$G1058,7,FALSE()),"please select a BUG ID")</f>
        <v>please select a BUG ID</v>
      </c>
    </row>
    <row r="596">
      <c r="A596" s="54"/>
      <c r="B596" s="71" t="str">
        <f>IFERROR(HYPERLINK(VLOOKUP(A596,Internal_lists_bugs!$A$2:$C$73,3,FALSE()), VLOOKUP(A596,Internal_lists_bugs!$A$2:$C$73,3,FALSE())&amp;Char(10) &amp; Char(10) &amp; VLOOKUP(A596,Internal_lists_bugs!$A$2:$Z$73,26,FALSE())),"please select a BUG ID")</f>
        <v>please select a BUG ID</v>
      </c>
      <c r="C596" s="51" t="str">
        <f>IFERROR(VLOOKUP(A596,Internal_lists_bugs!$A$2:$T1058,20,FALSE()),"please select a BUG ID")</f>
        <v>please select a BUG ID</v>
      </c>
      <c r="E596" s="54"/>
      <c r="F596" s="82"/>
      <c r="G596" s="92"/>
      <c r="H596" s="54"/>
      <c r="I596" s="51" t="str">
        <f>IFERROR(VLOOKUP(A596,Internal_lists_bugs!$A$2:$G1058,7,FALSE()),"please select a BUG ID")</f>
        <v>please select a BUG ID</v>
      </c>
    </row>
    <row r="597">
      <c r="A597" s="54"/>
      <c r="B597" s="71" t="str">
        <f>IFERROR(HYPERLINK(VLOOKUP(A597,Internal_lists_bugs!$A$2:$C$73,3,FALSE()), VLOOKUP(A597,Internal_lists_bugs!$A$2:$C$73,3,FALSE())&amp;Char(10) &amp; Char(10) &amp; VLOOKUP(A597,Internal_lists_bugs!$A$2:$Z$73,26,FALSE())),"please select a BUG ID")</f>
        <v>please select a BUG ID</v>
      </c>
      <c r="C597" s="51" t="str">
        <f>IFERROR(VLOOKUP(A597,Internal_lists_bugs!$A$2:$T1058,20,FALSE()),"please select a BUG ID")</f>
        <v>please select a BUG ID</v>
      </c>
      <c r="E597" s="54"/>
      <c r="F597" s="82"/>
      <c r="G597" s="92"/>
      <c r="H597" s="54"/>
      <c r="I597" s="51" t="str">
        <f>IFERROR(VLOOKUP(A597,Internal_lists_bugs!$A$2:$G1058,7,FALSE()),"please select a BUG ID")</f>
        <v>please select a BUG ID</v>
      </c>
    </row>
    <row r="598">
      <c r="A598" s="54"/>
      <c r="B598" s="71" t="str">
        <f>IFERROR(HYPERLINK(VLOOKUP(A598,Internal_lists_bugs!$A$2:$C$73,3,FALSE()), VLOOKUP(A598,Internal_lists_bugs!$A$2:$C$73,3,FALSE())&amp;Char(10) &amp; Char(10) &amp; VLOOKUP(A598,Internal_lists_bugs!$A$2:$Z$73,26,FALSE())),"please select a BUG ID")</f>
        <v>please select a BUG ID</v>
      </c>
      <c r="C598" s="51" t="str">
        <f>IFERROR(VLOOKUP(A598,Internal_lists_bugs!$A$2:$T1058,20,FALSE()),"please select a BUG ID")</f>
        <v>please select a BUG ID</v>
      </c>
      <c r="E598" s="54"/>
      <c r="F598" s="82"/>
      <c r="G598" s="92"/>
      <c r="H598" s="54"/>
      <c r="I598" s="51" t="str">
        <f>IFERROR(VLOOKUP(A598,Internal_lists_bugs!$A$2:$G1058,7,FALSE()),"please select a BUG ID")</f>
        <v>please select a BUG ID</v>
      </c>
    </row>
    <row r="599">
      <c r="A599" s="54"/>
      <c r="B599" s="71" t="str">
        <f>IFERROR(HYPERLINK(VLOOKUP(A599,Internal_lists_bugs!$A$2:$C$73,3,FALSE()), VLOOKUP(A599,Internal_lists_bugs!$A$2:$C$73,3,FALSE())&amp;Char(10) &amp; Char(10) &amp; VLOOKUP(A599,Internal_lists_bugs!$A$2:$Z$73,26,FALSE())),"please select a BUG ID")</f>
        <v>please select a BUG ID</v>
      </c>
      <c r="C599" s="51" t="str">
        <f>IFERROR(VLOOKUP(A599,Internal_lists_bugs!$A$2:$T1058,20,FALSE()),"please select a BUG ID")</f>
        <v>please select a BUG ID</v>
      </c>
      <c r="E599" s="54"/>
      <c r="F599" s="82"/>
      <c r="G599" s="92"/>
      <c r="H599" s="54"/>
      <c r="I599" s="51" t="str">
        <f>IFERROR(VLOOKUP(A599,Internal_lists_bugs!$A$2:$G1058,7,FALSE()),"please select a BUG ID")</f>
        <v>please select a BUG ID</v>
      </c>
    </row>
    <row r="600">
      <c r="A600" s="54"/>
      <c r="B600" s="71" t="str">
        <f>IFERROR(HYPERLINK(VLOOKUP(A600,Internal_lists_bugs!$A$2:$C$73,3,FALSE()), VLOOKUP(A600,Internal_lists_bugs!$A$2:$C$73,3,FALSE())&amp;Char(10) &amp; Char(10) &amp; VLOOKUP(A600,Internal_lists_bugs!$A$2:$Z$73,26,FALSE())),"please select a BUG ID")</f>
        <v>please select a BUG ID</v>
      </c>
      <c r="C600" s="51" t="str">
        <f>IFERROR(VLOOKUP(A600,Internal_lists_bugs!$A$2:$T1058,20,FALSE()),"please select a BUG ID")</f>
        <v>please select a BUG ID</v>
      </c>
      <c r="E600" s="54"/>
      <c r="F600" s="82"/>
      <c r="G600" s="92"/>
      <c r="H600" s="54"/>
      <c r="I600" s="51" t="str">
        <f>IFERROR(VLOOKUP(A600,Internal_lists_bugs!$A$2:$G1058,7,FALSE()),"please select a BUG ID")</f>
        <v>please select a BUG ID</v>
      </c>
    </row>
    <row r="601">
      <c r="A601" s="54"/>
      <c r="B601" s="71" t="str">
        <f>IFERROR(HYPERLINK(VLOOKUP(A601,Internal_lists_bugs!$A$2:$C$73,3,FALSE()), VLOOKUP(A601,Internal_lists_bugs!$A$2:$C$73,3,FALSE())&amp;Char(10) &amp; Char(10) &amp; VLOOKUP(A601,Internal_lists_bugs!$A$2:$Z$73,26,FALSE())),"please select a BUG ID")</f>
        <v>please select a BUG ID</v>
      </c>
      <c r="C601" s="51" t="str">
        <f>IFERROR(VLOOKUP(A601,Internal_lists_bugs!$A$2:$T1058,20,FALSE()),"please select a BUG ID")</f>
        <v>please select a BUG ID</v>
      </c>
      <c r="E601" s="54"/>
      <c r="F601" s="82"/>
      <c r="G601" s="92"/>
      <c r="H601" s="54"/>
      <c r="I601" s="51" t="str">
        <f>IFERROR(VLOOKUP(A601,Internal_lists_bugs!$A$2:$G1058,7,FALSE()),"please select a BUG ID")</f>
        <v>please select a BUG ID</v>
      </c>
    </row>
    <row r="602">
      <c r="A602" s="54"/>
      <c r="B602" s="71" t="str">
        <f>IFERROR(HYPERLINK(VLOOKUP(A602,Internal_lists_bugs!$A$2:$C$73,3,FALSE()), VLOOKUP(A602,Internal_lists_bugs!$A$2:$C$73,3,FALSE())&amp;Char(10) &amp; Char(10) &amp; VLOOKUP(A602,Internal_lists_bugs!$A$2:$Z$73,26,FALSE())),"please select a BUG ID")</f>
        <v>please select a BUG ID</v>
      </c>
      <c r="C602" s="51" t="str">
        <f>IFERROR(VLOOKUP(A602,Internal_lists_bugs!$A$2:$T1058,20,FALSE()),"please select a BUG ID")</f>
        <v>please select a BUG ID</v>
      </c>
      <c r="E602" s="54"/>
      <c r="F602" s="82"/>
      <c r="G602" s="92"/>
      <c r="H602" s="54"/>
      <c r="I602" s="51" t="str">
        <f>IFERROR(VLOOKUP(A602,Internal_lists_bugs!$A$2:$G1058,7,FALSE()),"please select a BUG ID")</f>
        <v>please select a BUG ID</v>
      </c>
    </row>
    <row r="603">
      <c r="A603" s="54"/>
      <c r="B603" s="71" t="str">
        <f>IFERROR(HYPERLINK(VLOOKUP(A603,Internal_lists_bugs!$A$2:$C$73,3,FALSE()), VLOOKUP(A603,Internal_lists_bugs!$A$2:$C$73,3,FALSE())&amp;Char(10) &amp; Char(10) &amp; VLOOKUP(A603,Internal_lists_bugs!$A$2:$Z$73,26,FALSE())),"please select a BUG ID")</f>
        <v>please select a BUG ID</v>
      </c>
      <c r="C603" s="51" t="str">
        <f>IFERROR(VLOOKUP(A603,Internal_lists_bugs!$A$2:$T1058,20,FALSE()),"please select a BUG ID")</f>
        <v>please select a BUG ID</v>
      </c>
      <c r="E603" s="54"/>
      <c r="F603" s="82"/>
      <c r="G603" s="92"/>
      <c r="H603" s="54"/>
      <c r="I603" s="51" t="str">
        <f>IFERROR(VLOOKUP(A603,Internal_lists_bugs!$A$2:$G1058,7,FALSE()),"please select a BUG ID")</f>
        <v>please select a BUG ID</v>
      </c>
    </row>
    <row r="604">
      <c r="A604" s="54"/>
      <c r="B604" s="71" t="str">
        <f>IFERROR(HYPERLINK(VLOOKUP(A604,Internal_lists_bugs!$A$2:$C$73,3,FALSE()), VLOOKUP(A604,Internal_lists_bugs!$A$2:$C$73,3,FALSE())&amp;Char(10) &amp; Char(10) &amp; VLOOKUP(A604,Internal_lists_bugs!$A$2:$Z$73,26,FALSE())),"please select a BUG ID")</f>
        <v>please select a BUG ID</v>
      </c>
      <c r="C604" s="51" t="str">
        <f>IFERROR(VLOOKUP(A604,Internal_lists_bugs!$A$2:$T1058,20,FALSE()),"please select a BUG ID")</f>
        <v>please select a BUG ID</v>
      </c>
      <c r="E604" s="54"/>
      <c r="F604" s="82"/>
      <c r="G604" s="92"/>
      <c r="H604" s="54"/>
      <c r="I604" s="51" t="str">
        <f>IFERROR(VLOOKUP(A604,Internal_lists_bugs!$A$2:$G1058,7,FALSE()),"please select a BUG ID")</f>
        <v>please select a BUG ID</v>
      </c>
    </row>
    <row r="605">
      <c r="A605" s="54"/>
      <c r="B605" s="71" t="str">
        <f>IFERROR(HYPERLINK(VLOOKUP(A605,Internal_lists_bugs!$A$2:$C$73,3,FALSE()), VLOOKUP(A605,Internal_lists_bugs!$A$2:$C$73,3,FALSE())&amp;Char(10) &amp; Char(10) &amp; VLOOKUP(A605,Internal_lists_bugs!$A$2:$Z$73,26,FALSE())),"please select a BUG ID")</f>
        <v>please select a BUG ID</v>
      </c>
      <c r="C605" s="51" t="str">
        <f>IFERROR(VLOOKUP(A605,Internal_lists_bugs!$A$2:$T1058,20,FALSE()),"please select a BUG ID")</f>
        <v>please select a BUG ID</v>
      </c>
      <c r="E605" s="54"/>
      <c r="F605" s="82"/>
      <c r="G605" s="92"/>
      <c r="H605" s="54"/>
      <c r="I605" s="51" t="str">
        <f>IFERROR(VLOOKUP(A605,Internal_lists_bugs!$A$2:$G1058,7,FALSE()),"please select a BUG ID")</f>
        <v>please select a BUG ID</v>
      </c>
    </row>
    <row r="606">
      <c r="A606" s="54"/>
      <c r="B606" s="71" t="str">
        <f>IFERROR(HYPERLINK(VLOOKUP(A606,Internal_lists_bugs!$A$2:$C$73,3,FALSE()), VLOOKUP(A606,Internal_lists_bugs!$A$2:$C$73,3,FALSE())&amp;Char(10) &amp; Char(10) &amp; VLOOKUP(A606,Internal_lists_bugs!$A$2:$Z$73,26,FALSE())),"please select a BUG ID")</f>
        <v>please select a BUG ID</v>
      </c>
      <c r="C606" s="51" t="str">
        <f>IFERROR(VLOOKUP(A606,Internal_lists_bugs!$A$2:$T1058,20,FALSE()),"please select a BUG ID")</f>
        <v>please select a BUG ID</v>
      </c>
      <c r="E606" s="54"/>
      <c r="F606" s="82"/>
      <c r="G606" s="92"/>
      <c r="H606" s="54"/>
      <c r="I606" s="51" t="str">
        <f>IFERROR(VLOOKUP(A606,Internal_lists_bugs!$A$2:$G1058,7,FALSE()),"please select a BUG ID")</f>
        <v>please select a BUG ID</v>
      </c>
    </row>
    <row r="607">
      <c r="A607" s="54"/>
      <c r="B607" s="71" t="str">
        <f>IFERROR(HYPERLINK(VLOOKUP(A607,Internal_lists_bugs!$A$2:$C$73,3,FALSE()), VLOOKUP(A607,Internal_lists_bugs!$A$2:$C$73,3,FALSE())&amp;Char(10) &amp; Char(10) &amp; VLOOKUP(A607,Internal_lists_bugs!$A$2:$Z$73,26,FALSE())),"please select a BUG ID")</f>
        <v>please select a BUG ID</v>
      </c>
      <c r="C607" s="51" t="str">
        <f>IFERROR(VLOOKUP(A607,Internal_lists_bugs!$A$2:$T1058,20,FALSE()),"please select a BUG ID")</f>
        <v>please select a BUG ID</v>
      </c>
      <c r="E607" s="54"/>
      <c r="F607" s="82"/>
      <c r="G607" s="92"/>
      <c r="H607" s="54"/>
      <c r="I607" s="51" t="str">
        <f>IFERROR(VLOOKUP(A607,Internal_lists_bugs!$A$2:$G1058,7,FALSE()),"please select a BUG ID")</f>
        <v>please select a BUG ID</v>
      </c>
    </row>
    <row r="608">
      <c r="A608" s="54"/>
      <c r="B608" s="71" t="str">
        <f>IFERROR(HYPERLINK(VLOOKUP(A608,Internal_lists_bugs!$A$2:$C$73,3,FALSE()), VLOOKUP(A608,Internal_lists_bugs!$A$2:$C$73,3,FALSE())&amp;Char(10) &amp; Char(10) &amp; VLOOKUP(A608,Internal_lists_bugs!$A$2:$Z$73,26,FALSE())),"please select a BUG ID")</f>
        <v>please select a BUG ID</v>
      </c>
      <c r="C608" s="51" t="str">
        <f>IFERROR(VLOOKUP(A608,Internal_lists_bugs!$A$2:$T1058,20,FALSE()),"please select a BUG ID")</f>
        <v>please select a BUG ID</v>
      </c>
      <c r="E608" s="54"/>
      <c r="F608" s="82"/>
      <c r="G608" s="92"/>
      <c r="H608" s="54"/>
      <c r="I608" s="51" t="str">
        <f>IFERROR(VLOOKUP(A608,Internal_lists_bugs!$A$2:$G1058,7,FALSE()),"please select a BUG ID")</f>
        <v>please select a BUG ID</v>
      </c>
    </row>
    <row r="609">
      <c r="A609" s="54"/>
      <c r="B609" s="71" t="str">
        <f>IFERROR(HYPERLINK(VLOOKUP(A609,Internal_lists_bugs!$A$2:$C$73,3,FALSE()), VLOOKUP(A609,Internal_lists_bugs!$A$2:$C$73,3,FALSE())&amp;Char(10) &amp; Char(10) &amp; VLOOKUP(A609,Internal_lists_bugs!$A$2:$Z$73,26,FALSE())),"please select a BUG ID")</f>
        <v>please select a BUG ID</v>
      </c>
      <c r="C609" s="51" t="str">
        <f>IFERROR(VLOOKUP(A609,Internal_lists_bugs!$A$2:$T1058,20,FALSE()),"please select a BUG ID")</f>
        <v>please select a BUG ID</v>
      </c>
      <c r="E609" s="54"/>
      <c r="F609" s="82"/>
      <c r="G609" s="92"/>
      <c r="H609" s="54"/>
      <c r="I609" s="51" t="str">
        <f>IFERROR(VLOOKUP(A609,Internal_lists_bugs!$A$2:$G1058,7,FALSE()),"please select a BUG ID")</f>
        <v>please select a BUG ID</v>
      </c>
    </row>
    <row r="610">
      <c r="A610" s="54"/>
      <c r="B610" s="71" t="str">
        <f>IFERROR(HYPERLINK(VLOOKUP(A610,Internal_lists_bugs!$A$2:$C$73,3,FALSE()), VLOOKUP(A610,Internal_lists_bugs!$A$2:$C$73,3,FALSE())&amp;Char(10) &amp; Char(10) &amp; VLOOKUP(A610,Internal_lists_bugs!$A$2:$Z$73,26,FALSE())),"please select a BUG ID")</f>
        <v>please select a BUG ID</v>
      </c>
      <c r="C610" s="51" t="str">
        <f>IFERROR(VLOOKUP(A610,Internal_lists_bugs!$A$2:$T1058,20,FALSE()),"please select a BUG ID")</f>
        <v>please select a BUG ID</v>
      </c>
      <c r="E610" s="54"/>
      <c r="F610" s="82"/>
      <c r="G610" s="92"/>
      <c r="H610" s="54"/>
      <c r="I610" s="51" t="str">
        <f>IFERROR(VLOOKUP(A610,Internal_lists_bugs!$A$2:$G1058,7,FALSE()),"please select a BUG ID")</f>
        <v>please select a BUG ID</v>
      </c>
    </row>
    <row r="611">
      <c r="A611" s="54"/>
      <c r="B611" s="71" t="str">
        <f>IFERROR(HYPERLINK(VLOOKUP(A611,Internal_lists_bugs!$A$2:$C$73,3,FALSE()), VLOOKUP(A611,Internal_lists_bugs!$A$2:$C$73,3,FALSE())&amp;Char(10) &amp; Char(10) &amp; VLOOKUP(A611,Internal_lists_bugs!$A$2:$Z$73,26,FALSE())),"please select a BUG ID")</f>
        <v>please select a BUG ID</v>
      </c>
      <c r="C611" s="51" t="str">
        <f>IFERROR(VLOOKUP(A611,Internal_lists_bugs!$A$2:$T1058,20,FALSE()),"please select a BUG ID")</f>
        <v>please select a BUG ID</v>
      </c>
      <c r="E611" s="54"/>
      <c r="F611" s="82"/>
      <c r="G611" s="92"/>
      <c r="H611" s="54"/>
      <c r="I611" s="51" t="str">
        <f>IFERROR(VLOOKUP(A611,Internal_lists_bugs!$A$2:$G1058,7,FALSE()),"please select a BUG ID")</f>
        <v>please select a BUG ID</v>
      </c>
    </row>
    <row r="612">
      <c r="A612" s="54"/>
      <c r="B612" s="71" t="str">
        <f>IFERROR(HYPERLINK(VLOOKUP(A612,Internal_lists_bugs!$A$2:$C$73,3,FALSE()), VLOOKUP(A612,Internal_lists_bugs!$A$2:$C$73,3,FALSE())&amp;Char(10) &amp; Char(10) &amp; VLOOKUP(A612,Internal_lists_bugs!$A$2:$Z$73,26,FALSE())),"please select a BUG ID")</f>
        <v>please select a BUG ID</v>
      </c>
      <c r="C612" s="51" t="str">
        <f>IFERROR(VLOOKUP(A612,Internal_lists_bugs!$A$2:$T1058,20,FALSE()),"please select a BUG ID")</f>
        <v>please select a BUG ID</v>
      </c>
      <c r="E612" s="54"/>
      <c r="F612" s="82"/>
      <c r="G612" s="92"/>
      <c r="H612" s="54"/>
      <c r="I612" s="51" t="str">
        <f>IFERROR(VLOOKUP(A612,Internal_lists_bugs!$A$2:$G1058,7,FALSE()),"please select a BUG ID")</f>
        <v>please select a BUG ID</v>
      </c>
    </row>
    <row r="613">
      <c r="A613" s="54"/>
      <c r="B613" s="71" t="str">
        <f>IFERROR(HYPERLINK(VLOOKUP(A613,Internal_lists_bugs!$A$2:$C$73,3,FALSE()), VLOOKUP(A613,Internal_lists_bugs!$A$2:$C$73,3,FALSE())&amp;Char(10) &amp; Char(10) &amp; VLOOKUP(A613,Internal_lists_bugs!$A$2:$Z$73,26,FALSE())),"please select a BUG ID")</f>
        <v>please select a BUG ID</v>
      </c>
      <c r="C613" s="51" t="str">
        <f>IFERROR(VLOOKUP(A613,Internal_lists_bugs!$A$2:$T1058,20,FALSE()),"please select a BUG ID")</f>
        <v>please select a BUG ID</v>
      </c>
      <c r="E613" s="54"/>
      <c r="F613" s="82"/>
      <c r="G613" s="92"/>
      <c r="H613" s="54"/>
      <c r="I613" s="51" t="str">
        <f>IFERROR(VLOOKUP(A613,Internal_lists_bugs!$A$2:$G1058,7,FALSE()),"please select a BUG ID")</f>
        <v>please select a BUG ID</v>
      </c>
    </row>
    <row r="614">
      <c r="A614" s="54"/>
      <c r="B614" s="71" t="str">
        <f>IFERROR(HYPERLINK(VLOOKUP(A614,Internal_lists_bugs!$A$2:$C$73,3,FALSE()), VLOOKUP(A614,Internal_lists_bugs!$A$2:$C$73,3,FALSE())&amp;Char(10) &amp; Char(10) &amp; VLOOKUP(A614,Internal_lists_bugs!$A$2:$Z$73,26,FALSE())),"please select a BUG ID")</f>
        <v>please select a BUG ID</v>
      </c>
      <c r="C614" s="51" t="str">
        <f>IFERROR(VLOOKUP(A614,Internal_lists_bugs!$A$2:$T1058,20,FALSE()),"please select a BUG ID")</f>
        <v>please select a BUG ID</v>
      </c>
      <c r="E614" s="54"/>
      <c r="F614" s="82"/>
      <c r="G614" s="92"/>
      <c r="H614" s="54"/>
      <c r="I614" s="51" t="str">
        <f>IFERROR(VLOOKUP(A614,Internal_lists_bugs!$A$2:$G1058,7,FALSE()),"please select a BUG ID")</f>
        <v>please select a BUG ID</v>
      </c>
    </row>
    <row r="615">
      <c r="A615" s="54"/>
      <c r="B615" s="71" t="str">
        <f>IFERROR(HYPERLINK(VLOOKUP(A615,Internal_lists_bugs!$A$2:$C$73,3,FALSE()), VLOOKUP(A615,Internal_lists_bugs!$A$2:$C$73,3,FALSE())&amp;Char(10) &amp; Char(10) &amp; VLOOKUP(A615,Internal_lists_bugs!$A$2:$Z$73,26,FALSE())),"please select a BUG ID")</f>
        <v>please select a BUG ID</v>
      </c>
      <c r="C615" s="51" t="str">
        <f>IFERROR(VLOOKUP(A615,Internal_lists_bugs!$A$2:$T1058,20,FALSE()),"please select a BUG ID")</f>
        <v>please select a BUG ID</v>
      </c>
      <c r="E615" s="54"/>
      <c r="F615" s="82"/>
      <c r="G615" s="92"/>
      <c r="H615" s="54"/>
      <c r="I615" s="51" t="str">
        <f>IFERROR(VLOOKUP(A615,Internal_lists_bugs!$A$2:$G1058,7,FALSE()),"please select a BUG ID")</f>
        <v>please select a BUG ID</v>
      </c>
    </row>
    <row r="616">
      <c r="A616" s="54"/>
      <c r="B616" s="71" t="str">
        <f>IFERROR(HYPERLINK(VLOOKUP(A616,Internal_lists_bugs!$A$2:$C$73,3,FALSE()), VLOOKUP(A616,Internal_lists_bugs!$A$2:$C$73,3,FALSE())&amp;Char(10) &amp; Char(10) &amp; VLOOKUP(A616,Internal_lists_bugs!$A$2:$Z$73,26,FALSE())),"please select a BUG ID")</f>
        <v>please select a BUG ID</v>
      </c>
      <c r="C616" s="51" t="str">
        <f>IFERROR(VLOOKUP(A616,Internal_lists_bugs!$A$2:$T1058,20,FALSE()),"please select a BUG ID")</f>
        <v>please select a BUG ID</v>
      </c>
      <c r="E616" s="54"/>
      <c r="F616" s="82"/>
      <c r="G616" s="92"/>
      <c r="H616" s="54"/>
      <c r="I616" s="51" t="str">
        <f>IFERROR(VLOOKUP(A616,Internal_lists_bugs!$A$2:$G1058,7,FALSE()),"please select a BUG ID")</f>
        <v>please select a BUG ID</v>
      </c>
    </row>
    <row r="617">
      <c r="A617" s="54"/>
      <c r="B617" s="71" t="str">
        <f>IFERROR(HYPERLINK(VLOOKUP(A617,Internal_lists_bugs!$A$2:$C$73,3,FALSE()), VLOOKUP(A617,Internal_lists_bugs!$A$2:$C$73,3,FALSE())&amp;Char(10) &amp; Char(10) &amp; VLOOKUP(A617,Internal_lists_bugs!$A$2:$Z$73,26,FALSE())),"please select a BUG ID")</f>
        <v>please select a BUG ID</v>
      </c>
      <c r="C617" s="51" t="str">
        <f>IFERROR(VLOOKUP(A617,Internal_lists_bugs!$A$2:$T1058,20,FALSE()),"please select a BUG ID")</f>
        <v>please select a BUG ID</v>
      </c>
      <c r="E617" s="54"/>
      <c r="F617" s="82"/>
      <c r="G617" s="92"/>
      <c r="H617" s="54"/>
      <c r="I617" s="51" t="str">
        <f>IFERROR(VLOOKUP(A617,Internal_lists_bugs!$A$2:$G1058,7,FALSE()),"please select a BUG ID")</f>
        <v>please select a BUG ID</v>
      </c>
    </row>
    <row r="618">
      <c r="A618" s="54"/>
      <c r="B618" s="71" t="str">
        <f>IFERROR(HYPERLINK(VLOOKUP(A618,Internal_lists_bugs!$A$2:$C$73,3,FALSE()), VLOOKUP(A618,Internal_lists_bugs!$A$2:$C$73,3,FALSE())&amp;Char(10) &amp; Char(10) &amp; VLOOKUP(A618,Internal_lists_bugs!$A$2:$Z$73,26,FALSE())),"please select a BUG ID")</f>
        <v>please select a BUG ID</v>
      </c>
      <c r="C618" s="51" t="str">
        <f>IFERROR(VLOOKUP(A618,Internal_lists_bugs!$A$2:$T1058,20,FALSE()),"please select a BUG ID")</f>
        <v>please select a BUG ID</v>
      </c>
      <c r="E618" s="54"/>
      <c r="F618" s="82"/>
      <c r="G618" s="92"/>
      <c r="H618" s="54"/>
      <c r="I618" s="51" t="str">
        <f>IFERROR(VLOOKUP(A618,Internal_lists_bugs!$A$2:$G1058,7,FALSE()),"please select a BUG ID")</f>
        <v>please select a BUG ID</v>
      </c>
    </row>
    <row r="619">
      <c r="A619" s="54"/>
      <c r="B619" s="71" t="str">
        <f>IFERROR(HYPERLINK(VLOOKUP(A619,Internal_lists_bugs!$A$2:$C$73,3,FALSE()), VLOOKUP(A619,Internal_lists_bugs!$A$2:$C$73,3,FALSE())&amp;Char(10) &amp; Char(10) &amp; VLOOKUP(A619,Internal_lists_bugs!$A$2:$Z$73,26,FALSE())),"please select a BUG ID")</f>
        <v>please select a BUG ID</v>
      </c>
      <c r="C619" s="51" t="str">
        <f>IFERROR(VLOOKUP(A619,Internal_lists_bugs!$A$2:$T1058,20,FALSE()),"please select a BUG ID")</f>
        <v>please select a BUG ID</v>
      </c>
      <c r="E619" s="54"/>
      <c r="F619" s="82"/>
      <c r="G619" s="92"/>
      <c r="H619" s="54"/>
      <c r="I619" s="51" t="str">
        <f>IFERROR(VLOOKUP(A619,Internal_lists_bugs!$A$2:$G1058,7,FALSE()),"please select a BUG ID")</f>
        <v>please select a BUG ID</v>
      </c>
    </row>
    <row r="620">
      <c r="A620" s="54"/>
      <c r="B620" s="71" t="str">
        <f>IFERROR(HYPERLINK(VLOOKUP(A620,Internal_lists_bugs!$A$2:$C$73,3,FALSE()), VLOOKUP(A620,Internal_lists_bugs!$A$2:$C$73,3,FALSE())&amp;Char(10) &amp; Char(10) &amp; VLOOKUP(A620,Internal_lists_bugs!$A$2:$Z$73,26,FALSE())),"please select a BUG ID")</f>
        <v>please select a BUG ID</v>
      </c>
      <c r="C620" s="51" t="str">
        <f>IFERROR(VLOOKUP(A620,Internal_lists_bugs!$A$2:$T1058,20,FALSE()),"please select a BUG ID")</f>
        <v>please select a BUG ID</v>
      </c>
      <c r="E620" s="54"/>
      <c r="F620" s="82"/>
      <c r="G620" s="92"/>
      <c r="H620" s="54"/>
      <c r="I620" s="51" t="str">
        <f>IFERROR(VLOOKUP(A620,Internal_lists_bugs!$A$2:$G1058,7,FALSE()),"please select a BUG ID")</f>
        <v>please select a BUG ID</v>
      </c>
    </row>
    <row r="621">
      <c r="A621" s="54"/>
      <c r="B621" s="71" t="str">
        <f>IFERROR(HYPERLINK(VLOOKUP(A621,Internal_lists_bugs!$A$2:$C$73,3,FALSE()), VLOOKUP(A621,Internal_lists_bugs!$A$2:$C$73,3,FALSE())&amp;Char(10) &amp; Char(10) &amp; VLOOKUP(A621,Internal_lists_bugs!$A$2:$Z$73,26,FALSE())),"please select a BUG ID")</f>
        <v>please select a BUG ID</v>
      </c>
      <c r="C621" s="51" t="str">
        <f>IFERROR(VLOOKUP(A621,Internal_lists_bugs!$A$2:$T1058,20,FALSE()),"please select a BUG ID")</f>
        <v>please select a BUG ID</v>
      </c>
      <c r="E621" s="54"/>
      <c r="F621" s="82"/>
      <c r="G621" s="92"/>
      <c r="H621" s="54"/>
      <c r="I621" s="51" t="str">
        <f>IFERROR(VLOOKUP(A621,Internal_lists_bugs!$A$2:$G1058,7,FALSE()),"please select a BUG ID")</f>
        <v>please select a BUG ID</v>
      </c>
    </row>
    <row r="622">
      <c r="A622" s="54"/>
      <c r="B622" s="71" t="str">
        <f>IFERROR(HYPERLINK(VLOOKUP(A622,Internal_lists_bugs!$A$2:$C$73,3,FALSE()), VLOOKUP(A622,Internal_lists_bugs!$A$2:$C$73,3,FALSE())&amp;Char(10) &amp; Char(10) &amp; VLOOKUP(A622,Internal_lists_bugs!$A$2:$Z$73,26,FALSE())),"please select a BUG ID")</f>
        <v>please select a BUG ID</v>
      </c>
      <c r="C622" s="51" t="str">
        <f>IFERROR(VLOOKUP(A622,Internal_lists_bugs!$A$2:$T1058,20,FALSE()),"please select a BUG ID")</f>
        <v>please select a BUG ID</v>
      </c>
      <c r="E622" s="54"/>
      <c r="F622" s="82"/>
      <c r="G622" s="92"/>
      <c r="H622" s="54"/>
      <c r="I622" s="51" t="str">
        <f>IFERROR(VLOOKUP(A622,Internal_lists_bugs!$A$2:$G1058,7,FALSE()),"please select a BUG ID")</f>
        <v>please select a BUG ID</v>
      </c>
    </row>
    <row r="623">
      <c r="A623" s="54"/>
      <c r="B623" s="71" t="str">
        <f>IFERROR(HYPERLINK(VLOOKUP(A623,Internal_lists_bugs!$A$2:$C$73,3,FALSE()), VLOOKUP(A623,Internal_lists_bugs!$A$2:$C$73,3,FALSE())&amp;Char(10) &amp; Char(10) &amp; VLOOKUP(A623,Internal_lists_bugs!$A$2:$Z$73,26,FALSE())),"please select a BUG ID")</f>
        <v>please select a BUG ID</v>
      </c>
      <c r="C623" s="51" t="str">
        <f>IFERROR(VLOOKUP(A623,Internal_lists_bugs!$A$2:$T1058,20,FALSE()),"please select a BUG ID")</f>
        <v>please select a BUG ID</v>
      </c>
      <c r="E623" s="54"/>
      <c r="F623" s="82"/>
      <c r="G623" s="92"/>
      <c r="H623" s="54"/>
      <c r="I623" s="51" t="str">
        <f>IFERROR(VLOOKUP(A623,Internal_lists_bugs!$A$2:$G1058,7,FALSE()),"please select a BUG ID")</f>
        <v>please select a BUG ID</v>
      </c>
    </row>
    <row r="624">
      <c r="A624" s="54"/>
      <c r="B624" s="71" t="str">
        <f>IFERROR(HYPERLINK(VLOOKUP(A624,Internal_lists_bugs!$A$2:$C$73,3,FALSE()), VLOOKUP(A624,Internal_lists_bugs!$A$2:$C$73,3,FALSE())&amp;Char(10) &amp; Char(10) &amp; VLOOKUP(A624,Internal_lists_bugs!$A$2:$Z$73,26,FALSE())),"please select a BUG ID")</f>
        <v>please select a BUG ID</v>
      </c>
      <c r="C624" s="51" t="str">
        <f>IFERROR(VLOOKUP(A624,Internal_lists_bugs!$A$2:$T1058,20,FALSE()),"please select a BUG ID")</f>
        <v>please select a BUG ID</v>
      </c>
      <c r="E624" s="54"/>
      <c r="F624" s="82"/>
      <c r="G624" s="92"/>
      <c r="H624" s="54"/>
      <c r="I624" s="51" t="str">
        <f>IFERROR(VLOOKUP(A624,Internal_lists_bugs!$A$2:$G1058,7,FALSE()),"please select a BUG ID")</f>
        <v>please select a BUG ID</v>
      </c>
    </row>
    <row r="625">
      <c r="A625" s="54"/>
      <c r="B625" s="71" t="str">
        <f>IFERROR(HYPERLINK(VLOOKUP(A625,Internal_lists_bugs!$A$2:$C$73,3,FALSE()), VLOOKUP(A625,Internal_lists_bugs!$A$2:$C$73,3,FALSE())&amp;Char(10) &amp; Char(10) &amp; VLOOKUP(A625,Internal_lists_bugs!$A$2:$Z$73,26,FALSE())),"please select a BUG ID")</f>
        <v>please select a BUG ID</v>
      </c>
      <c r="C625" s="51" t="str">
        <f>IFERROR(VLOOKUP(A625,Internal_lists_bugs!$A$2:$T1058,20,FALSE()),"please select a BUG ID")</f>
        <v>please select a BUG ID</v>
      </c>
      <c r="E625" s="54"/>
      <c r="F625" s="82"/>
      <c r="G625" s="92"/>
      <c r="H625" s="54"/>
      <c r="I625" s="51" t="str">
        <f>IFERROR(VLOOKUP(A625,Internal_lists_bugs!$A$2:$G1058,7,FALSE()),"please select a BUG ID")</f>
        <v>please select a BUG ID</v>
      </c>
    </row>
    <row r="626">
      <c r="A626" s="54"/>
      <c r="B626" s="71" t="str">
        <f>IFERROR(HYPERLINK(VLOOKUP(A626,Internal_lists_bugs!$A$2:$C$73,3,FALSE()), VLOOKUP(A626,Internal_lists_bugs!$A$2:$C$73,3,FALSE())&amp;Char(10) &amp; Char(10) &amp; VLOOKUP(A626,Internal_lists_bugs!$A$2:$Z$73,26,FALSE())),"please select a BUG ID")</f>
        <v>please select a BUG ID</v>
      </c>
      <c r="C626" s="51" t="str">
        <f>IFERROR(VLOOKUP(A626,Internal_lists_bugs!$A$2:$T1058,20,FALSE()),"please select a BUG ID")</f>
        <v>please select a BUG ID</v>
      </c>
      <c r="E626" s="54"/>
      <c r="F626" s="82"/>
      <c r="G626" s="92"/>
      <c r="H626" s="54"/>
      <c r="I626" s="51" t="str">
        <f>IFERROR(VLOOKUP(A626,Internal_lists_bugs!$A$2:$G1058,7,FALSE()),"please select a BUG ID")</f>
        <v>please select a BUG ID</v>
      </c>
    </row>
    <row r="627">
      <c r="A627" s="54"/>
      <c r="B627" s="71" t="str">
        <f>IFERROR(HYPERLINK(VLOOKUP(A627,Internal_lists_bugs!$A$2:$C$73,3,FALSE()), VLOOKUP(A627,Internal_lists_bugs!$A$2:$C$73,3,FALSE())&amp;Char(10) &amp; Char(10) &amp; VLOOKUP(A627,Internal_lists_bugs!$A$2:$Z$73,26,FALSE())),"please select a BUG ID")</f>
        <v>please select a BUG ID</v>
      </c>
      <c r="C627" s="51" t="str">
        <f>IFERROR(VLOOKUP(A627,Internal_lists_bugs!$A$2:$T1058,20,FALSE()),"please select a BUG ID")</f>
        <v>please select a BUG ID</v>
      </c>
      <c r="E627" s="54"/>
      <c r="F627" s="82"/>
      <c r="G627" s="92"/>
      <c r="H627" s="54"/>
      <c r="I627" s="51" t="str">
        <f>IFERROR(VLOOKUP(A627,Internal_lists_bugs!$A$2:$G1058,7,FALSE()),"please select a BUG ID")</f>
        <v>please select a BUG ID</v>
      </c>
    </row>
    <row r="628">
      <c r="A628" s="54"/>
      <c r="B628" s="71" t="str">
        <f>IFERROR(HYPERLINK(VLOOKUP(A628,Internal_lists_bugs!$A$2:$C$73,3,FALSE()), VLOOKUP(A628,Internal_lists_bugs!$A$2:$C$73,3,FALSE())&amp;Char(10) &amp; Char(10) &amp; VLOOKUP(A628,Internal_lists_bugs!$A$2:$Z$73,26,FALSE())),"please select a BUG ID")</f>
        <v>please select a BUG ID</v>
      </c>
      <c r="C628" s="51" t="str">
        <f>IFERROR(VLOOKUP(A628,Internal_lists_bugs!$A$2:$T1058,20,FALSE()),"please select a BUG ID")</f>
        <v>please select a BUG ID</v>
      </c>
      <c r="E628" s="54"/>
      <c r="F628" s="82"/>
      <c r="G628" s="92"/>
      <c r="H628" s="54"/>
      <c r="I628" s="51" t="str">
        <f>IFERROR(VLOOKUP(A628,Internal_lists_bugs!$A$2:$G1058,7,FALSE()),"please select a BUG ID")</f>
        <v>please select a BUG ID</v>
      </c>
    </row>
    <row r="629">
      <c r="A629" s="54"/>
      <c r="B629" s="71" t="str">
        <f>IFERROR(HYPERLINK(VLOOKUP(A629,Internal_lists_bugs!$A$2:$C$73,3,FALSE()), VLOOKUP(A629,Internal_lists_bugs!$A$2:$C$73,3,FALSE())&amp;Char(10) &amp; Char(10) &amp; VLOOKUP(A629,Internal_lists_bugs!$A$2:$Z$73,26,FALSE())),"please select a BUG ID")</f>
        <v>please select a BUG ID</v>
      </c>
      <c r="C629" s="51" t="str">
        <f>IFERROR(VLOOKUP(A629,Internal_lists_bugs!$A$2:$T1058,20,FALSE()),"please select a BUG ID")</f>
        <v>please select a BUG ID</v>
      </c>
      <c r="E629" s="54"/>
      <c r="F629" s="82"/>
      <c r="G629" s="92"/>
      <c r="H629" s="54"/>
      <c r="I629" s="51" t="str">
        <f>IFERROR(VLOOKUP(A629,Internal_lists_bugs!$A$2:$G1058,7,FALSE()),"please select a BUG ID")</f>
        <v>please select a BUG ID</v>
      </c>
    </row>
    <row r="630">
      <c r="A630" s="54"/>
      <c r="B630" s="71" t="str">
        <f>IFERROR(HYPERLINK(VLOOKUP(A630,Internal_lists_bugs!$A$2:$C$73,3,FALSE()), VLOOKUP(A630,Internal_lists_bugs!$A$2:$C$73,3,FALSE())&amp;Char(10) &amp; Char(10) &amp; VLOOKUP(A630,Internal_lists_bugs!$A$2:$Z$73,26,FALSE())),"please select a BUG ID")</f>
        <v>please select a BUG ID</v>
      </c>
      <c r="C630" s="51" t="str">
        <f>IFERROR(VLOOKUP(A630,Internal_lists_bugs!$A$2:$T1058,20,FALSE()),"please select a BUG ID")</f>
        <v>please select a BUG ID</v>
      </c>
      <c r="E630" s="54"/>
      <c r="F630" s="82"/>
      <c r="G630" s="92"/>
      <c r="H630" s="54"/>
      <c r="I630" s="51" t="str">
        <f>IFERROR(VLOOKUP(A630,Internal_lists_bugs!$A$2:$G1058,7,FALSE()),"please select a BUG ID")</f>
        <v>please select a BUG ID</v>
      </c>
    </row>
    <row r="631">
      <c r="A631" s="54"/>
      <c r="B631" s="71" t="str">
        <f>IFERROR(HYPERLINK(VLOOKUP(A631,Internal_lists_bugs!$A$2:$C$73,3,FALSE()), VLOOKUP(A631,Internal_lists_bugs!$A$2:$C$73,3,FALSE())&amp;Char(10) &amp; Char(10) &amp; VLOOKUP(A631,Internal_lists_bugs!$A$2:$Z$73,26,FALSE())),"please select a BUG ID")</f>
        <v>please select a BUG ID</v>
      </c>
      <c r="C631" s="51" t="str">
        <f>IFERROR(VLOOKUP(A631,Internal_lists_bugs!$A$2:$T1058,20,FALSE()),"please select a BUG ID")</f>
        <v>please select a BUG ID</v>
      </c>
      <c r="E631" s="54"/>
      <c r="F631" s="82"/>
      <c r="G631" s="92"/>
      <c r="H631" s="54"/>
      <c r="I631" s="51" t="str">
        <f>IFERROR(VLOOKUP(A631,Internal_lists_bugs!$A$2:$G1058,7,FALSE()),"please select a BUG ID")</f>
        <v>please select a BUG ID</v>
      </c>
    </row>
    <row r="632">
      <c r="A632" s="54"/>
      <c r="B632" s="71" t="str">
        <f>IFERROR(HYPERLINK(VLOOKUP(A632,Internal_lists_bugs!$A$2:$C$73,3,FALSE()), VLOOKUP(A632,Internal_lists_bugs!$A$2:$C$73,3,FALSE())&amp;Char(10) &amp; Char(10) &amp; VLOOKUP(A632,Internal_lists_bugs!$A$2:$Z$73,26,FALSE())),"please select a BUG ID")</f>
        <v>please select a BUG ID</v>
      </c>
      <c r="C632" s="51" t="str">
        <f>IFERROR(VLOOKUP(A632,Internal_lists_bugs!$A$2:$T1058,20,FALSE()),"please select a BUG ID")</f>
        <v>please select a BUG ID</v>
      </c>
      <c r="E632" s="54"/>
      <c r="F632" s="82"/>
      <c r="G632" s="92"/>
      <c r="H632" s="54"/>
      <c r="I632" s="51" t="str">
        <f>IFERROR(VLOOKUP(A632,Internal_lists_bugs!$A$2:$G1058,7,FALSE()),"please select a BUG ID")</f>
        <v>please select a BUG ID</v>
      </c>
    </row>
    <row r="633">
      <c r="A633" s="54"/>
      <c r="B633" s="71" t="str">
        <f>IFERROR(HYPERLINK(VLOOKUP(A633,Internal_lists_bugs!$A$2:$C$73,3,FALSE()), VLOOKUP(A633,Internal_lists_bugs!$A$2:$C$73,3,FALSE())&amp;Char(10) &amp; Char(10) &amp; VLOOKUP(A633,Internal_lists_bugs!$A$2:$Z$73,26,FALSE())),"please select a BUG ID")</f>
        <v>please select a BUG ID</v>
      </c>
      <c r="C633" s="51" t="str">
        <f>IFERROR(VLOOKUP(A633,Internal_lists_bugs!$A$2:$T1058,20,FALSE()),"please select a BUG ID")</f>
        <v>please select a BUG ID</v>
      </c>
      <c r="E633" s="54"/>
      <c r="F633" s="82"/>
      <c r="G633" s="92"/>
      <c r="H633" s="54"/>
      <c r="I633" s="51" t="str">
        <f>IFERROR(VLOOKUP(A633,Internal_lists_bugs!$A$2:$G1058,7,FALSE()),"please select a BUG ID")</f>
        <v>please select a BUG ID</v>
      </c>
    </row>
    <row r="634">
      <c r="A634" s="54"/>
      <c r="B634" s="71" t="str">
        <f>IFERROR(HYPERLINK(VLOOKUP(A634,Internal_lists_bugs!$A$2:$C$73,3,FALSE()), VLOOKUP(A634,Internal_lists_bugs!$A$2:$C$73,3,FALSE())&amp;Char(10) &amp; Char(10) &amp; VLOOKUP(A634,Internal_lists_bugs!$A$2:$Z$73,26,FALSE())),"please select a BUG ID")</f>
        <v>please select a BUG ID</v>
      </c>
      <c r="C634" s="51" t="str">
        <f>IFERROR(VLOOKUP(A634,Internal_lists_bugs!$A$2:$T1058,20,FALSE()),"please select a BUG ID")</f>
        <v>please select a BUG ID</v>
      </c>
      <c r="E634" s="54"/>
      <c r="F634" s="82"/>
      <c r="G634" s="92"/>
      <c r="H634" s="54"/>
      <c r="I634" s="51" t="str">
        <f>IFERROR(VLOOKUP(A634,Internal_lists_bugs!$A$2:$G1058,7,FALSE()),"please select a BUG ID")</f>
        <v>please select a BUG ID</v>
      </c>
    </row>
    <row r="635">
      <c r="A635" s="54"/>
      <c r="B635" s="71" t="str">
        <f>IFERROR(HYPERLINK(VLOOKUP(A635,Internal_lists_bugs!$A$2:$C$73,3,FALSE()), VLOOKUP(A635,Internal_lists_bugs!$A$2:$C$73,3,FALSE())&amp;Char(10) &amp; Char(10) &amp; VLOOKUP(A635,Internal_lists_bugs!$A$2:$Z$73,26,FALSE())),"please select a BUG ID")</f>
        <v>please select a BUG ID</v>
      </c>
      <c r="C635" s="51" t="str">
        <f>IFERROR(VLOOKUP(A635,Internal_lists_bugs!$A$2:$T1058,20,FALSE()),"please select a BUG ID")</f>
        <v>please select a BUG ID</v>
      </c>
      <c r="E635" s="54"/>
      <c r="F635" s="82"/>
      <c r="G635" s="92"/>
      <c r="H635" s="54"/>
      <c r="I635" s="51" t="str">
        <f>IFERROR(VLOOKUP(A635,Internal_lists_bugs!$A$2:$G1058,7,FALSE()),"please select a BUG ID")</f>
        <v>please select a BUG ID</v>
      </c>
    </row>
    <row r="636">
      <c r="A636" s="54"/>
      <c r="B636" s="71" t="str">
        <f>IFERROR(HYPERLINK(VLOOKUP(A636,Internal_lists_bugs!$A$2:$C$73,3,FALSE()), VLOOKUP(A636,Internal_lists_bugs!$A$2:$C$73,3,FALSE())&amp;Char(10) &amp; Char(10) &amp; VLOOKUP(A636,Internal_lists_bugs!$A$2:$Z$73,26,FALSE())),"please select a BUG ID")</f>
        <v>please select a BUG ID</v>
      </c>
      <c r="C636" s="51" t="str">
        <f>IFERROR(VLOOKUP(A636,Internal_lists_bugs!$A$2:$T1058,20,FALSE()),"please select a BUG ID")</f>
        <v>please select a BUG ID</v>
      </c>
      <c r="E636" s="54"/>
      <c r="F636" s="82"/>
      <c r="G636" s="92"/>
      <c r="H636" s="54"/>
      <c r="I636" s="51" t="str">
        <f>IFERROR(VLOOKUP(A636,Internal_lists_bugs!$A$2:$G1058,7,FALSE()),"please select a BUG ID")</f>
        <v>please select a BUG ID</v>
      </c>
    </row>
    <row r="637">
      <c r="A637" s="54"/>
      <c r="B637" s="71" t="str">
        <f>IFERROR(HYPERLINK(VLOOKUP(A637,Internal_lists_bugs!$A$2:$C$73,3,FALSE()), VLOOKUP(A637,Internal_lists_bugs!$A$2:$C$73,3,FALSE())&amp;Char(10) &amp; Char(10) &amp; VLOOKUP(A637,Internal_lists_bugs!$A$2:$Z$73,26,FALSE())),"please select a BUG ID")</f>
        <v>please select a BUG ID</v>
      </c>
      <c r="C637" s="51" t="str">
        <f>IFERROR(VLOOKUP(A637,Internal_lists_bugs!$A$2:$T1058,20,FALSE()),"please select a BUG ID")</f>
        <v>please select a BUG ID</v>
      </c>
      <c r="E637" s="54"/>
      <c r="F637" s="82"/>
      <c r="G637" s="92"/>
      <c r="H637" s="54"/>
      <c r="I637" s="51" t="str">
        <f>IFERROR(VLOOKUP(A637,Internal_lists_bugs!$A$2:$G1058,7,FALSE()),"please select a BUG ID")</f>
        <v>please select a BUG ID</v>
      </c>
    </row>
    <row r="638">
      <c r="A638" s="54"/>
      <c r="B638" s="71" t="str">
        <f>IFERROR(HYPERLINK(VLOOKUP(A638,Internal_lists_bugs!$A$2:$C$73,3,FALSE()), VLOOKUP(A638,Internal_lists_bugs!$A$2:$C$73,3,FALSE())&amp;Char(10) &amp; Char(10) &amp; VLOOKUP(A638,Internal_lists_bugs!$A$2:$Z$73,26,FALSE())),"please select a BUG ID")</f>
        <v>please select a BUG ID</v>
      </c>
      <c r="C638" s="51" t="str">
        <f>IFERROR(VLOOKUP(A638,Internal_lists_bugs!$A$2:$T1058,20,FALSE()),"please select a BUG ID")</f>
        <v>please select a BUG ID</v>
      </c>
      <c r="E638" s="54"/>
      <c r="F638" s="82"/>
      <c r="G638" s="92"/>
      <c r="H638" s="54"/>
      <c r="I638" s="51" t="str">
        <f>IFERROR(VLOOKUP(A638,Internal_lists_bugs!$A$2:$G1058,7,FALSE()),"please select a BUG ID")</f>
        <v>please select a BUG ID</v>
      </c>
    </row>
    <row r="639">
      <c r="A639" s="54"/>
      <c r="B639" s="71" t="str">
        <f>IFERROR(HYPERLINK(VLOOKUP(A639,Internal_lists_bugs!$A$2:$C$73,3,FALSE()), VLOOKUP(A639,Internal_lists_bugs!$A$2:$C$73,3,FALSE())&amp;Char(10) &amp; Char(10) &amp; VLOOKUP(A639,Internal_lists_bugs!$A$2:$Z$73,26,FALSE())),"please select a BUG ID")</f>
        <v>please select a BUG ID</v>
      </c>
      <c r="C639" s="51" t="str">
        <f>IFERROR(VLOOKUP(A639,Internal_lists_bugs!$A$2:$T1058,20,FALSE()),"please select a BUG ID")</f>
        <v>please select a BUG ID</v>
      </c>
      <c r="E639" s="54"/>
      <c r="F639" s="82"/>
      <c r="G639" s="92"/>
      <c r="H639" s="54"/>
      <c r="I639" s="51" t="str">
        <f>IFERROR(VLOOKUP(A639,Internal_lists_bugs!$A$2:$G1058,7,FALSE()),"please select a BUG ID")</f>
        <v>please select a BUG ID</v>
      </c>
    </row>
    <row r="640">
      <c r="A640" s="54"/>
      <c r="B640" s="71" t="str">
        <f>IFERROR(HYPERLINK(VLOOKUP(A640,Internal_lists_bugs!$A$2:$C$73,3,FALSE()), VLOOKUP(A640,Internal_lists_bugs!$A$2:$C$73,3,FALSE())&amp;Char(10) &amp; Char(10) &amp; VLOOKUP(A640,Internal_lists_bugs!$A$2:$Z$73,26,FALSE())),"please select a BUG ID")</f>
        <v>please select a BUG ID</v>
      </c>
      <c r="C640" s="51" t="str">
        <f>IFERROR(VLOOKUP(A640,Internal_lists_bugs!$A$2:$T1058,20,FALSE()),"please select a BUG ID")</f>
        <v>please select a BUG ID</v>
      </c>
      <c r="E640" s="54"/>
      <c r="F640" s="82"/>
      <c r="G640" s="92"/>
      <c r="H640" s="54"/>
      <c r="I640" s="51" t="str">
        <f>IFERROR(VLOOKUP(A640,Internal_lists_bugs!$A$2:$G1058,7,FALSE()),"please select a BUG ID")</f>
        <v>please select a BUG ID</v>
      </c>
    </row>
    <row r="641">
      <c r="A641" s="54"/>
      <c r="B641" s="71" t="str">
        <f>IFERROR(HYPERLINK(VLOOKUP(A641,Internal_lists_bugs!$A$2:$C$73,3,FALSE()), VLOOKUP(A641,Internal_lists_bugs!$A$2:$C$73,3,FALSE())&amp;Char(10) &amp; Char(10) &amp; VLOOKUP(A641,Internal_lists_bugs!$A$2:$Z$73,26,FALSE())),"please select a BUG ID")</f>
        <v>please select a BUG ID</v>
      </c>
      <c r="C641" s="51" t="str">
        <f>IFERROR(VLOOKUP(A641,Internal_lists_bugs!$A$2:$T1058,20,FALSE()),"please select a BUG ID")</f>
        <v>please select a BUG ID</v>
      </c>
      <c r="E641" s="54"/>
      <c r="F641" s="82"/>
      <c r="G641" s="92"/>
      <c r="H641" s="54"/>
      <c r="I641" s="51" t="str">
        <f>IFERROR(VLOOKUP(A641,Internal_lists_bugs!$A$2:$G1058,7,FALSE()),"please select a BUG ID")</f>
        <v>please select a BUG ID</v>
      </c>
    </row>
    <row r="642">
      <c r="A642" s="54"/>
      <c r="B642" s="71" t="str">
        <f>IFERROR(HYPERLINK(VLOOKUP(A642,Internal_lists_bugs!$A$2:$C$73,3,FALSE()), VLOOKUP(A642,Internal_lists_bugs!$A$2:$C$73,3,FALSE())&amp;Char(10) &amp; Char(10) &amp; VLOOKUP(A642,Internal_lists_bugs!$A$2:$Z$73,26,FALSE())),"please select a BUG ID")</f>
        <v>please select a BUG ID</v>
      </c>
      <c r="C642" s="51" t="str">
        <f>IFERROR(VLOOKUP(A642,Internal_lists_bugs!$A$2:$T1058,20,FALSE()),"please select a BUG ID")</f>
        <v>please select a BUG ID</v>
      </c>
      <c r="E642" s="54"/>
      <c r="F642" s="82"/>
      <c r="G642" s="92"/>
      <c r="H642" s="54"/>
      <c r="I642" s="51" t="str">
        <f>IFERROR(VLOOKUP(A642,Internal_lists_bugs!$A$2:$G1058,7,FALSE()),"please select a BUG ID")</f>
        <v>please select a BUG ID</v>
      </c>
    </row>
    <row r="643">
      <c r="A643" s="54"/>
      <c r="B643" s="71" t="str">
        <f>IFERROR(HYPERLINK(VLOOKUP(A643,Internal_lists_bugs!$A$2:$C$73,3,FALSE()), VLOOKUP(A643,Internal_lists_bugs!$A$2:$C$73,3,FALSE())&amp;Char(10) &amp; Char(10) &amp; VLOOKUP(A643,Internal_lists_bugs!$A$2:$Z$73,26,FALSE())),"please select a BUG ID")</f>
        <v>please select a BUG ID</v>
      </c>
      <c r="C643" s="51" t="str">
        <f>IFERROR(VLOOKUP(A643,Internal_lists_bugs!$A$2:$T1058,20,FALSE()),"please select a BUG ID")</f>
        <v>please select a BUG ID</v>
      </c>
      <c r="E643" s="54"/>
      <c r="F643" s="82"/>
      <c r="G643" s="92"/>
      <c r="H643" s="54"/>
      <c r="I643" s="51" t="str">
        <f>IFERROR(VLOOKUP(A643,Internal_lists_bugs!$A$2:$G1058,7,FALSE()),"please select a BUG ID")</f>
        <v>please select a BUG ID</v>
      </c>
    </row>
    <row r="644">
      <c r="A644" s="54"/>
      <c r="B644" s="71" t="str">
        <f>IFERROR(HYPERLINK(VLOOKUP(A644,Internal_lists_bugs!$A$2:$C$73,3,FALSE()), VLOOKUP(A644,Internal_lists_bugs!$A$2:$C$73,3,FALSE())&amp;Char(10) &amp; Char(10) &amp; VLOOKUP(A644,Internal_lists_bugs!$A$2:$Z$73,26,FALSE())),"please select a BUG ID")</f>
        <v>please select a BUG ID</v>
      </c>
      <c r="C644" s="51" t="str">
        <f>IFERROR(VLOOKUP(A644,Internal_lists_bugs!$A$2:$T1058,20,FALSE()),"please select a BUG ID")</f>
        <v>please select a BUG ID</v>
      </c>
      <c r="E644" s="54"/>
      <c r="F644" s="82"/>
      <c r="G644" s="92"/>
      <c r="H644" s="54"/>
      <c r="I644" s="51" t="str">
        <f>IFERROR(VLOOKUP(A644,Internal_lists_bugs!$A$2:$G1058,7,FALSE()),"please select a BUG ID")</f>
        <v>please select a BUG ID</v>
      </c>
    </row>
    <row r="645">
      <c r="A645" s="54"/>
      <c r="B645" s="71" t="str">
        <f>IFERROR(HYPERLINK(VLOOKUP(A645,Internal_lists_bugs!$A$2:$C$73,3,FALSE()), VLOOKUP(A645,Internal_lists_bugs!$A$2:$C$73,3,FALSE())&amp;Char(10) &amp; Char(10) &amp; VLOOKUP(A645,Internal_lists_bugs!$A$2:$Z$73,26,FALSE())),"please select a BUG ID")</f>
        <v>please select a BUG ID</v>
      </c>
      <c r="C645" s="51" t="str">
        <f>IFERROR(VLOOKUP(A645,Internal_lists_bugs!$A$2:$T1058,20,FALSE()),"please select a BUG ID")</f>
        <v>please select a BUG ID</v>
      </c>
      <c r="E645" s="54"/>
      <c r="F645" s="82"/>
      <c r="G645" s="92"/>
      <c r="H645" s="54"/>
      <c r="I645" s="51" t="str">
        <f>IFERROR(VLOOKUP(A645,Internal_lists_bugs!$A$2:$G1058,7,FALSE()),"please select a BUG ID")</f>
        <v>please select a BUG ID</v>
      </c>
    </row>
    <row r="646">
      <c r="A646" s="54"/>
      <c r="B646" s="71" t="str">
        <f>IFERROR(HYPERLINK(VLOOKUP(A646,Internal_lists_bugs!$A$2:$C$73,3,FALSE()), VLOOKUP(A646,Internal_lists_bugs!$A$2:$C$73,3,FALSE())&amp;Char(10) &amp; Char(10) &amp; VLOOKUP(A646,Internal_lists_bugs!$A$2:$Z$73,26,FALSE())),"please select a BUG ID")</f>
        <v>please select a BUG ID</v>
      </c>
      <c r="C646" s="51" t="str">
        <f>IFERROR(VLOOKUP(A646,Internal_lists_bugs!$A$2:$T1058,20,FALSE()),"please select a BUG ID")</f>
        <v>please select a BUG ID</v>
      </c>
      <c r="E646" s="54"/>
      <c r="F646" s="82"/>
      <c r="G646" s="92"/>
      <c r="H646" s="54"/>
      <c r="I646" s="51" t="str">
        <f>IFERROR(VLOOKUP(A646,Internal_lists_bugs!$A$2:$G1058,7,FALSE()),"please select a BUG ID")</f>
        <v>please select a BUG ID</v>
      </c>
    </row>
    <row r="647">
      <c r="A647" s="54"/>
      <c r="B647" s="71" t="str">
        <f>IFERROR(HYPERLINK(VLOOKUP(A647,Internal_lists_bugs!$A$2:$C$73,3,FALSE()), VLOOKUP(A647,Internal_lists_bugs!$A$2:$C$73,3,FALSE())&amp;Char(10) &amp; Char(10) &amp; VLOOKUP(A647,Internal_lists_bugs!$A$2:$Z$73,26,FALSE())),"please select a BUG ID")</f>
        <v>please select a BUG ID</v>
      </c>
      <c r="C647" s="51" t="str">
        <f>IFERROR(VLOOKUP(A647,Internal_lists_bugs!$A$2:$T1058,20,FALSE()),"please select a BUG ID")</f>
        <v>please select a BUG ID</v>
      </c>
      <c r="E647" s="54"/>
      <c r="F647" s="82"/>
      <c r="G647" s="92"/>
      <c r="H647" s="54"/>
      <c r="I647" s="51" t="str">
        <f>IFERROR(VLOOKUP(A647,Internal_lists_bugs!$A$2:$G1058,7,FALSE()),"please select a BUG ID")</f>
        <v>please select a BUG ID</v>
      </c>
    </row>
    <row r="648">
      <c r="A648" s="54"/>
      <c r="B648" s="71" t="str">
        <f>IFERROR(HYPERLINK(VLOOKUP(A648,Internal_lists_bugs!$A$2:$C$73,3,FALSE()), VLOOKUP(A648,Internal_lists_bugs!$A$2:$C$73,3,FALSE())&amp;Char(10) &amp; Char(10) &amp; VLOOKUP(A648,Internal_lists_bugs!$A$2:$Z$73,26,FALSE())),"please select a BUG ID")</f>
        <v>please select a BUG ID</v>
      </c>
      <c r="C648" s="51" t="str">
        <f>IFERROR(VLOOKUP(A648,Internal_lists_bugs!$A$2:$T1058,20,FALSE()),"please select a BUG ID")</f>
        <v>please select a BUG ID</v>
      </c>
      <c r="E648" s="54"/>
      <c r="F648" s="82"/>
      <c r="G648" s="92"/>
      <c r="H648" s="54"/>
      <c r="I648" s="51" t="str">
        <f>IFERROR(VLOOKUP(A648,Internal_lists_bugs!$A$2:$G1058,7,FALSE()),"please select a BUG ID")</f>
        <v>please select a BUG ID</v>
      </c>
    </row>
    <row r="649">
      <c r="A649" s="54"/>
      <c r="B649" s="71" t="str">
        <f>IFERROR(HYPERLINK(VLOOKUP(A649,Internal_lists_bugs!$A$2:$C$73,3,FALSE()), VLOOKUP(A649,Internal_lists_bugs!$A$2:$C$73,3,FALSE())&amp;Char(10) &amp; Char(10) &amp; VLOOKUP(A649,Internal_lists_bugs!$A$2:$Z$73,26,FALSE())),"please select a BUG ID")</f>
        <v>please select a BUG ID</v>
      </c>
      <c r="C649" s="51" t="str">
        <f>IFERROR(VLOOKUP(A649,Internal_lists_bugs!$A$2:$T1058,20,FALSE()),"please select a BUG ID")</f>
        <v>please select a BUG ID</v>
      </c>
      <c r="E649" s="54"/>
      <c r="F649" s="82"/>
      <c r="G649" s="92"/>
      <c r="H649" s="54"/>
      <c r="I649" s="51" t="str">
        <f>IFERROR(VLOOKUP(A649,Internal_lists_bugs!$A$2:$G1058,7,FALSE()),"please select a BUG ID")</f>
        <v>please select a BUG ID</v>
      </c>
    </row>
    <row r="650">
      <c r="A650" s="54"/>
      <c r="B650" s="71" t="str">
        <f>IFERROR(HYPERLINK(VLOOKUP(A650,Internal_lists_bugs!$A$2:$C$73,3,FALSE()), VLOOKUP(A650,Internal_lists_bugs!$A$2:$C$73,3,FALSE())&amp;Char(10) &amp; Char(10) &amp; VLOOKUP(A650,Internal_lists_bugs!$A$2:$Z$73,26,FALSE())),"please select a BUG ID")</f>
        <v>please select a BUG ID</v>
      </c>
      <c r="C650" s="51" t="str">
        <f>IFERROR(VLOOKUP(A650,Internal_lists_bugs!$A$2:$T1058,20,FALSE()),"please select a BUG ID")</f>
        <v>please select a BUG ID</v>
      </c>
      <c r="E650" s="54"/>
      <c r="F650" s="82"/>
      <c r="G650" s="92"/>
      <c r="H650" s="54"/>
      <c r="I650" s="51" t="str">
        <f>IFERROR(VLOOKUP(A650,Internal_lists_bugs!$A$2:$G1058,7,FALSE()),"please select a BUG ID")</f>
        <v>please select a BUG ID</v>
      </c>
    </row>
    <row r="651">
      <c r="A651" s="54"/>
      <c r="B651" s="71" t="str">
        <f>IFERROR(HYPERLINK(VLOOKUP(A651,Internal_lists_bugs!$A$2:$C$73,3,FALSE()), VLOOKUP(A651,Internal_lists_bugs!$A$2:$C$73,3,FALSE())&amp;Char(10) &amp; Char(10) &amp; VLOOKUP(A651,Internal_lists_bugs!$A$2:$Z$73,26,FALSE())),"please select a BUG ID")</f>
        <v>please select a BUG ID</v>
      </c>
      <c r="C651" s="51" t="str">
        <f>IFERROR(VLOOKUP(A651,Internal_lists_bugs!$A$2:$T1058,20,FALSE()),"please select a BUG ID")</f>
        <v>please select a BUG ID</v>
      </c>
      <c r="E651" s="54"/>
      <c r="F651" s="82"/>
      <c r="G651" s="92"/>
      <c r="H651" s="54"/>
      <c r="I651" s="51" t="str">
        <f>IFERROR(VLOOKUP(A651,Internal_lists_bugs!$A$2:$G1058,7,FALSE()),"please select a BUG ID")</f>
        <v>please select a BUG ID</v>
      </c>
    </row>
    <row r="652">
      <c r="A652" s="54"/>
      <c r="B652" s="71" t="str">
        <f>IFERROR(HYPERLINK(VLOOKUP(A652,Internal_lists_bugs!$A$2:$C$73,3,FALSE()), VLOOKUP(A652,Internal_lists_bugs!$A$2:$C$73,3,FALSE())&amp;Char(10) &amp; Char(10) &amp; VLOOKUP(A652,Internal_lists_bugs!$A$2:$Z$73,26,FALSE())),"please select a BUG ID")</f>
        <v>please select a BUG ID</v>
      </c>
      <c r="C652" s="51" t="str">
        <f>IFERROR(VLOOKUP(A652,Internal_lists_bugs!$A$2:$T1058,20,FALSE()),"please select a BUG ID")</f>
        <v>please select a BUG ID</v>
      </c>
      <c r="E652" s="54"/>
      <c r="F652" s="82"/>
      <c r="G652" s="92"/>
      <c r="H652" s="54"/>
      <c r="I652" s="51" t="str">
        <f>IFERROR(VLOOKUP(A652,Internal_lists_bugs!$A$2:$G1058,7,FALSE()),"please select a BUG ID")</f>
        <v>please select a BUG ID</v>
      </c>
    </row>
    <row r="653">
      <c r="A653" s="54"/>
      <c r="B653" s="71" t="str">
        <f>IFERROR(HYPERLINK(VLOOKUP(A653,Internal_lists_bugs!$A$2:$C$73,3,FALSE()), VLOOKUP(A653,Internal_lists_bugs!$A$2:$C$73,3,FALSE())&amp;Char(10) &amp; Char(10) &amp; VLOOKUP(A653,Internal_lists_bugs!$A$2:$Z$73,26,FALSE())),"please select a BUG ID")</f>
        <v>please select a BUG ID</v>
      </c>
      <c r="C653" s="51" t="str">
        <f>IFERROR(VLOOKUP(A653,Internal_lists_bugs!$A$2:$T1058,20,FALSE()),"please select a BUG ID")</f>
        <v>please select a BUG ID</v>
      </c>
      <c r="E653" s="54"/>
      <c r="F653" s="82"/>
      <c r="G653" s="92"/>
      <c r="H653" s="54"/>
      <c r="I653" s="51" t="str">
        <f>IFERROR(VLOOKUP(A653,Internal_lists_bugs!$A$2:$G1058,7,FALSE()),"please select a BUG ID")</f>
        <v>please select a BUG ID</v>
      </c>
    </row>
    <row r="654">
      <c r="A654" s="54"/>
      <c r="B654" s="71" t="str">
        <f>IFERROR(HYPERLINK(VLOOKUP(A654,Internal_lists_bugs!$A$2:$C$73,3,FALSE()), VLOOKUP(A654,Internal_lists_bugs!$A$2:$C$73,3,FALSE())&amp;Char(10) &amp; Char(10) &amp; VLOOKUP(A654,Internal_lists_bugs!$A$2:$Z$73,26,FALSE())),"please select a BUG ID")</f>
        <v>please select a BUG ID</v>
      </c>
      <c r="C654" s="51" t="str">
        <f>IFERROR(VLOOKUP(A654,Internal_lists_bugs!$A$2:$T1058,20,FALSE()),"please select a BUG ID")</f>
        <v>please select a BUG ID</v>
      </c>
      <c r="E654" s="54"/>
      <c r="F654" s="82"/>
      <c r="G654" s="92"/>
      <c r="H654" s="54"/>
      <c r="I654" s="51" t="str">
        <f>IFERROR(VLOOKUP(A654,Internal_lists_bugs!$A$2:$G1058,7,FALSE()),"please select a BUG ID")</f>
        <v>please select a BUG ID</v>
      </c>
    </row>
    <row r="655">
      <c r="A655" s="54"/>
      <c r="B655" s="71" t="str">
        <f>IFERROR(HYPERLINK(VLOOKUP(A655,Internal_lists_bugs!$A$2:$C$73,3,FALSE()), VLOOKUP(A655,Internal_lists_bugs!$A$2:$C$73,3,FALSE())&amp;Char(10) &amp; Char(10) &amp; VLOOKUP(A655,Internal_lists_bugs!$A$2:$Z$73,26,FALSE())),"please select a BUG ID")</f>
        <v>please select a BUG ID</v>
      </c>
      <c r="C655" s="51" t="str">
        <f>IFERROR(VLOOKUP(A655,Internal_lists_bugs!$A$2:$T1058,20,FALSE()),"please select a BUG ID")</f>
        <v>please select a BUG ID</v>
      </c>
      <c r="E655" s="54"/>
      <c r="F655" s="82"/>
      <c r="G655" s="92"/>
      <c r="H655" s="54"/>
      <c r="I655" s="51" t="str">
        <f>IFERROR(VLOOKUP(A655,Internal_lists_bugs!$A$2:$G1058,7,FALSE()),"please select a BUG ID")</f>
        <v>please select a BUG ID</v>
      </c>
    </row>
    <row r="656">
      <c r="A656" s="54"/>
      <c r="B656" s="71" t="str">
        <f>IFERROR(HYPERLINK(VLOOKUP(A656,Internal_lists_bugs!$A$2:$C$73,3,FALSE()), VLOOKUP(A656,Internal_lists_bugs!$A$2:$C$73,3,FALSE())&amp;Char(10) &amp; Char(10) &amp; VLOOKUP(A656,Internal_lists_bugs!$A$2:$Z$73,26,FALSE())),"please select a BUG ID")</f>
        <v>please select a BUG ID</v>
      </c>
      <c r="C656" s="51" t="str">
        <f>IFERROR(VLOOKUP(A656,Internal_lists_bugs!$A$2:$T1058,20,FALSE()),"please select a BUG ID")</f>
        <v>please select a BUG ID</v>
      </c>
      <c r="E656" s="54"/>
      <c r="F656" s="82"/>
      <c r="G656" s="92"/>
      <c r="H656" s="54"/>
      <c r="I656" s="51" t="str">
        <f>IFERROR(VLOOKUP(A656,Internal_lists_bugs!$A$2:$G1058,7,FALSE()),"please select a BUG ID")</f>
        <v>please select a BUG ID</v>
      </c>
    </row>
    <row r="657">
      <c r="A657" s="54"/>
      <c r="B657" s="71" t="str">
        <f>IFERROR(HYPERLINK(VLOOKUP(A657,Internal_lists_bugs!$A$2:$C$73,3,FALSE()), VLOOKUP(A657,Internal_lists_bugs!$A$2:$C$73,3,FALSE())&amp;Char(10) &amp; Char(10) &amp; VLOOKUP(A657,Internal_lists_bugs!$A$2:$Z$73,26,FALSE())),"please select a BUG ID")</f>
        <v>please select a BUG ID</v>
      </c>
      <c r="C657" s="51" t="str">
        <f>IFERROR(VLOOKUP(A657,Internal_lists_bugs!$A$2:$T1058,20,FALSE()),"please select a BUG ID")</f>
        <v>please select a BUG ID</v>
      </c>
      <c r="E657" s="54"/>
      <c r="F657" s="82"/>
      <c r="G657" s="92"/>
      <c r="H657" s="54"/>
      <c r="I657" s="51" t="str">
        <f>IFERROR(VLOOKUP(A657,Internal_lists_bugs!$A$2:$G1058,7,FALSE()),"please select a BUG ID")</f>
        <v>please select a BUG ID</v>
      </c>
    </row>
    <row r="658">
      <c r="A658" s="54"/>
      <c r="B658" s="71" t="str">
        <f>IFERROR(HYPERLINK(VLOOKUP(A658,Internal_lists_bugs!$A$2:$C$73,3,FALSE()), VLOOKUP(A658,Internal_lists_bugs!$A$2:$C$73,3,FALSE())&amp;Char(10) &amp; Char(10) &amp; VLOOKUP(A658,Internal_lists_bugs!$A$2:$Z$73,26,FALSE())),"please select a BUG ID")</f>
        <v>please select a BUG ID</v>
      </c>
      <c r="C658" s="51" t="str">
        <f>IFERROR(VLOOKUP(A658,Internal_lists_bugs!$A$2:$T1058,20,FALSE()),"please select a BUG ID")</f>
        <v>please select a BUG ID</v>
      </c>
      <c r="E658" s="54"/>
      <c r="F658" s="82"/>
      <c r="G658" s="92"/>
      <c r="H658" s="54"/>
      <c r="I658" s="51" t="str">
        <f>IFERROR(VLOOKUP(A658,Internal_lists_bugs!$A$2:$G1058,7,FALSE()),"please select a BUG ID")</f>
        <v>please select a BUG ID</v>
      </c>
    </row>
    <row r="659">
      <c r="A659" s="54"/>
      <c r="B659" s="71" t="str">
        <f>IFERROR(HYPERLINK(VLOOKUP(A659,Internal_lists_bugs!$A$2:$C$73,3,FALSE()), VLOOKUP(A659,Internal_lists_bugs!$A$2:$C$73,3,FALSE())&amp;Char(10) &amp; Char(10) &amp; VLOOKUP(A659,Internal_lists_bugs!$A$2:$Z$73,26,FALSE())),"please select a BUG ID")</f>
        <v>please select a BUG ID</v>
      </c>
      <c r="C659" s="51" t="str">
        <f>IFERROR(VLOOKUP(A659,Internal_lists_bugs!$A$2:$T1058,20,FALSE()),"please select a BUG ID")</f>
        <v>please select a BUG ID</v>
      </c>
      <c r="E659" s="54"/>
      <c r="F659" s="82"/>
      <c r="G659" s="92"/>
      <c r="H659" s="54"/>
      <c r="I659" s="51" t="str">
        <f>IFERROR(VLOOKUP(A659,Internal_lists_bugs!$A$2:$G1058,7,FALSE()),"please select a BUG ID")</f>
        <v>please select a BUG ID</v>
      </c>
    </row>
    <row r="660">
      <c r="A660" s="54"/>
      <c r="B660" s="71" t="str">
        <f>IFERROR(HYPERLINK(VLOOKUP(A660,Internal_lists_bugs!$A$2:$C$73,3,FALSE()), VLOOKUP(A660,Internal_lists_bugs!$A$2:$C$73,3,FALSE())&amp;Char(10) &amp; Char(10) &amp; VLOOKUP(A660,Internal_lists_bugs!$A$2:$Z$73,26,FALSE())),"please select a BUG ID")</f>
        <v>please select a BUG ID</v>
      </c>
      <c r="C660" s="51" t="str">
        <f>IFERROR(VLOOKUP(A660,Internal_lists_bugs!$A$2:$T1058,20,FALSE()),"please select a BUG ID")</f>
        <v>please select a BUG ID</v>
      </c>
      <c r="E660" s="54"/>
      <c r="F660" s="82"/>
      <c r="G660" s="92"/>
      <c r="H660" s="54"/>
      <c r="I660" s="51" t="str">
        <f>IFERROR(VLOOKUP(A660,Internal_lists_bugs!$A$2:$G1058,7,FALSE()),"please select a BUG ID")</f>
        <v>please select a BUG ID</v>
      </c>
    </row>
    <row r="661">
      <c r="A661" s="54"/>
      <c r="B661" s="71" t="str">
        <f>IFERROR(HYPERLINK(VLOOKUP(A661,Internal_lists_bugs!$A$2:$C$73,3,FALSE()), VLOOKUP(A661,Internal_lists_bugs!$A$2:$C$73,3,FALSE())&amp;Char(10) &amp; Char(10) &amp; VLOOKUP(A661,Internal_lists_bugs!$A$2:$Z$73,26,FALSE())),"please select a BUG ID")</f>
        <v>please select a BUG ID</v>
      </c>
      <c r="C661" s="51" t="str">
        <f>IFERROR(VLOOKUP(A661,Internal_lists_bugs!$A$2:$T1058,20,FALSE()),"please select a BUG ID")</f>
        <v>please select a BUG ID</v>
      </c>
      <c r="E661" s="54"/>
      <c r="F661" s="82"/>
      <c r="G661" s="92"/>
      <c r="H661" s="54"/>
      <c r="I661" s="51" t="str">
        <f>IFERROR(VLOOKUP(A661,Internal_lists_bugs!$A$2:$G1058,7,FALSE()),"please select a BUG ID")</f>
        <v>please select a BUG ID</v>
      </c>
    </row>
    <row r="662">
      <c r="A662" s="54"/>
      <c r="B662" s="71" t="str">
        <f>IFERROR(HYPERLINK(VLOOKUP(A662,Internal_lists_bugs!$A$2:$C$73,3,FALSE()), VLOOKUP(A662,Internal_lists_bugs!$A$2:$C$73,3,FALSE())&amp;Char(10) &amp; Char(10) &amp; VLOOKUP(A662,Internal_lists_bugs!$A$2:$Z$73,26,FALSE())),"please select a BUG ID")</f>
        <v>please select a BUG ID</v>
      </c>
      <c r="C662" s="51" t="str">
        <f>IFERROR(VLOOKUP(A662,Internal_lists_bugs!$A$2:$T1058,20,FALSE()),"please select a BUG ID")</f>
        <v>please select a BUG ID</v>
      </c>
      <c r="E662" s="54"/>
      <c r="F662" s="82"/>
      <c r="G662" s="92"/>
      <c r="H662" s="54"/>
      <c r="I662" s="51" t="str">
        <f>IFERROR(VLOOKUP(A662,Internal_lists_bugs!$A$2:$G1058,7,FALSE()),"please select a BUG ID")</f>
        <v>please select a BUG ID</v>
      </c>
    </row>
    <row r="663">
      <c r="A663" s="54"/>
      <c r="B663" s="71" t="str">
        <f>IFERROR(HYPERLINK(VLOOKUP(A663,Internal_lists_bugs!$A$2:$C$73,3,FALSE()), VLOOKUP(A663,Internal_lists_bugs!$A$2:$C$73,3,FALSE())&amp;Char(10) &amp; Char(10) &amp; VLOOKUP(A663,Internal_lists_bugs!$A$2:$Z$73,26,FALSE())),"please select a BUG ID")</f>
        <v>please select a BUG ID</v>
      </c>
      <c r="C663" s="51" t="str">
        <f>IFERROR(VLOOKUP(A663,Internal_lists_bugs!$A$2:$T1058,20,FALSE()),"please select a BUG ID")</f>
        <v>please select a BUG ID</v>
      </c>
      <c r="E663" s="54"/>
      <c r="F663" s="82"/>
      <c r="G663" s="92"/>
      <c r="H663" s="54"/>
      <c r="I663" s="51" t="str">
        <f>IFERROR(VLOOKUP(A663,Internal_lists_bugs!$A$2:$G1058,7,FALSE()),"please select a BUG ID")</f>
        <v>please select a BUG ID</v>
      </c>
    </row>
    <row r="664">
      <c r="A664" s="54"/>
      <c r="B664" s="71" t="str">
        <f>IFERROR(HYPERLINK(VLOOKUP(A664,Internal_lists_bugs!$A$2:$C$73,3,FALSE()), VLOOKUP(A664,Internal_lists_bugs!$A$2:$C$73,3,FALSE())&amp;Char(10) &amp; Char(10) &amp; VLOOKUP(A664,Internal_lists_bugs!$A$2:$Z$73,26,FALSE())),"please select a BUG ID")</f>
        <v>please select a BUG ID</v>
      </c>
      <c r="C664" s="51" t="str">
        <f>IFERROR(VLOOKUP(A664,Internal_lists_bugs!$A$2:$T1058,20,FALSE()),"please select a BUG ID")</f>
        <v>please select a BUG ID</v>
      </c>
      <c r="E664" s="54"/>
      <c r="F664" s="82"/>
      <c r="G664" s="92"/>
      <c r="H664" s="54"/>
      <c r="I664" s="51" t="str">
        <f>IFERROR(VLOOKUP(A664,Internal_lists_bugs!$A$2:$G1058,7,FALSE()),"please select a BUG ID")</f>
        <v>please select a BUG ID</v>
      </c>
    </row>
    <row r="665">
      <c r="A665" s="54"/>
      <c r="B665" s="71" t="str">
        <f>IFERROR(HYPERLINK(VLOOKUP(A665,Internal_lists_bugs!$A$2:$C$73,3,FALSE()), VLOOKUP(A665,Internal_lists_bugs!$A$2:$C$73,3,FALSE())&amp;Char(10) &amp; Char(10) &amp; VLOOKUP(A665,Internal_lists_bugs!$A$2:$Z$73,26,FALSE())),"please select a BUG ID")</f>
        <v>please select a BUG ID</v>
      </c>
      <c r="C665" s="51" t="str">
        <f>IFERROR(VLOOKUP(A665,Internal_lists_bugs!$A$2:$T1058,20,FALSE()),"please select a BUG ID")</f>
        <v>please select a BUG ID</v>
      </c>
      <c r="E665" s="54"/>
      <c r="F665" s="82"/>
      <c r="G665" s="92"/>
      <c r="H665" s="54"/>
      <c r="I665" s="51" t="str">
        <f>IFERROR(VLOOKUP(A665,Internal_lists_bugs!$A$2:$G1058,7,FALSE()),"please select a BUG ID")</f>
        <v>please select a BUG ID</v>
      </c>
    </row>
    <row r="666">
      <c r="A666" s="54"/>
      <c r="B666" s="71" t="str">
        <f>IFERROR(HYPERLINK(VLOOKUP(A666,Internal_lists_bugs!$A$2:$C$73,3,FALSE()), VLOOKUP(A666,Internal_lists_bugs!$A$2:$C$73,3,FALSE())&amp;Char(10) &amp; Char(10) &amp; VLOOKUP(A666,Internal_lists_bugs!$A$2:$Z$73,26,FALSE())),"please select a BUG ID")</f>
        <v>please select a BUG ID</v>
      </c>
      <c r="C666" s="51" t="str">
        <f>IFERROR(VLOOKUP(A666,Internal_lists_bugs!$A$2:$T1058,20,FALSE()),"please select a BUG ID")</f>
        <v>please select a BUG ID</v>
      </c>
      <c r="E666" s="54"/>
      <c r="F666" s="82"/>
      <c r="G666" s="92"/>
      <c r="H666" s="54"/>
      <c r="I666" s="51" t="str">
        <f>IFERROR(VLOOKUP(A666,Internal_lists_bugs!$A$2:$G1058,7,FALSE()),"please select a BUG ID")</f>
        <v>please select a BUG ID</v>
      </c>
    </row>
    <row r="667">
      <c r="A667" s="54"/>
      <c r="B667" s="71" t="str">
        <f>IFERROR(HYPERLINK(VLOOKUP(A667,Internal_lists_bugs!$A$2:$C$73,3,FALSE()), VLOOKUP(A667,Internal_lists_bugs!$A$2:$C$73,3,FALSE())&amp;Char(10) &amp; Char(10) &amp; VLOOKUP(A667,Internal_lists_bugs!$A$2:$Z$73,26,FALSE())),"please select a BUG ID")</f>
        <v>please select a BUG ID</v>
      </c>
      <c r="C667" s="51" t="str">
        <f>IFERROR(VLOOKUP(A667,Internal_lists_bugs!$A$2:$T1058,20,FALSE()),"please select a BUG ID")</f>
        <v>please select a BUG ID</v>
      </c>
      <c r="E667" s="54"/>
      <c r="F667" s="82"/>
      <c r="G667" s="92"/>
      <c r="H667" s="54"/>
      <c r="I667" s="51" t="str">
        <f>IFERROR(VLOOKUP(A667,Internal_lists_bugs!$A$2:$G1058,7,FALSE()),"please select a BUG ID")</f>
        <v>please select a BUG ID</v>
      </c>
    </row>
    <row r="668">
      <c r="A668" s="54"/>
      <c r="B668" s="71" t="str">
        <f>IFERROR(HYPERLINK(VLOOKUP(A668,Internal_lists_bugs!$A$2:$C$73,3,FALSE()), VLOOKUP(A668,Internal_lists_bugs!$A$2:$C$73,3,FALSE())&amp;Char(10) &amp; Char(10) &amp; VLOOKUP(A668,Internal_lists_bugs!$A$2:$Z$73,26,FALSE())),"please select a BUG ID")</f>
        <v>please select a BUG ID</v>
      </c>
      <c r="C668" s="51" t="str">
        <f>IFERROR(VLOOKUP(A668,Internal_lists_bugs!$A$2:$T1058,20,FALSE()),"please select a BUG ID")</f>
        <v>please select a BUG ID</v>
      </c>
      <c r="E668" s="54"/>
      <c r="F668" s="82"/>
      <c r="G668" s="92"/>
      <c r="H668" s="54"/>
      <c r="I668" s="51" t="str">
        <f>IFERROR(VLOOKUP(A668,Internal_lists_bugs!$A$2:$G1058,7,FALSE()),"please select a BUG ID")</f>
        <v>please select a BUG ID</v>
      </c>
    </row>
    <row r="669">
      <c r="A669" s="54"/>
      <c r="B669" s="71" t="str">
        <f>IFERROR(HYPERLINK(VLOOKUP(A669,Internal_lists_bugs!$A$2:$C$73,3,FALSE()), VLOOKUP(A669,Internal_lists_bugs!$A$2:$C$73,3,FALSE())&amp;Char(10) &amp; Char(10) &amp; VLOOKUP(A669,Internal_lists_bugs!$A$2:$Z$73,26,FALSE())),"please select a BUG ID")</f>
        <v>please select a BUG ID</v>
      </c>
      <c r="C669" s="51" t="str">
        <f>IFERROR(VLOOKUP(A669,Internal_lists_bugs!$A$2:$T1058,20,FALSE()),"please select a BUG ID")</f>
        <v>please select a BUG ID</v>
      </c>
      <c r="E669" s="54"/>
      <c r="F669" s="82"/>
      <c r="G669" s="92"/>
      <c r="H669" s="54"/>
      <c r="I669" s="51" t="str">
        <f>IFERROR(VLOOKUP(A669,Internal_lists_bugs!$A$2:$G1058,7,FALSE()),"please select a BUG ID")</f>
        <v>please select a BUG ID</v>
      </c>
    </row>
    <row r="670">
      <c r="A670" s="54"/>
      <c r="B670" s="71" t="str">
        <f>IFERROR(HYPERLINK(VLOOKUP(A670,Internal_lists_bugs!$A$2:$C$73,3,FALSE()), VLOOKUP(A670,Internal_lists_bugs!$A$2:$C$73,3,FALSE())&amp;Char(10) &amp; Char(10) &amp; VLOOKUP(A670,Internal_lists_bugs!$A$2:$Z$73,26,FALSE())),"please select a BUG ID")</f>
        <v>please select a BUG ID</v>
      </c>
      <c r="C670" s="51" t="str">
        <f>IFERROR(VLOOKUP(A670,Internal_lists_bugs!$A$2:$T1058,20,FALSE()),"please select a BUG ID")</f>
        <v>please select a BUG ID</v>
      </c>
      <c r="E670" s="54"/>
      <c r="F670" s="82"/>
      <c r="G670" s="92"/>
      <c r="H670" s="54"/>
      <c r="I670" s="51" t="str">
        <f>IFERROR(VLOOKUP(A670,Internal_lists_bugs!$A$2:$G1058,7,FALSE()),"please select a BUG ID")</f>
        <v>please select a BUG ID</v>
      </c>
    </row>
    <row r="671">
      <c r="A671" s="54"/>
      <c r="B671" s="71" t="str">
        <f>IFERROR(HYPERLINK(VLOOKUP(A671,Internal_lists_bugs!$A$2:$C$73,3,FALSE()), VLOOKUP(A671,Internal_lists_bugs!$A$2:$C$73,3,FALSE())&amp;Char(10) &amp; Char(10) &amp; VLOOKUP(A671,Internal_lists_bugs!$A$2:$Z$73,26,FALSE())),"please select a BUG ID")</f>
        <v>please select a BUG ID</v>
      </c>
      <c r="C671" s="51" t="str">
        <f>IFERROR(VLOOKUP(A671,Internal_lists_bugs!$A$2:$T1058,20,FALSE()),"please select a BUG ID")</f>
        <v>please select a BUG ID</v>
      </c>
      <c r="E671" s="54"/>
      <c r="F671" s="82"/>
      <c r="G671" s="92"/>
      <c r="H671" s="54"/>
      <c r="I671" s="51" t="str">
        <f>IFERROR(VLOOKUP(A671,Internal_lists_bugs!$A$2:$G1058,7,FALSE()),"please select a BUG ID")</f>
        <v>please select a BUG ID</v>
      </c>
    </row>
    <row r="672">
      <c r="A672" s="54"/>
      <c r="B672" s="71" t="str">
        <f>IFERROR(HYPERLINK(VLOOKUP(A672,Internal_lists_bugs!$A$2:$C$73,3,FALSE()), VLOOKUP(A672,Internal_lists_bugs!$A$2:$C$73,3,FALSE())&amp;Char(10) &amp; Char(10) &amp; VLOOKUP(A672,Internal_lists_bugs!$A$2:$Z$73,26,FALSE())),"please select a BUG ID")</f>
        <v>please select a BUG ID</v>
      </c>
      <c r="C672" s="51" t="str">
        <f>IFERROR(VLOOKUP(A672,Internal_lists_bugs!$A$2:$T1058,20,FALSE()),"please select a BUG ID")</f>
        <v>please select a BUG ID</v>
      </c>
      <c r="E672" s="54"/>
      <c r="F672" s="82"/>
      <c r="G672" s="92"/>
      <c r="H672" s="54"/>
      <c r="I672" s="51" t="str">
        <f>IFERROR(VLOOKUP(A672,Internal_lists_bugs!$A$2:$G1058,7,FALSE()),"please select a BUG ID")</f>
        <v>please select a BUG ID</v>
      </c>
    </row>
    <row r="673">
      <c r="A673" s="54"/>
      <c r="B673" s="71" t="str">
        <f>IFERROR(HYPERLINK(VLOOKUP(A673,Internal_lists_bugs!$A$2:$C$73,3,FALSE()), VLOOKUP(A673,Internal_lists_bugs!$A$2:$C$73,3,FALSE())&amp;Char(10) &amp; Char(10) &amp; VLOOKUP(A673,Internal_lists_bugs!$A$2:$Z$73,26,FALSE())),"please select a BUG ID")</f>
        <v>please select a BUG ID</v>
      </c>
      <c r="C673" s="51" t="str">
        <f>IFERROR(VLOOKUP(A673,Internal_lists_bugs!$A$2:$T1058,20,FALSE()),"please select a BUG ID")</f>
        <v>please select a BUG ID</v>
      </c>
      <c r="E673" s="54"/>
      <c r="F673" s="82"/>
      <c r="G673" s="92"/>
      <c r="H673" s="54"/>
      <c r="I673" s="51" t="str">
        <f>IFERROR(VLOOKUP(A673,Internal_lists_bugs!$A$2:$G1058,7,FALSE()),"please select a BUG ID")</f>
        <v>please select a BUG ID</v>
      </c>
    </row>
    <row r="674">
      <c r="A674" s="54"/>
      <c r="B674" s="71" t="str">
        <f>IFERROR(HYPERLINK(VLOOKUP(A674,Internal_lists_bugs!$A$2:$C$73,3,FALSE()), VLOOKUP(A674,Internal_lists_bugs!$A$2:$C$73,3,FALSE())&amp;Char(10) &amp; Char(10) &amp; VLOOKUP(A674,Internal_lists_bugs!$A$2:$Z$73,26,FALSE())),"please select a BUG ID")</f>
        <v>please select a BUG ID</v>
      </c>
      <c r="C674" s="51" t="str">
        <f>IFERROR(VLOOKUP(A674,Internal_lists_bugs!$A$2:$T1058,20,FALSE()),"please select a BUG ID")</f>
        <v>please select a BUG ID</v>
      </c>
      <c r="E674" s="54"/>
      <c r="F674" s="82"/>
      <c r="G674" s="92"/>
      <c r="H674" s="54"/>
      <c r="I674" s="51" t="str">
        <f>IFERROR(VLOOKUP(A674,Internal_lists_bugs!$A$2:$G1058,7,FALSE()),"please select a BUG ID")</f>
        <v>please select a BUG ID</v>
      </c>
    </row>
    <row r="675">
      <c r="A675" s="54"/>
      <c r="B675" s="71" t="str">
        <f>IFERROR(HYPERLINK(VLOOKUP(A675,Internal_lists_bugs!$A$2:$C$73,3,FALSE()), VLOOKUP(A675,Internal_lists_bugs!$A$2:$C$73,3,FALSE())&amp;Char(10) &amp; Char(10) &amp; VLOOKUP(A675,Internal_lists_bugs!$A$2:$Z$73,26,FALSE())),"please select a BUG ID")</f>
        <v>please select a BUG ID</v>
      </c>
      <c r="C675" s="51" t="str">
        <f>IFERROR(VLOOKUP(A675,Internal_lists_bugs!$A$2:$T1058,20,FALSE()),"please select a BUG ID")</f>
        <v>please select a BUG ID</v>
      </c>
      <c r="E675" s="54"/>
      <c r="F675" s="82"/>
      <c r="G675" s="92"/>
      <c r="H675" s="54"/>
      <c r="I675" s="51" t="str">
        <f>IFERROR(VLOOKUP(A675,Internal_lists_bugs!$A$2:$G1058,7,FALSE()),"please select a BUG ID")</f>
        <v>please select a BUG ID</v>
      </c>
    </row>
    <row r="676">
      <c r="A676" s="54"/>
      <c r="B676" s="71" t="str">
        <f>IFERROR(HYPERLINK(VLOOKUP(A676,Internal_lists_bugs!$A$2:$C$73,3,FALSE()), VLOOKUP(A676,Internal_lists_bugs!$A$2:$C$73,3,FALSE())&amp;Char(10) &amp; Char(10) &amp; VLOOKUP(A676,Internal_lists_bugs!$A$2:$Z$73,26,FALSE())),"please select a BUG ID")</f>
        <v>please select a BUG ID</v>
      </c>
      <c r="C676" s="51" t="str">
        <f>IFERROR(VLOOKUP(A676,Internal_lists_bugs!$A$2:$T1058,20,FALSE()),"please select a BUG ID")</f>
        <v>please select a BUG ID</v>
      </c>
      <c r="E676" s="54"/>
      <c r="F676" s="82"/>
      <c r="G676" s="92"/>
      <c r="H676" s="54"/>
      <c r="I676" s="51" t="str">
        <f>IFERROR(VLOOKUP(A676,Internal_lists_bugs!$A$2:$G1058,7,FALSE()),"please select a BUG ID")</f>
        <v>please select a BUG ID</v>
      </c>
    </row>
    <row r="677">
      <c r="A677" s="54"/>
      <c r="B677" s="71" t="str">
        <f>IFERROR(HYPERLINK(VLOOKUP(A677,Internal_lists_bugs!$A$2:$C$73,3,FALSE()), VLOOKUP(A677,Internal_lists_bugs!$A$2:$C$73,3,FALSE())&amp;Char(10) &amp; Char(10) &amp; VLOOKUP(A677,Internal_lists_bugs!$A$2:$Z$73,26,FALSE())),"please select a BUG ID")</f>
        <v>please select a BUG ID</v>
      </c>
      <c r="C677" s="51" t="str">
        <f>IFERROR(VLOOKUP(A677,Internal_lists_bugs!$A$2:$T1058,20,FALSE()),"please select a BUG ID")</f>
        <v>please select a BUG ID</v>
      </c>
      <c r="E677" s="54"/>
      <c r="F677" s="82"/>
      <c r="G677" s="92"/>
      <c r="H677" s="54"/>
      <c r="I677" s="51" t="str">
        <f>IFERROR(VLOOKUP(A677,Internal_lists_bugs!$A$2:$G1058,7,FALSE()),"please select a BUG ID")</f>
        <v>please select a BUG ID</v>
      </c>
    </row>
    <row r="678">
      <c r="A678" s="54"/>
      <c r="B678" s="71" t="str">
        <f>IFERROR(HYPERLINK(VLOOKUP(A678,Internal_lists_bugs!$A$2:$C$73,3,FALSE()), VLOOKUP(A678,Internal_lists_bugs!$A$2:$C$73,3,FALSE())&amp;Char(10) &amp; Char(10) &amp; VLOOKUP(A678,Internal_lists_bugs!$A$2:$Z$73,26,FALSE())),"please select a BUG ID")</f>
        <v>please select a BUG ID</v>
      </c>
      <c r="C678" s="51" t="str">
        <f>IFERROR(VLOOKUP(A678,Internal_lists_bugs!$A$2:$T1058,20,FALSE()),"please select a BUG ID")</f>
        <v>please select a BUG ID</v>
      </c>
      <c r="E678" s="54"/>
      <c r="F678" s="82"/>
      <c r="G678" s="92"/>
      <c r="H678" s="54"/>
      <c r="I678" s="51" t="str">
        <f>IFERROR(VLOOKUP(A678,Internal_lists_bugs!$A$2:$G1058,7,FALSE()),"please select a BUG ID")</f>
        <v>please select a BUG ID</v>
      </c>
    </row>
    <row r="679">
      <c r="A679" s="54"/>
      <c r="B679" s="71" t="str">
        <f>IFERROR(HYPERLINK(VLOOKUP(A679,Internal_lists_bugs!$A$2:$C$73,3,FALSE()), VLOOKUP(A679,Internal_lists_bugs!$A$2:$C$73,3,FALSE())&amp;Char(10) &amp; Char(10) &amp; VLOOKUP(A679,Internal_lists_bugs!$A$2:$Z$73,26,FALSE())),"please select a BUG ID")</f>
        <v>please select a BUG ID</v>
      </c>
      <c r="C679" s="51" t="str">
        <f>IFERROR(VLOOKUP(A679,Internal_lists_bugs!$A$2:$T1058,20,FALSE()),"please select a BUG ID")</f>
        <v>please select a BUG ID</v>
      </c>
      <c r="E679" s="54"/>
      <c r="F679" s="82"/>
      <c r="G679" s="92"/>
      <c r="H679" s="54"/>
      <c r="I679" s="51" t="str">
        <f>IFERROR(VLOOKUP(A679,Internal_lists_bugs!$A$2:$G1058,7,FALSE()),"please select a BUG ID")</f>
        <v>please select a BUG ID</v>
      </c>
    </row>
    <row r="680">
      <c r="A680" s="54"/>
      <c r="B680" s="71" t="str">
        <f>IFERROR(HYPERLINK(VLOOKUP(A680,Internal_lists_bugs!$A$2:$C$73,3,FALSE()), VLOOKUP(A680,Internal_lists_bugs!$A$2:$C$73,3,FALSE())&amp;Char(10) &amp; Char(10) &amp; VLOOKUP(A680,Internal_lists_bugs!$A$2:$Z$73,26,FALSE())),"please select a BUG ID")</f>
        <v>please select a BUG ID</v>
      </c>
      <c r="C680" s="51" t="str">
        <f>IFERROR(VLOOKUP(A680,Internal_lists_bugs!$A$2:$T1058,20,FALSE()),"please select a BUG ID")</f>
        <v>please select a BUG ID</v>
      </c>
      <c r="E680" s="54"/>
      <c r="F680" s="82"/>
      <c r="G680" s="92"/>
      <c r="H680" s="54"/>
      <c r="I680" s="51" t="str">
        <f>IFERROR(VLOOKUP(A680,Internal_lists_bugs!$A$2:$G1058,7,FALSE()),"please select a BUG ID")</f>
        <v>please select a BUG ID</v>
      </c>
    </row>
    <row r="681">
      <c r="A681" s="54"/>
      <c r="B681" s="71" t="str">
        <f>IFERROR(HYPERLINK(VLOOKUP(A681,Internal_lists_bugs!$A$2:$C$73,3,FALSE()), VLOOKUP(A681,Internal_lists_bugs!$A$2:$C$73,3,FALSE())&amp;Char(10) &amp; Char(10) &amp; VLOOKUP(A681,Internal_lists_bugs!$A$2:$Z$73,26,FALSE())),"please select a BUG ID")</f>
        <v>please select a BUG ID</v>
      </c>
      <c r="C681" s="51" t="str">
        <f>IFERROR(VLOOKUP(A681,Internal_lists_bugs!$A$2:$T1058,20,FALSE()),"please select a BUG ID")</f>
        <v>please select a BUG ID</v>
      </c>
      <c r="E681" s="54"/>
      <c r="F681" s="82"/>
      <c r="G681" s="92"/>
      <c r="H681" s="54"/>
      <c r="I681" s="51" t="str">
        <f>IFERROR(VLOOKUP(A681,Internal_lists_bugs!$A$2:$G1058,7,FALSE()),"please select a BUG ID")</f>
        <v>please select a BUG ID</v>
      </c>
    </row>
    <row r="682">
      <c r="A682" s="54"/>
      <c r="B682" s="71" t="str">
        <f>IFERROR(HYPERLINK(VLOOKUP(A682,Internal_lists_bugs!$A$2:$C$73,3,FALSE()), VLOOKUP(A682,Internal_lists_bugs!$A$2:$C$73,3,FALSE())&amp;Char(10) &amp; Char(10) &amp; VLOOKUP(A682,Internal_lists_bugs!$A$2:$Z$73,26,FALSE())),"please select a BUG ID")</f>
        <v>please select a BUG ID</v>
      </c>
      <c r="C682" s="51" t="str">
        <f>IFERROR(VLOOKUP(A682,Internal_lists_bugs!$A$2:$T1058,20,FALSE()),"please select a BUG ID")</f>
        <v>please select a BUG ID</v>
      </c>
      <c r="E682" s="54"/>
      <c r="F682" s="82"/>
      <c r="G682" s="92"/>
      <c r="H682" s="54"/>
      <c r="I682" s="51" t="str">
        <f>IFERROR(VLOOKUP(A682,Internal_lists_bugs!$A$2:$G1058,7,FALSE()),"please select a BUG ID")</f>
        <v>please select a BUG ID</v>
      </c>
    </row>
    <row r="683">
      <c r="A683" s="54"/>
      <c r="B683" s="71" t="str">
        <f>IFERROR(HYPERLINK(VLOOKUP(A683,Internal_lists_bugs!$A$2:$C$73,3,FALSE()), VLOOKUP(A683,Internal_lists_bugs!$A$2:$C$73,3,FALSE())&amp;Char(10) &amp; Char(10) &amp; VLOOKUP(A683,Internal_lists_bugs!$A$2:$Z$73,26,FALSE())),"please select a BUG ID")</f>
        <v>please select a BUG ID</v>
      </c>
      <c r="C683" s="51" t="str">
        <f>IFERROR(VLOOKUP(A683,Internal_lists_bugs!$A$2:$T1058,20,FALSE()),"please select a BUG ID")</f>
        <v>please select a BUG ID</v>
      </c>
      <c r="E683" s="54"/>
      <c r="F683" s="82"/>
      <c r="G683" s="92"/>
      <c r="H683" s="54"/>
      <c r="I683" s="51" t="str">
        <f>IFERROR(VLOOKUP(A683,Internal_lists_bugs!$A$2:$G1058,7,FALSE()),"please select a BUG ID")</f>
        <v>please select a BUG ID</v>
      </c>
    </row>
    <row r="684">
      <c r="A684" s="54"/>
      <c r="B684" s="71" t="str">
        <f>IFERROR(HYPERLINK(VLOOKUP(A684,Internal_lists_bugs!$A$2:$C$73,3,FALSE()), VLOOKUP(A684,Internal_lists_bugs!$A$2:$C$73,3,FALSE())&amp;Char(10) &amp; Char(10) &amp; VLOOKUP(A684,Internal_lists_bugs!$A$2:$Z$73,26,FALSE())),"please select a BUG ID")</f>
        <v>please select a BUG ID</v>
      </c>
      <c r="C684" s="51" t="str">
        <f>IFERROR(VLOOKUP(A684,Internal_lists_bugs!$A$2:$T1058,20,FALSE()),"please select a BUG ID")</f>
        <v>please select a BUG ID</v>
      </c>
      <c r="E684" s="54"/>
      <c r="F684" s="82"/>
      <c r="G684" s="92"/>
      <c r="H684" s="54"/>
      <c r="I684" s="51" t="str">
        <f>IFERROR(VLOOKUP(A684,Internal_lists_bugs!$A$2:$G1058,7,FALSE()),"please select a BUG ID")</f>
        <v>please select a BUG ID</v>
      </c>
    </row>
    <row r="685">
      <c r="A685" s="54"/>
      <c r="B685" s="71" t="str">
        <f>IFERROR(HYPERLINK(VLOOKUP(A685,Internal_lists_bugs!$A$2:$C$73,3,FALSE()), VLOOKUP(A685,Internal_lists_bugs!$A$2:$C$73,3,FALSE())&amp;Char(10) &amp; Char(10) &amp; VLOOKUP(A685,Internal_lists_bugs!$A$2:$Z$73,26,FALSE())),"please select a BUG ID")</f>
        <v>please select a BUG ID</v>
      </c>
      <c r="C685" s="51" t="str">
        <f>IFERROR(VLOOKUP(A685,Internal_lists_bugs!$A$2:$T1058,20,FALSE()),"please select a BUG ID")</f>
        <v>please select a BUG ID</v>
      </c>
      <c r="E685" s="54"/>
      <c r="F685" s="82"/>
      <c r="G685" s="92"/>
      <c r="H685" s="54"/>
      <c r="I685" s="51" t="str">
        <f>IFERROR(VLOOKUP(A685,Internal_lists_bugs!$A$2:$G1058,7,FALSE()),"please select a BUG ID")</f>
        <v>please select a BUG ID</v>
      </c>
    </row>
    <row r="686">
      <c r="A686" s="54"/>
      <c r="B686" s="71" t="str">
        <f>IFERROR(HYPERLINK(VLOOKUP(A686,Internal_lists_bugs!$A$2:$C$73,3,FALSE()), VLOOKUP(A686,Internal_lists_bugs!$A$2:$C$73,3,FALSE())&amp;Char(10) &amp; Char(10) &amp; VLOOKUP(A686,Internal_lists_bugs!$A$2:$Z$73,26,FALSE())),"please select a BUG ID")</f>
        <v>please select a BUG ID</v>
      </c>
      <c r="C686" s="51" t="str">
        <f>IFERROR(VLOOKUP(A686,Internal_lists_bugs!$A$2:$T1058,20,FALSE()),"please select a BUG ID")</f>
        <v>please select a BUG ID</v>
      </c>
      <c r="E686" s="54"/>
      <c r="F686" s="82"/>
      <c r="G686" s="92"/>
      <c r="H686" s="54"/>
      <c r="I686" s="51" t="str">
        <f>IFERROR(VLOOKUP(A686,Internal_lists_bugs!$A$2:$G1058,7,FALSE()),"please select a BUG ID")</f>
        <v>please select a BUG ID</v>
      </c>
    </row>
    <row r="687">
      <c r="A687" s="54"/>
      <c r="B687" s="71" t="str">
        <f>IFERROR(HYPERLINK(VLOOKUP(A687,Internal_lists_bugs!$A$2:$C$73,3,FALSE()), VLOOKUP(A687,Internal_lists_bugs!$A$2:$C$73,3,FALSE())&amp;Char(10) &amp; Char(10) &amp; VLOOKUP(A687,Internal_lists_bugs!$A$2:$Z$73,26,FALSE())),"please select a BUG ID")</f>
        <v>please select a BUG ID</v>
      </c>
      <c r="C687" s="51" t="str">
        <f>IFERROR(VLOOKUP(A687,Internal_lists_bugs!$A$2:$T1058,20,FALSE()),"please select a BUG ID")</f>
        <v>please select a BUG ID</v>
      </c>
      <c r="E687" s="54"/>
      <c r="F687" s="82"/>
      <c r="G687" s="92"/>
      <c r="H687" s="54"/>
      <c r="I687" s="51" t="str">
        <f>IFERROR(VLOOKUP(A687,Internal_lists_bugs!$A$2:$G1058,7,FALSE()),"please select a BUG ID")</f>
        <v>please select a BUG ID</v>
      </c>
    </row>
    <row r="688">
      <c r="A688" s="54"/>
      <c r="B688" s="71" t="str">
        <f>IFERROR(HYPERLINK(VLOOKUP(A688,Internal_lists_bugs!$A$2:$C$73,3,FALSE()), VLOOKUP(A688,Internal_lists_bugs!$A$2:$C$73,3,FALSE())&amp;Char(10) &amp; Char(10) &amp; VLOOKUP(A688,Internal_lists_bugs!$A$2:$Z$73,26,FALSE())),"please select a BUG ID")</f>
        <v>please select a BUG ID</v>
      </c>
      <c r="C688" s="51" t="str">
        <f>IFERROR(VLOOKUP(A688,Internal_lists_bugs!$A$2:$T1058,20,FALSE()),"please select a BUG ID")</f>
        <v>please select a BUG ID</v>
      </c>
      <c r="E688" s="54"/>
      <c r="F688" s="82"/>
      <c r="G688" s="92"/>
      <c r="H688" s="54"/>
      <c r="I688" s="51" t="str">
        <f>IFERROR(VLOOKUP(A688,Internal_lists_bugs!$A$2:$G1058,7,FALSE()),"please select a BUG ID")</f>
        <v>please select a BUG ID</v>
      </c>
    </row>
    <row r="689">
      <c r="A689" s="54"/>
      <c r="B689" s="71" t="str">
        <f>IFERROR(HYPERLINK(VLOOKUP(A689,Internal_lists_bugs!$A$2:$C$73,3,FALSE()), VLOOKUP(A689,Internal_lists_bugs!$A$2:$C$73,3,FALSE())&amp;Char(10) &amp; Char(10) &amp; VLOOKUP(A689,Internal_lists_bugs!$A$2:$Z$73,26,FALSE())),"please select a BUG ID")</f>
        <v>please select a BUG ID</v>
      </c>
      <c r="C689" s="51" t="str">
        <f>IFERROR(VLOOKUP(A689,Internal_lists_bugs!$A$2:$T1058,20,FALSE()),"please select a BUG ID")</f>
        <v>please select a BUG ID</v>
      </c>
      <c r="E689" s="54"/>
      <c r="F689" s="82"/>
      <c r="G689" s="92"/>
      <c r="H689" s="54"/>
      <c r="I689" s="51" t="str">
        <f>IFERROR(VLOOKUP(A689,Internal_lists_bugs!$A$2:$G1058,7,FALSE()),"please select a BUG ID")</f>
        <v>please select a BUG ID</v>
      </c>
    </row>
    <row r="690">
      <c r="A690" s="54"/>
      <c r="B690" s="71" t="str">
        <f>IFERROR(HYPERLINK(VLOOKUP(A690,Internal_lists_bugs!$A$2:$C$73,3,FALSE()), VLOOKUP(A690,Internal_lists_bugs!$A$2:$C$73,3,FALSE())&amp;Char(10) &amp; Char(10) &amp; VLOOKUP(A690,Internal_lists_bugs!$A$2:$Z$73,26,FALSE())),"please select a BUG ID")</f>
        <v>please select a BUG ID</v>
      </c>
      <c r="C690" s="51" t="str">
        <f>IFERROR(VLOOKUP(A690,Internal_lists_bugs!$A$2:$T1058,20,FALSE()),"please select a BUG ID")</f>
        <v>please select a BUG ID</v>
      </c>
      <c r="E690" s="54"/>
      <c r="F690" s="82"/>
      <c r="G690" s="92"/>
      <c r="H690" s="54"/>
      <c r="I690" s="51" t="str">
        <f>IFERROR(VLOOKUP(A690,Internal_lists_bugs!$A$2:$G1058,7,FALSE()),"please select a BUG ID")</f>
        <v>please select a BUG ID</v>
      </c>
    </row>
    <row r="691">
      <c r="A691" s="54"/>
      <c r="B691" s="71" t="str">
        <f>IFERROR(HYPERLINK(VLOOKUP(A691,Internal_lists_bugs!$A$2:$C$73,3,FALSE()), VLOOKUP(A691,Internal_lists_bugs!$A$2:$C$73,3,FALSE())&amp;Char(10) &amp; Char(10) &amp; VLOOKUP(A691,Internal_lists_bugs!$A$2:$Z$73,26,FALSE())),"please select a BUG ID")</f>
        <v>please select a BUG ID</v>
      </c>
      <c r="C691" s="51" t="str">
        <f>IFERROR(VLOOKUP(A691,Internal_lists_bugs!$A$2:$T1058,20,FALSE()),"please select a BUG ID")</f>
        <v>please select a BUG ID</v>
      </c>
      <c r="E691" s="54"/>
      <c r="F691" s="82"/>
      <c r="G691" s="92"/>
      <c r="H691" s="54"/>
      <c r="I691" s="51" t="str">
        <f>IFERROR(VLOOKUP(A691,Internal_lists_bugs!$A$2:$G1058,7,FALSE()),"please select a BUG ID")</f>
        <v>please select a BUG ID</v>
      </c>
    </row>
    <row r="692">
      <c r="A692" s="54"/>
      <c r="B692" s="71" t="str">
        <f>IFERROR(HYPERLINK(VLOOKUP(A692,Internal_lists_bugs!$A$2:$C$73,3,FALSE()), VLOOKUP(A692,Internal_lists_bugs!$A$2:$C$73,3,FALSE())&amp;Char(10) &amp; Char(10) &amp; VLOOKUP(A692,Internal_lists_bugs!$A$2:$Z$73,26,FALSE())),"please select a BUG ID")</f>
        <v>please select a BUG ID</v>
      </c>
      <c r="C692" s="51" t="str">
        <f>IFERROR(VLOOKUP(A692,Internal_lists_bugs!$A$2:$T1058,20,FALSE()),"please select a BUG ID")</f>
        <v>please select a BUG ID</v>
      </c>
      <c r="E692" s="54"/>
      <c r="F692" s="82"/>
      <c r="G692" s="92"/>
      <c r="H692" s="54"/>
      <c r="I692" s="51" t="str">
        <f>IFERROR(VLOOKUP(A692,Internal_lists_bugs!$A$2:$G1058,7,FALSE()),"please select a BUG ID")</f>
        <v>please select a BUG ID</v>
      </c>
    </row>
    <row r="693">
      <c r="A693" s="54"/>
      <c r="B693" s="71" t="str">
        <f>IFERROR(HYPERLINK(VLOOKUP(A693,Internal_lists_bugs!$A$2:$C$73,3,FALSE()), VLOOKUP(A693,Internal_lists_bugs!$A$2:$C$73,3,FALSE())&amp;Char(10) &amp; Char(10) &amp; VLOOKUP(A693,Internal_lists_bugs!$A$2:$Z$73,26,FALSE())),"please select a BUG ID")</f>
        <v>please select a BUG ID</v>
      </c>
      <c r="C693" s="51" t="str">
        <f>IFERROR(VLOOKUP(A693,Internal_lists_bugs!$A$2:$T1058,20,FALSE()),"please select a BUG ID")</f>
        <v>please select a BUG ID</v>
      </c>
      <c r="E693" s="54"/>
      <c r="F693" s="82"/>
      <c r="G693" s="92"/>
      <c r="H693" s="54"/>
      <c r="I693" s="51" t="str">
        <f>IFERROR(VLOOKUP(A693,Internal_lists_bugs!$A$2:$G1058,7,FALSE()),"please select a BUG ID")</f>
        <v>please select a BUG ID</v>
      </c>
    </row>
    <row r="694">
      <c r="A694" s="54"/>
      <c r="B694" s="71" t="str">
        <f>IFERROR(HYPERLINK(VLOOKUP(A694,Internal_lists_bugs!$A$2:$C$73,3,FALSE()), VLOOKUP(A694,Internal_lists_bugs!$A$2:$C$73,3,FALSE())&amp;Char(10) &amp; Char(10) &amp; VLOOKUP(A694,Internal_lists_bugs!$A$2:$Z$73,26,FALSE())),"please select a BUG ID")</f>
        <v>please select a BUG ID</v>
      </c>
      <c r="C694" s="51" t="str">
        <f>IFERROR(VLOOKUP(A694,Internal_lists_bugs!$A$2:$T1058,20,FALSE()),"please select a BUG ID")</f>
        <v>please select a BUG ID</v>
      </c>
      <c r="E694" s="54"/>
      <c r="F694" s="82"/>
      <c r="G694" s="92"/>
      <c r="H694" s="54"/>
      <c r="I694" s="51" t="str">
        <f>IFERROR(VLOOKUP(A694,Internal_lists_bugs!$A$2:$G1058,7,FALSE()),"please select a BUG ID")</f>
        <v>please select a BUG ID</v>
      </c>
    </row>
    <row r="695">
      <c r="A695" s="54"/>
      <c r="B695" s="71" t="str">
        <f>IFERROR(HYPERLINK(VLOOKUP(A695,Internal_lists_bugs!$A$2:$C$73,3,FALSE()), VLOOKUP(A695,Internal_lists_bugs!$A$2:$C$73,3,FALSE())&amp;Char(10) &amp; Char(10) &amp; VLOOKUP(A695,Internal_lists_bugs!$A$2:$Z$73,26,FALSE())),"please select a BUG ID")</f>
        <v>please select a BUG ID</v>
      </c>
      <c r="C695" s="51" t="str">
        <f>IFERROR(VLOOKUP(A695,Internal_lists_bugs!$A$2:$T1058,20,FALSE()),"please select a BUG ID")</f>
        <v>please select a BUG ID</v>
      </c>
      <c r="E695" s="54"/>
      <c r="F695" s="82"/>
      <c r="G695" s="92"/>
      <c r="H695" s="54"/>
      <c r="I695" s="51" t="str">
        <f>IFERROR(VLOOKUP(A695,Internal_lists_bugs!$A$2:$G1058,7,FALSE()),"please select a BUG ID")</f>
        <v>please select a BUG ID</v>
      </c>
    </row>
    <row r="696">
      <c r="A696" s="54"/>
      <c r="B696" s="71" t="str">
        <f>IFERROR(HYPERLINK(VLOOKUP(A696,Internal_lists_bugs!$A$2:$C$73,3,FALSE()), VLOOKUP(A696,Internal_lists_bugs!$A$2:$C$73,3,FALSE())&amp;Char(10) &amp; Char(10) &amp; VLOOKUP(A696,Internal_lists_bugs!$A$2:$Z$73,26,FALSE())),"please select a BUG ID")</f>
        <v>please select a BUG ID</v>
      </c>
      <c r="C696" s="51" t="str">
        <f>IFERROR(VLOOKUP(A696,Internal_lists_bugs!$A$2:$T1058,20,FALSE()),"please select a BUG ID")</f>
        <v>please select a BUG ID</v>
      </c>
      <c r="E696" s="54"/>
      <c r="F696" s="82"/>
      <c r="G696" s="92"/>
      <c r="H696" s="54"/>
      <c r="I696" s="51" t="str">
        <f>IFERROR(VLOOKUP(A696,Internal_lists_bugs!$A$2:$G1058,7,FALSE()),"please select a BUG ID")</f>
        <v>please select a BUG ID</v>
      </c>
    </row>
    <row r="697">
      <c r="A697" s="54"/>
      <c r="B697" s="71" t="str">
        <f>IFERROR(HYPERLINK(VLOOKUP(A697,Internal_lists_bugs!$A$2:$C$73,3,FALSE()), VLOOKUP(A697,Internal_lists_bugs!$A$2:$C$73,3,FALSE())&amp;Char(10) &amp; Char(10) &amp; VLOOKUP(A697,Internal_lists_bugs!$A$2:$Z$73,26,FALSE())),"please select a BUG ID")</f>
        <v>please select a BUG ID</v>
      </c>
      <c r="C697" s="51" t="str">
        <f>IFERROR(VLOOKUP(A697,Internal_lists_bugs!$A$2:$T1058,20,FALSE()),"please select a BUG ID")</f>
        <v>please select a BUG ID</v>
      </c>
      <c r="E697" s="54"/>
      <c r="F697" s="82"/>
      <c r="G697" s="92"/>
      <c r="H697" s="54"/>
      <c r="I697" s="51" t="str">
        <f>IFERROR(VLOOKUP(A697,Internal_lists_bugs!$A$2:$G1058,7,FALSE()),"please select a BUG ID")</f>
        <v>please select a BUG ID</v>
      </c>
    </row>
    <row r="698">
      <c r="A698" s="54"/>
      <c r="B698" s="71" t="str">
        <f>IFERROR(HYPERLINK(VLOOKUP(A698,Internal_lists_bugs!$A$2:$C$73,3,FALSE()), VLOOKUP(A698,Internal_lists_bugs!$A$2:$C$73,3,FALSE())&amp;Char(10) &amp; Char(10) &amp; VLOOKUP(A698,Internal_lists_bugs!$A$2:$Z$73,26,FALSE())),"please select a BUG ID")</f>
        <v>please select a BUG ID</v>
      </c>
      <c r="C698" s="51" t="str">
        <f>IFERROR(VLOOKUP(A698,Internal_lists_bugs!$A$2:$T1058,20,FALSE()),"please select a BUG ID")</f>
        <v>please select a BUG ID</v>
      </c>
      <c r="E698" s="54"/>
      <c r="F698" s="82"/>
      <c r="G698" s="92"/>
      <c r="H698" s="54"/>
      <c r="I698" s="51" t="str">
        <f>IFERROR(VLOOKUP(A698,Internal_lists_bugs!$A$2:$G1058,7,FALSE()),"please select a BUG ID")</f>
        <v>please select a BUG ID</v>
      </c>
    </row>
    <row r="699">
      <c r="A699" s="54"/>
      <c r="B699" s="71" t="str">
        <f>IFERROR(HYPERLINK(VLOOKUP(A699,Internal_lists_bugs!$A$2:$C$73,3,FALSE()), VLOOKUP(A699,Internal_lists_bugs!$A$2:$C$73,3,FALSE())&amp;Char(10) &amp; Char(10) &amp; VLOOKUP(A699,Internal_lists_bugs!$A$2:$Z$73,26,FALSE())),"please select a BUG ID")</f>
        <v>please select a BUG ID</v>
      </c>
      <c r="C699" s="51" t="str">
        <f>IFERROR(VLOOKUP(A699,Internal_lists_bugs!$A$2:$T1058,20,FALSE()),"please select a BUG ID")</f>
        <v>please select a BUG ID</v>
      </c>
      <c r="E699" s="54"/>
      <c r="F699" s="82"/>
      <c r="G699" s="92"/>
      <c r="H699" s="54"/>
      <c r="I699" s="51" t="str">
        <f>IFERROR(VLOOKUP(A699,Internal_lists_bugs!$A$2:$G1058,7,FALSE()),"please select a BUG ID")</f>
        <v>please select a BUG ID</v>
      </c>
    </row>
    <row r="700">
      <c r="A700" s="54"/>
      <c r="B700" s="71" t="str">
        <f>IFERROR(HYPERLINK(VLOOKUP(A700,Internal_lists_bugs!$A$2:$C$73,3,FALSE()), VLOOKUP(A700,Internal_lists_bugs!$A$2:$C$73,3,FALSE())&amp;Char(10) &amp; Char(10) &amp; VLOOKUP(A700,Internal_lists_bugs!$A$2:$Z$73,26,FALSE())),"please select a BUG ID")</f>
        <v>please select a BUG ID</v>
      </c>
      <c r="C700" s="51" t="str">
        <f>IFERROR(VLOOKUP(A700,Internal_lists_bugs!$A$2:$T1058,20,FALSE()),"please select a BUG ID")</f>
        <v>please select a BUG ID</v>
      </c>
      <c r="E700" s="54"/>
      <c r="F700" s="82"/>
      <c r="G700" s="92"/>
      <c r="H700" s="54"/>
      <c r="I700" s="51" t="str">
        <f>IFERROR(VLOOKUP(A700,Internal_lists_bugs!$A$2:$G1058,7,FALSE()),"please select a BUG ID")</f>
        <v>please select a BUG ID</v>
      </c>
    </row>
    <row r="701">
      <c r="A701" s="54"/>
      <c r="B701" s="71" t="str">
        <f>IFERROR(HYPERLINK(VLOOKUP(A701,Internal_lists_bugs!$A$2:$C$73,3,FALSE()), VLOOKUP(A701,Internal_lists_bugs!$A$2:$C$73,3,FALSE())&amp;Char(10) &amp; Char(10) &amp; VLOOKUP(A701,Internal_lists_bugs!$A$2:$Z$73,26,FALSE())),"please select a BUG ID")</f>
        <v>please select a BUG ID</v>
      </c>
      <c r="C701" s="51" t="str">
        <f>IFERROR(VLOOKUP(A701,Internal_lists_bugs!$A$2:$T1058,20,FALSE()),"please select a BUG ID")</f>
        <v>please select a BUG ID</v>
      </c>
      <c r="E701" s="54"/>
      <c r="F701" s="82"/>
      <c r="G701" s="92"/>
      <c r="H701" s="54"/>
      <c r="I701" s="51" t="str">
        <f>IFERROR(VLOOKUP(A701,Internal_lists_bugs!$A$2:$G1058,7,FALSE()),"please select a BUG ID")</f>
        <v>please select a BUG ID</v>
      </c>
    </row>
    <row r="702">
      <c r="A702" s="54"/>
      <c r="B702" s="71" t="str">
        <f>IFERROR(HYPERLINK(VLOOKUP(A702,Internal_lists_bugs!$A$2:$C$73,3,FALSE()), VLOOKUP(A702,Internal_lists_bugs!$A$2:$C$73,3,FALSE())&amp;Char(10) &amp; Char(10) &amp; VLOOKUP(A702,Internal_lists_bugs!$A$2:$Z$73,26,FALSE())),"please select a BUG ID")</f>
        <v>please select a BUG ID</v>
      </c>
      <c r="C702" s="51" t="str">
        <f>IFERROR(VLOOKUP(A702,Internal_lists_bugs!$A$2:$T1058,20,FALSE()),"please select a BUG ID")</f>
        <v>please select a BUG ID</v>
      </c>
      <c r="E702" s="54"/>
      <c r="F702" s="82"/>
      <c r="G702" s="92"/>
      <c r="H702" s="54"/>
      <c r="I702" s="51" t="str">
        <f>IFERROR(VLOOKUP(A702,Internal_lists_bugs!$A$2:$G1058,7,FALSE()),"please select a BUG ID")</f>
        <v>please select a BUG ID</v>
      </c>
    </row>
    <row r="703">
      <c r="A703" s="54"/>
      <c r="B703" s="71" t="str">
        <f>IFERROR(HYPERLINK(VLOOKUP(A703,Internal_lists_bugs!$A$2:$C$73,3,FALSE()), VLOOKUP(A703,Internal_lists_bugs!$A$2:$C$73,3,FALSE())&amp;Char(10) &amp; Char(10) &amp; VLOOKUP(A703,Internal_lists_bugs!$A$2:$Z$73,26,FALSE())),"please select a BUG ID")</f>
        <v>please select a BUG ID</v>
      </c>
      <c r="C703" s="51" t="str">
        <f>IFERROR(VLOOKUP(A703,Internal_lists_bugs!$A$2:$T1058,20,FALSE()),"please select a BUG ID")</f>
        <v>please select a BUG ID</v>
      </c>
      <c r="E703" s="54"/>
      <c r="F703" s="82"/>
      <c r="G703" s="92"/>
      <c r="H703" s="54"/>
      <c r="I703" s="51" t="str">
        <f>IFERROR(VLOOKUP(A703,Internal_lists_bugs!$A$2:$G1058,7,FALSE()),"please select a BUG ID")</f>
        <v>please select a BUG ID</v>
      </c>
    </row>
    <row r="704">
      <c r="A704" s="54"/>
      <c r="B704" s="71" t="str">
        <f>IFERROR(HYPERLINK(VLOOKUP(A704,Internal_lists_bugs!$A$2:$C$73,3,FALSE()), VLOOKUP(A704,Internal_lists_bugs!$A$2:$C$73,3,FALSE())&amp;Char(10) &amp; Char(10) &amp; VLOOKUP(A704,Internal_lists_bugs!$A$2:$Z$73,26,FALSE())),"please select a BUG ID")</f>
        <v>please select a BUG ID</v>
      </c>
      <c r="C704" s="51" t="str">
        <f>IFERROR(VLOOKUP(A704,Internal_lists_bugs!$A$2:$T1058,20,FALSE()),"please select a BUG ID")</f>
        <v>please select a BUG ID</v>
      </c>
      <c r="E704" s="54"/>
      <c r="F704" s="82"/>
      <c r="G704" s="92"/>
      <c r="H704" s="54"/>
      <c r="I704" s="51" t="str">
        <f>IFERROR(VLOOKUP(A704,Internal_lists_bugs!$A$2:$G1058,7,FALSE()),"please select a BUG ID")</f>
        <v>please select a BUG ID</v>
      </c>
    </row>
    <row r="705">
      <c r="A705" s="54"/>
      <c r="B705" s="71" t="str">
        <f>IFERROR(HYPERLINK(VLOOKUP(A705,Internal_lists_bugs!$A$2:$C$73,3,FALSE()), VLOOKUP(A705,Internal_lists_bugs!$A$2:$C$73,3,FALSE())&amp;Char(10) &amp; Char(10) &amp; VLOOKUP(A705,Internal_lists_bugs!$A$2:$Z$73,26,FALSE())),"please select a BUG ID")</f>
        <v>please select a BUG ID</v>
      </c>
      <c r="C705" s="51" t="str">
        <f>IFERROR(VLOOKUP(A705,Internal_lists_bugs!$A$2:$T1058,20,FALSE()),"please select a BUG ID")</f>
        <v>please select a BUG ID</v>
      </c>
      <c r="E705" s="54"/>
      <c r="F705" s="82"/>
      <c r="G705" s="92"/>
      <c r="H705" s="54"/>
      <c r="I705" s="51" t="str">
        <f>IFERROR(VLOOKUP(A705,Internal_lists_bugs!$A$2:$G1058,7,FALSE()),"please select a BUG ID")</f>
        <v>please select a BUG ID</v>
      </c>
    </row>
    <row r="706">
      <c r="A706" s="54"/>
      <c r="B706" s="71" t="str">
        <f>IFERROR(HYPERLINK(VLOOKUP(A706,Internal_lists_bugs!$A$2:$C$73,3,FALSE()), VLOOKUP(A706,Internal_lists_bugs!$A$2:$C$73,3,FALSE())&amp;Char(10) &amp; Char(10) &amp; VLOOKUP(A706,Internal_lists_bugs!$A$2:$Z$73,26,FALSE())),"please select a BUG ID")</f>
        <v>please select a BUG ID</v>
      </c>
      <c r="C706" s="51" t="str">
        <f>IFERROR(VLOOKUP(A706,Internal_lists_bugs!$A$2:$T1058,20,FALSE()),"please select a BUG ID")</f>
        <v>please select a BUG ID</v>
      </c>
      <c r="E706" s="54"/>
      <c r="F706" s="82"/>
      <c r="G706" s="92"/>
      <c r="H706" s="54"/>
      <c r="I706" s="51" t="str">
        <f>IFERROR(VLOOKUP(A706,Internal_lists_bugs!$A$2:$G1058,7,FALSE()),"please select a BUG ID")</f>
        <v>please select a BUG ID</v>
      </c>
    </row>
    <row r="707">
      <c r="A707" s="54"/>
      <c r="B707" s="71" t="str">
        <f>IFERROR(HYPERLINK(VLOOKUP(A707,Internal_lists_bugs!$A$2:$C$73,3,FALSE()), VLOOKUP(A707,Internal_lists_bugs!$A$2:$C$73,3,FALSE())&amp;Char(10) &amp; Char(10) &amp; VLOOKUP(A707,Internal_lists_bugs!$A$2:$Z$73,26,FALSE())),"please select a BUG ID")</f>
        <v>please select a BUG ID</v>
      </c>
      <c r="C707" s="51" t="str">
        <f>IFERROR(VLOOKUP(A707,Internal_lists_bugs!$A$2:$T1058,20,FALSE()),"please select a BUG ID")</f>
        <v>please select a BUG ID</v>
      </c>
      <c r="E707" s="54"/>
      <c r="F707" s="82"/>
      <c r="G707" s="92"/>
      <c r="H707" s="54"/>
      <c r="I707" s="51" t="str">
        <f>IFERROR(VLOOKUP(A707,Internal_lists_bugs!$A$2:$G1058,7,FALSE()),"please select a BUG ID")</f>
        <v>please select a BUG ID</v>
      </c>
    </row>
    <row r="708">
      <c r="A708" s="54"/>
      <c r="B708" s="71" t="str">
        <f>IFERROR(HYPERLINK(VLOOKUP(A708,Internal_lists_bugs!$A$2:$C$73,3,FALSE()), VLOOKUP(A708,Internal_lists_bugs!$A$2:$C$73,3,FALSE())&amp;Char(10) &amp; Char(10) &amp; VLOOKUP(A708,Internal_lists_bugs!$A$2:$Z$73,26,FALSE())),"please select a BUG ID")</f>
        <v>please select a BUG ID</v>
      </c>
      <c r="C708" s="51" t="str">
        <f>IFERROR(VLOOKUP(A708,Internal_lists_bugs!$A$2:$T1058,20,FALSE()),"please select a BUG ID")</f>
        <v>please select a BUG ID</v>
      </c>
      <c r="E708" s="54"/>
      <c r="F708" s="82"/>
      <c r="G708" s="92"/>
      <c r="H708" s="54"/>
      <c r="I708" s="51" t="str">
        <f>IFERROR(VLOOKUP(A708,Internal_lists_bugs!$A$2:$G1058,7,FALSE()),"please select a BUG ID")</f>
        <v>please select a BUG ID</v>
      </c>
    </row>
    <row r="709">
      <c r="A709" s="54"/>
      <c r="B709" s="71" t="str">
        <f>IFERROR(HYPERLINK(VLOOKUP(A709,Internal_lists_bugs!$A$2:$C$73,3,FALSE()), VLOOKUP(A709,Internal_lists_bugs!$A$2:$C$73,3,FALSE())&amp;Char(10) &amp; Char(10) &amp; VLOOKUP(A709,Internal_lists_bugs!$A$2:$Z$73,26,FALSE())),"please select a BUG ID")</f>
        <v>please select a BUG ID</v>
      </c>
      <c r="C709" s="51" t="str">
        <f>IFERROR(VLOOKUP(A709,Internal_lists_bugs!$A$2:$T1058,20,FALSE()),"please select a BUG ID")</f>
        <v>please select a BUG ID</v>
      </c>
      <c r="E709" s="54"/>
      <c r="F709" s="82"/>
      <c r="G709" s="92"/>
      <c r="H709" s="54"/>
      <c r="I709" s="51" t="str">
        <f>IFERROR(VLOOKUP(A709,Internal_lists_bugs!$A$2:$G1058,7,FALSE()),"please select a BUG ID")</f>
        <v>please select a BUG ID</v>
      </c>
    </row>
    <row r="710">
      <c r="A710" s="54"/>
      <c r="B710" s="71" t="str">
        <f>IFERROR(HYPERLINK(VLOOKUP(A710,Internal_lists_bugs!$A$2:$C$73,3,FALSE()), VLOOKUP(A710,Internal_lists_bugs!$A$2:$C$73,3,FALSE())&amp;Char(10) &amp; Char(10) &amp; VLOOKUP(A710,Internal_lists_bugs!$A$2:$Z$73,26,FALSE())),"please select a BUG ID")</f>
        <v>please select a BUG ID</v>
      </c>
      <c r="C710" s="51" t="str">
        <f>IFERROR(VLOOKUP(A710,Internal_lists_bugs!$A$2:$T1058,20,FALSE()),"please select a BUG ID")</f>
        <v>please select a BUG ID</v>
      </c>
      <c r="E710" s="54"/>
      <c r="F710" s="82"/>
      <c r="G710" s="92"/>
      <c r="H710" s="54"/>
      <c r="I710" s="51" t="str">
        <f>IFERROR(VLOOKUP(A710,Internal_lists_bugs!$A$2:$G1058,7,FALSE()),"please select a BUG ID")</f>
        <v>please select a BUG ID</v>
      </c>
    </row>
    <row r="711">
      <c r="A711" s="54"/>
      <c r="B711" s="71" t="str">
        <f>IFERROR(HYPERLINK(VLOOKUP(A711,Internal_lists_bugs!$A$2:$C$73,3,FALSE()), VLOOKUP(A711,Internal_lists_bugs!$A$2:$C$73,3,FALSE())&amp;Char(10) &amp; Char(10) &amp; VLOOKUP(A711,Internal_lists_bugs!$A$2:$Z$73,26,FALSE())),"please select a BUG ID")</f>
        <v>please select a BUG ID</v>
      </c>
      <c r="C711" s="51" t="str">
        <f>IFERROR(VLOOKUP(A711,Internal_lists_bugs!$A$2:$T1058,20,FALSE()),"please select a BUG ID")</f>
        <v>please select a BUG ID</v>
      </c>
      <c r="E711" s="54"/>
      <c r="F711" s="82"/>
      <c r="G711" s="92"/>
      <c r="H711" s="54"/>
      <c r="I711" s="51" t="str">
        <f>IFERROR(VLOOKUP(A711,Internal_lists_bugs!$A$2:$G1058,7,FALSE()),"please select a BUG ID")</f>
        <v>please select a BUG ID</v>
      </c>
    </row>
    <row r="712">
      <c r="A712" s="54"/>
      <c r="B712" s="71" t="str">
        <f>IFERROR(HYPERLINK(VLOOKUP(A712,Internal_lists_bugs!$A$2:$C$73,3,FALSE()), VLOOKUP(A712,Internal_lists_bugs!$A$2:$C$73,3,FALSE())&amp;Char(10) &amp; Char(10) &amp; VLOOKUP(A712,Internal_lists_bugs!$A$2:$Z$73,26,FALSE())),"please select a BUG ID")</f>
        <v>please select a BUG ID</v>
      </c>
      <c r="C712" s="51" t="str">
        <f>IFERROR(VLOOKUP(A712,Internal_lists_bugs!$A$2:$T1058,20,FALSE()),"please select a BUG ID")</f>
        <v>please select a BUG ID</v>
      </c>
      <c r="E712" s="54"/>
      <c r="F712" s="82"/>
      <c r="G712" s="92"/>
      <c r="H712" s="54"/>
      <c r="I712" s="51" t="str">
        <f>IFERROR(VLOOKUP(A712,Internal_lists_bugs!$A$2:$G1058,7,FALSE()),"please select a BUG ID")</f>
        <v>please select a BUG ID</v>
      </c>
    </row>
    <row r="713">
      <c r="A713" s="54"/>
      <c r="B713" s="71" t="str">
        <f>IFERROR(HYPERLINK(VLOOKUP(A713,Internal_lists_bugs!$A$2:$C$73,3,FALSE()), VLOOKUP(A713,Internal_lists_bugs!$A$2:$C$73,3,FALSE())&amp;Char(10) &amp; Char(10) &amp; VLOOKUP(A713,Internal_lists_bugs!$A$2:$Z$73,26,FALSE())),"please select a BUG ID")</f>
        <v>please select a BUG ID</v>
      </c>
      <c r="C713" s="51" t="str">
        <f>IFERROR(VLOOKUP(A713,Internal_lists_bugs!$A$2:$T1058,20,FALSE()),"please select a BUG ID")</f>
        <v>please select a BUG ID</v>
      </c>
      <c r="E713" s="54"/>
      <c r="F713" s="82"/>
      <c r="G713" s="92"/>
      <c r="H713" s="54"/>
      <c r="I713" s="51" t="str">
        <f>IFERROR(VLOOKUP(A713,Internal_lists_bugs!$A$2:$G1058,7,FALSE()),"please select a BUG ID")</f>
        <v>please select a BUG ID</v>
      </c>
    </row>
    <row r="714">
      <c r="A714" s="54"/>
      <c r="B714" s="71" t="str">
        <f>IFERROR(HYPERLINK(VLOOKUP(A714,Internal_lists_bugs!$A$2:$C$73,3,FALSE()), VLOOKUP(A714,Internal_lists_bugs!$A$2:$C$73,3,FALSE())&amp;Char(10) &amp; Char(10) &amp; VLOOKUP(A714,Internal_lists_bugs!$A$2:$Z$73,26,FALSE())),"please select a BUG ID")</f>
        <v>please select a BUG ID</v>
      </c>
      <c r="C714" s="51" t="str">
        <f>IFERROR(VLOOKUP(A714,Internal_lists_bugs!$A$2:$T1058,20,FALSE()),"please select a BUG ID")</f>
        <v>please select a BUG ID</v>
      </c>
      <c r="E714" s="54"/>
      <c r="F714" s="82"/>
      <c r="G714" s="92"/>
      <c r="H714" s="54"/>
      <c r="I714" s="51" t="str">
        <f>IFERROR(VLOOKUP(A714,Internal_lists_bugs!$A$2:$G1058,7,FALSE()),"please select a BUG ID")</f>
        <v>please select a BUG ID</v>
      </c>
    </row>
    <row r="715">
      <c r="A715" s="54"/>
      <c r="B715" s="71" t="str">
        <f>IFERROR(HYPERLINK(VLOOKUP(A715,Internal_lists_bugs!$A$2:$C$73,3,FALSE()), VLOOKUP(A715,Internal_lists_bugs!$A$2:$C$73,3,FALSE())&amp;Char(10) &amp; Char(10) &amp; VLOOKUP(A715,Internal_lists_bugs!$A$2:$Z$73,26,FALSE())),"please select a BUG ID")</f>
        <v>please select a BUG ID</v>
      </c>
      <c r="C715" s="51" t="str">
        <f>IFERROR(VLOOKUP(A715,Internal_lists_bugs!$A$2:$T1058,20,FALSE()),"please select a BUG ID")</f>
        <v>please select a BUG ID</v>
      </c>
      <c r="E715" s="54"/>
      <c r="F715" s="82"/>
      <c r="G715" s="92"/>
      <c r="H715" s="54"/>
      <c r="I715" s="51" t="str">
        <f>IFERROR(VLOOKUP(A715,Internal_lists_bugs!$A$2:$G1058,7,FALSE()),"please select a BUG ID")</f>
        <v>please select a BUG ID</v>
      </c>
    </row>
    <row r="716">
      <c r="A716" s="54"/>
      <c r="B716" s="71" t="str">
        <f>IFERROR(HYPERLINK(VLOOKUP(A716,Internal_lists_bugs!$A$2:$C$73,3,FALSE()), VLOOKUP(A716,Internal_lists_bugs!$A$2:$C$73,3,FALSE())&amp;Char(10) &amp; Char(10) &amp; VLOOKUP(A716,Internal_lists_bugs!$A$2:$Z$73,26,FALSE())),"please select a BUG ID")</f>
        <v>please select a BUG ID</v>
      </c>
      <c r="C716" s="51" t="str">
        <f>IFERROR(VLOOKUP(A716,Internal_lists_bugs!$A$2:$T1058,20,FALSE()),"please select a BUG ID")</f>
        <v>please select a BUG ID</v>
      </c>
      <c r="E716" s="54"/>
      <c r="F716" s="82"/>
      <c r="G716" s="92"/>
      <c r="H716" s="54"/>
      <c r="I716" s="51" t="str">
        <f>IFERROR(VLOOKUP(A716,Internal_lists_bugs!$A$2:$G1058,7,FALSE()),"please select a BUG ID")</f>
        <v>please select a BUG ID</v>
      </c>
    </row>
    <row r="717">
      <c r="A717" s="54"/>
      <c r="B717" s="71" t="str">
        <f>IFERROR(HYPERLINK(VLOOKUP(A717,Internal_lists_bugs!$A$2:$C$73,3,FALSE()), VLOOKUP(A717,Internal_lists_bugs!$A$2:$C$73,3,FALSE())&amp;Char(10) &amp; Char(10) &amp; VLOOKUP(A717,Internal_lists_bugs!$A$2:$Z$73,26,FALSE())),"please select a BUG ID")</f>
        <v>please select a BUG ID</v>
      </c>
      <c r="C717" s="51" t="str">
        <f>IFERROR(VLOOKUP(A717,Internal_lists_bugs!$A$2:$T1058,20,FALSE()),"please select a BUG ID")</f>
        <v>please select a BUG ID</v>
      </c>
      <c r="E717" s="54"/>
      <c r="F717" s="82"/>
      <c r="G717" s="92"/>
      <c r="H717" s="54"/>
      <c r="I717" s="51" t="str">
        <f>IFERROR(VLOOKUP(A717,Internal_lists_bugs!$A$2:$G1058,7,FALSE()),"please select a BUG ID")</f>
        <v>please select a BUG ID</v>
      </c>
    </row>
    <row r="718">
      <c r="A718" s="54"/>
      <c r="B718" s="71" t="str">
        <f>IFERROR(HYPERLINK(VLOOKUP(A718,Internal_lists_bugs!$A$2:$C$73,3,FALSE()), VLOOKUP(A718,Internal_lists_bugs!$A$2:$C$73,3,FALSE())&amp;Char(10) &amp; Char(10) &amp; VLOOKUP(A718,Internal_lists_bugs!$A$2:$Z$73,26,FALSE())),"please select a BUG ID")</f>
        <v>please select a BUG ID</v>
      </c>
      <c r="C718" s="51" t="str">
        <f>IFERROR(VLOOKUP(A718,Internal_lists_bugs!$A$2:$T1058,20,FALSE()),"please select a BUG ID")</f>
        <v>please select a BUG ID</v>
      </c>
      <c r="E718" s="54"/>
      <c r="F718" s="82"/>
      <c r="G718" s="92"/>
      <c r="H718" s="54"/>
      <c r="I718" s="51" t="str">
        <f>IFERROR(VLOOKUP(A718,Internal_lists_bugs!$A$2:$G1058,7,FALSE()),"please select a BUG ID")</f>
        <v>please select a BUG ID</v>
      </c>
    </row>
    <row r="719">
      <c r="A719" s="54"/>
      <c r="B719" s="71" t="str">
        <f>IFERROR(HYPERLINK(VLOOKUP(A719,Internal_lists_bugs!$A$2:$C$73,3,FALSE()), VLOOKUP(A719,Internal_lists_bugs!$A$2:$C$73,3,FALSE())&amp;Char(10) &amp; Char(10) &amp; VLOOKUP(A719,Internal_lists_bugs!$A$2:$Z$73,26,FALSE())),"please select a BUG ID")</f>
        <v>please select a BUG ID</v>
      </c>
      <c r="C719" s="51" t="str">
        <f>IFERROR(VLOOKUP(A719,Internal_lists_bugs!$A$2:$T1058,20,FALSE()),"please select a BUG ID")</f>
        <v>please select a BUG ID</v>
      </c>
      <c r="E719" s="54"/>
      <c r="F719" s="82"/>
      <c r="G719" s="92"/>
      <c r="H719" s="54"/>
      <c r="I719" s="51" t="str">
        <f>IFERROR(VLOOKUP(A719,Internal_lists_bugs!$A$2:$G1058,7,FALSE()),"please select a BUG ID")</f>
        <v>please select a BUG ID</v>
      </c>
    </row>
    <row r="720">
      <c r="A720" s="54"/>
      <c r="B720" s="71" t="str">
        <f>IFERROR(HYPERLINK(VLOOKUP(A720,Internal_lists_bugs!$A$2:$C$73,3,FALSE()), VLOOKUP(A720,Internal_lists_bugs!$A$2:$C$73,3,FALSE())&amp;Char(10) &amp; Char(10) &amp; VLOOKUP(A720,Internal_lists_bugs!$A$2:$Z$73,26,FALSE())),"please select a BUG ID")</f>
        <v>please select a BUG ID</v>
      </c>
      <c r="C720" s="51" t="str">
        <f>IFERROR(VLOOKUP(A720,Internal_lists_bugs!$A$2:$T1058,20,FALSE()),"please select a BUG ID")</f>
        <v>please select a BUG ID</v>
      </c>
      <c r="E720" s="54"/>
      <c r="F720" s="82"/>
      <c r="G720" s="92"/>
      <c r="H720" s="54"/>
      <c r="I720" s="51" t="str">
        <f>IFERROR(VLOOKUP(A720,Internal_lists_bugs!$A$2:$G1058,7,FALSE()),"please select a BUG ID")</f>
        <v>please select a BUG ID</v>
      </c>
    </row>
    <row r="721">
      <c r="A721" s="54"/>
      <c r="B721" s="71" t="str">
        <f>IFERROR(HYPERLINK(VLOOKUP(A721,Internal_lists_bugs!$A$2:$C$73,3,FALSE()), VLOOKUP(A721,Internal_lists_bugs!$A$2:$C$73,3,FALSE())&amp;Char(10) &amp; Char(10) &amp; VLOOKUP(A721,Internal_lists_bugs!$A$2:$Z$73,26,FALSE())),"please select a BUG ID")</f>
        <v>please select a BUG ID</v>
      </c>
      <c r="C721" s="51" t="str">
        <f>IFERROR(VLOOKUP(A721,Internal_lists_bugs!$A$2:$T1058,20,FALSE()),"please select a BUG ID")</f>
        <v>please select a BUG ID</v>
      </c>
      <c r="E721" s="54"/>
      <c r="F721" s="82"/>
      <c r="G721" s="92"/>
      <c r="H721" s="54"/>
      <c r="I721" s="51" t="str">
        <f>IFERROR(VLOOKUP(A721,Internal_lists_bugs!$A$2:$G1058,7,FALSE()),"please select a BUG ID")</f>
        <v>please select a BUG ID</v>
      </c>
    </row>
    <row r="722">
      <c r="A722" s="54"/>
      <c r="B722" s="71" t="str">
        <f>IFERROR(HYPERLINK(VLOOKUP(A722,Internal_lists_bugs!$A$2:$C$73,3,FALSE()), VLOOKUP(A722,Internal_lists_bugs!$A$2:$C$73,3,FALSE())&amp;Char(10) &amp; Char(10) &amp; VLOOKUP(A722,Internal_lists_bugs!$A$2:$Z$73,26,FALSE())),"please select a BUG ID")</f>
        <v>please select a BUG ID</v>
      </c>
      <c r="C722" s="51" t="str">
        <f>IFERROR(VLOOKUP(A722,Internal_lists_bugs!$A$2:$T1058,20,FALSE()),"please select a BUG ID")</f>
        <v>please select a BUG ID</v>
      </c>
      <c r="E722" s="54"/>
      <c r="F722" s="82"/>
      <c r="G722" s="92"/>
      <c r="H722" s="54"/>
      <c r="I722" s="51" t="str">
        <f>IFERROR(VLOOKUP(A722,Internal_lists_bugs!$A$2:$G1058,7,FALSE()),"please select a BUG ID")</f>
        <v>please select a BUG ID</v>
      </c>
    </row>
    <row r="723">
      <c r="A723" s="54"/>
      <c r="B723" s="71" t="str">
        <f>IFERROR(HYPERLINK(VLOOKUP(A723,Internal_lists_bugs!$A$2:$C$73,3,FALSE()), VLOOKUP(A723,Internal_lists_bugs!$A$2:$C$73,3,FALSE())&amp;Char(10) &amp; Char(10) &amp; VLOOKUP(A723,Internal_lists_bugs!$A$2:$Z$73,26,FALSE())),"please select a BUG ID")</f>
        <v>please select a BUG ID</v>
      </c>
      <c r="C723" s="51" t="str">
        <f>IFERROR(VLOOKUP(A723,Internal_lists_bugs!$A$2:$T1058,20,FALSE()),"please select a BUG ID")</f>
        <v>please select a BUG ID</v>
      </c>
      <c r="E723" s="54"/>
      <c r="F723" s="82"/>
      <c r="G723" s="92"/>
      <c r="H723" s="54"/>
      <c r="I723" s="51" t="str">
        <f>IFERROR(VLOOKUP(A723,Internal_lists_bugs!$A$2:$G1058,7,FALSE()),"please select a BUG ID")</f>
        <v>please select a BUG ID</v>
      </c>
    </row>
    <row r="724">
      <c r="A724" s="54"/>
      <c r="B724" s="71" t="str">
        <f>IFERROR(HYPERLINK(VLOOKUP(A724,Internal_lists_bugs!$A$2:$C$73,3,FALSE()), VLOOKUP(A724,Internal_lists_bugs!$A$2:$C$73,3,FALSE())&amp;Char(10) &amp; Char(10) &amp; VLOOKUP(A724,Internal_lists_bugs!$A$2:$Z$73,26,FALSE())),"please select a BUG ID")</f>
        <v>please select a BUG ID</v>
      </c>
      <c r="C724" s="51" t="str">
        <f>IFERROR(VLOOKUP(A724,Internal_lists_bugs!$A$2:$T1058,20,FALSE()),"please select a BUG ID")</f>
        <v>please select a BUG ID</v>
      </c>
      <c r="E724" s="54"/>
      <c r="F724" s="82"/>
      <c r="G724" s="92"/>
      <c r="H724" s="54"/>
      <c r="I724" s="51" t="str">
        <f>IFERROR(VLOOKUP(A724,Internal_lists_bugs!$A$2:$G1058,7,FALSE()),"please select a BUG ID")</f>
        <v>please select a BUG ID</v>
      </c>
    </row>
    <row r="725">
      <c r="A725" s="54"/>
      <c r="B725" s="71" t="str">
        <f>IFERROR(HYPERLINK(VLOOKUP(A725,Internal_lists_bugs!$A$2:$C$73,3,FALSE()), VLOOKUP(A725,Internal_lists_bugs!$A$2:$C$73,3,FALSE())&amp;Char(10) &amp; Char(10) &amp; VLOOKUP(A725,Internal_lists_bugs!$A$2:$Z$73,26,FALSE())),"please select a BUG ID")</f>
        <v>please select a BUG ID</v>
      </c>
      <c r="C725" s="51" t="str">
        <f>IFERROR(VLOOKUP(A725,Internal_lists_bugs!$A$2:$T1058,20,FALSE()),"please select a BUG ID")</f>
        <v>please select a BUG ID</v>
      </c>
      <c r="E725" s="54"/>
      <c r="F725" s="82"/>
      <c r="G725" s="92"/>
      <c r="H725" s="54"/>
      <c r="I725" s="51" t="str">
        <f>IFERROR(VLOOKUP(A725,Internal_lists_bugs!$A$2:$G1058,7,FALSE()),"please select a BUG ID")</f>
        <v>please select a BUG ID</v>
      </c>
    </row>
    <row r="726">
      <c r="A726" s="54"/>
      <c r="B726" s="71" t="str">
        <f>IFERROR(HYPERLINK(VLOOKUP(A726,Internal_lists_bugs!$A$2:$C$73,3,FALSE()), VLOOKUP(A726,Internal_lists_bugs!$A$2:$C$73,3,FALSE())&amp;Char(10) &amp; Char(10) &amp; VLOOKUP(A726,Internal_lists_bugs!$A$2:$Z$73,26,FALSE())),"please select a BUG ID")</f>
        <v>please select a BUG ID</v>
      </c>
      <c r="C726" s="51" t="str">
        <f>IFERROR(VLOOKUP(A726,Internal_lists_bugs!$A$2:$T1058,20,FALSE()),"please select a BUG ID")</f>
        <v>please select a BUG ID</v>
      </c>
      <c r="E726" s="54"/>
      <c r="F726" s="82"/>
      <c r="G726" s="92"/>
      <c r="H726" s="54"/>
      <c r="I726" s="51" t="str">
        <f>IFERROR(VLOOKUP(A726,Internal_lists_bugs!$A$2:$G1058,7,FALSE()),"please select a BUG ID")</f>
        <v>please select a BUG ID</v>
      </c>
    </row>
    <row r="727">
      <c r="A727" s="54"/>
      <c r="B727" s="71" t="str">
        <f>IFERROR(HYPERLINK(VLOOKUP(A727,Internal_lists_bugs!$A$2:$C$73,3,FALSE()), VLOOKUP(A727,Internal_lists_bugs!$A$2:$C$73,3,FALSE())&amp;Char(10) &amp; Char(10) &amp; VLOOKUP(A727,Internal_lists_bugs!$A$2:$Z$73,26,FALSE())),"please select a BUG ID")</f>
        <v>please select a BUG ID</v>
      </c>
      <c r="C727" s="51" t="str">
        <f>IFERROR(VLOOKUP(A727,Internal_lists_bugs!$A$2:$T1058,20,FALSE()),"please select a BUG ID")</f>
        <v>please select a BUG ID</v>
      </c>
      <c r="E727" s="54"/>
      <c r="F727" s="82"/>
      <c r="G727" s="92"/>
      <c r="H727" s="54"/>
      <c r="I727" s="51" t="str">
        <f>IFERROR(VLOOKUP(A727,Internal_lists_bugs!$A$2:$G1058,7,FALSE()),"please select a BUG ID")</f>
        <v>please select a BUG ID</v>
      </c>
    </row>
    <row r="728">
      <c r="A728" s="54"/>
      <c r="B728" s="71" t="str">
        <f>IFERROR(HYPERLINK(VLOOKUP(A728,Internal_lists_bugs!$A$2:$C$73,3,FALSE()), VLOOKUP(A728,Internal_lists_bugs!$A$2:$C$73,3,FALSE())&amp;Char(10) &amp; Char(10) &amp; VLOOKUP(A728,Internal_lists_bugs!$A$2:$Z$73,26,FALSE())),"please select a BUG ID")</f>
        <v>please select a BUG ID</v>
      </c>
      <c r="C728" s="51" t="str">
        <f>IFERROR(VLOOKUP(A728,Internal_lists_bugs!$A$2:$T1058,20,FALSE()),"please select a BUG ID")</f>
        <v>please select a BUG ID</v>
      </c>
      <c r="E728" s="54"/>
      <c r="F728" s="82"/>
      <c r="G728" s="92"/>
      <c r="H728" s="54"/>
      <c r="I728" s="51" t="str">
        <f>IFERROR(VLOOKUP(A728,Internal_lists_bugs!$A$2:$G1058,7,FALSE()),"please select a BUG ID")</f>
        <v>please select a BUG ID</v>
      </c>
    </row>
    <row r="729">
      <c r="A729" s="54"/>
      <c r="B729" s="71" t="str">
        <f>IFERROR(HYPERLINK(VLOOKUP(A729,Internal_lists_bugs!$A$2:$C$73,3,FALSE()), VLOOKUP(A729,Internal_lists_bugs!$A$2:$C$73,3,FALSE())&amp;Char(10) &amp; Char(10) &amp; VLOOKUP(A729,Internal_lists_bugs!$A$2:$Z$73,26,FALSE())),"please select a BUG ID")</f>
        <v>please select a BUG ID</v>
      </c>
      <c r="C729" s="51" t="str">
        <f>IFERROR(VLOOKUP(A729,Internal_lists_bugs!$A$2:$T1058,20,FALSE()),"please select a BUG ID")</f>
        <v>please select a BUG ID</v>
      </c>
      <c r="E729" s="54"/>
      <c r="F729" s="82"/>
      <c r="G729" s="92"/>
      <c r="H729" s="54"/>
      <c r="I729" s="51" t="str">
        <f>IFERROR(VLOOKUP(A729,Internal_lists_bugs!$A$2:$G1058,7,FALSE()),"please select a BUG ID")</f>
        <v>please select a BUG ID</v>
      </c>
    </row>
    <row r="730">
      <c r="A730" s="54"/>
      <c r="B730" s="71" t="str">
        <f>IFERROR(HYPERLINK(VLOOKUP(A730,Internal_lists_bugs!$A$2:$C$73,3,FALSE()), VLOOKUP(A730,Internal_lists_bugs!$A$2:$C$73,3,FALSE())&amp;Char(10) &amp; Char(10) &amp; VLOOKUP(A730,Internal_lists_bugs!$A$2:$Z$73,26,FALSE())),"please select a BUG ID")</f>
        <v>please select a BUG ID</v>
      </c>
      <c r="C730" s="51" t="str">
        <f>IFERROR(VLOOKUP(A730,Internal_lists_bugs!$A$2:$T1058,20,FALSE()),"please select a BUG ID")</f>
        <v>please select a BUG ID</v>
      </c>
      <c r="E730" s="54"/>
      <c r="F730" s="82"/>
      <c r="G730" s="92"/>
      <c r="H730" s="54"/>
      <c r="I730" s="51" t="str">
        <f>IFERROR(VLOOKUP(A730,Internal_lists_bugs!$A$2:$G1058,7,FALSE()),"please select a BUG ID")</f>
        <v>please select a BUG ID</v>
      </c>
    </row>
    <row r="731">
      <c r="A731" s="54"/>
      <c r="B731" s="71" t="str">
        <f>IFERROR(HYPERLINK(VLOOKUP(A731,Internal_lists_bugs!$A$2:$C$73,3,FALSE()), VLOOKUP(A731,Internal_lists_bugs!$A$2:$C$73,3,FALSE())&amp;Char(10) &amp; Char(10) &amp; VLOOKUP(A731,Internal_lists_bugs!$A$2:$Z$73,26,FALSE())),"please select a BUG ID")</f>
        <v>please select a BUG ID</v>
      </c>
      <c r="C731" s="51" t="str">
        <f>IFERROR(VLOOKUP(A731,Internal_lists_bugs!$A$2:$T1058,20,FALSE()),"please select a BUG ID")</f>
        <v>please select a BUG ID</v>
      </c>
      <c r="E731" s="54"/>
      <c r="F731" s="82"/>
      <c r="G731" s="92"/>
      <c r="H731" s="54"/>
      <c r="I731" s="51" t="str">
        <f>IFERROR(VLOOKUP(A731,Internal_lists_bugs!$A$2:$G1058,7,FALSE()),"please select a BUG ID")</f>
        <v>please select a BUG ID</v>
      </c>
    </row>
    <row r="732">
      <c r="A732" s="54"/>
      <c r="B732" s="71" t="str">
        <f>IFERROR(HYPERLINK(VLOOKUP(A732,Internal_lists_bugs!$A$2:$C$73,3,FALSE()), VLOOKUP(A732,Internal_lists_bugs!$A$2:$C$73,3,FALSE())&amp;Char(10) &amp; Char(10) &amp; VLOOKUP(A732,Internal_lists_bugs!$A$2:$Z$73,26,FALSE())),"please select a BUG ID")</f>
        <v>please select a BUG ID</v>
      </c>
      <c r="C732" s="51" t="str">
        <f>IFERROR(VLOOKUP(A732,Internal_lists_bugs!$A$2:$T1058,20,FALSE()),"please select a BUG ID")</f>
        <v>please select a BUG ID</v>
      </c>
      <c r="E732" s="54"/>
      <c r="F732" s="82"/>
      <c r="G732" s="92"/>
      <c r="H732" s="54"/>
      <c r="I732" s="51" t="str">
        <f>IFERROR(VLOOKUP(A732,Internal_lists_bugs!$A$2:$G1058,7,FALSE()),"please select a BUG ID")</f>
        <v>please select a BUG ID</v>
      </c>
    </row>
    <row r="733">
      <c r="A733" s="54"/>
      <c r="B733" s="71" t="str">
        <f>IFERROR(HYPERLINK(VLOOKUP(A733,Internal_lists_bugs!$A$2:$C$73,3,FALSE()), VLOOKUP(A733,Internal_lists_bugs!$A$2:$C$73,3,FALSE())&amp;Char(10) &amp; Char(10) &amp; VLOOKUP(A733,Internal_lists_bugs!$A$2:$Z$73,26,FALSE())),"please select a BUG ID")</f>
        <v>please select a BUG ID</v>
      </c>
      <c r="C733" s="51" t="str">
        <f>IFERROR(VLOOKUP(A733,Internal_lists_bugs!$A$2:$T1058,20,FALSE()),"please select a BUG ID")</f>
        <v>please select a BUG ID</v>
      </c>
      <c r="E733" s="54"/>
      <c r="F733" s="82"/>
      <c r="G733" s="92"/>
      <c r="H733" s="54"/>
      <c r="I733" s="51" t="str">
        <f>IFERROR(VLOOKUP(A733,Internal_lists_bugs!$A$2:$G1058,7,FALSE()),"please select a BUG ID")</f>
        <v>please select a BUG ID</v>
      </c>
    </row>
    <row r="734">
      <c r="A734" s="54"/>
      <c r="B734" s="71" t="str">
        <f>IFERROR(HYPERLINK(VLOOKUP(A734,Internal_lists_bugs!$A$2:$C$73,3,FALSE()), VLOOKUP(A734,Internal_lists_bugs!$A$2:$C$73,3,FALSE())&amp;Char(10) &amp; Char(10) &amp; VLOOKUP(A734,Internal_lists_bugs!$A$2:$Z$73,26,FALSE())),"please select a BUG ID")</f>
        <v>please select a BUG ID</v>
      </c>
      <c r="C734" s="51" t="str">
        <f>IFERROR(VLOOKUP(A734,Internal_lists_bugs!$A$2:$T1058,20,FALSE()),"please select a BUG ID")</f>
        <v>please select a BUG ID</v>
      </c>
      <c r="E734" s="54"/>
      <c r="F734" s="82"/>
      <c r="G734" s="92"/>
      <c r="H734" s="54"/>
      <c r="I734" s="51" t="str">
        <f>IFERROR(VLOOKUP(A734,Internal_lists_bugs!$A$2:$G1058,7,FALSE()),"please select a BUG ID")</f>
        <v>please select a BUG ID</v>
      </c>
    </row>
    <row r="735">
      <c r="A735" s="54"/>
      <c r="B735" s="71" t="str">
        <f>IFERROR(HYPERLINK(VLOOKUP(A735,Internal_lists_bugs!$A$2:$C$73,3,FALSE()), VLOOKUP(A735,Internal_lists_bugs!$A$2:$C$73,3,FALSE())&amp;Char(10) &amp; Char(10) &amp; VLOOKUP(A735,Internal_lists_bugs!$A$2:$Z$73,26,FALSE())),"please select a BUG ID")</f>
        <v>please select a BUG ID</v>
      </c>
      <c r="C735" s="51" t="str">
        <f>IFERROR(VLOOKUP(A735,Internal_lists_bugs!$A$2:$T1058,20,FALSE()),"please select a BUG ID")</f>
        <v>please select a BUG ID</v>
      </c>
      <c r="E735" s="54"/>
      <c r="F735" s="82"/>
      <c r="G735" s="92"/>
      <c r="H735" s="54"/>
      <c r="I735" s="51" t="str">
        <f>IFERROR(VLOOKUP(A735,Internal_lists_bugs!$A$2:$G1058,7,FALSE()),"please select a BUG ID")</f>
        <v>please select a BUG ID</v>
      </c>
    </row>
    <row r="736">
      <c r="A736" s="54"/>
      <c r="B736" s="71" t="str">
        <f>IFERROR(HYPERLINK(VLOOKUP(A736,Internal_lists_bugs!$A$2:$C$73,3,FALSE()), VLOOKUP(A736,Internal_lists_bugs!$A$2:$C$73,3,FALSE())&amp;Char(10) &amp; Char(10) &amp; VLOOKUP(A736,Internal_lists_bugs!$A$2:$Z$73,26,FALSE())),"please select a BUG ID")</f>
        <v>please select a BUG ID</v>
      </c>
      <c r="C736" s="51" t="str">
        <f>IFERROR(VLOOKUP(A736,Internal_lists_bugs!$A$2:$T1058,20,FALSE()),"please select a BUG ID")</f>
        <v>please select a BUG ID</v>
      </c>
      <c r="E736" s="54"/>
      <c r="F736" s="82"/>
      <c r="G736" s="92"/>
      <c r="H736" s="54"/>
      <c r="I736" s="51" t="str">
        <f>IFERROR(VLOOKUP(A736,Internal_lists_bugs!$A$2:$G1058,7,FALSE()),"please select a BUG ID")</f>
        <v>please select a BUG ID</v>
      </c>
    </row>
    <row r="737">
      <c r="A737" s="54"/>
      <c r="B737" s="71" t="str">
        <f>IFERROR(HYPERLINK(VLOOKUP(A737,Internal_lists_bugs!$A$2:$C$73,3,FALSE()), VLOOKUP(A737,Internal_lists_bugs!$A$2:$C$73,3,FALSE())&amp;Char(10) &amp; Char(10) &amp; VLOOKUP(A737,Internal_lists_bugs!$A$2:$Z$73,26,FALSE())),"please select a BUG ID")</f>
        <v>please select a BUG ID</v>
      </c>
      <c r="C737" s="51" t="str">
        <f>IFERROR(VLOOKUP(A737,Internal_lists_bugs!$A$2:$T1058,20,FALSE()),"please select a BUG ID")</f>
        <v>please select a BUG ID</v>
      </c>
      <c r="E737" s="54"/>
      <c r="F737" s="82"/>
      <c r="G737" s="92"/>
      <c r="H737" s="54"/>
      <c r="I737" s="51" t="str">
        <f>IFERROR(VLOOKUP(A737,Internal_lists_bugs!$A$2:$G1058,7,FALSE()),"please select a BUG ID")</f>
        <v>please select a BUG ID</v>
      </c>
    </row>
    <row r="738">
      <c r="A738" s="54"/>
      <c r="B738" s="71" t="str">
        <f>IFERROR(HYPERLINK(VLOOKUP(A738,Internal_lists_bugs!$A$2:$C$73,3,FALSE()), VLOOKUP(A738,Internal_lists_bugs!$A$2:$C$73,3,FALSE())&amp;Char(10) &amp; Char(10) &amp; VLOOKUP(A738,Internal_lists_bugs!$A$2:$Z$73,26,FALSE())),"please select a BUG ID")</f>
        <v>please select a BUG ID</v>
      </c>
      <c r="C738" s="51" t="str">
        <f>IFERROR(VLOOKUP(A738,Internal_lists_bugs!$A$2:$T1058,20,FALSE()),"please select a BUG ID")</f>
        <v>please select a BUG ID</v>
      </c>
      <c r="E738" s="54"/>
      <c r="F738" s="82"/>
      <c r="G738" s="92"/>
      <c r="H738" s="54"/>
      <c r="I738" s="51" t="str">
        <f>IFERROR(VLOOKUP(A738,Internal_lists_bugs!$A$2:$G1058,7,FALSE()),"please select a BUG ID")</f>
        <v>please select a BUG ID</v>
      </c>
    </row>
    <row r="739">
      <c r="A739" s="54"/>
      <c r="B739" s="71" t="str">
        <f>IFERROR(HYPERLINK(VLOOKUP(A739,Internal_lists_bugs!$A$2:$C$73,3,FALSE()), VLOOKUP(A739,Internal_lists_bugs!$A$2:$C$73,3,FALSE())&amp;Char(10) &amp; Char(10) &amp; VLOOKUP(A739,Internal_lists_bugs!$A$2:$Z$73,26,FALSE())),"please select a BUG ID")</f>
        <v>please select a BUG ID</v>
      </c>
      <c r="C739" s="51" t="str">
        <f>IFERROR(VLOOKUP(A739,Internal_lists_bugs!$A$2:$T1058,20,FALSE()),"please select a BUG ID")</f>
        <v>please select a BUG ID</v>
      </c>
      <c r="E739" s="54"/>
      <c r="F739" s="82"/>
      <c r="G739" s="92"/>
      <c r="H739" s="54"/>
      <c r="I739" s="51" t="str">
        <f>IFERROR(VLOOKUP(A739,Internal_lists_bugs!$A$2:$G1058,7,FALSE()),"please select a BUG ID")</f>
        <v>please select a BUG ID</v>
      </c>
    </row>
    <row r="740">
      <c r="A740" s="54"/>
      <c r="B740" s="71" t="str">
        <f>IFERROR(HYPERLINK(VLOOKUP(A740,Internal_lists_bugs!$A$2:$C$73,3,FALSE()), VLOOKUP(A740,Internal_lists_bugs!$A$2:$C$73,3,FALSE())&amp;Char(10) &amp; Char(10) &amp; VLOOKUP(A740,Internal_lists_bugs!$A$2:$Z$73,26,FALSE())),"please select a BUG ID")</f>
        <v>please select a BUG ID</v>
      </c>
      <c r="C740" s="51" t="str">
        <f>IFERROR(VLOOKUP(A740,Internal_lists_bugs!$A$2:$T1058,20,FALSE()),"please select a BUG ID")</f>
        <v>please select a BUG ID</v>
      </c>
      <c r="E740" s="54"/>
      <c r="F740" s="82"/>
      <c r="G740" s="92"/>
      <c r="H740" s="54"/>
      <c r="I740" s="51" t="str">
        <f>IFERROR(VLOOKUP(A740,Internal_lists_bugs!$A$2:$G1058,7,FALSE()),"please select a BUG ID")</f>
        <v>please select a BUG ID</v>
      </c>
    </row>
    <row r="741">
      <c r="A741" s="54"/>
      <c r="B741" s="71" t="str">
        <f>IFERROR(HYPERLINK(VLOOKUP(A741,Internal_lists_bugs!$A$2:$C$73,3,FALSE()), VLOOKUP(A741,Internal_lists_bugs!$A$2:$C$73,3,FALSE())&amp;Char(10) &amp; Char(10) &amp; VLOOKUP(A741,Internal_lists_bugs!$A$2:$Z$73,26,FALSE())),"please select a BUG ID")</f>
        <v>please select a BUG ID</v>
      </c>
      <c r="C741" s="51" t="str">
        <f>IFERROR(VLOOKUP(A741,Internal_lists_bugs!$A$2:$T1058,20,FALSE()),"please select a BUG ID")</f>
        <v>please select a BUG ID</v>
      </c>
      <c r="E741" s="54"/>
      <c r="F741" s="82"/>
      <c r="G741" s="92"/>
      <c r="H741" s="54"/>
      <c r="I741" s="51" t="str">
        <f>IFERROR(VLOOKUP(A741,Internal_lists_bugs!$A$2:$G1058,7,FALSE()),"please select a BUG ID")</f>
        <v>please select a BUG ID</v>
      </c>
    </row>
    <row r="742">
      <c r="A742" s="54"/>
      <c r="B742" s="71" t="str">
        <f>IFERROR(HYPERLINK(VLOOKUP(A742,Internal_lists_bugs!$A$2:$C$73,3,FALSE()), VLOOKUP(A742,Internal_lists_bugs!$A$2:$C$73,3,FALSE())&amp;Char(10) &amp; Char(10) &amp; VLOOKUP(A742,Internal_lists_bugs!$A$2:$Z$73,26,FALSE())),"please select a BUG ID")</f>
        <v>please select a BUG ID</v>
      </c>
      <c r="C742" s="51" t="str">
        <f>IFERROR(VLOOKUP(A742,Internal_lists_bugs!$A$2:$T1058,20,FALSE()),"please select a BUG ID")</f>
        <v>please select a BUG ID</v>
      </c>
      <c r="E742" s="54"/>
      <c r="F742" s="82"/>
      <c r="G742" s="92"/>
      <c r="H742" s="54"/>
      <c r="I742" s="51" t="str">
        <f>IFERROR(VLOOKUP(A742,Internal_lists_bugs!$A$2:$G1058,7,FALSE()),"please select a BUG ID")</f>
        <v>please select a BUG ID</v>
      </c>
    </row>
    <row r="743">
      <c r="A743" s="54"/>
      <c r="B743" s="71" t="str">
        <f>IFERROR(HYPERLINK(VLOOKUP(A743,Internal_lists_bugs!$A$2:$C$73,3,FALSE()), VLOOKUP(A743,Internal_lists_bugs!$A$2:$C$73,3,FALSE())&amp;Char(10) &amp; Char(10) &amp; VLOOKUP(A743,Internal_lists_bugs!$A$2:$Z$73,26,FALSE())),"please select a BUG ID")</f>
        <v>please select a BUG ID</v>
      </c>
      <c r="C743" s="51" t="str">
        <f>IFERROR(VLOOKUP(A743,Internal_lists_bugs!$A$2:$T1058,20,FALSE()),"please select a BUG ID")</f>
        <v>please select a BUG ID</v>
      </c>
      <c r="E743" s="54"/>
      <c r="F743" s="82"/>
      <c r="G743" s="92"/>
      <c r="H743" s="54"/>
      <c r="I743" s="51" t="str">
        <f>IFERROR(VLOOKUP(A743,Internal_lists_bugs!$A$2:$G1058,7,FALSE()),"please select a BUG ID")</f>
        <v>please select a BUG ID</v>
      </c>
    </row>
    <row r="744">
      <c r="A744" s="54"/>
      <c r="B744" s="71" t="str">
        <f>IFERROR(HYPERLINK(VLOOKUP(A744,Internal_lists_bugs!$A$2:$C$73,3,FALSE()), VLOOKUP(A744,Internal_lists_bugs!$A$2:$C$73,3,FALSE())&amp;Char(10) &amp; Char(10) &amp; VLOOKUP(A744,Internal_lists_bugs!$A$2:$Z$73,26,FALSE())),"please select a BUG ID")</f>
        <v>please select a BUG ID</v>
      </c>
      <c r="C744" s="51" t="str">
        <f>IFERROR(VLOOKUP(A744,Internal_lists_bugs!$A$2:$T1058,20,FALSE()),"please select a BUG ID")</f>
        <v>please select a BUG ID</v>
      </c>
      <c r="E744" s="54"/>
      <c r="F744" s="82"/>
      <c r="G744" s="92"/>
      <c r="H744" s="54"/>
      <c r="I744" s="51" t="str">
        <f>IFERROR(VLOOKUP(A744,Internal_lists_bugs!$A$2:$G1058,7,FALSE()),"please select a BUG ID")</f>
        <v>please select a BUG ID</v>
      </c>
    </row>
    <row r="745">
      <c r="A745" s="54"/>
      <c r="B745" s="71" t="str">
        <f>IFERROR(HYPERLINK(VLOOKUP(A745,Internal_lists_bugs!$A$2:$C$73,3,FALSE()), VLOOKUP(A745,Internal_lists_bugs!$A$2:$C$73,3,FALSE())&amp;Char(10) &amp; Char(10) &amp; VLOOKUP(A745,Internal_lists_bugs!$A$2:$Z$73,26,FALSE())),"please select a BUG ID")</f>
        <v>please select a BUG ID</v>
      </c>
      <c r="C745" s="51" t="str">
        <f>IFERROR(VLOOKUP(A745,Internal_lists_bugs!$A$2:$T1058,20,FALSE()),"please select a BUG ID")</f>
        <v>please select a BUG ID</v>
      </c>
      <c r="E745" s="54"/>
      <c r="F745" s="82"/>
      <c r="G745" s="92"/>
      <c r="H745" s="54"/>
      <c r="I745" s="51" t="str">
        <f>IFERROR(VLOOKUP(A745,Internal_lists_bugs!$A$2:$G1058,7,FALSE()),"please select a BUG ID")</f>
        <v>please select a BUG ID</v>
      </c>
    </row>
    <row r="746">
      <c r="A746" s="54"/>
      <c r="B746" s="71" t="str">
        <f>IFERROR(HYPERLINK(VLOOKUP(A746,Internal_lists_bugs!$A$2:$C$73,3,FALSE()), VLOOKUP(A746,Internal_lists_bugs!$A$2:$C$73,3,FALSE())&amp;Char(10) &amp; Char(10) &amp; VLOOKUP(A746,Internal_lists_bugs!$A$2:$Z$73,26,FALSE())),"please select a BUG ID")</f>
        <v>please select a BUG ID</v>
      </c>
      <c r="C746" s="51" t="str">
        <f>IFERROR(VLOOKUP(A746,Internal_lists_bugs!$A$2:$T1058,20,FALSE()),"please select a BUG ID")</f>
        <v>please select a BUG ID</v>
      </c>
      <c r="E746" s="54"/>
      <c r="F746" s="82"/>
      <c r="G746" s="92"/>
      <c r="H746" s="54"/>
      <c r="I746" s="51" t="str">
        <f>IFERROR(VLOOKUP(A746,Internal_lists_bugs!$A$2:$G1058,7,FALSE()),"please select a BUG ID")</f>
        <v>please select a BUG ID</v>
      </c>
    </row>
    <row r="747">
      <c r="A747" s="54"/>
      <c r="B747" s="71" t="str">
        <f>IFERROR(HYPERLINK(VLOOKUP(A747,Internal_lists_bugs!$A$2:$C$73,3,FALSE()), VLOOKUP(A747,Internal_lists_bugs!$A$2:$C$73,3,FALSE())&amp;Char(10) &amp; Char(10) &amp; VLOOKUP(A747,Internal_lists_bugs!$A$2:$Z$73,26,FALSE())),"please select a BUG ID")</f>
        <v>please select a BUG ID</v>
      </c>
      <c r="C747" s="51" t="str">
        <f>IFERROR(VLOOKUP(A747,Internal_lists_bugs!$A$2:$T1058,20,FALSE()),"please select a BUG ID")</f>
        <v>please select a BUG ID</v>
      </c>
      <c r="E747" s="54"/>
      <c r="F747" s="82"/>
      <c r="G747" s="92"/>
      <c r="H747" s="54"/>
      <c r="I747" s="51" t="str">
        <f>IFERROR(VLOOKUP(A747,Internal_lists_bugs!$A$2:$G1058,7,FALSE()),"please select a BUG ID")</f>
        <v>please select a BUG ID</v>
      </c>
    </row>
    <row r="748">
      <c r="A748" s="54"/>
      <c r="B748" s="71" t="str">
        <f>IFERROR(HYPERLINK(VLOOKUP(A748,Internal_lists_bugs!$A$2:$C$73,3,FALSE()), VLOOKUP(A748,Internal_lists_bugs!$A$2:$C$73,3,FALSE())&amp;Char(10) &amp; Char(10) &amp; VLOOKUP(A748,Internal_lists_bugs!$A$2:$Z$73,26,FALSE())),"please select a BUG ID")</f>
        <v>please select a BUG ID</v>
      </c>
      <c r="C748" s="51" t="str">
        <f>IFERROR(VLOOKUP(A748,Internal_lists_bugs!$A$2:$T1058,20,FALSE()),"please select a BUG ID")</f>
        <v>please select a BUG ID</v>
      </c>
      <c r="E748" s="54"/>
      <c r="F748" s="82"/>
      <c r="G748" s="92"/>
      <c r="H748" s="54"/>
      <c r="I748" s="51" t="str">
        <f>IFERROR(VLOOKUP(A748,Internal_lists_bugs!$A$2:$G1058,7,FALSE()),"please select a BUG ID")</f>
        <v>please select a BUG ID</v>
      </c>
    </row>
    <row r="749">
      <c r="A749" s="54"/>
      <c r="B749" s="71" t="str">
        <f>IFERROR(HYPERLINK(VLOOKUP(A749,Internal_lists_bugs!$A$2:$C$73,3,FALSE()), VLOOKUP(A749,Internal_lists_bugs!$A$2:$C$73,3,FALSE())&amp;Char(10) &amp; Char(10) &amp; VLOOKUP(A749,Internal_lists_bugs!$A$2:$Z$73,26,FALSE())),"please select a BUG ID")</f>
        <v>please select a BUG ID</v>
      </c>
      <c r="C749" s="51" t="str">
        <f>IFERROR(VLOOKUP(A749,Internal_lists_bugs!$A$2:$T1058,20,FALSE()),"please select a BUG ID")</f>
        <v>please select a BUG ID</v>
      </c>
      <c r="E749" s="54"/>
      <c r="F749" s="82"/>
      <c r="G749" s="92"/>
      <c r="H749" s="54"/>
      <c r="I749" s="51" t="str">
        <f>IFERROR(VLOOKUP(A749,Internal_lists_bugs!$A$2:$G1058,7,FALSE()),"please select a BUG ID")</f>
        <v>please select a BUG ID</v>
      </c>
    </row>
    <row r="750">
      <c r="A750" s="54"/>
      <c r="B750" s="71" t="str">
        <f>IFERROR(HYPERLINK(VLOOKUP(A750,Internal_lists_bugs!$A$2:$C$73,3,FALSE()), VLOOKUP(A750,Internal_lists_bugs!$A$2:$C$73,3,FALSE())&amp;Char(10) &amp; Char(10) &amp; VLOOKUP(A750,Internal_lists_bugs!$A$2:$Z$73,26,FALSE())),"please select a BUG ID")</f>
        <v>please select a BUG ID</v>
      </c>
      <c r="C750" s="51" t="str">
        <f>IFERROR(VLOOKUP(A750,Internal_lists_bugs!$A$2:$T1058,20,FALSE()),"please select a BUG ID")</f>
        <v>please select a BUG ID</v>
      </c>
      <c r="E750" s="54"/>
      <c r="F750" s="82"/>
      <c r="G750" s="92"/>
      <c r="H750" s="54"/>
      <c r="I750" s="51" t="str">
        <f>IFERROR(VLOOKUP(A750,Internal_lists_bugs!$A$2:$G1058,7,FALSE()),"please select a BUG ID")</f>
        <v>please select a BUG ID</v>
      </c>
    </row>
    <row r="751">
      <c r="A751" s="54"/>
      <c r="B751" s="71" t="str">
        <f>IFERROR(HYPERLINK(VLOOKUP(A751,Internal_lists_bugs!$A$2:$C$73,3,FALSE()), VLOOKUP(A751,Internal_lists_bugs!$A$2:$C$73,3,FALSE())&amp;Char(10) &amp; Char(10) &amp; VLOOKUP(A751,Internal_lists_bugs!$A$2:$Z$73,26,FALSE())),"please select a BUG ID")</f>
        <v>please select a BUG ID</v>
      </c>
      <c r="C751" s="51" t="str">
        <f>IFERROR(VLOOKUP(A751,Internal_lists_bugs!$A$2:$T1058,20,FALSE()),"please select a BUG ID")</f>
        <v>please select a BUG ID</v>
      </c>
      <c r="E751" s="54"/>
      <c r="F751" s="82"/>
      <c r="G751" s="92"/>
      <c r="H751" s="54"/>
      <c r="I751" s="51" t="str">
        <f>IFERROR(VLOOKUP(A751,Internal_lists_bugs!$A$2:$G1058,7,FALSE()),"please select a BUG ID")</f>
        <v>please select a BUG ID</v>
      </c>
    </row>
    <row r="752">
      <c r="A752" s="54"/>
      <c r="B752" s="71" t="str">
        <f>IFERROR(HYPERLINK(VLOOKUP(A752,Internal_lists_bugs!$A$2:$C$73,3,FALSE()), VLOOKUP(A752,Internal_lists_bugs!$A$2:$C$73,3,FALSE())&amp;Char(10) &amp; Char(10) &amp; VLOOKUP(A752,Internal_lists_bugs!$A$2:$Z$73,26,FALSE())),"please select a BUG ID")</f>
        <v>please select a BUG ID</v>
      </c>
      <c r="C752" s="51" t="str">
        <f>IFERROR(VLOOKUP(A752,Internal_lists_bugs!$A$2:$T1058,20,FALSE()),"please select a BUG ID")</f>
        <v>please select a BUG ID</v>
      </c>
      <c r="E752" s="54"/>
      <c r="F752" s="82"/>
      <c r="G752" s="92"/>
      <c r="H752" s="54"/>
      <c r="I752" s="51" t="str">
        <f>IFERROR(VLOOKUP(A752,Internal_lists_bugs!$A$2:$G1058,7,FALSE()),"please select a BUG ID")</f>
        <v>please select a BUG ID</v>
      </c>
    </row>
    <row r="753">
      <c r="A753" s="54"/>
      <c r="B753" s="71" t="str">
        <f>IFERROR(HYPERLINK(VLOOKUP(A753,Internal_lists_bugs!$A$2:$C$73,3,FALSE()), VLOOKUP(A753,Internal_lists_bugs!$A$2:$C$73,3,FALSE())&amp;Char(10) &amp; Char(10) &amp; VLOOKUP(A753,Internal_lists_bugs!$A$2:$Z$73,26,FALSE())),"please select a BUG ID")</f>
        <v>please select a BUG ID</v>
      </c>
      <c r="C753" s="51" t="str">
        <f>IFERROR(VLOOKUP(A753,Internal_lists_bugs!$A$2:$T1058,20,FALSE()),"please select a BUG ID")</f>
        <v>please select a BUG ID</v>
      </c>
      <c r="E753" s="54"/>
      <c r="F753" s="82"/>
      <c r="G753" s="92"/>
      <c r="H753" s="54"/>
      <c r="I753" s="51" t="str">
        <f>IFERROR(VLOOKUP(A753,Internal_lists_bugs!$A$2:$G1058,7,FALSE()),"please select a BUG ID")</f>
        <v>please select a BUG ID</v>
      </c>
    </row>
    <row r="754">
      <c r="A754" s="54"/>
      <c r="B754" s="71" t="str">
        <f>IFERROR(HYPERLINK(VLOOKUP(A754,Internal_lists_bugs!$A$2:$C$73,3,FALSE()), VLOOKUP(A754,Internal_lists_bugs!$A$2:$C$73,3,FALSE())&amp;Char(10) &amp; Char(10) &amp; VLOOKUP(A754,Internal_lists_bugs!$A$2:$Z$73,26,FALSE())),"please select a BUG ID")</f>
        <v>please select a BUG ID</v>
      </c>
      <c r="C754" s="51" t="str">
        <f>IFERROR(VLOOKUP(A754,Internal_lists_bugs!$A$2:$T1058,20,FALSE()),"please select a BUG ID")</f>
        <v>please select a BUG ID</v>
      </c>
      <c r="E754" s="54"/>
      <c r="F754" s="82"/>
      <c r="G754" s="92"/>
      <c r="H754" s="54"/>
      <c r="I754" s="51" t="str">
        <f>IFERROR(VLOOKUP(A754,Internal_lists_bugs!$A$2:$G1058,7,FALSE()),"please select a BUG ID")</f>
        <v>please select a BUG ID</v>
      </c>
    </row>
    <row r="755">
      <c r="A755" s="54"/>
      <c r="B755" s="71" t="str">
        <f>IFERROR(HYPERLINK(VLOOKUP(A755,Internal_lists_bugs!$A$2:$C$73,3,FALSE()), VLOOKUP(A755,Internal_lists_bugs!$A$2:$C$73,3,FALSE())&amp;Char(10) &amp; Char(10) &amp; VLOOKUP(A755,Internal_lists_bugs!$A$2:$Z$73,26,FALSE())),"please select a BUG ID")</f>
        <v>please select a BUG ID</v>
      </c>
      <c r="C755" s="51" t="str">
        <f>IFERROR(VLOOKUP(A755,Internal_lists_bugs!$A$2:$T1058,20,FALSE()),"please select a BUG ID")</f>
        <v>please select a BUG ID</v>
      </c>
      <c r="E755" s="54"/>
      <c r="F755" s="82"/>
      <c r="G755" s="92"/>
      <c r="H755" s="54"/>
      <c r="I755" s="51" t="str">
        <f>IFERROR(VLOOKUP(A755,Internal_lists_bugs!$A$2:$G1058,7,FALSE()),"please select a BUG ID")</f>
        <v>please select a BUG ID</v>
      </c>
    </row>
    <row r="756">
      <c r="A756" s="54"/>
      <c r="B756" s="71" t="str">
        <f>IFERROR(HYPERLINK(VLOOKUP(A756,Internal_lists_bugs!$A$2:$C$73,3,FALSE()), VLOOKUP(A756,Internal_lists_bugs!$A$2:$C$73,3,FALSE())&amp;Char(10) &amp; Char(10) &amp; VLOOKUP(A756,Internal_lists_bugs!$A$2:$Z$73,26,FALSE())),"please select a BUG ID")</f>
        <v>please select a BUG ID</v>
      </c>
      <c r="C756" s="51" t="str">
        <f>IFERROR(VLOOKUP(A756,Internal_lists_bugs!$A$2:$T1058,20,FALSE()),"please select a BUG ID")</f>
        <v>please select a BUG ID</v>
      </c>
      <c r="E756" s="54"/>
      <c r="F756" s="82"/>
      <c r="G756" s="92"/>
      <c r="H756" s="54"/>
      <c r="I756" s="51" t="str">
        <f>IFERROR(VLOOKUP(A756,Internal_lists_bugs!$A$2:$G1058,7,FALSE()),"please select a BUG ID")</f>
        <v>please select a BUG ID</v>
      </c>
    </row>
    <row r="757">
      <c r="A757" s="54"/>
      <c r="B757" s="71" t="str">
        <f>IFERROR(HYPERLINK(VLOOKUP(A757,Internal_lists_bugs!$A$2:$C$73,3,FALSE()), VLOOKUP(A757,Internal_lists_bugs!$A$2:$C$73,3,FALSE())&amp;Char(10) &amp; Char(10) &amp; VLOOKUP(A757,Internal_lists_bugs!$A$2:$Z$73,26,FALSE())),"please select a BUG ID")</f>
        <v>please select a BUG ID</v>
      </c>
      <c r="C757" s="51" t="str">
        <f>IFERROR(VLOOKUP(A757,Internal_lists_bugs!$A$2:$T1058,20,FALSE()),"please select a BUG ID")</f>
        <v>please select a BUG ID</v>
      </c>
      <c r="E757" s="54"/>
      <c r="F757" s="82"/>
      <c r="G757" s="92"/>
      <c r="H757" s="54"/>
      <c r="I757" s="51" t="str">
        <f>IFERROR(VLOOKUP(A757,Internal_lists_bugs!$A$2:$G1058,7,FALSE()),"please select a BUG ID")</f>
        <v>please select a BUG ID</v>
      </c>
    </row>
    <row r="758">
      <c r="A758" s="54"/>
      <c r="B758" s="71" t="str">
        <f>IFERROR(HYPERLINK(VLOOKUP(A758,Internal_lists_bugs!$A$2:$C$73,3,FALSE()), VLOOKUP(A758,Internal_lists_bugs!$A$2:$C$73,3,FALSE())&amp;Char(10) &amp; Char(10) &amp; VLOOKUP(A758,Internal_lists_bugs!$A$2:$Z$73,26,FALSE())),"please select a BUG ID")</f>
        <v>please select a BUG ID</v>
      </c>
      <c r="C758" s="51" t="str">
        <f>IFERROR(VLOOKUP(A758,Internal_lists_bugs!$A$2:$T1058,20,FALSE()),"please select a BUG ID")</f>
        <v>please select a BUG ID</v>
      </c>
      <c r="E758" s="54"/>
      <c r="F758" s="82"/>
      <c r="G758" s="92"/>
      <c r="H758" s="54"/>
      <c r="I758" s="51" t="str">
        <f>IFERROR(VLOOKUP(A758,Internal_lists_bugs!$A$2:$G1058,7,FALSE()),"please select a BUG ID")</f>
        <v>please select a BUG ID</v>
      </c>
    </row>
    <row r="759">
      <c r="A759" s="54"/>
      <c r="B759" s="71" t="str">
        <f>IFERROR(HYPERLINK(VLOOKUP(A759,Internal_lists_bugs!$A$2:$C$73,3,FALSE()), VLOOKUP(A759,Internal_lists_bugs!$A$2:$C$73,3,FALSE())&amp;Char(10) &amp; Char(10) &amp; VLOOKUP(A759,Internal_lists_bugs!$A$2:$Z$73,26,FALSE())),"please select a BUG ID")</f>
        <v>please select a BUG ID</v>
      </c>
      <c r="C759" s="51" t="str">
        <f>IFERROR(VLOOKUP(A759,Internal_lists_bugs!$A$2:$T1058,20,FALSE()),"please select a BUG ID")</f>
        <v>please select a BUG ID</v>
      </c>
      <c r="E759" s="54"/>
      <c r="F759" s="82"/>
      <c r="G759" s="92"/>
      <c r="H759" s="54"/>
      <c r="I759" s="51" t="str">
        <f>IFERROR(VLOOKUP(A759,Internal_lists_bugs!$A$2:$G1058,7,FALSE()),"please select a BUG ID")</f>
        <v>please select a BUG ID</v>
      </c>
    </row>
    <row r="760">
      <c r="A760" s="54"/>
      <c r="B760" s="71" t="str">
        <f>IFERROR(HYPERLINK(VLOOKUP(A760,Internal_lists_bugs!$A$2:$C$73,3,FALSE()), VLOOKUP(A760,Internal_lists_bugs!$A$2:$C$73,3,FALSE())&amp;Char(10) &amp; Char(10) &amp; VLOOKUP(A760,Internal_lists_bugs!$A$2:$Z$73,26,FALSE())),"please select a BUG ID")</f>
        <v>please select a BUG ID</v>
      </c>
      <c r="C760" s="51" t="str">
        <f>IFERROR(VLOOKUP(A760,Internal_lists_bugs!$A$2:$T1058,20,FALSE()),"please select a BUG ID")</f>
        <v>please select a BUG ID</v>
      </c>
      <c r="E760" s="54"/>
      <c r="F760" s="82"/>
      <c r="G760" s="92"/>
      <c r="H760" s="54"/>
      <c r="I760" s="51" t="str">
        <f>IFERROR(VLOOKUP(A760,Internal_lists_bugs!$A$2:$G1058,7,FALSE()),"please select a BUG ID")</f>
        <v>please select a BUG ID</v>
      </c>
    </row>
    <row r="761">
      <c r="A761" s="54"/>
      <c r="B761" s="71" t="str">
        <f>IFERROR(HYPERLINK(VLOOKUP(A761,Internal_lists_bugs!$A$2:$C$73,3,FALSE()), VLOOKUP(A761,Internal_lists_bugs!$A$2:$C$73,3,FALSE())&amp;Char(10) &amp; Char(10) &amp; VLOOKUP(A761,Internal_lists_bugs!$A$2:$Z$73,26,FALSE())),"please select a BUG ID")</f>
        <v>please select a BUG ID</v>
      </c>
      <c r="C761" s="51" t="str">
        <f>IFERROR(VLOOKUP(A761,Internal_lists_bugs!$A$2:$T1058,20,FALSE()),"please select a BUG ID")</f>
        <v>please select a BUG ID</v>
      </c>
      <c r="E761" s="54"/>
      <c r="F761" s="82"/>
      <c r="G761" s="92"/>
      <c r="H761" s="54"/>
      <c r="I761" s="51" t="str">
        <f>IFERROR(VLOOKUP(A761,Internal_lists_bugs!$A$2:$G1058,7,FALSE()),"please select a BUG ID")</f>
        <v>please select a BUG ID</v>
      </c>
    </row>
    <row r="762">
      <c r="A762" s="54"/>
      <c r="B762" s="71" t="str">
        <f>IFERROR(HYPERLINK(VLOOKUP(A762,Internal_lists_bugs!$A$2:$C$73,3,FALSE()), VLOOKUP(A762,Internal_lists_bugs!$A$2:$C$73,3,FALSE())&amp;Char(10) &amp; Char(10) &amp; VLOOKUP(A762,Internal_lists_bugs!$A$2:$Z$73,26,FALSE())),"please select a BUG ID")</f>
        <v>please select a BUG ID</v>
      </c>
      <c r="C762" s="51" t="str">
        <f>IFERROR(VLOOKUP(A762,Internal_lists_bugs!$A$2:$T1058,20,FALSE()),"please select a BUG ID")</f>
        <v>please select a BUG ID</v>
      </c>
      <c r="E762" s="54"/>
      <c r="F762" s="82"/>
      <c r="G762" s="92"/>
      <c r="H762" s="54"/>
      <c r="I762" s="51" t="str">
        <f>IFERROR(VLOOKUP(A762,Internal_lists_bugs!$A$2:$G1058,7,FALSE()),"please select a BUG ID")</f>
        <v>please select a BUG ID</v>
      </c>
    </row>
    <row r="763">
      <c r="A763" s="54"/>
      <c r="B763" s="71" t="str">
        <f>IFERROR(HYPERLINK(VLOOKUP(A763,Internal_lists_bugs!$A$2:$C$73,3,FALSE()), VLOOKUP(A763,Internal_lists_bugs!$A$2:$C$73,3,FALSE())&amp;Char(10) &amp; Char(10) &amp; VLOOKUP(A763,Internal_lists_bugs!$A$2:$Z$73,26,FALSE())),"please select a BUG ID")</f>
        <v>please select a BUG ID</v>
      </c>
      <c r="C763" s="51" t="str">
        <f>IFERROR(VLOOKUP(A763,Internal_lists_bugs!$A$2:$T1058,20,FALSE()),"please select a BUG ID")</f>
        <v>please select a BUG ID</v>
      </c>
      <c r="E763" s="54"/>
      <c r="F763" s="82"/>
      <c r="G763" s="92"/>
      <c r="H763" s="54"/>
      <c r="I763" s="51" t="str">
        <f>IFERROR(VLOOKUP(A763,Internal_lists_bugs!$A$2:$G1058,7,FALSE()),"please select a BUG ID")</f>
        <v>please select a BUG ID</v>
      </c>
    </row>
    <row r="764">
      <c r="A764" s="54"/>
      <c r="B764" s="71" t="str">
        <f>IFERROR(HYPERLINK(VLOOKUP(A764,Internal_lists_bugs!$A$2:$C$73,3,FALSE()), VLOOKUP(A764,Internal_lists_bugs!$A$2:$C$73,3,FALSE())&amp;Char(10) &amp; Char(10) &amp; VLOOKUP(A764,Internal_lists_bugs!$A$2:$Z$73,26,FALSE())),"please select a BUG ID")</f>
        <v>please select a BUG ID</v>
      </c>
      <c r="C764" s="51" t="str">
        <f>IFERROR(VLOOKUP(A764,Internal_lists_bugs!$A$2:$T1058,20,FALSE()),"please select a BUG ID")</f>
        <v>please select a BUG ID</v>
      </c>
      <c r="E764" s="54"/>
      <c r="F764" s="82"/>
      <c r="G764" s="92"/>
      <c r="H764" s="54"/>
      <c r="I764" s="51" t="str">
        <f>IFERROR(VLOOKUP(A764,Internal_lists_bugs!$A$2:$G1058,7,FALSE()),"please select a BUG ID")</f>
        <v>please select a BUG ID</v>
      </c>
    </row>
    <row r="765">
      <c r="A765" s="54"/>
      <c r="B765" s="71" t="str">
        <f>IFERROR(HYPERLINK(VLOOKUP(A765,Internal_lists_bugs!$A$2:$C$73,3,FALSE()), VLOOKUP(A765,Internal_lists_bugs!$A$2:$C$73,3,FALSE())&amp;Char(10) &amp; Char(10) &amp; VLOOKUP(A765,Internal_lists_bugs!$A$2:$Z$73,26,FALSE())),"please select a BUG ID")</f>
        <v>please select a BUG ID</v>
      </c>
      <c r="C765" s="51" t="str">
        <f>IFERROR(VLOOKUP(A765,Internal_lists_bugs!$A$2:$T1058,20,FALSE()),"please select a BUG ID")</f>
        <v>please select a BUG ID</v>
      </c>
      <c r="E765" s="54"/>
      <c r="F765" s="82"/>
      <c r="G765" s="92"/>
      <c r="H765" s="54"/>
      <c r="I765" s="51" t="str">
        <f>IFERROR(VLOOKUP(A765,Internal_lists_bugs!$A$2:$G1058,7,FALSE()),"please select a BUG ID")</f>
        <v>please select a BUG ID</v>
      </c>
    </row>
    <row r="766">
      <c r="A766" s="54"/>
      <c r="B766" s="71" t="str">
        <f>IFERROR(HYPERLINK(VLOOKUP(A766,Internal_lists_bugs!$A$2:$C$73,3,FALSE()), VLOOKUP(A766,Internal_lists_bugs!$A$2:$C$73,3,FALSE())&amp;Char(10) &amp; Char(10) &amp; VLOOKUP(A766,Internal_lists_bugs!$A$2:$Z$73,26,FALSE())),"please select a BUG ID")</f>
        <v>please select a BUG ID</v>
      </c>
      <c r="C766" s="51" t="str">
        <f>IFERROR(VLOOKUP(A766,Internal_lists_bugs!$A$2:$T1058,20,FALSE()),"please select a BUG ID")</f>
        <v>please select a BUG ID</v>
      </c>
      <c r="E766" s="54"/>
      <c r="F766" s="82"/>
      <c r="G766" s="92"/>
      <c r="H766" s="54"/>
      <c r="I766" s="51" t="str">
        <f>IFERROR(VLOOKUP(A766,Internal_lists_bugs!$A$2:$G1058,7,FALSE()),"please select a BUG ID")</f>
        <v>please select a BUG ID</v>
      </c>
    </row>
    <row r="767">
      <c r="A767" s="54"/>
      <c r="B767" s="71" t="str">
        <f>IFERROR(HYPERLINK(VLOOKUP(A767,Internal_lists_bugs!$A$2:$C$73,3,FALSE()), VLOOKUP(A767,Internal_lists_bugs!$A$2:$C$73,3,FALSE())&amp;Char(10) &amp; Char(10) &amp; VLOOKUP(A767,Internal_lists_bugs!$A$2:$Z$73,26,FALSE())),"please select a BUG ID")</f>
        <v>please select a BUG ID</v>
      </c>
      <c r="C767" s="51" t="str">
        <f>IFERROR(VLOOKUP(A767,Internal_lists_bugs!$A$2:$T1058,20,FALSE()),"please select a BUG ID")</f>
        <v>please select a BUG ID</v>
      </c>
      <c r="E767" s="54"/>
      <c r="F767" s="82"/>
      <c r="G767" s="92"/>
      <c r="H767" s="54"/>
      <c r="I767" s="51" t="str">
        <f>IFERROR(VLOOKUP(A767,Internal_lists_bugs!$A$2:$G1058,7,FALSE()),"please select a BUG ID")</f>
        <v>please select a BUG ID</v>
      </c>
    </row>
    <row r="768">
      <c r="A768" s="54"/>
      <c r="B768" s="71" t="str">
        <f>IFERROR(HYPERLINK(VLOOKUP(A768,Internal_lists_bugs!$A$2:$C$73,3,FALSE()), VLOOKUP(A768,Internal_lists_bugs!$A$2:$C$73,3,FALSE())&amp;Char(10) &amp; Char(10) &amp; VLOOKUP(A768,Internal_lists_bugs!$A$2:$Z$73,26,FALSE())),"please select a BUG ID")</f>
        <v>please select a BUG ID</v>
      </c>
      <c r="C768" s="51" t="str">
        <f>IFERROR(VLOOKUP(A768,Internal_lists_bugs!$A$2:$T1058,20,FALSE()),"please select a BUG ID")</f>
        <v>please select a BUG ID</v>
      </c>
      <c r="E768" s="54"/>
      <c r="F768" s="82"/>
      <c r="G768" s="92"/>
      <c r="H768" s="54"/>
      <c r="I768" s="51" t="str">
        <f>IFERROR(VLOOKUP(A768,Internal_lists_bugs!$A$2:$G1058,7,FALSE()),"please select a BUG ID")</f>
        <v>please select a BUG ID</v>
      </c>
    </row>
    <row r="769">
      <c r="A769" s="54"/>
      <c r="B769" s="71" t="str">
        <f>IFERROR(HYPERLINK(VLOOKUP(A769,Internal_lists_bugs!$A$2:$C$73,3,FALSE()), VLOOKUP(A769,Internal_lists_bugs!$A$2:$C$73,3,FALSE())&amp;Char(10) &amp; Char(10) &amp; VLOOKUP(A769,Internal_lists_bugs!$A$2:$Z$73,26,FALSE())),"please select a BUG ID")</f>
        <v>please select a BUG ID</v>
      </c>
      <c r="C769" s="51" t="str">
        <f>IFERROR(VLOOKUP(A769,Internal_lists_bugs!$A$2:$T1058,20,FALSE()),"please select a BUG ID")</f>
        <v>please select a BUG ID</v>
      </c>
      <c r="E769" s="54"/>
      <c r="F769" s="82"/>
      <c r="G769" s="92"/>
      <c r="H769" s="54"/>
      <c r="I769" s="51" t="str">
        <f>IFERROR(VLOOKUP(A769,Internal_lists_bugs!$A$2:$G1058,7,FALSE()),"please select a BUG ID")</f>
        <v>please select a BUG ID</v>
      </c>
    </row>
    <row r="770">
      <c r="A770" s="54"/>
      <c r="B770" s="71" t="str">
        <f>IFERROR(HYPERLINK(VLOOKUP(A770,Internal_lists_bugs!$A$2:$C$73,3,FALSE()), VLOOKUP(A770,Internal_lists_bugs!$A$2:$C$73,3,FALSE())&amp;Char(10) &amp; Char(10) &amp; VLOOKUP(A770,Internal_lists_bugs!$A$2:$Z$73,26,FALSE())),"please select a BUG ID")</f>
        <v>please select a BUG ID</v>
      </c>
      <c r="C770" s="51" t="str">
        <f>IFERROR(VLOOKUP(A770,Internal_lists_bugs!$A$2:$T1058,20,FALSE()),"please select a BUG ID")</f>
        <v>please select a BUG ID</v>
      </c>
      <c r="E770" s="54"/>
      <c r="F770" s="82"/>
      <c r="G770" s="92"/>
      <c r="H770" s="54"/>
      <c r="I770" s="51" t="str">
        <f>IFERROR(VLOOKUP(A770,Internal_lists_bugs!$A$2:$G1058,7,FALSE()),"please select a BUG ID")</f>
        <v>please select a BUG ID</v>
      </c>
    </row>
    <row r="771">
      <c r="A771" s="54"/>
      <c r="B771" s="71" t="str">
        <f>IFERROR(HYPERLINK(VLOOKUP(A771,Internal_lists_bugs!$A$2:$C$73,3,FALSE()), VLOOKUP(A771,Internal_lists_bugs!$A$2:$C$73,3,FALSE())&amp;Char(10) &amp; Char(10) &amp; VLOOKUP(A771,Internal_lists_bugs!$A$2:$Z$73,26,FALSE())),"please select a BUG ID")</f>
        <v>please select a BUG ID</v>
      </c>
      <c r="C771" s="51" t="str">
        <f>IFERROR(VLOOKUP(A771,Internal_lists_bugs!$A$2:$T1058,20,FALSE()),"please select a BUG ID")</f>
        <v>please select a BUG ID</v>
      </c>
      <c r="E771" s="54"/>
      <c r="F771" s="82"/>
      <c r="G771" s="92"/>
      <c r="H771" s="54"/>
      <c r="I771" s="51" t="str">
        <f>IFERROR(VLOOKUP(A771,Internal_lists_bugs!$A$2:$G1058,7,FALSE()),"please select a BUG ID")</f>
        <v>please select a BUG ID</v>
      </c>
    </row>
    <row r="772">
      <c r="A772" s="54"/>
      <c r="B772" s="71" t="str">
        <f>IFERROR(HYPERLINK(VLOOKUP(A772,Internal_lists_bugs!$A$2:$C$73,3,FALSE()), VLOOKUP(A772,Internal_lists_bugs!$A$2:$C$73,3,FALSE())&amp;Char(10) &amp; Char(10) &amp; VLOOKUP(A772,Internal_lists_bugs!$A$2:$Z$73,26,FALSE())),"please select a BUG ID")</f>
        <v>please select a BUG ID</v>
      </c>
      <c r="C772" s="51" t="str">
        <f>IFERROR(VLOOKUP(A772,Internal_lists_bugs!$A$2:$T1058,20,FALSE()),"please select a BUG ID")</f>
        <v>please select a BUG ID</v>
      </c>
      <c r="E772" s="54"/>
      <c r="F772" s="82"/>
      <c r="G772" s="92"/>
      <c r="H772" s="54"/>
      <c r="I772" s="51" t="str">
        <f>IFERROR(VLOOKUP(A772,Internal_lists_bugs!$A$2:$G1058,7,FALSE()),"please select a BUG ID")</f>
        <v>please select a BUG ID</v>
      </c>
    </row>
    <row r="773">
      <c r="A773" s="54"/>
      <c r="B773" s="71" t="str">
        <f>IFERROR(HYPERLINK(VLOOKUP(A773,Internal_lists_bugs!$A$2:$C$73,3,FALSE()), VLOOKUP(A773,Internal_lists_bugs!$A$2:$C$73,3,FALSE())&amp;Char(10) &amp; Char(10) &amp; VLOOKUP(A773,Internal_lists_bugs!$A$2:$Z$73,26,FALSE())),"please select a BUG ID")</f>
        <v>please select a BUG ID</v>
      </c>
      <c r="C773" s="51" t="str">
        <f>IFERROR(VLOOKUP(A773,Internal_lists_bugs!$A$2:$T1058,20,FALSE()),"please select a BUG ID")</f>
        <v>please select a BUG ID</v>
      </c>
      <c r="E773" s="54"/>
      <c r="F773" s="82"/>
      <c r="G773" s="92"/>
      <c r="H773" s="54"/>
      <c r="I773" s="51" t="str">
        <f>IFERROR(VLOOKUP(A773,Internal_lists_bugs!$A$2:$G1058,7,FALSE()),"please select a BUG ID")</f>
        <v>please select a BUG ID</v>
      </c>
    </row>
    <row r="774">
      <c r="A774" s="54"/>
      <c r="B774" s="71" t="str">
        <f>IFERROR(HYPERLINK(VLOOKUP(A774,Internal_lists_bugs!$A$2:$C$73,3,FALSE()), VLOOKUP(A774,Internal_lists_bugs!$A$2:$C$73,3,FALSE())&amp;Char(10) &amp; Char(10) &amp; VLOOKUP(A774,Internal_lists_bugs!$A$2:$Z$73,26,FALSE())),"please select a BUG ID")</f>
        <v>please select a BUG ID</v>
      </c>
      <c r="C774" s="51" t="str">
        <f>IFERROR(VLOOKUP(A774,Internal_lists_bugs!$A$2:$T1058,20,FALSE()),"please select a BUG ID")</f>
        <v>please select a BUG ID</v>
      </c>
      <c r="E774" s="54"/>
      <c r="F774" s="82"/>
      <c r="G774" s="92"/>
      <c r="H774" s="54"/>
      <c r="I774" s="51" t="str">
        <f>IFERROR(VLOOKUP(A774,Internal_lists_bugs!$A$2:$G1058,7,FALSE()),"please select a BUG ID")</f>
        <v>please select a BUG ID</v>
      </c>
    </row>
    <row r="775">
      <c r="A775" s="54"/>
      <c r="B775" s="71" t="str">
        <f>IFERROR(HYPERLINK(VLOOKUP(A775,Internal_lists_bugs!$A$2:$C$73,3,FALSE()), VLOOKUP(A775,Internal_lists_bugs!$A$2:$C$73,3,FALSE())&amp;Char(10) &amp; Char(10) &amp; VLOOKUP(A775,Internal_lists_bugs!$A$2:$Z$73,26,FALSE())),"please select a BUG ID")</f>
        <v>please select a BUG ID</v>
      </c>
      <c r="C775" s="51" t="str">
        <f>IFERROR(VLOOKUP(A775,Internal_lists_bugs!$A$2:$T1058,20,FALSE()),"please select a BUG ID")</f>
        <v>please select a BUG ID</v>
      </c>
      <c r="E775" s="54"/>
      <c r="F775" s="82"/>
      <c r="G775" s="92"/>
      <c r="H775" s="54"/>
      <c r="I775" s="51" t="str">
        <f>IFERROR(VLOOKUP(A775,Internal_lists_bugs!$A$2:$G1058,7,FALSE()),"please select a BUG ID")</f>
        <v>please select a BUG ID</v>
      </c>
    </row>
    <row r="776">
      <c r="A776" s="54"/>
      <c r="B776" s="71" t="str">
        <f>IFERROR(HYPERLINK(VLOOKUP(A776,Internal_lists_bugs!$A$2:$C$73,3,FALSE()), VLOOKUP(A776,Internal_lists_bugs!$A$2:$C$73,3,FALSE())&amp;Char(10) &amp; Char(10) &amp; VLOOKUP(A776,Internal_lists_bugs!$A$2:$Z$73,26,FALSE())),"please select a BUG ID")</f>
        <v>please select a BUG ID</v>
      </c>
      <c r="C776" s="51" t="str">
        <f>IFERROR(VLOOKUP(A776,Internal_lists_bugs!$A$2:$T1058,20,FALSE()),"please select a BUG ID")</f>
        <v>please select a BUG ID</v>
      </c>
      <c r="E776" s="54"/>
      <c r="F776" s="82"/>
      <c r="G776" s="92"/>
      <c r="H776" s="54"/>
      <c r="I776" s="51" t="str">
        <f>IFERROR(VLOOKUP(A776,Internal_lists_bugs!$A$2:$G1058,7,FALSE()),"please select a BUG ID")</f>
        <v>please select a BUG ID</v>
      </c>
    </row>
    <row r="777">
      <c r="A777" s="54"/>
      <c r="B777" s="71" t="str">
        <f>IFERROR(HYPERLINK(VLOOKUP(A777,Internal_lists_bugs!$A$2:$C$73,3,FALSE()), VLOOKUP(A777,Internal_lists_bugs!$A$2:$C$73,3,FALSE())&amp;Char(10) &amp; Char(10) &amp; VLOOKUP(A777,Internal_lists_bugs!$A$2:$Z$73,26,FALSE())),"please select a BUG ID")</f>
        <v>please select a BUG ID</v>
      </c>
      <c r="C777" s="51" t="str">
        <f>IFERROR(VLOOKUP(A777,Internal_lists_bugs!$A$2:$T1058,20,FALSE()),"please select a BUG ID")</f>
        <v>please select a BUG ID</v>
      </c>
      <c r="E777" s="54"/>
      <c r="F777" s="82"/>
      <c r="G777" s="92"/>
      <c r="H777" s="54"/>
      <c r="I777" s="51" t="str">
        <f>IFERROR(VLOOKUP(A777,Internal_lists_bugs!$A$2:$G1058,7,FALSE()),"please select a BUG ID")</f>
        <v>please select a BUG ID</v>
      </c>
    </row>
    <row r="778">
      <c r="A778" s="54"/>
      <c r="B778" s="71" t="str">
        <f>IFERROR(HYPERLINK(VLOOKUP(A778,Internal_lists_bugs!$A$2:$C$73,3,FALSE()), VLOOKUP(A778,Internal_lists_bugs!$A$2:$C$73,3,FALSE())&amp;Char(10) &amp; Char(10) &amp; VLOOKUP(A778,Internal_lists_bugs!$A$2:$Z$73,26,FALSE())),"please select a BUG ID")</f>
        <v>please select a BUG ID</v>
      </c>
      <c r="C778" s="51" t="str">
        <f>IFERROR(VLOOKUP(A778,Internal_lists_bugs!$A$2:$T1058,20,FALSE()),"please select a BUG ID")</f>
        <v>please select a BUG ID</v>
      </c>
      <c r="E778" s="54"/>
      <c r="F778" s="82"/>
      <c r="G778" s="92"/>
      <c r="H778" s="54"/>
      <c r="I778" s="51" t="str">
        <f>IFERROR(VLOOKUP(A778,Internal_lists_bugs!$A$2:$G1058,7,FALSE()),"please select a BUG ID")</f>
        <v>please select a BUG ID</v>
      </c>
    </row>
    <row r="779">
      <c r="A779" s="54"/>
      <c r="B779" s="71" t="str">
        <f>IFERROR(HYPERLINK(VLOOKUP(A779,Internal_lists_bugs!$A$2:$C$73,3,FALSE()), VLOOKUP(A779,Internal_lists_bugs!$A$2:$C$73,3,FALSE())&amp;Char(10) &amp; Char(10) &amp; VLOOKUP(A779,Internal_lists_bugs!$A$2:$Z$73,26,FALSE())),"please select a BUG ID")</f>
        <v>please select a BUG ID</v>
      </c>
      <c r="C779" s="51" t="str">
        <f>IFERROR(VLOOKUP(A779,Internal_lists_bugs!$A$2:$T1058,20,FALSE()),"please select a BUG ID")</f>
        <v>please select a BUG ID</v>
      </c>
      <c r="E779" s="54"/>
      <c r="F779" s="82"/>
      <c r="G779" s="92"/>
      <c r="H779" s="54"/>
      <c r="I779" s="51" t="str">
        <f>IFERROR(VLOOKUP(A779,Internal_lists_bugs!$A$2:$G1058,7,FALSE()),"please select a BUG ID")</f>
        <v>please select a BUG ID</v>
      </c>
    </row>
    <row r="780">
      <c r="A780" s="54"/>
      <c r="B780" s="71" t="str">
        <f>IFERROR(HYPERLINK(VLOOKUP(A780,Internal_lists_bugs!$A$2:$C$73,3,FALSE()), VLOOKUP(A780,Internal_lists_bugs!$A$2:$C$73,3,FALSE())&amp;Char(10) &amp; Char(10) &amp; VLOOKUP(A780,Internal_lists_bugs!$A$2:$Z$73,26,FALSE())),"please select a BUG ID")</f>
        <v>please select a BUG ID</v>
      </c>
      <c r="C780" s="51" t="str">
        <f>IFERROR(VLOOKUP(A780,Internal_lists_bugs!$A$2:$T1058,20,FALSE()),"please select a BUG ID")</f>
        <v>please select a BUG ID</v>
      </c>
      <c r="E780" s="54"/>
      <c r="F780" s="82"/>
      <c r="G780" s="92"/>
      <c r="H780" s="54"/>
      <c r="I780" s="51" t="str">
        <f>IFERROR(VLOOKUP(A780,Internal_lists_bugs!$A$2:$G1058,7,FALSE()),"please select a BUG ID")</f>
        <v>please select a BUG ID</v>
      </c>
    </row>
    <row r="781">
      <c r="A781" s="54"/>
      <c r="B781" s="71" t="str">
        <f>IFERROR(HYPERLINK(VLOOKUP(A781,Internal_lists_bugs!$A$2:$C$73,3,FALSE()), VLOOKUP(A781,Internal_lists_bugs!$A$2:$C$73,3,FALSE())&amp;Char(10) &amp; Char(10) &amp; VLOOKUP(A781,Internal_lists_bugs!$A$2:$Z$73,26,FALSE())),"please select a BUG ID")</f>
        <v>please select a BUG ID</v>
      </c>
      <c r="C781" s="51" t="str">
        <f>IFERROR(VLOOKUP(A781,Internal_lists_bugs!$A$2:$T1058,20,FALSE()),"please select a BUG ID")</f>
        <v>please select a BUG ID</v>
      </c>
      <c r="E781" s="54"/>
      <c r="F781" s="82"/>
      <c r="G781" s="92"/>
      <c r="H781" s="54"/>
      <c r="I781" s="51" t="str">
        <f>IFERROR(VLOOKUP(A781,Internal_lists_bugs!$A$2:$G1058,7,FALSE()),"please select a BUG ID")</f>
        <v>please select a BUG ID</v>
      </c>
    </row>
    <row r="782">
      <c r="A782" s="54"/>
      <c r="B782" s="71" t="str">
        <f>IFERROR(HYPERLINK(VLOOKUP(A782,Internal_lists_bugs!$A$2:$C$73,3,FALSE()), VLOOKUP(A782,Internal_lists_bugs!$A$2:$C$73,3,FALSE())&amp;Char(10) &amp; Char(10) &amp; VLOOKUP(A782,Internal_lists_bugs!$A$2:$Z$73,26,FALSE())),"please select a BUG ID")</f>
        <v>please select a BUG ID</v>
      </c>
      <c r="C782" s="51" t="str">
        <f>IFERROR(VLOOKUP(A782,Internal_lists_bugs!$A$2:$T1058,20,FALSE()),"please select a BUG ID")</f>
        <v>please select a BUG ID</v>
      </c>
      <c r="E782" s="54"/>
      <c r="F782" s="82"/>
      <c r="G782" s="92"/>
      <c r="H782" s="54"/>
      <c r="I782" s="51" t="str">
        <f>IFERROR(VLOOKUP(A782,Internal_lists_bugs!$A$2:$G1058,7,FALSE()),"please select a BUG ID")</f>
        <v>please select a BUG ID</v>
      </c>
    </row>
    <row r="783">
      <c r="A783" s="54"/>
      <c r="B783" s="71" t="str">
        <f>IFERROR(HYPERLINK(VLOOKUP(A783,Internal_lists_bugs!$A$2:$C$73,3,FALSE()), VLOOKUP(A783,Internal_lists_bugs!$A$2:$C$73,3,FALSE())&amp;Char(10) &amp; Char(10) &amp; VLOOKUP(A783,Internal_lists_bugs!$A$2:$Z$73,26,FALSE())),"please select a BUG ID")</f>
        <v>please select a BUG ID</v>
      </c>
      <c r="C783" s="51" t="str">
        <f>IFERROR(VLOOKUP(A783,Internal_lists_bugs!$A$2:$T1058,20,FALSE()),"please select a BUG ID")</f>
        <v>please select a BUG ID</v>
      </c>
      <c r="E783" s="54"/>
      <c r="F783" s="82"/>
      <c r="G783" s="92"/>
      <c r="H783" s="54"/>
      <c r="I783" s="51" t="str">
        <f>IFERROR(VLOOKUP(A783,Internal_lists_bugs!$A$2:$G1058,7,FALSE()),"please select a BUG ID")</f>
        <v>please select a BUG ID</v>
      </c>
    </row>
    <row r="784">
      <c r="A784" s="54"/>
      <c r="B784" s="71" t="str">
        <f>IFERROR(HYPERLINK(VLOOKUP(A784,Internal_lists_bugs!$A$2:$C$73,3,FALSE()), VLOOKUP(A784,Internal_lists_bugs!$A$2:$C$73,3,FALSE())&amp;Char(10) &amp; Char(10) &amp; VLOOKUP(A784,Internal_lists_bugs!$A$2:$Z$73,26,FALSE())),"please select a BUG ID")</f>
        <v>please select a BUG ID</v>
      </c>
      <c r="C784" s="51" t="str">
        <f>IFERROR(VLOOKUP(A784,Internal_lists_bugs!$A$2:$T1058,20,FALSE()),"please select a BUG ID")</f>
        <v>please select a BUG ID</v>
      </c>
      <c r="E784" s="54"/>
      <c r="F784" s="82"/>
      <c r="G784" s="92"/>
      <c r="H784" s="54"/>
      <c r="I784" s="51" t="str">
        <f>IFERROR(VLOOKUP(A784,Internal_lists_bugs!$A$2:$G1058,7,FALSE()),"please select a BUG ID")</f>
        <v>please select a BUG ID</v>
      </c>
    </row>
    <row r="785">
      <c r="A785" s="54"/>
      <c r="B785" s="71" t="str">
        <f>IFERROR(HYPERLINK(VLOOKUP(A785,Internal_lists_bugs!$A$2:$C$73,3,FALSE()), VLOOKUP(A785,Internal_lists_bugs!$A$2:$C$73,3,FALSE())&amp;Char(10) &amp; Char(10) &amp; VLOOKUP(A785,Internal_lists_bugs!$A$2:$Z$73,26,FALSE())),"please select a BUG ID")</f>
        <v>please select a BUG ID</v>
      </c>
      <c r="C785" s="51" t="str">
        <f>IFERROR(VLOOKUP(A785,Internal_lists_bugs!$A$2:$T1058,20,FALSE()),"please select a BUG ID")</f>
        <v>please select a BUG ID</v>
      </c>
      <c r="E785" s="54"/>
      <c r="F785" s="82"/>
      <c r="G785" s="92"/>
      <c r="H785" s="54"/>
      <c r="I785" s="51" t="str">
        <f>IFERROR(VLOOKUP(A785,Internal_lists_bugs!$A$2:$G1058,7,FALSE()),"please select a BUG ID")</f>
        <v>please select a BUG ID</v>
      </c>
    </row>
    <row r="786">
      <c r="A786" s="54"/>
      <c r="B786" s="71" t="str">
        <f>IFERROR(HYPERLINK(VLOOKUP(A786,Internal_lists_bugs!$A$2:$C$73,3,FALSE()), VLOOKUP(A786,Internal_lists_bugs!$A$2:$C$73,3,FALSE())&amp;Char(10) &amp; Char(10) &amp; VLOOKUP(A786,Internal_lists_bugs!$A$2:$Z$73,26,FALSE())),"please select a BUG ID")</f>
        <v>please select a BUG ID</v>
      </c>
      <c r="C786" s="51" t="str">
        <f>IFERROR(VLOOKUP(A786,Internal_lists_bugs!$A$2:$T1058,20,FALSE()),"please select a BUG ID")</f>
        <v>please select a BUG ID</v>
      </c>
      <c r="E786" s="54"/>
      <c r="F786" s="82"/>
      <c r="G786" s="92"/>
      <c r="H786" s="54"/>
      <c r="I786" s="51" t="str">
        <f>IFERROR(VLOOKUP(A786,Internal_lists_bugs!$A$2:$G1058,7,FALSE()),"please select a BUG ID")</f>
        <v>please select a BUG ID</v>
      </c>
    </row>
    <row r="787">
      <c r="A787" s="54"/>
      <c r="B787" s="71" t="str">
        <f>IFERROR(HYPERLINK(VLOOKUP(A787,Internal_lists_bugs!$A$2:$C$73,3,FALSE()), VLOOKUP(A787,Internal_lists_bugs!$A$2:$C$73,3,FALSE())&amp;Char(10) &amp; Char(10) &amp; VLOOKUP(A787,Internal_lists_bugs!$A$2:$Z$73,26,FALSE())),"please select a BUG ID")</f>
        <v>please select a BUG ID</v>
      </c>
      <c r="C787" s="51" t="str">
        <f>IFERROR(VLOOKUP(A787,Internal_lists_bugs!$A$2:$T1058,20,FALSE()),"please select a BUG ID")</f>
        <v>please select a BUG ID</v>
      </c>
      <c r="E787" s="54"/>
      <c r="F787" s="82"/>
      <c r="G787" s="92"/>
      <c r="H787" s="54"/>
      <c r="I787" s="51" t="str">
        <f>IFERROR(VLOOKUP(A787,Internal_lists_bugs!$A$2:$G1058,7,FALSE()),"please select a BUG ID")</f>
        <v>please select a BUG ID</v>
      </c>
    </row>
    <row r="788">
      <c r="A788" s="54"/>
      <c r="B788" s="71" t="str">
        <f>IFERROR(HYPERLINK(VLOOKUP(A788,Internal_lists_bugs!$A$2:$C$73,3,FALSE()), VLOOKUP(A788,Internal_lists_bugs!$A$2:$C$73,3,FALSE())&amp;Char(10) &amp; Char(10) &amp; VLOOKUP(A788,Internal_lists_bugs!$A$2:$Z$73,26,FALSE())),"please select a BUG ID")</f>
        <v>please select a BUG ID</v>
      </c>
      <c r="C788" s="51" t="str">
        <f>IFERROR(VLOOKUP(A788,Internal_lists_bugs!$A$2:$T1058,20,FALSE()),"please select a BUG ID")</f>
        <v>please select a BUG ID</v>
      </c>
      <c r="E788" s="54"/>
      <c r="F788" s="82"/>
      <c r="G788" s="92"/>
      <c r="H788" s="54"/>
      <c r="I788" s="51" t="str">
        <f>IFERROR(VLOOKUP(A788,Internal_lists_bugs!$A$2:$G1058,7,FALSE()),"please select a BUG ID")</f>
        <v>please select a BUG ID</v>
      </c>
    </row>
    <row r="789">
      <c r="A789" s="54"/>
      <c r="B789" s="71" t="str">
        <f>IFERROR(HYPERLINK(VLOOKUP(A789,Internal_lists_bugs!$A$2:$C$73,3,FALSE()), VLOOKUP(A789,Internal_lists_bugs!$A$2:$C$73,3,FALSE())&amp;Char(10) &amp; Char(10) &amp; VLOOKUP(A789,Internal_lists_bugs!$A$2:$Z$73,26,FALSE())),"please select a BUG ID")</f>
        <v>please select a BUG ID</v>
      </c>
      <c r="C789" s="51" t="str">
        <f>IFERROR(VLOOKUP(A789,Internal_lists_bugs!$A$2:$T1058,20,FALSE()),"please select a BUG ID")</f>
        <v>please select a BUG ID</v>
      </c>
      <c r="E789" s="54"/>
      <c r="F789" s="82"/>
      <c r="G789" s="92"/>
      <c r="H789" s="54"/>
      <c r="I789" s="51" t="str">
        <f>IFERROR(VLOOKUP(A789,Internal_lists_bugs!$A$2:$G1058,7,FALSE()),"please select a BUG ID")</f>
        <v>please select a BUG ID</v>
      </c>
    </row>
    <row r="790">
      <c r="A790" s="54"/>
      <c r="B790" s="71" t="str">
        <f>IFERROR(HYPERLINK(VLOOKUP(A790,Internal_lists_bugs!$A$2:$C$73,3,FALSE()), VLOOKUP(A790,Internal_lists_bugs!$A$2:$C$73,3,FALSE())&amp;Char(10) &amp; Char(10) &amp; VLOOKUP(A790,Internal_lists_bugs!$A$2:$Z$73,26,FALSE())),"please select a BUG ID")</f>
        <v>please select a BUG ID</v>
      </c>
      <c r="C790" s="51" t="str">
        <f>IFERROR(VLOOKUP(A790,Internal_lists_bugs!$A$2:$T1058,20,FALSE()),"please select a BUG ID")</f>
        <v>please select a BUG ID</v>
      </c>
      <c r="E790" s="54"/>
      <c r="F790" s="82"/>
      <c r="G790" s="92"/>
      <c r="H790" s="54"/>
      <c r="I790" s="51" t="str">
        <f>IFERROR(VLOOKUP(A790,Internal_lists_bugs!$A$2:$G1058,7,FALSE()),"please select a BUG ID")</f>
        <v>please select a BUG ID</v>
      </c>
    </row>
    <row r="791">
      <c r="A791" s="54"/>
      <c r="B791" s="71" t="str">
        <f>IFERROR(HYPERLINK(VLOOKUP(A791,Internal_lists_bugs!$A$2:$C$73,3,FALSE()), VLOOKUP(A791,Internal_lists_bugs!$A$2:$C$73,3,FALSE())&amp;Char(10) &amp; Char(10) &amp; VLOOKUP(A791,Internal_lists_bugs!$A$2:$Z$73,26,FALSE())),"please select a BUG ID")</f>
        <v>please select a BUG ID</v>
      </c>
      <c r="C791" s="51" t="str">
        <f>IFERROR(VLOOKUP(A791,Internal_lists_bugs!$A$2:$T1058,20,FALSE()),"please select a BUG ID")</f>
        <v>please select a BUG ID</v>
      </c>
      <c r="E791" s="54"/>
      <c r="F791" s="82"/>
      <c r="G791" s="92"/>
      <c r="H791" s="54"/>
      <c r="I791" s="51" t="str">
        <f>IFERROR(VLOOKUP(A791,Internal_lists_bugs!$A$2:$G1058,7,FALSE()),"please select a BUG ID")</f>
        <v>please select a BUG ID</v>
      </c>
    </row>
    <row r="792">
      <c r="A792" s="54"/>
      <c r="B792" s="71" t="str">
        <f>IFERROR(HYPERLINK(VLOOKUP(A792,Internal_lists_bugs!$A$2:$C$73,3,FALSE()), VLOOKUP(A792,Internal_lists_bugs!$A$2:$C$73,3,FALSE())&amp;Char(10) &amp; Char(10) &amp; VLOOKUP(A792,Internal_lists_bugs!$A$2:$Z$73,26,FALSE())),"please select a BUG ID")</f>
        <v>please select a BUG ID</v>
      </c>
      <c r="C792" s="51" t="str">
        <f>IFERROR(VLOOKUP(A792,Internal_lists_bugs!$A$2:$T1058,20,FALSE()),"please select a BUG ID")</f>
        <v>please select a BUG ID</v>
      </c>
      <c r="E792" s="54"/>
      <c r="F792" s="82"/>
      <c r="G792" s="92"/>
      <c r="H792" s="54"/>
      <c r="I792" s="51" t="str">
        <f>IFERROR(VLOOKUP(A792,Internal_lists_bugs!$A$2:$G1058,7,FALSE()),"please select a BUG ID")</f>
        <v>please select a BUG ID</v>
      </c>
    </row>
    <row r="793">
      <c r="A793" s="54"/>
      <c r="B793" s="71" t="str">
        <f>IFERROR(HYPERLINK(VLOOKUP(A793,Internal_lists_bugs!$A$2:$C$73,3,FALSE()), VLOOKUP(A793,Internal_lists_bugs!$A$2:$C$73,3,FALSE())&amp;Char(10) &amp; Char(10) &amp; VLOOKUP(A793,Internal_lists_bugs!$A$2:$Z$73,26,FALSE())),"please select a BUG ID")</f>
        <v>please select a BUG ID</v>
      </c>
      <c r="C793" s="51" t="str">
        <f>IFERROR(VLOOKUP(A793,Internal_lists_bugs!$A$2:$T1058,20,FALSE()),"please select a BUG ID")</f>
        <v>please select a BUG ID</v>
      </c>
      <c r="E793" s="54"/>
      <c r="F793" s="82"/>
      <c r="G793" s="92"/>
      <c r="H793" s="54"/>
      <c r="I793" s="51" t="str">
        <f>IFERROR(VLOOKUP(A793,Internal_lists_bugs!$A$2:$G1058,7,FALSE()),"please select a BUG ID")</f>
        <v>please select a BUG ID</v>
      </c>
    </row>
    <row r="794">
      <c r="A794" s="54"/>
      <c r="B794" s="71" t="str">
        <f>IFERROR(HYPERLINK(VLOOKUP(A794,Internal_lists_bugs!$A$2:$C$73,3,FALSE()), VLOOKUP(A794,Internal_lists_bugs!$A$2:$C$73,3,FALSE())&amp;Char(10) &amp; Char(10) &amp; VLOOKUP(A794,Internal_lists_bugs!$A$2:$Z$73,26,FALSE())),"please select a BUG ID")</f>
        <v>please select a BUG ID</v>
      </c>
      <c r="C794" s="51" t="str">
        <f>IFERROR(VLOOKUP(A794,Internal_lists_bugs!$A$2:$T1058,20,FALSE()),"please select a BUG ID")</f>
        <v>please select a BUG ID</v>
      </c>
      <c r="E794" s="54"/>
      <c r="F794" s="82"/>
      <c r="G794" s="92"/>
      <c r="H794" s="54"/>
      <c r="I794" s="51" t="str">
        <f>IFERROR(VLOOKUP(A794,Internal_lists_bugs!$A$2:$G1058,7,FALSE()),"please select a BUG ID")</f>
        <v>please select a BUG ID</v>
      </c>
    </row>
    <row r="795">
      <c r="A795" s="54"/>
      <c r="B795" s="71" t="str">
        <f>IFERROR(HYPERLINK(VLOOKUP(A795,Internal_lists_bugs!$A$2:$C$73,3,FALSE()), VLOOKUP(A795,Internal_lists_bugs!$A$2:$C$73,3,FALSE())&amp;Char(10) &amp; Char(10) &amp; VLOOKUP(A795,Internal_lists_bugs!$A$2:$Z$73,26,FALSE())),"please select a BUG ID")</f>
        <v>please select a BUG ID</v>
      </c>
      <c r="C795" s="51" t="str">
        <f>IFERROR(VLOOKUP(A795,Internal_lists_bugs!$A$2:$T1058,20,FALSE()),"please select a BUG ID")</f>
        <v>please select a BUG ID</v>
      </c>
      <c r="E795" s="54"/>
      <c r="F795" s="82"/>
      <c r="G795" s="92"/>
      <c r="H795" s="54"/>
      <c r="I795" s="51" t="str">
        <f>IFERROR(VLOOKUP(A795,Internal_lists_bugs!$A$2:$G1058,7,FALSE()),"please select a BUG ID")</f>
        <v>please select a BUG ID</v>
      </c>
    </row>
    <row r="796">
      <c r="A796" s="54"/>
      <c r="B796" s="71" t="str">
        <f>IFERROR(HYPERLINK(VLOOKUP(A796,Internal_lists_bugs!$A$2:$C$73,3,FALSE()), VLOOKUP(A796,Internal_lists_bugs!$A$2:$C$73,3,FALSE())&amp;Char(10) &amp; Char(10) &amp; VLOOKUP(A796,Internal_lists_bugs!$A$2:$Z$73,26,FALSE())),"please select a BUG ID")</f>
        <v>please select a BUG ID</v>
      </c>
      <c r="C796" s="51" t="str">
        <f>IFERROR(VLOOKUP(A796,Internal_lists_bugs!$A$2:$T1058,20,FALSE()),"please select a BUG ID")</f>
        <v>please select a BUG ID</v>
      </c>
      <c r="E796" s="54"/>
      <c r="F796" s="82"/>
      <c r="G796" s="92"/>
      <c r="H796" s="54"/>
      <c r="I796" s="51" t="str">
        <f>IFERROR(VLOOKUP(A796,Internal_lists_bugs!$A$2:$G1058,7,FALSE()),"please select a BUG ID")</f>
        <v>please select a BUG ID</v>
      </c>
    </row>
    <row r="797">
      <c r="A797" s="54"/>
      <c r="B797" s="71" t="str">
        <f>IFERROR(HYPERLINK(VLOOKUP(A797,Internal_lists_bugs!$A$2:$C$73,3,FALSE()), VLOOKUP(A797,Internal_lists_bugs!$A$2:$C$73,3,FALSE())&amp;Char(10) &amp; Char(10) &amp; VLOOKUP(A797,Internal_lists_bugs!$A$2:$Z$73,26,FALSE())),"please select a BUG ID")</f>
        <v>please select a BUG ID</v>
      </c>
      <c r="C797" s="51" t="str">
        <f>IFERROR(VLOOKUP(A797,Internal_lists_bugs!$A$2:$T1058,20,FALSE()),"please select a BUG ID")</f>
        <v>please select a BUG ID</v>
      </c>
      <c r="E797" s="54"/>
      <c r="F797" s="82"/>
      <c r="G797" s="92"/>
      <c r="H797" s="54"/>
      <c r="I797" s="51" t="str">
        <f>IFERROR(VLOOKUP(A797,Internal_lists_bugs!$A$2:$G1058,7,FALSE()),"please select a BUG ID")</f>
        <v>please select a BUG ID</v>
      </c>
    </row>
    <row r="798">
      <c r="A798" s="54"/>
      <c r="B798" s="71" t="str">
        <f>IFERROR(HYPERLINK(VLOOKUP(A798,Internal_lists_bugs!$A$2:$C$73,3,FALSE()), VLOOKUP(A798,Internal_lists_bugs!$A$2:$C$73,3,FALSE())&amp;Char(10) &amp; Char(10) &amp; VLOOKUP(A798,Internal_lists_bugs!$A$2:$Z$73,26,FALSE())),"please select a BUG ID")</f>
        <v>please select a BUG ID</v>
      </c>
      <c r="C798" s="51" t="str">
        <f>IFERROR(VLOOKUP(A798,Internal_lists_bugs!$A$2:$T1058,20,FALSE()),"please select a BUG ID")</f>
        <v>please select a BUG ID</v>
      </c>
      <c r="E798" s="54"/>
      <c r="F798" s="82"/>
      <c r="G798" s="92"/>
      <c r="H798" s="54"/>
      <c r="I798" s="51" t="str">
        <f>IFERROR(VLOOKUP(A798,Internal_lists_bugs!$A$2:$G1058,7,FALSE()),"please select a BUG ID")</f>
        <v>please select a BUG ID</v>
      </c>
    </row>
    <row r="799">
      <c r="A799" s="54"/>
      <c r="B799" s="71" t="str">
        <f>IFERROR(HYPERLINK(VLOOKUP(A799,Internal_lists_bugs!$A$2:$C$73,3,FALSE()), VLOOKUP(A799,Internal_lists_bugs!$A$2:$C$73,3,FALSE())&amp;Char(10) &amp; Char(10) &amp; VLOOKUP(A799,Internal_lists_bugs!$A$2:$Z$73,26,FALSE())),"please select a BUG ID")</f>
        <v>please select a BUG ID</v>
      </c>
      <c r="C799" s="51" t="str">
        <f>IFERROR(VLOOKUP(A799,Internal_lists_bugs!$A$2:$T1058,20,FALSE()),"please select a BUG ID")</f>
        <v>please select a BUG ID</v>
      </c>
      <c r="E799" s="54"/>
      <c r="F799" s="82"/>
      <c r="G799" s="92"/>
      <c r="H799" s="54"/>
      <c r="I799" s="51" t="str">
        <f>IFERROR(VLOOKUP(A799,Internal_lists_bugs!$A$2:$G1058,7,FALSE()),"please select a BUG ID")</f>
        <v>please select a BUG ID</v>
      </c>
    </row>
    <row r="800">
      <c r="A800" s="54"/>
      <c r="B800" s="71" t="str">
        <f>IFERROR(HYPERLINK(VLOOKUP(A800,Internal_lists_bugs!$A$2:$C$73,3,FALSE()), VLOOKUP(A800,Internal_lists_bugs!$A$2:$C$73,3,FALSE())&amp;Char(10) &amp; Char(10) &amp; VLOOKUP(A800,Internal_lists_bugs!$A$2:$Z$73,26,FALSE())),"please select a BUG ID")</f>
        <v>please select a BUG ID</v>
      </c>
      <c r="C800" s="51" t="str">
        <f>IFERROR(VLOOKUP(A800,Internal_lists_bugs!$A$2:$T1058,20,FALSE()),"please select a BUG ID")</f>
        <v>please select a BUG ID</v>
      </c>
      <c r="E800" s="54"/>
      <c r="F800" s="82"/>
      <c r="G800" s="92"/>
      <c r="H800" s="54"/>
      <c r="I800" s="51" t="str">
        <f>IFERROR(VLOOKUP(A800,Internal_lists_bugs!$A$2:$G1058,7,FALSE()),"please select a BUG ID")</f>
        <v>please select a BUG ID</v>
      </c>
    </row>
    <row r="801">
      <c r="A801" s="54"/>
      <c r="B801" s="71" t="str">
        <f>IFERROR(HYPERLINK(VLOOKUP(A801,Internal_lists_bugs!$A$2:$C$73,3,FALSE()), VLOOKUP(A801,Internal_lists_bugs!$A$2:$C$73,3,FALSE())&amp;Char(10) &amp; Char(10) &amp; VLOOKUP(A801,Internal_lists_bugs!$A$2:$Z$73,26,FALSE())),"please select a BUG ID")</f>
        <v>please select a BUG ID</v>
      </c>
      <c r="C801" s="51" t="str">
        <f>IFERROR(VLOOKUP(A801,Internal_lists_bugs!$A$2:$T1058,20,FALSE()),"please select a BUG ID")</f>
        <v>please select a BUG ID</v>
      </c>
      <c r="E801" s="54"/>
      <c r="F801" s="82"/>
      <c r="G801" s="92"/>
      <c r="H801" s="54"/>
      <c r="I801" s="51" t="str">
        <f>IFERROR(VLOOKUP(A801,Internal_lists_bugs!$A$2:$G1058,7,FALSE()),"please select a BUG ID")</f>
        <v>please select a BUG ID</v>
      </c>
    </row>
    <row r="802">
      <c r="A802" s="54"/>
      <c r="B802" s="71" t="str">
        <f>IFERROR(HYPERLINK(VLOOKUP(A802,Internal_lists_bugs!$A$2:$C$73,3,FALSE()), VLOOKUP(A802,Internal_lists_bugs!$A$2:$C$73,3,FALSE())&amp;Char(10) &amp; Char(10) &amp; VLOOKUP(A802,Internal_lists_bugs!$A$2:$Z$73,26,FALSE())),"please select a BUG ID")</f>
        <v>please select a BUG ID</v>
      </c>
      <c r="C802" s="51" t="str">
        <f>IFERROR(VLOOKUP(A802,Internal_lists_bugs!$A$2:$T1058,20,FALSE()),"please select a BUG ID")</f>
        <v>please select a BUG ID</v>
      </c>
      <c r="E802" s="54"/>
      <c r="F802" s="82"/>
      <c r="G802" s="92"/>
      <c r="H802" s="54"/>
      <c r="I802" s="51" t="str">
        <f>IFERROR(VLOOKUP(A802,Internal_lists_bugs!$A$2:$G1058,7,FALSE()),"please select a BUG ID")</f>
        <v>please select a BUG ID</v>
      </c>
    </row>
    <row r="803">
      <c r="A803" s="54"/>
      <c r="B803" s="71" t="str">
        <f>IFERROR(HYPERLINK(VLOOKUP(A803,Internal_lists_bugs!$A$2:$C$73,3,FALSE()), VLOOKUP(A803,Internal_lists_bugs!$A$2:$C$73,3,FALSE())&amp;Char(10) &amp; Char(10) &amp; VLOOKUP(A803,Internal_lists_bugs!$A$2:$Z$73,26,FALSE())),"please select a BUG ID")</f>
        <v>please select a BUG ID</v>
      </c>
      <c r="C803" s="51" t="str">
        <f>IFERROR(VLOOKUP(A803,Internal_lists_bugs!$A$2:$T1058,20,FALSE()),"please select a BUG ID")</f>
        <v>please select a BUG ID</v>
      </c>
      <c r="E803" s="54"/>
      <c r="F803" s="82"/>
      <c r="G803" s="92"/>
      <c r="H803" s="54"/>
      <c r="I803" s="51" t="str">
        <f>IFERROR(VLOOKUP(A803,Internal_lists_bugs!$A$2:$G1058,7,FALSE()),"please select a BUG ID")</f>
        <v>please select a BUG ID</v>
      </c>
    </row>
    <row r="804">
      <c r="A804" s="54"/>
      <c r="B804" s="71" t="str">
        <f>IFERROR(HYPERLINK(VLOOKUP(A804,Internal_lists_bugs!$A$2:$C$73,3,FALSE()), VLOOKUP(A804,Internal_lists_bugs!$A$2:$C$73,3,FALSE())&amp;Char(10) &amp; Char(10) &amp; VLOOKUP(A804,Internal_lists_bugs!$A$2:$Z$73,26,FALSE())),"please select a BUG ID")</f>
        <v>please select a BUG ID</v>
      </c>
      <c r="C804" s="51" t="str">
        <f>IFERROR(VLOOKUP(A804,Internal_lists_bugs!$A$2:$T1058,20,FALSE()),"please select a BUG ID")</f>
        <v>please select a BUG ID</v>
      </c>
      <c r="E804" s="54"/>
      <c r="F804" s="82"/>
      <c r="G804" s="92"/>
      <c r="H804" s="54"/>
      <c r="I804" s="51" t="str">
        <f>IFERROR(VLOOKUP(A804,Internal_lists_bugs!$A$2:$G1058,7,FALSE()),"please select a BUG ID")</f>
        <v>please select a BUG ID</v>
      </c>
    </row>
    <row r="805">
      <c r="A805" s="54"/>
      <c r="B805" s="71" t="str">
        <f>IFERROR(HYPERLINK(VLOOKUP(A805,Internal_lists_bugs!$A$2:$C$73,3,FALSE()), VLOOKUP(A805,Internal_lists_bugs!$A$2:$C$73,3,FALSE())&amp;Char(10) &amp; Char(10) &amp; VLOOKUP(A805,Internal_lists_bugs!$A$2:$Z$73,26,FALSE())),"please select a BUG ID")</f>
        <v>please select a BUG ID</v>
      </c>
      <c r="C805" s="51" t="str">
        <f>IFERROR(VLOOKUP(A805,Internal_lists_bugs!$A$2:$T1058,20,FALSE()),"please select a BUG ID")</f>
        <v>please select a BUG ID</v>
      </c>
      <c r="E805" s="54"/>
      <c r="F805" s="82"/>
      <c r="G805" s="92"/>
      <c r="H805" s="54"/>
      <c r="I805" s="51" t="str">
        <f>IFERROR(VLOOKUP(A805,Internal_lists_bugs!$A$2:$G1058,7,FALSE()),"please select a BUG ID")</f>
        <v>please select a BUG ID</v>
      </c>
    </row>
    <row r="806">
      <c r="A806" s="54"/>
      <c r="B806" s="71" t="str">
        <f>IFERROR(HYPERLINK(VLOOKUP(A806,Internal_lists_bugs!$A$2:$C$73,3,FALSE()), VLOOKUP(A806,Internal_lists_bugs!$A$2:$C$73,3,FALSE())&amp;Char(10) &amp; Char(10) &amp; VLOOKUP(A806,Internal_lists_bugs!$A$2:$Z$73,26,FALSE())),"please select a BUG ID")</f>
        <v>please select a BUG ID</v>
      </c>
      <c r="C806" s="51" t="str">
        <f>IFERROR(VLOOKUP(A806,Internal_lists_bugs!$A$2:$T1058,20,FALSE()),"please select a BUG ID")</f>
        <v>please select a BUG ID</v>
      </c>
      <c r="E806" s="54"/>
      <c r="F806" s="82"/>
      <c r="G806" s="92"/>
      <c r="H806" s="54"/>
      <c r="I806" s="51" t="str">
        <f>IFERROR(VLOOKUP(A806,Internal_lists_bugs!$A$2:$G1058,7,FALSE()),"please select a BUG ID")</f>
        <v>please select a BUG ID</v>
      </c>
    </row>
    <row r="807">
      <c r="A807" s="54"/>
      <c r="B807" s="71" t="str">
        <f>IFERROR(HYPERLINK(VLOOKUP(A807,Internal_lists_bugs!$A$2:$C$73,3,FALSE()), VLOOKUP(A807,Internal_lists_bugs!$A$2:$C$73,3,FALSE())&amp;Char(10) &amp; Char(10) &amp; VLOOKUP(A807,Internal_lists_bugs!$A$2:$Z$73,26,FALSE())),"please select a BUG ID")</f>
        <v>please select a BUG ID</v>
      </c>
      <c r="C807" s="51" t="str">
        <f>IFERROR(VLOOKUP(A807,Internal_lists_bugs!$A$2:$T1058,20,FALSE()),"please select a BUG ID")</f>
        <v>please select a BUG ID</v>
      </c>
      <c r="E807" s="54"/>
      <c r="F807" s="82"/>
      <c r="G807" s="92"/>
      <c r="H807" s="54"/>
      <c r="I807" s="51" t="str">
        <f>IFERROR(VLOOKUP(A807,Internal_lists_bugs!$A$2:$G1058,7,FALSE()),"please select a BUG ID")</f>
        <v>please select a BUG ID</v>
      </c>
    </row>
    <row r="808">
      <c r="A808" s="54"/>
      <c r="B808" s="71" t="str">
        <f>IFERROR(HYPERLINK(VLOOKUP(A808,Internal_lists_bugs!$A$2:$C$73,3,FALSE()), VLOOKUP(A808,Internal_lists_bugs!$A$2:$C$73,3,FALSE())&amp;Char(10) &amp; Char(10) &amp; VLOOKUP(A808,Internal_lists_bugs!$A$2:$Z$73,26,FALSE())),"please select a BUG ID")</f>
        <v>please select a BUG ID</v>
      </c>
      <c r="C808" s="51" t="str">
        <f>IFERROR(VLOOKUP(A808,Internal_lists_bugs!$A$2:$T1058,20,FALSE()),"please select a BUG ID")</f>
        <v>please select a BUG ID</v>
      </c>
      <c r="E808" s="54"/>
      <c r="F808" s="82"/>
      <c r="G808" s="92"/>
      <c r="H808" s="54"/>
      <c r="I808" s="51" t="str">
        <f>IFERROR(VLOOKUP(A808,Internal_lists_bugs!$A$2:$G1058,7,FALSE()),"please select a BUG ID")</f>
        <v>please select a BUG ID</v>
      </c>
    </row>
    <row r="809">
      <c r="A809" s="54"/>
      <c r="B809" s="71" t="str">
        <f>IFERROR(HYPERLINK(VLOOKUP(A809,Internal_lists_bugs!$A$2:$C$73,3,FALSE()), VLOOKUP(A809,Internal_lists_bugs!$A$2:$C$73,3,FALSE())&amp;Char(10) &amp; Char(10) &amp; VLOOKUP(A809,Internal_lists_bugs!$A$2:$Z$73,26,FALSE())),"please select a BUG ID")</f>
        <v>please select a BUG ID</v>
      </c>
      <c r="C809" s="51" t="str">
        <f>IFERROR(VLOOKUP(A809,Internal_lists_bugs!$A$2:$T1058,20,FALSE()),"please select a BUG ID")</f>
        <v>please select a BUG ID</v>
      </c>
      <c r="E809" s="54"/>
      <c r="F809" s="82"/>
      <c r="G809" s="92"/>
      <c r="H809" s="54"/>
      <c r="I809" s="51" t="str">
        <f>IFERROR(VLOOKUP(A809,Internal_lists_bugs!$A$2:$G1058,7,FALSE()),"please select a BUG ID")</f>
        <v>please select a BUG ID</v>
      </c>
    </row>
    <row r="810">
      <c r="A810" s="54"/>
      <c r="B810" s="71" t="str">
        <f>IFERROR(HYPERLINK(VLOOKUP(A810,Internal_lists_bugs!$A$2:$C$73,3,FALSE()), VLOOKUP(A810,Internal_lists_bugs!$A$2:$C$73,3,FALSE())&amp;Char(10) &amp; Char(10) &amp; VLOOKUP(A810,Internal_lists_bugs!$A$2:$Z$73,26,FALSE())),"please select a BUG ID")</f>
        <v>please select a BUG ID</v>
      </c>
      <c r="C810" s="51" t="str">
        <f>IFERROR(VLOOKUP(A810,Internal_lists_bugs!$A$2:$T1058,20,FALSE()),"please select a BUG ID")</f>
        <v>please select a BUG ID</v>
      </c>
      <c r="E810" s="54"/>
      <c r="F810" s="82"/>
      <c r="G810" s="92"/>
      <c r="H810" s="54"/>
      <c r="I810" s="51" t="str">
        <f>IFERROR(VLOOKUP(A810,Internal_lists_bugs!$A$2:$G1058,7,FALSE()),"please select a BUG ID")</f>
        <v>please select a BUG ID</v>
      </c>
    </row>
    <row r="811">
      <c r="A811" s="54"/>
      <c r="B811" s="71" t="str">
        <f>IFERROR(HYPERLINK(VLOOKUP(A811,Internal_lists_bugs!$A$2:$C$73,3,FALSE()), VLOOKUP(A811,Internal_lists_bugs!$A$2:$C$73,3,FALSE())&amp;Char(10) &amp; Char(10) &amp; VLOOKUP(A811,Internal_lists_bugs!$A$2:$Z$73,26,FALSE())),"please select a BUG ID")</f>
        <v>please select a BUG ID</v>
      </c>
      <c r="C811" s="51" t="str">
        <f>IFERROR(VLOOKUP(A811,Internal_lists_bugs!$A$2:$T1058,20,FALSE()),"please select a BUG ID")</f>
        <v>please select a BUG ID</v>
      </c>
      <c r="E811" s="54"/>
      <c r="F811" s="82"/>
      <c r="G811" s="92"/>
      <c r="H811" s="54"/>
      <c r="I811" s="51" t="str">
        <f>IFERROR(VLOOKUP(A811,Internal_lists_bugs!$A$2:$G1058,7,FALSE()),"please select a BUG ID")</f>
        <v>please select a BUG ID</v>
      </c>
    </row>
    <row r="812">
      <c r="A812" s="54"/>
      <c r="B812" s="71" t="str">
        <f>IFERROR(HYPERLINK(VLOOKUP(A812,Internal_lists_bugs!$A$2:$C$73,3,FALSE()), VLOOKUP(A812,Internal_lists_bugs!$A$2:$C$73,3,FALSE())&amp;Char(10) &amp; Char(10) &amp; VLOOKUP(A812,Internal_lists_bugs!$A$2:$Z$73,26,FALSE())),"please select a BUG ID")</f>
        <v>please select a BUG ID</v>
      </c>
      <c r="C812" s="51" t="str">
        <f>IFERROR(VLOOKUP(A812,Internal_lists_bugs!$A$2:$T1058,20,FALSE()),"please select a BUG ID")</f>
        <v>please select a BUG ID</v>
      </c>
      <c r="E812" s="54"/>
      <c r="F812" s="82"/>
      <c r="G812" s="92"/>
      <c r="H812" s="54"/>
      <c r="I812" s="51" t="str">
        <f>IFERROR(VLOOKUP(A812,Internal_lists_bugs!$A$2:$G1058,7,FALSE()),"please select a BUG ID")</f>
        <v>please select a BUG ID</v>
      </c>
    </row>
    <row r="813">
      <c r="A813" s="54"/>
      <c r="B813" s="71" t="str">
        <f>IFERROR(HYPERLINK(VLOOKUP(A813,Internal_lists_bugs!$A$2:$C$73,3,FALSE()), VLOOKUP(A813,Internal_lists_bugs!$A$2:$C$73,3,FALSE())&amp;Char(10) &amp; Char(10) &amp; VLOOKUP(A813,Internal_lists_bugs!$A$2:$Z$73,26,FALSE())),"please select a BUG ID")</f>
        <v>please select a BUG ID</v>
      </c>
      <c r="C813" s="51" t="str">
        <f>IFERROR(VLOOKUP(A813,Internal_lists_bugs!$A$2:$T1058,20,FALSE()),"please select a BUG ID")</f>
        <v>please select a BUG ID</v>
      </c>
      <c r="E813" s="54"/>
      <c r="F813" s="82"/>
      <c r="G813" s="92"/>
      <c r="H813" s="54"/>
      <c r="I813" s="51" t="str">
        <f>IFERROR(VLOOKUP(A813,Internal_lists_bugs!$A$2:$G1058,7,FALSE()),"please select a BUG ID")</f>
        <v>please select a BUG ID</v>
      </c>
    </row>
    <row r="814">
      <c r="A814" s="54"/>
      <c r="B814" s="71" t="str">
        <f>IFERROR(HYPERLINK(VLOOKUP(A814,Internal_lists_bugs!$A$2:$C$73,3,FALSE()), VLOOKUP(A814,Internal_lists_bugs!$A$2:$C$73,3,FALSE())&amp;Char(10) &amp; Char(10) &amp; VLOOKUP(A814,Internal_lists_bugs!$A$2:$Z$73,26,FALSE())),"please select a BUG ID")</f>
        <v>please select a BUG ID</v>
      </c>
      <c r="C814" s="51" t="str">
        <f>IFERROR(VLOOKUP(A814,Internal_lists_bugs!$A$2:$T1058,20,FALSE()),"please select a BUG ID")</f>
        <v>please select a BUG ID</v>
      </c>
      <c r="E814" s="54"/>
      <c r="F814" s="82"/>
      <c r="G814" s="92"/>
      <c r="H814" s="54"/>
      <c r="I814" s="51" t="str">
        <f>IFERROR(VLOOKUP(A814,Internal_lists_bugs!$A$2:$G1058,7,FALSE()),"please select a BUG ID")</f>
        <v>please select a BUG ID</v>
      </c>
    </row>
    <row r="815">
      <c r="A815" s="54"/>
      <c r="B815" s="71" t="str">
        <f>IFERROR(HYPERLINK(VLOOKUP(A815,Internal_lists_bugs!$A$2:$C$73,3,FALSE()), VLOOKUP(A815,Internal_lists_bugs!$A$2:$C$73,3,FALSE())&amp;Char(10) &amp; Char(10) &amp; VLOOKUP(A815,Internal_lists_bugs!$A$2:$Z$73,26,FALSE())),"please select a BUG ID")</f>
        <v>please select a BUG ID</v>
      </c>
      <c r="C815" s="51" t="str">
        <f>IFERROR(VLOOKUP(A815,Internal_lists_bugs!$A$2:$T1058,20,FALSE()),"please select a BUG ID")</f>
        <v>please select a BUG ID</v>
      </c>
      <c r="E815" s="54"/>
      <c r="F815" s="82"/>
      <c r="G815" s="92"/>
      <c r="H815" s="54"/>
      <c r="I815" s="51" t="str">
        <f>IFERROR(VLOOKUP(A815,Internal_lists_bugs!$A$2:$G1058,7,FALSE()),"please select a BUG ID")</f>
        <v>please select a BUG ID</v>
      </c>
    </row>
    <row r="816">
      <c r="A816" s="54"/>
      <c r="B816" s="71" t="str">
        <f>IFERROR(HYPERLINK(VLOOKUP(A816,Internal_lists_bugs!$A$2:$C$73,3,FALSE()), VLOOKUP(A816,Internal_lists_bugs!$A$2:$C$73,3,FALSE())&amp;Char(10) &amp; Char(10) &amp; VLOOKUP(A816,Internal_lists_bugs!$A$2:$Z$73,26,FALSE())),"please select a BUG ID")</f>
        <v>please select a BUG ID</v>
      </c>
      <c r="C816" s="51" t="str">
        <f>IFERROR(VLOOKUP(A816,Internal_lists_bugs!$A$2:$T1058,20,FALSE()),"please select a BUG ID")</f>
        <v>please select a BUG ID</v>
      </c>
      <c r="E816" s="54"/>
      <c r="F816" s="82"/>
      <c r="G816" s="92"/>
      <c r="H816" s="54"/>
      <c r="I816" s="51" t="str">
        <f>IFERROR(VLOOKUP(A816,Internal_lists_bugs!$A$2:$G1058,7,FALSE()),"please select a BUG ID")</f>
        <v>please select a BUG ID</v>
      </c>
    </row>
    <row r="817">
      <c r="A817" s="54"/>
      <c r="B817" s="71" t="str">
        <f>IFERROR(HYPERLINK(VLOOKUP(A817,Internal_lists_bugs!$A$2:$C$73,3,FALSE()), VLOOKUP(A817,Internal_lists_bugs!$A$2:$C$73,3,FALSE())&amp;Char(10) &amp; Char(10) &amp; VLOOKUP(A817,Internal_lists_bugs!$A$2:$Z$73,26,FALSE())),"please select a BUG ID")</f>
        <v>please select a BUG ID</v>
      </c>
      <c r="C817" s="51" t="str">
        <f>IFERROR(VLOOKUP(A817,Internal_lists_bugs!$A$2:$T1058,20,FALSE()),"please select a BUG ID")</f>
        <v>please select a BUG ID</v>
      </c>
      <c r="E817" s="54"/>
      <c r="F817" s="82"/>
      <c r="G817" s="92"/>
      <c r="H817" s="54"/>
      <c r="I817" s="51" t="str">
        <f>IFERROR(VLOOKUP(A817,Internal_lists_bugs!$A$2:$G1058,7,FALSE()),"please select a BUG ID")</f>
        <v>please select a BUG ID</v>
      </c>
    </row>
    <row r="818">
      <c r="A818" s="54"/>
      <c r="B818" s="71" t="str">
        <f>IFERROR(HYPERLINK(VLOOKUP(A818,Internal_lists_bugs!$A$2:$C$73,3,FALSE()), VLOOKUP(A818,Internal_lists_bugs!$A$2:$C$73,3,FALSE())&amp;Char(10) &amp; Char(10) &amp; VLOOKUP(A818,Internal_lists_bugs!$A$2:$Z$73,26,FALSE())),"please select a BUG ID")</f>
        <v>please select a BUG ID</v>
      </c>
      <c r="C818" s="51" t="str">
        <f>IFERROR(VLOOKUP(A818,Internal_lists_bugs!$A$2:$T1058,20,FALSE()),"please select a BUG ID")</f>
        <v>please select a BUG ID</v>
      </c>
      <c r="E818" s="54"/>
      <c r="F818" s="82"/>
      <c r="G818" s="92"/>
      <c r="H818" s="54"/>
      <c r="I818" s="51" t="str">
        <f>IFERROR(VLOOKUP(A818,Internal_lists_bugs!$A$2:$G1058,7,FALSE()),"please select a BUG ID")</f>
        <v>please select a BUG ID</v>
      </c>
    </row>
    <row r="819">
      <c r="A819" s="54"/>
      <c r="B819" s="71" t="str">
        <f>IFERROR(HYPERLINK(VLOOKUP(A819,Internal_lists_bugs!$A$2:$C$73,3,FALSE()), VLOOKUP(A819,Internal_lists_bugs!$A$2:$C$73,3,FALSE())&amp;Char(10) &amp; Char(10) &amp; VLOOKUP(A819,Internal_lists_bugs!$A$2:$Z$73,26,FALSE())),"please select a BUG ID")</f>
        <v>please select a BUG ID</v>
      </c>
      <c r="C819" s="51" t="str">
        <f>IFERROR(VLOOKUP(A819,Internal_lists_bugs!$A$2:$T1058,20,FALSE()),"please select a BUG ID")</f>
        <v>please select a BUG ID</v>
      </c>
      <c r="E819" s="54"/>
      <c r="F819" s="82"/>
      <c r="G819" s="92"/>
      <c r="H819" s="54"/>
      <c r="I819" s="51" t="str">
        <f>IFERROR(VLOOKUP(A819,Internal_lists_bugs!$A$2:$G1058,7,FALSE()),"please select a BUG ID")</f>
        <v>please select a BUG ID</v>
      </c>
    </row>
    <row r="820">
      <c r="A820" s="54"/>
      <c r="B820" s="71" t="str">
        <f>IFERROR(HYPERLINK(VLOOKUP(A820,Internal_lists_bugs!$A$2:$C$73,3,FALSE()), VLOOKUP(A820,Internal_lists_bugs!$A$2:$C$73,3,FALSE())&amp;Char(10) &amp; Char(10) &amp; VLOOKUP(A820,Internal_lists_bugs!$A$2:$Z$73,26,FALSE())),"please select a BUG ID")</f>
        <v>please select a BUG ID</v>
      </c>
      <c r="C820" s="51" t="str">
        <f>IFERROR(VLOOKUP(A820,Internal_lists_bugs!$A$2:$T1058,20,FALSE()),"please select a BUG ID")</f>
        <v>please select a BUG ID</v>
      </c>
      <c r="E820" s="54"/>
      <c r="F820" s="82"/>
      <c r="G820" s="92"/>
      <c r="H820" s="54"/>
      <c r="I820" s="51" t="str">
        <f>IFERROR(VLOOKUP(A820,Internal_lists_bugs!$A$2:$G1058,7,FALSE()),"please select a BUG ID")</f>
        <v>please select a BUG ID</v>
      </c>
    </row>
    <row r="821">
      <c r="A821" s="54"/>
      <c r="B821" s="71" t="str">
        <f>IFERROR(HYPERLINK(VLOOKUP(A821,Internal_lists_bugs!$A$2:$C$73,3,FALSE()), VLOOKUP(A821,Internal_lists_bugs!$A$2:$C$73,3,FALSE())&amp;Char(10) &amp; Char(10) &amp; VLOOKUP(A821,Internal_lists_bugs!$A$2:$Z$73,26,FALSE())),"please select a BUG ID")</f>
        <v>please select a BUG ID</v>
      </c>
      <c r="C821" s="51" t="str">
        <f>IFERROR(VLOOKUP(A821,Internal_lists_bugs!$A$2:$T1058,20,FALSE()),"please select a BUG ID")</f>
        <v>please select a BUG ID</v>
      </c>
      <c r="E821" s="54"/>
      <c r="F821" s="82"/>
      <c r="G821" s="92"/>
      <c r="H821" s="54"/>
      <c r="I821" s="51" t="str">
        <f>IFERROR(VLOOKUP(A821,Internal_lists_bugs!$A$2:$G1058,7,FALSE()),"please select a BUG ID")</f>
        <v>please select a BUG ID</v>
      </c>
    </row>
    <row r="822">
      <c r="A822" s="54"/>
      <c r="B822" s="71" t="str">
        <f>IFERROR(HYPERLINK(VLOOKUP(A822,Internal_lists_bugs!$A$2:$C$73,3,FALSE()), VLOOKUP(A822,Internal_lists_bugs!$A$2:$C$73,3,FALSE())&amp;Char(10) &amp; Char(10) &amp; VLOOKUP(A822,Internal_lists_bugs!$A$2:$Z$73,26,FALSE())),"please select a BUG ID")</f>
        <v>please select a BUG ID</v>
      </c>
      <c r="C822" s="51" t="str">
        <f>IFERROR(VLOOKUP(A822,Internal_lists_bugs!$A$2:$T1058,20,FALSE()),"please select a BUG ID")</f>
        <v>please select a BUG ID</v>
      </c>
      <c r="E822" s="54"/>
      <c r="F822" s="82"/>
      <c r="G822" s="92"/>
      <c r="H822" s="54"/>
      <c r="I822" s="51" t="str">
        <f>IFERROR(VLOOKUP(A822,Internal_lists_bugs!$A$2:$G1058,7,FALSE()),"please select a BUG ID")</f>
        <v>please select a BUG ID</v>
      </c>
    </row>
    <row r="823">
      <c r="A823" s="54"/>
      <c r="B823" s="71" t="str">
        <f>IFERROR(HYPERLINK(VLOOKUP(A823,Internal_lists_bugs!$A$2:$C$73,3,FALSE()), VLOOKUP(A823,Internal_lists_bugs!$A$2:$C$73,3,FALSE())&amp;Char(10) &amp; Char(10) &amp; VLOOKUP(A823,Internal_lists_bugs!$A$2:$Z$73,26,FALSE())),"please select a BUG ID")</f>
        <v>please select a BUG ID</v>
      </c>
      <c r="C823" s="51" t="str">
        <f>IFERROR(VLOOKUP(A823,Internal_lists_bugs!$A$2:$T1058,20,FALSE()),"please select a BUG ID")</f>
        <v>please select a BUG ID</v>
      </c>
      <c r="E823" s="54"/>
      <c r="F823" s="82"/>
      <c r="G823" s="92"/>
      <c r="H823" s="54"/>
      <c r="I823" s="51" t="str">
        <f>IFERROR(VLOOKUP(A823,Internal_lists_bugs!$A$2:$G1058,7,FALSE()),"please select a BUG ID")</f>
        <v>please select a BUG ID</v>
      </c>
    </row>
    <row r="824">
      <c r="A824" s="54"/>
      <c r="B824" s="71" t="str">
        <f>IFERROR(HYPERLINK(VLOOKUP(A824,Internal_lists_bugs!$A$2:$C$73,3,FALSE()), VLOOKUP(A824,Internal_lists_bugs!$A$2:$C$73,3,FALSE())&amp;Char(10) &amp; Char(10) &amp; VLOOKUP(A824,Internal_lists_bugs!$A$2:$Z$73,26,FALSE())),"please select a BUG ID")</f>
        <v>please select a BUG ID</v>
      </c>
      <c r="C824" s="51" t="str">
        <f>IFERROR(VLOOKUP(A824,Internal_lists_bugs!$A$2:$T1058,20,FALSE()),"please select a BUG ID")</f>
        <v>please select a BUG ID</v>
      </c>
      <c r="E824" s="54"/>
      <c r="F824" s="82"/>
      <c r="G824" s="92"/>
      <c r="H824" s="54"/>
      <c r="I824" s="51" t="str">
        <f>IFERROR(VLOOKUP(A824,Internal_lists_bugs!$A$2:$G1058,7,FALSE()),"please select a BUG ID")</f>
        <v>please select a BUG ID</v>
      </c>
    </row>
    <row r="825">
      <c r="A825" s="54"/>
      <c r="B825" s="71" t="str">
        <f>IFERROR(HYPERLINK(VLOOKUP(A825,Internal_lists_bugs!$A$2:$C$73,3,FALSE()), VLOOKUP(A825,Internal_lists_bugs!$A$2:$C$73,3,FALSE())&amp;Char(10) &amp; Char(10) &amp; VLOOKUP(A825,Internal_lists_bugs!$A$2:$Z$73,26,FALSE())),"please select a BUG ID")</f>
        <v>please select a BUG ID</v>
      </c>
      <c r="C825" s="51" t="str">
        <f>IFERROR(VLOOKUP(A825,Internal_lists_bugs!$A$2:$T1058,20,FALSE()),"please select a BUG ID")</f>
        <v>please select a BUG ID</v>
      </c>
      <c r="E825" s="54"/>
      <c r="F825" s="82"/>
      <c r="G825" s="92"/>
      <c r="H825" s="54"/>
      <c r="I825" s="51" t="str">
        <f>IFERROR(VLOOKUP(A825,Internal_lists_bugs!$A$2:$G1058,7,FALSE()),"please select a BUG ID")</f>
        <v>please select a BUG ID</v>
      </c>
    </row>
    <row r="826">
      <c r="A826" s="54"/>
      <c r="B826" s="71" t="str">
        <f>IFERROR(HYPERLINK(VLOOKUP(A826,Internal_lists_bugs!$A$2:$C$73,3,FALSE()), VLOOKUP(A826,Internal_lists_bugs!$A$2:$C$73,3,FALSE())&amp;Char(10) &amp; Char(10) &amp; VLOOKUP(A826,Internal_lists_bugs!$A$2:$Z$73,26,FALSE())),"please select a BUG ID")</f>
        <v>please select a BUG ID</v>
      </c>
      <c r="C826" s="51" t="str">
        <f>IFERROR(VLOOKUP(A826,Internal_lists_bugs!$A$2:$T1058,20,FALSE()),"please select a BUG ID")</f>
        <v>please select a BUG ID</v>
      </c>
      <c r="E826" s="54"/>
      <c r="F826" s="82"/>
      <c r="G826" s="92"/>
      <c r="H826" s="54"/>
      <c r="I826" s="51" t="str">
        <f>IFERROR(VLOOKUP(A826,Internal_lists_bugs!$A$2:$G1058,7,FALSE()),"please select a BUG ID")</f>
        <v>please select a BUG ID</v>
      </c>
    </row>
    <row r="827">
      <c r="A827" s="54"/>
      <c r="B827" s="71" t="str">
        <f>IFERROR(HYPERLINK(VLOOKUP(A827,Internal_lists_bugs!$A$2:$C$73,3,FALSE()), VLOOKUP(A827,Internal_lists_bugs!$A$2:$C$73,3,FALSE())&amp;Char(10) &amp; Char(10) &amp; VLOOKUP(A827,Internal_lists_bugs!$A$2:$Z$73,26,FALSE())),"please select a BUG ID")</f>
        <v>please select a BUG ID</v>
      </c>
      <c r="C827" s="51" t="str">
        <f>IFERROR(VLOOKUP(A827,Internal_lists_bugs!$A$2:$T1058,20,FALSE()),"please select a BUG ID")</f>
        <v>please select a BUG ID</v>
      </c>
      <c r="E827" s="54"/>
      <c r="F827" s="82"/>
      <c r="G827" s="92"/>
      <c r="H827" s="54"/>
      <c r="I827" s="51" t="str">
        <f>IFERROR(VLOOKUP(A827,Internal_lists_bugs!$A$2:$G1058,7,FALSE()),"please select a BUG ID")</f>
        <v>please select a BUG ID</v>
      </c>
    </row>
    <row r="828">
      <c r="A828" s="54"/>
      <c r="B828" s="71" t="str">
        <f>IFERROR(HYPERLINK(VLOOKUP(A828,Internal_lists_bugs!$A$2:$C$73,3,FALSE()), VLOOKUP(A828,Internal_lists_bugs!$A$2:$C$73,3,FALSE())&amp;Char(10) &amp; Char(10) &amp; VLOOKUP(A828,Internal_lists_bugs!$A$2:$Z$73,26,FALSE())),"please select a BUG ID")</f>
        <v>please select a BUG ID</v>
      </c>
      <c r="C828" s="51" t="str">
        <f>IFERROR(VLOOKUP(A828,Internal_lists_bugs!$A$2:$T1058,20,FALSE()),"please select a BUG ID")</f>
        <v>please select a BUG ID</v>
      </c>
      <c r="E828" s="54"/>
      <c r="F828" s="82"/>
      <c r="G828" s="92"/>
      <c r="H828" s="54"/>
      <c r="I828" s="51" t="str">
        <f>IFERROR(VLOOKUP(A828,Internal_lists_bugs!$A$2:$G1058,7,FALSE()),"please select a BUG ID")</f>
        <v>please select a BUG ID</v>
      </c>
    </row>
    <row r="829">
      <c r="A829" s="54"/>
      <c r="B829" s="71" t="str">
        <f>IFERROR(HYPERLINK(VLOOKUP(A829,Internal_lists_bugs!$A$2:$C$73,3,FALSE()), VLOOKUP(A829,Internal_lists_bugs!$A$2:$C$73,3,FALSE())&amp;Char(10) &amp; Char(10) &amp; VLOOKUP(A829,Internal_lists_bugs!$A$2:$Z$73,26,FALSE())),"please select a BUG ID")</f>
        <v>please select a BUG ID</v>
      </c>
      <c r="C829" s="51" t="str">
        <f>IFERROR(VLOOKUP(A829,Internal_lists_bugs!$A$2:$T1058,20,FALSE()),"please select a BUG ID")</f>
        <v>please select a BUG ID</v>
      </c>
      <c r="E829" s="54"/>
      <c r="F829" s="82"/>
      <c r="G829" s="92"/>
      <c r="H829" s="54"/>
      <c r="I829" s="51" t="str">
        <f>IFERROR(VLOOKUP(A829,Internal_lists_bugs!$A$2:$G1058,7,FALSE()),"please select a BUG ID")</f>
        <v>please select a BUG ID</v>
      </c>
    </row>
    <row r="830">
      <c r="A830" s="54"/>
      <c r="B830" s="71" t="str">
        <f>IFERROR(HYPERLINK(VLOOKUP(A830,Internal_lists_bugs!$A$2:$C$73,3,FALSE()), VLOOKUP(A830,Internal_lists_bugs!$A$2:$C$73,3,FALSE())&amp;Char(10) &amp; Char(10) &amp; VLOOKUP(A830,Internal_lists_bugs!$A$2:$Z$73,26,FALSE())),"please select a BUG ID")</f>
        <v>please select a BUG ID</v>
      </c>
      <c r="C830" s="51" t="str">
        <f>IFERROR(VLOOKUP(A830,Internal_lists_bugs!$A$2:$T1058,20,FALSE()),"please select a BUG ID")</f>
        <v>please select a BUG ID</v>
      </c>
      <c r="E830" s="54"/>
      <c r="F830" s="82"/>
      <c r="G830" s="92"/>
      <c r="H830" s="54"/>
      <c r="I830" s="51" t="str">
        <f>IFERROR(VLOOKUP(A830,Internal_lists_bugs!$A$2:$G1058,7,FALSE()),"please select a BUG ID")</f>
        <v>please select a BUG ID</v>
      </c>
    </row>
    <row r="831">
      <c r="A831" s="54"/>
      <c r="B831" s="71" t="str">
        <f>IFERROR(HYPERLINK(VLOOKUP(A831,Internal_lists_bugs!$A$2:$C$73,3,FALSE()), VLOOKUP(A831,Internal_lists_bugs!$A$2:$C$73,3,FALSE())&amp;Char(10) &amp; Char(10) &amp; VLOOKUP(A831,Internal_lists_bugs!$A$2:$Z$73,26,FALSE())),"please select a BUG ID")</f>
        <v>please select a BUG ID</v>
      </c>
      <c r="C831" s="51" t="str">
        <f>IFERROR(VLOOKUP(A831,Internal_lists_bugs!$A$2:$T1058,20,FALSE()),"please select a BUG ID")</f>
        <v>please select a BUG ID</v>
      </c>
      <c r="E831" s="54"/>
      <c r="F831" s="82"/>
      <c r="G831" s="92"/>
      <c r="H831" s="54"/>
      <c r="I831" s="51" t="str">
        <f>IFERROR(VLOOKUP(A831,Internal_lists_bugs!$A$2:$G1058,7,FALSE()),"please select a BUG ID")</f>
        <v>please select a BUG ID</v>
      </c>
    </row>
    <row r="832">
      <c r="A832" s="54"/>
      <c r="B832" s="71" t="str">
        <f>IFERROR(HYPERLINK(VLOOKUP(A832,Internal_lists_bugs!$A$2:$C$73,3,FALSE()), VLOOKUP(A832,Internal_lists_bugs!$A$2:$C$73,3,FALSE())&amp;Char(10) &amp; Char(10) &amp; VLOOKUP(A832,Internal_lists_bugs!$A$2:$Z$73,26,FALSE())),"please select a BUG ID")</f>
        <v>please select a BUG ID</v>
      </c>
      <c r="C832" s="51" t="str">
        <f>IFERROR(VLOOKUP(A832,Internal_lists_bugs!$A$2:$T1058,20,FALSE()),"please select a BUG ID")</f>
        <v>please select a BUG ID</v>
      </c>
      <c r="E832" s="54"/>
      <c r="F832" s="82"/>
      <c r="G832" s="92"/>
      <c r="H832" s="54"/>
      <c r="I832" s="51" t="str">
        <f>IFERROR(VLOOKUP(A832,Internal_lists_bugs!$A$2:$G1058,7,FALSE()),"please select a BUG ID")</f>
        <v>please select a BUG ID</v>
      </c>
    </row>
    <row r="833">
      <c r="A833" s="54"/>
      <c r="B833" s="71" t="str">
        <f>IFERROR(HYPERLINK(VLOOKUP(A833,Internal_lists_bugs!$A$2:$C$73,3,FALSE()), VLOOKUP(A833,Internal_lists_bugs!$A$2:$C$73,3,FALSE())&amp;Char(10) &amp; Char(10) &amp; VLOOKUP(A833,Internal_lists_bugs!$A$2:$Z$73,26,FALSE())),"please select a BUG ID")</f>
        <v>please select a BUG ID</v>
      </c>
      <c r="C833" s="51" t="str">
        <f>IFERROR(VLOOKUP(A833,Internal_lists_bugs!$A$2:$T1058,20,FALSE()),"please select a BUG ID")</f>
        <v>please select a BUG ID</v>
      </c>
      <c r="E833" s="54"/>
      <c r="F833" s="82"/>
      <c r="G833" s="92"/>
      <c r="H833" s="54"/>
      <c r="I833" s="51" t="str">
        <f>IFERROR(VLOOKUP(A833,Internal_lists_bugs!$A$2:$G1058,7,FALSE()),"please select a BUG ID")</f>
        <v>please select a BUG ID</v>
      </c>
    </row>
    <row r="834">
      <c r="A834" s="54"/>
      <c r="B834" s="71" t="str">
        <f>IFERROR(HYPERLINK(VLOOKUP(A834,Internal_lists_bugs!$A$2:$C$73,3,FALSE()), VLOOKUP(A834,Internal_lists_bugs!$A$2:$C$73,3,FALSE())&amp;Char(10) &amp; Char(10) &amp; VLOOKUP(A834,Internal_lists_bugs!$A$2:$Z$73,26,FALSE())),"please select a BUG ID")</f>
        <v>please select a BUG ID</v>
      </c>
      <c r="C834" s="51" t="str">
        <f>IFERROR(VLOOKUP(A834,Internal_lists_bugs!$A$2:$T1058,20,FALSE()),"please select a BUG ID")</f>
        <v>please select a BUG ID</v>
      </c>
      <c r="E834" s="54"/>
      <c r="F834" s="82"/>
      <c r="G834" s="92"/>
      <c r="H834" s="54"/>
      <c r="I834" s="51" t="str">
        <f>IFERROR(VLOOKUP(A834,Internal_lists_bugs!$A$2:$G1058,7,FALSE()),"please select a BUG ID")</f>
        <v>please select a BUG ID</v>
      </c>
    </row>
    <row r="835">
      <c r="A835" s="54"/>
      <c r="B835" s="71" t="str">
        <f>IFERROR(HYPERLINK(VLOOKUP(A835,Internal_lists_bugs!$A$2:$C$73,3,FALSE()), VLOOKUP(A835,Internal_lists_bugs!$A$2:$C$73,3,FALSE())&amp;Char(10) &amp; Char(10) &amp; VLOOKUP(A835,Internal_lists_bugs!$A$2:$Z$73,26,FALSE())),"please select a BUG ID")</f>
        <v>please select a BUG ID</v>
      </c>
      <c r="C835" s="51" t="str">
        <f>IFERROR(VLOOKUP(A835,Internal_lists_bugs!$A$2:$T1058,20,FALSE()),"please select a BUG ID")</f>
        <v>please select a BUG ID</v>
      </c>
      <c r="E835" s="54"/>
      <c r="F835" s="82"/>
      <c r="G835" s="92"/>
      <c r="H835" s="54"/>
      <c r="I835" s="51" t="str">
        <f>IFERROR(VLOOKUP(A835,Internal_lists_bugs!$A$2:$G1058,7,FALSE()),"please select a BUG ID")</f>
        <v>please select a BUG ID</v>
      </c>
    </row>
    <row r="836">
      <c r="A836" s="54"/>
      <c r="B836" s="71" t="str">
        <f>IFERROR(HYPERLINK(VLOOKUP(A836,Internal_lists_bugs!$A$2:$C$73,3,FALSE()), VLOOKUP(A836,Internal_lists_bugs!$A$2:$C$73,3,FALSE())&amp;Char(10) &amp; Char(10) &amp; VLOOKUP(A836,Internal_lists_bugs!$A$2:$Z$73,26,FALSE())),"please select a BUG ID")</f>
        <v>please select a BUG ID</v>
      </c>
      <c r="C836" s="51" t="str">
        <f>IFERROR(VLOOKUP(A836,Internal_lists_bugs!$A$2:$T1058,20,FALSE()),"please select a BUG ID")</f>
        <v>please select a BUG ID</v>
      </c>
      <c r="E836" s="54"/>
      <c r="F836" s="82"/>
      <c r="G836" s="92"/>
      <c r="H836" s="54"/>
      <c r="I836" s="51" t="str">
        <f>IFERROR(VLOOKUP(A836,Internal_lists_bugs!$A$2:$G1058,7,FALSE()),"please select a BUG ID")</f>
        <v>please select a BUG ID</v>
      </c>
    </row>
    <row r="837">
      <c r="A837" s="54"/>
      <c r="B837" s="71" t="str">
        <f>IFERROR(HYPERLINK(VLOOKUP(A837,Internal_lists_bugs!$A$2:$C$73,3,FALSE()), VLOOKUP(A837,Internal_lists_bugs!$A$2:$C$73,3,FALSE())&amp;Char(10) &amp; Char(10) &amp; VLOOKUP(A837,Internal_lists_bugs!$A$2:$Z$73,26,FALSE())),"please select a BUG ID")</f>
        <v>please select a BUG ID</v>
      </c>
      <c r="C837" s="51" t="str">
        <f>IFERROR(VLOOKUP(A837,Internal_lists_bugs!$A$2:$T1058,20,FALSE()),"please select a BUG ID")</f>
        <v>please select a BUG ID</v>
      </c>
      <c r="E837" s="54"/>
      <c r="F837" s="82"/>
      <c r="G837" s="92"/>
      <c r="H837" s="54"/>
      <c r="I837" s="51" t="str">
        <f>IFERROR(VLOOKUP(A837,Internal_lists_bugs!$A$2:$G1058,7,FALSE()),"please select a BUG ID")</f>
        <v>please select a BUG ID</v>
      </c>
    </row>
    <row r="838">
      <c r="A838" s="54"/>
      <c r="B838" s="71" t="str">
        <f>IFERROR(HYPERLINK(VLOOKUP(A838,Internal_lists_bugs!$A$2:$C$73,3,FALSE()), VLOOKUP(A838,Internal_lists_bugs!$A$2:$C$73,3,FALSE())&amp;Char(10) &amp; Char(10) &amp; VLOOKUP(A838,Internal_lists_bugs!$A$2:$Z$73,26,FALSE())),"please select a BUG ID")</f>
        <v>please select a BUG ID</v>
      </c>
      <c r="C838" s="51" t="str">
        <f>IFERROR(VLOOKUP(A838,Internal_lists_bugs!$A$2:$T1058,20,FALSE()),"please select a BUG ID")</f>
        <v>please select a BUG ID</v>
      </c>
      <c r="E838" s="54"/>
      <c r="F838" s="82"/>
      <c r="G838" s="92"/>
      <c r="H838" s="54"/>
      <c r="I838" s="51" t="str">
        <f>IFERROR(VLOOKUP(A838,Internal_lists_bugs!$A$2:$G1058,7,FALSE()),"please select a BUG ID")</f>
        <v>please select a BUG ID</v>
      </c>
    </row>
    <row r="839">
      <c r="A839" s="54"/>
      <c r="B839" s="71" t="str">
        <f>IFERROR(HYPERLINK(VLOOKUP(A839,Internal_lists_bugs!$A$2:$C$73,3,FALSE()), VLOOKUP(A839,Internal_lists_bugs!$A$2:$C$73,3,FALSE())&amp;Char(10) &amp; Char(10) &amp; VLOOKUP(A839,Internal_lists_bugs!$A$2:$Z$73,26,FALSE())),"please select a BUG ID")</f>
        <v>please select a BUG ID</v>
      </c>
      <c r="C839" s="51" t="str">
        <f>IFERROR(VLOOKUP(A839,Internal_lists_bugs!$A$2:$T1058,20,FALSE()),"please select a BUG ID")</f>
        <v>please select a BUG ID</v>
      </c>
      <c r="E839" s="54"/>
      <c r="F839" s="82"/>
      <c r="G839" s="92"/>
      <c r="H839" s="54"/>
      <c r="I839" s="51" t="str">
        <f>IFERROR(VLOOKUP(A839,Internal_lists_bugs!$A$2:$G1058,7,FALSE()),"please select a BUG ID")</f>
        <v>please select a BUG ID</v>
      </c>
    </row>
    <row r="840">
      <c r="A840" s="54"/>
      <c r="B840" s="71" t="str">
        <f>IFERROR(HYPERLINK(VLOOKUP(A840,Internal_lists_bugs!$A$2:$C$73,3,FALSE()), VLOOKUP(A840,Internal_lists_bugs!$A$2:$C$73,3,FALSE())&amp;Char(10) &amp; Char(10) &amp; VLOOKUP(A840,Internal_lists_bugs!$A$2:$Z$73,26,FALSE())),"please select a BUG ID")</f>
        <v>please select a BUG ID</v>
      </c>
      <c r="C840" s="51" t="str">
        <f>IFERROR(VLOOKUP(A840,Internal_lists_bugs!$A$2:$T1058,20,FALSE()),"please select a BUG ID")</f>
        <v>please select a BUG ID</v>
      </c>
      <c r="E840" s="54"/>
      <c r="F840" s="82"/>
      <c r="G840" s="92"/>
      <c r="H840" s="54"/>
      <c r="I840" s="51" t="str">
        <f>IFERROR(VLOOKUP(A840,Internal_lists_bugs!$A$2:$G1058,7,FALSE()),"please select a BUG ID")</f>
        <v>please select a BUG ID</v>
      </c>
    </row>
    <row r="841">
      <c r="A841" s="54"/>
      <c r="B841" s="71" t="str">
        <f>IFERROR(HYPERLINK(VLOOKUP(A841,Internal_lists_bugs!$A$2:$C$73,3,FALSE()), VLOOKUP(A841,Internal_lists_bugs!$A$2:$C$73,3,FALSE())&amp;Char(10) &amp; Char(10) &amp; VLOOKUP(A841,Internal_lists_bugs!$A$2:$Z$73,26,FALSE())),"please select a BUG ID")</f>
        <v>please select a BUG ID</v>
      </c>
      <c r="C841" s="51" t="str">
        <f>IFERROR(VLOOKUP(A841,Internal_lists_bugs!$A$2:$T1058,20,FALSE()),"please select a BUG ID")</f>
        <v>please select a BUG ID</v>
      </c>
      <c r="E841" s="54"/>
      <c r="F841" s="82"/>
      <c r="G841" s="92"/>
      <c r="H841" s="54"/>
      <c r="I841" s="51" t="str">
        <f>IFERROR(VLOOKUP(A841,Internal_lists_bugs!$A$2:$G1058,7,FALSE()),"please select a BUG ID")</f>
        <v>please select a BUG ID</v>
      </c>
    </row>
    <row r="842">
      <c r="A842" s="54"/>
      <c r="B842" s="71" t="str">
        <f>IFERROR(HYPERLINK(VLOOKUP(A842,Internal_lists_bugs!$A$2:$C$73,3,FALSE()), VLOOKUP(A842,Internal_lists_bugs!$A$2:$C$73,3,FALSE())&amp;Char(10) &amp; Char(10) &amp; VLOOKUP(A842,Internal_lists_bugs!$A$2:$Z$73,26,FALSE())),"please select a BUG ID")</f>
        <v>please select a BUG ID</v>
      </c>
      <c r="C842" s="51" t="str">
        <f>IFERROR(VLOOKUP(A842,Internal_lists_bugs!$A$2:$T1058,20,FALSE()),"please select a BUG ID")</f>
        <v>please select a BUG ID</v>
      </c>
      <c r="E842" s="54"/>
      <c r="F842" s="82"/>
      <c r="G842" s="92"/>
      <c r="H842" s="54"/>
      <c r="I842" s="51" t="str">
        <f>IFERROR(VLOOKUP(A842,Internal_lists_bugs!$A$2:$G1058,7,FALSE()),"please select a BUG ID")</f>
        <v>please select a BUG ID</v>
      </c>
    </row>
    <row r="843">
      <c r="A843" s="54"/>
      <c r="B843" s="71" t="str">
        <f>IFERROR(HYPERLINK(VLOOKUP(A843,Internal_lists_bugs!$A$2:$C$73,3,FALSE()), VLOOKUP(A843,Internal_lists_bugs!$A$2:$C$73,3,FALSE())&amp;Char(10) &amp; Char(10) &amp; VLOOKUP(A843,Internal_lists_bugs!$A$2:$Z$73,26,FALSE())),"please select a BUG ID")</f>
        <v>please select a BUG ID</v>
      </c>
      <c r="C843" s="51" t="str">
        <f>IFERROR(VLOOKUP(A843,Internal_lists_bugs!$A$2:$T1058,20,FALSE()),"please select a BUG ID")</f>
        <v>please select a BUG ID</v>
      </c>
      <c r="E843" s="54"/>
      <c r="F843" s="82"/>
      <c r="G843" s="92"/>
      <c r="H843" s="54"/>
      <c r="I843" s="51" t="str">
        <f>IFERROR(VLOOKUP(A843,Internal_lists_bugs!$A$2:$G1058,7,FALSE()),"please select a BUG ID")</f>
        <v>please select a BUG ID</v>
      </c>
    </row>
    <row r="844">
      <c r="A844" s="54"/>
      <c r="B844" s="71" t="str">
        <f>IFERROR(HYPERLINK(VLOOKUP(A844,Internal_lists_bugs!$A$2:$C$73,3,FALSE()), VLOOKUP(A844,Internal_lists_bugs!$A$2:$C$73,3,FALSE())&amp;Char(10) &amp; Char(10) &amp; VLOOKUP(A844,Internal_lists_bugs!$A$2:$Z$73,26,FALSE())),"please select a BUG ID")</f>
        <v>please select a BUG ID</v>
      </c>
      <c r="C844" s="51" t="str">
        <f>IFERROR(VLOOKUP(A844,Internal_lists_bugs!$A$2:$T1058,20,FALSE()),"please select a BUG ID")</f>
        <v>please select a BUG ID</v>
      </c>
      <c r="E844" s="54"/>
      <c r="F844" s="82"/>
      <c r="G844" s="92"/>
      <c r="H844" s="54"/>
      <c r="I844" s="51" t="str">
        <f>IFERROR(VLOOKUP(A844,Internal_lists_bugs!$A$2:$G1058,7,FALSE()),"please select a BUG ID")</f>
        <v>please select a BUG ID</v>
      </c>
    </row>
    <row r="845">
      <c r="A845" s="54"/>
      <c r="B845" s="71" t="str">
        <f>IFERROR(HYPERLINK(VLOOKUP(A845,Internal_lists_bugs!$A$2:$C$73,3,FALSE()), VLOOKUP(A845,Internal_lists_bugs!$A$2:$C$73,3,FALSE())&amp;Char(10) &amp; Char(10) &amp; VLOOKUP(A845,Internal_lists_bugs!$A$2:$Z$73,26,FALSE())),"please select a BUG ID")</f>
        <v>please select a BUG ID</v>
      </c>
      <c r="C845" s="51" t="str">
        <f>IFERROR(VLOOKUP(A845,Internal_lists_bugs!$A$2:$T1058,20,FALSE()),"please select a BUG ID")</f>
        <v>please select a BUG ID</v>
      </c>
      <c r="E845" s="54"/>
      <c r="F845" s="82"/>
      <c r="G845" s="92"/>
      <c r="H845" s="54"/>
      <c r="I845" s="51" t="str">
        <f>IFERROR(VLOOKUP(A845,Internal_lists_bugs!$A$2:$G1058,7,FALSE()),"please select a BUG ID")</f>
        <v>please select a BUG ID</v>
      </c>
    </row>
    <row r="846">
      <c r="A846" s="54"/>
      <c r="B846" s="71" t="str">
        <f>IFERROR(HYPERLINK(VLOOKUP(A846,Internal_lists_bugs!$A$2:$C$73,3,FALSE()), VLOOKUP(A846,Internal_lists_bugs!$A$2:$C$73,3,FALSE())&amp;Char(10) &amp; Char(10) &amp; VLOOKUP(A846,Internal_lists_bugs!$A$2:$Z$73,26,FALSE())),"please select a BUG ID")</f>
        <v>please select a BUG ID</v>
      </c>
      <c r="C846" s="51" t="str">
        <f>IFERROR(VLOOKUP(A846,Internal_lists_bugs!$A$2:$T1058,20,FALSE()),"please select a BUG ID")</f>
        <v>please select a BUG ID</v>
      </c>
      <c r="E846" s="54"/>
      <c r="F846" s="82"/>
      <c r="G846" s="92"/>
      <c r="H846" s="54"/>
      <c r="I846" s="51" t="str">
        <f>IFERROR(VLOOKUP(A846,Internal_lists_bugs!$A$2:$G1058,7,FALSE()),"please select a BUG ID")</f>
        <v>please select a BUG ID</v>
      </c>
    </row>
    <row r="847">
      <c r="A847" s="54"/>
      <c r="B847" s="71" t="str">
        <f>IFERROR(HYPERLINK(VLOOKUP(A847,Internal_lists_bugs!$A$2:$C$73,3,FALSE()), VLOOKUP(A847,Internal_lists_bugs!$A$2:$C$73,3,FALSE())&amp;Char(10) &amp; Char(10) &amp; VLOOKUP(A847,Internal_lists_bugs!$A$2:$Z$73,26,FALSE())),"please select a BUG ID")</f>
        <v>please select a BUG ID</v>
      </c>
      <c r="C847" s="51" t="str">
        <f>IFERROR(VLOOKUP(A847,Internal_lists_bugs!$A$2:$T1058,20,FALSE()),"please select a BUG ID")</f>
        <v>please select a BUG ID</v>
      </c>
      <c r="E847" s="54"/>
      <c r="F847" s="82"/>
      <c r="G847" s="92"/>
      <c r="H847" s="54"/>
      <c r="I847" s="51" t="str">
        <f>IFERROR(VLOOKUP(A847,Internal_lists_bugs!$A$2:$G1058,7,FALSE()),"please select a BUG ID")</f>
        <v>please select a BUG ID</v>
      </c>
    </row>
    <row r="848">
      <c r="A848" s="54"/>
      <c r="B848" s="71" t="str">
        <f>IFERROR(HYPERLINK(VLOOKUP(A848,Internal_lists_bugs!$A$2:$C$73,3,FALSE()), VLOOKUP(A848,Internal_lists_bugs!$A$2:$C$73,3,FALSE())&amp;Char(10) &amp; Char(10) &amp; VLOOKUP(A848,Internal_lists_bugs!$A$2:$Z$73,26,FALSE())),"please select a BUG ID")</f>
        <v>please select a BUG ID</v>
      </c>
      <c r="C848" s="51" t="str">
        <f>IFERROR(VLOOKUP(A848,Internal_lists_bugs!$A$2:$T1058,20,FALSE()),"please select a BUG ID")</f>
        <v>please select a BUG ID</v>
      </c>
      <c r="E848" s="54"/>
      <c r="F848" s="82"/>
      <c r="G848" s="92"/>
      <c r="H848" s="54"/>
      <c r="I848" s="51" t="str">
        <f>IFERROR(VLOOKUP(A848,Internal_lists_bugs!$A$2:$G1058,7,FALSE()),"please select a BUG ID")</f>
        <v>please select a BUG ID</v>
      </c>
    </row>
    <row r="849">
      <c r="A849" s="54"/>
      <c r="B849" s="71" t="str">
        <f>IFERROR(HYPERLINK(VLOOKUP(A849,Internal_lists_bugs!$A$2:$C$73,3,FALSE()), VLOOKUP(A849,Internal_lists_bugs!$A$2:$C$73,3,FALSE())&amp;Char(10) &amp; Char(10) &amp; VLOOKUP(A849,Internal_lists_bugs!$A$2:$Z$73,26,FALSE())),"please select a BUG ID")</f>
        <v>please select a BUG ID</v>
      </c>
      <c r="C849" s="51" t="str">
        <f>IFERROR(VLOOKUP(A849,Internal_lists_bugs!$A$2:$T1058,20,FALSE()),"please select a BUG ID")</f>
        <v>please select a BUG ID</v>
      </c>
      <c r="E849" s="54"/>
      <c r="F849" s="82"/>
      <c r="G849" s="92"/>
      <c r="H849" s="54"/>
      <c r="I849" s="51" t="str">
        <f>IFERROR(VLOOKUP(A849,Internal_lists_bugs!$A$2:$G1058,7,FALSE()),"please select a BUG ID")</f>
        <v>please select a BUG ID</v>
      </c>
    </row>
    <row r="850">
      <c r="A850" s="54"/>
      <c r="B850" s="71" t="str">
        <f>IFERROR(HYPERLINK(VLOOKUP(A850,Internal_lists_bugs!$A$2:$C$73,3,FALSE()), VLOOKUP(A850,Internal_lists_bugs!$A$2:$C$73,3,FALSE())&amp;Char(10) &amp; Char(10) &amp; VLOOKUP(A850,Internal_lists_bugs!$A$2:$Z$73,26,FALSE())),"please select a BUG ID")</f>
        <v>please select a BUG ID</v>
      </c>
      <c r="C850" s="51" t="str">
        <f>IFERROR(VLOOKUP(A850,Internal_lists_bugs!$A$2:$T1058,20,FALSE()),"please select a BUG ID")</f>
        <v>please select a BUG ID</v>
      </c>
      <c r="E850" s="54"/>
      <c r="F850" s="82"/>
      <c r="G850" s="92"/>
      <c r="H850" s="54"/>
      <c r="I850" s="51" t="str">
        <f>IFERROR(VLOOKUP(A850,Internal_lists_bugs!$A$2:$G1058,7,FALSE()),"please select a BUG ID")</f>
        <v>please select a BUG ID</v>
      </c>
    </row>
    <row r="851">
      <c r="A851" s="54"/>
      <c r="B851" s="71" t="str">
        <f>IFERROR(HYPERLINK(VLOOKUP(A851,Internal_lists_bugs!$A$2:$C$73,3,FALSE()), VLOOKUP(A851,Internal_lists_bugs!$A$2:$C$73,3,FALSE())&amp;Char(10) &amp; Char(10) &amp; VLOOKUP(A851,Internal_lists_bugs!$A$2:$Z$73,26,FALSE())),"please select a BUG ID")</f>
        <v>please select a BUG ID</v>
      </c>
      <c r="C851" s="51" t="str">
        <f>IFERROR(VLOOKUP(A851,Internal_lists_bugs!$A$2:$T1058,20,FALSE()),"please select a BUG ID")</f>
        <v>please select a BUG ID</v>
      </c>
      <c r="E851" s="54"/>
      <c r="F851" s="82"/>
      <c r="G851" s="92"/>
      <c r="H851" s="54"/>
      <c r="I851" s="51" t="str">
        <f>IFERROR(VLOOKUP(A851,Internal_lists_bugs!$A$2:$G1058,7,FALSE()),"please select a BUG ID")</f>
        <v>please select a BUG ID</v>
      </c>
    </row>
    <row r="852">
      <c r="A852" s="54"/>
      <c r="B852" s="71" t="str">
        <f>IFERROR(HYPERLINK(VLOOKUP(A852,Internal_lists_bugs!$A$2:$C$73,3,FALSE()), VLOOKUP(A852,Internal_lists_bugs!$A$2:$C$73,3,FALSE())&amp;Char(10) &amp; Char(10) &amp; VLOOKUP(A852,Internal_lists_bugs!$A$2:$Z$73,26,FALSE())),"please select a BUG ID")</f>
        <v>please select a BUG ID</v>
      </c>
      <c r="C852" s="51" t="str">
        <f>IFERROR(VLOOKUP(A852,Internal_lists_bugs!$A$2:$T1058,20,FALSE()),"please select a BUG ID")</f>
        <v>please select a BUG ID</v>
      </c>
      <c r="E852" s="54"/>
      <c r="F852" s="82"/>
      <c r="G852" s="92"/>
      <c r="H852" s="54"/>
      <c r="I852" s="51" t="str">
        <f>IFERROR(VLOOKUP(A852,Internal_lists_bugs!$A$2:$G1058,7,FALSE()),"please select a BUG ID")</f>
        <v>please select a BUG ID</v>
      </c>
    </row>
    <row r="853">
      <c r="A853" s="54"/>
      <c r="B853" s="71" t="str">
        <f>IFERROR(HYPERLINK(VLOOKUP(A853,Internal_lists_bugs!$A$2:$C$73,3,FALSE()), VLOOKUP(A853,Internal_lists_bugs!$A$2:$C$73,3,FALSE())&amp;Char(10) &amp; Char(10) &amp; VLOOKUP(A853,Internal_lists_bugs!$A$2:$Z$73,26,FALSE())),"please select a BUG ID")</f>
        <v>please select a BUG ID</v>
      </c>
      <c r="C853" s="51" t="str">
        <f>IFERROR(VLOOKUP(A853,Internal_lists_bugs!$A$2:$T1058,20,FALSE()),"please select a BUG ID")</f>
        <v>please select a BUG ID</v>
      </c>
      <c r="E853" s="54"/>
      <c r="F853" s="82"/>
      <c r="G853" s="92"/>
      <c r="H853" s="54"/>
      <c r="I853" s="51" t="str">
        <f>IFERROR(VLOOKUP(A853,Internal_lists_bugs!$A$2:$G1058,7,FALSE()),"please select a BUG ID")</f>
        <v>please select a BUG ID</v>
      </c>
    </row>
    <row r="854">
      <c r="A854" s="54"/>
      <c r="B854" s="71" t="str">
        <f>IFERROR(HYPERLINK(VLOOKUP(A854,Internal_lists_bugs!$A$2:$C$73,3,FALSE()), VLOOKUP(A854,Internal_lists_bugs!$A$2:$C$73,3,FALSE())&amp;Char(10) &amp; Char(10) &amp; VLOOKUP(A854,Internal_lists_bugs!$A$2:$Z$73,26,FALSE())),"please select a BUG ID")</f>
        <v>please select a BUG ID</v>
      </c>
      <c r="C854" s="51" t="str">
        <f>IFERROR(VLOOKUP(A854,Internal_lists_bugs!$A$2:$T1058,20,FALSE()),"please select a BUG ID")</f>
        <v>please select a BUG ID</v>
      </c>
      <c r="E854" s="54"/>
      <c r="F854" s="82"/>
      <c r="G854" s="92"/>
      <c r="H854" s="54"/>
      <c r="I854" s="51" t="str">
        <f>IFERROR(VLOOKUP(A854,Internal_lists_bugs!$A$2:$G1058,7,FALSE()),"please select a BUG ID")</f>
        <v>please select a BUG ID</v>
      </c>
    </row>
    <row r="855">
      <c r="A855" s="54"/>
      <c r="B855" s="71" t="str">
        <f>IFERROR(HYPERLINK(VLOOKUP(A855,Internal_lists_bugs!$A$2:$C$73,3,FALSE()), VLOOKUP(A855,Internal_lists_bugs!$A$2:$C$73,3,FALSE())&amp;Char(10) &amp; Char(10) &amp; VLOOKUP(A855,Internal_lists_bugs!$A$2:$Z$73,26,FALSE())),"please select a BUG ID")</f>
        <v>please select a BUG ID</v>
      </c>
      <c r="C855" s="51" t="str">
        <f>IFERROR(VLOOKUP(A855,Internal_lists_bugs!$A$2:$T1058,20,FALSE()),"please select a BUG ID")</f>
        <v>please select a BUG ID</v>
      </c>
      <c r="E855" s="54"/>
      <c r="F855" s="82"/>
      <c r="G855" s="92"/>
      <c r="H855" s="54"/>
      <c r="I855" s="51" t="str">
        <f>IFERROR(VLOOKUP(A855,Internal_lists_bugs!$A$2:$G1058,7,FALSE()),"please select a BUG ID")</f>
        <v>please select a BUG ID</v>
      </c>
    </row>
    <row r="856">
      <c r="A856" s="54"/>
      <c r="B856" s="71" t="str">
        <f>IFERROR(HYPERLINK(VLOOKUP(A856,Internal_lists_bugs!$A$2:$C$73,3,FALSE()), VLOOKUP(A856,Internal_lists_bugs!$A$2:$C$73,3,FALSE())&amp;Char(10) &amp; Char(10) &amp; VLOOKUP(A856,Internal_lists_bugs!$A$2:$Z$73,26,FALSE())),"please select a BUG ID")</f>
        <v>please select a BUG ID</v>
      </c>
      <c r="C856" s="51" t="str">
        <f>IFERROR(VLOOKUP(A856,Internal_lists_bugs!$A$2:$T1058,20,FALSE()),"please select a BUG ID")</f>
        <v>please select a BUG ID</v>
      </c>
      <c r="E856" s="54"/>
      <c r="F856" s="82"/>
      <c r="G856" s="92"/>
      <c r="H856" s="54"/>
      <c r="I856" s="51" t="str">
        <f>IFERROR(VLOOKUP(A856,Internal_lists_bugs!$A$2:$G1058,7,FALSE()),"please select a BUG ID")</f>
        <v>please select a BUG ID</v>
      </c>
    </row>
    <row r="857">
      <c r="A857" s="54"/>
      <c r="B857" s="71" t="str">
        <f>IFERROR(HYPERLINK(VLOOKUP(A857,Internal_lists_bugs!$A$2:$C$73,3,FALSE()), VLOOKUP(A857,Internal_lists_bugs!$A$2:$C$73,3,FALSE())&amp;Char(10) &amp; Char(10) &amp; VLOOKUP(A857,Internal_lists_bugs!$A$2:$Z$73,26,FALSE())),"please select a BUG ID")</f>
        <v>please select a BUG ID</v>
      </c>
      <c r="C857" s="51" t="str">
        <f>IFERROR(VLOOKUP(A857,Internal_lists_bugs!$A$2:$T1058,20,FALSE()),"please select a BUG ID")</f>
        <v>please select a BUG ID</v>
      </c>
      <c r="E857" s="54"/>
      <c r="F857" s="82"/>
      <c r="G857" s="92"/>
      <c r="H857" s="54"/>
      <c r="I857" s="51" t="str">
        <f>IFERROR(VLOOKUP(A857,Internal_lists_bugs!$A$2:$G1058,7,FALSE()),"please select a BUG ID")</f>
        <v>please select a BUG ID</v>
      </c>
    </row>
    <row r="858">
      <c r="A858" s="54"/>
      <c r="B858" s="71" t="str">
        <f>IFERROR(HYPERLINK(VLOOKUP(A858,Internal_lists_bugs!$A$2:$C$73,3,FALSE()), VLOOKUP(A858,Internal_lists_bugs!$A$2:$C$73,3,FALSE())&amp;Char(10) &amp; Char(10) &amp; VLOOKUP(A858,Internal_lists_bugs!$A$2:$Z$73,26,FALSE())),"please select a BUG ID")</f>
        <v>please select a BUG ID</v>
      </c>
      <c r="C858" s="51" t="str">
        <f>IFERROR(VLOOKUP(A858,Internal_lists_bugs!$A$2:$T1058,20,FALSE()),"please select a BUG ID")</f>
        <v>please select a BUG ID</v>
      </c>
      <c r="E858" s="54"/>
      <c r="F858" s="82"/>
      <c r="G858" s="92"/>
      <c r="H858" s="54"/>
      <c r="I858" s="51" t="str">
        <f>IFERROR(VLOOKUP(A858,Internal_lists_bugs!$A$2:$G1058,7,FALSE()),"please select a BUG ID")</f>
        <v>please select a BUG ID</v>
      </c>
    </row>
    <row r="859">
      <c r="A859" s="54"/>
      <c r="B859" s="71" t="str">
        <f>IFERROR(HYPERLINK(VLOOKUP(A859,Internal_lists_bugs!$A$2:$C$73,3,FALSE()), VLOOKUP(A859,Internal_lists_bugs!$A$2:$C$73,3,FALSE())&amp;Char(10) &amp; Char(10) &amp; VLOOKUP(A859,Internal_lists_bugs!$A$2:$Z$73,26,FALSE())),"please select a BUG ID")</f>
        <v>please select a BUG ID</v>
      </c>
      <c r="C859" s="51" t="str">
        <f>IFERROR(VLOOKUP(A859,Internal_lists_bugs!$A$2:$T1058,20,FALSE()),"please select a BUG ID")</f>
        <v>please select a BUG ID</v>
      </c>
      <c r="E859" s="54"/>
      <c r="F859" s="82"/>
      <c r="G859" s="92"/>
      <c r="H859" s="54"/>
      <c r="I859" s="51" t="str">
        <f>IFERROR(VLOOKUP(A859,Internal_lists_bugs!$A$2:$G1058,7,FALSE()),"please select a BUG ID")</f>
        <v>please select a BUG ID</v>
      </c>
    </row>
    <row r="860">
      <c r="A860" s="54"/>
      <c r="B860" s="71" t="str">
        <f>IFERROR(HYPERLINK(VLOOKUP(A860,Internal_lists_bugs!$A$2:$C$73,3,FALSE()), VLOOKUP(A860,Internal_lists_bugs!$A$2:$C$73,3,FALSE())&amp;Char(10) &amp; Char(10) &amp; VLOOKUP(A860,Internal_lists_bugs!$A$2:$Z$73,26,FALSE())),"please select a BUG ID")</f>
        <v>please select a BUG ID</v>
      </c>
      <c r="C860" s="51" t="str">
        <f>IFERROR(VLOOKUP(A860,Internal_lists_bugs!$A$2:$T1058,20,FALSE()),"please select a BUG ID")</f>
        <v>please select a BUG ID</v>
      </c>
      <c r="E860" s="54"/>
      <c r="F860" s="82"/>
      <c r="G860" s="92"/>
      <c r="H860" s="54"/>
      <c r="I860" s="51" t="str">
        <f>IFERROR(VLOOKUP(A860,Internal_lists_bugs!$A$2:$G1058,7,FALSE()),"please select a BUG ID")</f>
        <v>please select a BUG ID</v>
      </c>
    </row>
    <row r="861">
      <c r="A861" s="54"/>
      <c r="B861" s="71" t="str">
        <f>IFERROR(HYPERLINK(VLOOKUP(A861,Internal_lists_bugs!$A$2:$C$73,3,FALSE()), VLOOKUP(A861,Internal_lists_bugs!$A$2:$C$73,3,FALSE())&amp;Char(10) &amp; Char(10) &amp; VLOOKUP(A861,Internal_lists_bugs!$A$2:$Z$73,26,FALSE())),"please select a BUG ID")</f>
        <v>please select a BUG ID</v>
      </c>
      <c r="C861" s="51" t="str">
        <f>IFERROR(VLOOKUP(A861,Internal_lists_bugs!$A$2:$T1058,20,FALSE()),"please select a BUG ID")</f>
        <v>please select a BUG ID</v>
      </c>
      <c r="E861" s="54"/>
      <c r="F861" s="82"/>
      <c r="G861" s="92"/>
      <c r="H861" s="54"/>
      <c r="I861" s="51" t="str">
        <f>IFERROR(VLOOKUP(A861,Internal_lists_bugs!$A$2:$G1058,7,FALSE()),"please select a BUG ID")</f>
        <v>please select a BUG ID</v>
      </c>
    </row>
    <row r="862">
      <c r="A862" s="54"/>
      <c r="B862" s="71" t="str">
        <f>IFERROR(HYPERLINK(VLOOKUP(A862,Internal_lists_bugs!$A$2:$C$73,3,FALSE()), VLOOKUP(A862,Internal_lists_bugs!$A$2:$C$73,3,FALSE())&amp;Char(10) &amp; Char(10) &amp; VLOOKUP(A862,Internal_lists_bugs!$A$2:$Z$73,26,FALSE())),"please select a BUG ID")</f>
        <v>please select a BUG ID</v>
      </c>
      <c r="C862" s="51" t="str">
        <f>IFERROR(VLOOKUP(A862,Internal_lists_bugs!$A$2:$T1058,20,FALSE()),"please select a BUG ID")</f>
        <v>please select a BUG ID</v>
      </c>
      <c r="E862" s="54"/>
      <c r="F862" s="82"/>
      <c r="G862" s="92"/>
      <c r="H862" s="54"/>
      <c r="I862" s="51" t="str">
        <f>IFERROR(VLOOKUP(A862,Internal_lists_bugs!$A$2:$G1058,7,FALSE()),"please select a BUG ID")</f>
        <v>please select a BUG ID</v>
      </c>
    </row>
    <row r="863">
      <c r="A863" s="54"/>
      <c r="B863" s="71" t="str">
        <f>IFERROR(HYPERLINK(VLOOKUP(A863,Internal_lists_bugs!$A$2:$C$73,3,FALSE()), VLOOKUP(A863,Internal_lists_bugs!$A$2:$C$73,3,FALSE())&amp;Char(10) &amp; Char(10) &amp; VLOOKUP(A863,Internal_lists_bugs!$A$2:$Z$73,26,FALSE())),"please select a BUG ID")</f>
        <v>please select a BUG ID</v>
      </c>
      <c r="C863" s="51" t="str">
        <f>IFERROR(VLOOKUP(A863,Internal_lists_bugs!$A$2:$T1058,20,FALSE()),"please select a BUG ID")</f>
        <v>please select a BUG ID</v>
      </c>
      <c r="E863" s="54"/>
      <c r="F863" s="82"/>
      <c r="G863" s="92"/>
      <c r="H863" s="54"/>
      <c r="I863" s="51" t="str">
        <f>IFERROR(VLOOKUP(A863,Internal_lists_bugs!$A$2:$G1058,7,FALSE()),"please select a BUG ID")</f>
        <v>please select a BUG ID</v>
      </c>
    </row>
    <row r="864">
      <c r="A864" s="54"/>
      <c r="B864" s="71" t="str">
        <f>IFERROR(HYPERLINK(VLOOKUP(A864,Internal_lists_bugs!$A$2:$C$73,3,FALSE()), VLOOKUP(A864,Internal_lists_bugs!$A$2:$C$73,3,FALSE())&amp;Char(10) &amp; Char(10) &amp; VLOOKUP(A864,Internal_lists_bugs!$A$2:$Z$73,26,FALSE())),"please select a BUG ID")</f>
        <v>please select a BUG ID</v>
      </c>
      <c r="C864" s="51" t="str">
        <f>IFERROR(VLOOKUP(A864,Internal_lists_bugs!$A$2:$T1058,20,FALSE()),"please select a BUG ID")</f>
        <v>please select a BUG ID</v>
      </c>
      <c r="E864" s="54"/>
      <c r="F864" s="82"/>
      <c r="G864" s="92"/>
      <c r="H864" s="54"/>
      <c r="I864" s="51" t="str">
        <f>IFERROR(VLOOKUP(A864,Internal_lists_bugs!$A$2:$G1058,7,FALSE()),"please select a BUG ID")</f>
        <v>please select a BUG ID</v>
      </c>
    </row>
    <row r="865">
      <c r="A865" s="54"/>
      <c r="B865" s="71" t="str">
        <f>IFERROR(HYPERLINK(VLOOKUP(A865,Internal_lists_bugs!$A$2:$C$73,3,FALSE()), VLOOKUP(A865,Internal_lists_bugs!$A$2:$C$73,3,FALSE())&amp;Char(10) &amp; Char(10) &amp; VLOOKUP(A865,Internal_lists_bugs!$A$2:$Z$73,26,FALSE())),"please select a BUG ID")</f>
        <v>please select a BUG ID</v>
      </c>
      <c r="C865" s="51" t="str">
        <f>IFERROR(VLOOKUP(A865,Internal_lists_bugs!$A$2:$T1058,20,FALSE()),"please select a BUG ID")</f>
        <v>please select a BUG ID</v>
      </c>
      <c r="E865" s="54"/>
      <c r="F865" s="82"/>
      <c r="G865" s="92"/>
      <c r="H865" s="54"/>
      <c r="I865" s="51" t="str">
        <f>IFERROR(VLOOKUP(A865,Internal_lists_bugs!$A$2:$G1058,7,FALSE()),"please select a BUG ID")</f>
        <v>please select a BUG ID</v>
      </c>
    </row>
    <row r="866">
      <c r="A866" s="54"/>
      <c r="B866" s="71" t="str">
        <f>IFERROR(HYPERLINK(VLOOKUP(A866,Internal_lists_bugs!$A$2:$C$73,3,FALSE()), VLOOKUP(A866,Internal_lists_bugs!$A$2:$C$73,3,FALSE())&amp;Char(10) &amp; Char(10) &amp; VLOOKUP(A866,Internal_lists_bugs!$A$2:$Z$73,26,FALSE())),"please select a BUG ID")</f>
        <v>please select a BUG ID</v>
      </c>
      <c r="C866" s="51" t="str">
        <f>IFERROR(VLOOKUP(A866,Internal_lists_bugs!$A$2:$T1058,20,FALSE()),"please select a BUG ID")</f>
        <v>please select a BUG ID</v>
      </c>
      <c r="E866" s="54"/>
      <c r="F866" s="82"/>
      <c r="G866" s="92"/>
      <c r="H866" s="54"/>
      <c r="I866" s="51" t="str">
        <f>IFERROR(VLOOKUP(A866,Internal_lists_bugs!$A$2:$G1058,7,FALSE()),"please select a BUG ID")</f>
        <v>please select a BUG ID</v>
      </c>
    </row>
    <row r="867">
      <c r="A867" s="54"/>
      <c r="B867" s="71" t="str">
        <f>IFERROR(HYPERLINK(VLOOKUP(A867,Internal_lists_bugs!$A$2:$C$73,3,FALSE()), VLOOKUP(A867,Internal_lists_bugs!$A$2:$C$73,3,FALSE())&amp;Char(10) &amp; Char(10) &amp; VLOOKUP(A867,Internal_lists_bugs!$A$2:$Z$73,26,FALSE())),"please select a BUG ID")</f>
        <v>please select a BUG ID</v>
      </c>
      <c r="C867" s="51" t="str">
        <f>IFERROR(VLOOKUP(A867,Internal_lists_bugs!$A$2:$T1058,20,FALSE()),"please select a BUG ID")</f>
        <v>please select a BUG ID</v>
      </c>
      <c r="E867" s="54"/>
      <c r="F867" s="82"/>
      <c r="G867" s="92"/>
      <c r="H867" s="54"/>
      <c r="I867" s="51" t="str">
        <f>IFERROR(VLOOKUP(A867,Internal_lists_bugs!$A$2:$G1058,7,FALSE()),"please select a BUG ID")</f>
        <v>please select a BUG ID</v>
      </c>
    </row>
    <row r="868">
      <c r="A868" s="54"/>
      <c r="B868" s="71" t="str">
        <f>IFERROR(HYPERLINK(VLOOKUP(A868,Internal_lists_bugs!$A$2:$C$73,3,FALSE()), VLOOKUP(A868,Internal_lists_bugs!$A$2:$C$73,3,FALSE())&amp;Char(10) &amp; Char(10) &amp; VLOOKUP(A868,Internal_lists_bugs!$A$2:$Z$73,26,FALSE())),"please select a BUG ID")</f>
        <v>please select a BUG ID</v>
      </c>
      <c r="C868" s="51" t="str">
        <f>IFERROR(VLOOKUP(A868,Internal_lists_bugs!$A$2:$T1058,20,FALSE()),"please select a BUG ID")</f>
        <v>please select a BUG ID</v>
      </c>
      <c r="E868" s="54"/>
      <c r="F868" s="82"/>
      <c r="G868" s="92"/>
      <c r="H868" s="54"/>
      <c r="I868" s="51" t="str">
        <f>IFERROR(VLOOKUP(A868,Internal_lists_bugs!$A$2:$G1058,7,FALSE()),"please select a BUG ID")</f>
        <v>please select a BUG ID</v>
      </c>
    </row>
    <row r="869">
      <c r="A869" s="54"/>
      <c r="B869" s="71" t="str">
        <f>IFERROR(HYPERLINK(VLOOKUP(A869,Internal_lists_bugs!$A$2:$C$73,3,FALSE()), VLOOKUP(A869,Internal_lists_bugs!$A$2:$C$73,3,FALSE())&amp;Char(10) &amp; Char(10) &amp; VLOOKUP(A869,Internal_lists_bugs!$A$2:$Z$73,26,FALSE())),"please select a BUG ID")</f>
        <v>please select a BUG ID</v>
      </c>
      <c r="C869" s="51" t="str">
        <f>IFERROR(VLOOKUP(A869,Internal_lists_bugs!$A$2:$T1058,20,FALSE()),"please select a BUG ID")</f>
        <v>please select a BUG ID</v>
      </c>
      <c r="E869" s="54"/>
      <c r="F869" s="82"/>
      <c r="G869" s="92"/>
      <c r="H869" s="54"/>
      <c r="I869" s="51" t="str">
        <f>IFERROR(VLOOKUP(A869,Internal_lists_bugs!$A$2:$G1058,7,FALSE()),"please select a BUG ID")</f>
        <v>please select a BUG ID</v>
      </c>
    </row>
    <row r="870">
      <c r="A870" s="54"/>
      <c r="B870" s="71" t="str">
        <f>IFERROR(HYPERLINK(VLOOKUP(A870,Internal_lists_bugs!$A$2:$C$73,3,FALSE()), VLOOKUP(A870,Internal_lists_bugs!$A$2:$C$73,3,FALSE())&amp;Char(10) &amp; Char(10) &amp; VLOOKUP(A870,Internal_lists_bugs!$A$2:$Z$73,26,FALSE())),"please select a BUG ID")</f>
        <v>please select a BUG ID</v>
      </c>
      <c r="C870" s="51" t="str">
        <f>IFERROR(VLOOKUP(A870,Internal_lists_bugs!$A$2:$T1058,20,FALSE()),"please select a BUG ID")</f>
        <v>please select a BUG ID</v>
      </c>
      <c r="E870" s="54"/>
      <c r="F870" s="82"/>
      <c r="G870" s="92"/>
      <c r="H870" s="54"/>
      <c r="I870" s="51" t="str">
        <f>IFERROR(VLOOKUP(A870,Internal_lists_bugs!$A$2:$G1058,7,FALSE()),"please select a BUG ID")</f>
        <v>please select a BUG ID</v>
      </c>
    </row>
    <row r="871">
      <c r="A871" s="54"/>
      <c r="B871" s="71" t="str">
        <f>IFERROR(HYPERLINK(VLOOKUP(A871,Internal_lists_bugs!$A$2:$C$73,3,FALSE()), VLOOKUP(A871,Internal_lists_bugs!$A$2:$C$73,3,FALSE())&amp;Char(10) &amp; Char(10) &amp; VLOOKUP(A871,Internal_lists_bugs!$A$2:$Z$73,26,FALSE())),"please select a BUG ID")</f>
        <v>please select a BUG ID</v>
      </c>
      <c r="C871" s="51" t="str">
        <f>IFERROR(VLOOKUP(A871,Internal_lists_bugs!$A$2:$T1058,20,FALSE()),"please select a BUG ID")</f>
        <v>please select a BUG ID</v>
      </c>
      <c r="E871" s="54"/>
      <c r="F871" s="82"/>
      <c r="G871" s="92"/>
      <c r="H871" s="54"/>
      <c r="I871" s="51" t="str">
        <f>IFERROR(VLOOKUP(A871,Internal_lists_bugs!$A$2:$G1058,7,FALSE()),"please select a BUG ID")</f>
        <v>please select a BUG ID</v>
      </c>
    </row>
    <row r="872">
      <c r="A872" s="54"/>
      <c r="B872" s="71" t="str">
        <f>IFERROR(HYPERLINK(VLOOKUP(A872,Internal_lists_bugs!$A$2:$C$73,3,FALSE()), VLOOKUP(A872,Internal_lists_bugs!$A$2:$C$73,3,FALSE())&amp;Char(10) &amp; Char(10) &amp; VLOOKUP(A872,Internal_lists_bugs!$A$2:$Z$73,26,FALSE())),"please select a BUG ID")</f>
        <v>please select a BUG ID</v>
      </c>
      <c r="C872" s="51" t="str">
        <f>IFERROR(VLOOKUP(A872,Internal_lists_bugs!$A$2:$T1058,20,FALSE()),"please select a BUG ID")</f>
        <v>please select a BUG ID</v>
      </c>
      <c r="E872" s="54"/>
      <c r="F872" s="82"/>
      <c r="G872" s="92"/>
      <c r="H872" s="54"/>
      <c r="I872" s="51" t="str">
        <f>IFERROR(VLOOKUP(A872,Internal_lists_bugs!$A$2:$G1058,7,FALSE()),"please select a BUG ID")</f>
        <v>please select a BUG ID</v>
      </c>
    </row>
    <row r="873">
      <c r="A873" s="54"/>
      <c r="B873" s="71" t="str">
        <f>IFERROR(HYPERLINK(VLOOKUP(A873,Internal_lists_bugs!$A$2:$C$73,3,FALSE()), VLOOKUP(A873,Internal_lists_bugs!$A$2:$C$73,3,FALSE())&amp;Char(10) &amp; Char(10) &amp; VLOOKUP(A873,Internal_lists_bugs!$A$2:$Z$73,26,FALSE())),"please select a BUG ID")</f>
        <v>please select a BUG ID</v>
      </c>
      <c r="C873" s="51" t="str">
        <f>IFERROR(VLOOKUP(A873,Internal_lists_bugs!$A$2:$T1058,20,FALSE()),"please select a BUG ID")</f>
        <v>please select a BUG ID</v>
      </c>
      <c r="E873" s="54"/>
      <c r="F873" s="82"/>
      <c r="G873" s="92"/>
      <c r="H873" s="54"/>
      <c r="I873" s="51" t="str">
        <f>IFERROR(VLOOKUP(A873,Internal_lists_bugs!$A$2:$G1058,7,FALSE()),"please select a BUG ID")</f>
        <v>please select a BUG ID</v>
      </c>
    </row>
    <row r="874">
      <c r="A874" s="54"/>
      <c r="B874" s="71" t="str">
        <f>IFERROR(HYPERLINK(VLOOKUP(A874,Internal_lists_bugs!$A$2:$C$73,3,FALSE()), VLOOKUP(A874,Internal_lists_bugs!$A$2:$C$73,3,FALSE())&amp;Char(10) &amp; Char(10) &amp; VLOOKUP(A874,Internal_lists_bugs!$A$2:$Z$73,26,FALSE())),"please select a BUG ID")</f>
        <v>please select a BUG ID</v>
      </c>
      <c r="C874" s="51" t="str">
        <f>IFERROR(VLOOKUP(A874,Internal_lists_bugs!$A$2:$T1058,20,FALSE()),"please select a BUG ID")</f>
        <v>please select a BUG ID</v>
      </c>
      <c r="E874" s="54"/>
      <c r="F874" s="82"/>
      <c r="G874" s="92"/>
      <c r="H874" s="54"/>
      <c r="I874" s="51" t="str">
        <f>IFERROR(VLOOKUP(A874,Internal_lists_bugs!$A$2:$G1058,7,FALSE()),"please select a BUG ID")</f>
        <v>please select a BUG ID</v>
      </c>
    </row>
    <row r="875">
      <c r="A875" s="54"/>
      <c r="B875" s="71" t="str">
        <f>IFERROR(HYPERLINK(VLOOKUP(A875,Internal_lists_bugs!$A$2:$C$73,3,FALSE()), VLOOKUP(A875,Internal_lists_bugs!$A$2:$C$73,3,FALSE())&amp;Char(10) &amp; Char(10) &amp; VLOOKUP(A875,Internal_lists_bugs!$A$2:$Z$73,26,FALSE())),"please select a BUG ID")</f>
        <v>please select a BUG ID</v>
      </c>
      <c r="C875" s="51" t="str">
        <f>IFERROR(VLOOKUP(A875,Internal_lists_bugs!$A$2:$T1058,20,FALSE()),"please select a BUG ID")</f>
        <v>please select a BUG ID</v>
      </c>
      <c r="E875" s="54"/>
      <c r="F875" s="82"/>
      <c r="G875" s="92"/>
      <c r="H875" s="54"/>
      <c r="I875" s="51" t="str">
        <f>IFERROR(VLOOKUP(A875,Internal_lists_bugs!$A$2:$G1058,7,FALSE()),"please select a BUG ID")</f>
        <v>please select a BUG ID</v>
      </c>
    </row>
    <row r="876">
      <c r="A876" s="54"/>
      <c r="B876" s="71" t="str">
        <f>IFERROR(HYPERLINK(VLOOKUP(A876,Internal_lists_bugs!$A$2:$C$73,3,FALSE()), VLOOKUP(A876,Internal_lists_bugs!$A$2:$C$73,3,FALSE())&amp;Char(10) &amp; Char(10) &amp; VLOOKUP(A876,Internal_lists_bugs!$A$2:$Z$73,26,FALSE())),"please select a BUG ID")</f>
        <v>please select a BUG ID</v>
      </c>
      <c r="C876" s="51" t="str">
        <f>IFERROR(VLOOKUP(A876,Internal_lists_bugs!$A$2:$T1058,20,FALSE()),"please select a BUG ID")</f>
        <v>please select a BUG ID</v>
      </c>
      <c r="E876" s="54"/>
      <c r="F876" s="82"/>
      <c r="G876" s="92"/>
      <c r="H876" s="54"/>
      <c r="I876" s="51" t="str">
        <f>IFERROR(VLOOKUP(A876,Internal_lists_bugs!$A$2:$G1058,7,FALSE()),"please select a BUG ID")</f>
        <v>please select a BUG ID</v>
      </c>
    </row>
    <row r="877">
      <c r="A877" s="54"/>
      <c r="B877" s="71" t="str">
        <f>IFERROR(HYPERLINK(VLOOKUP(A877,Internal_lists_bugs!$A$2:$C$73,3,FALSE()), VLOOKUP(A877,Internal_lists_bugs!$A$2:$C$73,3,FALSE())&amp;Char(10) &amp; Char(10) &amp; VLOOKUP(A877,Internal_lists_bugs!$A$2:$Z$73,26,FALSE())),"please select a BUG ID")</f>
        <v>please select a BUG ID</v>
      </c>
      <c r="C877" s="51" t="str">
        <f>IFERROR(VLOOKUP(A877,Internal_lists_bugs!$A$2:$T1058,20,FALSE()),"please select a BUG ID")</f>
        <v>please select a BUG ID</v>
      </c>
      <c r="E877" s="54"/>
      <c r="F877" s="82"/>
      <c r="G877" s="92"/>
      <c r="H877" s="54"/>
      <c r="I877" s="51" t="str">
        <f>IFERROR(VLOOKUP(A877,Internal_lists_bugs!$A$2:$G1058,7,FALSE()),"please select a BUG ID")</f>
        <v>please select a BUG ID</v>
      </c>
    </row>
    <row r="878">
      <c r="A878" s="54"/>
      <c r="B878" s="71" t="str">
        <f>IFERROR(HYPERLINK(VLOOKUP(A878,Internal_lists_bugs!$A$2:$C$73,3,FALSE()), VLOOKUP(A878,Internal_lists_bugs!$A$2:$C$73,3,FALSE())&amp;Char(10) &amp; Char(10) &amp; VLOOKUP(A878,Internal_lists_bugs!$A$2:$Z$73,26,FALSE())),"please select a BUG ID")</f>
        <v>please select a BUG ID</v>
      </c>
      <c r="C878" s="51" t="str">
        <f>IFERROR(VLOOKUP(A878,Internal_lists_bugs!$A$2:$T1058,20,FALSE()),"please select a BUG ID")</f>
        <v>please select a BUG ID</v>
      </c>
      <c r="E878" s="54"/>
      <c r="F878" s="82"/>
      <c r="G878" s="92"/>
      <c r="H878" s="54"/>
      <c r="I878" s="51" t="str">
        <f>IFERROR(VLOOKUP(A878,Internal_lists_bugs!$A$2:$G1058,7,FALSE()),"please select a BUG ID")</f>
        <v>please select a BUG ID</v>
      </c>
    </row>
    <row r="879">
      <c r="A879" s="54"/>
      <c r="B879" s="71" t="str">
        <f>IFERROR(HYPERLINK(VLOOKUP(A879,Internal_lists_bugs!$A$2:$C$73,3,FALSE()), VLOOKUP(A879,Internal_lists_bugs!$A$2:$C$73,3,FALSE())&amp;Char(10) &amp; Char(10) &amp; VLOOKUP(A879,Internal_lists_bugs!$A$2:$Z$73,26,FALSE())),"please select a BUG ID")</f>
        <v>please select a BUG ID</v>
      </c>
      <c r="C879" s="51" t="str">
        <f>IFERROR(VLOOKUP(A879,Internal_lists_bugs!$A$2:$T1058,20,FALSE()),"please select a BUG ID")</f>
        <v>please select a BUG ID</v>
      </c>
      <c r="E879" s="54"/>
      <c r="F879" s="82"/>
      <c r="G879" s="92"/>
      <c r="H879" s="54"/>
      <c r="I879" s="51" t="str">
        <f>IFERROR(VLOOKUP(A879,Internal_lists_bugs!$A$2:$G1058,7,FALSE()),"please select a BUG ID")</f>
        <v>please select a BUG ID</v>
      </c>
    </row>
    <row r="880">
      <c r="A880" s="54"/>
      <c r="B880" s="71" t="str">
        <f>IFERROR(HYPERLINK(VLOOKUP(A880,Internal_lists_bugs!$A$2:$C$73,3,FALSE()), VLOOKUP(A880,Internal_lists_bugs!$A$2:$C$73,3,FALSE())&amp;Char(10) &amp; Char(10) &amp; VLOOKUP(A880,Internal_lists_bugs!$A$2:$Z$73,26,FALSE())),"please select a BUG ID")</f>
        <v>please select a BUG ID</v>
      </c>
      <c r="C880" s="51" t="str">
        <f>IFERROR(VLOOKUP(A880,Internal_lists_bugs!$A$2:$T1058,20,FALSE()),"please select a BUG ID")</f>
        <v>please select a BUG ID</v>
      </c>
      <c r="E880" s="54"/>
      <c r="F880" s="82"/>
      <c r="G880" s="92"/>
      <c r="H880" s="54"/>
      <c r="I880" s="51" t="str">
        <f>IFERROR(VLOOKUP(A880,Internal_lists_bugs!$A$2:$G1058,7,FALSE()),"please select a BUG ID")</f>
        <v>please select a BUG ID</v>
      </c>
    </row>
    <row r="881">
      <c r="A881" s="54"/>
      <c r="B881" s="71" t="str">
        <f>IFERROR(HYPERLINK(VLOOKUP(A881,Internal_lists_bugs!$A$2:$C$73,3,FALSE()), VLOOKUP(A881,Internal_lists_bugs!$A$2:$C$73,3,FALSE())&amp;Char(10) &amp; Char(10) &amp; VLOOKUP(A881,Internal_lists_bugs!$A$2:$Z$73,26,FALSE())),"please select a BUG ID")</f>
        <v>please select a BUG ID</v>
      </c>
      <c r="C881" s="51" t="str">
        <f>IFERROR(VLOOKUP(A881,Internal_lists_bugs!$A$2:$T1058,20,FALSE()),"please select a BUG ID")</f>
        <v>please select a BUG ID</v>
      </c>
      <c r="E881" s="54"/>
      <c r="F881" s="82"/>
      <c r="G881" s="92"/>
      <c r="H881" s="54"/>
      <c r="I881" s="51" t="str">
        <f>IFERROR(VLOOKUP(A881,Internal_lists_bugs!$A$2:$G1058,7,FALSE()),"please select a BUG ID")</f>
        <v>please select a BUG ID</v>
      </c>
    </row>
    <row r="882">
      <c r="A882" s="54"/>
      <c r="B882" s="71" t="str">
        <f>IFERROR(HYPERLINK(VLOOKUP(A882,Internal_lists_bugs!$A$2:$C$73,3,FALSE()), VLOOKUP(A882,Internal_lists_bugs!$A$2:$C$73,3,FALSE())&amp;Char(10) &amp; Char(10) &amp; VLOOKUP(A882,Internal_lists_bugs!$A$2:$Z$73,26,FALSE())),"please select a BUG ID")</f>
        <v>please select a BUG ID</v>
      </c>
      <c r="C882" s="51" t="str">
        <f>IFERROR(VLOOKUP(A882,Internal_lists_bugs!$A$2:$T1058,20,FALSE()),"please select a BUG ID")</f>
        <v>please select a BUG ID</v>
      </c>
      <c r="E882" s="54"/>
      <c r="F882" s="82"/>
      <c r="G882" s="92"/>
      <c r="H882" s="54"/>
      <c r="I882" s="51" t="str">
        <f>IFERROR(VLOOKUP(A882,Internal_lists_bugs!$A$2:$G1058,7,FALSE()),"please select a BUG ID")</f>
        <v>please select a BUG ID</v>
      </c>
    </row>
    <row r="883">
      <c r="A883" s="54"/>
      <c r="B883" s="71" t="str">
        <f>IFERROR(HYPERLINK(VLOOKUP(A883,Internal_lists_bugs!$A$2:$C$73,3,FALSE()), VLOOKUP(A883,Internal_lists_bugs!$A$2:$C$73,3,FALSE())&amp;Char(10) &amp; Char(10) &amp; VLOOKUP(A883,Internal_lists_bugs!$A$2:$Z$73,26,FALSE())),"please select a BUG ID")</f>
        <v>please select a BUG ID</v>
      </c>
      <c r="C883" s="51" t="str">
        <f>IFERROR(VLOOKUP(A883,Internal_lists_bugs!$A$2:$T1058,20,FALSE()),"please select a BUG ID")</f>
        <v>please select a BUG ID</v>
      </c>
      <c r="E883" s="54"/>
      <c r="F883" s="82"/>
      <c r="G883" s="92"/>
      <c r="H883" s="54"/>
      <c r="I883" s="51" t="str">
        <f>IFERROR(VLOOKUP(A883,Internal_lists_bugs!$A$2:$G1058,7,FALSE()),"please select a BUG ID")</f>
        <v>please select a BUG ID</v>
      </c>
    </row>
    <row r="884">
      <c r="A884" s="54"/>
      <c r="B884" s="71" t="str">
        <f>IFERROR(HYPERLINK(VLOOKUP(A884,Internal_lists_bugs!$A$2:$C$73,3,FALSE()), VLOOKUP(A884,Internal_lists_bugs!$A$2:$C$73,3,FALSE())&amp;Char(10) &amp; Char(10) &amp; VLOOKUP(A884,Internal_lists_bugs!$A$2:$Z$73,26,FALSE())),"please select a BUG ID")</f>
        <v>please select a BUG ID</v>
      </c>
      <c r="C884" s="51" t="str">
        <f>IFERROR(VLOOKUP(A884,Internal_lists_bugs!$A$2:$T1058,20,FALSE()),"please select a BUG ID")</f>
        <v>please select a BUG ID</v>
      </c>
      <c r="E884" s="54"/>
      <c r="F884" s="82"/>
      <c r="G884" s="92"/>
      <c r="H884" s="54"/>
      <c r="I884" s="51" t="str">
        <f>IFERROR(VLOOKUP(A884,Internal_lists_bugs!$A$2:$G1058,7,FALSE()),"please select a BUG ID")</f>
        <v>please select a BUG ID</v>
      </c>
    </row>
    <row r="885">
      <c r="A885" s="54"/>
      <c r="B885" s="71" t="str">
        <f>IFERROR(HYPERLINK(VLOOKUP(A885,Internal_lists_bugs!$A$2:$C$73,3,FALSE()), VLOOKUP(A885,Internal_lists_bugs!$A$2:$C$73,3,FALSE())&amp;Char(10) &amp; Char(10) &amp; VLOOKUP(A885,Internal_lists_bugs!$A$2:$Z$73,26,FALSE())),"please select a BUG ID")</f>
        <v>please select a BUG ID</v>
      </c>
      <c r="C885" s="51" t="str">
        <f>IFERROR(VLOOKUP(A885,Internal_lists_bugs!$A$2:$T1058,20,FALSE()),"please select a BUG ID")</f>
        <v>please select a BUG ID</v>
      </c>
      <c r="E885" s="54"/>
      <c r="F885" s="82"/>
      <c r="G885" s="92"/>
      <c r="H885" s="54"/>
      <c r="I885" s="51" t="str">
        <f>IFERROR(VLOOKUP(A885,Internal_lists_bugs!$A$2:$G1058,7,FALSE()),"please select a BUG ID")</f>
        <v>please select a BUG ID</v>
      </c>
    </row>
    <row r="886">
      <c r="A886" s="54"/>
      <c r="B886" s="71" t="str">
        <f>IFERROR(HYPERLINK(VLOOKUP(A886,Internal_lists_bugs!$A$2:$C$73,3,FALSE()), VLOOKUP(A886,Internal_lists_bugs!$A$2:$C$73,3,FALSE())&amp;Char(10) &amp; Char(10) &amp; VLOOKUP(A886,Internal_lists_bugs!$A$2:$Z$73,26,FALSE())),"please select a BUG ID")</f>
        <v>please select a BUG ID</v>
      </c>
      <c r="C886" s="51" t="str">
        <f>IFERROR(VLOOKUP(A886,Internal_lists_bugs!$A$2:$T1058,20,FALSE()),"please select a BUG ID")</f>
        <v>please select a BUG ID</v>
      </c>
      <c r="E886" s="54"/>
      <c r="F886" s="82"/>
      <c r="G886" s="92"/>
      <c r="H886" s="54"/>
      <c r="I886" s="51" t="str">
        <f>IFERROR(VLOOKUP(A886,Internal_lists_bugs!$A$2:$G1058,7,FALSE()),"please select a BUG ID")</f>
        <v>please select a BUG ID</v>
      </c>
    </row>
    <row r="887">
      <c r="A887" s="54"/>
      <c r="B887" s="71" t="str">
        <f>IFERROR(HYPERLINK(VLOOKUP(A887,Internal_lists_bugs!$A$2:$C$73,3,FALSE()), VLOOKUP(A887,Internal_lists_bugs!$A$2:$C$73,3,FALSE())&amp;Char(10) &amp; Char(10) &amp; VLOOKUP(A887,Internal_lists_bugs!$A$2:$Z$73,26,FALSE())),"please select a BUG ID")</f>
        <v>please select a BUG ID</v>
      </c>
      <c r="C887" s="51" t="str">
        <f>IFERROR(VLOOKUP(A887,Internal_lists_bugs!$A$2:$T1058,20,FALSE()),"please select a BUG ID")</f>
        <v>please select a BUG ID</v>
      </c>
      <c r="E887" s="54"/>
      <c r="F887" s="82"/>
      <c r="G887" s="92"/>
      <c r="H887" s="54"/>
      <c r="I887" s="51" t="str">
        <f>IFERROR(VLOOKUP(A887,Internal_lists_bugs!$A$2:$G1058,7,FALSE()),"please select a BUG ID")</f>
        <v>please select a BUG ID</v>
      </c>
    </row>
    <row r="888">
      <c r="A888" s="54"/>
      <c r="B888" s="71" t="str">
        <f>IFERROR(HYPERLINK(VLOOKUP(A888,Internal_lists_bugs!$A$2:$C$73,3,FALSE()), VLOOKUP(A888,Internal_lists_bugs!$A$2:$C$73,3,FALSE())&amp;Char(10) &amp; Char(10) &amp; VLOOKUP(A888,Internal_lists_bugs!$A$2:$Z$73,26,FALSE())),"please select a BUG ID")</f>
        <v>please select a BUG ID</v>
      </c>
      <c r="C888" s="51" t="str">
        <f>IFERROR(VLOOKUP(A888,Internal_lists_bugs!$A$2:$T1058,20,FALSE()),"please select a BUG ID")</f>
        <v>please select a BUG ID</v>
      </c>
      <c r="E888" s="54"/>
      <c r="F888" s="82"/>
      <c r="G888" s="92"/>
      <c r="H888" s="54"/>
      <c r="I888" s="51" t="str">
        <f>IFERROR(VLOOKUP(A888,Internal_lists_bugs!$A$2:$G1058,7,FALSE()),"please select a BUG ID")</f>
        <v>please select a BUG ID</v>
      </c>
    </row>
    <row r="889">
      <c r="A889" s="54"/>
      <c r="B889" s="71" t="str">
        <f>IFERROR(HYPERLINK(VLOOKUP(A889,Internal_lists_bugs!$A$2:$C$73,3,FALSE()), VLOOKUP(A889,Internal_lists_bugs!$A$2:$C$73,3,FALSE())&amp;Char(10) &amp; Char(10) &amp; VLOOKUP(A889,Internal_lists_bugs!$A$2:$Z$73,26,FALSE())),"please select a BUG ID")</f>
        <v>please select a BUG ID</v>
      </c>
      <c r="C889" s="51" t="str">
        <f>IFERROR(VLOOKUP(A889,Internal_lists_bugs!$A$2:$T1058,20,FALSE()),"please select a BUG ID")</f>
        <v>please select a BUG ID</v>
      </c>
      <c r="E889" s="54"/>
      <c r="F889" s="82"/>
      <c r="G889" s="92"/>
      <c r="H889" s="54"/>
      <c r="I889" s="51" t="str">
        <f>IFERROR(VLOOKUP(A889,Internal_lists_bugs!$A$2:$G1058,7,FALSE()),"please select a BUG ID")</f>
        <v>please select a BUG ID</v>
      </c>
    </row>
    <row r="890">
      <c r="A890" s="54"/>
      <c r="B890" s="71" t="str">
        <f>IFERROR(HYPERLINK(VLOOKUP(A890,Internal_lists_bugs!$A$2:$C$73,3,FALSE()), VLOOKUP(A890,Internal_lists_bugs!$A$2:$C$73,3,FALSE())&amp;Char(10) &amp; Char(10) &amp; VLOOKUP(A890,Internal_lists_bugs!$A$2:$Z$73,26,FALSE())),"please select a BUG ID")</f>
        <v>please select a BUG ID</v>
      </c>
      <c r="C890" s="51" t="str">
        <f>IFERROR(VLOOKUP(A890,Internal_lists_bugs!$A$2:$T1058,20,FALSE()),"please select a BUG ID")</f>
        <v>please select a BUG ID</v>
      </c>
      <c r="E890" s="54"/>
      <c r="F890" s="82"/>
      <c r="G890" s="92"/>
      <c r="H890" s="54"/>
      <c r="I890" s="51" t="str">
        <f>IFERROR(VLOOKUP(A890,Internal_lists_bugs!$A$2:$G1058,7,FALSE()),"please select a BUG ID")</f>
        <v>please select a BUG ID</v>
      </c>
    </row>
    <row r="891">
      <c r="A891" s="54"/>
      <c r="B891" s="71" t="str">
        <f>IFERROR(HYPERLINK(VLOOKUP(A891,Internal_lists_bugs!$A$2:$C$73,3,FALSE()), VLOOKUP(A891,Internal_lists_bugs!$A$2:$C$73,3,FALSE())&amp;Char(10) &amp; Char(10) &amp; VLOOKUP(A891,Internal_lists_bugs!$A$2:$Z$73,26,FALSE())),"please select a BUG ID")</f>
        <v>please select a BUG ID</v>
      </c>
      <c r="C891" s="51" t="str">
        <f>IFERROR(VLOOKUP(A891,Internal_lists_bugs!$A$2:$T1058,20,FALSE()),"please select a BUG ID")</f>
        <v>please select a BUG ID</v>
      </c>
      <c r="E891" s="54"/>
      <c r="F891" s="82"/>
      <c r="G891" s="92"/>
      <c r="H891" s="54"/>
      <c r="I891" s="51" t="str">
        <f>IFERROR(VLOOKUP(A891,Internal_lists_bugs!$A$2:$G1058,7,FALSE()),"please select a BUG ID")</f>
        <v>please select a BUG ID</v>
      </c>
    </row>
    <row r="892">
      <c r="A892" s="54"/>
      <c r="B892" s="71" t="str">
        <f>IFERROR(HYPERLINK(VLOOKUP(A892,Internal_lists_bugs!$A$2:$C$73,3,FALSE()), VLOOKUP(A892,Internal_lists_bugs!$A$2:$C$73,3,FALSE())&amp;Char(10) &amp; Char(10) &amp; VLOOKUP(A892,Internal_lists_bugs!$A$2:$Z$73,26,FALSE())),"please select a BUG ID")</f>
        <v>please select a BUG ID</v>
      </c>
      <c r="C892" s="51" t="str">
        <f>IFERROR(VLOOKUP(A892,Internal_lists_bugs!$A$2:$T1058,20,FALSE()),"please select a BUG ID")</f>
        <v>please select a BUG ID</v>
      </c>
      <c r="E892" s="54"/>
      <c r="F892" s="82"/>
      <c r="G892" s="92"/>
      <c r="H892" s="54"/>
      <c r="I892" s="51" t="str">
        <f>IFERROR(VLOOKUP(A892,Internal_lists_bugs!$A$2:$G1058,7,FALSE()),"please select a BUG ID")</f>
        <v>please select a BUG ID</v>
      </c>
    </row>
    <row r="893">
      <c r="A893" s="54"/>
      <c r="B893" s="71" t="str">
        <f>IFERROR(HYPERLINK(VLOOKUP(A893,Internal_lists_bugs!$A$2:$C$73,3,FALSE()), VLOOKUP(A893,Internal_lists_bugs!$A$2:$C$73,3,FALSE())&amp;Char(10) &amp; Char(10) &amp; VLOOKUP(A893,Internal_lists_bugs!$A$2:$Z$73,26,FALSE())),"please select a BUG ID")</f>
        <v>please select a BUG ID</v>
      </c>
      <c r="C893" s="51" t="str">
        <f>IFERROR(VLOOKUP(A893,Internal_lists_bugs!$A$2:$T1058,20,FALSE()),"please select a BUG ID")</f>
        <v>please select a BUG ID</v>
      </c>
      <c r="E893" s="54"/>
      <c r="F893" s="82"/>
      <c r="G893" s="92"/>
      <c r="H893" s="54"/>
      <c r="I893" s="51" t="str">
        <f>IFERROR(VLOOKUP(A893,Internal_lists_bugs!$A$2:$G1058,7,FALSE()),"please select a BUG ID")</f>
        <v>please select a BUG ID</v>
      </c>
    </row>
    <row r="894">
      <c r="A894" s="54"/>
      <c r="B894" s="71" t="str">
        <f>IFERROR(HYPERLINK(VLOOKUP(A894,Internal_lists_bugs!$A$2:$C$73,3,FALSE()), VLOOKUP(A894,Internal_lists_bugs!$A$2:$C$73,3,FALSE())&amp;Char(10) &amp; Char(10) &amp; VLOOKUP(A894,Internal_lists_bugs!$A$2:$Z$73,26,FALSE())),"please select a BUG ID")</f>
        <v>please select a BUG ID</v>
      </c>
      <c r="C894" s="51" t="str">
        <f>IFERROR(VLOOKUP(A894,Internal_lists_bugs!$A$2:$T1058,20,FALSE()),"please select a BUG ID")</f>
        <v>please select a BUG ID</v>
      </c>
      <c r="E894" s="54"/>
      <c r="F894" s="82"/>
      <c r="G894" s="92"/>
      <c r="H894" s="54"/>
      <c r="I894" s="51" t="str">
        <f>IFERROR(VLOOKUP(A894,Internal_lists_bugs!$A$2:$G1058,7,FALSE()),"please select a BUG ID")</f>
        <v>please select a BUG ID</v>
      </c>
    </row>
    <row r="895">
      <c r="A895" s="54"/>
      <c r="B895" s="71" t="str">
        <f>IFERROR(HYPERLINK(VLOOKUP(A895,Internal_lists_bugs!$A$2:$C$73,3,FALSE()), VLOOKUP(A895,Internal_lists_bugs!$A$2:$C$73,3,FALSE())&amp;Char(10) &amp; Char(10) &amp; VLOOKUP(A895,Internal_lists_bugs!$A$2:$Z$73,26,FALSE())),"please select a BUG ID")</f>
        <v>please select a BUG ID</v>
      </c>
      <c r="C895" s="51" t="str">
        <f>IFERROR(VLOOKUP(A895,Internal_lists_bugs!$A$2:$T1058,20,FALSE()),"please select a BUG ID")</f>
        <v>please select a BUG ID</v>
      </c>
      <c r="E895" s="54"/>
      <c r="F895" s="82"/>
      <c r="G895" s="92"/>
      <c r="H895" s="54"/>
      <c r="I895" s="51" t="str">
        <f>IFERROR(VLOOKUP(A895,Internal_lists_bugs!$A$2:$G1058,7,FALSE()),"please select a BUG ID")</f>
        <v>please select a BUG ID</v>
      </c>
    </row>
    <row r="896">
      <c r="A896" s="54"/>
      <c r="B896" s="71" t="str">
        <f>IFERROR(HYPERLINK(VLOOKUP(A896,Internal_lists_bugs!$A$2:$C$73,3,FALSE()), VLOOKUP(A896,Internal_lists_bugs!$A$2:$C$73,3,FALSE())&amp;Char(10) &amp; Char(10) &amp; VLOOKUP(A896,Internal_lists_bugs!$A$2:$Z$73,26,FALSE())),"please select a BUG ID")</f>
        <v>please select a BUG ID</v>
      </c>
      <c r="C896" s="51" t="str">
        <f>IFERROR(VLOOKUP(A896,Internal_lists_bugs!$A$2:$T1058,20,FALSE()),"please select a BUG ID")</f>
        <v>please select a BUG ID</v>
      </c>
      <c r="E896" s="54"/>
      <c r="F896" s="82"/>
      <c r="G896" s="92"/>
      <c r="H896" s="54"/>
      <c r="I896" s="51" t="str">
        <f>IFERROR(VLOOKUP(A896,Internal_lists_bugs!$A$2:$G1058,7,FALSE()),"please select a BUG ID")</f>
        <v>please select a BUG ID</v>
      </c>
    </row>
    <row r="897">
      <c r="A897" s="54"/>
      <c r="B897" s="71" t="str">
        <f>IFERROR(HYPERLINK(VLOOKUP(A897,Internal_lists_bugs!$A$2:$C$73,3,FALSE()), VLOOKUP(A897,Internal_lists_bugs!$A$2:$C$73,3,FALSE())&amp;Char(10) &amp; Char(10) &amp; VLOOKUP(A897,Internal_lists_bugs!$A$2:$Z$73,26,FALSE())),"please select a BUG ID")</f>
        <v>please select a BUG ID</v>
      </c>
      <c r="C897" s="51" t="str">
        <f>IFERROR(VLOOKUP(A897,Internal_lists_bugs!$A$2:$T1058,20,FALSE()),"please select a BUG ID")</f>
        <v>please select a BUG ID</v>
      </c>
      <c r="E897" s="54"/>
      <c r="F897" s="82"/>
      <c r="G897" s="92"/>
      <c r="H897" s="54"/>
      <c r="I897" s="51" t="str">
        <f>IFERROR(VLOOKUP(A897,Internal_lists_bugs!$A$2:$G1058,7,FALSE()),"please select a BUG ID")</f>
        <v>please select a BUG ID</v>
      </c>
    </row>
    <row r="898">
      <c r="A898" s="54"/>
      <c r="B898" s="71" t="str">
        <f>IFERROR(HYPERLINK(VLOOKUP(A898,Internal_lists_bugs!$A$2:$C$73,3,FALSE()), VLOOKUP(A898,Internal_lists_bugs!$A$2:$C$73,3,FALSE())&amp;Char(10) &amp; Char(10) &amp; VLOOKUP(A898,Internal_lists_bugs!$A$2:$Z$73,26,FALSE())),"please select a BUG ID")</f>
        <v>please select a BUG ID</v>
      </c>
      <c r="C898" s="51" t="str">
        <f>IFERROR(VLOOKUP(A898,Internal_lists_bugs!$A$2:$T1058,20,FALSE()),"please select a BUG ID")</f>
        <v>please select a BUG ID</v>
      </c>
      <c r="E898" s="54"/>
      <c r="F898" s="82"/>
      <c r="G898" s="92"/>
      <c r="H898" s="54"/>
      <c r="I898" s="51" t="str">
        <f>IFERROR(VLOOKUP(A898,Internal_lists_bugs!$A$2:$G1058,7,FALSE()),"please select a BUG ID")</f>
        <v>please select a BUG ID</v>
      </c>
    </row>
    <row r="899">
      <c r="A899" s="54"/>
      <c r="B899" s="71" t="str">
        <f>IFERROR(HYPERLINK(VLOOKUP(A899,Internal_lists_bugs!$A$2:$C$73,3,FALSE()), VLOOKUP(A899,Internal_lists_bugs!$A$2:$C$73,3,FALSE())&amp;Char(10) &amp; Char(10) &amp; VLOOKUP(A899,Internal_lists_bugs!$A$2:$Z$73,26,FALSE())),"please select a BUG ID")</f>
        <v>please select a BUG ID</v>
      </c>
      <c r="C899" s="51" t="str">
        <f>IFERROR(VLOOKUP(A899,Internal_lists_bugs!$A$2:$T1058,20,FALSE()),"please select a BUG ID")</f>
        <v>please select a BUG ID</v>
      </c>
      <c r="E899" s="54"/>
      <c r="F899" s="82"/>
      <c r="G899" s="92"/>
      <c r="H899" s="54"/>
      <c r="I899" s="51" t="str">
        <f>IFERROR(VLOOKUP(A899,Internal_lists_bugs!$A$2:$G1058,7,FALSE()),"please select a BUG ID")</f>
        <v>please select a BUG ID</v>
      </c>
    </row>
    <row r="900">
      <c r="A900" s="54"/>
      <c r="B900" s="71" t="str">
        <f>IFERROR(HYPERLINK(VLOOKUP(A900,Internal_lists_bugs!$A$2:$C$73,3,FALSE()), VLOOKUP(A900,Internal_lists_bugs!$A$2:$C$73,3,FALSE())&amp;Char(10) &amp; Char(10) &amp; VLOOKUP(A900,Internal_lists_bugs!$A$2:$Z$73,26,FALSE())),"please select a BUG ID")</f>
        <v>please select a BUG ID</v>
      </c>
      <c r="C900" s="51" t="str">
        <f>IFERROR(VLOOKUP(A900,Internal_lists_bugs!$A$2:$T1058,20,FALSE()),"please select a BUG ID")</f>
        <v>please select a BUG ID</v>
      </c>
      <c r="E900" s="54"/>
      <c r="F900" s="82"/>
      <c r="G900" s="92"/>
      <c r="H900" s="54"/>
      <c r="I900" s="51" t="str">
        <f>IFERROR(VLOOKUP(A900,Internal_lists_bugs!$A$2:$G1058,7,FALSE()),"please select a BUG ID")</f>
        <v>please select a BUG ID</v>
      </c>
    </row>
    <row r="901">
      <c r="A901" s="54"/>
      <c r="B901" s="71" t="str">
        <f>IFERROR(HYPERLINK(VLOOKUP(A901,Internal_lists_bugs!$A$2:$C$73,3,FALSE()), VLOOKUP(A901,Internal_lists_bugs!$A$2:$C$73,3,FALSE())&amp;Char(10) &amp; Char(10) &amp; VLOOKUP(A901,Internal_lists_bugs!$A$2:$Z$73,26,FALSE())),"please select a BUG ID")</f>
        <v>please select a BUG ID</v>
      </c>
      <c r="C901" s="51" t="str">
        <f>IFERROR(VLOOKUP(A901,Internal_lists_bugs!$A$2:$T1058,20,FALSE()),"please select a BUG ID")</f>
        <v>please select a BUG ID</v>
      </c>
      <c r="E901" s="54"/>
      <c r="F901" s="82"/>
      <c r="G901" s="92"/>
      <c r="H901" s="54"/>
      <c r="I901" s="51" t="str">
        <f>IFERROR(VLOOKUP(A901,Internal_lists_bugs!$A$2:$G1058,7,FALSE()),"please select a BUG ID")</f>
        <v>please select a BUG ID</v>
      </c>
    </row>
    <row r="902">
      <c r="A902" s="54"/>
      <c r="B902" s="71" t="str">
        <f>IFERROR(HYPERLINK(VLOOKUP(A902,Internal_lists_bugs!$A$2:$C$73,3,FALSE()), VLOOKUP(A902,Internal_lists_bugs!$A$2:$C$73,3,FALSE())&amp;Char(10) &amp; Char(10) &amp; VLOOKUP(A902,Internal_lists_bugs!$A$2:$Z$73,26,FALSE())),"please select a BUG ID")</f>
        <v>please select a BUG ID</v>
      </c>
      <c r="C902" s="51" t="str">
        <f>IFERROR(VLOOKUP(A902,Internal_lists_bugs!$A$2:$T1058,20,FALSE()),"please select a BUG ID")</f>
        <v>please select a BUG ID</v>
      </c>
      <c r="E902" s="54"/>
      <c r="F902" s="82"/>
      <c r="G902" s="92"/>
      <c r="H902" s="54"/>
      <c r="I902" s="51" t="str">
        <f>IFERROR(VLOOKUP(A902,Internal_lists_bugs!$A$2:$G1058,7,FALSE()),"please select a BUG ID")</f>
        <v>please select a BUG ID</v>
      </c>
    </row>
    <row r="903">
      <c r="A903" s="54"/>
      <c r="B903" s="71" t="str">
        <f>IFERROR(HYPERLINK(VLOOKUP(A903,Internal_lists_bugs!$A$2:$C$73,3,FALSE()), VLOOKUP(A903,Internal_lists_bugs!$A$2:$C$73,3,FALSE())&amp;Char(10) &amp; Char(10) &amp; VLOOKUP(A903,Internal_lists_bugs!$A$2:$Z$73,26,FALSE())),"please select a BUG ID")</f>
        <v>please select a BUG ID</v>
      </c>
      <c r="C903" s="51" t="str">
        <f>IFERROR(VLOOKUP(A903,Internal_lists_bugs!$A$2:$T1058,20,FALSE()),"please select a BUG ID")</f>
        <v>please select a BUG ID</v>
      </c>
      <c r="E903" s="54"/>
      <c r="F903" s="82"/>
      <c r="G903" s="92"/>
      <c r="H903" s="54"/>
      <c r="I903" s="51" t="str">
        <f>IFERROR(VLOOKUP(A903,Internal_lists_bugs!$A$2:$G1058,7,FALSE()),"please select a BUG ID")</f>
        <v>please select a BUG ID</v>
      </c>
    </row>
    <row r="904">
      <c r="A904" s="54"/>
      <c r="B904" s="71" t="str">
        <f>IFERROR(HYPERLINK(VLOOKUP(A904,Internal_lists_bugs!$A$2:$C$73,3,FALSE()), VLOOKUP(A904,Internal_lists_bugs!$A$2:$C$73,3,FALSE())&amp;Char(10) &amp; Char(10) &amp; VLOOKUP(A904,Internal_lists_bugs!$A$2:$Z$73,26,FALSE())),"please select a BUG ID")</f>
        <v>please select a BUG ID</v>
      </c>
      <c r="C904" s="51" t="str">
        <f>IFERROR(VLOOKUP(A904,Internal_lists_bugs!$A$2:$T1058,20,FALSE()),"please select a BUG ID")</f>
        <v>please select a BUG ID</v>
      </c>
      <c r="E904" s="54"/>
      <c r="F904" s="82"/>
      <c r="G904" s="92"/>
      <c r="H904" s="54"/>
      <c r="I904" s="51" t="str">
        <f>IFERROR(VLOOKUP(A904,Internal_lists_bugs!$A$2:$G1058,7,FALSE()),"please select a BUG ID")</f>
        <v>please select a BUG ID</v>
      </c>
    </row>
    <row r="905">
      <c r="A905" s="54"/>
      <c r="B905" s="71" t="str">
        <f>IFERROR(HYPERLINK(VLOOKUP(A905,Internal_lists_bugs!$A$2:$C$73,3,FALSE()), VLOOKUP(A905,Internal_lists_bugs!$A$2:$C$73,3,FALSE())&amp;Char(10) &amp; Char(10) &amp; VLOOKUP(A905,Internal_lists_bugs!$A$2:$Z$73,26,FALSE())),"please select a BUG ID")</f>
        <v>please select a BUG ID</v>
      </c>
      <c r="C905" s="51" t="str">
        <f>IFERROR(VLOOKUP(A905,Internal_lists_bugs!$A$2:$T1058,20,FALSE()),"please select a BUG ID")</f>
        <v>please select a BUG ID</v>
      </c>
      <c r="E905" s="54"/>
      <c r="F905" s="82"/>
      <c r="G905" s="92"/>
      <c r="H905" s="54"/>
      <c r="I905" s="51" t="str">
        <f>IFERROR(VLOOKUP(A905,Internal_lists_bugs!$A$2:$G1058,7,FALSE()),"please select a BUG ID")</f>
        <v>please select a BUG ID</v>
      </c>
    </row>
    <row r="906">
      <c r="A906" s="54"/>
      <c r="B906" s="71" t="str">
        <f>IFERROR(HYPERLINK(VLOOKUP(A906,Internal_lists_bugs!$A$2:$C$73,3,FALSE()), VLOOKUP(A906,Internal_lists_bugs!$A$2:$C$73,3,FALSE())&amp;Char(10) &amp; Char(10) &amp; VLOOKUP(A906,Internal_lists_bugs!$A$2:$Z$73,26,FALSE())),"please select a BUG ID")</f>
        <v>please select a BUG ID</v>
      </c>
      <c r="C906" s="51" t="str">
        <f>IFERROR(VLOOKUP(A906,Internal_lists_bugs!$A$2:$T1058,20,FALSE()),"please select a BUG ID")</f>
        <v>please select a BUG ID</v>
      </c>
      <c r="E906" s="54"/>
      <c r="F906" s="82"/>
      <c r="G906" s="92"/>
      <c r="H906" s="54"/>
      <c r="I906" s="51" t="str">
        <f>IFERROR(VLOOKUP(A906,Internal_lists_bugs!$A$2:$G1058,7,FALSE()),"please select a BUG ID")</f>
        <v>please select a BUG ID</v>
      </c>
    </row>
    <row r="907">
      <c r="A907" s="54"/>
      <c r="B907" s="71" t="str">
        <f>IFERROR(HYPERLINK(VLOOKUP(A907,Internal_lists_bugs!$A$2:$C$73,3,FALSE()), VLOOKUP(A907,Internal_lists_bugs!$A$2:$C$73,3,FALSE())&amp;Char(10) &amp; Char(10) &amp; VLOOKUP(A907,Internal_lists_bugs!$A$2:$Z$73,26,FALSE())),"please select a BUG ID")</f>
        <v>please select a BUG ID</v>
      </c>
      <c r="C907" s="51" t="str">
        <f>IFERROR(VLOOKUP(A907,Internal_lists_bugs!$A$2:$T1058,20,FALSE()),"please select a BUG ID")</f>
        <v>please select a BUG ID</v>
      </c>
      <c r="E907" s="54"/>
      <c r="F907" s="82"/>
      <c r="G907" s="92"/>
      <c r="H907" s="54"/>
      <c r="I907" s="51" t="str">
        <f>IFERROR(VLOOKUP(A907,Internal_lists_bugs!$A$2:$G1058,7,FALSE()),"please select a BUG ID")</f>
        <v>please select a BUG ID</v>
      </c>
    </row>
    <row r="908">
      <c r="A908" s="54"/>
      <c r="B908" s="71" t="str">
        <f>IFERROR(HYPERLINK(VLOOKUP(A908,Internal_lists_bugs!$A$2:$C$73,3,FALSE()), VLOOKUP(A908,Internal_lists_bugs!$A$2:$C$73,3,FALSE())&amp;Char(10) &amp; Char(10) &amp; VLOOKUP(A908,Internal_lists_bugs!$A$2:$Z$73,26,FALSE())),"please select a BUG ID")</f>
        <v>please select a BUG ID</v>
      </c>
      <c r="C908" s="51" t="str">
        <f>IFERROR(VLOOKUP(A908,Internal_lists_bugs!$A$2:$T1058,20,FALSE()),"please select a BUG ID")</f>
        <v>please select a BUG ID</v>
      </c>
      <c r="E908" s="54"/>
      <c r="F908" s="82"/>
      <c r="G908" s="92"/>
      <c r="H908" s="54"/>
      <c r="I908" s="51" t="str">
        <f>IFERROR(VLOOKUP(A908,Internal_lists_bugs!$A$2:$G1058,7,FALSE()),"please select a BUG ID")</f>
        <v>please select a BUG ID</v>
      </c>
    </row>
    <row r="909">
      <c r="A909" s="54"/>
      <c r="B909" s="71" t="str">
        <f>IFERROR(HYPERLINK(VLOOKUP(A909,Internal_lists_bugs!$A$2:$C$73,3,FALSE()), VLOOKUP(A909,Internal_lists_bugs!$A$2:$C$73,3,FALSE())&amp;Char(10) &amp; Char(10) &amp; VLOOKUP(A909,Internal_lists_bugs!$A$2:$Z$73,26,FALSE())),"please select a BUG ID")</f>
        <v>please select a BUG ID</v>
      </c>
      <c r="C909" s="51" t="str">
        <f>IFERROR(VLOOKUP(A909,Internal_lists_bugs!$A$2:$T1058,20,FALSE()),"please select a BUG ID")</f>
        <v>please select a BUG ID</v>
      </c>
      <c r="E909" s="54"/>
      <c r="F909" s="82"/>
      <c r="G909" s="92"/>
      <c r="H909" s="54"/>
      <c r="I909" s="51" t="str">
        <f>IFERROR(VLOOKUP(A909,Internal_lists_bugs!$A$2:$G1058,7,FALSE()),"please select a BUG ID")</f>
        <v>please select a BUG ID</v>
      </c>
    </row>
    <row r="910">
      <c r="A910" s="54"/>
      <c r="B910" s="71" t="str">
        <f>IFERROR(HYPERLINK(VLOOKUP(A910,Internal_lists_bugs!$A$2:$C$73,3,FALSE()), VLOOKUP(A910,Internal_lists_bugs!$A$2:$C$73,3,FALSE())&amp;Char(10) &amp; Char(10) &amp; VLOOKUP(A910,Internal_lists_bugs!$A$2:$Z$73,26,FALSE())),"please select a BUG ID")</f>
        <v>please select a BUG ID</v>
      </c>
      <c r="C910" s="51" t="str">
        <f>IFERROR(VLOOKUP(A910,Internal_lists_bugs!$A$2:$T1058,20,FALSE()),"please select a BUG ID")</f>
        <v>please select a BUG ID</v>
      </c>
      <c r="E910" s="54"/>
      <c r="F910" s="82"/>
      <c r="G910" s="92"/>
      <c r="H910" s="54"/>
      <c r="I910" s="51" t="str">
        <f>IFERROR(VLOOKUP(A910,Internal_lists_bugs!$A$2:$G1058,7,FALSE()),"please select a BUG ID")</f>
        <v>please select a BUG ID</v>
      </c>
    </row>
    <row r="911">
      <c r="A911" s="54"/>
      <c r="B911" s="71" t="str">
        <f>IFERROR(HYPERLINK(VLOOKUP(A911,Internal_lists_bugs!$A$2:$C$73,3,FALSE()), VLOOKUP(A911,Internal_lists_bugs!$A$2:$C$73,3,FALSE())&amp;Char(10) &amp; Char(10) &amp; VLOOKUP(A911,Internal_lists_bugs!$A$2:$Z$73,26,FALSE())),"please select a BUG ID")</f>
        <v>please select a BUG ID</v>
      </c>
      <c r="C911" s="51" t="str">
        <f>IFERROR(VLOOKUP(A911,Internal_lists_bugs!$A$2:$T1058,20,FALSE()),"please select a BUG ID")</f>
        <v>please select a BUG ID</v>
      </c>
      <c r="E911" s="54"/>
      <c r="F911" s="82"/>
      <c r="G911" s="92"/>
      <c r="H911" s="54"/>
      <c r="I911" s="51" t="str">
        <f>IFERROR(VLOOKUP(A911,Internal_lists_bugs!$A$2:$G1058,7,FALSE()),"please select a BUG ID")</f>
        <v>please select a BUG ID</v>
      </c>
    </row>
    <row r="912">
      <c r="A912" s="54"/>
      <c r="B912" s="71" t="str">
        <f>IFERROR(HYPERLINK(VLOOKUP(A912,Internal_lists_bugs!$A$2:$C$73,3,FALSE()), VLOOKUP(A912,Internal_lists_bugs!$A$2:$C$73,3,FALSE())&amp;Char(10) &amp; Char(10) &amp; VLOOKUP(A912,Internal_lists_bugs!$A$2:$Z$73,26,FALSE())),"please select a BUG ID")</f>
        <v>please select a BUG ID</v>
      </c>
      <c r="C912" s="51" t="str">
        <f>IFERROR(VLOOKUP(A912,Internal_lists_bugs!$A$2:$T1058,20,FALSE()),"please select a BUG ID")</f>
        <v>please select a BUG ID</v>
      </c>
      <c r="E912" s="54"/>
      <c r="F912" s="82"/>
      <c r="G912" s="92"/>
      <c r="H912" s="54"/>
      <c r="I912" s="51" t="str">
        <f>IFERROR(VLOOKUP(A912,Internal_lists_bugs!$A$2:$G1058,7,FALSE()),"please select a BUG ID")</f>
        <v>please select a BUG ID</v>
      </c>
    </row>
    <row r="913">
      <c r="A913" s="54"/>
      <c r="B913" s="71" t="str">
        <f>IFERROR(HYPERLINK(VLOOKUP(A913,Internal_lists_bugs!$A$2:$C$73,3,FALSE()), VLOOKUP(A913,Internal_lists_bugs!$A$2:$C$73,3,FALSE())&amp;Char(10) &amp; Char(10) &amp; VLOOKUP(A913,Internal_lists_bugs!$A$2:$Z$73,26,FALSE())),"please select a BUG ID")</f>
        <v>please select a BUG ID</v>
      </c>
      <c r="C913" s="51" t="str">
        <f>IFERROR(VLOOKUP(A913,Internal_lists_bugs!$A$2:$T1058,20,FALSE()),"please select a BUG ID")</f>
        <v>please select a BUG ID</v>
      </c>
      <c r="E913" s="54"/>
      <c r="F913" s="82"/>
      <c r="G913" s="92"/>
      <c r="H913" s="54"/>
      <c r="I913" s="51" t="str">
        <f>IFERROR(VLOOKUP(A913,Internal_lists_bugs!$A$2:$G1058,7,FALSE()),"please select a BUG ID")</f>
        <v>please select a BUG ID</v>
      </c>
    </row>
    <row r="914">
      <c r="A914" s="54"/>
      <c r="B914" s="71" t="str">
        <f>IFERROR(HYPERLINK(VLOOKUP(A914,Internal_lists_bugs!$A$2:$C$73,3,FALSE()), VLOOKUP(A914,Internal_lists_bugs!$A$2:$C$73,3,FALSE())&amp;Char(10) &amp; Char(10) &amp; VLOOKUP(A914,Internal_lists_bugs!$A$2:$Z$73,26,FALSE())),"please select a BUG ID")</f>
        <v>please select a BUG ID</v>
      </c>
      <c r="C914" s="51" t="str">
        <f>IFERROR(VLOOKUP(A914,Internal_lists_bugs!$A$2:$T1058,20,FALSE()),"please select a BUG ID")</f>
        <v>please select a BUG ID</v>
      </c>
      <c r="E914" s="54"/>
      <c r="F914" s="82"/>
      <c r="G914" s="92"/>
      <c r="H914" s="54"/>
      <c r="I914" s="51" t="str">
        <f>IFERROR(VLOOKUP(A914,Internal_lists_bugs!$A$2:$G1058,7,FALSE()),"please select a BUG ID")</f>
        <v>please select a BUG ID</v>
      </c>
    </row>
    <row r="915">
      <c r="A915" s="54"/>
      <c r="B915" s="71" t="str">
        <f>IFERROR(HYPERLINK(VLOOKUP(A915,Internal_lists_bugs!$A$2:$C$73,3,FALSE()), VLOOKUP(A915,Internal_lists_bugs!$A$2:$C$73,3,FALSE())&amp;Char(10) &amp; Char(10) &amp; VLOOKUP(A915,Internal_lists_bugs!$A$2:$Z$73,26,FALSE())),"please select a BUG ID")</f>
        <v>please select a BUG ID</v>
      </c>
      <c r="C915" s="51" t="str">
        <f>IFERROR(VLOOKUP(A915,Internal_lists_bugs!$A$2:$T1058,20,FALSE()),"please select a BUG ID")</f>
        <v>please select a BUG ID</v>
      </c>
      <c r="E915" s="54"/>
      <c r="F915" s="82"/>
      <c r="G915" s="92"/>
      <c r="H915" s="54"/>
      <c r="I915" s="51" t="str">
        <f>IFERROR(VLOOKUP(A915,Internal_lists_bugs!$A$2:$G1058,7,FALSE()),"please select a BUG ID")</f>
        <v>please select a BUG ID</v>
      </c>
    </row>
    <row r="916">
      <c r="A916" s="54"/>
      <c r="B916" s="71" t="str">
        <f>IFERROR(HYPERLINK(VLOOKUP(A916,Internal_lists_bugs!$A$2:$C$73,3,FALSE()), VLOOKUP(A916,Internal_lists_bugs!$A$2:$C$73,3,FALSE())&amp;Char(10) &amp; Char(10) &amp; VLOOKUP(A916,Internal_lists_bugs!$A$2:$Z$73,26,FALSE())),"please select a BUG ID")</f>
        <v>please select a BUG ID</v>
      </c>
      <c r="C916" s="51" t="str">
        <f>IFERROR(VLOOKUP(A916,Internal_lists_bugs!$A$2:$T1058,20,FALSE()),"please select a BUG ID")</f>
        <v>please select a BUG ID</v>
      </c>
      <c r="E916" s="54"/>
      <c r="F916" s="82"/>
      <c r="G916" s="92"/>
      <c r="H916" s="54"/>
      <c r="I916" s="51" t="str">
        <f>IFERROR(VLOOKUP(A916,Internal_lists_bugs!$A$2:$G1058,7,FALSE()),"please select a BUG ID")</f>
        <v>please select a BUG ID</v>
      </c>
    </row>
    <row r="917">
      <c r="A917" s="54"/>
      <c r="B917" s="71" t="str">
        <f>IFERROR(HYPERLINK(VLOOKUP(A917,Internal_lists_bugs!$A$2:$C$73,3,FALSE()), VLOOKUP(A917,Internal_lists_bugs!$A$2:$C$73,3,FALSE())&amp;Char(10) &amp; Char(10) &amp; VLOOKUP(A917,Internal_lists_bugs!$A$2:$Z$73,26,FALSE())),"please select a BUG ID")</f>
        <v>please select a BUG ID</v>
      </c>
      <c r="C917" s="51" t="str">
        <f>IFERROR(VLOOKUP(A917,Internal_lists_bugs!$A$2:$T1058,20,FALSE()),"please select a BUG ID")</f>
        <v>please select a BUG ID</v>
      </c>
      <c r="E917" s="54"/>
      <c r="F917" s="82"/>
      <c r="G917" s="92"/>
      <c r="H917" s="54"/>
      <c r="I917" s="51" t="str">
        <f>IFERROR(VLOOKUP(A917,Internal_lists_bugs!$A$2:$G1058,7,FALSE()),"please select a BUG ID")</f>
        <v>please select a BUG ID</v>
      </c>
    </row>
    <row r="918">
      <c r="A918" s="54"/>
      <c r="B918" s="71" t="str">
        <f>IFERROR(HYPERLINK(VLOOKUP(A918,Internal_lists_bugs!$A$2:$C$73,3,FALSE()), VLOOKUP(A918,Internal_lists_bugs!$A$2:$C$73,3,FALSE())&amp;Char(10) &amp; Char(10) &amp; VLOOKUP(A918,Internal_lists_bugs!$A$2:$Z$73,26,FALSE())),"please select a BUG ID")</f>
        <v>please select a BUG ID</v>
      </c>
      <c r="C918" s="51" t="str">
        <f>IFERROR(VLOOKUP(A918,Internal_lists_bugs!$A$2:$T1058,20,FALSE()),"please select a BUG ID")</f>
        <v>please select a BUG ID</v>
      </c>
      <c r="E918" s="54"/>
      <c r="F918" s="82"/>
      <c r="G918" s="92"/>
      <c r="H918" s="54"/>
      <c r="I918" s="51" t="str">
        <f>IFERROR(VLOOKUP(A918,Internal_lists_bugs!$A$2:$G1058,7,FALSE()),"please select a BUG ID")</f>
        <v>please select a BUG ID</v>
      </c>
    </row>
    <row r="919">
      <c r="A919" s="54"/>
      <c r="B919" s="71" t="str">
        <f>IFERROR(HYPERLINK(VLOOKUP(A919,Internal_lists_bugs!$A$2:$C$73,3,FALSE()), VLOOKUP(A919,Internal_lists_bugs!$A$2:$C$73,3,FALSE())&amp;Char(10) &amp; Char(10) &amp; VLOOKUP(A919,Internal_lists_bugs!$A$2:$Z$73,26,FALSE())),"please select a BUG ID")</f>
        <v>please select a BUG ID</v>
      </c>
      <c r="C919" s="51" t="str">
        <f>IFERROR(VLOOKUP(A919,Internal_lists_bugs!$A$2:$T1058,20,FALSE()),"please select a BUG ID")</f>
        <v>please select a BUG ID</v>
      </c>
      <c r="E919" s="54"/>
      <c r="F919" s="82"/>
      <c r="G919" s="92"/>
      <c r="H919" s="54"/>
      <c r="I919" s="51" t="str">
        <f>IFERROR(VLOOKUP(A919,Internal_lists_bugs!$A$2:$G1058,7,FALSE()),"please select a BUG ID")</f>
        <v>please select a BUG ID</v>
      </c>
    </row>
    <row r="920">
      <c r="A920" s="54"/>
      <c r="B920" s="71" t="str">
        <f>IFERROR(HYPERLINK(VLOOKUP(A920,Internal_lists_bugs!$A$2:$C$73,3,FALSE()), VLOOKUP(A920,Internal_lists_bugs!$A$2:$C$73,3,FALSE())&amp;Char(10) &amp; Char(10) &amp; VLOOKUP(A920,Internal_lists_bugs!$A$2:$Z$73,26,FALSE())),"please select a BUG ID")</f>
        <v>please select a BUG ID</v>
      </c>
      <c r="C920" s="51" t="str">
        <f>IFERROR(VLOOKUP(A920,Internal_lists_bugs!$A$2:$T1058,20,FALSE()),"please select a BUG ID")</f>
        <v>please select a BUG ID</v>
      </c>
      <c r="E920" s="54"/>
      <c r="F920" s="82"/>
      <c r="G920" s="92"/>
      <c r="H920" s="54"/>
      <c r="I920" s="51" t="str">
        <f>IFERROR(VLOOKUP(A920,Internal_lists_bugs!$A$2:$G1058,7,FALSE()),"please select a BUG ID")</f>
        <v>please select a BUG ID</v>
      </c>
    </row>
    <row r="921">
      <c r="A921" s="54"/>
      <c r="B921" s="71" t="str">
        <f>IFERROR(HYPERLINK(VLOOKUP(A921,Internal_lists_bugs!$A$2:$C$73,3,FALSE()), VLOOKUP(A921,Internal_lists_bugs!$A$2:$C$73,3,FALSE())&amp;Char(10) &amp; Char(10) &amp; VLOOKUP(A921,Internal_lists_bugs!$A$2:$Z$73,26,FALSE())),"please select a BUG ID")</f>
        <v>please select a BUG ID</v>
      </c>
      <c r="C921" s="51" t="str">
        <f>IFERROR(VLOOKUP(A921,Internal_lists_bugs!$A$2:$T1058,20,FALSE()),"please select a BUG ID")</f>
        <v>please select a BUG ID</v>
      </c>
      <c r="E921" s="54"/>
      <c r="F921" s="82"/>
      <c r="G921" s="92"/>
      <c r="H921" s="54"/>
      <c r="I921" s="51" t="str">
        <f>IFERROR(VLOOKUP(A921,Internal_lists_bugs!$A$2:$G1058,7,FALSE()),"please select a BUG ID")</f>
        <v>please select a BUG ID</v>
      </c>
    </row>
    <row r="922">
      <c r="A922" s="54"/>
      <c r="B922" s="71" t="str">
        <f>IFERROR(HYPERLINK(VLOOKUP(A922,Internal_lists_bugs!$A$2:$C$73,3,FALSE()), VLOOKUP(A922,Internal_lists_bugs!$A$2:$C$73,3,FALSE())&amp;Char(10) &amp; Char(10) &amp; VLOOKUP(A922,Internal_lists_bugs!$A$2:$Z$73,26,FALSE())),"please select a BUG ID")</f>
        <v>please select a BUG ID</v>
      </c>
      <c r="C922" s="51" t="str">
        <f>IFERROR(VLOOKUP(A922,Internal_lists_bugs!$A$2:$T1058,20,FALSE()),"please select a BUG ID")</f>
        <v>please select a BUG ID</v>
      </c>
      <c r="E922" s="54"/>
      <c r="F922" s="82"/>
      <c r="G922" s="92"/>
      <c r="H922" s="54"/>
      <c r="I922" s="51" t="str">
        <f>IFERROR(VLOOKUP(A922,Internal_lists_bugs!$A$2:$G1058,7,FALSE()),"please select a BUG ID")</f>
        <v>please select a BUG ID</v>
      </c>
    </row>
    <row r="923">
      <c r="A923" s="54"/>
      <c r="B923" s="71" t="str">
        <f>IFERROR(HYPERLINK(VLOOKUP(A923,Internal_lists_bugs!$A$2:$C$73,3,FALSE()), VLOOKUP(A923,Internal_lists_bugs!$A$2:$C$73,3,FALSE())&amp;Char(10) &amp; Char(10) &amp; VLOOKUP(A923,Internal_lists_bugs!$A$2:$Z$73,26,FALSE())),"please select a BUG ID")</f>
        <v>please select a BUG ID</v>
      </c>
      <c r="C923" s="51" t="str">
        <f>IFERROR(VLOOKUP(A923,Internal_lists_bugs!$A$2:$T1058,20,FALSE()),"please select a BUG ID")</f>
        <v>please select a BUG ID</v>
      </c>
      <c r="E923" s="54"/>
      <c r="F923" s="82"/>
      <c r="G923" s="92"/>
      <c r="H923" s="54"/>
      <c r="I923" s="51" t="str">
        <f>IFERROR(VLOOKUP(A923,Internal_lists_bugs!$A$2:$G1058,7,FALSE()),"please select a BUG ID")</f>
        <v>please select a BUG ID</v>
      </c>
    </row>
    <row r="924">
      <c r="A924" s="54"/>
      <c r="B924" s="71" t="str">
        <f>IFERROR(HYPERLINK(VLOOKUP(A924,Internal_lists_bugs!$A$2:$C$73,3,FALSE()), VLOOKUP(A924,Internal_lists_bugs!$A$2:$C$73,3,FALSE())&amp;Char(10) &amp; Char(10) &amp; VLOOKUP(A924,Internal_lists_bugs!$A$2:$Z$73,26,FALSE())),"please select a BUG ID")</f>
        <v>please select a BUG ID</v>
      </c>
      <c r="C924" s="51" t="str">
        <f>IFERROR(VLOOKUP(A924,Internal_lists_bugs!$A$2:$T1058,20,FALSE()),"please select a BUG ID")</f>
        <v>please select a BUG ID</v>
      </c>
      <c r="E924" s="54"/>
      <c r="F924" s="82"/>
      <c r="G924" s="92"/>
      <c r="H924" s="54"/>
      <c r="I924" s="51" t="str">
        <f>IFERROR(VLOOKUP(A924,Internal_lists_bugs!$A$2:$G1058,7,FALSE()),"please select a BUG ID")</f>
        <v>please select a BUG ID</v>
      </c>
    </row>
    <row r="925">
      <c r="A925" s="54"/>
      <c r="B925" s="71" t="str">
        <f>IFERROR(HYPERLINK(VLOOKUP(A925,Internal_lists_bugs!$A$2:$C$73,3,FALSE()), VLOOKUP(A925,Internal_lists_bugs!$A$2:$C$73,3,FALSE())&amp;Char(10) &amp; Char(10) &amp; VLOOKUP(A925,Internal_lists_bugs!$A$2:$Z$73,26,FALSE())),"please select a BUG ID")</f>
        <v>please select a BUG ID</v>
      </c>
      <c r="C925" s="51" t="str">
        <f>IFERROR(VLOOKUP(A925,Internal_lists_bugs!$A$2:$T1058,20,FALSE()),"please select a BUG ID")</f>
        <v>please select a BUG ID</v>
      </c>
      <c r="E925" s="54"/>
      <c r="F925" s="82"/>
      <c r="G925" s="92"/>
      <c r="H925" s="54"/>
      <c r="I925" s="51" t="str">
        <f>IFERROR(VLOOKUP(A925,Internal_lists_bugs!$A$2:$G1058,7,FALSE()),"please select a BUG ID")</f>
        <v>please select a BUG ID</v>
      </c>
    </row>
    <row r="926">
      <c r="A926" s="54"/>
      <c r="B926" s="71" t="str">
        <f>IFERROR(HYPERLINK(VLOOKUP(A926,Internal_lists_bugs!$A$2:$C$73,3,FALSE()), VLOOKUP(A926,Internal_lists_bugs!$A$2:$C$73,3,FALSE())&amp;Char(10) &amp; Char(10) &amp; VLOOKUP(A926,Internal_lists_bugs!$A$2:$Z$73,26,FALSE())),"please select a BUG ID")</f>
        <v>please select a BUG ID</v>
      </c>
      <c r="C926" s="51" t="str">
        <f>IFERROR(VLOOKUP(A926,Internal_lists_bugs!$A$2:$T1058,20,FALSE()),"please select a BUG ID")</f>
        <v>please select a BUG ID</v>
      </c>
      <c r="E926" s="54"/>
      <c r="F926" s="82"/>
      <c r="G926" s="92"/>
      <c r="H926" s="54"/>
      <c r="I926" s="51" t="str">
        <f>IFERROR(VLOOKUP(A926,Internal_lists_bugs!$A$2:$G1058,7,FALSE()),"please select a BUG ID")</f>
        <v>please select a BUG ID</v>
      </c>
    </row>
    <row r="927">
      <c r="A927" s="54"/>
      <c r="B927" s="71" t="str">
        <f>IFERROR(HYPERLINK(VLOOKUP(A927,Internal_lists_bugs!$A$2:$C$73,3,FALSE()), VLOOKUP(A927,Internal_lists_bugs!$A$2:$C$73,3,FALSE())&amp;Char(10) &amp; Char(10) &amp; VLOOKUP(A927,Internal_lists_bugs!$A$2:$Z$73,26,FALSE())),"please select a BUG ID")</f>
        <v>please select a BUG ID</v>
      </c>
      <c r="C927" s="51" t="str">
        <f>IFERROR(VLOOKUP(A927,Internal_lists_bugs!$A$2:$T1058,20,FALSE()),"please select a BUG ID")</f>
        <v>please select a BUG ID</v>
      </c>
      <c r="E927" s="54"/>
      <c r="F927" s="82"/>
      <c r="G927" s="92"/>
      <c r="H927" s="54"/>
      <c r="I927" s="51" t="str">
        <f>IFERROR(VLOOKUP(A927,Internal_lists_bugs!$A$2:$G1058,7,FALSE()),"please select a BUG ID")</f>
        <v>please select a BUG ID</v>
      </c>
    </row>
    <row r="928">
      <c r="A928" s="54"/>
      <c r="B928" s="71" t="str">
        <f>IFERROR(HYPERLINK(VLOOKUP(A928,Internal_lists_bugs!$A$2:$C$73,3,FALSE()), VLOOKUP(A928,Internal_lists_bugs!$A$2:$C$73,3,FALSE())&amp;Char(10) &amp; Char(10) &amp; VLOOKUP(A928,Internal_lists_bugs!$A$2:$Z$73,26,FALSE())),"please select a BUG ID")</f>
        <v>please select a BUG ID</v>
      </c>
      <c r="C928" s="51" t="str">
        <f>IFERROR(VLOOKUP(A928,Internal_lists_bugs!$A$2:$T1058,20,FALSE()),"please select a BUG ID")</f>
        <v>please select a BUG ID</v>
      </c>
      <c r="E928" s="54"/>
      <c r="F928" s="82"/>
      <c r="G928" s="92"/>
      <c r="H928" s="54"/>
      <c r="I928" s="51" t="str">
        <f>IFERROR(VLOOKUP(A928,Internal_lists_bugs!$A$2:$G1058,7,FALSE()),"please select a BUG ID")</f>
        <v>please select a BUG ID</v>
      </c>
    </row>
    <row r="929">
      <c r="A929" s="54"/>
      <c r="B929" s="71" t="str">
        <f>IFERROR(HYPERLINK(VLOOKUP(A929,Internal_lists_bugs!$A$2:$C$73,3,FALSE()), VLOOKUP(A929,Internal_lists_bugs!$A$2:$C$73,3,FALSE())&amp;Char(10) &amp; Char(10) &amp; VLOOKUP(A929,Internal_lists_bugs!$A$2:$Z$73,26,FALSE())),"please select a BUG ID")</f>
        <v>please select a BUG ID</v>
      </c>
      <c r="C929" s="51" t="str">
        <f>IFERROR(VLOOKUP(A929,Internal_lists_bugs!$A$2:$T1058,20,FALSE()),"please select a BUG ID")</f>
        <v>please select a BUG ID</v>
      </c>
      <c r="E929" s="54"/>
      <c r="F929" s="82"/>
      <c r="G929" s="92"/>
      <c r="H929" s="54"/>
      <c r="I929" s="51" t="str">
        <f>IFERROR(VLOOKUP(A929,Internal_lists_bugs!$A$2:$G1058,7,FALSE()),"please select a BUG ID")</f>
        <v>please select a BUG ID</v>
      </c>
    </row>
    <row r="930">
      <c r="A930" s="54"/>
      <c r="B930" s="71" t="str">
        <f>IFERROR(HYPERLINK(VLOOKUP(A930,Internal_lists_bugs!$A$2:$C$73,3,FALSE()), VLOOKUP(A930,Internal_lists_bugs!$A$2:$C$73,3,FALSE())&amp;Char(10) &amp; Char(10) &amp; VLOOKUP(A930,Internal_lists_bugs!$A$2:$Z$73,26,FALSE())),"please select a BUG ID")</f>
        <v>please select a BUG ID</v>
      </c>
      <c r="C930" s="51" t="str">
        <f>IFERROR(VLOOKUP(A930,Internal_lists_bugs!$A$2:$T1058,20,FALSE()),"please select a BUG ID")</f>
        <v>please select a BUG ID</v>
      </c>
      <c r="E930" s="54"/>
      <c r="F930" s="82"/>
      <c r="G930" s="92"/>
      <c r="H930" s="54"/>
      <c r="I930" s="51" t="str">
        <f>IFERROR(VLOOKUP(A930,Internal_lists_bugs!$A$2:$G1058,7,FALSE()),"please select a BUG ID")</f>
        <v>please select a BUG ID</v>
      </c>
    </row>
    <row r="931">
      <c r="A931" s="54"/>
      <c r="B931" s="71" t="str">
        <f>IFERROR(HYPERLINK(VLOOKUP(A931,Internal_lists_bugs!$A$2:$C$73,3,FALSE()), VLOOKUP(A931,Internal_lists_bugs!$A$2:$C$73,3,FALSE())&amp;Char(10) &amp; Char(10) &amp; VLOOKUP(A931,Internal_lists_bugs!$A$2:$Z$73,26,FALSE())),"please select a BUG ID")</f>
        <v>please select a BUG ID</v>
      </c>
      <c r="C931" s="51" t="str">
        <f>IFERROR(VLOOKUP(A931,Internal_lists_bugs!$A$2:$T1058,20,FALSE()),"please select a BUG ID")</f>
        <v>please select a BUG ID</v>
      </c>
      <c r="E931" s="54"/>
      <c r="F931" s="82"/>
      <c r="G931" s="92"/>
      <c r="H931" s="54"/>
      <c r="I931" s="51" t="str">
        <f>IFERROR(VLOOKUP(A931,Internal_lists_bugs!$A$2:$G1058,7,FALSE()),"please select a BUG ID")</f>
        <v>please select a BUG ID</v>
      </c>
    </row>
    <row r="932">
      <c r="A932" s="54"/>
      <c r="B932" s="71" t="str">
        <f>IFERROR(HYPERLINK(VLOOKUP(A932,Internal_lists_bugs!$A$2:$C$73,3,FALSE()), VLOOKUP(A932,Internal_lists_bugs!$A$2:$C$73,3,FALSE())&amp;Char(10) &amp; Char(10) &amp; VLOOKUP(A932,Internal_lists_bugs!$A$2:$Z$73,26,FALSE())),"please select a BUG ID")</f>
        <v>please select a BUG ID</v>
      </c>
      <c r="C932" s="51" t="str">
        <f>IFERROR(VLOOKUP(A932,Internal_lists_bugs!$A$2:$T1058,20,FALSE()),"please select a BUG ID")</f>
        <v>please select a BUG ID</v>
      </c>
      <c r="E932" s="54"/>
      <c r="F932" s="82"/>
      <c r="G932" s="92"/>
      <c r="H932" s="54"/>
      <c r="I932" s="51" t="str">
        <f>IFERROR(VLOOKUP(A932,Internal_lists_bugs!$A$2:$G1058,7,FALSE()),"please select a BUG ID")</f>
        <v>please select a BUG ID</v>
      </c>
    </row>
    <row r="933">
      <c r="A933" s="54"/>
      <c r="B933" s="71" t="str">
        <f>IFERROR(HYPERLINK(VLOOKUP(A933,Internal_lists_bugs!$A$2:$C$73,3,FALSE()), VLOOKUP(A933,Internal_lists_bugs!$A$2:$C$73,3,FALSE())&amp;Char(10) &amp; Char(10) &amp; VLOOKUP(A933,Internal_lists_bugs!$A$2:$Z$73,26,FALSE())),"please select a BUG ID")</f>
        <v>please select a BUG ID</v>
      </c>
      <c r="C933" s="51" t="str">
        <f>IFERROR(VLOOKUP(A933,Internal_lists_bugs!$A$2:$T1058,20,FALSE()),"please select a BUG ID")</f>
        <v>please select a BUG ID</v>
      </c>
      <c r="E933" s="54"/>
      <c r="F933" s="82"/>
      <c r="G933" s="92"/>
      <c r="H933" s="54"/>
      <c r="I933" s="51" t="str">
        <f>IFERROR(VLOOKUP(A933,Internal_lists_bugs!$A$2:$G1058,7,FALSE()),"please select a BUG ID")</f>
        <v>please select a BUG ID</v>
      </c>
    </row>
    <row r="934">
      <c r="A934" s="54"/>
      <c r="B934" s="71" t="str">
        <f>IFERROR(HYPERLINK(VLOOKUP(A934,Internal_lists_bugs!$A$2:$C$73,3,FALSE()), VLOOKUP(A934,Internal_lists_bugs!$A$2:$C$73,3,FALSE())&amp;Char(10) &amp; Char(10) &amp; VLOOKUP(A934,Internal_lists_bugs!$A$2:$Z$73,26,FALSE())),"please select a BUG ID")</f>
        <v>please select a BUG ID</v>
      </c>
      <c r="C934" s="51" t="str">
        <f>IFERROR(VLOOKUP(A934,Internal_lists_bugs!$A$2:$T1058,20,FALSE()),"please select a BUG ID")</f>
        <v>please select a BUG ID</v>
      </c>
      <c r="E934" s="54"/>
      <c r="F934" s="82"/>
      <c r="G934" s="92"/>
      <c r="H934" s="54"/>
      <c r="I934" s="51" t="str">
        <f>IFERROR(VLOOKUP(A934,Internal_lists_bugs!$A$2:$G1058,7,FALSE()),"please select a BUG ID")</f>
        <v>please select a BUG ID</v>
      </c>
    </row>
    <row r="935">
      <c r="A935" s="54"/>
      <c r="B935" s="71" t="str">
        <f>IFERROR(HYPERLINK(VLOOKUP(A935,Internal_lists_bugs!$A$2:$C$73,3,FALSE()), VLOOKUP(A935,Internal_lists_bugs!$A$2:$C$73,3,FALSE())&amp;Char(10) &amp; Char(10) &amp; VLOOKUP(A935,Internal_lists_bugs!$A$2:$Z$73,26,FALSE())),"please select a BUG ID")</f>
        <v>please select a BUG ID</v>
      </c>
      <c r="C935" s="51" t="str">
        <f>IFERROR(VLOOKUP(A935,Internal_lists_bugs!$A$2:$T1058,20,FALSE()),"please select a BUG ID")</f>
        <v>please select a BUG ID</v>
      </c>
      <c r="E935" s="54"/>
      <c r="F935" s="82"/>
      <c r="G935" s="92"/>
      <c r="H935" s="54"/>
      <c r="I935" s="51" t="str">
        <f>IFERROR(VLOOKUP(A935,Internal_lists_bugs!$A$2:$G1058,7,FALSE()),"please select a BUG ID")</f>
        <v>please select a BUG ID</v>
      </c>
    </row>
    <row r="936">
      <c r="A936" s="54"/>
      <c r="B936" s="71" t="str">
        <f>IFERROR(HYPERLINK(VLOOKUP(A936,Internal_lists_bugs!$A$2:$C$73,3,FALSE()), VLOOKUP(A936,Internal_lists_bugs!$A$2:$C$73,3,FALSE())&amp;Char(10) &amp; Char(10) &amp; VLOOKUP(A936,Internal_lists_bugs!$A$2:$Z$73,26,FALSE())),"please select a BUG ID")</f>
        <v>please select a BUG ID</v>
      </c>
      <c r="C936" s="51" t="str">
        <f>IFERROR(VLOOKUP(A936,Internal_lists_bugs!$A$2:$T1058,20,FALSE()),"please select a BUG ID")</f>
        <v>please select a BUG ID</v>
      </c>
      <c r="E936" s="54"/>
      <c r="F936" s="82"/>
      <c r="G936" s="92"/>
      <c r="H936" s="54"/>
      <c r="I936" s="51" t="str">
        <f>IFERROR(VLOOKUP(A936,Internal_lists_bugs!$A$2:$G1058,7,FALSE()),"please select a BUG ID")</f>
        <v>please select a BUG ID</v>
      </c>
    </row>
    <row r="937">
      <c r="A937" s="54"/>
      <c r="B937" s="71" t="str">
        <f>IFERROR(HYPERLINK(VLOOKUP(A937,Internal_lists_bugs!$A$2:$C$73,3,FALSE()), VLOOKUP(A937,Internal_lists_bugs!$A$2:$C$73,3,FALSE())&amp;Char(10) &amp; Char(10) &amp; VLOOKUP(A937,Internal_lists_bugs!$A$2:$Z$73,26,FALSE())),"please select a BUG ID")</f>
        <v>please select a BUG ID</v>
      </c>
      <c r="C937" s="51" t="str">
        <f>IFERROR(VLOOKUP(A937,Internal_lists_bugs!$A$2:$T1058,20,FALSE()),"please select a BUG ID")</f>
        <v>please select a BUG ID</v>
      </c>
      <c r="E937" s="54"/>
      <c r="F937" s="82"/>
      <c r="G937" s="92"/>
      <c r="H937" s="54"/>
      <c r="I937" s="51" t="str">
        <f>IFERROR(VLOOKUP(A937,Internal_lists_bugs!$A$2:$G1058,7,FALSE()),"please select a BUG ID")</f>
        <v>please select a BUG ID</v>
      </c>
    </row>
    <row r="938">
      <c r="A938" s="54"/>
      <c r="B938" s="71" t="str">
        <f>IFERROR(HYPERLINK(VLOOKUP(A938,Internal_lists_bugs!$A$2:$C$73,3,FALSE()), VLOOKUP(A938,Internal_lists_bugs!$A$2:$C$73,3,FALSE())&amp;Char(10) &amp; Char(10) &amp; VLOOKUP(A938,Internal_lists_bugs!$A$2:$Z$73,26,FALSE())),"please select a BUG ID")</f>
        <v>please select a BUG ID</v>
      </c>
      <c r="C938" s="51" t="str">
        <f>IFERROR(VLOOKUP(A938,Internal_lists_bugs!$A$2:$T1058,20,FALSE()),"please select a BUG ID")</f>
        <v>please select a BUG ID</v>
      </c>
      <c r="E938" s="54"/>
      <c r="F938" s="82"/>
      <c r="G938" s="92"/>
      <c r="H938" s="54"/>
      <c r="I938" s="51" t="str">
        <f>IFERROR(VLOOKUP(A938,Internal_lists_bugs!$A$2:$G1058,7,FALSE()),"please select a BUG ID")</f>
        <v>please select a BUG ID</v>
      </c>
    </row>
    <row r="939">
      <c r="A939" s="54"/>
      <c r="B939" s="71" t="str">
        <f>IFERROR(HYPERLINK(VLOOKUP(A939,Internal_lists_bugs!$A$2:$C$73,3,FALSE()), VLOOKUP(A939,Internal_lists_bugs!$A$2:$C$73,3,FALSE())&amp;Char(10) &amp; Char(10) &amp; VLOOKUP(A939,Internal_lists_bugs!$A$2:$Z$73,26,FALSE())),"please select a BUG ID")</f>
        <v>please select a BUG ID</v>
      </c>
      <c r="C939" s="51" t="str">
        <f>IFERROR(VLOOKUP(A939,Internal_lists_bugs!$A$2:$T1058,20,FALSE()),"please select a BUG ID")</f>
        <v>please select a BUG ID</v>
      </c>
      <c r="E939" s="54"/>
      <c r="F939" s="82"/>
      <c r="G939" s="92"/>
      <c r="H939" s="54"/>
      <c r="I939" s="51" t="str">
        <f>IFERROR(VLOOKUP(A939,Internal_lists_bugs!$A$2:$G1058,7,FALSE()),"please select a BUG ID")</f>
        <v>please select a BUG ID</v>
      </c>
    </row>
    <row r="940">
      <c r="A940" s="54"/>
      <c r="B940" s="71" t="str">
        <f>IFERROR(HYPERLINK(VLOOKUP(A940,Internal_lists_bugs!$A$2:$C$73,3,FALSE()), VLOOKUP(A940,Internal_lists_bugs!$A$2:$C$73,3,FALSE())&amp;Char(10) &amp; Char(10) &amp; VLOOKUP(A940,Internal_lists_bugs!$A$2:$Z$73,26,FALSE())),"please select a BUG ID")</f>
        <v>please select a BUG ID</v>
      </c>
      <c r="C940" s="51" t="str">
        <f>IFERROR(VLOOKUP(A940,Internal_lists_bugs!$A$2:$T1058,20,FALSE()),"please select a BUG ID")</f>
        <v>please select a BUG ID</v>
      </c>
      <c r="E940" s="54"/>
      <c r="F940" s="82"/>
      <c r="G940" s="92"/>
      <c r="H940" s="54"/>
      <c r="I940" s="51" t="str">
        <f>IFERROR(VLOOKUP(A940,Internal_lists_bugs!$A$2:$G1058,7,FALSE()),"please select a BUG ID")</f>
        <v>please select a BUG ID</v>
      </c>
    </row>
    <row r="941">
      <c r="A941" s="54"/>
      <c r="B941" s="71" t="str">
        <f>IFERROR(HYPERLINK(VLOOKUP(A941,Internal_lists_bugs!$A$2:$C$73,3,FALSE()), VLOOKUP(A941,Internal_lists_bugs!$A$2:$C$73,3,FALSE())&amp;Char(10) &amp; Char(10) &amp; VLOOKUP(A941,Internal_lists_bugs!$A$2:$Z$73,26,FALSE())),"please select a BUG ID")</f>
        <v>please select a BUG ID</v>
      </c>
      <c r="C941" s="51" t="str">
        <f>IFERROR(VLOOKUP(A941,Internal_lists_bugs!$A$2:$T1058,20,FALSE()),"please select a BUG ID")</f>
        <v>please select a BUG ID</v>
      </c>
      <c r="E941" s="54"/>
      <c r="F941" s="82"/>
      <c r="G941" s="92"/>
      <c r="H941" s="54"/>
      <c r="I941" s="51" t="str">
        <f>IFERROR(VLOOKUP(A941,Internal_lists_bugs!$A$2:$G1058,7,FALSE()),"please select a BUG ID")</f>
        <v>please select a BUG ID</v>
      </c>
    </row>
    <row r="942">
      <c r="A942" s="54"/>
      <c r="B942" s="71" t="str">
        <f>IFERROR(HYPERLINK(VLOOKUP(A942,Internal_lists_bugs!$A$2:$C$73,3,FALSE()), VLOOKUP(A942,Internal_lists_bugs!$A$2:$C$73,3,FALSE())&amp;Char(10) &amp; Char(10) &amp; VLOOKUP(A942,Internal_lists_bugs!$A$2:$Z$73,26,FALSE())),"please select a BUG ID")</f>
        <v>please select a BUG ID</v>
      </c>
      <c r="C942" s="51" t="str">
        <f>IFERROR(VLOOKUP(A942,Internal_lists_bugs!$A$2:$T1058,20,FALSE()),"please select a BUG ID")</f>
        <v>please select a BUG ID</v>
      </c>
      <c r="E942" s="54"/>
      <c r="F942" s="82"/>
      <c r="G942" s="92"/>
      <c r="H942" s="54"/>
      <c r="I942" s="51" t="str">
        <f>IFERROR(VLOOKUP(A942,Internal_lists_bugs!$A$2:$G1058,7,FALSE()),"please select a BUG ID")</f>
        <v>please select a BUG ID</v>
      </c>
    </row>
    <row r="943">
      <c r="A943" s="54"/>
      <c r="B943" s="71" t="str">
        <f>IFERROR(HYPERLINK(VLOOKUP(A943,Internal_lists_bugs!$A$2:$C$73,3,FALSE()), VLOOKUP(A943,Internal_lists_bugs!$A$2:$C$73,3,FALSE())&amp;Char(10) &amp; Char(10) &amp; VLOOKUP(A943,Internal_lists_bugs!$A$2:$Z$73,26,FALSE())),"please select a BUG ID")</f>
        <v>please select a BUG ID</v>
      </c>
      <c r="C943" s="51" t="str">
        <f>IFERROR(VLOOKUP(A943,Internal_lists_bugs!$A$2:$T1058,20,FALSE()),"please select a BUG ID")</f>
        <v>please select a BUG ID</v>
      </c>
      <c r="E943" s="54"/>
      <c r="F943" s="82"/>
      <c r="G943" s="92"/>
      <c r="H943" s="54"/>
      <c r="I943" s="51" t="str">
        <f>IFERROR(VLOOKUP(A943,Internal_lists_bugs!$A$2:$G1058,7,FALSE()),"please select a BUG ID")</f>
        <v>please select a BUG ID</v>
      </c>
    </row>
    <row r="944">
      <c r="A944" s="54"/>
      <c r="B944" s="71" t="str">
        <f>IFERROR(HYPERLINK(VLOOKUP(A944,Internal_lists_bugs!$A$2:$C$73,3,FALSE()), VLOOKUP(A944,Internal_lists_bugs!$A$2:$C$73,3,FALSE())&amp;Char(10) &amp; Char(10) &amp; VLOOKUP(A944,Internal_lists_bugs!$A$2:$Z$73,26,FALSE())),"please select a BUG ID")</f>
        <v>please select a BUG ID</v>
      </c>
      <c r="C944" s="51" t="str">
        <f>IFERROR(VLOOKUP(A944,Internal_lists_bugs!$A$2:$T1058,20,FALSE()),"please select a BUG ID")</f>
        <v>please select a BUG ID</v>
      </c>
      <c r="E944" s="54"/>
      <c r="F944" s="82"/>
      <c r="G944" s="92"/>
      <c r="H944" s="54"/>
      <c r="I944" s="51" t="str">
        <f>IFERROR(VLOOKUP(A944,Internal_lists_bugs!$A$2:$G1058,7,FALSE()),"please select a BUG ID")</f>
        <v>please select a BUG ID</v>
      </c>
    </row>
    <row r="945">
      <c r="A945" s="54"/>
      <c r="B945" s="71" t="str">
        <f>IFERROR(HYPERLINK(VLOOKUP(A945,Internal_lists_bugs!$A$2:$C$73,3,FALSE()), VLOOKUP(A945,Internal_lists_bugs!$A$2:$C$73,3,FALSE())&amp;Char(10) &amp; Char(10) &amp; VLOOKUP(A945,Internal_lists_bugs!$A$2:$Z$73,26,FALSE())),"please select a BUG ID")</f>
        <v>please select a BUG ID</v>
      </c>
      <c r="C945" s="51" t="str">
        <f>IFERROR(VLOOKUP(A945,Internal_lists_bugs!$A$2:$T1058,20,FALSE()),"please select a BUG ID")</f>
        <v>please select a BUG ID</v>
      </c>
      <c r="E945" s="54"/>
      <c r="F945" s="82"/>
      <c r="G945" s="92"/>
      <c r="H945" s="54"/>
      <c r="I945" s="51" t="str">
        <f>IFERROR(VLOOKUP(A945,Internal_lists_bugs!$A$2:$G1058,7,FALSE()),"please select a BUG ID")</f>
        <v>please select a BUG ID</v>
      </c>
    </row>
    <row r="946">
      <c r="A946" s="54"/>
      <c r="B946" s="71" t="str">
        <f>IFERROR(HYPERLINK(VLOOKUP(A946,Internal_lists_bugs!$A$2:$C$73,3,FALSE()), VLOOKUP(A946,Internal_lists_bugs!$A$2:$C$73,3,FALSE())&amp;Char(10) &amp; Char(10) &amp; VLOOKUP(A946,Internal_lists_bugs!$A$2:$Z$73,26,FALSE())),"please select a BUG ID")</f>
        <v>please select a BUG ID</v>
      </c>
      <c r="C946" s="51" t="str">
        <f>IFERROR(VLOOKUP(A946,Internal_lists_bugs!$A$2:$T1058,20,FALSE()),"please select a BUG ID")</f>
        <v>please select a BUG ID</v>
      </c>
      <c r="E946" s="54"/>
      <c r="F946" s="82"/>
      <c r="G946" s="92"/>
      <c r="H946" s="54"/>
      <c r="I946" s="51" t="str">
        <f>IFERROR(VLOOKUP(A946,Internal_lists_bugs!$A$2:$G1058,7,FALSE()),"please select a BUG ID")</f>
        <v>please select a BUG ID</v>
      </c>
    </row>
    <row r="947">
      <c r="A947" s="54"/>
      <c r="B947" s="71" t="str">
        <f>IFERROR(HYPERLINK(VLOOKUP(A947,Internal_lists_bugs!$A$2:$C$73,3,FALSE()), VLOOKUP(A947,Internal_lists_bugs!$A$2:$C$73,3,FALSE())&amp;Char(10) &amp; Char(10) &amp; VLOOKUP(A947,Internal_lists_bugs!$A$2:$Z$73,26,FALSE())),"please select a BUG ID")</f>
        <v>please select a BUG ID</v>
      </c>
      <c r="C947" s="51" t="str">
        <f>IFERROR(VLOOKUP(A947,Internal_lists_bugs!$A$2:$T1058,20,FALSE()),"please select a BUG ID")</f>
        <v>please select a BUG ID</v>
      </c>
      <c r="E947" s="54"/>
      <c r="F947" s="82"/>
      <c r="G947" s="92"/>
      <c r="H947" s="54"/>
      <c r="I947" s="51" t="str">
        <f>IFERROR(VLOOKUP(A947,Internal_lists_bugs!$A$2:$G1058,7,FALSE()),"please select a BUG ID")</f>
        <v>please select a BUG ID</v>
      </c>
    </row>
    <row r="948">
      <c r="A948" s="54"/>
      <c r="B948" s="71" t="str">
        <f>IFERROR(HYPERLINK(VLOOKUP(A948,Internal_lists_bugs!$A$2:$C$73,3,FALSE()), VLOOKUP(A948,Internal_lists_bugs!$A$2:$C$73,3,FALSE())&amp;Char(10) &amp; Char(10) &amp; VLOOKUP(A948,Internal_lists_bugs!$A$2:$Z$73,26,FALSE())),"please select a BUG ID")</f>
        <v>please select a BUG ID</v>
      </c>
      <c r="C948" s="51" t="str">
        <f>IFERROR(VLOOKUP(A948,Internal_lists_bugs!$A$2:$T1058,20,FALSE()),"please select a BUG ID")</f>
        <v>please select a BUG ID</v>
      </c>
      <c r="E948" s="54"/>
      <c r="F948" s="82"/>
      <c r="G948" s="92"/>
      <c r="H948" s="54"/>
      <c r="I948" s="51" t="str">
        <f>IFERROR(VLOOKUP(A948,Internal_lists_bugs!$A$2:$G1058,7,FALSE()),"please select a BUG ID")</f>
        <v>please select a BUG ID</v>
      </c>
    </row>
    <row r="949">
      <c r="A949" s="54"/>
      <c r="B949" s="71" t="str">
        <f>IFERROR(HYPERLINK(VLOOKUP(A949,Internal_lists_bugs!$A$2:$C$73,3,FALSE()), VLOOKUP(A949,Internal_lists_bugs!$A$2:$C$73,3,FALSE())&amp;Char(10) &amp; Char(10) &amp; VLOOKUP(A949,Internal_lists_bugs!$A$2:$Z$73,26,FALSE())),"please select a BUG ID")</f>
        <v>please select a BUG ID</v>
      </c>
      <c r="C949" s="51" t="str">
        <f>IFERROR(VLOOKUP(A949,Internal_lists_bugs!$A$2:$T1058,20,FALSE()),"please select a BUG ID")</f>
        <v>please select a BUG ID</v>
      </c>
      <c r="E949" s="54"/>
      <c r="F949" s="82"/>
      <c r="G949" s="92"/>
      <c r="H949" s="54"/>
      <c r="I949" s="51" t="str">
        <f>IFERROR(VLOOKUP(A949,Internal_lists_bugs!$A$2:$G1058,7,FALSE()),"please select a BUG ID")</f>
        <v>please select a BUG ID</v>
      </c>
    </row>
    <row r="950">
      <c r="A950" s="54"/>
      <c r="B950" s="71" t="str">
        <f>IFERROR(HYPERLINK(VLOOKUP(A950,Internal_lists_bugs!$A$2:$C$73,3,FALSE()), VLOOKUP(A950,Internal_lists_bugs!$A$2:$C$73,3,FALSE())&amp;Char(10) &amp; Char(10) &amp; VLOOKUP(A950,Internal_lists_bugs!$A$2:$Z$73,26,FALSE())),"please select a BUG ID")</f>
        <v>please select a BUG ID</v>
      </c>
      <c r="C950" s="51" t="str">
        <f>IFERROR(VLOOKUP(A950,Internal_lists_bugs!$A$2:$T1058,20,FALSE()),"please select a BUG ID")</f>
        <v>please select a BUG ID</v>
      </c>
      <c r="E950" s="54"/>
      <c r="F950" s="82"/>
      <c r="G950" s="92"/>
      <c r="H950" s="54"/>
      <c r="I950" s="51" t="str">
        <f>IFERROR(VLOOKUP(A950,Internal_lists_bugs!$A$2:$G1058,7,FALSE()),"please select a BUG ID")</f>
        <v>please select a BUG ID</v>
      </c>
    </row>
    <row r="951">
      <c r="A951" s="54"/>
      <c r="B951" s="71" t="str">
        <f>IFERROR(HYPERLINK(VLOOKUP(A951,Internal_lists_bugs!$A$2:$C$73,3,FALSE()), VLOOKUP(A951,Internal_lists_bugs!$A$2:$C$73,3,FALSE())&amp;Char(10) &amp; Char(10) &amp; VLOOKUP(A951,Internal_lists_bugs!$A$2:$Z$73,26,FALSE())),"please select a BUG ID")</f>
        <v>please select a BUG ID</v>
      </c>
      <c r="C951" s="51" t="str">
        <f>IFERROR(VLOOKUP(A951,Internal_lists_bugs!$A$2:$T1058,20,FALSE()),"please select a BUG ID")</f>
        <v>please select a BUG ID</v>
      </c>
      <c r="E951" s="54"/>
      <c r="F951" s="82"/>
      <c r="G951" s="92"/>
      <c r="H951" s="54"/>
      <c r="I951" s="51" t="str">
        <f>IFERROR(VLOOKUP(A951,Internal_lists_bugs!$A$2:$G1058,7,FALSE()),"please select a BUG ID")</f>
        <v>please select a BUG ID</v>
      </c>
    </row>
    <row r="952">
      <c r="A952" s="54"/>
      <c r="B952" s="71" t="str">
        <f>IFERROR(HYPERLINK(VLOOKUP(A952,Internal_lists_bugs!$A$2:$C$73,3,FALSE()), VLOOKUP(A952,Internal_lists_bugs!$A$2:$C$73,3,FALSE())&amp;Char(10) &amp; Char(10) &amp; VLOOKUP(A952,Internal_lists_bugs!$A$2:$Z$73,26,FALSE())),"please select a BUG ID")</f>
        <v>please select a BUG ID</v>
      </c>
      <c r="C952" s="51" t="str">
        <f>IFERROR(VLOOKUP(A952,Internal_lists_bugs!$A$2:$T1058,20,FALSE()),"please select a BUG ID")</f>
        <v>please select a BUG ID</v>
      </c>
      <c r="E952" s="54"/>
      <c r="F952" s="82"/>
      <c r="G952" s="92"/>
      <c r="H952" s="54"/>
      <c r="I952" s="51" t="str">
        <f>IFERROR(VLOOKUP(A952,Internal_lists_bugs!$A$2:$G1058,7,FALSE()),"please select a BUG ID")</f>
        <v>please select a BUG ID</v>
      </c>
    </row>
    <row r="953">
      <c r="A953" s="54"/>
      <c r="B953" s="71" t="str">
        <f>IFERROR(HYPERLINK(VLOOKUP(A953,Internal_lists_bugs!$A$2:$C$73,3,FALSE()), VLOOKUP(A953,Internal_lists_bugs!$A$2:$C$73,3,FALSE())&amp;Char(10) &amp; Char(10) &amp; VLOOKUP(A953,Internal_lists_bugs!$A$2:$Z$73,26,FALSE())),"please select a BUG ID")</f>
        <v>please select a BUG ID</v>
      </c>
      <c r="C953" s="51" t="str">
        <f>IFERROR(VLOOKUP(A953,Internal_lists_bugs!$A$2:$T1058,20,FALSE()),"please select a BUG ID")</f>
        <v>please select a BUG ID</v>
      </c>
      <c r="E953" s="54"/>
      <c r="F953" s="82"/>
      <c r="G953" s="92"/>
      <c r="H953" s="54"/>
      <c r="I953" s="51" t="str">
        <f>IFERROR(VLOOKUP(A953,Internal_lists_bugs!$A$2:$G1058,7,FALSE()),"please select a BUG ID")</f>
        <v>please select a BUG ID</v>
      </c>
    </row>
    <row r="954">
      <c r="A954" s="54"/>
      <c r="B954" s="71" t="str">
        <f>IFERROR(HYPERLINK(VLOOKUP(A954,Internal_lists_bugs!$A$2:$C$73,3,FALSE()), VLOOKUP(A954,Internal_lists_bugs!$A$2:$C$73,3,FALSE())&amp;Char(10) &amp; Char(10) &amp; VLOOKUP(A954,Internal_lists_bugs!$A$2:$Z$73,26,FALSE())),"please select a BUG ID")</f>
        <v>please select a BUG ID</v>
      </c>
      <c r="C954" s="51" t="str">
        <f>IFERROR(VLOOKUP(A954,Internal_lists_bugs!$A$2:$T1058,20,FALSE()),"please select a BUG ID")</f>
        <v>please select a BUG ID</v>
      </c>
      <c r="E954" s="54"/>
      <c r="F954" s="82"/>
      <c r="G954" s="92"/>
      <c r="H954" s="54"/>
      <c r="I954" s="51" t="str">
        <f>IFERROR(VLOOKUP(A954,Internal_lists_bugs!$A$2:$G1058,7,FALSE()),"please select a BUG ID")</f>
        <v>please select a BUG ID</v>
      </c>
    </row>
    <row r="955">
      <c r="A955" s="54"/>
      <c r="B955" s="71" t="str">
        <f>IFERROR(HYPERLINK(VLOOKUP(A955,Internal_lists_bugs!$A$2:$C$73,3,FALSE()), VLOOKUP(A955,Internal_lists_bugs!$A$2:$C$73,3,FALSE())&amp;Char(10) &amp; Char(10) &amp; VLOOKUP(A955,Internal_lists_bugs!$A$2:$Z$73,26,FALSE())),"please select a BUG ID")</f>
        <v>please select a BUG ID</v>
      </c>
      <c r="C955" s="51" t="str">
        <f>IFERROR(VLOOKUP(A955,Internal_lists_bugs!$A$2:$T1058,20,FALSE()),"please select a BUG ID")</f>
        <v>please select a BUG ID</v>
      </c>
      <c r="E955" s="54"/>
      <c r="F955" s="82"/>
      <c r="G955" s="92"/>
      <c r="H955" s="54"/>
      <c r="I955" s="51" t="str">
        <f>IFERROR(VLOOKUP(A955,Internal_lists_bugs!$A$2:$G1058,7,FALSE()),"please select a BUG ID")</f>
        <v>please select a BUG ID</v>
      </c>
    </row>
    <row r="956">
      <c r="A956" s="54"/>
      <c r="B956" s="71" t="str">
        <f>IFERROR(HYPERLINK(VLOOKUP(A956,Internal_lists_bugs!$A$2:$C$73,3,FALSE()), VLOOKUP(A956,Internal_lists_bugs!$A$2:$C$73,3,FALSE())&amp;Char(10) &amp; Char(10) &amp; VLOOKUP(A956,Internal_lists_bugs!$A$2:$Z$73,26,FALSE())),"please select a BUG ID")</f>
        <v>please select a BUG ID</v>
      </c>
      <c r="C956" s="51" t="str">
        <f>IFERROR(VLOOKUP(A956,Internal_lists_bugs!$A$2:$T1058,20,FALSE()),"please select a BUG ID")</f>
        <v>please select a BUG ID</v>
      </c>
      <c r="E956" s="54"/>
      <c r="F956" s="82"/>
      <c r="G956" s="92"/>
      <c r="H956" s="54"/>
      <c r="I956" s="51" t="str">
        <f>IFERROR(VLOOKUP(A956,Internal_lists_bugs!$A$2:$G1058,7,FALSE()),"please select a BUG ID")</f>
        <v>please select a BUG ID</v>
      </c>
    </row>
    <row r="957">
      <c r="A957" s="54"/>
      <c r="B957" s="71" t="str">
        <f>IFERROR(HYPERLINK(VLOOKUP(A957,Internal_lists_bugs!$A$2:$C$73,3,FALSE()), VLOOKUP(A957,Internal_lists_bugs!$A$2:$C$73,3,FALSE())&amp;Char(10) &amp; Char(10) &amp; VLOOKUP(A957,Internal_lists_bugs!$A$2:$Z$73,26,FALSE())),"please select a BUG ID")</f>
        <v>please select a BUG ID</v>
      </c>
      <c r="C957" s="51" t="str">
        <f>IFERROR(VLOOKUP(A957,Internal_lists_bugs!$A$2:$T1058,20,FALSE()),"please select a BUG ID")</f>
        <v>please select a BUG ID</v>
      </c>
      <c r="E957" s="54"/>
      <c r="F957" s="82"/>
      <c r="G957" s="92"/>
      <c r="H957" s="54"/>
      <c r="I957" s="51" t="str">
        <f>IFERROR(VLOOKUP(A957,Internal_lists_bugs!$A$2:$G1058,7,FALSE()),"please select a BUG ID")</f>
        <v>please select a BUG ID</v>
      </c>
    </row>
    <row r="958">
      <c r="A958" s="54"/>
      <c r="B958" s="71" t="str">
        <f>IFERROR(HYPERLINK(VLOOKUP(A958,Internal_lists_bugs!$A$2:$C$73,3,FALSE()), VLOOKUP(A958,Internal_lists_bugs!$A$2:$C$73,3,FALSE())&amp;Char(10) &amp; Char(10) &amp; VLOOKUP(A958,Internal_lists_bugs!$A$2:$Z$73,26,FALSE())),"please select a BUG ID")</f>
        <v>please select a BUG ID</v>
      </c>
      <c r="C958" s="51" t="str">
        <f>IFERROR(VLOOKUP(A958,Internal_lists_bugs!$A$2:$T1058,20,FALSE()),"please select a BUG ID")</f>
        <v>please select a BUG ID</v>
      </c>
      <c r="E958" s="54"/>
      <c r="F958" s="82"/>
      <c r="G958" s="92"/>
      <c r="H958" s="54"/>
      <c r="I958" s="51" t="str">
        <f>IFERROR(VLOOKUP(A958,Internal_lists_bugs!$A$2:$G1058,7,FALSE()),"please select a BUG ID")</f>
        <v>please select a BUG ID</v>
      </c>
    </row>
    <row r="959">
      <c r="A959" s="54"/>
      <c r="B959" s="71" t="str">
        <f>IFERROR(HYPERLINK(VLOOKUP(A959,Internal_lists_bugs!$A$2:$C$73,3,FALSE()), VLOOKUP(A959,Internal_lists_bugs!$A$2:$C$73,3,FALSE())&amp;Char(10) &amp; Char(10) &amp; VLOOKUP(A959,Internal_lists_bugs!$A$2:$Z$73,26,FALSE())),"please select a BUG ID")</f>
        <v>please select a BUG ID</v>
      </c>
      <c r="C959" s="51" t="str">
        <f>IFERROR(VLOOKUP(A959,Internal_lists_bugs!$A$2:$T1058,20,FALSE()),"please select a BUG ID")</f>
        <v>please select a BUG ID</v>
      </c>
      <c r="E959" s="54"/>
      <c r="F959" s="82"/>
      <c r="G959" s="92"/>
      <c r="H959" s="54"/>
      <c r="I959" s="51" t="str">
        <f>IFERROR(VLOOKUP(A959,Internal_lists_bugs!$A$2:$G1058,7,FALSE()),"please select a BUG ID")</f>
        <v>please select a BUG ID</v>
      </c>
    </row>
    <row r="960">
      <c r="A960" s="54"/>
      <c r="B960" s="71" t="str">
        <f>IFERROR(HYPERLINK(VLOOKUP(A960,Internal_lists_bugs!$A$2:$C$73,3,FALSE()), VLOOKUP(A960,Internal_lists_bugs!$A$2:$C$73,3,FALSE())&amp;Char(10) &amp; Char(10) &amp; VLOOKUP(A960,Internal_lists_bugs!$A$2:$Z$73,26,FALSE())),"please select a BUG ID")</f>
        <v>please select a BUG ID</v>
      </c>
      <c r="C960" s="51" t="str">
        <f>IFERROR(VLOOKUP(A960,Internal_lists_bugs!$A$2:$T1058,20,FALSE()),"please select a BUG ID")</f>
        <v>please select a BUG ID</v>
      </c>
      <c r="E960" s="54"/>
      <c r="F960" s="82"/>
      <c r="G960" s="92"/>
      <c r="H960" s="54"/>
      <c r="I960" s="51" t="str">
        <f>IFERROR(VLOOKUP(A960,Internal_lists_bugs!$A$2:$G1058,7,FALSE()),"please select a BUG ID")</f>
        <v>please select a BUG ID</v>
      </c>
    </row>
    <row r="961">
      <c r="A961" s="54"/>
      <c r="B961" s="71" t="str">
        <f>IFERROR(HYPERLINK(VLOOKUP(A961,Internal_lists_bugs!$A$2:$C$73,3,FALSE()), VLOOKUP(A961,Internal_lists_bugs!$A$2:$C$73,3,FALSE())&amp;Char(10) &amp; Char(10) &amp; VLOOKUP(A961,Internal_lists_bugs!$A$2:$Z$73,26,FALSE())),"please select a BUG ID")</f>
        <v>please select a BUG ID</v>
      </c>
      <c r="C961" s="51" t="str">
        <f>IFERROR(VLOOKUP(A961,Internal_lists_bugs!$A$2:$T1058,20,FALSE()),"please select a BUG ID")</f>
        <v>please select a BUG ID</v>
      </c>
      <c r="E961" s="54"/>
      <c r="F961" s="82"/>
      <c r="G961" s="92"/>
      <c r="H961" s="54"/>
      <c r="I961" s="51" t="str">
        <f>IFERROR(VLOOKUP(A961,Internal_lists_bugs!$A$2:$G1058,7,FALSE()),"please select a BUG ID")</f>
        <v>please select a BUG ID</v>
      </c>
    </row>
    <row r="962">
      <c r="A962" s="54"/>
      <c r="B962" s="71" t="str">
        <f>IFERROR(HYPERLINK(VLOOKUP(A962,Internal_lists_bugs!$A$2:$C$73,3,FALSE()), VLOOKUP(A962,Internal_lists_bugs!$A$2:$C$73,3,FALSE())&amp;Char(10) &amp; Char(10) &amp; VLOOKUP(A962,Internal_lists_bugs!$A$2:$Z$73,26,FALSE())),"please select a BUG ID")</f>
        <v>please select a BUG ID</v>
      </c>
      <c r="C962" s="51" t="str">
        <f>IFERROR(VLOOKUP(A962,Internal_lists_bugs!$A$2:$T1058,20,FALSE()),"please select a BUG ID")</f>
        <v>please select a BUG ID</v>
      </c>
      <c r="E962" s="54"/>
      <c r="F962" s="82"/>
      <c r="G962" s="92"/>
      <c r="H962" s="54"/>
      <c r="I962" s="51" t="str">
        <f>IFERROR(VLOOKUP(A962,Internal_lists_bugs!$A$2:$G1058,7,FALSE()),"please select a BUG ID")</f>
        <v>please select a BUG ID</v>
      </c>
    </row>
    <row r="963">
      <c r="A963" s="54"/>
      <c r="B963" s="71" t="str">
        <f>IFERROR(HYPERLINK(VLOOKUP(A963,Internal_lists_bugs!$A$2:$C$73,3,FALSE()), VLOOKUP(A963,Internal_lists_bugs!$A$2:$C$73,3,FALSE())&amp;Char(10) &amp; Char(10) &amp; VLOOKUP(A963,Internal_lists_bugs!$A$2:$Z$73,26,FALSE())),"please select a BUG ID")</f>
        <v>please select a BUG ID</v>
      </c>
      <c r="C963" s="51" t="str">
        <f>IFERROR(VLOOKUP(A963,Internal_lists_bugs!$A$2:$T1058,20,FALSE()),"please select a BUG ID")</f>
        <v>please select a BUG ID</v>
      </c>
      <c r="E963" s="54"/>
      <c r="F963" s="82"/>
      <c r="G963" s="92"/>
      <c r="H963" s="54"/>
      <c r="I963" s="51" t="str">
        <f>IFERROR(VLOOKUP(A963,Internal_lists_bugs!$A$2:$G1058,7,FALSE()),"please select a BUG ID")</f>
        <v>please select a BUG ID</v>
      </c>
    </row>
    <row r="964">
      <c r="A964" s="54"/>
      <c r="B964" s="71" t="str">
        <f>IFERROR(HYPERLINK(VLOOKUP(A964,Internal_lists_bugs!$A$2:$C$73,3,FALSE()), VLOOKUP(A964,Internal_lists_bugs!$A$2:$C$73,3,FALSE())&amp;Char(10) &amp; Char(10) &amp; VLOOKUP(A964,Internal_lists_bugs!$A$2:$Z$73,26,FALSE())),"please select a BUG ID")</f>
        <v>please select a BUG ID</v>
      </c>
      <c r="C964" s="51" t="str">
        <f>IFERROR(VLOOKUP(A964,Internal_lists_bugs!$A$2:$T1058,20,FALSE()),"please select a BUG ID")</f>
        <v>please select a BUG ID</v>
      </c>
      <c r="E964" s="54"/>
      <c r="F964" s="82"/>
      <c r="G964" s="92"/>
      <c r="H964" s="54"/>
      <c r="I964" s="51" t="str">
        <f>IFERROR(VLOOKUP(A964,Internal_lists_bugs!$A$2:$G1058,7,FALSE()),"please select a BUG ID")</f>
        <v>please select a BUG ID</v>
      </c>
    </row>
    <row r="965">
      <c r="A965" s="54"/>
      <c r="B965" s="71" t="str">
        <f>IFERROR(HYPERLINK(VLOOKUP(A965,Internal_lists_bugs!$A$2:$C$73,3,FALSE()), VLOOKUP(A965,Internal_lists_bugs!$A$2:$C$73,3,FALSE())&amp;Char(10) &amp; Char(10) &amp; VLOOKUP(A965,Internal_lists_bugs!$A$2:$Z$73,26,FALSE())),"please select a BUG ID")</f>
        <v>please select a BUG ID</v>
      </c>
      <c r="C965" s="51" t="str">
        <f>IFERROR(VLOOKUP(A965,Internal_lists_bugs!$A$2:$T1058,20,FALSE()),"please select a BUG ID")</f>
        <v>please select a BUG ID</v>
      </c>
      <c r="E965" s="54"/>
      <c r="F965" s="82"/>
      <c r="G965" s="92"/>
      <c r="H965" s="54"/>
      <c r="I965" s="51" t="str">
        <f>IFERROR(VLOOKUP(A965,Internal_lists_bugs!$A$2:$G1058,7,FALSE()),"please select a BUG ID")</f>
        <v>please select a BUG ID</v>
      </c>
    </row>
    <row r="966">
      <c r="A966" s="54"/>
      <c r="B966" s="71" t="str">
        <f>IFERROR(HYPERLINK(VLOOKUP(A966,Internal_lists_bugs!$A$2:$C$73,3,FALSE()), VLOOKUP(A966,Internal_lists_bugs!$A$2:$C$73,3,FALSE())&amp;Char(10) &amp; Char(10) &amp; VLOOKUP(A966,Internal_lists_bugs!$A$2:$Z$73,26,FALSE())),"please select a BUG ID")</f>
        <v>please select a BUG ID</v>
      </c>
      <c r="C966" s="51" t="str">
        <f>IFERROR(VLOOKUP(A966,Internal_lists_bugs!$A$2:$T1058,20,FALSE()),"please select a BUG ID")</f>
        <v>please select a BUG ID</v>
      </c>
      <c r="E966" s="54"/>
      <c r="F966" s="82"/>
      <c r="G966" s="92"/>
      <c r="H966" s="54"/>
      <c r="I966" s="51" t="str">
        <f>IFERROR(VLOOKUP(A966,Internal_lists_bugs!$A$2:$G1058,7,FALSE()),"please select a BUG ID")</f>
        <v>please select a BUG ID</v>
      </c>
    </row>
    <row r="967">
      <c r="A967" s="54"/>
      <c r="B967" s="71" t="str">
        <f>IFERROR(HYPERLINK(VLOOKUP(A967,Internal_lists_bugs!$A$2:$C$73,3,FALSE()), VLOOKUP(A967,Internal_lists_bugs!$A$2:$C$73,3,FALSE())&amp;Char(10) &amp; Char(10) &amp; VLOOKUP(A967,Internal_lists_bugs!$A$2:$Z$73,26,FALSE())),"please select a BUG ID")</f>
        <v>please select a BUG ID</v>
      </c>
      <c r="C967" s="51" t="str">
        <f>IFERROR(VLOOKUP(A967,Internal_lists_bugs!$A$2:$T1058,20,FALSE()),"please select a BUG ID")</f>
        <v>please select a BUG ID</v>
      </c>
      <c r="E967" s="54"/>
      <c r="F967" s="82"/>
      <c r="G967" s="92"/>
      <c r="H967" s="54"/>
      <c r="I967" s="51" t="str">
        <f>IFERROR(VLOOKUP(A967,Internal_lists_bugs!$A$2:$G1058,7,FALSE()),"please select a BUG ID")</f>
        <v>please select a BUG ID</v>
      </c>
    </row>
    <row r="968">
      <c r="A968" s="54"/>
      <c r="B968" s="71" t="str">
        <f>IFERROR(HYPERLINK(VLOOKUP(A968,Internal_lists_bugs!$A$2:$C$73,3,FALSE()), VLOOKUP(A968,Internal_lists_bugs!$A$2:$C$73,3,FALSE())&amp;Char(10) &amp; Char(10) &amp; VLOOKUP(A968,Internal_lists_bugs!$A$2:$Z$73,26,FALSE())),"please select a BUG ID")</f>
        <v>please select a BUG ID</v>
      </c>
      <c r="C968" s="51" t="str">
        <f>IFERROR(VLOOKUP(A968,Internal_lists_bugs!$A$2:$T1058,20,FALSE()),"please select a BUG ID")</f>
        <v>please select a BUG ID</v>
      </c>
      <c r="E968" s="54"/>
      <c r="F968" s="82"/>
      <c r="G968" s="92"/>
      <c r="H968" s="54"/>
      <c r="I968" s="51" t="str">
        <f>IFERROR(VLOOKUP(A968,Internal_lists_bugs!$A$2:$G1058,7,FALSE()),"please select a BUG ID")</f>
        <v>please select a BUG ID</v>
      </c>
    </row>
    <row r="969">
      <c r="A969" s="54"/>
      <c r="B969" s="71" t="str">
        <f>IFERROR(HYPERLINK(VLOOKUP(A969,Internal_lists_bugs!$A$2:$C$73,3,FALSE()), VLOOKUP(A969,Internal_lists_bugs!$A$2:$C$73,3,FALSE())&amp;Char(10) &amp; Char(10) &amp; VLOOKUP(A969,Internal_lists_bugs!$A$2:$Z$73,26,FALSE())),"please select a BUG ID")</f>
        <v>please select a BUG ID</v>
      </c>
      <c r="C969" s="51" t="str">
        <f>IFERROR(VLOOKUP(A969,Internal_lists_bugs!$A$2:$T1058,20,FALSE()),"please select a BUG ID")</f>
        <v>please select a BUG ID</v>
      </c>
      <c r="E969" s="54"/>
      <c r="F969" s="82"/>
      <c r="G969" s="92"/>
      <c r="H969" s="54"/>
      <c r="I969" s="51" t="str">
        <f>IFERROR(VLOOKUP(A969,Internal_lists_bugs!$A$2:$G1058,7,FALSE()),"please select a BUG ID")</f>
        <v>please select a BUG ID</v>
      </c>
    </row>
    <row r="970">
      <c r="A970" s="54"/>
      <c r="B970" s="71" t="str">
        <f>IFERROR(HYPERLINK(VLOOKUP(A970,Internal_lists_bugs!$A$2:$C$73,3,FALSE()), VLOOKUP(A970,Internal_lists_bugs!$A$2:$C$73,3,FALSE())&amp;Char(10) &amp; Char(10) &amp; VLOOKUP(A970,Internal_lists_bugs!$A$2:$Z$73,26,FALSE())),"please select a BUG ID")</f>
        <v>please select a BUG ID</v>
      </c>
      <c r="C970" s="51" t="str">
        <f>IFERROR(VLOOKUP(A970,Internal_lists_bugs!$A$2:$T1058,20,FALSE()),"please select a BUG ID")</f>
        <v>please select a BUG ID</v>
      </c>
      <c r="E970" s="54"/>
      <c r="F970" s="82"/>
      <c r="G970" s="92"/>
      <c r="H970" s="54"/>
      <c r="I970" s="51" t="str">
        <f>IFERROR(VLOOKUP(A970,Internal_lists_bugs!$A$2:$G1058,7,FALSE()),"please select a BUG ID")</f>
        <v>please select a BUG ID</v>
      </c>
    </row>
    <row r="971">
      <c r="A971" s="54"/>
      <c r="B971" s="71" t="str">
        <f>IFERROR(HYPERLINK(VLOOKUP(A971,Internal_lists_bugs!$A$2:$C$73,3,FALSE()), VLOOKUP(A971,Internal_lists_bugs!$A$2:$C$73,3,FALSE())&amp;Char(10) &amp; Char(10) &amp; VLOOKUP(A971,Internal_lists_bugs!$A$2:$Z$73,26,FALSE())),"please select a BUG ID")</f>
        <v>please select a BUG ID</v>
      </c>
      <c r="C971" s="51" t="str">
        <f>IFERROR(VLOOKUP(A971,Internal_lists_bugs!$A$2:$T1058,20,FALSE()),"please select a BUG ID")</f>
        <v>please select a BUG ID</v>
      </c>
      <c r="E971" s="54"/>
      <c r="F971" s="82"/>
      <c r="G971" s="92"/>
      <c r="H971" s="54"/>
      <c r="I971" s="51" t="str">
        <f>IFERROR(VLOOKUP(A971,Internal_lists_bugs!$A$2:$G1058,7,FALSE()),"please select a BUG ID")</f>
        <v>please select a BUG ID</v>
      </c>
    </row>
    <row r="972">
      <c r="A972" s="54"/>
      <c r="B972" s="71" t="str">
        <f>IFERROR(HYPERLINK(VLOOKUP(A972,Internal_lists_bugs!$A$2:$C$73,3,FALSE()), VLOOKUP(A972,Internal_lists_bugs!$A$2:$C$73,3,FALSE())&amp;Char(10) &amp; Char(10) &amp; VLOOKUP(A972,Internal_lists_bugs!$A$2:$Z$73,26,FALSE())),"please select a BUG ID")</f>
        <v>please select a BUG ID</v>
      </c>
      <c r="C972" s="51" t="str">
        <f>IFERROR(VLOOKUP(A972,Internal_lists_bugs!$A$2:$T1058,20,FALSE()),"please select a BUG ID")</f>
        <v>please select a BUG ID</v>
      </c>
      <c r="E972" s="54"/>
      <c r="F972" s="82"/>
      <c r="G972" s="92"/>
      <c r="H972" s="54"/>
      <c r="I972" s="51" t="str">
        <f>IFERROR(VLOOKUP(A972,Internal_lists_bugs!$A$2:$G1058,7,FALSE()),"please select a BUG ID")</f>
        <v>please select a BUG ID</v>
      </c>
    </row>
    <row r="973">
      <c r="A973" s="54"/>
      <c r="B973" s="71" t="str">
        <f>IFERROR(HYPERLINK(VLOOKUP(A973,Internal_lists_bugs!$A$2:$C$73,3,FALSE()), VLOOKUP(A973,Internal_lists_bugs!$A$2:$C$73,3,FALSE())&amp;Char(10) &amp; Char(10) &amp; VLOOKUP(A973,Internal_lists_bugs!$A$2:$Z$73,26,FALSE())),"please select a BUG ID")</f>
        <v>please select a BUG ID</v>
      </c>
      <c r="C973" s="51" t="str">
        <f>IFERROR(VLOOKUP(A973,Internal_lists_bugs!$A$2:$T1058,20,FALSE()),"please select a BUG ID")</f>
        <v>please select a BUG ID</v>
      </c>
      <c r="E973" s="54"/>
      <c r="F973" s="82"/>
      <c r="G973" s="92"/>
      <c r="H973" s="54"/>
      <c r="I973" s="51" t="str">
        <f>IFERROR(VLOOKUP(A973,Internal_lists_bugs!$A$2:$G1058,7,FALSE()),"please select a BUG ID")</f>
        <v>please select a BUG ID</v>
      </c>
    </row>
    <row r="974">
      <c r="A974" s="54"/>
      <c r="B974" s="71" t="str">
        <f>IFERROR(HYPERLINK(VLOOKUP(A974,Internal_lists_bugs!$A$2:$C$73,3,FALSE()), VLOOKUP(A974,Internal_lists_bugs!$A$2:$C$73,3,FALSE())&amp;Char(10) &amp; Char(10) &amp; VLOOKUP(A974,Internal_lists_bugs!$A$2:$Z$73,26,FALSE())),"please select a BUG ID")</f>
        <v>please select a BUG ID</v>
      </c>
      <c r="C974" s="51" t="str">
        <f>IFERROR(VLOOKUP(A974,Internal_lists_bugs!$A$2:$T1058,20,FALSE()),"please select a BUG ID")</f>
        <v>please select a BUG ID</v>
      </c>
      <c r="E974" s="54"/>
      <c r="F974" s="82"/>
      <c r="G974" s="92"/>
      <c r="H974" s="54"/>
      <c r="I974" s="51" t="str">
        <f>IFERROR(VLOOKUP(A974,Internal_lists_bugs!$A$2:$G1058,7,FALSE()),"please select a BUG ID")</f>
        <v>please select a BUG ID</v>
      </c>
    </row>
    <row r="975">
      <c r="A975" s="54"/>
      <c r="B975" s="71" t="str">
        <f>IFERROR(HYPERLINK(VLOOKUP(A975,Internal_lists_bugs!$A$2:$C$73,3,FALSE()), VLOOKUP(A975,Internal_lists_bugs!$A$2:$C$73,3,FALSE())&amp;Char(10) &amp; Char(10) &amp; VLOOKUP(A975,Internal_lists_bugs!$A$2:$Z$73,26,FALSE())),"please select a BUG ID")</f>
        <v>please select a BUG ID</v>
      </c>
      <c r="C975" s="51" t="str">
        <f>IFERROR(VLOOKUP(A975,Internal_lists_bugs!$A$2:$T1058,20,FALSE()),"please select a BUG ID")</f>
        <v>please select a BUG ID</v>
      </c>
      <c r="E975" s="54"/>
      <c r="F975" s="82"/>
      <c r="G975" s="92"/>
      <c r="H975" s="54"/>
      <c r="I975" s="51" t="str">
        <f>IFERROR(VLOOKUP(A975,Internal_lists_bugs!$A$2:$G1058,7,FALSE()),"please select a BUG ID")</f>
        <v>please select a BUG ID</v>
      </c>
    </row>
    <row r="976">
      <c r="A976" s="54"/>
      <c r="B976" s="71" t="str">
        <f>IFERROR(HYPERLINK(VLOOKUP(A976,Internal_lists_bugs!$A$2:$C$73,3,FALSE()), VLOOKUP(A976,Internal_lists_bugs!$A$2:$C$73,3,FALSE())&amp;Char(10) &amp; Char(10) &amp; VLOOKUP(A976,Internal_lists_bugs!$A$2:$Z$73,26,FALSE())),"please select a BUG ID")</f>
        <v>please select a BUG ID</v>
      </c>
      <c r="C976" s="51" t="str">
        <f>IFERROR(VLOOKUP(A976,Internal_lists_bugs!$A$2:$T1058,20,FALSE()),"please select a BUG ID")</f>
        <v>please select a BUG ID</v>
      </c>
      <c r="E976" s="54"/>
      <c r="F976" s="82"/>
      <c r="G976" s="92"/>
      <c r="H976" s="54"/>
      <c r="I976" s="51" t="str">
        <f>IFERROR(VLOOKUP(A976,Internal_lists_bugs!$A$2:$G1058,7,FALSE()),"please select a BUG ID")</f>
        <v>please select a BUG ID</v>
      </c>
    </row>
    <row r="977">
      <c r="A977" s="54"/>
      <c r="B977" s="71" t="str">
        <f>IFERROR(HYPERLINK(VLOOKUP(A977,Internal_lists_bugs!$A$2:$C$73,3,FALSE()), VLOOKUP(A977,Internal_lists_bugs!$A$2:$C$73,3,FALSE())&amp;Char(10) &amp; Char(10) &amp; VLOOKUP(A977,Internal_lists_bugs!$A$2:$Z$73,26,FALSE())),"please select a BUG ID")</f>
        <v>please select a BUG ID</v>
      </c>
      <c r="C977" s="51" t="str">
        <f>IFERROR(VLOOKUP(A977,Internal_lists_bugs!$A$2:$T1058,20,FALSE()),"please select a BUG ID")</f>
        <v>please select a BUG ID</v>
      </c>
      <c r="E977" s="54"/>
      <c r="F977" s="82"/>
      <c r="G977" s="92"/>
      <c r="H977" s="54"/>
      <c r="I977" s="51" t="str">
        <f>IFERROR(VLOOKUP(A977,Internal_lists_bugs!$A$2:$G1058,7,FALSE()),"please select a BUG ID")</f>
        <v>please select a BUG ID</v>
      </c>
    </row>
    <row r="978">
      <c r="A978" s="54"/>
      <c r="B978" s="71" t="str">
        <f>IFERROR(HYPERLINK(VLOOKUP(A978,Internal_lists_bugs!$A$2:$C$73,3,FALSE()), VLOOKUP(A978,Internal_lists_bugs!$A$2:$C$73,3,FALSE())&amp;Char(10) &amp; Char(10) &amp; VLOOKUP(A978,Internal_lists_bugs!$A$2:$Z$73,26,FALSE())),"please select a BUG ID")</f>
        <v>please select a BUG ID</v>
      </c>
      <c r="C978" s="51" t="str">
        <f>IFERROR(VLOOKUP(A978,Internal_lists_bugs!$A$2:$T1058,20,FALSE()),"please select a BUG ID")</f>
        <v>please select a BUG ID</v>
      </c>
      <c r="E978" s="54"/>
      <c r="F978" s="82"/>
      <c r="G978" s="92"/>
      <c r="H978" s="54"/>
      <c r="I978" s="51" t="str">
        <f>IFERROR(VLOOKUP(A978,Internal_lists_bugs!$A$2:$G1058,7,FALSE()),"please select a BUG ID")</f>
        <v>please select a BUG ID</v>
      </c>
    </row>
    <row r="979">
      <c r="A979" s="54"/>
      <c r="B979" s="71" t="str">
        <f>IFERROR(HYPERLINK(VLOOKUP(A979,Internal_lists_bugs!$A$2:$C$73,3,FALSE()), VLOOKUP(A979,Internal_lists_bugs!$A$2:$C$73,3,FALSE())&amp;Char(10) &amp; Char(10) &amp; VLOOKUP(A979,Internal_lists_bugs!$A$2:$Z$73,26,FALSE())),"please select a BUG ID")</f>
        <v>please select a BUG ID</v>
      </c>
      <c r="C979" s="51" t="str">
        <f>IFERROR(VLOOKUP(A979,Internal_lists_bugs!$A$2:$T1058,20,FALSE()),"please select a BUG ID")</f>
        <v>please select a BUG ID</v>
      </c>
      <c r="E979" s="54"/>
      <c r="F979" s="82"/>
      <c r="G979" s="92"/>
      <c r="H979" s="54"/>
      <c r="I979" s="51" t="str">
        <f>IFERROR(VLOOKUP(A979,Internal_lists_bugs!$A$2:$G1058,7,FALSE()),"please select a BUG ID")</f>
        <v>please select a BUG ID</v>
      </c>
    </row>
    <row r="980">
      <c r="A980" s="54"/>
      <c r="B980" s="71" t="str">
        <f>IFERROR(HYPERLINK(VLOOKUP(A980,Internal_lists_bugs!$A$2:$C$73,3,FALSE()), VLOOKUP(A980,Internal_lists_bugs!$A$2:$C$73,3,FALSE())&amp;Char(10) &amp; Char(10) &amp; VLOOKUP(A980,Internal_lists_bugs!$A$2:$Z$73,26,FALSE())),"please select a BUG ID")</f>
        <v>please select a BUG ID</v>
      </c>
      <c r="C980" s="51" t="str">
        <f>IFERROR(VLOOKUP(A980,Internal_lists_bugs!$A$2:$T1058,20,FALSE()),"please select a BUG ID")</f>
        <v>please select a BUG ID</v>
      </c>
      <c r="E980" s="54"/>
      <c r="F980" s="82"/>
      <c r="G980" s="92"/>
      <c r="H980" s="54"/>
      <c r="I980" s="51" t="str">
        <f>IFERROR(VLOOKUP(A980,Internal_lists_bugs!$A$2:$G1058,7,FALSE()),"please select a BUG ID")</f>
        <v>please select a BUG ID</v>
      </c>
    </row>
    <row r="981">
      <c r="A981" s="54"/>
      <c r="B981" s="71" t="str">
        <f>IFERROR(HYPERLINK(VLOOKUP(A981,Internal_lists_bugs!$A$2:$C$73,3,FALSE()), VLOOKUP(A981,Internal_lists_bugs!$A$2:$C$73,3,FALSE())&amp;Char(10) &amp; Char(10) &amp; VLOOKUP(A981,Internal_lists_bugs!$A$2:$Z$73,26,FALSE())),"please select a BUG ID")</f>
        <v>please select a BUG ID</v>
      </c>
      <c r="C981" s="51" t="str">
        <f>IFERROR(VLOOKUP(A981,Internal_lists_bugs!$A$2:$T1058,20,FALSE()),"please select a BUG ID")</f>
        <v>please select a BUG ID</v>
      </c>
      <c r="E981" s="54"/>
      <c r="F981" s="82"/>
      <c r="G981" s="92"/>
      <c r="H981" s="54"/>
      <c r="I981" s="51" t="str">
        <f>IFERROR(VLOOKUP(A981,Internal_lists_bugs!$A$2:$G1058,7,FALSE()),"please select a BUG ID")</f>
        <v>please select a BUG ID</v>
      </c>
    </row>
    <row r="982">
      <c r="A982" s="54"/>
      <c r="B982" s="71" t="str">
        <f>IFERROR(HYPERLINK(VLOOKUP(A982,Internal_lists_bugs!$A$2:$C$73,3,FALSE()), VLOOKUP(A982,Internal_lists_bugs!$A$2:$C$73,3,FALSE())&amp;Char(10) &amp; Char(10) &amp; VLOOKUP(A982,Internal_lists_bugs!$A$2:$Z$73,26,FALSE())),"please select a BUG ID")</f>
        <v>please select a BUG ID</v>
      </c>
      <c r="C982" s="51" t="str">
        <f>IFERROR(VLOOKUP(A982,Internal_lists_bugs!$A$2:$T1058,20,FALSE()),"please select a BUG ID")</f>
        <v>please select a BUG ID</v>
      </c>
      <c r="E982" s="54"/>
      <c r="F982" s="82"/>
      <c r="G982" s="92"/>
      <c r="H982" s="54"/>
      <c r="I982" s="51" t="str">
        <f>IFERROR(VLOOKUP(A982,Internal_lists_bugs!$A$2:$G1058,7,FALSE()),"please select a BUG ID")</f>
        <v>please select a BUG ID</v>
      </c>
    </row>
    <row r="983">
      <c r="A983" s="54"/>
      <c r="B983" s="71" t="str">
        <f>IFERROR(HYPERLINK(VLOOKUP(A983,Internal_lists_bugs!$A$2:$C$73,3,FALSE()), VLOOKUP(A983,Internal_lists_bugs!$A$2:$C$73,3,FALSE())&amp;Char(10) &amp; Char(10) &amp; VLOOKUP(A983,Internal_lists_bugs!$A$2:$Z$73,26,FALSE())),"please select a BUG ID")</f>
        <v>please select a BUG ID</v>
      </c>
      <c r="C983" s="51" t="str">
        <f>IFERROR(VLOOKUP(A983,Internal_lists_bugs!$A$2:$T1058,20,FALSE()),"please select a BUG ID")</f>
        <v>please select a BUG ID</v>
      </c>
      <c r="E983" s="54"/>
      <c r="F983" s="82"/>
      <c r="G983" s="92"/>
      <c r="H983" s="54"/>
      <c r="I983" s="51" t="str">
        <f>IFERROR(VLOOKUP(A983,Internal_lists_bugs!$A$2:$G1058,7,FALSE()),"please select a BUG ID")</f>
        <v>please select a BUG ID</v>
      </c>
    </row>
    <row r="984">
      <c r="A984" s="54"/>
      <c r="B984" s="71" t="str">
        <f>IFERROR(HYPERLINK(VLOOKUP(A984,Internal_lists_bugs!$A$2:$C$73,3,FALSE()), VLOOKUP(A984,Internal_lists_bugs!$A$2:$C$73,3,FALSE())&amp;Char(10) &amp; Char(10) &amp; VLOOKUP(A984,Internal_lists_bugs!$A$2:$Z$73,26,FALSE())),"please select a BUG ID")</f>
        <v>please select a BUG ID</v>
      </c>
      <c r="C984" s="51" t="str">
        <f>IFERROR(VLOOKUP(A984,Internal_lists_bugs!$A$2:$T1058,20,FALSE()),"please select a BUG ID")</f>
        <v>please select a BUG ID</v>
      </c>
      <c r="E984" s="54"/>
      <c r="F984" s="82"/>
      <c r="G984" s="92"/>
      <c r="H984" s="54"/>
      <c r="I984" s="51" t="str">
        <f>IFERROR(VLOOKUP(A984,Internal_lists_bugs!$A$2:$G1058,7,FALSE()),"please select a BUG ID")</f>
        <v>please select a BUG ID</v>
      </c>
    </row>
    <row r="985">
      <c r="A985" s="54"/>
      <c r="B985" s="71" t="str">
        <f>IFERROR(HYPERLINK(VLOOKUP(A985,Internal_lists_bugs!$A$2:$C$73,3,FALSE()), VLOOKUP(A985,Internal_lists_bugs!$A$2:$C$73,3,FALSE())&amp;Char(10) &amp; Char(10) &amp; VLOOKUP(A985,Internal_lists_bugs!$A$2:$Z$73,26,FALSE())),"please select a BUG ID")</f>
        <v>please select a BUG ID</v>
      </c>
      <c r="C985" s="51" t="str">
        <f>IFERROR(VLOOKUP(A985,Internal_lists_bugs!$A$2:$T1058,20,FALSE()),"please select a BUG ID")</f>
        <v>please select a BUG ID</v>
      </c>
      <c r="E985" s="54"/>
      <c r="F985" s="82"/>
      <c r="G985" s="92"/>
      <c r="H985" s="54"/>
      <c r="I985" s="51" t="str">
        <f>IFERROR(VLOOKUP(A985,Internal_lists_bugs!$A$2:$G1058,7,FALSE()),"please select a BUG ID")</f>
        <v>please select a BUG ID</v>
      </c>
    </row>
    <row r="986">
      <c r="A986" s="54"/>
      <c r="B986" s="71" t="str">
        <f>IFERROR(HYPERLINK(VLOOKUP(A986,Internal_lists_bugs!$A$2:$C$73,3,FALSE()), VLOOKUP(A986,Internal_lists_bugs!$A$2:$C$73,3,FALSE())&amp;Char(10) &amp; Char(10) &amp; VLOOKUP(A986,Internal_lists_bugs!$A$2:$Z$73,26,FALSE())),"please select a BUG ID")</f>
        <v>please select a BUG ID</v>
      </c>
      <c r="C986" s="51" t="str">
        <f>IFERROR(VLOOKUP(A986,Internal_lists_bugs!$A$2:$T1058,20,FALSE()),"please select a BUG ID")</f>
        <v>please select a BUG ID</v>
      </c>
      <c r="E986" s="54"/>
      <c r="F986" s="82"/>
      <c r="G986" s="92"/>
      <c r="H986" s="54"/>
      <c r="I986" s="51" t="str">
        <f>IFERROR(VLOOKUP(A986,Internal_lists_bugs!$A$2:$G1058,7,FALSE()),"please select a BUG ID")</f>
        <v>please select a BUG ID</v>
      </c>
    </row>
    <row r="987">
      <c r="A987" s="54"/>
      <c r="B987" s="71" t="str">
        <f>IFERROR(HYPERLINK(VLOOKUP(A987,Internal_lists_bugs!$A$2:$C$73,3,FALSE()), VLOOKUP(A987,Internal_lists_bugs!$A$2:$C$73,3,FALSE())&amp;Char(10) &amp; Char(10) &amp; VLOOKUP(A987,Internal_lists_bugs!$A$2:$Z$73,26,FALSE())),"please select a BUG ID")</f>
        <v>please select a BUG ID</v>
      </c>
      <c r="C987" s="51" t="str">
        <f>IFERROR(VLOOKUP(A987,Internal_lists_bugs!$A$2:$T1058,20,FALSE()),"please select a BUG ID")</f>
        <v>please select a BUG ID</v>
      </c>
      <c r="E987" s="54"/>
      <c r="F987" s="82"/>
      <c r="G987" s="92"/>
      <c r="H987" s="54"/>
      <c r="I987" s="51" t="str">
        <f>IFERROR(VLOOKUP(A987,Internal_lists_bugs!$A$2:$G1058,7,FALSE()),"please select a BUG ID")</f>
        <v>please select a BUG ID</v>
      </c>
    </row>
    <row r="988">
      <c r="A988" s="54"/>
      <c r="B988" s="71" t="str">
        <f>IFERROR(HYPERLINK(VLOOKUP(A988,Internal_lists_bugs!$A$2:$C$73,3,FALSE()), VLOOKUP(A988,Internal_lists_bugs!$A$2:$C$73,3,FALSE())&amp;Char(10) &amp; Char(10) &amp; VLOOKUP(A988,Internal_lists_bugs!$A$2:$Z$73,26,FALSE())),"please select a BUG ID")</f>
        <v>please select a BUG ID</v>
      </c>
      <c r="C988" s="51" t="str">
        <f>IFERROR(VLOOKUP(A988,Internal_lists_bugs!$A$2:$T1058,20,FALSE()),"please select a BUG ID")</f>
        <v>please select a BUG ID</v>
      </c>
      <c r="E988" s="54"/>
      <c r="F988" s="82"/>
      <c r="G988" s="92"/>
      <c r="H988" s="54"/>
      <c r="I988" s="51" t="str">
        <f>IFERROR(VLOOKUP(A988,Internal_lists_bugs!$A$2:$G1058,7,FALSE()),"please select a BUG ID")</f>
        <v>please select a BUG ID</v>
      </c>
    </row>
    <row r="989">
      <c r="A989" s="54"/>
      <c r="B989" s="71" t="str">
        <f>IFERROR(HYPERLINK(VLOOKUP(A989,Internal_lists_bugs!$A$2:$C$73,3,FALSE()), VLOOKUP(A989,Internal_lists_bugs!$A$2:$C$73,3,FALSE())&amp;Char(10) &amp; Char(10) &amp; VLOOKUP(A989,Internal_lists_bugs!$A$2:$Z$73,26,FALSE())),"please select a BUG ID")</f>
        <v>please select a BUG ID</v>
      </c>
      <c r="C989" s="51" t="str">
        <f>IFERROR(VLOOKUP(A989,Internal_lists_bugs!$A$2:$T1058,20,FALSE()),"please select a BUG ID")</f>
        <v>please select a BUG ID</v>
      </c>
      <c r="E989" s="54"/>
      <c r="F989" s="82"/>
      <c r="G989" s="92"/>
      <c r="H989" s="54"/>
      <c r="I989" s="51" t="str">
        <f>IFERROR(VLOOKUP(A989,Internal_lists_bugs!$A$2:$G1058,7,FALSE()),"please select a BUG ID")</f>
        <v>please select a BUG ID</v>
      </c>
    </row>
    <row r="990">
      <c r="A990" s="54"/>
      <c r="B990" s="71" t="str">
        <f>IFERROR(HYPERLINK(VLOOKUP(A990,Internal_lists_bugs!$A$2:$C$73,3,FALSE()), VLOOKUP(A990,Internal_lists_bugs!$A$2:$C$73,3,FALSE())&amp;Char(10) &amp; Char(10) &amp; VLOOKUP(A990,Internal_lists_bugs!$A$2:$Z$73,26,FALSE())),"please select a BUG ID")</f>
        <v>please select a BUG ID</v>
      </c>
      <c r="C990" s="51" t="str">
        <f>IFERROR(VLOOKUP(A990,Internal_lists_bugs!$A$2:$T1058,20,FALSE()),"please select a BUG ID")</f>
        <v>please select a BUG ID</v>
      </c>
      <c r="E990" s="54"/>
      <c r="F990" s="82"/>
      <c r="G990" s="92"/>
      <c r="H990" s="54"/>
      <c r="I990" s="51" t="str">
        <f>IFERROR(VLOOKUP(A990,Internal_lists_bugs!$A$2:$G1058,7,FALSE()),"please select a BUG ID")</f>
        <v>please select a BUG ID</v>
      </c>
    </row>
    <row r="991">
      <c r="A991" s="54"/>
      <c r="B991" s="71" t="str">
        <f>IFERROR(HYPERLINK(VLOOKUP(A991,Internal_lists_bugs!$A$2:$C$73,3,FALSE()), VLOOKUP(A991,Internal_lists_bugs!$A$2:$C$73,3,FALSE())&amp;Char(10) &amp; Char(10) &amp; VLOOKUP(A991,Internal_lists_bugs!$A$2:$Z$73,26,FALSE())),"please select a BUG ID")</f>
        <v>please select a BUG ID</v>
      </c>
      <c r="C991" s="51" t="str">
        <f>IFERROR(VLOOKUP(A991,Internal_lists_bugs!$A$2:$T1058,20,FALSE()),"please select a BUG ID")</f>
        <v>please select a BUG ID</v>
      </c>
      <c r="E991" s="54"/>
      <c r="F991" s="82"/>
      <c r="G991" s="92"/>
      <c r="H991" s="54"/>
      <c r="I991" s="51" t="str">
        <f>IFERROR(VLOOKUP(A991,Internal_lists_bugs!$A$2:$G1058,7,FALSE()),"please select a BUG ID")</f>
        <v>please select a BUG ID</v>
      </c>
    </row>
    <row r="992">
      <c r="A992" s="54"/>
      <c r="B992" s="71" t="str">
        <f>IFERROR(HYPERLINK(VLOOKUP(A992,Internal_lists_bugs!$A$2:$C$73,3,FALSE()), VLOOKUP(A992,Internal_lists_bugs!$A$2:$C$73,3,FALSE())&amp;Char(10) &amp; Char(10) &amp; VLOOKUP(A992,Internal_lists_bugs!$A$2:$Z$73,26,FALSE())),"please select a BUG ID")</f>
        <v>please select a BUG ID</v>
      </c>
      <c r="C992" s="51" t="str">
        <f>IFERROR(VLOOKUP(A992,Internal_lists_bugs!$A$2:$T1058,20,FALSE()),"please select a BUG ID")</f>
        <v>please select a BUG ID</v>
      </c>
      <c r="E992" s="54"/>
      <c r="F992" s="82"/>
      <c r="G992" s="92"/>
      <c r="H992" s="54"/>
      <c r="I992" s="51" t="str">
        <f>IFERROR(VLOOKUP(A992,Internal_lists_bugs!$A$2:$G1058,7,FALSE()),"please select a BUG ID")</f>
        <v>please select a BUG ID</v>
      </c>
    </row>
    <row r="993">
      <c r="A993" s="54"/>
      <c r="B993" s="71" t="str">
        <f>IFERROR(HYPERLINK(VLOOKUP(A993,Internal_lists_bugs!$A$2:$C$73,3,FALSE()), VLOOKUP(A993,Internal_lists_bugs!$A$2:$C$73,3,FALSE())&amp;Char(10) &amp; Char(10) &amp; VLOOKUP(A993,Internal_lists_bugs!$A$2:$Z$73,26,FALSE())),"please select a BUG ID")</f>
        <v>please select a BUG ID</v>
      </c>
      <c r="C993" s="51" t="str">
        <f>IFERROR(VLOOKUP(A993,Internal_lists_bugs!$A$2:$T1058,20,FALSE()),"please select a BUG ID")</f>
        <v>please select a BUG ID</v>
      </c>
      <c r="E993" s="54"/>
      <c r="F993" s="82"/>
      <c r="G993" s="92"/>
      <c r="H993" s="54"/>
      <c r="I993" s="51" t="str">
        <f>IFERROR(VLOOKUP(A993,Internal_lists_bugs!$A$2:$G1058,7,FALSE()),"please select a BUG ID")</f>
        <v>please select a BUG ID</v>
      </c>
    </row>
    <row r="994">
      <c r="A994" s="54"/>
      <c r="B994" s="71" t="str">
        <f>IFERROR(HYPERLINK(VLOOKUP(A994,Internal_lists_bugs!$A$2:$C$73,3,FALSE()), VLOOKUP(A994,Internal_lists_bugs!$A$2:$C$73,3,FALSE())&amp;Char(10) &amp; Char(10) &amp; VLOOKUP(A994,Internal_lists_bugs!$A$2:$Z$73,26,FALSE())),"please select a BUG ID")</f>
        <v>please select a BUG ID</v>
      </c>
      <c r="C994" s="51" t="str">
        <f>IFERROR(VLOOKUP(A994,Internal_lists_bugs!$A$2:$T1058,20,FALSE()),"please select a BUG ID")</f>
        <v>please select a BUG ID</v>
      </c>
      <c r="E994" s="54"/>
      <c r="F994" s="82"/>
      <c r="G994" s="92"/>
      <c r="H994" s="54"/>
      <c r="I994" s="51" t="str">
        <f>IFERROR(VLOOKUP(A994,Internal_lists_bugs!$A$2:$G1058,7,FALSE()),"please select a BUG ID")</f>
        <v>please select a BUG ID</v>
      </c>
    </row>
    <row r="995">
      <c r="A995" s="54"/>
      <c r="B995" s="71" t="str">
        <f>IFERROR(HYPERLINK(VLOOKUP(A995,Internal_lists_bugs!$A$2:$C$73,3,FALSE()), VLOOKUP(A995,Internal_lists_bugs!$A$2:$C$73,3,FALSE())&amp;Char(10) &amp; Char(10) &amp; VLOOKUP(A995,Internal_lists_bugs!$A$2:$Z$73,26,FALSE())),"please select a BUG ID")</f>
        <v>please select a BUG ID</v>
      </c>
      <c r="C995" s="51" t="str">
        <f>IFERROR(VLOOKUP(A995,Internal_lists_bugs!$A$2:$T1058,20,FALSE()),"please select a BUG ID")</f>
        <v>please select a BUG ID</v>
      </c>
      <c r="E995" s="54"/>
      <c r="F995" s="82"/>
      <c r="G995" s="92"/>
      <c r="H995" s="54"/>
      <c r="I995" s="51" t="str">
        <f>IFERROR(VLOOKUP(A995,Internal_lists_bugs!$A$2:$G1058,7,FALSE()),"please select a BUG ID")</f>
        <v>please select a BUG ID</v>
      </c>
    </row>
    <row r="996">
      <c r="A996" s="54"/>
      <c r="B996" s="71" t="str">
        <f>IFERROR(HYPERLINK(VLOOKUP(A996,Internal_lists_bugs!$A$2:$C$73,3,FALSE()), VLOOKUP(A996,Internal_lists_bugs!$A$2:$C$73,3,FALSE())&amp;Char(10) &amp; Char(10) &amp; VLOOKUP(A996,Internal_lists_bugs!$A$2:$Z$73,26,FALSE())),"please select a BUG ID")</f>
        <v>please select a BUG ID</v>
      </c>
      <c r="C996" s="51" t="str">
        <f>IFERROR(VLOOKUP(A996,Internal_lists_bugs!$A$2:$T1058,20,FALSE()),"please select a BUG ID")</f>
        <v>please select a BUG ID</v>
      </c>
      <c r="E996" s="54"/>
      <c r="F996" s="82"/>
      <c r="G996" s="92"/>
      <c r="H996" s="54"/>
      <c r="I996" s="51" t="str">
        <f>IFERROR(VLOOKUP(A996,Internal_lists_bugs!$A$2:$G1058,7,FALSE()),"please select a BUG ID")</f>
        <v>please select a BUG ID</v>
      </c>
    </row>
    <row r="997">
      <c r="A997" s="54"/>
      <c r="B997" s="71" t="str">
        <f>IFERROR(HYPERLINK(VLOOKUP(A997,Internal_lists_bugs!$A$2:$C$73,3,FALSE()), VLOOKUP(A997,Internal_lists_bugs!$A$2:$C$73,3,FALSE())&amp;Char(10) &amp; Char(10) &amp; VLOOKUP(A997,Internal_lists_bugs!$A$2:$Z$73,26,FALSE())),"please select a BUG ID")</f>
        <v>please select a BUG ID</v>
      </c>
      <c r="C997" s="51" t="str">
        <f>IFERROR(VLOOKUP(A997,Internal_lists_bugs!$A$2:$T1058,20,FALSE()),"please select a BUG ID")</f>
        <v>please select a BUG ID</v>
      </c>
      <c r="E997" s="54"/>
      <c r="F997" s="82"/>
      <c r="G997" s="92"/>
      <c r="H997" s="54"/>
      <c r="I997" s="51" t="str">
        <f>IFERROR(VLOOKUP(A997,Internal_lists_bugs!$A$2:$G1058,7,FALSE()),"please select a BUG ID")</f>
        <v>please select a BUG ID</v>
      </c>
    </row>
    <row r="998">
      <c r="A998" s="54"/>
      <c r="B998" s="71" t="str">
        <f>IFERROR(HYPERLINK(VLOOKUP(A998,Internal_lists_bugs!$A$2:$C$73,3,FALSE()), VLOOKUP(A998,Internal_lists_bugs!$A$2:$C$73,3,FALSE())&amp;Char(10) &amp; Char(10) &amp; VLOOKUP(A998,Internal_lists_bugs!$A$2:$Z$73,26,FALSE())),"please select a BUG ID")</f>
        <v>please select a BUG ID</v>
      </c>
      <c r="C998" s="51" t="str">
        <f>IFERROR(VLOOKUP(A998,Internal_lists_bugs!$A$2:$T1058,20,FALSE()),"please select a BUG ID")</f>
        <v>please select a BUG ID</v>
      </c>
      <c r="E998" s="54"/>
      <c r="F998" s="82"/>
      <c r="G998" s="92"/>
      <c r="H998" s="54"/>
      <c r="I998" s="51" t="str">
        <f>IFERROR(VLOOKUP(A998,Internal_lists_bugs!$A$2:$G1058,7,FALSE()),"please select a BUG ID")</f>
        <v>please select a BUG ID</v>
      </c>
    </row>
    <row r="999">
      <c r="A999" s="54"/>
      <c r="B999" s="71" t="str">
        <f>IFERROR(HYPERLINK(VLOOKUP(A999,Internal_lists_bugs!$A$2:$C$73,3,FALSE()), VLOOKUP(A999,Internal_lists_bugs!$A$2:$C$73,3,FALSE())&amp;Char(10) &amp; Char(10) &amp; VLOOKUP(A999,Internal_lists_bugs!$A$2:$Z$73,26,FALSE())),"please select a BUG ID")</f>
        <v>please select a BUG ID</v>
      </c>
      <c r="C999" s="51" t="str">
        <f>IFERROR(VLOOKUP(A999,Internal_lists_bugs!$A$2:$T1058,20,FALSE()),"please select a BUG ID")</f>
        <v>please select a BUG ID</v>
      </c>
      <c r="E999" s="54"/>
      <c r="F999" s="82"/>
      <c r="G999" s="92"/>
      <c r="H999" s="54"/>
      <c r="I999" s="51" t="str">
        <f>IFERROR(VLOOKUP(A999,Internal_lists_bugs!$A$2:$G1058,7,FALSE()),"please select a BUG ID")</f>
        <v>please select a BUG ID</v>
      </c>
    </row>
    <row r="1000">
      <c r="A1000" s="54"/>
      <c r="B1000" s="71" t="str">
        <f>IFERROR(HYPERLINK(VLOOKUP(A1000,Internal_lists_bugs!$A$2:$C$73,3,FALSE()), VLOOKUP(A1000,Internal_lists_bugs!$A$2:$C$73,3,FALSE())&amp;Char(10) &amp; Char(10) &amp; VLOOKUP(A1000,Internal_lists_bugs!$A$2:$Z$73,26,FALSE())),"please select a BUG ID")</f>
        <v>please select a BUG ID</v>
      </c>
      <c r="C1000" s="51" t="str">
        <f>IFERROR(VLOOKUP(A1000,Internal_lists_bugs!$A$2:$T1058,20,FALSE()),"please select a BUG ID")</f>
        <v>please select a BUG ID</v>
      </c>
      <c r="E1000" s="54"/>
      <c r="F1000" s="82"/>
      <c r="G1000" s="92"/>
      <c r="H1000" s="54"/>
      <c r="I1000" s="51" t="str">
        <f>IFERROR(VLOOKUP(A1000,Internal_lists_bugs!$A$2:$G1058,7,FALSE()),"please select a BUG ID")</f>
        <v>please select a BUG ID</v>
      </c>
    </row>
    <row r="1001">
      <c r="A1001" s="54"/>
      <c r="B1001" s="71" t="str">
        <f>IFERROR(HYPERLINK(VLOOKUP(A1001,Internal_lists_bugs!$A$2:$C$73,3,FALSE()), VLOOKUP(A1001,Internal_lists_bugs!$A$2:$C$73,3,FALSE())&amp;Char(10) &amp; Char(10) &amp; VLOOKUP(A1001,Internal_lists_bugs!$A$2:$Z$73,26,FALSE())),"please select a BUG ID")</f>
        <v>please select a BUG ID</v>
      </c>
      <c r="C1001" s="51" t="str">
        <f>IFERROR(VLOOKUP(A1001,Internal_lists_bugs!$A$2:$T1058,20,FALSE()),"please select a BUG ID")</f>
        <v>please select a BUG ID</v>
      </c>
      <c r="E1001" s="54"/>
      <c r="F1001" s="82"/>
      <c r="G1001" s="92"/>
      <c r="H1001" s="54"/>
      <c r="I1001" s="51" t="str">
        <f>IFERROR(VLOOKUP(A1001,Internal_lists_bugs!$A$2:$G1058,7,FALSE()),"please select a BUG ID")</f>
        <v>please select a BUG ID</v>
      </c>
    </row>
    <row r="1002">
      <c r="A1002" s="54"/>
      <c r="B1002" s="71" t="str">
        <f>IFERROR(HYPERLINK(VLOOKUP(A1002,Internal_lists_bugs!$A$2:$C$73,3,FALSE()), VLOOKUP(A1002,Internal_lists_bugs!$A$2:$C$73,3,FALSE())&amp;Char(10) &amp; Char(10) &amp; VLOOKUP(A1002,Internal_lists_bugs!$A$2:$Z$73,26,FALSE())),"please select a BUG ID")</f>
        <v>please select a BUG ID</v>
      </c>
      <c r="C1002" s="51" t="str">
        <f>IFERROR(VLOOKUP(A1002,Internal_lists_bugs!$A$2:$T1058,20,FALSE()),"please select a BUG ID")</f>
        <v>please select a BUG ID</v>
      </c>
      <c r="E1002" s="54"/>
      <c r="F1002" s="82"/>
      <c r="G1002" s="92"/>
      <c r="H1002" s="54"/>
      <c r="I1002" s="51" t="str">
        <f>IFERROR(VLOOKUP(A1002,Internal_lists_bugs!$A$2:$G1058,7,FALSE()),"please select a BUG ID")</f>
        <v>please select a BUG ID</v>
      </c>
    </row>
    <row r="1003">
      <c r="A1003" s="54"/>
      <c r="B1003" s="71" t="str">
        <f>IFERROR(HYPERLINK(VLOOKUP(A1003,Internal_lists_bugs!$A$2:$C$73,3,FALSE()), VLOOKUP(A1003,Internal_lists_bugs!$A$2:$C$73,3,FALSE())&amp;Char(10) &amp; Char(10) &amp; VLOOKUP(A1003,Internal_lists_bugs!$A$2:$Z$73,26,FALSE())),"please select a BUG ID")</f>
        <v>please select a BUG ID</v>
      </c>
      <c r="C1003" s="51" t="str">
        <f>IFERROR(VLOOKUP(A1003,Internal_lists_bugs!$A$2:$T1058,20,FALSE()),"please select a BUG ID")</f>
        <v>please select a BUG ID</v>
      </c>
      <c r="E1003" s="54"/>
      <c r="F1003" s="82"/>
      <c r="G1003" s="92"/>
      <c r="H1003" s="54"/>
      <c r="I1003" s="51" t="str">
        <f>IFERROR(VLOOKUP(A1003,Internal_lists_bugs!$A$2:$G1058,7,FALSE()),"please select a BUG ID")</f>
        <v>please select a BUG ID</v>
      </c>
    </row>
    <row r="1004">
      <c r="A1004" s="54"/>
      <c r="B1004" s="71" t="str">
        <f>IFERROR(HYPERLINK(VLOOKUP(A1004,Internal_lists_bugs!$A$2:$C$73,3,FALSE()), VLOOKUP(A1004,Internal_lists_bugs!$A$2:$C$73,3,FALSE())&amp;Char(10) &amp; Char(10) &amp; VLOOKUP(A1004,Internal_lists_bugs!$A$2:$Z$73,26,FALSE())),"please select a BUG ID")</f>
        <v>please select a BUG ID</v>
      </c>
      <c r="C1004" s="51" t="str">
        <f>IFERROR(VLOOKUP(A1004,Internal_lists_bugs!$A$2:$T1058,20,FALSE()),"please select a BUG ID")</f>
        <v>please select a BUG ID</v>
      </c>
      <c r="E1004" s="54"/>
      <c r="F1004" s="82"/>
      <c r="G1004" s="92"/>
      <c r="H1004" s="54"/>
      <c r="I1004" s="51" t="str">
        <f>IFERROR(VLOOKUP(A1004,Internal_lists_bugs!$A$2:$G1058,7,FALSE()),"please select a BUG ID")</f>
        <v>please select a BUG ID</v>
      </c>
    </row>
    <row r="1005">
      <c r="A1005" s="54"/>
      <c r="B1005" s="71" t="str">
        <f>IFERROR(HYPERLINK(VLOOKUP(A1005,Internal_lists_bugs!$A$2:$C$73,3,FALSE()), VLOOKUP(A1005,Internal_lists_bugs!$A$2:$C$73,3,FALSE())&amp;Char(10) &amp; Char(10) &amp; VLOOKUP(A1005,Internal_lists_bugs!$A$2:$Z$73,26,FALSE())),"please select a BUG ID")</f>
        <v>please select a BUG ID</v>
      </c>
      <c r="C1005" s="51" t="str">
        <f>IFERROR(VLOOKUP(A1005,Internal_lists_bugs!$A$2:$T1058,20,FALSE()),"please select a BUG ID")</f>
        <v>please select a BUG ID</v>
      </c>
      <c r="E1005" s="54"/>
      <c r="F1005" s="82"/>
      <c r="G1005" s="92"/>
      <c r="H1005" s="54"/>
      <c r="I1005" s="51" t="str">
        <f>IFERROR(VLOOKUP(A1005,Internal_lists_bugs!$A$2:$G1058,7,FALSE()),"please select a BUG ID")</f>
        <v>please select a BUG ID</v>
      </c>
    </row>
    <row r="1006">
      <c r="A1006" s="54"/>
      <c r="B1006" s="71" t="str">
        <f>IFERROR(HYPERLINK(VLOOKUP(A1006,Internal_lists_bugs!$A$2:$C$73,3,FALSE()), VLOOKUP(A1006,Internal_lists_bugs!$A$2:$C$73,3,FALSE())&amp;Char(10) &amp; Char(10) &amp; VLOOKUP(A1006,Internal_lists_bugs!$A$2:$Z$73,26,FALSE())),"please select a BUG ID")</f>
        <v>please select a BUG ID</v>
      </c>
      <c r="C1006" s="51" t="str">
        <f>IFERROR(VLOOKUP(A1006,Internal_lists_bugs!$A$2:$T1058,20,FALSE()),"please select a BUG ID")</f>
        <v>please select a BUG ID</v>
      </c>
      <c r="E1006" s="54"/>
      <c r="F1006" s="82"/>
      <c r="G1006" s="92"/>
      <c r="H1006" s="54"/>
      <c r="I1006" s="51" t="str">
        <f>IFERROR(VLOOKUP(A1006,Internal_lists_bugs!$A$2:$G1058,7,FALSE()),"please select a BUG ID")</f>
        <v>please select a BUG ID</v>
      </c>
    </row>
    <row r="1007">
      <c r="A1007" s="54"/>
      <c r="B1007" s="71" t="str">
        <f>IFERROR(HYPERLINK(VLOOKUP(A1007,Internal_lists_bugs!$A$2:$C$73,3,FALSE()), VLOOKUP(A1007,Internal_lists_bugs!$A$2:$C$73,3,FALSE())&amp;Char(10) &amp; Char(10) &amp; VLOOKUP(A1007,Internal_lists_bugs!$A$2:$Z$73,26,FALSE())),"please select a BUG ID")</f>
        <v>please select a BUG ID</v>
      </c>
      <c r="C1007" s="51" t="str">
        <f>IFERROR(VLOOKUP(A1007,Internal_lists_bugs!$A$2:$T1058,20,FALSE()),"please select a BUG ID")</f>
        <v>please select a BUG ID</v>
      </c>
      <c r="E1007" s="54"/>
      <c r="F1007" s="82"/>
      <c r="G1007" s="92"/>
      <c r="H1007" s="54"/>
      <c r="I1007" s="51" t="str">
        <f>IFERROR(VLOOKUP(A1007,Internal_lists_bugs!$A$2:$G1058,7,FALSE()),"please select a BUG ID")</f>
        <v>please select a BUG ID</v>
      </c>
    </row>
    <row r="1008">
      <c r="A1008" s="54"/>
      <c r="B1008" s="71" t="str">
        <f>IFERROR(HYPERLINK(VLOOKUP(A1008,Internal_lists_bugs!$A$2:$C$73,3,FALSE()), VLOOKUP(A1008,Internal_lists_bugs!$A$2:$C$73,3,FALSE())&amp;Char(10) &amp; Char(10) &amp; VLOOKUP(A1008,Internal_lists_bugs!$A$2:$Z$73,26,FALSE())),"please select a BUG ID")</f>
        <v>please select a BUG ID</v>
      </c>
      <c r="C1008" s="51" t="str">
        <f>IFERROR(VLOOKUP(A1008,Internal_lists_bugs!$A$2:$T1058,20,FALSE()),"please select a BUG ID")</f>
        <v>please select a BUG ID</v>
      </c>
      <c r="E1008" s="54"/>
      <c r="F1008" s="82"/>
      <c r="G1008" s="92"/>
      <c r="H1008" s="54"/>
      <c r="I1008" s="51" t="str">
        <f>IFERROR(VLOOKUP(A1008,Internal_lists_bugs!$A$2:$G1058,7,FALSE()),"please select a BUG ID")</f>
        <v>please select a BUG ID</v>
      </c>
    </row>
    <row r="1009">
      <c r="A1009" s="54"/>
      <c r="B1009" s="71" t="str">
        <f>IFERROR(HYPERLINK(VLOOKUP(A1009,Internal_lists_bugs!$A$2:$C$73,3,FALSE()), VLOOKUP(A1009,Internal_lists_bugs!$A$2:$C$73,3,FALSE())&amp;Char(10) &amp; Char(10) &amp; VLOOKUP(A1009,Internal_lists_bugs!$A$2:$Z$73,26,FALSE())),"please select a BUG ID")</f>
        <v>please select a BUG ID</v>
      </c>
      <c r="C1009" s="51" t="str">
        <f>IFERROR(VLOOKUP(A1009,Internal_lists_bugs!$A$2:$T1058,20,FALSE()),"please select a BUG ID")</f>
        <v>please select a BUG ID</v>
      </c>
      <c r="E1009" s="54"/>
      <c r="F1009" s="82"/>
      <c r="G1009" s="92"/>
      <c r="H1009" s="54"/>
      <c r="I1009" s="51" t="str">
        <f>IFERROR(VLOOKUP(A1009,Internal_lists_bugs!$A$2:$G1058,7,FALSE()),"please select a BUG ID")</f>
        <v>please select a BUG ID</v>
      </c>
    </row>
    <row r="1010">
      <c r="A1010" s="54"/>
      <c r="B1010" s="71" t="str">
        <f>IFERROR(HYPERLINK(VLOOKUP(A1010,Internal_lists_bugs!$A$2:$C$73,3,FALSE()), VLOOKUP(A1010,Internal_lists_bugs!$A$2:$C$73,3,FALSE())&amp;Char(10) &amp; Char(10) &amp; VLOOKUP(A1010,Internal_lists_bugs!$A$2:$Z$73,26,FALSE())),"please select a BUG ID")</f>
        <v>please select a BUG ID</v>
      </c>
      <c r="C1010" s="51" t="str">
        <f>IFERROR(VLOOKUP(A1010,Internal_lists_bugs!$A$2:$T1058,20,FALSE()),"please select a BUG ID")</f>
        <v>please select a BUG ID</v>
      </c>
      <c r="E1010" s="54"/>
      <c r="F1010" s="82"/>
      <c r="G1010" s="92"/>
      <c r="H1010" s="54"/>
      <c r="I1010" s="51" t="str">
        <f>IFERROR(VLOOKUP(A1010,Internal_lists_bugs!$A$2:$G1058,7,FALSE()),"please select a BUG ID")</f>
        <v>please select a BUG ID</v>
      </c>
    </row>
    <row r="1011">
      <c r="A1011" s="54"/>
      <c r="B1011" s="71" t="str">
        <f>IFERROR(HYPERLINK(VLOOKUP(A1011,Internal_lists_bugs!$A$2:$C$73,3,FALSE()), VLOOKUP(A1011,Internal_lists_bugs!$A$2:$C$73,3,FALSE())&amp;Char(10) &amp; Char(10) &amp; VLOOKUP(A1011,Internal_lists_bugs!$A$2:$Z$73,26,FALSE())),"please select a BUG ID")</f>
        <v>please select a BUG ID</v>
      </c>
      <c r="C1011" s="51" t="str">
        <f>IFERROR(VLOOKUP(A1011,Internal_lists_bugs!$A$2:$T1058,20,FALSE()),"please select a BUG ID")</f>
        <v>please select a BUG ID</v>
      </c>
      <c r="E1011" s="54"/>
      <c r="F1011" s="82"/>
      <c r="G1011" s="92"/>
      <c r="H1011" s="54"/>
      <c r="I1011" s="51" t="str">
        <f>IFERROR(VLOOKUP(A1011,Internal_lists_bugs!$A$2:$G1058,7,FALSE()),"please select a BUG ID")</f>
        <v>please select a BUG ID</v>
      </c>
    </row>
    <row r="1012">
      <c r="A1012" s="54"/>
      <c r="B1012" s="71" t="str">
        <f>IFERROR(HYPERLINK(VLOOKUP(A1012,Internal_lists_bugs!$A$2:$C$73,3,FALSE()), VLOOKUP(A1012,Internal_lists_bugs!$A$2:$C$73,3,FALSE())&amp;Char(10) &amp; Char(10) &amp; VLOOKUP(A1012,Internal_lists_bugs!$A$2:$Z$73,26,FALSE())),"please select a BUG ID")</f>
        <v>please select a BUG ID</v>
      </c>
      <c r="C1012" s="51" t="str">
        <f>IFERROR(VLOOKUP(A1012,Internal_lists_bugs!$A$2:$T1058,20,FALSE()),"please select a BUG ID")</f>
        <v>please select a BUG ID</v>
      </c>
      <c r="E1012" s="54"/>
      <c r="F1012" s="82"/>
      <c r="G1012" s="92"/>
      <c r="H1012" s="54"/>
      <c r="I1012" s="51" t="str">
        <f>IFERROR(VLOOKUP(A1012,Internal_lists_bugs!$A$2:$G1058,7,FALSE()),"please select a BUG ID")</f>
        <v>please select a BUG ID</v>
      </c>
    </row>
    <row r="1013">
      <c r="A1013" s="54"/>
      <c r="B1013" s="71" t="str">
        <f>IFERROR(HYPERLINK(VLOOKUP(A1013,Internal_lists_bugs!$A$2:$C$73,3,FALSE()), VLOOKUP(A1013,Internal_lists_bugs!$A$2:$C$73,3,FALSE())&amp;Char(10) &amp; Char(10) &amp; VLOOKUP(A1013,Internal_lists_bugs!$A$2:$Z$73,26,FALSE())),"please select a BUG ID")</f>
        <v>please select a BUG ID</v>
      </c>
      <c r="C1013" s="51" t="str">
        <f>IFERROR(VLOOKUP(A1013,Internal_lists_bugs!$A$2:$T1058,20,FALSE()),"please select a BUG ID")</f>
        <v>please select a BUG ID</v>
      </c>
      <c r="E1013" s="54"/>
      <c r="F1013" s="82"/>
      <c r="G1013" s="92"/>
      <c r="H1013" s="54"/>
      <c r="I1013" s="51" t="str">
        <f>IFERROR(VLOOKUP(A1013,Internal_lists_bugs!$A$2:$G1058,7,FALSE()),"please select a BUG ID")</f>
        <v>please select a BUG ID</v>
      </c>
    </row>
    <row r="1014">
      <c r="A1014" s="54"/>
      <c r="B1014" s="71" t="str">
        <f>IFERROR(HYPERLINK(VLOOKUP(A1014,Internal_lists_bugs!$A$2:$C$73,3,FALSE()), VLOOKUP(A1014,Internal_lists_bugs!$A$2:$C$73,3,FALSE())&amp;Char(10) &amp; Char(10) &amp; VLOOKUP(A1014,Internal_lists_bugs!$A$2:$Z$73,26,FALSE())),"please select a BUG ID")</f>
        <v>please select a BUG ID</v>
      </c>
      <c r="C1014" s="51" t="str">
        <f>IFERROR(VLOOKUP(A1014,Internal_lists_bugs!$A$2:$T1058,20,FALSE()),"please select a BUG ID")</f>
        <v>please select a BUG ID</v>
      </c>
      <c r="E1014" s="54"/>
      <c r="F1014" s="82"/>
      <c r="G1014" s="92"/>
      <c r="H1014" s="54"/>
      <c r="I1014" s="51" t="str">
        <f>IFERROR(VLOOKUP(A1014,Internal_lists_bugs!$A$2:$G1058,7,FALSE()),"please select a BUG ID")</f>
        <v>please select a BUG ID</v>
      </c>
    </row>
    <row r="1015">
      <c r="A1015" s="54"/>
      <c r="B1015" s="71" t="str">
        <f>IFERROR(HYPERLINK(VLOOKUP(A1015,Internal_lists_bugs!$A$2:$C$73,3,FALSE()), VLOOKUP(A1015,Internal_lists_bugs!$A$2:$C$73,3,FALSE())&amp;Char(10) &amp; Char(10) &amp; VLOOKUP(A1015,Internal_lists_bugs!$A$2:$Z$73,26,FALSE())),"please select a BUG ID")</f>
        <v>please select a BUG ID</v>
      </c>
      <c r="C1015" s="51" t="str">
        <f>IFERROR(VLOOKUP(A1015,Internal_lists_bugs!$A$2:$T1058,20,FALSE()),"please select a BUG ID")</f>
        <v>please select a BUG ID</v>
      </c>
      <c r="E1015" s="54"/>
      <c r="F1015" s="82"/>
      <c r="G1015" s="92"/>
      <c r="H1015" s="54"/>
      <c r="I1015" s="51" t="str">
        <f>IFERROR(VLOOKUP(A1015,Internal_lists_bugs!$A$2:$G1058,7,FALSE()),"please select a BUG ID")</f>
        <v>please select a BUG ID</v>
      </c>
    </row>
    <row r="1016">
      <c r="A1016" s="54"/>
      <c r="B1016" s="71" t="str">
        <f>IFERROR(HYPERLINK(VLOOKUP(A1016,Internal_lists_bugs!$A$2:$C$73,3,FALSE()), VLOOKUP(A1016,Internal_lists_bugs!$A$2:$C$73,3,FALSE())&amp;Char(10) &amp; Char(10) &amp; VLOOKUP(A1016,Internal_lists_bugs!$A$2:$Z$73,26,FALSE())),"please select a BUG ID")</f>
        <v>please select a BUG ID</v>
      </c>
      <c r="C1016" s="51" t="str">
        <f>IFERROR(VLOOKUP(A1016,Internal_lists_bugs!$A$2:$T1058,20,FALSE()),"please select a BUG ID")</f>
        <v>please select a BUG ID</v>
      </c>
      <c r="E1016" s="54"/>
      <c r="F1016" s="82"/>
      <c r="G1016" s="92"/>
      <c r="H1016" s="54"/>
      <c r="I1016" s="51" t="str">
        <f>IFERROR(VLOOKUP(A1016,Internal_lists_bugs!$A$2:$G1058,7,FALSE()),"please select a BUG ID")</f>
        <v>please select a BUG ID</v>
      </c>
    </row>
    <row r="1017">
      <c r="A1017" s="54"/>
      <c r="B1017" s="71" t="str">
        <f>IFERROR(HYPERLINK(VLOOKUP(A1017,Internal_lists_bugs!$A$2:$C$73,3,FALSE()), VLOOKUP(A1017,Internal_lists_bugs!$A$2:$C$73,3,FALSE())&amp;Char(10) &amp; Char(10) &amp; VLOOKUP(A1017,Internal_lists_bugs!$A$2:$Z$73,26,FALSE())),"please select a BUG ID")</f>
        <v>please select a BUG ID</v>
      </c>
      <c r="C1017" s="51" t="str">
        <f>IFERROR(VLOOKUP(A1017,Internal_lists_bugs!$A$2:$T1058,20,FALSE()),"please select a BUG ID")</f>
        <v>please select a BUG ID</v>
      </c>
      <c r="E1017" s="54"/>
      <c r="F1017" s="82"/>
      <c r="G1017" s="92"/>
      <c r="H1017" s="54"/>
      <c r="I1017" s="51" t="str">
        <f>IFERROR(VLOOKUP(A1017,Internal_lists_bugs!$A$2:$G1058,7,FALSE()),"please select a BUG ID")</f>
        <v>please select a BUG ID</v>
      </c>
    </row>
    <row r="1018">
      <c r="A1018" s="54"/>
      <c r="B1018" s="71" t="str">
        <f>IFERROR(HYPERLINK(VLOOKUP(A1018,Internal_lists_bugs!$A$2:$C$73,3,FALSE()), VLOOKUP(A1018,Internal_lists_bugs!$A$2:$C$73,3,FALSE())&amp;Char(10) &amp; Char(10) &amp; VLOOKUP(A1018,Internal_lists_bugs!$A$2:$Z$73,26,FALSE())),"please select a BUG ID")</f>
        <v>please select a BUG ID</v>
      </c>
      <c r="C1018" s="51" t="str">
        <f>IFERROR(VLOOKUP(A1018,Internal_lists_bugs!$A$2:$T1058,20,FALSE()),"please select a BUG ID")</f>
        <v>please select a BUG ID</v>
      </c>
      <c r="E1018" s="54"/>
      <c r="F1018" s="82"/>
      <c r="G1018" s="92"/>
      <c r="H1018" s="54"/>
      <c r="I1018" s="51" t="str">
        <f>IFERROR(VLOOKUP(A1018,Internal_lists_bugs!$A$2:$G1058,7,FALSE()),"please select a BUG ID")</f>
        <v>please select a BUG ID</v>
      </c>
    </row>
    <row r="1019">
      <c r="A1019" s="54"/>
      <c r="B1019" s="71" t="str">
        <f>IFERROR(HYPERLINK(VLOOKUP(A1019,Internal_lists_bugs!$A$2:$C$73,3,FALSE()), VLOOKUP(A1019,Internal_lists_bugs!$A$2:$C$73,3,FALSE())&amp;Char(10) &amp; Char(10) &amp; VLOOKUP(A1019,Internal_lists_bugs!$A$2:$Z$73,26,FALSE())),"please select a BUG ID")</f>
        <v>please select a BUG ID</v>
      </c>
      <c r="C1019" s="51" t="str">
        <f>IFERROR(VLOOKUP(A1019,Internal_lists_bugs!$A$2:$T1058,20,FALSE()),"please select a BUG ID")</f>
        <v>please select a BUG ID</v>
      </c>
      <c r="E1019" s="54"/>
      <c r="F1019" s="82"/>
      <c r="G1019" s="92"/>
      <c r="H1019" s="54"/>
      <c r="I1019" s="51" t="str">
        <f>IFERROR(VLOOKUP(A1019,Internal_lists_bugs!$A$2:$G1058,7,FALSE()),"please select a BUG ID")</f>
        <v>please select a BUG ID</v>
      </c>
    </row>
    <row r="1020">
      <c r="A1020" s="54"/>
      <c r="B1020" s="71" t="str">
        <f>IFERROR(HYPERLINK(VLOOKUP(A1020,Internal_lists_bugs!$A$2:$C$73,3,FALSE()), VLOOKUP(A1020,Internal_lists_bugs!$A$2:$C$73,3,FALSE())&amp;Char(10) &amp; Char(10) &amp; VLOOKUP(A1020,Internal_lists_bugs!$A$2:$Z$73,26,FALSE())),"please select a BUG ID")</f>
        <v>please select a BUG ID</v>
      </c>
      <c r="C1020" s="51" t="str">
        <f>IFERROR(VLOOKUP(A1020,Internal_lists_bugs!$A$2:$T1058,20,FALSE()),"please select a BUG ID")</f>
        <v>please select a BUG ID</v>
      </c>
      <c r="E1020" s="54"/>
      <c r="F1020" s="82"/>
      <c r="G1020" s="92"/>
      <c r="H1020" s="54"/>
      <c r="I1020" s="51" t="str">
        <f>IFERROR(VLOOKUP(A1020,Internal_lists_bugs!$A$2:$G1058,7,FALSE()),"please select a BUG ID")</f>
        <v>please select a BUG ID</v>
      </c>
    </row>
    <row r="1021">
      <c r="A1021" s="54"/>
      <c r="B1021" s="71" t="str">
        <f>IFERROR(HYPERLINK(VLOOKUP(A1021,Internal_lists_bugs!$A$2:$C$73,3,FALSE()), VLOOKUP(A1021,Internal_lists_bugs!$A$2:$C$73,3,FALSE())&amp;Char(10) &amp; Char(10) &amp; VLOOKUP(A1021,Internal_lists_bugs!$A$2:$Z$73,26,FALSE())),"please select a BUG ID")</f>
        <v>please select a BUG ID</v>
      </c>
      <c r="C1021" s="51" t="str">
        <f>IFERROR(VLOOKUP(A1021,Internal_lists_bugs!$A$2:$T1058,20,FALSE()),"please select a BUG ID")</f>
        <v>please select a BUG ID</v>
      </c>
      <c r="E1021" s="54"/>
      <c r="F1021" s="82"/>
      <c r="G1021" s="92"/>
      <c r="H1021" s="54"/>
      <c r="I1021" s="51" t="str">
        <f>IFERROR(VLOOKUP(A1021,Internal_lists_bugs!$A$2:$G1058,7,FALSE()),"please select a BUG ID")</f>
        <v>please select a BUG ID</v>
      </c>
    </row>
    <row r="1022">
      <c r="A1022" s="54"/>
      <c r="B1022" s="71" t="str">
        <f>IFERROR(HYPERLINK(VLOOKUP(A1022,Internal_lists_bugs!$A$2:$C$73,3,FALSE()), VLOOKUP(A1022,Internal_lists_bugs!$A$2:$C$73,3,FALSE())&amp;Char(10) &amp; Char(10) &amp; VLOOKUP(A1022,Internal_lists_bugs!$A$2:$Z$73,26,FALSE())),"please select a BUG ID")</f>
        <v>please select a BUG ID</v>
      </c>
      <c r="C1022" s="51" t="str">
        <f>IFERROR(VLOOKUP(A1022,Internal_lists_bugs!$A$2:$T1058,20,FALSE()),"please select a BUG ID")</f>
        <v>please select a BUG ID</v>
      </c>
      <c r="E1022" s="54"/>
      <c r="F1022" s="82"/>
      <c r="G1022" s="92"/>
      <c r="H1022" s="54"/>
      <c r="I1022" s="51" t="str">
        <f>IFERROR(VLOOKUP(A1022,Internal_lists_bugs!$A$2:$G1058,7,FALSE()),"please select a BUG ID")</f>
        <v>please select a BUG ID</v>
      </c>
    </row>
    <row r="1023">
      <c r="A1023" s="54"/>
      <c r="B1023" s="71" t="str">
        <f>IFERROR(HYPERLINK(VLOOKUP(A1023,Internal_lists_bugs!$A$2:$C$73,3,FALSE()), VLOOKUP(A1023,Internal_lists_bugs!$A$2:$C$73,3,FALSE())&amp;Char(10) &amp; Char(10) &amp; VLOOKUP(A1023,Internal_lists_bugs!$A$2:$Z$73,26,FALSE())),"please select a BUG ID")</f>
        <v>please select a BUG ID</v>
      </c>
      <c r="C1023" s="51" t="str">
        <f>IFERROR(VLOOKUP(A1023,Internal_lists_bugs!$A$2:$T1058,20,FALSE()),"please select a BUG ID")</f>
        <v>please select a BUG ID</v>
      </c>
      <c r="E1023" s="54"/>
      <c r="F1023" s="82"/>
      <c r="G1023" s="92"/>
      <c r="H1023" s="54"/>
      <c r="I1023" s="51" t="str">
        <f>IFERROR(VLOOKUP(A1023,Internal_lists_bugs!$A$2:$G1058,7,FALSE()),"please select a BUG ID")</f>
        <v>please select a BUG ID</v>
      </c>
    </row>
    <row r="1024">
      <c r="A1024" s="54"/>
      <c r="B1024" s="71" t="str">
        <f>IFERROR(HYPERLINK(VLOOKUP(A1024,Internal_lists_bugs!$A$2:$C$73,3,FALSE()), VLOOKUP(A1024,Internal_lists_bugs!$A$2:$C$73,3,FALSE())&amp;Char(10) &amp; Char(10) &amp; VLOOKUP(A1024,Internal_lists_bugs!$A$2:$Z$73,26,FALSE())),"please select a BUG ID")</f>
        <v>please select a BUG ID</v>
      </c>
      <c r="C1024" s="51" t="str">
        <f>IFERROR(VLOOKUP(A1024,Internal_lists_bugs!$A$2:$T1058,20,FALSE()),"please select a BUG ID")</f>
        <v>please select a BUG ID</v>
      </c>
      <c r="E1024" s="54"/>
      <c r="F1024" s="82"/>
      <c r="G1024" s="92"/>
      <c r="H1024" s="54"/>
      <c r="I1024" s="51" t="str">
        <f>IFERROR(VLOOKUP(A1024,Internal_lists_bugs!$A$2:$G1058,7,FALSE()),"please select a BUG ID")</f>
        <v>please select a BUG ID</v>
      </c>
    </row>
    <row r="1025">
      <c r="A1025" s="54"/>
      <c r="B1025" s="71" t="str">
        <f>IFERROR(HYPERLINK(VLOOKUP(A1025,Internal_lists_bugs!$A$2:$C$73,3,FALSE()), VLOOKUP(A1025,Internal_lists_bugs!$A$2:$C$73,3,FALSE())&amp;Char(10) &amp; Char(10) &amp; VLOOKUP(A1025,Internal_lists_bugs!$A$2:$Z$73,26,FALSE())),"please select a BUG ID")</f>
        <v>please select a BUG ID</v>
      </c>
      <c r="C1025" s="51" t="str">
        <f>IFERROR(VLOOKUP(A1025,Internal_lists_bugs!$A$2:$T1058,20,FALSE()),"please select a BUG ID")</f>
        <v>please select a BUG ID</v>
      </c>
      <c r="E1025" s="54"/>
      <c r="F1025" s="82"/>
      <c r="G1025" s="92"/>
      <c r="H1025" s="54"/>
      <c r="I1025" s="51" t="str">
        <f>IFERROR(VLOOKUP(A1025,Internal_lists_bugs!$A$2:$G1058,7,FALSE()),"please select a BUG ID")</f>
        <v>please select a BUG ID</v>
      </c>
    </row>
    <row r="1026">
      <c r="A1026" s="54"/>
      <c r="B1026" s="71" t="str">
        <f>IFERROR(HYPERLINK(VLOOKUP(A1026,Internal_lists_bugs!$A$2:$C$73,3,FALSE()), VLOOKUP(A1026,Internal_lists_bugs!$A$2:$C$73,3,FALSE())&amp;Char(10) &amp; Char(10) &amp; VLOOKUP(A1026,Internal_lists_bugs!$A$2:$Z$73,26,FALSE())),"please select a BUG ID")</f>
        <v>please select a BUG ID</v>
      </c>
      <c r="C1026" s="51" t="str">
        <f>IFERROR(VLOOKUP(A1026,Internal_lists_bugs!$A$2:$T1058,20,FALSE()),"please select a BUG ID")</f>
        <v>please select a BUG ID</v>
      </c>
      <c r="E1026" s="54"/>
      <c r="F1026" s="82"/>
      <c r="G1026" s="92"/>
      <c r="H1026" s="54"/>
      <c r="I1026" s="51" t="str">
        <f>IFERROR(VLOOKUP(A1026,Internal_lists_bugs!$A$2:$G1058,7,FALSE()),"please select a BUG ID")</f>
        <v>please select a BUG ID</v>
      </c>
    </row>
    <row r="1027">
      <c r="A1027" s="54"/>
      <c r="B1027" s="71" t="str">
        <f>IFERROR(HYPERLINK(VLOOKUP(A1027,Internal_lists_bugs!$A$2:$C$73,3,FALSE()), VLOOKUP(A1027,Internal_lists_bugs!$A$2:$C$73,3,FALSE())&amp;Char(10) &amp; Char(10) &amp; VLOOKUP(A1027,Internal_lists_bugs!$A$2:$Z$73,26,FALSE())),"please select a BUG ID")</f>
        <v>please select a BUG ID</v>
      </c>
      <c r="C1027" s="51" t="str">
        <f>IFERROR(VLOOKUP(A1027,Internal_lists_bugs!$A$2:$T1058,20,FALSE()),"please select a BUG ID")</f>
        <v>please select a BUG ID</v>
      </c>
      <c r="E1027" s="54"/>
      <c r="F1027" s="82"/>
      <c r="G1027" s="92"/>
      <c r="H1027" s="54"/>
      <c r="I1027" s="51" t="str">
        <f>IFERROR(VLOOKUP(A1027,Internal_lists_bugs!$A$2:$G1058,7,FALSE()),"please select a BUG ID")</f>
        <v>please select a BUG ID</v>
      </c>
    </row>
    <row r="1028">
      <c r="A1028" s="54"/>
      <c r="B1028" s="71" t="str">
        <f>IFERROR(HYPERLINK(VLOOKUP(A1028,Internal_lists_bugs!$A$2:$C$73,3,FALSE()), VLOOKUP(A1028,Internal_lists_bugs!$A$2:$C$73,3,FALSE())&amp;Char(10) &amp; Char(10) &amp; VLOOKUP(A1028,Internal_lists_bugs!$A$2:$Z$73,26,FALSE())),"please select a BUG ID")</f>
        <v>please select a BUG ID</v>
      </c>
      <c r="C1028" s="51" t="str">
        <f>IFERROR(VLOOKUP(A1028,Internal_lists_bugs!$A$2:$T1058,20,FALSE()),"please select a BUG ID")</f>
        <v>please select a BUG ID</v>
      </c>
      <c r="E1028" s="54"/>
      <c r="F1028" s="82"/>
      <c r="G1028" s="92"/>
      <c r="H1028" s="54"/>
      <c r="I1028" s="51" t="str">
        <f>IFERROR(VLOOKUP(A1028,Internal_lists_bugs!$A$2:$G1058,7,FALSE()),"please select a BUG ID")</f>
        <v>please select a BUG ID</v>
      </c>
    </row>
    <row r="1029">
      <c r="A1029" s="54"/>
      <c r="B1029" s="71" t="str">
        <f>IFERROR(HYPERLINK(VLOOKUP(A1029,Internal_lists_bugs!$A$2:$C$73,3,FALSE()), VLOOKUP(A1029,Internal_lists_bugs!$A$2:$C$73,3,FALSE())&amp;Char(10) &amp; Char(10) &amp; VLOOKUP(A1029,Internal_lists_bugs!$A$2:$Z$73,26,FALSE())),"please select a BUG ID")</f>
        <v>please select a BUG ID</v>
      </c>
      <c r="C1029" s="51" t="str">
        <f>IFERROR(VLOOKUP(A1029,Internal_lists_bugs!$A$2:$T1058,20,FALSE()),"please select a BUG ID")</f>
        <v>please select a BUG ID</v>
      </c>
      <c r="E1029" s="54"/>
      <c r="F1029" s="82"/>
      <c r="G1029" s="92"/>
      <c r="H1029" s="54"/>
      <c r="I1029" s="51" t="str">
        <f>IFERROR(VLOOKUP(A1029,Internal_lists_bugs!$A$2:$G1058,7,FALSE()),"please select a BUG ID")</f>
        <v>please select a BUG ID</v>
      </c>
    </row>
    <row r="1030">
      <c r="A1030" s="54"/>
      <c r="B1030" s="71" t="str">
        <f>IFERROR(HYPERLINK(VLOOKUP(A1030,Internal_lists_bugs!$A$2:$C$73,3,FALSE()), VLOOKUP(A1030,Internal_lists_bugs!$A$2:$C$73,3,FALSE())&amp;Char(10) &amp; Char(10) &amp; VLOOKUP(A1030,Internal_lists_bugs!$A$2:$Z$73,26,FALSE())),"please select a BUG ID")</f>
        <v>please select a BUG ID</v>
      </c>
      <c r="C1030" s="51" t="str">
        <f>IFERROR(VLOOKUP(A1030,Internal_lists_bugs!$A$2:$T1058,20,FALSE()),"please select a BUG ID")</f>
        <v>please select a BUG ID</v>
      </c>
      <c r="E1030" s="54"/>
      <c r="F1030" s="82"/>
      <c r="G1030" s="92"/>
      <c r="H1030" s="54"/>
      <c r="I1030" s="51" t="str">
        <f>IFERROR(VLOOKUP(A1030,Internal_lists_bugs!$A$2:$G1058,7,FALSE()),"please select a BUG ID")</f>
        <v>please select a BUG ID</v>
      </c>
    </row>
    <row r="1031">
      <c r="A1031" s="54"/>
      <c r="B1031" s="71" t="str">
        <f>IFERROR(HYPERLINK(VLOOKUP(A1031,Internal_lists_bugs!$A$2:$C$73,3,FALSE()), VLOOKUP(A1031,Internal_lists_bugs!$A$2:$C$73,3,FALSE())&amp;Char(10) &amp; Char(10) &amp; VLOOKUP(A1031,Internal_lists_bugs!$A$2:$Z$73,26,FALSE())),"please select a BUG ID")</f>
        <v>please select a BUG ID</v>
      </c>
      <c r="C1031" s="51" t="str">
        <f>IFERROR(VLOOKUP(A1031,Internal_lists_bugs!$A$2:$T1058,20,FALSE()),"please select a BUG ID")</f>
        <v>please select a BUG ID</v>
      </c>
      <c r="E1031" s="54"/>
      <c r="F1031" s="82"/>
      <c r="G1031" s="92"/>
      <c r="H1031" s="54"/>
      <c r="I1031" s="51" t="str">
        <f>IFERROR(VLOOKUP(A1031,Internal_lists_bugs!$A$2:$G1058,7,FALSE()),"please select a BUG ID")</f>
        <v>please select a BUG ID</v>
      </c>
    </row>
    <row r="1032">
      <c r="A1032" s="54"/>
      <c r="B1032" s="71" t="str">
        <f>IFERROR(HYPERLINK(VLOOKUP(A1032,Internal_lists_bugs!$A$2:$C$73,3,FALSE()), VLOOKUP(A1032,Internal_lists_bugs!$A$2:$C$73,3,FALSE())&amp;Char(10) &amp; Char(10) &amp; VLOOKUP(A1032,Internal_lists_bugs!$A$2:$Z$73,26,FALSE())),"please select a BUG ID")</f>
        <v>please select a BUG ID</v>
      </c>
      <c r="C1032" s="51" t="str">
        <f>IFERROR(VLOOKUP(A1032,Internal_lists_bugs!$A$2:$T1058,20,FALSE()),"please select a BUG ID")</f>
        <v>please select a BUG ID</v>
      </c>
      <c r="E1032" s="54"/>
      <c r="F1032" s="82"/>
      <c r="G1032" s="92"/>
      <c r="H1032" s="54"/>
      <c r="I1032" s="51" t="str">
        <f>IFERROR(VLOOKUP(A1032,Internal_lists_bugs!$A$2:$G1058,7,FALSE()),"please select a BUG ID")</f>
        <v>please select a BUG ID</v>
      </c>
    </row>
    <row r="1033">
      <c r="A1033" s="54"/>
      <c r="B1033" s="71" t="str">
        <f>IFERROR(HYPERLINK(VLOOKUP(A1033,Internal_lists_bugs!$A$2:$C$73,3,FALSE()), VLOOKUP(A1033,Internal_lists_bugs!$A$2:$C$73,3,FALSE())&amp;Char(10) &amp; Char(10) &amp; VLOOKUP(A1033,Internal_lists_bugs!$A$2:$Z$73,26,FALSE())),"please select a BUG ID")</f>
        <v>please select a BUG ID</v>
      </c>
      <c r="C1033" s="51" t="str">
        <f>IFERROR(VLOOKUP(A1033,Internal_lists_bugs!$A$2:$T1058,20,FALSE()),"please select a BUG ID")</f>
        <v>please select a BUG ID</v>
      </c>
      <c r="E1033" s="54"/>
      <c r="F1033" s="82"/>
      <c r="G1033" s="92"/>
      <c r="H1033" s="54"/>
      <c r="I1033" s="51" t="str">
        <f>IFERROR(VLOOKUP(A1033,Internal_lists_bugs!$A$2:$G1058,7,FALSE()),"please select a BUG ID")</f>
        <v>please select a BUG ID</v>
      </c>
    </row>
    <row r="1034">
      <c r="A1034" s="54"/>
      <c r="B1034" s="71" t="str">
        <f>IFERROR(HYPERLINK(VLOOKUP(A1034,Internal_lists_bugs!$A$2:$C$73,3,FALSE()), VLOOKUP(A1034,Internal_lists_bugs!$A$2:$C$73,3,FALSE())&amp;Char(10) &amp; Char(10) &amp; VLOOKUP(A1034,Internal_lists_bugs!$A$2:$Z$73,26,FALSE())),"please select a BUG ID")</f>
        <v>please select a BUG ID</v>
      </c>
      <c r="C1034" s="51" t="str">
        <f>IFERROR(VLOOKUP(A1034,Internal_lists_bugs!$A$2:$T1058,20,FALSE()),"please select a BUG ID")</f>
        <v>please select a BUG ID</v>
      </c>
      <c r="E1034" s="54"/>
      <c r="F1034" s="82"/>
      <c r="G1034" s="92"/>
      <c r="H1034" s="54"/>
      <c r="I1034" s="51" t="str">
        <f>IFERROR(VLOOKUP(A1034,Internal_lists_bugs!$A$2:$G1058,7,FALSE()),"please select a BUG ID")</f>
        <v>please select a BUG ID</v>
      </c>
    </row>
    <row r="1035">
      <c r="A1035" s="54"/>
      <c r="B1035" s="71" t="str">
        <f>IFERROR(HYPERLINK(VLOOKUP(A1035,Internal_lists_bugs!$A$2:$C$73,3,FALSE()), VLOOKUP(A1035,Internal_lists_bugs!$A$2:$C$73,3,FALSE())&amp;Char(10) &amp; Char(10) &amp; VLOOKUP(A1035,Internal_lists_bugs!$A$2:$Z$73,26,FALSE())),"please select a BUG ID")</f>
        <v>please select a BUG ID</v>
      </c>
      <c r="C1035" s="51" t="str">
        <f>IFERROR(VLOOKUP(A1035,Internal_lists_bugs!$A$2:$T1058,20,FALSE()),"please select a BUG ID")</f>
        <v>please select a BUG ID</v>
      </c>
      <c r="E1035" s="54"/>
      <c r="F1035" s="82"/>
      <c r="G1035" s="92"/>
      <c r="H1035" s="54"/>
      <c r="I1035" s="51" t="str">
        <f>IFERROR(VLOOKUP(A1035,Internal_lists_bugs!$A$2:$G1058,7,FALSE()),"please select a BUG ID")</f>
        <v>please select a BUG ID</v>
      </c>
    </row>
    <row r="1036">
      <c r="A1036" s="54"/>
      <c r="B1036" s="71" t="str">
        <f>IFERROR(HYPERLINK(VLOOKUP(A1036,Internal_lists_bugs!$A$2:$C$73,3,FALSE()), VLOOKUP(A1036,Internal_lists_bugs!$A$2:$C$73,3,FALSE())&amp;Char(10) &amp; Char(10) &amp; VLOOKUP(A1036,Internal_lists_bugs!$A$2:$Z$73,26,FALSE())),"please select a BUG ID")</f>
        <v>please select a BUG ID</v>
      </c>
      <c r="C1036" s="51" t="str">
        <f>IFERROR(VLOOKUP(A1036,Internal_lists_bugs!$A$2:$T1058,20,FALSE()),"please select a BUG ID")</f>
        <v>please select a BUG ID</v>
      </c>
      <c r="E1036" s="54"/>
      <c r="F1036" s="82"/>
      <c r="G1036" s="92"/>
      <c r="H1036" s="54"/>
      <c r="I1036" s="51" t="str">
        <f>IFERROR(VLOOKUP(A1036,Internal_lists_bugs!$A$2:$G1058,7,FALSE()),"please select a BUG ID")</f>
        <v>please select a BUG ID</v>
      </c>
    </row>
    <row r="1037">
      <c r="A1037" s="54"/>
      <c r="B1037" s="71" t="str">
        <f>IFERROR(HYPERLINK(VLOOKUP(A1037,Internal_lists_bugs!$A$2:$C$73,3,FALSE()), VLOOKUP(A1037,Internal_lists_bugs!$A$2:$C$73,3,FALSE())&amp;Char(10) &amp; Char(10) &amp; VLOOKUP(A1037,Internal_lists_bugs!$A$2:$Z$73,26,FALSE())),"please select a BUG ID")</f>
        <v>please select a BUG ID</v>
      </c>
      <c r="C1037" s="51" t="str">
        <f>IFERROR(VLOOKUP(A1037,Internal_lists_bugs!$A$2:$T1058,20,FALSE()),"please select a BUG ID")</f>
        <v>please select a BUG ID</v>
      </c>
      <c r="E1037" s="54"/>
      <c r="F1037" s="82"/>
      <c r="G1037" s="92"/>
      <c r="H1037" s="54"/>
      <c r="I1037" s="51" t="str">
        <f>IFERROR(VLOOKUP(A1037,Internal_lists_bugs!$A$2:$G1058,7,FALSE()),"please select a BUG ID")</f>
        <v>please select a BUG ID</v>
      </c>
    </row>
    <row r="1038">
      <c r="A1038" s="54"/>
      <c r="B1038" s="71" t="str">
        <f>IFERROR(HYPERLINK(VLOOKUP(A1038,Internal_lists_bugs!$A$2:$C$73,3,FALSE()), VLOOKUP(A1038,Internal_lists_bugs!$A$2:$C$73,3,FALSE())&amp;Char(10) &amp; Char(10) &amp; VLOOKUP(A1038,Internal_lists_bugs!$A$2:$Z$73,26,FALSE())),"please select a BUG ID")</f>
        <v>please select a BUG ID</v>
      </c>
      <c r="C1038" s="51" t="str">
        <f>IFERROR(VLOOKUP(A1038,Internal_lists_bugs!$A$2:$T1058,20,FALSE()),"please select a BUG ID")</f>
        <v>please select a BUG ID</v>
      </c>
      <c r="E1038" s="54"/>
      <c r="F1038" s="82"/>
      <c r="G1038" s="92"/>
      <c r="H1038" s="54"/>
      <c r="I1038" s="51" t="str">
        <f>IFERROR(VLOOKUP(A1038,Internal_lists_bugs!$A$2:$G1058,7,FALSE()),"please select a BUG ID")</f>
        <v>please select a BUG ID</v>
      </c>
    </row>
    <row r="1039">
      <c r="A1039" s="54"/>
      <c r="B1039" s="71" t="str">
        <f>IFERROR(HYPERLINK(VLOOKUP(A1039,Internal_lists_bugs!$A$2:$C$73,3,FALSE()), VLOOKUP(A1039,Internal_lists_bugs!$A$2:$C$73,3,FALSE())&amp;Char(10) &amp; Char(10) &amp; VLOOKUP(A1039,Internal_lists_bugs!$A$2:$Z$73,26,FALSE())),"please select a BUG ID")</f>
        <v>please select a BUG ID</v>
      </c>
      <c r="C1039" s="51" t="str">
        <f>IFERROR(VLOOKUP(A1039,Internal_lists_bugs!$A$2:$T1058,20,FALSE()),"please select a BUG ID")</f>
        <v>please select a BUG ID</v>
      </c>
      <c r="E1039" s="54"/>
      <c r="F1039" s="82"/>
      <c r="G1039" s="92"/>
      <c r="H1039" s="54"/>
      <c r="I1039" s="51" t="str">
        <f>IFERROR(VLOOKUP(A1039,Internal_lists_bugs!$A$2:$G1058,7,FALSE()),"please select a BUG ID")</f>
        <v>please select a BUG ID</v>
      </c>
    </row>
    <row r="1040">
      <c r="A1040" s="54"/>
      <c r="B1040" s="71" t="str">
        <f>IFERROR(HYPERLINK(VLOOKUP(A1040,Internal_lists_bugs!$A$2:$C$73,3,FALSE()), VLOOKUP(A1040,Internal_lists_bugs!$A$2:$C$73,3,FALSE())&amp;Char(10) &amp; Char(10) &amp; VLOOKUP(A1040,Internal_lists_bugs!$A$2:$Z$73,26,FALSE())),"please select a BUG ID")</f>
        <v>please select a BUG ID</v>
      </c>
      <c r="C1040" s="51" t="str">
        <f>IFERROR(VLOOKUP(A1040,Internal_lists_bugs!$A$2:$T1058,20,FALSE()),"please select a BUG ID")</f>
        <v>please select a BUG ID</v>
      </c>
      <c r="E1040" s="54"/>
      <c r="F1040" s="82"/>
      <c r="G1040" s="92"/>
      <c r="H1040" s="54"/>
      <c r="I1040" s="51" t="str">
        <f>IFERROR(VLOOKUP(A1040,Internal_lists_bugs!$A$2:$G1058,7,FALSE()),"please select a BUG ID")</f>
        <v>please select a BUG ID</v>
      </c>
    </row>
    <row r="1041">
      <c r="A1041" s="54"/>
      <c r="B1041" s="71" t="str">
        <f>IFERROR(HYPERLINK(VLOOKUP(A1041,Internal_lists_bugs!$A$2:$C$73,3,FALSE()), VLOOKUP(A1041,Internal_lists_bugs!$A$2:$C$73,3,FALSE())&amp;Char(10) &amp; Char(10) &amp; VLOOKUP(A1041,Internal_lists_bugs!$A$2:$Z$73,26,FALSE())),"please select a BUG ID")</f>
        <v>please select a BUG ID</v>
      </c>
      <c r="C1041" s="51" t="str">
        <f>IFERROR(VLOOKUP(A1041,Internal_lists_bugs!$A$2:$T1058,20,FALSE()),"please select a BUG ID")</f>
        <v>please select a BUG ID</v>
      </c>
      <c r="E1041" s="54"/>
      <c r="F1041" s="82"/>
      <c r="G1041" s="92"/>
      <c r="H1041" s="54"/>
      <c r="I1041" s="51" t="str">
        <f>IFERROR(VLOOKUP(A1041,Internal_lists_bugs!$A$2:$G1058,7,FALSE()),"please select a BUG ID")</f>
        <v>please select a BUG ID</v>
      </c>
    </row>
    <row r="1042">
      <c r="A1042" s="54"/>
      <c r="B1042" s="71" t="str">
        <f>IFERROR(HYPERLINK(VLOOKUP(A1042,Internal_lists_bugs!$A$2:$C$73,3,FALSE()), VLOOKUP(A1042,Internal_lists_bugs!$A$2:$C$73,3,FALSE())&amp;Char(10) &amp; Char(10) &amp; VLOOKUP(A1042,Internal_lists_bugs!$A$2:$Z$73,26,FALSE())),"please select a BUG ID")</f>
        <v>please select a BUG ID</v>
      </c>
      <c r="C1042" s="51" t="str">
        <f>IFERROR(VLOOKUP(A1042,Internal_lists_bugs!$A$2:$T1058,20,FALSE()),"please select a BUG ID")</f>
        <v>please select a BUG ID</v>
      </c>
      <c r="E1042" s="54"/>
      <c r="F1042" s="82"/>
      <c r="G1042" s="92"/>
      <c r="H1042" s="54"/>
      <c r="I1042" s="51" t="str">
        <f>IFERROR(VLOOKUP(A1042,Internal_lists_bugs!$A$2:$G1058,7,FALSE()),"please select a BUG ID")</f>
        <v>please select a BUG ID</v>
      </c>
    </row>
    <row r="1043">
      <c r="A1043" s="54"/>
      <c r="B1043" s="71" t="str">
        <f>IFERROR(HYPERLINK(VLOOKUP(A1043,Internal_lists_bugs!$A$2:$C$73,3,FALSE()), VLOOKUP(A1043,Internal_lists_bugs!$A$2:$C$73,3,FALSE())&amp;Char(10) &amp; Char(10) &amp; VLOOKUP(A1043,Internal_lists_bugs!$A$2:$Z$73,26,FALSE())),"please select a BUG ID")</f>
        <v>please select a BUG ID</v>
      </c>
      <c r="C1043" s="51" t="str">
        <f>IFERROR(VLOOKUP(A1043,Internal_lists_bugs!$A$2:$T1058,20,FALSE()),"please select a BUG ID")</f>
        <v>please select a BUG ID</v>
      </c>
      <c r="E1043" s="54"/>
      <c r="F1043" s="82"/>
      <c r="G1043" s="92"/>
      <c r="H1043" s="54"/>
      <c r="I1043" s="51" t="str">
        <f>IFERROR(VLOOKUP(A1043,Internal_lists_bugs!$A$2:$G1058,7,FALSE()),"please select a BUG ID")</f>
        <v>please select a BUG ID</v>
      </c>
    </row>
    <row r="1044">
      <c r="A1044" s="54"/>
      <c r="B1044" s="71" t="str">
        <f>IFERROR(HYPERLINK(VLOOKUP(A1044,Internal_lists_bugs!$A$2:$C$73,3,FALSE()), VLOOKUP(A1044,Internal_lists_bugs!$A$2:$C$73,3,FALSE())&amp;Char(10) &amp; Char(10) &amp; VLOOKUP(A1044,Internal_lists_bugs!$A$2:$Z$73,26,FALSE())),"please select a BUG ID")</f>
        <v>please select a BUG ID</v>
      </c>
      <c r="C1044" s="51" t="str">
        <f>IFERROR(VLOOKUP(A1044,Internal_lists_bugs!$A$2:$T1058,20,FALSE()),"please select a BUG ID")</f>
        <v>please select a BUG ID</v>
      </c>
      <c r="E1044" s="54"/>
      <c r="F1044" s="82"/>
      <c r="G1044" s="92"/>
      <c r="H1044" s="54"/>
      <c r="I1044" s="51" t="str">
        <f>IFERROR(VLOOKUP(A1044,Internal_lists_bugs!$A$2:$G1058,7,FALSE()),"please select a BUG ID")</f>
        <v>please select a BUG ID</v>
      </c>
    </row>
    <row r="1045">
      <c r="A1045" s="54"/>
      <c r="B1045" s="71" t="str">
        <f>IFERROR(HYPERLINK(VLOOKUP(A1045,Internal_lists_bugs!$A$2:$C$73,3,FALSE()), VLOOKUP(A1045,Internal_lists_bugs!$A$2:$C$73,3,FALSE())&amp;Char(10) &amp; Char(10) &amp; VLOOKUP(A1045,Internal_lists_bugs!$A$2:$Z$73,26,FALSE())),"please select a BUG ID")</f>
        <v>please select a BUG ID</v>
      </c>
      <c r="C1045" s="51" t="str">
        <f>IFERROR(VLOOKUP(A1045,Internal_lists_bugs!$A$2:$T1058,20,FALSE()),"please select a BUG ID")</f>
        <v>please select a BUG ID</v>
      </c>
      <c r="E1045" s="54"/>
      <c r="F1045" s="82"/>
      <c r="G1045" s="92"/>
      <c r="H1045" s="54"/>
      <c r="I1045" s="51" t="str">
        <f>IFERROR(VLOOKUP(A1045,Internal_lists_bugs!$A$2:$G1058,7,FALSE()),"please select a BUG ID")</f>
        <v>please select a BUG ID</v>
      </c>
    </row>
    <row r="1046">
      <c r="A1046" s="54"/>
      <c r="B1046" s="71" t="str">
        <f>IFERROR(HYPERLINK(VLOOKUP(A1046,Internal_lists_bugs!$A$2:$C$73,3,FALSE()), VLOOKUP(A1046,Internal_lists_bugs!$A$2:$C$73,3,FALSE())&amp;Char(10) &amp; Char(10) &amp; VLOOKUP(A1046,Internal_lists_bugs!$A$2:$Z$73,26,FALSE())),"please select a BUG ID")</f>
        <v>please select a BUG ID</v>
      </c>
      <c r="C1046" s="51" t="str">
        <f>IFERROR(VLOOKUP(A1046,Internal_lists_bugs!$A$2:$T1058,20,FALSE()),"please select a BUG ID")</f>
        <v>please select a BUG ID</v>
      </c>
      <c r="E1046" s="54"/>
      <c r="F1046" s="82"/>
      <c r="G1046" s="92"/>
      <c r="H1046" s="54"/>
      <c r="I1046" s="51" t="str">
        <f>IFERROR(VLOOKUP(A1046,Internal_lists_bugs!$A$2:$G1058,7,FALSE()),"please select a BUG ID")</f>
        <v>please select a BUG ID</v>
      </c>
    </row>
    <row r="1047">
      <c r="A1047" s="54"/>
      <c r="B1047" s="71" t="str">
        <f>IFERROR(HYPERLINK(VLOOKUP(A1047,Internal_lists_bugs!$A$2:$C$73,3,FALSE()), VLOOKUP(A1047,Internal_lists_bugs!$A$2:$C$73,3,FALSE())&amp;Char(10) &amp; Char(10) &amp; VLOOKUP(A1047,Internal_lists_bugs!$A$2:$Z$73,26,FALSE())),"please select a BUG ID")</f>
        <v>please select a BUG ID</v>
      </c>
      <c r="C1047" s="51" t="str">
        <f>IFERROR(VLOOKUP(A1047,Internal_lists_bugs!$A$2:$T1058,20,FALSE()),"please select a BUG ID")</f>
        <v>please select a BUG ID</v>
      </c>
      <c r="E1047" s="54"/>
      <c r="F1047" s="82"/>
      <c r="G1047" s="92"/>
      <c r="H1047" s="54"/>
      <c r="I1047" s="51" t="str">
        <f>IFERROR(VLOOKUP(A1047,Internal_lists_bugs!$A$2:$G1058,7,FALSE()),"please select a BUG ID")</f>
        <v>please select a BUG ID</v>
      </c>
    </row>
    <row r="1048">
      <c r="A1048" s="54"/>
      <c r="B1048" s="71" t="str">
        <f>IFERROR(HYPERLINK(VLOOKUP(A1048,Internal_lists_bugs!$A$2:$C$73,3,FALSE()), VLOOKUP(A1048,Internal_lists_bugs!$A$2:$C$73,3,FALSE())&amp;Char(10) &amp; Char(10) &amp; VLOOKUP(A1048,Internal_lists_bugs!$A$2:$Z$73,26,FALSE())),"please select a BUG ID")</f>
        <v>please select a BUG ID</v>
      </c>
      <c r="C1048" s="51" t="str">
        <f>IFERROR(VLOOKUP(A1048,Internal_lists_bugs!$A$2:$T1058,20,FALSE()),"please select a BUG ID")</f>
        <v>please select a BUG ID</v>
      </c>
      <c r="E1048" s="54"/>
      <c r="F1048" s="82"/>
      <c r="G1048" s="92"/>
      <c r="H1048" s="54"/>
      <c r="I1048" s="51" t="str">
        <f>IFERROR(VLOOKUP(A1048,Internal_lists_bugs!$A$2:$G1058,7,FALSE()),"please select a BUG ID")</f>
        <v>please select a BUG ID</v>
      </c>
    </row>
    <row r="1049">
      <c r="A1049" s="54"/>
      <c r="B1049" s="71" t="str">
        <f>IFERROR(HYPERLINK(VLOOKUP(A1049,Internal_lists_bugs!$A$2:$C$73,3,FALSE()), VLOOKUP(A1049,Internal_lists_bugs!$A$2:$C$73,3,FALSE())&amp;Char(10) &amp; Char(10) &amp; VLOOKUP(A1049,Internal_lists_bugs!$A$2:$Z$73,26,FALSE())),"please select a BUG ID")</f>
        <v>please select a BUG ID</v>
      </c>
      <c r="C1049" s="51" t="str">
        <f>IFERROR(VLOOKUP(A1049,Internal_lists_bugs!$A$2:$T1058,20,FALSE()),"please select a BUG ID")</f>
        <v>please select a BUG ID</v>
      </c>
      <c r="E1049" s="54"/>
      <c r="F1049" s="82"/>
      <c r="G1049" s="92"/>
      <c r="H1049" s="54"/>
      <c r="I1049" s="51" t="str">
        <f>IFERROR(VLOOKUP(A1049,Internal_lists_bugs!$A$2:$G1058,7,FALSE()),"please select a BUG ID")</f>
        <v>please select a BUG ID</v>
      </c>
    </row>
    <row r="1050">
      <c r="A1050" s="54"/>
      <c r="B1050" s="71" t="str">
        <f>IFERROR(HYPERLINK(VLOOKUP(A1050,Internal_lists_bugs!$A$2:$C$73,3,FALSE()), VLOOKUP(A1050,Internal_lists_bugs!$A$2:$C$73,3,FALSE())&amp;Char(10) &amp; Char(10) &amp; VLOOKUP(A1050,Internal_lists_bugs!$A$2:$Z$73,26,FALSE())),"please select a BUG ID")</f>
        <v>please select a BUG ID</v>
      </c>
      <c r="C1050" s="51" t="str">
        <f>IFERROR(VLOOKUP(A1050,Internal_lists_bugs!$A$2:$T1058,20,FALSE()),"please select a BUG ID")</f>
        <v>please select a BUG ID</v>
      </c>
      <c r="E1050" s="54"/>
      <c r="F1050" s="82"/>
      <c r="G1050" s="92"/>
      <c r="H1050" s="54"/>
      <c r="I1050" s="51" t="str">
        <f>IFERROR(VLOOKUP(A1050,Internal_lists_bugs!$A$2:$G1058,7,FALSE()),"please select a BUG ID")</f>
        <v>please select a BUG ID</v>
      </c>
    </row>
    <row r="1051">
      <c r="A1051" s="54"/>
      <c r="B1051" s="71" t="str">
        <f>IFERROR(HYPERLINK(VLOOKUP(A1051,Internal_lists_bugs!$A$2:$C$73,3,FALSE()), VLOOKUP(A1051,Internal_lists_bugs!$A$2:$C$73,3,FALSE())&amp;Char(10) &amp; Char(10) &amp; VLOOKUP(A1051,Internal_lists_bugs!$A$2:$Z$73,26,FALSE())),"please select a BUG ID")</f>
        <v>please select a BUG ID</v>
      </c>
      <c r="C1051" s="51" t="str">
        <f>IFERROR(VLOOKUP(A1051,Internal_lists_bugs!$A$2:$T1058,20,FALSE()),"please select a BUG ID")</f>
        <v>please select a BUG ID</v>
      </c>
      <c r="E1051" s="54"/>
      <c r="F1051" s="82"/>
      <c r="G1051" s="92"/>
      <c r="H1051" s="54"/>
      <c r="I1051" s="51" t="str">
        <f>IFERROR(VLOOKUP(A1051,Internal_lists_bugs!$A$2:$G1058,7,FALSE()),"please select a BUG ID")</f>
        <v>please select a BUG ID</v>
      </c>
    </row>
    <row r="1052">
      <c r="A1052" s="54"/>
      <c r="B1052" s="71" t="str">
        <f>IFERROR(HYPERLINK(VLOOKUP(A1052,Internal_lists_bugs!$A$2:$C$73,3,FALSE()), VLOOKUP(A1052,Internal_lists_bugs!$A$2:$C$73,3,FALSE())&amp;Char(10) &amp; Char(10) &amp; VLOOKUP(A1052,Internal_lists_bugs!$A$2:$Z$73,26,FALSE())),"please select a BUG ID")</f>
        <v>please select a BUG ID</v>
      </c>
      <c r="C1052" s="51" t="str">
        <f>IFERROR(VLOOKUP(A1052,Internal_lists_bugs!$A$2:$T1058,20,FALSE()),"please select a BUG ID")</f>
        <v>please select a BUG ID</v>
      </c>
      <c r="E1052" s="54"/>
      <c r="F1052" s="82"/>
      <c r="G1052" s="92"/>
      <c r="H1052" s="54"/>
      <c r="I1052" s="51" t="str">
        <f>IFERROR(VLOOKUP(A1052,Internal_lists_bugs!$A$2:$G1058,7,FALSE()),"please select a BUG ID")</f>
        <v>please select a BUG ID</v>
      </c>
    </row>
    <row r="1053">
      <c r="A1053" s="54"/>
      <c r="B1053" s="71" t="str">
        <f>IFERROR(HYPERLINK(VLOOKUP(A1053,Internal_lists_bugs!$A$2:$C$73,3,FALSE()), VLOOKUP(A1053,Internal_lists_bugs!$A$2:$C$73,3,FALSE())&amp;Char(10) &amp; Char(10) &amp; VLOOKUP(A1053,Internal_lists_bugs!$A$2:$Z$73,26,FALSE())),"please select a BUG ID")</f>
        <v>please select a BUG ID</v>
      </c>
      <c r="C1053" s="51" t="str">
        <f>IFERROR(VLOOKUP(A1053,Internal_lists_bugs!$A$2:$T1058,20,FALSE()),"please select a BUG ID")</f>
        <v>please select a BUG ID</v>
      </c>
      <c r="E1053" s="54"/>
      <c r="F1053" s="82"/>
      <c r="G1053" s="92"/>
      <c r="H1053" s="54"/>
      <c r="I1053" s="51" t="str">
        <f>IFERROR(VLOOKUP(A1053,Internal_lists_bugs!$A$2:$G1058,7,FALSE()),"please select a BUG ID")</f>
        <v>please select a BUG ID</v>
      </c>
    </row>
    <row r="1054">
      <c r="A1054" s="54"/>
      <c r="B1054" s="71" t="str">
        <f>IFERROR(HYPERLINK(VLOOKUP(A1054,Internal_lists_bugs!$A$2:$C$73,3,FALSE()), VLOOKUP(A1054,Internal_lists_bugs!$A$2:$C$73,3,FALSE())&amp;Char(10) &amp; Char(10) &amp; VLOOKUP(A1054,Internal_lists_bugs!$A$2:$Z$73,26,FALSE())),"please select a BUG ID")</f>
        <v>please select a BUG ID</v>
      </c>
      <c r="C1054" s="51" t="str">
        <f>IFERROR(VLOOKUP(A1054,Internal_lists_bugs!$A$2:$T1058,20,FALSE()),"please select a BUG ID")</f>
        <v>please select a BUG ID</v>
      </c>
      <c r="E1054" s="54"/>
      <c r="F1054" s="82"/>
      <c r="G1054" s="92"/>
      <c r="H1054" s="54"/>
      <c r="I1054" s="51" t="str">
        <f>IFERROR(VLOOKUP(A1054,Internal_lists_bugs!$A$2:$G1058,7,FALSE()),"please select a BUG ID")</f>
        <v>please select a BUG ID</v>
      </c>
    </row>
    <row r="1055">
      <c r="A1055" s="54"/>
      <c r="B1055" s="71" t="str">
        <f>IFERROR(HYPERLINK(VLOOKUP(A1055,Internal_lists_bugs!$A$2:$C$73,3,FALSE()), VLOOKUP(A1055,Internal_lists_bugs!$A$2:$C$73,3,FALSE())&amp;Char(10) &amp; Char(10) &amp; VLOOKUP(A1055,Internal_lists_bugs!$A$2:$Z$73,26,FALSE())),"please select a BUG ID")</f>
        <v>please select a BUG ID</v>
      </c>
      <c r="C1055" s="51" t="str">
        <f>IFERROR(VLOOKUP(A1055,Internal_lists_bugs!$A$2:$T1058,20,FALSE()),"please select a BUG ID")</f>
        <v>please select a BUG ID</v>
      </c>
      <c r="E1055" s="54"/>
      <c r="F1055" s="82"/>
      <c r="G1055" s="92"/>
      <c r="H1055" s="54"/>
      <c r="I1055" s="51" t="str">
        <f>IFERROR(VLOOKUP(A1055,Internal_lists_bugs!$A$2:$G1058,7,FALSE()),"please select a BUG ID")</f>
        <v>please select a BUG ID</v>
      </c>
    </row>
    <row r="1056">
      <c r="A1056" s="54"/>
      <c r="B1056" s="71" t="str">
        <f>IFERROR(HYPERLINK(VLOOKUP(A1056,Internal_lists_bugs!$A$2:$C$73,3,FALSE()), VLOOKUP(A1056,Internal_lists_bugs!$A$2:$C$73,3,FALSE())&amp;Char(10) &amp; Char(10) &amp; VLOOKUP(A1056,Internal_lists_bugs!$A$2:$Z$73,26,FALSE())),"please select a BUG ID")</f>
        <v>please select a BUG ID</v>
      </c>
      <c r="C1056" s="51" t="str">
        <f>IFERROR(VLOOKUP(A1056,Internal_lists_bugs!$A$2:$T1058,20,FALSE()),"please select a BUG ID")</f>
        <v>please select a BUG ID</v>
      </c>
      <c r="E1056" s="54"/>
      <c r="F1056" s="82"/>
      <c r="G1056" s="92"/>
      <c r="H1056" s="54"/>
      <c r="I1056" s="51" t="str">
        <f>IFERROR(VLOOKUP(A1056,Internal_lists_bugs!$A$2:$G1058,7,FALSE()),"please select a BUG ID")</f>
        <v>please select a BUG ID</v>
      </c>
    </row>
    <row r="1057">
      <c r="A1057" s="54"/>
      <c r="B1057" s="71" t="str">
        <f>IFERROR(HYPERLINK(VLOOKUP(A1057,Internal_lists_bugs!$A$2:$C$73,3,FALSE()), VLOOKUP(A1057,Internal_lists_bugs!$A$2:$C$73,3,FALSE())&amp;Char(10) &amp; Char(10) &amp; VLOOKUP(A1057,Internal_lists_bugs!$A$2:$Z$73,26,FALSE())),"please select a BUG ID")</f>
        <v>please select a BUG ID</v>
      </c>
      <c r="C1057" s="51" t="str">
        <f>IFERROR(VLOOKUP(A1057,Internal_lists_bugs!$A$2:$T1058,20,FALSE()),"please select a BUG ID")</f>
        <v>please select a BUG ID</v>
      </c>
      <c r="E1057" s="54"/>
      <c r="F1057" s="82"/>
      <c r="G1057" s="92"/>
      <c r="H1057" s="54"/>
      <c r="I1057" s="51" t="str">
        <f>IFERROR(VLOOKUP(A1057,Internal_lists_bugs!$A$2:$G1058,7,FALSE()),"please select a BUG ID")</f>
        <v>please select a BUG ID</v>
      </c>
    </row>
    <row r="1058">
      <c r="A1058" s="54"/>
      <c r="B1058" s="71" t="str">
        <f>IFERROR(HYPERLINK(VLOOKUP(A1058,Internal_lists_bugs!$A$2:$C$73,3,FALSE()), VLOOKUP(A1058,Internal_lists_bugs!$A$2:$C$73,3,FALSE())&amp;Char(10) &amp; Char(10) &amp; VLOOKUP(A1058,Internal_lists_bugs!$A$2:$Z$73,26,FALSE())),"please select a BUG ID")</f>
        <v>please select a BUG ID</v>
      </c>
      <c r="C1058" s="51" t="str">
        <f>IFERROR(VLOOKUP(A1058,Internal_lists_bugs!$A$2:$T1058,20,FALSE()),"please select a BUG ID")</f>
        <v>please select a BUG ID</v>
      </c>
      <c r="E1058" s="54"/>
      <c r="F1058" s="82"/>
      <c r="G1058" s="92"/>
      <c r="H1058" s="54"/>
      <c r="I1058" s="51" t="str">
        <f>IFERROR(VLOOKUP(A1058,Internal_lists_bugs!$A$2:$G1058,7,FALSE()),"please select a BUG ID")</f>
        <v>please select a BUG ID</v>
      </c>
    </row>
  </sheetData>
  <mergeCells count="1">
    <mergeCell ref="F1:G1"/>
  </mergeCells>
  <dataValidations>
    <dataValidation type="list" allowBlank="1" sqref="E3:E1058">
      <formula1>Internal_lists_variables!$G$2:$G1058</formula1>
    </dataValidation>
    <dataValidation type="list" allowBlank="1" sqref="F3:F1058">
      <formula1>Internal_lists_variables!$H$2:$H1058</formula1>
    </dataValidation>
    <dataValidation type="list" allowBlank="1" showErrorMessage="1" sqref="H3:H1058">
      <formula1>"Yes, all,Yes, partially,NO,Yes, but NOt with original name,"</formula1>
    </dataValidation>
    <dataValidation type="list" allowBlank="1" showInputMessage="1" showErrorMessage="1" prompt="Project BugID" sqref="A3:A1058">
      <formula1>Internal_lists_bugs!$A$2:$A1058</formula1>
    </dataValidation>
  </dataValidations>
  <hyperlinks>
    <hyperlink r:id="rId2" ref="A1"/>
    <hyperlink r:id="rId3" location="gid=405816964" ref="B1"/>
    <hyperlink r:id="rId4" ref="J5"/>
    <hyperlink r:id="rId5" ref="D9"/>
    <hyperlink r:id="rId6" ref="D10"/>
    <hyperlink r:id="rId7" ref="D11"/>
    <hyperlink r:id="rId8" ref="D12"/>
    <hyperlink r:id="rId9" ref="D13"/>
    <hyperlink r:id="rId10" ref="D14"/>
    <hyperlink r:id="rId11" ref="D15"/>
    <hyperlink r:id="rId12" ref="D19"/>
    <hyperlink r:id="rId13" ref="D20"/>
    <hyperlink r:id="rId14" ref="D21"/>
    <hyperlink r:id="rId15" ref="D22"/>
    <hyperlink r:id="rId16" ref="D23"/>
    <hyperlink r:id="rId17" ref="D24"/>
    <hyperlink r:id="rId18" ref="D25"/>
    <hyperlink r:id="rId19" location="heading=h.mug1mn9n1xmy" ref="D26"/>
    <hyperlink r:id="rId20" location="heading=h.mug1mn9n1xmy" ref="D27"/>
    <hyperlink r:id="rId21" location="heading=h.mug1mn9n1xmy" ref="D28"/>
    <hyperlink r:id="rId22" location="heading=h.mug1mn9n1xmy" ref="D29"/>
    <hyperlink r:id="rId23" location="heading=h.mug1mn9n1xmy" ref="D30"/>
    <hyperlink r:id="rId24" location="heading=h.mug1mn9n1xmy" ref="D31"/>
    <hyperlink r:id="rId25" location="heading=h.mug1mn9n1xmy" ref="D32"/>
    <hyperlink r:id="rId26" ref="D33"/>
    <hyperlink r:id="rId27" ref="G33"/>
    <hyperlink r:id="rId28" ref="D34"/>
    <hyperlink r:id="rId29" ref="G34"/>
    <hyperlink r:id="rId30" ref="D35"/>
    <hyperlink r:id="rId31" ref="D36"/>
    <hyperlink r:id="rId32" ref="D37"/>
    <hyperlink r:id="rId33" ref="D38"/>
    <hyperlink r:id="rId34" ref="D39"/>
    <hyperlink r:id="rId35" ref="D40"/>
    <hyperlink r:id="rId36" ref="D41"/>
    <hyperlink r:id="rId37" ref="D42"/>
    <hyperlink r:id="rId38" ref="D43"/>
    <hyperlink r:id="rId39" ref="D44"/>
    <hyperlink r:id="rId40" ref="D45"/>
    <hyperlink r:id="rId41" ref="D46"/>
    <hyperlink r:id="rId42" ref="D47"/>
    <hyperlink r:id="rId43" ref="D48"/>
    <hyperlink r:id="rId44" ref="D49"/>
    <hyperlink r:id="rId45" ref="D50"/>
    <hyperlink r:id="rId46" ref="D51"/>
    <hyperlink r:id="rId47" ref="D52"/>
    <hyperlink r:id="rId48" ref="D53"/>
    <hyperlink r:id="rId49" ref="D55"/>
    <hyperlink r:id="rId50" ref="D56"/>
    <hyperlink r:id="rId51" ref="D57"/>
    <hyperlink r:id="rId52" ref="D58"/>
    <hyperlink r:id="rId53" ref="D59"/>
    <hyperlink r:id="rId54" ref="D60"/>
    <hyperlink r:id="rId55" ref="D61"/>
    <hyperlink r:id="rId56" ref="D62"/>
    <hyperlink r:id="rId57" ref="D63"/>
    <hyperlink r:id="rId58" ref="D64"/>
    <hyperlink r:id="rId59" ref="D65"/>
    <hyperlink r:id="rId60" ref="D66"/>
    <hyperlink r:id="rId61" ref="D67"/>
    <hyperlink r:id="rId62" ref="D68"/>
    <hyperlink r:id="rId63" ref="D69"/>
    <hyperlink r:id="rId64" ref="D70"/>
    <hyperlink r:id="rId65" ref="D71"/>
    <hyperlink r:id="rId66" ref="D72"/>
    <hyperlink r:id="rId67" ref="D74"/>
    <hyperlink r:id="rId68" ref="D75"/>
    <hyperlink r:id="rId69" ref="D76"/>
    <hyperlink r:id="rId70" ref="D77"/>
    <hyperlink r:id="rId71" ref="D78"/>
    <hyperlink r:id="rId72" ref="D79"/>
    <hyperlink r:id="rId73" ref="D80"/>
    <hyperlink r:id="rId74" ref="D81"/>
    <hyperlink r:id="rId75" ref="D82"/>
    <hyperlink r:id="rId76" ref="D83"/>
    <hyperlink r:id="rId77" ref="D84"/>
    <hyperlink r:id="rId78" ref="D85"/>
    <hyperlink r:id="rId79" ref="D86"/>
    <hyperlink r:id="rId80" ref="D87"/>
    <hyperlink r:id="rId81" ref="D88"/>
    <hyperlink r:id="rId82" ref="D89"/>
    <hyperlink r:id="rId83" ref="D90"/>
    <hyperlink r:id="rId84" ref="D91"/>
    <hyperlink r:id="rId85" ref="D92"/>
    <hyperlink r:id="rId86" ref="D93"/>
    <hyperlink r:id="rId87" ref="G93"/>
    <hyperlink r:id="rId88" ref="D102"/>
    <hyperlink r:id="rId89" ref="D103"/>
    <hyperlink r:id="rId90" ref="D104"/>
    <hyperlink r:id="rId91" ref="D105"/>
    <hyperlink r:id="rId92" ref="D106"/>
    <hyperlink r:id="rId93" ref="D107"/>
    <hyperlink r:id="rId94" ref="D108"/>
    <hyperlink r:id="rId95" ref="D109"/>
    <hyperlink r:id="rId96" ref="D110"/>
    <hyperlink r:id="rId97" ref="D111"/>
    <hyperlink r:id="rId98" ref="D112"/>
    <hyperlink r:id="rId99" ref="D113"/>
    <hyperlink r:id="rId100" ref="D114"/>
    <hyperlink r:id="rId101" ref="D115"/>
    <hyperlink r:id="rId102" ref="D116"/>
    <hyperlink r:id="rId103" ref="D117"/>
    <hyperlink r:id="rId104" ref="D118"/>
    <hyperlink r:id="rId105" ref="D119"/>
    <hyperlink r:id="rId106" ref="D122"/>
    <hyperlink r:id="rId107" ref="D123"/>
    <hyperlink r:id="rId108" ref="D124"/>
    <hyperlink r:id="rId109" ref="D125"/>
    <hyperlink r:id="rId110" ref="D126"/>
    <hyperlink r:id="rId111" ref="D127"/>
    <hyperlink r:id="rId112" ref="D128"/>
    <hyperlink r:id="rId113" ref="D129"/>
    <hyperlink r:id="rId114" ref="D130"/>
    <hyperlink r:id="rId115" ref="D131"/>
    <hyperlink r:id="rId116" ref="D132"/>
    <hyperlink r:id="rId117" ref="D133"/>
    <hyperlink r:id="rId118" ref="D134"/>
    <hyperlink r:id="rId119" ref="D135"/>
    <hyperlink r:id="rId120" ref="D136"/>
    <hyperlink r:id="rId121" ref="D137"/>
    <hyperlink r:id="rId122" ref="D138"/>
    <hyperlink r:id="rId123" ref="D139"/>
    <hyperlink r:id="rId124" ref="D140"/>
    <hyperlink r:id="rId125" ref="D141"/>
    <hyperlink r:id="rId126" location="/c/74537" ref="G141"/>
    <hyperlink r:id="rId127" ref="D143"/>
    <hyperlink r:id="rId128" ref="D144"/>
    <hyperlink r:id="rId129" ref="D145"/>
    <hyperlink r:id="rId130" ref="D146"/>
    <hyperlink r:id="rId131" ref="D147"/>
    <hyperlink r:id="rId132" ref="D148"/>
    <hyperlink r:id="rId133" ref="D149"/>
    <hyperlink r:id="rId134" ref="D150"/>
    <hyperlink r:id="rId135" ref="D151"/>
    <hyperlink r:id="rId136" ref="D152"/>
    <hyperlink r:id="rId137" ref="D153"/>
    <hyperlink r:id="rId138" ref="D154"/>
    <hyperlink r:id="rId139" ref="D155"/>
    <hyperlink r:id="rId140" ref="D156"/>
    <hyperlink r:id="rId141" ref="D157"/>
    <hyperlink r:id="rId142" ref="D158"/>
    <hyperlink r:id="rId143" ref="D159"/>
    <hyperlink r:id="rId144" ref="D160"/>
    <hyperlink r:id="rId145" ref="D163"/>
    <hyperlink r:id="rId146" ref="D164"/>
    <hyperlink r:id="rId147" ref="D165"/>
    <hyperlink r:id="rId148" ref="D166"/>
    <hyperlink r:id="rId149" ref="D167"/>
    <hyperlink r:id="rId150" ref="D168"/>
    <hyperlink r:id="rId151" ref="D169"/>
    <hyperlink r:id="rId152" ref="D170"/>
    <hyperlink r:id="rId153" ref="D171"/>
    <hyperlink r:id="rId154" ref="D172"/>
    <hyperlink r:id="rId155" ref="D173"/>
    <hyperlink r:id="rId156" ref="D174"/>
    <hyperlink r:id="rId157" ref="D175"/>
    <hyperlink r:id="rId158" ref="D176"/>
    <hyperlink r:id="rId159" ref="D177"/>
    <hyperlink r:id="rId160" ref="D178"/>
    <hyperlink r:id="rId161" ref="D179"/>
    <hyperlink r:id="rId162" ref="D180"/>
    <hyperlink r:id="rId163" ref="J184"/>
    <hyperlink r:id="rId164" ref="G187"/>
    <hyperlink r:id="rId165" ref="D194"/>
    <hyperlink r:id="rId166" ref="D195"/>
    <hyperlink r:id="rId167" ref="D196"/>
    <hyperlink r:id="rId168" ref="D197"/>
    <hyperlink r:id="rId169" ref="D198"/>
    <hyperlink r:id="rId170" ref="D199"/>
    <hyperlink r:id="rId171" ref="D200"/>
    <hyperlink r:id="rId172" ref="D201"/>
    <hyperlink r:id="rId173" ref="D202"/>
    <hyperlink r:id="rId174" ref="D203"/>
    <hyperlink r:id="rId175" ref="D204"/>
    <hyperlink r:id="rId176" ref="D205"/>
    <hyperlink r:id="rId177" ref="D206"/>
    <hyperlink r:id="rId178" ref="D207"/>
    <hyperlink r:id="rId179" ref="D208"/>
    <hyperlink r:id="rId180" ref="D209"/>
    <hyperlink r:id="rId181" ref="D210"/>
    <hyperlink r:id="rId182" ref="D211"/>
    <hyperlink r:id="rId183" ref="D212"/>
  </hyperlinks>
  <drawing r:id="rId184"/>
  <legacyDrawing r:id="rId185"/>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2.63" defaultRowHeight="15.75" outlineLevelCol="1"/>
  <cols>
    <col customWidth="1" min="1" max="1" width="24.63"/>
    <col customWidth="1" min="2" max="2" width="31.38"/>
    <col customWidth="1" min="3" max="3" width="36.75"/>
    <col customWidth="1" min="4" max="4" width="31.13"/>
    <col min="5" max="5" width="12.63" outlineLevel="1"/>
    <col customWidth="1" min="6" max="6" width="57.13" outlineLevel="1"/>
    <col min="7" max="7" width="12.63" outlineLevel="1"/>
  </cols>
  <sheetData>
    <row r="1">
      <c r="A1" s="32" t="s">
        <v>103</v>
      </c>
      <c r="B1" s="32" t="s">
        <v>104</v>
      </c>
      <c r="C1" s="33" t="s">
        <v>105</v>
      </c>
      <c r="D1" s="33" t="s">
        <v>105</v>
      </c>
      <c r="E1" s="100" t="s">
        <v>1314</v>
      </c>
      <c r="F1" s="16" t="s">
        <v>1315</v>
      </c>
      <c r="G1" s="16" t="s">
        <v>1316</v>
      </c>
      <c r="H1" s="100"/>
      <c r="I1" s="16"/>
      <c r="J1" s="16"/>
      <c r="K1" s="16"/>
    </row>
    <row r="2">
      <c r="A2" s="39" t="s">
        <v>111</v>
      </c>
      <c r="B2" s="40" t="s">
        <v>511</v>
      </c>
      <c r="C2" s="41" t="s">
        <v>1317</v>
      </c>
      <c r="E2" s="101" t="s">
        <v>1318</v>
      </c>
      <c r="F2" s="42" t="s">
        <v>1319</v>
      </c>
      <c r="G2" s="42" t="s">
        <v>1320</v>
      </c>
      <c r="H2" s="101" t="s">
        <v>115</v>
      </c>
      <c r="I2" s="42" t="s">
        <v>1321</v>
      </c>
      <c r="J2" s="48"/>
      <c r="K2" s="48"/>
    </row>
    <row r="3" ht="75.0" customHeight="1">
      <c r="A3" s="54" t="s">
        <v>32</v>
      </c>
      <c r="B3" s="77" t="str">
        <f>IFERROR(HYPERLINK(VLOOKUP(A3,Internal_lists_bugs!$A$2:$C$73,3,FALSE()), VLOOKUP(A3,Internal_lists_bugs!$A$2:$C$73,3,FALSE())&amp;Char(10) &amp; Char(10) &amp; VLOOKUP(A3,Internal_lists_bugs!$A$2:$Z$73,26,FALSE())),"please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 s="81" t="str">
        <f>IFERROR(VLOOKUP(A3,Internal_lists_bugs!$A$2:$G1001,7,FALSE()),"please select a BUG ID")</f>
        <v>https://opendev.org/openstack/nova/commit/e7aa4022374fb35d2131a7c633212c5d6302db3d</v>
      </c>
      <c r="D3" s="81" t="str">
        <f>IFERROR(VLOOKUP(A3,Internal_lists_bugs!$A$2:$I1001,9,FALSE()),"please select a BUG ID")</f>
        <v>https://review.opendev.org/c/openstack/nova/+/1324</v>
      </c>
      <c r="E3" s="102" t="s">
        <v>1322</v>
      </c>
      <c r="F3" s="16" t="s">
        <v>1323</v>
      </c>
      <c r="G3" s="16" t="s">
        <v>124</v>
      </c>
      <c r="H3" s="100" t="s">
        <v>1324</v>
      </c>
      <c r="J3" s="16" t="s">
        <v>1325</v>
      </c>
      <c r="K3" s="16" t="s">
        <v>1326</v>
      </c>
    </row>
    <row r="4">
      <c r="A4" s="16" t="s">
        <v>33</v>
      </c>
      <c r="B4" s="77" t="str">
        <f>IFERROR(HYPERLINK(VLOOKUP(A4,Internal_lists_bugs!$A$2:$C$73,3,FALSE()), VLOOKUP(A4,Internal_lists_bugs!$A$2:$C$73,3,FALSE())&amp;Char(10) &amp; Char(10) &amp; VLOOKUP(A4,Internal_lists_bugs!$A$2:$Z$73,26,FALSE())),"please select a BUG ID")</f>
        <v>https://bugs.launchpad.net/nova/+bug/1367363
/libvirt/driver.py</v>
      </c>
      <c r="C4" s="81" t="str">
        <f>IFERROR(VLOOKUP(A4,Internal_lists_bugs!$A$2:$G1001,7,FALSE()),"please select a BUG ID")</f>
        <v>https://opendev.org/openstack/nova/commit/0fcbb7b</v>
      </c>
      <c r="D4" s="81" t="str">
        <f>IFERROR(VLOOKUP(A4,Internal_lists_bugs!$A$2:$I1001,9,FALSE()),"please select a BUG ID")</f>
        <v>https://review.opendev.org/c/openstack/nova/+/53069</v>
      </c>
      <c r="E4" s="103" t="s">
        <v>1327</v>
      </c>
      <c r="F4" s="16" t="s">
        <v>1328</v>
      </c>
      <c r="G4" s="16" t="s">
        <v>124</v>
      </c>
      <c r="H4" s="100" t="s">
        <v>1324</v>
      </c>
      <c r="J4" s="16" t="s">
        <v>1329</v>
      </c>
      <c r="K4" s="16" t="s">
        <v>1330</v>
      </c>
    </row>
    <row r="5">
      <c r="A5" s="16" t="s">
        <v>34</v>
      </c>
      <c r="B5" s="77" t="str">
        <f>IFERROR(HYPERLINK(VLOOKUP(A5,Internal_lists_bugs!$A$2:$C$73,3,FALSE()), VLOOKUP(A5,Internal_lists_bugs!$A$2:$C$73,3,FALSE())&amp;Char(10) &amp; Char(10) &amp; VLOOKUP(A5,Internal_lists_bugs!$A$2:$Z$73,26,FALSE())),"please select a BUG ID")</f>
        <v>https://bugs.launchpad.net/nova/+bug/1438331
/libvirt/rbd_utils.py</v>
      </c>
      <c r="C5" s="81" t="str">
        <f>IFERROR(VLOOKUP(A5,Internal_lists_bugs!$A$2:$G1001,7,FALSE()),"please select a BUG ID")</f>
        <v>https://opendev.org/openstack/nova/commit/13e2bd0</v>
      </c>
      <c r="D5" s="81" t="str">
        <f>IFERROR(VLOOKUP(A5,Internal_lists_bugs!$A$2:$I1001,9,FALSE()),"please select a BUG ID")</f>
        <v>https://review.opendev.org/c/openstack/nova/+/94294</v>
      </c>
      <c r="E5" s="103" t="s">
        <v>1331</v>
      </c>
      <c r="F5" s="16" t="s">
        <v>1332</v>
      </c>
      <c r="G5" s="16" t="s">
        <v>123</v>
      </c>
      <c r="H5" s="103" t="s">
        <v>1333</v>
      </c>
      <c r="J5" s="16" t="s">
        <v>1334</v>
      </c>
      <c r="K5" s="16" t="s">
        <v>1335</v>
      </c>
    </row>
    <row r="6">
      <c r="A6" s="16" t="s">
        <v>35</v>
      </c>
      <c r="B6" s="77" t="str">
        <f>IFERROR(HYPERLINK(VLOOKUP(A6,Internal_lists_bugs!$A$2:$C$73,3,FALSE()), VLOOKUP(A6,Internal_lists_bugs!$A$2:$C$73,3,FALSE())&amp;Char(10) &amp; Char(10) &amp; VLOOKUP(A6,Internal_lists_bugs!$A$2:$Z$73,26,FALSE())),"please select a BUG ID")</f>
        <v>https://bugs.launchpad.net/nova/+bug/1375379
/console/websocketproxy.py</v>
      </c>
      <c r="C6" s="81" t="str">
        <f>IFERROR(VLOOKUP(A6,Internal_lists_bugs!$A$2:$G1001,7,FALSE()),"please select a BUG ID")</f>
        <v>https://opendev.org/openstack/nova/commit/e71e8c2</v>
      </c>
      <c r="D6" s="81" t="str">
        <f>IFERROR(VLOOKUP(A6,Internal_lists_bugs!$A$2:$I1001,9,FALSE()),"please select a BUG ID")</f>
        <v>https://review.opendev.org/c/openstack/nova/+/18864</v>
      </c>
      <c r="E6" s="103" t="s">
        <v>1336</v>
      </c>
      <c r="F6" s="16" t="s">
        <v>1337</v>
      </c>
      <c r="G6" s="16" t="s">
        <v>1338</v>
      </c>
      <c r="H6" s="100" t="s">
        <v>1337</v>
      </c>
      <c r="J6" s="16" t="s">
        <v>1339</v>
      </c>
      <c r="K6" s="16" t="s">
        <v>1340</v>
      </c>
    </row>
    <row r="7">
      <c r="A7" s="16" t="s">
        <v>36</v>
      </c>
      <c r="B7" s="77" t="str">
        <f>IFERROR(HYPERLINK(VLOOKUP(A7,Internal_lists_bugs!$A$2:$C$73,3,FALSE()), VLOOKUP(A7,Internal_lists_bugs!$A$2:$C$73,3,FALSE())&amp;Char(10) &amp; Char(10) &amp; VLOOKUP(A7,Internal_lists_bugs!$A$2:$Z$73,26,FALSE())),"please select a BUG ID")</f>
        <v>https://bugs.launchpad.net/nova/+bug/1486541
/compute/cells_api.py</v>
      </c>
      <c r="C7" s="81" t="str">
        <f>IFERROR(VLOOKUP(A7,Internal_lists_bugs!$A$2:$G1001,7,FALSE()),"please select a BUG ID")</f>
        <v>https://opendev.org/openstack/nova/commit/f5071bd1ac00ed68102d37c8025</v>
      </c>
      <c r="D7" s="81" t="str">
        <f>IFERROR(VLOOKUP(A7,Internal_lists_bugs!$A$2:$I1001,9,FALSE()),"please select a BUG ID")</f>
        <v>https://review.opendev.org/c/openstack/nova/+/70747</v>
      </c>
      <c r="E7" s="103" t="s">
        <v>1341</v>
      </c>
      <c r="F7" s="27" t="s">
        <v>1342</v>
      </c>
      <c r="G7" s="16" t="s">
        <v>124</v>
      </c>
      <c r="H7" s="100" t="s">
        <v>1324</v>
      </c>
      <c r="J7" s="16" t="s">
        <v>1343</v>
      </c>
      <c r="K7" s="16" t="s">
        <v>1344</v>
      </c>
    </row>
    <row r="8">
      <c r="A8" s="16" t="s">
        <v>37</v>
      </c>
      <c r="B8" s="77" t="str">
        <f>IFERROR(HYPERLINK(VLOOKUP(A8,Internal_lists_bugs!$A$2:$C$73,3,FALSE()), VLOOKUP(A8,Internal_lists_bugs!$A$2:$C$73,3,FALSE())&amp;Char(10) &amp; Char(10) &amp; VLOOKUP(A8,Internal_lists_bugs!$A$2:$Z$73,26,FALSE())),"please select a BUG ID")</f>
        <v>https://bugs.launchpad.net/nova/+bug/1314677
/cells/state.py</v>
      </c>
      <c r="C8" s="81" t="str">
        <f>IFERROR(VLOOKUP(A8,Internal_lists_bugs!$A$2:$G1001,7,FALSE()),"please select a BUG ID")</f>
        <v>https://opendev.org/openstack/nova/commit/88ab936</v>
      </c>
      <c r="D8" s="81" t="str">
        <f>IFERROR(VLOOKUP(A8,Internal_lists_bugs!$A$2:$I1001,9,FALSE()),"please select a BUG ID")</f>
        <v>https://review.opendev.org/c/openstack/nova/+/34464</v>
      </c>
      <c r="E8" s="102" t="s">
        <v>1345</v>
      </c>
      <c r="F8" s="16" t="s">
        <v>1346</v>
      </c>
      <c r="G8" s="16" t="s">
        <v>124</v>
      </c>
      <c r="H8" s="100" t="s">
        <v>1324</v>
      </c>
      <c r="J8" s="16" t="s">
        <v>1347</v>
      </c>
      <c r="K8" s="16" t="s">
        <v>1348</v>
      </c>
    </row>
    <row r="9">
      <c r="A9" s="16" t="s">
        <v>38</v>
      </c>
      <c r="B9" s="77" t="str">
        <f>IFERROR(HYPERLINK(VLOOKUP(A9,Internal_lists_bugs!$A$2:$C$73,3,FALSE()), VLOOKUP(A9,Internal_lists_bugs!$A$2:$C$73,3,FALSE())&amp;Char(10) &amp; Char(10) &amp; VLOOKUP(A9,Internal_lists_bugs!$A$2:$Z$73,26,FALSE())),"please select a BUG ID")</f>
        <v>https://bugs.launchpad.net/nova/+bug/1294939
/network/manager.py</v>
      </c>
      <c r="C9" s="81" t="str">
        <f>IFERROR(VLOOKUP(A9,Internal_lists_bugs!$A$2:$G1001,7,FALSE()),"please select a BUG ID")</f>
        <v>https://opendev.org/openstack/nova/commit/542958fac7445a14dea</v>
      </c>
      <c r="D9" s="81" t="str">
        <f>IFERROR(VLOOKUP(A9,Internal_lists_bugs!$A$2:$I1001,9,FALSE()),"please select a BUG ID")</f>
        <v>https://review.opendev.org/c/openstack/nova/+/67338</v>
      </c>
      <c r="E9" s="103" t="s">
        <v>1349</v>
      </c>
      <c r="F9" s="16" t="s">
        <v>1350</v>
      </c>
      <c r="G9" s="16" t="s">
        <v>123</v>
      </c>
      <c r="H9" s="103" t="s">
        <v>1351</v>
      </c>
      <c r="J9" s="16" t="s">
        <v>1352</v>
      </c>
      <c r="K9" s="16" t="s">
        <v>1353</v>
      </c>
    </row>
    <row r="10">
      <c r="A10" s="16" t="s">
        <v>39</v>
      </c>
      <c r="B10" s="77" t="str">
        <f>IFERROR(HYPERLINK(VLOOKUP(A10,Internal_lists_bugs!$A$2:$C$73,3,FALSE()), VLOOKUP(A10,Internal_lists_bugs!$A$2:$C$73,3,FALSE())&amp;Char(10) &amp; Char(10) &amp; VLOOKUP(A10,Internal_lists_bugs!$A$2:$Z$73,26,FALSE())),"please select a BUG ID")</f>
        <v>https://bugs.launchpad.net/nova/+bug/1443697
/vmwareapi/vmops.py</v>
      </c>
      <c r="C10" s="81" t="str">
        <f>IFERROR(VLOOKUP(A10,Internal_lists_bugs!$A$2:$G1001,7,FALSE()),"please select a BUG ID")</f>
        <v>https://opendev.org/openstack/nova/commit/f3f1a53f</v>
      </c>
      <c r="D10" s="81" t="str">
        <f>IFERROR(VLOOKUP(A10,Internal_lists_bugs!$A$2:$I1001,9,FALSE()),"please select a BUG ID")</f>
        <v>https://review.opendev.org/c/openstack/nova/+/145007</v>
      </c>
      <c r="E10" s="103" t="s">
        <v>1354</v>
      </c>
      <c r="F10" s="16" t="s">
        <v>1355</v>
      </c>
      <c r="G10" s="16" t="s">
        <v>124</v>
      </c>
      <c r="H10" s="100" t="s">
        <v>1324</v>
      </c>
      <c r="J10" s="16" t="s">
        <v>1356</v>
      </c>
      <c r="K10" s="16" t="s">
        <v>1357</v>
      </c>
    </row>
    <row r="11">
      <c r="A11" s="16" t="s">
        <v>40</v>
      </c>
      <c r="B11" s="77" t="str">
        <f>IFERROR(HYPERLINK(VLOOKUP(A11,Internal_lists_bugs!$A$2:$C$73,3,FALSE()), VLOOKUP(A11,Internal_lists_bugs!$A$2:$C$73,3,FALSE())&amp;Char(10) &amp; Char(10) &amp; VLOOKUP(A11,Internal_lists_bugs!$A$2:$Z$73,26,FALSE())),"please select a BUG ID")</f>
        <v>https://bugs.launchpad.net/nova/+bug/1300788
/vmwareapi/vmops.py</v>
      </c>
      <c r="C11" s="81" t="str">
        <f>IFERROR(VLOOKUP(A11,Internal_lists_bugs!$A$2:$G1001,7,FALSE()),"please select a BUG ID")</f>
        <v>https://opendev.org/openstack/nova/commit/e517e5668ab</v>
      </c>
      <c r="D11" s="81" t="str">
        <f>IFERROR(VLOOKUP(A11,Internal_lists_bugs!$A$2:$I1001,9,FALSE()),"please select a BUG ID")</f>
        <v>https://review.opendev.org/c/openstack/nova/+/31593</v>
      </c>
      <c r="E11" s="103" t="s">
        <v>1358</v>
      </c>
      <c r="F11" s="16" t="s">
        <v>1346</v>
      </c>
      <c r="G11" s="16" t="s">
        <v>124</v>
      </c>
      <c r="H11" s="100" t="s">
        <v>1324</v>
      </c>
    </row>
    <row r="12">
      <c r="A12" s="16" t="s">
        <v>41</v>
      </c>
      <c r="B12" s="77" t="str">
        <f>IFERROR(HYPERLINK(VLOOKUP(A12,Internal_lists_bugs!$A$2:$C$73,3,FALSE()), VLOOKUP(A12,Internal_lists_bugs!$A$2:$C$73,3,FALSE())&amp;Char(10) &amp; Char(10) &amp; VLOOKUP(A12,Internal_lists_bugs!$A$2:$Z$73,26,FALSE())),"please select a BUG ID")</f>
        <v>https://bugs.launchpad.net/nova/+bug/1466390
/sqlalchemy/api.py</v>
      </c>
      <c r="C12" s="81" t="str">
        <f>IFERROR(VLOOKUP(A12,Internal_lists_bugs!$A$2:$G1001,7,FALSE()),"please select a BUG ID")</f>
        <v>https://opendev.org/openstack/nova/commit/501ff41</v>
      </c>
      <c r="D12" s="81" t="str">
        <f>IFERROR(VLOOKUP(A12,Internal_lists_bugs!$A$2:$I1001,9,FALSE()),"please select a BUG ID")</f>
        <v>https://review.opendev.org/c/openstack/nova/+/28880</v>
      </c>
      <c r="E12" s="102" t="s">
        <v>1359</v>
      </c>
      <c r="F12" s="16" t="s">
        <v>1346</v>
      </c>
      <c r="G12" s="16" t="s">
        <v>124</v>
      </c>
      <c r="H12" s="100" t="s">
        <v>1324</v>
      </c>
    </row>
    <row r="13">
      <c r="A13" s="16" t="s">
        <v>42</v>
      </c>
      <c r="B13" s="77" t="str">
        <f>IFERROR(HYPERLINK(VLOOKUP(A13,Internal_lists_bugs!$A$2:$C$73,3,FALSE()), VLOOKUP(A13,Internal_lists_bugs!$A$2:$C$73,3,FALSE())&amp;Char(10) &amp; Char(10) &amp; VLOOKUP(A13,Internal_lists_bugs!$A$2:$Z$73,26,FALSE())),"please select a BUG ID")</f>
        <v>https://bugs.launchpad.net/nova/+bug/1467451
/hyperv/vmutils.py
/virt/hyperv/vmutilsv2.py </v>
      </c>
      <c r="C13" s="81" t="str">
        <f>IFERROR(VLOOKUP(A13,Internal_lists_bugs!$A$2:$G1001,7,FALSE()),"please select a BUG ID")</f>
        <v>https://opendev.org/openstack/nova/commit/0e02db2980dc4e76ef7949ba4ec131af9fc4a44d</v>
      </c>
      <c r="D13" s="81" t="str">
        <f>IFERROR(VLOOKUP(A13,Internal_lists_bugs!$A$2:$I1001,9,FALSE()),"please select a BUG ID")</f>
        <v>https://review.opendev.org/c/openstack/nova/+/129235</v>
      </c>
      <c r="E13" s="103" t="s">
        <v>1360</v>
      </c>
      <c r="F13" s="104" t="s">
        <v>1361</v>
      </c>
      <c r="G13" s="16" t="s">
        <v>124</v>
      </c>
      <c r="H13" s="100" t="s">
        <v>1324</v>
      </c>
    </row>
    <row r="14">
      <c r="A14" s="16" t="s">
        <v>43</v>
      </c>
      <c r="B14" s="77" t="str">
        <f>IFERROR(HYPERLINK(VLOOKUP(A14,Internal_lists_bugs!$A$2:$C$73,3,FALSE()), VLOOKUP(A14,Internal_lists_bugs!$A$2:$C$73,3,FALSE())&amp;Char(10) &amp; Char(10) &amp; VLOOKUP(A14,Internal_lists_bugs!$A$2:$Z$73,26,FALSE())),"please select a BUG ID")</f>
        <v>https://bugs.launchpad.net/nova/+bug/1392798
/compute/manager.py</v>
      </c>
      <c r="C14" s="81" t="str">
        <f>IFERROR(VLOOKUP(A14,Internal_lists_bugs!$A$2:$G1001,7,FALSE()),"please select a BUG ID")</f>
        <v>https://opendev.org/openstack/nova/commit/a9d0313c</v>
      </c>
      <c r="D14" s="81" t="str">
        <f>IFERROR(VLOOKUP(A14,Internal_lists_bugs!$A$2:$I1001,9,FALSE()),"please select a BUG ID")</f>
        <v>https://review.opendev.org/c/openstack/nova/+/22897</v>
      </c>
      <c r="E14" s="103" t="s">
        <v>1362</v>
      </c>
      <c r="F14" s="16" t="s">
        <v>1363</v>
      </c>
      <c r="G14" s="16" t="s">
        <v>124</v>
      </c>
      <c r="H14" s="100" t="s">
        <v>1324</v>
      </c>
    </row>
    <row r="15">
      <c r="A15" s="16" t="s">
        <v>44</v>
      </c>
      <c r="B15" s="77" t="str">
        <f>IFERROR(HYPERLINK(VLOOKUP(A15,Internal_lists_bugs!$A$2:$C$73,3,FALSE()), VLOOKUP(A15,Internal_lists_bugs!$A$2:$C$73,3,FALSE())&amp;Char(10) &amp; Char(10) &amp; VLOOKUP(A15,Internal_lists_bugs!$A$2:$Z$73,26,FALSE())),"please select a BUG ID")</f>
        <v>https://bugs.launchpad.net/nova/+bug/1475911
cmd/idmapshift.py</v>
      </c>
      <c r="C15" s="81" t="str">
        <f>IFERROR(VLOOKUP(A15,Internal_lists_bugs!$A$2:$G1001,7,FALSE()),"please select a BUG ID")</f>
        <v>https://opendev.org/openstack/nova/commit/e310985</v>
      </c>
      <c r="D15" s="81" t="str">
        <f>IFERROR(VLOOKUP(A15,Internal_lists_bugs!$A$2:$I1001,9,FALSE()),"please select a BUG ID")</f>
        <v>https://review.opendev.org/c/openstack/nova/+/113545</v>
      </c>
      <c r="E15" s="103" t="s">
        <v>1364</v>
      </c>
      <c r="F15" s="104" t="s">
        <v>1365</v>
      </c>
      <c r="G15" s="16" t="s">
        <v>123</v>
      </c>
      <c r="H15" s="100" t="s">
        <v>1366</v>
      </c>
    </row>
    <row r="16">
      <c r="A16" s="16" t="s">
        <v>45</v>
      </c>
      <c r="B16" s="77" t="str">
        <f>IFERROR(HYPERLINK(VLOOKUP(A16,Internal_lists_bugs!$A$2:$C$73,3,FALSE()), VLOOKUP(A16,Internal_lists_bugs!$A$2:$C$73,3,FALSE())&amp;Char(10) &amp; Char(10) &amp; VLOOKUP(A16,Internal_lists_bugs!$A$2:$Z$73,26,FALSE())),"please select a BUG ID")</f>
        <v>https://bugs.launchpad.net/nova/+bug/1437855
/contrib/floating_ips.py
/v3/floating_ips.py </v>
      </c>
      <c r="C16" s="81" t="str">
        <f>IFERROR(VLOOKUP(A16,Internal_lists_bugs!$A$2:$G1001,7,FALSE()),"please select a BUG ID")</f>
        <v>https://opendev.org/openstack/nova/commit/1b2c121f133b1</v>
      </c>
      <c r="D16" s="81" t="str">
        <f>IFERROR(VLOOKUP(A16,Internal_lists_bugs!$A$2:$I1001,9,FALSE()),"please select a BUG ID")</f>
        <v>https://review.opendev.org/c/openstack/nova/+/26113</v>
      </c>
      <c r="E16" s="103" t="s">
        <v>1367</v>
      </c>
      <c r="F16" s="16" t="s">
        <v>1346</v>
      </c>
      <c r="G16" s="16" t="s">
        <v>123</v>
      </c>
      <c r="H16" s="103" t="s">
        <v>1368</v>
      </c>
    </row>
    <row r="17">
      <c r="A17" s="16" t="s">
        <v>46</v>
      </c>
      <c r="B17" s="77" t="str">
        <f>IFERROR(HYPERLINK(VLOOKUP(A17,Internal_lists_bugs!$A$2:$C$73,3,FALSE()), VLOOKUP(A17,Internal_lists_bugs!$A$2:$C$73,3,FALSE())&amp;Char(10) &amp; Char(10) &amp; VLOOKUP(A17,Internal_lists_bugs!$A$2:$Z$73,26,FALSE())),"please select a BUG ID")</f>
        <v>https://bugs.launchpad.net/nova/+bug/1434855
/os-extended-volumes/v2.3/server-get-resp.json
/os-extended-volumes/v2.3/servers-detail-resp.json </v>
      </c>
      <c r="C17" s="81" t="str">
        <f>IFERROR(VLOOKUP(A17,Internal_lists_bugs!$A$2:$G1001,7,FALSE()),"please select a BUG ID")</f>
        <v>https://opendev.org/openstack/nova/commit/abc656d</v>
      </c>
      <c r="D17" s="81" t="str">
        <f>IFERROR(VLOOKUP(A17,Internal_lists_bugs!$A$2:$I1001,9,FALSE()),"please select a BUG ID")</f>
        <v>https://review.opendev.org/c/openstack/nova/+/155853</v>
      </c>
      <c r="E17" s="103" t="s">
        <v>1369</v>
      </c>
      <c r="F17" s="104" t="s">
        <v>1370</v>
      </c>
      <c r="G17" s="16" t="s">
        <v>124</v>
      </c>
      <c r="H17" s="100" t="s">
        <v>1324</v>
      </c>
    </row>
    <row r="18">
      <c r="A18" s="16" t="s">
        <v>47</v>
      </c>
      <c r="B18" s="77" t="str">
        <f>IFERROR(HYPERLINK(VLOOKUP(A18,Internal_lists_bugs!$A$2:$C$73,3,FALSE()), VLOOKUP(A18,Internal_lists_bugs!$A$2:$C$73,3,FALSE())&amp;Char(10) &amp; Char(10) &amp; VLOOKUP(A18,Internal_lists_bugs!$A$2:$Z$73,26,FALSE())),"please select a BUG ID")</f>
        <v>https://bugs.launchpad.net/nova/+bug/1447249
/virt/ironic/driver.py</v>
      </c>
      <c r="C18" s="81" t="str">
        <f>IFERROR(VLOOKUP(A18,Internal_lists_bugs!$A$2:$G1001,7,FALSE()),"please select a BUG ID")</f>
        <v>https://opendev.org/openstack/nova/commit/1682c5b</v>
      </c>
      <c r="D18" s="81" t="str">
        <f>IFERROR(VLOOKUP(A18,Internal_lists_bugs!$A$2:$I1001,9,FALSE()),"please select a BUG ID")</f>
        <v>https://review.opendev.org/c/openstack/nova/+/144792</v>
      </c>
      <c r="E18" s="103" t="s">
        <v>1371</v>
      </c>
      <c r="F18" s="104" t="s">
        <v>1372</v>
      </c>
      <c r="G18" s="16" t="s">
        <v>124</v>
      </c>
      <c r="H18" s="100" t="s">
        <v>1324</v>
      </c>
    </row>
    <row r="19">
      <c r="A19" s="16" t="s">
        <v>48</v>
      </c>
      <c r="B19" s="77" t="str">
        <f>IFERROR(HYPERLINK(VLOOKUP(A19,Internal_lists_bugs!$A$2:$C$73,3,FALSE()), VLOOKUP(A19,Internal_lists_bugs!$A$2:$C$73,3,FALSE())&amp;Char(10) &amp; Char(10) &amp; VLOOKUP(A19,Internal_lists_bugs!$A$2:$Z$73,26,FALSE())),"please select a BUG ID")</f>
        <v>https://bugs.launchpad.net/nova/+bug/1475356
/objects/base.py</v>
      </c>
      <c r="C19" s="81" t="str">
        <f>IFERROR(VLOOKUP(A19,Internal_lists_bugs!$A$2:$G1001,7,FALSE()),"please select a BUG ID")</f>
        <v>https://opendev.org/openstack/nova/commit/0eb7e35fbf</v>
      </c>
      <c r="D19" s="81" t="str">
        <f>IFERROR(VLOOKUP(A19,Internal_lists_bugs!$A$2:$I1001,9,FALSE()),"please select a BUG ID")</f>
        <v>https://review.opendev.org/c/openstack/nova/+/59560</v>
      </c>
      <c r="E19" s="103" t="s">
        <v>1373</v>
      </c>
      <c r="F19" s="27" t="s">
        <v>1374</v>
      </c>
      <c r="G19" s="16" t="s">
        <v>123</v>
      </c>
      <c r="H19" s="103" t="s">
        <v>1375</v>
      </c>
    </row>
    <row r="20">
      <c r="A20" s="16" t="s">
        <v>49</v>
      </c>
      <c r="B20" s="77" t="str">
        <f>IFERROR(HYPERLINK(VLOOKUP(A20,Internal_lists_bugs!$A$2:$C$73,3,FALSE()), VLOOKUP(A20,Internal_lists_bugs!$A$2:$C$73,3,FALSE())&amp;Char(10) &amp; Char(10) &amp; VLOOKUP(A20,Internal_lists_bugs!$A$2:$Z$73,26,FALSE())),"please select a BUG ID")</f>
        <v>https://bugs.launchpad.net/nova/+bug/1370177
nova/block_device.py</v>
      </c>
      <c r="C20" s="81" t="str">
        <f>IFERROR(VLOOKUP(A20,Internal_lists_bugs!$A$2:$G1001,7,FALSE()),"please select a BUG ID")</f>
        <v>https://opendev.org/openstack/nova/commit/33e3d4c6b9</v>
      </c>
      <c r="D20" s="81" t="str">
        <f>IFERROR(VLOOKUP(A20,Internal_lists_bugs!$A$2:$I1001,9,FALSE()),"please select a BUG ID")</f>
        <v>https://review.opendev.org/c/openstack/nova/+/59034</v>
      </c>
      <c r="E20" s="103" t="s">
        <v>1376</v>
      </c>
      <c r="F20" s="27" t="s">
        <v>1377</v>
      </c>
      <c r="G20" s="16" t="s">
        <v>123</v>
      </c>
      <c r="H20" s="100" t="s">
        <v>1378</v>
      </c>
    </row>
    <row r="21">
      <c r="A21" s="16" t="s">
        <v>50</v>
      </c>
      <c r="B21" s="77" t="str">
        <f>IFERROR(HYPERLINK(VLOOKUP(A21,Internal_lists_bugs!$A$2:$C$73,3,FALSE()), VLOOKUP(A21,Internal_lists_bugs!$A$2:$C$73,3,FALSE())&amp;Char(10) &amp; Char(10) &amp; VLOOKUP(A21,Internal_lists_bugs!$A$2:$Z$73,26,FALSE())),"please select a BUG ID")</f>
        <v>https://bugs.launchpad.net/nova/+bug/1403544
/compute/api.py</v>
      </c>
      <c r="C21" s="81" t="str">
        <f>IFERROR(VLOOKUP(A21,Internal_lists_bugs!$A$2:$G1001,7,FALSE()),"please select a BUG ID")</f>
        <v>https://opendev.org/openstack/nova/commit/6956057ac490c788</v>
      </c>
      <c r="D21" s="51" t="str">
        <f>IFERROR(VLOOKUP(A21,Internal_lists_bugs!$A$2:$I1001,9,FALSE()),"please select a BUG ID")</f>
        <v>No information available</v>
      </c>
      <c r="E21" s="100" t="s">
        <v>124</v>
      </c>
      <c r="G21" s="54"/>
      <c r="H21" s="105"/>
    </row>
    <row r="22">
      <c r="A22" s="16" t="s">
        <v>51</v>
      </c>
      <c r="B22" s="77" t="str">
        <f>IFERROR(HYPERLINK(VLOOKUP(A22,Internal_lists_bugs!$A$2:$C$73,3,FALSE()), VLOOKUP(A22,Internal_lists_bugs!$A$2:$C$73,3,FALSE())&amp;Char(10) &amp; Char(10) &amp; VLOOKUP(A22,Internal_lists_bugs!$A$2:$Z$73,26,FALSE())),"please select a BUG ID")</f>
        <v>https://bugs.launchpad.net/nova/+bug/1370590
/libvirt/driver.py</v>
      </c>
      <c r="C22" s="81" t="str">
        <f>IFERROR(VLOOKUP(A22,Internal_lists_bugs!$A$2:$G1001,7,FALSE()),"please select a BUG ID")</f>
        <v>https://opendev.org/openstack/nova/commit/7326bac8f95</v>
      </c>
      <c r="D22" s="81" t="str">
        <f>IFERROR(VLOOKUP(A22,Internal_lists_bugs!$A$2:$I1001,9,FALSE()),"please select a BUG ID")</f>
        <v>https://review.opendev.org/c/openstack/nova/+/74537</v>
      </c>
      <c r="E22" s="102" t="s">
        <v>1379</v>
      </c>
      <c r="F22" s="104" t="s">
        <v>1380</v>
      </c>
      <c r="G22" s="16" t="s">
        <v>124</v>
      </c>
      <c r="H22" s="100" t="s">
        <v>1324</v>
      </c>
    </row>
    <row r="23">
      <c r="A23" s="16" t="s">
        <v>52</v>
      </c>
      <c r="B23" s="77" t="str">
        <f>IFERROR(HYPERLINK(VLOOKUP(A23,Internal_lists_bugs!$A$2:$C$73,3,FALSE()), VLOOKUP(A23,Internal_lists_bugs!$A$2:$C$73,3,FALSE())&amp;Char(10) &amp; Char(10) &amp; VLOOKUP(A23,Internal_lists_bugs!$A$2:$Z$73,26,FALSE())),"please select a BUG ID")</f>
        <v>https://bugs.launchpad.net/nova/+bug/1419002
/libvirt/driver.py
/compute/utils.py</v>
      </c>
      <c r="C23" s="81" t="str">
        <f>IFERROR(VLOOKUP(A23,Internal_lists_bugs!$A$2:$G1001,7,FALSE()),"please select a BUG ID")</f>
        <v>https://opendev.org/openstack/nova/commit/2ef03c6a0a8c5705</v>
      </c>
      <c r="D23" s="51" t="str">
        <f>IFERROR(VLOOKUP(A23,Internal_lists_bugs!$A$2:$I1001,9,FALSE()),"please select a BUG ID")</f>
        <v>No information available</v>
      </c>
      <c r="E23" s="100" t="s">
        <v>124</v>
      </c>
      <c r="G23" s="54"/>
      <c r="H23" s="105"/>
    </row>
    <row r="24">
      <c r="A24" s="16" t="s">
        <v>53</v>
      </c>
      <c r="B24" s="77" t="str">
        <f>IFERROR(HYPERLINK(VLOOKUP(A24,Internal_lists_bugs!$A$2:$C$73,3,FALSE()), VLOOKUP(A24,Internal_lists_bugs!$A$2:$C$73,3,FALSE())&amp;Char(10) &amp; Char(10) &amp; VLOOKUP(A24,Internal_lists_bugs!$A$2:$Z$73,26,FALSE())),"please select a BUG ID")</f>
        <v>https://bugs.launchpad.net/nova/+bug/1336127
/compute/manager.py</v>
      </c>
      <c r="C24" s="81" t="str">
        <f>IFERROR(VLOOKUP(A24,Internal_lists_bugs!$A$2:$G1001,7,FALSE()),"please select a BUG ID")</f>
        <v>https://opendev.org/openstack/nova/commit/2c62e34</v>
      </c>
      <c r="D24" s="81" t="str">
        <f>IFERROR(VLOOKUP(A24,Internal_lists_bugs!$A$2:$I1001,9,FALSE()),"please select a BUG ID")</f>
        <v>https://review.opendev.org/c/openstack/nova/+/42389</v>
      </c>
      <c r="E24" s="103" t="s">
        <v>1381</v>
      </c>
      <c r="F24" s="16" t="s">
        <v>1346</v>
      </c>
      <c r="G24" s="16" t="s">
        <v>123</v>
      </c>
      <c r="H24" s="102" t="s">
        <v>1382</v>
      </c>
    </row>
    <row r="25">
      <c r="A25" s="16" t="s">
        <v>54</v>
      </c>
      <c r="B25" s="77" t="str">
        <f>IFERROR(HYPERLINK(VLOOKUP(A25,Internal_lists_bugs!$A$2:$C$73,3,FALSE()), VLOOKUP(A25,Internal_lists_bugs!$A$2:$C$73,3,FALSE())&amp;Char(10) &amp; Char(10) &amp; VLOOKUP(A25,Internal_lists_bugs!$A$2:$Z$73,26,FALSE())),"please select a BUG ID")</f>
        <v>https://bugs.launchpad.net/nova/+bug/1307791
/compute/api.py</v>
      </c>
      <c r="C25" s="81" t="str">
        <f>IFERROR(VLOOKUP(A25,Internal_lists_bugs!$A$2:$G1001,7,FALSE()),"please select a BUG ID")</f>
        <v>https://opendev.org/openstack/nova/commit/3dff4335661</v>
      </c>
      <c r="D25" s="81" t="str">
        <f>IFERROR(VLOOKUP(A25,Internal_lists_bugs!$A$2:$I1001,9,FALSE()),"please select a BUG ID")</f>
        <v>https://review.opendev.org/c/openstack/nova/+/14805</v>
      </c>
      <c r="E25" s="103" t="s">
        <v>1383</v>
      </c>
      <c r="F25" s="16" t="s">
        <v>1363</v>
      </c>
      <c r="G25" s="16" t="s">
        <v>124</v>
      </c>
      <c r="H25" s="100" t="s">
        <v>1324</v>
      </c>
    </row>
    <row r="26">
      <c r="A26" s="16" t="s">
        <v>55</v>
      </c>
      <c r="B26" s="77" t="str">
        <f>IFERROR(HYPERLINK(VLOOKUP(A26,Internal_lists_bugs!$A$2:$C$73,3,FALSE()), VLOOKUP(A26,Internal_lists_bugs!$A$2:$C$73,3,FALSE())&amp;Char(10) &amp; Char(10) &amp; VLOOKUP(A26,Internal_lists_bugs!$A$2:$Z$73,26,FALSE())),"please select a BUG ID")</f>
        <v>https://bugs.launchpad.net/nova/+bug/1402535
/virt/libvirt/volume.py</v>
      </c>
      <c r="C26" s="81" t="str">
        <f>IFERROR(VLOOKUP(A26,Internal_lists_bugs!$A$2:$G1001,7,FALSE()),"please select a BUG ID")</f>
        <v>https://opendev.org/openstack/nova/commit/933365a58</v>
      </c>
      <c r="D26" s="81" t="str">
        <f>IFERROR(VLOOKUP(A26,Internal_lists_bugs!$A$2:$I1001,9,FALSE()),"please select a BUG ID")</f>
        <v>https://review.opendev.org/c/openstack/nova/+/17946</v>
      </c>
      <c r="E26" s="103" t="s">
        <v>1384</v>
      </c>
      <c r="F26" s="16" t="s">
        <v>1363</v>
      </c>
      <c r="G26" s="16" t="s">
        <v>124</v>
      </c>
      <c r="H26" s="100" t="s">
        <v>1324</v>
      </c>
    </row>
    <row r="27">
      <c r="A27" s="16" t="s">
        <v>56</v>
      </c>
      <c r="B27" s="77" t="str">
        <f>IFERROR(HYPERLINK(VLOOKUP(A27,Internal_lists_bugs!$A$2:$C$73,3,FALSE()), VLOOKUP(A27,Internal_lists_bugs!$A$2:$C$73,3,FALSE())&amp;Char(10) &amp; Char(10) &amp; VLOOKUP(A27,Internal_lists_bugs!$A$2:$Z$73,26,FALSE())),"please select a BUG ID")</f>
        <v>https://bugs.launchpad.net/nova/+bug/1371677
/libvirt/driver.py</v>
      </c>
      <c r="C27" s="81" t="str">
        <f>IFERROR(VLOOKUP(A27,Internal_lists_bugs!$A$2:$G1001,7,FALSE()),"please select a BUG ID")</f>
        <v>https://opendev.org/openstack/nova/commit/5fa74bc</v>
      </c>
      <c r="D27" s="81" t="str">
        <f>IFERROR(VLOOKUP(A27,Internal_lists_bugs!$A$2:$I1001,9,FALSE()),"please select a BUG ID")</f>
        <v>https://review.opendev.org/c/openstack/nova/+/40467</v>
      </c>
      <c r="E27" s="103" t="s">
        <v>1385</v>
      </c>
      <c r="F27" s="104" t="s">
        <v>1386</v>
      </c>
      <c r="G27" s="16" t="s">
        <v>124</v>
      </c>
      <c r="H27" s="100" t="s">
        <v>1324</v>
      </c>
    </row>
    <row r="28">
      <c r="A28" s="16" t="s">
        <v>57</v>
      </c>
      <c r="B28" s="77" t="str">
        <f>IFERROR(HYPERLINK(VLOOKUP(A28,Internal_lists_bugs!$A$2:$C$73,3,FALSE()), VLOOKUP(A28,Internal_lists_bugs!$A$2:$C$73,3,FALSE())&amp;Char(10) &amp; Char(10) &amp; VLOOKUP(A28,Internal_lists_bugs!$A$2:$Z$73,26,FALSE())),"please select a BUG ID")</f>
        <v>https://bugs.launchpad.net/nova/+bug/1481078
/xenapi/vmops.py</v>
      </c>
      <c r="C28" s="81" t="str">
        <f>IFERROR(VLOOKUP(A28,Internal_lists_bugs!$A$2:$G1001,7,FALSE()),"please select a BUG ID")</f>
        <v>https://opendev.org/openstack/nova/commit/31f208423405</v>
      </c>
      <c r="D28" s="81" t="str">
        <f>IFERROR(VLOOKUP(A28,Internal_lists_bugs!$A$2:$I1001,9,FALSE()),"please select a BUG ID")</f>
        <v>https://review.opendev.org/c/openstack/nova/+/164940</v>
      </c>
      <c r="E28" s="103" t="s">
        <v>1387</v>
      </c>
      <c r="F28" s="104" t="s">
        <v>1388</v>
      </c>
      <c r="G28" s="16" t="s">
        <v>124</v>
      </c>
      <c r="H28" s="100" t="s">
        <v>1324</v>
      </c>
    </row>
    <row r="29">
      <c r="A29" s="16" t="s">
        <v>58</v>
      </c>
      <c r="B29" s="77" t="str">
        <f>IFERROR(HYPERLINK(VLOOKUP(A29,Internal_lists_bugs!$A$2:$C$73,3,FALSE()), VLOOKUP(A29,Internal_lists_bugs!$A$2:$C$73,3,FALSE())&amp;Char(10) &amp; Char(10) &amp; VLOOKUP(A29,Internal_lists_bugs!$A$2:$Z$73,26,FALSE())),"please select a BUG ID")</f>
        <v>https://bugs.launchpad.net/nova/+bug/1402728
/vmwareapi/vm_util.py
/vmwareapi/vmops.py </v>
      </c>
      <c r="C29" s="81" t="str">
        <f>IFERROR(VLOOKUP(A29,Internal_lists_bugs!$A$2:$G1001,7,FALSE()),"please select a BUG ID")</f>
        <v>https://opendev.org/openstack/nova/commit/2bcda65d512</v>
      </c>
      <c r="D29" s="81" t="str">
        <f>IFERROR(VLOOKUP(A29,Internal_lists_bugs!$A$2:$I1001,9,FALSE()),"please select a BUG ID")</f>
        <v>https://review.opendev.org/c/openstack/nova/+/107009</v>
      </c>
      <c r="E29" s="103" t="s">
        <v>1389</v>
      </c>
      <c r="F29" s="104" t="s">
        <v>1390</v>
      </c>
      <c r="G29" s="16" t="s">
        <v>124</v>
      </c>
      <c r="H29" s="100" t="s">
        <v>1324</v>
      </c>
    </row>
    <row r="30">
      <c r="A30" s="16" t="s">
        <v>59</v>
      </c>
      <c r="B30" s="77" t="str">
        <f>IFERROR(HYPERLINK(VLOOKUP(A30,Internal_lists_bugs!$A$2:$C$73,3,FALSE()), VLOOKUP(A30,Internal_lists_bugs!$A$2:$C$73,3,FALSE())&amp;Char(10) &amp; Char(10) &amp; VLOOKUP(A30,Internal_lists_bugs!$A$2:$Z$73,26,FALSE())),"please select a BUG ID")</f>
        <v>https://bugs.launchpad.net/nova/+bug/1441000
/libvirt/driver.py</v>
      </c>
      <c r="C30" s="81" t="str">
        <f>IFERROR(VLOOKUP(A30,Internal_lists_bugs!$A$2:$G1001,7,FALSE()),"please select a BUG ID")</f>
        <v>https://opendev.org/openstack/nova/commit/7dd6a4a</v>
      </c>
      <c r="D30" s="81" t="str">
        <f>IFERROR(VLOOKUP(A30,Internal_lists_bugs!$A$2:$I1001,9,FALSE()),"please select a BUG ID")</f>
        <v>https://review.opendev.org/c/openstack/nova/+/151664</v>
      </c>
      <c r="E30" s="103" t="s">
        <v>1391</v>
      </c>
      <c r="F30" s="104" t="s">
        <v>1392</v>
      </c>
      <c r="G30" s="16" t="s">
        <v>124</v>
      </c>
      <c r="H30" s="100" t="s">
        <v>1324</v>
      </c>
    </row>
    <row r="31">
      <c r="A31" s="16" t="s">
        <v>60</v>
      </c>
      <c r="B31" s="77" t="str">
        <f>IFERROR(HYPERLINK(VLOOKUP(A31,Internal_lists_bugs!$A$2:$C$73,3,FALSE()), VLOOKUP(A31,Internal_lists_bugs!$A$2:$C$73,3,FALSE())&amp;Char(10) &amp; Char(10) &amp; VLOOKUP(A31,Internal_lists_bugs!$A$2:$Z$73,26,FALSE())),"please select a BUG ID")</f>
        <v>https://bugs.launchpad.net/nova/+bug/1505471
/servicegroup/drivers/db.py</v>
      </c>
      <c r="C31" s="81" t="str">
        <f>IFERROR(VLOOKUP(A31,Internal_lists_bugs!$A$2:$G1001,7,FALSE()),"please select a BUG ID")</f>
        <v>https://opendev.org/openstack/nova/commit/64e167eb6</v>
      </c>
      <c r="D31" s="81" t="str">
        <f>IFERROR(VLOOKUP(A31,Internal_lists_bugs!$A$2:$I1001,9,FALSE()),"please select a BUG ID")</f>
        <v>https://review.opendev.org/c/openstack/nova/+/10903</v>
      </c>
      <c r="E31" s="103" t="s">
        <v>1393</v>
      </c>
      <c r="F31" s="16" t="s">
        <v>1346</v>
      </c>
      <c r="G31" s="16" t="s">
        <v>124</v>
      </c>
      <c r="H31" s="100" t="s">
        <v>1324</v>
      </c>
    </row>
    <row r="32">
      <c r="A32" s="16" t="s">
        <v>61</v>
      </c>
      <c r="B32" s="77" t="str">
        <f>IFERROR(HYPERLINK(VLOOKUP(A32,Internal_lists_bugs!$A$2:$C$73,3,FALSE()), VLOOKUP(A32,Internal_lists_bugs!$A$2:$C$73,3,FALSE())&amp;Char(10) &amp; Char(10) &amp; VLOOKUP(A32,Internal_lists_bugs!$A$2:$Z$73,26,FALSE())),"please select a BUG ID")</f>
        <v>https://bugs.launchpad.net/nova/+bug/1453274
/libvirt/driver.py</v>
      </c>
      <c r="C32" s="81" t="str">
        <f>IFERROR(VLOOKUP(A32,Internal_lists_bugs!$A$2:$G1001,7,FALSE()),"please select a BUG ID")</f>
        <v>https://opendev.org/openstack/nova/commit/60c90f7</v>
      </c>
      <c r="D32" s="81" t="str">
        <f>IFERROR(VLOOKUP(A32,Internal_lists_bugs!$A$2:$I1001,9,FALSE()),"please select a BUG ID")</f>
        <v>https://review.opendev.org/c/openstack/nova/+/102324</v>
      </c>
      <c r="E32" s="102" t="s">
        <v>1394</v>
      </c>
      <c r="F32" s="16" t="s">
        <v>1395</v>
      </c>
      <c r="G32" s="16" t="s">
        <v>124</v>
      </c>
      <c r="H32" s="100" t="s">
        <v>1324</v>
      </c>
    </row>
    <row r="33">
      <c r="A33" s="16" t="s">
        <v>62</v>
      </c>
      <c r="B33" s="77" t="str">
        <f>IFERROR(HYPERLINK(VLOOKUP(A33,Internal_lists_bugs!$A$2:$C$73,3,FALSE()), VLOOKUP(A33,Internal_lists_bugs!$A$2:$C$73,3,FALSE())&amp;Char(10) &amp; Char(10) &amp; VLOOKUP(A33,Internal_lists_bugs!$A$2:$Z$73,26,FALSE())),"please select a BUG ID")</f>
        <v>https://bugs.launchpad.net/nova/+bug/1424647
/cmd/baseproxy.py
/cmd/novncproxy.py
/cmd/serialproxy.py
/cmd/spicehtml5proxy.py </v>
      </c>
      <c r="C33" s="81" t="str">
        <f>IFERROR(VLOOKUP(A33,Internal_lists_bugs!$A$2:$G1001,7,FALSE()),"please select a BUG ID")</f>
        <v>https://opendev.org/openstack/nova/commit/d2cbb9a</v>
      </c>
      <c r="D33" s="81" t="str">
        <f>IFERROR(VLOOKUP(A33,Internal_lists_bugs!$A$2:$I1001,9,FALSE()),"please select a BUG ID")</f>
        <v>https://review.opendev.org/c/openstack/nova/+/119396</v>
      </c>
      <c r="E33" s="103" t="s">
        <v>1396</v>
      </c>
      <c r="F33" s="27" t="s">
        <v>1397</v>
      </c>
      <c r="G33" s="16" t="s">
        <v>124</v>
      </c>
      <c r="H33" s="100" t="s">
        <v>1324</v>
      </c>
    </row>
    <row r="34">
      <c r="A34" s="16" t="s">
        <v>63</v>
      </c>
      <c r="B34" s="77" t="str">
        <f>IFERROR(HYPERLINK(VLOOKUP(A34,Internal_lists_bugs!$A$2:$C$73,3,FALSE()), VLOOKUP(A34,Internal_lists_bugs!$A$2:$C$73,3,FALSE())&amp;Char(10) &amp; Char(10) &amp; VLOOKUP(A34,Internal_lists_bugs!$A$2:$Z$73,26,FALSE())),"please select a BUG ID")</f>
        <v>https://bugs.launchpad.net/nova/+bug/1443970
/network/manager.py</v>
      </c>
      <c r="C34" s="81" t="str">
        <f>IFERROR(VLOOKUP(A34,Internal_lists_bugs!$A$2:$G1001,7,FALSE()),"please select a BUG ID")</f>
        <v>https://opendev.org/openstack/nova/commit/447641972539f1</v>
      </c>
      <c r="D34" s="81" t="str">
        <f>IFERROR(VLOOKUP(A34,Internal_lists_bugs!$A$2:$I1001,9,FALSE()),"please select a BUG ID")</f>
        <v>https://review.opendev.org/c/openstack/nova/+/93754</v>
      </c>
      <c r="E34" s="103" t="s">
        <v>1398</v>
      </c>
      <c r="F34" s="104" t="s">
        <v>1399</v>
      </c>
      <c r="G34" s="16" t="s">
        <v>123</v>
      </c>
      <c r="H34" s="106" t="s">
        <v>1400</v>
      </c>
    </row>
    <row r="35">
      <c r="A35" s="16" t="s">
        <v>64</v>
      </c>
      <c r="B35" s="77" t="str">
        <f>IFERROR(HYPERLINK(VLOOKUP(A35,Internal_lists_bugs!$A$2:$C$73,3,FALSE()), VLOOKUP(A35,Internal_lists_bugs!$A$2:$C$73,3,FALSE())&amp;Char(10) &amp; Char(10) &amp; VLOOKUP(A35,Internal_lists_bugs!$A$2:$Z$73,26,FALSE())),"please select a BUG ID")</f>
        <v>https://bugs.launchpad.net/nova/+bug/1381468
/filters/trusted_filter.py</v>
      </c>
      <c r="C35" s="81" t="str">
        <f>IFERROR(VLOOKUP(A35,Internal_lists_bugs!$A$2:$G1001,7,FALSE()),"please select a BUG ID")</f>
        <v>https://opendev.org/openstack/nova/commit/30871e870</v>
      </c>
      <c r="D35" s="81" t="str">
        <f>IFERROR(VLOOKUP(A35,Internal_lists_bugs!$A$2:$I1001,9,FALSE()),"please select a BUG ID")</f>
        <v>https://review.opendev.org/c/openstack/nova/+/124714</v>
      </c>
      <c r="E35" s="103" t="s">
        <v>1401</v>
      </c>
      <c r="F35" s="104" t="s">
        <v>1402</v>
      </c>
      <c r="G35" s="16" t="s">
        <v>124</v>
      </c>
      <c r="H35" s="100" t="s">
        <v>1324</v>
      </c>
    </row>
    <row r="36">
      <c r="A36" s="54"/>
      <c r="B36" s="88" t="str">
        <f>IFERROR(HYPERLINK(VLOOKUP(A36,Internal_lists_bugs!$A$2:$C$73,3,FALSE()), VLOOKUP(A36,Internal_lists_bugs!$A$2:$C$73,3,FALSE())&amp;Char(10) &amp; Char(10) &amp; VLOOKUP(A36,Internal_lists_bugs!$A$2:$Z$73,26,FALSE())),"please select a BUG ID")</f>
        <v>please select a BUG ID</v>
      </c>
      <c r="C36" s="51" t="str">
        <f>IFERROR(VLOOKUP(A36,Internal_lists_bugs!$A$2:$G1001,7,FALSE()),"please select a BUG ID")</f>
        <v>please select a BUG ID</v>
      </c>
      <c r="D36" s="51" t="str">
        <f>IFERROR(VLOOKUP(A36,Internal_lists_bugs!$A$2:$I1001,9,FALSE()),"please select a BUG ID")</f>
        <v>please select a BUG ID</v>
      </c>
      <c r="E36" s="105"/>
      <c r="G36" s="54"/>
      <c r="H36" s="105"/>
    </row>
    <row r="37">
      <c r="A37" s="54"/>
      <c r="B37" s="88" t="str">
        <f>IFERROR(HYPERLINK(VLOOKUP(A37,Internal_lists_bugs!$A$2:$C$73,3,FALSE()), VLOOKUP(A37,Internal_lists_bugs!$A$2:$C$73,3,FALSE())&amp;Char(10) &amp; Char(10) &amp; VLOOKUP(A37,Internal_lists_bugs!$A$2:$Z$73,26,FALSE())),"please select a BUG ID")</f>
        <v>please select a BUG ID</v>
      </c>
      <c r="C37" s="51" t="str">
        <f>IFERROR(VLOOKUP(A37,Internal_lists_bugs!$A$2:$G1001,7,FALSE()),"please select a BUG ID")</f>
        <v>please select a BUG ID</v>
      </c>
      <c r="D37" s="51" t="str">
        <f>IFERROR(VLOOKUP(A37,Internal_lists_bugs!$A$2:$I1001,9,FALSE()),"please select a BUG ID")</f>
        <v>please select a BUG ID</v>
      </c>
      <c r="E37" s="105"/>
      <c r="G37" s="54"/>
      <c r="H37" s="105"/>
    </row>
    <row r="38">
      <c r="A38" s="54"/>
      <c r="B38" s="88" t="str">
        <f>IFERROR(HYPERLINK(VLOOKUP(A38,Internal_lists_bugs!$A$2:$C$73,3,FALSE()), VLOOKUP(A38,Internal_lists_bugs!$A$2:$C$73,3,FALSE())&amp;Char(10) &amp; Char(10) &amp; VLOOKUP(A38,Internal_lists_bugs!$A$2:$Z$73,26,FALSE())),"please select a BUG ID")</f>
        <v>please select a BUG ID</v>
      </c>
      <c r="C38" s="51" t="str">
        <f>IFERROR(VLOOKUP(A38,Internal_lists_bugs!$A$2:$G1001,7,FALSE()),"please select a BUG ID")</f>
        <v>please select a BUG ID</v>
      </c>
      <c r="D38" s="51" t="str">
        <f>IFERROR(VLOOKUP(A38,Internal_lists_bugs!$A$2:$I1001,9,FALSE()),"please select a BUG ID")</f>
        <v>please select a BUG ID</v>
      </c>
      <c r="E38" s="105"/>
      <c r="G38" s="54"/>
      <c r="H38" s="105"/>
    </row>
    <row r="39">
      <c r="A39" s="54"/>
      <c r="B39" s="88" t="str">
        <f>IFERROR(HYPERLINK(VLOOKUP(A39,Internal_lists_bugs!$A$2:$C$73,3,FALSE()), VLOOKUP(A39,Internal_lists_bugs!$A$2:$C$73,3,FALSE())&amp;Char(10) &amp; Char(10) &amp; VLOOKUP(A39,Internal_lists_bugs!$A$2:$Z$73,26,FALSE())),"please select a BUG ID")</f>
        <v>please select a BUG ID</v>
      </c>
      <c r="C39" s="51" t="str">
        <f>IFERROR(VLOOKUP(A39,Internal_lists_bugs!$A$2:$G1001,7,FALSE()),"please select a BUG ID")</f>
        <v>please select a BUG ID</v>
      </c>
      <c r="D39" s="51" t="str">
        <f>IFERROR(VLOOKUP(A39,Internal_lists_bugs!$A$2:$I1001,9,FALSE()),"please select a BUG ID")</f>
        <v>please select a BUG ID</v>
      </c>
      <c r="E39" s="105"/>
      <c r="G39" s="54"/>
      <c r="H39" s="105"/>
    </row>
    <row r="40">
      <c r="A40" s="54"/>
      <c r="B40" s="88" t="str">
        <f>IFERROR(HYPERLINK(VLOOKUP(A40,Internal_lists_bugs!$A$2:$C$73,3,FALSE()), VLOOKUP(A40,Internal_lists_bugs!$A$2:$C$73,3,FALSE())&amp;Char(10) &amp; Char(10) &amp; VLOOKUP(A40,Internal_lists_bugs!$A$2:$Z$73,26,FALSE())),"please select a BUG ID")</f>
        <v>please select a BUG ID</v>
      </c>
      <c r="C40" s="51" t="str">
        <f>IFERROR(VLOOKUP(A40,Internal_lists_bugs!$A$2:$G1001,7,FALSE()),"please select a BUG ID")</f>
        <v>please select a BUG ID</v>
      </c>
      <c r="D40" s="51" t="str">
        <f>IFERROR(VLOOKUP(A40,Internal_lists_bugs!$A$2:$I1001,9,FALSE()),"please select a BUG ID")</f>
        <v>please select a BUG ID</v>
      </c>
      <c r="E40" s="105"/>
      <c r="G40" s="54"/>
      <c r="H40" s="105"/>
    </row>
    <row r="41">
      <c r="A41" s="54"/>
      <c r="B41" s="88" t="str">
        <f>IFERROR(HYPERLINK(VLOOKUP(A41,Internal_lists_bugs!$A$2:$C$73,3,FALSE()), VLOOKUP(A41,Internal_lists_bugs!$A$2:$C$73,3,FALSE())&amp;Char(10) &amp; Char(10) &amp; VLOOKUP(A41,Internal_lists_bugs!$A$2:$Z$73,26,FALSE())),"please select a BUG ID")</f>
        <v>please select a BUG ID</v>
      </c>
      <c r="C41" s="51" t="str">
        <f>IFERROR(VLOOKUP(A41,Internal_lists_bugs!$A$2:$G1001,7,FALSE()),"please select a BUG ID")</f>
        <v>please select a BUG ID</v>
      </c>
      <c r="D41" s="51" t="str">
        <f>IFERROR(VLOOKUP(A41,Internal_lists_bugs!$A$2:$I1001,9,FALSE()),"please select a BUG ID")</f>
        <v>please select a BUG ID</v>
      </c>
      <c r="E41" s="105"/>
      <c r="G41" s="54"/>
      <c r="H41" s="105"/>
    </row>
    <row r="42">
      <c r="A42" s="54"/>
      <c r="B42" s="88" t="str">
        <f>IFERROR(HYPERLINK(VLOOKUP(A42,Internal_lists_bugs!$A$2:$C$73,3,FALSE()), VLOOKUP(A42,Internal_lists_bugs!$A$2:$C$73,3,FALSE())&amp;Char(10) &amp; Char(10) &amp; VLOOKUP(A42,Internal_lists_bugs!$A$2:$Z$73,26,FALSE())),"please select a BUG ID")</f>
        <v>please select a BUG ID</v>
      </c>
      <c r="C42" s="51" t="str">
        <f>IFERROR(VLOOKUP(A42,Internal_lists_bugs!$A$2:$G1001,7,FALSE()),"please select a BUG ID")</f>
        <v>please select a BUG ID</v>
      </c>
      <c r="D42" s="51" t="str">
        <f>IFERROR(VLOOKUP(A42,Internal_lists_bugs!$A$2:$I1001,9,FALSE()),"please select a BUG ID")</f>
        <v>please select a BUG ID</v>
      </c>
      <c r="E42" s="105"/>
      <c r="G42" s="54"/>
      <c r="H42" s="105"/>
    </row>
    <row r="43">
      <c r="A43" s="54"/>
      <c r="B43" s="88" t="str">
        <f>IFERROR(HYPERLINK(VLOOKUP(A43,Internal_lists_bugs!$A$2:$C$73,3,FALSE()), VLOOKUP(A43,Internal_lists_bugs!$A$2:$C$73,3,FALSE())&amp;Char(10) &amp; Char(10) &amp; VLOOKUP(A43,Internal_lists_bugs!$A$2:$Z$73,26,FALSE())),"please select a BUG ID")</f>
        <v>please select a BUG ID</v>
      </c>
      <c r="C43" s="51" t="str">
        <f>IFERROR(VLOOKUP(A43,Internal_lists_bugs!$A$2:$G1001,7,FALSE()),"please select a BUG ID")</f>
        <v>please select a BUG ID</v>
      </c>
      <c r="D43" s="51" t="str">
        <f>IFERROR(VLOOKUP(A43,Internal_lists_bugs!$A$2:$I1001,9,FALSE()),"please select a BUG ID")</f>
        <v>please select a BUG ID</v>
      </c>
      <c r="E43" s="105"/>
      <c r="G43" s="54"/>
      <c r="H43" s="105"/>
    </row>
    <row r="44">
      <c r="A44" s="54"/>
      <c r="B44" s="88" t="str">
        <f>IFERROR(HYPERLINK(VLOOKUP(A44,Internal_lists_bugs!$A$2:$C$73,3,FALSE()), VLOOKUP(A44,Internal_lists_bugs!$A$2:$C$73,3,FALSE())&amp;Char(10) &amp; Char(10) &amp; VLOOKUP(A44,Internal_lists_bugs!$A$2:$Z$73,26,FALSE())),"please select a BUG ID")</f>
        <v>please select a BUG ID</v>
      </c>
      <c r="C44" s="51" t="str">
        <f>IFERROR(VLOOKUP(A44,Internal_lists_bugs!$A$2:$G1001,7,FALSE()),"please select a BUG ID")</f>
        <v>please select a BUG ID</v>
      </c>
      <c r="D44" s="51" t="str">
        <f>IFERROR(VLOOKUP(A44,Internal_lists_bugs!$A$2:$I1001,9,FALSE()),"please select a BUG ID")</f>
        <v>please select a BUG ID</v>
      </c>
      <c r="E44" s="105"/>
      <c r="G44" s="54"/>
      <c r="H44" s="105"/>
    </row>
    <row r="45">
      <c r="A45" s="54"/>
      <c r="B45" s="88" t="str">
        <f>IFERROR(HYPERLINK(VLOOKUP(A45,Internal_lists_bugs!$A$2:$C$73,3,FALSE()), VLOOKUP(A45,Internal_lists_bugs!$A$2:$C$73,3,FALSE())&amp;Char(10) &amp; Char(10) &amp; VLOOKUP(A45,Internal_lists_bugs!$A$2:$Z$73,26,FALSE())),"please select a BUG ID")</f>
        <v>please select a BUG ID</v>
      </c>
      <c r="C45" s="51" t="str">
        <f>IFERROR(VLOOKUP(A45,Internal_lists_bugs!$A$2:$G1001,7,FALSE()),"please select a BUG ID")</f>
        <v>please select a BUG ID</v>
      </c>
      <c r="D45" s="51" t="str">
        <f>IFERROR(VLOOKUP(A45,Internal_lists_bugs!$A$2:$I1001,9,FALSE()),"please select a BUG ID")</f>
        <v>please select a BUG ID</v>
      </c>
      <c r="E45" s="105"/>
      <c r="G45" s="54"/>
      <c r="H45" s="105"/>
    </row>
    <row r="46">
      <c r="A46" s="54"/>
      <c r="B46" s="88" t="str">
        <f>IFERROR(HYPERLINK(VLOOKUP(A46,Internal_lists_bugs!$A$2:$C$73,3,FALSE()), VLOOKUP(A46,Internal_lists_bugs!$A$2:$C$73,3,FALSE())&amp;Char(10) &amp; Char(10) &amp; VLOOKUP(A46,Internal_lists_bugs!$A$2:$Z$73,26,FALSE())),"please select a BUG ID")</f>
        <v>please select a BUG ID</v>
      </c>
      <c r="C46" s="51" t="str">
        <f>IFERROR(VLOOKUP(A46,Internal_lists_bugs!$A$2:$G1001,7,FALSE()),"please select a BUG ID")</f>
        <v>please select a BUG ID</v>
      </c>
      <c r="D46" s="51" t="str">
        <f>IFERROR(VLOOKUP(A46,Internal_lists_bugs!$A$2:$I1001,9,FALSE()),"please select a BUG ID")</f>
        <v>please select a BUG ID</v>
      </c>
      <c r="E46" s="105"/>
      <c r="G46" s="54"/>
      <c r="H46" s="105"/>
    </row>
    <row r="47">
      <c r="A47" s="54"/>
      <c r="B47" s="88" t="str">
        <f>IFERROR(HYPERLINK(VLOOKUP(A47,Internal_lists_bugs!$A$2:$C$73,3,FALSE()), VLOOKUP(A47,Internal_lists_bugs!$A$2:$C$73,3,FALSE())&amp;Char(10) &amp; Char(10) &amp; VLOOKUP(A47,Internal_lists_bugs!$A$2:$Z$73,26,FALSE())),"please select a BUG ID")</f>
        <v>please select a BUG ID</v>
      </c>
      <c r="C47" s="51" t="str">
        <f>IFERROR(VLOOKUP(A47,Internal_lists_bugs!$A$2:$G1001,7,FALSE()),"please select a BUG ID")</f>
        <v>please select a BUG ID</v>
      </c>
      <c r="D47" s="51" t="str">
        <f>IFERROR(VLOOKUP(A47,Internal_lists_bugs!$A$2:$I1001,9,FALSE()),"please select a BUG ID")</f>
        <v>please select a BUG ID</v>
      </c>
      <c r="E47" s="105"/>
      <c r="G47" s="54"/>
      <c r="H47" s="105"/>
    </row>
    <row r="48">
      <c r="A48" s="54"/>
      <c r="B48" s="88" t="str">
        <f>IFERROR(HYPERLINK(VLOOKUP(A48,Internal_lists_bugs!$A$2:$C$73,3,FALSE()), VLOOKUP(A48,Internal_lists_bugs!$A$2:$C$73,3,FALSE())&amp;Char(10) &amp; Char(10) &amp; VLOOKUP(A48,Internal_lists_bugs!$A$2:$Z$73,26,FALSE())),"please select a BUG ID")</f>
        <v>please select a BUG ID</v>
      </c>
      <c r="C48" s="51" t="str">
        <f>IFERROR(VLOOKUP(A48,Internal_lists_bugs!$A$2:$G1001,7,FALSE()),"please select a BUG ID")</f>
        <v>please select a BUG ID</v>
      </c>
      <c r="D48" s="51" t="str">
        <f>IFERROR(VLOOKUP(A48,Internal_lists_bugs!$A$2:$I1001,9,FALSE()),"please select a BUG ID")</f>
        <v>please select a BUG ID</v>
      </c>
      <c r="E48" s="105"/>
      <c r="G48" s="54"/>
      <c r="H48" s="105"/>
    </row>
    <row r="49">
      <c r="A49" s="54"/>
      <c r="B49" s="88" t="str">
        <f>IFERROR(HYPERLINK(VLOOKUP(A49,Internal_lists_bugs!$A$2:$C$73,3,FALSE()), VLOOKUP(A49,Internal_lists_bugs!$A$2:$C$73,3,FALSE())&amp;Char(10) &amp; Char(10) &amp; VLOOKUP(A49,Internal_lists_bugs!$A$2:$Z$73,26,FALSE())),"please select a BUG ID")</f>
        <v>please select a BUG ID</v>
      </c>
      <c r="C49" s="51" t="str">
        <f>IFERROR(VLOOKUP(A49,Internal_lists_bugs!$A$2:$G1001,7,FALSE()),"please select a BUG ID")</f>
        <v>please select a BUG ID</v>
      </c>
      <c r="D49" s="51" t="str">
        <f>IFERROR(VLOOKUP(A49,Internal_lists_bugs!$A$2:$I1001,9,FALSE()),"please select a BUG ID")</f>
        <v>please select a BUG ID</v>
      </c>
      <c r="E49" s="105"/>
      <c r="G49" s="54"/>
      <c r="H49" s="105"/>
    </row>
    <row r="50">
      <c r="A50" s="54"/>
      <c r="B50" s="88" t="str">
        <f>IFERROR(HYPERLINK(VLOOKUP(A50,Internal_lists_bugs!$A$2:$C$73,3,FALSE()), VLOOKUP(A50,Internal_lists_bugs!$A$2:$C$73,3,FALSE())&amp;Char(10) &amp; Char(10) &amp; VLOOKUP(A50,Internal_lists_bugs!$A$2:$Z$73,26,FALSE())),"please select a BUG ID")</f>
        <v>please select a BUG ID</v>
      </c>
      <c r="C50" s="51" t="str">
        <f>IFERROR(VLOOKUP(A50,Internal_lists_bugs!$A$2:$G1001,7,FALSE()),"please select a BUG ID")</f>
        <v>please select a BUG ID</v>
      </c>
      <c r="D50" s="51" t="str">
        <f>IFERROR(VLOOKUP(A50,Internal_lists_bugs!$A$2:$I1001,9,FALSE()),"please select a BUG ID")</f>
        <v>please select a BUG ID</v>
      </c>
      <c r="E50" s="105"/>
      <c r="G50" s="54"/>
      <c r="H50" s="105"/>
    </row>
    <row r="51">
      <c r="A51" s="54"/>
      <c r="B51" s="88" t="str">
        <f>IFERROR(HYPERLINK(VLOOKUP(A51,Internal_lists_bugs!$A$2:$C$73,3,FALSE()), VLOOKUP(A51,Internal_lists_bugs!$A$2:$C$73,3,FALSE())&amp;Char(10) &amp; Char(10) &amp; VLOOKUP(A51,Internal_lists_bugs!$A$2:$Z$73,26,FALSE())),"please select a BUG ID")</f>
        <v>please select a BUG ID</v>
      </c>
      <c r="C51" s="51" t="str">
        <f>IFERROR(VLOOKUP(A51,Internal_lists_bugs!$A$2:$G1001,7,FALSE()),"please select a BUG ID")</f>
        <v>please select a BUG ID</v>
      </c>
      <c r="D51" s="51" t="str">
        <f>IFERROR(VLOOKUP(A51,Internal_lists_bugs!$A$2:$I1001,9,FALSE()),"please select a BUG ID")</f>
        <v>please select a BUG ID</v>
      </c>
      <c r="E51" s="105"/>
      <c r="G51" s="54"/>
      <c r="H51" s="105"/>
    </row>
    <row r="52">
      <c r="A52" s="54"/>
      <c r="B52" s="88" t="str">
        <f>IFERROR(HYPERLINK(VLOOKUP(A52,Internal_lists_bugs!$A$2:$C$73,3,FALSE()), VLOOKUP(A52,Internal_lists_bugs!$A$2:$C$73,3,FALSE())&amp;Char(10) &amp; Char(10) &amp; VLOOKUP(A52,Internal_lists_bugs!$A$2:$Z$73,26,FALSE())),"please select a BUG ID")</f>
        <v>please select a BUG ID</v>
      </c>
      <c r="C52" s="51" t="str">
        <f>IFERROR(VLOOKUP(A52,Internal_lists_bugs!$A$2:$G1001,7,FALSE()),"please select a BUG ID")</f>
        <v>please select a BUG ID</v>
      </c>
      <c r="D52" s="51" t="str">
        <f>IFERROR(VLOOKUP(A52,Internal_lists_bugs!$A$2:$I1001,9,FALSE()),"please select a BUG ID")</f>
        <v>please select a BUG ID</v>
      </c>
      <c r="E52" s="105"/>
      <c r="G52" s="54"/>
      <c r="H52" s="105"/>
    </row>
    <row r="53">
      <c r="A53" s="54"/>
      <c r="B53" s="88" t="str">
        <f>IFERROR(HYPERLINK(VLOOKUP(A53,Internal_lists_bugs!$A$2:$C$73,3,FALSE()), VLOOKUP(A53,Internal_lists_bugs!$A$2:$C$73,3,FALSE())&amp;Char(10) &amp; Char(10) &amp; VLOOKUP(A53,Internal_lists_bugs!$A$2:$Z$73,26,FALSE())),"please select a BUG ID")</f>
        <v>please select a BUG ID</v>
      </c>
      <c r="C53" s="51" t="str">
        <f>IFERROR(VLOOKUP(A53,Internal_lists_bugs!$A$2:$G1001,7,FALSE()),"please select a BUG ID")</f>
        <v>please select a BUG ID</v>
      </c>
      <c r="D53" s="51" t="str">
        <f>IFERROR(VLOOKUP(A53,Internal_lists_bugs!$A$2:$I1001,9,FALSE()),"please select a BUG ID")</f>
        <v>please select a BUG ID</v>
      </c>
      <c r="E53" s="105"/>
      <c r="G53" s="54"/>
      <c r="H53" s="105"/>
    </row>
    <row r="54">
      <c r="A54" s="54"/>
      <c r="B54" s="88" t="str">
        <f>IFERROR(HYPERLINK(VLOOKUP(A54,Internal_lists_bugs!$A$2:$C$73,3,FALSE()), VLOOKUP(A54,Internal_lists_bugs!$A$2:$C$73,3,FALSE())&amp;Char(10) &amp; Char(10) &amp; VLOOKUP(A54,Internal_lists_bugs!$A$2:$Z$73,26,FALSE())),"please select a BUG ID")</f>
        <v>please select a BUG ID</v>
      </c>
      <c r="C54" s="51" t="str">
        <f>IFERROR(VLOOKUP(A54,Internal_lists_bugs!$A$2:$G1001,7,FALSE()),"please select a BUG ID")</f>
        <v>please select a BUG ID</v>
      </c>
      <c r="D54" s="51" t="str">
        <f>IFERROR(VLOOKUP(A54,Internal_lists_bugs!$A$2:$I1001,9,FALSE()),"please select a BUG ID")</f>
        <v>please select a BUG ID</v>
      </c>
      <c r="E54" s="105"/>
      <c r="G54" s="54"/>
      <c r="H54" s="105"/>
    </row>
    <row r="55">
      <c r="A55" s="54"/>
      <c r="B55" s="88" t="str">
        <f>IFERROR(HYPERLINK(VLOOKUP(A55,Internal_lists_bugs!$A$2:$C$73,3,FALSE()), VLOOKUP(A55,Internal_lists_bugs!$A$2:$C$73,3,FALSE())&amp;Char(10) &amp; Char(10) &amp; VLOOKUP(A55,Internal_lists_bugs!$A$2:$Z$73,26,FALSE())),"please select a BUG ID")</f>
        <v>please select a BUG ID</v>
      </c>
      <c r="C55" s="51" t="str">
        <f>IFERROR(VLOOKUP(A55,Internal_lists_bugs!$A$2:$G1001,7,FALSE()),"please select a BUG ID")</f>
        <v>please select a BUG ID</v>
      </c>
      <c r="D55" s="51" t="str">
        <f>IFERROR(VLOOKUP(A55,Internal_lists_bugs!$A$2:$I1001,9,FALSE()),"please select a BUG ID")</f>
        <v>please select a BUG ID</v>
      </c>
      <c r="E55" s="105"/>
      <c r="G55" s="54"/>
      <c r="H55" s="105"/>
    </row>
    <row r="56">
      <c r="A56" s="54"/>
      <c r="B56" s="88" t="str">
        <f>IFERROR(HYPERLINK(VLOOKUP(A56,Internal_lists_bugs!$A$2:$C$73,3,FALSE()), VLOOKUP(A56,Internal_lists_bugs!$A$2:$C$73,3,FALSE())&amp;Char(10) &amp; Char(10) &amp; VLOOKUP(A56,Internal_lists_bugs!$A$2:$Z$73,26,FALSE())),"please select a BUG ID")</f>
        <v>please select a BUG ID</v>
      </c>
      <c r="C56" s="51" t="str">
        <f>IFERROR(VLOOKUP(A56,Internal_lists_bugs!$A$2:$G1001,7,FALSE()),"please select a BUG ID")</f>
        <v>please select a BUG ID</v>
      </c>
      <c r="D56" s="51" t="str">
        <f>IFERROR(VLOOKUP(A56,Internal_lists_bugs!$A$2:$I1001,9,FALSE()),"please select a BUG ID")</f>
        <v>please select a BUG ID</v>
      </c>
      <c r="E56" s="105"/>
      <c r="G56" s="54"/>
      <c r="H56" s="105"/>
    </row>
    <row r="57">
      <c r="A57" s="54"/>
      <c r="B57" s="88" t="str">
        <f>IFERROR(HYPERLINK(VLOOKUP(A57,Internal_lists_bugs!$A$2:$C$73,3,FALSE()), VLOOKUP(A57,Internal_lists_bugs!$A$2:$C$73,3,FALSE())&amp;Char(10) &amp; Char(10) &amp; VLOOKUP(A57,Internal_lists_bugs!$A$2:$Z$73,26,FALSE())),"please select a BUG ID")</f>
        <v>please select a BUG ID</v>
      </c>
      <c r="C57" s="51" t="str">
        <f>IFERROR(VLOOKUP(A57,Internal_lists_bugs!$A$2:$G1001,7,FALSE()),"please select a BUG ID")</f>
        <v>please select a BUG ID</v>
      </c>
      <c r="D57" s="51" t="str">
        <f>IFERROR(VLOOKUP(A57,Internal_lists_bugs!$A$2:$I1001,9,FALSE()),"please select a BUG ID")</f>
        <v>please select a BUG ID</v>
      </c>
      <c r="E57" s="105"/>
      <c r="G57" s="54"/>
      <c r="H57" s="105"/>
    </row>
    <row r="58">
      <c r="A58" s="54"/>
      <c r="B58" s="88" t="str">
        <f>IFERROR(HYPERLINK(VLOOKUP(A58,Internal_lists_bugs!$A$2:$C$73,3,FALSE()), VLOOKUP(A58,Internal_lists_bugs!$A$2:$C$73,3,FALSE())&amp;Char(10) &amp; Char(10) &amp; VLOOKUP(A58,Internal_lists_bugs!$A$2:$Z$73,26,FALSE())),"please select a BUG ID")</f>
        <v>please select a BUG ID</v>
      </c>
      <c r="C58" s="51" t="str">
        <f>IFERROR(VLOOKUP(A58,Internal_lists_bugs!$A$2:$G1001,7,FALSE()),"please select a BUG ID")</f>
        <v>please select a BUG ID</v>
      </c>
      <c r="D58" s="51" t="str">
        <f>IFERROR(VLOOKUP(A58,Internal_lists_bugs!$A$2:$I1001,9,FALSE()),"please select a BUG ID")</f>
        <v>please select a BUG ID</v>
      </c>
      <c r="E58" s="105"/>
      <c r="G58" s="54"/>
      <c r="H58" s="105"/>
    </row>
    <row r="59">
      <c r="A59" s="54"/>
      <c r="B59" s="88" t="str">
        <f>IFERROR(HYPERLINK(VLOOKUP(A59,Internal_lists_bugs!$A$2:$C$73,3,FALSE()), VLOOKUP(A59,Internal_lists_bugs!$A$2:$C$73,3,FALSE())&amp;Char(10) &amp; Char(10) &amp; VLOOKUP(A59,Internal_lists_bugs!$A$2:$Z$73,26,FALSE())),"please select a BUG ID")</f>
        <v>please select a BUG ID</v>
      </c>
      <c r="C59" s="51" t="str">
        <f>IFERROR(VLOOKUP(A59,Internal_lists_bugs!$A$2:$G1001,7,FALSE()),"please select a BUG ID")</f>
        <v>please select a BUG ID</v>
      </c>
      <c r="D59" s="51" t="str">
        <f>IFERROR(VLOOKUP(A59,Internal_lists_bugs!$A$2:$I1001,9,FALSE()),"please select a BUG ID")</f>
        <v>please select a BUG ID</v>
      </c>
      <c r="E59" s="105"/>
      <c r="G59" s="54"/>
      <c r="H59" s="105"/>
    </row>
    <row r="60">
      <c r="A60" s="54"/>
      <c r="B60" s="88" t="str">
        <f>IFERROR(HYPERLINK(VLOOKUP(A60,Internal_lists_bugs!$A$2:$C$73,3,FALSE()), VLOOKUP(A60,Internal_lists_bugs!$A$2:$C$73,3,FALSE())&amp;Char(10) &amp; Char(10) &amp; VLOOKUP(A60,Internal_lists_bugs!$A$2:$Z$73,26,FALSE())),"please select a BUG ID")</f>
        <v>please select a BUG ID</v>
      </c>
      <c r="C60" s="51" t="str">
        <f>IFERROR(VLOOKUP(A60,Internal_lists_bugs!$A$2:$G1001,7,FALSE()),"please select a BUG ID")</f>
        <v>please select a BUG ID</v>
      </c>
      <c r="D60" s="51" t="str">
        <f>IFERROR(VLOOKUP(A60,Internal_lists_bugs!$A$2:$I1001,9,FALSE()),"please select a BUG ID")</f>
        <v>please select a BUG ID</v>
      </c>
      <c r="E60" s="105"/>
      <c r="G60" s="54"/>
      <c r="H60" s="105"/>
    </row>
    <row r="61">
      <c r="A61" s="54"/>
      <c r="B61" s="88" t="str">
        <f>IFERROR(HYPERLINK(VLOOKUP(A61,Internal_lists_bugs!$A$2:$C$73,3,FALSE()), VLOOKUP(A61,Internal_lists_bugs!$A$2:$C$73,3,FALSE())&amp;Char(10) &amp; Char(10) &amp; VLOOKUP(A61,Internal_lists_bugs!$A$2:$Z$73,26,FALSE())),"please select a BUG ID")</f>
        <v>please select a BUG ID</v>
      </c>
      <c r="C61" s="51" t="str">
        <f>IFERROR(VLOOKUP(A61,Internal_lists_bugs!$A$2:$G1001,7,FALSE()),"please select a BUG ID")</f>
        <v>please select a BUG ID</v>
      </c>
      <c r="D61" s="51" t="str">
        <f>IFERROR(VLOOKUP(A61,Internal_lists_bugs!$A$2:$I1001,9,FALSE()),"please select a BUG ID")</f>
        <v>please select a BUG ID</v>
      </c>
      <c r="E61" s="105"/>
      <c r="G61" s="54"/>
      <c r="H61" s="105"/>
    </row>
    <row r="62">
      <c r="A62" s="54"/>
      <c r="B62" s="88" t="str">
        <f>IFERROR(HYPERLINK(VLOOKUP(A62,Internal_lists_bugs!$A$2:$C$73,3,FALSE()), VLOOKUP(A62,Internal_lists_bugs!$A$2:$C$73,3,FALSE())&amp;Char(10) &amp; Char(10) &amp; VLOOKUP(A62,Internal_lists_bugs!$A$2:$Z$73,26,FALSE())),"please select a BUG ID")</f>
        <v>please select a BUG ID</v>
      </c>
      <c r="C62" s="51" t="str">
        <f>IFERROR(VLOOKUP(A62,Internal_lists_bugs!$A$2:$G1001,7,FALSE()),"please select a BUG ID")</f>
        <v>please select a BUG ID</v>
      </c>
      <c r="D62" s="51" t="str">
        <f>IFERROR(VLOOKUP(A62,Internal_lists_bugs!$A$2:$I1001,9,FALSE()),"please select a BUG ID")</f>
        <v>please select a BUG ID</v>
      </c>
      <c r="E62" s="105"/>
      <c r="G62" s="54"/>
      <c r="H62" s="105"/>
    </row>
    <row r="63">
      <c r="A63" s="54"/>
      <c r="B63" s="88" t="str">
        <f>IFERROR(HYPERLINK(VLOOKUP(A63,Internal_lists_bugs!$A$2:$C$73,3,FALSE()), VLOOKUP(A63,Internal_lists_bugs!$A$2:$C$73,3,FALSE())&amp;Char(10) &amp; Char(10) &amp; VLOOKUP(A63,Internal_lists_bugs!$A$2:$Z$73,26,FALSE())),"please select a BUG ID")</f>
        <v>please select a BUG ID</v>
      </c>
      <c r="C63" s="51" t="str">
        <f>IFERROR(VLOOKUP(A63,Internal_lists_bugs!$A$2:$G1001,7,FALSE()),"please select a BUG ID")</f>
        <v>please select a BUG ID</v>
      </c>
      <c r="D63" s="51" t="str">
        <f>IFERROR(VLOOKUP(A63,Internal_lists_bugs!$A$2:$I1001,9,FALSE()),"please select a BUG ID")</f>
        <v>please select a BUG ID</v>
      </c>
      <c r="E63" s="105"/>
      <c r="G63" s="54"/>
      <c r="H63" s="105"/>
    </row>
    <row r="64">
      <c r="A64" s="54"/>
      <c r="B64" s="88" t="str">
        <f>IFERROR(HYPERLINK(VLOOKUP(A64,Internal_lists_bugs!$A$2:$C$73,3,FALSE()), VLOOKUP(A64,Internal_lists_bugs!$A$2:$C$73,3,FALSE())&amp;Char(10) &amp; Char(10) &amp; VLOOKUP(A64,Internal_lists_bugs!$A$2:$Z$73,26,FALSE())),"please select a BUG ID")</f>
        <v>please select a BUG ID</v>
      </c>
      <c r="C64" s="51" t="str">
        <f>IFERROR(VLOOKUP(A64,Internal_lists_bugs!$A$2:$G1001,7,FALSE()),"please select a BUG ID")</f>
        <v>please select a BUG ID</v>
      </c>
      <c r="D64" s="51" t="str">
        <f>IFERROR(VLOOKUP(A64,Internal_lists_bugs!$A$2:$I1001,9,FALSE()),"please select a BUG ID")</f>
        <v>please select a BUG ID</v>
      </c>
      <c r="E64" s="105"/>
      <c r="G64" s="54"/>
      <c r="H64" s="105"/>
    </row>
    <row r="65">
      <c r="A65" s="54"/>
      <c r="B65" s="88" t="str">
        <f>IFERROR(HYPERLINK(VLOOKUP(A65,Internal_lists_bugs!$A$2:$C$73,3,FALSE()), VLOOKUP(A65,Internal_lists_bugs!$A$2:$C$73,3,FALSE())&amp;Char(10) &amp; Char(10) &amp; VLOOKUP(A65,Internal_lists_bugs!$A$2:$Z$73,26,FALSE())),"please select a BUG ID")</f>
        <v>please select a BUG ID</v>
      </c>
      <c r="C65" s="51" t="str">
        <f>IFERROR(VLOOKUP(A65,Internal_lists_bugs!$A$2:$G1001,7,FALSE()),"please select a BUG ID")</f>
        <v>please select a BUG ID</v>
      </c>
      <c r="D65" s="51" t="str">
        <f>IFERROR(VLOOKUP(A65,Internal_lists_bugs!$A$2:$I1001,9,FALSE()),"please select a BUG ID")</f>
        <v>please select a BUG ID</v>
      </c>
      <c r="E65" s="105"/>
      <c r="G65" s="54"/>
      <c r="H65" s="105"/>
    </row>
    <row r="66">
      <c r="A66" s="54"/>
      <c r="B66" s="88" t="str">
        <f>IFERROR(HYPERLINK(VLOOKUP(A66,Internal_lists_bugs!$A$2:$C$73,3,FALSE()), VLOOKUP(A66,Internal_lists_bugs!$A$2:$C$73,3,FALSE())&amp;Char(10) &amp; Char(10) &amp; VLOOKUP(A66,Internal_lists_bugs!$A$2:$Z$73,26,FALSE())),"please select a BUG ID")</f>
        <v>please select a BUG ID</v>
      </c>
      <c r="C66" s="51" t="str">
        <f>IFERROR(VLOOKUP(A66,Internal_lists_bugs!$A$2:$G1001,7,FALSE()),"please select a BUG ID")</f>
        <v>please select a BUG ID</v>
      </c>
      <c r="D66" s="51" t="str">
        <f>IFERROR(VLOOKUP(A66,Internal_lists_bugs!$A$2:$I1001,9,FALSE()),"please select a BUG ID")</f>
        <v>please select a BUG ID</v>
      </c>
      <c r="E66" s="105"/>
      <c r="G66" s="54"/>
      <c r="H66" s="105"/>
    </row>
    <row r="67">
      <c r="A67" s="54"/>
      <c r="B67" s="88" t="str">
        <f>IFERROR(HYPERLINK(VLOOKUP(A67,Internal_lists_bugs!$A$2:$C$73,3,FALSE()), VLOOKUP(A67,Internal_lists_bugs!$A$2:$C$73,3,FALSE())&amp;Char(10) &amp; Char(10) &amp; VLOOKUP(A67,Internal_lists_bugs!$A$2:$Z$73,26,FALSE())),"please select a BUG ID")</f>
        <v>please select a BUG ID</v>
      </c>
      <c r="C67" s="51" t="str">
        <f>IFERROR(VLOOKUP(A67,Internal_lists_bugs!$A$2:$G1001,7,FALSE()),"please select a BUG ID")</f>
        <v>please select a BUG ID</v>
      </c>
      <c r="D67" s="51" t="str">
        <f>IFERROR(VLOOKUP(A67,Internal_lists_bugs!$A$2:$I1001,9,FALSE()),"please select a BUG ID")</f>
        <v>please select a BUG ID</v>
      </c>
      <c r="E67" s="105"/>
      <c r="G67" s="54"/>
      <c r="H67" s="105"/>
    </row>
    <row r="68">
      <c r="A68" s="54"/>
      <c r="B68" s="88" t="str">
        <f>IFERROR(HYPERLINK(VLOOKUP(A68,Internal_lists_bugs!$A$2:$C$73,3,FALSE()), VLOOKUP(A68,Internal_lists_bugs!$A$2:$C$73,3,FALSE())&amp;Char(10) &amp; Char(10) &amp; VLOOKUP(A68,Internal_lists_bugs!$A$2:$Z$73,26,FALSE())),"please select a BUG ID")</f>
        <v>please select a BUG ID</v>
      </c>
      <c r="C68" s="51" t="str">
        <f>IFERROR(VLOOKUP(A68,Internal_lists_bugs!$A$2:$G1001,7,FALSE()),"please select a BUG ID")</f>
        <v>please select a BUG ID</v>
      </c>
      <c r="D68" s="51" t="str">
        <f>IFERROR(VLOOKUP(A68,Internal_lists_bugs!$A$2:$I1001,9,FALSE()),"please select a BUG ID")</f>
        <v>please select a BUG ID</v>
      </c>
      <c r="E68" s="105"/>
      <c r="G68" s="54"/>
      <c r="H68" s="105"/>
    </row>
    <row r="69">
      <c r="A69" s="54"/>
      <c r="B69" s="88" t="str">
        <f>IFERROR(HYPERLINK(VLOOKUP(A69,Internal_lists_bugs!$A$2:$C$73,3,FALSE()), VLOOKUP(A69,Internal_lists_bugs!$A$2:$C$73,3,FALSE())&amp;Char(10) &amp; Char(10) &amp; VLOOKUP(A69,Internal_lists_bugs!$A$2:$Z$73,26,FALSE())),"please select a BUG ID")</f>
        <v>please select a BUG ID</v>
      </c>
      <c r="C69" s="51" t="str">
        <f>IFERROR(VLOOKUP(A69,Internal_lists_bugs!$A$2:$G1001,7,FALSE()),"please select a BUG ID")</f>
        <v>please select a BUG ID</v>
      </c>
      <c r="D69" s="51" t="str">
        <f>IFERROR(VLOOKUP(A69,Internal_lists_bugs!$A$2:$I1001,9,FALSE()),"please select a BUG ID")</f>
        <v>please select a BUG ID</v>
      </c>
      <c r="E69" s="105"/>
      <c r="G69" s="54"/>
      <c r="H69" s="105"/>
    </row>
    <row r="70">
      <c r="A70" s="54"/>
      <c r="B70" s="88" t="str">
        <f>IFERROR(HYPERLINK(VLOOKUP(A70,Internal_lists_bugs!$A$2:$C$73,3,FALSE()), VLOOKUP(A70,Internal_lists_bugs!$A$2:$C$73,3,FALSE())&amp;Char(10) &amp; Char(10) &amp; VLOOKUP(A70,Internal_lists_bugs!$A$2:$Z$73,26,FALSE())),"please select a BUG ID")</f>
        <v>please select a BUG ID</v>
      </c>
      <c r="C70" s="51" t="str">
        <f>IFERROR(VLOOKUP(A70,Internal_lists_bugs!$A$2:$G1001,7,FALSE()),"please select a BUG ID")</f>
        <v>please select a BUG ID</v>
      </c>
      <c r="D70" s="51" t="str">
        <f>IFERROR(VLOOKUP(A70,Internal_lists_bugs!$A$2:$I1001,9,FALSE()),"please select a BUG ID")</f>
        <v>please select a BUG ID</v>
      </c>
      <c r="E70" s="105"/>
      <c r="G70" s="54"/>
      <c r="H70" s="105"/>
    </row>
    <row r="71">
      <c r="A71" s="54"/>
      <c r="B71" s="88" t="str">
        <f>IFERROR(HYPERLINK(VLOOKUP(A71,Internal_lists_bugs!$A$2:$C$73,3,FALSE()), VLOOKUP(A71,Internal_lists_bugs!$A$2:$C$73,3,FALSE())&amp;Char(10) &amp; Char(10) &amp; VLOOKUP(A71,Internal_lists_bugs!$A$2:$Z$73,26,FALSE())),"please select a BUG ID")</f>
        <v>please select a BUG ID</v>
      </c>
      <c r="C71" s="51" t="str">
        <f>IFERROR(VLOOKUP(A71,Internal_lists_bugs!$A$2:$G1001,7,FALSE()),"please select a BUG ID")</f>
        <v>please select a BUG ID</v>
      </c>
      <c r="D71" s="51" t="str">
        <f>IFERROR(VLOOKUP(A71,Internal_lists_bugs!$A$2:$I1001,9,FALSE()),"please select a BUG ID")</f>
        <v>please select a BUG ID</v>
      </c>
      <c r="E71" s="105"/>
      <c r="G71" s="54"/>
      <c r="H71" s="105"/>
    </row>
    <row r="72">
      <c r="A72" s="54"/>
      <c r="B72" s="88" t="str">
        <f>IFERROR(HYPERLINK(VLOOKUP(A72,Internal_lists_bugs!$A$2:$C$73,3,FALSE()), VLOOKUP(A72,Internal_lists_bugs!$A$2:$C$73,3,FALSE())&amp;Char(10) &amp; Char(10) &amp; VLOOKUP(A72,Internal_lists_bugs!$A$2:$Z$73,26,FALSE())),"please select a BUG ID")</f>
        <v>please select a BUG ID</v>
      </c>
      <c r="C72" s="51" t="str">
        <f>IFERROR(VLOOKUP(A72,Internal_lists_bugs!$A$2:$G1001,7,FALSE()),"please select a BUG ID")</f>
        <v>please select a BUG ID</v>
      </c>
      <c r="D72" s="51" t="str">
        <f>IFERROR(VLOOKUP(A72,Internal_lists_bugs!$A$2:$I1001,9,FALSE()),"please select a BUG ID")</f>
        <v>please select a BUG ID</v>
      </c>
      <c r="E72" s="105"/>
      <c r="G72" s="54"/>
      <c r="H72" s="105"/>
    </row>
    <row r="73">
      <c r="A73" s="54"/>
      <c r="B73" s="88" t="str">
        <f>IFERROR(HYPERLINK(VLOOKUP(A73,Internal_lists_bugs!$A$2:$C$73,3,FALSE()), VLOOKUP(A73,Internal_lists_bugs!$A$2:$C$73,3,FALSE())&amp;Char(10) &amp; Char(10) &amp; VLOOKUP(A73,Internal_lists_bugs!$A$2:$Z$73,26,FALSE())),"please select a BUG ID")</f>
        <v>please select a BUG ID</v>
      </c>
      <c r="C73" s="51" t="str">
        <f>IFERROR(VLOOKUP(A73,Internal_lists_bugs!$A$2:$G1001,7,FALSE()),"please select a BUG ID")</f>
        <v>please select a BUG ID</v>
      </c>
      <c r="D73" s="51" t="str">
        <f>IFERROR(VLOOKUP(A73,Internal_lists_bugs!$A$2:$I1001,9,FALSE()),"please select a BUG ID")</f>
        <v>please select a BUG ID</v>
      </c>
      <c r="E73" s="105"/>
      <c r="G73" s="54"/>
      <c r="H73" s="105"/>
    </row>
    <row r="74">
      <c r="A74" s="54"/>
      <c r="B74" s="88" t="str">
        <f>IFERROR(HYPERLINK(VLOOKUP(A74,Internal_lists_bugs!$A$2:$C$73,3,FALSE()), VLOOKUP(A74,Internal_lists_bugs!$A$2:$C$73,3,FALSE())&amp;Char(10) &amp; Char(10) &amp; VLOOKUP(A74,Internal_lists_bugs!$A$2:$Z$73,26,FALSE())),"please select a BUG ID")</f>
        <v>please select a BUG ID</v>
      </c>
      <c r="C74" s="51" t="str">
        <f>IFERROR(VLOOKUP(A74,Internal_lists_bugs!$A$2:$G1001,7,FALSE()),"please select a BUG ID")</f>
        <v>please select a BUG ID</v>
      </c>
      <c r="D74" s="51" t="str">
        <f>IFERROR(VLOOKUP(A74,Internal_lists_bugs!$A$2:$I1001,9,FALSE()),"please select a BUG ID")</f>
        <v>please select a BUG ID</v>
      </c>
      <c r="E74" s="105"/>
      <c r="G74" s="54"/>
      <c r="H74" s="105"/>
    </row>
    <row r="75">
      <c r="A75" s="54"/>
      <c r="B75" s="88" t="str">
        <f>IFERROR(HYPERLINK(VLOOKUP(A75,Internal_lists_bugs!$A$2:$C$73,3,FALSE()), VLOOKUP(A75,Internal_lists_bugs!$A$2:$C$73,3,FALSE())&amp;Char(10) &amp; Char(10) &amp; VLOOKUP(A75,Internal_lists_bugs!$A$2:$Z$73,26,FALSE())),"please select a BUG ID")</f>
        <v>please select a BUG ID</v>
      </c>
      <c r="C75" s="51" t="str">
        <f>IFERROR(VLOOKUP(A75,Internal_lists_bugs!$A$2:$G1001,7,FALSE()),"please select a BUG ID")</f>
        <v>please select a BUG ID</v>
      </c>
      <c r="D75" s="51" t="str">
        <f>IFERROR(VLOOKUP(A75,Internal_lists_bugs!$A$2:$I1001,9,FALSE()),"please select a BUG ID")</f>
        <v>please select a BUG ID</v>
      </c>
      <c r="E75" s="105"/>
      <c r="G75" s="54"/>
      <c r="H75" s="105"/>
    </row>
    <row r="76">
      <c r="A76" s="54"/>
      <c r="B76" s="88" t="str">
        <f>IFERROR(HYPERLINK(VLOOKUP(A76,Internal_lists_bugs!$A$2:$C$73,3,FALSE()), VLOOKUP(A76,Internal_lists_bugs!$A$2:$C$73,3,FALSE())&amp;Char(10) &amp; Char(10) &amp; VLOOKUP(A76,Internal_lists_bugs!$A$2:$Z$73,26,FALSE())),"please select a BUG ID")</f>
        <v>please select a BUG ID</v>
      </c>
      <c r="C76" s="51" t="str">
        <f>IFERROR(VLOOKUP(A76,Internal_lists_bugs!$A$2:$G1001,7,FALSE()),"please select a BUG ID")</f>
        <v>please select a BUG ID</v>
      </c>
      <c r="D76" s="51" t="str">
        <f>IFERROR(VLOOKUP(A76,Internal_lists_bugs!$A$2:$I1001,9,FALSE()),"please select a BUG ID")</f>
        <v>please select a BUG ID</v>
      </c>
      <c r="E76" s="105"/>
      <c r="G76" s="54"/>
      <c r="H76" s="105"/>
    </row>
    <row r="77">
      <c r="A77" s="54"/>
      <c r="B77" s="88" t="str">
        <f>IFERROR(HYPERLINK(VLOOKUP(A77,Internal_lists_bugs!$A$2:$C$73,3,FALSE()), VLOOKUP(A77,Internal_lists_bugs!$A$2:$C$73,3,FALSE())&amp;Char(10) &amp; Char(10) &amp; VLOOKUP(A77,Internal_lists_bugs!$A$2:$Z$73,26,FALSE())),"please select a BUG ID")</f>
        <v>please select a BUG ID</v>
      </c>
      <c r="C77" s="51" t="str">
        <f>IFERROR(VLOOKUP(A77,Internal_lists_bugs!$A$2:$G1001,7,FALSE()),"please select a BUG ID")</f>
        <v>please select a BUG ID</v>
      </c>
      <c r="D77" s="51" t="str">
        <f>IFERROR(VLOOKUP(A77,Internal_lists_bugs!$A$2:$I1001,9,FALSE()),"please select a BUG ID")</f>
        <v>please select a BUG ID</v>
      </c>
      <c r="E77" s="105"/>
      <c r="G77" s="54"/>
      <c r="H77" s="105"/>
    </row>
    <row r="78">
      <c r="A78" s="54"/>
      <c r="B78" s="88" t="str">
        <f>IFERROR(HYPERLINK(VLOOKUP(A78,Internal_lists_bugs!$A$2:$C$73,3,FALSE()), VLOOKUP(A78,Internal_lists_bugs!$A$2:$C$73,3,FALSE())&amp;Char(10) &amp; Char(10) &amp; VLOOKUP(A78,Internal_lists_bugs!$A$2:$Z$73,26,FALSE())),"please select a BUG ID")</f>
        <v>please select a BUG ID</v>
      </c>
      <c r="C78" s="51" t="str">
        <f>IFERROR(VLOOKUP(A78,Internal_lists_bugs!$A$2:$G1001,7,FALSE()),"please select a BUG ID")</f>
        <v>please select a BUG ID</v>
      </c>
      <c r="D78" s="51" t="str">
        <f>IFERROR(VLOOKUP(A78,Internal_lists_bugs!$A$2:$I1001,9,FALSE()),"please select a BUG ID")</f>
        <v>please select a BUG ID</v>
      </c>
      <c r="E78" s="105"/>
      <c r="G78" s="54"/>
      <c r="H78" s="105"/>
    </row>
    <row r="79">
      <c r="A79" s="54"/>
      <c r="B79" s="88" t="str">
        <f>IFERROR(HYPERLINK(VLOOKUP(A79,Internal_lists_bugs!$A$2:$C$73,3,FALSE()), VLOOKUP(A79,Internal_lists_bugs!$A$2:$C$73,3,FALSE())&amp;Char(10) &amp; Char(10) &amp; VLOOKUP(A79,Internal_lists_bugs!$A$2:$Z$73,26,FALSE())),"please select a BUG ID")</f>
        <v>please select a BUG ID</v>
      </c>
      <c r="C79" s="51" t="str">
        <f>IFERROR(VLOOKUP(A79,Internal_lists_bugs!$A$2:$G1001,7,FALSE()),"please select a BUG ID")</f>
        <v>please select a BUG ID</v>
      </c>
      <c r="D79" s="51" t="str">
        <f>IFERROR(VLOOKUP(A79,Internal_lists_bugs!$A$2:$I1001,9,FALSE()),"please select a BUG ID")</f>
        <v>please select a BUG ID</v>
      </c>
      <c r="E79" s="105"/>
      <c r="G79" s="54"/>
      <c r="H79" s="105"/>
    </row>
    <row r="80">
      <c r="A80" s="54"/>
      <c r="B80" s="88" t="str">
        <f>IFERROR(HYPERLINK(VLOOKUP(A80,Internal_lists_bugs!$A$2:$C$73,3,FALSE()), VLOOKUP(A80,Internal_lists_bugs!$A$2:$C$73,3,FALSE())&amp;Char(10) &amp; Char(10) &amp; VLOOKUP(A80,Internal_lists_bugs!$A$2:$Z$73,26,FALSE())),"please select a BUG ID")</f>
        <v>please select a BUG ID</v>
      </c>
      <c r="C80" s="51" t="str">
        <f>IFERROR(VLOOKUP(A80,Internal_lists_bugs!$A$2:$G1001,7,FALSE()),"please select a BUG ID")</f>
        <v>please select a BUG ID</v>
      </c>
      <c r="D80" s="51" t="str">
        <f>IFERROR(VLOOKUP(A80,Internal_lists_bugs!$A$2:$I1001,9,FALSE()),"please select a BUG ID")</f>
        <v>please select a BUG ID</v>
      </c>
      <c r="E80" s="105"/>
      <c r="G80" s="54"/>
      <c r="H80" s="105"/>
    </row>
    <row r="81">
      <c r="A81" s="54"/>
      <c r="B81" s="88" t="str">
        <f>IFERROR(HYPERLINK(VLOOKUP(A81,Internal_lists_bugs!$A$2:$C$73,3,FALSE()), VLOOKUP(A81,Internal_lists_bugs!$A$2:$C$73,3,FALSE())&amp;Char(10) &amp; Char(10) &amp; VLOOKUP(A81,Internal_lists_bugs!$A$2:$Z$73,26,FALSE())),"please select a BUG ID")</f>
        <v>please select a BUG ID</v>
      </c>
      <c r="C81" s="51" t="str">
        <f>IFERROR(VLOOKUP(A81,Internal_lists_bugs!$A$2:$G1001,7,FALSE()),"please select a BUG ID")</f>
        <v>please select a BUG ID</v>
      </c>
      <c r="D81" s="51" t="str">
        <f>IFERROR(VLOOKUP(A81,Internal_lists_bugs!$A$2:$I1001,9,FALSE()),"please select a BUG ID")</f>
        <v>please select a BUG ID</v>
      </c>
      <c r="E81" s="105"/>
      <c r="G81" s="54"/>
      <c r="H81" s="105"/>
    </row>
    <row r="82">
      <c r="A82" s="54"/>
      <c r="B82" s="88" t="str">
        <f>IFERROR(HYPERLINK(VLOOKUP(A82,Internal_lists_bugs!$A$2:$C$73,3,FALSE()), VLOOKUP(A82,Internal_lists_bugs!$A$2:$C$73,3,FALSE())&amp;Char(10) &amp; Char(10) &amp; VLOOKUP(A82,Internal_lists_bugs!$A$2:$Z$73,26,FALSE())),"please select a BUG ID")</f>
        <v>please select a BUG ID</v>
      </c>
      <c r="C82" s="51" t="str">
        <f>IFERROR(VLOOKUP(A82,Internal_lists_bugs!$A$2:$G1001,7,FALSE()),"please select a BUG ID")</f>
        <v>please select a BUG ID</v>
      </c>
      <c r="D82" s="51" t="str">
        <f>IFERROR(VLOOKUP(A82,Internal_lists_bugs!$A$2:$I1001,9,FALSE()),"please select a BUG ID")</f>
        <v>please select a BUG ID</v>
      </c>
      <c r="E82" s="105"/>
      <c r="G82" s="54"/>
      <c r="H82" s="105"/>
    </row>
    <row r="83">
      <c r="A83" s="54"/>
      <c r="B83" s="88" t="str">
        <f>IFERROR(HYPERLINK(VLOOKUP(A83,Internal_lists_bugs!$A$2:$C$73,3,FALSE()), VLOOKUP(A83,Internal_lists_bugs!$A$2:$C$73,3,FALSE())&amp;Char(10) &amp; Char(10) &amp; VLOOKUP(A83,Internal_lists_bugs!$A$2:$Z$73,26,FALSE())),"please select a BUG ID")</f>
        <v>please select a BUG ID</v>
      </c>
      <c r="C83" s="51" t="str">
        <f>IFERROR(VLOOKUP(A83,Internal_lists_bugs!$A$2:$G1001,7,FALSE()),"please select a BUG ID")</f>
        <v>please select a BUG ID</v>
      </c>
      <c r="D83" s="51" t="str">
        <f>IFERROR(VLOOKUP(A83,Internal_lists_bugs!$A$2:$I1001,9,FALSE()),"please select a BUG ID")</f>
        <v>please select a BUG ID</v>
      </c>
      <c r="E83" s="105"/>
      <c r="G83" s="54"/>
      <c r="H83" s="105"/>
    </row>
    <row r="84">
      <c r="A84" s="54"/>
      <c r="B84" s="88" t="str">
        <f>IFERROR(HYPERLINK(VLOOKUP(A84,Internal_lists_bugs!$A$2:$C$73,3,FALSE()), VLOOKUP(A84,Internal_lists_bugs!$A$2:$C$73,3,FALSE())&amp;Char(10) &amp; Char(10) &amp; VLOOKUP(A84,Internal_lists_bugs!$A$2:$Z$73,26,FALSE())),"please select a BUG ID")</f>
        <v>please select a BUG ID</v>
      </c>
      <c r="C84" s="51" t="str">
        <f>IFERROR(VLOOKUP(A84,Internal_lists_bugs!$A$2:$G1001,7,FALSE()),"please select a BUG ID")</f>
        <v>please select a BUG ID</v>
      </c>
      <c r="D84" s="51" t="str">
        <f>IFERROR(VLOOKUP(A84,Internal_lists_bugs!$A$2:$I1001,9,FALSE()),"please select a BUG ID")</f>
        <v>please select a BUG ID</v>
      </c>
      <c r="E84" s="105"/>
      <c r="G84" s="54"/>
      <c r="H84" s="105"/>
    </row>
    <row r="85">
      <c r="A85" s="54"/>
      <c r="B85" s="88" t="str">
        <f>IFERROR(HYPERLINK(VLOOKUP(A85,Internal_lists_bugs!$A$2:$C$73,3,FALSE()), VLOOKUP(A85,Internal_lists_bugs!$A$2:$C$73,3,FALSE())&amp;Char(10) &amp; Char(10) &amp; VLOOKUP(A85,Internal_lists_bugs!$A$2:$Z$73,26,FALSE())),"please select a BUG ID")</f>
        <v>please select a BUG ID</v>
      </c>
      <c r="C85" s="51" t="str">
        <f>IFERROR(VLOOKUP(A85,Internal_lists_bugs!$A$2:$G1001,7,FALSE()),"please select a BUG ID")</f>
        <v>please select a BUG ID</v>
      </c>
      <c r="D85" s="51" t="str">
        <f>IFERROR(VLOOKUP(A85,Internal_lists_bugs!$A$2:$I1001,9,FALSE()),"please select a BUG ID")</f>
        <v>please select a BUG ID</v>
      </c>
      <c r="E85" s="105"/>
      <c r="G85" s="54"/>
      <c r="H85" s="105"/>
    </row>
    <row r="86">
      <c r="A86" s="54"/>
      <c r="B86" s="88" t="str">
        <f>IFERROR(HYPERLINK(VLOOKUP(A86,Internal_lists_bugs!$A$2:$C$73,3,FALSE()), VLOOKUP(A86,Internal_lists_bugs!$A$2:$C$73,3,FALSE())&amp;Char(10) &amp; Char(10) &amp; VLOOKUP(A86,Internal_lists_bugs!$A$2:$Z$73,26,FALSE())),"please select a BUG ID")</f>
        <v>please select a BUG ID</v>
      </c>
      <c r="C86" s="51" t="str">
        <f>IFERROR(VLOOKUP(A86,Internal_lists_bugs!$A$2:$G1001,7,FALSE()),"please select a BUG ID")</f>
        <v>please select a BUG ID</v>
      </c>
      <c r="D86" s="51" t="str">
        <f>IFERROR(VLOOKUP(A86,Internal_lists_bugs!$A$2:$I1001,9,FALSE()),"please select a BUG ID")</f>
        <v>please select a BUG ID</v>
      </c>
      <c r="E86" s="105"/>
      <c r="G86" s="54"/>
      <c r="H86" s="105"/>
    </row>
    <row r="87">
      <c r="A87" s="54"/>
      <c r="B87" s="88" t="str">
        <f>IFERROR(HYPERLINK(VLOOKUP(A87,Internal_lists_bugs!$A$2:$C$73,3,FALSE()), VLOOKUP(A87,Internal_lists_bugs!$A$2:$C$73,3,FALSE())&amp;Char(10) &amp; Char(10) &amp; VLOOKUP(A87,Internal_lists_bugs!$A$2:$Z$73,26,FALSE())),"please select a BUG ID")</f>
        <v>please select a BUG ID</v>
      </c>
      <c r="C87" s="51" t="str">
        <f>IFERROR(VLOOKUP(A87,Internal_lists_bugs!$A$2:$G1001,7,FALSE()),"please select a BUG ID")</f>
        <v>please select a BUG ID</v>
      </c>
      <c r="D87" s="51" t="str">
        <f>IFERROR(VLOOKUP(A87,Internal_lists_bugs!$A$2:$I1001,9,FALSE()),"please select a BUG ID")</f>
        <v>please select a BUG ID</v>
      </c>
      <c r="E87" s="105"/>
      <c r="G87" s="54"/>
      <c r="H87" s="105"/>
    </row>
    <row r="88">
      <c r="A88" s="54"/>
      <c r="B88" s="88" t="str">
        <f>IFERROR(HYPERLINK(VLOOKUP(A88,Internal_lists_bugs!$A$2:$C$73,3,FALSE()), VLOOKUP(A88,Internal_lists_bugs!$A$2:$C$73,3,FALSE())&amp;Char(10) &amp; Char(10) &amp; VLOOKUP(A88,Internal_lists_bugs!$A$2:$Z$73,26,FALSE())),"please select a BUG ID")</f>
        <v>please select a BUG ID</v>
      </c>
      <c r="C88" s="51" t="str">
        <f>IFERROR(VLOOKUP(A88,Internal_lists_bugs!$A$2:$G1001,7,FALSE()),"please select a BUG ID")</f>
        <v>please select a BUG ID</v>
      </c>
      <c r="D88" s="51" t="str">
        <f>IFERROR(VLOOKUP(A88,Internal_lists_bugs!$A$2:$I1001,9,FALSE()),"please select a BUG ID")</f>
        <v>please select a BUG ID</v>
      </c>
      <c r="E88" s="105"/>
      <c r="G88" s="54"/>
      <c r="H88" s="105"/>
    </row>
    <row r="89">
      <c r="A89" s="54"/>
      <c r="B89" s="88" t="str">
        <f>IFERROR(HYPERLINK(VLOOKUP(A89,Internal_lists_bugs!$A$2:$C$73,3,FALSE()), VLOOKUP(A89,Internal_lists_bugs!$A$2:$C$73,3,FALSE())&amp;Char(10) &amp; Char(10) &amp; VLOOKUP(A89,Internal_lists_bugs!$A$2:$Z$73,26,FALSE())),"please select a BUG ID")</f>
        <v>please select a BUG ID</v>
      </c>
      <c r="C89" s="51" t="str">
        <f>IFERROR(VLOOKUP(A89,Internal_lists_bugs!$A$2:$G1001,7,FALSE()),"please select a BUG ID")</f>
        <v>please select a BUG ID</v>
      </c>
      <c r="D89" s="51" t="str">
        <f>IFERROR(VLOOKUP(A89,Internal_lists_bugs!$A$2:$I1001,9,FALSE()),"please select a BUG ID")</f>
        <v>please select a BUG ID</v>
      </c>
      <c r="E89" s="105"/>
      <c r="G89" s="54"/>
      <c r="H89" s="105"/>
    </row>
    <row r="90">
      <c r="A90" s="54"/>
      <c r="B90" s="88" t="str">
        <f>IFERROR(HYPERLINK(VLOOKUP(A90,Internal_lists_bugs!$A$2:$C$73,3,FALSE()), VLOOKUP(A90,Internal_lists_bugs!$A$2:$C$73,3,FALSE())&amp;Char(10) &amp; Char(10) &amp; VLOOKUP(A90,Internal_lists_bugs!$A$2:$Z$73,26,FALSE())),"please select a BUG ID")</f>
        <v>please select a BUG ID</v>
      </c>
      <c r="C90" s="51" t="str">
        <f>IFERROR(VLOOKUP(A90,Internal_lists_bugs!$A$2:$G1001,7,FALSE()),"please select a BUG ID")</f>
        <v>please select a BUG ID</v>
      </c>
      <c r="D90" s="51" t="str">
        <f>IFERROR(VLOOKUP(A90,Internal_lists_bugs!$A$2:$I1001,9,FALSE()),"please select a BUG ID")</f>
        <v>please select a BUG ID</v>
      </c>
      <c r="E90" s="105"/>
      <c r="G90" s="54"/>
      <c r="H90" s="105"/>
    </row>
    <row r="91">
      <c r="A91" s="54"/>
      <c r="B91" s="88" t="str">
        <f>IFERROR(HYPERLINK(VLOOKUP(A91,Internal_lists_bugs!$A$2:$C$73,3,FALSE()), VLOOKUP(A91,Internal_lists_bugs!$A$2:$C$73,3,FALSE())&amp;Char(10) &amp; Char(10) &amp; VLOOKUP(A91,Internal_lists_bugs!$A$2:$Z$73,26,FALSE())),"please select a BUG ID")</f>
        <v>please select a BUG ID</v>
      </c>
      <c r="C91" s="51" t="str">
        <f>IFERROR(VLOOKUP(A91,Internal_lists_bugs!$A$2:$G1001,7,FALSE()),"please select a BUG ID")</f>
        <v>please select a BUG ID</v>
      </c>
      <c r="D91" s="51" t="str">
        <f>IFERROR(VLOOKUP(A91,Internal_lists_bugs!$A$2:$I1001,9,FALSE()),"please select a BUG ID")</f>
        <v>please select a BUG ID</v>
      </c>
      <c r="E91" s="105"/>
      <c r="G91" s="54"/>
      <c r="H91" s="105"/>
    </row>
    <row r="92">
      <c r="A92" s="54"/>
      <c r="B92" s="88" t="str">
        <f>IFERROR(HYPERLINK(VLOOKUP(A92,Internal_lists_bugs!$A$2:$C$73,3,FALSE()), VLOOKUP(A92,Internal_lists_bugs!$A$2:$C$73,3,FALSE())&amp;Char(10) &amp; Char(10) &amp; VLOOKUP(A92,Internal_lists_bugs!$A$2:$Z$73,26,FALSE())),"please select a BUG ID")</f>
        <v>please select a BUG ID</v>
      </c>
      <c r="C92" s="51" t="str">
        <f>IFERROR(VLOOKUP(A92,Internal_lists_bugs!$A$2:$G1001,7,FALSE()),"please select a BUG ID")</f>
        <v>please select a BUG ID</v>
      </c>
      <c r="D92" s="51" t="str">
        <f>IFERROR(VLOOKUP(A92,Internal_lists_bugs!$A$2:$I1001,9,FALSE()),"please select a BUG ID")</f>
        <v>please select a BUG ID</v>
      </c>
      <c r="E92" s="105"/>
      <c r="G92" s="54"/>
      <c r="H92" s="105"/>
    </row>
    <row r="93">
      <c r="A93" s="54"/>
      <c r="B93" s="88" t="str">
        <f>IFERROR(HYPERLINK(VLOOKUP(A93,Internal_lists_bugs!$A$2:$C$73,3,FALSE()), VLOOKUP(A93,Internal_lists_bugs!$A$2:$C$73,3,FALSE())&amp;Char(10) &amp; Char(10) &amp; VLOOKUP(A93,Internal_lists_bugs!$A$2:$Z$73,26,FALSE())),"please select a BUG ID")</f>
        <v>please select a BUG ID</v>
      </c>
      <c r="C93" s="51" t="str">
        <f>IFERROR(VLOOKUP(A93,Internal_lists_bugs!$A$2:$G1001,7,FALSE()),"please select a BUG ID")</f>
        <v>please select a BUG ID</v>
      </c>
      <c r="D93" s="51" t="str">
        <f>IFERROR(VLOOKUP(A93,Internal_lists_bugs!$A$2:$I1001,9,FALSE()),"please select a BUG ID")</f>
        <v>please select a BUG ID</v>
      </c>
      <c r="E93" s="105"/>
      <c r="G93" s="54"/>
      <c r="H93" s="105"/>
    </row>
    <row r="94">
      <c r="A94" s="54"/>
      <c r="B94" s="88" t="str">
        <f>IFERROR(HYPERLINK(VLOOKUP(A94,Internal_lists_bugs!$A$2:$C$73,3,FALSE()), VLOOKUP(A94,Internal_lists_bugs!$A$2:$C$73,3,FALSE())&amp;Char(10) &amp; Char(10) &amp; VLOOKUP(A94,Internal_lists_bugs!$A$2:$Z$73,26,FALSE())),"please select a BUG ID")</f>
        <v>please select a BUG ID</v>
      </c>
      <c r="C94" s="51" t="str">
        <f>IFERROR(VLOOKUP(A94,Internal_lists_bugs!$A$2:$G1001,7,FALSE()),"please select a BUG ID")</f>
        <v>please select a BUG ID</v>
      </c>
      <c r="D94" s="51" t="str">
        <f>IFERROR(VLOOKUP(A94,Internal_lists_bugs!$A$2:$I1001,9,FALSE()),"please select a BUG ID")</f>
        <v>please select a BUG ID</v>
      </c>
      <c r="E94" s="105"/>
      <c r="G94" s="54"/>
      <c r="H94" s="105"/>
    </row>
    <row r="95">
      <c r="A95" s="54"/>
      <c r="B95" s="88" t="str">
        <f>IFERROR(HYPERLINK(VLOOKUP(A95,Internal_lists_bugs!$A$2:$C$73,3,FALSE()), VLOOKUP(A95,Internal_lists_bugs!$A$2:$C$73,3,FALSE())&amp;Char(10) &amp; Char(10) &amp; VLOOKUP(A95,Internal_lists_bugs!$A$2:$Z$73,26,FALSE())),"please select a BUG ID")</f>
        <v>please select a BUG ID</v>
      </c>
      <c r="C95" s="51" t="str">
        <f>IFERROR(VLOOKUP(A95,Internal_lists_bugs!$A$2:$G1001,7,FALSE()),"please select a BUG ID")</f>
        <v>please select a BUG ID</v>
      </c>
      <c r="D95" s="51" t="str">
        <f>IFERROR(VLOOKUP(A95,Internal_lists_bugs!$A$2:$I1001,9,FALSE()),"please select a BUG ID")</f>
        <v>please select a BUG ID</v>
      </c>
      <c r="E95" s="105"/>
      <c r="G95" s="54"/>
      <c r="H95" s="105"/>
    </row>
    <row r="96">
      <c r="A96" s="54"/>
      <c r="B96" s="88" t="str">
        <f>IFERROR(HYPERLINK(VLOOKUP(A96,Internal_lists_bugs!$A$2:$C$73,3,FALSE()), VLOOKUP(A96,Internal_lists_bugs!$A$2:$C$73,3,FALSE())&amp;Char(10) &amp; Char(10) &amp; VLOOKUP(A96,Internal_lists_bugs!$A$2:$Z$73,26,FALSE())),"please select a BUG ID")</f>
        <v>please select a BUG ID</v>
      </c>
      <c r="C96" s="51" t="str">
        <f>IFERROR(VLOOKUP(A96,Internal_lists_bugs!$A$2:$G1001,7,FALSE()),"please select a BUG ID")</f>
        <v>please select a BUG ID</v>
      </c>
      <c r="D96" s="51" t="str">
        <f>IFERROR(VLOOKUP(A96,Internal_lists_bugs!$A$2:$I1001,9,FALSE()),"please select a BUG ID")</f>
        <v>please select a BUG ID</v>
      </c>
      <c r="E96" s="105"/>
      <c r="G96" s="54"/>
      <c r="H96" s="105"/>
    </row>
    <row r="97">
      <c r="A97" s="54"/>
      <c r="B97" s="88" t="str">
        <f>IFERROR(HYPERLINK(VLOOKUP(A97,Internal_lists_bugs!$A$2:$C$73,3,FALSE()), VLOOKUP(A97,Internal_lists_bugs!$A$2:$C$73,3,FALSE())&amp;Char(10) &amp; Char(10) &amp; VLOOKUP(A97,Internal_lists_bugs!$A$2:$Z$73,26,FALSE())),"please select a BUG ID")</f>
        <v>please select a BUG ID</v>
      </c>
      <c r="C97" s="51" t="str">
        <f>IFERROR(VLOOKUP(A97,Internal_lists_bugs!$A$2:$G1001,7,FALSE()),"please select a BUG ID")</f>
        <v>please select a BUG ID</v>
      </c>
      <c r="D97" s="51" t="str">
        <f>IFERROR(VLOOKUP(A97,Internal_lists_bugs!$A$2:$I1001,9,FALSE()),"please select a BUG ID")</f>
        <v>please select a BUG ID</v>
      </c>
      <c r="E97" s="105"/>
      <c r="G97" s="54"/>
      <c r="H97" s="105"/>
    </row>
    <row r="98">
      <c r="A98" s="54"/>
      <c r="B98" s="88" t="str">
        <f>IFERROR(HYPERLINK(VLOOKUP(A98,Internal_lists_bugs!$A$2:$C$73,3,FALSE()), VLOOKUP(A98,Internal_lists_bugs!$A$2:$C$73,3,FALSE())&amp;Char(10) &amp; Char(10) &amp; VLOOKUP(A98,Internal_lists_bugs!$A$2:$Z$73,26,FALSE())),"please select a BUG ID")</f>
        <v>please select a BUG ID</v>
      </c>
      <c r="C98" s="51" t="str">
        <f>IFERROR(VLOOKUP(A98,Internal_lists_bugs!$A$2:$G1001,7,FALSE()),"please select a BUG ID")</f>
        <v>please select a BUG ID</v>
      </c>
      <c r="D98" s="51" t="str">
        <f>IFERROR(VLOOKUP(A98,Internal_lists_bugs!$A$2:$I1001,9,FALSE()),"please select a BUG ID")</f>
        <v>please select a BUG ID</v>
      </c>
      <c r="E98" s="105"/>
      <c r="G98" s="54"/>
      <c r="H98" s="105"/>
    </row>
    <row r="99">
      <c r="A99" s="54"/>
      <c r="B99" s="88" t="str">
        <f>IFERROR(HYPERLINK(VLOOKUP(A99,Internal_lists_bugs!$A$2:$C$73,3,FALSE()), VLOOKUP(A99,Internal_lists_bugs!$A$2:$C$73,3,FALSE())&amp;Char(10) &amp; Char(10) &amp; VLOOKUP(A99,Internal_lists_bugs!$A$2:$Z$73,26,FALSE())),"please select a BUG ID")</f>
        <v>please select a BUG ID</v>
      </c>
      <c r="C99" s="51" t="str">
        <f>IFERROR(VLOOKUP(A99,Internal_lists_bugs!$A$2:$G1001,7,FALSE()),"please select a BUG ID")</f>
        <v>please select a BUG ID</v>
      </c>
      <c r="D99" s="51" t="str">
        <f>IFERROR(VLOOKUP(A99,Internal_lists_bugs!$A$2:$I1001,9,FALSE()),"please select a BUG ID")</f>
        <v>please select a BUG ID</v>
      </c>
      <c r="E99" s="105"/>
      <c r="G99" s="54"/>
      <c r="H99" s="105"/>
    </row>
    <row r="100">
      <c r="A100" s="54"/>
      <c r="B100" s="88" t="str">
        <f>IFERROR(HYPERLINK(VLOOKUP(A100,Internal_lists_bugs!$A$2:$C$73,3,FALSE()), VLOOKUP(A100,Internal_lists_bugs!$A$2:$C$73,3,FALSE())&amp;Char(10) &amp; Char(10) &amp; VLOOKUP(A100,Internal_lists_bugs!$A$2:$Z$73,26,FALSE())),"please select a BUG ID")</f>
        <v>please select a BUG ID</v>
      </c>
      <c r="C100" s="51" t="str">
        <f>IFERROR(VLOOKUP(A100,Internal_lists_bugs!$A$2:$G1001,7,FALSE()),"please select a BUG ID")</f>
        <v>please select a BUG ID</v>
      </c>
      <c r="D100" s="51" t="str">
        <f>IFERROR(VLOOKUP(A100,Internal_lists_bugs!$A$2:$I1001,9,FALSE()),"please select a BUG ID")</f>
        <v>please select a BUG ID</v>
      </c>
      <c r="E100" s="105"/>
      <c r="G100" s="54"/>
      <c r="H100" s="105"/>
    </row>
    <row r="101">
      <c r="A101" s="54"/>
      <c r="B101" s="88" t="str">
        <f>IFERROR(HYPERLINK(VLOOKUP(A101,Internal_lists_bugs!$A$2:$C$73,3,FALSE()), VLOOKUP(A101,Internal_lists_bugs!$A$2:$C$73,3,FALSE())&amp;Char(10) &amp; Char(10) &amp; VLOOKUP(A101,Internal_lists_bugs!$A$2:$Z$73,26,FALSE())),"please select a BUG ID")</f>
        <v>please select a BUG ID</v>
      </c>
      <c r="C101" s="51" t="str">
        <f>IFERROR(VLOOKUP(A101,Internal_lists_bugs!$A$2:$G1001,7,FALSE()),"please select a BUG ID")</f>
        <v>please select a BUG ID</v>
      </c>
      <c r="D101" s="51" t="str">
        <f>IFERROR(VLOOKUP(A101,Internal_lists_bugs!$A$2:$I1001,9,FALSE()),"please select a BUG ID")</f>
        <v>please select a BUG ID</v>
      </c>
      <c r="E101" s="105"/>
      <c r="G101" s="54"/>
      <c r="H101" s="105"/>
    </row>
    <row r="102">
      <c r="A102" s="54"/>
      <c r="B102" s="88" t="str">
        <f>IFERROR(HYPERLINK(VLOOKUP(A102,Internal_lists_bugs!$A$2:$C$73,3,FALSE()), VLOOKUP(A102,Internal_lists_bugs!$A$2:$C$73,3,FALSE())&amp;Char(10) &amp; Char(10) &amp; VLOOKUP(A102,Internal_lists_bugs!$A$2:$Z$73,26,FALSE())),"please select a BUG ID")</f>
        <v>please select a BUG ID</v>
      </c>
      <c r="C102" s="51" t="str">
        <f>IFERROR(VLOOKUP(A102,Internal_lists_bugs!$A$2:$G1001,7,FALSE()),"please select a BUG ID")</f>
        <v>please select a BUG ID</v>
      </c>
      <c r="D102" s="51" t="str">
        <f>IFERROR(VLOOKUP(A102,Internal_lists_bugs!$A$2:$I1001,9,FALSE()),"please select a BUG ID")</f>
        <v>please select a BUG ID</v>
      </c>
      <c r="E102" s="105"/>
      <c r="G102" s="54"/>
      <c r="H102" s="105"/>
    </row>
    <row r="103">
      <c r="A103" s="54"/>
      <c r="B103" s="88" t="str">
        <f>IFERROR(HYPERLINK(VLOOKUP(A103,Internal_lists_bugs!$A$2:$C$73,3,FALSE()), VLOOKUP(A103,Internal_lists_bugs!$A$2:$C$73,3,FALSE())&amp;Char(10) &amp; Char(10) &amp; VLOOKUP(A103,Internal_lists_bugs!$A$2:$Z$73,26,FALSE())),"please select a BUG ID")</f>
        <v>please select a BUG ID</v>
      </c>
      <c r="C103" s="51" t="str">
        <f>IFERROR(VLOOKUP(A103,Internal_lists_bugs!$A$2:$G1001,7,FALSE()),"please select a BUG ID")</f>
        <v>please select a BUG ID</v>
      </c>
      <c r="D103" s="51" t="str">
        <f>IFERROR(VLOOKUP(A103,Internal_lists_bugs!$A$2:$I1001,9,FALSE()),"please select a BUG ID")</f>
        <v>please select a BUG ID</v>
      </c>
      <c r="E103" s="105"/>
      <c r="G103" s="54"/>
      <c r="H103" s="105"/>
    </row>
    <row r="104">
      <c r="A104" s="54"/>
      <c r="B104" s="88" t="str">
        <f>IFERROR(HYPERLINK(VLOOKUP(A104,Internal_lists_bugs!$A$2:$C$73,3,FALSE()), VLOOKUP(A104,Internal_lists_bugs!$A$2:$C$73,3,FALSE())&amp;Char(10) &amp; Char(10) &amp; VLOOKUP(A104,Internal_lists_bugs!$A$2:$Z$73,26,FALSE())),"please select a BUG ID")</f>
        <v>please select a BUG ID</v>
      </c>
      <c r="C104" s="51" t="str">
        <f>IFERROR(VLOOKUP(A104,Internal_lists_bugs!$A$2:$G1001,7,FALSE()),"please select a BUG ID")</f>
        <v>please select a BUG ID</v>
      </c>
      <c r="D104" s="51" t="str">
        <f>IFERROR(VLOOKUP(A104,Internal_lists_bugs!$A$2:$I1001,9,FALSE()),"please select a BUG ID")</f>
        <v>please select a BUG ID</v>
      </c>
      <c r="E104" s="105"/>
      <c r="G104" s="54"/>
      <c r="H104" s="105"/>
    </row>
    <row r="105">
      <c r="A105" s="54"/>
      <c r="B105" s="88" t="str">
        <f>IFERROR(HYPERLINK(VLOOKUP(A105,Internal_lists_bugs!$A$2:$C$73,3,FALSE()), VLOOKUP(A105,Internal_lists_bugs!$A$2:$C$73,3,FALSE())&amp;Char(10) &amp; Char(10) &amp; VLOOKUP(A105,Internal_lists_bugs!$A$2:$Z$73,26,FALSE())),"please select a BUG ID")</f>
        <v>please select a BUG ID</v>
      </c>
      <c r="C105" s="51" t="str">
        <f>IFERROR(VLOOKUP(A105,Internal_lists_bugs!$A$2:$G1001,7,FALSE()),"please select a BUG ID")</f>
        <v>please select a BUG ID</v>
      </c>
      <c r="D105" s="51" t="str">
        <f>IFERROR(VLOOKUP(A105,Internal_lists_bugs!$A$2:$I1001,9,FALSE()),"please select a BUG ID")</f>
        <v>please select a BUG ID</v>
      </c>
      <c r="E105" s="105"/>
      <c r="G105" s="54"/>
      <c r="H105" s="105"/>
    </row>
    <row r="106">
      <c r="A106" s="54"/>
      <c r="B106" s="88" t="str">
        <f>IFERROR(HYPERLINK(VLOOKUP(A106,Internal_lists_bugs!$A$2:$C$73,3,FALSE()), VLOOKUP(A106,Internal_lists_bugs!$A$2:$C$73,3,FALSE())&amp;Char(10) &amp; Char(10) &amp; VLOOKUP(A106,Internal_lists_bugs!$A$2:$Z$73,26,FALSE())),"please select a BUG ID")</f>
        <v>please select a BUG ID</v>
      </c>
      <c r="C106" s="51" t="str">
        <f>IFERROR(VLOOKUP(A106,Internal_lists_bugs!$A$2:$G1001,7,FALSE()),"please select a BUG ID")</f>
        <v>please select a BUG ID</v>
      </c>
      <c r="D106" s="51" t="str">
        <f>IFERROR(VLOOKUP(A106,Internal_lists_bugs!$A$2:$I1001,9,FALSE()),"please select a BUG ID")</f>
        <v>please select a BUG ID</v>
      </c>
      <c r="E106" s="105"/>
      <c r="G106" s="54"/>
      <c r="H106" s="105"/>
    </row>
    <row r="107">
      <c r="A107" s="54"/>
      <c r="B107" s="88" t="str">
        <f>IFERROR(HYPERLINK(VLOOKUP(A107,Internal_lists_bugs!$A$2:$C$73,3,FALSE()), VLOOKUP(A107,Internal_lists_bugs!$A$2:$C$73,3,FALSE())&amp;Char(10) &amp; Char(10) &amp; VLOOKUP(A107,Internal_lists_bugs!$A$2:$Z$73,26,FALSE())),"please select a BUG ID")</f>
        <v>please select a BUG ID</v>
      </c>
      <c r="C107" s="51" t="str">
        <f>IFERROR(VLOOKUP(A107,Internal_lists_bugs!$A$2:$G1001,7,FALSE()),"please select a BUG ID")</f>
        <v>please select a BUG ID</v>
      </c>
      <c r="D107" s="51" t="str">
        <f>IFERROR(VLOOKUP(A107,Internal_lists_bugs!$A$2:$I1001,9,FALSE()),"please select a BUG ID")</f>
        <v>please select a BUG ID</v>
      </c>
      <c r="E107" s="105"/>
      <c r="G107" s="54"/>
      <c r="H107" s="105"/>
    </row>
    <row r="108">
      <c r="A108" s="54"/>
      <c r="B108" s="88" t="str">
        <f>IFERROR(HYPERLINK(VLOOKUP(A108,Internal_lists_bugs!$A$2:$C$73,3,FALSE()), VLOOKUP(A108,Internal_lists_bugs!$A$2:$C$73,3,FALSE())&amp;Char(10) &amp; Char(10) &amp; VLOOKUP(A108,Internal_lists_bugs!$A$2:$Z$73,26,FALSE())),"please select a BUG ID")</f>
        <v>please select a BUG ID</v>
      </c>
      <c r="C108" s="51" t="str">
        <f>IFERROR(VLOOKUP(A108,Internal_lists_bugs!$A$2:$G1001,7,FALSE()),"please select a BUG ID")</f>
        <v>please select a BUG ID</v>
      </c>
      <c r="D108" s="51" t="str">
        <f>IFERROR(VLOOKUP(A108,Internal_lists_bugs!$A$2:$I1001,9,FALSE()),"please select a BUG ID")</f>
        <v>please select a BUG ID</v>
      </c>
      <c r="E108" s="105"/>
      <c r="G108" s="54"/>
      <c r="H108" s="105"/>
    </row>
    <row r="109">
      <c r="A109" s="54"/>
      <c r="B109" s="88" t="str">
        <f>IFERROR(HYPERLINK(VLOOKUP(A109,Internal_lists_bugs!$A$2:$C$73,3,FALSE()), VLOOKUP(A109,Internal_lists_bugs!$A$2:$C$73,3,FALSE())&amp;Char(10) &amp; Char(10) &amp; VLOOKUP(A109,Internal_lists_bugs!$A$2:$Z$73,26,FALSE())),"please select a BUG ID")</f>
        <v>please select a BUG ID</v>
      </c>
      <c r="C109" s="51" t="str">
        <f>IFERROR(VLOOKUP(A109,Internal_lists_bugs!$A$2:$G1001,7,FALSE()),"please select a BUG ID")</f>
        <v>please select a BUG ID</v>
      </c>
      <c r="D109" s="51" t="str">
        <f>IFERROR(VLOOKUP(A109,Internal_lists_bugs!$A$2:$I1001,9,FALSE()),"please select a BUG ID")</f>
        <v>please select a BUG ID</v>
      </c>
      <c r="E109" s="105"/>
      <c r="G109" s="54"/>
      <c r="H109" s="105"/>
    </row>
    <row r="110">
      <c r="A110" s="54"/>
      <c r="B110" s="88" t="str">
        <f>IFERROR(HYPERLINK(VLOOKUP(A110,Internal_lists_bugs!$A$2:$C$73,3,FALSE()), VLOOKUP(A110,Internal_lists_bugs!$A$2:$C$73,3,FALSE())&amp;Char(10) &amp; Char(10) &amp; VLOOKUP(A110,Internal_lists_bugs!$A$2:$Z$73,26,FALSE())),"please select a BUG ID")</f>
        <v>please select a BUG ID</v>
      </c>
      <c r="C110" s="51" t="str">
        <f>IFERROR(VLOOKUP(A110,Internal_lists_bugs!$A$2:$G1001,7,FALSE()),"please select a BUG ID")</f>
        <v>please select a BUG ID</v>
      </c>
      <c r="D110" s="51" t="str">
        <f>IFERROR(VLOOKUP(A110,Internal_lists_bugs!$A$2:$I1001,9,FALSE()),"please select a BUG ID")</f>
        <v>please select a BUG ID</v>
      </c>
      <c r="E110" s="105"/>
      <c r="G110" s="54"/>
      <c r="H110" s="105"/>
    </row>
    <row r="111">
      <c r="A111" s="54"/>
      <c r="B111" s="88" t="str">
        <f>IFERROR(HYPERLINK(VLOOKUP(A111,Internal_lists_bugs!$A$2:$C$73,3,FALSE()), VLOOKUP(A111,Internal_lists_bugs!$A$2:$C$73,3,FALSE())&amp;Char(10) &amp; Char(10) &amp; VLOOKUP(A111,Internal_lists_bugs!$A$2:$Z$73,26,FALSE())),"please select a BUG ID")</f>
        <v>please select a BUG ID</v>
      </c>
      <c r="C111" s="51" t="str">
        <f>IFERROR(VLOOKUP(A111,Internal_lists_bugs!$A$2:$G1001,7,FALSE()),"please select a BUG ID")</f>
        <v>please select a BUG ID</v>
      </c>
      <c r="D111" s="51" t="str">
        <f>IFERROR(VLOOKUP(A111,Internal_lists_bugs!$A$2:$I1001,9,FALSE()),"please select a BUG ID")</f>
        <v>please select a BUG ID</v>
      </c>
      <c r="E111" s="105"/>
      <c r="G111" s="54"/>
      <c r="H111" s="105"/>
    </row>
    <row r="112">
      <c r="A112" s="54"/>
      <c r="B112" s="88" t="str">
        <f>IFERROR(HYPERLINK(VLOOKUP(A112,Internal_lists_bugs!$A$2:$C$73,3,FALSE()), VLOOKUP(A112,Internal_lists_bugs!$A$2:$C$73,3,FALSE())&amp;Char(10) &amp; Char(10) &amp; VLOOKUP(A112,Internal_lists_bugs!$A$2:$Z$73,26,FALSE())),"please select a BUG ID")</f>
        <v>please select a BUG ID</v>
      </c>
      <c r="C112" s="51" t="str">
        <f>IFERROR(VLOOKUP(A112,Internal_lists_bugs!$A$2:$G1001,7,FALSE()),"please select a BUG ID")</f>
        <v>please select a BUG ID</v>
      </c>
      <c r="D112" s="51" t="str">
        <f>IFERROR(VLOOKUP(A112,Internal_lists_bugs!$A$2:$I1001,9,FALSE()),"please select a BUG ID")</f>
        <v>please select a BUG ID</v>
      </c>
      <c r="E112" s="105"/>
      <c r="G112" s="54"/>
      <c r="H112" s="105"/>
    </row>
    <row r="113">
      <c r="A113" s="54"/>
      <c r="B113" s="88" t="str">
        <f>IFERROR(HYPERLINK(VLOOKUP(A113,Internal_lists_bugs!$A$2:$C$73,3,FALSE()), VLOOKUP(A113,Internal_lists_bugs!$A$2:$C$73,3,FALSE())&amp;Char(10) &amp; Char(10) &amp; VLOOKUP(A113,Internal_lists_bugs!$A$2:$Z$73,26,FALSE())),"please select a BUG ID")</f>
        <v>please select a BUG ID</v>
      </c>
      <c r="C113" s="51" t="str">
        <f>IFERROR(VLOOKUP(A113,Internal_lists_bugs!$A$2:$G1001,7,FALSE()),"please select a BUG ID")</f>
        <v>please select a BUG ID</v>
      </c>
      <c r="D113" s="51" t="str">
        <f>IFERROR(VLOOKUP(A113,Internal_lists_bugs!$A$2:$I1001,9,FALSE()),"please select a BUG ID")</f>
        <v>please select a BUG ID</v>
      </c>
      <c r="E113" s="105"/>
      <c r="G113" s="54"/>
      <c r="H113" s="105"/>
    </row>
    <row r="114">
      <c r="A114" s="54"/>
      <c r="B114" s="88" t="str">
        <f>IFERROR(HYPERLINK(VLOOKUP(A114,Internal_lists_bugs!$A$2:$C$73,3,FALSE()), VLOOKUP(A114,Internal_lists_bugs!$A$2:$C$73,3,FALSE())&amp;Char(10) &amp; Char(10) &amp; VLOOKUP(A114,Internal_lists_bugs!$A$2:$Z$73,26,FALSE())),"please select a BUG ID")</f>
        <v>please select a BUG ID</v>
      </c>
      <c r="C114" s="51" t="str">
        <f>IFERROR(VLOOKUP(A114,Internal_lists_bugs!$A$2:$G1001,7,FALSE()),"please select a BUG ID")</f>
        <v>please select a BUG ID</v>
      </c>
      <c r="D114" s="51" t="str">
        <f>IFERROR(VLOOKUP(A114,Internal_lists_bugs!$A$2:$I1001,9,FALSE()),"please select a BUG ID")</f>
        <v>please select a BUG ID</v>
      </c>
      <c r="E114" s="105"/>
      <c r="G114" s="54"/>
      <c r="H114" s="105"/>
    </row>
    <row r="115">
      <c r="A115" s="54"/>
      <c r="B115" s="88" t="str">
        <f>IFERROR(HYPERLINK(VLOOKUP(A115,Internal_lists_bugs!$A$2:$C$73,3,FALSE()), VLOOKUP(A115,Internal_lists_bugs!$A$2:$C$73,3,FALSE())&amp;Char(10) &amp; Char(10) &amp; VLOOKUP(A115,Internal_lists_bugs!$A$2:$Z$73,26,FALSE())),"please select a BUG ID")</f>
        <v>please select a BUG ID</v>
      </c>
      <c r="C115" s="51" t="str">
        <f>IFERROR(VLOOKUP(A115,Internal_lists_bugs!$A$2:$G1001,7,FALSE()),"please select a BUG ID")</f>
        <v>please select a BUG ID</v>
      </c>
      <c r="D115" s="51" t="str">
        <f>IFERROR(VLOOKUP(A115,Internal_lists_bugs!$A$2:$I1001,9,FALSE()),"please select a BUG ID")</f>
        <v>please select a BUG ID</v>
      </c>
      <c r="E115" s="105"/>
      <c r="G115" s="54"/>
      <c r="H115" s="105"/>
    </row>
    <row r="116">
      <c r="A116" s="54"/>
      <c r="B116" s="88" t="str">
        <f>IFERROR(HYPERLINK(VLOOKUP(A116,Internal_lists_bugs!$A$2:$C$73,3,FALSE()), VLOOKUP(A116,Internal_lists_bugs!$A$2:$C$73,3,FALSE())&amp;Char(10) &amp; Char(10) &amp; VLOOKUP(A116,Internal_lists_bugs!$A$2:$Z$73,26,FALSE())),"please select a BUG ID")</f>
        <v>please select a BUG ID</v>
      </c>
      <c r="C116" s="51" t="str">
        <f>IFERROR(VLOOKUP(A116,Internal_lists_bugs!$A$2:$G1001,7,FALSE()),"please select a BUG ID")</f>
        <v>please select a BUG ID</v>
      </c>
      <c r="D116" s="51" t="str">
        <f>IFERROR(VLOOKUP(A116,Internal_lists_bugs!$A$2:$I1001,9,FALSE()),"please select a BUG ID")</f>
        <v>please select a BUG ID</v>
      </c>
      <c r="E116" s="105"/>
      <c r="G116" s="54"/>
      <c r="H116" s="105"/>
    </row>
    <row r="117">
      <c r="A117" s="54"/>
      <c r="B117" s="88" t="str">
        <f>IFERROR(HYPERLINK(VLOOKUP(A117,Internal_lists_bugs!$A$2:$C$73,3,FALSE()), VLOOKUP(A117,Internal_lists_bugs!$A$2:$C$73,3,FALSE())&amp;Char(10) &amp; Char(10) &amp; VLOOKUP(A117,Internal_lists_bugs!$A$2:$Z$73,26,FALSE())),"please select a BUG ID")</f>
        <v>please select a BUG ID</v>
      </c>
      <c r="C117" s="51" t="str">
        <f>IFERROR(VLOOKUP(A117,Internal_lists_bugs!$A$2:$G1001,7,FALSE()),"please select a BUG ID")</f>
        <v>please select a BUG ID</v>
      </c>
      <c r="D117" s="51" t="str">
        <f>IFERROR(VLOOKUP(A117,Internal_lists_bugs!$A$2:$I1001,9,FALSE()),"please select a BUG ID")</f>
        <v>please select a BUG ID</v>
      </c>
      <c r="E117" s="105"/>
      <c r="G117" s="54"/>
      <c r="H117" s="105"/>
    </row>
    <row r="118">
      <c r="A118" s="54"/>
      <c r="B118" s="88" t="str">
        <f>IFERROR(HYPERLINK(VLOOKUP(A118,Internal_lists_bugs!$A$2:$C$73,3,FALSE()), VLOOKUP(A118,Internal_lists_bugs!$A$2:$C$73,3,FALSE())&amp;Char(10) &amp; Char(10) &amp; VLOOKUP(A118,Internal_lists_bugs!$A$2:$Z$73,26,FALSE())),"please select a BUG ID")</f>
        <v>please select a BUG ID</v>
      </c>
      <c r="C118" s="51" t="str">
        <f>IFERROR(VLOOKUP(A118,Internal_lists_bugs!$A$2:$G1001,7,FALSE()),"please select a BUG ID")</f>
        <v>please select a BUG ID</v>
      </c>
      <c r="D118" s="51" t="str">
        <f>IFERROR(VLOOKUP(A118,Internal_lists_bugs!$A$2:$I1001,9,FALSE()),"please select a BUG ID")</f>
        <v>please select a BUG ID</v>
      </c>
      <c r="E118" s="105"/>
      <c r="G118" s="54"/>
      <c r="H118" s="105"/>
    </row>
    <row r="119">
      <c r="A119" s="54"/>
      <c r="B119" s="88" t="str">
        <f>IFERROR(HYPERLINK(VLOOKUP(A119,Internal_lists_bugs!$A$2:$C$73,3,FALSE()), VLOOKUP(A119,Internal_lists_bugs!$A$2:$C$73,3,FALSE())&amp;Char(10) &amp; Char(10) &amp; VLOOKUP(A119,Internal_lists_bugs!$A$2:$Z$73,26,FALSE())),"please select a BUG ID")</f>
        <v>please select a BUG ID</v>
      </c>
      <c r="C119" s="51" t="str">
        <f>IFERROR(VLOOKUP(A119,Internal_lists_bugs!$A$2:$G1001,7,FALSE()),"please select a BUG ID")</f>
        <v>please select a BUG ID</v>
      </c>
      <c r="D119" s="51" t="str">
        <f>IFERROR(VLOOKUP(A119,Internal_lists_bugs!$A$2:$I1001,9,FALSE()),"please select a BUG ID")</f>
        <v>please select a BUG ID</v>
      </c>
      <c r="E119" s="105"/>
      <c r="G119" s="54"/>
      <c r="H119" s="105"/>
    </row>
    <row r="120">
      <c r="A120" s="54"/>
      <c r="B120" s="88" t="str">
        <f>IFERROR(HYPERLINK(VLOOKUP(A120,Internal_lists_bugs!$A$2:$C$73,3,FALSE()), VLOOKUP(A120,Internal_lists_bugs!$A$2:$C$73,3,FALSE())&amp;Char(10) &amp; Char(10) &amp; VLOOKUP(A120,Internal_lists_bugs!$A$2:$Z$73,26,FALSE())),"please select a BUG ID")</f>
        <v>please select a BUG ID</v>
      </c>
      <c r="C120" s="51" t="str">
        <f>IFERROR(VLOOKUP(A120,Internal_lists_bugs!$A$2:$G1001,7,FALSE()),"please select a BUG ID")</f>
        <v>please select a BUG ID</v>
      </c>
      <c r="D120" s="51" t="str">
        <f>IFERROR(VLOOKUP(A120,Internal_lists_bugs!$A$2:$I1001,9,FALSE()),"please select a BUG ID")</f>
        <v>please select a BUG ID</v>
      </c>
      <c r="E120" s="105"/>
      <c r="G120" s="54"/>
      <c r="H120" s="105"/>
    </row>
    <row r="121">
      <c r="A121" s="54"/>
      <c r="B121" s="88" t="str">
        <f>IFERROR(HYPERLINK(VLOOKUP(A121,Internal_lists_bugs!$A$2:$C$73,3,FALSE()), VLOOKUP(A121,Internal_lists_bugs!$A$2:$C$73,3,FALSE())&amp;Char(10) &amp; Char(10) &amp; VLOOKUP(A121,Internal_lists_bugs!$A$2:$Z$73,26,FALSE())),"please select a BUG ID")</f>
        <v>please select a BUG ID</v>
      </c>
      <c r="C121" s="51" t="str">
        <f>IFERROR(VLOOKUP(A121,Internal_lists_bugs!$A$2:$G1001,7,FALSE()),"please select a BUG ID")</f>
        <v>please select a BUG ID</v>
      </c>
      <c r="D121" s="51" t="str">
        <f>IFERROR(VLOOKUP(A121,Internal_lists_bugs!$A$2:$I1001,9,FALSE()),"please select a BUG ID")</f>
        <v>please select a BUG ID</v>
      </c>
      <c r="E121" s="105"/>
      <c r="G121" s="54"/>
      <c r="H121" s="105"/>
    </row>
    <row r="122">
      <c r="A122" s="54"/>
      <c r="B122" s="88" t="str">
        <f>IFERROR(HYPERLINK(VLOOKUP(A122,Internal_lists_bugs!$A$2:$C$73,3,FALSE()), VLOOKUP(A122,Internal_lists_bugs!$A$2:$C$73,3,FALSE())&amp;Char(10) &amp; Char(10) &amp; VLOOKUP(A122,Internal_lists_bugs!$A$2:$Z$73,26,FALSE())),"please select a BUG ID")</f>
        <v>please select a BUG ID</v>
      </c>
      <c r="C122" s="51" t="str">
        <f>IFERROR(VLOOKUP(A122,Internal_lists_bugs!$A$2:$G1001,7,FALSE()),"please select a BUG ID")</f>
        <v>please select a BUG ID</v>
      </c>
      <c r="D122" s="51" t="str">
        <f>IFERROR(VLOOKUP(A122,Internal_lists_bugs!$A$2:$I1001,9,FALSE()),"please select a BUG ID")</f>
        <v>please select a BUG ID</v>
      </c>
      <c r="E122" s="105"/>
      <c r="G122" s="54"/>
      <c r="H122" s="105"/>
    </row>
    <row r="123">
      <c r="A123" s="54"/>
      <c r="B123" s="88" t="str">
        <f>IFERROR(HYPERLINK(VLOOKUP(A123,Internal_lists_bugs!$A$2:$C$73,3,FALSE()), VLOOKUP(A123,Internal_lists_bugs!$A$2:$C$73,3,FALSE())&amp;Char(10) &amp; Char(10) &amp; VLOOKUP(A123,Internal_lists_bugs!$A$2:$Z$73,26,FALSE())),"please select a BUG ID")</f>
        <v>please select a BUG ID</v>
      </c>
      <c r="C123" s="51" t="str">
        <f>IFERROR(VLOOKUP(A123,Internal_lists_bugs!$A$2:$G1001,7,FALSE()),"please select a BUG ID")</f>
        <v>please select a BUG ID</v>
      </c>
      <c r="D123" s="51" t="str">
        <f>IFERROR(VLOOKUP(A123,Internal_lists_bugs!$A$2:$I1001,9,FALSE()),"please select a BUG ID")</f>
        <v>please select a BUG ID</v>
      </c>
      <c r="E123" s="105"/>
      <c r="G123" s="54"/>
      <c r="H123" s="105"/>
    </row>
    <row r="124">
      <c r="A124" s="54"/>
      <c r="B124" s="88" t="str">
        <f>IFERROR(HYPERLINK(VLOOKUP(A124,Internal_lists_bugs!$A$2:$C$73,3,FALSE()), VLOOKUP(A124,Internal_lists_bugs!$A$2:$C$73,3,FALSE())&amp;Char(10) &amp; Char(10) &amp; VLOOKUP(A124,Internal_lists_bugs!$A$2:$Z$73,26,FALSE())),"please select a BUG ID")</f>
        <v>please select a BUG ID</v>
      </c>
      <c r="C124" s="51" t="str">
        <f>IFERROR(VLOOKUP(A124,Internal_lists_bugs!$A$2:$G1001,7,FALSE()),"please select a BUG ID")</f>
        <v>please select a BUG ID</v>
      </c>
      <c r="D124" s="51" t="str">
        <f>IFERROR(VLOOKUP(A124,Internal_lists_bugs!$A$2:$I1001,9,FALSE()),"please select a BUG ID")</f>
        <v>please select a BUG ID</v>
      </c>
      <c r="E124" s="105"/>
      <c r="G124" s="54"/>
      <c r="H124" s="105"/>
    </row>
    <row r="125">
      <c r="A125" s="54"/>
      <c r="B125" s="88" t="str">
        <f>IFERROR(HYPERLINK(VLOOKUP(A125,Internal_lists_bugs!$A$2:$C$73,3,FALSE()), VLOOKUP(A125,Internal_lists_bugs!$A$2:$C$73,3,FALSE())&amp;Char(10) &amp; Char(10) &amp; VLOOKUP(A125,Internal_lists_bugs!$A$2:$Z$73,26,FALSE())),"please select a BUG ID")</f>
        <v>please select a BUG ID</v>
      </c>
      <c r="C125" s="51" t="str">
        <f>IFERROR(VLOOKUP(A125,Internal_lists_bugs!$A$2:$G1001,7,FALSE()),"please select a BUG ID")</f>
        <v>please select a BUG ID</v>
      </c>
      <c r="D125" s="51" t="str">
        <f>IFERROR(VLOOKUP(A125,Internal_lists_bugs!$A$2:$I1001,9,FALSE()),"please select a BUG ID")</f>
        <v>please select a BUG ID</v>
      </c>
      <c r="E125" s="105"/>
      <c r="G125" s="54"/>
      <c r="H125" s="105"/>
    </row>
    <row r="126">
      <c r="A126" s="54"/>
      <c r="B126" s="88" t="str">
        <f>IFERROR(HYPERLINK(VLOOKUP(A126,Internal_lists_bugs!$A$2:$C$73,3,FALSE()), VLOOKUP(A126,Internal_lists_bugs!$A$2:$C$73,3,FALSE())&amp;Char(10) &amp; Char(10) &amp; VLOOKUP(A126,Internal_lists_bugs!$A$2:$Z$73,26,FALSE())),"please select a BUG ID")</f>
        <v>please select a BUG ID</v>
      </c>
      <c r="C126" s="51" t="str">
        <f>IFERROR(VLOOKUP(A126,Internal_lists_bugs!$A$2:$G1001,7,FALSE()),"please select a BUG ID")</f>
        <v>please select a BUG ID</v>
      </c>
      <c r="D126" s="51" t="str">
        <f>IFERROR(VLOOKUP(A126,Internal_lists_bugs!$A$2:$I1001,9,FALSE()),"please select a BUG ID")</f>
        <v>please select a BUG ID</v>
      </c>
      <c r="E126" s="105"/>
      <c r="G126" s="54"/>
      <c r="H126" s="105"/>
    </row>
    <row r="127">
      <c r="A127" s="54"/>
      <c r="B127" s="88" t="str">
        <f>IFERROR(HYPERLINK(VLOOKUP(A127,Internal_lists_bugs!$A$2:$C$73,3,FALSE()), VLOOKUP(A127,Internal_lists_bugs!$A$2:$C$73,3,FALSE())&amp;Char(10) &amp; Char(10) &amp; VLOOKUP(A127,Internal_lists_bugs!$A$2:$Z$73,26,FALSE())),"please select a BUG ID")</f>
        <v>please select a BUG ID</v>
      </c>
      <c r="C127" s="51" t="str">
        <f>IFERROR(VLOOKUP(A127,Internal_lists_bugs!$A$2:$G1001,7,FALSE()),"please select a BUG ID")</f>
        <v>please select a BUG ID</v>
      </c>
      <c r="D127" s="51" t="str">
        <f>IFERROR(VLOOKUP(A127,Internal_lists_bugs!$A$2:$I1001,9,FALSE()),"please select a BUG ID")</f>
        <v>please select a BUG ID</v>
      </c>
      <c r="E127" s="105"/>
      <c r="G127" s="54"/>
      <c r="H127" s="105"/>
    </row>
    <row r="128">
      <c r="A128" s="54"/>
      <c r="B128" s="88" t="str">
        <f>IFERROR(HYPERLINK(VLOOKUP(A128,Internal_lists_bugs!$A$2:$C$73,3,FALSE()), VLOOKUP(A128,Internal_lists_bugs!$A$2:$C$73,3,FALSE())&amp;Char(10) &amp; Char(10) &amp; VLOOKUP(A128,Internal_lists_bugs!$A$2:$Z$73,26,FALSE())),"please select a BUG ID")</f>
        <v>please select a BUG ID</v>
      </c>
      <c r="C128" s="51" t="str">
        <f>IFERROR(VLOOKUP(A128,Internal_lists_bugs!$A$2:$G1001,7,FALSE()),"please select a BUG ID")</f>
        <v>please select a BUG ID</v>
      </c>
      <c r="D128" s="51" t="str">
        <f>IFERROR(VLOOKUP(A128,Internal_lists_bugs!$A$2:$I1001,9,FALSE()),"please select a BUG ID")</f>
        <v>please select a BUG ID</v>
      </c>
      <c r="E128" s="105"/>
      <c r="G128" s="54"/>
      <c r="H128" s="105"/>
    </row>
    <row r="129">
      <c r="A129" s="54"/>
      <c r="B129" s="88" t="str">
        <f>IFERROR(HYPERLINK(VLOOKUP(A129,Internal_lists_bugs!$A$2:$C$73,3,FALSE()), VLOOKUP(A129,Internal_lists_bugs!$A$2:$C$73,3,FALSE())&amp;Char(10) &amp; Char(10) &amp; VLOOKUP(A129,Internal_lists_bugs!$A$2:$Z$73,26,FALSE())),"please select a BUG ID")</f>
        <v>please select a BUG ID</v>
      </c>
      <c r="C129" s="51" t="str">
        <f>IFERROR(VLOOKUP(A129,Internal_lists_bugs!$A$2:$G1001,7,FALSE()),"please select a BUG ID")</f>
        <v>please select a BUG ID</v>
      </c>
      <c r="D129" s="51" t="str">
        <f>IFERROR(VLOOKUP(A129,Internal_lists_bugs!$A$2:$I1001,9,FALSE()),"please select a BUG ID")</f>
        <v>please select a BUG ID</v>
      </c>
      <c r="E129" s="105"/>
      <c r="G129" s="54"/>
      <c r="H129" s="105"/>
    </row>
    <row r="130">
      <c r="A130" s="54"/>
      <c r="B130" s="88" t="str">
        <f>IFERROR(HYPERLINK(VLOOKUP(A130,Internal_lists_bugs!$A$2:$C$73,3,FALSE()), VLOOKUP(A130,Internal_lists_bugs!$A$2:$C$73,3,FALSE())&amp;Char(10) &amp; Char(10) &amp; VLOOKUP(A130,Internal_lists_bugs!$A$2:$Z$73,26,FALSE())),"please select a BUG ID")</f>
        <v>please select a BUG ID</v>
      </c>
      <c r="C130" s="51" t="str">
        <f>IFERROR(VLOOKUP(A130,Internal_lists_bugs!$A$2:$G1001,7,FALSE()),"please select a BUG ID")</f>
        <v>please select a BUG ID</v>
      </c>
      <c r="D130" s="51" t="str">
        <f>IFERROR(VLOOKUP(A130,Internal_lists_bugs!$A$2:$I1001,9,FALSE()),"please select a BUG ID")</f>
        <v>please select a BUG ID</v>
      </c>
      <c r="E130" s="105"/>
      <c r="G130" s="54"/>
      <c r="H130" s="105"/>
    </row>
    <row r="131">
      <c r="A131" s="54"/>
      <c r="B131" s="88" t="str">
        <f>IFERROR(HYPERLINK(VLOOKUP(A131,Internal_lists_bugs!$A$2:$C$73,3,FALSE()), VLOOKUP(A131,Internal_lists_bugs!$A$2:$C$73,3,FALSE())&amp;Char(10) &amp; Char(10) &amp; VLOOKUP(A131,Internal_lists_bugs!$A$2:$Z$73,26,FALSE())),"please select a BUG ID")</f>
        <v>please select a BUG ID</v>
      </c>
      <c r="C131" s="51" t="str">
        <f>IFERROR(VLOOKUP(A131,Internal_lists_bugs!$A$2:$G1001,7,FALSE()),"please select a BUG ID")</f>
        <v>please select a BUG ID</v>
      </c>
      <c r="D131" s="51" t="str">
        <f>IFERROR(VLOOKUP(A131,Internal_lists_bugs!$A$2:$I1001,9,FALSE()),"please select a BUG ID")</f>
        <v>please select a BUG ID</v>
      </c>
      <c r="E131" s="105"/>
      <c r="G131" s="54"/>
      <c r="H131" s="105"/>
    </row>
    <row r="132">
      <c r="A132" s="54"/>
      <c r="B132" s="88" t="str">
        <f>IFERROR(HYPERLINK(VLOOKUP(A132,Internal_lists_bugs!$A$2:$C$73,3,FALSE()), VLOOKUP(A132,Internal_lists_bugs!$A$2:$C$73,3,FALSE())&amp;Char(10) &amp; Char(10) &amp; VLOOKUP(A132,Internal_lists_bugs!$A$2:$Z$73,26,FALSE())),"please select a BUG ID")</f>
        <v>please select a BUG ID</v>
      </c>
      <c r="C132" s="51" t="str">
        <f>IFERROR(VLOOKUP(A132,Internal_lists_bugs!$A$2:$G1001,7,FALSE()),"please select a BUG ID")</f>
        <v>please select a BUG ID</v>
      </c>
      <c r="D132" s="51" t="str">
        <f>IFERROR(VLOOKUP(A132,Internal_lists_bugs!$A$2:$I1001,9,FALSE()),"please select a BUG ID")</f>
        <v>please select a BUG ID</v>
      </c>
      <c r="E132" s="105"/>
      <c r="G132" s="54"/>
      <c r="H132" s="105"/>
    </row>
    <row r="133">
      <c r="A133" s="54"/>
      <c r="B133" s="88" t="str">
        <f>IFERROR(HYPERLINK(VLOOKUP(A133,Internal_lists_bugs!$A$2:$C$73,3,FALSE()), VLOOKUP(A133,Internal_lists_bugs!$A$2:$C$73,3,FALSE())&amp;Char(10) &amp; Char(10) &amp; VLOOKUP(A133,Internal_lists_bugs!$A$2:$Z$73,26,FALSE())),"please select a BUG ID")</f>
        <v>please select a BUG ID</v>
      </c>
      <c r="C133" s="51" t="str">
        <f>IFERROR(VLOOKUP(A133,Internal_lists_bugs!$A$2:$G1001,7,FALSE()),"please select a BUG ID")</f>
        <v>please select a BUG ID</v>
      </c>
      <c r="D133" s="51" t="str">
        <f>IFERROR(VLOOKUP(A133,Internal_lists_bugs!$A$2:$I1001,9,FALSE()),"please select a BUG ID")</f>
        <v>please select a BUG ID</v>
      </c>
      <c r="E133" s="105"/>
      <c r="G133" s="54"/>
      <c r="H133" s="105"/>
    </row>
    <row r="134">
      <c r="A134" s="54"/>
      <c r="B134" s="88" t="str">
        <f>IFERROR(HYPERLINK(VLOOKUP(A134,Internal_lists_bugs!$A$2:$C$73,3,FALSE()), VLOOKUP(A134,Internal_lists_bugs!$A$2:$C$73,3,FALSE())&amp;Char(10) &amp; Char(10) &amp; VLOOKUP(A134,Internal_lists_bugs!$A$2:$Z$73,26,FALSE())),"please select a BUG ID")</f>
        <v>please select a BUG ID</v>
      </c>
      <c r="C134" s="51" t="str">
        <f>IFERROR(VLOOKUP(A134,Internal_lists_bugs!$A$2:$G1001,7,FALSE()),"please select a BUG ID")</f>
        <v>please select a BUG ID</v>
      </c>
      <c r="D134" s="51" t="str">
        <f>IFERROR(VLOOKUP(A134,Internal_lists_bugs!$A$2:$I1001,9,FALSE()),"please select a BUG ID")</f>
        <v>please select a BUG ID</v>
      </c>
      <c r="E134" s="105"/>
      <c r="G134" s="54"/>
      <c r="H134" s="105"/>
    </row>
    <row r="135">
      <c r="A135" s="54"/>
      <c r="B135" s="88" t="str">
        <f>IFERROR(HYPERLINK(VLOOKUP(A135,Internal_lists_bugs!$A$2:$C$73,3,FALSE()), VLOOKUP(A135,Internal_lists_bugs!$A$2:$C$73,3,FALSE())&amp;Char(10) &amp; Char(10) &amp; VLOOKUP(A135,Internal_lists_bugs!$A$2:$Z$73,26,FALSE())),"please select a BUG ID")</f>
        <v>please select a BUG ID</v>
      </c>
      <c r="C135" s="51" t="str">
        <f>IFERROR(VLOOKUP(A135,Internal_lists_bugs!$A$2:$G1001,7,FALSE()),"please select a BUG ID")</f>
        <v>please select a BUG ID</v>
      </c>
      <c r="D135" s="51" t="str">
        <f>IFERROR(VLOOKUP(A135,Internal_lists_bugs!$A$2:$I1001,9,FALSE()),"please select a BUG ID")</f>
        <v>please select a BUG ID</v>
      </c>
      <c r="E135" s="105"/>
      <c r="G135" s="54"/>
      <c r="H135" s="105"/>
    </row>
    <row r="136">
      <c r="A136" s="54"/>
      <c r="B136" s="88" t="str">
        <f>IFERROR(HYPERLINK(VLOOKUP(A136,Internal_lists_bugs!$A$2:$C$73,3,FALSE()), VLOOKUP(A136,Internal_lists_bugs!$A$2:$C$73,3,FALSE())&amp;Char(10) &amp; Char(10) &amp; VLOOKUP(A136,Internal_lists_bugs!$A$2:$Z$73,26,FALSE())),"please select a BUG ID")</f>
        <v>please select a BUG ID</v>
      </c>
      <c r="C136" s="51" t="str">
        <f>IFERROR(VLOOKUP(A136,Internal_lists_bugs!$A$2:$G1001,7,FALSE()),"please select a BUG ID")</f>
        <v>please select a BUG ID</v>
      </c>
      <c r="D136" s="51" t="str">
        <f>IFERROR(VLOOKUP(A136,Internal_lists_bugs!$A$2:$I1001,9,FALSE()),"please select a BUG ID")</f>
        <v>please select a BUG ID</v>
      </c>
      <c r="E136" s="105"/>
      <c r="G136" s="54"/>
      <c r="H136" s="105"/>
    </row>
    <row r="137">
      <c r="A137" s="54"/>
      <c r="B137" s="88" t="str">
        <f>IFERROR(HYPERLINK(VLOOKUP(A137,Internal_lists_bugs!$A$2:$C$73,3,FALSE()), VLOOKUP(A137,Internal_lists_bugs!$A$2:$C$73,3,FALSE())&amp;Char(10) &amp; Char(10) &amp; VLOOKUP(A137,Internal_lists_bugs!$A$2:$Z$73,26,FALSE())),"please select a BUG ID")</f>
        <v>please select a BUG ID</v>
      </c>
      <c r="C137" s="51" t="str">
        <f>IFERROR(VLOOKUP(A137,Internal_lists_bugs!$A$2:$G1001,7,FALSE()),"please select a BUG ID")</f>
        <v>please select a BUG ID</v>
      </c>
      <c r="D137" s="51" t="str">
        <f>IFERROR(VLOOKUP(A137,Internal_lists_bugs!$A$2:$I1001,9,FALSE()),"please select a BUG ID")</f>
        <v>please select a BUG ID</v>
      </c>
      <c r="E137" s="105"/>
      <c r="G137" s="54"/>
      <c r="H137" s="105"/>
    </row>
    <row r="138">
      <c r="A138" s="54"/>
      <c r="B138" s="88" t="str">
        <f>IFERROR(HYPERLINK(VLOOKUP(A138,Internal_lists_bugs!$A$2:$C$73,3,FALSE()), VLOOKUP(A138,Internal_lists_bugs!$A$2:$C$73,3,FALSE())&amp;Char(10) &amp; Char(10) &amp; VLOOKUP(A138,Internal_lists_bugs!$A$2:$Z$73,26,FALSE())),"please select a BUG ID")</f>
        <v>please select a BUG ID</v>
      </c>
      <c r="C138" s="51" t="str">
        <f>IFERROR(VLOOKUP(A138,Internal_lists_bugs!$A$2:$G1001,7,FALSE()),"please select a BUG ID")</f>
        <v>please select a BUG ID</v>
      </c>
      <c r="D138" s="51" t="str">
        <f>IFERROR(VLOOKUP(A138,Internal_lists_bugs!$A$2:$I1001,9,FALSE()),"please select a BUG ID")</f>
        <v>please select a BUG ID</v>
      </c>
      <c r="E138" s="105"/>
      <c r="G138" s="54"/>
      <c r="H138" s="105"/>
    </row>
    <row r="139">
      <c r="A139" s="54"/>
      <c r="B139" s="88" t="str">
        <f>IFERROR(HYPERLINK(VLOOKUP(A139,Internal_lists_bugs!$A$2:$C$73,3,FALSE()), VLOOKUP(A139,Internal_lists_bugs!$A$2:$C$73,3,FALSE())&amp;Char(10) &amp; Char(10) &amp; VLOOKUP(A139,Internal_lists_bugs!$A$2:$Z$73,26,FALSE())),"please select a BUG ID")</f>
        <v>please select a BUG ID</v>
      </c>
      <c r="C139" s="51" t="str">
        <f>IFERROR(VLOOKUP(A139,Internal_lists_bugs!$A$2:$G1001,7,FALSE()),"please select a BUG ID")</f>
        <v>please select a BUG ID</v>
      </c>
      <c r="D139" s="51" t="str">
        <f>IFERROR(VLOOKUP(A139,Internal_lists_bugs!$A$2:$I1001,9,FALSE()),"please select a BUG ID")</f>
        <v>please select a BUG ID</v>
      </c>
      <c r="E139" s="105"/>
      <c r="G139" s="54"/>
      <c r="H139" s="105"/>
    </row>
    <row r="140">
      <c r="A140" s="54"/>
      <c r="B140" s="88" t="str">
        <f>IFERROR(HYPERLINK(VLOOKUP(A140,Internal_lists_bugs!$A$2:$C$73,3,FALSE()), VLOOKUP(A140,Internal_lists_bugs!$A$2:$C$73,3,FALSE())&amp;Char(10) &amp; Char(10) &amp; VLOOKUP(A140,Internal_lists_bugs!$A$2:$Z$73,26,FALSE())),"please select a BUG ID")</f>
        <v>please select a BUG ID</v>
      </c>
      <c r="C140" s="51" t="str">
        <f>IFERROR(VLOOKUP(A140,Internal_lists_bugs!$A$2:$G1001,7,FALSE()),"please select a BUG ID")</f>
        <v>please select a BUG ID</v>
      </c>
      <c r="D140" s="51" t="str">
        <f>IFERROR(VLOOKUP(A140,Internal_lists_bugs!$A$2:$I1001,9,FALSE()),"please select a BUG ID")</f>
        <v>please select a BUG ID</v>
      </c>
      <c r="E140" s="105"/>
      <c r="G140" s="54"/>
      <c r="H140" s="105"/>
    </row>
    <row r="141">
      <c r="A141" s="54"/>
      <c r="B141" s="88" t="str">
        <f>IFERROR(HYPERLINK(VLOOKUP(A141,Internal_lists_bugs!$A$2:$C$73,3,FALSE()), VLOOKUP(A141,Internal_lists_bugs!$A$2:$C$73,3,FALSE())&amp;Char(10) &amp; Char(10) &amp; VLOOKUP(A141,Internal_lists_bugs!$A$2:$Z$73,26,FALSE())),"please select a BUG ID")</f>
        <v>please select a BUG ID</v>
      </c>
      <c r="C141" s="51" t="str">
        <f>IFERROR(VLOOKUP(A141,Internal_lists_bugs!$A$2:$G1001,7,FALSE()),"please select a BUG ID")</f>
        <v>please select a BUG ID</v>
      </c>
      <c r="D141" s="51" t="str">
        <f>IFERROR(VLOOKUP(A141,Internal_lists_bugs!$A$2:$I1001,9,FALSE()),"please select a BUG ID")</f>
        <v>please select a BUG ID</v>
      </c>
      <c r="E141" s="105"/>
      <c r="G141" s="54"/>
      <c r="H141" s="105"/>
    </row>
    <row r="142">
      <c r="A142" s="54"/>
      <c r="B142" s="88" t="str">
        <f>IFERROR(HYPERLINK(VLOOKUP(A142,Internal_lists_bugs!$A$2:$C$73,3,FALSE()), VLOOKUP(A142,Internal_lists_bugs!$A$2:$C$73,3,FALSE())&amp;Char(10) &amp; Char(10) &amp; VLOOKUP(A142,Internal_lists_bugs!$A$2:$Z$73,26,FALSE())),"please select a BUG ID")</f>
        <v>please select a BUG ID</v>
      </c>
      <c r="C142" s="51" t="str">
        <f>IFERROR(VLOOKUP(A142,Internal_lists_bugs!$A$2:$G1001,7,FALSE()),"please select a BUG ID")</f>
        <v>please select a BUG ID</v>
      </c>
      <c r="D142" s="51" t="str">
        <f>IFERROR(VLOOKUP(A142,Internal_lists_bugs!$A$2:$I1001,9,FALSE()),"please select a BUG ID")</f>
        <v>please select a BUG ID</v>
      </c>
      <c r="E142" s="105"/>
      <c r="G142" s="54"/>
      <c r="H142" s="105"/>
    </row>
    <row r="143">
      <c r="A143" s="54"/>
      <c r="B143" s="88" t="str">
        <f>IFERROR(HYPERLINK(VLOOKUP(A143,Internal_lists_bugs!$A$2:$C$73,3,FALSE()), VLOOKUP(A143,Internal_lists_bugs!$A$2:$C$73,3,FALSE())&amp;Char(10) &amp; Char(10) &amp; VLOOKUP(A143,Internal_lists_bugs!$A$2:$Z$73,26,FALSE())),"please select a BUG ID")</f>
        <v>please select a BUG ID</v>
      </c>
      <c r="C143" s="51" t="str">
        <f>IFERROR(VLOOKUP(A143,Internal_lists_bugs!$A$2:$G1001,7,FALSE()),"please select a BUG ID")</f>
        <v>please select a BUG ID</v>
      </c>
      <c r="D143" s="51" t="str">
        <f>IFERROR(VLOOKUP(A143,Internal_lists_bugs!$A$2:$I1001,9,FALSE()),"please select a BUG ID")</f>
        <v>please select a BUG ID</v>
      </c>
      <c r="E143" s="105"/>
      <c r="G143" s="54"/>
      <c r="H143" s="105"/>
    </row>
    <row r="144">
      <c r="A144" s="54"/>
      <c r="B144" s="88" t="str">
        <f>IFERROR(HYPERLINK(VLOOKUP(A144,Internal_lists_bugs!$A$2:$C$73,3,FALSE()), VLOOKUP(A144,Internal_lists_bugs!$A$2:$C$73,3,FALSE())&amp;Char(10) &amp; Char(10) &amp; VLOOKUP(A144,Internal_lists_bugs!$A$2:$Z$73,26,FALSE())),"please select a BUG ID")</f>
        <v>please select a BUG ID</v>
      </c>
      <c r="C144" s="51" t="str">
        <f>IFERROR(VLOOKUP(A144,Internal_lists_bugs!$A$2:$G1001,7,FALSE()),"please select a BUG ID")</f>
        <v>please select a BUG ID</v>
      </c>
      <c r="D144" s="51" t="str">
        <f>IFERROR(VLOOKUP(A144,Internal_lists_bugs!$A$2:$I1001,9,FALSE()),"please select a BUG ID")</f>
        <v>please select a BUG ID</v>
      </c>
      <c r="E144" s="105"/>
      <c r="G144" s="54"/>
      <c r="H144" s="105"/>
    </row>
    <row r="145">
      <c r="A145" s="54"/>
      <c r="B145" s="88" t="str">
        <f>IFERROR(HYPERLINK(VLOOKUP(A145,Internal_lists_bugs!$A$2:$C$73,3,FALSE()), VLOOKUP(A145,Internal_lists_bugs!$A$2:$C$73,3,FALSE())&amp;Char(10) &amp; Char(10) &amp; VLOOKUP(A145,Internal_lists_bugs!$A$2:$Z$73,26,FALSE())),"please select a BUG ID")</f>
        <v>please select a BUG ID</v>
      </c>
      <c r="C145" s="51" t="str">
        <f>IFERROR(VLOOKUP(A145,Internal_lists_bugs!$A$2:$G1001,7,FALSE()),"please select a BUG ID")</f>
        <v>please select a BUG ID</v>
      </c>
      <c r="D145" s="51" t="str">
        <f>IFERROR(VLOOKUP(A145,Internal_lists_bugs!$A$2:$I1001,9,FALSE()),"please select a BUG ID")</f>
        <v>please select a BUG ID</v>
      </c>
      <c r="E145" s="105"/>
      <c r="G145" s="54"/>
      <c r="H145" s="105"/>
    </row>
    <row r="146">
      <c r="A146" s="54"/>
      <c r="B146" s="88" t="str">
        <f>IFERROR(HYPERLINK(VLOOKUP(A146,Internal_lists_bugs!$A$2:$C$73,3,FALSE()), VLOOKUP(A146,Internal_lists_bugs!$A$2:$C$73,3,FALSE())&amp;Char(10) &amp; Char(10) &amp; VLOOKUP(A146,Internal_lists_bugs!$A$2:$Z$73,26,FALSE())),"please select a BUG ID")</f>
        <v>please select a BUG ID</v>
      </c>
      <c r="C146" s="51" t="str">
        <f>IFERROR(VLOOKUP(A146,Internal_lists_bugs!$A$2:$G1001,7,FALSE()),"please select a BUG ID")</f>
        <v>please select a BUG ID</v>
      </c>
      <c r="D146" s="51" t="str">
        <f>IFERROR(VLOOKUP(A146,Internal_lists_bugs!$A$2:$I1001,9,FALSE()),"please select a BUG ID")</f>
        <v>please select a BUG ID</v>
      </c>
      <c r="E146" s="105"/>
      <c r="G146" s="54"/>
      <c r="H146" s="105"/>
    </row>
    <row r="147">
      <c r="A147" s="54"/>
      <c r="B147" s="88" t="str">
        <f>IFERROR(HYPERLINK(VLOOKUP(A147,Internal_lists_bugs!$A$2:$C$73,3,FALSE()), VLOOKUP(A147,Internal_lists_bugs!$A$2:$C$73,3,FALSE())&amp;Char(10) &amp; Char(10) &amp; VLOOKUP(A147,Internal_lists_bugs!$A$2:$Z$73,26,FALSE())),"please select a BUG ID")</f>
        <v>please select a BUG ID</v>
      </c>
      <c r="C147" s="51" t="str">
        <f>IFERROR(VLOOKUP(A147,Internal_lists_bugs!$A$2:$G1001,7,FALSE()),"please select a BUG ID")</f>
        <v>please select a BUG ID</v>
      </c>
      <c r="D147" s="51" t="str">
        <f>IFERROR(VLOOKUP(A147,Internal_lists_bugs!$A$2:$I1001,9,FALSE()),"please select a BUG ID")</f>
        <v>please select a BUG ID</v>
      </c>
      <c r="E147" s="105"/>
      <c r="G147" s="54"/>
      <c r="H147" s="105"/>
    </row>
    <row r="148">
      <c r="A148" s="54"/>
      <c r="B148" s="88" t="str">
        <f>IFERROR(HYPERLINK(VLOOKUP(A148,Internal_lists_bugs!$A$2:$C$73,3,FALSE()), VLOOKUP(A148,Internal_lists_bugs!$A$2:$C$73,3,FALSE())&amp;Char(10) &amp; Char(10) &amp; VLOOKUP(A148,Internal_lists_bugs!$A$2:$Z$73,26,FALSE())),"please select a BUG ID")</f>
        <v>please select a BUG ID</v>
      </c>
      <c r="C148" s="51" t="str">
        <f>IFERROR(VLOOKUP(A148,Internal_lists_bugs!$A$2:$G1001,7,FALSE()),"please select a BUG ID")</f>
        <v>please select a BUG ID</v>
      </c>
      <c r="D148" s="51" t="str">
        <f>IFERROR(VLOOKUP(A148,Internal_lists_bugs!$A$2:$I1001,9,FALSE()),"please select a BUG ID")</f>
        <v>please select a BUG ID</v>
      </c>
      <c r="E148" s="105"/>
      <c r="G148" s="54"/>
      <c r="H148" s="105"/>
    </row>
    <row r="149">
      <c r="A149" s="54"/>
      <c r="B149" s="88" t="str">
        <f>IFERROR(HYPERLINK(VLOOKUP(A149,Internal_lists_bugs!$A$2:$C$73,3,FALSE()), VLOOKUP(A149,Internal_lists_bugs!$A$2:$C$73,3,FALSE())&amp;Char(10) &amp; Char(10) &amp; VLOOKUP(A149,Internal_lists_bugs!$A$2:$Z$73,26,FALSE())),"please select a BUG ID")</f>
        <v>please select a BUG ID</v>
      </c>
      <c r="C149" s="51" t="str">
        <f>IFERROR(VLOOKUP(A149,Internal_lists_bugs!$A$2:$G1001,7,FALSE()),"please select a BUG ID")</f>
        <v>please select a BUG ID</v>
      </c>
      <c r="D149" s="51" t="str">
        <f>IFERROR(VLOOKUP(A149,Internal_lists_bugs!$A$2:$I1001,9,FALSE()),"please select a BUG ID")</f>
        <v>please select a BUG ID</v>
      </c>
      <c r="E149" s="105"/>
      <c r="G149" s="54"/>
      <c r="H149" s="105"/>
    </row>
    <row r="150">
      <c r="A150" s="54"/>
      <c r="B150" s="88" t="str">
        <f>IFERROR(HYPERLINK(VLOOKUP(A150,Internal_lists_bugs!$A$2:$C$73,3,FALSE()), VLOOKUP(A150,Internal_lists_bugs!$A$2:$C$73,3,FALSE())&amp;Char(10) &amp; Char(10) &amp; VLOOKUP(A150,Internal_lists_bugs!$A$2:$Z$73,26,FALSE())),"please select a BUG ID")</f>
        <v>please select a BUG ID</v>
      </c>
      <c r="C150" s="51" t="str">
        <f>IFERROR(VLOOKUP(A150,Internal_lists_bugs!$A$2:$G1001,7,FALSE()),"please select a BUG ID")</f>
        <v>please select a BUG ID</v>
      </c>
      <c r="D150" s="51" t="str">
        <f>IFERROR(VLOOKUP(A150,Internal_lists_bugs!$A$2:$I1001,9,FALSE()),"please select a BUG ID")</f>
        <v>please select a BUG ID</v>
      </c>
      <c r="E150" s="105"/>
      <c r="G150" s="54"/>
      <c r="H150" s="105"/>
    </row>
    <row r="151">
      <c r="A151" s="54"/>
      <c r="B151" s="88" t="str">
        <f>IFERROR(HYPERLINK(VLOOKUP(A151,Internal_lists_bugs!$A$2:$C$73,3,FALSE()), VLOOKUP(A151,Internal_lists_bugs!$A$2:$C$73,3,FALSE())&amp;Char(10) &amp; Char(10) &amp; VLOOKUP(A151,Internal_lists_bugs!$A$2:$Z$73,26,FALSE())),"please select a BUG ID")</f>
        <v>please select a BUG ID</v>
      </c>
      <c r="C151" s="51" t="str">
        <f>IFERROR(VLOOKUP(A151,Internal_lists_bugs!$A$2:$G1001,7,FALSE()),"please select a BUG ID")</f>
        <v>please select a BUG ID</v>
      </c>
      <c r="D151" s="51" t="str">
        <f>IFERROR(VLOOKUP(A151,Internal_lists_bugs!$A$2:$I1001,9,FALSE()),"please select a BUG ID")</f>
        <v>please select a BUG ID</v>
      </c>
      <c r="E151" s="105"/>
      <c r="G151" s="54"/>
      <c r="H151" s="105"/>
    </row>
    <row r="152">
      <c r="A152" s="54"/>
      <c r="B152" s="88" t="str">
        <f>IFERROR(HYPERLINK(VLOOKUP(A152,Internal_lists_bugs!$A$2:$C$73,3,FALSE()), VLOOKUP(A152,Internal_lists_bugs!$A$2:$C$73,3,FALSE())&amp;Char(10) &amp; Char(10) &amp; VLOOKUP(A152,Internal_lists_bugs!$A$2:$Z$73,26,FALSE())),"please select a BUG ID")</f>
        <v>please select a BUG ID</v>
      </c>
      <c r="C152" s="51" t="str">
        <f>IFERROR(VLOOKUP(A152,Internal_lists_bugs!$A$2:$G1001,7,FALSE()),"please select a BUG ID")</f>
        <v>please select a BUG ID</v>
      </c>
      <c r="D152" s="51" t="str">
        <f>IFERROR(VLOOKUP(A152,Internal_lists_bugs!$A$2:$I1001,9,FALSE()),"please select a BUG ID")</f>
        <v>please select a BUG ID</v>
      </c>
      <c r="E152" s="105"/>
      <c r="G152" s="54"/>
      <c r="H152" s="105"/>
    </row>
    <row r="153">
      <c r="A153" s="54"/>
      <c r="B153" s="88" t="str">
        <f>IFERROR(HYPERLINK(VLOOKUP(A153,Internal_lists_bugs!$A$2:$C$73,3,FALSE()), VLOOKUP(A153,Internal_lists_bugs!$A$2:$C$73,3,FALSE())&amp;Char(10) &amp; Char(10) &amp; VLOOKUP(A153,Internal_lists_bugs!$A$2:$Z$73,26,FALSE())),"please select a BUG ID")</f>
        <v>please select a BUG ID</v>
      </c>
      <c r="C153" s="51" t="str">
        <f>IFERROR(VLOOKUP(A153,Internal_lists_bugs!$A$2:$G1001,7,FALSE()),"please select a BUG ID")</f>
        <v>please select a BUG ID</v>
      </c>
      <c r="D153" s="51" t="str">
        <f>IFERROR(VLOOKUP(A153,Internal_lists_bugs!$A$2:$I1001,9,FALSE()),"please select a BUG ID")</f>
        <v>please select a BUG ID</v>
      </c>
      <c r="E153" s="105"/>
      <c r="G153" s="54"/>
      <c r="H153" s="105"/>
    </row>
    <row r="154">
      <c r="A154" s="54"/>
      <c r="B154" s="88" t="str">
        <f>IFERROR(HYPERLINK(VLOOKUP(A154,Internal_lists_bugs!$A$2:$C$73,3,FALSE()), VLOOKUP(A154,Internal_lists_bugs!$A$2:$C$73,3,FALSE())&amp;Char(10) &amp; Char(10) &amp; VLOOKUP(A154,Internal_lists_bugs!$A$2:$Z$73,26,FALSE())),"please select a BUG ID")</f>
        <v>please select a BUG ID</v>
      </c>
      <c r="C154" s="51" t="str">
        <f>IFERROR(VLOOKUP(A154,Internal_lists_bugs!$A$2:$G1001,7,FALSE()),"please select a BUG ID")</f>
        <v>please select a BUG ID</v>
      </c>
      <c r="D154" s="51" t="str">
        <f>IFERROR(VLOOKUP(A154,Internal_lists_bugs!$A$2:$I1001,9,FALSE()),"please select a BUG ID")</f>
        <v>please select a BUG ID</v>
      </c>
      <c r="E154" s="105"/>
      <c r="G154" s="54"/>
      <c r="H154" s="105"/>
    </row>
    <row r="155">
      <c r="A155" s="54"/>
      <c r="B155" s="88" t="str">
        <f>IFERROR(HYPERLINK(VLOOKUP(A155,Internal_lists_bugs!$A$2:$C$73,3,FALSE()), VLOOKUP(A155,Internal_lists_bugs!$A$2:$C$73,3,FALSE())&amp;Char(10) &amp; Char(10) &amp; VLOOKUP(A155,Internal_lists_bugs!$A$2:$Z$73,26,FALSE())),"please select a BUG ID")</f>
        <v>please select a BUG ID</v>
      </c>
      <c r="C155" s="51" t="str">
        <f>IFERROR(VLOOKUP(A155,Internal_lists_bugs!$A$2:$G1001,7,FALSE()),"please select a BUG ID")</f>
        <v>please select a BUG ID</v>
      </c>
      <c r="D155" s="51" t="str">
        <f>IFERROR(VLOOKUP(A155,Internal_lists_bugs!$A$2:$I1001,9,FALSE()),"please select a BUG ID")</f>
        <v>please select a BUG ID</v>
      </c>
      <c r="E155" s="105"/>
      <c r="G155" s="54"/>
      <c r="H155" s="105"/>
    </row>
    <row r="156">
      <c r="A156" s="54"/>
      <c r="B156" s="88" t="str">
        <f>IFERROR(HYPERLINK(VLOOKUP(A156,Internal_lists_bugs!$A$2:$C$73,3,FALSE()), VLOOKUP(A156,Internal_lists_bugs!$A$2:$C$73,3,FALSE())&amp;Char(10) &amp; Char(10) &amp; VLOOKUP(A156,Internal_lists_bugs!$A$2:$Z$73,26,FALSE())),"please select a BUG ID")</f>
        <v>please select a BUG ID</v>
      </c>
      <c r="C156" s="51" t="str">
        <f>IFERROR(VLOOKUP(A156,Internal_lists_bugs!$A$2:$G1001,7,FALSE()),"please select a BUG ID")</f>
        <v>please select a BUG ID</v>
      </c>
      <c r="D156" s="51" t="str">
        <f>IFERROR(VLOOKUP(A156,Internal_lists_bugs!$A$2:$I1001,9,FALSE()),"please select a BUG ID")</f>
        <v>please select a BUG ID</v>
      </c>
      <c r="E156" s="105"/>
      <c r="G156" s="54"/>
      <c r="H156" s="105"/>
    </row>
    <row r="157">
      <c r="A157" s="54"/>
      <c r="B157" s="88" t="str">
        <f>IFERROR(HYPERLINK(VLOOKUP(A157,Internal_lists_bugs!$A$2:$C$73,3,FALSE()), VLOOKUP(A157,Internal_lists_bugs!$A$2:$C$73,3,FALSE())&amp;Char(10) &amp; Char(10) &amp; VLOOKUP(A157,Internal_lists_bugs!$A$2:$Z$73,26,FALSE())),"please select a BUG ID")</f>
        <v>please select a BUG ID</v>
      </c>
      <c r="C157" s="51" t="str">
        <f>IFERROR(VLOOKUP(A157,Internal_lists_bugs!$A$2:$G1001,7,FALSE()),"please select a BUG ID")</f>
        <v>please select a BUG ID</v>
      </c>
      <c r="D157" s="51" t="str">
        <f>IFERROR(VLOOKUP(A157,Internal_lists_bugs!$A$2:$I1001,9,FALSE()),"please select a BUG ID")</f>
        <v>please select a BUG ID</v>
      </c>
      <c r="E157" s="105"/>
      <c r="G157" s="54"/>
      <c r="H157" s="105"/>
    </row>
    <row r="158">
      <c r="A158" s="54"/>
      <c r="B158" s="88" t="str">
        <f>IFERROR(HYPERLINK(VLOOKUP(A158,Internal_lists_bugs!$A$2:$C$73,3,FALSE()), VLOOKUP(A158,Internal_lists_bugs!$A$2:$C$73,3,FALSE())&amp;Char(10) &amp; Char(10) &amp; VLOOKUP(A158,Internal_lists_bugs!$A$2:$Z$73,26,FALSE())),"please select a BUG ID")</f>
        <v>please select a BUG ID</v>
      </c>
      <c r="C158" s="51" t="str">
        <f>IFERROR(VLOOKUP(A158,Internal_lists_bugs!$A$2:$G1001,7,FALSE()),"please select a BUG ID")</f>
        <v>please select a BUG ID</v>
      </c>
      <c r="D158" s="51" t="str">
        <f>IFERROR(VLOOKUP(A158,Internal_lists_bugs!$A$2:$I1001,9,FALSE()),"please select a BUG ID")</f>
        <v>please select a BUG ID</v>
      </c>
      <c r="E158" s="105"/>
      <c r="G158" s="54"/>
      <c r="H158" s="105"/>
    </row>
    <row r="159">
      <c r="A159" s="54"/>
      <c r="B159" s="88" t="str">
        <f>IFERROR(HYPERLINK(VLOOKUP(A159,Internal_lists_bugs!$A$2:$C$73,3,FALSE()), VLOOKUP(A159,Internal_lists_bugs!$A$2:$C$73,3,FALSE())&amp;Char(10) &amp; Char(10) &amp; VLOOKUP(A159,Internal_lists_bugs!$A$2:$Z$73,26,FALSE())),"please select a BUG ID")</f>
        <v>please select a BUG ID</v>
      </c>
      <c r="C159" s="51" t="str">
        <f>IFERROR(VLOOKUP(A159,Internal_lists_bugs!$A$2:$G1001,7,FALSE()),"please select a BUG ID")</f>
        <v>please select a BUG ID</v>
      </c>
      <c r="D159" s="51" t="str">
        <f>IFERROR(VLOOKUP(A159,Internal_lists_bugs!$A$2:$I1001,9,FALSE()),"please select a BUG ID")</f>
        <v>please select a BUG ID</v>
      </c>
      <c r="E159" s="105"/>
      <c r="G159" s="54"/>
      <c r="H159" s="105"/>
    </row>
    <row r="160">
      <c r="A160" s="54"/>
      <c r="B160" s="88" t="str">
        <f>IFERROR(HYPERLINK(VLOOKUP(A160,Internal_lists_bugs!$A$2:$C$73,3,FALSE()), VLOOKUP(A160,Internal_lists_bugs!$A$2:$C$73,3,FALSE())&amp;Char(10) &amp; Char(10) &amp; VLOOKUP(A160,Internal_lists_bugs!$A$2:$Z$73,26,FALSE())),"please select a BUG ID")</f>
        <v>please select a BUG ID</v>
      </c>
      <c r="C160" s="51" t="str">
        <f>IFERROR(VLOOKUP(A160,Internal_lists_bugs!$A$2:$G1001,7,FALSE()),"please select a BUG ID")</f>
        <v>please select a BUG ID</v>
      </c>
      <c r="D160" s="51" t="str">
        <f>IFERROR(VLOOKUP(A160,Internal_lists_bugs!$A$2:$I1001,9,FALSE()),"please select a BUG ID")</f>
        <v>please select a BUG ID</v>
      </c>
      <c r="E160" s="105"/>
      <c r="G160" s="54"/>
      <c r="H160" s="105"/>
    </row>
    <row r="161">
      <c r="A161" s="54"/>
      <c r="B161" s="88" t="str">
        <f>IFERROR(HYPERLINK(VLOOKUP(A161,Internal_lists_bugs!$A$2:$C$73,3,FALSE()), VLOOKUP(A161,Internal_lists_bugs!$A$2:$C$73,3,FALSE())&amp;Char(10) &amp; Char(10) &amp; VLOOKUP(A161,Internal_lists_bugs!$A$2:$Z$73,26,FALSE())),"please select a BUG ID")</f>
        <v>please select a BUG ID</v>
      </c>
      <c r="C161" s="51" t="str">
        <f>IFERROR(VLOOKUP(A161,Internal_lists_bugs!$A$2:$G1001,7,FALSE()),"please select a BUG ID")</f>
        <v>please select a BUG ID</v>
      </c>
      <c r="D161" s="51" t="str">
        <f>IFERROR(VLOOKUP(A161,Internal_lists_bugs!$A$2:$I1001,9,FALSE()),"please select a BUG ID")</f>
        <v>please select a BUG ID</v>
      </c>
      <c r="E161" s="105"/>
      <c r="G161" s="54"/>
      <c r="H161" s="105"/>
    </row>
    <row r="162">
      <c r="A162" s="54"/>
      <c r="B162" s="88" t="str">
        <f>IFERROR(HYPERLINK(VLOOKUP(A162,Internal_lists_bugs!$A$2:$C$73,3,FALSE()), VLOOKUP(A162,Internal_lists_bugs!$A$2:$C$73,3,FALSE())&amp;Char(10) &amp; Char(10) &amp; VLOOKUP(A162,Internal_lists_bugs!$A$2:$Z$73,26,FALSE())),"please select a BUG ID")</f>
        <v>please select a BUG ID</v>
      </c>
      <c r="C162" s="51" t="str">
        <f>IFERROR(VLOOKUP(A162,Internal_lists_bugs!$A$2:$G1001,7,FALSE()),"please select a BUG ID")</f>
        <v>please select a BUG ID</v>
      </c>
      <c r="D162" s="51" t="str">
        <f>IFERROR(VLOOKUP(A162,Internal_lists_bugs!$A$2:$I1001,9,FALSE()),"please select a BUG ID")</f>
        <v>please select a BUG ID</v>
      </c>
      <c r="E162" s="105"/>
      <c r="G162" s="54"/>
      <c r="H162" s="105"/>
    </row>
    <row r="163">
      <c r="A163" s="54"/>
      <c r="B163" s="88" t="str">
        <f>IFERROR(HYPERLINK(VLOOKUP(A163,Internal_lists_bugs!$A$2:$C$73,3,FALSE()), VLOOKUP(A163,Internal_lists_bugs!$A$2:$C$73,3,FALSE())&amp;Char(10) &amp; Char(10) &amp; VLOOKUP(A163,Internal_lists_bugs!$A$2:$Z$73,26,FALSE())),"please select a BUG ID")</f>
        <v>please select a BUG ID</v>
      </c>
      <c r="C163" s="51" t="str">
        <f>IFERROR(VLOOKUP(A163,Internal_lists_bugs!$A$2:$G1001,7,FALSE()),"please select a BUG ID")</f>
        <v>please select a BUG ID</v>
      </c>
      <c r="D163" s="51" t="str">
        <f>IFERROR(VLOOKUP(A163,Internal_lists_bugs!$A$2:$I1001,9,FALSE()),"please select a BUG ID")</f>
        <v>please select a BUG ID</v>
      </c>
      <c r="E163" s="105"/>
      <c r="G163" s="54"/>
      <c r="H163" s="105"/>
    </row>
    <row r="164">
      <c r="A164" s="54"/>
      <c r="B164" s="88" t="str">
        <f>IFERROR(HYPERLINK(VLOOKUP(A164,Internal_lists_bugs!$A$2:$C$73,3,FALSE()), VLOOKUP(A164,Internal_lists_bugs!$A$2:$C$73,3,FALSE())&amp;Char(10) &amp; Char(10) &amp; VLOOKUP(A164,Internal_lists_bugs!$A$2:$Z$73,26,FALSE())),"please select a BUG ID")</f>
        <v>please select a BUG ID</v>
      </c>
      <c r="C164" s="51" t="str">
        <f>IFERROR(VLOOKUP(A164,Internal_lists_bugs!$A$2:$G1001,7,FALSE()),"please select a BUG ID")</f>
        <v>please select a BUG ID</v>
      </c>
      <c r="D164" s="51" t="str">
        <f>IFERROR(VLOOKUP(A164,Internal_lists_bugs!$A$2:$I1001,9,FALSE()),"please select a BUG ID")</f>
        <v>please select a BUG ID</v>
      </c>
      <c r="E164" s="105"/>
      <c r="G164" s="54"/>
      <c r="H164" s="105"/>
    </row>
    <row r="165">
      <c r="A165" s="54"/>
      <c r="B165" s="88" t="str">
        <f>IFERROR(HYPERLINK(VLOOKUP(A165,Internal_lists_bugs!$A$2:$C$73,3,FALSE()), VLOOKUP(A165,Internal_lists_bugs!$A$2:$C$73,3,FALSE())&amp;Char(10) &amp; Char(10) &amp; VLOOKUP(A165,Internal_lists_bugs!$A$2:$Z$73,26,FALSE())),"please select a BUG ID")</f>
        <v>please select a BUG ID</v>
      </c>
      <c r="C165" s="51" t="str">
        <f>IFERROR(VLOOKUP(A165,Internal_lists_bugs!$A$2:$G1001,7,FALSE()),"please select a BUG ID")</f>
        <v>please select a BUG ID</v>
      </c>
      <c r="D165" s="51" t="str">
        <f>IFERROR(VLOOKUP(A165,Internal_lists_bugs!$A$2:$I1001,9,FALSE()),"please select a BUG ID")</f>
        <v>please select a BUG ID</v>
      </c>
      <c r="E165" s="105"/>
      <c r="G165" s="54"/>
      <c r="H165" s="105"/>
    </row>
    <row r="166">
      <c r="A166" s="54"/>
      <c r="B166" s="88" t="str">
        <f>IFERROR(HYPERLINK(VLOOKUP(A166,Internal_lists_bugs!$A$2:$C$73,3,FALSE()), VLOOKUP(A166,Internal_lists_bugs!$A$2:$C$73,3,FALSE())&amp;Char(10) &amp; Char(10) &amp; VLOOKUP(A166,Internal_lists_bugs!$A$2:$Z$73,26,FALSE())),"please select a BUG ID")</f>
        <v>please select a BUG ID</v>
      </c>
      <c r="C166" s="51" t="str">
        <f>IFERROR(VLOOKUP(A166,Internal_lists_bugs!$A$2:$G1001,7,FALSE()),"please select a BUG ID")</f>
        <v>please select a BUG ID</v>
      </c>
      <c r="D166" s="51" t="str">
        <f>IFERROR(VLOOKUP(A166,Internal_lists_bugs!$A$2:$I1001,9,FALSE()),"please select a BUG ID")</f>
        <v>please select a BUG ID</v>
      </c>
      <c r="E166" s="105"/>
      <c r="G166" s="54"/>
      <c r="H166" s="105"/>
    </row>
    <row r="167">
      <c r="A167" s="54"/>
      <c r="B167" s="88" t="str">
        <f>IFERROR(HYPERLINK(VLOOKUP(A167,Internal_lists_bugs!$A$2:$C$73,3,FALSE()), VLOOKUP(A167,Internal_lists_bugs!$A$2:$C$73,3,FALSE())&amp;Char(10) &amp; Char(10) &amp; VLOOKUP(A167,Internal_lists_bugs!$A$2:$Z$73,26,FALSE())),"please select a BUG ID")</f>
        <v>please select a BUG ID</v>
      </c>
      <c r="C167" s="51" t="str">
        <f>IFERROR(VLOOKUP(A167,Internal_lists_bugs!$A$2:$G1001,7,FALSE()),"please select a BUG ID")</f>
        <v>please select a BUG ID</v>
      </c>
      <c r="D167" s="51" t="str">
        <f>IFERROR(VLOOKUP(A167,Internal_lists_bugs!$A$2:$I1001,9,FALSE()),"please select a BUG ID")</f>
        <v>please select a BUG ID</v>
      </c>
      <c r="E167" s="105"/>
      <c r="G167" s="54"/>
      <c r="H167" s="105"/>
    </row>
    <row r="168">
      <c r="A168" s="54"/>
      <c r="B168" s="88" t="str">
        <f>IFERROR(HYPERLINK(VLOOKUP(A168,Internal_lists_bugs!$A$2:$C$73,3,FALSE()), VLOOKUP(A168,Internal_lists_bugs!$A$2:$C$73,3,FALSE())&amp;Char(10) &amp; Char(10) &amp; VLOOKUP(A168,Internal_lists_bugs!$A$2:$Z$73,26,FALSE())),"please select a BUG ID")</f>
        <v>please select a BUG ID</v>
      </c>
      <c r="C168" s="51" t="str">
        <f>IFERROR(VLOOKUP(A168,Internal_lists_bugs!$A$2:$G1001,7,FALSE()),"please select a BUG ID")</f>
        <v>please select a BUG ID</v>
      </c>
      <c r="D168" s="51" t="str">
        <f>IFERROR(VLOOKUP(A168,Internal_lists_bugs!$A$2:$I1001,9,FALSE()),"please select a BUG ID")</f>
        <v>please select a BUG ID</v>
      </c>
      <c r="E168" s="105"/>
      <c r="G168" s="54"/>
      <c r="H168" s="105"/>
    </row>
    <row r="169">
      <c r="A169" s="54"/>
      <c r="B169" s="88" t="str">
        <f>IFERROR(HYPERLINK(VLOOKUP(A169,Internal_lists_bugs!$A$2:$C$73,3,FALSE()), VLOOKUP(A169,Internal_lists_bugs!$A$2:$C$73,3,FALSE())&amp;Char(10) &amp; Char(10) &amp; VLOOKUP(A169,Internal_lists_bugs!$A$2:$Z$73,26,FALSE())),"please select a BUG ID")</f>
        <v>please select a BUG ID</v>
      </c>
      <c r="C169" s="51" t="str">
        <f>IFERROR(VLOOKUP(A169,Internal_lists_bugs!$A$2:$G1001,7,FALSE()),"please select a BUG ID")</f>
        <v>please select a BUG ID</v>
      </c>
      <c r="D169" s="51" t="str">
        <f>IFERROR(VLOOKUP(A169,Internal_lists_bugs!$A$2:$I1001,9,FALSE()),"please select a BUG ID")</f>
        <v>please select a BUG ID</v>
      </c>
      <c r="E169" s="105"/>
      <c r="G169" s="54"/>
      <c r="H169" s="105"/>
    </row>
    <row r="170">
      <c r="A170" s="54"/>
      <c r="B170" s="88" t="str">
        <f>IFERROR(HYPERLINK(VLOOKUP(A170,Internal_lists_bugs!$A$2:$C$73,3,FALSE()), VLOOKUP(A170,Internal_lists_bugs!$A$2:$C$73,3,FALSE())&amp;Char(10) &amp; Char(10) &amp; VLOOKUP(A170,Internal_lists_bugs!$A$2:$Z$73,26,FALSE())),"please select a BUG ID")</f>
        <v>please select a BUG ID</v>
      </c>
      <c r="C170" s="51" t="str">
        <f>IFERROR(VLOOKUP(A170,Internal_lists_bugs!$A$2:$G1001,7,FALSE()),"please select a BUG ID")</f>
        <v>please select a BUG ID</v>
      </c>
      <c r="D170" s="51" t="str">
        <f>IFERROR(VLOOKUP(A170,Internal_lists_bugs!$A$2:$I1001,9,FALSE()),"please select a BUG ID")</f>
        <v>please select a BUG ID</v>
      </c>
      <c r="E170" s="105"/>
      <c r="G170" s="54"/>
      <c r="H170" s="105"/>
    </row>
    <row r="171">
      <c r="A171" s="54"/>
      <c r="B171" s="88" t="str">
        <f>IFERROR(HYPERLINK(VLOOKUP(A171,Internal_lists_bugs!$A$2:$C$73,3,FALSE()), VLOOKUP(A171,Internal_lists_bugs!$A$2:$C$73,3,FALSE())&amp;Char(10) &amp; Char(10) &amp; VLOOKUP(A171,Internal_lists_bugs!$A$2:$Z$73,26,FALSE())),"please select a BUG ID")</f>
        <v>please select a BUG ID</v>
      </c>
      <c r="C171" s="51" t="str">
        <f>IFERROR(VLOOKUP(A171,Internal_lists_bugs!$A$2:$G1001,7,FALSE()),"please select a BUG ID")</f>
        <v>please select a BUG ID</v>
      </c>
      <c r="D171" s="51" t="str">
        <f>IFERROR(VLOOKUP(A171,Internal_lists_bugs!$A$2:$I1001,9,FALSE()),"please select a BUG ID")</f>
        <v>please select a BUG ID</v>
      </c>
      <c r="E171" s="105"/>
      <c r="G171" s="54"/>
      <c r="H171" s="105"/>
    </row>
    <row r="172">
      <c r="A172" s="54"/>
      <c r="B172" s="88" t="str">
        <f>IFERROR(HYPERLINK(VLOOKUP(A172,Internal_lists_bugs!$A$2:$C$73,3,FALSE()), VLOOKUP(A172,Internal_lists_bugs!$A$2:$C$73,3,FALSE())&amp;Char(10) &amp; Char(10) &amp; VLOOKUP(A172,Internal_lists_bugs!$A$2:$Z$73,26,FALSE())),"please select a BUG ID")</f>
        <v>please select a BUG ID</v>
      </c>
      <c r="C172" s="51" t="str">
        <f>IFERROR(VLOOKUP(A172,Internal_lists_bugs!$A$2:$G1001,7,FALSE()),"please select a BUG ID")</f>
        <v>please select a BUG ID</v>
      </c>
      <c r="D172" s="51" t="str">
        <f>IFERROR(VLOOKUP(A172,Internal_lists_bugs!$A$2:$I1001,9,FALSE()),"please select a BUG ID")</f>
        <v>please select a BUG ID</v>
      </c>
      <c r="E172" s="105"/>
      <c r="G172" s="54"/>
      <c r="H172" s="105"/>
    </row>
    <row r="173">
      <c r="A173" s="54"/>
      <c r="B173" s="88" t="str">
        <f>IFERROR(HYPERLINK(VLOOKUP(A173,Internal_lists_bugs!$A$2:$C$73,3,FALSE()), VLOOKUP(A173,Internal_lists_bugs!$A$2:$C$73,3,FALSE())&amp;Char(10) &amp; Char(10) &amp; VLOOKUP(A173,Internal_lists_bugs!$A$2:$Z$73,26,FALSE())),"please select a BUG ID")</f>
        <v>please select a BUG ID</v>
      </c>
      <c r="C173" s="51" t="str">
        <f>IFERROR(VLOOKUP(A173,Internal_lists_bugs!$A$2:$G1001,7,FALSE()),"please select a BUG ID")</f>
        <v>please select a BUG ID</v>
      </c>
      <c r="D173" s="51" t="str">
        <f>IFERROR(VLOOKUP(A173,Internal_lists_bugs!$A$2:$I1001,9,FALSE()),"please select a BUG ID")</f>
        <v>please select a BUG ID</v>
      </c>
      <c r="E173" s="105"/>
      <c r="G173" s="54"/>
      <c r="H173" s="105"/>
    </row>
    <row r="174">
      <c r="A174" s="54"/>
      <c r="B174" s="88" t="str">
        <f>IFERROR(HYPERLINK(VLOOKUP(A174,Internal_lists_bugs!$A$2:$C$73,3,FALSE()), VLOOKUP(A174,Internal_lists_bugs!$A$2:$C$73,3,FALSE())&amp;Char(10) &amp; Char(10) &amp; VLOOKUP(A174,Internal_lists_bugs!$A$2:$Z$73,26,FALSE())),"please select a BUG ID")</f>
        <v>please select a BUG ID</v>
      </c>
      <c r="C174" s="51" t="str">
        <f>IFERROR(VLOOKUP(A174,Internal_lists_bugs!$A$2:$G1001,7,FALSE()),"please select a BUG ID")</f>
        <v>please select a BUG ID</v>
      </c>
      <c r="D174" s="51" t="str">
        <f>IFERROR(VLOOKUP(A174,Internal_lists_bugs!$A$2:$I1001,9,FALSE()),"please select a BUG ID")</f>
        <v>please select a BUG ID</v>
      </c>
      <c r="E174" s="105"/>
      <c r="G174" s="54"/>
      <c r="H174" s="105"/>
    </row>
    <row r="175">
      <c r="A175" s="54"/>
      <c r="B175" s="88" t="str">
        <f>IFERROR(HYPERLINK(VLOOKUP(A175,Internal_lists_bugs!$A$2:$C$73,3,FALSE()), VLOOKUP(A175,Internal_lists_bugs!$A$2:$C$73,3,FALSE())&amp;Char(10) &amp; Char(10) &amp; VLOOKUP(A175,Internal_lists_bugs!$A$2:$Z$73,26,FALSE())),"please select a BUG ID")</f>
        <v>please select a BUG ID</v>
      </c>
      <c r="C175" s="51" t="str">
        <f>IFERROR(VLOOKUP(A175,Internal_lists_bugs!$A$2:$G1001,7,FALSE()),"please select a BUG ID")</f>
        <v>please select a BUG ID</v>
      </c>
      <c r="D175" s="51" t="str">
        <f>IFERROR(VLOOKUP(A175,Internal_lists_bugs!$A$2:$I1001,9,FALSE()),"please select a BUG ID")</f>
        <v>please select a BUG ID</v>
      </c>
      <c r="E175" s="105"/>
      <c r="G175" s="54"/>
      <c r="H175" s="105"/>
    </row>
    <row r="176">
      <c r="A176" s="54"/>
      <c r="B176" s="88" t="str">
        <f>IFERROR(HYPERLINK(VLOOKUP(A176,Internal_lists_bugs!$A$2:$C$73,3,FALSE()), VLOOKUP(A176,Internal_lists_bugs!$A$2:$C$73,3,FALSE())&amp;Char(10) &amp; Char(10) &amp; VLOOKUP(A176,Internal_lists_bugs!$A$2:$Z$73,26,FALSE())),"please select a BUG ID")</f>
        <v>please select a BUG ID</v>
      </c>
      <c r="C176" s="51" t="str">
        <f>IFERROR(VLOOKUP(A176,Internal_lists_bugs!$A$2:$G1001,7,FALSE()),"please select a BUG ID")</f>
        <v>please select a BUG ID</v>
      </c>
      <c r="D176" s="51" t="str">
        <f>IFERROR(VLOOKUP(A176,Internal_lists_bugs!$A$2:$I1001,9,FALSE()),"please select a BUG ID")</f>
        <v>please select a BUG ID</v>
      </c>
      <c r="E176" s="105"/>
      <c r="G176" s="54"/>
      <c r="H176" s="105"/>
    </row>
    <row r="177">
      <c r="A177" s="54"/>
      <c r="B177" s="88" t="str">
        <f>IFERROR(HYPERLINK(VLOOKUP(A177,Internal_lists_bugs!$A$2:$C$73,3,FALSE()), VLOOKUP(A177,Internal_lists_bugs!$A$2:$C$73,3,FALSE())&amp;Char(10) &amp; Char(10) &amp; VLOOKUP(A177,Internal_lists_bugs!$A$2:$Z$73,26,FALSE())),"please select a BUG ID")</f>
        <v>please select a BUG ID</v>
      </c>
      <c r="C177" s="51" t="str">
        <f>IFERROR(VLOOKUP(A177,Internal_lists_bugs!$A$2:$G1001,7,FALSE()),"please select a BUG ID")</f>
        <v>please select a BUG ID</v>
      </c>
      <c r="D177" s="51" t="str">
        <f>IFERROR(VLOOKUP(A177,Internal_lists_bugs!$A$2:$I1001,9,FALSE()),"please select a BUG ID")</f>
        <v>please select a BUG ID</v>
      </c>
      <c r="E177" s="105"/>
      <c r="G177" s="54"/>
      <c r="H177" s="105"/>
    </row>
    <row r="178">
      <c r="A178" s="54"/>
      <c r="B178" s="88" t="str">
        <f>IFERROR(HYPERLINK(VLOOKUP(A178,Internal_lists_bugs!$A$2:$C$73,3,FALSE()), VLOOKUP(A178,Internal_lists_bugs!$A$2:$C$73,3,FALSE())&amp;Char(10) &amp; Char(10) &amp; VLOOKUP(A178,Internal_lists_bugs!$A$2:$Z$73,26,FALSE())),"please select a BUG ID")</f>
        <v>please select a BUG ID</v>
      </c>
      <c r="C178" s="51" t="str">
        <f>IFERROR(VLOOKUP(A178,Internal_lists_bugs!$A$2:$G1001,7,FALSE()),"please select a BUG ID")</f>
        <v>please select a BUG ID</v>
      </c>
      <c r="D178" s="51" t="str">
        <f>IFERROR(VLOOKUP(A178,Internal_lists_bugs!$A$2:$I1001,9,FALSE()),"please select a BUG ID")</f>
        <v>please select a BUG ID</v>
      </c>
      <c r="E178" s="105"/>
      <c r="G178" s="54"/>
      <c r="H178" s="105"/>
    </row>
    <row r="179">
      <c r="A179" s="54"/>
      <c r="B179" s="88" t="str">
        <f>IFERROR(HYPERLINK(VLOOKUP(A179,Internal_lists_bugs!$A$2:$C$73,3,FALSE()), VLOOKUP(A179,Internal_lists_bugs!$A$2:$C$73,3,FALSE())&amp;Char(10) &amp; Char(10) &amp; VLOOKUP(A179,Internal_lists_bugs!$A$2:$Z$73,26,FALSE())),"please select a BUG ID")</f>
        <v>please select a BUG ID</v>
      </c>
      <c r="C179" s="51" t="str">
        <f>IFERROR(VLOOKUP(A179,Internal_lists_bugs!$A$2:$G1001,7,FALSE()),"please select a BUG ID")</f>
        <v>please select a BUG ID</v>
      </c>
      <c r="D179" s="51" t="str">
        <f>IFERROR(VLOOKUP(A179,Internal_lists_bugs!$A$2:$I1001,9,FALSE()),"please select a BUG ID")</f>
        <v>please select a BUG ID</v>
      </c>
      <c r="E179" s="105"/>
      <c r="G179" s="54"/>
      <c r="H179" s="105"/>
    </row>
    <row r="180">
      <c r="A180" s="54"/>
      <c r="B180" s="88" t="str">
        <f>IFERROR(HYPERLINK(VLOOKUP(A180,Internal_lists_bugs!$A$2:$C$73,3,FALSE()), VLOOKUP(A180,Internal_lists_bugs!$A$2:$C$73,3,FALSE())&amp;Char(10) &amp; Char(10) &amp; VLOOKUP(A180,Internal_lists_bugs!$A$2:$Z$73,26,FALSE())),"please select a BUG ID")</f>
        <v>please select a BUG ID</v>
      </c>
      <c r="C180" s="51" t="str">
        <f>IFERROR(VLOOKUP(A180,Internal_lists_bugs!$A$2:$G1001,7,FALSE()),"please select a BUG ID")</f>
        <v>please select a BUG ID</v>
      </c>
      <c r="D180" s="51" t="str">
        <f>IFERROR(VLOOKUP(A180,Internal_lists_bugs!$A$2:$I1001,9,FALSE()),"please select a BUG ID")</f>
        <v>please select a BUG ID</v>
      </c>
      <c r="E180" s="105"/>
      <c r="G180" s="54"/>
      <c r="H180" s="105"/>
    </row>
    <row r="181">
      <c r="A181" s="54"/>
      <c r="B181" s="88" t="str">
        <f>IFERROR(HYPERLINK(VLOOKUP(A181,Internal_lists_bugs!$A$2:$C$73,3,FALSE()), VLOOKUP(A181,Internal_lists_bugs!$A$2:$C$73,3,FALSE())&amp;Char(10) &amp; Char(10) &amp; VLOOKUP(A181,Internal_lists_bugs!$A$2:$Z$73,26,FALSE())),"please select a BUG ID")</f>
        <v>please select a BUG ID</v>
      </c>
      <c r="C181" s="51" t="str">
        <f>IFERROR(VLOOKUP(A181,Internal_lists_bugs!$A$2:$G1001,7,FALSE()),"please select a BUG ID")</f>
        <v>please select a BUG ID</v>
      </c>
      <c r="D181" s="51" t="str">
        <f>IFERROR(VLOOKUP(A181,Internal_lists_bugs!$A$2:$I1001,9,FALSE()),"please select a BUG ID")</f>
        <v>please select a BUG ID</v>
      </c>
      <c r="E181" s="105"/>
      <c r="G181" s="54"/>
      <c r="H181" s="105"/>
    </row>
    <row r="182">
      <c r="A182" s="54"/>
      <c r="B182" s="88" t="str">
        <f>IFERROR(HYPERLINK(VLOOKUP(A182,Internal_lists_bugs!$A$2:$C$73,3,FALSE()), VLOOKUP(A182,Internal_lists_bugs!$A$2:$C$73,3,FALSE())&amp;Char(10) &amp; Char(10) &amp; VLOOKUP(A182,Internal_lists_bugs!$A$2:$Z$73,26,FALSE())),"please select a BUG ID")</f>
        <v>please select a BUG ID</v>
      </c>
      <c r="C182" s="51" t="str">
        <f>IFERROR(VLOOKUP(A182,Internal_lists_bugs!$A$2:$G1001,7,FALSE()),"please select a BUG ID")</f>
        <v>please select a BUG ID</v>
      </c>
      <c r="D182" s="51" t="str">
        <f>IFERROR(VLOOKUP(A182,Internal_lists_bugs!$A$2:$I1001,9,FALSE()),"please select a BUG ID")</f>
        <v>please select a BUG ID</v>
      </c>
      <c r="E182" s="105"/>
      <c r="G182" s="54"/>
      <c r="H182" s="105"/>
    </row>
    <row r="183">
      <c r="A183" s="54"/>
      <c r="B183" s="88" t="str">
        <f>IFERROR(HYPERLINK(VLOOKUP(A183,Internal_lists_bugs!$A$2:$C$73,3,FALSE()), VLOOKUP(A183,Internal_lists_bugs!$A$2:$C$73,3,FALSE())&amp;Char(10) &amp; Char(10) &amp; VLOOKUP(A183,Internal_lists_bugs!$A$2:$Z$73,26,FALSE())),"please select a BUG ID")</f>
        <v>please select a BUG ID</v>
      </c>
      <c r="C183" s="51" t="str">
        <f>IFERROR(VLOOKUP(A183,Internal_lists_bugs!$A$2:$G1001,7,FALSE()),"please select a BUG ID")</f>
        <v>please select a BUG ID</v>
      </c>
      <c r="D183" s="51" t="str">
        <f>IFERROR(VLOOKUP(A183,Internal_lists_bugs!$A$2:$I1001,9,FALSE()),"please select a BUG ID")</f>
        <v>please select a BUG ID</v>
      </c>
      <c r="E183" s="105"/>
      <c r="G183" s="54"/>
      <c r="H183" s="105"/>
    </row>
    <row r="184">
      <c r="A184" s="54"/>
      <c r="B184" s="88" t="str">
        <f>IFERROR(HYPERLINK(VLOOKUP(A184,Internal_lists_bugs!$A$2:$C$73,3,FALSE()), VLOOKUP(A184,Internal_lists_bugs!$A$2:$C$73,3,FALSE())&amp;Char(10) &amp; Char(10) &amp; VLOOKUP(A184,Internal_lists_bugs!$A$2:$Z$73,26,FALSE())),"please select a BUG ID")</f>
        <v>please select a BUG ID</v>
      </c>
      <c r="C184" s="51" t="str">
        <f>IFERROR(VLOOKUP(A184,Internal_lists_bugs!$A$2:$G1001,7,FALSE()),"please select a BUG ID")</f>
        <v>please select a BUG ID</v>
      </c>
      <c r="D184" s="51" t="str">
        <f>IFERROR(VLOOKUP(A184,Internal_lists_bugs!$A$2:$I1001,9,FALSE()),"please select a BUG ID")</f>
        <v>please select a BUG ID</v>
      </c>
      <c r="E184" s="105"/>
      <c r="G184" s="54"/>
      <c r="H184" s="105"/>
    </row>
    <row r="185">
      <c r="A185" s="54"/>
      <c r="B185" s="88" t="str">
        <f>IFERROR(HYPERLINK(VLOOKUP(A185,Internal_lists_bugs!$A$2:$C$73,3,FALSE()), VLOOKUP(A185,Internal_lists_bugs!$A$2:$C$73,3,FALSE())&amp;Char(10) &amp; Char(10) &amp; VLOOKUP(A185,Internal_lists_bugs!$A$2:$Z$73,26,FALSE())),"please select a BUG ID")</f>
        <v>please select a BUG ID</v>
      </c>
      <c r="C185" s="51" t="str">
        <f>IFERROR(VLOOKUP(A185,Internal_lists_bugs!$A$2:$G1001,7,FALSE()),"please select a BUG ID")</f>
        <v>please select a BUG ID</v>
      </c>
      <c r="D185" s="51" t="str">
        <f>IFERROR(VLOOKUP(A185,Internal_lists_bugs!$A$2:$I1001,9,FALSE()),"please select a BUG ID")</f>
        <v>please select a BUG ID</v>
      </c>
      <c r="E185" s="105"/>
      <c r="G185" s="54"/>
      <c r="H185" s="105"/>
    </row>
    <row r="186">
      <c r="A186" s="54"/>
      <c r="B186" s="88" t="str">
        <f>IFERROR(HYPERLINK(VLOOKUP(A186,Internal_lists_bugs!$A$2:$C$73,3,FALSE()), VLOOKUP(A186,Internal_lists_bugs!$A$2:$C$73,3,FALSE())&amp;Char(10) &amp; Char(10) &amp; VLOOKUP(A186,Internal_lists_bugs!$A$2:$Z$73,26,FALSE())),"please select a BUG ID")</f>
        <v>please select a BUG ID</v>
      </c>
      <c r="C186" s="51" t="str">
        <f>IFERROR(VLOOKUP(A186,Internal_lists_bugs!$A$2:$G1001,7,FALSE()),"please select a BUG ID")</f>
        <v>please select a BUG ID</v>
      </c>
      <c r="D186" s="51" t="str">
        <f>IFERROR(VLOOKUP(A186,Internal_lists_bugs!$A$2:$I1001,9,FALSE()),"please select a BUG ID")</f>
        <v>please select a BUG ID</v>
      </c>
      <c r="E186" s="105"/>
      <c r="G186" s="54"/>
      <c r="H186" s="105"/>
    </row>
    <row r="187">
      <c r="A187" s="54"/>
      <c r="B187" s="88" t="str">
        <f>IFERROR(HYPERLINK(VLOOKUP(A187,Internal_lists_bugs!$A$2:$C$73,3,FALSE()), VLOOKUP(A187,Internal_lists_bugs!$A$2:$C$73,3,FALSE())&amp;Char(10) &amp; Char(10) &amp; VLOOKUP(A187,Internal_lists_bugs!$A$2:$Z$73,26,FALSE())),"please select a BUG ID")</f>
        <v>please select a BUG ID</v>
      </c>
      <c r="C187" s="51" t="str">
        <f>IFERROR(VLOOKUP(A187,Internal_lists_bugs!$A$2:$G1001,7,FALSE()),"please select a BUG ID")</f>
        <v>please select a BUG ID</v>
      </c>
      <c r="D187" s="51" t="str">
        <f>IFERROR(VLOOKUP(A187,Internal_lists_bugs!$A$2:$I1001,9,FALSE()),"please select a BUG ID")</f>
        <v>please select a BUG ID</v>
      </c>
      <c r="E187" s="105"/>
      <c r="G187" s="54"/>
      <c r="H187" s="105"/>
    </row>
    <row r="188">
      <c r="A188" s="54"/>
      <c r="B188" s="88" t="str">
        <f>IFERROR(HYPERLINK(VLOOKUP(A188,Internal_lists_bugs!$A$2:$C$73,3,FALSE()), VLOOKUP(A188,Internal_lists_bugs!$A$2:$C$73,3,FALSE())&amp;Char(10) &amp; Char(10) &amp; VLOOKUP(A188,Internal_lists_bugs!$A$2:$Z$73,26,FALSE())),"please select a BUG ID")</f>
        <v>please select a BUG ID</v>
      </c>
      <c r="C188" s="51" t="str">
        <f>IFERROR(VLOOKUP(A188,Internal_lists_bugs!$A$2:$G1001,7,FALSE()),"please select a BUG ID")</f>
        <v>please select a BUG ID</v>
      </c>
      <c r="D188" s="51" t="str">
        <f>IFERROR(VLOOKUP(A188,Internal_lists_bugs!$A$2:$I1001,9,FALSE()),"please select a BUG ID")</f>
        <v>please select a BUG ID</v>
      </c>
      <c r="E188" s="105"/>
      <c r="G188" s="54"/>
      <c r="H188" s="105"/>
    </row>
    <row r="189">
      <c r="A189" s="54"/>
      <c r="B189" s="88" t="str">
        <f>IFERROR(HYPERLINK(VLOOKUP(A189,Internal_lists_bugs!$A$2:$C$73,3,FALSE()), VLOOKUP(A189,Internal_lists_bugs!$A$2:$C$73,3,FALSE())&amp;Char(10) &amp; Char(10) &amp; VLOOKUP(A189,Internal_lists_bugs!$A$2:$Z$73,26,FALSE())),"please select a BUG ID")</f>
        <v>please select a BUG ID</v>
      </c>
      <c r="C189" s="51" t="str">
        <f>IFERROR(VLOOKUP(A189,Internal_lists_bugs!$A$2:$G1001,7,FALSE()),"please select a BUG ID")</f>
        <v>please select a BUG ID</v>
      </c>
      <c r="D189" s="51" t="str">
        <f>IFERROR(VLOOKUP(A189,Internal_lists_bugs!$A$2:$I1001,9,FALSE()),"please select a BUG ID")</f>
        <v>please select a BUG ID</v>
      </c>
      <c r="E189" s="105"/>
      <c r="G189" s="54"/>
      <c r="H189" s="105"/>
    </row>
    <row r="190">
      <c r="A190" s="54"/>
      <c r="B190" s="88" t="str">
        <f>IFERROR(HYPERLINK(VLOOKUP(A190,Internal_lists_bugs!$A$2:$C$73,3,FALSE()), VLOOKUP(A190,Internal_lists_bugs!$A$2:$C$73,3,FALSE())&amp;Char(10) &amp; Char(10) &amp; VLOOKUP(A190,Internal_lists_bugs!$A$2:$Z$73,26,FALSE())),"please select a BUG ID")</f>
        <v>please select a BUG ID</v>
      </c>
      <c r="C190" s="51" t="str">
        <f>IFERROR(VLOOKUP(A190,Internal_lists_bugs!$A$2:$G1001,7,FALSE()),"please select a BUG ID")</f>
        <v>please select a BUG ID</v>
      </c>
      <c r="D190" s="51" t="str">
        <f>IFERROR(VLOOKUP(A190,Internal_lists_bugs!$A$2:$I1001,9,FALSE()),"please select a BUG ID")</f>
        <v>please select a BUG ID</v>
      </c>
      <c r="E190" s="105"/>
      <c r="G190" s="54"/>
      <c r="H190" s="105"/>
    </row>
    <row r="191">
      <c r="A191" s="54"/>
      <c r="B191" s="88" t="str">
        <f>IFERROR(HYPERLINK(VLOOKUP(A191,Internal_lists_bugs!$A$2:$C$73,3,FALSE()), VLOOKUP(A191,Internal_lists_bugs!$A$2:$C$73,3,FALSE())&amp;Char(10) &amp; Char(10) &amp; VLOOKUP(A191,Internal_lists_bugs!$A$2:$Z$73,26,FALSE())),"please select a BUG ID")</f>
        <v>please select a BUG ID</v>
      </c>
      <c r="C191" s="51" t="str">
        <f>IFERROR(VLOOKUP(A191,Internal_lists_bugs!$A$2:$G1001,7,FALSE()),"please select a BUG ID")</f>
        <v>please select a BUG ID</v>
      </c>
      <c r="D191" s="51" t="str">
        <f>IFERROR(VLOOKUP(A191,Internal_lists_bugs!$A$2:$I1001,9,FALSE()),"please select a BUG ID")</f>
        <v>please select a BUG ID</v>
      </c>
      <c r="E191" s="105"/>
      <c r="G191" s="54"/>
      <c r="H191" s="105"/>
    </row>
    <row r="192">
      <c r="A192" s="54"/>
      <c r="B192" s="88" t="str">
        <f>IFERROR(HYPERLINK(VLOOKUP(A192,Internal_lists_bugs!$A$2:$C$73,3,FALSE()), VLOOKUP(A192,Internal_lists_bugs!$A$2:$C$73,3,FALSE())&amp;Char(10) &amp; Char(10) &amp; VLOOKUP(A192,Internal_lists_bugs!$A$2:$Z$73,26,FALSE())),"please select a BUG ID")</f>
        <v>please select a BUG ID</v>
      </c>
      <c r="C192" s="51" t="str">
        <f>IFERROR(VLOOKUP(A192,Internal_lists_bugs!$A$2:$G1001,7,FALSE()),"please select a BUG ID")</f>
        <v>please select a BUG ID</v>
      </c>
      <c r="D192" s="51" t="str">
        <f>IFERROR(VLOOKUP(A192,Internal_lists_bugs!$A$2:$I1001,9,FALSE()),"please select a BUG ID")</f>
        <v>please select a BUG ID</v>
      </c>
      <c r="E192" s="105"/>
      <c r="G192" s="54"/>
      <c r="H192" s="105"/>
    </row>
    <row r="193">
      <c r="A193" s="54"/>
      <c r="B193" s="88" t="str">
        <f>IFERROR(HYPERLINK(VLOOKUP(A193,Internal_lists_bugs!$A$2:$C$73,3,FALSE()), VLOOKUP(A193,Internal_lists_bugs!$A$2:$C$73,3,FALSE())&amp;Char(10) &amp; Char(10) &amp; VLOOKUP(A193,Internal_lists_bugs!$A$2:$Z$73,26,FALSE())),"please select a BUG ID")</f>
        <v>please select a BUG ID</v>
      </c>
      <c r="C193" s="51" t="str">
        <f>IFERROR(VLOOKUP(A193,Internal_lists_bugs!$A$2:$G1001,7,FALSE()),"please select a BUG ID")</f>
        <v>please select a BUG ID</v>
      </c>
      <c r="D193" s="51" t="str">
        <f>IFERROR(VLOOKUP(A193,Internal_lists_bugs!$A$2:$I1001,9,FALSE()),"please select a BUG ID")</f>
        <v>please select a BUG ID</v>
      </c>
      <c r="E193" s="105"/>
      <c r="G193" s="54"/>
      <c r="H193" s="105"/>
    </row>
    <row r="194">
      <c r="A194" s="54"/>
      <c r="B194" s="88" t="str">
        <f>IFERROR(HYPERLINK(VLOOKUP(A194,Internal_lists_bugs!$A$2:$C$73,3,FALSE()), VLOOKUP(A194,Internal_lists_bugs!$A$2:$C$73,3,FALSE())&amp;Char(10) &amp; Char(10) &amp; VLOOKUP(A194,Internal_lists_bugs!$A$2:$Z$73,26,FALSE())),"please select a BUG ID")</f>
        <v>please select a BUG ID</v>
      </c>
      <c r="C194" s="51" t="str">
        <f>IFERROR(VLOOKUP(A194,Internal_lists_bugs!$A$2:$G1001,7,FALSE()),"please select a BUG ID")</f>
        <v>please select a BUG ID</v>
      </c>
      <c r="D194" s="51" t="str">
        <f>IFERROR(VLOOKUP(A194,Internal_lists_bugs!$A$2:$I1001,9,FALSE()),"please select a BUG ID")</f>
        <v>please select a BUG ID</v>
      </c>
      <c r="E194" s="105"/>
      <c r="G194" s="54"/>
      <c r="H194" s="105"/>
    </row>
    <row r="195">
      <c r="A195" s="54"/>
      <c r="B195" s="88" t="str">
        <f>IFERROR(HYPERLINK(VLOOKUP(A195,Internal_lists_bugs!$A$2:$C$73,3,FALSE()), VLOOKUP(A195,Internal_lists_bugs!$A$2:$C$73,3,FALSE())&amp;Char(10) &amp; Char(10) &amp; VLOOKUP(A195,Internal_lists_bugs!$A$2:$Z$73,26,FALSE())),"please select a BUG ID")</f>
        <v>please select a BUG ID</v>
      </c>
      <c r="C195" s="51" t="str">
        <f>IFERROR(VLOOKUP(A195,Internal_lists_bugs!$A$2:$G1001,7,FALSE()),"please select a BUG ID")</f>
        <v>please select a BUG ID</v>
      </c>
      <c r="D195" s="51" t="str">
        <f>IFERROR(VLOOKUP(A195,Internal_lists_bugs!$A$2:$I1001,9,FALSE()),"please select a BUG ID")</f>
        <v>please select a BUG ID</v>
      </c>
      <c r="E195" s="105"/>
      <c r="G195" s="54"/>
      <c r="H195" s="105"/>
    </row>
    <row r="196">
      <c r="A196" s="54"/>
      <c r="B196" s="88" t="str">
        <f>IFERROR(HYPERLINK(VLOOKUP(A196,Internal_lists_bugs!$A$2:$C$73,3,FALSE()), VLOOKUP(A196,Internal_lists_bugs!$A$2:$C$73,3,FALSE())&amp;Char(10) &amp; Char(10) &amp; VLOOKUP(A196,Internal_lists_bugs!$A$2:$Z$73,26,FALSE())),"please select a BUG ID")</f>
        <v>please select a BUG ID</v>
      </c>
      <c r="C196" s="51" t="str">
        <f>IFERROR(VLOOKUP(A196,Internal_lists_bugs!$A$2:$G1001,7,FALSE()),"please select a BUG ID")</f>
        <v>please select a BUG ID</v>
      </c>
      <c r="D196" s="51" t="str">
        <f>IFERROR(VLOOKUP(A196,Internal_lists_bugs!$A$2:$I1001,9,FALSE()),"please select a BUG ID")</f>
        <v>please select a BUG ID</v>
      </c>
      <c r="E196" s="105"/>
      <c r="G196" s="54"/>
      <c r="H196" s="105"/>
    </row>
    <row r="197">
      <c r="A197" s="54"/>
      <c r="B197" s="88" t="str">
        <f>IFERROR(HYPERLINK(VLOOKUP(A197,Internal_lists_bugs!$A$2:$C$73,3,FALSE()), VLOOKUP(A197,Internal_lists_bugs!$A$2:$C$73,3,FALSE())&amp;Char(10) &amp; Char(10) &amp; VLOOKUP(A197,Internal_lists_bugs!$A$2:$Z$73,26,FALSE())),"please select a BUG ID")</f>
        <v>please select a BUG ID</v>
      </c>
      <c r="C197" s="51" t="str">
        <f>IFERROR(VLOOKUP(A197,Internal_lists_bugs!$A$2:$G1001,7,FALSE()),"please select a BUG ID")</f>
        <v>please select a BUG ID</v>
      </c>
      <c r="D197" s="51" t="str">
        <f>IFERROR(VLOOKUP(A197,Internal_lists_bugs!$A$2:$I1001,9,FALSE()),"please select a BUG ID")</f>
        <v>please select a BUG ID</v>
      </c>
      <c r="E197" s="105"/>
      <c r="G197" s="54"/>
      <c r="H197" s="105"/>
    </row>
    <row r="198">
      <c r="A198" s="54"/>
      <c r="B198" s="88" t="str">
        <f>IFERROR(HYPERLINK(VLOOKUP(A198,Internal_lists_bugs!$A$2:$C$73,3,FALSE()), VLOOKUP(A198,Internal_lists_bugs!$A$2:$C$73,3,FALSE())&amp;Char(10) &amp; Char(10) &amp; VLOOKUP(A198,Internal_lists_bugs!$A$2:$Z$73,26,FALSE())),"please select a BUG ID")</f>
        <v>please select a BUG ID</v>
      </c>
      <c r="C198" s="51" t="str">
        <f>IFERROR(VLOOKUP(A198,Internal_lists_bugs!$A$2:$G1001,7,FALSE()),"please select a BUG ID")</f>
        <v>please select a BUG ID</v>
      </c>
      <c r="D198" s="51" t="str">
        <f>IFERROR(VLOOKUP(A198,Internal_lists_bugs!$A$2:$I1001,9,FALSE()),"please select a BUG ID")</f>
        <v>please select a BUG ID</v>
      </c>
      <c r="E198" s="105"/>
      <c r="G198" s="54"/>
      <c r="H198" s="105"/>
    </row>
    <row r="199">
      <c r="A199" s="54"/>
      <c r="B199" s="88" t="str">
        <f>IFERROR(HYPERLINK(VLOOKUP(A199,Internal_lists_bugs!$A$2:$C$73,3,FALSE()), VLOOKUP(A199,Internal_lists_bugs!$A$2:$C$73,3,FALSE())&amp;Char(10) &amp; Char(10) &amp; VLOOKUP(A199,Internal_lists_bugs!$A$2:$Z$73,26,FALSE())),"please select a BUG ID")</f>
        <v>please select a BUG ID</v>
      </c>
      <c r="C199" s="51" t="str">
        <f>IFERROR(VLOOKUP(A199,Internal_lists_bugs!$A$2:$G1001,7,FALSE()),"please select a BUG ID")</f>
        <v>please select a BUG ID</v>
      </c>
      <c r="D199" s="51" t="str">
        <f>IFERROR(VLOOKUP(A199,Internal_lists_bugs!$A$2:$I1001,9,FALSE()),"please select a BUG ID")</f>
        <v>please select a BUG ID</v>
      </c>
      <c r="E199" s="105"/>
      <c r="G199" s="54"/>
      <c r="H199" s="105"/>
    </row>
    <row r="200">
      <c r="A200" s="54"/>
      <c r="B200" s="88" t="str">
        <f>IFERROR(HYPERLINK(VLOOKUP(A200,Internal_lists_bugs!$A$2:$C$73,3,FALSE()), VLOOKUP(A200,Internal_lists_bugs!$A$2:$C$73,3,FALSE())&amp;Char(10) &amp; Char(10) &amp; VLOOKUP(A200,Internal_lists_bugs!$A$2:$Z$73,26,FALSE())),"please select a BUG ID")</f>
        <v>please select a BUG ID</v>
      </c>
      <c r="C200" s="51" t="str">
        <f>IFERROR(VLOOKUP(A200,Internal_lists_bugs!$A$2:$G1001,7,FALSE()),"please select a BUG ID")</f>
        <v>please select a BUG ID</v>
      </c>
      <c r="D200" s="51" t="str">
        <f>IFERROR(VLOOKUP(A200,Internal_lists_bugs!$A$2:$I1001,9,FALSE()),"please select a BUG ID")</f>
        <v>please select a BUG ID</v>
      </c>
      <c r="E200" s="105"/>
      <c r="G200" s="54"/>
      <c r="H200" s="105"/>
    </row>
    <row r="201">
      <c r="A201" s="54"/>
      <c r="B201" s="88" t="str">
        <f>IFERROR(HYPERLINK(VLOOKUP(A201,Internal_lists_bugs!$A$2:$C$73,3,FALSE()), VLOOKUP(A201,Internal_lists_bugs!$A$2:$C$73,3,FALSE())&amp;Char(10) &amp; Char(10) &amp; VLOOKUP(A201,Internal_lists_bugs!$A$2:$Z$73,26,FALSE())),"please select a BUG ID")</f>
        <v>please select a BUG ID</v>
      </c>
      <c r="C201" s="51" t="str">
        <f>IFERROR(VLOOKUP(A201,Internal_lists_bugs!$A$2:$G1001,7,FALSE()),"please select a BUG ID")</f>
        <v>please select a BUG ID</v>
      </c>
      <c r="D201" s="51" t="str">
        <f>IFERROR(VLOOKUP(A201,Internal_lists_bugs!$A$2:$I1001,9,FALSE()),"please select a BUG ID")</f>
        <v>please select a BUG ID</v>
      </c>
      <c r="E201" s="105"/>
      <c r="G201" s="54"/>
      <c r="H201" s="105"/>
    </row>
    <row r="202">
      <c r="A202" s="54"/>
      <c r="B202" s="88" t="str">
        <f>IFERROR(HYPERLINK(VLOOKUP(A202,Internal_lists_bugs!$A$2:$C$73,3,FALSE()), VLOOKUP(A202,Internal_lists_bugs!$A$2:$C$73,3,FALSE())&amp;Char(10) &amp; Char(10) &amp; VLOOKUP(A202,Internal_lists_bugs!$A$2:$Z$73,26,FALSE())),"please select a BUG ID")</f>
        <v>please select a BUG ID</v>
      </c>
      <c r="C202" s="51" t="str">
        <f>IFERROR(VLOOKUP(A202,Internal_lists_bugs!$A$2:$G1001,7,FALSE()),"please select a BUG ID")</f>
        <v>please select a BUG ID</v>
      </c>
      <c r="D202" s="51" t="str">
        <f>IFERROR(VLOOKUP(A202,Internal_lists_bugs!$A$2:$I1001,9,FALSE()),"please select a BUG ID")</f>
        <v>please select a BUG ID</v>
      </c>
      <c r="E202" s="105"/>
      <c r="G202" s="54"/>
      <c r="H202" s="105"/>
    </row>
    <row r="203">
      <c r="A203" s="54"/>
      <c r="B203" s="88" t="str">
        <f>IFERROR(HYPERLINK(VLOOKUP(A203,Internal_lists_bugs!$A$2:$C$73,3,FALSE()), VLOOKUP(A203,Internal_lists_bugs!$A$2:$C$73,3,FALSE())&amp;Char(10) &amp; Char(10) &amp; VLOOKUP(A203,Internal_lists_bugs!$A$2:$Z$73,26,FALSE())),"please select a BUG ID")</f>
        <v>please select a BUG ID</v>
      </c>
      <c r="C203" s="51" t="str">
        <f>IFERROR(VLOOKUP(A203,Internal_lists_bugs!$A$2:$G1001,7,FALSE()),"please select a BUG ID")</f>
        <v>please select a BUG ID</v>
      </c>
      <c r="D203" s="51" t="str">
        <f>IFERROR(VLOOKUP(A203,Internal_lists_bugs!$A$2:$I1001,9,FALSE()),"please select a BUG ID")</f>
        <v>please select a BUG ID</v>
      </c>
      <c r="E203" s="105"/>
      <c r="G203" s="54"/>
      <c r="H203" s="105"/>
    </row>
    <row r="204">
      <c r="A204" s="54"/>
      <c r="B204" s="88" t="str">
        <f>IFERROR(HYPERLINK(VLOOKUP(A204,Internal_lists_bugs!$A$2:$C$73,3,FALSE()), VLOOKUP(A204,Internal_lists_bugs!$A$2:$C$73,3,FALSE())&amp;Char(10) &amp; Char(10) &amp; VLOOKUP(A204,Internal_lists_bugs!$A$2:$Z$73,26,FALSE())),"please select a BUG ID")</f>
        <v>please select a BUG ID</v>
      </c>
      <c r="C204" s="51" t="str">
        <f>IFERROR(VLOOKUP(A204,Internal_lists_bugs!$A$2:$G1001,7,FALSE()),"please select a BUG ID")</f>
        <v>please select a BUG ID</v>
      </c>
      <c r="D204" s="51" t="str">
        <f>IFERROR(VLOOKUP(A204,Internal_lists_bugs!$A$2:$I1001,9,FALSE()),"please select a BUG ID")</f>
        <v>please select a BUG ID</v>
      </c>
      <c r="E204" s="105"/>
      <c r="G204" s="54"/>
      <c r="H204" s="105"/>
    </row>
    <row r="205">
      <c r="A205" s="54"/>
      <c r="B205" s="88" t="str">
        <f>IFERROR(HYPERLINK(VLOOKUP(A205,Internal_lists_bugs!$A$2:$C$73,3,FALSE()), VLOOKUP(A205,Internal_lists_bugs!$A$2:$C$73,3,FALSE())&amp;Char(10) &amp; Char(10) &amp; VLOOKUP(A205,Internal_lists_bugs!$A$2:$Z$73,26,FALSE())),"please select a BUG ID")</f>
        <v>please select a BUG ID</v>
      </c>
      <c r="C205" s="51" t="str">
        <f>IFERROR(VLOOKUP(A205,Internal_lists_bugs!$A$2:$G1001,7,FALSE()),"please select a BUG ID")</f>
        <v>please select a BUG ID</v>
      </c>
      <c r="D205" s="51" t="str">
        <f>IFERROR(VLOOKUP(A205,Internal_lists_bugs!$A$2:$I1001,9,FALSE()),"please select a BUG ID")</f>
        <v>please select a BUG ID</v>
      </c>
      <c r="E205" s="105"/>
      <c r="G205" s="54"/>
      <c r="H205" s="105"/>
    </row>
    <row r="206">
      <c r="A206" s="54"/>
      <c r="B206" s="88" t="str">
        <f>IFERROR(HYPERLINK(VLOOKUP(A206,Internal_lists_bugs!$A$2:$C$73,3,FALSE()), VLOOKUP(A206,Internal_lists_bugs!$A$2:$C$73,3,FALSE())&amp;Char(10) &amp; Char(10) &amp; VLOOKUP(A206,Internal_lists_bugs!$A$2:$Z$73,26,FALSE())),"please select a BUG ID")</f>
        <v>please select a BUG ID</v>
      </c>
      <c r="C206" s="51" t="str">
        <f>IFERROR(VLOOKUP(A206,Internal_lists_bugs!$A$2:$G1001,7,FALSE()),"please select a BUG ID")</f>
        <v>please select a BUG ID</v>
      </c>
      <c r="D206" s="51" t="str">
        <f>IFERROR(VLOOKUP(A206,Internal_lists_bugs!$A$2:$I1001,9,FALSE()),"please select a BUG ID")</f>
        <v>please select a BUG ID</v>
      </c>
      <c r="E206" s="105"/>
      <c r="G206" s="54"/>
      <c r="H206" s="105"/>
    </row>
    <row r="207">
      <c r="A207" s="54"/>
      <c r="B207" s="88" t="str">
        <f>IFERROR(HYPERLINK(VLOOKUP(A207,Internal_lists_bugs!$A$2:$C$73,3,FALSE()), VLOOKUP(A207,Internal_lists_bugs!$A$2:$C$73,3,FALSE())&amp;Char(10) &amp; Char(10) &amp; VLOOKUP(A207,Internal_lists_bugs!$A$2:$Z$73,26,FALSE())),"please select a BUG ID")</f>
        <v>please select a BUG ID</v>
      </c>
      <c r="C207" s="51" t="str">
        <f>IFERROR(VLOOKUP(A207,Internal_lists_bugs!$A$2:$G1001,7,FALSE()),"please select a BUG ID")</f>
        <v>please select a BUG ID</v>
      </c>
      <c r="D207" s="51" t="str">
        <f>IFERROR(VLOOKUP(A207,Internal_lists_bugs!$A$2:$I1001,9,FALSE()),"please select a BUG ID")</f>
        <v>please select a BUG ID</v>
      </c>
      <c r="E207" s="105"/>
      <c r="G207" s="54"/>
      <c r="H207" s="105"/>
    </row>
    <row r="208">
      <c r="A208" s="54"/>
      <c r="B208" s="88" t="str">
        <f>IFERROR(HYPERLINK(VLOOKUP(A208,Internal_lists_bugs!$A$2:$C$73,3,FALSE()), VLOOKUP(A208,Internal_lists_bugs!$A$2:$C$73,3,FALSE())&amp;Char(10) &amp; Char(10) &amp; VLOOKUP(A208,Internal_lists_bugs!$A$2:$Z$73,26,FALSE())),"please select a BUG ID")</f>
        <v>please select a BUG ID</v>
      </c>
      <c r="C208" s="51" t="str">
        <f>IFERROR(VLOOKUP(A208,Internal_lists_bugs!$A$2:$G1001,7,FALSE()),"please select a BUG ID")</f>
        <v>please select a BUG ID</v>
      </c>
      <c r="D208" s="51" t="str">
        <f>IFERROR(VLOOKUP(A208,Internal_lists_bugs!$A$2:$I1001,9,FALSE()),"please select a BUG ID")</f>
        <v>please select a BUG ID</v>
      </c>
      <c r="E208" s="105"/>
      <c r="G208" s="54"/>
      <c r="H208" s="105"/>
    </row>
    <row r="209">
      <c r="A209" s="54"/>
      <c r="B209" s="88" t="str">
        <f>IFERROR(HYPERLINK(VLOOKUP(A209,Internal_lists_bugs!$A$2:$C$73,3,FALSE()), VLOOKUP(A209,Internal_lists_bugs!$A$2:$C$73,3,FALSE())&amp;Char(10) &amp; Char(10) &amp; VLOOKUP(A209,Internal_lists_bugs!$A$2:$Z$73,26,FALSE())),"please select a BUG ID")</f>
        <v>please select a BUG ID</v>
      </c>
      <c r="C209" s="51" t="str">
        <f>IFERROR(VLOOKUP(A209,Internal_lists_bugs!$A$2:$G1001,7,FALSE()),"please select a BUG ID")</f>
        <v>please select a BUG ID</v>
      </c>
      <c r="D209" s="51" t="str">
        <f>IFERROR(VLOOKUP(A209,Internal_lists_bugs!$A$2:$I1001,9,FALSE()),"please select a BUG ID")</f>
        <v>please select a BUG ID</v>
      </c>
      <c r="E209" s="105"/>
      <c r="G209" s="54"/>
      <c r="H209" s="105"/>
    </row>
    <row r="210">
      <c r="A210" s="54"/>
      <c r="B210" s="88" t="str">
        <f>IFERROR(HYPERLINK(VLOOKUP(A210,Internal_lists_bugs!$A$2:$C$73,3,FALSE()), VLOOKUP(A210,Internal_lists_bugs!$A$2:$C$73,3,FALSE())&amp;Char(10) &amp; Char(10) &amp; VLOOKUP(A210,Internal_lists_bugs!$A$2:$Z$73,26,FALSE())),"please select a BUG ID")</f>
        <v>please select a BUG ID</v>
      </c>
      <c r="C210" s="51" t="str">
        <f>IFERROR(VLOOKUP(A210,Internal_lists_bugs!$A$2:$G1001,7,FALSE()),"please select a BUG ID")</f>
        <v>please select a BUG ID</v>
      </c>
      <c r="D210" s="51" t="str">
        <f>IFERROR(VLOOKUP(A210,Internal_lists_bugs!$A$2:$I1001,9,FALSE()),"please select a BUG ID")</f>
        <v>please select a BUG ID</v>
      </c>
      <c r="E210" s="105"/>
      <c r="G210" s="54"/>
      <c r="H210" s="105"/>
    </row>
    <row r="211">
      <c r="A211" s="54"/>
      <c r="B211" s="88" t="str">
        <f>IFERROR(HYPERLINK(VLOOKUP(A211,Internal_lists_bugs!$A$2:$C$73,3,FALSE()), VLOOKUP(A211,Internal_lists_bugs!$A$2:$C$73,3,FALSE())&amp;Char(10) &amp; Char(10) &amp; VLOOKUP(A211,Internal_lists_bugs!$A$2:$Z$73,26,FALSE())),"please select a BUG ID")</f>
        <v>please select a BUG ID</v>
      </c>
      <c r="C211" s="51" t="str">
        <f>IFERROR(VLOOKUP(A211,Internal_lists_bugs!$A$2:$G1001,7,FALSE()),"please select a BUG ID")</f>
        <v>please select a BUG ID</v>
      </c>
      <c r="D211" s="51" t="str">
        <f>IFERROR(VLOOKUP(A211,Internal_lists_bugs!$A$2:$I1001,9,FALSE()),"please select a BUG ID")</f>
        <v>please select a BUG ID</v>
      </c>
      <c r="E211" s="105"/>
      <c r="G211" s="54"/>
      <c r="H211" s="105"/>
    </row>
    <row r="212">
      <c r="A212" s="54"/>
      <c r="B212" s="88" t="str">
        <f>IFERROR(HYPERLINK(VLOOKUP(A212,Internal_lists_bugs!$A$2:$C$73,3,FALSE()), VLOOKUP(A212,Internal_lists_bugs!$A$2:$C$73,3,FALSE())&amp;Char(10) &amp; Char(10) &amp; VLOOKUP(A212,Internal_lists_bugs!$A$2:$Z$73,26,FALSE())),"please select a BUG ID")</f>
        <v>please select a BUG ID</v>
      </c>
      <c r="C212" s="51" t="str">
        <f>IFERROR(VLOOKUP(A212,Internal_lists_bugs!$A$2:$G1001,7,FALSE()),"please select a BUG ID")</f>
        <v>please select a BUG ID</v>
      </c>
      <c r="D212" s="51" t="str">
        <f>IFERROR(VLOOKUP(A212,Internal_lists_bugs!$A$2:$I1001,9,FALSE()),"please select a BUG ID")</f>
        <v>please select a BUG ID</v>
      </c>
      <c r="E212" s="105"/>
      <c r="G212" s="54"/>
      <c r="H212" s="105"/>
    </row>
    <row r="213">
      <c r="A213" s="54"/>
      <c r="B213" s="88" t="str">
        <f>IFERROR(HYPERLINK(VLOOKUP(A213,Internal_lists_bugs!$A$2:$C$73,3,FALSE()), VLOOKUP(A213,Internal_lists_bugs!$A$2:$C$73,3,FALSE())&amp;Char(10) &amp; Char(10) &amp; VLOOKUP(A213,Internal_lists_bugs!$A$2:$Z$73,26,FALSE())),"please select a BUG ID")</f>
        <v>please select a BUG ID</v>
      </c>
      <c r="C213" s="51" t="str">
        <f>IFERROR(VLOOKUP(A213,Internal_lists_bugs!$A$2:$G1001,7,FALSE()),"please select a BUG ID")</f>
        <v>please select a BUG ID</v>
      </c>
      <c r="D213" s="51" t="str">
        <f>IFERROR(VLOOKUP(A213,Internal_lists_bugs!$A$2:$I1001,9,FALSE()),"please select a BUG ID")</f>
        <v>please select a BUG ID</v>
      </c>
      <c r="E213" s="105"/>
      <c r="G213" s="54"/>
      <c r="H213" s="105"/>
    </row>
    <row r="214">
      <c r="A214" s="54"/>
      <c r="B214" s="88" t="str">
        <f>IFERROR(HYPERLINK(VLOOKUP(A214,Internal_lists_bugs!$A$2:$C$73,3,FALSE()), VLOOKUP(A214,Internal_lists_bugs!$A$2:$C$73,3,FALSE())&amp;Char(10) &amp; Char(10) &amp; VLOOKUP(A214,Internal_lists_bugs!$A$2:$Z$73,26,FALSE())),"please select a BUG ID")</f>
        <v>please select a BUG ID</v>
      </c>
      <c r="C214" s="51" t="str">
        <f>IFERROR(VLOOKUP(A214,Internal_lists_bugs!$A$2:$G1001,7,FALSE()),"please select a BUG ID")</f>
        <v>please select a BUG ID</v>
      </c>
      <c r="D214" s="51" t="str">
        <f>IFERROR(VLOOKUP(A214,Internal_lists_bugs!$A$2:$I1001,9,FALSE()),"please select a BUG ID")</f>
        <v>please select a BUG ID</v>
      </c>
      <c r="E214" s="105"/>
      <c r="G214" s="54"/>
      <c r="H214" s="105"/>
    </row>
    <row r="215">
      <c r="A215" s="54"/>
      <c r="B215" s="88" t="str">
        <f>IFERROR(HYPERLINK(VLOOKUP(A215,Internal_lists_bugs!$A$2:$C$73,3,FALSE()), VLOOKUP(A215,Internal_lists_bugs!$A$2:$C$73,3,FALSE())&amp;Char(10) &amp; Char(10) &amp; VLOOKUP(A215,Internal_lists_bugs!$A$2:$Z$73,26,FALSE())),"please select a BUG ID")</f>
        <v>please select a BUG ID</v>
      </c>
      <c r="C215" s="51" t="str">
        <f>IFERROR(VLOOKUP(A215,Internal_lists_bugs!$A$2:$G1001,7,FALSE()),"please select a BUG ID")</f>
        <v>please select a BUG ID</v>
      </c>
      <c r="D215" s="51" t="str">
        <f>IFERROR(VLOOKUP(A215,Internal_lists_bugs!$A$2:$I1001,9,FALSE()),"please select a BUG ID")</f>
        <v>please select a BUG ID</v>
      </c>
      <c r="E215" s="105"/>
      <c r="G215" s="54"/>
      <c r="H215" s="105"/>
    </row>
    <row r="216">
      <c r="A216" s="54"/>
      <c r="B216" s="88" t="str">
        <f>IFERROR(HYPERLINK(VLOOKUP(A216,Internal_lists_bugs!$A$2:$C$73,3,FALSE()), VLOOKUP(A216,Internal_lists_bugs!$A$2:$C$73,3,FALSE())&amp;Char(10) &amp; Char(10) &amp; VLOOKUP(A216,Internal_lists_bugs!$A$2:$Z$73,26,FALSE())),"please select a BUG ID")</f>
        <v>please select a BUG ID</v>
      </c>
      <c r="C216" s="51" t="str">
        <f>IFERROR(VLOOKUP(A216,Internal_lists_bugs!$A$2:$G1001,7,FALSE()),"please select a BUG ID")</f>
        <v>please select a BUG ID</v>
      </c>
      <c r="D216" s="51" t="str">
        <f>IFERROR(VLOOKUP(A216,Internal_lists_bugs!$A$2:$I1001,9,FALSE()),"please select a BUG ID")</f>
        <v>please select a BUG ID</v>
      </c>
      <c r="E216" s="105"/>
      <c r="G216" s="54"/>
      <c r="H216" s="105"/>
    </row>
    <row r="217">
      <c r="A217" s="54"/>
      <c r="B217" s="88" t="str">
        <f>IFERROR(HYPERLINK(VLOOKUP(A217,Internal_lists_bugs!$A$2:$C$73,3,FALSE()), VLOOKUP(A217,Internal_lists_bugs!$A$2:$C$73,3,FALSE())&amp;Char(10) &amp; Char(10) &amp; VLOOKUP(A217,Internal_lists_bugs!$A$2:$Z$73,26,FALSE())),"please select a BUG ID")</f>
        <v>please select a BUG ID</v>
      </c>
      <c r="C217" s="51" t="str">
        <f>IFERROR(VLOOKUP(A217,Internal_lists_bugs!$A$2:$G1001,7,FALSE()),"please select a BUG ID")</f>
        <v>please select a BUG ID</v>
      </c>
      <c r="D217" s="51" t="str">
        <f>IFERROR(VLOOKUP(A217,Internal_lists_bugs!$A$2:$I1001,9,FALSE()),"please select a BUG ID")</f>
        <v>please select a BUG ID</v>
      </c>
      <c r="E217" s="105"/>
      <c r="G217" s="54"/>
      <c r="H217" s="105"/>
    </row>
    <row r="218">
      <c r="A218" s="54"/>
      <c r="B218" s="88" t="str">
        <f>IFERROR(HYPERLINK(VLOOKUP(A218,Internal_lists_bugs!$A$2:$C$73,3,FALSE()), VLOOKUP(A218,Internal_lists_bugs!$A$2:$C$73,3,FALSE())&amp;Char(10) &amp; Char(10) &amp; VLOOKUP(A218,Internal_lists_bugs!$A$2:$Z$73,26,FALSE())),"please select a BUG ID")</f>
        <v>please select a BUG ID</v>
      </c>
      <c r="C218" s="51" t="str">
        <f>IFERROR(VLOOKUP(A218,Internal_lists_bugs!$A$2:$G1001,7,FALSE()),"please select a BUG ID")</f>
        <v>please select a BUG ID</v>
      </c>
      <c r="D218" s="51" t="str">
        <f>IFERROR(VLOOKUP(A218,Internal_lists_bugs!$A$2:$I1001,9,FALSE()),"please select a BUG ID")</f>
        <v>please select a BUG ID</v>
      </c>
      <c r="E218" s="105"/>
      <c r="G218" s="54"/>
      <c r="H218" s="105"/>
    </row>
    <row r="219">
      <c r="A219" s="54"/>
      <c r="B219" s="88" t="str">
        <f>IFERROR(HYPERLINK(VLOOKUP(A219,Internal_lists_bugs!$A$2:$C$73,3,FALSE()), VLOOKUP(A219,Internal_lists_bugs!$A$2:$C$73,3,FALSE())&amp;Char(10) &amp; Char(10) &amp; VLOOKUP(A219,Internal_lists_bugs!$A$2:$Z$73,26,FALSE())),"please select a BUG ID")</f>
        <v>please select a BUG ID</v>
      </c>
      <c r="C219" s="51" t="str">
        <f>IFERROR(VLOOKUP(A219,Internal_lists_bugs!$A$2:$G1001,7,FALSE()),"please select a BUG ID")</f>
        <v>please select a BUG ID</v>
      </c>
      <c r="D219" s="51" t="str">
        <f>IFERROR(VLOOKUP(A219,Internal_lists_bugs!$A$2:$I1001,9,FALSE()),"please select a BUG ID")</f>
        <v>please select a BUG ID</v>
      </c>
      <c r="E219" s="105"/>
      <c r="G219" s="54"/>
      <c r="H219" s="105"/>
    </row>
    <row r="220">
      <c r="A220" s="54"/>
      <c r="B220" s="88" t="str">
        <f>IFERROR(HYPERLINK(VLOOKUP(A220,Internal_lists_bugs!$A$2:$C$73,3,FALSE()), VLOOKUP(A220,Internal_lists_bugs!$A$2:$C$73,3,FALSE())&amp;Char(10) &amp; Char(10) &amp; VLOOKUP(A220,Internal_lists_bugs!$A$2:$Z$73,26,FALSE())),"please select a BUG ID")</f>
        <v>please select a BUG ID</v>
      </c>
      <c r="C220" s="51" t="str">
        <f>IFERROR(VLOOKUP(A220,Internal_lists_bugs!$A$2:$G1001,7,FALSE()),"please select a BUG ID")</f>
        <v>please select a BUG ID</v>
      </c>
      <c r="D220" s="51" t="str">
        <f>IFERROR(VLOOKUP(A220,Internal_lists_bugs!$A$2:$I1001,9,FALSE()),"please select a BUG ID")</f>
        <v>please select a BUG ID</v>
      </c>
      <c r="E220" s="105"/>
      <c r="G220" s="54"/>
      <c r="H220" s="105"/>
    </row>
    <row r="221">
      <c r="A221" s="54"/>
      <c r="B221" s="88" t="str">
        <f>IFERROR(HYPERLINK(VLOOKUP(A221,Internal_lists_bugs!$A$2:$C$73,3,FALSE()), VLOOKUP(A221,Internal_lists_bugs!$A$2:$C$73,3,FALSE())&amp;Char(10) &amp; Char(10) &amp; VLOOKUP(A221,Internal_lists_bugs!$A$2:$Z$73,26,FALSE())),"please select a BUG ID")</f>
        <v>please select a BUG ID</v>
      </c>
      <c r="C221" s="51" t="str">
        <f>IFERROR(VLOOKUP(A221,Internal_lists_bugs!$A$2:$G1001,7,FALSE()),"please select a BUG ID")</f>
        <v>please select a BUG ID</v>
      </c>
      <c r="D221" s="51" t="str">
        <f>IFERROR(VLOOKUP(A221,Internal_lists_bugs!$A$2:$I1001,9,FALSE()),"please select a BUG ID")</f>
        <v>please select a BUG ID</v>
      </c>
      <c r="E221" s="105"/>
      <c r="G221" s="54"/>
      <c r="H221" s="105"/>
    </row>
    <row r="222">
      <c r="A222" s="54"/>
      <c r="B222" s="88" t="str">
        <f>IFERROR(HYPERLINK(VLOOKUP(A222,Internal_lists_bugs!$A$2:$C$73,3,FALSE()), VLOOKUP(A222,Internal_lists_bugs!$A$2:$C$73,3,FALSE())&amp;Char(10) &amp; Char(10) &amp; VLOOKUP(A222,Internal_lists_bugs!$A$2:$Z$73,26,FALSE())),"please select a BUG ID")</f>
        <v>please select a BUG ID</v>
      </c>
      <c r="C222" s="51" t="str">
        <f>IFERROR(VLOOKUP(A222,Internal_lists_bugs!$A$2:$G1001,7,FALSE()),"please select a BUG ID")</f>
        <v>please select a BUG ID</v>
      </c>
      <c r="D222" s="51" t="str">
        <f>IFERROR(VLOOKUP(A222,Internal_lists_bugs!$A$2:$I1001,9,FALSE()),"please select a BUG ID")</f>
        <v>please select a BUG ID</v>
      </c>
      <c r="E222" s="105"/>
      <c r="G222" s="54"/>
      <c r="H222" s="105"/>
    </row>
    <row r="223">
      <c r="A223" s="54"/>
      <c r="B223" s="88" t="str">
        <f>IFERROR(HYPERLINK(VLOOKUP(A223,Internal_lists_bugs!$A$2:$C$73,3,FALSE()), VLOOKUP(A223,Internal_lists_bugs!$A$2:$C$73,3,FALSE())&amp;Char(10) &amp; Char(10) &amp; VLOOKUP(A223,Internal_lists_bugs!$A$2:$Z$73,26,FALSE())),"please select a BUG ID")</f>
        <v>please select a BUG ID</v>
      </c>
      <c r="C223" s="51" t="str">
        <f>IFERROR(VLOOKUP(A223,Internal_lists_bugs!$A$2:$G1001,7,FALSE()),"please select a BUG ID")</f>
        <v>please select a BUG ID</v>
      </c>
      <c r="D223" s="51" t="str">
        <f>IFERROR(VLOOKUP(A223,Internal_lists_bugs!$A$2:$I1001,9,FALSE()),"please select a BUG ID")</f>
        <v>please select a BUG ID</v>
      </c>
      <c r="E223" s="105"/>
      <c r="G223" s="54"/>
      <c r="H223" s="105"/>
    </row>
    <row r="224">
      <c r="A224" s="54"/>
      <c r="B224" s="88" t="str">
        <f>IFERROR(HYPERLINK(VLOOKUP(A224,Internal_lists_bugs!$A$2:$C$73,3,FALSE()), VLOOKUP(A224,Internal_lists_bugs!$A$2:$C$73,3,FALSE())&amp;Char(10) &amp; Char(10) &amp; VLOOKUP(A224,Internal_lists_bugs!$A$2:$Z$73,26,FALSE())),"please select a BUG ID")</f>
        <v>please select a BUG ID</v>
      </c>
      <c r="C224" s="51" t="str">
        <f>IFERROR(VLOOKUP(A224,Internal_lists_bugs!$A$2:$G1001,7,FALSE()),"please select a BUG ID")</f>
        <v>please select a BUG ID</v>
      </c>
      <c r="D224" s="51" t="str">
        <f>IFERROR(VLOOKUP(A224,Internal_lists_bugs!$A$2:$I1001,9,FALSE()),"please select a BUG ID")</f>
        <v>please select a BUG ID</v>
      </c>
      <c r="E224" s="105"/>
      <c r="G224" s="54"/>
      <c r="H224" s="105"/>
    </row>
    <row r="225">
      <c r="A225" s="54"/>
      <c r="B225" s="88" t="str">
        <f>IFERROR(HYPERLINK(VLOOKUP(A225,Internal_lists_bugs!$A$2:$C$73,3,FALSE()), VLOOKUP(A225,Internal_lists_bugs!$A$2:$C$73,3,FALSE())&amp;Char(10) &amp; Char(10) &amp; VLOOKUP(A225,Internal_lists_bugs!$A$2:$Z$73,26,FALSE())),"please select a BUG ID")</f>
        <v>please select a BUG ID</v>
      </c>
      <c r="C225" s="51" t="str">
        <f>IFERROR(VLOOKUP(A225,Internal_lists_bugs!$A$2:$G1001,7,FALSE()),"please select a BUG ID")</f>
        <v>please select a BUG ID</v>
      </c>
      <c r="D225" s="51" t="str">
        <f>IFERROR(VLOOKUP(A225,Internal_lists_bugs!$A$2:$I1001,9,FALSE()),"please select a BUG ID")</f>
        <v>please select a BUG ID</v>
      </c>
      <c r="E225" s="105"/>
      <c r="G225" s="54"/>
      <c r="H225" s="105"/>
    </row>
    <row r="226">
      <c r="A226" s="54"/>
      <c r="B226" s="88" t="str">
        <f>IFERROR(HYPERLINK(VLOOKUP(A226,Internal_lists_bugs!$A$2:$C$73,3,FALSE()), VLOOKUP(A226,Internal_lists_bugs!$A$2:$C$73,3,FALSE())&amp;Char(10) &amp; Char(10) &amp; VLOOKUP(A226,Internal_lists_bugs!$A$2:$Z$73,26,FALSE())),"please select a BUG ID")</f>
        <v>please select a BUG ID</v>
      </c>
      <c r="C226" s="51" t="str">
        <f>IFERROR(VLOOKUP(A226,Internal_lists_bugs!$A$2:$G1001,7,FALSE()),"please select a BUG ID")</f>
        <v>please select a BUG ID</v>
      </c>
      <c r="D226" s="51" t="str">
        <f>IFERROR(VLOOKUP(A226,Internal_lists_bugs!$A$2:$I1001,9,FALSE()),"please select a BUG ID")</f>
        <v>please select a BUG ID</v>
      </c>
      <c r="E226" s="105"/>
      <c r="G226" s="54"/>
      <c r="H226" s="105"/>
    </row>
    <row r="227">
      <c r="A227" s="54"/>
      <c r="B227" s="88" t="str">
        <f>IFERROR(HYPERLINK(VLOOKUP(A227,Internal_lists_bugs!$A$2:$C$73,3,FALSE()), VLOOKUP(A227,Internal_lists_bugs!$A$2:$C$73,3,FALSE())&amp;Char(10) &amp; Char(10) &amp; VLOOKUP(A227,Internal_lists_bugs!$A$2:$Z$73,26,FALSE())),"please select a BUG ID")</f>
        <v>please select a BUG ID</v>
      </c>
      <c r="C227" s="51" t="str">
        <f>IFERROR(VLOOKUP(A227,Internal_lists_bugs!$A$2:$G1001,7,FALSE()),"please select a BUG ID")</f>
        <v>please select a BUG ID</v>
      </c>
      <c r="D227" s="51" t="str">
        <f>IFERROR(VLOOKUP(A227,Internal_lists_bugs!$A$2:$I1001,9,FALSE()),"please select a BUG ID")</f>
        <v>please select a BUG ID</v>
      </c>
      <c r="E227" s="105"/>
      <c r="G227" s="54"/>
      <c r="H227" s="105"/>
    </row>
    <row r="228">
      <c r="A228" s="54"/>
      <c r="B228" s="88" t="str">
        <f>IFERROR(HYPERLINK(VLOOKUP(A228,Internal_lists_bugs!$A$2:$C$73,3,FALSE()), VLOOKUP(A228,Internal_lists_bugs!$A$2:$C$73,3,FALSE())&amp;Char(10) &amp; Char(10) &amp; VLOOKUP(A228,Internal_lists_bugs!$A$2:$Z$73,26,FALSE())),"please select a BUG ID")</f>
        <v>please select a BUG ID</v>
      </c>
      <c r="C228" s="51" t="str">
        <f>IFERROR(VLOOKUP(A228,Internal_lists_bugs!$A$2:$G1001,7,FALSE()),"please select a BUG ID")</f>
        <v>please select a BUG ID</v>
      </c>
      <c r="D228" s="51" t="str">
        <f>IFERROR(VLOOKUP(A228,Internal_lists_bugs!$A$2:$I1001,9,FALSE()),"please select a BUG ID")</f>
        <v>please select a BUG ID</v>
      </c>
      <c r="E228" s="105"/>
      <c r="G228" s="54"/>
      <c r="H228" s="105"/>
    </row>
    <row r="229">
      <c r="A229" s="54"/>
      <c r="B229" s="88" t="str">
        <f>IFERROR(HYPERLINK(VLOOKUP(A229,Internal_lists_bugs!$A$2:$C$73,3,FALSE()), VLOOKUP(A229,Internal_lists_bugs!$A$2:$C$73,3,FALSE())&amp;Char(10) &amp; Char(10) &amp; VLOOKUP(A229,Internal_lists_bugs!$A$2:$Z$73,26,FALSE())),"please select a BUG ID")</f>
        <v>please select a BUG ID</v>
      </c>
      <c r="C229" s="51" t="str">
        <f>IFERROR(VLOOKUP(A229,Internal_lists_bugs!$A$2:$G1001,7,FALSE()),"please select a BUG ID")</f>
        <v>please select a BUG ID</v>
      </c>
      <c r="D229" s="51" t="str">
        <f>IFERROR(VLOOKUP(A229,Internal_lists_bugs!$A$2:$I1001,9,FALSE()),"please select a BUG ID")</f>
        <v>please select a BUG ID</v>
      </c>
      <c r="E229" s="105"/>
      <c r="G229" s="54"/>
      <c r="H229" s="105"/>
    </row>
    <row r="230">
      <c r="A230" s="54"/>
      <c r="B230" s="88" t="str">
        <f>IFERROR(HYPERLINK(VLOOKUP(A230,Internal_lists_bugs!$A$2:$C$73,3,FALSE()), VLOOKUP(A230,Internal_lists_bugs!$A$2:$C$73,3,FALSE())&amp;Char(10) &amp; Char(10) &amp; VLOOKUP(A230,Internal_lists_bugs!$A$2:$Z$73,26,FALSE())),"please select a BUG ID")</f>
        <v>please select a BUG ID</v>
      </c>
      <c r="C230" s="51" t="str">
        <f>IFERROR(VLOOKUP(A230,Internal_lists_bugs!$A$2:$G1001,7,FALSE()),"please select a BUG ID")</f>
        <v>please select a BUG ID</v>
      </c>
      <c r="D230" s="51" t="str">
        <f>IFERROR(VLOOKUP(A230,Internal_lists_bugs!$A$2:$I1001,9,FALSE()),"please select a BUG ID")</f>
        <v>please select a BUG ID</v>
      </c>
      <c r="E230" s="105"/>
      <c r="G230" s="54"/>
      <c r="H230" s="105"/>
    </row>
    <row r="231">
      <c r="A231" s="54"/>
      <c r="B231" s="88" t="str">
        <f>IFERROR(HYPERLINK(VLOOKUP(A231,Internal_lists_bugs!$A$2:$C$73,3,FALSE()), VLOOKUP(A231,Internal_lists_bugs!$A$2:$C$73,3,FALSE())&amp;Char(10) &amp; Char(10) &amp; VLOOKUP(A231,Internal_lists_bugs!$A$2:$Z$73,26,FALSE())),"please select a BUG ID")</f>
        <v>please select a BUG ID</v>
      </c>
      <c r="C231" s="51" t="str">
        <f>IFERROR(VLOOKUP(A231,Internal_lists_bugs!$A$2:$G1001,7,FALSE()),"please select a BUG ID")</f>
        <v>please select a BUG ID</v>
      </c>
      <c r="D231" s="51" t="str">
        <f>IFERROR(VLOOKUP(A231,Internal_lists_bugs!$A$2:$I1001,9,FALSE()),"please select a BUG ID")</f>
        <v>please select a BUG ID</v>
      </c>
      <c r="E231" s="105"/>
      <c r="G231" s="54"/>
      <c r="H231" s="105"/>
    </row>
    <row r="232">
      <c r="A232" s="54"/>
      <c r="B232" s="88" t="str">
        <f>IFERROR(HYPERLINK(VLOOKUP(A232,Internal_lists_bugs!$A$2:$C$73,3,FALSE()), VLOOKUP(A232,Internal_lists_bugs!$A$2:$C$73,3,FALSE())&amp;Char(10) &amp; Char(10) &amp; VLOOKUP(A232,Internal_lists_bugs!$A$2:$Z$73,26,FALSE())),"please select a BUG ID")</f>
        <v>please select a BUG ID</v>
      </c>
      <c r="C232" s="51" t="str">
        <f>IFERROR(VLOOKUP(A232,Internal_lists_bugs!$A$2:$G1001,7,FALSE()),"please select a BUG ID")</f>
        <v>please select a BUG ID</v>
      </c>
      <c r="D232" s="51" t="str">
        <f>IFERROR(VLOOKUP(A232,Internal_lists_bugs!$A$2:$I1001,9,FALSE()),"please select a BUG ID")</f>
        <v>please select a BUG ID</v>
      </c>
      <c r="E232" s="105"/>
      <c r="G232" s="54"/>
      <c r="H232" s="105"/>
    </row>
    <row r="233">
      <c r="A233" s="54"/>
      <c r="B233" s="88" t="str">
        <f>IFERROR(HYPERLINK(VLOOKUP(A233,Internal_lists_bugs!$A$2:$C$73,3,FALSE()), VLOOKUP(A233,Internal_lists_bugs!$A$2:$C$73,3,FALSE())&amp;Char(10) &amp; Char(10) &amp; VLOOKUP(A233,Internal_lists_bugs!$A$2:$Z$73,26,FALSE())),"please select a BUG ID")</f>
        <v>please select a BUG ID</v>
      </c>
      <c r="C233" s="51" t="str">
        <f>IFERROR(VLOOKUP(A233,Internal_lists_bugs!$A$2:$G1001,7,FALSE()),"please select a BUG ID")</f>
        <v>please select a BUG ID</v>
      </c>
      <c r="D233" s="51" t="str">
        <f>IFERROR(VLOOKUP(A233,Internal_lists_bugs!$A$2:$I1001,9,FALSE()),"please select a BUG ID")</f>
        <v>please select a BUG ID</v>
      </c>
      <c r="E233" s="105"/>
      <c r="G233" s="54"/>
      <c r="H233" s="105"/>
    </row>
    <row r="234">
      <c r="A234" s="54"/>
      <c r="B234" s="88" t="str">
        <f>IFERROR(HYPERLINK(VLOOKUP(A234,Internal_lists_bugs!$A$2:$C$73,3,FALSE()), VLOOKUP(A234,Internal_lists_bugs!$A$2:$C$73,3,FALSE())&amp;Char(10) &amp; Char(10) &amp; VLOOKUP(A234,Internal_lists_bugs!$A$2:$Z$73,26,FALSE())),"please select a BUG ID")</f>
        <v>please select a BUG ID</v>
      </c>
      <c r="C234" s="51" t="str">
        <f>IFERROR(VLOOKUP(A234,Internal_lists_bugs!$A$2:$G1001,7,FALSE()),"please select a BUG ID")</f>
        <v>please select a BUG ID</v>
      </c>
      <c r="D234" s="51" t="str">
        <f>IFERROR(VLOOKUP(A234,Internal_lists_bugs!$A$2:$I1001,9,FALSE()),"please select a BUG ID")</f>
        <v>please select a BUG ID</v>
      </c>
      <c r="E234" s="105"/>
      <c r="G234" s="54"/>
      <c r="H234" s="105"/>
    </row>
    <row r="235">
      <c r="A235" s="54"/>
      <c r="B235" s="88" t="str">
        <f>IFERROR(HYPERLINK(VLOOKUP(A235,Internal_lists_bugs!$A$2:$C$73,3,FALSE()), VLOOKUP(A235,Internal_lists_bugs!$A$2:$C$73,3,FALSE())&amp;Char(10) &amp; Char(10) &amp; VLOOKUP(A235,Internal_lists_bugs!$A$2:$Z$73,26,FALSE())),"please select a BUG ID")</f>
        <v>please select a BUG ID</v>
      </c>
      <c r="C235" s="51" t="str">
        <f>IFERROR(VLOOKUP(A235,Internal_lists_bugs!$A$2:$G1001,7,FALSE()),"please select a BUG ID")</f>
        <v>please select a BUG ID</v>
      </c>
      <c r="D235" s="51" t="str">
        <f>IFERROR(VLOOKUP(A235,Internal_lists_bugs!$A$2:$I1001,9,FALSE()),"please select a BUG ID")</f>
        <v>please select a BUG ID</v>
      </c>
      <c r="E235" s="105"/>
      <c r="G235" s="54"/>
      <c r="H235" s="105"/>
    </row>
    <row r="236">
      <c r="A236" s="54"/>
      <c r="B236" s="88" t="str">
        <f>IFERROR(HYPERLINK(VLOOKUP(A236,Internal_lists_bugs!$A$2:$C$73,3,FALSE()), VLOOKUP(A236,Internal_lists_bugs!$A$2:$C$73,3,FALSE())&amp;Char(10) &amp; Char(10) &amp; VLOOKUP(A236,Internal_lists_bugs!$A$2:$Z$73,26,FALSE())),"please select a BUG ID")</f>
        <v>please select a BUG ID</v>
      </c>
      <c r="C236" s="51" t="str">
        <f>IFERROR(VLOOKUP(A236,Internal_lists_bugs!$A$2:$G1001,7,FALSE()),"please select a BUG ID")</f>
        <v>please select a BUG ID</v>
      </c>
      <c r="D236" s="51" t="str">
        <f>IFERROR(VLOOKUP(A236,Internal_lists_bugs!$A$2:$I1001,9,FALSE()),"please select a BUG ID")</f>
        <v>please select a BUG ID</v>
      </c>
      <c r="E236" s="105"/>
      <c r="G236" s="54"/>
      <c r="H236" s="105"/>
    </row>
    <row r="237">
      <c r="A237" s="54"/>
      <c r="B237" s="88" t="str">
        <f>IFERROR(HYPERLINK(VLOOKUP(A237,Internal_lists_bugs!$A$2:$C$73,3,FALSE()), VLOOKUP(A237,Internal_lists_bugs!$A$2:$C$73,3,FALSE())&amp;Char(10) &amp; Char(10) &amp; VLOOKUP(A237,Internal_lists_bugs!$A$2:$Z$73,26,FALSE())),"please select a BUG ID")</f>
        <v>please select a BUG ID</v>
      </c>
      <c r="C237" s="51" t="str">
        <f>IFERROR(VLOOKUP(A237,Internal_lists_bugs!$A$2:$G1001,7,FALSE()),"please select a BUG ID")</f>
        <v>please select a BUG ID</v>
      </c>
      <c r="D237" s="51" t="str">
        <f>IFERROR(VLOOKUP(A237,Internal_lists_bugs!$A$2:$I1001,9,FALSE()),"please select a BUG ID")</f>
        <v>please select a BUG ID</v>
      </c>
      <c r="E237" s="105"/>
      <c r="G237" s="54"/>
      <c r="H237" s="105"/>
    </row>
    <row r="238">
      <c r="A238" s="54"/>
      <c r="B238" s="88" t="str">
        <f>IFERROR(HYPERLINK(VLOOKUP(A238,Internal_lists_bugs!$A$2:$C$73,3,FALSE()), VLOOKUP(A238,Internal_lists_bugs!$A$2:$C$73,3,FALSE())&amp;Char(10) &amp; Char(10) &amp; VLOOKUP(A238,Internal_lists_bugs!$A$2:$Z$73,26,FALSE())),"please select a BUG ID")</f>
        <v>please select a BUG ID</v>
      </c>
      <c r="C238" s="51" t="str">
        <f>IFERROR(VLOOKUP(A238,Internal_lists_bugs!$A$2:$G1001,7,FALSE()),"please select a BUG ID")</f>
        <v>please select a BUG ID</v>
      </c>
      <c r="D238" s="51" t="str">
        <f>IFERROR(VLOOKUP(A238,Internal_lists_bugs!$A$2:$I1001,9,FALSE()),"please select a BUG ID")</f>
        <v>please select a BUG ID</v>
      </c>
      <c r="E238" s="105"/>
      <c r="G238" s="54"/>
      <c r="H238" s="105"/>
    </row>
    <row r="239">
      <c r="A239" s="54"/>
      <c r="B239" s="88" t="str">
        <f>IFERROR(HYPERLINK(VLOOKUP(A239,Internal_lists_bugs!$A$2:$C$73,3,FALSE()), VLOOKUP(A239,Internal_lists_bugs!$A$2:$C$73,3,FALSE())&amp;Char(10) &amp; Char(10) &amp; VLOOKUP(A239,Internal_lists_bugs!$A$2:$Z$73,26,FALSE())),"please select a BUG ID")</f>
        <v>please select a BUG ID</v>
      </c>
      <c r="C239" s="51" t="str">
        <f>IFERROR(VLOOKUP(A239,Internal_lists_bugs!$A$2:$G1001,7,FALSE()),"please select a BUG ID")</f>
        <v>please select a BUG ID</v>
      </c>
      <c r="D239" s="51" t="str">
        <f>IFERROR(VLOOKUP(A239,Internal_lists_bugs!$A$2:$I1001,9,FALSE()),"please select a BUG ID")</f>
        <v>please select a BUG ID</v>
      </c>
      <c r="E239" s="105"/>
      <c r="G239" s="54"/>
      <c r="H239" s="105"/>
    </row>
    <row r="240">
      <c r="A240" s="54"/>
      <c r="B240" s="88" t="str">
        <f>IFERROR(HYPERLINK(VLOOKUP(A240,Internal_lists_bugs!$A$2:$C$73,3,FALSE()), VLOOKUP(A240,Internal_lists_bugs!$A$2:$C$73,3,FALSE())&amp;Char(10) &amp; Char(10) &amp; VLOOKUP(A240,Internal_lists_bugs!$A$2:$Z$73,26,FALSE())),"please select a BUG ID")</f>
        <v>please select a BUG ID</v>
      </c>
      <c r="C240" s="51" t="str">
        <f>IFERROR(VLOOKUP(A240,Internal_lists_bugs!$A$2:$G1001,7,FALSE()),"please select a BUG ID")</f>
        <v>please select a BUG ID</v>
      </c>
      <c r="D240" s="51" t="str">
        <f>IFERROR(VLOOKUP(A240,Internal_lists_bugs!$A$2:$I1001,9,FALSE()),"please select a BUG ID")</f>
        <v>please select a BUG ID</v>
      </c>
      <c r="E240" s="105"/>
      <c r="G240" s="54"/>
      <c r="H240" s="105"/>
    </row>
    <row r="241">
      <c r="A241" s="54"/>
      <c r="B241" s="88" t="str">
        <f>IFERROR(HYPERLINK(VLOOKUP(A241,Internal_lists_bugs!$A$2:$C$73,3,FALSE()), VLOOKUP(A241,Internal_lists_bugs!$A$2:$C$73,3,FALSE())&amp;Char(10) &amp; Char(10) &amp; VLOOKUP(A241,Internal_lists_bugs!$A$2:$Z$73,26,FALSE())),"please select a BUG ID")</f>
        <v>please select a BUG ID</v>
      </c>
      <c r="C241" s="51" t="str">
        <f>IFERROR(VLOOKUP(A241,Internal_lists_bugs!$A$2:$G1001,7,FALSE()),"please select a BUG ID")</f>
        <v>please select a BUG ID</v>
      </c>
      <c r="D241" s="51" t="str">
        <f>IFERROR(VLOOKUP(A241,Internal_lists_bugs!$A$2:$I1001,9,FALSE()),"please select a BUG ID")</f>
        <v>please select a BUG ID</v>
      </c>
      <c r="E241" s="105"/>
      <c r="G241" s="54"/>
      <c r="H241" s="105"/>
    </row>
    <row r="242">
      <c r="A242" s="54"/>
      <c r="B242" s="88" t="str">
        <f>IFERROR(HYPERLINK(VLOOKUP(A242,Internal_lists_bugs!$A$2:$C$73,3,FALSE()), VLOOKUP(A242,Internal_lists_bugs!$A$2:$C$73,3,FALSE())&amp;Char(10) &amp; Char(10) &amp; VLOOKUP(A242,Internal_lists_bugs!$A$2:$Z$73,26,FALSE())),"please select a BUG ID")</f>
        <v>please select a BUG ID</v>
      </c>
      <c r="C242" s="51" t="str">
        <f>IFERROR(VLOOKUP(A242,Internal_lists_bugs!$A$2:$G1001,7,FALSE()),"please select a BUG ID")</f>
        <v>please select a BUG ID</v>
      </c>
      <c r="D242" s="51" t="str">
        <f>IFERROR(VLOOKUP(A242,Internal_lists_bugs!$A$2:$I1001,9,FALSE()),"please select a BUG ID")</f>
        <v>please select a BUG ID</v>
      </c>
      <c r="E242" s="105"/>
      <c r="G242" s="54"/>
      <c r="H242" s="105"/>
    </row>
    <row r="243">
      <c r="A243" s="54"/>
      <c r="B243" s="88" t="str">
        <f>IFERROR(HYPERLINK(VLOOKUP(A243,Internal_lists_bugs!$A$2:$C$73,3,FALSE()), VLOOKUP(A243,Internal_lists_bugs!$A$2:$C$73,3,FALSE())&amp;Char(10) &amp; Char(10) &amp; VLOOKUP(A243,Internal_lists_bugs!$A$2:$Z$73,26,FALSE())),"please select a BUG ID")</f>
        <v>please select a BUG ID</v>
      </c>
      <c r="C243" s="51" t="str">
        <f>IFERROR(VLOOKUP(A243,Internal_lists_bugs!$A$2:$G1001,7,FALSE()),"please select a BUG ID")</f>
        <v>please select a BUG ID</v>
      </c>
      <c r="D243" s="51" t="str">
        <f>IFERROR(VLOOKUP(A243,Internal_lists_bugs!$A$2:$I1001,9,FALSE()),"please select a BUG ID")</f>
        <v>please select a BUG ID</v>
      </c>
      <c r="E243" s="105"/>
      <c r="G243" s="54"/>
      <c r="H243" s="105"/>
    </row>
    <row r="244">
      <c r="A244" s="54"/>
      <c r="B244" s="88" t="str">
        <f>IFERROR(HYPERLINK(VLOOKUP(A244,Internal_lists_bugs!$A$2:$C$73,3,FALSE()), VLOOKUP(A244,Internal_lists_bugs!$A$2:$C$73,3,FALSE())&amp;Char(10) &amp; Char(10) &amp; VLOOKUP(A244,Internal_lists_bugs!$A$2:$Z$73,26,FALSE())),"please select a BUG ID")</f>
        <v>please select a BUG ID</v>
      </c>
      <c r="C244" s="51" t="str">
        <f>IFERROR(VLOOKUP(A244,Internal_lists_bugs!$A$2:$G1001,7,FALSE()),"please select a BUG ID")</f>
        <v>please select a BUG ID</v>
      </c>
      <c r="D244" s="51" t="str">
        <f>IFERROR(VLOOKUP(A244,Internal_lists_bugs!$A$2:$I1001,9,FALSE()),"please select a BUG ID")</f>
        <v>please select a BUG ID</v>
      </c>
      <c r="E244" s="105"/>
      <c r="G244" s="54"/>
      <c r="H244" s="105"/>
    </row>
    <row r="245">
      <c r="A245" s="54"/>
      <c r="B245" s="88" t="str">
        <f>IFERROR(HYPERLINK(VLOOKUP(A245,Internal_lists_bugs!$A$2:$C$73,3,FALSE()), VLOOKUP(A245,Internal_lists_bugs!$A$2:$C$73,3,FALSE())&amp;Char(10) &amp; Char(10) &amp; VLOOKUP(A245,Internal_lists_bugs!$A$2:$Z$73,26,FALSE())),"please select a BUG ID")</f>
        <v>please select a BUG ID</v>
      </c>
      <c r="C245" s="51" t="str">
        <f>IFERROR(VLOOKUP(A245,Internal_lists_bugs!$A$2:$G1001,7,FALSE()),"please select a BUG ID")</f>
        <v>please select a BUG ID</v>
      </c>
      <c r="D245" s="51" t="str">
        <f>IFERROR(VLOOKUP(A245,Internal_lists_bugs!$A$2:$I1001,9,FALSE()),"please select a BUG ID")</f>
        <v>please select a BUG ID</v>
      </c>
      <c r="E245" s="105"/>
      <c r="G245" s="54"/>
      <c r="H245" s="105"/>
    </row>
    <row r="246">
      <c r="A246" s="54"/>
      <c r="B246" s="88" t="str">
        <f>IFERROR(HYPERLINK(VLOOKUP(A246,Internal_lists_bugs!$A$2:$C$73,3,FALSE()), VLOOKUP(A246,Internal_lists_bugs!$A$2:$C$73,3,FALSE())&amp;Char(10) &amp; Char(10) &amp; VLOOKUP(A246,Internal_lists_bugs!$A$2:$Z$73,26,FALSE())),"please select a BUG ID")</f>
        <v>please select a BUG ID</v>
      </c>
      <c r="C246" s="51" t="str">
        <f>IFERROR(VLOOKUP(A246,Internal_lists_bugs!$A$2:$G1001,7,FALSE()),"please select a BUG ID")</f>
        <v>please select a BUG ID</v>
      </c>
      <c r="D246" s="51" t="str">
        <f>IFERROR(VLOOKUP(A246,Internal_lists_bugs!$A$2:$I1001,9,FALSE()),"please select a BUG ID")</f>
        <v>please select a BUG ID</v>
      </c>
      <c r="E246" s="105"/>
      <c r="G246" s="54"/>
      <c r="H246" s="105"/>
    </row>
    <row r="247">
      <c r="A247" s="54"/>
      <c r="B247" s="88" t="str">
        <f>IFERROR(HYPERLINK(VLOOKUP(A247,Internal_lists_bugs!$A$2:$C$73,3,FALSE()), VLOOKUP(A247,Internal_lists_bugs!$A$2:$C$73,3,FALSE())&amp;Char(10) &amp; Char(10) &amp; VLOOKUP(A247,Internal_lists_bugs!$A$2:$Z$73,26,FALSE())),"please select a BUG ID")</f>
        <v>please select a BUG ID</v>
      </c>
      <c r="C247" s="51" t="str">
        <f>IFERROR(VLOOKUP(A247,Internal_lists_bugs!$A$2:$G1001,7,FALSE()),"please select a BUG ID")</f>
        <v>please select a BUG ID</v>
      </c>
      <c r="D247" s="51" t="str">
        <f>IFERROR(VLOOKUP(A247,Internal_lists_bugs!$A$2:$I1001,9,FALSE()),"please select a BUG ID")</f>
        <v>please select a BUG ID</v>
      </c>
      <c r="E247" s="105"/>
      <c r="G247" s="54"/>
      <c r="H247" s="105"/>
    </row>
    <row r="248">
      <c r="A248" s="54"/>
      <c r="B248" s="88" t="str">
        <f>IFERROR(HYPERLINK(VLOOKUP(A248,Internal_lists_bugs!$A$2:$C$73,3,FALSE()), VLOOKUP(A248,Internal_lists_bugs!$A$2:$C$73,3,FALSE())&amp;Char(10) &amp; Char(10) &amp; VLOOKUP(A248,Internal_lists_bugs!$A$2:$Z$73,26,FALSE())),"please select a BUG ID")</f>
        <v>please select a BUG ID</v>
      </c>
      <c r="C248" s="51" t="str">
        <f>IFERROR(VLOOKUP(A248,Internal_lists_bugs!$A$2:$G1001,7,FALSE()),"please select a BUG ID")</f>
        <v>please select a BUG ID</v>
      </c>
      <c r="D248" s="51" t="str">
        <f>IFERROR(VLOOKUP(A248,Internal_lists_bugs!$A$2:$I1001,9,FALSE()),"please select a BUG ID")</f>
        <v>please select a BUG ID</v>
      </c>
      <c r="E248" s="105"/>
      <c r="G248" s="54"/>
      <c r="H248" s="105"/>
    </row>
    <row r="249">
      <c r="A249" s="54"/>
      <c r="B249" s="88" t="str">
        <f>IFERROR(HYPERLINK(VLOOKUP(A249,Internal_lists_bugs!$A$2:$C$73,3,FALSE()), VLOOKUP(A249,Internal_lists_bugs!$A$2:$C$73,3,FALSE())&amp;Char(10) &amp; Char(10) &amp; VLOOKUP(A249,Internal_lists_bugs!$A$2:$Z$73,26,FALSE())),"please select a BUG ID")</f>
        <v>please select a BUG ID</v>
      </c>
      <c r="C249" s="51" t="str">
        <f>IFERROR(VLOOKUP(A249,Internal_lists_bugs!$A$2:$G1001,7,FALSE()),"please select a BUG ID")</f>
        <v>please select a BUG ID</v>
      </c>
      <c r="D249" s="51" t="str">
        <f>IFERROR(VLOOKUP(A249,Internal_lists_bugs!$A$2:$I1001,9,FALSE()),"please select a BUG ID")</f>
        <v>please select a BUG ID</v>
      </c>
      <c r="E249" s="105"/>
      <c r="G249" s="54"/>
      <c r="H249" s="105"/>
    </row>
    <row r="250">
      <c r="A250" s="54"/>
      <c r="B250" s="88" t="str">
        <f>IFERROR(HYPERLINK(VLOOKUP(A250,Internal_lists_bugs!$A$2:$C$73,3,FALSE()), VLOOKUP(A250,Internal_lists_bugs!$A$2:$C$73,3,FALSE())&amp;Char(10) &amp; Char(10) &amp; VLOOKUP(A250,Internal_lists_bugs!$A$2:$Z$73,26,FALSE())),"please select a BUG ID")</f>
        <v>please select a BUG ID</v>
      </c>
      <c r="C250" s="51" t="str">
        <f>IFERROR(VLOOKUP(A250,Internal_lists_bugs!$A$2:$G1001,7,FALSE()),"please select a BUG ID")</f>
        <v>please select a BUG ID</v>
      </c>
      <c r="D250" s="51" t="str">
        <f>IFERROR(VLOOKUP(A250,Internal_lists_bugs!$A$2:$I1001,9,FALSE()),"please select a BUG ID")</f>
        <v>please select a BUG ID</v>
      </c>
      <c r="E250" s="105"/>
      <c r="G250" s="54"/>
      <c r="H250" s="105"/>
    </row>
    <row r="251">
      <c r="A251" s="54"/>
      <c r="B251" s="88" t="str">
        <f>IFERROR(HYPERLINK(VLOOKUP(A251,Internal_lists_bugs!$A$2:$C$73,3,FALSE()), VLOOKUP(A251,Internal_lists_bugs!$A$2:$C$73,3,FALSE())&amp;Char(10) &amp; Char(10) &amp; VLOOKUP(A251,Internal_lists_bugs!$A$2:$Z$73,26,FALSE())),"please select a BUG ID")</f>
        <v>please select a BUG ID</v>
      </c>
      <c r="C251" s="51" t="str">
        <f>IFERROR(VLOOKUP(A251,Internal_lists_bugs!$A$2:$G1001,7,FALSE()),"please select a BUG ID")</f>
        <v>please select a BUG ID</v>
      </c>
      <c r="D251" s="51" t="str">
        <f>IFERROR(VLOOKUP(A251,Internal_lists_bugs!$A$2:$I1001,9,FALSE()),"please select a BUG ID")</f>
        <v>please select a BUG ID</v>
      </c>
      <c r="E251" s="105"/>
      <c r="G251" s="54"/>
      <c r="H251" s="105"/>
    </row>
    <row r="252">
      <c r="A252" s="54"/>
      <c r="B252" s="88" t="str">
        <f>IFERROR(HYPERLINK(VLOOKUP(A252,Internal_lists_bugs!$A$2:$C$73,3,FALSE()), VLOOKUP(A252,Internal_lists_bugs!$A$2:$C$73,3,FALSE())&amp;Char(10) &amp; Char(10) &amp; VLOOKUP(A252,Internal_lists_bugs!$A$2:$Z$73,26,FALSE())),"please select a BUG ID")</f>
        <v>please select a BUG ID</v>
      </c>
      <c r="C252" s="51" t="str">
        <f>IFERROR(VLOOKUP(A252,Internal_lists_bugs!$A$2:$G1001,7,FALSE()),"please select a BUG ID")</f>
        <v>please select a BUG ID</v>
      </c>
      <c r="D252" s="51" t="str">
        <f>IFERROR(VLOOKUP(A252,Internal_lists_bugs!$A$2:$I1001,9,FALSE()),"please select a BUG ID")</f>
        <v>please select a BUG ID</v>
      </c>
      <c r="E252" s="105"/>
      <c r="G252" s="54"/>
      <c r="H252" s="105"/>
    </row>
    <row r="253">
      <c r="A253" s="54"/>
      <c r="B253" s="88" t="str">
        <f>IFERROR(HYPERLINK(VLOOKUP(A253,Internal_lists_bugs!$A$2:$C$73,3,FALSE()), VLOOKUP(A253,Internal_lists_bugs!$A$2:$C$73,3,FALSE())&amp;Char(10) &amp; Char(10) &amp; VLOOKUP(A253,Internal_lists_bugs!$A$2:$Z$73,26,FALSE())),"please select a BUG ID")</f>
        <v>please select a BUG ID</v>
      </c>
      <c r="C253" s="51" t="str">
        <f>IFERROR(VLOOKUP(A253,Internal_lists_bugs!$A$2:$G1001,7,FALSE()),"please select a BUG ID")</f>
        <v>please select a BUG ID</v>
      </c>
      <c r="D253" s="51" t="str">
        <f>IFERROR(VLOOKUP(A253,Internal_lists_bugs!$A$2:$I1001,9,FALSE()),"please select a BUG ID")</f>
        <v>please select a BUG ID</v>
      </c>
      <c r="E253" s="105"/>
      <c r="G253" s="54"/>
      <c r="H253" s="105"/>
    </row>
    <row r="254">
      <c r="A254" s="54"/>
      <c r="B254" s="88" t="str">
        <f>IFERROR(HYPERLINK(VLOOKUP(A254,Internal_lists_bugs!$A$2:$C$73,3,FALSE()), VLOOKUP(A254,Internal_lists_bugs!$A$2:$C$73,3,FALSE())&amp;Char(10) &amp; Char(10) &amp; VLOOKUP(A254,Internal_lists_bugs!$A$2:$Z$73,26,FALSE())),"please select a BUG ID")</f>
        <v>please select a BUG ID</v>
      </c>
      <c r="C254" s="51" t="str">
        <f>IFERROR(VLOOKUP(A254,Internal_lists_bugs!$A$2:$G1001,7,FALSE()),"please select a BUG ID")</f>
        <v>please select a BUG ID</v>
      </c>
      <c r="D254" s="51" t="str">
        <f>IFERROR(VLOOKUP(A254,Internal_lists_bugs!$A$2:$I1001,9,FALSE()),"please select a BUG ID")</f>
        <v>please select a BUG ID</v>
      </c>
      <c r="E254" s="105"/>
      <c r="G254" s="54"/>
      <c r="H254" s="105"/>
    </row>
    <row r="255">
      <c r="A255" s="54"/>
      <c r="B255" s="88" t="str">
        <f>IFERROR(HYPERLINK(VLOOKUP(A255,Internal_lists_bugs!$A$2:$C$73,3,FALSE()), VLOOKUP(A255,Internal_lists_bugs!$A$2:$C$73,3,FALSE())&amp;Char(10) &amp; Char(10) &amp; VLOOKUP(A255,Internal_lists_bugs!$A$2:$Z$73,26,FALSE())),"please select a BUG ID")</f>
        <v>please select a BUG ID</v>
      </c>
      <c r="C255" s="51" t="str">
        <f>IFERROR(VLOOKUP(A255,Internal_lists_bugs!$A$2:$G1001,7,FALSE()),"please select a BUG ID")</f>
        <v>please select a BUG ID</v>
      </c>
      <c r="D255" s="51" t="str">
        <f>IFERROR(VLOOKUP(A255,Internal_lists_bugs!$A$2:$I1001,9,FALSE()),"please select a BUG ID")</f>
        <v>please select a BUG ID</v>
      </c>
      <c r="E255" s="105"/>
      <c r="G255" s="54"/>
      <c r="H255" s="105"/>
    </row>
    <row r="256">
      <c r="A256" s="54"/>
      <c r="B256" s="88" t="str">
        <f>IFERROR(HYPERLINK(VLOOKUP(A256,Internal_lists_bugs!$A$2:$C$73,3,FALSE()), VLOOKUP(A256,Internal_lists_bugs!$A$2:$C$73,3,FALSE())&amp;Char(10) &amp; Char(10) &amp; VLOOKUP(A256,Internal_lists_bugs!$A$2:$Z$73,26,FALSE())),"please select a BUG ID")</f>
        <v>please select a BUG ID</v>
      </c>
      <c r="C256" s="51" t="str">
        <f>IFERROR(VLOOKUP(A256,Internal_lists_bugs!$A$2:$G1001,7,FALSE()),"please select a BUG ID")</f>
        <v>please select a BUG ID</v>
      </c>
      <c r="D256" s="51" t="str">
        <f>IFERROR(VLOOKUP(A256,Internal_lists_bugs!$A$2:$I1001,9,FALSE()),"please select a BUG ID")</f>
        <v>please select a BUG ID</v>
      </c>
      <c r="E256" s="105"/>
      <c r="G256" s="54"/>
      <c r="H256" s="105"/>
    </row>
    <row r="257">
      <c r="A257" s="54"/>
      <c r="B257" s="88" t="str">
        <f>IFERROR(HYPERLINK(VLOOKUP(A257,Internal_lists_bugs!$A$2:$C$73,3,FALSE()), VLOOKUP(A257,Internal_lists_bugs!$A$2:$C$73,3,FALSE())&amp;Char(10) &amp; Char(10) &amp; VLOOKUP(A257,Internal_lists_bugs!$A$2:$Z$73,26,FALSE())),"please select a BUG ID")</f>
        <v>please select a BUG ID</v>
      </c>
      <c r="C257" s="51" t="str">
        <f>IFERROR(VLOOKUP(A257,Internal_lists_bugs!$A$2:$G1001,7,FALSE()),"please select a BUG ID")</f>
        <v>please select a BUG ID</v>
      </c>
      <c r="D257" s="51" t="str">
        <f>IFERROR(VLOOKUP(A257,Internal_lists_bugs!$A$2:$I1001,9,FALSE()),"please select a BUG ID")</f>
        <v>please select a BUG ID</v>
      </c>
      <c r="E257" s="105"/>
      <c r="G257" s="54"/>
      <c r="H257" s="105"/>
    </row>
    <row r="258">
      <c r="A258" s="54"/>
      <c r="B258" s="88" t="str">
        <f>IFERROR(HYPERLINK(VLOOKUP(A258,Internal_lists_bugs!$A$2:$C$73,3,FALSE()), VLOOKUP(A258,Internal_lists_bugs!$A$2:$C$73,3,FALSE())&amp;Char(10) &amp; Char(10) &amp; VLOOKUP(A258,Internal_lists_bugs!$A$2:$Z$73,26,FALSE())),"please select a BUG ID")</f>
        <v>please select a BUG ID</v>
      </c>
      <c r="C258" s="51" t="str">
        <f>IFERROR(VLOOKUP(A258,Internal_lists_bugs!$A$2:$G1001,7,FALSE()),"please select a BUG ID")</f>
        <v>please select a BUG ID</v>
      </c>
      <c r="D258" s="51" t="str">
        <f>IFERROR(VLOOKUP(A258,Internal_lists_bugs!$A$2:$I1001,9,FALSE()),"please select a BUG ID")</f>
        <v>please select a BUG ID</v>
      </c>
      <c r="E258" s="105"/>
      <c r="G258" s="54"/>
      <c r="H258" s="105"/>
    </row>
    <row r="259">
      <c r="A259" s="54"/>
      <c r="B259" s="88" t="str">
        <f>IFERROR(HYPERLINK(VLOOKUP(A259,Internal_lists_bugs!$A$2:$C$73,3,FALSE()), VLOOKUP(A259,Internal_lists_bugs!$A$2:$C$73,3,FALSE())&amp;Char(10) &amp; Char(10) &amp; VLOOKUP(A259,Internal_lists_bugs!$A$2:$Z$73,26,FALSE())),"please select a BUG ID")</f>
        <v>please select a BUG ID</v>
      </c>
      <c r="C259" s="51" t="str">
        <f>IFERROR(VLOOKUP(A259,Internal_lists_bugs!$A$2:$G1001,7,FALSE()),"please select a BUG ID")</f>
        <v>please select a BUG ID</v>
      </c>
      <c r="D259" s="51" t="str">
        <f>IFERROR(VLOOKUP(A259,Internal_lists_bugs!$A$2:$I1001,9,FALSE()),"please select a BUG ID")</f>
        <v>please select a BUG ID</v>
      </c>
      <c r="E259" s="105"/>
      <c r="G259" s="54"/>
      <c r="H259" s="105"/>
    </row>
    <row r="260">
      <c r="A260" s="54"/>
      <c r="B260" s="88" t="str">
        <f>IFERROR(HYPERLINK(VLOOKUP(A260,Internal_lists_bugs!$A$2:$C$73,3,FALSE()), VLOOKUP(A260,Internal_lists_bugs!$A$2:$C$73,3,FALSE())&amp;Char(10) &amp; Char(10) &amp; VLOOKUP(A260,Internal_lists_bugs!$A$2:$Z$73,26,FALSE())),"please select a BUG ID")</f>
        <v>please select a BUG ID</v>
      </c>
      <c r="C260" s="51" t="str">
        <f>IFERROR(VLOOKUP(A260,Internal_lists_bugs!$A$2:$G1001,7,FALSE()),"please select a BUG ID")</f>
        <v>please select a BUG ID</v>
      </c>
      <c r="D260" s="51" t="str">
        <f>IFERROR(VLOOKUP(A260,Internal_lists_bugs!$A$2:$I1001,9,FALSE()),"please select a BUG ID")</f>
        <v>please select a BUG ID</v>
      </c>
      <c r="E260" s="105"/>
      <c r="G260" s="54"/>
      <c r="H260" s="105"/>
    </row>
    <row r="261">
      <c r="A261" s="54"/>
      <c r="B261" s="88" t="str">
        <f>IFERROR(HYPERLINK(VLOOKUP(A261,Internal_lists_bugs!$A$2:$C$73,3,FALSE()), VLOOKUP(A261,Internal_lists_bugs!$A$2:$C$73,3,FALSE())&amp;Char(10) &amp; Char(10) &amp; VLOOKUP(A261,Internal_lists_bugs!$A$2:$Z$73,26,FALSE())),"please select a BUG ID")</f>
        <v>please select a BUG ID</v>
      </c>
      <c r="C261" s="51" t="str">
        <f>IFERROR(VLOOKUP(A261,Internal_lists_bugs!$A$2:$G1001,7,FALSE()),"please select a BUG ID")</f>
        <v>please select a BUG ID</v>
      </c>
      <c r="D261" s="51" t="str">
        <f>IFERROR(VLOOKUP(A261,Internal_lists_bugs!$A$2:$I1001,9,FALSE()),"please select a BUG ID")</f>
        <v>please select a BUG ID</v>
      </c>
      <c r="E261" s="105"/>
      <c r="G261" s="54"/>
      <c r="H261" s="105"/>
    </row>
    <row r="262">
      <c r="A262" s="54"/>
      <c r="B262" s="88" t="str">
        <f>IFERROR(HYPERLINK(VLOOKUP(A262,Internal_lists_bugs!$A$2:$C$73,3,FALSE()), VLOOKUP(A262,Internal_lists_bugs!$A$2:$C$73,3,FALSE())&amp;Char(10) &amp; Char(10) &amp; VLOOKUP(A262,Internal_lists_bugs!$A$2:$Z$73,26,FALSE())),"please select a BUG ID")</f>
        <v>please select a BUG ID</v>
      </c>
      <c r="C262" s="51" t="str">
        <f>IFERROR(VLOOKUP(A262,Internal_lists_bugs!$A$2:$G1001,7,FALSE()),"please select a BUG ID")</f>
        <v>please select a BUG ID</v>
      </c>
      <c r="D262" s="51" t="str">
        <f>IFERROR(VLOOKUP(A262,Internal_lists_bugs!$A$2:$I1001,9,FALSE()),"please select a BUG ID")</f>
        <v>please select a BUG ID</v>
      </c>
      <c r="E262" s="105"/>
      <c r="G262" s="54"/>
      <c r="H262" s="105"/>
    </row>
    <row r="263">
      <c r="A263" s="54"/>
      <c r="B263" s="88" t="str">
        <f>IFERROR(HYPERLINK(VLOOKUP(A263,Internal_lists_bugs!$A$2:$C$73,3,FALSE()), VLOOKUP(A263,Internal_lists_bugs!$A$2:$C$73,3,FALSE())&amp;Char(10) &amp; Char(10) &amp; VLOOKUP(A263,Internal_lists_bugs!$A$2:$Z$73,26,FALSE())),"please select a BUG ID")</f>
        <v>please select a BUG ID</v>
      </c>
      <c r="C263" s="51" t="str">
        <f>IFERROR(VLOOKUP(A263,Internal_lists_bugs!$A$2:$G1001,7,FALSE()),"please select a BUG ID")</f>
        <v>please select a BUG ID</v>
      </c>
      <c r="D263" s="51" t="str">
        <f>IFERROR(VLOOKUP(A263,Internal_lists_bugs!$A$2:$I1001,9,FALSE()),"please select a BUG ID")</f>
        <v>please select a BUG ID</v>
      </c>
      <c r="E263" s="105"/>
      <c r="G263" s="54"/>
      <c r="H263" s="105"/>
    </row>
    <row r="264">
      <c r="A264" s="54"/>
      <c r="B264" s="88" t="str">
        <f>IFERROR(HYPERLINK(VLOOKUP(A264,Internal_lists_bugs!$A$2:$C$73,3,FALSE()), VLOOKUP(A264,Internal_lists_bugs!$A$2:$C$73,3,FALSE())&amp;Char(10) &amp; Char(10) &amp; VLOOKUP(A264,Internal_lists_bugs!$A$2:$Z$73,26,FALSE())),"please select a BUG ID")</f>
        <v>please select a BUG ID</v>
      </c>
      <c r="C264" s="51" t="str">
        <f>IFERROR(VLOOKUP(A264,Internal_lists_bugs!$A$2:$G1001,7,FALSE()),"please select a BUG ID")</f>
        <v>please select a BUG ID</v>
      </c>
      <c r="D264" s="51" t="str">
        <f>IFERROR(VLOOKUP(A264,Internal_lists_bugs!$A$2:$I1001,9,FALSE()),"please select a BUG ID")</f>
        <v>please select a BUG ID</v>
      </c>
      <c r="E264" s="105"/>
      <c r="G264" s="54"/>
      <c r="H264" s="105"/>
    </row>
    <row r="265">
      <c r="A265" s="54"/>
      <c r="B265" s="88" t="str">
        <f>IFERROR(HYPERLINK(VLOOKUP(A265,Internal_lists_bugs!$A$2:$C$73,3,FALSE()), VLOOKUP(A265,Internal_lists_bugs!$A$2:$C$73,3,FALSE())&amp;Char(10) &amp; Char(10) &amp; VLOOKUP(A265,Internal_lists_bugs!$A$2:$Z$73,26,FALSE())),"please select a BUG ID")</f>
        <v>please select a BUG ID</v>
      </c>
      <c r="C265" s="51" t="str">
        <f>IFERROR(VLOOKUP(A265,Internal_lists_bugs!$A$2:$G1001,7,FALSE()),"please select a BUG ID")</f>
        <v>please select a BUG ID</v>
      </c>
      <c r="D265" s="51" t="str">
        <f>IFERROR(VLOOKUP(A265,Internal_lists_bugs!$A$2:$I1001,9,FALSE()),"please select a BUG ID")</f>
        <v>please select a BUG ID</v>
      </c>
      <c r="E265" s="105"/>
      <c r="G265" s="54"/>
      <c r="H265" s="105"/>
    </row>
    <row r="266">
      <c r="A266" s="54"/>
      <c r="B266" s="88" t="str">
        <f>IFERROR(HYPERLINK(VLOOKUP(A266,Internal_lists_bugs!$A$2:$C$73,3,FALSE()), VLOOKUP(A266,Internal_lists_bugs!$A$2:$C$73,3,FALSE())&amp;Char(10) &amp; Char(10) &amp; VLOOKUP(A266,Internal_lists_bugs!$A$2:$Z$73,26,FALSE())),"please select a BUG ID")</f>
        <v>please select a BUG ID</v>
      </c>
      <c r="C266" s="51" t="str">
        <f>IFERROR(VLOOKUP(A266,Internal_lists_bugs!$A$2:$G1001,7,FALSE()),"please select a BUG ID")</f>
        <v>please select a BUG ID</v>
      </c>
      <c r="D266" s="51" t="str">
        <f>IFERROR(VLOOKUP(A266,Internal_lists_bugs!$A$2:$I1001,9,FALSE()),"please select a BUG ID")</f>
        <v>please select a BUG ID</v>
      </c>
      <c r="E266" s="105"/>
      <c r="G266" s="54"/>
      <c r="H266" s="105"/>
    </row>
    <row r="267">
      <c r="A267" s="54"/>
      <c r="B267" s="88" t="str">
        <f>IFERROR(HYPERLINK(VLOOKUP(A267,Internal_lists_bugs!$A$2:$C$73,3,FALSE()), VLOOKUP(A267,Internal_lists_bugs!$A$2:$C$73,3,FALSE())&amp;Char(10) &amp; Char(10) &amp; VLOOKUP(A267,Internal_lists_bugs!$A$2:$Z$73,26,FALSE())),"please select a BUG ID")</f>
        <v>please select a BUG ID</v>
      </c>
      <c r="C267" s="51" t="str">
        <f>IFERROR(VLOOKUP(A267,Internal_lists_bugs!$A$2:$G1001,7,FALSE()),"please select a BUG ID")</f>
        <v>please select a BUG ID</v>
      </c>
      <c r="D267" s="51" t="str">
        <f>IFERROR(VLOOKUP(A267,Internal_lists_bugs!$A$2:$I1001,9,FALSE()),"please select a BUG ID")</f>
        <v>please select a BUG ID</v>
      </c>
      <c r="E267" s="105"/>
      <c r="G267" s="54"/>
      <c r="H267" s="105"/>
    </row>
    <row r="268">
      <c r="A268" s="54"/>
      <c r="B268" s="88" t="str">
        <f>IFERROR(HYPERLINK(VLOOKUP(A268,Internal_lists_bugs!$A$2:$C$73,3,FALSE()), VLOOKUP(A268,Internal_lists_bugs!$A$2:$C$73,3,FALSE())&amp;Char(10) &amp; Char(10) &amp; VLOOKUP(A268,Internal_lists_bugs!$A$2:$Z$73,26,FALSE())),"please select a BUG ID")</f>
        <v>please select a BUG ID</v>
      </c>
      <c r="C268" s="51" t="str">
        <f>IFERROR(VLOOKUP(A268,Internal_lists_bugs!$A$2:$G1001,7,FALSE()),"please select a BUG ID")</f>
        <v>please select a BUG ID</v>
      </c>
      <c r="D268" s="51" t="str">
        <f>IFERROR(VLOOKUP(A268,Internal_lists_bugs!$A$2:$I1001,9,FALSE()),"please select a BUG ID")</f>
        <v>please select a BUG ID</v>
      </c>
      <c r="E268" s="105"/>
      <c r="G268" s="54"/>
      <c r="H268" s="105"/>
    </row>
    <row r="269">
      <c r="A269" s="54"/>
      <c r="B269" s="88" t="str">
        <f>IFERROR(HYPERLINK(VLOOKUP(A269,Internal_lists_bugs!$A$2:$C$73,3,FALSE()), VLOOKUP(A269,Internal_lists_bugs!$A$2:$C$73,3,FALSE())&amp;Char(10) &amp; Char(10) &amp; VLOOKUP(A269,Internal_lists_bugs!$A$2:$Z$73,26,FALSE())),"please select a BUG ID")</f>
        <v>please select a BUG ID</v>
      </c>
      <c r="C269" s="51" t="str">
        <f>IFERROR(VLOOKUP(A269,Internal_lists_bugs!$A$2:$G1001,7,FALSE()),"please select a BUG ID")</f>
        <v>please select a BUG ID</v>
      </c>
      <c r="D269" s="51" t="str">
        <f>IFERROR(VLOOKUP(A269,Internal_lists_bugs!$A$2:$I1001,9,FALSE()),"please select a BUG ID")</f>
        <v>please select a BUG ID</v>
      </c>
      <c r="E269" s="105"/>
      <c r="G269" s="54"/>
      <c r="H269" s="105"/>
    </row>
    <row r="270">
      <c r="A270" s="54"/>
      <c r="B270" s="88" t="str">
        <f>IFERROR(HYPERLINK(VLOOKUP(A270,Internal_lists_bugs!$A$2:$C$73,3,FALSE()), VLOOKUP(A270,Internal_lists_bugs!$A$2:$C$73,3,FALSE())&amp;Char(10) &amp; Char(10) &amp; VLOOKUP(A270,Internal_lists_bugs!$A$2:$Z$73,26,FALSE())),"please select a BUG ID")</f>
        <v>please select a BUG ID</v>
      </c>
      <c r="C270" s="51" t="str">
        <f>IFERROR(VLOOKUP(A270,Internal_lists_bugs!$A$2:$G1001,7,FALSE()),"please select a BUG ID")</f>
        <v>please select a BUG ID</v>
      </c>
      <c r="D270" s="51" t="str">
        <f>IFERROR(VLOOKUP(A270,Internal_lists_bugs!$A$2:$I1001,9,FALSE()),"please select a BUG ID")</f>
        <v>please select a BUG ID</v>
      </c>
      <c r="E270" s="105"/>
      <c r="G270" s="54"/>
      <c r="H270" s="105"/>
    </row>
    <row r="271">
      <c r="A271" s="54"/>
      <c r="B271" s="88" t="str">
        <f>IFERROR(HYPERLINK(VLOOKUP(A271,Internal_lists_bugs!$A$2:$C$73,3,FALSE()), VLOOKUP(A271,Internal_lists_bugs!$A$2:$C$73,3,FALSE())&amp;Char(10) &amp; Char(10) &amp; VLOOKUP(A271,Internal_lists_bugs!$A$2:$Z$73,26,FALSE())),"please select a BUG ID")</f>
        <v>please select a BUG ID</v>
      </c>
      <c r="C271" s="51" t="str">
        <f>IFERROR(VLOOKUP(A271,Internal_lists_bugs!$A$2:$G1001,7,FALSE()),"please select a BUG ID")</f>
        <v>please select a BUG ID</v>
      </c>
      <c r="D271" s="51" t="str">
        <f>IFERROR(VLOOKUP(A271,Internal_lists_bugs!$A$2:$I1001,9,FALSE()),"please select a BUG ID")</f>
        <v>please select a BUG ID</v>
      </c>
      <c r="E271" s="105"/>
      <c r="G271" s="54"/>
      <c r="H271" s="105"/>
    </row>
    <row r="272">
      <c r="A272" s="54"/>
      <c r="B272" s="88" t="str">
        <f>IFERROR(HYPERLINK(VLOOKUP(A272,Internal_lists_bugs!$A$2:$C$73,3,FALSE()), VLOOKUP(A272,Internal_lists_bugs!$A$2:$C$73,3,FALSE())&amp;Char(10) &amp; Char(10) &amp; VLOOKUP(A272,Internal_lists_bugs!$A$2:$Z$73,26,FALSE())),"please select a BUG ID")</f>
        <v>please select a BUG ID</v>
      </c>
      <c r="C272" s="51" t="str">
        <f>IFERROR(VLOOKUP(A272,Internal_lists_bugs!$A$2:$G1001,7,FALSE()),"please select a BUG ID")</f>
        <v>please select a BUG ID</v>
      </c>
      <c r="D272" s="51" t="str">
        <f>IFERROR(VLOOKUP(A272,Internal_lists_bugs!$A$2:$I1001,9,FALSE()),"please select a BUG ID")</f>
        <v>please select a BUG ID</v>
      </c>
      <c r="E272" s="105"/>
      <c r="G272" s="54"/>
      <c r="H272" s="105"/>
    </row>
    <row r="273">
      <c r="A273" s="54"/>
      <c r="B273" s="88" t="str">
        <f>IFERROR(HYPERLINK(VLOOKUP(A273,Internal_lists_bugs!$A$2:$C$73,3,FALSE()), VLOOKUP(A273,Internal_lists_bugs!$A$2:$C$73,3,FALSE())&amp;Char(10) &amp; Char(10) &amp; VLOOKUP(A273,Internal_lists_bugs!$A$2:$Z$73,26,FALSE())),"please select a BUG ID")</f>
        <v>please select a BUG ID</v>
      </c>
      <c r="C273" s="51" t="str">
        <f>IFERROR(VLOOKUP(A273,Internal_lists_bugs!$A$2:$G1001,7,FALSE()),"please select a BUG ID")</f>
        <v>please select a BUG ID</v>
      </c>
      <c r="D273" s="51" t="str">
        <f>IFERROR(VLOOKUP(A273,Internal_lists_bugs!$A$2:$I1001,9,FALSE()),"please select a BUG ID")</f>
        <v>please select a BUG ID</v>
      </c>
      <c r="E273" s="105"/>
      <c r="G273" s="54"/>
      <c r="H273" s="105"/>
    </row>
    <row r="274">
      <c r="A274" s="54"/>
      <c r="B274" s="88" t="str">
        <f>IFERROR(HYPERLINK(VLOOKUP(A274,Internal_lists_bugs!$A$2:$C$73,3,FALSE()), VLOOKUP(A274,Internal_lists_bugs!$A$2:$C$73,3,FALSE())&amp;Char(10) &amp; Char(10) &amp; VLOOKUP(A274,Internal_lists_bugs!$A$2:$Z$73,26,FALSE())),"please select a BUG ID")</f>
        <v>please select a BUG ID</v>
      </c>
      <c r="C274" s="51" t="str">
        <f>IFERROR(VLOOKUP(A274,Internal_lists_bugs!$A$2:$G1001,7,FALSE()),"please select a BUG ID")</f>
        <v>please select a BUG ID</v>
      </c>
      <c r="D274" s="51" t="str">
        <f>IFERROR(VLOOKUP(A274,Internal_lists_bugs!$A$2:$I1001,9,FALSE()),"please select a BUG ID")</f>
        <v>please select a BUG ID</v>
      </c>
      <c r="E274" s="105"/>
      <c r="G274" s="54"/>
      <c r="H274" s="105"/>
    </row>
    <row r="275">
      <c r="A275" s="54"/>
      <c r="B275" s="88" t="str">
        <f>IFERROR(HYPERLINK(VLOOKUP(A275,Internal_lists_bugs!$A$2:$C$73,3,FALSE()), VLOOKUP(A275,Internal_lists_bugs!$A$2:$C$73,3,FALSE())&amp;Char(10) &amp; Char(10) &amp; VLOOKUP(A275,Internal_lists_bugs!$A$2:$Z$73,26,FALSE())),"please select a BUG ID")</f>
        <v>please select a BUG ID</v>
      </c>
      <c r="C275" s="51" t="str">
        <f>IFERROR(VLOOKUP(A275,Internal_lists_bugs!$A$2:$G1001,7,FALSE()),"please select a BUG ID")</f>
        <v>please select a BUG ID</v>
      </c>
      <c r="D275" s="51" t="str">
        <f>IFERROR(VLOOKUP(A275,Internal_lists_bugs!$A$2:$I1001,9,FALSE()),"please select a BUG ID")</f>
        <v>please select a BUG ID</v>
      </c>
      <c r="E275" s="105"/>
      <c r="G275" s="54"/>
      <c r="H275" s="105"/>
    </row>
    <row r="276">
      <c r="A276" s="54"/>
      <c r="B276" s="88" t="str">
        <f>IFERROR(HYPERLINK(VLOOKUP(A276,Internal_lists_bugs!$A$2:$C$73,3,FALSE()), VLOOKUP(A276,Internal_lists_bugs!$A$2:$C$73,3,FALSE())&amp;Char(10) &amp; Char(10) &amp; VLOOKUP(A276,Internal_lists_bugs!$A$2:$Z$73,26,FALSE())),"please select a BUG ID")</f>
        <v>please select a BUG ID</v>
      </c>
      <c r="C276" s="51" t="str">
        <f>IFERROR(VLOOKUP(A276,Internal_lists_bugs!$A$2:$G1001,7,FALSE()),"please select a BUG ID")</f>
        <v>please select a BUG ID</v>
      </c>
      <c r="D276" s="51" t="str">
        <f>IFERROR(VLOOKUP(A276,Internal_lists_bugs!$A$2:$I1001,9,FALSE()),"please select a BUG ID")</f>
        <v>please select a BUG ID</v>
      </c>
      <c r="E276" s="105"/>
      <c r="G276" s="54"/>
      <c r="H276" s="105"/>
    </row>
    <row r="277">
      <c r="A277" s="54"/>
      <c r="B277" s="88" t="str">
        <f>IFERROR(HYPERLINK(VLOOKUP(A277,Internal_lists_bugs!$A$2:$C$73,3,FALSE()), VLOOKUP(A277,Internal_lists_bugs!$A$2:$C$73,3,FALSE())&amp;Char(10) &amp; Char(10) &amp; VLOOKUP(A277,Internal_lists_bugs!$A$2:$Z$73,26,FALSE())),"please select a BUG ID")</f>
        <v>please select a BUG ID</v>
      </c>
      <c r="C277" s="51" t="str">
        <f>IFERROR(VLOOKUP(A277,Internal_lists_bugs!$A$2:$G1001,7,FALSE()),"please select a BUG ID")</f>
        <v>please select a BUG ID</v>
      </c>
      <c r="D277" s="51" t="str">
        <f>IFERROR(VLOOKUP(A277,Internal_lists_bugs!$A$2:$I1001,9,FALSE()),"please select a BUG ID")</f>
        <v>please select a BUG ID</v>
      </c>
      <c r="E277" s="105"/>
      <c r="G277" s="54"/>
      <c r="H277" s="105"/>
    </row>
    <row r="278">
      <c r="A278" s="54"/>
      <c r="B278" s="88" t="str">
        <f>IFERROR(HYPERLINK(VLOOKUP(A278,Internal_lists_bugs!$A$2:$C$73,3,FALSE()), VLOOKUP(A278,Internal_lists_bugs!$A$2:$C$73,3,FALSE())&amp;Char(10) &amp; Char(10) &amp; VLOOKUP(A278,Internal_lists_bugs!$A$2:$Z$73,26,FALSE())),"please select a BUG ID")</f>
        <v>please select a BUG ID</v>
      </c>
      <c r="C278" s="51" t="str">
        <f>IFERROR(VLOOKUP(A278,Internal_lists_bugs!$A$2:$G1001,7,FALSE()),"please select a BUG ID")</f>
        <v>please select a BUG ID</v>
      </c>
      <c r="D278" s="51" t="str">
        <f>IFERROR(VLOOKUP(A278,Internal_lists_bugs!$A$2:$I1001,9,FALSE()),"please select a BUG ID")</f>
        <v>please select a BUG ID</v>
      </c>
      <c r="E278" s="105"/>
      <c r="G278" s="54"/>
      <c r="H278" s="105"/>
    </row>
    <row r="279">
      <c r="A279" s="54"/>
      <c r="B279" s="88" t="str">
        <f>IFERROR(HYPERLINK(VLOOKUP(A279,Internal_lists_bugs!$A$2:$C$73,3,FALSE()), VLOOKUP(A279,Internal_lists_bugs!$A$2:$C$73,3,FALSE())&amp;Char(10) &amp; Char(10) &amp; VLOOKUP(A279,Internal_lists_bugs!$A$2:$Z$73,26,FALSE())),"please select a BUG ID")</f>
        <v>please select a BUG ID</v>
      </c>
      <c r="C279" s="51" t="str">
        <f>IFERROR(VLOOKUP(A279,Internal_lists_bugs!$A$2:$G1001,7,FALSE()),"please select a BUG ID")</f>
        <v>please select a BUG ID</v>
      </c>
      <c r="D279" s="51" t="str">
        <f>IFERROR(VLOOKUP(A279,Internal_lists_bugs!$A$2:$I1001,9,FALSE()),"please select a BUG ID")</f>
        <v>please select a BUG ID</v>
      </c>
      <c r="E279" s="105"/>
      <c r="G279" s="54"/>
      <c r="H279" s="105"/>
    </row>
    <row r="280">
      <c r="A280" s="54"/>
      <c r="B280" s="88" t="str">
        <f>IFERROR(HYPERLINK(VLOOKUP(A280,Internal_lists_bugs!$A$2:$C$73,3,FALSE()), VLOOKUP(A280,Internal_lists_bugs!$A$2:$C$73,3,FALSE())&amp;Char(10) &amp; Char(10) &amp; VLOOKUP(A280,Internal_lists_bugs!$A$2:$Z$73,26,FALSE())),"please select a BUG ID")</f>
        <v>please select a BUG ID</v>
      </c>
      <c r="C280" s="51" t="str">
        <f>IFERROR(VLOOKUP(A280,Internal_lists_bugs!$A$2:$G1001,7,FALSE()),"please select a BUG ID")</f>
        <v>please select a BUG ID</v>
      </c>
      <c r="D280" s="51" t="str">
        <f>IFERROR(VLOOKUP(A280,Internal_lists_bugs!$A$2:$I1001,9,FALSE()),"please select a BUG ID")</f>
        <v>please select a BUG ID</v>
      </c>
      <c r="E280" s="105"/>
      <c r="G280" s="54"/>
      <c r="H280" s="105"/>
    </row>
    <row r="281">
      <c r="A281" s="54"/>
      <c r="B281" s="88" t="str">
        <f>IFERROR(HYPERLINK(VLOOKUP(A281,Internal_lists_bugs!$A$2:$C$73,3,FALSE()), VLOOKUP(A281,Internal_lists_bugs!$A$2:$C$73,3,FALSE())&amp;Char(10) &amp; Char(10) &amp; VLOOKUP(A281,Internal_lists_bugs!$A$2:$Z$73,26,FALSE())),"please select a BUG ID")</f>
        <v>please select a BUG ID</v>
      </c>
      <c r="C281" s="51" t="str">
        <f>IFERROR(VLOOKUP(A281,Internal_lists_bugs!$A$2:$G1001,7,FALSE()),"please select a BUG ID")</f>
        <v>please select a BUG ID</v>
      </c>
      <c r="D281" s="51" t="str">
        <f>IFERROR(VLOOKUP(A281,Internal_lists_bugs!$A$2:$I1001,9,FALSE()),"please select a BUG ID")</f>
        <v>please select a BUG ID</v>
      </c>
      <c r="E281" s="105"/>
      <c r="G281" s="54"/>
      <c r="H281" s="105"/>
    </row>
    <row r="282">
      <c r="A282" s="54"/>
      <c r="B282" s="88" t="str">
        <f>IFERROR(HYPERLINK(VLOOKUP(A282,Internal_lists_bugs!$A$2:$C$73,3,FALSE()), VLOOKUP(A282,Internal_lists_bugs!$A$2:$C$73,3,FALSE())&amp;Char(10) &amp; Char(10) &amp; VLOOKUP(A282,Internal_lists_bugs!$A$2:$Z$73,26,FALSE())),"please select a BUG ID")</f>
        <v>please select a BUG ID</v>
      </c>
      <c r="C282" s="51" t="str">
        <f>IFERROR(VLOOKUP(A282,Internal_lists_bugs!$A$2:$G1001,7,FALSE()),"please select a BUG ID")</f>
        <v>please select a BUG ID</v>
      </c>
      <c r="D282" s="51" t="str">
        <f>IFERROR(VLOOKUP(A282,Internal_lists_bugs!$A$2:$I1001,9,FALSE()),"please select a BUG ID")</f>
        <v>please select a BUG ID</v>
      </c>
      <c r="E282" s="105"/>
      <c r="G282" s="54"/>
      <c r="H282" s="105"/>
    </row>
    <row r="283">
      <c r="A283" s="54"/>
      <c r="B283" s="88" t="str">
        <f>IFERROR(HYPERLINK(VLOOKUP(A283,Internal_lists_bugs!$A$2:$C$73,3,FALSE()), VLOOKUP(A283,Internal_lists_bugs!$A$2:$C$73,3,FALSE())&amp;Char(10) &amp; Char(10) &amp; VLOOKUP(A283,Internal_lists_bugs!$A$2:$Z$73,26,FALSE())),"please select a BUG ID")</f>
        <v>please select a BUG ID</v>
      </c>
      <c r="C283" s="51" t="str">
        <f>IFERROR(VLOOKUP(A283,Internal_lists_bugs!$A$2:$G1001,7,FALSE()),"please select a BUG ID")</f>
        <v>please select a BUG ID</v>
      </c>
      <c r="D283" s="51" t="str">
        <f>IFERROR(VLOOKUP(A283,Internal_lists_bugs!$A$2:$I1001,9,FALSE()),"please select a BUG ID")</f>
        <v>please select a BUG ID</v>
      </c>
      <c r="E283" s="105"/>
      <c r="G283" s="54"/>
      <c r="H283" s="105"/>
    </row>
    <row r="284">
      <c r="A284" s="54"/>
      <c r="B284" s="88" t="str">
        <f>IFERROR(HYPERLINK(VLOOKUP(A284,Internal_lists_bugs!$A$2:$C$73,3,FALSE()), VLOOKUP(A284,Internal_lists_bugs!$A$2:$C$73,3,FALSE())&amp;Char(10) &amp; Char(10) &amp; VLOOKUP(A284,Internal_lists_bugs!$A$2:$Z$73,26,FALSE())),"please select a BUG ID")</f>
        <v>please select a BUG ID</v>
      </c>
      <c r="C284" s="51" t="str">
        <f>IFERROR(VLOOKUP(A284,Internal_lists_bugs!$A$2:$G1001,7,FALSE()),"please select a BUG ID")</f>
        <v>please select a BUG ID</v>
      </c>
      <c r="D284" s="51" t="str">
        <f>IFERROR(VLOOKUP(A284,Internal_lists_bugs!$A$2:$I1001,9,FALSE()),"please select a BUG ID")</f>
        <v>please select a BUG ID</v>
      </c>
      <c r="E284" s="105"/>
      <c r="G284" s="54"/>
      <c r="H284" s="105"/>
    </row>
    <row r="285">
      <c r="A285" s="54"/>
      <c r="B285" s="88" t="str">
        <f>IFERROR(HYPERLINK(VLOOKUP(A285,Internal_lists_bugs!$A$2:$C$73,3,FALSE()), VLOOKUP(A285,Internal_lists_bugs!$A$2:$C$73,3,FALSE())&amp;Char(10) &amp; Char(10) &amp; VLOOKUP(A285,Internal_lists_bugs!$A$2:$Z$73,26,FALSE())),"please select a BUG ID")</f>
        <v>please select a BUG ID</v>
      </c>
      <c r="C285" s="51" t="str">
        <f>IFERROR(VLOOKUP(A285,Internal_lists_bugs!$A$2:$G1001,7,FALSE()),"please select a BUG ID")</f>
        <v>please select a BUG ID</v>
      </c>
      <c r="D285" s="51" t="str">
        <f>IFERROR(VLOOKUP(A285,Internal_lists_bugs!$A$2:$I1001,9,FALSE()),"please select a BUG ID")</f>
        <v>please select a BUG ID</v>
      </c>
      <c r="E285" s="105"/>
      <c r="G285" s="54"/>
      <c r="H285" s="105"/>
    </row>
    <row r="286">
      <c r="A286" s="54"/>
      <c r="B286" s="88" t="str">
        <f>IFERROR(HYPERLINK(VLOOKUP(A286,Internal_lists_bugs!$A$2:$C$73,3,FALSE()), VLOOKUP(A286,Internal_lists_bugs!$A$2:$C$73,3,FALSE())&amp;Char(10) &amp; Char(10) &amp; VLOOKUP(A286,Internal_lists_bugs!$A$2:$Z$73,26,FALSE())),"please select a BUG ID")</f>
        <v>please select a BUG ID</v>
      </c>
      <c r="C286" s="51" t="str">
        <f>IFERROR(VLOOKUP(A286,Internal_lists_bugs!$A$2:$G1001,7,FALSE()),"please select a BUG ID")</f>
        <v>please select a BUG ID</v>
      </c>
      <c r="D286" s="51" t="str">
        <f>IFERROR(VLOOKUP(A286,Internal_lists_bugs!$A$2:$I1001,9,FALSE()),"please select a BUG ID")</f>
        <v>please select a BUG ID</v>
      </c>
      <c r="E286" s="105"/>
      <c r="G286" s="54"/>
      <c r="H286" s="105"/>
    </row>
    <row r="287">
      <c r="A287" s="54"/>
      <c r="B287" s="88" t="str">
        <f>IFERROR(HYPERLINK(VLOOKUP(A287,Internal_lists_bugs!$A$2:$C$73,3,FALSE()), VLOOKUP(A287,Internal_lists_bugs!$A$2:$C$73,3,FALSE())&amp;Char(10) &amp; Char(10) &amp; VLOOKUP(A287,Internal_lists_bugs!$A$2:$Z$73,26,FALSE())),"please select a BUG ID")</f>
        <v>please select a BUG ID</v>
      </c>
      <c r="C287" s="51" t="str">
        <f>IFERROR(VLOOKUP(A287,Internal_lists_bugs!$A$2:$G1001,7,FALSE()),"please select a BUG ID")</f>
        <v>please select a BUG ID</v>
      </c>
      <c r="D287" s="51" t="str">
        <f>IFERROR(VLOOKUP(A287,Internal_lists_bugs!$A$2:$I1001,9,FALSE()),"please select a BUG ID")</f>
        <v>please select a BUG ID</v>
      </c>
      <c r="E287" s="105"/>
      <c r="G287" s="54"/>
      <c r="H287" s="105"/>
    </row>
    <row r="288">
      <c r="A288" s="54"/>
      <c r="B288" s="88" t="str">
        <f>IFERROR(HYPERLINK(VLOOKUP(A288,Internal_lists_bugs!$A$2:$C$73,3,FALSE()), VLOOKUP(A288,Internal_lists_bugs!$A$2:$C$73,3,FALSE())&amp;Char(10) &amp; Char(10) &amp; VLOOKUP(A288,Internal_lists_bugs!$A$2:$Z$73,26,FALSE())),"please select a BUG ID")</f>
        <v>please select a BUG ID</v>
      </c>
      <c r="C288" s="51" t="str">
        <f>IFERROR(VLOOKUP(A288,Internal_lists_bugs!$A$2:$G1001,7,FALSE()),"please select a BUG ID")</f>
        <v>please select a BUG ID</v>
      </c>
      <c r="D288" s="51" t="str">
        <f>IFERROR(VLOOKUP(A288,Internal_lists_bugs!$A$2:$I1001,9,FALSE()),"please select a BUG ID")</f>
        <v>please select a BUG ID</v>
      </c>
      <c r="E288" s="105"/>
      <c r="G288" s="54"/>
      <c r="H288" s="105"/>
    </row>
    <row r="289">
      <c r="A289" s="54"/>
      <c r="B289" s="88" t="str">
        <f>IFERROR(HYPERLINK(VLOOKUP(A289,Internal_lists_bugs!$A$2:$C$73,3,FALSE()), VLOOKUP(A289,Internal_lists_bugs!$A$2:$C$73,3,FALSE())&amp;Char(10) &amp; Char(10) &amp; VLOOKUP(A289,Internal_lists_bugs!$A$2:$Z$73,26,FALSE())),"please select a BUG ID")</f>
        <v>please select a BUG ID</v>
      </c>
      <c r="C289" s="51" t="str">
        <f>IFERROR(VLOOKUP(A289,Internal_lists_bugs!$A$2:$G1001,7,FALSE()),"please select a BUG ID")</f>
        <v>please select a BUG ID</v>
      </c>
      <c r="D289" s="51" t="str">
        <f>IFERROR(VLOOKUP(A289,Internal_lists_bugs!$A$2:$I1001,9,FALSE()),"please select a BUG ID")</f>
        <v>please select a BUG ID</v>
      </c>
      <c r="E289" s="105"/>
      <c r="G289" s="54"/>
      <c r="H289" s="105"/>
    </row>
    <row r="290">
      <c r="A290" s="54"/>
      <c r="B290" s="88" t="str">
        <f>IFERROR(HYPERLINK(VLOOKUP(A290,Internal_lists_bugs!$A$2:$C$73,3,FALSE()), VLOOKUP(A290,Internal_lists_bugs!$A$2:$C$73,3,FALSE())&amp;Char(10) &amp; Char(10) &amp; VLOOKUP(A290,Internal_lists_bugs!$A$2:$Z$73,26,FALSE())),"please select a BUG ID")</f>
        <v>please select a BUG ID</v>
      </c>
      <c r="C290" s="51" t="str">
        <f>IFERROR(VLOOKUP(A290,Internal_lists_bugs!$A$2:$G1001,7,FALSE()),"please select a BUG ID")</f>
        <v>please select a BUG ID</v>
      </c>
      <c r="D290" s="51" t="str">
        <f>IFERROR(VLOOKUP(A290,Internal_lists_bugs!$A$2:$I1001,9,FALSE()),"please select a BUG ID")</f>
        <v>please select a BUG ID</v>
      </c>
      <c r="E290" s="105"/>
      <c r="G290" s="54"/>
      <c r="H290" s="105"/>
    </row>
    <row r="291">
      <c r="A291" s="54"/>
      <c r="B291" s="88" t="str">
        <f>IFERROR(HYPERLINK(VLOOKUP(A291,Internal_lists_bugs!$A$2:$C$73,3,FALSE()), VLOOKUP(A291,Internal_lists_bugs!$A$2:$C$73,3,FALSE())&amp;Char(10) &amp; Char(10) &amp; VLOOKUP(A291,Internal_lists_bugs!$A$2:$Z$73,26,FALSE())),"please select a BUG ID")</f>
        <v>please select a BUG ID</v>
      </c>
      <c r="C291" s="51" t="str">
        <f>IFERROR(VLOOKUP(A291,Internal_lists_bugs!$A$2:$G1001,7,FALSE()),"please select a BUG ID")</f>
        <v>please select a BUG ID</v>
      </c>
      <c r="D291" s="51" t="str">
        <f>IFERROR(VLOOKUP(A291,Internal_lists_bugs!$A$2:$I1001,9,FALSE()),"please select a BUG ID")</f>
        <v>please select a BUG ID</v>
      </c>
      <c r="E291" s="105"/>
      <c r="G291" s="54"/>
      <c r="H291" s="105"/>
    </row>
    <row r="292">
      <c r="A292" s="54"/>
      <c r="B292" s="88" t="str">
        <f>IFERROR(HYPERLINK(VLOOKUP(A292,Internal_lists_bugs!$A$2:$C$73,3,FALSE()), VLOOKUP(A292,Internal_lists_bugs!$A$2:$C$73,3,FALSE())&amp;Char(10) &amp; Char(10) &amp; VLOOKUP(A292,Internal_lists_bugs!$A$2:$Z$73,26,FALSE())),"please select a BUG ID")</f>
        <v>please select a BUG ID</v>
      </c>
      <c r="C292" s="51" t="str">
        <f>IFERROR(VLOOKUP(A292,Internal_lists_bugs!$A$2:$G1001,7,FALSE()),"please select a BUG ID")</f>
        <v>please select a BUG ID</v>
      </c>
      <c r="D292" s="51" t="str">
        <f>IFERROR(VLOOKUP(A292,Internal_lists_bugs!$A$2:$I1001,9,FALSE()),"please select a BUG ID")</f>
        <v>please select a BUG ID</v>
      </c>
      <c r="E292" s="105"/>
      <c r="G292" s="54"/>
      <c r="H292" s="105"/>
    </row>
    <row r="293">
      <c r="A293" s="54"/>
      <c r="B293" s="88" t="str">
        <f>IFERROR(HYPERLINK(VLOOKUP(A293,Internal_lists_bugs!$A$2:$C$73,3,FALSE()), VLOOKUP(A293,Internal_lists_bugs!$A$2:$C$73,3,FALSE())&amp;Char(10) &amp; Char(10) &amp; VLOOKUP(A293,Internal_lists_bugs!$A$2:$Z$73,26,FALSE())),"please select a BUG ID")</f>
        <v>please select a BUG ID</v>
      </c>
      <c r="C293" s="51" t="str">
        <f>IFERROR(VLOOKUP(A293,Internal_lists_bugs!$A$2:$G1001,7,FALSE()),"please select a BUG ID")</f>
        <v>please select a BUG ID</v>
      </c>
      <c r="D293" s="51" t="str">
        <f>IFERROR(VLOOKUP(A293,Internal_lists_bugs!$A$2:$I1001,9,FALSE()),"please select a BUG ID")</f>
        <v>please select a BUG ID</v>
      </c>
      <c r="E293" s="105"/>
      <c r="G293" s="54"/>
      <c r="H293" s="105"/>
    </row>
    <row r="294">
      <c r="A294" s="54"/>
      <c r="B294" s="88" t="str">
        <f>IFERROR(HYPERLINK(VLOOKUP(A294,Internal_lists_bugs!$A$2:$C$73,3,FALSE()), VLOOKUP(A294,Internal_lists_bugs!$A$2:$C$73,3,FALSE())&amp;Char(10) &amp; Char(10) &amp; VLOOKUP(A294,Internal_lists_bugs!$A$2:$Z$73,26,FALSE())),"please select a BUG ID")</f>
        <v>please select a BUG ID</v>
      </c>
      <c r="C294" s="51" t="str">
        <f>IFERROR(VLOOKUP(A294,Internal_lists_bugs!$A$2:$G1001,7,FALSE()),"please select a BUG ID")</f>
        <v>please select a BUG ID</v>
      </c>
      <c r="D294" s="51" t="str">
        <f>IFERROR(VLOOKUP(A294,Internal_lists_bugs!$A$2:$I1001,9,FALSE()),"please select a BUG ID")</f>
        <v>please select a BUG ID</v>
      </c>
      <c r="E294" s="105"/>
      <c r="G294" s="54"/>
      <c r="H294" s="105"/>
    </row>
    <row r="295">
      <c r="A295" s="54"/>
      <c r="B295" s="88" t="str">
        <f>IFERROR(HYPERLINK(VLOOKUP(A295,Internal_lists_bugs!$A$2:$C$73,3,FALSE()), VLOOKUP(A295,Internal_lists_bugs!$A$2:$C$73,3,FALSE())&amp;Char(10) &amp; Char(10) &amp; VLOOKUP(A295,Internal_lists_bugs!$A$2:$Z$73,26,FALSE())),"please select a BUG ID")</f>
        <v>please select a BUG ID</v>
      </c>
      <c r="C295" s="51" t="str">
        <f>IFERROR(VLOOKUP(A295,Internal_lists_bugs!$A$2:$G1001,7,FALSE()),"please select a BUG ID")</f>
        <v>please select a BUG ID</v>
      </c>
      <c r="D295" s="51" t="str">
        <f>IFERROR(VLOOKUP(A295,Internal_lists_bugs!$A$2:$I1001,9,FALSE()),"please select a BUG ID")</f>
        <v>please select a BUG ID</v>
      </c>
      <c r="E295" s="105"/>
      <c r="G295" s="54"/>
      <c r="H295" s="105"/>
    </row>
    <row r="296">
      <c r="A296" s="54"/>
      <c r="B296" s="88" t="str">
        <f>IFERROR(HYPERLINK(VLOOKUP(A296,Internal_lists_bugs!$A$2:$C$73,3,FALSE()), VLOOKUP(A296,Internal_lists_bugs!$A$2:$C$73,3,FALSE())&amp;Char(10) &amp; Char(10) &amp; VLOOKUP(A296,Internal_lists_bugs!$A$2:$Z$73,26,FALSE())),"please select a BUG ID")</f>
        <v>please select a BUG ID</v>
      </c>
      <c r="C296" s="51" t="str">
        <f>IFERROR(VLOOKUP(A296,Internal_lists_bugs!$A$2:$G1001,7,FALSE()),"please select a BUG ID")</f>
        <v>please select a BUG ID</v>
      </c>
      <c r="D296" s="51" t="str">
        <f>IFERROR(VLOOKUP(A296,Internal_lists_bugs!$A$2:$I1001,9,FALSE()),"please select a BUG ID")</f>
        <v>please select a BUG ID</v>
      </c>
      <c r="E296" s="105"/>
      <c r="G296" s="54"/>
      <c r="H296" s="105"/>
    </row>
    <row r="297">
      <c r="A297" s="54"/>
      <c r="B297" s="88" t="str">
        <f>IFERROR(HYPERLINK(VLOOKUP(A297,Internal_lists_bugs!$A$2:$C$73,3,FALSE()), VLOOKUP(A297,Internal_lists_bugs!$A$2:$C$73,3,FALSE())&amp;Char(10) &amp; Char(10) &amp; VLOOKUP(A297,Internal_lists_bugs!$A$2:$Z$73,26,FALSE())),"please select a BUG ID")</f>
        <v>please select a BUG ID</v>
      </c>
      <c r="C297" s="51" t="str">
        <f>IFERROR(VLOOKUP(A297,Internal_lists_bugs!$A$2:$G1001,7,FALSE()),"please select a BUG ID")</f>
        <v>please select a BUG ID</v>
      </c>
      <c r="D297" s="51" t="str">
        <f>IFERROR(VLOOKUP(A297,Internal_lists_bugs!$A$2:$I1001,9,FALSE()),"please select a BUG ID")</f>
        <v>please select a BUG ID</v>
      </c>
      <c r="E297" s="105"/>
      <c r="G297" s="54"/>
      <c r="H297" s="105"/>
    </row>
    <row r="298">
      <c r="A298" s="54"/>
      <c r="B298" s="88" t="str">
        <f>IFERROR(HYPERLINK(VLOOKUP(A298,Internal_lists_bugs!$A$2:$C$73,3,FALSE()), VLOOKUP(A298,Internal_lists_bugs!$A$2:$C$73,3,FALSE())&amp;Char(10) &amp; Char(10) &amp; VLOOKUP(A298,Internal_lists_bugs!$A$2:$Z$73,26,FALSE())),"please select a BUG ID")</f>
        <v>please select a BUG ID</v>
      </c>
      <c r="C298" s="51" t="str">
        <f>IFERROR(VLOOKUP(A298,Internal_lists_bugs!$A$2:$G1001,7,FALSE()),"please select a BUG ID")</f>
        <v>please select a BUG ID</v>
      </c>
      <c r="D298" s="51" t="str">
        <f>IFERROR(VLOOKUP(A298,Internal_lists_bugs!$A$2:$I1001,9,FALSE()),"please select a BUG ID")</f>
        <v>please select a BUG ID</v>
      </c>
      <c r="E298" s="105"/>
      <c r="G298" s="54"/>
      <c r="H298" s="105"/>
    </row>
    <row r="299">
      <c r="A299" s="54"/>
      <c r="B299" s="88" t="str">
        <f>IFERROR(HYPERLINK(VLOOKUP(A299,Internal_lists_bugs!$A$2:$C$73,3,FALSE()), VLOOKUP(A299,Internal_lists_bugs!$A$2:$C$73,3,FALSE())&amp;Char(10) &amp; Char(10) &amp; VLOOKUP(A299,Internal_lists_bugs!$A$2:$Z$73,26,FALSE())),"please select a BUG ID")</f>
        <v>please select a BUG ID</v>
      </c>
      <c r="C299" s="51" t="str">
        <f>IFERROR(VLOOKUP(A299,Internal_lists_bugs!$A$2:$G1001,7,FALSE()),"please select a BUG ID")</f>
        <v>please select a BUG ID</v>
      </c>
      <c r="D299" s="51" t="str">
        <f>IFERROR(VLOOKUP(A299,Internal_lists_bugs!$A$2:$I1001,9,FALSE()),"please select a BUG ID")</f>
        <v>please select a BUG ID</v>
      </c>
      <c r="E299" s="105"/>
      <c r="G299" s="54"/>
      <c r="H299" s="105"/>
    </row>
    <row r="300">
      <c r="A300" s="54"/>
      <c r="B300" s="88" t="str">
        <f>IFERROR(HYPERLINK(VLOOKUP(A300,Internal_lists_bugs!$A$2:$C$73,3,FALSE()), VLOOKUP(A300,Internal_lists_bugs!$A$2:$C$73,3,FALSE())&amp;Char(10) &amp; Char(10) &amp; VLOOKUP(A300,Internal_lists_bugs!$A$2:$Z$73,26,FALSE())),"please select a BUG ID")</f>
        <v>please select a BUG ID</v>
      </c>
      <c r="C300" s="51" t="str">
        <f>IFERROR(VLOOKUP(A300,Internal_lists_bugs!$A$2:$G1001,7,FALSE()),"please select a BUG ID")</f>
        <v>please select a BUG ID</v>
      </c>
      <c r="D300" s="51" t="str">
        <f>IFERROR(VLOOKUP(A300,Internal_lists_bugs!$A$2:$I1001,9,FALSE()),"please select a BUG ID")</f>
        <v>please select a BUG ID</v>
      </c>
      <c r="E300" s="105"/>
      <c r="G300" s="54"/>
      <c r="H300" s="105"/>
    </row>
    <row r="301">
      <c r="A301" s="54"/>
      <c r="B301" s="88" t="str">
        <f>IFERROR(HYPERLINK(VLOOKUP(A301,Internal_lists_bugs!$A$2:$C$73,3,FALSE()), VLOOKUP(A301,Internal_lists_bugs!$A$2:$C$73,3,FALSE())&amp;Char(10) &amp; Char(10) &amp; VLOOKUP(A301,Internal_lists_bugs!$A$2:$Z$73,26,FALSE())),"please select a BUG ID")</f>
        <v>please select a BUG ID</v>
      </c>
      <c r="C301" s="51" t="str">
        <f>IFERROR(VLOOKUP(A301,Internal_lists_bugs!$A$2:$G1001,7,FALSE()),"please select a BUG ID")</f>
        <v>please select a BUG ID</v>
      </c>
      <c r="D301" s="51" t="str">
        <f>IFERROR(VLOOKUP(A301,Internal_lists_bugs!$A$2:$I1001,9,FALSE()),"please select a BUG ID")</f>
        <v>please select a BUG ID</v>
      </c>
      <c r="E301" s="105"/>
      <c r="G301" s="54"/>
      <c r="H301" s="105"/>
    </row>
    <row r="302">
      <c r="A302" s="54"/>
      <c r="B302" s="88" t="str">
        <f>IFERROR(HYPERLINK(VLOOKUP(A302,Internal_lists_bugs!$A$2:$C$73,3,FALSE()), VLOOKUP(A302,Internal_lists_bugs!$A$2:$C$73,3,FALSE())&amp;Char(10) &amp; Char(10) &amp; VLOOKUP(A302,Internal_lists_bugs!$A$2:$Z$73,26,FALSE())),"please select a BUG ID")</f>
        <v>please select a BUG ID</v>
      </c>
      <c r="C302" s="51" t="str">
        <f>IFERROR(VLOOKUP(A302,Internal_lists_bugs!$A$2:$G1001,7,FALSE()),"please select a BUG ID")</f>
        <v>please select a BUG ID</v>
      </c>
      <c r="D302" s="51" t="str">
        <f>IFERROR(VLOOKUP(A302,Internal_lists_bugs!$A$2:$I1001,9,FALSE()),"please select a BUG ID")</f>
        <v>please select a BUG ID</v>
      </c>
      <c r="E302" s="105"/>
      <c r="G302" s="54"/>
      <c r="H302" s="105"/>
    </row>
    <row r="303">
      <c r="A303" s="54"/>
      <c r="B303" s="88" t="str">
        <f>IFERROR(HYPERLINK(VLOOKUP(A303,Internal_lists_bugs!$A$2:$C$73,3,FALSE()), VLOOKUP(A303,Internal_lists_bugs!$A$2:$C$73,3,FALSE())&amp;Char(10) &amp; Char(10) &amp; VLOOKUP(A303,Internal_lists_bugs!$A$2:$Z$73,26,FALSE())),"please select a BUG ID")</f>
        <v>please select a BUG ID</v>
      </c>
      <c r="C303" s="51" t="str">
        <f>IFERROR(VLOOKUP(A303,Internal_lists_bugs!$A$2:$G1001,7,FALSE()),"please select a BUG ID")</f>
        <v>please select a BUG ID</v>
      </c>
      <c r="D303" s="51" t="str">
        <f>IFERROR(VLOOKUP(A303,Internal_lists_bugs!$A$2:$I1001,9,FALSE()),"please select a BUG ID")</f>
        <v>please select a BUG ID</v>
      </c>
      <c r="E303" s="105"/>
      <c r="G303" s="54"/>
      <c r="H303" s="105"/>
    </row>
    <row r="304">
      <c r="A304" s="54"/>
      <c r="B304" s="88" t="str">
        <f>IFERROR(HYPERLINK(VLOOKUP(A304,Internal_lists_bugs!$A$2:$C$73,3,FALSE()), VLOOKUP(A304,Internal_lists_bugs!$A$2:$C$73,3,FALSE())&amp;Char(10) &amp; Char(10) &amp; VLOOKUP(A304,Internal_lists_bugs!$A$2:$Z$73,26,FALSE())),"please select a BUG ID")</f>
        <v>please select a BUG ID</v>
      </c>
      <c r="C304" s="51" t="str">
        <f>IFERROR(VLOOKUP(A304,Internal_lists_bugs!$A$2:$G1001,7,FALSE()),"please select a BUG ID")</f>
        <v>please select a BUG ID</v>
      </c>
      <c r="D304" s="51" t="str">
        <f>IFERROR(VLOOKUP(A304,Internal_lists_bugs!$A$2:$I1001,9,FALSE()),"please select a BUG ID")</f>
        <v>please select a BUG ID</v>
      </c>
      <c r="E304" s="105"/>
      <c r="G304" s="54"/>
      <c r="H304" s="105"/>
    </row>
    <row r="305">
      <c r="A305" s="54"/>
      <c r="B305" s="88" t="str">
        <f>IFERROR(HYPERLINK(VLOOKUP(A305,Internal_lists_bugs!$A$2:$C$73,3,FALSE()), VLOOKUP(A305,Internal_lists_bugs!$A$2:$C$73,3,FALSE())&amp;Char(10) &amp; Char(10) &amp; VLOOKUP(A305,Internal_lists_bugs!$A$2:$Z$73,26,FALSE())),"please select a BUG ID")</f>
        <v>please select a BUG ID</v>
      </c>
      <c r="C305" s="51" t="str">
        <f>IFERROR(VLOOKUP(A305,Internal_lists_bugs!$A$2:$G1001,7,FALSE()),"please select a BUG ID")</f>
        <v>please select a BUG ID</v>
      </c>
      <c r="D305" s="51" t="str">
        <f>IFERROR(VLOOKUP(A305,Internal_lists_bugs!$A$2:$I1001,9,FALSE()),"please select a BUG ID")</f>
        <v>please select a BUG ID</v>
      </c>
      <c r="E305" s="105"/>
      <c r="G305" s="54"/>
      <c r="H305" s="105"/>
    </row>
    <row r="306">
      <c r="A306" s="54"/>
      <c r="B306" s="88" t="str">
        <f>IFERROR(HYPERLINK(VLOOKUP(A306,Internal_lists_bugs!$A$2:$C$73,3,FALSE()), VLOOKUP(A306,Internal_lists_bugs!$A$2:$C$73,3,FALSE())&amp;Char(10) &amp; Char(10) &amp; VLOOKUP(A306,Internal_lists_bugs!$A$2:$Z$73,26,FALSE())),"please select a BUG ID")</f>
        <v>please select a BUG ID</v>
      </c>
      <c r="C306" s="51" t="str">
        <f>IFERROR(VLOOKUP(A306,Internal_lists_bugs!$A$2:$G1001,7,FALSE()),"please select a BUG ID")</f>
        <v>please select a BUG ID</v>
      </c>
      <c r="D306" s="51" t="str">
        <f>IFERROR(VLOOKUP(A306,Internal_lists_bugs!$A$2:$I1001,9,FALSE()),"please select a BUG ID")</f>
        <v>please select a BUG ID</v>
      </c>
      <c r="E306" s="105"/>
      <c r="G306" s="54"/>
      <c r="H306" s="105"/>
    </row>
    <row r="307">
      <c r="A307" s="54"/>
      <c r="B307" s="88" t="str">
        <f>IFERROR(HYPERLINK(VLOOKUP(A307,Internal_lists_bugs!$A$2:$C$73,3,FALSE()), VLOOKUP(A307,Internal_lists_bugs!$A$2:$C$73,3,FALSE())&amp;Char(10) &amp; Char(10) &amp; VLOOKUP(A307,Internal_lists_bugs!$A$2:$Z$73,26,FALSE())),"please select a BUG ID")</f>
        <v>please select a BUG ID</v>
      </c>
      <c r="C307" s="51" t="str">
        <f>IFERROR(VLOOKUP(A307,Internal_lists_bugs!$A$2:$G1001,7,FALSE()),"please select a BUG ID")</f>
        <v>please select a BUG ID</v>
      </c>
      <c r="D307" s="51" t="str">
        <f>IFERROR(VLOOKUP(A307,Internal_lists_bugs!$A$2:$I1001,9,FALSE()),"please select a BUG ID")</f>
        <v>please select a BUG ID</v>
      </c>
      <c r="E307" s="105"/>
      <c r="G307" s="54"/>
      <c r="H307" s="105"/>
    </row>
    <row r="308">
      <c r="A308" s="54"/>
      <c r="B308" s="88" t="str">
        <f>IFERROR(HYPERLINK(VLOOKUP(A308,Internal_lists_bugs!$A$2:$C$73,3,FALSE()), VLOOKUP(A308,Internal_lists_bugs!$A$2:$C$73,3,FALSE())&amp;Char(10) &amp; Char(10) &amp; VLOOKUP(A308,Internal_lists_bugs!$A$2:$Z$73,26,FALSE())),"please select a BUG ID")</f>
        <v>please select a BUG ID</v>
      </c>
      <c r="C308" s="51" t="str">
        <f>IFERROR(VLOOKUP(A308,Internal_lists_bugs!$A$2:$G1001,7,FALSE()),"please select a BUG ID")</f>
        <v>please select a BUG ID</v>
      </c>
      <c r="D308" s="51" t="str">
        <f>IFERROR(VLOOKUP(A308,Internal_lists_bugs!$A$2:$I1001,9,FALSE()),"please select a BUG ID")</f>
        <v>please select a BUG ID</v>
      </c>
      <c r="E308" s="105"/>
      <c r="G308" s="54"/>
      <c r="H308" s="105"/>
    </row>
    <row r="309">
      <c r="A309" s="54"/>
      <c r="B309" s="88" t="str">
        <f>IFERROR(HYPERLINK(VLOOKUP(A309,Internal_lists_bugs!$A$2:$C$73,3,FALSE()), VLOOKUP(A309,Internal_lists_bugs!$A$2:$C$73,3,FALSE())&amp;Char(10) &amp; Char(10) &amp; VLOOKUP(A309,Internal_lists_bugs!$A$2:$Z$73,26,FALSE())),"please select a BUG ID")</f>
        <v>please select a BUG ID</v>
      </c>
      <c r="C309" s="51" t="str">
        <f>IFERROR(VLOOKUP(A309,Internal_lists_bugs!$A$2:$G1001,7,FALSE()),"please select a BUG ID")</f>
        <v>please select a BUG ID</v>
      </c>
      <c r="D309" s="51" t="str">
        <f>IFERROR(VLOOKUP(A309,Internal_lists_bugs!$A$2:$I1001,9,FALSE()),"please select a BUG ID")</f>
        <v>please select a BUG ID</v>
      </c>
      <c r="E309" s="105"/>
      <c r="G309" s="54"/>
      <c r="H309" s="105"/>
    </row>
    <row r="310">
      <c r="A310" s="54"/>
      <c r="B310" s="88" t="str">
        <f>IFERROR(HYPERLINK(VLOOKUP(A310,Internal_lists_bugs!$A$2:$C$73,3,FALSE()), VLOOKUP(A310,Internal_lists_bugs!$A$2:$C$73,3,FALSE())&amp;Char(10) &amp; Char(10) &amp; VLOOKUP(A310,Internal_lists_bugs!$A$2:$Z$73,26,FALSE())),"please select a BUG ID")</f>
        <v>please select a BUG ID</v>
      </c>
      <c r="C310" s="51" t="str">
        <f>IFERROR(VLOOKUP(A310,Internal_lists_bugs!$A$2:$G1001,7,FALSE()),"please select a BUG ID")</f>
        <v>please select a BUG ID</v>
      </c>
      <c r="D310" s="51" t="str">
        <f>IFERROR(VLOOKUP(A310,Internal_lists_bugs!$A$2:$I1001,9,FALSE()),"please select a BUG ID")</f>
        <v>please select a BUG ID</v>
      </c>
      <c r="E310" s="105"/>
      <c r="G310" s="54"/>
      <c r="H310" s="105"/>
    </row>
    <row r="311">
      <c r="A311" s="54"/>
      <c r="B311" s="88" t="str">
        <f>IFERROR(HYPERLINK(VLOOKUP(A311,Internal_lists_bugs!$A$2:$C$73,3,FALSE()), VLOOKUP(A311,Internal_lists_bugs!$A$2:$C$73,3,FALSE())&amp;Char(10) &amp; Char(10) &amp; VLOOKUP(A311,Internal_lists_bugs!$A$2:$Z$73,26,FALSE())),"please select a BUG ID")</f>
        <v>please select a BUG ID</v>
      </c>
      <c r="C311" s="51" t="str">
        <f>IFERROR(VLOOKUP(A311,Internal_lists_bugs!$A$2:$G1001,7,FALSE()),"please select a BUG ID")</f>
        <v>please select a BUG ID</v>
      </c>
      <c r="D311" s="51" t="str">
        <f>IFERROR(VLOOKUP(A311,Internal_lists_bugs!$A$2:$I1001,9,FALSE()),"please select a BUG ID")</f>
        <v>please select a BUG ID</v>
      </c>
      <c r="E311" s="105"/>
      <c r="G311" s="54"/>
      <c r="H311" s="105"/>
    </row>
    <row r="312">
      <c r="A312" s="54"/>
      <c r="B312" s="88" t="str">
        <f>IFERROR(HYPERLINK(VLOOKUP(A312,Internal_lists_bugs!$A$2:$C$73,3,FALSE()), VLOOKUP(A312,Internal_lists_bugs!$A$2:$C$73,3,FALSE())&amp;Char(10) &amp; Char(10) &amp; VLOOKUP(A312,Internal_lists_bugs!$A$2:$Z$73,26,FALSE())),"please select a BUG ID")</f>
        <v>please select a BUG ID</v>
      </c>
      <c r="C312" s="51" t="str">
        <f>IFERROR(VLOOKUP(A312,Internal_lists_bugs!$A$2:$G1001,7,FALSE()),"please select a BUG ID")</f>
        <v>please select a BUG ID</v>
      </c>
      <c r="D312" s="51" t="str">
        <f>IFERROR(VLOOKUP(A312,Internal_lists_bugs!$A$2:$I1001,9,FALSE()),"please select a BUG ID")</f>
        <v>please select a BUG ID</v>
      </c>
      <c r="E312" s="105"/>
      <c r="G312" s="54"/>
      <c r="H312" s="105"/>
    </row>
    <row r="313">
      <c r="A313" s="54"/>
      <c r="B313" s="88" t="str">
        <f>IFERROR(HYPERLINK(VLOOKUP(A313,Internal_lists_bugs!$A$2:$C$73,3,FALSE()), VLOOKUP(A313,Internal_lists_bugs!$A$2:$C$73,3,FALSE())&amp;Char(10) &amp; Char(10) &amp; VLOOKUP(A313,Internal_lists_bugs!$A$2:$Z$73,26,FALSE())),"please select a BUG ID")</f>
        <v>please select a BUG ID</v>
      </c>
      <c r="C313" s="51" t="str">
        <f>IFERROR(VLOOKUP(A313,Internal_lists_bugs!$A$2:$G1001,7,FALSE()),"please select a BUG ID")</f>
        <v>please select a BUG ID</v>
      </c>
      <c r="D313" s="51" t="str">
        <f>IFERROR(VLOOKUP(A313,Internal_lists_bugs!$A$2:$I1001,9,FALSE()),"please select a BUG ID")</f>
        <v>please select a BUG ID</v>
      </c>
      <c r="E313" s="105"/>
      <c r="G313" s="54"/>
      <c r="H313" s="105"/>
    </row>
    <row r="314">
      <c r="A314" s="54"/>
      <c r="B314" s="88" t="str">
        <f>IFERROR(HYPERLINK(VLOOKUP(A314,Internal_lists_bugs!$A$2:$C$73,3,FALSE()), VLOOKUP(A314,Internal_lists_bugs!$A$2:$C$73,3,FALSE())&amp;Char(10) &amp; Char(10) &amp; VLOOKUP(A314,Internal_lists_bugs!$A$2:$Z$73,26,FALSE())),"please select a BUG ID")</f>
        <v>please select a BUG ID</v>
      </c>
      <c r="C314" s="51" t="str">
        <f>IFERROR(VLOOKUP(A314,Internal_lists_bugs!$A$2:$G1001,7,FALSE()),"please select a BUG ID")</f>
        <v>please select a BUG ID</v>
      </c>
      <c r="D314" s="51" t="str">
        <f>IFERROR(VLOOKUP(A314,Internal_lists_bugs!$A$2:$I1001,9,FALSE()),"please select a BUG ID")</f>
        <v>please select a BUG ID</v>
      </c>
      <c r="E314" s="105"/>
      <c r="G314" s="54"/>
      <c r="H314" s="105"/>
    </row>
    <row r="315">
      <c r="A315" s="54"/>
      <c r="B315" s="88" t="str">
        <f>IFERROR(HYPERLINK(VLOOKUP(A315,Internal_lists_bugs!$A$2:$C$73,3,FALSE()), VLOOKUP(A315,Internal_lists_bugs!$A$2:$C$73,3,FALSE())&amp;Char(10) &amp; Char(10) &amp; VLOOKUP(A315,Internal_lists_bugs!$A$2:$Z$73,26,FALSE())),"please select a BUG ID")</f>
        <v>please select a BUG ID</v>
      </c>
      <c r="C315" s="51" t="str">
        <f>IFERROR(VLOOKUP(A315,Internal_lists_bugs!$A$2:$G1001,7,FALSE()),"please select a BUG ID")</f>
        <v>please select a BUG ID</v>
      </c>
      <c r="D315" s="51" t="str">
        <f>IFERROR(VLOOKUP(A315,Internal_lists_bugs!$A$2:$I1001,9,FALSE()),"please select a BUG ID")</f>
        <v>please select a BUG ID</v>
      </c>
      <c r="E315" s="105"/>
      <c r="G315" s="54"/>
      <c r="H315" s="105"/>
    </row>
    <row r="316">
      <c r="A316" s="54"/>
      <c r="B316" s="88" t="str">
        <f>IFERROR(HYPERLINK(VLOOKUP(A316,Internal_lists_bugs!$A$2:$C$73,3,FALSE()), VLOOKUP(A316,Internal_lists_bugs!$A$2:$C$73,3,FALSE())&amp;Char(10) &amp; Char(10) &amp; VLOOKUP(A316,Internal_lists_bugs!$A$2:$Z$73,26,FALSE())),"please select a BUG ID")</f>
        <v>please select a BUG ID</v>
      </c>
      <c r="C316" s="51" t="str">
        <f>IFERROR(VLOOKUP(A316,Internal_lists_bugs!$A$2:$G1001,7,FALSE()),"please select a BUG ID")</f>
        <v>please select a BUG ID</v>
      </c>
      <c r="D316" s="51" t="str">
        <f>IFERROR(VLOOKUP(A316,Internal_lists_bugs!$A$2:$I1001,9,FALSE()),"please select a BUG ID")</f>
        <v>please select a BUG ID</v>
      </c>
      <c r="E316" s="105"/>
      <c r="G316" s="54"/>
      <c r="H316" s="105"/>
    </row>
    <row r="317">
      <c r="A317" s="54"/>
      <c r="B317" s="88" t="str">
        <f>IFERROR(HYPERLINK(VLOOKUP(A317,Internal_lists_bugs!$A$2:$C$73,3,FALSE()), VLOOKUP(A317,Internal_lists_bugs!$A$2:$C$73,3,FALSE())&amp;Char(10) &amp; Char(10) &amp; VLOOKUP(A317,Internal_lists_bugs!$A$2:$Z$73,26,FALSE())),"please select a BUG ID")</f>
        <v>please select a BUG ID</v>
      </c>
      <c r="C317" s="51" t="str">
        <f>IFERROR(VLOOKUP(A317,Internal_lists_bugs!$A$2:$G1001,7,FALSE()),"please select a BUG ID")</f>
        <v>please select a BUG ID</v>
      </c>
      <c r="D317" s="51" t="str">
        <f>IFERROR(VLOOKUP(A317,Internal_lists_bugs!$A$2:$I1001,9,FALSE()),"please select a BUG ID")</f>
        <v>please select a BUG ID</v>
      </c>
      <c r="E317" s="105"/>
      <c r="G317" s="54"/>
      <c r="H317" s="105"/>
    </row>
    <row r="318">
      <c r="A318" s="54"/>
      <c r="B318" s="88" t="str">
        <f>IFERROR(HYPERLINK(VLOOKUP(A318,Internal_lists_bugs!$A$2:$C$73,3,FALSE()), VLOOKUP(A318,Internal_lists_bugs!$A$2:$C$73,3,FALSE())&amp;Char(10) &amp; Char(10) &amp; VLOOKUP(A318,Internal_lists_bugs!$A$2:$Z$73,26,FALSE())),"please select a BUG ID")</f>
        <v>please select a BUG ID</v>
      </c>
      <c r="C318" s="51" t="str">
        <f>IFERROR(VLOOKUP(A318,Internal_lists_bugs!$A$2:$G1001,7,FALSE()),"please select a BUG ID")</f>
        <v>please select a BUG ID</v>
      </c>
      <c r="D318" s="51" t="str">
        <f>IFERROR(VLOOKUP(A318,Internal_lists_bugs!$A$2:$I1001,9,FALSE()),"please select a BUG ID")</f>
        <v>please select a BUG ID</v>
      </c>
      <c r="E318" s="105"/>
      <c r="G318" s="54"/>
      <c r="H318" s="105"/>
    </row>
    <row r="319">
      <c r="A319" s="54"/>
      <c r="B319" s="88" t="str">
        <f>IFERROR(HYPERLINK(VLOOKUP(A319,Internal_lists_bugs!$A$2:$C$73,3,FALSE()), VLOOKUP(A319,Internal_lists_bugs!$A$2:$C$73,3,FALSE())&amp;Char(10) &amp; Char(10) &amp; VLOOKUP(A319,Internal_lists_bugs!$A$2:$Z$73,26,FALSE())),"please select a BUG ID")</f>
        <v>please select a BUG ID</v>
      </c>
      <c r="C319" s="51" t="str">
        <f>IFERROR(VLOOKUP(A319,Internal_lists_bugs!$A$2:$G1001,7,FALSE()),"please select a BUG ID")</f>
        <v>please select a BUG ID</v>
      </c>
      <c r="D319" s="51" t="str">
        <f>IFERROR(VLOOKUP(A319,Internal_lists_bugs!$A$2:$I1001,9,FALSE()),"please select a BUG ID")</f>
        <v>please select a BUG ID</v>
      </c>
      <c r="E319" s="105"/>
      <c r="G319" s="54"/>
      <c r="H319" s="105"/>
    </row>
    <row r="320">
      <c r="A320" s="54"/>
      <c r="B320" s="88" t="str">
        <f>IFERROR(HYPERLINK(VLOOKUP(A320,Internal_lists_bugs!$A$2:$C$73,3,FALSE()), VLOOKUP(A320,Internal_lists_bugs!$A$2:$C$73,3,FALSE())&amp;Char(10) &amp; Char(10) &amp; VLOOKUP(A320,Internal_lists_bugs!$A$2:$Z$73,26,FALSE())),"please select a BUG ID")</f>
        <v>please select a BUG ID</v>
      </c>
      <c r="C320" s="51" t="str">
        <f>IFERROR(VLOOKUP(A320,Internal_lists_bugs!$A$2:$G1001,7,FALSE()),"please select a BUG ID")</f>
        <v>please select a BUG ID</v>
      </c>
      <c r="D320" s="51" t="str">
        <f>IFERROR(VLOOKUP(A320,Internal_lists_bugs!$A$2:$I1001,9,FALSE()),"please select a BUG ID")</f>
        <v>please select a BUG ID</v>
      </c>
      <c r="E320" s="105"/>
      <c r="G320" s="54"/>
      <c r="H320" s="105"/>
    </row>
    <row r="321">
      <c r="A321" s="54"/>
      <c r="B321" s="88" t="str">
        <f>IFERROR(HYPERLINK(VLOOKUP(A321,Internal_lists_bugs!$A$2:$C$73,3,FALSE()), VLOOKUP(A321,Internal_lists_bugs!$A$2:$C$73,3,FALSE())&amp;Char(10) &amp; Char(10) &amp; VLOOKUP(A321,Internal_lists_bugs!$A$2:$Z$73,26,FALSE())),"please select a BUG ID")</f>
        <v>please select a BUG ID</v>
      </c>
      <c r="C321" s="51" t="str">
        <f>IFERROR(VLOOKUP(A321,Internal_lists_bugs!$A$2:$G1001,7,FALSE()),"please select a BUG ID")</f>
        <v>please select a BUG ID</v>
      </c>
      <c r="D321" s="51" t="str">
        <f>IFERROR(VLOOKUP(A321,Internal_lists_bugs!$A$2:$I1001,9,FALSE()),"please select a BUG ID")</f>
        <v>please select a BUG ID</v>
      </c>
      <c r="E321" s="105"/>
      <c r="G321" s="54"/>
      <c r="H321" s="105"/>
    </row>
    <row r="322">
      <c r="A322" s="54"/>
      <c r="B322" s="88" t="str">
        <f>IFERROR(HYPERLINK(VLOOKUP(A322,Internal_lists_bugs!$A$2:$C$73,3,FALSE()), VLOOKUP(A322,Internal_lists_bugs!$A$2:$C$73,3,FALSE())&amp;Char(10) &amp; Char(10) &amp; VLOOKUP(A322,Internal_lists_bugs!$A$2:$Z$73,26,FALSE())),"please select a BUG ID")</f>
        <v>please select a BUG ID</v>
      </c>
      <c r="C322" s="51" t="str">
        <f>IFERROR(VLOOKUP(A322,Internal_lists_bugs!$A$2:$G1001,7,FALSE()),"please select a BUG ID")</f>
        <v>please select a BUG ID</v>
      </c>
      <c r="D322" s="51" t="str">
        <f>IFERROR(VLOOKUP(A322,Internal_lists_bugs!$A$2:$I1001,9,FALSE()),"please select a BUG ID")</f>
        <v>please select a BUG ID</v>
      </c>
      <c r="E322" s="105"/>
      <c r="G322" s="54"/>
      <c r="H322" s="105"/>
    </row>
    <row r="323">
      <c r="A323" s="54"/>
      <c r="B323" s="88" t="str">
        <f>IFERROR(HYPERLINK(VLOOKUP(A323,Internal_lists_bugs!$A$2:$C$73,3,FALSE()), VLOOKUP(A323,Internal_lists_bugs!$A$2:$C$73,3,FALSE())&amp;Char(10) &amp; Char(10) &amp; VLOOKUP(A323,Internal_lists_bugs!$A$2:$Z$73,26,FALSE())),"please select a BUG ID")</f>
        <v>please select a BUG ID</v>
      </c>
      <c r="C323" s="51" t="str">
        <f>IFERROR(VLOOKUP(A323,Internal_lists_bugs!$A$2:$G1001,7,FALSE()),"please select a BUG ID")</f>
        <v>please select a BUG ID</v>
      </c>
      <c r="D323" s="51" t="str">
        <f>IFERROR(VLOOKUP(A323,Internal_lists_bugs!$A$2:$I1001,9,FALSE()),"please select a BUG ID")</f>
        <v>please select a BUG ID</v>
      </c>
      <c r="E323" s="105"/>
      <c r="G323" s="54"/>
      <c r="H323" s="105"/>
    </row>
    <row r="324">
      <c r="A324" s="54"/>
      <c r="B324" s="88" t="str">
        <f>IFERROR(HYPERLINK(VLOOKUP(A324,Internal_lists_bugs!$A$2:$C$73,3,FALSE()), VLOOKUP(A324,Internal_lists_bugs!$A$2:$C$73,3,FALSE())&amp;Char(10) &amp; Char(10) &amp; VLOOKUP(A324,Internal_lists_bugs!$A$2:$Z$73,26,FALSE())),"please select a BUG ID")</f>
        <v>please select a BUG ID</v>
      </c>
      <c r="C324" s="51" t="str">
        <f>IFERROR(VLOOKUP(A324,Internal_lists_bugs!$A$2:$G1001,7,FALSE()),"please select a BUG ID")</f>
        <v>please select a BUG ID</v>
      </c>
      <c r="D324" s="51" t="str">
        <f>IFERROR(VLOOKUP(A324,Internal_lists_bugs!$A$2:$I1001,9,FALSE()),"please select a BUG ID")</f>
        <v>please select a BUG ID</v>
      </c>
      <c r="E324" s="105"/>
      <c r="G324" s="54"/>
      <c r="H324" s="105"/>
    </row>
    <row r="325">
      <c r="A325" s="54"/>
      <c r="B325" s="88" t="str">
        <f>IFERROR(HYPERLINK(VLOOKUP(A325,Internal_lists_bugs!$A$2:$C$73,3,FALSE()), VLOOKUP(A325,Internal_lists_bugs!$A$2:$C$73,3,FALSE())&amp;Char(10) &amp; Char(10) &amp; VLOOKUP(A325,Internal_lists_bugs!$A$2:$Z$73,26,FALSE())),"please select a BUG ID")</f>
        <v>please select a BUG ID</v>
      </c>
      <c r="C325" s="51" t="str">
        <f>IFERROR(VLOOKUP(A325,Internal_lists_bugs!$A$2:$G1001,7,FALSE()),"please select a BUG ID")</f>
        <v>please select a BUG ID</v>
      </c>
      <c r="D325" s="51" t="str">
        <f>IFERROR(VLOOKUP(A325,Internal_lists_bugs!$A$2:$I1001,9,FALSE()),"please select a BUG ID")</f>
        <v>please select a BUG ID</v>
      </c>
      <c r="E325" s="105"/>
      <c r="G325" s="54"/>
      <c r="H325" s="105"/>
    </row>
    <row r="326">
      <c r="A326" s="54"/>
      <c r="B326" s="88" t="str">
        <f>IFERROR(HYPERLINK(VLOOKUP(A326,Internal_lists_bugs!$A$2:$C$73,3,FALSE()), VLOOKUP(A326,Internal_lists_bugs!$A$2:$C$73,3,FALSE())&amp;Char(10) &amp; Char(10) &amp; VLOOKUP(A326,Internal_lists_bugs!$A$2:$Z$73,26,FALSE())),"please select a BUG ID")</f>
        <v>please select a BUG ID</v>
      </c>
      <c r="C326" s="51" t="str">
        <f>IFERROR(VLOOKUP(A326,Internal_lists_bugs!$A$2:$G1001,7,FALSE()),"please select a BUG ID")</f>
        <v>please select a BUG ID</v>
      </c>
      <c r="D326" s="51" t="str">
        <f>IFERROR(VLOOKUP(A326,Internal_lists_bugs!$A$2:$I1001,9,FALSE()),"please select a BUG ID")</f>
        <v>please select a BUG ID</v>
      </c>
      <c r="E326" s="105"/>
      <c r="G326" s="54"/>
      <c r="H326" s="105"/>
    </row>
    <row r="327">
      <c r="A327" s="54"/>
      <c r="B327" s="88" t="str">
        <f>IFERROR(HYPERLINK(VLOOKUP(A327,Internal_lists_bugs!$A$2:$C$73,3,FALSE()), VLOOKUP(A327,Internal_lists_bugs!$A$2:$C$73,3,FALSE())&amp;Char(10) &amp; Char(10) &amp; VLOOKUP(A327,Internal_lists_bugs!$A$2:$Z$73,26,FALSE())),"please select a BUG ID")</f>
        <v>please select a BUG ID</v>
      </c>
      <c r="C327" s="51" t="str">
        <f>IFERROR(VLOOKUP(A327,Internal_lists_bugs!$A$2:$G1001,7,FALSE()),"please select a BUG ID")</f>
        <v>please select a BUG ID</v>
      </c>
      <c r="D327" s="51" t="str">
        <f>IFERROR(VLOOKUP(A327,Internal_lists_bugs!$A$2:$I1001,9,FALSE()),"please select a BUG ID")</f>
        <v>please select a BUG ID</v>
      </c>
      <c r="E327" s="105"/>
      <c r="G327" s="54"/>
      <c r="H327" s="105"/>
    </row>
    <row r="328">
      <c r="A328" s="54"/>
      <c r="B328" s="88" t="str">
        <f>IFERROR(HYPERLINK(VLOOKUP(A328,Internal_lists_bugs!$A$2:$C$73,3,FALSE()), VLOOKUP(A328,Internal_lists_bugs!$A$2:$C$73,3,FALSE())&amp;Char(10) &amp; Char(10) &amp; VLOOKUP(A328,Internal_lists_bugs!$A$2:$Z$73,26,FALSE())),"please select a BUG ID")</f>
        <v>please select a BUG ID</v>
      </c>
      <c r="C328" s="51" t="str">
        <f>IFERROR(VLOOKUP(A328,Internal_lists_bugs!$A$2:$G1001,7,FALSE()),"please select a BUG ID")</f>
        <v>please select a BUG ID</v>
      </c>
      <c r="D328" s="51" t="str">
        <f>IFERROR(VLOOKUP(A328,Internal_lists_bugs!$A$2:$I1001,9,FALSE()),"please select a BUG ID")</f>
        <v>please select a BUG ID</v>
      </c>
      <c r="E328" s="105"/>
      <c r="G328" s="54"/>
      <c r="H328" s="105"/>
    </row>
    <row r="329">
      <c r="A329" s="54"/>
      <c r="B329" s="88" t="str">
        <f>IFERROR(HYPERLINK(VLOOKUP(A329,Internal_lists_bugs!$A$2:$C$73,3,FALSE()), VLOOKUP(A329,Internal_lists_bugs!$A$2:$C$73,3,FALSE())&amp;Char(10) &amp; Char(10) &amp; VLOOKUP(A329,Internal_lists_bugs!$A$2:$Z$73,26,FALSE())),"please select a BUG ID")</f>
        <v>please select a BUG ID</v>
      </c>
      <c r="C329" s="51" t="str">
        <f>IFERROR(VLOOKUP(A329,Internal_lists_bugs!$A$2:$G1001,7,FALSE()),"please select a BUG ID")</f>
        <v>please select a BUG ID</v>
      </c>
      <c r="D329" s="51" t="str">
        <f>IFERROR(VLOOKUP(A329,Internal_lists_bugs!$A$2:$I1001,9,FALSE()),"please select a BUG ID")</f>
        <v>please select a BUG ID</v>
      </c>
      <c r="E329" s="105"/>
      <c r="G329" s="54"/>
      <c r="H329" s="105"/>
    </row>
    <row r="330">
      <c r="A330" s="54"/>
      <c r="B330" s="88" t="str">
        <f>IFERROR(HYPERLINK(VLOOKUP(A330,Internal_lists_bugs!$A$2:$C$73,3,FALSE()), VLOOKUP(A330,Internal_lists_bugs!$A$2:$C$73,3,FALSE())&amp;Char(10) &amp; Char(10) &amp; VLOOKUP(A330,Internal_lists_bugs!$A$2:$Z$73,26,FALSE())),"please select a BUG ID")</f>
        <v>please select a BUG ID</v>
      </c>
      <c r="C330" s="51" t="str">
        <f>IFERROR(VLOOKUP(A330,Internal_lists_bugs!$A$2:$G1001,7,FALSE()),"please select a BUG ID")</f>
        <v>please select a BUG ID</v>
      </c>
      <c r="D330" s="51" t="str">
        <f>IFERROR(VLOOKUP(A330,Internal_lists_bugs!$A$2:$I1001,9,FALSE()),"please select a BUG ID")</f>
        <v>please select a BUG ID</v>
      </c>
      <c r="E330" s="105"/>
      <c r="G330" s="54"/>
      <c r="H330" s="105"/>
    </row>
    <row r="331">
      <c r="A331" s="54"/>
      <c r="B331" s="88" t="str">
        <f>IFERROR(HYPERLINK(VLOOKUP(A331,Internal_lists_bugs!$A$2:$C$73,3,FALSE()), VLOOKUP(A331,Internal_lists_bugs!$A$2:$C$73,3,FALSE())&amp;Char(10) &amp; Char(10) &amp; VLOOKUP(A331,Internal_lists_bugs!$A$2:$Z$73,26,FALSE())),"please select a BUG ID")</f>
        <v>please select a BUG ID</v>
      </c>
      <c r="C331" s="51" t="str">
        <f>IFERROR(VLOOKUP(A331,Internal_lists_bugs!$A$2:$G1001,7,FALSE()),"please select a BUG ID")</f>
        <v>please select a BUG ID</v>
      </c>
      <c r="D331" s="51" t="str">
        <f>IFERROR(VLOOKUP(A331,Internal_lists_bugs!$A$2:$I1001,9,FALSE()),"please select a BUG ID")</f>
        <v>please select a BUG ID</v>
      </c>
      <c r="E331" s="105"/>
      <c r="G331" s="54"/>
      <c r="H331" s="105"/>
    </row>
    <row r="332">
      <c r="A332" s="54"/>
      <c r="B332" s="88" t="str">
        <f>IFERROR(HYPERLINK(VLOOKUP(A332,Internal_lists_bugs!$A$2:$C$73,3,FALSE()), VLOOKUP(A332,Internal_lists_bugs!$A$2:$C$73,3,FALSE())&amp;Char(10) &amp; Char(10) &amp; VLOOKUP(A332,Internal_lists_bugs!$A$2:$Z$73,26,FALSE())),"please select a BUG ID")</f>
        <v>please select a BUG ID</v>
      </c>
      <c r="C332" s="51" t="str">
        <f>IFERROR(VLOOKUP(A332,Internal_lists_bugs!$A$2:$G1001,7,FALSE()),"please select a BUG ID")</f>
        <v>please select a BUG ID</v>
      </c>
      <c r="D332" s="51" t="str">
        <f>IFERROR(VLOOKUP(A332,Internal_lists_bugs!$A$2:$I1001,9,FALSE()),"please select a BUG ID")</f>
        <v>please select a BUG ID</v>
      </c>
      <c r="E332" s="105"/>
      <c r="G332" s="54"/>
      <c r="H332" s="105"/>
    </row>
    <row r="333">
      <c r="A333" s="54"/>
      <c r="B333" s="88" t="str">
        <f>IFERROR(HYPERLINK(VLOOKUP(A333,Internal_lists_bugs!$A$2:$C$73,3,FALSE()), VLOOKUP(A333,Internal_lists_bugs!$A$2:$C$73,3,FALSE())&amp;Char(10) &amp; Char(10) &amp; VLOOKUP(A333,Internal_lists_bugs!$A$2:$Z$73,26,FALSE())),"please select a BUG ID")</f>
        <v>please select a BUG ID</v>
      </c>
      <c r="C333" s="51" t="str">
        <f>IFERROR(VLOOKUP(A333,Internal_lists_bugs!$A$2:$G1001,7,FALSE()),"please select a BUG ID")</f>
        <v>please select a BUG ID</v>
      </c>
      <c r="D333" s="51" t="str">
        <f>IFERROR(VLOOKUP(A333,Internal_lists_bugs!$A$2:$I1001,9,FALSE()),"please select a BUG ID")</f>
        <v>please select a BUG ID</v>
      </c>
      <c r="E333" s="105"/>
      <c r="G333" s="54"/>
      <c r="H333" s="105"/>
    </row>
    <row r="334">
      <c r="A334" s="54"/>
      <c r="B334" s="88" t="str">
        <f>IFERROR(HYPERLINK(VLOOKUP(A334,Internal_lists_bugs!$A$2:$C$73,3,FALSE()), VLOOKUP(A334,Internal_lists_bugs!$A$2:$C$73,3,FALSE())&amp;Char(10) &amp; Char(10) &amp; VLOOKUP(A334,Internal_lists_bugs!$A$2:$Z$73,26,FALSE())),"please select a BUG ID")</f>
        <v>please select a BUG ID</v>
      </c>
      <c r="C334" s="51" t="str">
        <f>IFERROR(VLOOKUP(A334,Internal_lists_bugs!$A$2:$G1001,7,FALSE()),"please select a BUG ID")</f>
        <v>please select a BUG ID</v>
      </c>
      <c r="D334" s="51" t="str">
        <f>IFERROR(VLOOKUP(A334,Internal_lists_bugs!$A$2:$I1001,9,FALSE()),"please select a BUG ID")</f>
        <v>please select a BUG ID</v>
      </c>
      <c r="E334" s="105"/>
      <c r="G334" s="54"/>
      <c r="H334" s="105"/>
    </row>
    <row r="335">
      <c r="A335" s="54"/>
      <c r="B335" s="88" t="str">
        <f>IFERROR(HYPERLINK(VLOOKUP(A335,Internal_lists_bugs!$A$2:$C$73,3,FALSE()), VLOOKUP(A335,Internal_lists_bugs!$A$2:$C$73,3,FALSE())&amp;Char(10) &amp; Char(10) &amp; VLOOKUP(A335,Internal_lists_bugs!$A$2:$Z$73,26,FALSE())),"please select a BUG ID")</f>
        <v>please select a BUG ID</v>
      </c>
      <c r="C335" s="51" t="str">
        <f>IFERROR(VLOOKUP(A335,Internal_lists_bugs!$A$2:$G1001,7,FALSE()),"please select a BUG ID")</f>
        <v>please select a BUG ID</v>
      </c>
      <c r="D335" s="51" t="str">
        <f>IFERROR(VLOOKUP(A335,Internal_lists_bugs!$A$2:$I1001,9,FALSE()),"please select a BUG ID")</f>
        <v>please select a BUG ID</v>
      </c>
      <c r="E335" s="105"/>
      <c r="G335" s="54"/>
      <c r="H335" s="105"/>
    </row>
    <row r="336">
      <c r="A336" s="54"/>
      <c r="B336" s="88" t="str">
        <f>IFERROR(HYPERLINK(VLOOKUP(A336,Internal_lists_bugs!$A$2:$C$73,3,FALSE()), VLOOKUP(A336,Internal_lists_bugs!$A$2:$C$73,3,FALSE())&amp;Char(10) &amp; Char(10) &amp; VLOOKUP(A336,Internal_lists_bugs!$A$2:$Z$73,26,FALSE())),"please select a BUG ID")</f>
        <v>please select a BUG ID</v>
      </c>
      <c r="C336" s="51" t="str">
        <f>IFERROR(VLOOKUP(A336,Internal_lists_bugs!$A$2:$G1001,7,FALSE()),"please select a BUG ID")</f>
        <v>please select a BUG ID</v>
      </c>
      <c r="D336" s="51" t="str">
        <f>IFERROR(VLOOKUP(A336,Internal_lists_bugs!$A$2:$I1001,9,FALSE()),"please select a BUG ID")</f>
        <v>please select a BUG ID</v>
      </c>
      <c r="E336" s="105"/>
      <c r="G336" s="54"/>
      <c r="H336" s="105"/>
    </row>
    <row r="337">
      <c r="A337" s="54"/>
      <c r="B337" s="88" t="str">
        <f>IFERROR(HYPERLINK(VLOOKUP(A337,Internal_lists_bugs!$A$2:$C$73,3,FALSE()), VLOOKUP(A337,Internal_lists_bugs!$A$2:$C$73,3,FALSE())&amp;Char(10) &amp; Char(10) &amp; VLOOKUP(A337,Internal_lists_bugs!$A$2:$Z$73,26,FALSE())),"please select a BUG ID")</f>
        <v>please select a BUG ID</v>
      </c>
      <c r="C337" s="51" t="str">
        <f>IFERROR(VLOOKUP(A337,Internal_lists_bugs!$A$2:$G1001,7,FALSE()),"please select a BUG ID")</f>
        <v>please select a BUG ID</v>
      </c>
      <c r="D337" s="51" t="str">
        <f>IFERROR(VLOOKUP(A337,Internal_lists_bugs!$A$2:$I1001,9,FALSE()),"please select a BUG ID")</f>
        <v>please select a BUG ID</v>
      </c>
      <c r="E337" s="105"/>
      <c r="G337" s="54"/>
      <c r="H337" s="105"/>
    </row>
    <row r="338">
      <c r="A338" s="54"/>
      <c r="B338" s="88" t="str">
        <f>IFERROR(HYPERLINK(VLOOKUP(A338,Internal_lists_bugs!$A$2:$C$73,3,FALSE()), VLOOKUP(A338,Internal_lists_bugs!$A$2:$C$73,3,FALSE())&amp;Char(10) &amp; Char(10) &amp; VLOOKUP(A338,Internal_lists_bugs!$A$2:$Z$73,26,FALSE())),"please select a BUG ID")</f>
        <v>please select a BUG ID</v>
      </c>
      <c r="C338" s="51" t="str">
        <f>IFERROR(VLOOKUP(A338,Internal_lists_bugs!$A$2:$G1001,7,FALSE()),"please select a BUG ID")</f>
        <v>please select a BUG ID</v>
      </c>
      <c r="D338" s="51" t="str">
        <f>IFERROR(VLOOKUP(A338,Internal_lists_bugs!$A$2:$I1001,9,FALSE()),"please select a BUG ID")</f>
        <v>please select a BUG ID</v>
      </c>
      <c r="E338" s="105"/>
      <c r="G338" s="54"/>
      <c r="H338" s="105"/>
    </row>
    <row r="339">
      <c r="A339" s="54"/>
      <c r="B339" s="88" t="str">
        <f>IFERROR(HYPERLINK(VLOOKUP(A339,Internal_lists_bugs!$A$2:$C$73,3,FALSE()), VLOOKUP(A339,Internal_lists_bugs!$A$2:$C$73,3,FALSE())&amp;Char(10) &amp; Char(10) &amp; VLOOKUP(A339,Internal_lists_bugs!$A$2:$Z$73,26,FALSE())),"please select a BUG ID")</f>
        <v>please select a BUG ID</v>
      </c>
      <c r="C339" s="51" t="str">
        <f>IFERROR(VLOOKUP(A339,Internal_lists_bugs!$A$2:$G1001,7,FALSE()),"please select a BUG ID")</f>
        <v>please select a BUG ID</v>
      </c>
      <c r="D339" s="51" t="str">
        <f>IFERROR(VLOOKUP(A339,Internal_lists_bugs!$A$2:$I1001,9,FALSE()),"please select a BUG ID")</f>
        <v>please select a BUG ID</v>
      </c>
      <c r="E339" s="105"/>
      <c r="G339" s="54"/>
      <c r="H339" s="105"/>
    </row>
    <row r="340">
      <c r="A340" s="54"/>
      <c r="B340" s="88" t="str">
        <f>IFERROR(HYPERLINK(VLOOKUP(A340,Internal_lists_bugs!$A$2:$C$73,3,FALSE()), VLOOKUP(A340,Internal_lists_bugs!$A$2:$C$73,3,FALSE())&amp;Char(10) &amp; Char(10) &amp; VLOOKUP(A340,Internal_lists_bugs!$A$2:$Z$73,26,FALSE())),"please select a BUG ID")</f>
        <v>please select a BUG ID</v>
      </c>
      <c r="C340" s="51" t="str">
        <f>IFERROR(VLOOKUP(A340,Internal_lists_bugs!$A$2:$G1001,7,FALSE()),"please select a BUG ID")</f>
        <v>please select a BUG ID</v>
      </c>
      <c r="D340" s="51" t="str">
        <f>IFERROR(VLOOKUP(A340,Internal_lists_bugs!$A$2:$I1001,9,FALSE()),"please select a BUG ID")</f>
        <v>please select a BUG ID</v>
      </c>
      <c r="E340" s="105"/>
      <c r="G340" s="54"/>
      <c r="H340" s="105"/>
    </row>
    <row r="341">
      <c r="A341" s="54"/>
      <c r="B341" s="88" t="str">
        <f>IFERROR(HYPERLINK(VLOOKUP(A341,Internal_lists_bugs!$A$2:$C$73,3,FALSE()), VLOOKUP(A341,Internal_lists_bugs!$A$2:$C$73,3,FALSE())&amp;Char(10) &amp; Char(10) &amp; VLOOKUP(A341,Internal_lists_bugs!$A$2:$Z$73,26,FALSE())),"please select a BUG ID")</f>
        <v>please select a BUG ID</v>
      </c>
      <c r="C341" s="51" t="str">
        <f>IFERROR(VLOOKUP(A341,Internal_lists_bugs!$A$2:$G1001,7,FALSE()),"please select a BUG ID")</f>
        <v>please select a BUG ID</v>
      </c>
      <c r="D341" s="51" t="str">
        <f>IFERROR(VLOOKUP(A341,Internal_lists_bugs!$A$2:$I1001,9,FALSE()),"please select a BUG ID")</f>
        <v>please select a BUG ID</v>
      </c>
      <c r="E341" s="105"/>
      <c r="G341" s="54"/>
      <c r="H341" s="105"/>
    </row>
    <row r="342">
      <c r="A342" s="54"/>
      <c r="B342" s="88" t="str">
        <f>IFERROR(HYPERLINK(VLOOKUP(A342,Internal_lists_bugs!$A$2:$C$73,3,FALSE()), VLOOKUP(A342,Internal_lists_bugs!$A$2:$C$73,3,FALSE())&amp;Char(10) &amp; Char(10) &amp; VLOOKUP(A342,Internal_lists_bugs!$A$2:$Z$73,26,FALSE())),"please select a BUG ID")</f>
        <v>please select a BUG ID</v>
      </c>
      <c r="C342" s="51" t="str">
        <f>IFERROR(VLOOKUP(A342,Internal_lists_bugs!$A$2:$G1001,7,FALSE()),"please select a BUG ID")</f>
        <v>please select a BUG ID</v>
      </c>
      <c r="D342" s="51" t="str">
        <f>IFERROR(VLOOKUP(A342,Internal_lists_bugs!$A$2:$I1001,9,FALSE()),"please select a BUG ID")</f>
        <v>please select a BUG ID</v>
      </c>
      <c r="E342" s="105"/>
      <c r="G342" s="54"/>
      <c r="H342" s="105"/>
    </row>
    <row r="343">
      <c r="A343" s="54"/>
      <c r="B343" s="88" t="str">
        <f>IFERROR(HYPERLINK(VLOOKUP(A343,Internal_lists_bugs!$A$2:$C$73,3,FALSE()), VLOOKUP(A343,Internal_lists_bugs!$A$2:$C$73,3,FALSE())&amp;Char(10) &amp; Char(10) &amp; VLOOKUP(A343,Internal_lists_bugs!$A$2:$Z$73,26,FALSE())),"please select a BUG ID")</f>
        <v>please select a BUG ID</v>
      </c>
      <c r="C343" s="51" t="str">
        <f>IFERROR(VLOOKUP(A343,Internal_lists_bugs!$A$2:$G1001,7,FALSE()),"please select a BUG ID")</f>
        <v>please select a BUG ID</v>
      </c>
      <c r="D343" s="51" t="str">
        <f>IFERROR(VLOOKUP(A343,Internal_lists_bugs!$A$2:$I1001,9,FALSE()),"please select a BUG ID")</f>
        <v>please select a BUG ID</v>
      </c>
      <c r="E343" s="105"/>
      <c r="G343" s="54"/>
      <c r="H343" s="105"/>
    </row>
    <row r="344">
      <c r="A344" s="54"/>
      <c r="B344" s="88" t="str">
        <f>IFERROR(HYPERLINK(VLOOKUP(A344,Internal_lists_bugs!$A$2:$C$73,3,FALSE()), VLOOKUP(A344,Internal_lists_bugs!$A$2:$C$73,3,FALSE())&amp;Char(10) &amp; Char(10) &amp; VLOOKUP(A344,Internal_lists_bugs!$A$2:$Z$73,26,FALSE())),"please select a BUG ID")</f>
        <v>please select a BUG ID</v>
      </c>
      <c r="C344" s="51" t="str">
        <f>IFERROR(VLOOKUP(A344,Internal_lists_bugs!$A$2:$G1001,7,FALSE()),"please select a BUG ID")</f>
        <v>please select a BUG ID</v>
      </c>
      <c r="D344" s="51" t="str">
        <f>IFERROR(VLOOKUP(A344,Internal_lists_bugs!$A$2:$I1001,9,FALSE()),"please select a BUG ID")</f>
        <v>please select a BUG ID</v>
      </c>
      <c r="E344" s="105"/>
      <c r="G344" s="54"/>
      <c r="H344" s="105"/>
    </row>
    <row r="345">
      <c r="A345" s="54"/>
      <c r="B345" s="88" t="str">
        <f>IFERROR(HYPERLINK(VLOOKUP(A345,Internal_lists_bugs!$A$2:$C$73,3,FALSE()), VLOOKUP(A345,Internal_lists_bugs!$A$2:$C$73,3,FALSE())&amp;Char(10) &amp; Char(10) &amp; VLOOKUP(A345,Internal_lists_bugs!$A$2:$Z$73,26,FALSE())),"please select a BUG ID")</f>
        <v>please select a BUG ID</v>
      </c>
      <c r="C345" s="51" t="str">
        <f>IFERROR(VLOOKUP(A345,Internal_lists_bugs!$A$2:$G1001,7,FALSE()),"please select a BUG ID")</f>
        <v>please select a BUG ID</v>
      </c>
      <c r="D345" s="51" t="str">
        <f>IFERROR(VLOOKUP(A345,Internal_lists_bugs!$A$2:$I1001,9,FALSE()),"please select a BUG ID")</f>
        <v>please select a BUG ID</v>
      </c>
      <c r="E345" s="105"/>
      <c r="G345" s="54"/>
      <c r="H345" s="105"/>
    </row>
    <row r="346">
      <c r="A346" s="54"/>
      <c r="B346" s="88" t="str">
        <f>IFERROR(HYPERLINK(VLOOKUP(A346,Internal_lists_bugs!$A$2:$C$73,3,FALSE()), VLOOKUP(A346,Internal_lists_bugs!$A$2:$C$73,3,FALSE())&amp;Char(10) &amp; Char(10) &amp; VLOOKUP(A346,Internal_lists_bugs!$A$2:$Z$73,26,FALSE())),"please select a BUG ID")</f>
        <v>please select a BUG ID</v>
      </c>
      <c r="C346" s="51" t="str">
        <f>IFERROR(VLOOKUP(A346,Internal_lists_bugs!$A$2:$G1001,7,FALSE()),"please select a BUG ID")</f>
        <v>please select a BUG ID</v>
      </c>
      <c r="D346" s="51" t="str">
        <f>IFERROR(VLOOKUP(A346,Internal_lists_bugs!$A$2:$I1001,9,FALSE()),"please select a BUG ID")</f>
        <v>please select a BUG ID</v>
      </c>
      <c r="E346" s="105"/>
      <c r="G346" s="54"/>
      <c r="H346" s="105"/>
    </row>
    <row r="347">
      <c r="A347" s="54"/>
      <c r="B347" s="88" t="str">
        <f>IFERROR(HYPERLINK(VLOOKUP(A347,Internal_lists_bugs!$A$2:$C$73,3,FALSE()), VLOOKUP(A347,Internal_lists_bugs!$A$2:$C$73,3,FALSE())&amp;Char(10) &amp; Char(10) &amp; VLOOKUP(A347,Internal_lists_bugs!$A$2:$Z$73,26,FALSE())),"please select a BUG ID")</f>
        <v>please select a BUG ID</v>
      </c>
      <c r="C347" s="51" t="str">
        <f>IFERROR(VLOOKUP(A347,Internal_lists_bugs!$A$2:$G1001,7,FALSE()),"please select a BUG ID")</f>
        <v>please select a BUG ID</v>
      </c>
      <c r="D347" s="51" t="str">
        <f>IFERROR(VLOOKUP(A347,Internal_lists_bugs!$A$2:$I1001,9,FALSE()),"please select a BUG ID")</f>
        <v>please select a BUG ID</v>
      </c>
      <c r="E347" s="105"/>
      <c r="G347" s="54"/>
      <c r="H347" s="105"/>
    </row>
    <row r="348">
      <c r="A348" s="54"/>
      <c r="B348" s="88" t="str">
        <f>IFERROR(HYPERLINK(VLOOKUP(A348,Internal_lists_bugs!$A$2:$C$73,3,FALSE()), VLOOKUP(A348,Internal_lists_bugs!$A$2:$C$73,3,FALSE())&amp;Char(10) &amp; Char(10) &amp; VLOOKUP(A348,Internal_lists_bugs!$A$2:$Z$73,26,FALSE())),"please select a BUG ID")</f>
        <v>please select a BUG ID</v>
      </c>
      <c r="C348" s="51" t="str">
        <f>IFERROR(VLOOKUP(A348,Internal_lists_bugs!$A$2:$G1001,7,FALSE()),"please select a BUG ID")</f>
        <v>please select a BUG ID</v>
      </c>
      <c r="D348" s="51" t="str">
        <f>IFERROR(VLOOKUP(A348,Internal_lists_bugs!$A$2:$I1001,9,FALSE()),"please select a BUG ID")</f>
        <v>please select a BUG ID</v>
      </c>
      <c r="E348" s="105"/>
      <c r="G348" s="54"/>
      <c r="H348" s="105"/>
    </row>
    <row r="349">
      <c r="A349" s="54"/>
      <c r="B349" s="88" t="str">
        <f>IFERROR(HYPERLINK(VLOOKUP(A349,Internal_lists_bugs!$A$2:$C$73,3,FALSE()), VLOOKUP(A349,Internal_lists_bugs!$A$2:$C$73,3,FALSE())&amp;Char(10) &amp; Char(10) &amp; VLOOKUP(A349,Internal_lists_bugs!$A$2:$Z$73,26,FALSE())),"please select a BUG ID")</f>
        <v>please select a BUG ID</v>
      </c>
      <c r="C349" s="51" t="str">
        <f>IFERROR(VLOOKUP(A349,Internal_lists_bugs!$A$2:$G1001,7,FALSE()),"please select a BUG ID")</f>
        <v>please select a BUG ID</v>
      </c>
      <c r="D349" s="51" t="str">
        <f>IFERROR(VLOOKUP(A349,Internal_lists_bugs!$A$2:$I1001,9,FALSE()),"please select a BUG ID")</f>
        <v>please select a BUG ID</v>
      </c>
      <c r="E349" s="105"/>
      <c r="G349" s="54"/>
      <c r="H349" s="105"/>
    </row>
    <row r="350">
      <c r="A350" s="54"/>
      <c r="B350" s="88" t="str">
        <f>IFERROR(HYPERLINK(VLOOKUP(A350,Internal_lists_bugs!$A$2:$C$73,3,FALSE()), VLOOKUP(A350,Internal_lists_bugs!$A$2:$C$73,3,FALSE())&amp;Char(10) &amp; Char(10) &amp; VLOOKUP(A350,Internal_lists_bugs!$A$2:$Z$73,26,FALSE())),"please select a BUG ID")</f>
        <v>please select a BUG ID</v>
      </c>
      <c r="C350" s="51" t="str">
        <f>IFERROR(VLOOKUP(A350,Internal_lists_bugs!$A$2:$G1001,7,FALSE()),"please select a BUG ID")</f>
        <v>please select a BUG ID</v>
      </c>
      <c r="D350" s="51" t="str">
        <f>IFERROR(VLOOKUP(A350,Internal_lists_bugs!$A$2:$I1001,9,FALSE()),"please select a BUG ID")</f>
        <v>please select a BUG ID</v>
      </c>
      <c r="E350" s="105"/>
      <c r="G350" s="54"/>
      <c r="H350" s="105"/>
    </row>
    <row r="351">
      <c r="A351" s="54"/>
      <c r="B351" s="88" t="str">
        <f>IFERROR(HYPERLINK(VLOOKUP(A351,Internal_lists_bugs!$A$2:$C$73,3,FALSE()), VLOOKUP(A351,Internal_lists_bugs!$A$2:$C$73,3,FALSE())&amp;Char(10) &amp; Char(10) &amp; VLOOKUP(A351,Internal_lists_bugs!$A$2:$Z$73,26,FALSE())),"please select a BUG ID")</f>
        <v>please select a BUG ID</v>
      </c>
      <c r="C351" s="51" t="str">
        <f>IFERROR(VLOOKUP(A351,Internal_lists_bugs!$A$2:$G1001,7,FALSE()),"please select a BUG ID")</f>
        <v>please select a BUG ID</v>
      </c>
      <c r="D351" s="51" t="str">
        <f>IFERROR(VLOOKUP(A351,Internal_lists_bugs!$A$2:$I1001,9,FALSE()),"please select a BUG ID")</f>
        <v>please select a BUG ID</v>
      </c>
      <c r="E351" s="105"/>
      <c r="G351" s="54"/>
      <c r="H351" s="105"/>
    </row>
    <row r="352">
      <c r="A352" s="54"/>
      <c r="B352" s="88" t="str">
        <f>IFERROR(HYPERLINK(VLOOKUP(A352,Internal_lists_bugs!$A$2:$C$73,3,FALSE()), VLOOKUP(A352,Internal_lists_bugs!$A$2:$C$73,3,FALSE())&amp;Char(10) &amp; Char(10) &amp; VLOOKUP(A352,Internal_lists_bugs!$A$2:$Z$73,26,FALSE())),"please select a BUG ID")</f>
        <v>please select a BUG ID</v>
      </c>
      <c r="C352" s="51" t="str">
        <f>IFERROR(VLOOKUP(A352,Internal_lists_bugs!$A$2:$G1001,7,FALSE()),"please select a BUG ID")</f>
        <v>please select a BUG ID</v>
      </c>
      <c r="D352" s="51" t="str">
        <f>IFERROR(VLOOKUP(A352,Internal_lists_bugs!$A$2:$I1001,9,FALSE()),"please select a BUG ID")</f>
        <v>please select a BUG ID</v>
      </c>
      <c r="E352" s="105"/>
      <c r="G352" s="54"/>
      <c r="H352" s="105"/>
    </row>
    <row r="353">
      <c r="A353" s="54"/>
      <c r="B353" s="88" t="str">
        <f>IFERROR(HYPERLINK(VLOOKUP(A353,Internal_lists_bugs!$A$2:$C$73,3,FALSE()), VLOOKUP(A353,Internal_lists_bugs!$A$2:$C$73,3,FALSE())&amp;Char(10) &amp; Char(10) &amp; VLOOKUP(A353,Internal_lists_bugs!$A$2:$Z$73,26,FALSE())),"please select a BUG ID")</f>
        <v>please select a BUG ID</v>
      </c>
      <c r="C353" s="51" t="str">
        <f>IFERROR(VLOOKUP(A353,Internal_lists_bugs!$A$2:$G1001,7,FALSE()),"please select a BUG ID")</f>
        <v>please select a BUG ID</v>
      </c>
      <c r="D353" s="51" t="str">
        <f>IFERROR(VLOOKUP(A353,Internal_lists_bugs!$A$2:$I1001,9,FALSE()),"please select a BUG ID")</f>
        <v>please select a BUG ID</v>
      </c>
      <c r="E353" s="105"/>
      <c r="G353" s="54"/>
      <c r="H353" s="105"/>
    </row>
    <row r="354">
      <c r="A354" s="54"/>
      <c r="B354" s="88" t="str">
        <f>IFERROR(HYPERLINK(VLOOKUP(A354,Internal_lists_bugs!$A$2:$C$73,3,FALSE()), VLOOKUP(A354,Internal_lists_bugs!$A$2:$C$73,3,FALSE())&amp;Char(10) &amp; Char(10) &amp; VLOOKUP(A354,Internal_lists_bugs!$A$2:$Z$73,26,FALSE())),"please select a BUG ID")</f>
        <v>please select a BUG ID</v>
      </c>
      <c r="C354" s="51" t="str">
        <f>IFERROR(VLOOKUP(A354,Internal_lists_bugs!$A$2:$G1001,7,FALSE()),"please select a BUG ID")</f>
        <v>please select a BUG ID</v>
      </c>
      <c r="D354" s="51" t="str">
        <f>IFERROR(VLOOKUP(A354,Internal_lists_bugs!$A$2:$I1001,9,FALSE()),"please select a BUG ID")</f>
        <v>please select a BUG ID</v>
      </c>
      <c r="E354" s="105"/>
      <c r="G354" s="54"/>
      <c r="H354" s="105"/>
    </row>
    <row r="355">
      <c r="A355" s="54"/>
      <c r="B355" s="88" t="str">
        <f>IFERROR(HYPERLINK(VLOOKUP(A355,Internal_lists_bugs!$A$2:$C$73,3,FALSE()), VLOOKUP(A355,Internal_lists_bugs!$A$2:$C$73,3,FALSE())&amp;Char(10) &amp; Char(10) &amp; VLOOKUP(A355,Internal_lists_bugs!$A$2:$Z$73,26,FALSE())),"please select a BUG ID")</f>
        <v>please select a BUG ID</v>
      </c>
      <c r="C355" s="51" t="str">
        <f>IFERROR(VLOOKUP(A355,Internal_lists_bugs!$A$2:$G1001,7,FALSE()),"please select a BUG ID")</f>
        <v>please select a BUG ID</v>
      </c>
      <c r="D355" s="51" t="str">
        <f>IFERROR(VLOOKUP(A355,Internal_lists_bugs!$A$2:$I1001,9,FALSE()),"please select a BUG ID")</f>
        <v>please select a BUG ID</v>
      </c>
      <c r="E355" s="105"/>
      <c r="G355" s="54"/>
      <c r="H355" s="105"/>
    </row>
    <row r="356">
      <c r="A356" s="54"/>
      <c r="B356" s="88" t="str">
        <f>IFERROR(HYPERLINK(VLOOKUP(A356,Internal_lists_bugs!$A$2:$C$73,3,FALSE()), VLOOKUP(A356,Internal_lists_bugs!$A$2:$C$73,3,FALSE())&amp;Char(10) &amp; Char(10) &amp; VLOOKUP(A356,Internal_lists_bugs!$A$2:$Z$73,26,FALSE())),"please select a BUG ID")</f>
        <v>please select a BUG ID</v>
      </c>
      <c r="C356" s="51" t="str">
        <f>IFERROR(VLOOKUP(A356,Internal_lists_bugs!$A$2:$G1001,7,FALSE()),"please select a BUG ID")</f>
        <v>please select a BUG ID</v>
      </c>
      <c r="D356" s="51" t="str">
        <f>IFERROR(VLOOKUP(A356,Internal_lists_bugs!$A$2:$I1001,9,FALSE()),"please select a BUG ID")</f>
        <v>please select a BUG ID</v>
      </c>
      <c r="E356" s="105"/>
      <c r="G356" s="54"/>
      <c r="H356" s="105"/>
    </row>
    <row r="357">
      <c r="A357" s="54"/>
      <c r="B357" s="88" t="str">
        <f>IFERROR(HYPERLINK(VLOOKUP(A357,Internal_lists_bugs!$A$2:$C$73,3,FALSE()), VLOOKUP(A357,Internal_lists_bugs!$A$2:$C$73,3,FALSE())&amp;Char(10) &amp; Char(10) &amp; VLOOKUP(A357,Internal_lists_bugs!$A$2:$Z$73,26,FALSE())),"please select a BUG ID")</f>
        <v>please select a BUG ID</v>
      </c>
      <c r="C357" s="51" t="str">
        <f>IFERROR(VLOOKUP(A357,Internal_lists_bugs!$A$2:$G1001,7,FALSE()),"please select a BUG ID")</f>
        <v>please select a BUG ID</v>
      </c>
      <c r="D357" s="51" t="str">
        <f>IFERROR(VLOOKUP(A357,Internal_lists_bugs!$A$2:$I1001,9,FALSE()),"please select a BUG ID")</f>
        <v>please select a BUG ID</v>
      </c>
      <c r="E357" s="105"/>
      <c r="G357" s="54"/>
      <c r="H357" s="105"/>
    </row>
    <row r="358">
      <c r="A358" s="54"/>
      <c r="B358" s="88" t="str">
        <f>IFERROR(HYPERLINK(VLOOKUP(A358,Internal_lists_bugs!$A$2:$C$73,3,FALSE()), VLOOKUP(A358,Internal_lists_bugs!$A$2:$C$73,3,FALSE())&amp;Char(10) &amp; Char(10) &amp; VLOOKUP(A358,Internal_lists_bugs!$A$2:$Z$73,26,FALSE())),"please select a BUG ID")</f>
        <v>please select a BUG ID</v>
      </c>
      <c r="C358" s="51" t="str">
        <f>IFERROR(VLOOKUP(A358,Internal_lists_bugs!$A$2:$G1001,7,FALSE()),"please select a BUG ID")</f>
        <v>please select a BUG ID</v>
      </c>
      <c r="D358" s="51" t="str">
        <f>IFERROR(VLOOKUP(A358,Internal_lists_bugs!$A$2:$I1001,9,FALSE()),"please select a BUG ID")</f>
        <v>please select a BUG ID</v>
      </c>
      <c r="E358" s="105"/>
      <c r="G358" s="54"/>
      <c r="H358" s="105"/>
    </row>
    <row r="359">
      <c r="A359" s="54"/>
      <c r="B359" s="88" t="str">
        <f>IFERROR(HYPERLINK(VLOOKUP(A359,Internal_lists_bugs!$A$2:$C$73,3,FALSE()), VLOOKUP(A359,Internal_lists_bugs!$A$2:$C$73,3,FALSE())&amp;Char(10) &amp; Char(10) &amp; VLOOKUP(A359,Internal_lists_bugs!$A$2:$Z$73,26,FALSE())),"please select a BUG ID")</f>
        <v>please select a BUG ID</v>
      </c>
      <c r="C359" s="51" t="str">
        <f>IFERROR(VLOOKUP(A359,Internal_lists_bugs!$A$2:$G1001,7,FALSE()),"please select a BUG ID")</f>
        <v>please select a BUG ID</v>
      </c>
      <c r="D359" s="51" t="str">
        <f>IFERROR(VLOOKUP(A359,Internal_lists_bugs!$A$2:$I1001,9,FALSE()),"please select a BUG ID")</f>
        <v>please select a BUG ID</v>
      </c>
      <c r="E359" s="105"/>
      <c r="G359" s="54"/>
      <c r="H359" s="105"/>
    </row>
    <row r="360">
      <c r="A360" s="54"/>
      <c r="B360" s="88" t="str">
        <f>IFERROR(HYPERLINK(VLOOKUP(A360,Internal_lists_bugs!$A$2:$C$73,3,FALSE()), VLOOKUP(A360,Internal_lists_bugs!$A$2:$C$73,3,FALSE())&amp;Char(10) &amp; Char(10) &amp; VLOOKUP(A360,Internal_lists_bugs!$A$2:$Z$73,26,FALSE())),"please select a BUG ID")</f>
        <v>please select a BUG ID</v>
      </c>
      <c r="C360" s="51" t="str">
        <f>IFERROR(VLOOKUP(A360,Internal_lists_bugs!$A$2:$G1001,7,FALSE()),"please select a BUG ID")</f>
        <v>please select a BUG ID</v>
      </c>
      <c r="D360" s="51" t="str">
        <f>IFERROR(VLOOKUP(A360,Internal_lists_bugs!$A$2:$I1001,9,FALSE()),"please select a BUG ID")</f>
        <v>please select a BUG ID</v>
      </c>
      <c r="E360" s="105"/>
      <c r="G360" s="54"/>
      <c r="H360" s="105"/>
    </row>
    <row r="361">
      <c r="A361" s="54"/>
      <c r="B361" s="88" t="str">
        <f>IFERROR(HYPERLINK(VLOOKUP(A361,Internal_lists_bugs!$A$2:$C$73,3,FALSE()), VLOOKUP(A361,Internal_lists_bugs!$A$2:$C$73,3,FALSE())&amp;Char(10) &amp; Char(10) &amp; VLOOKUP(A361,Internal_lists_bugs!$A$2:$Z$73,26,FALSE())),"please select a BUG ID")</f>
        <v>please select a BUG ID</v>
      </c>
      <c r="C361" s="51" t="str">
        <f>IFERROR(VLOOKUP(A361,Internal_lists_bugs!$A$2:$G1001,7,FALSE()),"please select a BUG ID")</f>
        <v>please select a BUG ID</v>
      </c>
      <c r="D361" s="51" t="str">
        <f>IFERROR(VLOOKUP(A361,Internal_lists_bugs!$A$2:$I1001,9,FALSE()),"please select a BUG ID")</f>
        <v>please select a BUG ID</v>
      </c>
      <c r="E361" s="105"/>
      <c r="G361" s="54"/>
      <c r="H361" s="105"/>
    </row>
    <row r="362">
      <c r="A362" s="54"/>
      <c r="B362" s="88" t="str">
        <f>IFERROR(HYPERLINK(VLOOKUP(A362,Internal_lists_bugs!$A$2:$C$73,3,FALSE()), VLOOKUP(A362,Internal_lists_bugs!$A$2:$C$73,3,FALSE())&amp;Char(10) &amp; Char(10) &amp; VLOOKUP(A362,Internal_lists_bugs!$A$2:$Z$73,26,FALSE())),"please select a BUG ID")</f>
        <v>please select a BUG ID</v>
      </c>
      <c r="C362" s="51" t="str">
        <f>IFERROR(VLOOKUP(A362,Internal_lists_bugs!$A$2:$G1001,7,FALSE()),"please select a BUG ID")</f>
        <v>please select a BUG ID</v>
      </c>
      <c r="D362" s="51" t="str">
        <f>IFERROR(VLOOKUP(A362,Internal_lists_bugs!$A$2:$I1001,9,FALSE()),"please select a BUG ID")</f>
        <v>please select a BUG ID</v>
      </c>
      <c r="E362" s="105"/>
      <c r="G362" s="54"/>
      <c r="H362" s="105"/>
    </row>
    <row r="363">
      <c r="A363" s="54"/>
      <c r="B363" s="88" t="str">
        <f>IFERROR(HYPERLINK(VLOOKUP(A363,Internal_lists_bugs!$A$2:$C$73,3,FALSE()), VLOOKUP(A363,Internal_lists_bugs!$A$2:$C$73,3,FALSE())&amp;Char(10) &amp; Char(10) &amp; VLOOKUP(A363,Internal_lists_bugs!$A$2:$Z$73,26,FALSE())),"please select a BUG ID")</f>
        <v>please select a BUG ID</v>
      </c>
      <c r="C363" s="51" t="str">
        <f>IFERROR(VLOOKUP(A363,Internal_lists_bugs!$A$2:$G1001,7,FALSE()),"please select a BUG ID")</f>
        <v>please select a BUG ID</v>
      </c>
      <c r="D363" s="51" t="str">
        <f>IFERROR(VLOOKUP(A363,Internal_lists_bugs!$A$2:$I1001,9,FALSE()),"please select a BUG ID")</f>
        <v>please select a BUG ID</v>
      </c>
      <c r="E363" s="105"/>
      <c r="G363" s="54"/>
      <c r="H363" s="105"/>
    </row>
    <row r="364">
      <c r="A364" s="54"/>
      <c r="B364" s="88" t="str">
        <f>IFERROR(HYPERLINK(VLOOKUP(A364,Internal_lists_bugs!$A$2:$C$73,3,FALSE()), VLOOKUP(A364,Internal_lists_bugs!$A$2:$C$73,3,FALSE())&amp;Char(10) &amp; Char(10) &amp; VLOOKUP(A364,Internal_lists_bugs!$A$2:$Z$73,26,FALSE())),"please select a BUG ID")</f>
        <v>please select a BUG ID</v>
      </c>
      <c r="C364" s="51" t="str">
        <f>IFERROR(VLOOKUP(A364,Internal_lists_bugs!$A$2:$G1001,7,FALSE()),"please select a BUG ID")</f>
        <v>please select a BUG ID</v>
      </c>
      <c r="D364" s="51" t="str">
        <f>IFERROR(VLOOKUP(A364,Internal_lists_bugs!$A$2:$I1001,9,FALSE()),"please select a BUG ID")</f>
        <v>please select a BUG ID</v>
      </c>
      <c r="E364" s="105"/>
      <c r="G364" s="54"/>
      <c r="H364" s="105"/>
    </row>
    <row r="365">
      <c r="A365" s="54"/>
      <c r="B365" s="88" t="str">
        <f>IFERROR(HYPERLINK(VLOOKUP(A365,Internal_lists_bugs!$A$2:$C$73,3,FALSE()), VLOOKUP(A365,Internal_lists_bugs!$A$2:$C$73,3,FALSE())&amp;Char(10) &amp; Char(10) &amp; VLOOKUP(A365,Internal_lists_bugs!$A$2:$Z$73,26,FALSE())),"please select a BUG ID")</f>
        <v>please select a BUG ID</v>
      </c>
      <c r="C365" s="51" t="str">
        <f>IFERROR(VLOOKUP(A365,Internal_lists_bugs!$A$2:$G1001,7,FALSE()),"please select a BUG ID")</f>
        <v>please select a BUG ID</v>
      </c>
      <c r="D365" s="51" t="str">
        <f>IFERROR(VLOOKUP(A365,Internal_lists_bugs!$A$2:$I1001,9,FALSE()),"please select a BUG ID")</f>
        <v>please select a BUG ID</v>
      </c>
      <c r="E365" s="105"/>
      <c r="G365" s="54"/>
      <c r="H365" s="105"/>
    </row>
    <row r="366">
      <c r="A366" s="54"/>
      <c r="B366" s="88" t="str">
        <f>IFERROR(HYPERLINK(VLOOKUP(A366,Internal_lists_bugs!$A$2:$C$73,3,FALSE()), VLOOKUP(A366,Internal_lists_bugs!$A$2:$C$73,3,FALSE())&amp;Char(10) &amp; Char(10) &amp; VLOOKUP(A366,Internal_lists_bugs!$A$2:$Z$73,26,FALSE())),"please select a BUG ID")</f>
        <v>please select a BUG ID</v>
      </c>
      <c r="C366" s="51" t="str">
        <f>IFERROR(VLOOKUP(A366,Internal_lists_bugs!$A$2:$G1001,7,FALSE()),"please select a BUG ID")</f>
        <v>please select a BUG ID</v>
      </c>
      <c r="D366" s="51" t="str">
        <f>IFERROR(VLOOKUP(A366,Internal_lists_bugs!$A$2:$I1001,9,FALSE()),"please select a BUG ID")</f>
        <v>please select a BUG ID</v>
      </c>
      <c r="E366" s="105"/>
      <c r="G366" s="54"/>
      <c r="H366" s="105"/>
    </row>
    <row r="367">
      <c r="A367" s="54"/>
      <c r="B367" s="88" t="str">
        <f>IFERROR(HYPERLINK(VLOOKUP(A367,Internal_lists_bugs!$A$2:$C$73,3,FALSE()), VLOOKUP(A367,Internal_lists_bugs!$A$2:$C$73,3,FALSE())&amp;Char(10) &amp; Char(10) &amp; VLOOKUP(A367,Internal_lists_bugs!$A$2:$Z$73,26,FALSE())),"please select a BUG ID")</f>
        <v>please select a BUG ID</v>
      </c>
      <c r="C367" s="51" t="str">
        <f>IFERROR(VLOOKUP(A367,Internal_lists_bugs!$A$2:$G1001,7,FALSE()),"please select a BUG ID")</f>
        <v>please select a BUG ID</v>
      </c>
      <c r="D367" s="51" t="str">
        <f>IFERROR(VLOOKUP(A367,Internal_lists_bugs!$A$2:$I1001,9,FALSE()),"please select a BUG ID")</f>
        <v>please select a BUG ID</v>
      </c>
      <c r="E367" s="105"/>
      <c r="G367" s="54"/>
      <c r="H367" s="105"/>
    </row>
    <row r="368">
      <c r="A368" s="54"/>
      <c r="B368" s="88" t="str">
        <f>IFERROR(HYPERLINK(VLOOKUP(A368,Internal_lists_bugs!$A$2:$C$73,3,FALSE()), VLOOKUP(A368,Internal_lists_bugs!$A$2:$C$73,3,FALSE())&amp;Char(10) &amp; Char(10) &amp; VLOOKUP(A368,Internal_lists_bugs!$A$2:$Z$73,26,FALSE())),"please select a BUG ID")</f>
        <v>please select a BUG ID</v>
      </c>
      <c r="C368" s="51" t="str">
        <f>IFERROR(VLOOKUP(A368,Internal_lists_bugs!$A$2:$G1001,7,FALSE()),"please select a BUG ID")</f>
        <v>please select a BUG ID</v>
      </c>
      <c r="D368" s="51" t="str">
        <f>IFERROR(VLOOKUP(A368,Internal_lists_bugs!$A$2:$I1001,9,FALSE()),"please select a BUG ID")</f>
        <v>please select a BUG ID</v>
      </c>
      <c r="E368" s="105"/>
      <c r="G368" s="54"/>
      <c r="H368" s="105"/>
    </row>
    <row r="369">
      <c r="A369" s="54"/>
      <c r="B369" s="88" t="str">
        <f>IFERROR(HYPERLINK(VLOOKUP(A369,Internal_lists_bugs!$A$2:$C$73,3,FALSE()), VLOOKUP(A369,Internal_lists_bugs!$A$2:$C$73,3,FALSE())&amp;Char(10) &amp; Char(10) &amp; VLOOKUP(A369,Internal_lists_bugs!$A$2:$Z$73,26,FALSE())),"please select a BUG ID")</f>
        <v>please select a BUG ID</v>
      </c>
      <c r="C369" s="51" t="str">
        <f>IFERROR(VLOOKUP(A369,Internal_lists_bugs!$A$2:$G1001,7,FALSE()),"please select a BUG ID")</f>
        <v>please select a BUG ID</v>
      </c>
      <c r="D369" s="51" t="str">
        <f>IFERROR(VLOOKUP(A369,Internal_lists_bugs!$A$2:$I1001,9,FALSE()),"please select a BUG ID")</f>
        <v>please select a BUG ID</v>
      </c>
      <c r="E369" s="105"/>
      <c r="G369" s="54"/>
      <c r="H369" s="105"/>
    </row>
    <row r="370">
      <c r="A370" s="54"/>
      <c r="B370" s="88" t="str">
        <f>IFERROR(HYPERLINK(VLOOKUP(A370,Internal_lists_bugs!$A$2:$C$73,3,FALSE()), VLOOKUP(A370,Internal_lists_bugs!$A$2:$C$73,3,FALSE())&amp;Char(10) &amp; Char(10) &amp; VLOOKUP(A370,Internal_lists_bugs!$A$2:$Z$73,26,FALSE())),"please select a BUG ID")</f>
        <v>please select a BUG ID</v>
      </c>
      <c r="C370" s="51" t="str">
        <f>IFERROR(VLOOKUP(A370,Internal_lists_bugs!$A$2:$G1001,7,FALSE()),"please select a BUG ID")</f>
        <v>please select a BUG ID</v>
      </c>
      <c r="D370" s="51" t="str">
        <f>IFERROR(VLOOKUP(A370,Internal_lists_bugs!$A$2:$I1001,9,FALSE()),"please select a BUG ID")</f>
        <v>please select a BUG ID</v>
      </c>
      <c r="E370" s="105"/>
      <c r="G370" s="54"/>
      <c r="H370" s="105"/>
    </row>
    <row r="371">
      <c r="A371" s="54"/>
      <c r="B371" s="88" t="str">
        <f>IFERROR(HYPERLINK(VLOOKUP(A371,Internal_lists_bugs!$A$2:$C$73,3,FALSE()), VLOOKUP(A371,Internal_lists_bugs!$A$2:$C$73,3,FALSE())&amp;Char(10) &amp; Char(10) &amp; VLOOKUP(A371,Internal_lists_bugs!$A$2:$Z$73,26,FALSE())),"please select a BUG ID")</f>
        <v>please select a BUG ID</v>
      </c>
      <c r="C371" s="51" t="str">
        <f>IFERROR(VLOOKUP(A371,Internal_lists_bugs!$A$2:$G1001,7,FALSE()),"please select a BUG ID")</f>
        <v>please select a BUG ID</v>
      </c>
      <c r="D371" s="51" t="str">
        <f>IFERROR(VLOOKUP(A371,Internal_lists_bugs!$A$2:$I1001,9,FALSE()),"please select a BUG ID")</f>
        <v>please select a BUG ID</v>
      </c>
      <c r="E371" s="105"/>
      <c r="G371" s="54"/>
      <c r="H371" s="105"/>
    </row>
    <row r="372">
      <c r="A372" s="54"/>
      <c r="B372" s="88" t="str">
        <f>IFERROR(HYPERLINK(VLOOKUP(A372,Internal_lists_bugs!$A$2:$C$73,3,FALSE()), VLOOKUP(A372,Internal_lists_bugs!$A$2:$C$73,3,FALSE())&amp;Char(10) &amp; Char(10) &amp; VLOOKUP(A372,Internal_lists_bugs!$A$2:$Z$73,26,FALSE())),"please select a BUG ID")</f>
        <v>please select a BUG ID</v>
      </c>
      <c r="C372" s="51" t="str">
        <f>IFERROR(VLOOKUP(A372,Internal_lists_bugs!$A$2:$G1001,7,FALSE()),"please select a BUG ID")</f>
        <v>please select a BUG ID</v>
      </c>
      <c r="D372" s="51" t="str">
        <f>IFERROR(VLOOKUP(A372,Internal_lists_bugs!$A$2:$I1001,9,FALSE()),"please select a BUG ID")</f>
        <v>please select a BUG ID</v>
      </c>
      <c r="E372" s="105"/>
      <c r="G372" s="54"/>
      <c r="H372" s="105"/>
    </row>
    <row r="373">
      <c r="A373" s="54"/>
      <c r="B373" s="88" t="str">
        <f>IFERROR(HYPERLINK(VLOOKUP(A373,Internal_lists_bugs!$A$2:$C$73,3,FALSE()), VLOOKUP(A373,Internal_lists_bugs!$A$2:$C$73,3,FALSE())&amp;Char(10) &amp; Char(10) &amp; VLOOKUP(A373,Internal_lists_bugs!$A$2:$Z$73,26,FALSE())),"please select a BUG ID")</f>
        <v>please select a BUG ID</v>
      </c>
      <c r="C373" s="51" t="str">
        <f>IFERROR(VLOOKUP(A373,Internal_lists_bugs!$A$2:$G1001,7,FALSE()),"please select a BUG ID")</f>
        <v>please select a BUG ID</v>
      </c>
      <c r="D373" s="51" t="str">
        <f>IFERROR(VLOOKUP(A373,Internal_lists_bugs!$A$2:$I1001,9,FALSE()),"please select a BUG ID")</f>
        <v>please select a BUG ID</v>
      </c>
      <c r="E373" s="105"/>
      <c r="G373" s="54"/>
      <c r="H373" s="105"/>
    </row>
    <row r="374">
      <c r="A374" s="54"/>
      <c r="B374" s="88" t="str">
        <f>IFERROR(HYPERLINK(VLOOKUP(A374,Internal_lists_bugs!$A$2:$C$73,3,FALSE()), VLOOKUP(A374,Internal_lists_bugs!$A$2:$C$73,3,FALSE())&amp;Char(10) &amp; Char(10) &amp; VLOOKUP(A374,Internal_lists_bugs!$A$2:$Z$73,26,FALSE())),"please select a BUG ID")</f>
        <v>please select a BUG ID</v>
      </c>
      <c r="C374" s="51" t="str">
        <f>IFERROR(VLOOKUP(A374,Internal_lists_bugs!$A$2:$G1001,7,FALSE()),"please select a BUG ID")</f>
        <v>please select a BUG ID</v>
      </c>
      <c r="D374" s="51" t="str">
        <f>IFERROR(VLOOKUP(A374,Internal_lists_bugs!$A$2:$I1001,9,FALSE()),"please select a BUG ID")</f>
        <v>please select a BUG ID</v>
      </c>
      <c r="E374" s="105"/>
      <c r="G374" s="54"/>
      <c r="H374" s="105"/>
    </row>
    <row r="375">
      <c r="A375" s="54"/>
      <c r="B375" s="88" t="str">
        <f>IFERROR(HYPERLINK(VLOOKUP(A375,Internal_lists_bugs!$A$2:$C$73,3,FALSE()), VLOOKUP(A375,Internal_lists_bugs!$A$2:$C$73,3,FALSE())&amp;Char(10) &amp; Char(10) &amp; VLOOKUP(A375,Internal_lists_bugs!$A$2:$Z$73,26,FALSE())),"please select a BUG ID")</f>
        <v>please select a BUG ID</v>
      </c>
      <c r="C375" s="51" t="str">
        <f>IFERROR(VLOOKUP(A375,Internal_lists_bugs!$A$2:$G1001,7,FALSE()),"please select a BUG ID")</f>
        <v>please select a BUG ID</v>
      </c>
      <c r="D375" s="51" t="str">
        <f>IFERROR(VLOOKUP(A375,Internal_lists_bugs!$A$2:$I1001,9,FALSE()),"please select a BUG ID")</f>
        <v>please select a BUG ID</v>
      </c>
      <c r="E375" s="105"/>
      <c r="G375" s="54"/>
      <c r="H375" s="105"/>
    </row>
    <row r="376">
      <c r="A376" s="54"/>
      <c r="B376" s="88" t="str">
        <f>IFERROR(HYPERLINK(VLOOKUP(A376,Internal_lists_bugs!$A$2:$C$73,3,FALSE()), VLOOKUP(A376,Internal_lists_bugs!$A$2:$C$73,3,FALSE())&amp;Char(10) &amp; Char(10) &amp; VLOOKUP(A376,Internal_lists_bugs!$A$2:$Z$73,26,FALSE())),"please select a BUG ID")</f>
        <v>please select a BUG ID</v>
      </c>
      <c r="C376" s="51" t="str">
        <f>IFERROR(VLOOKUP(A376,Internal_lists_bugs!$A$2:$G1001,7,FALSE()),"please select a BUG ID")</f>
        <v>please select a BUG ID</v>
      </c>
      <c r="D376" s="51" t="str">
        <f>IFERROR(VLOOKUP(A376,Internal_lists_bugs!$A$2:$I1001,9,FALSE()),"please select a BUG ID")</f>
        <v>please select a BUG ID</v>
      </c>
      <c r="E376" s="105"/>
      <c r="G376" s="54"/>
      <c r="H376" s="105"/>
    </row>
    <row r="377">
      <c r="A377" s="54"/>
      <c r="B377" s="88" t="str">
        <f>IFERROR(HYPERLINK(VLOOKUP(A377,Internal_lists_bugs!$A$2:$C$73,3,FALSE()), VLOOKUP(A377,Internal_lists_bugs!$A$2:$C$73,3,FALSE())&amp;Char(10) &amp; Char(10) &amp; VLOOKUP(A377,Internal_lists_bugs!$A$2:$Z$73,26,FALSE())),"please select a BUG ID")</f>
        <v>please select a BUG ID</v>
      </c>
      <c r="C377" s="51" t="str">
        <f>IFERROR(VLOOKUP(A377,Internal_lists_bugs!$A$2:$G1001,7,FALSE()),"please select a BUG ID")</f>
        <v>please select a BUG ID</v>
      </c>
      <c r="D377" s="51" t="str">
        <f>IFERROR(VLOOKUP(A377,Internal_lists_bugs!$A$2:$I1001,9,FALSE()),"please select a BUG ID")</f>
        <v>please select a BUG ID</v>
      </c>
      <c r="E377" s="105"/>
      <c r="G377" s="54"/>
      <c r="H377" s="105"/>
    </row>
    <row r="378">
      <c r="A378" s="54"/>
      <c r="B378" s="88" t="str">
        <f>IFERROR(HYPERLINK(VLOOKUP(A378,Internal_lists_bugs!$A$2:$C$73,3,FALSE()), VLOOKUP(A378,Internal_lists_bugs!$A$2:$C$73,3,FALSE())&amp;Char(10) &amp; Char(10) &amp; VLOOKUP(A378,Internal_lists_bugs!$A$2:$Z$73,26,FALSE())),"please select a BUG ID")</f>
        <v>please select a BUG ID</v>
      </c>
      <c r="C378" s="51" t="str">
        <f>IFERROR(VLOOKUP(A378,Internal_lists_bugs!$A$2:$G1001,7,FALSE()),"please select a BUG ID")</f>
        <v>please select a BUG ID</v>
      </c>
      <c r="D378" s="51" t="str">
        <f>IFERROR(VLOOKUP(A378,Internal_lists_bugs!$A$2:$I1001,9,FALSE()),"please select a BUG ID")</f>
        <v>please select a BUG ID</v>
      </c>
      <c r="E378" s="105"/>
      <c r="G378" s="54"/>
      <c r="H378" s="105"/>
    </row>
    <row r="379">
      <c r="A379" s="54"/>
      <c r="B379" s="88" t="str">
        <f>IFERROR(HYPERLINK(VLOOKUP(A379,Internal_lists_bugs!$A$2:$C$73,3,FALSE()), VLOOKUP(A379,Internal_lists_bugs!$A$2:$C$73,3,FALSE())&amp;Char(10) &amp; Char(10) &amp; VLOOKUP(A379,Internal_lists_bugs!$A$2:$Z$73,26,FALSE())),"please select a BUG ID")</f>
        <v>please select a BUG ID</v>
      </c>
      <c r="C379" s="51" t="str">
        <f>IFERROR(VLOOKUP(A379,Internal_lists_bugs!$A$2:$G1001,7,FALSE()),"please select a BUG ID")</f>
        <v>please select a BUG ID</v>
      </c>
      <c r="D379" s="51" t="str">
        <f>IFERROR(VLOOKUP(A379,Internal_lists_bugs!$A$2:$I1001,9,FALSE()),"please select a BUG ID")</f>
        <v>please select a BUG ID</v>
      </c>
      <c r="E379" s="105"/>
      <c r="G379" s="54"/>
      <c r="H379" s="105"/>
    </row>
    <row r="380">
      <c r="A380" s="54"/>
      <c r="B380" s="88" t="str">
        <f>IFERROR(HYPERLINK(VLOOKUP(A380,Internal_lists_bugs!$A$2:$C$73,3,FALSE()), VLOOKUP(A380,Internal_lists_bugs!$A$2:$C$73,3,FALSE())&amp;Char(10) &amp; Char(10) &amp; VLOOKUP(A380,Internal_lists_bugs!$A$2:$Z$73,26,FALSE())),"please select a BUG ID")</f>
        <v>please select a BUG ID</v>
      </c>
      <c r="C380" s="51" t="str">
        <f>IFERROR(VLOOKUP(A380,Internal_lists_bugs!$A$2:$G1001,7,FALSE()),"please select a BUG ID")</f>
        <v>please select a BUG ID</v>
      </c>
      <c r="D380" s="51" t="str">
        <f>IFERROR(VLOOKUP(A380,Internal_lists_bugs!$A$2:$I1001,9,FALSE()),"please select a BUG ID")</f>
        <v>please select a BUG ID</v>
      </c>
      <c r="E380" s="105"/>
      <c r="G380" s="54"/>
      <c r="H380" s="105"/>
    </row>
    <row r="381">
      <c r="A381" s="54"/>
      <c r="B381" s="88" t="str">
        <f>IFERROR(HYPERLINK(VLOOKUP(A381,Internal_lists_bugs!$A$2:$C$73,3,FALSE()), VLOOKUP(A381,Internal_lists_bugs!$A$2:$C$73,3,FALSE())&amp;Char(10) &amp; Char(10) &amp; VLOOKUP(A381,Internal_lists_bugs!$A$2:$Z$73,26,FALSE())),"please select a BUG ID")</f>
        <v>please select a BUG ID</v>
      </c>
      <c r="C381" s="51" t="str">
        <f>IFERROR(VLOOKUP(A381,Internal_lists_bugs!$A$2:$G1001,7,FALSE()),"please select a BUG ID")</f>
        <v>please select a BUG ID</v>
      </c>
      <c r="D381" s="51" t="str">
        <f>IFERROR(VLOOKUP(A381,Internal_lists_bugs!$A$2:$I1001,9,FALSE()),"please select a BUG ID")</f>
        <v>please select a BUG ID</v>
      </c>
      <c r="E381" s="105"/>
      <c r="G381" s="54"/>
      <c r="H381" s="105"/>
    </row>
    <row r="382">
      <c r="A382" s="54"/>
      <c r="B382" s="88" t="str">
        <f>IFERROR(HYPERLINK(VLOOKUP(A382,Internal_lists_bugs!$A$2:$C$73,3,FALSE()), VLOOKUP(A382,Internal_lists_bugs!$A$2:$C$73,3,FALSE())&amp;Char(10) &amp; Char(10) &amp; VLOOKUP(A382,Internal_lists_bugs!$A$2:$Z$73,26,FALSE())),"please select a BUG ID")</f>
        <v>please select a BUG ID</v>
      </c>
      <c r="C382" s="51" t="str">
        <f>IFERROR(VLOOKUP(A382,Internal_lists_bugs!$A$2:$G1001,7,FALSE()),"please select a BUG ID")</f>
        <v>please select a BUG ID</v>
      </c>
      <c r="D382" s="51" t="str">
        <f>IFERROR(VLOOKUP(A382,Internal_lists_bugs!$A$2:$I1001,9,FALSE()),"please select a BUG ID")</f>
        <v>please select a BUG ID</v>
      </c>
      <c r="E382" s="105"/>
      <c r="G382" s="54"/>
      <c r="H382" s="105"/>
    </row>
    <row r="383">
      <c r="A383" s="54"/>
      <c r="B383" s="88" t="str">
        <f>IFERROR(HYPERLINK(VLOOKUP(A383,Internal_lists_bugs!$A$2:$C$73,3,FALSE()), VLOOKUP(A383,Internal_lists_bugs!$A$2:$C$73,3,FALSE())&amp;Char(10) &amp; Char(10) &amp; VLOOKUP(A383,Internal_lists_bugs!$A$2:$Z$73,26,FALSE())),"please select a BUG ID")</f>
        <v>please select a BUG ID</v>
      </c>
      <c r="C383" s="51" t="str">
        <f>IFERROR(VLOOKUP(A383,Internal_lists_bugs!$A$2:$G1001,7,FALSE()),"please select a BUG ID")</f>
        <v>please select a BUG ID</v>
      </c>
      <c r="D383" s="51" t="str">
        <f>IFERROR(VLOOKUP(A383,Internal_lists_bugs!$A$2:$I1001,9,FALSE()),"please select a BUG ID")</f>
        <v>please select a BUG ID</v>
      </c>
      <c r="E383" s="105"/>
      <c r="G383" s="54"/>
      <c r="H383" s="105"/>
    </row>
    <row r="384">
      <c r="A384" s="54"/>
      <c r="B384" s="88" t="str">
        <f>IFERROR(HYPERLINK(VLOOKUP(A384,Internal_lists_bugs!$A$2:$C$73,3,FALSE()), VLOOKUP(A384,Internal_lists_bugs!$A$2:$C$73,3,FALSE())&amp;Char(10) &amp; Char(10) &amp; VLOOKUP(A384,Internal_lists_bugs!$A$2:$Z$73,26,FALSE())),"please select a BUG ID")</f>
        <v>please select a BUG ID</v>
      </c>
      <c r="C384" s="51" t="str">
        <f>IFERROR(VLOOKUP(A384,Internal_lists_bugs!$A$2:$G1001,7,FALSE()),"please select a BUG ID")</f>
        <v>please select a BUG ID</v>
      </c>
      <c r="D384" s="51" t="str">
        <f>IFERROR(VLOOKUP(A384,Internal_lists_bugs!$A$2:$I1001,9,FALSE()),"please select a BUG ID")</f>
        <v>please select a BUG ID</v>
      </c>
      <c r="E384" s="105"/>
      <c r="G384" s="54"/>
      <c r="H384" s="105"/>
    </row>
    <row r="385">
      <c r="A385" s="54"/>
      <c r="B385" s="88" t="str">
        <f>IFERROR(HYPERLINK(VLOOKUP(A385,Internal_lists_bugs!$A$2:$C$73,3,FALSE()), VLOOKUP(A385,Internal_lists_bugs!$A$2:$C$73,3,FALSE())&amp;Char(10) &amp; Char(10) &amp; VLOOKUP(A385,Internal_lists_bugs!$A$2:$Z$73,26,FALSE())),"please select a BUG ID")</f>
        <v>please select a BUG ID</v>
      </c>
      <c r="C385" s="51" t="str">
        <f>IFERROR(VLOOKUP(A385,Internal_lists_bugs!$A$2:$G1001,7,FALSE()),"please select a BUG ID")</f>
        <v>please select a BUG ID</v>
      </c>
      <c r="D385" s="51" t="str">
        <f>IFERROR(VLOOKUP(A385,Internal_lists_bugs!$A$2:$I1001,9,FALSE()),"please select a BUG ID")</f>
        <v>please select a BUG ID</v>
      </c>
      <c r="E385" s="105"/>
      <c r="G385" s="54"/>
      <c r="H385" s="105"/>
    </row>
    <row r="386">
      <c r="A386" s="54"/>
      <c r="B386" s="88" t="str">
        <f>IFERROR(HYPERLINK(VLOOKUP(A386,Internal_lists_bugs!$A$2:$C$73,3,FALSE()), VLOOKUP(A386,Internal_lists_bugs!$A$2:$C$73,3,FALSE())&amp;Char(10) &amp; Char(10) &amp; VLOOKUP(A386,Internal_lists_bugs!$A$2:$Z$73,26,FALSE())),"please select a BUG ID")</f>
        <v>please select a BUG ID</v>
      </c>
      <c r="C386" s="51" t="str">
        <f>IFERROR(VLOOKUP(A386,Internal_lists_bugs!$A$2:$G1001,7,FALSE()),"please select a BUG ID")</f>
        <v>please select a BUG ID</v>
      </c>
      <c r="D386" s="51" t="str">
        <f>IFERROR(VLOOKUP(A386,Internal_lists_bugs!$A$2:$I1001,9,FALSE()),"please select a BUG ID")</f>
        <v>please select a BUG ID</v>
      </c>
      <c r="E386" s="105"/>
      <c r="G386" s="54"/>
      <c r="H386" s="105"/>
    </row>
    <row r="387">
      <c r="A387" s="54"/>
      <c r="B387" s="88" t="str">
        <f>IFERROR(HYPERLINK(VLOOKUP(A387,Internal_lists_bugs!$A$2:$C$73,3,FALSE()), VLOOKUP(A387,Internal_lists_bugs!$A$2:$C$73,3,FALSE())&amp;Char(10) &amp; Char(10) &amp; VLOOKUP(A387,Internal_lists_bugs!$A$2:$Z$73,26,FALSE())),"please select a BUG ID")</f>
        <v>please select a BUG ID</v>
      </c>
      <c r="C387" s="51" t="str">
        <f>IFERROR(VLOOKUP(A387,Internal_lists_bugs!$A$2:$G1001,7,FALSE()),"please select a BUG ID")</f>
        <v>please select a BUG ID</v>
      </c>
      <c r="D387" s="51" t="str">
        <f>IFERROR(VLOOKUP(A387,Internal_lists_bugs!$A$2:$I1001,9,FALSE()),"please select a BUG ID")</f>
        <v>please select a BUG ID</v>
      </c>
      <c r="E387" s="105"/>
      <c r="G387" s="54"/>
      <c r="H387" s="105"/>
    </row>
    <row r="388">
      <c r="A388" s="54"/>
      <c r="B388" s="88" t="str">
        <f>IFERROR(HYPERLINK(VLOOKUP(A388,Internal_lists_bugs!$A$2:$C$73,3,FALSE()), VLOOKUP(A388,Internal_lists_bugs!$A$2:$C$73,3,FALSE())&amp;Char(10) &amp; Char(10) &amp; VLOOKUP(A388,Internal_lists_bugs!$A$2:$Z$73,26,FALSE())),"please select a BUG ID")</f>
        <v>please select a BUG ID</v>
      </c>
      <c r="C388" s="51" t="str">
        <f>IFERROR(VLOOKUP(A388,Internal_lists_bugs!$A$2:$G1001,7,FALSE()),"please select a BUG ID")</f>
        <v>please select a BUG ID</v>
      </c>
      <c r="D388" s="51" t="str">
        <f>IFERROR(VLOOKUP(A388,Internal_lists_bugs!$A$2:$I1001,9,FALSE()),"please select a BUG ID")</f>
        <v>please select a BUG ID</v>
      </c>
      <c r="E388" s="105"/>
      <c r="G388" s="54"/>
      <c r="H388" s="105"/>
    </row>
    <row r="389">
      <c r="A389" s="54"/>
      <c r="B389" s="88" t="str">
        <f>IFERROR(HYPERLINK(VLOOKUP(A389,Internal_lists_bugs!$A$2:$C$73,3,FALSE()), VLOOKUP(A389,Internal_lists_bugs!$A$2:$C$73,3,FALSE())&amp;Char(10) &amp; Char(10) &amp; VLOOKUP(A389,Internal_lists_bugs!$A$2:$Z$73,26,FALSE())),"please select a BUG ID")</f>
        <v>please select a BUG ID</v>
      </c>
      <c r="C389" s="51" t="str">
        <f>IFERROR(VLOOKUP(A389,Internal_lists_bugs!$A$2:$G1001,7,FALSE()),"please select a BUG ID")</f>
        <v>please select a BUG ID</v>
      </c>
      <c r="D389" s="51" t="str">
        <f>IFERROR(VLOOKUP(A389,Internal_lists_bugs!$A$2:$I1001,9,FALSE()),"please select a BUG ID")</f>
        <v>please select a BUG ID</v>
      </c>
      <c r="E389" s="105"/>
      <c r="G389" s="54"/>
      <c r="H389" s="105"/>
    </row>
    <row r="390">
      <c r="A390" s="54"/>
      <c r="B390" s="88" t="str">
        <f>IFERROR(HYPERLINK(VLOOKUP(A390,Internal_lists_bugs!$A$2:$C$73,3,FALSE()), VLOOKUP(A390,Internal_lists_bugs!$A$2:$C$73,3,FALSE())&amp;Char(10) &amp; Char(10) &amp; VLOOKUP(A390,Internal_lists_bugs!$A$2:$Z$73,26,FALSE())),"please select a BUG ID")</f>
        <v>please select a BUG ID</v>
      </c>
      <c r="C390" s="51" t="str">
        <f>IFERROR(VLOOKUP(A390,Internal_lists_bugs!$A$2:$G1001,7,FALSE()),"please select a BUG ID")</f>
        <v>please select a BUG ID</v>
      </c>
      <c r="D390" s="51" t="str">
        <f>IFERROR(VLOOKUP(A390,Internal_lists_bugs!$A$2:$I1001,9,FALSE()),"please select a BUG ID")</f>
        <v>please select a BUG ID</v>
      </c>
      <c r="E390" s="105"/>
      <c r="G390" s="54"/>
      <c r="H390" s="105"/>
    </row>
    <row r="391">
      <c r="A391" s="54"/>
      <c r="B391" s="88" t="str">
        <f>IFERROR(HYPERLINK(VLOOKUP(A391,Internal_lists_bugs!$A$2:$C$73,3,FALSE()), VLOOKUP(A391,Internal_lists_bugs!$A$2:$C$73,3,FALSE())&amp;Char(10) &amp; Char(10) &amp; VLOOKUP(A391,Internal_lists_bugs!$A$2:$Z$73,26,FALSE())),"please select a BUG ID")</f>
        <v>please select a BUG ID</v>
      </c>
      <c r="C391" s="51" t="str">
        <f>IFERROR(VLOOKUP(A391,Internal_lists_bugs!$A$2:$G1001,7,FALSE()),"please select a BUG ID")</f>
        <v>please select a BUG ID</v>
      </c>
      <c r="D391" s="51" t="str">
        <f>IFERROR(VLOOKUP(A391,Internal_lists_bugs!$A$2:$I1001,9,FALSE()),"please select a BUG ID")</f>
        <v>please select a BUG ID</v>
      </c>
      <c r="E391" s="105"/>
      <c r="G391" s="54"/>
      <c r="H391" s="105"/>
    </row>
    <row r="392">
      <c r="A392" s="54"/>
      <c r="B392" s="88" t="str">
        <f>IFERROR(HYPERLINK(VLOOKUP(A392,Internal_lists_bugs!$A$2:$C$73,3,FALSE()), VLOOKUP(A392,Internal_lists_bugs!$A$2:$C$73,3,FALSE())&amp;Char(10) &amp; Char(10) &amp; VLOOKUP(A392,Internal_lists_bugs!$A$2:$Z$73,26,FALSE())),"please select a BUG ID")</f>
        <v>please select a BUG ID</v>
      </c>
      <c r="C392" s="51" t="str">
        <f>IFERROR(VLOOKUP(A392,Internal_lists_bugs!$A$2:$G1001,7,FALSE()),"please select a BUG ID")</f>
        <v>please select a BUG ID</v>
      </c>
      <c r="D392" s="51" t="str">
        <f>IFERROR(VLOOKUP(A392,Internal_lists_bugs!$A$2:$I1001,9,FALSE()),"please select a BUG ID")</f>
        <v>please select a BUG ID</v>
      </c>
      <c r="E392" s="105"/>
      <c r="G392" s="54"/>
      <c r="H392" s="105"/>
    </row>
    <row r="393">
      <c r="A393" s="54"/>
      <c r="B393" s="88" t="str">
        <f>IFERROR(HYPERLINK(VLOOKUP(A393,Internal_lists_bugs!$A$2:$C$73,3,FALSE()), VLOOKUP(A393,Internal_lists_bugs!$A$2:$C$73,3,FALSE())&amp;Char(10) &amp; Char(10) &amp; VLOOKUP(A393,Internal_lists_bugs!$A$2:$Z$73,26,FALSE())),"please select a BUG ID")</f>
        <v>please select a BUG ID</v>
      </c>
      <c r="C393" s="51" t="str">
        <f>IFERROR(VLOOKUP(A393,Internal_lists_bugs!$A$2:$G1001,7,FALSE()),"please select a BUG ID")</f>
        <v>please select a BUG ID</v>
      </c>
      <c r="D393" s="51" t="str">
        <f>IFERROR(VLOOKUP(A393,Internal_lists_bugs!$A$2:$I1001,9,FALSE()),"please select a BUG ID")</f>
        <v>please select a BUG ID</v>
      </c>
      <c r="E393" s="105"/>
      <c r="G393" s="54"/>
      <c r="H393" s="105"/>
    </row>
    <row r="394">
      <c r="A394" s="54"/>
      <c r="B394" s="88" t="str">
        <f>IFERROR(HYPERLINK(VLOOKUP(A394,Internal_lists_bugs!$A$2:$C$73,3,FALSE()), VLOOKUP(A394,Internal_lists_bugs!$A$2:$C$73,3,FALSE())&amp;Char(10) &amp; Char(10) &amp; VLOOKUP(A394,Internal_lists_bugs!$A$2:$Z$73,26,FALSE())),"please select a BUG ID")</f>
        <v>please select a BUG ID</v>
      </c>
      <c r="C394" s="51" t="str">
        <f>IFERROR(VLOOKUP(A394,Internal_lists_bugs!$A$2:$G1001,7,FALSE()),"please select a BUG ID")</f>
        <v>please select a BUG ID</v>
      </c>
      <c r="D394" s="51" t="str">
        <f>IFERROR(VLOOKUP(A394,Internal_lists_bugs!$A$2:$I1001,9,FALSE()),"please select a BUG ID")</f>
        <v>please select a BUG ID</v>
      </c>
      <c r="E394" s="105"/>
      <c r="G394" s="54"/>
      <c r="H394" s="105"/>
    </row>
    <row r="395">
      <c r="A395" s="54"/>
      <c r="B395" s="88" t="str">
        <f>IFERROR(HYPERLINK(VLOOKUP(A395,Internal_lists_bugs!$A$2:$C$73,3,FALSE()), VLOOKUP(A395,Internal_lists_bugs!$A$2:$C$73,3,FALSE())&amp;Char(10) &amp; Char(10) &amp; VLOOKUP(A395,Internal_lists_bugs!$A$2:$Z$73,26,FALSE())),"please select a BUG ID")</f>
        <v>please select a BUG ID</v>
      </c>
      <c r="C395" s="51" t="str">
        <f>IFERROR(VLOOKUP(A395,Internal_lists_bugs!$A$2:$G1001,7,FALSE()),"please select a BUG ID")</f>
        <v>please select a BUG ID</v>
      </c>
      <c r="D395" s="51" t="str">
        <f>IFERROR(VLOOKUP(A395,Internal_lists_bugs!$A$2:$I1001,9,FALSE()),"please select a BUG ID")</f>
        <v>please select a BUG ID</v>
      </c>
      <c r="E395" s="105"/>
      <c r="G395" s="54"/>
      <c r="H395" s="105"/>
    </row>
    <row r="396">
      <c r="A396" s="54"/>
      <c r="B396" s="88" t="str">
        <f>IFERROR(HYPERLINK(VLOOKUP(A396,Internal_lists_bugs!$A$2:$C$73,3,FALSE()), VLOOKUP(A396,Internal_lists_bugs!$A$2:$C$73,3,FALSE())&amp;Char(10) &amp; Char(10) &amp; VLOOKUP(A396,Internal_lists_bugs!$A$2:$Z$73,26,FALSE())),"please select a BUG ID")</f>
        <v>please select a BUG ID</v>
      </c>
      <c r="C396" s="51" t="str">
        <f>IFERROR(VLOOKUP(A396,Internal_lists_bugs!$A$2:$G1001,7,FALSE()),"please select a BUG ID")</f>
        <v>please select a BUG ID</v>
      </c>
      <c r="D396" s="51" t="str">
        <f>IFERROR(VLOOKUP(A396,Internal_lists_bugs!$A$2:$I1001,9,FALSE()),"please select a BUG ID")</f>
        <v>please select a BUG ID</v>
      </c>
      <c r="E396" s="105"/>
      <c r="G396" s="54"/>
      <c r="H396" s="105"/>
    </row>
    <row r="397">
      <c r="A397" s="54"/>
      <c r="B397" s="88" t="str">
        <f>IFERROR(HYPERLINK(VLOOKUP(A397,Internal_lists_bugs!$A$2:$C$73,3,FALSE()), VLOOKUP(A397,Internal_lists_bugs!$A$2:$C$73,3,FALSE())&amp;Char(10) &amp; Char(10) &amp; VLOOKUP(A397,Internal_lists_bugs!$A$2:$Z$73,26,FALSE())),"please select a BUG ID")</f>
        <v>please select a BUG ID</v>
      </c>
      <c r="C397" s="51" t="str">
        <f>IFERROR(VLOOKUP(A397,Internal_lists_bugs!$A$2:$G1001,7,FALSE()),"please select a BUG ID")</f>
        <v>please select a BUG ID</v>
      </c>
      <c r="D397" s="51" t="str">
        <f>IFERROR(VLOOKUP(A397,Internal_lists_bugs!$A$2:$I1001,9,FALSE()),"please select a BUG ID")</f>
        <v>please select a BUG ID</v>
      </c>
      <c r="E397" s="105"/>
      <c r="G397" s="54"/>
      <c r="H397" s="105"/>
    </row>
    <row r="398">
      <c r="A398" s="54"/>
      <c r="B398" s="88" t="str">
        <f>IFERROR(HYPERLINK(VLOOKUP(A398,Internal_lists_bugs!$A$2:$C$73,3,FALSE()), VLOOKUP(A398,Internal_lists_bugs!$A$2:$C$73,3,FALSE())&amp;Char(10) &amp; Char(10) &amp; VLOOKUP(A398,Internal_lists_bugs!$A$2:$Z$73,26,FALSE())),"please select a BUG ID")</f>
        <v>please select a BUG ID</v>
      </c>
      <c r="C398" s="51" t="str">
        <f>IFERROR(VLOOKUP(A398,Internal_lists_bugs!$A$2:$G1001,7,FALSE()),"please select a BUG ID")</f>
        <v>please select a BUG ID</v>
      </c>
      <c r="D398" s="51" t="str">
        <f>IFERROR(VLOOKUP(A398,Internal_lists_bugs!$A$2:$I1001,9,FALSE()),"please select a BUG ID")</f>
        <v>please select a BUG ID</v>
      </c>
      <c r="E398" s="105"/>
      <c r="G398" s="54"/>
      <c r="H398" s="105"/>
    </row>
    <row r="399">
      <c r="A399" s="54"/>
      <c r="B399" s="88" t="str">
        <f>IFERROR(HYPERLINK(VLOOKUP(A399,Internal_lists_bugs!$A$2:$C$73,3,FALSE()), VLOOKUP(A399,Internal_lists_bugs!$A$2:$C$73,3,FALSE())&amp;Char(10) &amp; Char(10) &amp; VLOOKUP(A399,Internal_lists_bugs!$A$2:$Z$73,26,FALSE())),"please select a BUG ID")</f>
        <v>please select a BUG ID</v>
      </c>
      <c r="C399" s="51" t="str">
        <f>IFERROR(VLOOKUP(A399,Internal_lists_bugs!$A$2:$G1001,7,FALSE()),"please select a BUG ID")</f>
        <v>please select a BUG ID</v>
      </c>
      <c r="D399" s="51" t="str">
        <f>IFERROR(VLOOKUP(A399,Internal_lists_bugs!$A$2:$I1001,9,FALSE()),"please select a BUG ID")</f>
        <v>please select a BUG ID</v>
      </c>
      <c r="E399" s="105"/>
      <c r="G399" s="54"/>
      <c r="H399" s="105"/>
    </row>
    <row r="400">
      <c r="A400" s="54"/>
      <c r="B400" s="88" t="str">
        <f>IFERROR(HYPERLINK(VLOOKUP(A400,Internal_lists_bugs!$A$2:$C$73,3,FALSE()), VLOOKUP(A400,Internal_lists_bugs!$A$2:$C$73,3,FALSE())&amp;Char(10) &amp; Char(10) &amp; VLOOKUP(A400,Internal_lists_bugs!$A$2:$Z$73,26,FALSE())),"please select a BUG ID")</f>
        <v>please select a BUG ID</v>
      </c>
      <c r="C400" s="51" t="str">
        <f>IFERROR(VLOOKUP(A400,Internal_lists_bugs!$A$2:$G1001,7,FALSE()),"please select a BUG ID")</f>
        <v>please select a BUG ID</v>
      </c>
      <c r="D400" s="51" t="str">
        <f>IFERROR(VLOOKUP(A400,Internal_lists_bugs!$A$2:$I1001,9,FALSE()),"please select a BUG ID")</f>
        <v>please select a BUG ID</v>
      </c>
      <c r="E400" s="105"/>
      <c r="G400" s="54"/>
      <c r="H400" s="105"/>
    </row>
    <row r="401">
      <c r="A401" s="54"/>
      <c r="B401" s="88" t="str">
        <f>IFERROR(HYPERLINK(VLOOKUP(A401,Internal_lists_bugs!$A$2:$C$73,3,FALSE()), VLOOKUP(A401,Internal_lists_bugs!$A$2:$C$73,3,FALSE())&amp;Char(10) &amp; Char(10) &amp; VLOOKUP(A401,Internal_lists_bugs!$A$2:$Z$73,26,FALSE())),"please select a BUG ID")</f>
        <v>please select a BUG ID</v>
      </c>
      <c r="C401" s="51" t="str">
        <f>IFERROR(VLOOKUP(A401,Internal_lists_bugs!$A$2:$G1001,7,FALSE()),"please select a BUG ID")</f>
        <v>please select a BUG ID</v>
      </c>
      <c r="D401" s="51" t="str">
        <f>IFERROR(VLOOKUP(A401,Internal_lists_bugs!$A$2:$I1001,9,FALSE()),"please select a BUG ID")</f>
        <v>please select a BUG ID</v>
      </c>
      <c r="E401" s="105"/>
      <c r="G401" s="54"/>
      <c r="H401" s="105"/>
    </row>
    <row r="402">
      <c r="A402" s="54"/>
      <c r="B402" s="88" t="str">
        <f>IFERROR(HYPERLINK(VLOOKUP(A402,Internal_lists_bugs!$A$2:$C$73,3,FALSE()), VLOOKUP(A402,Internal_lists_bugs!$A$2:$C$73,3,FALSE())&amp;Char(10) &amp; Char(10) &amp; VLOOKUP(A402,Internal_lists_bugs!$A$2:$Z$73,26,FALSE())),"please select a BUG ID")</f>
        <v>please select a BUG ID</v>
      </c>
      <c r="C402" s="51" t="str">
        <f>IFERROR(VLOOKUP(A402,Internal_lists_bugs!$A$2:$G1001,7,FALSE()),"please select a BUG ID")</f>
        <v>please select a BUG ID</v>
      </c>
      <c r="D402" s="51" t="str">
        <f>IFERROR(VLOOKUP(A402,Internal_lists_bugs!$A$2:$I1001,9,FALSE()),"please select a BUG ID")</f>
        <v>please select a BUG ID</v>
      </c>
      <c r="E402" s="105"/>
      <c r="G402" s="54"/>
      <c r="H402" s="105"/>
    </row>
    <row r="403">
      <c r="A403" s="54"/>
      <c r="B403" s="88" t="str">
        <f>IFERROR(HYPERLINK(VLOOKUP(A403,Internal_lists_bugs!$A$2:$C$73,3,FALSE()), VLOOKUP(A403,Internal_lists_bugs!$A$2:$C$73,3,FALSE())&amp;Char(10) &amp; Char(10) &amp; VLOOKUP(A403,Internal_lists_bugs!$A$2:$Z$73,26,FALSE())),"please select a BUG ID")</f>
        <v>please select a BUG ID</v>
      </c>
      <c r="C403" s="51" t="str">
        <f>IFERROR(VLOOKUP(A403,Internal_lists_bugs!$A$2:$G1001,7,FALSE()),"please select a BUG ID")</f>
        <v>please select a BUG ID</v>
      </c>
      <c r="D403" s="51" t="str">
        <f>IFERROR(VLOOKUP(A403,Internal_lists_bugs!$A$2:$I1001,9,FALSE()),"please select a BUG ID")</f>
        <v>please select a BUG ID</v>
      </c>
      <c r="E403" s="105"/>
      <c r="G403" s="54"/>
      <c r="H403" s="105"/>
    </row>
    <row r="404">
      <c r="A404" s="54"/>
      <c r="B404" s="88" t="str">
        <f>IFERROR(HYPERLINK(VLOOKUP(A404,Internal_lists_bugs!$A$2:$C$73,3,FALSE()), VLOOKUP(A404,Internal_lists_bugs!$A$2:$C$73,3,FALSE())&amp;Char(10) &amp; Char(10) &amp; VLOOKUP(A404,Internal_lists_bugs!$A$2:$Z$73,26,FALSE())),"please select a BUG ID")</f>
        <v>please select a BUG ID</v>
      </c>
      <c r="C404" s="51" t="str">
        <f>IFERROR(VLOOKUP(A404,Internal_lists_bugs!$A$2:$G1001,7,FALSE()),"please select a BUG ID")</f>
        <v>please select a BUG ID</v>
      </c>
      <c r="D404" s="51" t="str">
        <f>IFERROR(VLOOKUP(A404,Internal_lists_bugs!$A$2:$I1001,9,FALSE()),"please select a BUG ID")</f>
        <v>please select a BUG ID</v>
      </c>
      <c r="E404" s="105"/>
      <c r="G404" s="54"/>
      <c r="H404" s="105"/>
    </row>
    <row r="405">
      <c r="A405" s="54"/>
      <c r="B405" s="88" t="str">
        <f>IFERROR(HYPERLINK(VLOOKUP(A405,Internal_lists_bugs!$A$2:$C$73,3,FALSE()), VLOOKUP(A405,Internal_lists_bugs!$A$2:$C$73,3,FALSE())&amp;Char(10) &amp; Char(10) &amp; VLOOKUP(A405,Internal_lists_bugs!$A$2:$Z$73,26,FALSE())),"please select a BUG ID")</f>
        <v>please select a BUG ID</v>
      </c>
      <c r="C405" s="51" t="str">
        <f>IFERROR(VLOOKUP(A405,Internal_lists_bugs!$A$2:$G1001,7,FALSE()),"please select a BUG ID")</f>
        <v>please select a BUG ID</v>
      </c>
      <c r="D405" s="51" t="str">
        <f>IFERROR(VLOOKUP(A405,Internal_lists_bugs!$A$2:$I1001,9,FALSE()),"please select a BUG ID")</f>
        <v>please select a BUG ID</v>
      </c>
      <c r="E405" s="105"/>
      <c r="G405" s="54"/>
      <c r="H405" s="105"/>
    </row>
    <row r="406">
      <c r="A406" s="54"/>
      <c r="B406" s="88" t="str">
        <f>IFERROR(HYPERLINK(VLOOKUP(A406,Internal_lists_bugs!$A$2:$C$73,3,FALSE()), VLOOKUP(A406,Internal_lists_bugs!$A$2:$C$73,3,FALSE())&amp;Char(10) &amp; Char(10) &amp; VLOOKUP(A406,Internal_lists_bugs!$A$2:$Z$73,26,FALSE())),"please select a BUG ID")</f>
        <v>please select a BUG ID</v>
      </c>
      <c r="C406" s="51" t="str">
        <f>IFERROR(VLOOKUP(A406,Internal_lists_bugs!$A$2:$G1001,7,FALSE()),"please select a BUG ID")</f>
        <v>please select a BUG ID</v>
      </c>
      <c r="D406" s="51" t="str">
        <f>IFERROR(VLOOKUP(A406,Internal_lists_bugs!$A$2:$I1001,9,FALSE()),"please select a BUG ID")</f>
        <v>please select a BUG ID</v>
      </c>
      <c r="E406" s="105"/>
      <c r="G406" s="54"/>
      <c r="H406" s="105"/>
    </row>
    <row r="407">
      <c r="A407" s="54"/>
      <c r="B407" s="88" t="str">
        <f>IFERROR(HYPERLINK(VLOOKUP(A407,Internal_lists_bugs!$A$2:$C$73,3,FALSE()), VLOOKUP(A407,Internal_lists_bugs!$A$2:$C$73,3,FALSE())&amp;Char(10) &amp; Char(10) &amp; VLOOKUP(A407,Internal_lists_bugs!$A$2:$Z$73,26,FALSE())),"please select a BUG ID")</f>
        <v>please select a BUG ID</v>
      </c>
      <c r="C407" s="51" t="str">
        <f>IFERROR(VLOOKUP(A407,Internal_lists_bugs!$A$2:$G1001,7,FALSE()),"please select a BUG ID")</f>
        <v>please select a BUG ID</v>
      </c>
      <c r="D407" s="51" t="str">
        <f>IFERROR(VLOOKUP(A407,Internal_lists_bugs!$A$2:$I1001,9,FALSE()),"please select a BUG ID")</f>
        <v>please select a BUG ID</v>
      </c>
      <c r="E407" s="105"/>
      <c r="G407" s="54"/>
      <c r="H407" s="105"/>
    </row>
    <row r="408">
      <c r="A408" s="54"/>
      <c r="B408" s="88" t="str">
        <f>IFERROR(HYPERLINK(VLOOKUP(A408,Internal_lists_bugs!$A$2:$C$73,3,FALSE()), VLOOKUP(A408,Internal_lists_bugs!$A$2:$C$73,3,FALSE())&amp;Char(10) &amp; Char(10) &amp; VLOOKUP(A408,Internal_lists_bugs!$A$2:$Z$73,26,FALSE())),"please select a BUG ID")</f>
        <v>please select a BUG ID</v>
      </c>
      <c r="C408" s="51" t="str">
        <f>IFERROR(VLOOKUP(A408,Internal_lists_bugs!$A$2:$G1001,7,FALSE()),"please select a BUG ID")</f>
        <v>please select a BUG ID</v>
      </c>
      <c r="D408" s="51" t="str">
        <f>IFERROR(VLOOKUP(A408,Internal_lists_bugs!$A$2:$I1001,9,FALSE()),"please select a BUG ID")</f>
        <v>please select a BUG ID</v>
      </c>
      <c r="E408" s="105"/>
      <c r="G408" s="54"/>
      <c r="H408" s="105"/>
    </row>
    <row r="409">
      <c r="A409" s="54"/>
      <c r="B409" s="88" t="str">
        <f>IFERROR(HYPERLINK(VLOOKUP(A409,Internal_lists_bugs!$A$2:$C$73,3,FALSE()), VLOOKUP(A409,Internal_lists_bugs!$A$2:$C$73,3,FALSE())&amp;Char(10) &amp; Char(10) &amp; VLOOKUP(A409,Internal_lists_bugs!$A$2:$Z$73,26,FALSE())),"please select a BUG ID")</f>
        <v>please select a BUG ID</v>
      </c>
      <c r="C409" s="51" t="str">
        <f>IFERROR(VLOOKUP(A409,Internal_lists_bugs!$A$2:$G1001,7,FALSE()),"please select a BUG ID")</f>
        <v>please select a BUG ID</v>
      </c>
      <c r="D409" s="51" t="str">
        <f>IFERROR(VLOOKUP(A409,Internal_lists_bugs!$A$2:$I1001,9,FALSE()),"please select a BUG ID")</f>
        <v>please select a BUG ID</v>
      </c>
      <c r="E409" s="105"/>
      <c r="G409" s="54"/>
      <c r="H409" s="105"/>
    </row>
    <row r="410">
      <c r="A410" s="54"/>
      <c r="B410" s="88" t="str">
        <f>IFERROR(HYPERLINK(VLOOKUP(A410,Internal_lists_bugs!$A$2:$C$73,3,FALSE()), VLOOKUP(A410,Internal_lists_bugs!$A$2:$C$73,3,FALSE())&amp;Char(10) &amp; Char(10) &amp; VLOOKUP(A410,Internal_lists_bugs!$A$2:$Z$73,26,FALSE())),"please select a BUG ID")</f>
        <v>please select a BUG ID</v>
      </c>
      <c r="C410" s="51" t="str">
        <f>IFERROR(VLOOKUP(A410,Internal_lists_bugs!$A$2:$G1001,7,FALSE()),"please select a BUG ID")</f>
        <v>please select a BUG ID</v>
      </c>
      <c r="D410" s="51" t="str">
        <f>IFERROR(VLOOKUP(A410,Internal_lists_bugs!$A$2:$I1001,9,FALSE()),"please select a BUG ID")</f>
        <v>please select a BUG ID</v>
      </c>
      <c r="E410" s="105"/>
      <c r="G410" s="54"/>
      <c r="H410" s="105"/>
    </row>
    <row r="411">
      <c r="A411" s="54"/>
      <c r="B411" s="88" t="str">
        <f>IFERROR(HYPERLINK(VLOOKUP(A411,Internal_lists_bugs!$A$2:$C$73,3,FALSE()), VLOOKUP(A411,Internal_lists_bugs!$A$2:$C$73,3,FALSE())&amp;Char(10) &amp; Char(10) &amp; VLOOKUP(A411,Internal_lists_bugs!$A$2:$Z$73,26,FALSE())),"please select a BUG ID")</f>
        <v>please select a BUG ID</v>
      </c>
      <c r="C411" s="51" t="str">
        <f>IFERROR(VLOOKUP(A411,Internal_lists_bugs!$A$2:$G1001,7,FALSE()),"please select a BUG ID")</f>
        <v>please select a BUG ID</v>
      </c>
      <c r="D411" s="51" t="str">
        <f>IFERROR(VLOOKUP(A411,Internal_lists_bugs!$A$2:$I1001,9,FALSE()),"please select a BUG ID")</f>
        <v>please select a BUG ID</v>
      </c>
      <c r="E411" s="105"/>
      <c r="G411" s="54"/>
      <c r="H411" s="105"/>
    </row>
    <row r="412">
      <c r="A412" s="54"/>
      <c r="B412" s="88" t="str">
        <f>IFERROR(HYPERLINK(VLOOKUP(A412,Internal_lists_bugs!$A$2:$C$73,3,FALSE()), VLOOKUP(A412,Internal_lists_bugs!$A$2:$C$73,3,FALSE())&amp;Char(10) &amp; Char(10) &amp; VLOOKUP(A412,Internal_lists_bugs!$A$2:$Z$73,26,FALSE())),"please select a BUG ID")</f>
        <v>please select a BUG ID</v>
      </c>
      <c r="C412" s="51" t="str">
        <f>IFERROR(VLOOKUP(A412,Internal_lists_bugs!$A$2:$G1001,7,FALSE()),"please select a BUG ID")</f>
        <v>please select a BUG ID</v>
      </c>
      <c r="D412" s="51" t="str">
        <f>IFERROR(VLOOKUP(A412,Internal_lists_bugs!$A$2:$I1001,9,FALSE()),"please select a BUG ID")</f>
        <v>please select a BUG ID</v>
      </c>
      <c r="E412" s="105"/>
      <c r="G412" s="54"/>
      <c r="H412" s="105"/>
    </row>
    <row r="413">
      <c r="A413" s="54"/>
      <c r="B413" s="88" t="str">
        <f>IFERROR(HYPERLINK(VLOOKUP(A413,Internal_lists_bugs!$A$2:$C$73,3,FALSE()), VLOOKUP(A413,Internal_lists_bugs!$A$2:$C$73,3,FALSE())&amp;Char(10) &amp; Char(10) &amp; VLOOKUP(A413,Internal_lists_bugs!$A$2:$Z$73,26,FALSE())),"please select a BUG ID")</f>
        <v>please select a BUG ID</v>
      </c>
      <c r="C413" s="51" t="str">
        <f>IFERROR(VLOOKUP(A413,Internal_lists_bugs!$A$2:$G1001,7,FALSE()),"please select a BUG ID")</f>
        <v>please select a BUG ID</v>
      </c>
      <c r="D413" s="51" t="str">
        <f>IFERROR(VLOOKUP(A413,Internal_lists_bugs!$A$2:$I1001,9,FALSE()),"please select a BUG ID")</f>
        <v>please select a BUG ID</v>
      </c>
      <c r="E413" s="105"/>
      <c r="G413" s="54"/>
      <c r="H413" s="105"/>
    </row>
    <row r="414">
      <c r="A414" s="54"/>
      <c r="B414" s="88" t="str">
        <f>IFERROR(HYPERLINK(VLOOKUP(A414,Internal_lists_bugs!$A$2:$C$73,3,FALSE()), VLOOKUP(A414,Internal_lists_bugs!$A$2:$C$73,3,FALSE())&amp;Char(10) &amp; Char(10) &amp; VLOOKUP(A414,Internal_lists_bugs!$A$2:$Z$73,26,FALSE())),"please select a BUG ID")</f>
        <v>please select a BUG ID</v>
      </c>
      <c r="C414" s="51" t="str">
        <f>IFERROR(VLOOKUP(A414,Internal_lists_bugs!$A$2:$G1001,7,FALSE()),"please select a BUG ID")</f>
        <v>please select a BUG ID</v>
      </c>
      <c r="D414" s="51" t="str">
        <f>IFERROR(VLOOKUP(A414,Internal_lists_bugs!$A$2:$I1001,9,FALSE()),"please select a BUG ID")</f>
        <v>please select a BUG ID</v>
      </c>
      <c r="E414" s="105"/>
      <c r="G414" s="54"/>
      <c r="H414" s="105"/>
    </row>
    <row r="415">
      <c r="A415" s="54"/>
      <c r="B415" s="88" t="str">
        <f>IFERROR(HYPERLINK(VLOOKUP(A415,Internal_lists_bugs!$A$2:$C$73,3,FALSE()), VLOOKUP(A415,Internal_lists_bugs!$A$2:$C$73,3,FALSE())&amp;Char(10) &amp; Char(10) &amp; VLOOKUP(A415,Internal_lists_bugs!$A$2:$Z$73,26,FALSE())),"please select a BUG ID")</f>
        <v>please select a BUG ID</v>
      </c>
      <c r="C415" s="51" t="str">
        <f>IFERROR(VLOOKUP(A415,Internal_lists_bugs!$A$2:$G1001,7,FALSE()),"please select a BUG ID")</f>
        <v>please select a BUG ID</v>
      </c>
      <c r="D415" s="51" t="str">
        <f>IFERROR(VLOOKUP(A415,Internal_lists_bugs!$A$2:$I1001,9,FALSE()),"please select a BUG ID")</f>
        <v>please select a BUG ID</v>
      </c>
      <c r="E415" s="105"/>
      <c r="G415" s="54"/>
      <c r="H415" s="105"/>
    </row>
    <row r="416">
      <c r="A416" s="54"/>
      <c r="B416" s="88" t="str">
        <f>IFERROR(HYPERLINK(VLOOKUP(A416,Internal_lists_bugs!$A$2:$C$73,3,FALSE()), VLOOKUP(A416,Internal_lists_bugs!$A$2:$C$73,3,FALSE())&amp;Char(10) &amp; Char(10) &amp; VLOOKUP(A416,Internal_lists_bugs!$A$2:$Z$73,26,FALSE())),"please select a BUG ID")</f>
        <v>please select a BUG ID</v>
      </c>
      <c r="C416" s="51" t="str">
        <f>IFERROR(VLOOKUP(A416,Internal_lists_bugs!$A$2:$G1001,7,FALSE()),"please select a BUG ID")</f>
        <v>please select a BUG ID</v>
      </c>
      <c r="D416" s="51" t="str">
        <f>IFERROR(VLOOKUP(A416,Internal_lists_bugs!$A$2:$I1001,9,FALSE()),"please select a BUG ID")</f>
        <v>please select a BUG ID</v>
      </c>
      <c r="E416" s="105"/>
      <c r="G416" s="54"/>
      <c r="H416" s="105"/>
    </row>
    <row r="417">
      <c r="A417" s="54"/>
      <c r="B417" s="88" t="str">
        <f>IFERROR(HYPERLINK(VLOOKUP(A417,Internal_lists_bugs!$A$2:$C$73,3,FALSE()), VLOOKUP(A417,Internal_lists_bugs!$A$2:$C$73,3,FALSE())&amp;Char(10) &amp; Char(10) &amp; VLOOKUP(A417,Internal_lists_bugs!$A$2:$Z$73,26,FALSE())),"please select a BUG ID")</f>
        <v>please select a BUG ID</v>
      </c>
      <c r="C417" s="51" t="str">
        <f>IFERROR(VLOOKUP(A417,Internal_lists_bugs!$A$2:$G1001,7,FALSE()),"please select a BUG ID")</f>
        <v>please select a BUG ID</v>
      </c>
      <c r="D417" s="51" t="str">
        <f>IFERROR(VLOOKUP(A417,Internal_lists_bugs!$A$2:$I1001,9,FALSE()),"please select a BUG ID")</f>
        <v>please select a BUG ID</v>
      </c>
      <c r="E417" s="105"/>
      <c r="G417" s="54"/>
      <c r="H417" s="105"/>
    </row>
    <row r="418">
      <c r="A418" s="54"/>
      <c r="B418" s="88" t="str">
        <f>IFERROR(HYPERLINK(VLOOKUP(A418,Internal_lists_bugs!$A$2:$C$73,3,FALSE()), VLOOKUP(A418,Internal_lists_bugs!$A$2:$C$73,3,FALSE())&amp;Char(10) &amp; Char(10) &amp; VLOOKUP(A418,Internal_lists_bugs!$A$2:$Z$73,26,FALSE())),"please select a BUG ID")</f>
        <v>please select a BUG ID</v>
      </c>
      <c r="C418" s="51" t="str">
        <f>IFERROR(VLOOKUP(A418,Internal_lists_bugs!$A$2:$G1001,7,FALSE()),"please select a BUG ID")</f>
        <v>please select a BUG ID</v>
      </c>
      <c r="D418" s="51" t="str">
        <f>IFERROR(VLOOKUP(A418,Internal_lists_bugs!$A$2:$I1001,9,FALSE()),"please select a BUG ID")</f>
        <v>please select a BUG ID</v>
      </c>
      <c r="E418" s="105"/>
      <c r="G418" s="54"/>
      <c r="H418" s="105"/>
    </row>
    <row r="419">
      <c r="A419" s="54"/>
      <c r="B419" s="88" t="str">
        <f>IFERROR(HYPERLINK(VLOOKUP(A419,Internal_lists_bugs!$A$2:$C$73,3,FALSE()), VLOOKUP(A419,Internal_lists_bugs!$A$2:$C$73,3,FALSE())&amp;Char(10) &amp; Char(10) &amp; VLOOKUP(A419,Internal_lists_bugs!$A$2:$Z$73,26,FALSE())),"please select a BUG ID")</f>
        <v>please select a BUG ID</v>
      </c>
      <c r="C419" s="51" t="str">
        <f>IFERROR(VLOOKUP(A419,Internal_lists_bugs!$A$2:$G1001,7,FALSE()),"please select a BUG ID")</f>
        <v>please select a BUG ID</v>
      </c>
      <c r="D419" s="51" t="str">
        <f>IFERROR(VLOOKUP(A419,Internal_lists_bugs!$A$2:$I1001,9,FALSE()),"please select a BUG ID")</f>
        <v>please select a BUG ID</v>
      </c>
      <c r="E419" s="105"/>
      <c r="G419" s="54"/>
      <c r="H419" s="105"/>
    </row>
    <row r="420">
      <c r="A420" s="54"/>
      <c r="B420" s="88" t="str">
        <f>IFERROR(HYPERLINK(VLOOKUP(A420,Internal_lists_bugs!$A$2:$C$73,3,FALSE()), VLOOKUP(A420,Internal_lists_bugs!$A$2:$C$73,3,FALSE())&amp;Char(10) &amp; Char(10) &amp; VLOOKUP(A420,Internal_lists_bugs!$A$2:$Z$73,26,FALSE())),"please select a BUG ID")</f>
        <v>please select a BUG ID</v>
      </c>
      <c r="C420" s="51" t="str">
        <f>IFERROR(VLOOKUP(A420,Internal_lists_bugs!$A$2:$G1001,7,FALSE()),"please select a BUG ID")</f>
        <v>please select a BUG ID</v>
      </c>
      <c r="D420" s="51" t="str">
        <f>IFERROR(VLOOKUP(A420,Internal_lists_bugs!$A$2:$I1001,9,FALSE()),"please select a BUG ID")</f>
        <v>please select a BUG ID</v>
      </c>
      <c r="E420" s="105"/>
      <c r="G420" s="54"/>
      <c r="H420" s="105"/>
    </row>
    <row r="421">
      <c r="A421" s="54"/>
      <c r="B421" s="88" t="str">
        <f>IFERROR(HYPERLINK(VLOOKUP(A421,Internal_lists_bugs!$A$2:$C$73,3,FALSE()), VLOOKUP(A421,Internal_lists_bugs!$A$2:$C$73,3,FALSE())&amp;Char(10) &amp; Char(10) &amp; VLOOKUP(A421,Internal_lists_bugs!$A$2:$Z$73,26,FALSE())),"please select a BUG ID")</f>
        <v>please select a BUG ID</v>
      </c>
      <c r="C421" s="51" t="str">
        <f>IFERROR(VLOOKUP(A421,Internal_lists_bugs!$A$2:$G1001,7,FALSE()),"please select a BUG ID")</f>
        <v>please select a BUG ID</v>
      </c>
      <c r="D421" s="51" t="str">
        <f>IFERROR(VLOOKUP(A421,Internal_lists_bugs!$A$2:$I1001,9,FALSE()),"please select a BUG ID")</f>
        <v>please select a BUG ID</v>
      </c>
      <c r="E421" s="105"/>
      <c r="G421" s="54"/>
      <c r="H421" s="105"/>
    </row>
    <row r="422">
      <c r="A422" s="54"/>
      <c r="B422" s="88" t="str">
        <f>IFERROR(HYPERLINK(VLOOKUP(A422,Internal_lists_bugs!$A$2:$C$73,3,FALSE()), VLOOKUP(A422,Internal_lists_bugs!$A$2:$C$73,3,FALSE())&amp;Char(10) &amp; Char(10) &amp; VLOOKUP(A422,Internal_lists_bugs!$A$2:$Z$73,26,FALSE())),"please select a BUG ID")</f>
        <v>please select a BUG ID</v>
      </c>
      <c r="C422" s="51" t="str">
        <f>IFERROR(VLOOKUP(A422,Internal_lists_bugs!$A$2:$G1001,7,FALSE()),"please select a BUG ID")</f>
        <v>please select a BUG ID</v>
      </c>
      <c r="D422" s="51" t="str">
        <f>IFERROR(VLOOKUP(A422,Internal_lists_bugs!$A$2:$I1001,9,FALSE()),"please select a BUG ID")</f>
        <v>please select a BUG ID</v>
      </c>
      <c r="E422" s="105"/>
      <c r="G422" s="54"/>
      <c r="H422" s="105"/>
    </row>
    <row r="423">
      <c r="A423" s="54"/>
      <c r="B423" s="88" t="str">
        <f>IFERROR(HYPERLINK(VLOOKUP(A423,Internal_lists_bugs!$A$2:$C$73,3,FALSE()), VLOOKUP(A423,Internal_lists_bugs!$A$2:$C$73,3,FALSE())&amp;Char(10) &amp; Char(10) &amp; VLOOKUP(A423,Internal_lists_bugs!$A$2:$Z$73,26,FALSE())),"please select a BUG ID")</f>
        <v>please select a BUG ID</v>
      </c>
      <c r="C423" s="51" t="str">
        <f>IFERROR(VLOOKUP(A423,Internal_lists_bugs!$A$2:$G1001,7,FALSE()),"please select a BUG ID")</f>
        <v>please select a BUG ID</v>
      </c>
      <c r="D423" s="51" t="str">
        <f>IFERROR(VLOOKUP(A423,Internal_lists_bugs!$A$2:$I1001,9,FALSE()),"please select a BUG ID")</f>
        <v>please select a BUG ID</v>
      </c>
      <c r="E423" s="105"/>
      <c r="G423" s="54"/>
      <c r="H423" s="105"/>
    </row>
    <row r="424">
      <c r="A424" s="54"/>
      <c r="B424" s="88" t="str">
        <f>IFERROR(HYPERLINK(VLOOKUP(A424,Internal_lists_bugs!$A$2:$C$73,3,FALSE()), VLOOKUP(A424,Internal_lists_bugs!$A$2:$C$73,3,FALSE())&amp;Char(10) &amp; Char(10) &amp; VLOOKUP(A424,Internal_lists_bugs!$A$2:$Z$73,26,FALSE())),"please select a BUG ID")</f>
        <v>please select a BUG ID</v>
      </c>
      <c r="C424" s="51" t="str">
        <f>IFERROR(VLOOKUP(A424,Internal_lists_bugs!$A$2:$G1001,7,FALSE()),"please select a BUG ID")</f>
        <v>please select a BUG ID</v>
      </c>
      <c r="D424" s="51" t="str">
        <f>IFERROR(VLOOKUP(A424,Internal_lists_bugs!$A$2:$I1001,9,FALSE()),"please select a BUG ID")</f>
        <v>please select a BUG ID</v>
      </c>
      <c r="E424" s="105"/>
      <c r="G424" s="54"/>
      <c r="H424" s="105"/>
    </row>
    <row r="425">
      <c r="A425" s="54"/>
      <c r="B425" s="88" t="str">
        <f>IFERROR(HYPERLINK(VLOOKUP(A425,Internal_lists_bugs!$A$2:$C$73,3,FALSE()), VLOOKUP(A425,Internal_lists_bugs!$A$2:$C$73,3,FALSE())&amp;Char(10) &amp; Char(10) &amp; VLOOKUP(A425,Internal_lists_bugs!$A$2:$Z$73,26,FALSE())),"please select a BUG ID")</f>
        <v>please select a BUG ID</v>
      </c>
      <c r="C425" s="51" t="str">
        <f>IFERROR(VLOOKUP(A425,Internal_lists_bugs!$A$2:$G1001,7,FALSE()),"please select a BUG ID")</f>
        <v>please select a BUG ID</v>
      </c>
      <c r="D425" s="51" t="str">
        <f>IFERROR(VLOOKUP(A425,Internal_lists_bugs!$A$2:$I1001,9,FALSE()),"please select a BUG ID")</f>
        <v>please select a BUG ID</v>
      </c>
      <c r="E425" s="105"/>
      <c r="G425" s="54"/>
      <c r="H425" s="105"/>
    </row>
    <row r="426">
      <c r="A426" s="54"/>
      <c r="B426" s="88" t="str">
        <f>IFERROR(HYPERLINK(VLOOKUP(A426,Internal_lists_bugs!$A$2:$C$73,3,FALSE()), VLOOKUP(A426,Internal_lists_bugs!$A$2:$C$73,3,FALSE())&amp;Char(10) &amp; Char(10) &amp; VLOOKUP(A426,Internal_lists_bugs!$A$2:$Z$73,26,FALSE())),"please select a BUG ID")</f>
        <v>please select a BUG ID</v>
      </c>
      <c r="C426" s="51" t="str">
        <f>IFERROR(VLOOKUP(A426,Internal_lists_bugs!$A$2:$G1001,7,FALSE()),"please select a BUG ID")</f>
        <v>please select a BUG ID</v>
      </c>
      <c r="D426" s="51" t="str">
        <f>IFERROR(VLOOKUP(A426,Internal_lists_bugs!$A$2:$I1001,9,FALSE()),"please select a BUG ID")</f>
        <v>please select a BUG ID</v>
      </c>
      <c r="E426" s="105"/>
      <c r="G426" s="54"/>
      <c r="H426" s="105"/>
    </row>
    <row r="427">
      <c r="A427" s="54"/>
      <c r="B427" s="88" t="str">
        <f>IFERROR(HYPERLINK(VLOOKUP(A427,Internal_lists_bugs!$A$2:$C$73,3,FALSE()), VLOOKUP(A427,Internal_lists_bugs!$A$2:$C$73,3,FALSE())&amp;Char(10) &amp; Char(10) &amp; VLOOKUP(A427,Internal_lists_bugs!$A$2:$Z$73,26,FALSE())),"please select a BUG ID")</f>
        <v>please select a BUG ID</v>
      </c>
      <c r="C427" s="51" t="str">
        <f>IFERROR(VLOOKUP(A427,Internal_lists_bugs!$A$2:$G1001,7,FALSE()),"please select a BUG ID")</f>
        <v>please select a BUG ID</v>
      </c>
      <c r="D427" s="51" t="str">
        <f>IFERROR(VLOOKUP(A427,Internal_lists_bugs!$A$2:$I1001,9,FALSE()),"please select a BUG ID")</f>
        <v>please select a BUG ID</v>
      </c>
      <c r="E427" s="105"/>
      <c r="G427" s="54"/>
      <c r="H427" s="105"/>
    </row>
    <row r="428">
      <c r="A428" s="54"/>
      <c r="B428" s="88" t="str">
        <f>IFERROR(HYPERLINK(VLOOKUP(A428,Internal_lists_bugs!$A$2:$C$73,3,FALSE()), VLOOKUP(A428,Internal_lists_bugs!$A$2:$C$73,3,FALSE())&amp;Char(10) &amp; Char(10) &amp; VLOOKUP(A428,Internal_lists_bugs!$A$2:$Z$73,26,FALSE())),"please select a BUG ID")</f>
        <v>please select a BUG ID</v>
      </c>
      <c r="C428" s="51" t="str">
        <f>IFERROR(VLOOKUP(A428,Internal_lists_bugs!$A$2:$G1001,7,FALSE()),"please select a BUG ID")</f>
        <v>please select a BUG ID</v>
      </c>
      <c r="D428" s="51" t="str">
        <f>IFERROR(VLOOKUP(A428,Internal_lists_bugs!$A$2:$I1001,9,FALSE()),"please select a BUG ID")</f>
        <v>please select a BUG ID</v>
      </c>
      <c r="E428" s="105"/>
      <c r="G428" s="54"/>
      <c r="H428" s="105"/>
    </row>
    <row r="429">
      <c r="A429" s="54"/>
      <c r="B429" s="88" t="str">
        <f>IFERROR(HYPERLINK(VLOOKUP(A429,Internal_lists_bugs!$A$2:$C$73,3,FALSE()), VLOOKUP(A429,Internal_lists_bugs!$A$2:$C$73,3,FALSE())&amp;Char(10) &amp; Char(10) &amp; VLOOKUP(A429,Internal_lists_bugs!$A$2:$Z$73,26,FALSE())),"please select a BUG ID")</f>
        <v>please select a BUG ID</v>
      </c>
      <c r="C429" s="51" t="str">
        <f>IFERROR(VLOOKUP(A429,Internal_lists_bugs!$A$2:$G1001,7,FALSE()),"please select a BUG ID")</f>
        <v>please select a BUG ID</v>
      </c>
      <c r="D429" s="51" t="str">
        <f>IFERROR(VLOOKUP(A429,Internal_lists_bugs!$A$2:$I1001,9,FALSE()),"please select a BUG ID")</f>
        <v>please select a BUG ID</v>
      </c>
      <c r="E429" s="105"/>
      <c r="G429" s="54"/>
      <c r="H429" s="105"/>
    </row>
    <row r="430">
      <c r="A430" s="54"/>
      <c r="B430" s="88" t="str">
        <f>IFERROR(HYPERLINK(VLOOKUP(A430,Internal_lists_bugs!$A$2:$C$73,3,FALSE()), VLOOKUP(A430,Internal_lists_bugs!$A$2:$C$73,3,FALSE())&amp;Char(10) &amp; Char(10) &amp; VLOOKUP(A430,Internal_lists_bugs!$A$2:$Z$73,26,FALSE())),"please select a BUG ID")</f>
        <v>please select a BUG ID</v>
      </c>
      <c r="C430" s="51" t="str">
        <f>IFERROR(VLOOKUP(A430,Internal_lists_bugs!$A$2:$G1001,7,FALSE()),"please select a BUG ID")</f>
        <v>please select a BUG ID</v>
      </c>
      <c r="D430" s="51" t="str">
        <f>IFERROR(VLOOKUP(A430,Internal_lists_bugs!$A$2:$I1001,9,FALSE()),"please select a BUG ID")</f>
        <v>please select a BUG ID</v>
      </c>
      <c r="E430" s="105"/>
      <c r="G430" s="54"/>
      <c r="H430" s="105"/>
    </row>
    <row r="431">
      <c r="A431" s="54"/>
      <c r="B431" s="88" t="str">
        <f>IFERROR(HYPERLINK(VLOOKUP(A431,Internal_lists_bugs!$A$2:$C$73,3,FALSE()), VLOOKUP(A431,Internal_lists_bugs!$A$2:$C$73,3,FALSE())&amp;Char(10) &amp; Char(10) &amp; VLOOKUP(A431,Internal_lists_bugs!$A$2:$Z$73,26,FALSE())),"please select a BUG ID")</f>
        <v>please select a BUG ID</v>
      </c>
      <c r="C431" s="51" t="str">
        <f>IFERROR(VLOOKUP(A431,Internal_lists_bugs!$A$2:$G1001,7,FALSE()),"please select a BUG ID")</f>
        <v>please select a BUG ID</v>
      </c>
      <c r="D431" s="51" t="str">
        <f>IFERROR(VLOOKUP(A431,Internal_lists_bugs!$A$2:$I1001,9,FALSE()),"please select a BUG ID")</f>
        <v>please select a BUG ID</v>
      </c>
      <c r="E431" s="105"/>
      <c r="G431" s="54"/>
      <c r="H431" s="105"/>
    </row>
    <row r="432">
      <c r="A432" s="54"/>
      <c r="B432" s="88" t="str">
        <f>IFERROR(HYPERLINK(VLOOKUP(A432,Internal_lists_bugs!$A$2:$C$73,3,FALSE()), VLOOKUP(A432,Internal_lists_bugs!$A$2:$C$73,3,FALSE())&amp;Char(10) &amp; Char(10) &amp; VLOOKUP(A432,Internal_lists_bugs!$A$2:$Z$73,26,FALSE())),"please select a BUG ID")</f>
        <v>please select a BUG ID</v>
      </c>
      <c r="C432" s="51" t="str">
        <f>IFERROR(VLOOKUP(A432,Internal_lists_bugs!$A$2:$G1001,7,FALSE()),"please select a BUG ID")</f>
        <v>please select a BUG ID</v>
      </c>
      <c r="D432" s="51" t="str">
        <f>IFERROR(VLOOKUP(A432,Internal_lists_bugs!$A$2:$I1001,9,FALSE()),"please select a BUG ID")</f>
        <v>please select a BUG ID</v>
      </c>
      <c r="E432" s="105"/>
      <c r="G432" s="54"/>
      <c r="H432" s="105"/>
    </row>
    <row r="433">
      <c r="A433" s="54"/>
      <c r="B433" s="88" t="str">
        <f>IFERROR(HYPERLINK(VLOOKUP(A433,Internal_lists_bugs!$A$2:$C$73,3,FALSE()), VLOOKUP(A433,Internal_lists_bugs!$A$2:$C$73,3,FALSE())&amp;Char(10) &amp; Char(10) &amp; VLOOKUP(A433,Internal_lists_bugs!$A$2:$Z$73,26,FALSE())),"please select a BUG ID")</f>
        <v>please select a BUG ID</v>
      </c>
      <c r="C433" s="51" t="str">
        <f>IFERROR(VLOOKUP(A433,Internal_lists_bugs!$A$2:$G1001,7,FALSE()),"please select a BUG ID")</f>
        <v>please select a BUG ID</v>
      </c>
      <c r="D433" s="51" t="str">
        <f>IFERROR(VLOOKUP(A433,Internal_lists_bugs!$A$2:$I1001,9,FALSE()),"please select a BUG ID")</f>
        <v>please select a BUG ID</v>
      </c>
      <c r="E433" s="105"/>
      <c r="G433" s="54"/>
      <c r="H433" s="105"/>
    </row>
    <row r="434">
      <c r="A434" s="54"/>
      <c r="B434" s="88" t="str">
        <f>IFERROR(HYPERLINK(VLOOKUP(A434,Internal_lists_bugs!$A$2:$C$73,3,FALSE()), VLOOKUP(A434,Internal_lists_bugs!$A$2:$C$73,3,FALSE())&amp;Char(10) &amp; Char(10) &amp; VLOOKUP(A434,Internal_lists_bugs!$A$2:$Z$73,26,FALSE())),"please select a BUG ID")</f>
        <v>please select a BUG ID</v>
      </c>
      <c r="C434" s="51" t="str">
        <f>IFERROR(VLOOKUP(A434,Internal_lists_bugs!$A$2:$G1001,7,FALSE()),"please select a BUG ID")</f>
        <v>please select a BUG ID</v>
      </c>
      <c r="D434" s="51" t="str">
        <f>IFERROR(VLOOKUP(A434,Internal_lists_bugs!$A$2:$I1001,9,FALSE()),"please select a BUG ID")</f>
        <v>please select a BUG ID</v>
      </c>
      <c r="E434" s="105"/>
      <c r="G434" s="54"/>
      <c r="H434" s="105"/>
    </row>
    <row r="435">
      <c r="A435" s="54"/>
      <c r="B435" s="88" t="str">
        <f>IFERROR(HYPERLINK(VLOOKUP(A435,Internal_lists_bugs!$A$2:$C$73,3,FALSE()), VLOOKUP(A435,Internal_lists_bugs!$A$2:$C$73,3,FALSE())&amp;Char(10) &amp; Char(10) &amp; VLOOKUP(A435,Internal_lists_bugs!$A$2:$Z$73,26,FALSE())),"please select a BUG ID")</f>
        <v>please select a BUG ID</v>
      </c>
      <c r="C435" s="51" t="str">
        <f>IFERROR(VLOOKUP(A435,Internal_lists_bugs!$A$2:$G1001,7,FALSE()),"please select a BUG ID")</f>
        <v>please select a BUG ID</v>
      </c>
      <c r="D435" s="51" t="str">
        <f>IFERROR(VLOOKUP(A435,Internal_lists_bugs!$A$2:$I1001,9,FALSE()),"please select a BUG ID")</f>
        <v>please select a BUG ID</v>
      </c>
      <c r="E435" s="105"/>
      <c r="G435" s="54"/>
      <c r="H435" s="105"/>
    </row>
    <row r="436">
      <c r="A436" s="54"/>
      <c r="B436" s="88" t="str">
        <f>IFERROR(HYPERLINK(VLOOKUP(A436,Internal_lists_bugs!$A$2:$C$73,3,FALSE()), VLOOKUP(A436,Internal_lists_bugs!$A$2:$C$73,3,FALSE())&amp;Char(10) &amp; Char(10) &amp; VLOOKUP(A436,Internal_lists_bugs!$A$2:$Z$73,26,FALSE())),"please select a BUG ID")</f>
        <v>please select a BUG ID</v>
      </c>
      <c r="C436" s="51" t="str">
        <f>IFERROR(VLOOKUP(A436,Internal_lists_bugs!$A$2:$G1001,7,FALSE()),"please select a BUG ID")</f>
        <v>please select a BUG ID</v>
      </c>
      <c r="D436" s="51" t="str">
        <f>IFERROR(VLOOKUP(A436,Internal_lists_bugs!$A$2:$I1001,9,FALSE()),"please select a BUG ID")</f>
        <v>please select a BUG ID</v>
      </c>
      <c r="E436" s="105"/>
      <c r="G436" s="54"/>
      <c r="H436" s="105"/>
    </row>
    <row r="437">
      <c r="A437" s="54"/>
      <c r="B437" s="88" t="str">
        <f>IFERROR(HYPERLINK(VLOOKUP(A437,Internal_lists_bugs!$A$2:$C$73,3,FALSE()), VLOOKUP(A437,Internal_lists_bugs!$A$2:$C$73,3,FALSE())&amp;Char(10) &amp; Char(10) &amp; VLOOKUP(A437,Internal_lists_bugs!$A$2:$Z$73,26,FALSE())),"please select a BUG ID")</f>
        <v>please select a BUG ID</v>
      </c>
      <c r="C437" s="51" t="str">
        <f>IFERROR(VLOOKUP(A437,Internal_lists_bugs!$A$2:$G1001,7,FALSE()),"please select a BUG ID")</f>
        <v>please select a BUG ID</v>
      </c>
      <c r="D437" s="51" t="str">
        <f>IFERROR(VLOOKUP(A437,Internal_lists_bugs!$A$2:$I1001,9,FALSE()),"please select a BUG ID")</f>
        <v>please select a BUG ID</v>
      </c>
      <c r="E437" s="105"/>
      <c r="G437" s="54"/>
      <c r="H437" s="105"/>
    </row>
    <row r="438">
      <c r="A438" s="54"/>
      <c r="B438" s="88" t="str">
        <f>IFERROR(HYPERLINK(VLOOKUP(A438,Internal_lists_bugs!$A$2:$C$73,3,FALSE()), VLOOKUP(A438,Internal_lists_bugs!$A$2:$C$73,3,FALSE())&amp;Char(10) &amp; Char(10) &amp; VLOOKUP(A438,Internal_lists_bugs!$A$2:$Z$73,26,FALSE())),"please select a BUG ID")</f>
        <v>please select a BUG ID</v>
      </c>
      <c r="C438" s="51" t="str">
        <f>IFERROR(VLOOKUP(A438,Internal_lists_bugs!$A$2:$G1001,7,FALSE()),"please select a BUG ID")</f>
        <v>please select a BUG ID</v>
      </c>
      <c r="D438" s="51" t="str">
        <f>IFERROR(VLOOKUP(A438,Internal_lists_bugs!$A$2:$I1001,9,FALSE()),"please select a BUG ID")</f>
        <v>please select a BUG ID</v>
      </c>
      <c r="E438" s="105"/>
      <c r="G438" s="54"/>
      <c r="H438" s="105"/>
    </row>
    <row r="439">
      <c r="A439" s="54"/>
      <c r="B439" s="88" t="str">
        <f>IFERROR(HYPERLINK(VLOOKUP(A439,Internal_lists_bugs!$A$2:$C$73,3,FALSE()), VLOOKUP(A439,Internal_lists_bugs!$A$2:$C$73,3,FALSE())&amp;Char(10) &amp; Char(10) &amp; VLOOKUP(A439,Internal_lists_bugs!$A$2:$Z$73,26,FALSE())),"please select a BUG ID")</f>
        <v>please select a BUG ID</v>
      </c>
      <c r="C439" s="51" t="str">
        <f>IFERROR(VLOOKUP(A439,Internal_lists_bugs!$A$2:$G1001,7,FALSE()),"please select a BUG ID")</f>
        <v>please select a BUG ID</v>
      </c>
      <c r="D439" s="51" t="str">
        <f>IFERROR(VLOOKUP(A439,Internal_lists_bugs!$A$2:$I1001,9,FALSE()),"please select a BUG ID")</f>
        <v>please select a BUG ID</v>
      </c>
      <c r="E439" s="105"/>
      <c r="G439" s="54"/>
      <c r="H439" s="105"/>
    </row>
    <row r="440">
      <c r="A440" s="54"/>
      <c r="B440" s="88" t="str">
        <f>IFERROR(HYPERLINK(VLOOKUP(A440,Internal_lists_bugs!$A$2:$C$73,3,FALSE()), VLOOKUP(A440,Internal_lists_bugs!$A$2:$C$73,3,FALSE())&amp;Char(10) &amp; Char(10) &amp; VLOOKUP(A440,Internal_lists_bugs!$A$2:$Z$73,26,FALSE())),"please select a BUG ID")</f>
        <v>please select a BUG ID</v>
      </c>
      <c r="C440" s="51" t="str">
        <f>IFERROR(VLOOKUP(A440,Internal_lists_bugs!$A$2:$G1001,7,FALSE()),"please select a BUG ID")</f>
        <v>please select a BUG ID</v>
      </c>
      <c r="D440" s="51" t="str">
        <f>IFERROR(VLOOKUP(A440,Internal_lists_bugs!$A$2:$I1001,9,FALSE()),"please select a BUG ID")</f>
        <v>please select a BUG ID</v>
      </c>
      <c r="E440" s="105"/>
      <c r="G440" s="54"/>
      <c r="H440" s="105"/>
    </row>
    <row r="441">
      <c r="A441" s="54"/>
      <c r="B441" s="88" t="str">
        <f>IFERROR(HYPERLINK(VLOOKUP(A441,Internal_lists_bugs!$A$2:$C$73,3,FALSE()), VLOOKUP(A441,Internal_lists_bugs!$A$2:$C$73,3,FALSE())&amp;Char(10) &amp; Char(10) &amp; VLOOKUP(A441,Internal_lists_bugs!$A$2:$Z$73,26,FALSE())),"please select a BUG ID")</f>
        <v>please select a BUG ID</v>
      </c>
      <c r="C441" s="51" t="str">
        <f>IFERROR(VLOOKUP(A441,Internal_lists_bugs!$A$2:$G1001,7,FALSE()),"please select a BUG ID")</f>
        <v>please select a BUG ID</v>
      </c>
      <c r="D441" s="51" t="str">
        <f>IFERROR(VLOOKUP(A441,Internal_lists_bugs!$A$2:$I1001,9,FALSE()),"please select a BUG ID")</f>
        <v>please select a BUG ID</v>
      </c>
      <c r="E441" s="105"/>
      <c r="G441" s="54"/>
      <c r="H441" s="105"/>
    </row>
    <row r="442">
      <c r="A442" s="54"/>
      <c r="B442" s="88" t="str">
        <f>IFERROR(HYPERLINK(VLOOKUP(A442,Internal_lists_bugs!$A$2:$C$73,3,FALSE()), VLOOKUP(A442,Internal_lists_bugs!$A$2:$C$73,3,FALSE())&amp;Char(10) &amp; Char(10) &amp; VLOOKUP(A442,Internal_lists_bugs!$A$2:$Z$73,26,FALSE())),"please select a BUG ID")</f>
        <v>please select a BUG ID</v>
      </c>
      <c r="C442" s="51" t="str">
        <f>IFERROR(VLOOKUP(A442,Internal_lists_bugs!$A$2:$G1001,7,FALSE()),"please select a BUG ID")</f>
        <v>please select a BUG ID</v>
      </c>
      <c r="D442" s="51" t="str">
        <f>IFERROR(VLOOKUP(A442,Internal_lists_bugs!$A$2:$I1001,9,FALSE()),"please select a BUG ID")</f>
        <v>please select a BUG ID</v>
      </c>
      <c r="E442" s="105"/>
      <c r="G442" s="54"/>
      <c r="H442" s="105"/>
    </row>
    <row r="443">
      <c r="A443" s="54"/>
      <c r="B443" s="88" t="str">
        <f>IFERROR(HYPERLINK(VLOOKUP(A443,Internal_lists_bugs!$A$2:$C$73,3,FALSE()), VLOOKUP(A443,Internal_lists_bugs!$A$2:$C$73,3,FALSE())&amp;Char(10) &amp; Char(10) &amp; VLOOKUP(A443,Internal_lists_bugs!$A$2:$Z$73,26,FALSE())),"please select a BUG ID")</f>
        <v>please select a BUG ID</v>
      </c>
      <c r="C443" s="51" t="str">
        <f>IFERROR(VLOOKUP(A443,Internal_lists_bugs!$A$2:$G1001,7,FALSE()),"please select a BUG ID")</f>
        <v>please select a BUG ID</v>
      </c>
      <c r="D443" s="51" t="str">
        <f>IFERROR(VLOOKUP(A443,Internal_lists_bugs!$A$2:$I1001,9,FALSE()),"please select a BUG ID")</f>
        <v>please select a BUG ID</v>
      </c>
      <c r="E443" s="105"/>
      <c r="G443" s="54"/>
      <c r="H443" s="105"/>
    </row>
    <row r="444">
      <c r="A444" s="54"/>
      <c r="B444" s="88" t="str">
        <f>IFERROR(HYPERLINK(VLOOKUP(A444,Internal_lists_bugs!$A$2:$C$73,3,FALSE()), VLOOKUP(A444,Internal_lists_bugs!$A$2:$C$73,3,FALSE())&amp;Char(10) &amp; Char(10) &amp; VLOOKUP(A444,Internal_lists_bugs!$A$2:$Z$73,26,FALSE())),"please select a BUG ID")</f>
        <v>please select a BUG ID</v>
      </c>
      <c r="C444" s="51" t="str">
        <f>IFERROR(VLOOKUP(A444,Internal_lists_bugs!$A$2:$G1001,7,FALSE()),"please select a BUG ID")</f>
        <v>please select a BUG ID</v>
      </c>
      <c r="D444" s="51" t="str">
        <f>IFERROR(VLOOKUP(A444,Internal_lists_bugs!$A$2:$I1001,9,FALSE()),"please select a BUG ID")</f>
        <v>please select a BUG ID</v>
      </c>
      <c r="E444" s="105"/>
      <c r="G444" s="54"/>
      <c r="H444" s="105"/>
    </row>
    <row r="445">
      <c r="A445" s="54"/>
      <c r="B445" s="88" t="str">
        <f>IFERROR(HYPERLINK(VLOOKUP(A445,Internal_lists_bugs!$A$2:$C$73,3,FALSE()), VLOOKUP(A445,Internal_lists_bugs!$A$2:$C$73,3,FALSE())&amp;Char(10) &amp; Char(10) &amp; VLOOKUP(A445,Internal_lists_bugs!$A$2:$Z$73,26,FALSE())),"please select a BUG ID")</f>
        <v>please select a BUG ID</v>
      </c>
      <c r="C445" s="51" t="str">
        <f>IFERROR(VLOOKUP(A445,Internal_lists_bugs!$A$2:$G1001,7,FALSE()),"please select a BUG ID")</f>
        <v>please select a BUG ID</v>
      </c>
      <c r="D445" s="51" t="str">
        <f>IFERROR(VLOOKUP(A445,Internal_lists_bugs!$A$2:$I1001,9,FALSE()),"please select a BUG ID")</f>
        <v>please select a BUG ID</v>
      </c>
      <c r="E445" s="105"/>
      <c r="G445" s="54"/>
      <c r="H445" s="105"/>
    </row>
    <row r="446">
      <c r="A446" s="54"/>
      <c r="B446" s="88" t="str">
        <f>IFERROR(HYPERLINK(VLOOKUP(A446,Internal_lists_bugs!$A$2:$C$73,3,FALSE()), VLOOKUP(A446,Internal_lists_bugs!$A$2:$C$73,3,FALSE())&amp;Char(10) &amp; Char(10) &amp; VLOOKUP(A446,Internal_lists_bugs!$A$2:$Z$73,26,FALSE())),"please select a BUG ID")</f>
        <v>please select a BUG ID</v>
      </c>
      <c r="C446" s="51" t="str">
        <f>IFERROR(VLOOKUP(A446,Internal_lists_bugs!$A$2:$G1001,7,FALSE()),"please select a BUG ID")</f>
        <v>please select a BUG ID</v>
      </c>
      <c r="D446" s="51" t="str">
        <f>IFERROR(VLOOKUP(A446,Internal_lists_bugs!$A$2:$I1001,9,FALSE()),"please select a BUG ID")</f>
        <v>please select a BUG ID</v>
      </c>
      <c r="E446" s="105"/>
      <c r="G446" s="54"/>
      <c r="H446" s="105"/>
    </row>
    <row r="447">
      <c r="A447" s="54"/>
      <c r="B447" s="88" t="str">
        <f>IFERROR(HYPERLINK(VLOOKUP(A447,Internal_lists_bugs!$A$2:$C$73,3,FALSE()), VLOOKUP(A447,Internal_lists_bugs!$A$2:$C$73,3,FALSE())&amp;Char(10) &amp; Char(10) &amp; VLOOKUP(A447,Internal_lists_bugs!$A$2:$Z$73,26,FALSE())),"please select a BUG ID")</f>
        <v>please select a BUG ID</v>
      </c>
      <c r="C447" s="51" t="str">
        <f>IFERROR(VLOOKUP(A447,Internal_lists_bugs!$A$2:$G1001,7,FALSE()),"please select a BUG ID")</f>
        <v>please select a BUG ID</v>
      </c>
      <c r="D447" s="51" t="str">
        <f>IFERROR(VLOOKUP(A447,Internal_lists_bugs!$A$2:$I1001,9,FALSE()),"please select a BUG ID")</f>
        <v>please select a BUG ID</v>
      </c>
      <c r="E447" s="105"/>
      <c r="G447" s="54"/>
      <c r="H447" s="105"/>
    </row>
    <row r="448">
      <c r="A448" s="54"/>
      <c r="B448" s="88" t="str">
        <f>IFERROR(HYPERLINK(VLOOKUP(A448,Internal_lists_bugs!$A$2:$C$73,3,FALSE()), VLOOKUP(A448,Internal_lists_bugs!$A$2:$C$73,3,FALSE())&amp;Char(10) &amp; Char(10) &amp; VLOOKUP(A448,Internal_lists_bugs!$A$2:$Z$73,26,FALSE())),"please select a BUG ID")</f>
        <v>please select a BUG ID</v>
      </c>
      <c r="C448" s="51" t="str">
        <f>IFERROR(VLOOKUP(A448,Internal_lists_bugs!$A$2:$G1001,7,FALSE()),"please select a BUG ID")</f>
        <v>please select a BUG ID</v>
      </c>
      <c r="D448" s="51" t="str">
        <f>IFERROR(VLOOKUP(A448,Internal_lists_bugs!$A$2:$I1001,9,FALSE()),"please select a BUG ID")</f>
        <v>please select a BUG ID</v>
      </c>
      <c r="E448" s="105"/>
      <c r="G448" s="54"/>
      <c r="H448" s="105"/>
    </row>
    <row r="449">
      <c r="A449" s="54"/>
      <c r="B449" s="88" t="str">
        <f>IFERROR(HYPERLINK(VLOOKUP(A449,Internal_lists_bugs!$A$2:$C$73,3,FALSE()), VLOOKUP(A449,Internal_lists_bugs!$A$2:$C$73,3,FALSE())&amp;Char(10) &amp; Char(10) &amp; VLOOKUP(A449,Internal_lists_bugs!$A$2:$Z$73,26,FALSE())),"please select a BUG ID")</f>
        <v>please select a BUG ID</v>
      </c>
      <c r="C449" s="51" t="str">
        <f>IFERROR(VLOOKUP(A449,Internal_lists_bugs!$A$2:$G1001,7,FALSE()),"please select a BUG ID")</f>
        <v>please select a BUG ID</v>
      </c>
      <c r="D449" s="51" t="str">
        <f>IFERROR(VLOOKUP(A449,Internal_lists_bugs!$A$2:$I1001,9,FALSE()),"please select a BUG ID")</f>
        <v>please select a BUG ID</v>
      </c>
      <c r="E449" s="105"/>
      <c r="G449" s="54"/>
      <c r="H449" s="105"/>
    </row>
    <row r="450">
      <c r="A450" s="54"/>
      <c r="B450" s="88" t="str">
        <f>IFERROR(HYPERLINK(VLOOKUP(A450,Internal_lists_bugs!$A$2:$C$73,3,FALSE()), VLOOKUP(A450,Internal_lists_bugs!$A$2:$C$73,3,FALSE())&amp;Char(10) &amp; Char(10) &amp; VLOOKUP(A450,Internal_lists_bugs!$A$2:$Z$73,26,FALSE())),"please select a BUG ID")</f>
        <v>please select a BUG ID</v>
      </c>
      <c r="C450" s="51" t="str">
        <f>IFERROR(VLOOKUP(A450,Internal_lists_bugs!$A$2:$G1001,7,FALSE()),"please select a BUG ID")</f>
        <v>please select a BUG ID</v>
      </c>
      <c r="D450" s="51" t="str">
        <f>IFERROR(VLOOKUP(A450,Internal_lists_bugs!$A$2:$I1001,9,FALSE()),"please select a BUG ID")</f>
        <v>please select a BUG ID</v>
      </c>
      <c r="E450" s="105"/>
      <c r="G450" s="54"/>
      <c r="H450" s="105"/>
    </row>
    <row r="451">
      <c r="A451" s="54"/>
      <c r="B451" s="88" t="str">
        <f>IFERROR(HYPERLINK(VLOOKUP(A451,Internal_lists_bugs!$A$2:$C$73,3,FALSE()), VLOOKUP(A451,Internal_lists_bugs!$A$2:$C$73,3,FALSE())&amp;Char(10) &amp; Char(10) &amp; VLOOKUP(A451,Internal_lists_bugs!$A$2:$Z$73,26,FALSE())),"please select a BUG ID")</f>
        <v>please select a BUG ID</v>
      </c>
      <c r="C451" s="51" t="str">
        <f>IFERROR(VLOOKUP(A451,Internal_lists_bugs!$A$2:$G1001,7,FALSE()),"please select a BUG ID")</f>
        <v>please select a BUG ID</v>
      </c>
      <c r="D451" s="51" t="str">
        <f>IFERROR(VLOOKUP(A451,Internal_lists_bugs!$A$2:$I1001,9,FALSE()),"please select a BUG ID")</f>
        <v>please select a BUG ID</v>
      </c>
      <c r="E451" s="105"/>
      <c r="G451" s="54"/>
      <c r="H451" s="105"/>
    </row>
    <row r="452">
      <c r="A452" s="54"/>
      <c r="B452" s="88" t="str">
        <f>IFERROR(HYPERLINK(VLOOKUP(A452,Internal_lists_bugs!$A$2:$C$73,3,FALSE()), VLOOKUP(A452,Internal_lists_bugs!$A$2:$C$73,3,FALSE())&amp;Char(10) &amp; Char(10) &amp; VLOOKUP(A452,Internal_lists_bugs!$A$2:$Z$73,26,FALSE())),"please select a BUG ID")</f>
        <v>please select a BUG ID</v>
      </c>
      <c r="C452" s="51" t="str">
        <f>IFERROR(VLOOKUP(A452,Internal_lists_bugs!$A$2:$G1001,7,FALSE()),"please select a BUG ID")</f>
        <v>please select a BUG ID</v>
      </c>
      <c r="D452" s="51" t="str">
        <f>IFERROR(VLOOKUP(A452,Internal_lists_bugs!$A$2:$I1001,9,FALSE()),"please select a BUG ID")</f>
        <v>please select a BUG ID</v>
      </c>
      <c r="E452" s="105"/>
      <c r="G452" s="54"/>
      <c r="H452" s="105"/>
    </row>
    <row r="453">
      <c r="A453" s="54"/>
      <c r="B453" s="88" t="str">
        <f>IFERROR(HYPERLINK(VLOOKUP(A453,Internal_lists_bugs!$A$2:$C$73,3,FALSE()), VLOOKUP(A453,Internal_lists_bugs!$A$2:$C$73,3,FALSE())&amp;Char(10) &amp; Char(10) &amp; VLOOKUP(A453,Internal_lists_bugs!$A$2:$Z$73,26,FALSE())),"please select a BUG ID")</f>
        <v>please select a BUG ID</v>
      </c>
      <c r="C453" s="51" t="str">
        <f>IFERROR(VLOOKUP(A453,Internal_lists_bugs!$A$2:$G1001,7,FALSE()),"please select a BUG ID")</f>
        <v>please select a BUG ID</v>
      </c>
      <c r="D453" s="51" t="str">
        <f>IFERROR(VLOOKUP(A453,Internal_lists_bugs!$A$2:$I1001,9,FALSE()),"please select a BUG ID")</f>
        <v>please select a BUG ID</v>
      </c>
      <c r="E453" s="105"/>
      <c r="G453" s="54"/>
      <c r="H453" s="105"/>
    </row>
    <row r="454">
      <c r="A454" s="54"/>
      <c r="B454" s="88" t="str">
        <f>IFERROR(HYPERLINK(VLOOKUP(A454,Internal_lists_bugs!$A$2:$C$73,3,FALSE()), VLOOKUP(A454,Internal_lists_bugs!$A$2:$C$73,3,FALSE())&amp;Char(10) &amp; Char(10) &amp; VLOOKUP(A454,Internal_lists_bugs!$A$2:$Z$73,26,FALSE())),"please select a BUG ID")</f>
        <v>please select a BUG ID</v>
      </c>
      <c r="C454" s="51" t="str">
        <f>IFERROR(VLOOKUP(A454,Internal_lists_bugs!$A$2:$G1001,7,FALSE()),"please select a BUG ID")</f>
        <v>please select a BUG ID</v>
      </c>
      <c r="D454" s="51" t="str">
        <f>IFERROR(VLOOKUP(A454,Internal_lists_bugs!$A$2:$I1001,9,FALSE()),"please select a BUG ID")</f>
        <v>please select a BUG ID</v>
      </c>
      <c r="E454" s="105"/>
      <c r="G454" s="54"/>
      <c r="H454" s="105"/>
    </row>
    <row r="455">
      <c r="A455" s="54"/>
      <c r="B455" s="88" t="str">
        <f>IFERROR(HYPERLINK(VLOOKUP(A455,Internal_lists_bugs!$A$2:$C$73,3,FALSE()), VLOOKUP(A455,Internal_lists_bugs!$A$2:$C$73,3,FALSE())&amp;Char(10) &amp; Char(10) &amp; VLOOKUP(A455,Internal_lists_bugs!$A$2:$Z$73,26,FALSE())),"please select a BUG ID")</f>
        <v>please select a BUG ID</v>
      </c>
      <c r="C455" s="51" t="str">
        <f>IFERROR(VLOOKUP(A455,Internal_lists_bugs!$A$2:$G1001,7,FALSE()),"please select a BUG ID")</f>
        <v>please select a BUG ID</v>
      </c>
      <c r="D455" s="51" t="str">
        <f>IFERROR(VLOOKUP(A455,Internal_lists_bugs!$A$2:$I1001,9,FALSE()),"please select a BUG ID")</f>
        <v>please select a BUG ID</v>
      </c>
      <c r="E455" s="105"/>
      <c r="G455" s="54"/>
      <c r="H455" s="105"/>
    </row>
    <row r="456">
      <c r="A456" s="54"/>
      <c r="B456" s="88" t="str">
        <f>IFERROR(HYPERLINK(VLOOKUP(A456,Internal_lists_bugs!$A$2:$C$73,3,FALSE()), VLOOKUP(A456,Internal_lists_bugs!$A$2:$C$73,3,FALSE())&amp;Char(10) &amp; Char(10) &amp; VLOOKUP(A456,Internal_lists_bugs!$A$2:$Z$73,26,FALSE())),"please select a BUG ID")</f>
        <v>please select a BUG ID</v>
      </c>
      <c r="C456" s="51" t="str">
        <f>IFERROR(VLOOKUP(A456,Internal_lists_bugs!$A$2:$G1001,7,FALSE()),"please select a BUG ID")</f>
        <v>please select a BUG ID</v>
      </c>
      <c r="D456" s="51" t="str">
        <f>IFERROR(VLOOKUP(A456,Internal_lists_bugs!$A$2:$I1001,9,FALSE()),"please select a BUG ID")</f>
        <v>please select a BUG ID</v>
      </c>
      <c r="E456" s="105"/>
      <c r="G456" s="54"/>
      <c r="H456" s="105"/>
    </row>
    <row r="457">
      <c r="A457" s="54"/>
      <c r="B457" s="88" t="str">
        <f>IFERROR(HYPERLINK(VLOOKUP(A457,Internal_lists_bugs!$A$2:$C$73,3,FALSE()), VLOOKUP(A457,Internal_lists_bugs!$A$2:$C$73,3,FALSE())&amp;Char(10) &amp; Char(10) &amp; VLOOKUP(A457,Internal_lists_bugs!$A$2:$Z$73,26,FALSE())),"please select a BUG ID")</f>
        <v>please select a BUG ID</v>
      </c>
      <c r="C457" s="51" t="str">
        <f>IFERROR(VLOOKUP(A457,Internal_lists_bugs!$A$2:$G1001,7,FALSE()),"please select a BUG ID")</f>
        <v>please select a BUG ID</v>
      </c>
      <c r="D457" s="51" t="str">
        <f>IFERROR(VLOOKUP(A457,Internal_lists_bugs!$A$2:$I1001,9,FALSE()),"please select a BUG ID")</f>
        <v>please select a BUG ID</v>
      </c>
      <c r="E457" s="105"/>
      <c r="G457" s="54"/>
      <c r="H457" s="105"/>
    </row>
    <row r="458">
      <c r="A458" s="54"/>
      <c r="B458" s="88" t="str">
        <f>IFERROR(HYPERLINK(VLOOKUP(A458,Internal_lists_bugs!$A$2:$C$73,3,FALSE()), VLOOKUP(A458,Internal_lists_bugs!$A$2:$C$73,3,FALSE())&amp;Char(10) &amp; Char(10) &amp; VLOOKUP(A458,Internal_lists_bugs!$A$2:$Z$73,26,FALSE())),"please select a BUG ID")</f>
        <v>please select a BUG ID</v>
      </c>
      <c r="C458" s="51" t="str">
        <f>IFERROR(VLOOKUP(A458,Internal_lists_bugs!$A$2:$G1001,7,FALSE()),"please select a BUG ID")</f>
        <v>please select a BUG ID</v>
      </c>
      <c r="D458" s="51" t="str">
        <f>IFERROR(VLOOKUP(A458,Internal_lists_bugs!$A$2:$I1001,9,FALSE()),"please select a BUG ID")</f>
        <v>please select a BUG ID</v>
      </c>
      <c r="E458" s="105"/>
      <c r="G458" s="54"/>
      <c r="H458" s="105"/>
    </row>
    <row r="459">
      <c r="A459" s="54"/>
      <c r="B459" s="88" t="str">
        <f>IFERROR(HYPERLINK(VLOOKUP(A459,Internal_lists_bugs!$A$2:$C$73,3,FALSE()), VLOOKUP(A459,Internal_lists_bugs!$A$2:$C$73,3,FALSE())&amp;Char(10) &amp; Char(10) &amp; VLOOKUP(A459,Internal_lists_bugs!$A$2:$Z$73,26,FALSE())),"please select a BUG ID")</f>
        <v>please select a BUG ID</v>
      </c>
      <c r="C459" s="51" t="str">
        <f>IFERROR(VLOOKUP(A459,Internal_lists_bugs!$A$2:$G1001,7,FALSE()),"please select a BUG ID")</f>
        <v>please select a BUG ID</v>
      </c>
      <c r="D459" s="51" t="str">
        <f>IFERROR(VLOOKUP(A459,Internal_lists_bugs!$A$2:$I1001,9,FALSE()),"please select a BUG ID")</f>
        <v>please select a BUG ID</v>
      </c>
      <c r="E459" s="105"/>
      <c r="G459" s="54"/>
      <c r="H459" s="105"/>
    </row>
    <row r="460">
      <c r="A460" s="54"/>
      <c r="B460" s="88" t="str">
        <f>IFERROR(HYPERLINK(VLOOKUP(A460,Internal_lists_bugs!$A$2:$C$73,3,FALSE()), VLOOKUP(A460,Internal_lists_bugs!$A$2:$C$73,3,FALSE())&amp;Char(10) &amp; Char(10) &amp; VLOOKUP(A460,Internal_lists_bugs!$A$2:$Z$73,26,FALSE())),"please select a BUG ID")</f>
        <v>please select a BUG ID</v>
      </c>
      <c r="C460" s="51" t="str">
        <f>IFERROR(VLOOKUP(A460,Internal_lists_bugs!$A$2:$G1001,7,FALSE()),"please select a BUG ID")</f>
        <v>please select a BUG ID</v>
      </c>
      <c r="D460" s="51" t="str">
        <f>IFERROR(VLOOKUP(A460,Internal_lists_bugs!$A$2:$I1001,9,FALSE()),"please select a BUG ID")</f>
        <v>please select a BUG ID</v>
      </c>
      <c r="E460" s="105"/>
      <c r="G460" s="54"/>
      <c r="H460" s="105"/>
    </row>
    <row r="461">
      <c r="A461" s="54"/>
      <c r="B461" s="88" t="str">
        <f>IFERROR(HYPERLINK(VLOOKUP(A461,Internal_lists_bugs!$A$2:$C$73,3,FALSE()), VLOOKUP(A461,Internal_lists_bugs!$A$2:$C$73,3,FALSE())&amp;Char(10) &amp; Char(10) &amp; VLOOKUP(A461,Internal_lists_bugs!$A$2:$Z$73,26,FALSE())),"please select a BUG ID")</f>
        <v>please select a BUG ID</v>
      </c>
      <c r="C461" s="51" t="str">
        <f>IFERROR(VLOOKUP(A461,Internal_lists_bugs!$A$2:$G1001,7,FALSE()),"please select a BUG ID")</f>
        <v>please select a BUG ID</v>
      </c>
      <c r="D461" s="51" t="str">
        <f>IFERROR(VLOOKUP(A461,Internal_lists_bugs!$A$2:$I1001,9,FALSE()),"please select a BUG ID")</f>
        <v>please select a BUG ID</v>
      </c>
      <c r="E461" s="105"/>
      <c r="G461" s="54"/>
      <c r="H461" s="105"/>
    </row>
    <row r="462">
      <c r="A462" s="54"/>
      <c r="B462" s="88" t="str">
        <f>IFERROR(HYPERLINK(VLOOKUP(A462,Internal_lists_bugs!$A$2:$C$73,3,FALSE()), VLOOKUP(A462,Internal_lists_bugs!$A$2:$C$73,3,FALSE())&amp;Char(10) &amp; Char(10) &amp; VLOOKUP(A462,Internal_lists_bugs!$A$2:$Z$73,26,FALSE())),"please select a BUG ID")</f>
        <v>please select a BUG ID</v>
      </c>
      <c r="C462" s="51" t="str">
        <f>IFERROR(VLOOKUP(A462,Internal_lists_bugs!$A$2:$G1001,7,FALSE()),"please select a BUG ID")</f>
        <v>please select a BUG ID</v>
      </c>
      <c r="D462" s="51" t="str">
        <f>IFERROR(VLOOKUP(A462,Internal_lists_bugs!$A$2:$I1001,9,FALSE()),"please select a BUG ID")</f>
        <v>please select a BUG ID</v>
      </c>
      <c r="E462" s="105"/>
      <c r="G462" s="54"/>
      <c r="H462" s="105"/>
    </row>
    <row r="463">
      <c r="A463" s="54"/>
      <c r="B463" s="88" t="str">
        <f>IFERROR(HYPERLINK(VLOOKUP(A463,Internal_lists_bugs!$A$2:$C$73,3,FALSE()), VLOOKUP(A463,Internal_lists_bugs!$A$2:$C$73,3,FALSE())&amp;Char(10) &amp; Char(10) &amp; VLOOKUP(A463,Internal_lists_bugs!$A$2:$Z$73,26,FALSE())),"please select a BUG ID")</f>
        <v>please select a BUG ID</v>
      </c>
      <c r="C463" s="51" t="str">
        <f>IFERROR(VLOOKUP(A463,Internal_lists_bugs!$A$2:$G1001,7,FALSE()),"please select a BUG ID")</f>
        <v>please select a BUG ID</v>
      </c>
      <c r="D463" s="51" t="str">
        <f>IFERROR(VLOOKUP(A463,Internal_lists_bugs!$A$2:$I1001,9,FALSE()),"please select a BUG ID")</f>
        <v>please select a BUG ID</v>
      </c>
      <c r="E463" s="105"/>
      <c r="G463" s="54"/>
      <c r="H463" s="105"/>
    </row>
    <row r="464">
      <c r="A464" s="54"/>
      <c r="B464" s="88" t="str">
        <f>IFERROR(HYPERLINK(VLOOKUP(A464,Internal_lists_bugs!$A$2:$C$73,3,FALSE()), VLOOKUP(A464,Internal_lists_bugs!$A$2:$C$73,3,FALSE())&amp;Char(10) &amp; Char(10) &amp; VLOOKUP(A464,Internal_lists_bugs!$A$2:$Z$73,26,FALSE())),"please select a BUG ID")</f>
        <v>please select a BUG ID</v>
      </c>
      <c r="C464" s="51" t="str">
        <f>IFERROR(VLOOKUP(A464,Internal_lists_bugs!$A$2:$G1001,7,FALSE()),"please select a BUG ID")</f>
        <v>please select a BUG ID</v>
      </c>
      <c r="D464" s="51" t="str">
        <f>IFERROR(VLOOKUP(A464,Internal_lists_bugs!$A$2:$I1001,9,FALSE()),"please select a BUG ID")</f>
        <v>please select a BUG ID</v>
      </c>
      <c r="E464" s="105"/>
      <c r="G464" s="54"/>
      <c r="H464" s="105"/>
    </row>
    <row r="465">
      <c r="A465" s="54"/>
      <c r="B465" s="88" t="str">
        <f>IFERROR(HYPERLINK(VLOOKUP(A465,Internal_lists_bugs!$A$2:$C$73,3,FALSE()), VLOOKUP(A465,Internal_lists_bugs!$A$2:$C$73,3,FALSE())&amp;Char(10) &amp; Char(10) &amp; VLOOKUP(A465,Internal_lists_bugs!$A$2:$Z$73,26,FALSE())),"please select a BUG ID")</f>
        <v>please select a BUG ID</v>
      </c>
      <c r="C465" s="51" t="str">
        <f>IFERROR(VLOOKUP(A465,Internal_lists_bugs!$A$2:$G1001,7,FALSE()),"please select a BUG ID")</f>
        <v>please select a BUG ID</v>
      </c>
      <c r="D465" s="51" t="str">
        <f>IFERROR(VLOOKUP(A465,Internal_lists_bugs!$A$2:$I1001,9,FALSE()),"please select a BUG ID")</f>
        <v>please select a BUG ID</v>
      </c>
      <c r="E465" s="105"/>
      <c r="G465" s="54"/>
      <c r="H465" s="105"/>
    </row>
    <row r="466">
      <c r="A466" s="54"/>
      <c r="B466" s="88" t="str">
        <f>IFERROR(HYPERLINK(VLOOKUP(A466,Internal_lists_bugs!$A$2:$C$73,3,FALSE()), VLOOKUP(A466,Internal_lists_bugs!$A$2:$C$73,3,FALSE())&amp;Char(10) &amp; Char(10) &amp; VLOOKUP(A466,Internal_lists_bugs!$A$2:$Z$73,26,FALSE())),"please select a BUG ID")</f>
        <v>please select a BUG ID</v>
      </c>
      <c r="C466" s="51" t="str">
        <f>IFERROR(VLOOKUP(A466,Internal_lists_bugs!$A$2:$G1001,7,FALSE()),"please select a BUG ID")</f>
        <v>please select a BUG ID</v>
      </c>
      <c r="D466" s="51" t="str">
        <f>IFERROR(VLOOKUP(A466,Internal_lists_bugs!$A$2:$I1001,9,FALSE()),"please select a BUG ID")</f>
        <v>please select a BUG ID</v>
      </c>
      <c r="E466" s="105"/>
      <c r="G466" s="54"/>
      <c r="H466" s="105"/>
    </row>
    <row r="467">
      <c r="A467" s="54"/>
      <c r="B467" s="88" t="str">
        <f>IFERROR(HYPERLINK(VLOOKUP(A467,Internal_lists_bugs!$A$2:$C$73,3,FALSE()), VLOOKUP(A467,Internal_lists_bugs!$A$2:$C$73,3,FALSE())&amp;Char(10) &amp; Char(10) &amp; VLOOKUP(A467,Internal_lists_bugs!$A$2:$Z$73,26,FALSE())),"please select a BUG ID")</f>
        <v>please select a BUG ID</v>
      </c>
      <c r="C467" s="51" t="str">
        <f>IFERROR(VLOOKUP(A467,Internal_lists_bugs!$A$2:$G1001,7,FALSE()),"please select a BUG ID")</f>
        <v>please select a BUG ID</v>
      </c>
      <c r="D467" s="51" t="str">
        <f>IFERROR(VLOOKUP(A467,Internal_lists_bugs!$A$2:$I1001,9,FALSE()),"please select a BUG ID")</f>
        <v>please select a BUG ID</v>
      </c>
      <c r="E467" s="105"/>
      <c r="G467" s="54"/>
      <c r="H467" s="105"/>
    </row>
    <row r="468">
      <c r="A468" s="54"/>
      <c r="B468" s="88" t="str">
        <f>IFERROR(HYPERLINK(VLOOKUP(A468,Internal_lists_bugs!$A$2:$C$73,3,FALSE()), VLOOKUP(A468,Internal_lists_bugs!$A$2:$C$73,3,FALSE())&amp;Char(10) &amp; Char(10) &amp; VLOOKUP(A468,Internal_lists_bugs!$A$2:$Z$73,26,FALSE())),"please select a BUG ID")</f>
        <v>please select a BUG ID</v>
      </c>
      <c r="C468" s="51" t="str">
        <f>IFERROR(VLOOKUP(A468,Internal_lists_bugs!$A$2:$G1001,7,FALSE()),"please select a BUG ID")</f>
        <v>please select a BUG ID</v>
      </c>
      <c r="D468" s="51" t="str">
        <f>IFERROR(VLOOKUP(A468,Internal_lists_bugs!$A$2:$I1001,9,FALSE()),"please select a BUG ID")</f>
        <v>please select a BUG ID</v>
      </c>
      <c r="E468" s="105"/>
      <c r="G468" s="54"/>
      <c r="H468" s="105"/>
    </row>
    <row r="469">
      <c r="A469" s="54"/>
      <c r="B469" s="88" t="str">
        <f>IFERROR(HYPERLINK(VLOOKUP(A469,Internal_lists_bugs!$A$2:$C$73,3,FALSE()), VLOOKUP(A469,Internal_lists_bugs!$A$2:$C$73,3,FALSE())&amp;Char(10) &amp; Char(10) &amp; VLOOKUP(A469,Internal_lists_bugs!$A$2:$Z$73,26,FALSE())),"please select a BUG ID")</f>
        <v>please select a BUG ID</v>
      </c>
      <c r="C469" s="51" t="str">
        <f>IFERROR(VLOOKUP(A469,Internal_lists_bugs!$A$2:$G1001,7,FALSE()),"please select a BUG ID")</f>
        <v>please select a BUG ID</v>
      </c>
      <c r="D469" s="51" t="str">
        <f>IFERROR(VLOOKUP(A469,Internal_lists_bugs!$A$2:$I1001,9,FALSE()),"please select a BUG ID")</f>
        <v>please select a BUG ID</v>
      </c>
      <c r="E469" s="105"/>
      <c r="G469" s="54"/>
      <c r="H469" s="105"/>
    </row>
    <row r="470">
      <c r="A470" s="54"/>
      <c r="B470" s="88" t="str">
        <f>IFERROR(HYPERLINK(VLOOKUP(A470,Internal_lists_bugs!$A$2:$C$73,3,FALSE()), VLOOKUP(A470,Internal_lists_bugs!$A$2:$C$73,3,FALSE())&amp;Char(10) &amp; Char(10) &amp; VLOOKUP(A470,Internal_lists_bugs!$A$2:$Z$73,26,FALSE())),"please select a BUG ID")</f>
        <v>please select a BUG ID</v>
      </c>
      <c r="C470" s="51" t="str">
        <f>IFERROR(VLOOKUP(A470,Internal_lists_bugs!$A$2:$G1001,7,FALSE()),"please select a BUG ID")</f>
        <v>please select a BUG ID</v>
      </c>
      <c r="D470" s="51" t="str">
        <f>IFERROR(VLOOKUP(A470,Internal_lists_bugs!$A$2:$I1001,9,FALSE()),"please select a BUG ID")</f>
        <v>please select a BUG ID</v>
      </c>
      <c r="E470" s="105"/>
      <c r="G470" s="54"/>
      <c r="H470" s="105"/>
    </row>
    <row r="471">
      <c r="A471" s="54"/>
      <c r="B471" s="88" t="str">
        <f>IFERROR(HYPERLINK(VLOOKUP(A471,Internal_lists_bugs!$A$2:$C$73,3,FALSE()), VLOOKUP(A471,Internal_lists_bugs!$A$2:$C$73,3,FALSE())&amp;Char(10) &amp; Char(10) &amp; VLOOKUP(A471,Internal_lists_bugs!$A$2:$Z$73,26,FALSE())),"please select a BUG ID")</f>
        <v>please select a BUG ID</v>
      </c>
      <c r="C471" s="51" t="str">
        <f>IFERROR(VLOOKUP(A471,Internal_lists_bugs!$A$2:$G1001,7,FALSE()),"please select a BUG ID")</f>
        <v>please select a BUG ID</v>
      </c>
      <c r="D471" s="51" t="str">
        <f>IFERROR(VLOOKUP(A471,Internal_lists_bugs!$A$2:$I1001,9,FALSE()),"please select a BUG ID")</f>
        <v>please select a BUG ID</v>
      </c>
      <c r="E471" s="105"/>
      <c r="G471" s="54"/>
      <c r="H471" s="105"/>
    </row>
    <row r="472">
      <c r="A472" s="54"/>
      <c r="B472" s="88" t="str">
        <f>IFERROR(HYPERLINK(VLOOKUP(A472,Internal_lists_bugs!$A$2:$C$73,3,FALSE()), VLOOKUP(A472,Internal_lists_bugs!$A$2:$C$73,3,FALSE())&amp;Char(10) &amp; Char(10) &amp; VLOOKUP(A472,Internal_lists_bugs!$A$2:$Z$73,26,FALSE())),"please select a BUG ID")</f>
        <v>please select a BUG ID</v>
      </c>
      <c r="C472" s="51" t="str">
        <f>IFERROR(VLOOKUP(A472,Internal_lists_bugs!$A$2:$G1001,7,FALSE()),"please select a BUG ID")</f>
        <v>please select a BUG ID</v>
      </c>
      <c r="D472" s="51" t="str">
        <f>IFERROR(VLOOKUP(A472,Internal_lists_bugs!$A$2:$I1001,9,FALSE()),"please select a BUG ID")</f>
        <v>please select a BUG ID</v>
      </c>
      <c r="E472" s="105"/>
      <c r="G472" s="54"/>
      <c r="H472" s="105"/>
    </row>
    <row r="473">
      <c r="A473" s="54"/>
      <c r="B473" s="88" t="str">
        <f>IFERROR(HYPERLINK(VLOOKUP(A473,Internal_lists_bugs!$A$2:$C$73,3,FALSE()), VLOOKUP(A473,Internal_lists_bugs!$A$2:$C$73,3,FALSE())&amp;Char(10) &amp; Char(10) &amp; VLOOKUP(A473,Internal_lists_bugs!$A$2:$Z$73,26,FALSE())),"please select a BUG ID")</f>
        <v>please select a BUG ID</v>
      </c>
      <c r="C473" s="51" t="str">
        <f>IFERROR(VLOOKUP(A473,Internal_lists_bugs!$A$2:$G1001,7,FALSE()),"please select a BUG ID")</f>
        <v>please select a BUG ID</v>
      </c>
      <c r="D473" s="51" t="str">
        <f>IFERROR(VLOOKUP(A473,Internal_lists_bugs!$A$2:$I1001,9,FALSE()),"please select a BUG ID")</f>
        <v>please select a BUG ID</v>
      </c>
      <c r="E473" s="105"/>
      <c r="G473" s="54"/>
      <c r="H473" s="105"/>
    </row>
    <row r="474">
      <c r="A474" s="54"/>
      <c r="B474" s="88" t="str">
        <f>IFERROR(HYPERLINK(VLOOKUP(A474,Internal_lists_bugs!$A$2:$C$73,3,FALSE()), VLOOKUP(A474,Internal_lists_bugs!$A$2:$C$73,3,FALSE())&amp;Char(10) &amp; Char(10) &amp; VLOOKUP(A474,Internal_lists_bugs!$A$2:$Z$73,26,FALSE())),"please select a BUG ID")</f>
        <v>please select a BUG ID</v>
      </c>
      <c r="C474" s="51" t="str">
        <f>IFERROR(VLOOKUP(A474,Internal_lists_bugs!$A$2:$G1001,7,FALSE()),"please select a BUG ID")</f>
        <v>please select a BUG ID</v>
      </c>
      <c r="D474" s="51" t="str">
        <f>IFERROR(VLOOKUP(A474,Internal_lists_bugs!$A$2:$I1001,9,FALSE()),"please select a BUG ID")</f>
        <v>please select a BUG ID</v>
      </c>
      <c r="E474" s="105"/>
      <c r="G474" s="54"/>
      <c r="H474" s="105"/>
    </row>
    <row r="475">
      <c r="A475" s="54"/>
      <c r="B475" s="88" t="str">
        <f>IFERROR(HYPERLINK(VLOOKUP(A475,Internal_lists_bugs!$A$2:$C$73,3,FALSE()), VLOOKUP(A475,Internal_lists_bugs!$A$2:$C$73,3,FALSE())&amp;Char(10) &amp; Char(10) &amp; VLOOKUP(A475,Internal_lists_bugs!$A$2:$Z$73,26,FALSE())),"please select a BUG ID")</f>
        <v>please select a BUG ID</v>
      </c>
      <c r="C475" s="51" t="str">
        <f>IFERROR(VLOOKUP(A475,Internal_lists_bugs!$A$2:$G1001,7,FALSE()),"please select a BUG ID")</f>
        <v>please select a BUG ID</v>
      </c>
      <c r="D475" s="51" t="str">
        <f>IFERROR(VLOOKUP(A475,Internal_lists_bugs!$A$2:$I1001,9,FALSE()),"please select a BUG ID")</f>
        <v>please select a BUG ID</v>
      </c>
      <c r="E475" s="105"/>
      <c r="G475" s="54"/>
      <c r="H475" s="105"/>
    </row>
    <row r="476">
      <c r="A476" s="54"/>
      <c r="B476" s="88" t="str">
        <f>IFERROR(HYPERLINK(VLOOKUP(A476,Internal_lists_bugs!$A$2:$C$73,3,FALSE()), VLOOKUP(A476,Internal_lists_bugs!$A$2:$C$73,3,FALSE())&amp;Char(10) &amp; Char(10) &amp; VLOOKUP(A476,Internal_lists_bugs!$A$2:$Z$73,26,FALSE())),"please select a BUG ID")</f>
        <v>please select a BUG ID</v>
      </c>
      <c r="C476" s="51" t="str">
        <f>IFERROR(VLOOKUP(A476,Internal_lists_bugs!$A$2:$G1001,7,FALSE()),"please select a BUG ID")</f>
        <v>please select a BUG ID</v>
      </c>
      <c r="D476" s="51" t="str">
        <f>IFERROR(VLOOKUP(A476,Internal_lists_bugs!$A$2:$I1001,9,FALSE()),"please select a BUG ID")</f>
        <v>please select a BUG ID</v>
      </c>
      <c r="E476" s="105"/>
      <c r="G476" s="54"/>
      <c r="H476" s="105"/>
    </row>
    <row r="477">
      <c r="A477" s="54"/>
      <c r="B477" s="88" t="str">
        <f>IFERROR(HYPERLINK(VLOOKUP(A477,Internal_lists_bugs!$A$2:$C$73,3,FALSE()), VLOOKUP(A477,Internal_lists_bugs!$A$2:$C$73,3,FALSE())&amp;Char(10) &amp; Char(10) &amp; VLOOKUP(A477,Internal_lists_bugs!$A$2:$Z$73,26,FALSE())),"please select a BUG ID")</f>
        <v>please select a BUG ID</v>
      </c>
      <c r="C477" s="51" t="str">
        <f>IFERROR(VLOOKUP(A477,Internal_lists_bugs!$A$2:$G1001,7,FALSE()),"please select a BUG ID")</f>
        <v>please select a BUG ID</v>
      </c>
      <c r="D477" s="51" t="str">
        <f>IFERROR(VLOOKUP(A477,Internal_lists_bugs!$A$2:$I1001,9,FALSE()),"please select a BUG ID")</f>
        <v>please select a BUG ID</v>
      </c>
      <c r="E477" s="105"/>
      <c r="G477" s="54"/>
      <c r="H477" s="105"/>
    </row>
    <row r="478">
      <c r="A478" s="54"/>
      <c r="B478" s="88" t="str">
        <f>IFERROR(HYPERLINK(VLOOKUP(A478,Internal_lists_bugs!$A$2:$C$73,3,FALSE()), VLOOKUP(A478,Internal_lists_bugs!$A$2:$C$73,3,FALSE())&amp;Char(10) &amp; Char(10) &amp; VLOOKUP(A478,Internal_lists_bugs!$A$2:$Z$73,26,FALSE())),"please select a BUG ID")</f>
        <v>please select a BUG ID</v>
      </c>
      <c r="C478" s="51" t="str">
        <f>IFERROR(VLOOKUP(A478,Internal_lists_bugs!$A$2:$G1001,7,FALSE()),"please select a BUG ID")</f>
        <v>please select a BUG ID</v>
      </c>
      <c r="D478" s="51" t="str">
        <f>IFERROR(VLOOKUP(A478,Internal_lists_bugs!$A$2:$I1001,9,FALSE()),"please select a BUG ID")</f>
        <v>please select a BUG ID</v>
      </c>
      <c r="E478" s="105"/>
      <c r="G478" s="54"/>
      <c r="H478" s="105"/>
    </row>
    <row r="479">
      <c r="A479" s="54"/>
      <c r="B479" s="88" t="str">
        <f>IFERROR(HYPERLINK(VLOOKUP(A479,Internal_lists_bugs!$A$2:$C$73,3,FALSE()), VLOOKUP(A479,Internal_lists_bugs!$A$2:$C$73,3,FALSE())&amp;Char(10) &amp; Char(10) &amp; VLOOKUP(A479,Internal_lists_bugs!$A$2:$Z$73,26,FALSE())),"please select a BUG ID")</f>
        <v>please select a BUG ID</v>
      </c>
      <c r="C479" s="51" t="str">
        <f>IFERROR(VLOOKUP(A479,Internal_lists_bugs!$A$2:$G1001,7,FALSE()),"please select a BUG ID")</f>
        <v>please select a BUG ID</v>
      </c>
      <c r="D479" s="51" t="str">
        <f>IFERROR(VLOOKUP(A479,Internal_lists_bugs!$A$2:$I1001,9,FALSE()),"please select a BUG ID")</f>
        <v>please select a BUG ID</v>
      </c>
      <c r="E479" s="105"/>
      <c r="G479" s="54"/>
      <c r="H479" s="105"/>
    </row>
    <row r="480">
      <c r="A480" s="54"/>
      <c r="B480" s="88" t="str">
        <f>IFERROR(HYPERLINK(VLOOKUP(A480,Internal_lists_bugs!$A$2:$C$73,3,FALSE()), VLOOKUP(A480,Internal_lists_bugs!$A$2:$C$73,3,FALSE())&amp;Char(10) &amp; Char(10) &amp; VLOOKUP(A480,Internal_lists_bugs!$A$2:$Z$73,26,FALSE())),"please select a BUG ID")</f>
        <v>please select a BUG ID</v>
      </c>
      <c r="C480" s="51" t="str">
        <f>IFERROR(VLOOKUP(A480,Internal_lists_bugs!$A$2:$G1001,7,FALSE()),"please select a BUG ID")</f>
        <v>please select a BUG ID</v>
      </c>
      <c r="D480" s="51" t="str">
        <f>IFERROR(VLOOKUP(A480,Internal_lists_bugs!$A$2:$I1001,9,FALSE()),"please select a BUG ID")</f>
        <v>please select a BUG ID</v>
      </c>
      <c r="E480" s="105"/>
      <c r="G480" s="54"/>
      <c r="H480" s="105"/>
    </row>
    <row r="481">
      <c r="A481" s="54"/>
      <c r="B481" s="88" t="str">
        <f>IFERROR(HYPERLINK(VLOOKUP(A481,Internal_lists_bugs!$A$2:$C$73,3,FALSE()), VLOOKUP(A481,Internal_lists_bugs!$A$2:$C$73,3,FALSE())&amp;Char(10) &amp; Char(10) &amp; VLOOKUP(A481,Internal_lists_bugs!$A$2:$Z$73,26,FALSE())),"please select a BUG ID")</f>
        <v>please select a BUG ID</v>
      </c>
      <c r="C481" s="51" t="str">
        <f>IFERROR(VLOOKUP(A481,Internal_lists_bugs!$A$2:$G1001,7,FALSE()),"please select a BUG ID")</f>
        <v>please select a BUG ID</v>
      </c>
      <c r="D481" s="51" t="str">
        <f>IFERROR(VLOOKUP(A481,Internal_lists_bugs!$A$2:$I1001,9,FALSE()),"please select a BUG ID")</f>
        <v>please select a BUG ID</v>
      </c>
      <c r="E481" s="105"/>
      <c r="G481" s="54"/>
      <c r="H481" s="105"/>
    </row>
    <row r="482">
      <c r="A482" s="54"/>
      <c r="B482" s="88" t="str">
        <f>IFERROR(HYPERLINK(VLOOKUP(A482,Internal_lists_bugs!$A$2:$C$73,3,FALSE()), VLOOKUP(A482,Internal_lists_bugs!$A$2:$C$73,3,FALSE())&amp;Char(10) &amp; Char(10) &amp; VLOOKUP(A482,Internal_lists_bugs!$A$2:$Z$73,26,FALSE())),"please select a BUG ID")</f>
        <v>please select a BUG ID</v>
      </c>
      <c r="C482" s="51" t="str">
        <f>IFERROR(VLOOKUP(A482,Internal_lists_bugs!$A$2:$G1001,7,FALSE()),"please select a BUG ID")</f>
        <v>please select a BUG ID</v>
      </c>
      <c r="D482" s="51" t="str">
        <f>IFERROR(VLOOKUP(A482,Internal_lists_bugs!$A$2:$I1001,9,FALSE()),"please select a BUG ID")</f>
        <v>please select a BUG ID</v>
      </c>
      <c r="E482" s="105"/>
      <c r="G482" s="54"/>
      <c r="H482" s="105"/>
    </row>
    <row r="483">
      <c r="A483" s="54"/>
      <c r="B483" s="88" t="str">
        <f>IFERROR(HYPERLINK(VLOOKUP(A483,Internal_lists_bugs!$A$2:$C$73,3,FALSE()), VLOOKUP(A483,Internal_lists_bugs!$A$2:$C$73,3,FALSE())&amp;Char(10) &amp; Char(10) &amp; VLOOKUP(A483,Internal_lists_bugs!$A$2:$Z$73,26,FALSE())),"please select a BUG ID")</f>
        <v>please select a BUG ID</v>
      </c>
      <c r="C483" s="51" t="str">
        <f>IFERROR(VLOOKUP(A483,Internal_lists_bugs!$A$2:$G1001,7,FALSE()),"please select a BUG ID")</f>
        <v>please select a BUG ID</v>
      </c>
      <c r="D483" s="51" t="str">
        <f>IFERROR(VLOOKUP(A483,Internal_lists_bugs!$A$2:$I1001,9,FALSE()),"please select a BUG ID")</f>
        <v>please select a BUG ID</v>
      </c>
      <c r="E483" s="105"/>
      <c r="G483" s="54"/>
      <c r="H483" s="105"/>
    </row>
    <row r="484">
      <c r="A484" s="54"/>
      <c r="B484" s="88" t="str">
        <f>IFERROR(HYPERLINK(VLOOKUP(A484,Internal_lists_bugs!$A$2:$C$73,3,FALSE()), VLOOKUP(A484,Internal_lists_bugs!$A$2:$C$73,3,FALSE())&amp;Char(10) &amp; Char(10) &amp; VLOOKUP(A484,Internal_lists_bugs!$A$2:$Z$73,26,FALSE())),"please select a BUG ID")</f>
        <v>please select a BUG ID</v>
      </c>
      <c r="C484" s="51" t="str">
        <f>IFERROR(VLOOKUP(A484,Internal_lists_bugs!$A$2:$G1001,7,FALSE()),"please select a BUG ID")</f>
        <v>please select a BUG ID</v>
      </c>
      <c r="D484" s="51" t="str">
        <f>IFERROR(VLOOKUP(A484,Internal_lists_bugs!$A$2:$I1001,9,FALSE()),"please select a BUG ID")</f>
        <v>please select a BUG ID</v>
      </c>
      <c r="E484" s="105"/>
      <c r="G484" s="54"/>
      <c r="H484" s="105"/>
    </row>
    <row r="485">
      <c r="A485" s="54"/>
      <c r="B485" s="88" t="str">
        <f>IFERROR(HYPERLINK(VLOOKUP(A485,Internal_lists_bugs!$A$2:$C$73,3,FALSE()), VLOOKUP(A485,Internal_lists_bugs!$A$2:$C$73,3,FALSE())&amp;Char(10) &amp; Char(10) &amp; VLOOKUP(A485,Internal_lists_bugs!$A$2:$Z$73,26,FALSE())),"please select a BUG ID")</f>
        <v>please select a BUG ID</v>
      </c>
      <c r="C485" s="51" t="str">
        <f>IFERROR(VLOOKUP(A485,Internal_lists_bugs!$A$2:$G1001,7,FALSE()),"please select a BUG ID")</f>
        <v>please select a BUG ID</v>
      </c>
      <c r="D485" s="51" t="str">
        <f>IFERROR(VLOOKUP(A485,Internal_lists_bugs!$A$2:$I1001,9,FALSE()),"please select a BUG ID")</f>
        <v>please select a BUG ID</v>
      </c>
      <c r="E485" s="105"/>
      <c r="G485" s="54"/>
      <c r="H485" s="105"/>
    </row>
    <row r="486">
      <c r="A486" s="54"/>
      <c r="B486" s="88" t="str">
        <f>IFERROR(HYPERLINK(VLOOKUP(A486,Internal_lists_bugs!$A$2:$C$73,3,FALSE()), VLOOKUP(A486,Internal_lists_bugs!$A$2:$C$73,3,FALSE())&amp;Char(10) &amp; Char(10) &amp; VLOOKUP(A486,Internal_lists_bugs!$A$2:$Z$73,26,FALSE())),"please select a BUG ID")</f>
        <v>please select a BUG ID</v>
      </c>
      <c r="C486" s="51" t="str">
        <f>IFERROR(VLOOKUP(A486,Internal_lists_bugs!$A$2:$G1001,7,FALSE()),"please select a BUG ID")</f>
        <v>please select a BUG ID</v>
      </c>
      <c r="D486" s="51" t="str">
        <f>IFERROR(VLOOKUP(A486,Internal_lists_bugs!$A$2:$I1001,9,FALSE()),"please select a BUG ID")</f>
        <v>please select a BUG ID</v>
      </c>
      <c r="E486" s="105"/>
      <c r="G486" s="54"/>
      <c r="H486" s="105"/>
    </row>
    <row r="487">
      <c r="A487" s="54"/>
      <c r="B487" s="88" t="str">
        <f>IFERROR(HYPERLINK(VLOOKUP(A487,Internal_lists_bugs!$A$2:$C$73,3,FALSE()), VLOOKUP(A487,Internal_lists_bugs!$A$2:$C$73,3,FALSE())&amp;Char(10) &amp; Char(10) &amp; VLOOKUP(A487,Internal_lists_bugs!$A$2:$Z$73,26,FALSE())),"please select a BUG ID")</f>
        <v>please select a BUG ID</v>
      </c>
      <c r="C487" s="51" t="str">
        <f>IFERROR(VLOOKUP(A487,Internal_lists_bugs!$A$2:$G1001,7,FALSE()),"please select a BUG ID")</f>
        <v>please select a BUG ID</v>
      </c>
      <c r="D487" s="51" t="str">
        <f>IFERROR(VLOOKUP(A487,Internal_lists_bugs!$A$2:$I1001,9,FALSE()),"please select a BUG ID")</f>
        <v>please select a BUG ID</v>
      </c>
      <c r="E487" s="105"/>
      <c r="G487" s="54"/>
      <c r="H487" s="105"/>
    </row>
    <row r="488">
      <c r="A488" s="54"/>
      <c r="B488" s="88" t="str">
        <f>IFERROR(HYPERLINK(VLOOKUP(A488,Internal_lists_bugs!$A$2:$C$73,3,FALSE()), VLOOKUP(A488,Internal_lists_bugs!$A$2:$C$73,3,FALSE())&amp;Char(10) &amp; Char(10) &amp; VLOOKUP(A488,Internal_lists_bugs!$A$2:$Z$73,26,FALSE())),"please select a BUG ID")</f>
        <v>please select a BUG ID</v>
      </c>
      <c r="C488" s="51" t="str">
        <f>IFERROR(VLOOKUP(A488,Internal_lists_bugs!$A$2:$G1001,7,FALSE()),"please select a BUG ID")</f>
        <v>please select a BUG ID</v>
      </c>
      <c r="D488" s="51" t="str">
        <f>IFERROR(VLOOKUP(A488,Internal_lists_bugs!$A$2:$I1001,9,FALSE()),"please select a BUG ID")</f>
        <v>please select a BUG ID</v>
      </c>
      <c r="E488" s="105"/>
      <c r="G488" s="54"/>
      <c r="H488" s="105"/>
    </row>
    <row r="489">
      <c r="A489" s="54"/>
      <c r="B489" s="88" t="str">
        <f>IFERROR(HYPERLINK(VLOOKUP(A489,Internal_lists_bugs!$A$2:$C$73,3,FALSE()), VLOOKUP(A489,Internal_lists_bugs!$A$2:$C$73,3,FALSE())&amp;Char(10) &amp; Char(10) &amp; VLOOKUP(A489,Internal_lists_bugs!$A$2:$Z$73,26,FALSE())),"please select a BUG ID")</f>
        <v>please select a BUG ID</v>
      </c>
      <c r="C489" s="51" t="str">
        <f>IFERROR(VLOOKUP(A489,Internal_lists_bugs!$A$2:$G1001,7,FALSE()),"please select a BUG ID")</f>
        <v>please select a BUG ID</v>
      </c>
      <c r="D489" s="51" t="str">
        <f>IFERROR(VLOOKUP(A489,Internal_lists_bugs!$A$2:$I1001,9,FALSE()),"please select a BUG ID")</f>
        <v>please select a BUG ID</v>
      </c>
      <c r="E489" s="105"/>
      <c r="G489" s="54"/>
      <c r="H489" s="105"/>
    </row>
    <row r="490">
      <c r="A490" s="54"/>
      <c r="B490" s="88" t="str">
        <f>IFERROR(HYPERLINK(VLOOKUP(A490,Internal_lists_bugs!$A$2:$C$73,3,FALSE()), VLOOKUP(A490,Internal_lists_bugs!$A$2:$C$73,3,FALSE())&amp;Char(10) &amp; Char(10) &amp; VLOOKUP(A490,Internal_lists_bugs!$A$2:$Z$73,26,FALSE())),"please select a BUG ID")</f>
        <v>please select a BUG ID</v>
      </c>
      <c r="C490" s="51" t="str">
        <f>IFERROR(VLOOKUP(A490,Internal_lists_bugs!$A$2:$G1001,7,FALSE()),"please select a BUG ID")</f>
        <v>please select a BUG ID</v>
      </c>
      <c r="D490" s="51" t="str">
        <f>IFERROR(VLOOKUP(A490,Internal_lists_bugs!$A$2:$I1001,9,FALSE()),"please select a BUG ID")</f>
        <v>please select a BUG ID</v>
      </c>
      <c r="E490" s="105"/>
      <c r="G490" s="54"/>
      <c r="H490" s="105"/>
    </row>
    <row r="491">
      <c r="A491" s="54"/>
      <c r="B491" s="88" t="str">
        <f>IFERROR(HYPERLINK(VLOOKUP(A491,Internal_lists_bugs!$A$2:$C$73,3,FALSE()), VLOOKUP(A491,Internal_lists_bugs!$A$2:$C$73,3,FALSE())&amp;Char(10) &amp; Char(10) &amp; VLOOKUP(A491,Internal_lists_bugs!$A$2:$Z$73,26,FALSE())),"please select a BUG ID")</f>
        <v>please select a BUG ID</v>
      </c>
      <c r="C491" s="51" t="str">
        <f>IFERROR(VLOOKUP(A491,Internal_lists_bugs!$A$2:$G1001,7,FALSE()),"please select a BUG ID")</f>
        <v>please select a BUG ID</v>
      </c>
      <c r="D491" s="51" t="str">
        <f>IFERROR(VLOOKUP(A491,Internal_lists_bugs!$A$2:$I1001,9,FALSE()),"please select a BUG ID")</f>
        <v>please select a BUG ID</v>
      </c>
      <c r="E491" s="105"/>
      <c r="G491" s="54"/>
      <c r="H491" s="105"/>
    </row>
    <row r="492">
      <c r="A492" s="54"/>
      <c r="B492" s="88" t="str">
        <f>IFERROR(HYPERLINK(VLOOKUP(A492,Internal_lists_bugs!$A$2:$C$73,3,FALSE()), VLOOKUP(A492,Internal_lists_bugs!$A$2:$C$73,3,FALSE())&amp;Char(10) &amp; Char(10) &amp; VLOOKUP(A492,Internal_lists_bugs!$A$2:$Z$73,26,FALSE())),"please select a BUG ID")</f>
        <v>please select a BUG ID</v>
      </c>
      <c r="C492" s="51" t="str">
        <f>IFERROR(VLOOKUP(A492,Internal_lists_bugs!$A$2:$G1001,7,FALSE()),"please select a BUG ID")</f>
        <v>please select a BUG ID</v>
      </c>
      <c r="D492" s="51" t="str">
        <f>IFERROR(VLOOKUP(A492,Internal_lists_bugs!$A$2:$I1001,9,FALSE()),"please select a BUG ID")</f>
        <v>please select a BUG ID</v>
      </c>
      <c r="E492" s="105"/>
      <c r="G492" s="54"/>
      <c r="H492" s="105"/>
    </row>
    <row r="493">
      <c r="A493" s="54"/>
      <c r="B493" s="88" t="str">
        <f>IFERROR(HYPERLINK(VLOOKUP(A493,Internal_lists_bugs!$A$2:$C$73,3,FALSE()), VLOOKUP(A493,Internal_lists_bugs!$A$2:$C$73,3,FALSE())&amp;Char(10) &amp; Char(10) &amp; VLOOKUP(A493,Internal_lists_bugs!$A$2:$Z$73,26,FALSE())),"please select a BUG ID")</f>
        <v>please select a BUG ID</v>
      </c>
      <c r="C493" s="51" t="str">
        <f>IFERROR(VLOOKUP(A493,Internal_lists_bugs!$A$2:$G1001,7,FALSE()),"please select a BUG ID")</f>
        <v>please select a BUG ID</v>
      </c>
      <c r="D493" s="51" t="str">
        <f>IFERROR(VLOOKUP(A493,Internal_lists_bugs!$A$2:$I1001,9,FALSE()),"please select a BUG ID")</f>
        <v>please select a BUG ID</v>
      </c>
      <c r="E493" s="105"/>
      <c r="G493" s="54"/>
      <c r="H493" s="105"/>
    </row>
    <row r="494">
      <c r="A494" s="54"/>
      <c r="B494" s="88" t="str">
        <f>IFERROR(HYPERLINK(VLOOKUP(A494,Internal_lists_bugs!$A$2:$C$73,3,FALSE()), VLOOKUP(A494,Internal_lists_bugs!$A$2:$C$73,3,FALSE())&amp;Char(10) &amp; Char(10) &amp; VLOOKUP(A494,Internal_lists_bugs!$A$2:$Z$73,26,FALSE())),"please select a BUG ID")</f>
        <v>please select a BUG ID</v>
      </c>
      <c r="C494" s="51" t="str">
        <f>IFERROR(VLOOKUP(A494,Internal_lists_bugs!$A$2:$G1001,7,FALSE()),"please select a BUG ID")</f>
        <v>please select a BUG ID</v>
      </c>
      <c r="D494" s="51" t="str">
        <f>IFERROR(VLOOKUP(A494,Internal_lists_bugs!$A$2:$I1001,9,FALSE()),"please select a BUG ID")</f>
        <v>please select a BUG ID</v>
      </c>
      <c r="E494" s="105"/>
      <c r="G494" s="54"/>
      <c r="H494" s="105"/>
    </row>
    <row r="495">
      <c r="A495" s="54"/>
      <c r="B495" s="88" t="str">
        <f>IFERROR(HYPERLINK(VLOOKUP(A495,Internal_lists_bugs!$A$2:$C$73,3,FALSE()), VLOOKUP(A495,Internal_lists_bugs!$A$2:$C$73,3,FALSE())&amp;Char(10) &amp; Char(10) &amp; VLOOKUP(A495,Internal_lists_bugs!$A$2:$Z$73,26,FALSE())),"please select a BUG ID")</f>
        <v>please select a BUG ID</v>
      </c>
      <c r="C495" s="51" t="str">
        <f>IFERROR(VLOOKUP(A495,Internal_lists_bugs!$A$2:$G1001,7,FALSE()),"please select a BUG ID")</f>
        <v>please select a BUG ID</v>
      </c>
      <c r="D495" s="51" t="str">
        <f>IFERROR(VLOOKUP(A495,Internal_lists_bugs!$A$2:$I1001,9,FALSE()),"please select a BUG ID")</f>
        <v>please select a BUG ID</v>
      </c>
      <c r="E495" s="105"/>
      <c r="G495" s="54"/>
      <c r="H495" s="105"/>
    </row>
    <row r="496">
      <c r="A496" s="54"/>
      <c r="B496" s="88" t="str">
        <f>IFERROR(HYPERLINK(VLOOKUP(A496,Internal_lists_bugs!$A$2:$C$73,3,FALSE()), VLOOKUP(A496,Internal_lists_bugs!$A$2:$C$73,3,FALSE())&amp;Char(10) &amp; Char(10) &amp; VLOOKUP(A496,Internal_lists_bugs!$A$2:$Z$73,26,FALSE())),"please select a BUG ID")</f>
        <v>please select a BUG ID</v>
      </c>
      <c r="C496" s="51" t="str">
        <f>IFERROR(VLOOKUP(A496,Internal_lists_bugs!$A$2:$G1001,7,FALSE()),"please select a BUG ID")</f>
        <v>please select a BUG ID</v>
      </c>
      <c r="D496" s="51" t="str">
        <f>IFERROR(VLOOKUP(A496,Internal_lists_bugs!$A$2:$I1001,9,FALSE()),"please select a BUG ID")</f>
        <v>please select a BUG ID</v>
      </c>
      <c r="E496" s="105"/>
      <c r="G496" s="54"/>
      <c r="H496" s="105"/>
    </row>
    <row r="497">
      <c r="A497" s="54"/>
      <c r="B497" s="88" t="str">
        <f>IFERROR(HYPERLINK(VLOOKUP(A497,Internal_lists_bugs!$A$2:$C$73,3,FALSE()), VLOOKUP(A497,Internal_lists_bugs!$A$2:$C$73,3,FALSE())&amp;Char(10) &amp; Char(10) &amp; VLOOKUP(A497,Internal_lists_bugs!$A$2:$Z$73,26,FALSE())),"please select a BUG ID")</f>
        <v>please select a BUG ID</v>
      </c>
      <c r="C497" s="51" t="str">
        <f>IFERROR(VLOOKUP(A497,Internal_lists_bugs!$A$2:$G1001,7,FALSE()),"please select a BUG ID")</f>
        <v>please select a BUG ID</v>
      </c>
      <c r="D497" s="51" t="str">
        <f>IFERROR(VLOOKUP(A497,Internal_lists_bugs!$A$2:$I1001,9,FALSE()),"please select a BUG ID")</f>
        <v>please select a BUG ID</v>
      </c>
      <c r="E497" s="105"/>
      <c r="G497" s="54"/>
      <c r="H497" s="105"/>
    </row>
    <row r="498">
      <c r="A498" s="54"/>
      <c r="B498" s="88" t="str">
        <f>IFERROR(HYPERLINK(VLOOKUP(A498,Internal_lists_bugs!$A$2:$C$73,3,FALSE()), VLOOKUP(A498,Internal_lists_bugs!$A$2:$C$73,3,FALSE())&amp;Char(10) &amp; Char(10) &amp; VLOOKUP(A498,Internal_lists_bugs!$A$2:$Z$73,26,FALSE())),"please select a BUG ID")</f>
        <v>please select a BUG ID</v>
      </c>
      <c r="C498" s="51" t="str">
        <f>IFERROR(VLOOKUP(A498,Internal_lists_bugs!$A$2:$G1001,7,FALSE()),"please select a BUG ID")</f>
        <v>please select a BUG ID</v>
      </c>
      <c r="D498" s="51" t="str">
        <f>IFERROR(VLOOKUP(A498,Internal_lists_bugs!$A$2:$I1001,9,FALSE()),"please select a BUG ID")</f>
        <v>please select a BUG ID</v>
      </c>
      <c r="E498" s="105"/>
      <c r="G498" s="54"/>
      <c r="H498" s="105"/>
    </row>
    <row r="499">
      <c r="A499" s="54"/>
      <c r="B499" s="88" t="str">
        <f>IFERROR(HYPERLINK(VLOOKUP(A499,Internal_lists_bugs!$A$2:$C$73,3,FALSE()), VLOOKUP(A499,Internal_lists_bugs!$A$2:$C$73,3,FALSE())&amp;Char(10) &amp; Char(10) &amp; VLOOKUP(A499,Internal_lists_bugs!$A$2:$Z$73,26,FALSE())),"please select a BUG ID")</f>
        <v>please select a BUG ID</v>
      </c>
      <c r="C499" s="51" t="str">
        <f>IFERROR(VLOOKUP(A499,Internal_lists_bugs!$A$2:$G1001,7,FALSE()),"please select a BUG ID")</f>
        <v>please select a BUG ID</v>
      </c>
      <c r="D499" s="51" t="str">
        <f>IFERROR(VLOOKUP(A499,Internal_lists_bugs!$A$2:$I1001,9,FALSE()),"please select a BUG ID")</f>
        <v>please select a BUG ID</v>
      </c>
      <c r="E499" s="105"/>
      <c r="G499" s="54"/>
      <c r="H499" s="105"/>
    </row>
    <row r="500">
      <c r="A500" s="54"/>
      <c r="B500" s="88" t="str">
        <f>IFERROR(HYPERLINK(VLOOKUP(A500,Internal_lists_bugs!$A$2:$C$73,3,FALSE()), VLOOKUP(A500,Internal_lists_bugs!$A$2:$C$73,3,FALSE())&amp;Char(10) &amp; Char(10) &amp; VLOOKUP(A500,Internal_lists_bugs!$A$2:$Z$73,26,FALSE())),"please select a BUG ID")</f>
        <v>please select a BUG ID</v>
      </c>
      <c r="C500" s="51" t="str">
        <f>IFERROR(VLOOKUP(A500,Internal_lists_bugs!$A$2:$G1001,7,FALSE()),"please select a BUG ID")</f>
        <v>please select a BUG ID</v>
      </c>
      <c r="D500" s="51" t="str">
        <f>IFERROR(VLOOKUP(A500,Internal_lists_bugs!$A$2:$I1001,9,FALSE()),"please select a BUG ID")</f>
        <v>please select a BUG ID</v>
      </c>
      <c r="E500" s="105"/>
      <c r="G500" s="54"/>
      <c r="H500" s="105"/>
    </row>
    <row r="501">
      <c r="A501" s="54"/>
      <c r="B501" s="88" t="str">
        <f>IFERROR(HYPERLINK(VLOOKUP(A501,Internal_lists_bugs!$A$2:$C$73,3,FALSE()), VLOOKUP(A501,Internal_lists_bugs!$A$2:$C$73,3,FALSE())&amp;Char(10) &amp; Char(10) &amp; VLOOKUP(A501,Internal_lists_bugs!$A$2:$Z$73,26,FALSE())),"please select a BUG ID")</f>
        <v>please select a BUG ID</v>
      </c>
      <c r="C501" s="51" t="str">
        <f>IFERROR(VLOOKUP(A501,Internal_lists_bugs!$A$2:$G1001,7,FALSE()),"please select a BUG ID")</f>
        <v>please select a BUG ID</v>
      </c>
      <c r="D501" s="51" t="str">
        <f>IFERROR(VLOOKUP(A501,Internal_lists_bugs!$A$2:$I1001,9,FALSE()),"please select a BUG ID")</f>
        <v>please select a BUG ID</v>
      </c>
      <c r="E501" s="105"/>
      <c r="G501" s="54"/>
      <c r="H501" s="105"/>
    </row>
    <row r="502">
      <c r="A502" s="54"/>
      <c r="B502" s="88" t="str">
        <f>IFERROR(HYPERLINK(VLOOKUP(A502,Internal_lists_bugs!$A$2:$C$73,3,FALSE()), VLOOKUP(A502,Internal_lists_bugs!$A$2:$C$73,3,FALSE())&amp;Char(10) &amp; Char(10) &amp; VLOOKUP(A502,Internal_lists_bugs!$A$2:$Z$73,26,FALSE())),"please select a BUG ID")</f>
        <v>please select a BUG ID</v>
      </c>
      <c r="C502" s="51" t="str">
        <f>IFERROR(VLOOKUP(A502,Internal_lists_bugs!$A$2:$G1001,7,FALSE()),"please select a BUG ID")</f>
        <v>please select a BUG ID</v>
      </c>
      <c r="D502" s="51" t="str">
        <f>IFERROR(VLOOKUP(A502,Internal_lists_bugs!$A$2:$I1001,9,FALSE()),"please select a BUG ID")</f>
        <v>please select a BUG ID</v>
      </c>
      <c r="E502" s="105"/>
      <c r="G502" s="54"/>
      <c r="H502" s="105"/>
    </row>
    <row r="503">
      <c r="A503" s="54"/>
      <c r="B503" s="88" t="str">
        <f>IFERROR(HYPERLINK(VLOOKUP(A503,Internal_lists_bugs!$A$2:$C$73,3,FALSE()), VLOOKUP(A503,Internal_lists_bugs!$A$2:$C$73,3,FALSE())&amp;Char(10) &amp; Char(10) &amp; VLOOKUP(A503,Internal_lists_bugs!$A$2:$Z$73,26,FALSE())),"please select a BUG ID")</f>
        <v>please select a BUG ID</v>
      </c>
      <c r="C503" s="51" t="str">
        <f>IFERROR(VLOOKUP(A503,Internal_lists_bugs!$A$2:$G1001,7,FALSE()),"please select a BUG ID")</f>
        <v>please select a BUG ID</v>
      </c>
      <c r="D503" s="51" t="str">
        <f>IFERROR(VLOOKUP(A503,Internal_lists_bugs!$A$2:$I1001,9,FALSE()),"please select a BUG ID")</f>
        <v>please select a BUG ID</v>
      </c>
      <c r="E503" s="105"/>
      <c r="G503" s="54"/>
      <c r="H503" s="105"/>
    </row>
    <row r="504">
      <c r="A504" s="54"/>
      <c r="B504" s="88" t="str">
        <f>IFERROR(HYPERLINK(VLOOKUP(A504,Internal_lists_bugs!$A$2:$C$73,3,FALSE()), VLOOKUP(A504,Internal_lists_bugs!$A$2:$C$73,3,FALSE())&amp;Char(10) &amp; Char(10) &amp; VLOOKUP(A504,Internal_lists_bugs!$A$2:$Z$73,26,FALSE())),"please select a BUG ID")</f>
        <v>please select a BUG ID</v>
      </c>
      <c r="C504" s="51" t="str">
        <f>IFERROR(VLOOKUP(A504,Internal_lists_bugs!$A$2:$G1001,7,FALSE()),"please select a BUG ID")</f>
        <v>please select a BUG ID</v>
      </c>
      <c r="D504" s="51" t="str">
        <f>IFERROR(VLOOKUP(A504,Internal_lists_bugs!$A$2:$I1001,9,FALSE()),"please select a BUG ID")</f>
        <v>please select a BUG ID</v>
      </c>
      <c r="E504" s="105"/>
      <c r="G504" s="54"/>
      <c r="H504" s="105"/>
    </row>
    <row r="505">
      <c r="A505" s="54"/>
      <c r="B505" s="88" t="str">
        <f>IFERROR(HYPERLINK(VLOOKUP(A505,Internal_lists_bugs!$A$2:$C$73,3,FALSE()), VLOOKUP(A505,Internal_lists_bugs!$A$2:$C$73,3,FALSE())&amp;Char(10) &amp; Char(10) &amp; VLOOKUP(A505,Internal_lists_bugs!$A$2:$Z$73,26,FALSE())),"please select a BUG ID")</f>
        <v>please select a BUG ID</v>
      </c>
      <c r="C505" s="51" t="str">
        <f>IFERROR(VLOOKUP(A505,Internal_lists_bugs!$A$2:$G1001,7,FALSE()),"please select a BUG ID")</f>
        <v>please select a BUG ID</v>
      </c>
      <c r="D505" s="51" t="str">
        <f>IFERROR(VLOOKUP(A505,Internal_lists_bugs!$A$2:$I1001,9,FALSE()),"please select a BUG ID")</f>
        <v>please select a BUG ID</v>
      </c>
      <c r="E505" s="105"/>
      <c r="G505" s="54"/>
      <c r="H505" s="105"/>
    </row>
    <row r="506">
      <c r="A506" s="54"/>
      <c r="B506" s="88" t="str">
        <f>IFERROR(HYPERLINK(VLOOKUP(A506,Internal_lists_bugs!$A$2:$C$73,3,FALSE()), VLOOKUP(A506,Internal_lists_bugs!$A$2:$C$73,3,FALSE())&amp;Char(10) &amp; Char(10) &amp; VLOOKUP(A506,Internal_lists_bugs!$A$2:$Z$73,26,FALSE())),"please select a BUG ID")</f>
        <v>please select a BUG ID</v>
      </c>
      <c r="C506" s="51" t="str">
        <f>IFERROR(VLOOKUP(A506,Internal_lists_bugs!$A$2:$G1001,7,FALSE()),"please select a BUG ID")</f>
        <v>please select a BUG ID</v>
      </c>
      <c r="D506" s="51" t="str">
        <f>IFERROR(VLOOKUP(A506,Internal_lists_bugs!$A$2:$I1001,9,FALSE()),"please select a BUG ID")</f>
        <v>please select a BUG ID</v>
      </c>
      <c r="E506" s="105"/>
      <c r="G506" s="54"/>
      <c r="H506" s="105"/>
    </row>
    <row r="507">
      <c r="A507" s="54"/>
      <c r="B507" s="88" t="str">
        <f>IFERROR(HYPERLINK(VLOOKUP(A507,Internal_lists_bugs!$A$2:$C$73,3,FALSE()), VLOOKUP(A507,Internal_lists_bugs!$A$2:$C$73,3,FALSE())&amp;Char(10) &amp; Char(10) &amp; VLOOKUP(A507,Internal_lists_bugs!$A$2:$Z$73,26,FALSE())),"please select a BUG ID")</f>
        <v>please select a BUG ID</v>
      </c>
      <c r="C507" s="51" t="str">
        <f>IFERROR(VLOOKUP(A507,Internal_lists_bugs!$A$2:$G1001,7,FALSE()),"please select a BUG ID")</f>
        <v>please select a BUG ID</v>
      </c>
      <c r="D507" s="51" t="str">
        <f>IFERROR(VLOOKUP(A507,Internal_lists_bugs!$A$2:$I1001,9,FALSE()),"please select a BUG ID")</f>
        <v>please select a BUG ID</v>
      </c>
      <c r="E507" s="105"/>
      <c r="G507" s="54"/>
      <c r="H507" s="105"/>
    </row>
    <row r="508">
      <c r="A508" s="54"/>
      <c r="B508" s="88" t="str">
        <f>IFERROR(HYPERLINK(VLOOKUP(A508,Internal_lists_bugs!$A$2:$C$73,3,FALSE()), VLOOKUP(A508,Internal_lists_bugs!$A$2:$C$73,3,FALSE())&amp;Char(10) &amp; Char(10) &amp; VLOOKUP(A508,Internal_lists_bugs!$A$2:$Z$73,26,FALSE())),"please select a BUG ID")</f>
        <v>please select a BUG ID</v>
      </c>
      <c r="C508" s="51" t="str">
        <f>IFERROR(VLOOKUP(A508,Internal_lists_bugs!$A$2:$G1001,7,FALSE()),"please select a BUG ID")</f>
        <v>please select a BUG ID</v>
      </c>
      <c r="D508" s="51" t="str">
        <f>IFERROR(VLOOKUP(A508,Internal_lists_bugs!$A$2:$I1001,9,FALSE()),"please select a BUG ID")</f>
        <v>please select a BUG ID</v>
      </c>
      <c r="E508" s="105"/>
      <c r="G508" s="54"/>
      <c r="H508" s="105"/>
    </row>
    <row r="509">
      <c r="A509" s="54"/>
      <c r="B509" s="88" t="str">
        <f>IFERROR(HYPERLINK(VLOOKUP(A509,Internal_lists_bugs!$A$2:$C$73,3,FALSE()), VLOOKUP(A509,Internal_lists_bugs!$A$2:$C$73,3,FALSE())&amp;Char(10) &amp; Char(10) &amp; VLOOKUP(A509,Internal_lists_bugs!$A$2:$Z$73,26,FALSE())),"please select a BUG ID")</f>
        <v>please select a BUG ID</v>
      </c>
      <c r="C509" s="51" t="str">
        <f>IFERROR(VLOOKUP(A509,Internal_lists_bugs!$A$2:$G1001,7,FALSE()),"please select a BUG ID")</f>
        <v>please select a BUG ID</v>
      </c>
      <c r="D509" s="51" t="str">
        <f>IFERROR(VLOOKUP(A509,Internal_lists_bugs!$A$2:$I1001,9,FALSE()),"please select a BUG ID")</f>
        <v>please select a BUG ID</v>
      </c>
      <c r="E509" s="105"/>
      <c r="G509" s="54"/>
      <c r="H509" s="105"/>
    </row>
    <row r="510">
      <c r="A510" s="54"/>
      <c r="B510" s="88" t="str">
        <f>IFERROR(HYPERLINK(VLOOKUP(A510,Internal_lists_bugs!$A$2:$C$73,3,FALSE()), VLOOKUP(A510,Internal_lists_bugs!$A$2:$C$73,3,FALSE())&amp;Char(10) &amp; Char(10) &amp; VLOOKUP(A510,Internal_lists_bugs!$A$2:$Z$73,26,FALSE())),"please select a BUG ID")</f>
        <v>please select a BUG ID</v>
      </c>
      <c r="C510" s="51" t="str">
        <f>IFERROR(VLOOKUP(A510,Internal_lists_bugs!$A$2:$G1001,7,FALSE()),"please select a BUG ID")</f>
        <v>please select a BUG ID</v>
      </c>
      <c r="D510" s="51" t="str">
        <f>IFERROR(VLOOKUP(A510,Internal_lists_bugs!$A$2:$I1001,9,FALSE()),"please select a BUG ID")</f>
        <v>please select a BUG ID</v>
      </c>
      <c r="E510" s="105"/>
      <c r="G510" s="54"/>
      <c r="H510" s="105"/>
    </row>
    <row r="511">
      <c r="A511" s="54"/>
      <c r="B511" s="88" t="str">
        <f>IFERROR(HYPERLINK(VLOOKUP(A511,Internal_lists_bugs!$A$2:$C$73,3,FALSE()), VLOOKUP(A511,Internal_lists_bugs!$A$2:$C$73,3,FALSE())&amp;Char(10) &amp; Char(10) &amp; VLOOKUP(A511,Internal_lists_bugs!$A$2:$Z$73,26,FALSE())),"please select a BUG ID")</f>
        <v>please select a BUG ID</v>
      </c>
      <c r="C511" s="51" t="str">
        <f>IFERROR(VLOOKUP(A511,Internal_lists_bugs!$A$2:$G1001,7,FALSE()),"please select a BUG ID")</f>
        <v>please select a BUG ID</v>
      </c>
      <c r="D511" s="51" t="str">
        <f>IFERROR(VLOOKUP(A511,Internal_lists_bugs!$A$2:$I1001,9,FALSE()),"please select a BUG ID")</f>
        <v>please select a BUG ID</v>
      </c>
      <c r="E511" s="105"/>
      <c r="G511" s="54"/>
      <c r="H511" s="105"/>
    </row>
    <row r="512">
      <c r="A512" s="54"/>
      <c r="B512" s="88" t="str">
        <f>IFERROR(HYPERLINK(VLOOKUP(A512,Internal_lists_bugs!$A$2:$C$73,3,FALSE()), VLOOKUP(A512,Internal_lists_bugs!$A$2:$C$73,3,FALSE())&amp;Char(10) &amp; Char(10) &amp; VLOOKUP(A512,Internal_lists_bugs!$A$2:$Z$73,26,FALSE())),"please select a BUG ID")</f>
        <v>please select a BUG ID</v>
      </c>
      <c r="C512" s="51" t="str">
        <f>IFERROR(VLOOKUP(A512,Internal_lists_bugs!$A$2:$G1001,7,FALSE()),"please select a BUG ID")</f>
        <v>please select a BUG ID</v>
      </c>
      <c r="D512" s="51" t="str">
        <f>IFERROR(VLOOKUP(A512,Internal_lists_bugs!$A$2:$I1001,9,FALSE()),"please select a BUG ID")</f>
        <v>please select a BUG ID</v>
      </c>
      <c r="E512" s="105"/>
      <c r="G512" s="54"/>
      <c r="H512" s="105"/>
    </row>
    <row r="513">
      <c r="A513" s="54"/>
      <c r="B513" s="88" t="str">
        <f>IFERROR(HYPERLINK(VLOOKUP(A513,Internal_lists_bugs!$A$2:$C$73,3,FALSE()), VLOOKUP(A513,Internal_lists_bugs!$A$2:$C$73,3,FALSE())&amp;Char(10) &amp; Char(10) &amp; VLOOKUP(A513,Internal_lists_bugs!$A$2:$Z$73,26,FALSE())),"please select a BUG ID")</f>
        <v>please select a BUG ID</v>
      </c>
      <c r="C513" s="51" t="str">
        <f>IFERROR(VLOOKUP(A513,Internal_lists_bugs!$A$2:$G1001,7,FALSE()),"please select a BUG ID")</f>
        <v>please select a BUG ID</v>
      </c>
      <c r="D513" s="51" t="str">
        <f>IFERROR(VLOOKUP(A513,Internal_lists_bugs!$A$2:$I1001,9,FALSE()),"please select a BUG ID")</f>
        <v>please select a BUG ID</v>
      </c>
      <c r="E513" s="105"/>
      <c r="G513" s="54"/>
      <c r="H513" s="105"/>
    </row>
    <row r="514">
      <c r="A514" s="54"/>
      <c r="B514" s="88" t="str">
        <f>IFERROR(HYPERLINK(VLOOKUP(A514,Internal_lists_bugs!$A$2:$C$73,3,FALSE()), VLOOKUP(A514,Internal_lists_bugs!$A$2:$C$73,3,FALSE())&amp;Char(10) &amp; Char(10) &amp; VLOOKUP(A514,Internal_lists_bugs!$A$2:$Z$73,26,FALSE())),"please select a BUG ID")</f>
        <v>please select a BUG ID</v>
      </c>
      <c r="C514" s="51" t="str">
        <f>IFERROR(VLOOKUP(A514,Internal_lists_bugs!$A$2:$G1001,7,FALSE()),"please select a BUG ID")</f>
        <v>please select a BUG ID</v>
      </c>
      <c r="D514" s="51" t="str">
        <f>IFERROR(VLOOKUP(A514,Internal_lists_bugs!$A$2:$I1001,9,FALSE()),"please select a BUG ID")</f>
        <v>please select a BUG ID</v>
      </c>
      <c r="E514" s="105"/>
      <c r="G514" s="54"/>
      <c r="H514" s="105"/>
    </row>
    <row r="515">
      <c r="A515" s="54"/>
      <c r="B515" s="88" t="str">
        <f>IFERROR(HYPERLINK(VLOOKUP(A515,Internal_lists_bugs!$A$2:$C$73,3,FALSE()), VLOOKUP(A515,Internal_lists_bugs!$A$2:$C$73,3,FALSE())&amp;Char(10) &amp; Char(10) &amp; VLOOKUP(A515,Internal_lists_bugs!$A$2:$Z$73,26,FALSE())),"please select a BUG ID")</f>
        <v>please select a BUG ID</v>
      </c>
      <c r="C515" s="51" t="str">
        <f>IFERROR(VLOOKUP(A515,Internal_lists_bugs!$A$2:$G1001,7,FALSE()),"please select a BUG ID")</f>
        <v>please select a BUG ID</v>
      </c>
      <c r="D515" s="51" t="str">
        <f>IFERROR(VLOOKUP(A515,Internal_lists_bugs!$A$2:$I1001,9,FALSE()),"please select a BUG ID")</f>
        <v>please select a BUG ID</v>
      </c>
      <c r="E515" s="105"/>
      <c r="G515" s="54"/>
      <c r="H515" s="105"/>
    </row>
    <row r="516">
      <c r="A516" s="54"/>
      <c r="B516" s="88" t="str">
        <f>IFERROR(HYPERLINK(VLOOKUP(A516,Internal_lists_bugs!$A$2:$C$73,3,FALSE()), VLOOKUP(A516,Internal_lists_bugs!$A$2:$C$73,3,FALSE())&amp;Char(10) &amp; Char(10) &amp; VLOOKUP(A516,Internal_lists_bugs!$A$2:$Z$73,26,FALSE())),"please select a BUG ID")</f>
        <v>please select a BUG ID</v>
      </c>
      <c r="C516" s="51" t="str">
        <f>IFERROR(VLOOKUP(A516,Internal_lists_bugs!$A$2:$G1001,7,FALSE()),"please select a BUG ID")</f>
        <v>please select a BUG ID</v>
      </c>
      <c r="D516" s="51" t="str">
        <f>IFERROR(VLOOKUP(A516,Internal_lists_bugs!$A$2:$I1001,9,FALSE()),"please select a BUG ID")</f>
        <v>please select a BUG ID</v>
      </c>
      <c r="E516" s="105"/>
      <c r="G516" s="54"/>
      <c r="H516" s="105"/>
    </row>
    <row r="517">
      <c r="A517" s="54"/>
      <c r="B517" s="88" t="str">
        <f>IFERROR(HYPERLINK(VLOOKUP(A517,Internal_lists_bugs!$A$2:$C$73,3,FALSE()), VLOOKUP(A517,Internal_lists_bugs!$A$2:$C$73,3,FALSE())&amp;Char(10) &amp; Char(10) &amp; VLOOKUP(A517,Internal_lists_bugs!$A$2:$Z$73,26,FALSE())),"please select a BUG ID")</f>
        <v>please select a BUG ID</v>
      </c>
      <c r="C517" s="51" t="str">
        <f>IFERROR(VLOOKUP(A517,Internal_lists_bugs!$A$2:$G1001,7,FALSE()),"please select a BUG ID")</f>
        <v>please select a BUG ID</v>
      </c>
      <c r="D517" s="51" t="str">
        <f>IFERROR(VLOOKUP(A517,Internal_lists_bugs!$A$2:$I1001,9,FALSE()),"please select a BUG ID")</f>
        <v>please select a BUG ID</v>
      </c>
      <c r="E517" s="105"/>
      <c r="G517" s="54"/>
      <c r="H517" s="105"/>
    </row>
    <row r="518">
      <c r="A518" s="54"/>
      <c r="B518" s="88" t="str">
        <f>IFERROR(HYPERLINK(VLOOKUP(A518,Internal_lists_bugs!$A$2:$C$73,3,FALSE()), VLOOKUP(A518,Internal_lists_bugs!$A$2:$C$73,3,FALSE())&amp;Char(10) &amp; Char(10) &amp; VLOOKUP(A518,Internal_lists_bugs!$A$2:$Z$73,26,FALSE())),"please select a BUG ID")</f>
        <v>please select a BUG ID</v>
      </c>
      <c r="C518" s="51" t="str">
        <f>IFERROR(VLOOKUP(A518,Internal_lists_bugs!$A$2:$G1001,7,FALSE()),"please select a BUG ID")</f>
        <v>please select a BUG ID</v>
      </c>
      <c r="D518" s="51" t="str">
        <f>IFERROR(VLOOKUP(A518,Internal_lists_bugs!$A$2:$I1001,9,FALSE()),"please select a BUG ID")</f>
        <v>please select a BUG ID</v>
      </c>
      <c r="E518" s="105"/>
      <c r="G518" s="54"/>
      <c r="H518" s="105"/>
    </row>
    <row r="519">
      <c r="A519" s="54"/>
      <c r="B519" s="88" t="str">
        <f>IFERROR(HYPERLINK(VLOOKUP(A519,Internal_lists_bugs!$A$2:$C$73,3,FALSE()), VLOOKUP(A519,Internal_lists_bugs!$A$2:$C$73,3,FALSE())&amp;Char(10) &amp; Char(10) &amp; VLOOKUP(A519,Internal_lists_bugs!$A$2:$Z$73,26,FALSE())),"please select a BUG ID")</f>
        <v>please select a BUG ID</v>
      </c>
      <c r="C519" s="51" t="str">
        <f>IFERROR(VLOOKUP(A519,Internal_lists_bugs!$A$2:$G1001,7,FALSE()),"please select a BUG ID")</f>
        <v>please select a BUG ID</v>
      </c>
      <c r="D519" s="51" t="str">
        <f>IFERROR(VLOOKUP(A519,Internal_lists_bugs!$A$2:$I1001,9,FALSE()),"please select a BUG ID")</f>
        <v>please select a BUG ID</v>
      </c>
      <c r="E519" s="105"/>
      <c r="G519" s="54"/>
      <c r="H519" s="105"/>
    </row>
    <row r="520">
      <c r="A520" s="54"/>
      <c r="B520" s="88" t="str">
        <f>IFERROR(HYPERLINK(VLOOKUP(A520,Internal_lists_bugs!$A$2:$C$73,3,FALSE()), VLOOKUP(A520,Internal_lists_bugs!$A$2:$C$73,3,FALSE())&amp;Char(10) &amp; Char(10) &amp; VLOOKUP(A520,Internal_lists_bugs!$A$2:$Z$73,26,FALSE())),"please select a BUG ID")</f>
        <v>please select a BUG ID</v>
      </c>
      <c r="C520" s="51" t="str">
        <f>IFERROR(VLOOKUP(A520,Internal_lists_bugs!$A$2:$G1001,7,FALSE()),"please select a BUG ID")</f>
        <v>please select a BUG ID</v>
      </c>
      <c r="D520" s="51" t="str">
        <f>IFERROR(VLOOKUP(A520,Internal_lists_bugs!$A$2:$I1001,9,FALSE()),"please select a BUG ID")</f>
        <v>please select a BUG ID</v>
      </c>
      <c r="E520" s="105"/>
      <c r="G520" s="54"/>
      <c r="H520" s="105"/>
    </row>
    <row r="521">
      <c r="A521" s="54"/>
      <c r="B521" s="88" t="str">
        <f>IFERROR(HYPERLINK(VLOOKUP(A521,Internal_lists_bugs!$A$2:$C$73,3,FALSE()), VLOOKUP(A521,Internal_lists_bugs!$A$2:$C$73,3,FALSE())&amp;Char(10) &amp; Char(10) &amp; VLOOKUP(A521,Internal_lists_bugs!$A$2:$Z$73,26,FALSE())),"please select a BUG ID")</f>
        <v>please select a BUG ID</v>
      </c>
      <c r="C521" s="51" t="str">
        <f>IFERROR(VLOOKUP(A521,Internal_lists_bugs!$A$2:$G1001,7,FALSE()),"please select a BUG ID")</f>
        <v>please select a BUG ID</v>
      </c>
      <c r="D521" s="51" t="str">
        <f>IFERROR(VLOOKUP(A521,Internal_lists_bugs!$A$2:$I1001,9,FALSE()),"please select a BUG ID")</f>
        <v>please select a BUG ID</v>
      </c>
      <c r="E521" s="105"/>
      <c r="G521" s="54"/>
      <c r="H521" s="105"/>
    </row>
    <row r="522">
      <c r="A522" s="54"/>
      <c r="B522" s="88" t="str">
        <f>IFERROR(HYPERLINK(VLOOKUP(A522,Internal_lists_bugs!$A$2:$C$73,3,FALSE()), VLOOKUP(A522,Internal_lists_bugs!$A$2:$C$73,3,FALSE())&amp;Char(10) &amp; Char(10) &amp; VLOOKUP(A522,Internal_lists_bugs!$A$2:$Z$73,26,FALSE())),"please select a BUG ID")</f>
        <v>please select a BUG ID</v>
      </c>
      <c r="C522" s="51" t="str">
        <f>IFERROR(VLOOKUP(A522,Internal_lists_bugs!$A$2:$G1001,7,FALSE()),"please select a BUG ID")</f>
        <v>please select a BUG ID</v>
      </c>
      <c r="D522" s="51" t="str">
        <f>IFERROR(VLOOKUP(A522,Internal_lists_bugs!$A$2:$I1001,9,FALSE()),"please select a BUG ID")</f>
        <v>please select a BUG ID</v>
      </c>
      <c r="E522" s="105"/>
      <c r="G522" s="54"/>
      <c r="H522" s="105"/>
    </row>
    <row r="523">
      <c r="A523" s="54"/>
      <c r="B523" s="88" t="str">
        <f>IFERROR(HYPERLINK(VLOOKUP(A523,Internal_lists_bugs!$A$2:$C$73,3,FALSE()), VLOOKUP(A523,Internal_lists_bugs!$A$2:$C$73,3,FALSE())&amp;Char(10) &amp; Char(10) &amp; VLOOKUP(A523,Internal_lists_bugs!$A$2:$Z$73,26,FALSE())),"please select a BUG ID")</f>
        <v>please select a BUG ID</v>
      </c>
      <c r="C523" s="51" t="str">
        <f>IFERROR(VLOOKUP(A523,Internal_lists_bugs!$A$2:$G1001,7,FALSE()),"please select a BUG ID")</f>
        <v>please select a BUG ID</v>
      </c>
      <c r="D523" s="51" t="str">
        <f>IFERROR(VLOOKUP(A523,Internal_lists_bugs!$A$2:$I1001,9,FALSE()),"please select a BUG ID")</f>
        <v>please select a BUG ID</v>
      </c>
      <c r="E523" s="105"/>
      <c r="G523" s="54"/>
      <c r="H523" s="105"/>
    </row>
    <row r="524">
      <c r="A524" s="54"/>
      <c r="B524" s="88" t="str">
        <f>IFERROR(HYPERLINK(VLOOKUP(A524,Internal_lists_bugs!$A$2:$C$73,3,FALSE()), VLOOKUP(A524,Internal_lists_bugs!$A$2:$C$73,3,FALSE())&amp;Char(10) &amp; Char(10) &amp; VLOOKUP(A524,Internal_lists_bugs!$A$2:$Z$73,26,FALSE())),"please select a BUG ID")</f>
        <v>please select a BUG ID</v>
      </c>
      <c r="C524" s="51" t="str">
        <f>IFERROR(VLOOKUP(A524,Internal_lists_bugs!$A$2:$G1001,7,FALSE()),"please select a BUG ID")</f>
        <v>please select a BUG ID</v>
      </c>
      <c r="D524" s="51" t="str">
        <f>IFERROR(VLOOKUP(A524,Internal_lists_bugs!$A$2:$I1001,9,FALSE()),"please select a BUG ID")</f>
        <v>please select a BUG ID</v>
      </c>
      <c r="E524" s="105"/>
      <c r="G524" s="54"/>
      <c r="H524" s="105"/>
    </row>
    <row r="525">
      <c r="A525" s="54"/>
      <c r="B525" s="88" t="str">
        <f>IFERROR(HYPERLINK(VLOOKUP(A525,Internal_lists_bugs!$A$2:$C$73,3,FALSE()), VLOOKUP(A525,Internal_lists_bugs!$A$2:$C$73,3,FALSE())&amp;Char(10) &amp; Char(10) &amp; VLOOKUP(A525,Internal_lists_bugs!$A$2:$Z$73,26,FALSE())),"please select a BUG ID")</f>
        <v>please select a BUG ID</v>
      </c>
      <c r="C525" s="51" t="str">
        <f>IFERROR(VLOOKUP(A525,Internal_lists_bugs!$A$2:$G1001,7,FALSE()),"please select a BUG ID")</f>
        <v>please select a BUG ID</v>
      </c>
      <c r="D525" s="51" t="str">
        <f>IFERROR(VLOOKUP(A525,Internal_lists_bugs!$A$2:$I1001,9,FALSE()),"please select a BUG ID")</f>
        <v>please select a BUG ID</v>
      </c>
      <c r="E525" s="105"/>
      <c r="G525" s="54"/>
      <c r="H525" s="105"/>
    </row>
    <row r="526">
      <c r="A526" s="54"/>
      <c r="B526" s="88" t="str">
        <f>IFERROR(HYPERLINK(VLOOKUP(A526,Internal_lists_bugs!$A$2:$C$73,3,FALSE()), VLOOKUP(A526,Internal_lists_bugs!$A$2:$C$73,3,FALSE())&amp;Char(10) &amp; Char(10) &amp; VLOOKUP(A526,Internal_lists_bugs!$A$2:$Z$73,26,FALSE())),"please select a BUG ID")</f>
        <v>please select a BUG ID</v>
      </c>
      <c r="C526" s="51" t="str">
        <f>IFERROR(VLOOKUP(A526,Internal_lists_bugs!$A$2:$G1001,7,FALSE()),"please select a BUG ID")</f>
        <v>please select a BUG ID</v>
      </c>
      <c r="D526" s="51" t="str">
        <f>IFERROR(VLOOKUP(A526,Internal_lists_bugs!$A$2:$I1001,9,FALSE()),"please select a BUG ID")</f>
        <v>please select a BUG ID</v>
      </c>
      <c r="E526" s="105"/>
      <c r="G526" s="54"/>
      <c r="H526" s="105"/>
    </row>
    <row r="527">
      <c r="A527" s="54"/>
      <c r="B527" s="88" t="str">
        <f>IFERROR(HYPERLINK(VLOOKUP(A527,Internal_lists_bugs!$A$2:$C$73,3,FALSE()), VLOOKUP(A527,Internal_lists_bugs!$A$2:$C$73,3,FALSE())&amp;Char(10) &amp; Char(10) &amp; VLOOKUP(A527,Internal_lists_bugs!$A$2:$Z$73,26,FALSE())),"please select a BUG ID")</f>
        <v>please select a BUG ID</v>
      </c>
      <c r="C527" s="51" t="str">
        <f>IFERROR(VLOOKUP(A527,Internal_lists_bugs!$A$2:$G1001,7,FALSE()),"please select a BUG ID")</f>
        <v>please select a BUG ID</v>
      </c>
      <c r="D527" s="51" t="str">
        <f>IFERROR(VLOOKUP(A527,Internal_lists_bugs!$A$2:$I1001,9,FALSE()),"please select a BUG ID")</f>
        <v>please select a BUG ID</v>
      </c>
      <c r="E527" s="105"/>
      <c r="G527" s="54"/>
      <c r="H527" s="105"/>
    </row>
    <row r="528">
      <c r="A528" s="54"/>
      <c r="B528" s="88" t="str">
        <f>IFERROR(HYPERLINK(VLOOKUP(A528,Internal_lists_bugs!$A$2:$C$73,3,FALSE()), VLOOKUP(A528,Internal_lists_bugs!$A$2:$C$73,3,FALSE())&amp;Char(10) &amp; Char(10) &amp; VLOOKUP(A528,Internal_lists_bugs!$A$2:$Z$73,26,FALSE())),"please select a BUG ID")</f>
        <v>please select a BUG ID</v>
      </c>
      <c r="C528" s="51" t="str">
        <f>IFERROR(VLOOKUP(A528,Internal_lists_bugs!$A$2:$G1001,7,FALSE()),"please select a BUG ID")</f>
        <v>please select a BUG ID</v>
      </c>
      <c r="D528" s="51" t="str">
        <f>IFERROR(VLOOKUP(A528,Internal_lists_bugs!$A$2:$I1001,9,FALSE()),"please select a BUG ID")</f>
        <v>please select a BUG ID</v>
      </c>
      <c r="E528" s="105"/>
      <c r="G528" s="54"/>
      <c r="H528" s="105"/>
    </row>
    <row r="529">
      <c r="A529" s="54"/>
      <c r="B529" s="88" t="str">
        <f>IFERROR(HYPERLINK(VLOOKUP(A529,Internal_lists_bugs!$A$2:$C$73,3,FALSE()), VLOOKUP(A529,Internal_lists_bugs!$A$2:$C$73,3,FALSE())&amp;Char(10) &amp; Char(10) &amp; VLOOKUP(A529,Internal_lists_bugs!$A$2:$Z$73,26,FALSE())),"please select a BUG ID")</f>
        <v>please select a BUG ID</v>
      </c>
      <c r="C529" s="51" t="str">
        <f>IFERROR(VLOOKUP(A529,Internal_lists_bugs!$A$2:$G1001,7,FALSE()),"please select a BUG ID")</f>
        <v>please select a BUG ID</v>
      </c>
      <c r="D529" s="51" t="str">
        <f>IFERROR(VLOOKUP(A529,Internal_lists_bugs!$A$2:$I1001,9,FALSE()),"please select a BUG ID")</f>
        <v>please select a BUG ID</v>
      </c>
      <c r="E529" s="105"/>
      <c r="G529" s="54"/>
      <c r="H529" s="105"/>
    </row>
    <row r="530">
      <c r="A530" s="54"/>
      <c r="B530" s="88" t="str">
        <f>IFERROR(HYPERLINK(VLOOKUP(A530,Internal_lists_bugs!$A$2:$C$73,3,FALSE()), VLOOKUP(A530,Internal_lists_bugs!$A$2:$C$73,3,FALSE())&amp;Char(10) &amp; Char(10) &amp; VLOOKUP(A530,Internal_lists_bugs!$A$2:$Z$73,26,FALSE())),"please select a BUG ID")</f>
        <v>please select a BUG ID</v>
      </c>
      <c r="C530" s="51" t="str">
        <f>IFERROR(VLOOKUP(A530,Internal_lists_bugs!$A$2:$G1001,7,FALSE()),"please select a BUG ID")</f>
        <v>please select a BUG ID</v>
      </c>
      <c r="D530" s="51" t="str">
        <f>IFERROR(VLOOKUP(A530,Internal_lists_bugs!$A$2:$I1001,9,FALSE()),"please select a BUG ID")</f>
        <v>please select a BUG ID</v>
      </c>
      <c r="E530" s="105"/>
      <c r="G530" s="54"/>
      <c r="H530" s="105"/>
    </row>
    <row r="531">
      <c r="A531" s="54"/>
      <c r="B531" s="88" t="str">
        <f>IFERROR(HYPERLINK(VLOOKUP(A531,Internal_lists_bugs!$A$2:$C$73,3,FALSE()), VLOOKUP(A531,Internal_lists_bugs!$A$2:$C$73,3,FALSE())&amp;Char(10) &amp; Char(10) &amp; VLOOKUP(A531,Internal_lists_bugs!$A$2:$Z$73,26,FALSE())),"please select a BUG ID")</f>
        <v>please select a BUG ID</v>
      </c>
      <c r="C531" s="51" t="str">
        <f>IFERROR(VLOOKUP(A531,Internal_lists_bugs!$A$2:$G1001,7,FALSE()),"please select a BUG ID")</f>
        <v>please select a BUG ID</v>
      </c>
      <c r="D531" s="51" t="str">
        <f>IFERROR(VLOOKUP(A531,Internal_lists_bugs!$A$2:$I1001,9,FALSE()),"please select a BUG ID")</f>
        <v>please select a BUG ID</v>
      </c>
      <c r="E531" s="105"/>
      <c r="G531" s="54"/>
      <c r="H531" s="105"/>
    </row>
    <row r="532">
      <c r="A532" s="54"/>
      <c r="B532" s="88" t="str">
        <f>IFERROR(HYPERLINK(VLOOKUP(A532,Internal_lists_bugs!$A$2:$C$73,3,FALSE()), VLOOKUP(A532,Internal_lists_bugs!$A$2:$C$73,3,FALSE())&amp;Char(10) &amp; Char(10) &amp; VLOOKUP(A532,Internal_lists_bugs!$A$2:$Z$73,26,FALSE())),"please select a BUG ID")</f>
        <v>please select a BUG ID</v>
      </c>
      <c r="C532" s="51" t="str">
        <f>IFERROR(VLOOKUP(A532,Internal_lists_bugs!$A$2:$G1001,7,FALSE()),"please select a BUG ID")</f>
        <v>please select a BUG ID</v>
      </c>
      <c r="D532" s="51" t="str">
        <f>IFERROR(VLOOKUP(A532,Internal_lists_bugs!$A$2:$I1001,9,FALSE()),"please select a BUG ID")</f>
        <v>please select a BUG ID</v>
      </c>
      <c r="E532" s="105"/>
      <c r="G532" s="54"/>
      <c r="H532" s="105"/>
    </row>
    <row r="533">
      <c r="A533" s="54"/>
      <c r="B533" s="88" t="str">
        <f>IFERROR(HYPERLINK(VLOOKUP(A533,Internal_lists_bugs!$A$2:$C$73,3,FALSE()), VLOOKUP(A533,Internal_lists_bugs!$A$2:$C$73,3,FALSE())&amp;Char(10) &amp; Char(10) &amp; VLOOKUP(A533,Internal_lists_bugs!$A$2:$Z$73,26,FALSE())),"please select a BUG ID")</f>
        <v>please select a BUG ID</v>
      </c>
      <c r="C533" s="51" t="str">
        <f>IFERROR(VLOOKUP(A533,Internal_lists_bugs!$A$2:$G1001,7,FALSE()),"please select a BUG ID")</f>
        <v>please select a BUG ID</v>
      </c>
      <c r="D533" s="51" t="str">
        <f>IFERROR(VLOOKUP(A533,Internal_lists_bugs!$A$2:$I1001,9,FALSE()),"please select a BUG ID")</f>
        <v>please select a BUG ID</v>
      </c>
      <c r="E533" s="105"/>
      <c r="G533" s="54"/>
      <c r="H533" s="105"/>
    </row>
    <row r="534">
      <c r="A534" s="54"/>
      <c r="B534" s="88" t="str">
        <f>IFERROR(HYPERLINK(VLOOKUP(A534,Internal_lists_bugs!$A$2:$C$73,3,FALSE()), VLOOKUP(A534,Internal_lists_bugs!$A$2:$C$73,3,FALSE())&amp;Char(10) &amp; Char(10) &amp; VLOOKUP(A534,Internal_lists_bugs!$A$2:$Z$73,26,FALSE())),"please select a BUG ID")</f>
        <v>please select a BUG ID</v>
      </c>
      <c r="C534" s="51" t="str">
        <f>IFERROR(VLOOKUP(A534,Internal_lists_bugs!$A$2:$G1001,7,FALSE()),"please select a BUG ID")</f>
        <v>please select a BUG ID</v>
      </c>
      <c r="D534" s="51" t="str">
        <f>IFERROR(VLOOKUP(A534,Internal_lists_bugs!$A$2:$I1001,9,FALSE()),"please select a BUG ID")</f>
        <v>please select a BUG ID</v>
      </c>
      <c r="E534" s="105"/>
      <c r="G534" s="54"/>
      <c r="H534" s="105"/>
    </row>
    <row r="535">
      <c r="A535" s="54"/>
      <c r="B535" s="88" t="str">
        <f>IFERROR(HYPERLINK(VLOOKUP(A535,Internal_lists_bugs!$A$2:$C$73,3,FALSE()), VLOOKUP(A535,Internal_lists_bugs!$A$2:$C$73,3,FALSE())&amp;Char(10) &amp; Char(10) &amp; VLOOKUP(A535,Internal_lists_bugs!$A$2:$Z$73,26,FALSE())),"please select a BUG ID")</f>
        <v>please select a BUG ID</v>
      </c>
      <c r="C535" s="51" t="str">
        <f>IFERROR(VLOOKUP(A535,Internal_lists_bugs!$A$2:$G1001,7,FALSE()),"please select a BUG ID")</f>
        <v>please select a BUG ID</v>
      </c>
      <c r="D535" s="51" t="str">
        <f>IFERROR(VLOOKUP(A535,Internal_lists_bugs!$A$2:$I1001,9,FALSE()),"please select a BUG ID")</f>
        <v>please select a BUG ID</v>
      </c>
      <c r="E535" s="105"/>
      <c r="G535" s="54"/>
      <c r="H535" s="105"/>
    </row>
    <row r="536">
      <c r="A536" s="54"/>
      <c r="B536" s="88" t="str">
        <f>IFERROR(HYPERLINK(VLOOKUP(A536,Internal_lists_bugs!$A$2:$C$73,3,FALSE()), VLOOKUP(A536,Internal_lists_bugs!$A$2:$C$73,3,FALSE())&amp;Char(10) &amp; Char(10) &amp; VLOOKUP(A536,Internal_lists_bugs!$A$2:$Z$73,26,FALSE())),"please select a BUG ID")</f>
        <v>please select a BUG ID</v>
      </c>
      <c r="C536" s="51" t="str">
        <f>IFERROR(VLOOKUP(A536,Internal_lists_bugs!$A$2:$G1001,7,FALSE()),"please select a BUG ID")</f>
        <v>please select a BUG ID</v>
      </c>
      <c r="D536" s="51" t="str">
        <f>IFERROR(VLOOKUP(A536,Internal_lists_bugs!$A$2:$I1001,9,FALSE()),"please select a BUG ID")</f>
        <v>please select a BUG ID</v>
      </c>
      <c r="E536" s="105"/>
      <c r="G536" s="54"/>
      <c r="H536" s="105"/>
    </row>
    <row r="537">
      <c r="A537" s="54"/>
      <c r="B537" s="88" t="str">
        <f>IFERROR(HYPERLINK(VLOOKUP(A537,Internal_lists_bugs!$A$2:$C$73,3,FALSE()), VLOOKUP(A537,Internal_lists_bugs!$A$2:$C$73,3,FALSE())&amp;Char(10) &amp; Char(10) &amp; VLOOKUP(A537,Internal_lists_bugs!$A$2:$Z$73,26,FALSE())),"please select a BUG ID")</f>
        <v>please select a BUG ID</v>
      </c>
      <c r="C537" s="51" t="str">
        <f>IFERROR(VLOOKUP(A537,Internal_lists_bugs!$A$2:$G1001,7,FALSE()),"please select a BUG ID")</f>
        <v>please select a BUG ID</v>
      </c>
      <c r="D537" s="51" t="str">
        <f>IFERROR(VLOOKUP(A537,Internal_lists_bugs!$A$2:$I1001,9,FALSE()),"please select a BUG ID")</f>
        <v>please select a BUG ID</v>
      </c>
      <c r="E537" s="105"/>
      <c r="G537" s="54"/>
      <c r="H537" s="105"/>
    </row>
    <row r="538">
      <c r="A538" s="54"/>
      <c r="B538" s="88" t="str">
        <f>IFERROR(HYPERLINK(VLOOKUP(A538,Internal_lists_bugs!$A$2:$C$73,3,FALSE()), VLOOKUP(A538,Internal_lists_bugs!$A$2:$C$73,3,FALSE())&amp;Char(10) &amp; Char(10) &amp; VLOOKUP(A538,Internal_lists_bugs!$A$2:$Z$73,26,FALSE())),"please select a BUG ID")</f>
        <v>please select a BUG ID</v>
      </c>
      <c r="C538" s="51" t="str">
        <f>IFERROR(VLOOKUP(A538,Internal_lists_bugs!$A$2:$G1001,7,FALSE()),"please select a BUG ID")</f>
        <v>please select a BUG ID</v>
      </c>
      <c r="D538" s="51" t="str">
        <f>IFERROR(VLOOKUP(A538,Internal_lists_bugs!$A$2:$I1001,9,FALSE()),"please select a BUG ID")</f>
        <v>please select a BUG ID</v>
      </c>
      <c r="E538" s="105"/>
      <c r="G538" s="54"/>
      <c r="H538" s="105"/>
    </row>
    <row r="539">
      <c r="A539" s="54"/>
      <c r="B539" s="88" t="str">
        <f>IFERROR(HYPERLINK(VLOOKUP(A539,Internal_lists_bugs!$A$2:$C$73,3,FALSE()), VLOOKUP(A539,Internal_lists_bugs!$A$2:$C$73,3,FALSE())&amp;Char(10) &amp; Char(10) &amp; VLOOKUP(A539,Internal_lists_bugs!$A$2:$Z$73,26,FALSE())),"please select a BUG ID")</f>
        <v>please select a BUG ID</v>
      </c>
      <c r="C539" s="51" t="str">
        <f>IFERROR(VLOOKUP(A539,Internal_lists_bugs!$A$2:$G1001,7,FALSE()),"please select a BUG ID")</f>
        <v>please select a BUG ID</v>
      </c>
      <c r="D539" s="51" t="str">
        <f>IFERROR(VLOOKUP(A539,Internal_lists_bugs!$A$2:$I1001,9,FALSE()),"please select a BUG ID")</f>
        <v>please select a BUG ID</v>
      </c>
      <c r="E539" s="105"/>
      <c r="G539" s="54"/>
      <c r="H539" s="105"/>
    </row>
    <row r="540">
      <c r="A540" s="54"/>
      <c r="B540" s="88" t="str">
        <f>IFERROR(HYPERLINK(VLOOKUP(A540,Internal_lists_bugs!$A$2:$C$73,3,FALSE()), VLOOKUP(A540,Internal_lists_bugs!$A$2:$C$73,3,FALSE())&amp;Char(10) &amp; Char(10) &amp; VLOOKUP(A540,Internal_lists_bugs!$A$2:$Z$73,26,FALSE())),"please select a BUG ID")</f>
        <v>please select a BUG ID</v>
      </c>
      <c r="C540" s="51" t="str">
        <f>IFERROR(VLOOKUP(A540,Internal_lists_bugs!$A$2:$G1001,7,FALSE()),"please select a BUG ID")</f>
        <v>please select a BUG ID</v>
      </c>
      <c r="D540" s="51" t="str">
        <f>IFERROR(VLOOKUP(A540,Internal_lists_bugs!$A$2:$I1001,9,FALSE()),"please select a BUG ID")</f>
        <v>please select a BUG ID</v>
      </c>
      <c r="E540" s="105"/>
      <c r="G540" s="54"/>
      <c r="H540" s="105"/>
    </row>
    <row r="541">
      <c r="A541" s="54"/>
      <c r="B541" s="88" t="str">
        <f>IFERROR(HYPERLINK(VLOOKUP(A541,Internal_lists_bugs!$A$2:$C$73,3,FALSE()), VLOOKUP(A541,Internal_lists_bugs!$A$2:$C$73,3,FALSE())&amp;Char(10) &amp; Char(10) &amp; VLOOKUP(A541,Internal_lists_bugs!$A$2:$Z$73,26,FALSE())),"please select a BUG ID")</f>
        <v>please select a BUG ID</v>
      </c>
      <c r="C541" s="51" t="str">
        <f>IFERROR(VLOOKUP(A541,Internal_lists_bugs!$A$2:$G1001,7,FALSE()),"please select a BUG ID")</f>
        <v>please select a BUG ID</v>
      </c>
      <c r="D541" s="51" t="str">
        <f>IFERROR(VLOOKUP(A541,Internal_lists_bugs!$A$2:$I1001,9,FALSE()),"please select a BUG ID")</f>
        <v>please select a BUG ID</v>
      </c>
      <c r="E541" s="105"/>
      <c r="G541" s="54"/>
      <c r="H541" s="105"/>
    </row>
    <row r="542">
      <c r="A542" s="54"/>
      <c r="B542" s="88" t="str">
        <f>IFERROR(HYPERLINK(VLOOKUP(A542,Internal_lists_bugs!$A$2:$C$73,3,FALSE()), VLOOKUP(A542,Internal_lists_bugs!$A$2:$C$73,3,FALSE())&amp;Char(10) &amp; Char(10) &amp; VLOOKUP(A542,Internal_lists_bugs!$A$2:$Z$73,26,FALSE())),"please select a BUG ID")</f>
        <v>please select a BUG ID</v>
      </c>
      <c r="C542" s="51" t="str">
        <f>IFERROR(VLOOKUP(A542,Internal_lists_bugs!$A$2:$G1001,7,FALSE()),"please select a BUG ID")</f>
        <v>please select a BUG ID</v>
      </c>
      <c r="D542" s="51" t="str">
        <f>IFERROR(VLOOKUP(A542,Internal_lists_bugs!$A$2:$I1001,9,FALSE()),"please select a BUG ID")</f>
        <v>please select a BUG ID</v>
      </c>
      <c r="E542" s="105"/>
      <c r="G542" s="54"/>
      <c r="H542" s="105"/>
    </row>
    <row r="543">
      <c r="A543" s="54"/>
      <c r="B543" s="88" t="str">
        <f>IFERROR(HYPERLINK(VLOOKUP(A543,Internal_lists_bugs!$A$2:$C$73,3,FALSE()), VLOOKUP(A543,Internal_lists_bugs!$A$2:$C$73,3,FALSE())&amp;Char(10) &amp; Char(10) &amp; VLOOKUP(A543,Internal_lists_bugs!$A$2:$Z$73,26,FALSE())),"please select a BUG ID")</f>
        <v>please select a BUG ID</v>
      </c>
      <c r="C543" s="51" t="str">
        <f>IFERROR(VLOOKUP(A543,Internal_lists_bugs!$A$2:$G1001,7,FALSE()),"please select a BUG ID")</f>
        <v>please select a BUG ID</v>
      </c>
      <c r="D543" s="51" t="str">
        <f>IFERROR(VLOOKUP(A543,Internal_lists_bugs!$A$2:$I1001,9,FALSE()),"please select a BUG ID")</f>
        <v>please select a BUG ID</v>
      </c>
      <c r="E543" s="105"/>
      <c r="G543" s="54"/>
      <c r="H543" s="105"/>
    </row>
    <row r="544">
      <c r="A544" s="54"/>
      <c r="B544" s="88" t="str">
        <f>IFERROR(HYPERLINK(VLOOKUP(A544,Internal_lists_bugs!$A$2:$C$73,3,FALSE()), VLOOKUP(A544,Internal_lists_bugs!$A$2:$C$73,3,FALSE())&amp;Char(10) &amp; Char(10) &amp; VLOOKUP(A544,Internal_lists_bugs!$A$2:$Z$73,26,FALSE())),"please select a BUG ID")</f>
        <v>please select a BUG ID</v>
      </c>
      <c r="C544" s="51" t="str">
        <f>IFERROR(VLOOKUP(A544,Internal_lists_bugs!$A$2:$G1001,7,FALSE()),"please select a BUG ID")</f>
        <v>please select a BUG ID</v>
      </c>
      <c r="D544" s="51" t="str">
        <f>IFERROR(VLOOKUP(A544,Internal_lists_bugs!$A$2:$I1001,9,FALSE()),"please select a BUG ID")</f>
        <v>please select a BUG ID</v>
      </c>
      <c r="E544" s="105"/>
      <c r="G544" s="54"/>
      <c r="H544" s="105"/>
    </row>
    <row r="545">
      <c r="A545" s="54"/>
      <c r="B545" s="88" t="str">
        <f>IFERROR(HYPERLINK(VLOOKUP(A545,Internal_lists_bugs!$A$2:$C$73,3,FALSE()), VLOOKUP(A545,Internal_lists_bugs!$A$2:$C$73,3,FALSE())&amp;Char(10) &amp; Char(10) &amp; VLOOKUP(A545,Internal_lists_bugs!$A$2:$Z$73,26,FALSE())),"please select a BUG ID")</f>
        <v>please select a BUG ID</v>
      </c>
      <c r="C545" s="51" t="str">
        <f>IFERROR(VLOOKUP(A545,Internal_lists_bugs!$A$2:$G1001,7,FALSE()),"please select a BUG ID")</f>
        <v>please select a BUG ID</v>
      </c>
      <c r="D545" s="51" t="str">
        <f>IFERROR(VLOOKUP(A545,Internal_lists_bugs!$A$2:$I1001,9,FALSE()),"please select a BUG ID")</f>
        <v>please select a BUG ID</v>
      </c>
      <c r="E545" s="105"/>
      <c r="G545" s="54"/>
      <c r="H545" s="105"/>
    </row>
    <row r="546">
      <c r="A546" s="54"/>
      <c r="B546" s="88" t="str">
        <f>IFERROR(HYPERLINK(VLOOKUP(A546,Internal_lists_bugs!$A$2:$C$73,3,FALSE()), VLOOKUP(A546,Internal_lists_bugs!$A$2:$C$73,3,FALSE())&amp;Char(10) &amp; Char(10) &amp; VLOOKUP(A546,Internal_lists_bugs!$A$2:$Z$73,26,FALSE())),"please select a BUG ID")</f>
        <v>please select a BUG ID</v>
      </c>
      <c r="C546" s="51" t="str">
        <f>IFERROR(VLOOKUP(A546,Internal_lists_bugs!$A$2:$G1001,7,FALSE()),"please select a BUG ID")</f>
        <v>please select a BUG ID</v>
      </c>
      <c r="D546" s="51" t="str">
        <f>IFERROR(VLOOKUP(A546,Internal_lists_bugs!$A$2:$I1001,9,FALSE()),"please select a BUG ID")</f>
        <v>please select a BUG ID</v>
      </c>
      <c r="E546" s="105"/>
      <c r="G546" s="54"/>
      <c r="H546" s="105"/>
    </row>
    <row r="547">
      <c r="A547" s="54"/>
      <c r="B547" s="88" t="str">
        <f>IFERROR(HYPERLINK(VLOOKUP(A547,Internal_lists_bugs!$A$2:$C$73,3,FALSE()), VLOOKUP(A547,Internal_lists_bugs!$A$2:$C$73,3,FALSE())&amp;Char(10) &amp; Char(10) &amp; VLOOKUP(A547,Internal_lists_bugs!$A$2:$Z$73,26,FALSE())),"please select a BUG ID")</f>
        <v>please select a BUG ID</v>
      </c>
      <c r="C547" s="51" t="str">
        <f>IFERROR(VLOOKUP(A547,Internal_lists_bugs!$A$2:$G1001,7,FALSE()),"please select a BUG ID")</f>
        <v>please select a BUG ID</v>
      </c>
      <c r="D547" s="51" t="str">
        <f>IFERROR(VLOOKUP(A547,Internal_lists_bugs!$A$2:$I1001,9,FALSE()),"please select a BUG ID")</f>
        <v>please select a BUG ID</v>
      </c>
      <c r="E547" s="105"/>
      <c r="G547" s="54"/>
      <c r="H547" s="105"/>
    </row>
    <row r="548">
      <c r="A548" s="54"/>
      <c r="B548" s="88" t="str">
        <f>IFERROR(HYPERLINK(VLOOKUP(A548,Internal_lists_bugs!$A$2:$C$73,3,FALSE()), VLOOKUP(A548,Internal_lists_bugs!$A$2:$C$73,3,FALSE())&amp;Char(10) &amp; Char(10) &amp; VLOOKUP(A548,Internal_lists_bugs!$A$2:$Z$73,26,FALSE())),"please select a BUG ID")</f>
        <v>please select a BUG ID</v>
      </c>
      <c r="C548" s="51" t="str">
        <f>IFERROR(VLOOKUP(A548,Internal_lists_bugs!$A$2:$G1001,7,FALSE()),"please select a BUG ID")</f>
        <v>please select a BUG ID</v>
      </c>
      <c r="D548" s="51" t="str">
        <f>IFERROR(VLOOKUP(A548,Internal_lists_bugs!$A$2:$I1001,9,FALSE()),"please select a BUG ID")</f>
        <v>please select a BUG ID</v>
      </c>
      <c r="E548" s="105"/>
      <c r="G548" s="54"/>
      <c r="H548" s="105"/>
    </row>
    <row r="549">
      <c r="A549" s="54"/>
      <c r="B549" s="88" t="str">
        <f>IFERROR(HYPERLINK(VLOOKUP(A549,Internal_lists_bugs!$A$2:$C$73,3,FALSE()), VLOOKUP(A549,Internal_lists_bugs!$A$2:$C$73,3,FALSE())&amp;Char(10) &amp; Char(10) &amp; VLOOKUP(A549,Internal_lists_bugs!$A$2:$Z$73,26,FALSE())),"please select a BUG ID")</f>
        <v>please select a BUG ID</v>
      </c>
      <c r="C549" s="51" t="str">
        <f>IFERROR(VLOOKUP(A549,Internal_lists_bugs!$A$2:$G1001,7,FALSE()),"please select a BUG ID")</f>
        <v>please select a BUG ID</v>
      </c>
      <c r="D549" s="51" t="str">
        <f>IFERROR(VLOOKUP(A549,Internal_lists_bugs!$A$2:$I1001,9,FALSE()),"please select a BUG ID")</f>
        <v>please select a BUG ID</v>
      </c>
      <c r="E549" s="105"/>
      <c r="G549" s="54"/>
      <c r="H549" s="105"/>
    </row>
    <row r="550">
      <c r="A550" s="54"/>
      <c r="B550" s="88" t="str">
        <f>IFERROR(HYPERLINK(VLOOKUP(A550,Internal_lists_bugs!$A$2:$C$73,3,FALSE()), VLOOKUP(A550,Internal_lists_bugs!$A$2:$C$73,3,FALSE())&amp;Char(10) &amp; Char(10) &amp; VLOOKUP(A550,Internal_lists_bugs!$A$2:$Z$73,26,FALSE())),"please select a BUG ID")</f>
        <v>please select a BUG ID</v>
      </c>
      <c r="C550" s="51" t="str">
        <f>IFERROR(VLOOKUP(A550,Internal_lists_bugs!$A$2:$G1001,7,FALSE()),"please select a BUG ID")</f>
        <v>please select a BUG ID</v>
      </c>
      <c r="D550" s="51" t="str">
        <f>IFERROR(VLOOKUP(A550,Internal_lists_bugs!$A$2:$I1001,9,FALSE()),"please select a BUG ID")</f>
        <v>please select a BUG ID</v>
      </c>
      <c r="E550" s="105"/>
      <c r="G550" s="54"/>
      <c r="H550" s="105"/>
    </row>
    <row r="551">
      <c r="A551" s="54"/>
      <c r="B551" s="88" t="str">
        <f>IFERROR(HYPERLINK(VLOOKUP(A551,Internal_lists_bugs!$A$2:$C$73,3,FALSE()), VLOOKUP(A551,Internal_lists_bugs!$A$2:$C$73,3,FALSE())&amp;Char(10) &amp; Char(10) &amp; VLOOKUP(A551,Internal_lists_bugs!$A$2:$Z$73,26,FALSE())),"please select a BUG ID")</f>
        <v>please select a BUG ID</v>
      </c>
      <c r="C551" s="51" t="str">
        <f>IFERROR(VLOOKUP(A551,Internal_lists_bugs!$A$2:$G1001,7,FALSE()),"please select a BUG ID")</f>
        <v>please select a BUG ID</v>
      </c>
      <c r="D551" s="51" t="str">
        <f>IFERROR(VLOOKUP(A551,Internal_lists_bugs!$A$2:$I1001,9,FALSE()),"please select a BUG ID")</f>
        <v>please select a BUG ID</v>
      </c>
      <c r="E551" s="105"/>
      <c r="G551" s="54"/>
      <c r="H551" s="105"/>
    </row>
    <row r="552">
      <c r="A552" s="54"/>
      <c r="B552" s="88" t="str">
        <f>IFERROR(HYPERLINK(VLOOKUP(A552,Internal_lists_bugs!$A$2:$C$73,3,FALSE()), VLOOKUP(A552,Internal_lists_bugs!$A$2:$C$73,3,FALSE())&amp;Char(10) &amp; Char(10) &amp; VLOOKUP(A552,Internal_lists_bugs!$A$2:$Z$73,26,FALSE())),"please select a BUG ID")</f>
        <v>please select a BUG ID</v>
      </c>
      <c r="C552" s="51" t="str">
        <f>IFERROR(VLOOKUP(A552,Internal_lists_bugs!$A$2:$G1001,7,FALSE()),"please select a BUG ID")</f>
        <v>please select a BUG ID</v>
      </c>
      <c r="D552" s="51" t="str">
        <f>IFERROR(VLOOKUP(A552,Internal_lists_bugs!$A$2:$I1001,9,FALSE()),"please select a BUG ID")</f>
        <v>please select a BUG ID</v>
      </c>
      <c r="E552" s="105"/>
      <c r="G552" s="54"/>
      <c r="H552" s="105"/>
    </row>
    <row r="553">
      <c r="A553" s="54"/>
      <c r="B553" s="88" t="str">
        <f>IFERROR(HYPERLINK(VLOOKUP(A553,Internal_lists_bugs!$A$2:$C$73,3,FALSE()), VLOOKUP(A553,Internal_lists_bugs!$A$2:$C$73,3,FALSE())&amp;Char(10) &amp; Char(10) &amp; VLOOKUP(A553,Internal_lists_bugs!$A$2:$Z$73,26,FALSE())),"please select a BUG ID")</f>
        <v>please select a BUG ID</v>
      </c>
      <c r="C553" s="51" t="str">
        <f>IFERROR(VLOOKUP(A553,Internal_lists_bugs!$A$2:$G1001,7,FALSE()),"please select a BUG ID")</f>
        <v>please select a BUG ID</v>
      </c>
      <c r="D553" s="51" t="str">
        <f>IFERROR(VLOOKUP(A553,Internal_lists_bugs!$A$2:$I1001,9,FALSE()),"please select a BUG ID")</f>
        <v>please select a BUG ID</v>
      </c>
      <c r="E553" s="105"/>
      <c r="G553" s="54"/>
      <c r="H553" s="105"/>
    </row>
    <row r="554">
      <c r="A554" s="54"/>
      <c r="B554" s="88" t="str">
        <f>IFERROR(HYPERLINK(VLOOKUP(A554,Internal_lists_bugs!$A$2:$C$73,3,FALSE()), VLOOKUP(A554,Internal_lists_bugs!$A$2:$C$73,3,FALSE())&amp;Char(10) &amp; Char(10) &amp; VLOOKUP(A554,Internal_lists_bugs!$A$2:$Z$73,26,FALSE())),"please select a BUG ID")</f>
        <v>please select a BUG ID</v>
      </c>
      <c r="C554" s="51" t="str">
        <f>IFERROR(VLOOKUP(A554,Internal_lists_bugs!$A$2:$G1001,7,FALSE()),"please select a BUG ID")</f>
        <v>please select a BUG ID</v>
      </c>
      <c r="D554" s="51" t="str">
        <f>IFERROR(VLOOKUP(A554,Internal_lists_bugs!$A$2:$I1001,9,FALSE()),"please select a BUG ID")</f>
        <v>please select a BUG ID</v>
      </c>
      <c r="E554" s="105"/>
      <c r="G554" s="54"/>
      <c r="H554" s="105"/>
    </row>
    <row r="555">
      <c r="A555" s="54"/>
      <c r="B555" s="88" t="str">
        <f>IFERROR(HYPERLINK(VLOOKUP(A555,Internal_lists_bugs!$A$2:$C$73,3,FALSE()), VLOOKUP(A555,Internal_lists_bugs!$A$2:$C$73,3,FALSE())&amp;Char(10) &amp; Char(10) &amp; VLOOKUP(A555,Internal_lists_bugs!$A$2:$Z$73,26,FALSE())),"please select a BUG ID")</f>
        <v>please select a BUG ID</v>
      </c>
      <c r="C555" s="51" t="str">
        <f>IFERROR(VLOOKUP(A555,Internal_lists_bugs!$A$2:$G1001,7,FALSE()),"please select a BUG ID")</f>
        <v>please select a BUG ID</v>
      </c>
      <c r="D555" s="51" t="str">
        <f>IFERROR(VLOOKUP(A555,Internal_lists_bugs!$A$2:$I1001,9,FALSE()),"please select a BUG ID")</f>
        <v>please select a BUG ID</v>
      </c>
      <c r="E555" s="105"/>
      <c r="G555" s="54"/>
      <c r="H555" s="105"/>
    </row>
    <row r="556">
      <c r="A556" s="54"/>
      <c r="B556" s="88" t="str">
        <f>IFERROR(HYPERLINK(VLOOKUP(A556,Internal_lists_bugs!$A$2:$C$73,3,FALSE()), VLOOKUP(A556,Internal_lists_bugs!$A$2:$C$73,3,FALSE())&amp;Char(10) &amp; Char(10) &amp; VLOOKUP(A556,Internal_lists_bugs!$A$2:$Z$73,26,FALSE())),"please select a BUG ID")</f>
        <v>please select a BUG ID</v>
      </c>
      <c r="C556" s="51" t="str">
        <f>IFERROR(VLOOKUP(A556,Internal_lists_bugs!$A$2:$G1001,7,FALSE()),"please select a BUG ID")</f>
        <v>please select a BUG ID</v>
      </c>
      <c r="D556" s="51" t="str">
        <f>IFERROR(VLOOKUP(A556,Internal_lists_bugs!$A$2:$I1001,9,FALSE()),"please select a BUG ID")</f>
        <v>please select a BUG ID</v>
      </c>
      <c r="E556" s="105"/>
      <c r="G556" s="54"/>
      <c r="H556" s="105"/>
    </row>
    <row r="557">
      <c r="A557" s="54"/>
      <c r="B557" s="88" t="str">
        <f>IFERROR(HYPERLINK(VLOOKUP(A557,Internal_lists_bugs!$A$2:$C$73,3,FALSE()), VLOOKUP(A557,Internal_lists_bugs!$A$2:$C$73,3,FALSE())&amp;Char(10) &amp; Char(10) &amp; VLOOKUP(A557,Internal_lists_bugs!$A$2:$Z$73,26,FALSE())),"please select a BUG ID")</f>
        <v>please select a BUG ID</v>
      </c>
      <c r="C557" s="51" t="str">
        <f>IFERROR(VLOOKUP(A557,Internal_lists_bugs!$A$2:$G1001,7,FALSE()),"please select a BUG ID")</f>
        <v>please select a BUG ID</v>
      </c>
      <c r="D557" s="51" t="str">
        <f>IFERROR(VLOOKUP(A557,Internal_lists_bugs!$A$2:$I1001,9,FALSE()),"please select a BUG ID")</f>
        <v>please select a BUG ID</v>
      </c>
      <c r="E557" s="105"/>
      <c r="G557" s="54"/>
      <c r="H557" s="105"/>
    </row>
    <row r="558">
      <c r="A558" s="54"/>
      <c r="B558" s="88" t="str">
        <f>IFERROR(HYPERLINK(VLOOKUP(A558,Internal_lists_bugs!$A$2:$C$73,3,FALSE()), VLOOKUP(A558,Internal_lists_bugs!$A$2:$C$73,3,FALSE())&amp;Char(10) &amp; Char(10) &amp; VLOOKUP(A558,Internal_lists_bugs!$A$2:$Z$73,26,FALSE())),"please select a BUG ID")</f>
        <v>please select a BUG ID</v>
      </c>
      <c r="C558" s="51" t="str">
        <f>IFERROR(VLOOKUP(A558,Internal_lists_bugs!$A$2:$G1001,7,FALSE()),"please select a BUG ID")</f>
        <v>please select a BUG ID</v>
      </c>
      <c r="D558" s="51" t="str">
        <f>IFERROR(VLOOKUP(A558,Internal_lists_bugs!$A$2:$I1001,9,FALSE()),"please select a BUG ID")</f>
        <v>please select a BUG ID</v>
      </c>
      <c r="E558" s="105"/>
      <c r="G558" s="54"/>
      <c r="H558" s="105"/>
    </row>
    <row r="559">
      <c r="A559" s="54"/>
      <c r="B559" s="88" t="str">
        <f>IFERROR(HYPERLINK(VLOOKUP(A559,Internal_lists_bugs!$A$2:$C$73,3,FALSE()), VLOOKUP(A559,Internal_lists_bugs!$A$2:$C$73,3,FALSE())&amp;Char(10) &amp; Char(10) &amp; VLOOKUP(A559,Internal_lists_bugs!$A$2:$Z$73,26,FALSE())),"please select a BUG ID")</f>
        <v>please select a BUG ID</v>
      </c>
      <c r="C559" s="51" t="str">
        <f>IFERROR(VLOOKUP(A559,Internal_lists_bugs!$A$2:$G1001,7,FALSE()),"please select a BUG ID")</f>
        <v>please select a BUG ID</v>
      </c>
      <c r="D559" s="51" t="str">
        <f>IFERROR(VLOOKUP(A559,Internal_lists_bugs!$A$2:$I1001,9,FALSE()),"please select a BUG ID")</f>
        <v>please select a BUG ID</v>
      </c>
      <c r="E559" s="105"/>
      <c r="G559" s="54"/>
      <c r="H559" s="105"/>
    </row>
    <row r="560">
      <c r="A560" s="54"/>
      <c r="B560" s="88" t="str">
        <f>IFERROR(HYPERLINK(VLOOKUP(A560,Internal_lists_bugs!$A$2:$C$73,3,FALSE()), VLOOKUP(A560,Internal_lists_bugs!$A$2:$C$73,3,FALSE())&amp;Char(10) &amp; Char(10) &amp; VLOOKUP(A560,Internal_lists_bugs!$A$2:$Z$73,26,FALSE())),"please select a BUG ID")</f>
        <v>please select a BUG ID</v>
      </c>
      <c r="C560" s="51" t="str">
        <f>IFERROR(VLOOKUP(A560,Internal_lists_bugs!$A$2:$G1001,7,FALSE()),"please select a BUG ID")</f>
        <v>please select a BUG ID</v>
      </c>
      <c r="D560" s="51" t="str">
        <f>IFERROR(VLOOKUP(A560,Internal_lists_bugs!$A$2:$I1001,9,FALSE()),"please select a BUG ID")</f>
        <v>please select a BUG ID</v>
      </c>
      <c r="E560" s="105"/>
      <c r="G560" s="54"/>
      <c r="H560" s="105"/>
    </row>
    <row r="561">
      <c r="A561" s="54"/>
      <c r="B561" s="88" t="str">
        <f>IFERROR(HYPERLINK(VLOOKUP(A561,Internal_lists_bugs!$A$2:$C$73,3,FALSE()), VLOOKUP(A561,Internal_lists_bugs!$A$2:$C$73,3,FALSE())&amp;Char(10) &amp; Char(10) &amp; VLOOKUP(A561,Internal_lists_bugs!$A$2:$Z$73,26,FALSE())),"please select a BUG ID")</f>
        <v>please select a BUG ID</v>
      </c>
      <c r="C561" s="51" t="str">
        <f>IFERROR(VLOOKUP(A561,Internal_lists_bugs!$A$2:$G1001,7,FALSE()),"please select a BUG ID")</f>
        <v>please select a BUG ID</v>
      </c>
      <c r="D561" s="51" t="str">
        <f>IFERROR(VLOOKUP(A561,Internal_lists_bugs!$A$2:$I1001,9,FALSE()),"please select a BUG ID")</f>
        <v>please select a BUG ID</v>
      </c>
      <c r="E561" s="105"/>
      <c r="G561" s="54"/>
      <c r="H561" s="105"/>
    </row>
    <row r="562">
      <c r="A562" s="54"/>
      <c r="B562" s="88" t="str">
        <f>IFERROR(HYPERLINK(VLOOKUP(A562,Internal_lists_bugs!$A$2:$C$73,3,FALSE()), VLOOKUP(A562,Internal_lists_bugs!$A$2:$C$73,3,FALSE())&amp;Char(10) &amp; Char(10) &amp; VLOOKUP(A562,Internal_lists_bugs!$A$2:$Z$73,26,FALSE())),"please select a BUG ID")</f>
        <v>please select a BUG ID</v>
      </c>
      <c r="C562" s="51" t="str">
        <f>IFERROR(VLOOKUP(A562,Internal_lists_bugs!$A$2:$G1001,7,FALSE()),"please select a BUG ID")</f>
        <v>please select a BUG ID</v>
      </c>
      <c r="D562" s="51" t="str">
        <f>IFERROR(VLOOKUP(A562,Internal_lists_bugs!$A$2:$I1001,9,FALSE()),"please select a BUG ID")</f>
        <v>please select a BUG ID</v>
      </c>
      <c r="E562" s="105"/>
      <c r="G562" s="54"/>
      <c r="H562" s="105"/>
    </row>
    <row r="563">
      <c r="A563" s="54"/>
      <c r="B563" s="88" t="str">
        <f>IFERROR(HYPERLINK(VLOOKUP(A563,Internal_lists_bugs!$A$2:$C$73,3,FALSE()), VLOOKUP(A563,Internal_lists_bugs!$A$2:$C$73,3,FALSE())&amp;Char(10) &amp; Char(10) &amp; VLOOKUP(A563,Internal_lists_bugs!$A$2:$Z$73,26,FALSE())),"please select a BUG ID")</f>
        <v>please select a BUG ID</v>
      </c>
      <c r="C563" s="51" t="str">
        <f>IFERROR(VLOOKUP(A563,Internal_lists_bugs!$A$2:$G1001,7,FALSE()),"please select a BUG ID")</f>
        <v>please select a BUG ID</v>
      </c>
      <c r="D563" s="51" t="str">
        <f>IFERROR(VLOOKUP(A563,Internal_lists_bugs!$A$2:$I1001,9,FALSE()),"please select a BUG ID")</f>
        <v>please select a BUG ID</v>
      </c>
      <c r="E563" s="105"/>
      <c r="G563" s="54"/>
      <c r="H563" s="105"/>
    </row>
    <row r="564">
      <c r="A564" s="54"/>
      <c r="B564" s="88" t="str">
        <f>IFERROR(HYPERLINK(VLOOKUP(A564,Internal_lists_bugs!$A$2:$C$73,3,FALSE()), VLOOKUP(A564,Internal_lists_bugs!$A$2:$C$73,3,FALSE())&amp;Char(10) &amp; Char(10) &amp; VLOOKUP(A564,Internal_lists_bugs!$A$2:$Z$73,26,FALSE())),"please select a BUG ID")</f>
        <v>please select a BUG ID</v>
      </c>
      <c r="C564" s="51" t="str">
        <f>IFERROR(VLOOKUP(A564,Internal_lists_bugs!$A$2:$G1001,7,FALSE()),"please select a BUG ID")</f>
        <v>please select a BUG ID</v>
      </c>
      <c r="D564" s="51" t="str">
        <f>IFERROR(VLOOKUP(A564,Internal_lists_bugs!$A$2:$I1001,9,FALSE()),"please select a BUG ID")</f>
        <v>please select a BUG ID</v>
      </c>
      <c r="E564" s="105"/>
      <c r="G564" s="54"/>
      <c r="H564" s="105"/>
    </row>
    <row r="565">
      <c r="A565" s="54"/>
      <c r="B565" s="88" t="str">
        <f>IFERROR(HYPERLINK(VLOOKUP(A565,Internal_lists_bugs!$A$2:$C$73,3,FALSE()), VLOOKUP(A565,Internal_lists_bugs!$A$2:$C$73,3,FALSE())&amp;Char(10) &amp; Char(10) &amp; VLOOKUP(A565,Internal_lists_bugs!$A$2:$Z$73,26,FALSE())),"please select a BUG ID")</f>
        <v>please select a BUG ID</v>
      </c>
      <c r="C565" s="51" t="str">
        <f>IFERROR(VLOOKUP(A565,Internal_lists_bugs!$A$2:$G1001,7,FALSE()),"please select a BUG ID")</f>
        <v>please select a BUG ID</v>
      </c>
      <c r="D565" s="51" t="str">
        <f>IFERROR(VLOOKUP(A565,Internal_lists_bugs!$A$2:$I1001,9,FALSE()),"please select a BUG ID")</f>
        <v>please select a BUG ID</v>
      </c>
      <c r="E565" s="105"/>
      <c r="G565" s="54"/>
      <c r="H565" s="105"/>
    </row>
    <row r="566">
      <c r="A566" s="54"/>
      <c r="B566" s="88" t="str">
        <f>IFERROR(HYPERLINK(VLOOKUP(A566,Internal_lists_bugs!$A$2:$C$73,3,FALSE()), VLOOKUP(A566,Internal_lists_bugs!$A$2:$C$73,3,FALSE())&amp;Char(10) &amp; Char(10) &amp; VLOOKUP(A566,Internal_lists_bugs!$A$2:$Z$73,26,FALSE())),"please select a BUG ID")</f>
        <v>please select a BUG ID</v>
      </c>
      <c r="C566" s="51" t="str">
        <f>IFERROR(VLOOKUP(A566,Internal_lists_bugs!$A$2:$G1001,7,FALSE()),"please select a BUG ID")</f>
        <v>please select a BUG ID</v>
      </c>
      <c r="D566" s="51" t="str">
        <f>IFERROR(VLOOKUP(A566,Internal_lists_bugs!$A$2:$I1001,9,FALSE()),"please select a BUG ID")</f>
        <v>please select a BUG ID</v>
      </c>
      <c r="E566" s="105"/>
      <c r="G566" s="54"/>
      <c r="H566" s="105"/>
    </row>
    <row r="567">
      <c r="A567" s="54"/>
      <c r="B567" s="88" t="str">
        <f>IFERROR(HYPERLINK(VLOOKUP(A567,Internal_lists_bugs!$A$2:$C$73,3,FALSE()), VLOOKUP(A567,Internal_lists_bugs!$A$2:$C$73,3,FALSE())&amp;Char(10) &amp; Char(10) &amp; VLOOKUP(A567,Internal_lists_bugs!$A$2:$Z$73,26,FALSE())),"please select a BUG ID")</f>
        <v>please select a BUG ID</v>
      </c>
      <c r="C567" s="51" t="str">
        <f>IFERROR(VLOOKUP(A567,Internal_lists_bugs!$A$2:$G1001,7,FALSE()),"please select a BUG ID")</f>
        <v>please select a BUG ID</v>
      </c>
      <c r="D567" s="51" t="str">
        <f>IFERROR(VLOOKUP(A567,Internal_lists_bugs!$A$2:$I1001,9,FALSE()),"please select a BUG ID")</f>
        <v>please select a BUG ID</v>
      </c>
      <c r="E567" s="105"/>
      <c r="G567" s="54"/>
      <c r="H567" s="105"/>
    </row>
    <row r="568">
      <c r="A568" s="54"/>
      <c r="B568" s="88" t="str">
        <f>IFERROR(HYPERLINK(VLOOKUP(A568,Internal_lists_bugs!$A$2:$C$73,3,FALSE()), VLOOKUP(A568,Internal_lists_bugs!$A$2:$C$73,3,FALSE())&amp;Char(10) &amp; Char(10) &amp; VLOOKUP(A568,Internal_lists_bugs!$A$2:$Z$73,26,FALSE())),"please select a BUG ID")</f>
        <v>please select a BUG ID</v>
      </c>
      <c r="C568" s="51" t="str">
        <f>IFERROR(VLOOKUP(A568,Internal_lists_bugs!$A$2:$G1001,7,FALSE()),"please select a BUG ID")</f>
        <v>please select a BUG ID</v>
      </c>
      <c r="D568" s="51" t="str">
        <f>IFERROR(VLOOKUP(A568,Internal_lists_bugs!$A$2:$I1001,9,FALSE()),"please select a BUG ID")</f>
        <v>please select a BUG ID</v>
      </c>
      <c r="E568" s="105"/>
      <c r="G568" s="54"/>
      <c r="H568" s="105"/>
    </row>
    <row r="569">
      <c r="A569" s="54"/>
      <c r="B569" s="88" t="str">
        <f>IFERROR(HYPERLINK(VLOOKUP(A569,Internal_lists_bugs!$A$2:$C$73,3,FALSE()), VLOOKUP(A569,Internal_lists_bugs!$A$2:$C$73,3,FALSE())&amp;Char(10) &amp; Char(10) &amp; VLOOKUP(A569,Internal_lists_bugs!$A$2:$Z$73,26,FALSE())),"please select a BUG ID")</f>
        <v>please select a BUG ID</v>
      </c>
      <c r="C569" s="51" t="str">
        <f>IFERROR(VLOOKUP(A569,Internal_lists_bugs!$A$2:$G1001,7,FALSE()),"please select a BUG ID")</f>
        <v>please select a BUG ID</v>
      </c>
      <c r="D569" s="51" t="str">
        <f>IFERROR(VLOOKUP(A569,Internal_lists_bugs!$A$2:$I1001,9,FALSE()),"please select a BUG ID")</f>
        <v>please select a BUG ID</v>
      </c>
      <c r="E569" s="105"/>
      <c r="G569" s="54"/>
      <c r="H569" s="105"/>
    </row>
    <row r="570">
      <c r="A570" s="54"/>
      <c r="B570" s="88" t="str">
        <f>IFERROR(HYPERLINK(VLOOKUP(A570,Internal_lists_bugs!$A$2:$C$73,3,FALSE()), VLOOKUP(A570,Internal_lists_bugs!$A$2:$C$73,3,FALSE())&amp;Char(10) &amp; Char(10) &amp; VLOOKUP(A570,Internal_lists_bugs!$A$2:$Z$73,26,FALSE())),"please select a BUG ID")</f>
        <v>please select a BUG ID</v>
      </c>
      <c r="C570" s="51" t="str">
        <f>IFERROR(VLOOKUP(A570,Internal_lists_bugs!$A$2:$G1001,7,FALSE()),"please select a BUG ID")</f>
        <v>please select a BUG ID</v>
      </c>
      <c r="D570" s="51" t="str">
        <f>IFERROR(VLOOKUP(A570,Internal_lists_bugs!$A$2:$I1001,9,FALSE()),"please select a BUG ID")</f>
        <v>please select a BUG ID</v>
      </c>
      <c r="E570" s="105"/>
      <c r="G570" s="54"/>
      <c r="H570" s="105"/>
    </row>
    <row r="571">
      <c r="A571" s="54"/>
      <c r="B571" s="88" t="str">
        <f>IFERROR(HYPERLINK(VLOOKUP(A571,Internal_lists_bugs!$A$2:$C$73,3,FALSE()), VLOOKUP(A571,Internal_lists_bugs!$A$2:$C$73,3,FALSE())&amp;Char(10) &amp; Char(10) &amp; VLOOKUP(A571,Internal_lists_bugs!$A$2:$Z$73,26,FALSE())),"please select a BUG ID")</f>
        <v>please select a BUG ID</v>
      </c>
      <c r="C571" s="51" t="str">
        <f>IFERROR(VLOOKUP(A571,Internal_lists_bugs!$A$2:$G1001,7,FALSE()),"please select a BUG ID")</f>
        <v>please select a BUG ID</v>
      </c>
      <c r="D571" s="51" t="str">
        <f>IFERROR(VLOOKUP(A571,Internal_lists_bugs!$A$2:$I1001,9,FALSE()),"please select a BUG ID")</f>
        <v>please select a BUG ID</v>
      </c>
      <c r="E571" s="105"/>
      <c r="G571" s="54"/>
      <c r="H571" s="105"/>
    </row>
    <row r="572">
      <c r="A572" s="54"/>
      <c r="B572" s="88" t="str">
        <f>IFERROR(HYPERLINK(VLOOKUP(A572,Internal_lists_bugs!$A$2:$C$73,3,FALSE()), VLOOKUP(A572,Internal_lists_bugs!$A$2:$C$73,3,FALSE())&amp;Char(10) &amp; Char(10) &amp; VLOOKUP(A572,Internal_lists_bugs!$A$2:$Z$73,26,FALSE())),"please select a BUG ID")</f>
        <v>please select a BUG ID</v>
      </c>
      <c r="C572" s="51" t="str">
        <f>IFERROR(VLOOKUP(A572,Internal_lists_bugs!$A$2:$G1001,7,FALSE()),"please select a BUG ID")</f>
        <v>please select a BUG ID</v>
      </c>
      <c r="D572" s="51" t="str">
        <f>IFERROR(VLOOKUP(A572,Internal_lists_bugs!$A$2:$I1001,9,FALSE()),"please select a BUG ID")</f>
        <v>please select a BUG ID</v>
      </c>
      <c r="E572" s="105"/>
      <c r="G572" s="54"/>
      <c r="H572" s="105"/>
    </row>
    <row r="573">
      <c r="A573" s="54"/>
      <c r="B573" s="88" t="str">
        <f>IFERROR(HYPERLINK(VLOOKUP(A573,Internal_lists_bugs!$A$2:$C$73,3,FALSE()), VLOOKUP(A573,Internal_lists_bugs!$A$2:$C$73,3,FALSE())&amp;Char(10) &amp; Char(10) &amp; VLOOKUP(A573,Internal_lists_bugs!$A$2:$Z$73,26,FALSE())),"please select a BUG ID")</f>
        <v>please select a BUG ID</v>
      </c>
      <c r="C573" s="51" t="str">
        <f>IFERROR(VLOOKUP(A573,Internal_lists_bugs!$A$2:$G1001,7,FALSE()),"please select a BUG ID")</f>
        <v>please select a BUG ID</v>
      </c>
      <c r="D573" s="51" t="str">
        <f>IFERROR(VLOOKUP(A573,Internal_lists_bugs!$A$2:$I1001,9,FALSE()),"please select a BUG ID")</f>
        <v>please select a BUG ID</v>
      </c>
      <c r="E573" s="105"/>
      <c r="G573" s="54"/>
      <c r="H573" s="105"/>
    </row>
    <row r="574">
      <c r="A574" s="54"/>
      <c r="B574" s="88" t="str">
        <f>IFERROR(HYPERLINK(VLOOKUP(A574,Internal_lists_bugs!$A$2:$C$73,3,FALSE()), VLOOKUP(A574,Internal_lists_bugs!$A$2:$C$73,3,FALSE())&amp;Char(10) &amp; Char(10) &amp; VLOOKUP(A574,Internal_lists_bugs!$A$2:$Z$73,26,FALSE())),"please select a BUG ID")</f>
        <v>please select a BUG ID</v>
      </c>
      <c r="C574" s="51" t="str">
        <f>IFERROR(VLOOKUP(A574,Internal_lists_bugs!$A$2:$G1001,7,FALSE()),"please select a BUG ID")</f>
        <v>please select a BUG ID</v>
      </c>
      <c r="D574" s="51" t="str">
        <f>IFERROR(VLOOKUP(A574,Internal_lists_bugs!$A$2:$I1001,9,FALSE()),"please select a BUG ID")</f>
        <v>please select a BUG ID</v>
      </c>
      <c r="E574" s="105"/>
      <c r="G574" s="54"/>
      <c r="H574" s="105"/>
    </row>
    <row r="575">
      <c r="A575" s="54"/>
      <c r="B575" s="88" t="str">
        <f>IFERROR(HYPERLINK(VLOOKUP(A575,Internal_lists_bugs!$A$2:$C$73,3,FALSE()), VLOOKUP(A575,Internal_lists_bugs!$A$2:$C$73,3,FALSE())&amp;Char(10) &amp; Char(10) &amp; VLOOKUP(A575,Internal_lists_bugs!$A$2:$Z$73,26,FALSE())),"please select a BUG ID")</f>
        <v>please select a BUG ID</v>
      </c>
      <c r="C575" s="51" t="str">
        <f>IFERROR(VLOOKUP(A575,Internal_lists_bugs!$A$2:$G1001,7,FALSE()),"please select a BUG ID")</f>
        <v>please select a BUG ID</v>
      </c>
      <c r="D575" s="51" t="str">
        <f>IFERROR(VLOOKUP(A575,Internal_lists_bugs!$A$2:$I1001,9,FALSE()),"please select a BUG ID")</f>
        <v>please select a BUG ID</v>
      </c>
      <c r="E575" s="105"/>
      <c r="G575" s="54"/>
      <c r="H575" s="105"/>
    </row>
    <row r="576">
      <c r="A576" s="54"/>
      <c r="B576" s="88" t="str">
        <f>IFERROR(HYPERLINK(VLOOKUP(A576,Internal_lists_bugs!$A$2:$C$73,3,FALSE()), VLOOKUP(A576,Internal_lists_bugs!$A$2:$C$73,3,FALSE())&amp;Char(10) &amp; Char(10) &amp; VLOOKUP(A576,Internal_lists_bugs!$A$2:$Z$73,26,FALSE())),"please select a BUG ID")</f>
        <v>please select a BUG ID</v>
      </c>
      <c r="C576" s="51" t="str">
        <f>IFERROR(VLOOKUP(A576,Internal_lists_bugs!$A$2:$G1001,7,FALSE()),"please select a BUG ID")</f>
        <v>please select a BUG ID</v>
      </c>
      <c r="D576" s="51" t="str">
        <f>IFERROR(VLOOKUP(A576,Internal_lists_bugs!$A$2:$I1001,9,FALSE()),"please select a BUG ID")</f>
        <v>please select a BUG ID</v>
      </c>
      <c r="E576" s="105"/>
      <c r="G576" s="54"/>
      <c r="H576" s="105"/>
    </row>
    <row r="577">
      <c r="A577" s="54"/>
      <c r="B577" s="88" t="str">
        <f>IFERROR(HYPERLINK(VLOOKUP(A577,Internal_lists_bugs!$A$2:$C$73,3,FALSE()), VLOOKUP(A577,Internal_lists_bugs!$A$2:$C$73,3,FALSE())&amp;Char(10) &amp; Char(10) &amp; VLOOKUP(A577,Internal_lists_bugs!$A$2:$Z$73,26,FALSE())),"please select a BUG ID")</f>
        <v>please select a BUG ID</v>
      </c>
      <c r="C577" s="51" t="str">
        <f>IFERROR(VLOOKUP(A577,Internal_lists_bugs!$A$2:$G1001,7,FALSE()),"please select a BUG ID")</f>
        <v>please select a BUG ID</v>
      </c>
      <c r="D577" s="51" t="str">
        <f>IFERROR(VLOOKUP(A577,Internal_lists_bugs!$A$2:$I1001,9,FALSE()),"please select a BUG ID")</f>
        <v>please select a BUG ID</v>
      </c>
      <c r="E577" s="105"/>
      <c r="G577" s="54"/>
      <c r="H577" s="105"/>
    </row>
    <row r="578">
      <c r="A578" s="54"/>
      <c r="B578" s="88" t="str">
        <f>IFERROR(HYPERLINK(VLOOKUP(A578,Internal_lists_bugs!$A$2:$C$73,3,FALSE()), VLOOKUP(A578,Internal_lists_bugs!$A$2:$C$73,3,FALSE())&amp;Char(10) &amp; Char(10) &amp; VLOOKUP(A578,Internal_lists_bugs!$A$2:$Z$73,26,FALSE())),"please select a BUG ID")</f>
        <v>please select a BUG ID</v>
      </c>
      <c r="C578" s="51" t="str">
        <f>IFERROR(VLOOKUP(A578,Internal_lists_bugs!$A$2:$G1001,7,FALSE()),"please select a BUG ID")</f>
        <v>please select a BUG ID</v>
      </c>
      <c r="D578" s="51" t="str">
        <f>IFERROR(VLOOKUP(A578,Internal_lists_bugs!$A$2:$I1001,9,FALSE()),"please select a BUG ID")</f>
        <v>please select a BUG ID</v>
      </c>
      <c r="E578" s="105"/>
      <c r="G578" s="54"/>
      <c r="H578" s="105"/>
    </row>
    <row r="579">
      <c r="A579" s="54"/>
      <c r="B579" s="88" t="str">
        <f>IFERROR(HYPERLINK(VLOOKUP(A579,Internal_lists_bugs!$A$2:$C$73,3,FALSE()), VLOOKUP(A579,Internal_lists_bugs!$A$2:$C$73,3,FALSE())&amp;Char(10) &amp; Char(10) &amp; VLOOKUP(A579,Internal_lists_bugs!$A$2:$Z$73,26,FALSE())),"please select a BUG ID")</f>
        <v>please select a BUG ID</v>
      </c>
      <c r="C579" s="51" t="str">
        <f>IFERROR(VLOOKUP(A579,Internal_lists_bugs!$A$2:$G1001,7,FALSE()),"please select a BUG ID")</f>
        <v>please select a BUG ID</v>
      </c>
      <c r="D579" s="51" t="str">
        <f>IFERROR(VLOOKUP(A579,Internal_lists_bugs!$A$2:$I1001,9,FALSE()),"please select a BUG ID")</f>
        <v>please select a BUG ID</v>
      </c>
      <c r="E579" s="105"/>
      <c r="G579" s="54"/>
      <c r="H579" s="105"/>
    </row>
    <row r="580">
      <c r="A580" s="54"/>
      <c r="B580" s="88" t="str">
        <f>IFERROR(HYPERLINK(VLOOKUP(A580,Internal_lists_bugs!$A$2:$C$73,3,FALSE()), VLOOKUP(A580,Internal_lists_bugs!$A$2:$C$73,3,FALSE())&amp;Char(10) &amp; Char(10) &amp; VLOOKUP(A580,Internal_lists_bugs!$A$2:$Z$73,26,FALSE())),"please select a BUG ID")</f>
        <v>please select a BUG ID</v>
      </c>
      <c r="C580" s="51" t="str">
        <f>IFERROR(VLOOKUP(A580,Internal_lists_bugs!$A$2:$G1001,7,FALSE()),"please select a BUG ID")</f>
        <v>please select a BUG ID</v>
      </c>
      <c r="D580" s="51" t="str">
        <f>IFERROR(VLOOKUP(A580,Internal_lists_bugs!$A$2:$I1001,9,FALSE()),"please select a BUG ID")</f>
        <v>please select a BUG ID</v>
      </c>
      <c r="E580" s="105"/>
      <c r="G580" s="54"/>
      <c r="H580" s="105"/>
    </row>
    <row r="581">
      <c r="A581" s="54"/>
      <c r="B581" s="88" t="str">
        <f>IFERROR(HYPERLINK(VLOOKUP(A581,Internal_lists_bugs!$A$2:$C$73,3,FALSE()), VLOOKUP(A581,Internal_lists_bugs!$A$2:$C$73,3,FALSE())&amp;Char(10) &amp; Char(10) &amp; VLOOKUP(A581,Internal_lists_bugs!$A$2:$Z$73,26,FALSE())),"please select a BUG ID")</f>
        <v>please select a BUG ID</v>
      </c>
      <c r="C581" s="51" t="str">
        <f>IFERROR(VLOOKUP(A581,Internal_lists_bugs!$A$2:$G1001,7,FALSE()),"please select a BUG ID")</f>
        <v>please select a BUG ID</v>
      </c>
      <c r="D581" s="51" t="str">
        <f>IFERROR(VLOOKUP(A581,Internal_lists_bugs!$A$2:$I1001,9,FALSE()),"please select a BUG ID")</f>
        <v>please select a BUG ID</v>
      </c>
      <c r="E581" s="105"/>
      <c r="G581" s="54"/>
      <c r="H581" s="105"/>
    </row>
    <row r="582">
      <c r="A582" s="54"/>
      <c r="B582" s="88" t="str">
        <f>IFERROR(HYPERLINK(VLOOKUP(A582,Internal_lists_bugs!$A$2:$C$73,3,FALSE()), VLOOKUP(A582,Internal_lists_bugs!$A$2:$C$73,3,FALSE())&amp;Char(10) &amp; Char(10) &amp; VLOOKUP(A582,Internal_lists_bugs!$A$2:$Z$73,26,FALSE())),"please select a BUG ID")</f>
        <v>please select a BUG ID</v>
      </c>
      <c r="C582" s="51" t="str">
        <f>IFERROR(VLOOKUP(A582,Internal_lists_bugs!$A$2:$G1001,7,FALSE()),"please select a BUG ID")</f>
        <v>please select a BUG ID</v>
      </c>
      <c r="D582" s="51" t="str">
        <f>IFERROR(VLOOKUP(A582,Internal_lists_bugs!$A$2:$I1001,9,FALSE()),"please select a BUG ID")</f>
        <v>please select a BUG ID</v>
      </c>
      <c r="E582" s="105"/>
      <c r="G582" s="54"/>
      <c r="H582" s="105"/>
    </row>
    <row r="583">
      <c r="A583" s="54"/>
      <c r="B583" s="88" t="str">
        <f>IFERROR(HYPERLINK(VLOOKUP(A583,Internal_lists_bugs!$A$2:$C$73,3,FALSE()), VLOOKUP(A583,Internal_lists_bugs!$A$2:$C$73,3,FALSE())&amp;Char(10) &amp; Char(10) &amp; VLOOKUP(A583,Internal_lists_bugs!$A$2:$Z$73,26,FALSE())),"please select a BUG ID")</f>
        <v>please select a BUG ID</v>
      </c>
      <c r="C583" s="51" t="str">
        <f>IFERROR(VLOOKUP(A583,Internal_lists_bugs!$A$2:$G1001,7,FALSE()),"please select a BUG ID")</f>
        <v>please select a BUG ID</v>
      </c>
      <c r="D583" s="51" t="str">
        <f>IFERROR(VLOOKUP(A583,Internal_lists_bugs!$A$2:$I1001,9,FALSE()),"please select a BUG ID")</f>
        <v>please select a BUG ID</v>
      </c>
      <c r="E583" s="105"/>
      <c r="G583" s="54"/>
      <c r="H583" s="105"/>
    </row>
    <row r="584">
      <c r="A584" s="54"/>
      <c r="B584" s="88" t="str">
        <f>IFERROR(HYPERLINK(VLOOKUP(A584,Internal_lists_bugs!$A$2:$C$73,3,FALSE()), VLOOKUP(A584,Internal_lists_bugs!$A$2:$C$73,3,FALSE())&amp;Char(10) &amp; Char(10) &amp; VLOOKUP(A584,Internal_lists_bugs!$A$2:$Z$73,26,FALSE())),"please select a BUG ID")</f>
        <v>please select a BUG ID</v>
      </c>
      <c r="C584" s="51" t="str">
        <f>IFERROR(VLOOKUP(A584,Internal_lists_bugs!$A$2:$G1001,7,FALSE()),"please select a BUG ID")</f>
        <v>please select a BUG ID</v>
      </c>
      <c r="D584" s="51" t="str">
        <f>IFERROR(VLOOKUP(A584,Internal_lists_bugs!$A$2:$I1001,9,FALSE()),"please select a BUG ID")</f>
        <v>please select a BUG ID</v>
      </c>
      <c r="E584" s="105"/>
      <c r="G584" s="54"/>
      <c r="H584" s="105"/>
    </row>
    <row r="585">
      <c r="A585" s="54"/>
      <c r="B585" s="88" t="str">
        <f>IFERROR(HYPERLINK(VLOOKUP(A585,Internal_lists_bugs!$A$2:$C$73,3,FALSE()), VLOOKUP(A585,Internal_lists_bugs!$A$2:$C$73,3,FALSE())&amp;Char(10) &amp; Char(10) &amp; VLOOKUP(A585,Internal_lists_bugs!$A$2:$Z$73,26,FALSE())),"please select a BUG ID")</f>
        <v>please select a BUG ID</v>
      </c>
      <c r="C585" s="51" t="str">
        <f>IFERROR(VLOOKUP(A585,Internal_lists_bugs!$A$2:$G1001,7,FALSE()),"please select a BUG ID")</f>
        <v>please select a BUG ID</v>
      </c>
      <c r="D585" s="51" t="str">
        <f>IFERROR(VLOOKUP(A585,Internal_lists_bugs!$A$2:$I1001,9,FALSE()),"please select a BUG ID")</f>
        <v>please select a BUG ID</v>
      </c>
      <c r="E585" s="105"/>
      <c r="G585" s="54"/>
      <c r="H585" s="105"/>
    </row>
    <row r="586">
      <c r="A586" s="54"/>
      <c r="B586" s="88" t="str">
        <f>IFERROR(HYPERLINK(VLOOKUP(A586,Internal_lists_bugs!$A$2:$C$73,3,FALSE()), VLOOKUP(A586,Internal_lists_bugs!$A$2:$C$73,3,FALSE())&amp;Char(10) &amp; Char(10) &amp; VLOOKUP(A586,Internal_lists_bugs!$A$2:$Z$73,26,FALSE())),"please select a BUG ID")</f>
        <v>please select a BUG ID</v>
      </c>
      <c r="C586" s="51" t="str">
        <f>IFERROR(VLOOKUP(A586,Internal_lists_bugs!$A$2:$G1001,7,FALSE()),"please select a BUG ID")</f>
        <v>please select a BUG ID</v>
      </c>
      <c r="D586" s="51" t="str">
        <f>IFERROR(VLOOKUP(A586,Internal_lists_bugs!$A$2:$I1001,9,FALSE()),"please select a BUG ID")</f>
        <v>please select a BUG ID</v>
      </c>
      <c r="E586" s="105"/>
      <c r="G586" s="54"/>
      <c r="H586" s="105"/>
    </row>
    <row r="587">
      <c r="A587" s="54"/>
      <c r="B587" s="88" t="str">
        <f>IFERROR(HYPERLINK(VLOOKUP(A587,Internal_lists_bugs!$A$2:$C$73,3,FALSE()), VLOOKUP(A587,Internal_lists_bugs!$A$2:$C$73,3,FALSE())&amp;Char(10) &amp; Char(10) &amp; VLOOKUP(A587,Internal_lists_bugs!$A$2:$Z$73,26,FALSE())),"please select a BUG ID")</f>
        <v>please select a BUG ID</v>
      </c>
      <c r="C587" s="51" t="str">
        <f>IFERROR(VLOOKUP(A587,Internal_lists_bugs!$A$2:$G1001,7,FALSE()),"please select a BUG ID")</f>
        <v>please select a BUG ID</v>
      </c>
      <c r="D587" s="51" t="str">
        <f>IFERROR(VLOOKUP(A587,Internal_lists_bugs!$A$2:$I1001,9,FALSE()),"please select a BUG ID")</f>
        <v>please select a BUG ID</v>
      </c>
      <c r="E587" s="105"/>
      <c r="G587" s="54"/>
      <c r="H587" s="105"/>
    </row>
    <row r="588">
      <c r="A588" s="54"/>
      <c r="B588" s="88" t="str">
        <f>IFERROR(HYPERLINK(VLOOKUP(A588,Internal_lists_bugs!$A$2:$C$73,3,FALSE()), VLOOKUP(A588,Internal_lists_bugs!$A$2:$C$73,3,FALSE())&amp;Char(10) &amp; Char(10) &amp; VLOOKUP(A588,Internal_lists_bugs!$A$2:$Z$73,26,FALSE())),"please select a BUG ID")</f>
        <v>please select a BUG ID</v>
      </c>
      <c r="C588" s="51" t="str">
        <f>IFERROR(VLOOKUP(A588,Internal_lists_bugs!$A$2:$G1001,7,FALSE()),"please select a BUG ID")</f>
        <v>please select a BUG ID</v>
      </c>
      <c r="D588" s="51" t="str">
        <f>IFERROR(VLOOKUP(A588,Internal_lists_bugs!$A$2:$I1001,9,FALSE()),"please select a BUG ID")</f>
        <v>please select a BUG ID</v>
      </c>
      <c r="E588" s="105"/>
      <c r="G588" s="54"/>
      <c r="H588" s="105"/>
    </row>
    <row r="589">
      <c r="A589" s="54"/>
      <c r="B589" s="88" t="str">
        <f>IFERROR(HYPERLINK(VLOOKUP(A589,Internal_lists_bugs!$A$2:$C$73,3,FALSE()), VLOOKUP(A589,Internal_lists_bugs!$A$2:$C$73,3,FALSE())&amp;Char(10) &amp; Char(10) &amp; VLOOKUP(A589,Internal_lists_bugs!$A$2:$Z$73,26,FALSE())),"please select a BUG ID")</f>
        <v>please select a BUG ID</v>
      </c>
      <c r="C589" s="51" t="str">
        <f>IFERROR(VLOOKUP(A589,Internal_lists_bugs!$A$2:$G1001,7,FALSE()),"please select a BUG ID")</f>
        <v>please select a BUG ID</v>
      </c>
      <c r="D589" s="51" t="str">
        <f>IFERROR(VLOOKUP(A589,Internal_lists_bugs!$A$2:$I1001,9,FALSE()),"please select a BUG ID")</f>
        <v>please select a BUG ID</v>
      </c>
      <c r="E589" s="105"/>
      <c r="G589" s="54"/>
      <c r="H589" s="105"/>
    </row>
    <row r="590">
      <c r="A590" s="54"/>
      <c r="B590" s="88" t="str">
        <f>IFERROR(HYPERLINK(VLOOKUP(A590,Internal_lists_bugs!$A$2:$C$73,3,FALSE()), VLOOKUP(A590,Internal_lists_bugs!$A$2:$C$73,3,FALSE())&amp;Char(10) &amp; Char(10) &amp; VLOOKUP(A590,Internal_lists_bugs!$A$2:$Z$73,26,FALSE())),"please select a BUG ID")</f>
        <v>please select a BUG ID</v>
      </c>
      <c r="C590" s="51" t="str">
        <f>IFERROR(VLOOKUP(A590,Internal_lists_bugs!$A$2:$G1001,7,FALSE()),"please select a BUG ID")</f>
        <v>please select a BUG ID</v>
      </c>
      <c r="D590" s="51" t="str">
        <f>IFERROR(VLOOKUP(A590,Internal_lists_bugs!$A$2:$I1001,9,FALSE()),"please select a BUG ID")</f>
        <v>please select a BUG ID</v>
      </c>
      <c r="E590" s="105"/>
      <c r="G590" s="54"/>
      <c r="H590" s="105"/>
    </row>
    <row r="591">
      <c r="A591" s="54"/>
      <c r="B591" s="88" t="str">
        <f>IFERROR(HYPERLINK(VLOOKUP(A591,Internal_lists_bugs!$A$2:$C$73,3,FALSE()), VLOOKUP(A591,Internal_lists_bugs!$A$2:$C$73,3,FALSE())&amp;Char(10) &amp; Char(10) &amp; VLOOKUP(A591,Internal_lists_bugs!$A$2:$Z$73,26,FALSE())),"please select a BUG ID")</f>
        <v>please select a BUG ID</v>
      </c>
      <c r="C591" s="51" t="str">
        <f>IFERROR(VLOOKUP(A591,Internal_lists_bugs!$A$2:$G1001,7,FALSE()),"please select a BUG ID")</f>
        <v>please select a BUG ID</v>
      </c>
      <c r="D591" s="51" t="str">
        <f>IFERROR(VLOOKUP(A591,Internal_lists_bugs!$A$2:$I1001,9,FALSE()),"please select a BUG ID")</f>
        <v>please select a BUG ID</v>
      </c>
      <c r="E591" s="105"/>
      <c r="G591" s="54"/>
      <c r="H591" s="105"/>
    </row>
    <row r="592">
      <c r="A592" s="54"/>
      <c r="B592" s="88" t="str">
        <f>IFERROR(HYPERLINK(VLOOKUP(A592,Internal_lists_bugs!$A$2:$C$73,3,FALSE()), VLOOKUP(A592,Internal_lists_bugs!$A$2:$C$73,3,FALSE())&amp;Char(10) &amp; Char(10) &amp; VLOOKUP(A592,Internal_lists_bugs!$A$2:$Z$73,26,FALSE())),"please select a BUG ID")</f>
        <v>please select a BUG ID</v>
      </c>
      <c r="C592" s="51" t="str">
        <f>IFERROR(VLOOKUP(A592,Internal_lists_bugs!$A$2:$G1001,7,FALSE()),"please select a BUG ID")</f>
        <v>please select a BUG ID</v>
      </c>
      <c r="D592" s="51" t="str">
        <f>IFERROR(VLOOKUP(A592,Internal_lists_bugs!$A$2:$I1001,9,FALSE()),"please select a BUG ID")</f>
        <v>please select a BUG ID</v>
      </c>
      <c r="E592" s="105"/>
      <c r="G592" s="54"/>
      <c r="H592" s="105"/>
    </row>
    <row r="593">
      <c r="A593" s="54"/>
      <c r="B593" s="88" t="str">
        <f>IFERROR(HYPERLINK(VLOOKUP(A593,Internal_lists_bugs!$A$2:$C$73,3,FALSE()), VLOOKUP(A593,Internal_lists_bugs!$A$2:$C$73,3,FALSE())&amp;Char(10) &amp; Char(10) &amp; VLOOKUP(A593,Internal_lists_bugs!$A$2:$Z$73,26,FALSE())),"please select a BUG ID")</f>
        <v>please select a BUG ID</v>
      </c>
      <c r="C593" s="51" t="str">
        <f>IFERROR(VLOOKUP(A593,Internal_lists_bugs!$A$2:$G1001,7,FALSE()),"please select a BUG ID")</f>
        <v>please select a BUG ID</v>
      </c>
      <c r="D593" s="51" t="str">
        <f>IFERROR(VLOOKUP(A593,Internal_lists_bugs!$A$2:$I1001,9,FALSE()),"please select a BUG ID")</f>
        <v>please select a BUG ID</v>
      </c>
      <c r="E593" s="105"/>
      <c r="G593" s="54"/>
      <c r="H593" s="105"/>
    </row>
    <row r="594">
      <c r="A594" s="54"/>
      <c r="B594" s="88" t="str">
        <f>IFERROR(HYPERLINK(VLOOKUP(A594,Internal_lists_bugs!$A$2:$C$73,3,FALSE()), VLOOKUP(A594,Internal_lists_bugs!$A$2:$C$73,3,FALSE())&amp;Char(10) &amp; Char(10) &amp; VLOOKUP(A594,Internal_lists_bugs!$A$2:$Z$73,26,FALSE())),"please select a BUG ID")</f>
        <v>please select a BUG ID</v>
      </c>
      <c r="C594" s="51" t="str">
        <f>IFERROR(VLOOKUP(A594,Internal_lists_bugs!$A$2:$G1001,7,FALSE()),"please select a BUG ID")</f>
        <v>please select a BUG ID</v>
      </c>
      <c r="D594" s="51" t="str">
        <f>IFERROR(VLOOKUP(A594,Internal_lists_bugs!$A$2:$I1001,9,FALSE()),"please select a BUG ID")</f>
        <v>please select a BUG ID</v>
      </c>
      <c r="E594" s="105"/>
      <c r="G594" s="54"/>
      <c r="H594" s="105"/>
    </row>
    <row r="595">
      <c r="A595" s="54"/>
      <c r="B595" s="88" t="str">
        <f>IFERROR(HYPERLINK(VLOOKUP(A595,Internal_lists_bugs!$A$2:$C$73,3,FALSE()), VLOOKUP(A595,Internal_lists_bugs!$A$2:$C$73,3,FALSE())&amp;Char(10) &amp; Char(10) &amp; VLOOKUP(A595,Internal_lists_bugs!$A$2:$Z$73,26,FALSE())),"please select a BUG ID")</f>
        <v>please select a BUG ID</v>
      </c>
      <c r="C595" s="51" t="str">
        <f>IFERROR(VLOOKUP(A595,Internal_lists_bugs!$A$2:$G1001,7,FALSE()),"please select a BUG ID")</f>
        <v>please select a BUG ID</v>
      </c>
      <c r="D595" s="51" t="str">
        <f>IFERROR(VLOOKUP(A595,Internal_lists_bugs!$A$2:$I1001,9,FALSE()),"please select a BUG ID")</f>
        <v>please select a BUG ID</v>
      </c>
      <c r="E595" s="105"/>
      <c r="G595" s="54"/>
      <c r="H595" s="105"/>
    </row>
    <row r="596">
      <c r="A596" s="54"/>
      <c r="B596" s="88" t="str">
        <f>IFERROR(HYPERLINK(VLOOKUP(A596,Internal_lists_bugs!$A$2:$C$73,3,FALSE()), VLOOKUP(A596,Internal_lists_bugs!$A$2:$C$73,3,FALSE())&amp;Char(10) &amp; Char(10) &amp; VLOOKUP(A596,Internal_lists_bugs!$A$2:$Z$73,26,FALSE())),"please select a BUG ID")</f>
        <v>please select a BUG ID</v>
      </c>
      <c r="C596" s="51" t="str">
        <f>IFERROR(VLOOKUP(A596,Internal_lists_bugs!$A$2:$G1001,7,FALSE()),"please select a BUG ID")</f>
        <v>please select a BUG ID</v>
      </c>
      <c r="D596" s="51" t="str">
        <f>IFERROR(VLOOKUP(A596,Internal_lists_bugs!$A$2:$I1001,9,FALSE()),"please select a BUG ID")</f>
        <v>please select a BUG ID</v>
      </c>
      <c r="E596" s="105"/>
      <c r="G596" s="54"/>
      <c r="H596" s="105"/>
    </row>
    <row r="597">
      <c r="A597" s="54"/>
      <c r="B597" s="88" t="str">
        <f>IFERROR(HYPERLINK(VLOOKUP(A597,Internal_lists_bugs!$A$2:$C$73,3,FALSE()), VLOOKUP(A597,Internal_lists_bugs!$A$2:$C$73,3,FALSE())&amp;Char(10) &amp; Char(10) &amp; VLOOKUP(A597,Internal_lists_bugs!$A$2:$Z$73,26,FALSE())),"please select a BUG ID")</f>
        <v>please select a BUG ID</v>
      </c>
      <c r="C597" s="51" t="str">
        <f>IFERROR(VLOOKUP(A597,Internal_lists_bugs!$A$2:$G1001,7,FALSE()),"please select a BUG ID")</f>
        <v>please select a BUG ID</v>
      </c>
      <c r="D597" s="51" t="str">
        <f>IFERROR(VLOOKUP(A597,Internal_lists_bugs!$A$2:$I1001,9,FALSE()),"please select a BUG ID")</f>
        <v>please select a BUG ID</v>
      </c>
      <c r="E597" s="105"/>
      <c r="G597" s="54"/>
      <c r="H597" s="105"/>
    </row>
    <row r="598">
      <c r="A598" s="54"/>
      <c r="B598" s="88" t="str">
        <f>IFERROR(HYPERLINK(VLOOKUP(A598,Internal_lists_bugs!$A$2:$C$73,3,FALSE()), VLOOKUP(A598,Internal_lists_bugs!$A$2:$C$73,3,FALSE())&amp;Char(10) &amp; Char(10) &amp; VLOOKUP(A598,Internal_lists_bugs!$A$2:$Z$73,26,FALSE())),"please select a BUG ID")</f>
        <v>please select a BUG ID</v>
      </c>
      <c r="C598" s="51" t="str">
        <f>IFERROR(VLOOKUP(A598,Internal_lists_bugs!$A$2:$G1001,7,FALSE()),"please select a BUG ID")</f>
        <v>please select a BUG ID</v>
      </c>
      <c r="D598" s="51" t="str">
        <f>IFERROR(VLOOKUP(A598,Internal_lists_bugs!$A$2:$I1001,9,FALSE()),"please select a BUG ID")</f>
        <v>please select a BUG ID</v>
      </c>
      <c r="E598" s="105"/>
      <c r="G598" s="54"/>
      <c r="H598" s="105"/>
    </row>
    <row r="599">
      <c r="A599" s="54"/>
      <c r="B599" s="88" t="str">
        <f>IFERROR(HYPERLINK(VLOOKUP(A599,Internal_lists_bugs!$A$2:$C$73,3,FALSE()), VLOOKUP(A599,Internal_lists_bugs!$A$2:$C$73,3,FALSE())&amp;Char(10) &amp; Char(10) &amp; VLOOKUP(A599,Internal_lists_bugs!$A$2:$Z$73,26,FALSE())),"please select a BUG ID")</f>
        <v>please select a BUG ID</v>
      </c>
      <c r="C599" s="51" t="str">
        <f>IFERROR(VLOOKUP(A599,Internal_lists_bugs!$A$2:$G1001,7,FALSE()),"please select a BUG ID")</f>
        <v>please select a BUG ID</v>
      </c>
      <c r="D599" s="51" t="str">
        <f>IFERROR(VLOOKUP(A599,Internal_lists_bugs!$A$2:$I1001,9,FALSE()),"please select a BUG ID")</f>
        <v>please select a BUG ID</v>
      </c>
      <c r="E599" s="105"/>
      <c r="G599" s="54"/>
      <c r="H599" s="105"/>
    </row>
    <row r="600">
      <c r="A600" s="54"/>
      <c r="B600" s="88" t="str">
        <f>IFERROR(HYPERLINK(VLOOKUP(A600,Internal_lists_bugs!$A$2:$C$73,3,FALSE()), VLOOKUP(A600,Internal_lists_bugs!$A$2:$C$73,3,FALSE())&amp;Char(10) &amp; Char(10) &amp; VLOOKUP(A600,Internal_lists_bugs!$A$2:$Z$73,26,FALSE())),"please select a BUG ID")</f>
        <v>please select a BUG ID</v>
      </c>
      <c r="C600" s="51" t="str">
        <f>IFERROR(VLOOKUP(A600,Internal_lists_bugs!$A$2:$G1001,7,FALSE()),"please select a BUG ID")</f>
        <v>please select a BUG ID</v>
      </c>
      <c r="D600" s="51" t="str">
        <f>IFERROR(VLOOKUP(A600,Internal_lists_bugs!$A$2:$I1001,9,FALSE()),"please select a BUG ID")</f>
        <v>please select a BUG ID</v>
      </c>
      <c r="E600" s="105"/>
      <c r="G600" s="54"/>
      <c r="H600" s="105"/>
    </row>
    <row r="601">
      <c r="A601" s="54"/>
      <c r="B601" s="88" t="str">
        <f>IFERROR(HYPERLINK(VLOOKUP(A601,Internal_lists_bugs!$A$2:$C$73,3,FALSE()), VLOOKUP(A601,Internal_lists_bugs!$A$2:$C$73,3,FALSE())&amp;Char(10) &amp; Char(10) &amp; VLOOKUP(A601,Internal_lists_bugs!$A$2:$Z$73,26,FALSE())),"please select a BUG ID")</f>
        <v>please select a BUG ID</v>
      </c>
      <c r="C601" s="51" t="str">
        <f>IFERROR(VLOOKUP(A601,Internal_lists_bugs!$A$2:$G1001,7,FALSE()),"please select a BUG ID")</f>
        <v>please select a BUG ID</v>
      </c>
      <c r="D601" s="51" t="str">
        <f>IFERROR(VLOOKUP(A601,Internal_lists_bugs!$A$2:$I1001,9,FALSE()),"please select a BUG ID")</f>
        <v>please select a BUG ID</v>
      </c>
      <c r="E601" s="105"/>
      <c r="G601" s="54"/>
      <c r="H601" s="105"/>
    </row>
    <row r="602">
      <c r="A602" s="54"/>
      <c r="B602" s="88" t="str">
        <f>IFERROR(HYPERLINK(VLOOKUP(A602,Internal_lists_bugs!$A$2:$C$73,3,FALSE()), VLOOKUP(A602,Internal_lists_bugs!$A$2:$C$73,3,FALSE())&amp;Char(10) &amp; Char(10) &amp; VLOOKUP(A602,Internal_lists_bugs!$A$2:$Z$73,26,FALSE())),"please select a BUG ID")</f>
        <v>please select a BUG ID</v>
      </c>
      <c r="C602" s="51" t="str">
        <f>IFERROR(VLOOKUP(A602,Internal_lists_bugs!$A$2:$G1001,7,FALSE()),"please select a BUG ID")</f>
        <v>please select a BUG ID</v>
      </c>
      <c r="D602" s="51" t="str">
        <f>IFERROR(VLOOKUP(A602,Internal_lists_bugs!$A$2:$I1001,9,FALSE()),"please select a BUG ID")</f>
        <v>please select a BUG ID</v>
      </c>
      <c r="E602" s="105"/>
      <c r="G602" s="54"/>
      <c r="H602" s="105"/>
    </row>
    <row r="603">
      <c r="A603" s="54"/>
      <c r="B603" s="88" t="str">
        <f>IFERROR(HYPERLINK(VLOOKUP(A603,Internal_lists_bugs!$A$2:$C$73,3,FALSE()), VLOOKUP(A603,Internal_lists_bugs!$A$2:$C$73,3,FALSE())&amp;Char(10) &amp; Char(10) &amp; VLOOKUP(A603,Internal_lists_bugs!$A$2:$Z$73,26,FALSE())),"please select a BUG ID")</f>
        <v>please select a BUG ID</v>
      </c>
      <c r="C603" s="51" t="str">
        <f>IFERROR(VLOOKUP(A603,Internal_lists_bugs!$A$2:$G1001,7,FALSE()),"please select a BUG ID")</f>
        <v>please select a BUG ID</v>
      </c>
      <c r="D603" s="51" t="str">
        <f>IFERROR(VLOOKUP(A603,Internal_lists_bugs!$A$2:$I1001,9,FALSE()),"please select a BUG ID")</f>
        <v>please select a BUG ID</v>
      </c>
      <c r="E603" s="105"/>
      <c r="G603" s="54"/>
      <c r="H603" s="105"/>
    </row>
    <row r="604">
      <c r="A604" s="54"/>
      <c r="B604" s="88" t="str">
        <f>IFERROR(HYPERLINK(VLOOKUP(A604,Internal_lists_bugs!$A$2:$C$73,3,FALSE()), VLOOKUP(A604,Internal_lists_bugs!$A$2:$C$73,3,FALSE())&amp;Char(10) &amp; Char(10) &amp; VLOOKUP(A604,Internal_lists_bugs!$A$2:$Z$73,26,FALSE())),"please select a BUG ID")</f>
        <v>please select a BUG ID</v>
      </c>
      <c r="C604" s="51" t="str">
        <f>IFERROR(VLOOKUP(A604,Internal_lists_bugs!$A$2:$G1001,7,FALSE()),"please select a BUG ID")</f>
        <v>please select a BUG ID</v>
      </c>
      <c r="D604" s="51" t="str">
        <f>IFERROR(VLOOKUP(A604,Internal_lists_bugs!$A$2:$I1001,9,FALSE()),"please select a BUG ID")</f>
        <v>please select a BUG ID</v>
      </c>
      <c r="E604" s="105"/>
      <c r="G604" s="54"/>
      <c r="H604" s="105"/>
    </row>
    <row r="605">
      <c r="A605" s="54"/>
      <c r="B605" s="88" t="str">
        <f>IFERROR(HYPERLINK(VLOOKUP(A605,Internal_lists_bugs!$A$2:$C$73,3,FALSE()), VLOOKUP(A605,Internal_lists_bugs!$A$2:$C$73,3,FALSE())&amp;Char(10) &amp; Char(10) &amp; VLOOKUP(A605,Internal_lists_bugs!$A$2:$Z$73,26,FALSE())),"please select a BUG ID")</f>
        <v>please select a BUG ID</v>
      </c>
      <c r="C605" s="51" t="str">
        <f>IFERROR(VLOOKUP(A605,Internal_lists_bugs!$A$2:$G1001,7,FALSE()),"please select a BUG ID")</f>
        <v>please select a BUG ID</v>
      </c>
      <c r="D605" s="51" t="str">
        <f>IFERROR(VLOOKUP(A605,Internal_lists_bugs!$A$2:$I1001,9,FALSE()),"please select a BUG ID")</f>
        <v>please select a BUG ID</v>
      </c>
      <c r="E605" s="105"/>
      <c r="G605" s="54"/>
      <c r="H605" s="105"/>
    </row>
    <row r="606">
      <c r="A606" s="54"/>
      <c r="B606" s="88" t="str">
        <f>IFERROR(HYPERLINK(VLOOKUP(A606,Internal_lists_bugs!$A$2:$C$73,3,FALSE()), VLOOKUP(A606,Internal_lists_bugs!$A$2:$C$73,3,FALSE())&amp;Char(10) &amp; Char(10) &amp; VLOOKUP(A606,Internal_lists_bugs!$A$2:$Z$73,26,FALSE())),"please select a BUG ID")</f>
        <v>please select a BUG ID</v>
      </c>
      <c r="C606" s="51" t="str">
        <f>IFERROR(VLOOKUP(A606,Internal_lists_bugs!$A$2:$G1001,7,FALSE()),"please select a BUG ID")</f>
        <v>please select a BUG ID</v>
      </c>
      <c r="D606" s="51" t="str">
        <f>IFERROR(VLOOKUP(A606,Internal_lists_bugs!$A$2:$I1001,9,FALSE()),"please select a BUG ID")</f>
        <v>please select a BUG ID</v>
      </c>
      <c r="E606" s="105"/>
      <c r="G606" s="54"/>
      <c r="H606" s="105"/>
    </row>
    <row r="607">
      <c r="A607" s="54"/>
      <c r="B607" s="88" t="str">
        <f>IFERROR(HYPERLINK(VLOOKUP(A607,Internal_lists_bugs!$A$2:$C$73,3,FALSE()), VLOOKUP(A607,Internal_lists_bugs!$A$2:$C$73,3,FALSE())&amp;Char(10) &amp; Char(10) &amp; VLOOKUP(A607,Internal_lists_bugs!$A$2:$Z$73,26,FALSE())),"please select a BUG ID")</f>
        <v>please select a BUG ID</v>
      </c>
      <c r="C607" s="51" t="str">
        <f>IFERROR(VLOOKUP(A607,Internal_lists_bugs!$A$2:$G1001,7,FALSE()),"please select a BUG ID")</f>
        <v>please select a BUG ID</v>
      </c>
      <c r="D607" s="51" t="str">
        <f>IFERROR(VLOOKUP(A607,Internal_lists_bugs!$A$2:$I1001,9,FALSE()),"please select a BUG ID")</f>
        <v>please select a BUG ID</v>
      </c>
      <c r="E607" s="105"/>
      <c r="G607" s="54"/>
      <c r="H607" s="105"/>
    </row>
    <row r="608">
      <c r="A608" s="54"/>
      <c r="B608" s="88" t="str">
        <f>IFERROR(HYPERLINK(VLOOKUP(A608,Internal_lists_bugs!$A$2:$C$73,3,FALSE()), VLOOKUP(A608,Internal_lists_bugs!$A$2:$C$73,3,FALSE())&amp;Char(10) &amp; Char(10) &amp; VLOOKUP(A608,Internal_lists_bugs!$A$2:$Z$73,26,FALSE())),"please select a BUG ID")</f>
        <v>please select a BUG ID</v>
      </c>
      <c r="C608" s="51" t="str">
        <f>IFERROR(VLOOKUP(A608,Internal_lists_bugs!$A$2:$G1001,7,FALSE()),"please select a BUG ID")</f>
        <v>please select a BUG ID</v>
      </c>
      <c r="D608" s="51" t="str">
        <f>IFERROR(VLOOKUP(A608,Internal_lists_bugs!$A$2:$I1001,9,FALSE()),"please select a BUG ID")</f>
        <v>please select a BUG ID</v>
      </c>
      <c r="E608" s="105"/>
      <c r="G608" s="54"/>
      <c r="H608" s="105"/>
    </row>
    <row r="609">
      <c r="A609" s="54"/>
      <c r="B609" s="88" t="str">
        <f>IFERROR(HYPERLINK(VLOOKUP(A609,Internal_lists_bugs!$A$2:$C$73,3,FALSE()), VLOOKUP(A609,Internal_lists_bugs!$A$2:$C$73,3,FALSE())&amp;Char(10) &amp; Char(10) &amp; VLOOKUP(A609,Internal_lists_bugs!$A$2:$Z$73,26,FALSE())),"please select a BUG ID")</f>
        <v>please select a BUG ID</v>
      </c>
      <c r="C609" s="51" t="str">
        <f>IFERROR(VLOOKUP(A609,Internal_lists_bugs!$A$2:$G1001,7,FALSE()),"please select a BUG ID")</f>
        <v>please select a BUG ID</v>
      </c>
      <c r="D609" s="51" t="str">
        <f>IFERROR(VLOOKUP(A609,Internal_lists_bugs!$A$2:$I1001,9,FALSE()),"please select a BUG ID")</f>
        <v>please select a BUG ID</v>
      </c>
      <c r="E609" s="105"/>
      <c r="G609" s="54"/>
      <c r="H609" s="105"/>
    </row>
    <row r="610">
      <c r="A610" s="54"/>
      <c r="B610" s="88" t="str">
        <f>IFERROR(HYPERLINK(VLOOKUP(A610,Internal_lists_bugs!$A$2:$C$73,3,FALSE()), VLOOKUP(A610,Internal_lists_bugs!$A$2:$C$73,3,FALSE())&amp;Char(10) &amp; Char(10) &amp; VLOOKUP(A610,Internal_lists_bugs!$A$2:$Z$73,26,FALSE())),"please select a BUG ID")</f>
        <v>please select a BUG ID</v>
      </c>
      <c r="C610" s="51" t="str">
        <f>IFERROR(VLOOKUP(A610,Internal_lists_bugs!$A$2:$G1001,7,FALSE()),"please select a BUG ID")</f>
        <v>please select a BUG ID</v>
      </c>
      <c r="D610" s="51" t="str">
        <f>IFERROR(VLOOKUP(A610,Internal_lists_bugs!$A$2:$I1001,9,FALSE()),"please select a BUG ID")</f>
        <v>please select a BUG ID</v>
      </c>
      <c r="E610" s="105"/>
      <c r="G610" s="54"/>
      <c r="H610" s="105"/>
    </row>
    <row r="611">
      <c r="A611" s="54"/>
      <c r="B611" s="88" t="str">
        <f>IFERROR(HYPERLINK(VLOOKUP(A611,Internal_lists_bugs!$A$2:$C$73,3,FALSE()), VLOOKUP(A611,Internal_lists_bugs!$A$2:$C$73,3,FALSE())&amp;Char(10) &amp; Char(10) &amp; VLOOKUP(A611,Internal_lists_bugs!$A$2:$Z$73,26,FALSE())),"please select a BUG ID")</f>
        <v>please select a BUG ID</v>
      </c>
      <c r="C611" s="51" t="str">
        <f>IFERROR(VLOOKUP(A611,Internal_lists_bugs!$A$2:$G1001,7,FALSE()),"please select a BUG ID")</f>
        <v>please select a BUG ID</v>
      </c>
      <c r="D611" s="51" t="str">
        <f>IFERROR(VLOOKUP(A611,Internal_lists_bugs!$A$2:$I1001,9,FALSE()),"please select a BUG ID")</f>
        <v>please select a BUG ID</v>
      </c>
      <c r="E611" s="105"/>
      <c r="G611" s="54"/>
      <c r="H611" s="105"/>
    </row>
    <row r="612">
      <c r="A612" s="54"/>
      <c r="B612" s="88" t="str">
        <f>IFERROR(HYPERLINK(VLOOKUP(A612,Internal_lists_bugs!$A$2:$C$73,3,FALSE()), VLOOKUP(A612,Internal_lists_bugs!$A$2:$C$73,3,FALSE())&amp;Char(10) &amp; Char(10) &amp; VLOOKUP(A612,Internal_lists_bugs!$A$2:$Z$73,26,FALSE())),"please select a BUG ID")</f>
        <v>please select a BUG ID</v>
      </c>
      <c r="C612" s="51" t="str">
        <f>IFERROR(VLOOKUP(A612,Internal_lists_bugs!$A$2:$G1001,7,FALSE()),"please select a BUG ID")</f>
        <v>please select a BUG ID</v>
      </c>
      <c r="D612" s="51" t="str">
        <f>IFERROR(VLOOKUP(A612,Internal_lists_bugs!$A$2:$I1001,9,FALSE()),"please select a BUG ID")</f>
        <v>please select a BUG ID</v>
      </c>
      <c r="E612" s="105"/>
      <c r="G612" s="54"/>
      <c r="H612" s="105"/>
    </row>
    <row r="613">
      <c r="A613" s="54"/>
      <c r="B613" s="88" t="str">
        <f>IFERROR(HYPERLINK(VLOOKUP(A613,Internal_lists_bugs!$A$2:$C$73,3,FALSE()), VLOOKUP(A613,Internal_lists_bugs!$A$2:$C$73,3,FALSE())&amp;Char(10) &amp; Char(10) &amp; VLOOKUP(A613,Internal_lists_bugs!$A$2:$Z$73,26,FALSE())),"please select a BUG ID")</f>
        <v>please select a BUG ID</v>
      </c>
      <c r="C613" s="51" t="str">
        <f>IFERROR(VLOOKUP(A613,Internal_lists_bugs!$A$2:$G1001,7,FALSE()),"please select a BUG ID")</f>
        <v>please select a BUG ID</v>
      </c>
      <c r="D613" s="51" t="str">
        <f>IFERROR(VLOOKUP(A613,Internal_lists_bugs!$A$2:$I1001,9,FALSE()),"please select a BUG ID")</f>
        <v>please select a BUG ID</v>
      </c>
      <c r="E613" s="105"/>
      <c r="G613" s="54"/>
      <c r="H613" s="105"/>
    </row>
    <row r="614">
      <c r="A614" s="54"/>
      <c r="B614" s="88" t="str">
        <f>IFERROR(HYPERLINK(VLOOKUP(A614,Internal_lists_bugs!$A$2:$C$73,3,FALSE()), VLOOKUP(A614,Internal_lists_bugs!$A$2:$C$73,3,FALSE())&amp;Char(10) &amp; Char(10) &amp; VLOOKUP(A614,Internal_lists_bugs!$A$2:$Z$73,26,FALSE())),"please select a BUG ID")</f>
        <v>please select a BUG ID</v>
      </c>
      <c r="C614" s="51" t="str">
        <f>IFERROR(VLOOKUP(A614,Internal_lists_bugs!$A$2:$G1001,7,FALSE()),"please select a BUG ID")</f>
        <v>please select a BUG ID</v>
      </c>
      <c r="D614" s="51" t="str">
        <f>IFERROR(VLOOKUP(A614,Internal_lists_bugs!$A$2:$I1001,9,FALSE()),"please select a BUG ID")</f>
        <v>please select a BUG ID</v>
      </c>
      <c r="E614" s="105"/>
      <c r="G614" s="54"/>
      <c r="H614" s="105"/>
    </row>
    <row r="615">
      <c r="A615" s="54"/>
      <c r="B615" s="88" t="str">
        <f>IFERROR(HYPERLINK(VLOOKUP(A615,Internal_lists_bugs!$A$2:$C$73,3,FALSE()), VLOOKUP(A615,Internal_lists_bugs!$A$2:$C$73,3,FALSE())&amp;Char(10) &amp; Char(10) &amp; VLOOKUP(A615,Internal_lists_bugs!$A$2:$Z$73,26,FALSE())),"please select a BUG ID")</f>
        <v>please select a BUG ID</v>
      </c>
      <c r="C615" s="51" t="str">
        <f>IFERROR(VLOOKUP(A615,Internal_lists_bugs!$A$2:$G1001,7,FALSE()),"please select a BUG ID")</f>
        <v>please select a BUG ID</v>
      </c>
      <c r="D615" s="51" t="str">
        <f>IFERROR(VLOOKUP(A615,Internal_lists_bugs!$A$2:$I1001,9,FALSE()),"please select a BUG ID")</f>
        <v>please select a BUG ID</v>
      </c>
      <c r="E615" s="105"/>
      <c r="G615" s="54"/>
      <c r="H615" s="105"/>
    </row>
    <row r="616">
      <c r="A616" s="54"/>
      <c r="B616" s="88" t="str">
        <f>IFERROR(HYPERLINK(VLOOKUP(A616,Internal_lists_bugs!$A$2:$C$73,3,FALSE()), VLOOKUP(A616,Internal_lists_bugs!$A$2:$C$73,3,FALSE())&amp;Char(10) &amp; Char(10) &amp; VLOOKUP(A616,Internal_lists_bugs!$A$2:$Z$73,26,FALSE())),"please select a BUG ID")</f>
        <v>please select a BUG ID</v>
      </c>
      <c r="C616" s="51" t="str">
        <f>IFERROR(VLOOKUP(A616,Internal_lists_bugs!$A$2:$G1001,7,FALSE()),"please select a BUG ID")</f>
        <v>please select a BUG ID</v>
      </c>
      <c r="D616" s="51" t="str">
        <f>IFERROR(VLOOKUP(A616,Internal_lists_bugs!$A$2:$I1001,9,FALSE()),"please select a BUG ID")</f>
        <v>please select a BUG ID</v>
      </c>
      <c r="E616" s="105"/>
      <c r="G616" s="54"/>
      <c r="H616" s="105"/>
    </row>
    <row r="617">
      <c r="A617" s="54"/>
      <c r="B617" s="88" t="str">
        <f>IFERROR(HYPERLINK(VLOOKUP(A617,Internal_lists_bugs!$A$2:$C$73,3,FALSE()), VLOOKUP(A617,Internal_lists_bugs!$A$2:$C$73,3,FALSE())&amp;Char(10) &amp; Char(10) &amp; VLOOKUP(A617,Internal_lists_bugs!$A$2:$Z$73,26,FALSE())),"please select a BUG ID")</f>
        <v>please select a BUG ID</v>
      </c>
      <c r="C617" s="51" t="str">
        <f>IFERROR(VLOOKUP(A617,Internal_lists_bugs!$A$2:$G1001,7,FALSE()),"please select a BUG ID")</f>
        <v>please select a BUG ID</v>
      </c>
      <c r="D617" s="51" t="str">
        <f>IFERROR(VLOOKUP(A617,Internal_lists_bugs!$A$2:$I1001,9,FALSE()),"please select a BUG ID")</f>
        <v>please select a BUG ID</v>
      </c>
      <c r="E617" s="105"/>
      <c r="G617" s="54"/>
      <c r="H617" s="105"/>
    </row>
    <row r="618">
      <c r="A618" s="54"/>
      <c r="B618" s="88" t="str">
        <f>IFERROR(HYPERLINK(VLOOKUP(A618,Internal_lists_bugs!$A$2:$C$73,3,FALSE()), VLOOKUP(A618,Internal_lists_bugs!$A$2:$C$73,3,FALSE())&amp;Char(10) &amp; Char(10) &amp; VLOOKUP(A618,Internal_lists_bugs!$A$2:$Z$73,26,FALSE())),"please select a BUG ID")</f>
        <v>please select a BUG ID</v>
      </c>
      <c r="C618" s="51" t="str">
        <f>IFERROR(VLOOKUP(A618,Internal_lists_bugs!$A$2:$G1001,7,FALSE()),"please select a BUG ID")</f>
        <v>please select a BUG ID</v>
      </c>
      <c r="D618" s="51" t="str">
        <f>IFERROR(VLOOKUP(A618,Internal_lists_bugs!$A$2:$I1001,9,FALSE()),"please select a BUG ID")</f>
        <v>please select a BUG ID</v>
      </c>
      <c r="E618" s="105"/>
      <c r="G618" s="54"/>
      <c r="H618" s="105"/>
    </row>
    <row r="619">
      <c r="A619" s="54"/>
      <c r="B619" s="88" t="str">
        <f>IFERROR(HYPERLINK(VLOOKUP(A619,Internal_lists_bugs!$A$2:$C$73,3,FALSE()), VLOOKUP(A619,Internal_lists_bugs!$A$2:$C$73,3,FALSE())&amp;Char(10) &amp; Char(10) &amp; VLOOKUP(A619,Internal_lists_bugs!$A$2:$Z$73,26,FALSE())),"please select a BUG ID")</f>
        <v>please select a BUG ID</v>
      </c>
      <c r="C619" s="51" t="str">
        <f>IFERROR(VLOOKUP(A619,Internal_lists_bugs!$A$2:$G1001,7,FALSE()),"please select a BUG ID")</f>
        <v>please select a BUG ID</v>
      </c>
      <c r="D619" s="51" t="str">
        <f>IFERROR(VLOOKUP(A619,Internal_lists_bugs!$A$2:$I1001,9,FALSE()),"please select a BUG ID")</f>
        <v>please select a BUG ID</v>
      </c>
      <c r="E619" s="105"/>
      <c r="G619" s="54"/>
      <c r="H619" s="105"/>
    </row>
    <row r="620">
      <c r="A620" s="54"/>
      <c r="B620" s="88" t="str">
        <f>IFERROR(HYPERLINK(VLOOKUP(A620,Internal_lists_bugs!$A$2:$C$73,3,FALSE()), VLOOKUP(A620,Internal_lists_bugs!$A$2:$C$73,3,FALSE())&amp;Char(10) &amp; Char(10) &amp; VLOOKUP(A620,Internal_lists_bugs!$A$2:$Z$73,26,FALSE())),"please select a BUG ID")</f>
        <v>please select a BUG ID</v>
      </c>
      <c r="C620" s="51" t="str">
        <f>IFERROR(VLOOKUP(A620,Internal_lists_bugs!$A$2:$G1001,7,FALSE()),"please select a BUG ID")</f>
        <v>please select a BUG ID</v>
      </c>
      <c r="D620" s="51" t="str">
        <f>IFERROR(VLOOKUP(A620,Internal_lists_bugs!$A$2:$I1001,9,FALSE()),"please select a BUG ID")</f>
        <v>please select a BUG ID</v>
      </c>
      <c r="E620" s="105"/>
      <c r="G620" s="54"/>
      <c r="H620" s="105"/>
    </row>
    <row r="621">
      <c r="A621" s="54"/>
      <c r="B621" s="88" t="str">
        <f>IFERROR(HYPERLINK(VLOOKUP(A621,Internal_lists_bugs!$A$2:$C$73,3,FALSE()), VLOOKUP(A621,Internal_lists_bugs!$A$2:$C$73,3,FALSE())&amp;Char(10) &amp; Char(10) &amp; VLOOKUP(A621,Internal_lists_bugs!$A$2:$Z$73,26,FALSE())),"please select a BUG ID")</f>
        <v>please select a BUG ID</v>
      </c>
      <c r="C621" s="51" t="str">
        <f>IFERROR(VLOOKUP(A621,Internal_lists_bugs!$A$2:$G1001,7,FALSE()),"please select a BUG ID")</f>
        <v>please select a BUG ID</v>
      </c>
      <c r="D621" s="51" t="str">
        <f>IFERROR(VLOOKUP(A621,Internal_lists_bugs!$A$2:$I1001,9,FALSE()),"please select a BUG ID")</f>
        <v>please select a BUG ID</v>
      </c>
      <c r="E621" s="105"/>
      <c r="G621" s="54"/>
      <c r="H621" s="105"/>
    </row>
    <row r="622">
      <c r="A622" s="54"/>
      <c r="B622" s="88" t="str">
        <f>IFERROR(HYPERLINK(VLOOKUP(A622,Internal_lists_bugs!$A$2:$C$73,3,FALSE()), VLOOKUP(A622,Internal_lists_bugs!$A$2:$C$73,3,FALSE())&amp;Char(10) &amp; Char(10) &amp; VLOOKUP(A622,Internal_lists_bugs!$A$2:$Z$73,26,FALSE())),"please select a BUG ID")</f>
        <v>please select a BUG ID</v>
      </c>
      <c r="C622" s="51" t="str">
        <f>IFERROR(VLOOKUP(A622,Internal_lists_bugs!$A$2:$G1001,7,FALSE()),"please select a BUG ID")</f>
        <v>please select a BUG ID</v>
      </c>
      <c r="D622" s="51" t="str">
        <f>IFERROR(VLOOKUP(A622,Internal_lists_bugs!$A$2:$I1001,9,FALSE()),"please select a BUG ID")</f>
        <v>please select a BUG ID</v>
      </c>
      <c r="E622" s="105"/>
      <c r="G622" s="54"/>
      <c r="H622" s="105"/>
    </row>
    <row r="623">
      <c r="A623" s="54"/>
      <c r="B623" s="88" t="str">
        <f>IFERROR(HYPERLINK(VLOOKUP(A623,Internal_lists_bugs!$A$2:$C$73,3,FALSE()), VLOOKUP(A623,Internal_lists_bugs!$A$2:$C$73,3,FALSE())&amp;Char(10) &amp; Char(10) &amp; VLOOKUP(A623,Internal_lists_bugs!$A$2:$Z$73,26,FALSE())),"please select a BUG ID")</f>
        <v>please select a BUG ID</v>
      </c>
      <c r="C623" s="51" t="str">
        <f>IFERROR(VLOOKUP(A623,Internal_lists_bugs!$A$2:$G1001,7,FALSE()),"please select a BUG ID")</f>
        <v>please select a BUG ID</v>
      </c>
      <c r="D623" s="51" t="str">
        <f>IFERROR(VLOOKUP(A623,Internal_lists_bugs!$A$2:$I1001,9,FALSE()),"please select a BUG ID")</f>
        <v>please select a BUG ID</v>
      </c>
      <c r="E623" s="105"/>
      <c r="G623" s="54"/>
      <c r="H623" s="105"/>
    </row>
    <row r="624">
      <c r="A624" s="54"/>
      <c r="B624" s="88" t="str">
        <f>IFERROR(HYPERLINK(VLOOKUP(A624,Internal_lists_bugs!$A$2:$C$73,3,FALSE()), VLOOKUP(A624,Internal_lists_bugs!$A$2:$C$73,3,FALSE())&amp;Char(10) &amp; Char(10) &amp; VLOOKUP(A624,Internal_lists_bugs!$A$2:$Z$73,26,FALSE())),"please select a BUG ID")</f>
        <v>please select a BUG ID</v>
      </c>
      <c r="C624" s="51" t="str">
        <f>IFERROR(VLOOKUP(A624,Internal_lists_bugs!$A$2:$G1001,7,FALSE()),"please select a BUG ID")</f>
        <v>please select a BUG ID</v>
      </c>
      <c r="D624" s="51" t="str">
        <f>IFERROR(VLOOKUP(A624,Internal_lists_bugs!$A$2:$I1001,9,FALSE()),"please select a BUG ID")</f>
        <v>please select a BUG ID</v>
      </c>
      <c r="E624" s="105"/>
      <c r="G624" s="54"/>
      <c r="H624" s="105"/>
    </row>
    <row r="625">
      <c r="A625" s="54"/>
      <c r="B625" s="88" t="str">
        <f>IFERROR(HYPERLINK(VLOOKUP(A625,Internal_lists_bugs!$A$2:$C$73,3,FALSE()), VLOOKUP(A625,Internal_lists_bugs!$A$2:$C$73,3,FALSE())&amp;Char(10) &amp; Char(10) &amp; VLOOKUP(A625,Internal_lists_bugs!$A$2:$Z$73,26,FALSE())),"please select a BUG ID")</f>
        <v>please select a BUG ID</v>
      </c>
      <c r="C625" s="51" t="str">
        <f>IFERROR(VLOOKUP(A625,Internal_lists_bugs!$A$2:$G1001,7,FALSE()),"please select a BUG ID")</f>
        <v>please select a BUG ID</v>
      </c>
      <c r="D625" s="51" t="str">
        <f>IFERROR(VLOOKUP(A625,Internal_lists_bugs!$A$2:$I1001,9,FALSE()),"please select a BUG ID")</f>
        <v>please select a BUG ID</v>
      </c>
      <c r="E625" s="105"/>
      <c r="G625" s="54"/>
      <c r="H625" s="105"/>
    </row>
    <row r="626">
      <c r="A626" s="54"/>
      <c r="B626" s="88" t="str">
        <f>IFERROR(HYPERLINK(VLOOKUP(A626,Internal_lists_bugs!$A$2:$C$73,3,FALSE()), VLOOKUP(A626,Internal_lists_bugs!$A$2:$C$73,3,FALSE())&amp;Char(10) &amp; Char(10) &amp; VLOOKUP(A626,Internal_lists_bugs!$A$2:$Z$73,26,FALSE())),"please select a BUG ID")</f>
        <v>please select a BUG ID</v>
      </c>
      <c r="C626" s="51" t="str">
        <f>IFERROR(VLOOKUP(A626,Internal_lists_bugs!$A$2:$G1001,7,FALSE()),"please select a BUG ID")</f>
        <v>please select a BUG ID</v>
      </c>
      <c r="D626" s="51" t="str">
        <f>IFERROR(VLOOKUP(A626,Internal_lists_bugs!$A$2:$I1001,9,FALSE()),"please select a BUG ID")</f>
        <v>please select a BUG ID</v>
      </c>
      <c r="E626" s="105"/>
      <c r="G626" s="54"/>
      <c r="H626" s="105"/>
    </row>
    <row r="627">
      <c r="A627" s="54"/>
      <c r="B627" s="88" t="str">
        <f>IFERROR(HYPERLINK(VLOOKUP(A627,Internal_lists_bugs!$A$2:$C$73,3,FALSE()), VLOOKUP(A627,Internal_lists_bugs!$A$2:$C$73,3,FALSE())&amp;Char(10) &amp; Char(10) &amp; VLOOKUP(A627,Internal_lists_bugs!$A$2:$Z$73,26,FALSE())),"please select a BUG ID")</f>
        <v>please select a BUG ID</v>
      </c>
      <c r="C627" s="51" t="str">
        <f>IFERROR(VLOOKUP(A627,Internal_lists_bugs!$A$2:$G1001,7,FALSE()),"please select a BUG ID")</f>
        <v>please select a BUG ID</v>
      </c>
      <c r="D627" s="51" t="str">
        <f>IFERROR(VLOOKUP(A627,Internal_lists_bugs!$A$2:$I1001,9,FALSE()),"please select a BUG ID")</f>
        <v>please select a BUG ID</v>
      </c>
      <c r="E627" s="105"/>
      <c r="G627" s="54"/>
      <c r="H627" s="105"/>
    </row>
    <row r="628">
      <c r="A628" s="54"/>
      <c r="B628" s="88" t="str">
        <f>IFERROR(HYPERLINK(VLOOKUP(A628,Internal_lists_bugs!$A$2:$C$73,3,FALSE()), VLOOKUP(A628,Internal_lists_bugs!$A$2:$C$73,3,FALSE())&amp;Char(10) &amp; Char(10) &amp; VLOOKUP(A628,Internal_lists_bugs!$A$2:$Z$73,26,FALSE())),"please select a BUG ID")</f>
        <v>please select a BUG ID</v>
      </c>
      <c r="C628" s="51" t="str">
        <f>IFERROR(VLOOKUP(A628,Internal_lists_bugs!$A$2:$G1001,7,FALSE()),"please select a BUG ID")</f>
        <v>please select a BUG ID</v>
      </c>
      <c r="D628" s="51" t="str">
        <f>IFERROR(VLOOKUP(A628,Internal_lists_bugs!$A$2:$I1001,9,FALSE()),"please select a BUG ID")</f>
        <v>please select a BUG ID</v>
      </c>
      <c r="E628" s="105"/>
      <c r="G628" s="54"/>
      <c r="H628" s="105"/>
    </row>
    <row r="629">
      <c r="A629" s="54"/>
      <c r="B629" s="88" t="str">
        <f>IFERROR(HYPERLINK(VLOOKUP(A629,Internal_lists_bugs!$A$2:$C$73,3,FALSE()), VLOOKUP(A629,Internal_lists_bugs!$A$2:$C$73,3,FALSE())&amp;Char(10) &amp; Char(10) &amp; VLOOKUP(A629,Internal_lists_bugs!$A$2:$Z$73,26,FALSE())),"please select a BUG ID")</f>
        <v>please select a BUG ID</v>
      </c>
      <c r="C629" s="51" t="str">
        <f>IFERROR(VLOOKUP(A629,Internal_lists_bugs!$A$2:$G1001,7,FALSE()),"please select a BUG ID")</f>
        <v>please select a BUG ID</v>
      </c>
      <c r="D629" s="51" t="str">
        <f>IFERROR(VLOOKUP(A629,Internal_lists_bugs!$A$2:$I1001,9,FALSE()),"please select a BUG ID")</f>
        <v>please select a BUG ID</v>
      </c>
      <c r="E629" s="105"/>
      <c r="G629" s="54"/>
      <c r="H629" s="105"/>
    </row>
    <row r="630">
      <c r="A630" s="54"/>
      <c r="B630" s="88" t="str">
        <f>IFERROR(HYPERLINK(VLOOKUP(A630,Internal_lists_bugs!$A$2:$C$73,3,FALSE()), VLOOKUP(A630,Internal_lists_bugs!$A$2:$C$73,3,FALSE())&amp;Char(10) &amp; Char(10) &amp; VLOOKUP(A630,Internal_lists_bugs!$A$2:$Z$73,26,FALSE())),"please select a BUG ID")</f>
        <v>please select a BUG ID</v>
      </c>
      <c r="C630" s="51" t="str">
        <f>IFERROR(VLOOKUP(A630,Internal_lists_bugs!$A$2:$G1001,7,FALSE()),"please select a BUG ID")</f>
        <v>please select a BUG ID</v>
      </c>
      <c r="D630" s="51" t="str">
        <f>IFERROR(VLOOKUP(A630,Internal_lists_bugs!$A$2:$I1001,9,FALSE()),"please select a BUG ID")</f>
        <v>please select a BUG ID</v>
      </c>
      <c r="E630" s="105"/>
      <c r="G630" s="54"/>
      <c r="H630" s="105"/>
    </row>
    <row r="631">
      <c r="A631" s="54"/>
      <c r="B631" s="88" t="str">
        <f>IFERROR(HYPERLINK(VLOOKUP(A631,Internal_lists_bugs!$A$2:$C$73,3,FALSE()), VLOOKUP(A631,Internal_lists_bugs!$A$2:$C$73,3,FALSE())&amp;Char(10) &amp; Char(10) &amp; VLOOKUP(A631,Internal_lists_bugs!$A$2:$Z$73,26,FALSE())),"please select a BUG ID")</f>
        <v>please select a BUG ID</v>
      </c>
      <c r="C631" s="51" t="str">
        <f>IFERROR(VLOOKUP(A631,Internal_lists_bugs!$A$2:$G1001,7,FALSE()),"please select a BUG ID")</f>
        <v>please select a BUG ID</v>
      </c>
      <c r="D631" s="51" t="str">
        <f>IFERROR(VLOOKUP(A631,Internal_lists_bugs!$A$2:$I1001,9,FALSE()),"please select a BUG ID")</f>
        <v>please select a BUG ID</v>
      </c>
      <c r="E631" s="105"/>
      <c r="G631" s="54"/>
      <c r="H631" s="105"/>
    </row>
    <row r="632">
      <c r="A632" s="54"/>
      <c r="B632" s="88" t="str">
        <f>IFERROR(HYPERLINK(VLOOKUP(A632,Internal_lists_bugs!$A$2:$C$73,3,FALSE()), VLOOKUP(A632,Internal_lists_bugs!$A$2:$C$73,3,FALSE())&amp;Char(10) &amp; Char(10) &amp; VLOOKUP(A632,Internal_lists_bugs!$A$2:$Z$73,26,FALSE())),"please select a BUG ID")</f>
        <v>please select a BUG ID</v>
      </c>
      <c r="C632" s="51" t="str">
        <f>IFERROR(VLOOKUP(A632,Internal_lists_bugs!$A$2:$G1001,7,FALSE()),"please select a BUG ID")</f>
        <v>please select a BUG ID</v>
      </c>
      <c r="D632" s="51" t="str">
        <f>IFERROR(VLOOKUP(A632,Internal_lists_bugs!$A$2:$I1001,9,FALSE()),"please select a BUG ID")</f>
        <v>please select a BUG ID</v>
      </c>
      <c r="E632" s="105"/>
      <c r="G632" s="54"/>
      <c r="H632" s="105"/>
    </row>
    <row r="633">
      <c r="A633" s="54"/>
      <c r="B633" s="88" t="str">
        <f>IFERROR(HYPERLINK(VLOOKUP(A633,Internal_lists_bugs!$A$2:$C$73,3,FALSE()), VLOOKUP(A633,Internal_lists_bugs!$A$2:$C$73,3,FALSE())&amp;Char(10) &amp; Char(10) &amp; VLOOKUP(A633,Internal_lists_bugs!$A$2:$Z$73,26,FALSE())),"please select a BUG ID")</f>
        <v>please select a BUG ID</v>
      </c>
      <c r="C633" s="51" t="str">
        <f>IFERROR(VLOOKUP(A633,Internal_lists_bugs!$A$2:$G1001,7,FALSE()),"please select a BUG ID")</f>
        <v>please select a BUG ID</v>
      </c>
      <c r="D633" s="51" t="str">
        <f>IFERROR(VLOOKUP(A633,Internal_lists_bugs!$A$2:$I1001,9,FALSE()),"please select a BUG ID")</f>
        <v>please select a BUG ID</v>
      </c>
      <c r="E633" s="105"/>
      <c r="G633" s="54"/>
      <c r="H633" s="105"/>
    </row>
    <row r="634">
      <c r="A634" s="54"/>
      <c r="B634" s="88" t="str">
        <f>IFERROR(HYPERLINK(VLOOKUP(A634,Internal_lists_bugs!$A$2:$C$73,3,FALSE()), VLOOKUP(A634,Internal_lists_bugs!$A$2:$C$73,3,FALSE())&amp;Char(10) &amp; Char(10) &amp; VLOOKUP(A634,Internal_lists_bugs!$A$2:$Z$73,26,FALSE())),"please select a BUG ID")</f>
        <v>please select a BUG ID</v>
      </c>
      <c r="C634" s="51" t="str">
        <f>IFERROR(VLOOKUP(A634,Internal_lists_bugs!$A$2:$G1001,7,FALSE()),"please select a BUG ID")</f>
        <v>please select a BUG ID</v>
      </c>
      <c r="D634" s="51" t="str">
        <f>IFERROR(VLOOKUP(A634,Internal_lists_bugs!$A$2:$I1001,9,FALSE()),"please select a BUG ID")</f>
        <v>please select a BUG ID</v>
      </c>
      <c r="E634" s="105"/>
      <c r="G634" s="54"/>
      <c r="H634" s="105"/>
    </row>
    <row r="635">
      <c r="A635" s="54"/>
      <c r="B635" s="88" t="str">
        <f>IFERROR(HYPERLINK(VLOOKUP(A635,Internal_lists_bugs!$A$2:$C$73,3,FALSE()), VLOOKUP(A635,Internal_lists_bugs!$A$2:$C$73,3,FALSE())&amp;Char(10) &amp; Char(10) &amp; VLOOKUP(A635,Internal_lists_bugs!$A$2:$Z$73,26,FALSE())),"please select a BUG ID")</f>
        <v>please select a BUG ID</v>
      </c>
      <c r="C635" s="51" t="str">
        <f>IFERROR(VLOOKUP(A635,Internal_lists_bugs!$A$2:$G1001,7,FALSE()),"please select a BUG ID")</f>
        <v>please select a BUG ID</v>
      </c>
      <c r="D635" s="51" t="str">
        <f>IFERROR(VLOOKUP(A635,Internal_lists_bugs!$A$2:$I1001,9,FALSE()),"please select a BUG ID")</f>
        <v>please select a BUG ID</v>
      </c>
      <c r="E635" s="105"/>
      <c r="G635" s="54"/>
      <c r="H635" s="105"/>
    </row>
    <row r="636">
      <c r="A636" s="54"/>
      <c r="B636" s="88" t="str">
        <f>IFERROR(HYPERLINK(VLOOKUP(A636,Internal_lists_bugs!$A$2:$C$73,3,FALSE()), VLOOKUP(A636,Internal_lists_bugs!$A$2:$C$73,3,FALSE())&amp;Char(10) &amp; Char(10) &amp; VLOOKUP(A636,Internal_lists_bugs!$A$2:$Z$73,26,FALSE())),"please select a BUG ID")</f>
        <v>please select a BUG ID</v>
      </c>
      <c r="C636" s="51" t="str">
        <f>IFERROR(VLOOKUP(A636,Internal_lists_bugs!$A$2:$G1001,7,FALSE()),"please select a BUG ID")</f>
        <v>please select a BUG ID</v>
      </c>
      <c r="D636" s="51" t="str">
        <f>IFERROR(VLOOKUP(A636,Internal_lists_bugs!$A$2:$I1001,9,FALSE()),"please select a BUG ID")</f>
        <v>please select a BUG ID</v>
      </c>
      <c r="E636" s="105"/>
      <c r="G636" s="54"/>
      <c r="H636" s="105"/>
    </row>
    <row r="637">
      <c r="A637" s="54"/>
      <c r="B637" s="88" t="str">
        <f>IFERROR(HYPERLINK(VLOOKUP(A637,Internal_lists_bugs!$A$2:$C$73,3,FALSE()), VLOOKUP(A637,Internal_lists_bugs!$A$2:$C$73,3,FALSE())&amp;Char(10) &amp; Char(10) &amp; VLOOKUP(A637,Internal_lists_bugs!$A$2:$Z$73,26,FALSE())),"please select a BUG ID")</f>
        <v>please select a BUG ID</v>
      </c>
      <c r="C637" s="51" t="str">
        <f>IFERROR(VLOOKUP(A637,Internal_lists_bugs!$A$2:$G1001,7,FALSE()),"please select a BUG ID")</f>
        <v>please select a BUG ID</v>
      </c>
      <c r="D637" s="51" t="str">
        <f>IFERROR(VLOOKUP(A637,Internal_lists_bugs!$A$2:$I1001,9,FALSE()),"please select a BUG ID")</f>
        <v>please select a BUG ID</v>
      </c>
      <c r="E637" s="105"/>
      <c r="G637" s="54"/>
      <c r="H637" s="105"/>
    </row>
    <row r="638">
      <c r="A638" s="54"/>
      <c r="B638" s="88" t="str">
        <f>IFERROR(HYPERLINK(VLOOKUP(A638,Internal_lists_bugs!$A$2:$C$73,3,FALSE()), VLOOKUP(A638,Internal_lists_bugs!$A$2:$C$73,3,FALSE())&amp;Char(10) &amp; Char(10) &amp; VLOOKUP(A638,Internal_lists_bugs!$A$2:$Z$73,26,FALSE())),"please select a BUG ID")</f>
        <v>please select a BUG ID</v>
      </c>
      <c r="C638" s="51" t="str">
        <f>IFERROR(VLOOKUP(A638,Internal_lists_bugs!$A$2:$G1001,7,FALSE()),"please select a BUG ID")</f>
        <v>please select a BUG ID</v>
      </c>
      <c r="D638" s="51" t="str">
        <f>IFERROR(VLOOKUP(A638,Internal_lists_bugs!$A$2:$I1001,9,FALSE()),"please select a BUG ID")</f>
        <v>please select a BUG ID</v>
      </c>
      <c r="E638" s="105"/>
      <c r="G638" s="54"/>
      <c r="H638" s="105"/>
    </row>
    <row r="639">
      <c r="A639" s="54"/>
      <c r="B639" s="88" t="str">
        <f>IFERROR(HYPERLINK(VLOOKUP(A639,Internal_lists_bugs!$A$2:$C$73,3,FALSE()), VLOOKUP(A639,Internal_lists_bugs!$A$2:$C$73,3,FALSE())&amp;Char(10) &amp; Char(10) &amp; VLOOKUP(A639,Internal_lists_bugs!$A$2:$Z$73,26,FALSE())),"please select a BUG ID")</f>
        <v>please select a BUG ID</v>
      </c>
      <c r="C639" s="51" t="str">
        <f>IFERROR(VLOOKUP(A639,Internal_lists_bugs!$A$2:$G1001,7,FALSE()),"please select a BUG ID")</f>
        <v>please select a BUG ID</v>
      </c>
      <c r="D639" s="51" t="str">
        <f>IFERROR(VLOOKUP(A639,Internal_lists_bugs!$A$2:$I1001,9,FALSE()),"please select a BUG ID")</f>
        <v>please select a BUG ID</v>
      </c>
      <c r="E639" s="105"/>
      <c r="G639" s="54"/>
      <c r="H639" s="105"/>
    </row>
    <row r="640">
      <c r="A640" s="54"/>
      <c r="B640" s="88" t="str">
        <f>IFERROR(HYPERLINK(VLOOKUP(A640,Internal_lists_bugs!$A$2:$C$73,3,FALSE()), VLOOKUP(A640,Internal_lists_bugs!$A$2:$C$73,3,FALSE())&amp;Char(10) &amp; Char(10) &amp; VLOOKUP(A640,Internal_lists_bugs!$A$2:$Z$73,26,FALSE())),"please select a BUG ID")</f>
        <v>please select a BUG ID</v>
      </c>
      <c r="C640" s="51" t="str">
        <f>IFERROR(VLOOKUP(A640,Internal_lists_bugs!$A$2:$G1001,7,FALSE()),"please select a BUG ID")</f>
        <v>please select a BUG ID</v>
      </c>
      <c r="D640" s="51" t="str">
        <f>IFERROR(VLOOKUP(A640,Internal_lists_bugs!$A$2:$I1001,9,FALSE()),"please select a BUG ID")</f>
        <v>please select a BUG ID</v>
      </c>
      <c r="E640" s="105"/>
      <c r="G640" s="54"/>
      <c r="H640" s="105"/>
    </row>
    <row r="641">
      <c r="A641" s="54"/>
      <c r="B641" s="88" t="str">
        <f>IFERROR(HYPERLINK(VLOOKUP(A641,Internal_lists_bugs!$A$2:$C$73,3,FALSE()), VLOOKUP(A641,Internal_lists_bugs!$A$2:$C$73,3,FALSE())&amp;Char(10) &amp; Char(10) &amp; VLOOKUP(A641,Internal_lists_bugs!$A$2:$Z$73,26,FALSE())),"please select a BUG ID")</f>
        <v>please select a BUG ID</v>
      </c>
      <c r="C641" s="51" t="str">
        <f>IFERROR(VLOOKUP(A641,Internal_lists_bugs!$A$2:$G1001,7,FALSE()),"please select a BUG ID")</f>
        <v>please select a BUG ID</v>
      </c>
      <c r="D641" s="51" t="str">
        <f>IFERROR(VLOOKUP(A641,Internal_lists_bugs!$A$2:$I1001,9,FALSE()),"please select a BUG ID")</f>
        <v>please select a BUG ID</v>
      </c>
      <c r="E641" s="105"/>
      <c r="G641" s="54"/>
      <c r="H641" s="105"/>
    </row>
    <row r="642">
      <c r="A642" s="54"/>
      <c r="B642" s="88" t="str">
        <f>IFERROR(HYPERLINK(VLOOKUP(A642,Internal_lists_bugs!$A$2:$C$73,3,FALSE()), VLOOKUP(A642,Internal_lists_bugs!$A$2:$C$73,3,FALSE())&amp;Char(10) &amp; Char(10) &amp; VLOOKUP(A642,Internal_lists_bugs!$A$2:$Z$73,26,FALSE())),"please select a BUG ID")</f>
        <v>please select a BUG ID</v>
      </c>
      <c r="C642" s="51" t="str">
        <f>IFERROR(VLOOKUP(A642,Internal_lists_bugs!$A$2:$G1001,7,FALSE()),"please select a BUG ID")</f>
        <v>please select a BUG ID</v>
      </c>
      <c r="D642" s="51" t="str">
        <f>IFERROR(VLOOKUP(A642,Internal_lists_bugs!$A$2:$I1001,9,FALSE()),"please select a BUG ID")</f>
        <v>please select a BUG ID</v>
      </c>
      <c r="E642" s="105"/>
      <c r="G642" s="54"/>
      <c r="H642" s="105"/>
    </row>
    <row r="643">
      <c r="A643" s="54"/>
      <c r="B643" s="88" t="str">
        <f>IFERROR(HYPERLINK(VLOOKUP(A643,Internal_lists_bugs!$A$2:$C$73,3,FALSE()), VLOOKUP(A643,Internal_lists_bugs!$A$2:$C$73,3,FALSE())&amp;Char(10) &amp; Char(10) &amp; VLOOKUP(A643,Internal_lists_bugs!$A$2:$Z$73,26,FALSE())),"please select a BUG ID")</f>
        <v>please select a BUG ID</v>
      </c>
      <c r="C643" s="51" t="str">
        <f>IFERROR(VLOOKUP(A643,Internal_lists_bugs!$A$2:$G1001,7,FALSE()),"please select a BUG ID")</f>
        <v>please select a BUG ID</v>
      </c>
      <c r="D643" s="51" t="str">
        <f>IFERROR(VLOOKUP(A643,Internal_lists_bugs!$A$2:$I1001,9,FALSE()),"please select a BUG ID")</f>
        <v>please select a BUG ID</v>
      </c>
      <c r="E643" s="105"/>
      <c r="G643" s="54"/>
      <c r="H643" s="105"/>
    </row>
    <row r="644">
      <c r="A644" s="54"/>
      <c r="B644" s="88" t="str">
        <f>IFERROR(HYPERLINK(VLOOKUP(A644,Internal_lists_bugs!$A$2:$C$73,3,FALSE()), VLOOKUP(A644,Internal_lists_bugs!$A$2:$C$73,3,FALSE())&amp;Char(10) &amp; Char(10) &amp; VLOOKUP(A644,Internal_lists_bugs!$A$2:$Z$73,26,FALSE())),"please select a BUG ID")</f>
        <v>please select a BUG ID</v>
      </c>
      <c r="C644" s="51" t="str">
        <f>IFERROR(VLOOKUP(A644,Internal_lists_bugs!$A$2:$G1001,7,FALSE()),"please select a BUG ID")</f>
        <v>please select a BUG ID</v>
      </c>
      <c r="D644" s="51" t="str">
        <f>IFERROR(VLOOKUP(A644,Internal_lists_bugs!$A$2:$I1001,9,FALSE()),"please select a BUG ID")</f>
        <v>please select a BUG ID</v>
      </c>
      <c r="E644" s="105"/>
      <c r="G644" s="54"/>
      <c r="H644" s="105"/>
    </row>
    <row r="645">
      <c r="A645" s="54"/>
      <c r="B645" s="88" t="str">
        <f>IFERROR(HYPERLINK(VLOOKUP(A645,Internal_lists_bugs!$A$2:$C$73,3,FALSE()), VLOOKUP(A645,Internal_lists_bugs!$A$2:$C$73,3,FALSE())&amp;Char(10) &amp; Char(10) &amp; VLOOKUP(A645,Internal_lists_bugs!$A$2:$Z$73,26,FALSE())),"please select a BUG ID")</f>
        <v>please select a BUG ID</v>
      </c>
      <c r="C645" s="51" t="str">
        <f>IFERROR(VLOOKUP(A645,Internal_lists_bugs!$A$2:$G1001,7,FALSE()),"please select a BUG ID")</f>
        <v>please select a BUG ID</v>
      </c>
      <c r="D645" s="51" t="str">
        <f>IFERROR(VLOOKUP(A645,Internal_lists_bugs!$A$2:$I1001,9,FALSE()),"please select a BUG ID")</f>
        <v>please select a BUG ID</v>
      </c>
      <c r="E645" s="105"/>
      <c r="G645" s="54"/>
      <c r="H645" s="105"/>
    </row>
    <row r="646">
      <c r="A646" s="54"/>
      <c r="B646" s="88" t="str">
        <f>IFERROR(HYPERLINK(VLOOKUP(A646,Internal_lists_bugs!$A$2:$C$73,3,FALSE()), VLOOKUP(A646,Internal_lists_bugs!$A$2:$C$73,3,FALSE())&amp;Char(10) &amp; Char(10) &amp; VLOOKUP(A646,Internal_lists_bugs!$A$2:$Z$73,26,FALSE())),"please select a BUG ID")</f>
        <v>please select a BUG ID</v>
      </c>
      <c r="C646" s="51" t="str">
        <f>IFERROR(VLOOKUP(A646,Internal_lists_bugs!$A$2:$G1001,7,FALSE()),"please select a BUG ID")</f>
        <v>please select a BUG ID</v>
      </c>
      <c r="D646" s="51" t="str">
        <f>IFERROR(VLOOKUP(A646,Internal_lists_bugs!$A$2:$I1001,9,FALSE()),"please select a BUG ID")</f>
        <v>please select a BUG ID</v>
      </c>
      <c r="E646" s="105"/>
      <c r="G646" s="54"/>
      <c r="H646" s="105"/>
    </row>
    <row r="647">
      <c r="A647" s="54"/>
      <c r="B647" s="88" t="str">
        <f>IFERROR(HYPERLINK(VLOOKUP(A647,Internal_lists_bugs!$A$2:$C$73,3,FALSE()), VLOOKUP(A647,Internal_lists_bugs!$A$2:$C$73,3,FALSE())&amp;Char(10) &amp; Char(10) &amp; VLOOKUP(A647,Internal_lists_bugs!$A$2:$Z$73,26,FALSE())),"please select a BUG ID")</f>
        <v>please select a BUG ID</v>
      </c>
      <c r="C647" s="51" t="str">
        <f>IFERROR(VLOOKUP(A647,Internal_lists_bugs!$A$2:$G1001,7,FALSE()),"please select a BUG ID")</f>
        <v>please select a BUG ID</v>
      </c>
      <c r="D647" s="51" t="str">
        <f>IFERROR(VLOOKUP(A647,Internal_lists_bugs!$A$2:$I1001,9,FALSE()),"please select a BUG ID")</f>
        <v>please select a BUG ID</v>
      </c>
      <c r="E647" s="105"/>
      <c r="G647" s="54"/>
      <c r="H647" s="105"/>
    </row>
    <row r="648">
      <c r="A648" s="54"/>
      <c r="B648" s="88" t="str">
        <f>IFERROR(HYPERLINK(VLOOKUP(A648,Internal_lists_bugs!$A$2:$C$73,3,FALSE()), VLOOKUP(A648,Internal_lists_bugs!$A$2:$C$73,3,FALSE())&amp;Char(10) &amp; Char(10) &amp; VLOOKUP(A648,Internal_lists_bugs!$A$2:$Z$73,26,FALSE())),"please select a BUG ID")</f>
        <v>please select a BUG ID</v>
      </c>
      <c r="C648" s="51" t="str">
        <f>IFERROR(VLOOKUP(A648,Internal_lists_bugs!$A$2:$G1001,7,FALSE()),"please select a BUG ID")</f>
        <v>please select a BUG ID</v>
      </c>
      <c r="D648" s="51" t="str">
        <f>IFERROR(VLOOKUP(A648,Internal_lists_bugs!$A$2:$I1001,9,FALSE()),"please select a BUG ID")</f>
        <v>please select a BUG ID</v>
      </c>
      <c r="E648" s="105"/>
      <c r="G648" s="54"/>
      <c r="H648" s="105"/>
    </row>
    <row r="649">
      <c r="A649" s="54"/>
      <c r="B649" s="88" t="str">
        <f>IFERROR(HYPERLINK(VLOOKUP(A649,Internal_lists_bugs!$A$2:$C$73,3,FALSE()), VLOOKUP(A649,Internal_lists_bugs!$A$2:$C$73,3,FALSE())&amp;Char(10) &amp; Char(10) &amp; VLOOKUP(A649,Internal_lists_bugs!$A$2:$Z$73,26,FALSE())),"please select a BUG ID")</f>
        <v>please select a BUG ID</v>
      </c>
      <c r="C649" s="51" t="str">
        <f>IFERROR(VLOOKUP(A649,Internal_lists_bugs!$A$2:$G1001,7,FALSE()),"please select a BUG ID")</f>
        <v>please select a BUG ID</v>
      </c>
      <c r="D649" s="51" t="str">
        <f>IFERROR(VLOOKUP(A649,Internal_lists_bugs!$A$2:$I1001,9,FALSE()),"please select a BUG ID")</f>
        <v>please select a BUG ID</v>
      </c>
      <c r="E649" s="105"/>
      <c r="G649" s="54"/>
      <c r="H649" s="105"/>
    </row>
    <row r="650">
      <c r="A650" s="54"/>
      <c r="B650" s="88" t="str">
        <f>IFERROR(HYPERLINK(VLOOKUP(A650,Internal_lists_bugs!$A$2:$C$73,3,FALSE()), VLOOKUP(A650,Internal_lists_bugs!$A$2:$C$73,3,FALSE())&amp;Char(10) &amp; Char(10) &amp; VLOOKUP(A650,Internal_lists_bugs!$A$2:$Z$73,26,FALSE())),"please select a BUG ID")</f>
        <v>please select a BUG ID</v>
      </c>
      <c r="C650" s="51" t="str">
        <f>IFERROR(VLOOKUP(A650,Internal_lists_bugs!$A$2:$G1001,7,FALSE()),"please select a BUG ID")</f>
        <v>please select a BUG ID</v>
      </c>
      <c r="D650" s="51" t="str">
        <f>IFERROR(VLOOKUP(A650,Internal_lists_bugs!$A$2:$I1001,9,FALSE()),"please select a BUG ID")</f>
        <v>please select a BUG ID</v>
      </c>
      <c r="E650" s="105"/>
      <c r="G650" s="54"/>
      <c r="H650" s="105"/>
    </row>
    <row r="651">
      <c r="A651" s="54"/>
      <c r="B651" s="88" t="str">
        <f>IFERROR(HYPERLINK(VLOOKUP(A651,Internal_lists_bugs!$A$2:$C$73,3,FALSE()), VLOOKUP(A651,Internal_lists_bugs!$A$2:$C$73,3,FALSE())&amp;Char(10) &amp; Char(10) &amp; VLOOKUP(A651,Internal_lists_bugs!$A$2:$Z$73,26,FALSE())),"please select a BUG ID")</f>
        <v>please select a BUG ID</v>
      </c>
      <c r="C651" s="51" t="str">
        <f>IFERROR(VLOOKUP(A651,Internal_lists_bugs!$A$2:$G1001,7,FALSE()),"please select a BUG ID")</f>
        <v>please select a BUG ID</v>
      </c>
      <c r="D651" s="51" t="str">
        <f>IFERROR(VLOOKUP(A651,Internal_lists_bugs!$A$2:$I1001,9,FALSE()),"please select a BUG ID")</f>
        <v>please select a BUG ID</v>
      </c>
      <c r="E651" s="105"/>
      <c r="G651" s="54"/>
      <c r="H651" s="105"/>
    </row>
    <row r="652">
      <c r="A652" s="54"/>
      <c r="B652" s="88" t="str">
        <f>IFERROR(HYPERLINK(VLOOKUP(A652,Internal_lists_bugs!$A$2:$C$73,3,FALSE()), VLOOKUP(A652,Internal_lists_bugs!$A$2:$C$73,3,FALSE())&amp;Char(10) &amp; Char(10) &amp; VLOOKUP(A652,Internal_lists_bugs!$A$2:$Z$73,26,FALSE())),"please select a BUG ID")</f>
        <v>please select a BUG ID</v>
      </c>
      <c r="C652" s="51" t="str">
        <f>IFERROR(VLOOKUP(A652,Internal_lists_bugs!$A$2:$G1001,7,FALSE()),"please select a BUG ID")</f>
        <v>please select a BUG ID</v>
      </c>
      <c r="D652" s="51" t="str">
        <f>IFERROR(VLOOKUP(A652,Internal_lists_bugs!$A$2:$I1001,9,FALSE()),"please select a BUG ID")</f>
        <v>please select a BUG ID</v>
      </c>
      <c r="E652" s="105"/>
      <c r="G652" s="54"/>
      <c r="H652" s="105"/>
    </row>
    <row r="653">
      <c r="A653" s="54"/>
      <c r="B653" s="88" t="str">
        <f>IFERROR(HYPERLINK(VLOOKUP(A653,Internal_lists_bugs!$A$2:$C$73,3,FALSE()), VLOOKUP(A653,Internal_lists_bugs!$A$2:$C$73,3,FALSE())&amp;Char(10) &amp; Char(10) &amp; VLOOKUP(A653,Internal_lists_bugs!$A$2:$Z$73,26,FALSE())),"please select a BUG ID")</f>
        <v>please select a BUG ID</v>
      </c>
      <c r="C653" s="51" t="str">
        <f>IFERROR(VLOOKUP(A653,Internal_lists_bugs!$A$2:$G1001,7,FALSE()),"please select a BUG ID")</f>
        <v>please select a BUG ID</v>
      </c>
      <c r="D653" s="51" t="str">
        <f>IFERROR(VLOOKUP(A653,Internal_lists_bugs!$A$2:$I1001,9,FALSE()),"please select a BUG ID")</f>
        <v>please select a BUG ID</v>
      </c>
      <c r="E653" s="105"/>
      <c r="G653" s="54"/>
      <c r="H653" s="105"/>
    </row>
    <row r="654">
      <c r="A654" s="54"/>
      <c r="B654" s="88" t="str">
        <f>IFERROR(HYPERLINK(VLOOKUP(A654,Internal_lists_bugs!$A$2:$C$73,3,FALSE()), VLOOKUP(A654,Internal_lists_bugs!$A$2:$C$73,3,FALSE())&amp;Char(10) &amp; Char(10) &amp; VLOOKUP(A654,Internal_lists_bugs!$A$2:$Z$73,26,FALSE())),"please select a BUG ID")</f>
        <v>please select a BUG ID</v>
      </c>
      <c r="C654" s="51" t="str">
        <f>IFERROR(VLOOKUP(A654,Internal_lists_bugs!$A$2:$G1001,7,FALSE()),"please select a BUG ID")</f>
        <v>please select a BUG ID</v>
      </c>
      <c r="D654" s="51" t="str">
        <f>IFERROR(VLOOKUP(A654,Internal_lists_bugs!$A$2:$I1001,9,FALSE()),"please select a BUG ID")</f>
        <v>please select a BUG ID</v>
      </c>
      <c r="E654" s="105"/>
      <c r="G654" s="54"/>
      <c r="H654" s="105"/>
    </row>
    <row r="655">
      <c r="A655" s="54"/>
      <c r="B655" s="88" t="str">
        <f>IFERROR(HYPERLINK(VLOOKUP(A655,Internal_lists_bugs!$A$2:$C$73,3,FALSE()), VLOOKUP(A655,Internal_lists_bugs!$A$2:$C$73,3,FALSE())&amp;Char(10) &amp; Char(10) &amp; VLOOKUP(A655,Internal_lists_bugs!$A$2:$Z$73,26,FALSE())),"please select a BUG ID")</f>
        <v>please select a BUG ID</v>
      </c>
      <c r="C655" s="51" t="str">
        <f>IFERROR(VLOOKUP(A655,Internal_lists_bugs!$A$2:$G1001,7,FALSE()),"please select a BUG ID")</f>
        <v>please select a BUG ID</v>
      </c>
      <c r="D655" s="51" t="str">
        <f>IFERROR(VLOOKUP(A655,Internal_lists_bugs!$A$2:$I1001,9,FALSE()),"please select a BUG ID")</f>
        <v>please select a BUG ID</v>
      </c>
      <c r="E655" s="105"/>
      <c r="G655" s="54"/>
      <c r="H655" s="105"/>
    </row>
    <row r="656">
      <c r="A656" s="54"/>
      <c r="B656" s="88" t="str">
        <f>IFERROR(HYPERLINK(VLOOKUP(A656,Internal_lists_bugs!$A$2:$C$73,3,FALSE()), VLOOKUP(A656,Internal_lists_bugs!$A$2:$C$73,3,FALSE())&amp;Char(10) &amp; Char(10) &amp; VLOOKUP(A656,Internal_lists_bugs!$A$2:$Z$73,26,FALSE())),"please select a BUG ID")</f>
        <v>please select a BUG ID</v>
      </c>
      <c r="C656" s="51" t="str">
        <f>IFERROR(VLOOKUP(A656,Internal_lists_bugs!$A$2:$G1001,7,FALSE()),"please select a BUG ID")</f>
        <v>please select a BUG ID</v>
      </c>
      <c r="D656" s="51" t="str">
        <f>IFERROR(VLOOKUP(A656,Internal_lists_bugs!$A$2:$I1001,9,FALSE()),"please select a BUG ID")</f>
        <v>please select a BUG ID</v>
      </c>
      <c r="E656" s="105"/>
      <c r="G656" s="54"/>
      <c r="H656" s="105"/>
    </row>
    <row r="657">
      <c r="A657" s="54"/>
      <c r="B657" s="88" t="str">
        <f>IFERROR(HYPERLINK(VLOOKUP(A657,Internal_lists_bugs!$A$2:$C$73,3,FALSE()), VLOOKUP(A657,Internal_lists_bugs!$A$2:$C$73,3,FALSE())&amp;Char(10) &amp; Char(10) &amp; VLOOKUP(A657,Internal_lists_bugs!$A$2:$Z$73,26,FALSE())),"please select a BUG ID")</f>
        <v>please select a BUG ID</v>
      </c>
      <c r="C657" s="51" t="str">
        <f>IFERROR(VLOOKUP(A657,Internal_lists_bugs!$A$2:$G1001,7,FALSE()),"please select a BUG ID")</f>
        <v>please select a BUG ID</v>
      </c>
      <c r="D657" s="51" t="str">
        <f>IFERROR(VLOOKUP(A657,Internal_lists_bugs!$A$2:$I1001,9,FALSE()),"please select a BUG ID")</f>
        <v>please select a BUG ID</v>
      </c>
      <c r="E657" s="105"/>
      <c r="G657" s="54"/>
      <c r="H657" s="105"/>
    </row>
    <row r="658">
      <c r="A658" s="54"/>
      <c r="B658" s="88" t="str">
        <f>IFERROR(HYPERLINK(VLOOKUP(A658,Internal_lists_bugs!$A$2:$C$73,3,FALSE()), VLOOKUP(A658,Internal_lists_bugs!$A$2:$C$73,3,FALSE())&amp;Char(10) &amp; Char(10) &amp; VLOOKUP(A658,Internal_lists_bugs!$A$2:$Z$73,26,FALSE())),"please select a BUG ID")</f>
        <v>please select a BUG ID</v>
      </c>
      <c r="C658" s="51" t="str">
        <f>IFERROR(VLOOKUP(A658,Internal_lists_bugs!$A$2:$G1001,7,FALSE()),"please select a BUG ID")</f>
        <v>please select a BUG ID</v>
      </c>
      <c r="D658" s="51" t="str">
        <f>IFERROR(VLOOKUP(A658,Internal_lists_bugs!$A$2:$I1001,9,FALSE()),"please select a BUG ID")</f>
        <v>please select a BUG ID</v>
      </c>
      <c r="E658" s="105"/>
      <c r="G658" s="54"/>
      <c r="H658" s="105"/>
    </row>
    <row r="659">
      <c r="A659" s="54"/>
      <c r="B659" s="88" t="str">
        <f>IFERROR(HYPERLINK(VLOOKUP(A659,Internal_lists_bugs!$A$2:$C$73,3,FALSE()), VLOOKUP(A659,Internal_lists_bugs!$A$2:$C$73,3,FALSE())&amp;Char(10) &amp; Char(10) &amp; VLOOKUP(A659,Internal_lists_bugs!$A$2:$Z$73,26,FALSE())),"please select a BUG ID")</f>
        <v>please select a BUG ID</v>
      </c>
      <c r="C659" s="51" t="str">
        <f>IFERROR(VLOOKUP(A659,Internal_lists_bugs!$A$2:$G1001,7,FALSE()),"please select a BUG ID")</f>
        <v>please select a BUG ID</v>
      </c>
      <c r="D659" s="51" t="str">
        <f>IFERROR(VLOOKUP(A659,Internal_lists_bugs!$A$2:$I1001,9,FALSE()),"please select a BUG ID")</f>
        <v>please select a BUG ID</v>
      </c>
      <c r="E659" s="105"/>
      <c r="G659" s="54"/>
      <c r="H659" s="105"/>
    </row>
    <row r="660">
      <c r="A660" s="54"/>
      <c r="B660" s="88" t="str">
        <f>IFERROR(HYPERLINK(VLOOKUP(A660,Internal_lists_bugs!$A$2:$C$73,3,FALSE()), VLOOKUP(A660,Internal_lists_bugs!$A$2:$C$73,3,FALSE())&amp;Char(10) &amp; Char(10) &amp; VLOOKUP(A660,Internal_lists_bugs!$A$2:$Z$73,26,FALSE())),"please select a BUG ID")</f>
        <v>please select a BUG ID</v>
      </c>
      <c r="C660" s="51" t="str">
        <f>IFERROR(VLOOKUP(A660,Internal_lists_bugs!$A$2:$G1001,7,FALSE()),"please select a BUG ID")</f>
        <v>please select a BUG ID</v>
      </c>
      <c r="D660" s="51" t="str">
        <f>IFERROR(VLOOKUP(A660,Internal_lists_bugs!$A$2:$I1001,9,FALSE()),"please select a BUG ID")</f>
        <v>please select a BUG ID</v>
      </c>
      <c r="E660" s="105"/>
      <c r="G660" s="54"/>
      <c r="H660" s="105"/>
    </row>
    <row r="661">
      <c r="A661" s="54"/>
      <c r="B661" s="88" t="str">
        <f>IFERROR(HYPERLINK(VLOOKUP(A661,Internal_lists_bugs!$A$2:$C$73,3,FALSE()), VLOOKUP(A661,Internal_lists_bugs!$A$2:$C$73,3,FALSE())&amp;Char(10) &amp; Char(10) &amp; VLOOKUP(A661,Internal_lists_bugs!$A$2:$Z$73,26,FALSE())),"please select a BUG ID")</f>
        <v>please select a BUG ID</v>
      </c>
      <c r="C661" s="51" t="str">
        <f>IFERROR(VLOOKUP(A661,Internal_lists_bugs!$A$2:$G1001,7,FALSE()),"please select a BUG ID")</f>
        <v>please select a BUG ID</v>
      </c>
      <c r="D661" s="51" t="str">
        <f>IFERROR(VLOOKUP(A661,Internal_lists_bugs!$A$2:$I1001,9,FALSE()),"please select a BUG ID")</f>
        <v>please select a BUG ID</v>
      </c>
      <c r="E661" s="105"/>
      <c r="G661" s="54"/>
      <c r="H661" s="105"/>
    </row>
    <row r="662">
      <c r="A662" s="54"/>
      <c r="B662" s="88" t="str">
        <f>IFERROR(HYPERLINK(VLOOKUP(A662,Internal_lists_bugs!$A$2:$C$73,3,FALSE()), VLOOKUP(A662,Internal_lists_bugs!$A$2:$C$73,3,FALSE())&amp;Char(10) &amp; Char(10) &amp; VLOOKUP(A662,Internal_lists_bugs!$A$2:$Z$73,26,FALSE())),"please select a BUG ID")</f>
        <v>please select a BUG ID</v>
      </c>
      <c r="C662" s="51" t="str">
        <f>IFERROR(VLOOKUP(A662,Internal_lists_bugs!$A$2:$G1001,7,FALSE()),"please select a BUG ID")</f>
        <v>please select a BUG ID</v>
      </c>
      <c r="D662" s="51" t="str">
        <f>IFERROR(VLOOKUP(A662,Internal_lists_bugs!$A$2:$I1001,9,FALSE()),"please select a BUG ID")</f>
        <v>please select a BUG ID</v>
      </c>
      <c r="E662" s="105"/>
      <c r="G662" s="54"/>
      <c r="H662" s="105"/>
    </row>
    <row r="663">
      <c r="A663" s="54"/>
      <c r="B663" s="88" t="str">
        <f>IFERROR(HYPERLINK(VLOOKUP(A663,Internal_lists_bugs!$A$2:$C$73,3,FALSE()), VLOOKUP(A663,Internal_lists_bugs!$A$2:$C$73,3,FALSE())&amp;Char(10) &amp; Char(10) &amp; VLOOKUP(A663,Internal_lists_bugs!$A$2:$Z$73,26,FALSE())),"please select a BUG ID")</f>
        <v>please select a BUG ID</v>
      </c>
      <c r="C663" s="51" t="str">
        <f>IFERROR(VLOOKUP(A663,Internal_lists_bugs!$A$2:$G1001,7,FALSE()),"please select a BUG ID")</f>
        <v>please select a BUG ID</v>
      </c>
      <c r="D663" s="51" t="str">
        <f>IFERROR(VLOOKUP(A663,Internal_lists_bugs!$A$2:$I1001,9,FALSE()),"please select a BUG ID")</f>
        <v>please select a BUG ID</v>
      </c>
      <c r="E663" s="105"/>
      <c r="G663" s="54"/>
      <c r="H663" s="105"/>
    </row>
    <row r="664">
      <c r="A664" s="54"/>
      <c r="B664" s="88" t="str">
        <f>IFERROR(HYPERLINK(VLOOKUP(A664,Internal_lists_bugs!$A$2:$C$73,3,FALSE()), VLOOKUP(A664,Internal_lists_bugs!$A$2:$C$73,3,FALSE())&amp;Char(10) &amp; Char(10) &amp; VLOOKUP(A664,Internal_lists_bugs!$A$2:$Z$73,26,FALSE())),"please select a BUG ID")</f>
        <v>please select a BUG ID</v>
      </c>
      <c r="C664" s="51" t="str">
        <f>IFERROR(VLOOKUP(A664,Internal_lists_bugs!$A$2:$G1001,7,FALSE()),"please select a BUG ID")</f>
        <v>please select a BUG ID</v>
      </c>
      <c r="D664" s="51" t="str">
        <f>IFERROR(VLOOKUP(A664,Internal_lists_bugs!$A$2:$I1001,9,FALSE()),"please select a BUG ID")</f>
        <v>please select a BUG ID</v>
      </c>
      <c r="E664" s="105"/>
      <c r="G664" s="54"/>
      <c r="H664" s="105"/>
    </row>
    <row r="665">
      <c r="A665" s="54"/>
      <c r="B665" s="88" t="str">
        <f>IFERROR(HYPERLINK(VLOOKUP(A665,Internal_lists_bugs!$A$2:$C$73,3,FALSE()), VLOOKUP(A665,Internal_lists_bugs!$A$2:$C$73,3,FALSE())&amp;Char(10) &amp; Char(10) &amp; VLOOKUP(A665,Internal_lists_bugs!$A$2:$Z$73,26,FALSE())),"please select a BUG ID")</f>
        <v>please select a BUG ID</v>
      </c>
      <c r="C665" s="51" t="str">
        <f>IFERROR(VLOOKUP(A665,Internal_lists_bugs!$A$2:$G1001,7,FALSE()),"please select a BUG ID")</f>
        <v>please select a BUG ID</v>
      </c>
      <c r="D665" s="51" t="str">
        <f>IFERROR(VLOOKUP(A665,Internal_lists_bugs!$A$2:$I1001,9,FALSE()),"please select a BUG ID")</f>
        <v>please select a BUG ID</v>
      </c>
      <c r="E665" s="105"/>
      <c r="G665" s="54"/>
      <c r="H665" s="105"/>
    </row>
    <row r="666">
      <c r="A666" s="54"/>
      <c r="B666" s="88" t="str">
        <f>IFERROR(HYPERLINK(VLOOKUP(A666,Internal_lists_bugs!$A$2:$C$73,3,FALSE()), VLOOKUP(A666,Internal_lists_bugs!$A$2:$C$73,3,FALSE())&amp;Char(10) &amp; Char(10) &amp; VLOOKUP(A666,Internal_lists_bugs!$A$2:$Z$73,26,FALSE())),"please select a BUG ID")</f>
        <v>please select a BUG ID</v>
      </c>
      <c r="C666" s="51" t="str">
        <f>IFERROR(VLOOKUP(A666,Internal_lists_bugs!$A$2:$G1001,7,FALSE()),"please select a BUG ID")</f>
        <v>please select a BUG ID</v>
      </c>
      <c r="D666" s="51" t="str">
        <f>IFERROR(VLOOKUP(A666,Internal_lists_bugs!$A$2:$I1001,9,FALSE()),"please select a BUG ID")</f>
        <v>please select a BUG ID</v>
      </c>
      <c r="E666" s="105"/>
      <c r="G666" s="54"/>
      <c r="H666" s="105"/>
    </row>
    <row r="667">
      <c r="A667" s="54"/>
      <c r="B667" s="88" t="str">
        <f>IFERROR(HYPERLINK(VLOOKUP(A667,Internal_lists_bugs!$A$2:$C$73,3,FALSE()), VLOOKUP(A667,Internal_lists_bugs!$A$2:$C$73,3,FALSE())&amp;Char(10) &amp; Char(10) &amp; VLOOKUP(A667,Internal_lists_bugs!$A$2:$Z$73,26,FALSE())),"please select a BUG ID")</f>
        <v>please select a BUG ID</v>
      </c>
      <c r="C667" s="51" t="str">
        <f>IFERROR(VLOOKUP(A667,Internal_lists_bugs!$A$2:$G1001,7,FALSE()),"please select a BUG ID")</f>
        <v>please select a BUG ID</v>
      </c>
      <c r="D667" s="51" t="str">
        <f>IFERROR(VLOOKUP(A667,Internal_lists_bugs!$A$2:$I1001,9,FALSE()),"please select a BUG ID")</f>
        <v>please select a BUG ID</v>
      </c>
      <c r="E667" s="105"/>
      <c r="G667" s="54"/>
      <c r="H667" s="105"/>
    </row>
    <row r="668">
      <c r="A668" s="54"/>
      <c r="B668" s="88" t="str">
        <f>IFERROR(HYPERLINK(VLOOKUP(A668,Internal_lists_bugs!$A$2:$C$73,3,FALSE()), VLOOKUP(A668,Internal_lists_bugs!$A$2:$C$73,3,FALSE())&amp;Char(10) &amp; Char(10) &amp; VLOOKUP(A668,Internal_lists_bugs!$A$2:$Z$73,26,FALSE())),"please select a BUG ID")</f>
        <v>please select a BUG ID</v>
      </c>
      <c r="C668" s="51" t="str">
        <f>IFERROR(VLOOKUP(A668,Internal_lists_bugs!$A$2:$G1001,7,FALSE()),"please select a BUG ID")</f>
        <v>please select a BUG ID</v>
      </c>
      <c r="D668" s="51" t="str">
        <f>IFERROR(VLOOKUP(A668,Internal_lists_bugs!$A$2:$I1001,9,FALSE()),"please select a BUG ID")</f>
        <v>please select a BUG ID</v>
      </c>
      <c r="E668" s="105"/>
      <c r="G668" s="54"/>
      <c r="H668" s="105"/>
    </row>
    <row r="669">
      <c r="A669" s="54"/>
      <c r="B669" s="88" t="str">
        <f>IFERROR(HYPERLINK(VLOOKUP(A669,Internal_lists_bugs!$A$2:$C$73,3,FALSE()), VLOOKUP(A669,Internal_lists_bugs!$A$2:$C$73,3,FALSE())&amp;Char(10) &amp; Char(10) &amp; VLOOKUP(A669,Internal_lists_bugs!$A$2:$Z$73,26,FALSE())),"please select a BUG ID")</f>
        <v>please select a BUG ID</v>
      </c>
      <c r="C669" s="51" t="str">
        <f>IFERROR(VLOOKUP(A669,Internal_lists_bugs!$A$2:$G1001,7,FALSE()),"please select a BUG ID")</f>
        <v>please select a BUG ID</v>
      </c>
      <c r="D669" s="51" t="str">
        <f>IFERROR(VLOOKUP(A669,Internal_lists_bugs!$A$2:$I1001,9,FALSE()),"please select a BUG ID")</f>
        <v>please select a BUG ID</v>
      </c>
      <c r="E669" s="105"/>
      <c r="G669" s="54"/>
      <c r="H669" s="105"/>
    </row>
    <row r="670">
      <c r="A670" s="54"/>
      <c r="B670" s="88" t="str">
        <f>IFERROR(HYPERLINK(VLOOKUP(A670,Internal_lists_bugs!$A$2:$C$73,3,FALSE()), VLOOKUP(A670,Internal_lists_bugs!$A$2:$C$73,3,FALSE())&amp;Char(10) &amp; Char(10) &amp; VLOOKUP(A670,Internal_lists_bugs!$A$2:$Z$73,26,FALSE())),"please select a BUG ID")</f>
        <v>please select a BUG ID</v>
      </c>
      <c r="C670" s="51" t="str">
        <f>IFERROR(VLOOKUP(A670,Internal_lists_bugs!$A$2:$G1001,7,FALSE()),"please select a BUG ID")</f>
        <v>please select a BUG ID</v>
      </c>
      <c r="D670" s="51" t="str">
        <f>IFERROR(VLOOKUP(A670,Internal_lists_bugs!$A$2:$I1001,9,FALSE()),"please select a BUG ID")</f>
        <v>please select a BUG ID</v>
      </c>
      <c r="E670" s="105"/>
      <c r="G670" s="54"/>
      <c r="H670" s="105"/>
    </row>
    <row r="671">
      <c r="A671" s="54"/>
      <c r="B671" s="88" t="str">
        <f>IFERROR(HYPERLINK(VLOOKUP(A671,Internal_lists_bugs!$A$2:$C$73,3,FALSE()), VLOOKUP(A671,Internal_lists_bugs!$A$2:$C$73,3,FALSE())&amp;Char(10) &amp; Char(10) &amp; VLOOKUP(A671,Internal_lists_bugs!$A$2:$Z$73,26,FALSE())),"please select a BUG ID")</f>
        <v>please select a BUG ID</v>
      </c>
      <c r="C671" s="51" t="str">
        <f>IFERROR(VLOOKUP(A671,Internal_lists_bugs!$A$2:$G1001,7,FALSE()),"please select a BUG ID")</f>
        <v>please select a BUG ID</v>
      </c>
      <c r="D671" s="51" t="str">
        <f>IFERROR(VLOOKUP(A671,Internal_lists_bugs!$A$2:$I1001,9,FALSE()),"please select a BUG ID")</f>
        <v>please select a BUG ID</v>
      </c>
      <c r="E671" s="105"/>
      <c r="G671" s="54"/>
      <c r="H671" s="105"/>
    </row>
    <row r="672">
      <c r="A672" s="54"/>
      <c r="B672" s="88" t="str">
        <f>IFERROR(HYPERLINK(VLOOKUP(A672,Internal_lists_bugs!$A$2:$C$73,3,FALSE()), VLOOKUP(A672,Internal_lists_bugs!$A$2:$C$73,3,FALSE())&amp;Char(10) &amp; Char(10) &amp; VLOOKUP(A672,Internal_lists_bugs!$A$2:$Z$73,26,FALSE())),"please select a BUG ID")</f>
        <v>please select a BUG ID</v>
      </c>
      <c r="C672" s="51" t="str">
        <f>IFERROR(VLOOKUP(A672,Internal_lists_bugs!$A$2:$G1001,7,FALSE()),"please select a BUG ID")</f>
        <v>please select a BUG ID</v>
      </c>
      <c r="D672" s="51" t="str">
        <f>IFERROR(VLOOKUP(A672,Internal_lists_bugs!$A$2:$I1001,9,FALSE()),"please select a BUG ID")</f>
        <v>please select a BUG ID</v>
      </c>
      <c r="E672" s="105"/>
      <c r="G672" s="54"/>
      <c r="H672" s="105"/>
    </row>
    <row r="673">
      <c r="A673" s="54"/>
      <c r="B673" s="88" t="str">
        <f>IFERROR(HYPERLINK(VLOOKUP(A673,Internal_lists_bugs!$A$2:$C$73,3,FALSE()), VLOOKUP(A673,Internal_lists_bugs!$A$2:$C$73,3,FALSE())&amp;Char(10) &amp; Char(10) &amp; VLOOKUP(A673,Internal_lists_bugs!$A$2:$Z$73,26,FALSE())),"please select a BUG ID")</f>
        <v>please select a BUG ID</v>
      </c>
      <c r="C673" s="51" t="str">
        <f>IFERROR(VLOOKUP(A673,Internal_lists_bugs!$A$2:$G1001,7,FALSE()),"please select a BUG ID")</f>
        <v>please select a BUG ID</v>
      </c>
      <c r="D673" s="51" t="str">
        <f>IFERROR(VLOOKUP(A673,Internal_lists_bugs!$A$2:$I1001,9,FALSE()),"please select a BUG ID")</f>
        <v>please select a BUG ID</v>
      </c>
      <c r="E673" s="105"/>
      <c r="G673" s="54"/>
      <c r="H673" s="105"/>
    </row>
    <row r="674">
      <c r="A674" s="54"/>
      <c r="B674" s="88" t="str">
        <f>IFERROR(HYPERLINK(VLOOKUP(A674,Internal_lists_bugs!$A$2:$C$73,3,FALSE()), VLOOKUP(A674,Internal_lists_bugs!$A$2:$C$73,3,FALSE())&amp;Char(10) &amp; Char(10) &amp; VLOOKUP(A674,Internal_lists_bugs!$A$2:$Z$73,26,FALSE())),"please select a BUG ID")</f>
        <v>please select a BUG ID</v>
      </c>
      <c r="C674" s="51" t="str">
        <f>IFERROR(VLOOKUP(A674,Internal_lists_bugs!$A$2:$G1001,7,FALSE()),"please select a BUG ID")</f>
        <v>please select a BUG ID</v>
      </c>
      <c r="D674" s="51" t="str">
        <f>IFERROR(VLOOKUP(A674,Internal_lists_bugs!$A$2:$I1001,9,FALSE()),"please select a BUG ID")</f>
        <v>please select a BUG ID</v>
      </c>
      <c r="E674" s="105"/>
      <c r="G674" s="54"/>
      <c r="H674" s="105"/>
    </row>
    <row r="675">
      <c r="A675" s="54"/>
      <c r="B675" s="88" t="str">
        <f>IFERROR(HYPERLINK(VLOOKUP(A675,Internal_lists_bugs!$A$2:$C$73,3,FALSE()), VLOOKUP(A675,Internal_lists_bugs!$A$2:$C$73,3,FALSE())&amp;Char(10) &amp; Char(10) &amp; VLOOKUP(A675,Internal_lists_bugs!$A$2:$Z$73,26,FALSE())),"please select a BUG ID")</f>
        <v>please select a BUG ID</v>
      </c>
      <c r="C675" s="51" t="str">
        <f>IFERROR(VLOOKUP(A675,Internal_lists_bugs!$A$2:$G1001,7,FALSE()),"please select a BUG ID")</f>
        <v>please select a BUG ID</v>
      </c>
      <c r="D675" s="51" t="str">
        <f>IFERROR(VLOOKUP(A675,Internal_lists_bugs!$A$2:$I1001,9,FALSE()),"please select a BUG ID")</f>
        <v>please select a BUG ID</v>
      </c>
      <c r="E675" s="105"/>
      <c r="G675" s="54"/>
      <c r="H675" s="105"/>
    </row>
    <row r="676">
      <c r="A676" s="54"/>
      <c r="B676" s="88" t="str">
        <f>IFERROR(HYPERLINK(VLOOKUP(A676,Internal_lists_bugs!$A$2:$C$73,3,FALSE()), VLOOKUP(A676,Internal_lists_bugs!$A$2:$C$73,3,FALSE())&amp;Char(10) &amp; Char(10) &amp; VLOOKUP(A676,Internal_lists_bugs!$A$2:$Z$73,26,FALSE())),"please select a BUG ID")</f>
        <v>please select a BUG ID</v>
      </c>
      <c r="C676" s="51" t="str">
        <f>IFERROR(VLOOKUP(A676,Internal_lists_bugs!$A$2:$G1001,7,FALSE()),"please select a BUG ID")</f>
        <v>please select a BUG ID</v>
      </c>
      <c r="D676" s="51" t="str">
        <f>IFERROR(VLOOKUP(A676,Internal_lists_bugs!$A$2:$I1001,9,FALSE()),"please select a BUG ID")</f>
        <v>please select a BUG ID</v>
      </c>
      <c r="E676" s="105"/>
      <c r="G676" s="54"/>
      <c r="H676" s="105"/>
    </row>
    <row r="677">
      <c r="A677" s="54"/>
      <c r="B677" s="88" t="str">
        <f>IFERROR(HYPERLINK(VLOOKUP(A677,Internal_lists_bugs!$A$2:$C$73,3,FALSE()), VLOOKUP(A677,Internal_lists_bugs!$A$2:$C$73,3,FALSE())&amp;Char(10) &amp; Char(10) &amp; VLOOKUP(A677,Internal_lists_bugs!$A$2:$Z$73,26,FALSE())),"please select a BUG ID")</f>
        <v>please select a BUG ID</v>
      </c>
      <c r="C677" s="51" t="str">
        <f>IFERROR(VLOOKUP(A677,Internal_lists_bugs!$A$2:$G1001,7,FALSE()),"please select a BUG ID")</f>
        <v>please select a BUG ID</v>
      </c>
      <c r="D677" s="51" t="str">
        <f>IFERROR(VLOOKUP(A677,Internal_lists_bugs!$A$2:$I1001,9,FALSE()),"please select a BUG ID")</f>
        <v>please select a BUG ID</v>
      </c>
      <c r="E677" s="105"/>
      <c r="G677" s="54"/>
      <c r="H677" s="105"/>
    </row>
    <row r="678">
      <c r="A678" s="54"/>
      <c r="B678" s="88" t="str">
        <f>IFERROR(HYPERLINK(VLOOKUP(A678,Internal_lists_bugs!$A$2:$C$73,3,FALSE()), VLOOKUP(A678,Internal_lists_bugs!$A$2:$C$73,3,FALSE())&amp;Char(10) &amp; Char(10) &amp; VLOOKUP(A678,Internal_lists_bugs!$A$2:$Z$73,26,FALSE())),"please select a BUG ID")</f>
        <v>please select a BUG ID</v>
      </c>
      <c r="C678" s="51" t="str">
        <f>IFERROR(VLOOKUP(A678,Internal_lists_bugs!$A$2:$G1001,7,FALSE()),"please select a BUG ID")</f>
        <v>please select a BUG ID</v>
      </c>
      <c r="D678" s="51" t="str">
        <f>IFERROR(VLOOKUP(A678,Internal_lists_bugs!$A$2:$I1001,9,FALSE()),"please select a BUG ID")</f>
        <v>please select a BUG ID</v>
      </c>
      <c r="E678" s="105"/>
      <c r="G678" s="54"/>
      <c r="H678" s="105"/>
    </row>
    <row r="679">
      <c r="A679" s="54"/>
      <c r="B679" s="88" t="str">
        <f>IFERROR(HYPERLINK(VLOOKUP(A679,Internal_lists_bugs!$A$2:$C$73,3,FALSE()), VLOOKUP(A679,Internal_lists_bugs!$A$2:$C$73,3,FALSE())&amp;Char(10) &amp; Char(10) &amp; VLOOKUP(A679,Internal_lists_bugs!$A$2:$Z$73,26,FALSE())),"please select a BUG ID")</f>
        <v>please select a BUG ID</v>
      </c>
      <c r="C679" s="51" t="str">
        <f>IFERROR(VLOOKUP(A679,Internal_lists_bugs!$A$2:$G1001,7,FALSE()),"please select a BUG ID")</f>
        <v>please select a BUG ID</v>
      </c>
      <c r="D679" s="51" t="str">
        <f>IFERROR(VLOOKUP(A679,Internal_lists_bugs!$A$2:$I1001,9,FALSE()),"please select a BUG ID")</f>
        <v>please select a BUG ID</v>
      </c>
      <c r="E679" s="105"/>
      <c r="G679" s="54"/>
      <c r="H679" s="105"/>
    </row>
    <row r="680">
      <c r="A680" s="54"/>
      <c r="B680" s="88" t="str">
        <f>IFERROR(HYPERLINK(VLOOKUP(A680,Internal_lists_bugs!$A$2:$C$73,3,FALSE()), VLOOKUP(A680,Internal_lists_bugs!$A$2:$C$73,3,FALSE())&amp;Char(10) &amp; Char(10) &amp; VLOOKUP(A680,Internal_lists_bugs!$A$2:$Z$73,26,FALSE())),"please select a BUG ID")</f>
        <v>please select a BUG ID</v>
      </c>
      <c r="C680" s="51" t="str">
        <f>IFERROR(VLOOKUP(A680,Internal_lists_bugs!$A$2:$G1001,7,FALSE()),"please select a BUG ID")</f>
        <v>please select a BUG ID</v>
      </c>
      <c r="D680" s="51" t="str">
        <f>IFERROR(VLOOKUP(A680,Internal_lists_bugs!$A$2:$I1001,9,FALSE()),"please select a BUG ID")</f>
        <v>please select a BUG ID</v>
      </c>
      <c r="E680" s="105"/>
      <c r="G680" s="54"/>
      <c r="H680" s="105"/>
    </row>
    <row r="681">
      <c r="A681" s="54"/>
      <c r="B681" s="88" t="str">
        <f>IFERROR(HYPERLINK(VLOOKUP(A681,Internal_lists_bugs!$A$2:$C$73,3,FALSE()), VLOOKUP(A681,Internal_lists_bugs!$A$2:$C$73,3,FALSE())&amp;Char(10) &amp; Char(10) &amp; VLOOKUP(A681,Internal_lists_bugs!$A$2:$Z$73,26,FALSE())),"please select a BUG ID")</f>
        <v>please select a BUG ID</v>
      </c>
      <c r="C681" s="51" t="str">
        <f>IFERROR(VLOOKUP(A681,Internal_lists_bugs!$A$2:$G1001,7,FALSE()),"please select a BUG ID")</f>
        <v>please select a BUG ID</v>
      </c>
      <c r="D681" s="51" t="str">
        <f>IFERROR(VLOOKUP(A681,Internal_lists_bugs!$A$2:$I1001,9,FALSE()),"please select a BUG ID")</f>
        <v>please select a BUG ID</v>
      </c>
      <c r="E681" s="105"/>
      <c r="G681" s="54"/>
      <c r="H681" s="105"/>
    </row>
    <row r="682">
      <c r="A682" s="54"/>
      <c r="B682" s="88" t="str">
        <f>IFERROR(HYPERLINK(VLOOKUP(A682,Internal_lists_bugs!$A$2:$C$73,3,FALSE()), VLOOKUP(A682,Internal_lists_bugs!$A$2:$C$73,3,FALSE())&amp;Char(10) &amp; Char(10) &amp; VLOOKUP(A682,Internal_lists_bugs!$A$2:$Z$73,26,FALSE())),"please select a BUG ID")</f>
        <v>please select a BUG ID</v>
      </c>
      <c r="C682" s="51" t="str">
        <f>IFERROR(VLOOKUP(A682,Internal_lists_bugs!$A$2:$G1001,7,FALSE()),"please select a BUG ID")</f>
        <v>please select a BUG ID</v>
      </c>
      <c r="D682" s="51" t="str">
        <f>IFERROR(VLOOKUP(A682,Internal_lists_bugs!$A$2:$I1001,9,FALSE()),"please select a BUG ID")</f>
        <v>please select a BUG ID</v>
      </c>
      <c r="E682" s="105"/>
      <c r="G682" s="54"/>
      <c r="H682" s="105"/>
    </row>
    <row r="683">
      <c r="A683" s="54"/>
      <c r="B683" s="88" t="str">
        <f>IFERROR(HYPERLINK(VLOOKUP(A683,Internal_lists_bugs!$A$2:$C$73,3,FALSE()), VLOOKUP(A683,Internal_lists_bugs!$A$2:$C$73,3,FALSE())&amp;Char(10) &amp; Char(10) &amp; VLOOKUP(A683,Internal_lists_bugs!$A$2:$Z$73,26,FALSE())),"please select a BUG ID")</f>
        <v>please select a BUG ID</v>
      </c>
      <c r="C683" s="51" t="str">
        <f>IFERROR(VLOOKUP(A683,Internal_lists_bugs!$A$2:$G1001,7,FALSE()),"please select a BUG ID")</f>
        <v>please select a BUG ID</v>
      </c>
      <c r="D683" s="51" t="str">
        <f>IFERROR(VLOOKUP(A683,Internal_lists_bugs!$A$2:$I1001,9,FALSE()),"please select a BUG ID")</f>
        <v>please select a BUG ID</v>
      </c>
      <c r="E683" s="105"/>
      <c r="G683" s="54"/>
      <c r="H683" s="105"/>
    </row>
    <row r="684">
      <c r="A684" s="54"/>
      <c r="B684" s="88" t="str">
        <f>IFERROR(HYPERLINK(VLOOKUP(A684,Internal_lists_bugs!$A$2:$C$73,3,FALSE()), VLOOKUP(A684,Internal_lists_bugs!$A$2:$C$73,3,FALSE())&amp;Char(10) &amp; Char(10) &amp; VLOOKUP(A684,Internal_lists_bugs!$A$2:$Z$73,26,FALSE())),"please select a BUG ID")</f>
        <v>please select a BUG ID</v>
      </c>
      <c r="C684" s="51" t="str">
        <f>IFERROR(VLOOKUP(A684,Internal_lists_bugs!$A$2:$G1001,7,FALSE()),"please select a BUG ID")</f>
        <v>please select a BUG ID</v>
      </c>
      <c r="D684" s="51" t="str">
        <f>IFERROR(VLOOKUP(A684,Internal_lists_bugs!$A$2:$I1001,9,FALSE()),"please select a BUG ID")</f>
        <v>please select a BUG ID</v>
      </c>
      <c r="E684" s="105"/>
      <c r="G684" s="54"/>
      <c r="H684" s="105"/>
    </row>
    <row r="685">
      <c r="A685" s="54"/>
      <c r="B685" s="88" t="str">
        <f>IFERROR(HYPERLINK(VLOOKUP(A685,Internal_lists_bugs!$A$2:$C$73,3,FALSE()), VLOOKUP(A685,Internal_lists_bugs!$A$2:$C$73,3,FALSE())&amp;Char(10) &amp; Char(10) &amp; VLOOKUP(A685,Internal_lists_bugs!$A$2:$Z$73,26,FALSE())),"please select a BUG ID")</f>
        <v>please select a BUG ID</v>
      </c>
      <c r="C685" s="51" t="str">
        <f>IFERROR(VLOOKUP(A685,Internal_lists_bugs!$A$2:$G1001,7,FALSE()),"please select a BUG ID")</f>
        <v>please select a BUG ID</v>
      </c>
      <c r="D685" s="51" t="str">
        <f>IFERROR(VLOOKUP(A685,Internal_lists_bugs!$A$2:$I1001,9,FALSE()),"please select a BUG ID")</f>
        <v>please select a BUG ID</v>
      </c>
      <c r="E685" s="105"/>
      <c r="G685" s="54"/>
      <c r="H685" s="105"/>
    </row>
    <row r="686">
      <c r="A686" s="54"/>
      <c r="B686" s="88" t="str">
        <f>IFERROR(HYPERLINK(VLOOKUP(A686,Internal_lists_bugs!$A$2:$C$73,3,FALSE()), VLOOKUP(A686,Internal_lists_bugs!$A$2:$C$73,3,FALSE())&amp;Char(10) &amp; Char(10) &amp; VLOOKUP(A686,Internal_lists_bugs!$A$2:$Z$73,26,FALSE())),"please select a BUG ID")</f>
        <v>please select a BUG ID</v>
      </c>
      <c r="C686" s="51" t="str">
        <f>IFERROR(VLOOKUP(A686,Internal_lists_bugs!$A$2:$G1001,7,FALSE()),"please select a BUG ID")</f>
        <v>please select a BUG ID</v>
      </c>
      <c r="D686" s="51" t="str">
        <f>IFERROR(VLOOKUP(A686,Internal_lists_bugs!$A$2:$I1001,9,FALSE()),"please select a BUG ID")</f>
        <v>please select a BUG ID</v>
      </c>
      <c r="E686" s="105"/>
      <c r="G686" s="54"/>
      <c r="H686" s="105"/>
    </row>
    <row r="687">
      <c r="A687" s="54"/>
      <c r="B687" s="88" t="str">
        <f>IFERROR(HYPERLINK(VLOOKUP(A687,Internal_lists_bugs!$A$2:$C$73,3,FALSE()), VLOOKUP(A687,Internal_lists_bugs!$A$2:$C$73,3,FALSE())&amp;Char(10) &amp; Char(10) &amp; VLOOKUP(A687,Internal_lists_bugs!$A$2:$Z$73,26,FALSE())),"please select a BUG ID")</f>
        <v>please select a BUG ID</v>
      </c>
      <c r="C687" s="51" t="str">
        <f>IFERROR(VLOOKUP(A687,Internal_lists_bugs!$A$2:$G1001,7,FALSE()),"please select a BUG ID")</f>
        <v>please select a BUG ID</v>
      </c>
      <c r="D687" s="51" t="str">
        <f>IFERROR(VLOOKUP(A687,Internal_lists_bugs!$A$2:$I1001,9,FALSE()),"please select a BUG ID")</f>
        <v>please select a BUG ID</v>
      </c>
      <c r="E687" s="105"/>
      <c r="G687" s="54"/>
      <c r="H687" s="105"/>
    </row>
    <row r="688">
      <c r="A688" s="54"/>
      <c r="B688" s="88" t="str">
        <f>IFERROR(HYPERLINK(VLOOKUP(A688,Internal_lists_bugs!$A$2:$C$73,3,FALSE()), VLOOKUP(A688,Internal_lists_bugs!$A$2:$C$73,3,FALSE())&amp;Char(10) &amp; Char(10) &amp; VLOOKUP(A688,Internal_lists_bugs!$A$2:$Z$73,26,FALSE())),"please select a BUG ID")</f>
        <v>please select a BUG ID</v>
      </c>
      <c r="C688" s="51" t="str">
        <f>IFERROR(VLOOKUP(A688,Internal_lists_bugs!$A$2:$G1001,7,FALSE()),"please select a BUG ID")</f>
        <v>please select a BUG ID</v>
      </c>
      <c r="D688" s="51" t="str">
        <f>IFERROR(VLOOKUP(A688,Internal_lists_bugs!$A$2:$I1001,9,FALSE()),"please select a BUG ID")</f>
        <v>please select a BUG ID</v>
      </c>
      <c r="E688" s="105"/>
      <c r="G688" s="54"/>
      <c r="H688" s="105"/>
    </row>
    <row r="689">
      <c r="A689" s="54"/>
      <c r="B689" s="88" t="str">
        <f>IFERROR(HYPERLINK(VLOOKUP(A689,Internal_lists_bugs!$A$2:$C$73,3,FALSE()), VLOOKUP(A689,Internal_lists_bugs!$A$2:$C$73,3,FALSE())&amp;Char(10) &amp; Char(10) &amp; VLOOKUP(A689,Internal_lists_bugs!$A$2:$Z$73,26,FALSE())),"please select a BUG ID")</f>
        <v>please select a BUG ID</v>
      </c>
      <c r="C689" s="51" t="str">
        <f>IFERROR(VLOOKUP(A689,Internal_lists_bugs!$A$2:$G1001,7,FALSE()),"please select a BUG ID")</f>
        <v>please select a BUG ID</v>
      </c>
      <c r="D689" s="51" t="str">
        <f>IFERROR(VLOOKUP(A689,Internal_lists_bugs!$A$2:$I1001,9,FALSE()),"please select a BUG ID")</f>
        <v>please select a BUG ID</v>
      </c>
      <c r="E689" s="105"/>
      <c r="G689" s="54"/>
      <c r="H689" s="105"/>
    </row>
    <row r="690">
      <c r="A690" s="54"/>
      <c r="B690" s="88" t="str">
        <f>IFERROR(HYPERLINK(VLOOKUP(A690,Internal_lists_bugs!$A$2:$C$73,3,FALSE()), VLOOKUP(A690,Internal_lists_bugs!$A$2:$C$73,3,FALSE())&amp;Char(10) &amp; Char(10) &amp; VLOOKUP(A690,Internal_lists_bugs!$A$2:$Z$73,26,FALSE())),"please select a BUG ID")</f>
        <v>please select a BUG ID</v>
      </c>
      <c r="C690" s="51" t="str">
        <f>IFERROR(VLOOKUP(A690,Internal_lists_bugs!$A$2:$G1001,7,FALSE()),"please select a BUG ID")</f>
        <v>please select a BUG ID</v>
      </c>
      <c r="D690" s="51" t="str">
        <f>IFERROR(VLOOKUP(A690,Internal_lists_bugs!$A$2:$I1001,9,FALSE()),"please select a BUG ID")</f>
        <v>please select a BUG ID</v>
      </c>
      <c r="E690" s="105"/>
      <c r="G690" s="54"/>
      <c r="H690" s="105"/>
    </row>
    <row r="691">
      <c r="A691" s="54"/>
      <c r="B691" s="88" t="str">
        <f>IFERROR(HYPERLINK(VLOOKUP(A691,Internal_lists_bugs!$A$2:$C$73,3,FALSE()), VLOOKUP(A691,Internal_lists_bugs!$A$2:$C$73,3,FALSE())&amp;Char(10) &amp; Char(10) &amp; VLOOKUP(A691,Internal_lists_bugs!$A$2:$Z$73,26,FALSE())),"please select a BUG ID")</f>
        <v>please select a BUG ID</v>
      </c>
      <c r="C691" s="51" t="str">
        <f>IFERROR(VLOOKUP(A691,Internal_lists_bugs!$A$2:$G1001,7,FALSE()),"please select a BUG ID")</f>
        <v>please select a BUG ID</v>
      </c>
      <c r="D691" s="51" t="str">
        <f>IFERROR(VLOOKUP(A691,Internal_lists_bugs!$A$2:$I1001,9,FALSE()),"please select a BUG ID")</f>
        <v>please select a BUG ID</v>
      </c>
      <c r="E691" s="105"/>
      <c r="G691" s="54"/>
      <c r="H691" s="105"/>
    </row>
    <row r="692">
      <c r="A692" s="54"/>
      <c r="B692" s="88" t="str">
        <f>IFERROR(HYPERLINK(VLOOKUP(A692,Internal_lists_bugs!$A$2:$C$73,3,FALSE()), VLOOKUP(A692,Internal_lists_bugs!$A$2:$C$73,3,FALSE())&amp;Char(10) &amp; Char(10) &amp; VLOOKUP(A692,Internal_lists_bugs!$A$2:$Z$73,26,FALSE())),"please select a BUG ID")</f>
        <v>please select a BUG ID</v>
      </c>
      <c r="C692" s="51" t="str">
        <f>IFERROR(VLOOKUP(A692,Internal_lists_bugs!$A$2:$G1001,7,FALSE()),"please select a BUG ID")</f>
        <v>please select a BUG ID</v>
      </c>
      <c r="D692" s="51" t="str">
        <f>IFERROR(VLOOKUP(A692,Internal_lists_bugs!$A$2:$I1001,9,FALSE()),"please select a BUG ID")</f>
        <v>please select a BUG ID</v>
      </c>
      <c r="E692" s="105"/>
      <c r="G692" s="54"/>
      <c r="H692" s="105"/>
    </row>
    <row r="693">
      <c r="A693" s="54"/>
      <c r="B693" s="88" t="str">
        <f>IFERROR(HYPERLINK(VLOOKUP(A693,Internal_lists_bugs!$A$2:$C$73,3,FALSE()), VLOOKUP(A693,Internal_lists_bugs!$A$2:$C$73,3,FALSE())&amp;Char(10) &amp; Char(10) &amp; VLOOKUP(A693,Internal_lists_bugs!$A$2:$Z$73,26,FALSE())),"please select a BUG ID")</f>
        <v>please select a BUG ID</v>
      </c>
      <c r="C693" s="51" t="str">
        <f>IFERROR(VLOOKUP(A693,Internal_lists_bugs!$A$2:$G1001,7,FALSE()),"please select a BUG ID")</f>
        <v>please select a BUG ID</v>
      </c>
      <c r="D693" s="51" t="str">
        <f>IFERROR(VLOOKUP(A693,Internal_lists_bugs!$A$2:$I1001,9,FALSE()),"please select a BUG ID")</f>
        <v>please select a BUG ID</v>
      </c>
      <c r="E693" s="105"/>
      <c r="G693" s="54"/>
      <c r="H693" s="105"/>
    </row>
    <row r="694">
      <c r="A694" s="54"/>
      <c r="B694" s="88" t="str">
        <f>IFERROR(HYPERLINK(VLOOKUP(A694,Internal_lists_bugs!$A$2:$C$73,3,FALSE()), VLOOKUP(A694,Internal_lists_bugs!$A$2:$C$73,3,FALSE())&amp;Char(10) &amp; Char(10) &amp; VLOOKUP(A694,Internal_lists_bugs!$A$2:$Z$73,26,FALSE())),"please select a BUG ID")</f>
        <v>please select a BUG ID</v>
      </c>
      <c r="C694" s="51" t="str">
        <f>IFERROR(VLOOKUP(A694,Internal_lists_bugs!$A$2:$G1001,7,FALSE()),"please select a BUG ID")</f>
        <v>please select a BUG ID</v>
      </c>
      <c r="D694" s="51" t="str">
        <f>IFERROR(VLOOKUP(A694,Internal_lists_bugs!$A$2:$I1001,9,FALSE()),"please select a BUG ID")</f>
        <v>please select a BUG ID</v>
      </c>
      <c r="E694" s="105"/>
      <c r="G694" s="54"/>
      <c r="H694" s="105"/>
    </row>
    <row r="695">
      <c r="A695" s="54"/>
      <c r="B695" s="88" t="str">
        <f>IFERROR(HYPERLINK(VLOOKUP(A695,Internal_lists_bugs!$A$2:$C$73,3,FALSE()), VLOOKUP(A695,Internal_lists_bugs!$A$2:$C$73,3,FALSE())&amp;Char(10) &amp; Char(10) &amp; VLOOKUP(A695,Internal_lists_bugs!$A$2:$Z$73,26,FALSE())),"please select a BUG ID")</f>
        <v>please select a BUG ID</v>
      </c>
      <c r="C695" s="51" t="str">
        <f>IFERROR(VLOOKUP(A695,Internal_lists_bugs!$A$2:$G1001,7,FALSE()),"please select a BUG ID")</f>
        <v>please select a BUG ID</v>
      </c>
      <c r="D695" s="51" t="str">
        <f>IFERROR(VLOOKUP(A695,Internal_lists_bugs!$A$2:$I1001,9,FALSE()),"please select a BUG ID")</f>
        <v>please select a BUG ID</v>
      </c>
      <c r="E695" s="105"/>
      <c r="G695" s="54"/>
      <c r="H695" s="105"/>
    </row>
    <row r="696">
      <c r="A696" s="54"/>
      <c r="B696" s="88" t="str">
        <f>IFERROR(HYPERLINK(VLOOKUP(A696,Internal_lists_bugs!$A$2:$C$73,3,FALSE()), VLOOKUP(A696,Internal_lists_bugs!$A$2:$C$73,3,FALSE())&amp;Char(10) &amp; Char(10) &amp; VLOOKUP(A696,Internal_lists_bugs!$A$2:$Z$73,26,FALSE())),"please select a BUG ID")</f>
        <v>please select a BUG ID</v>
      </c>
      <c r="C696" s="51" t="str">
        <f>IFERROR(VLOOKUP(A696,Internal_lists_bugs!$A$2:$G1001,7,FALSE()),"please select a BUG ID")</f>
        <v>please select a BUG ID</v>
      </c>
      <c r="D696" s="51" t="str">
        <f>IFERROR(VLOOKUP(A696,Internal_lists_bugs!$A$2:$I1001,9,FALSE()),"please select a BUG ID")</f>
        <v>please select a BUG ID</v>
      </c>
      <c r="E696" s="105"/>
      <c r="G696" s="54"/>
      <c r="H696" s="105"/>
    </row>
    <row r="697">
      <c r="A697" s="54"/>
      <c r="B697" s="88" t="str">
        <f>IFERROR(HYPERLINK(VLOOKUP(A697,Internal_lists_bugs!$A$2:$C$73,3,FALSE()), VLOOKUP(A697,Internal_lists_bugs!$A$2:$C$73,3,FALSE())&amp;Char(10) &amp; Char(10) &amp; VLOOKUP(A697,Internal_lists_bugs!$A$2:$Z$73,26,FALSE())),"please select a BUG ID")</f>
        <v>please select a BUG ID</v>
      </c>
      <c r="C697" s="51" t="str">
        <f>IFERROR(VLOOKUP(A697,Internal_lists_bugs!$A$2:$G1001,7,FALSE()),"please select a BUG ID")</f>
        <v>please select a BUG ID</v>
      </c>
      <c r="D697" s="51" t="str">
        <f>IFERROR(VLOOKUP(A697,Internal_lists_bugs!$A$2:$I1001,9,FALSE()),"please select a BUG ID")</f>
        <v>please select a BUG ID</v>
      </c>
      <c r="E697" s="105"/>
      <c r="G697" s="54"/>
      <c r="H697" s="105"/>
    </row>
    <row r="698">
      <c r="A698" s="54"/>
      <c r="B698" s="88" t="str">
        <f>IFERROR(HYPERLINK(VLOOKUP(A698,Internal_lists_bugs!$A$2:$C$73,3,FALSE()), VLOOKUP(A698,Internal_lists_bugs!$A$2:$C$73,3,FALSE())&amp;Char(10) &amp; Char(10) &amp; VLOOKUP(A698,Internal_lists_bugs!$A$2:$Z$73,26,FALSE())),"please select a BUG ID")</f>
        <v>please select a BUG ID</v>
      </c>
      <c r="C698" s="51" t="str">
        <f>IFERROR(VLOOKUP(A698,Internal_lists_bugs!$A$2:$G1001,7,FALSE()),"please select a BUG ID")</f>
        <v>please select a BUG ID</v>
      </c>
      <c r="D698" s="51" t="str">
        <f>IFERROR(VLOOKUP(A698,Internal_lists_bugs!$A$2:$I1001,9,FALSE()),"please select a BUG ID")</f>
        <v>please select a BUG ID</v>
      </c>
      <c r="E698" s="105"/>
      <c r="G698" s="54"/>
      <c r="H698" s="105"/>
    </row>
    <row r="699">
      <c r="A699" s="54"/>
      <c r="B699" s="88" t="str">
        <f>IFERROR(HYPERLINK(VLOOKUP(A699,Internal_lists_bugs!$A$2:$C$73,3,FALSE()), VLOOKUP(A699,Internal_lists_bugs!$A$2:$C$73,3,FALSE())&amp;Char(10) &amp; Char(10) &amp; VLOOKUP(A699,Internal_lists_bugs!$A$2:$Z$73,26,FALSE())),"please select a BUG ID")</f>
        <v>please select a BUG ID</v>
      </c>
      <c r="C699" s="51" t="str">
        <f>IFERROR(VLOOKUP(A699,Internal_lists_bugs!$A$2:$G1001,7,FALSE()),"please select a BUG ID")</f>
        <v>please select a BUG ID</v>
      </c>
      <c r="D699" s="51" t="str">
        <f>IFERROR(VLOOKUP(A699,Internal_lists_bugs!$A$2:$I1001,9,FALSE()),"please select a BUG ID")</f>
        <v>please select a BUG ID</v>
      </c>
      <c r="E699" s="105"/>
      <c r="G699" s="54"/>
      <c r="H699" s="105"/>
    </row>
    <row r="700">
      <c r="A700" s="54"/>
      <c r="B700" s="88" t="str">
        <f>IFERROR(HYPERLINK(VLOOKUP(A700,Internal_lists_bugs!$A$2:$C$73,3,FALSE()), VLOOKUP(A700,Internal_lists_bugs!$A$2:$C$73,3,FALSE())&amp;Char(10) &amp; Char(10) &amp; VLOOKUP(A700,Internal_lists_bugs!$A$2:$Z$73,26,FALSE())),"please select a BUG ID")</f>
        <v>please select a BUG ID</v>
      </c>
      <c r="C700" s="51" t="str">
        <f>IFERROR(VLOOKUP(A700,Internal_lists_bugs!$A$2:$G1001,7,FALSE()),"please select a BUG ID")</f>
        <v>please select a BUG ID</v>
      </c>
      <c r="D700" s="51" t="str">
        <f>IFERROR(VLOOKUP(A700,Internal_lists_bugs!$A$2:$I1001,9,FALSE()),"please select a BUG ID")</f>
        <v>please select a BUG ID</v>
      </c>
      <c r="E700" s="105"/>
      <c r="G700" s="54"/>
      <c r="H700" s="105"/>
    </row>
    <row r="701">
      <c r="A701" s="54"/>
      <c r="B701" s="88" t="str">
        <f>IFERROR(HYPERLINK(VLOOKUP(A701,Internal_lists_bugs!$A$2:$C$73,3,FALSE()), VLOOKUP(A701,Internal_lists_bugs!$A$2:$C$73,3,FALSE())&amp;Char(10) &amp; Char(10) &amp; VLOOKUP(A701,Internal_lists_bugs!$A$2:$Z$73,26,FALSE())),"please select a BUG ID")</f>
        <v>please select a BUG ID</v>
      </c>
      <c r="C701" s="51" t="str">
        <f>IFERROR(VLOOKUP(A701,Internal_lists_bugs!$A$2:$G1001,7,FALSE()),"please select a BUG ID")</f>
        <v>please select a BUG ID</v>
      </c>
      <c r="D701" s="51" t="str">
        <f>IFERROR(VLOOKUP(A701,Internal_lists_bugs!$A$2:$I1001,9,FALSE()),"please select a BUG ID")</f>
        <v>please select a BUG ID</v>
      </c>
      <c r="E701" s="105"/>
      <c r="G701" s="54"/>
      <c r="H701" s="105"/>
    </row>
    <row r="702">
      <c r="A702" s="54"/>
      <c r="B702" s="88" t="str">
        <f>IFERROR(HYPERLINK(VLOOKUP(A702,Internal_lists_bugs!$A$2:$C$73,3,FALSE()), VLOOKUP(A702,Internal_lists_bugs!$A$2:$C$73,3,FALSE())&amp;Char(10) &amp; Char(10) &amp; VLOOKUP(A702,Internal_lists_bugs!$A$2:$Z$73,26,FALSE())),"please select a BUG ID")</f>
        <v>please select a BUG ID</v>
      </c>
      <c r="C702" s="51" t="str">
        <f>IFERROR(VLOOKUP(A702,Internal_lists_bugs!$A$2:$G1001,7,FALSE()),"please select a BUG ID")</f>
        <v>please select a BUG ID</v>
      </c>
      <c r="D702" s="51" t="str">
        <f>IFERROR(VLOOKUP(A702,Internal_lists_bugs!$A$2:$I1001,9,FALSE()),"please select a BUG ID")</f>
        <v>please select a BUG ID</v>
      </c>
      <c r="E702" s="105"/>
      <c r="G702" s="54"/>
      <c r="H702" s="105"/>
    </row>
    <row r="703">
      <c r="A703" s="54"/>
      <c r="B703" s="88" t="str">
        <f>IFERROR(HYPERLINK(VLOOKUP(A703,Internal_lists_bugs!$A$2:$C$73,3,FALSE()), VLOOKUP(A703,Internal_lists_bugs!$A$2:$C$73,3,FALSE())&amp;Char(10) &amp; Char(10) &amp; VLOOKUP(A703,Internal_lists_bugs!$A$2:$Z$73,26,FALSE())),"please select a BUG ID")</f>
        <v>please select a BUG ID</v>
      </c>
      <c r="C703" s="51" t="str">
        <f>IFERROR(VLOOKUP(A703,Internal_lists_bugs!$A$2:$G1001,7,FALSE()),"please select a BUG ID")</f>
        <v>please select a BUG ID</v>
      </c>
      <c r="D703" s="51" t="str">
        <f>IFERROR(VLOOKUP(A703,Internal_lists_bugs!$A$2:$I1001,9,FALSE()),"please select a BUG ID")</f>
        <v>please select a BUG ID</v>
      </c>
      <c r="E703" s="105"/>
      <c r="G703" s="54"/>
      <c r="H703" s="105"/>
    </row>
    <row r="704">
      <c r="A704" s="54"/>
      <c r="B704" s="88" t="str">
        <f>IFERROR(HYPERLINK(VLOOKUP(A704,Internal_lists_bugs!$A$2:$C$73,3,FALSE()), VLOOKUP(A704,Internal_lists_bugs!$A$2:$C$73,3,FALSE())&amp;Char(10) &amp; Char(10) &amp; VLOOKUP(A704,Internal_lists_bugs!$A$2:$Z$73,26,FALSE())),"please select a BUG ID")</f>
        <v>please select a BUG ID</v>
      </c>
      <c r="C704" s="51" t="str">
        <f>IFERROR(VLOOKUP(A704,Internal_lists_bugs!$A$2:$G1001,7,FALSE()),"please select a BUG ID")</f>
        <v>please select a BUG ID</v>
      </c>
      <c r="D704" s="51" t="str">
        <f>IFERROR(VLOOKUP(A704,Internal_lists_bugs!$A$2:$I1001,9,FALSE()),"please select a BUG ID")</f>
        <v>please select a BUG ID</v>
      </c>
      <c r="E704" s="105"/>
      <c r="G704" s="54"/>
      <c r="H704" s="105"/>
    </row>
    <row r="705">
      <c r="A705" s="54"/>
      <c r="B705" s="88" t="str">
        <f>IFERROR(HYPERLINK(VLOOKUP(A705,Internal_lists_bugs!$A$2:$C$73,3,FALSE()), VLOOKUP(A705,Internal_lists_bugs!$A$2:$C$73,3,FALSE())&amp;Char(10) &amp; Char(10) &amp; VLOOKUP(A705,Internal_lists_bugs!$A$2:$Z$73,26,FALSE())),"please select a BUG ID")</f>
        <v>please select a BUG ID</v>
      </c>
      <c r="C705" s="51" t="str">
        <f>IFERROR(VLOOKUP(A705,Internal_lists_bugs!$A$2:$G1001,7,FALSE()),"please select a BUG ID")</f>
        <v>please select a BUG ID</v>
      </c>
      <c r="D705" s="51" t="str">
        <f>IFERROR(VLOOKUP(A705,Internal_lists_bugs!$A$2:$I1001,9,FALSE()),"please select a BUG ID")</f>
        <v>please select a BUG ID</v>
      </c>
      <c r="E705" s="105"/>
      <c r="G705" s="54"/>
      <c r="H705" s="105"/>
    </row>
    <row r="706">
      <c r="A706" s="54"/>
      <c r="B706" s="88" t="str">
        <f>IFERROR(HYPERLINK(VLOOKUP(A706,Internal_lists_bugs!$A$2:$C$73,3,FALSE()), VLOOKUP(A706,Internal_lists_bugs!$A$2:$C$73,3,FALSE())&amp;Char(10) &amp; Char(10) &amp; VLOOKUP(A706,Internal_lists_bugs!$A$2:$Z$73,26,FALSE())),"please select a BUG ID")</f>
        <v>please select a BUG ID</v>
      </c>
      <c r="C706" s="51" t="str">
        <f>IFERROR(VLOOKUP(A706,Internal_lists_bugs!$A$2:$G1001,7,FALSE()),"please select a BUG ID")</f>
        <v>please select a BUG ID</v>
      </c>
      <c r="D706" s="51" t="str">
        <f>IFERROR(VLOOKUP(A706,Internal_lists_bugs!$A$2:$I1001,9,FALSE()),"please select a BUG ID")</f>
        <v>please select a BUG ID</v>
      </c>
      <c r="E706" s="105"/>
      <c r="G706" s="54"/>
      <c r="H706" s="105"/>
    </row>
    <row r="707">
      <c r="A707" s="54"/>
      <c r="B707" s="88" t="str">
        <f>IFERROR(HYPERLINK(VLOOKUP(A707,Internal_lists_bugs!$A$2:$C$73,3,FALSE()), VLOOKUP(A707,Internal_lists_bugs!$A$2:$C$73,3,FALSE())&amp;Char(10) &amp; Char(10) &amp; VLOOKUP(A707,Internal_lists_bugs!$A$2:$Z$73,26,FALSE())),"please select a BUG ID")</f>
        <v>please select a BUG ID</v>
      </c>
      <c r="C707" s="51" t="str">
        <f>IFERROR(VLOOKUP(A707,Internal_lists_bugs!$A$2:$G1001,7,FALSE()),"please select a BUG ID")</f>
        <v>please select a BUG ID</v>
      </c>
      <c r="D707" s="51" t="str">
        <f>IFERROR(VLOOKUP(A707,Internal_lists_bugs!$A$2:$I1001,9,FALSE()),"please select a BUG ID")</f>
        <v>please select a BUG ID</v>
      </c>
      <c r="E707" s="105"/>
      <c r="G707" s="54"/>
      <c r="H707" s="105"/>
    </row>
    <row r="708">
      <c r="A708" s="54"/>
      <c r="B708" s="88" t="str">
        <f>IFERROR(HYPERLINK(VLOOKUP(A708,Internal_lists_bugs!$A$2:$C$73,3,FALSE()), VLOOKUP(A708,Internal_lists_bugs!$A$2:$C$73,3,FALSE())&amp;Char(10) &amp; Char(10) &amp; VLOOKUP(A708,Internal_lists_bugs!$A$2:$Z$73,26,FALSE())),"please select a BUG ID")</f>
        <v>please select a BUG ID</v>
      </c>
      <c r="C708" s="51" t="str">
        <f>IFERROR(VLOOKUP(A708,Internal_lists_bugs!$A$2:$G1001,7,FALSE()),"please select a BUG ID")</f>
        <v>please select a BUG ID</v>
      </c>
      <c r="D708" s="51" t="str">
        <f>IFERROR(VLOOKUP(A708,Internal_lists_bugs!$A$2:$I1001,9,FALSE()),"please select a BUG ID")</f>
        <v>please select a BUG ID</v>
      </c>
      <c r="E708" s="105"/>
      <c r="G708" s="54"/>
      <c r="H708" s="105"/>
    </row>
    <row r="709">
      <c r="A709" s="54"/>
      <c r="B709" s="88" t="str">
        <f>IFERROR(HYPERLINK(VLOOKUP(A709,Internal_lists_bugs!$A$2:$C$73,3,FALSE()), VLOOKUP(A709,Internal_lists_bugs!$A$2:$C$73,3,FALSE())&amp;Char(10) &amp; Char(10) &amp; VLOOKUP(A709,Internal_lists_bugs!$A$2:$Z$73,26,FALSE())),"please select a BUG ID")</f>
        <v>please select a BUG ID</v>
      </c>
      <c r="C709" s="51" t="str">
        <f>IFERROR(VLOOKUP(A709,Internal_lists_bugs!$A$2:$G1001,7,FALSE()),"please select a BUG ID")</f>
        <v>please select a BUG ID</v>
      </c>
      <c r="D709" s="51" t="str">
        <f>IFERROR(VLOOKUP(A709,Internal_lists_bugs!$A$2:$I1001,9,FALSE()),"please select a BUG ID")</f>
        <v>please select a BUG ID</v>
      </c>
      <c r="E709" s="105"/>
      <c r="G709" s="54"/>
      <c r="H709" s="105"/>
    </row>
    <row r="710">
      <c r="A710" s="54"/>
      <c r="B710" s="88" t="str">
        <f>IFERROR(HYPERLINK(VLOOKUP(A710,Internal_lists_bugs!$A$2:$C$73,3,FALSE()), VLOOKUP(A710,Internal_lists_bugs!$A$2:$C$73,3,FALSE())&amp;Char(10) &amp; Char(10) &amp; VLOOKUP(A710,Internal_lists_bugs!$A$2:$Z$73,26,FALSE())),"please select a BUG ID")</f>
        <v>please select a BUG ID</v>
      </c>
      <c r="C710" s="51" t="str">
        <f>IFERROR(VLOOKUP(A710,Internal_lists_bugs!$A$2:$G1001,7,FALSE()),"please select a BUG ID")</f>
        <v>please select a BUG ID</v>
      </c>
      <c r="D710" s="51" t="str">
        <f>IFERROR(VLOOKUP(A710,Internal_lists_bugs!$A$2:$I1001,9,FALSE()),"please select a BUG ID")</f>
        <v>please select a BUG ID</v>
      </c>
      <c r="E710" s="105"/>
      <c r="G710" s="54"/>
      <c r="H710" s="105"/>
    </row>
    <row r="711">
      <c r="A711" s="54"/>
      <c r="B711" s="88" t="str">
        <f>IFERROR(HYPERLINK(VLOOKUP(A711,Internal_lists_bugs!$A$2:$C$73,3,FALSE()), VLOOKUP(A711,Internal_lists_bugs!$A$2:$C$73,3,FALSE())&amp;Char(10) &amp; Char(10) &amp; VLOOKUP(A711,Internal_lists_bugs!$A$2:$Z$73,26,FALSE())),"please select a BUG ID")</f>
        <v>please select a BUG ID</v>
      </c>
      <c r="C711" s="51" t="str">
        <f>IFERROR(VLOOKUP(A711,Internal_lists_bugs!$A$2:$G1001,7,FALSE()),"please select a BUG ID")</f>
        <v>please select a BUG ID</v>
      </c>
      <c r="D711" s="51" t="str">
        <f>IFERROR(VLOOKUP(A711,Internal_lists_bugs!$A$2:$I1001,9,FALSE()),"please select a BUG ID")</f>
        <v>please select a BUG ID</v>
      </c>
      <c r="E711" s="105"/>
      <c r="G711" s="54"/>
      <c r="H711" s="105"/>
    </row>
    <row r="712">
      <c r="A712" s="54"/>
      <c r="B712" s="88" t="str">
        <f>IFERROR(HYPERLINK(VLOOKUP(A712,Internal_lists_bugs!$A$2:$C$73,3,FALSE()), VLOOKUP(A712,Internal_lists_bugs!$A$2:$C$73,3,FALSE())&amp;Char(10) &amp; Char(10) &amp; VLOOKUP(A712,Internal_lists_bugs!$A$2:$Z$73,26,FALSE())),"please select a BUG ID")</f>
        <v>please select a BUG ID</v>
      </c>
      <c r="C712" s="51" t="str">
        <f>IFERROR(VLOOKUP(A712,Internal_lists_bugs!$A$2:$G1001,7,FALSE()),"please select a BUG ID")</f>
        <v>please select a BUG ID</v>
      </c>
      <c r="D712" s="51" t="str">
        <f>IFERROR(VLOOKUP(A712,Internal_lists_bugs!$A$2:$I1001,9,FALSE()),"please select a BUG ID")</f>
        <v>please select a BUG ID</v>
      </c>
      <c r="E712" s="105"/>
      <c r="G712" s="54"/>
      <c r="H712" s="105"/>
    </row>
    <row r="713">
      <c r="A713" s="54"/>
      <c r="B713" s="88" t="str">
        <f>IFERROR(HYPERLINK(VLOOKUP(A713,Internal_lists_bugs!$A$2:$C$73,3,FALSE()), VLOOKUP(A713,Internal_lists_bugs!$A$2:$C$73,3,FALSE())&amp;Char(10) &amp; Char(10) &amp; VLOOKUP(A713,Internal_lists_bugs!$A$2:$Z$73,26,FALSE())),"please select a BUG ID")</f>
        <v>please select a BUG ID</v>
      </c>
      <c r="C713" s="51" t="str">
        <f>IFERROR(VLOOKUP(A713,Internal_lists_bugs!$A$2:$G1001,7,FALSE()),"please select a BUG ID")</f>
        <v>please select a BUG ID</v>
      </c>
      <c r="D713" s="51" t="str">
        <f>IFERROR(VLOOKUP(A713,Internal_lists_bugs!$A$2:$I1001,9,FALSE()),"please select a BUG ID")</f>
        <v>please select a BUG ID</v>
      </c>
      <c r="E713" s="105"/>
      <c r="G713" s="54"/>
      <c r="H713" s="105"/>
    </row>
    <row r="714">
      <c r="A714" s="54"/>
      <c r="B714" s="88" t="str">
        <f>IFERROR(HYPERLINK(VLOOKUP(A714,Internal_lists_bugs!$A$2:$C$73,3,FALSE()), VLOOKUP(A714,Internal_lists_bugs!$A$2:$C$73,3,FALSE())&amp;Char(10) &amp; Char(10) &amp; VLOOKUP(A714,Internal_lists_bugs!$A$2:$Z$73,26,FALSE())),"please select a BUG ID")</f>
        <v>please select a BUG ID</v>
      </c>
      <c r="C714" s="51" t="str">
        <f>IFERROR(VLOOKUP(A714,Internal_lists_bugs!$A$2:$G1001,7,FALSE()),"please select a BUG ID")</f>
        <v>please select a BUG ID</v>
      </c>
      <c r="D714" s="51" t="str">
        <f>IFERROR(VLOOKUP(A714,Internal_lists_bugs!$A$2:$I1001,9,FALSE()),"please select a BUG ID")</f>
        <v>please select a BUG ID</v>
      </c>
      <c r="E714" s="105"/>
      <c r="G714" s="54"/>
      <c r="H714" s="105"/>
    </row>
    <row r="715">
      <c r="A715" s="54"/>
      <c r="B715" s="88" t="str">
        <f>IFERROR(HYPERLINK(VLOOKUP(A715,Internal_lists_bugs!$A$2:$C$73,3,FALSE()), VLOOKUP(A715,Internal_lists_bugs!$A$2:$C$73,3,FALSE())&amp;Char(10) &amp; Char(10) &amp; VLOOKUP(A715,Internal_lists_bugs!$A$2:$Z$73,26,FALSE())),"please select a BUG ID")</f>
        <v>please select a BUG ID</v>
      </c>
      <c r="C715" s="51" t="str">
        <f>IFERROR(VLOOKUP(A715,Internal_lists_bugs!$A$2:$G1001,7,FALSE()),"please select a BUG ID")</f>
        <v>please select a BUG ID</v>
      </c>
      <c r="D715" s="51" t="str">
        <f>IFERROR(VLOOKUP(A715,Internal_lists_bugs!$A$2:$I1001,9,FALSE()),"please select a BUG ID")</f>
        <v>please select a BUG ID</v>
      </c>
      <c r="E715" s="105"/>
      <c r="G715" s="54"/>
      <c r="H715" s="105"/>
    </row>
    <row r="716">
      <c r="A716" s="54"/>
      <c r="B716" s="88" t="str">
        <f>IFERROR(HYPERLINK(VLOOKUP(A716,Internal_lists_bugs!$A$2:$C$73,3,FALSE()), VLOOKUP(A716,Internal_lists_bugs!$A$2:$C$73,3,FALSE())&amp;Char(10) &amp; Char(10) &amp; VLOOKUP(A716,Internal_lists_bugs!$A$2:$Z$73,26,FALSE())),"please select a BUG ID")</f>
        <v>please select a BUG ID</v>
      </c>
      <c r="C716" s="51" t="str">
        <f>IFERROR(VLOOKUP(A716,Internal_lists_bugs!$A$2:$G1001,7,FALSE()),"please select a BUG ID")</f>
        <v>please select a BUG ID</v>
      </c>
      <c r="D716" s="51" t="str">
        <f>IFERROR(VLOOKUP(A716,Internal_lists_bugs!$A$2:$I1001,9,FALSE()),"please select a BUG ID")</f>
        <v>please select a BUG ID</v>
      </c>
      <c r="E716" s="105"/>
      <c r="G716" s="54"/>
      <c r="H716" s="105"/>
    </row>
    <row r="717">
      <c r="A717" s="54"/>
      <c r="B717" s="88" t="str">
        <f>IFERROR(HYPERLINK(VLOOKUP(A717,Internal_lists_bugs!$A$2:$C$73,3,FALSE()), VLOOKUP(A717,Internal_lists_bugs!$A$2:$C$73,3,FALSE())&amp;Char(10) &amp; Char(10) &amp; VLOOKUP(A717,Internal_lists_bugs!$A$2:$Z$73,26,FALSE())),"please select a BUG ID")</f>
        <v>please select a BUG ID</v>
      </c>
      <c r="C717" s="51" t="str">
        <f>IFERROR(VLOOKUP(A717,Internal_lists_bugs!$A$2:$G1001,7,FALSE()),"please select a BUG ID")</f>
        <v>please select a BUG ID</v>
      </c>
      <c r="D717" s="51" t="str">
        <f>IFERROR(VLOOKUP(A717,Internal_lists_bugs!$A$2:$I1001,9,FALSE()),"please select a BUG ID")</f>
        <v>please select a BUG ID</v>
      </c>
      <c r="E717" s="105"/>
      <c r="G717" s="54"/>
      <c r="H717" s="105"/>
    </row>
    <row r="718">
      <c r="A718" s="54"/>
      <c r="B718" s="88" t="str">
        <f>IFERROR(HYPERLINK(VLOOKUP(A718,Internal_lists_bugs!$A$2:$C$73,3,FALSE()), VLOOKUP(A718,Internal_lists_bugs!$A$2:$C$73,3,FALSE())&amp;Char(10) &amp; Char(10) &amp; VLOOKUP(A718,Internal_lists_bugs!$A$2:$Z$73,26,FALSE())),"please select a BUG ID")</f>
        <v>please select a BUG ID</v>
      </c>
      <c r="C718" s="51" t="str">
        <f>IFERROR(VLOOKUP(A718,Internal_lists_bugs!$A$2:$G1001,7,FALSE()),"please select a BUG ID")</f>
        <v>please select a BUG ID</v>
      </c>
      <c r="D718" s="51" t="str">
        <f>IFERROR(VLOOKUP(A718,Internal_lists_bugs!$A$2:$I1001,9,FALSE()),"please select a BUG ID")</f>
        <v>please select a BUG ID</v>
      </c>
      <c r="E718" s="105"/>
      <c r="G718" s="54"/>
      <c r="H718" s="105"/>
    </row>
    <row r="719">
      <c r="A719" s="54"/>
      <c r="B719" s="88" t="str">
        <f>IFERROR(HYPERLINK(VLOOKUP(A719,Internal_lists_bugs!$A$2:$C$73,3,FALSE()), VLOOKUP(A719,Internal_lists_bugs!$A$2:$C$73,3,FALSE())&amp;Char(10) &amp; Char(10) &amp; VLOOKUP(A719,Internal_lists_bugs!$A$2:$Z$73,26,FALSE())),"please select a BUG ID")</f>
        <v>please select a BUG ID</v>
      </c>
      <c r="C719" s="51" t="str">
        <f>IFERROR(VLOOKUP(A719,Internal_lists_bugs!$A$2:$G1001,7,FALSE()),"please select a BUG ID")</f>
        <v>please select a BUG ID</v>
      </c>
      <c r="D719" s="51" t="str">
        <f>IFERROR(VLOOKUP(A719,Internal_lists_bugs!$A$2:$I1001,9,FALSE()),"please select a BUG ID")</f>
        <v>please select a BUG ID</v>
      </c>
      <c r="E719" s="105"/>
      <c r="G719" s="54"/>
      <c r="H719" s="105"/>
    </row>
    <row r="720">
      <c r="A720" s="54"/>
      <c r="B720" s="88" t="str">
        <f>IFERROR(HYPERLINK(VLOOKUP(A720,Internal_lists_bugs!$A$2:$C$73,3,FALSE()), VLOOKUP(A720,Internal_lists_bugs!$A$2:$C$73,3,FALSE())&amp;Char(10) &amp; Char(10) &amp; VLOOKUP(A720,Internal_lists_bugs!$A$2:$Z$73,26,FALSE())),"please select a BUG ID")</f>
        <v>please select a BUG ID</v>
      </c>
      <c r="C720" s="51" t="str">
        <f>IFERROR(VLOOKUP(A720,Internal_lists_bugs!$A$2:$G1001,7,FALSE()),"please select a BUG ID")</f>
        <v>please select a BUG ID</v>
      </c>
      <c r="D720" s="51" t="str">
        <f>IFERROR(VLOOKUP(A720,Internal_lists_bugs!$A$2:$I1001,9,FALSE()),"please select a BUG ID")</f>
        <v>please select a BUG ID</v>
      </c>
      <c r="E720" s="105"/>
      <c r="G720" s="54"/>
      <c r="H720" s="105"/>
    </row>
    <row r="721">
      <c r="A721" s="54"/>
      <c r="B721" s="88" t="str">
        <f>IFERROR(HYPERLINK(VLOOKUP(A721,Internal_lists_bugs!$A$2:$C$73,3,FALSE()), VLOOKUP(A721,Internal_lists_bugs!$A$2:$C$73,3,FALSE())&amp;Char(10) &amp; Char(10) &amp; VLOOKUP(A721,Internal_lists_bugs!$A$2:$Z$73,26,FALSE())),"please select a BUG ID")</f>
        <v>please select a BUG ID</v>
      </c>
      <c r="C721" s="51" t="str">
        <f>IFERROR(VLOOKUP(A721,Internal_lists_bugs!$A$2:$G1001,7,FALSE()),"please select a BUG ID")</f>
        <v>please select a BUG ID</v>
      </c>
      <c r="D721" s="51" t="str">
        <f>IFERROR(VLOOKUP(A721,Internal_lists_bugs!$A$2:$I1001,9,FALSE()),"please select a BUG ID")</f>
        <v>please select a BUG ID</v>
      </c>
      <c r="E721" s="105"/>
      <c r="G721" s="54"/>
      <c r="H721" s="105"/>
    </row>
    <row r="722">
      <c r="A722" s="54"/>
      <c r="B722" s="88" t="str">
        <f>IFERROR(HYPERLINK(VLOOKUP(A722,Internal_lists_bugs!$A$2:$C$73,3,FALSE()), VLOOKUP(A722,Internal_lists_bugs!$A$2:$C$73,3,FALSE())&amp;Char(10) &amp; Char(10) &amp; VLOOKUP(A722,Internal_lists_bugs!$A$2:$Z$73,26,FALSE())),"please select a BUG ID")</f>
        <v>please select a BUG ID</v>
      </c>
      <c r="C722" s="51" t="str">
        <f>IFERROR(VLOOKUP(A722,Internal_lists_bugs!$A$2:$G1001,7,FALSE()),"please select a BUG ID")</f>
        <v>please select a BUG ID</v>
      </c>
      <c r="D722" s="51" t="str">
        <f>IFERROR(VLOOKUP(A722,Internal_lists_bugs!$A$2:$I1001,9,FALSE()),"please select a BUG ID")</f>
        <v>please select a BUG ID</v>
      </c>
      <c r="E722" s="105"/>
      <c r="G722" s="54"/>
      <c r="H722" s="105"/>
    </row>
    <row r="723">
      <c r="A723" s="54"/>
      <c r="B723" s="88" t="str">
        <f>IFERROR(HYPERLINK(VLOOKUP(A723,Internal_lists_bugs!$A$2:$C$73,3,FALSE()), VLOOKUP(A723,Internal_lists_bugs!$A$2:$C$73,3,FALSE())&amp;Char(10) &amp; Char(10) &amp; VLOOKUP(A723,Internal_lists_bugs!$A$2:$Z$73,26,FALSE())),"please select a BUG ID")</f>
        <v>please select a BUG ID</v>
      </c>
      <c r="C723" s="51" t="str">
        <f>IFERROR(VLOOKUP(A723,Internal_lists_bugs!$A$2:$G1001,7,FALSE()),"please select a BUG ID")</f>
        <v>please select a BUG ID</v>
      </c>
      <c r="D723" s="51" t="str">
        <f>IFERROR(VLOOKUP(A723,Internal_lists_bugs!$A$2:$I1001,9,FALSE()),"please select a BUG ID")</f>
        <v>please select a BUG ID</v>
      </c>
      <c r="E723" s="105"/>
      <c r="G723" s="54"/>
      <c r="H723" s="105"/>
    </row>
    <row r="724">
      <c r="A724" s="54"/>
      <c r="B724" s="88" t="str">
        <f>IFERROR(HYPERLINK(VLOOKUP(A724,Internal_lists_bugs!$A$2:$C$73,3,FALSE()), VLOOKUP(A724,Internal_lists_bugs!$A$2:$C$73,3,FALSE())&amp;Char(10) &amp; Char(10) &amp; VLOOKUP(A724,Internal_lists_bugs!$A$2:$Z$73,26,FALSE())),"please select a BUG ID")</f>
        <v>please select a BUG ID</v>
      </c>
      <c r="C724" s="51" t="str">
        <f>IFERROR(VLOOKUP(A724,Internal_lists_bugs!$A$2:$G1001,7,FALSE()),"please select a BUG ID")</f>
        <v>please select a BUG ID</v>
      </c>
      <c r="D724" s="51" t="str">
        <f>IFERROR(VLOOKUP(A724,Internal_lists_bugs!$A$2:$I1001,9,FALSE()),"please select a BUG ID")</f>
        <v>please select a BUG ID</v>
      </c>
      <c r="E724" s="105"/>
      <c r="G724" s="54"/>
      <c r="H724" s="105"/>
    </row>
    <row r="725">
      <c r="A725" s="54"/>
      <c r="B725" s="88" t="str">
        <f>IFERROR(HYPERLINK(VLOOKUP(A725,Internal_lists_bugs!$A$2:$C$73,3,FALSE()), VLOOKUP(A725,Internal_lists_bugs!$A$2:$C$73,3,FALSE())&amp;Char(10) &amp; Char(10) &amp; VLOOKUP(A725,Internal_lists_bugs!$A$2:$Z$73,26,FALSE())),"please select a BUG ID")</f>
        <v>please select a BUG ID</v>
      </c>
      <c r="C725" s="51" t="str">
        <f>IFERROR(VLOOKUP(A725,Internal_lists_bugs!$A$2:$G1001,7,FALSE()),"please select a BUG ID")</f>
        <v>please select a BUG ID</v>
      </c>
      <c r="D725" s="51" t="str">
        <f>IFERROR(VLOOKUP(A725,Internal_lists_bugs!$A$2:$I1001,9,FALSE()),"please select a BUG ID")</f>
        <v>please select a BUG ID</v>
      </c>
      <c r="E725" s="105"/>
      <c r="G725" s="54"/>
      <c r="H725" s="105"/>
    </row>
    <row r="726">
      <c r="A726" s="54"/>
      <c r="B726" s="88" t="str">
        <f>IFERROR(HYPERLINK(VLOOKUP(A726,Internal_lists_bugs!$A$2:$C$73,3,FALSE()), VLOOKUP(A726,Internal_lists_bugs!$A$2:$C$73,3,FALSE())&amp;Char(10) &amp; Char(10) &amp; VLOOKUP(A726,Internal_lists_bugs!$A$2:$Z$73,26,FALSE())),"please select a BUG ID")</f>
        <v>please select a BUG ID</v>
      </c>
      <c r="C726" s="51" t="str">
        <f>IFERROR(VLOOKUP(A726,Internal_lists_bugs!$A$2:$G1001,7,FALSE()),"please select a BUG ID")</f>
        <v>please select a BUG ID</v>
      </c>
      <c r="D726" s="51" t="str">
        <f>IFERROR(VLOOKUP(A726,Internal_lists_bugs!$A$2:$I1001,9,FALSE()),"please select a BUG ID")</f>
        <v>please select a BUG ID</v>
      </c>
      <c r="E726" s="105"/>
      <c r="G726" s="54"/>
      <c r="H726" s="105"/>
    </row>
    <row r="727">
      <c r="A727" s="54"/>
      <c r="B727" s="88" t="str">
        <f>IFERROR(HYPERLINK(VLOOKUP(A727,Internal_lists_bugs!$A$2:$C$73,3,FALSE()), VLOOKUP(A727,Internal_lists_bugs!$A$2:$C$73,3,FALSE())&amp;Char(10) &amp; Char(10) &amp; VLOOKUP(A727,Internal_lists_bugs!$A$2:$Z$73,26,FALSE())),"please select a BUG ID")</f>
        <v>please select a BUG ID</v>
      </c>
      <c r="C727" s="51" t="str">
        <f>IFERROR(VLOOKUP(A727,Internal_lists_bugs!$A$2:$G1001,7,FALSE()),"please select a BUG ID")</f>
        <v>please select a BUG ID</v>
      </c>
      <c r="D727" s="51" t="str">
        <f>IFERROR(VLOOKUP(A727,Internal_lists_bugs!$A$2:$I1001,9,FALSE()),"please select a BUG ID")</f>
        <v>please select a BUG ID</v>
      </c>
      <c r="E727" s="105"/>
      <c r="G727" s="54"/>
      <c r="H727" s="105"/>
    </row>
    <row r="728">
      <c r="A728" s="54"/>
      <c r="B728" s="88" t="str">
        <f>IFERROR(HYPERLINK(VLOOKUP(A728,Internal_lists_bugs!$A$2:$C$73,3,FALSE()), VLOOKUP(A728,Internal_lists_bugs!$A$2:$C$73,3,FALSE())&amp;Char(10) &amp; Char(10) &amp; VLOOKUP(A728,Internal_lists_bugs!$A$2:$Z$73,26,FALSE())),"please select a BUG ID")</f>
        <v>please select a BUG ID</v>
      </c>
      <c r="C728" s="51" t="str">
        <f>IFERROR(VLOOKUP(A728,Internal_lists_bugs!$A$2:$G1001,7,FALSE()),"please select a BUG ID")</f>
        <v>please select a BUG ID</v>
      </c>
      <c r="D728" s="51" t="str">
        <f>IFERROR(VLOOKUP(A728,Internal_lists_bugs!$A$2:$I1001,9,FALSE()),"please select a BUG ID")</f>
        <v>please select a BUG ID</v>
      </c>
      <c r="E728" s="105"/>
      <c r="G728" s="54"/>
      <c r="H728" s="105"/>
    </row>
    <row r="729">
      <c r="A729" s="54"/>
      <c r="B729" s="88" t="str">
        <f>IFERROR(HYPERLINK(VLOOKUP(A729,Internal_lists_bugs!$A$2:$C$73,3,FALSE()), VLOOKUP(A729,Internal_lists_bugs!$A$2:$C$73,3,FALSE())&amp;Char(10) &amp; Char(10) &amp; VLOOKUP(A729,Internal_lists_bugs!$A$2:$Z$73,26,FALSE())),"please select a BUG ID")</f>
        <v>please select a BUG ID</v>
      </c>
      <c r="C729" s="51" t="str">
        <f>IFERROR(VLOOKUP(A729,Internal_lists_bugs!$A$2:$G1001,7,FALSE()),"please select a BUG ID")</f>
        <v>please select a BUG ID</v>
      </c>
      <c r="D729" s="51" t="str">
        <f>IFERROR(VLOOKUP(A729,Internal_lists_bugs!$A$2:$I1001,9,FALSE()),"please select a BUG ID")</f>
        <v>please select a BUG ID</v>
      </c>
      <c r="E729" s="105"/>
      <c r="G729" s="54"/>
      <c r="H729" s="105"/>
    </row>
    <row r="730">
      <c r="A730" s="54"/>
      <c r="B730" s="88" t="str">
        <f>IFERROR(HYPERLINK(VLOOKUP(A730,Internal_lists_bugs!$A$2:$C$73,3,FALSE()), VLOOKUP(A730,Internal_lists_bugs!$A$2:$C$73,3,FALSE())&amp;Char(10) &amp; Char(10) &amp; VLOOKUP(A730,Internal_lists_bugs!$A$2:$Z$73,26,FALSE())),"please select a BUG ID")</f>
        <v>please select a BUG ID</v>
      </c>
      <c r="C730" s="51" t="str">
        <f>IFERROR(VLOOKUP(A730,Internal_lists_bugs!$A$2:$G1001,7,FALSE()),"please select a BUG ID")</f>
        <v>please select a BUG ID</v>
      </c>
      <c r="D730" s="51" t="str">
        <f>IFERROR(VLOOKUP(A730,Internal_lists_bugs!$A$2:$I1001,9,FALSE()),"please select a BUG ID")</f>
        <v>please select a BUG ID</v>
      </c>
      <c r="E730" s="105"/>
      <c r="G730" s="54"/>
      <c r="H730" s="105"/>
    </row>
    <row r="731">
      <c r="A731" s="54"/>
      <c r="B731" s="88" t="str">
        <f>IFERROR(HYPERLINK(VLOOKUP(A731,Internal_lists_bugs!$A$2:$C$73,3,FALSE()), VLOOKUP(A731,Internal_lists_bugs!$A$2:$C$73,3,FALSE())&amp;Char(10) &amp; Char(10) &amp; VLOOKUP(A731,Internal_lists_bugs!$A$2:$Z$73,26,FALSE())),"please select a BUG ID")</f>
        <v>please select a BUG ID</v>
      </c>
      <c r="C731" s="51" t="str">
        <f>IFERROR(VLOOKUP(A731,Internal_lists_bugs!$A$2:$G1001,7,FALSE()),"please select a BUG ID")</f>
        <v>please select a BUG ID</v>
      </c>
      <c r="D731" s="51" t="str">
        <f>IFERROR(VLOOKUP(A731,Internal_lists_bugs!$A$2:$I1001,9,FALSE()),"please select a BUG ID")</f>
        <v>please select a BUG ID</v>
      </c>
      <c r="E731" s="105"/>
      <c r="G731" s="54"/>
      <c r="H731" s="105"/>
    </row>
    <row r="732">
      <c r="A732" s="54"/>
      <c r="B732" s="88" t="str">
        <f>IFERROR(HYPERLINK(VLOOKUP(A732,Internal_lists_bugs!$A$2:$C$73,3,FALSE()), VLOOKUP(A732,Internal_lists_bugs!$A$2:$C$73,3,FALSE())&amp;Char(10) &amp; Char(10) &amp; VLOOKUP(A732,Internal_lists_bugs!$A$2:$Z$73,26,FALSE())),"please select a BUG ID")</f>
        <v>please select a BUG ID</v>
      </c>
      <c r="C732" s="51" t="str">
        <f>IFERROR(VLOOKUP(A732,Internal_lists_bugs!$A$2:$G1001,7,FALSE()),"please select a BUG ID")</f>
        <v>please select a BUG ID</v>
      </c>
      <c r="D732" s="51" t="str">
        <f>IFERROR(VLOOKUP(A732,Internal_lists_bugs!$A$2:$I1001,9,FALSE()),"please select a BUG ID")</f>
        <v>please select a BUG ID</v>
      </c>
      <c r="E732" s="105"/>
      <c r="G732" s="54"/>
      <c r="H732" s="105"/>
    </row>
    <row r="733">
      <c r="A733" s="54"/>
      <c r="B733" s="88" t="str">
        <f>IFERROR(HYPERLINK(VLOOKUP(A733,Internal_lists_bugs!$A$2:$C$73,3,FALSE()), VLOOKUP(A733,Internal_lists_bugs!$A$2:$C$73,3,FALSE())&amp;Char(10) &amp; Char(10) &amp; VLOOKUP(A733,Internal_lists_bugs!$A$2:$Z$73,26,FALSE())),"please select a BUG ID")</f>
        <v>please select a BUG ID</v>
      </c>
      <c r="C733" s="51" t="str">
        <f>IFERROR(VLOOKUP(A733,Internal_lists_bugs!$A$2:$G1001,7,FALSE()),"please select a BUG ID")</f>
        <v>please select a BUG ID</v>
      </c>
      <c r="D733" s="51" t="str">
        <f>IFERROR(VLOOKUP(A733,Internal_lists_bugs!$A$2:$I1001,9,FALSE()),"please select a BUG ID")</f>
        <v>please select a BUG ID</v>
      </c>
      <c r="E733" s="105"/>
      <c r="G733" s="54"/>
      <c r="H733" s="105"/>
    </row>
    <row r="734">
      <c r="A734" s="54"/>
      <c r="B734" s="88" t="str">
        <f>IFERROR(HYPERLINK(VLOOKUP(A734,Internal_lists_bugs!$A$2:$C$73,3,FALSE()), VLOOKUP(A734,Internal_lists_bugs!$A$2:$C$73,3,FALSE())&amp;Char(10) &amp; Char(10) &amp; VLOOKUP(A734,Internal_lists_bugs!$A$2:$Z$73,26,FALSE())),"please select a BUG ID")</f>
        <v>please select a BUG ID</v>
      </c>
      <c r="C734" s="51" t="str">
        <f>IFERROR(VLOOKUP(A734,Internal_lists_bugs!$A$2:$G1001,7,FALSE()),"please select a BUG ID")</f>
        <v>please select a BUG ID</v>
      </c>
      <c r="D734" s="51" t="str">
        <f>IFERROR(VLOOKUP(A734,Internal_lists_bugs!$A$2:$I1001,9,FALSE()),"please select a BUG ID")</f>
        <v>please select a BUG ID</v>
      </c>
      <c r="E734" s="105"/>
      <c r="G734" s="54"/>
      <c r="H734" s="105"/>
    </row>
    <row r="735">
      <c r="A735" s="54"/>
      <c r="B735" s="88" t="str">
        <f>IFERROR(HYPERLINK(VLOOKUP(A735,Internal_lists_bugs!$A$2:$C$73,3,FALSE()), VLOOKUP(A735,Internal_lists_bugs!$A$2:$C$73,3,FALSE())&amp;Char(10) &amp; Char(10) &amp; VLOOKUP(A735,Internal_lists_bugs!$A$2:$Z$73,26,FALSE())),"please select a BUG ID")</f>
        <v>please select a BUG ID</v>
      </c>
      <c r="C735" s="51" t="str">
        <f>IFERROR(VLOOKUP(A735,Internal_lists_bugs!$A$2:$G1001,7,FALSE()),"please select a BUG ID")</f>
        <v>please select a BUG ID</v>
      </c>
      <c r="D735" s="51" t="str">
        <f>IFERROR(VLOOKUP(A735,Internal_lists_bugs!$A$2:$I1001,9,FALSE()),"please select a BUG ID")</f>
        <v>please select a BUG ID</v>
      </c>
      <c r="E735" s="105"/>
      <c r="G735" s="54"/>
      <c r="H735" s="105"/>
    </row>
    <row r="736">
      <c r="A736" s="54"/>
      <c r="B736" s="88" t="str">
        <f>IFERROR(HYPERLINK(VLOOKUP(A736,Internal_lists_bugs!$A$2:$C$73,3,FALSE()), VLOOKUP(A736,Internal_lists_bugs!$A$2:$C$73,3,FALSE())&amp;Char(10) &amp; Char(10) &amp; VLOOKUP(A736,Internal_lists_bugs!$A$2:$Z$73,26,FALSE())),"please select a BUG ID")</f>
        <v>please select a BUG ID</v>
      </c>
      <c r="C736" s="51" t="str">
        <f>IFERROR(VLOOKUP(A736,Internal_lists_bugs!$A$2:$G1001,7,FALSE()),"please select a BUG ID")</f>
        <v>please select a BUG ID</v>
      </c>
      <c r="D736" s="51" t="str">
        <f>IFERROR(VLOOKUP(A736,Internal_lists_bugs!$A$2:$I1001,9,FALSE()),"please select a BUG ID")</f>
        <v>please select a BUG ID</v>
      </c>
      <c r="E736" s="105"/>
      <c r="G736" s="54"/>
      <c r="H736" s="105"/>
    </row>
    <row r="737">
      <c r="A737" s="54"/>
      <c r="B737" s="88" t="str">
        <f>IFERROR(HYPERLINK(VLOOKUP(A737,Internal_lists_bugs!$A$2:$C$73,3,FALSE()), VLOOKUP(A737,Internal_lists_bugs!$A$2:$C$73,3,FALSE())&amp;Char(10) &amp; Char(10) &amp; VLOOKUP(A737,Internal_lists_bugs!$A$2:$Z$73,26,FALSE())),"please select a BUG ID")</f>
        <v>please select a BUG ID</v>
      </c>
      <c r="C737" s="51" t="str">
        <f>IFERROR(VLOOKUP(A737,Internal_lists_bugs!$A$2:$G1001,7,FALSE()),"please select a BUG ID")</f>
        <v>please select a BUG ID</v>
      </c>
      <c r="D737" s="51" t="str">
        <f>IFERROR(VLOOKUP(A737,Internal_lists_bugs!$A$2:$I1001,9,FALSE()),"please select a BUG ID")</f>
        <v>please select a BUG ID</v>
      </c>
      <c r="E737" s="105"/>
      <c r="G737" s="54"/>
      <c r="H737" s="105"/>
    </row>
    <row r="738">
      <c r="A738" s="54"/>
      <c r="B738" s="88" t="str">
        <f>IFERROR(HYPERLINK(VLOOKUP(A738,Internal_lists_bugs!$A$2:$C$73,3,FALSE()), VLOOKUP(A738,Internal_lists_bugs!$A$2:$C$73,3,FALSE())&amp;Char(10) &amp; Char(10) &amp; VLOOKUP(A738,Internal_lists_bugs!$A$2:$Z$73,26,FALSE())),"please select a BUG ID")</f>
        <v>please select a BUG ID</v>
      </c>
      <c r="C738" s="51" t="str">
        <f>IFERROR(VLOOKUP(A738,Internal_lists_bugs!$A$2:$G1001,7,FALSE()),"please select a BUG ID")</f>
        <v>please select a BUG ID</v>
      </c>
      <c r="D738" s="51" t="str">
        <f>IFERROR(VLOOKUP(A738,Internal_lists_bugs!$A$2:$I1001,9,FALSE()),"please select a BUG ID")</f>
        <v>please select a BUG ID</v>
      </c>
      <c r="E738" s="105"/>
      <c r="G738" s="54"/>
      <c r="H738" s="105"/>
    </row>
    <row r="739">
      <c r="A739" s="54"/>
      <c r="B739" s="88" t="str">
        <f>IFERROR(HYPERLINK(VLOOKUP(A739,Internal_lists_bugs!$A$2:$C$73,3,FALSE()), VLOOKUP(A739,Internal_lists_bugs!$A$2:$C$73,3,FALSE())&amp;Char(10) &amp; Char(10) &amp; VLOOKUP(A739,Internal_lists_bugs!$A$2:$Z$73,26,FALSE())),"please select a BUG ID")</f>
        <v>please select a BUG ID</v>
      </c>
      <c r="C739" s="51" t="str">
        <f>IFERROR(VLOOKUP(A739,Internal_lists_bugs!$A$2:$G1001,7,FALSE()),"please select a BUG ID")</f>
        <v>please select a BUG ID</v>
      </c>
      <c r="D739" s="51" t="str">
        <f>IFERROR(VLOOKUP(A739,Internal_lists_bugs!$A$2:$I1001,9,FALSE()),"please select a BUG ID")</f>
        <v>please select a BUG ID</v>
      </c>
      <c r="E739" s="105"/>
      <c r="G739" s="54"/>
      <c r="H739" s="105"/>
    </row>
    <row r="740">
      <c r="A740" s="54"/>
      <c r="B740" s="88" t="str">
        <f>IFERROR(HYPERLINK(VLOOKUP(A740,Internal_lists_bugs!$A$2:$C$73,3,FALSE()), VLOOKUP(A740,Internal_lists_bugs!$A$2:$C$73,3,FALSE())&amp;Char(10) &amp; Char(10) &amp; VLOOKUP(A740,Internal_lists_bugs!$A$2:$Z$73,26,FALSE())),"please select a BUG ID")</f>
        <v>please select a BUG ID</v>
      </c>
      <c r="C740" s="51" t="str">
        <f>IFERROR(VLOOKUP(A740,Internal_lists_bugs!$A$2:$G1001,7,FALSE()),"please select a BUG ID")</f>
        <v>please select a BUG ID</v>
      </c>
      <c r="D740" s="51" t="str">
        <f>IFERROR(VLOOKUP(A740,Internal_lists_bugs!$A$2:$I1001,9,FALSE()),"please select a BUG ID")</f>
        <v>please select a BUG ID</v>
      </c>
      <c r="E740" s="105"/>
      <c r="G740" s="54"/>
      <c r="H740" s="105"/>
    </row>
    <row r="741">
      <c r="A741" s="54"/>
      <c r="B741" s="88" t="str">
        <f>IFERROR(HYPERLINK(VLOOKUP(A741,Internal_lists_bugs!$A$2:$C$73,3,FALSE()), VLOOKUP(A741,Internal_lists_bugs!$A$2:$C$73,3,FALSE())&amp;Char(10) &amp; Char(10) &amp; VLOOKUP(A741,Internal_lists_bugs!$A$2:$Z$73,26,FALSE())),"please select a BUG ID")</f>
        <v>please select a BUG ID</v>
      </c>
      <c r="C741" s="51" t="str">
        <f>IFERROR(VLOOKUP(A741,Internal_lists_bugs!$A$2:$G1001,7,FALSE()),"please select a BUG ID")</f>
        <v>please select a BUG ID</v>
      </c>
      <c r="D741" s="51" t="str">
        <f>IFERROR(VLOOKUP(A741,Internal_lists_bugs!$A$2:$I1001,9,FALSE()),"please select a BUG ID")</f>
        <v>please select a BUG ID</v>
      </c>
      <c r="E741" s="105"/>
      <c r="G741" s="54"/>
      <c r="H741" s="105"/>
    </row>
    <row r="742">
      <c r="A742" s="54"/>
      <c r="B742" s="88" t="str">
        <f>IFERROR(HYPERLINK(VLOOKUP(A742,Internal_lists_bugs!$A$2:$C$73,3,FALSE()), VLOOKUP(A742,Internal_lists_bugs!$A$2:$C$73,3,FALSE())&amp;Char(10) &amp; Char(10) &amp; VLOOKUP(A742,Internal_lists_bugs!$A$2:$Z$73,26,FALSE())),"please select a BUG ID")</f>
        <v>please select a BUG ID</v>
      </c>
      <c r="C742" s="51" t="str">
        <f>IFERROR(VLOOKUP(A742,Internal_lists_bugs!$A$2:$G1001,7,FALSE()),"please select a BUG ID")</f>
        <v>please select a BUG ID</v>
      </c>
      <c r="D742" s="51" t="str">
        <f>IFERROR(VLOOKUP(A742,Internal_lists_bugs!$A$2:$I1001,9,FALSE()),"please select a BUG ID")</f>
        <v>please select a BUG ID</v>
      </c>
      <c r="E742" s="105"/>
      <c r="G742" s="54"/>
      <c r="H742" s="105"/>
    </row>
    <row r="743">
      <c r="A743" s="54"/>
      <c r="B743" s="88" t="str">
        <f>IFERROR(HYPERLINK(VLOOKUP(A743,Internal_lists_bugs!$A$2:$C$73,3,FALSE()), VLOOKUP(A743,Internal_lists_bugs!$A$2:$C$73,3,FALSE())&amp;Char(10) &amp; Char(10) &amp; VLOOKUP(A743,Internal_lists_bugs!$A$2:$Z$73,26,FALSE())),"please select a BUG ID")</f>
        <v>please select a BUG ID</v>
      </c>
      <c r="C743" s="51" t="str">
        <f>IFERROR(VLOOKUP(A743,Internal_lists_bugs!$A$2:$G1001,7,FALSE()),"please select a BUG ID")</f>
        <v>please select a BUG ID</v>
      </c>
      <c r="D743" s="51" t="str">
        <f>IFERROR(VLOOKUP(A743,Internal_lists_bugs!$A$2:$I1001,9,FALSE()),"please select a BUG ID")</f>
        <v>please select a BUG ID</v>
      </c>
      <c r="E743" s="105"/>
      <c r="G743" s="54"/>
      <c r="H743" s="105"/>
    </row>
    <row r="744">
      <c r="A744" s="54"/>
      <c r="B744" s="88" t="str">
        <f>IFERROR(HYPERLINK(VLOOKUP(A744,Internal_lists_bugs!$A$2:$C$73,3,FALSE()), VLOOKUP(A744,Internal_lists_bugs!$A$2:$C$73,3,FALSE())&amp;Char(10) &amp; Char(10) &amp; VLOOKUP(A744,Internal_lists_bugs!$A$2:$Z$73,26,FALSE())),"please select a BUG ID")</f>
        <v>please select a BUG ID</v>
      </c>
      <c r="C744" s="51" t="str">
        <f>IFERROR(VLOOKUP(A744,Internal_lists_bugs!$A$2:$G1001,7,FALSE()),"please select a BUG ID")</f>
        <v>please select a BUG ID</v>
      </c>
      <c r="D744" s="51" t="str">
        <f>IFERROR(VLOOKUP(A744,Internal_lists_bugs!$A$2:$I1001,9,FALSE()),"please select a BUG ID")</f>
        <v>please select a BUG ID</v>
      </c>
      <c r="E744" s="105"/>
      <c r="G744" s="54"/>
      <c r="H744" s="105"/>
    </row>
    <row r="745">
      <c r="A745" s="54"/>
      <c r="B745" s="88" t="str">
        <f>IFERROR(HYPERLINK(VLOOKUP(A745,Internal_lists_bugs!$A$2:$C$73,3,FALSE()), VLOOKUP(A745,Internal_lists_bugs!$A$2:$C$73,3,FALSE())&amp;Char(10) &amp; Char(10) &amp; VLOOKUP(A745,Internal_lists_bugs!$A$2:$Z$73,26,FALSE())),"please select a BUG ID")</f>
        <v>please select a BUG ID</v>
      </c>
      <c r="C745" s="51" t="str">
        <f>IFERROR(VLOOKUP(A745,Internal_lists_bugs!$A$2:$G1001,7,FALSE()),"please select a BUG ID")</f>
        <v>please select a BUG ID</v>
      </c>
      <c r="D745" s="51" t="str">
        <f>IFERROR(VLOOKUP(A745,Internal_lists_bugs!$A$2:$I1001,9,FALSE()),"please select a BUG ID")</f>
        <v>please select a BUG ID</v>
      </c>
      <c r="E745" s="105"/>
      <c r="G745" s="54"/>
      <c r="H745" s="105"/>
    </row>
    <row r="746">
      <c r="A746" s="54"/>
      <c r="B746" s="88" t="str">
        <f>IFERROR(HYPERLINK(VLOOKUP(A746,Internal_lists_bugs!$A$2:$C$73,3,FALSE()), VLOOKUP(A746,Internal_lists_bugs!$A$2:$C$73,3,FALSE())&amp;Char(10) &amp; Char(10) &amp; VLOOKUP(A746,Internal_lists_bugs!$A$2:$Z$73,26,FALSE())),"please select a BUG ID")</f>
        <v>please select a BUG ID</v>
      </c>
      <c r="C746" s="51" t="str">
        <f>IFERROR(VLOOKUP(A746,Internal_lists_bugs!$A$2:$G1001,7,FALSE()),"please select a BUG ID")</f>
        <v>please select a BUG ID</v>
      </c>
      <c r="D746" s="51" t="str">
        <f>IFERROR(VLOOKUP(A746,Internal_lists_bugs!$A$2:$I1001,9,FALSE()),"please select a BUG ID")</f>
        <v>please select a BUG ID</v>
      </c>
      <c r="E746" s="105"/>
      <c r="G746" s="54"/>
      <c r="H746" s="105"/>
    </row>
    <row r="747">
      <c r="A747" s="54"/>
      <c r="B747" s="88" t="str">
        <f>IFERROR(HYPERLINK(VLOOKUP(A747,Internal_lists_bugs!$A$2:$C$73,3,FALSE()), VLOOKUP(A747,Internal_lists_bugs!$A$2:$C$73,3,FALSE())&amp;Char(10) &amp; Char(10) &amp; VLOOKUP(A747,Internal_lists_bugs!$A$2:$Z$73,26,FALSE())),"please select a BUG ID")</f>
        <v>please select a BUG ID</v>
      </c>
      <c r="C747" s="51" t="str">
        <f>IFERROR(VLOOKUP(A747,Internal_lists_bugs!$A$2:$G1001,7,FALSE()),"please select a BUG ID")</f>
        <v>please select a BUG ID</v>
      </c>
      <c r="D747" s="51" t="str">
        <f>IFERROR(VLOOKUP(A747,Internal_lists_bugs!$A$2:$I1001,9,FALSE()),"please select a BUG ID")</f>
        <v>please select a BUG ID</v>
      </c>
      <c r="E747" s="105"/>
      <c r="G747" s="54"/>
      <c r="H747" s="105"/>
    </row>
    <row r="748">
      <c r="A748" s="54"/>
      <c r="B748" s="88" t="str">
        <f>IFERROR(HYPERLINK(VLOOKUP(A748,Internal_lists_bugs!$A$2:$C$73,3,FALSE()), VLOOKUP(A748,Internal_lists_bugs!$A$2:$C$73,3,FALSE())&amp;Char(10) &amp; Char(10) &amp; VLOOKUP(A748,Internal_lists_bugs!$A$2:$Z$73,26,FALSE())),"please select a BUG ID")</f>
        <v>please select a BUG ID</v>
      </c>
      <c r="C748" s="51" t="str">
        <f>IFERROR(VLOOKUP(A748,Internal_lists_bugs!$A$2:$G1001,7,FALSE()),"please select a BUG ID")</f>
        <v>please select a BUG ID</v>
      </c>
      <c r="D748" s="51" t="str">
        <f>IFERROR(VLOOKUP(A748,Internal_lists_bugs!$A$2:$I1001,9,FALSE()),"please select a BUG ID")</f>
        <v>please select a BUG ID</v>
      </c>
      <c r="E748" s="105"/>
      <c r="G748" s="54"/>
      <c r="H748" s="105"/>
    </row>
    <row r="749">
      <c r="A749" s="54"/>
      <c r="B749" s="88" t="str">
        <f>IFERROR(HYPERLINK(VLOOKUP(A749,Internal_lists_bugs!$A$2:$C$73,3,FALSE()), VLOOKUP(A749,Internal_lists_bugs!$A$2:$C$73,3,FALSE())&amp;Char(10) &amp; Char(10) &amp; VLOOKUP(A749,Internal_lists_bugs!$A$2:$Z$73,26,FALSE())),"please select a BUG ID")</f>
        <v>please select a BUG ID</v>
      </c>
      <c r="C749" s="51" t="str">
        <f>IFERROR(VLOOKUP(A749,Internal_lists_bugs!$A$2:$G1001,7,FALSE()),"please select a BUG ID")</f>
        <v>please select a BUG ID</v>
      </c>
      <c r="D749" s="51" t="str">
        <f>IFERROR(VLOOKUP(A749,Internal_lists_bugs!$A$2:$I1001,9,FALSE()),"please select a BUG ID")</f>
        <v>please select a BUG ID</v>
      </c>
      <c r="E749" s="105"/>
      <c r="G749" s="54"/>
      <c r="H749" s="105"/>
    </row>
    <row r="750">
      <c r="A750" s="54"/>
      <c r="B750" s="88" t="str">
        <f>IFERROR(HYPERLINK(VLOOKUP(A750,Internal_lists_bugs!$A$2:$C$73,3,FALSE()), VLOOKUP(A750,Internal_lists_bugs!$A$2:$C$73,3,FALSE())&amp;Char(10) &amp; Char(10) &amp; VLOOKUP(A750,Internal_lists_bugs!$A$2:$Z$73,26,FALSE())),"please select a BUG ID")</f>
        <v>please select a BUG ID</v>
      </c>
      <c r="C750" s="51" t="str">
        <f>IFERROR(VLOOKUP(A750,Internal_lists_bugs!$A$2:$G1001,7,FALSE()),"please select a BUG ID")</f>
        <v>please select a BUG ID</v>
      </c>
      <c r="D750" s="51" t="str">
        <f>IFERROR(VLOOKUP(A750,Internal_lists_bugs!$A$2:$I1001,9,FALSE()),"please select a BUG ID")</f>
        <v>please select a BUG ID</v>
      </c>
      <c r="E750" s="105"/>
      <c r="G750" s="54"/>
      <c r="H750" s="105"/>
    </row>
    <row r="751">
      <c r="A751" s="54"/>
      <c r="B751" s="88" t="str">
        <f>IFERROR(HYPERLINK(VLOOKUP(A751,Internal_lists_bugs!$A$2:$C$73,3,FALSE()), VLOOKUP(A751,Internal_lists_bugs!$A$2:$C$73,3,FALSE())&amp;Char(10) &amp; Char(10) &amp; VLOOKUP(A751,Internal_lists_bugs!$A$2:$Z$73,26,FALSE())),"please select a BUG ID")</f>
        <v>please select a BUG ID</v>
      </c>
      <c r="C751" s="51" t="str">
        <f>IFERROR(VLOOKUP(A751,Internal_lists_bugs!$A$2:$G1001,7,FALSE()),"please select a BUG ID")</f>
        <v>please select a BUG ID</v>
      </c>
      <c r="D751" s="51" t="str">
        <f>IFERROR(VLOOKUP(A751,Internal_lists_bugs!$A$2:$I1001,9,FALSE()),"please select a BUG ID")</f>
        <v>please select a BUG ID</v>
      </c>
      <c r="E751" s="105"/>
      <c r="G751" s="54"/>
      <c r="H751" s="105"/>
    </row>
    <row r="752">
      <c r="A752" s="54"/>
      <c r="B752" s="88" t="str">
        <f>IFERROR(HYPERLINK(VLOOKUP(A752,Internal_lists_bugs!$A$2:$C$73,3,FALSE()), VLOOKUP(A752,Internal_lists_bugs!$A$2:$C$73,3,FALSE())&amp;Char(10) &amp; Char(10) &amp; VLOOKUP(A752,Internal_lists_bugs!$A$2:$Z$73,26,FALSE())),"please select a BUG ID")</f>
        <v>please select a BUG ID</v>
      </c>
      <c r="C752" s="51" t="str">
        <f>IFERROR(VLOOKUP(A752,Internal_lists_bugs!$A$2:$G1001,7,FALSE()),"please select a BUG ID")</f>
        <v>please select a BUG ID</v>
      </c>
      <c r="D752" s="51" t="str">
        <f>IFERROR(VLOOKUP(A752,Internal_lists_bugs!$A$2:$I1001,9,FALSE()),"please select a BUG ID")</f>
        <v>please select a BUG ID</v>
      </c>
      <c r="E752" s="105"/>
      <c r="G752" s="54"/>
      <c r="H752" s="105"/>
    </row>
    <row r="753">
      <c r="A753" s="54"/>
      <c r="B753" s="88" t="str">
        <f>IFERROR(HYPERLINK(VLOOKUP(A753,Internal_lists_bugs!$A$2:$C$73,3,FALSE()), VLOOKUP(A753,Internal_lists_bugs!$A$2:$C$73,3,FALSE())&amp;Char(10) &amp; Char(10) &amp; VLOOKUP(A753,Internal_lists_bugs!$A$2:$Z$73,26,FALSE())),"please select a BUG ID")</f>
        <v>please select a BUG ID</v>
      </c>
      <c r="C753" s="51" t="str">
        <f>IFERROR(VLOOKUP(A753,Internal_lists_bugs!$A$2:$G1001,7,FALSE()),"please select a BUG ID")</f>
        <v>please select a BUG ID</v>
      </c>
      <c r="D753" s="51" t="str">
        <f>IFERROR(VLOOKUP(A753,Internal_lists_bugs!$A$2:$I1001,9,FALSE()),"please select a BUG ID")</f>
        <v>please select a BUG ID</v>
      </c>
      <c r="E753" s="105"/>
      <c r="G753" s="54"/>
      <c r="H753" s="105"/>
    </row>
    <row r="754">
      <c r="A754" s="54"/>
      <c r="B754" s="88" t="str">
        <f>IFERROR(HYPERLINK(VLOOKUP(A754,Internal_lists_bugs!$A$2:$C$73,3,FALSE()), VLOOKUP(A754,Internal_lists_bugs!$A$2:$C$73,3,FALSE())&amp;Char(10) &amp; Char(10) &amp; VLOOKUP(A754,Internal_lists_bugs!$A$2:$Z$73,26,FALSE())),"please select a BUG ID")</f>
        <v>please select a BUG ID</v>
      </c>
      <c r="C754" s="51" t="str">
        <f>IFERROR(VLOOKUP(A754,Internal_lists_bugs!$A$2:$G1001,7,FALSE()),"please select a BUG ID")</f>
        <v>please select a BUG ID</v>
      </c>
      <c r="D754" s="51" t="str">
        <f>IFERROR(VLOOKUP(A754,Internal_lists_bugs!$A$2:$I1001,9,FALSE()),"please select a BUG ID")</f>
        <v>please select a BUG ID</v>
      </c>
      <c r="E754" s="105"/>
      <c r="G754" s="54"/>
      <c r="H754" s="105"/>
    </row>
    <row r="755">
      <c r="A755" s="54"/>
      <c r="B755" s="88" t="str">
        <f>IFERROR(HYPERLINK(VLOOKUP(A755,Internal_lists_bugs!$A$2:$C$73,3,FALSE()), VLOOKUP(A755,Internal_lists_bugs!$A$2:$C$73,3,FALSE())&amp;Char(10) &amp; Char(10) &amp; VLOOKUP(A755,Internal_lists_bugs!$A$2:$Z$73,26,FALSE())),"please select a BUG ID")</f>
        <v>please select a BUG ID</v>
      </c>
      <c r="C755" s="51" t="str">
        <f>IFERROR(VLOOKUP(A755,Internal_lists_bugs!$A$2:$G1001,7,FALSE()),"please select a BUG ID")</f>
        <v>please select a BUG ID</v>
      </c>
      <c r="D755" s="51" t="str">
        <f>IFERROR(VLOOKUP(A755,Internal_lists_bugs!$A$2:$I1001,9,FALSE()),"please select a BUG ID")</f>
        <v>please select a BUG ID</v>
      </c>
      <c r="E755" s="105"/>
      <c r="G755" s="54"/>
      <c r="H755" s="105"/>
    </row>
    <row r="756">
      <c r="A756" s="54"/>
      <c r="B756" s="88" t="str">
        <f>IFERROR(HYPERLINK(VLOOKUP(A756,Internal_lists_bugs!$A$2:$C$73,3,FALSE()), VLOOKUP(A756,Internal_lists_bugs!$A$2:$C$73,3,FALSE())&amp;Char(10) &amp; Char(10) &amp; VLOOKUP(A756,Internal_lists_bugs!$A$2:$Z$73,26,FALSE())),"please select a BUG ID")</f>
        <v>please select a BUG ID</v>
      </c>
      <c r="C756" s="51" t="str">
        <f>IFERROR(VLOOKUP(A756,Internal_lists_bugs!$A$2:$G1001,7,FALSE()),"please select a BUG ID")</f>
        <v>please select a BUG ID</v>
      </c>
      <c r="D756" s="51" t="str">
        <f>IFERROR(VLOOKUP(A756,Internal_lists_bugs!$A$2:$I1001,9,FALSE()),"please select a BUG ID")</f>
        <v>please select a BUG ID</v>
      </c>
      <c r="E756" s="105"/>
      <c r="G756" s="54"/>
      <c r="H756" s="105"/>
    </row>
    <row r="757">
      <c r="A757" s="54"/>
      <c r="B757" s="88" t="str">
        <f>IFERROR(HYPERLINK(VLOOKUP(A757,Internal_lists_bugs!$A$2:$C$73,3,FALSE()), VLOOKUP(A757,Internal_lists_bugs!$A$2:$C$73,3,FALSE())&amp;Char(10) &amp; Char(10) &amp; VLOOKUP(A757,Internal_lists_bugs!$A$2:$Z$73,26,FALSE())),"please select a BUG ID")</f>
        <v>please select a BUG ID</v>
      </c>
      <c r="C757" s="51" t="str">
        <f>IFERROR(VLOOKUP(A757,Internal_lists_bugs!$A$2:$G1001,7,FALSE()),"please select a BUG ID")</f>
        <v>please select a BUG ID</v>
      </c>
      <c r="D757" s="51" t="str">
        <f>IFERROR(VLOOKUP(A757,Internal_lists_bugs!$A$2:$I1001,9,FALSE()),"please select a BUG ID")</f>
        <v>please select a BUG ID</v>
      </c>
      <c r="E757" s="105"/>
      <c r="G757" s="54"/>
      <c r="H757" s="105"/>
    </row>
    <row r="758">
      <c r="A758" s="54"/>
      <c r="B758" s="88" t="str">
        <f>IFERROR(HYPERLINK(VLOOKUP(A758,Internal_lists_bugs!$A$2:$C$73,3,FALSE()), VLOOKUP(A758,Internal_lists_bugs!$A$2:$C$73,3,FALSE())&amp;Char(10) &amp; Char(10) &amp; VLOOKUP(A758,Internal_lists_bugs!$A$2:$Z$73,26,FALSE())),"please select a BUG ID")</f>
        <v>please select a BUG ID</v>
      </c>
      <c r="C758" s="51" t="str">
        <f>IFERROR(VLOOKUP(A758,Internal_lists_bugs!$A$2:$G1001,7,FALSE()),"please select a BUG ID")</f>
        <v>please select a BUG ID</v>
      </c>
      <c r="D758" s="51" t="str">
        <f>IFERROR(VLOOKUP(A758,Internal_lists_bugs!$A$2:$I1001,9,FALSE()),"please select a BUG ID")</f>
        <v>please select a BUG ID</v>
      </c>
      <c r="E758" s="105"/>
      <c r="G758" s="54"/>
      <c r="H758" s="105"/>
    </row>
    <row r="759">
      <c r="A759" s="54"/>
      <c r="B759" s="88" t="str">
        <f>IFERROR(HYPERLINK(VLOOKUP(A759,Internal_lists_bugs!$A$2:$C$73,3,FALSE()), VLOOKUP(A759,Internal_lists_bugs!$A$2:$C$73,3,FALSE())&amp;Char(10) &amp; Char(10) &amp; VLOOKUP(A759,Internal_lists_bugs!$A$2:$Z$73,26,FALSE())),"please select a BUG ID")</f>
        <v>please select a BUG ID</v>
      </c>
      <c r="C759" s="51" t="str">
        <f>IFERROR(VLOOKUP(A759,Internal_lists_bugs!$A$2:$G1001,7,FALSE()),"please select a BUG ID")</f>
        <v>please select a BUG ID</v>
      </c>
      <c r="D759" s="51" t="str">
        <f>IFERROR(VLOOKUP(A759,Internal_lists_bugs!$A$2:$I1001,9,FALSE()),"please select a BUG ID")</f>
        <v>please select a BUG ID</v>
      </c>
      <c r="E759" s="105"/>
      <c r="G759" s="54"/>
      <c r="H759" s="105"/>
    </row>
    <row r="760">
      <c r="A760" s="54"/>
      <c r="B760" s="88" t="str">
        <f>IFERROR(HYPERLINK(VLOOKUP(A760,Internal_lists_bugs!$A$2:$C$73,3,FALSE()), VLOOKUP(A760,Internal_lists_bugs!$A$2:$C$73,3,FALSE())&amp;Char(10) &amp; Char(10) &amp; VLOOKUP(A760,Internal_lists_bugs!$A$2:$Z$73,26,FALSE())),"please select a BUG ID")</f>
        <v>please select a BUG ID</v>
      </c>
      <c r="C760" s="51" t="str">
        <f>IFERROR(VLOOKUP(A760,Internal_lists_bugs!$A$2:$G1001,7,FALSE()),"please select a BUG ID")</f>
        <v>please select a BUG ID</v>
      </c>
      <c r="D760" s="51" t="str">
        <f>IFERROR(VLOOKUP(A760,Internal_lists_bugs!$A$2:$I1001,9,FALSE()),"please select a BUG ID")</f>
        <v>please select a BUG ID</v>
      </c>
      <c r="E760" s="105"/>
      <c r="G760" s="54"/>
      <c r="H760" s="105"/>
    </row>
    <row r="761">
      <c r="A761" s="54"/>
      <c r="B761" s="88" t="str">
        <f>IFERROR(HYPERLINK(VLOOKUP(A761,Internal_lists_bugs!$A$2:$C$73,3,FALSE()), VLOOKUP(A761,Internal_lists_bugs!$A$2:$C$73,3,FALSE())&amp;Char(10) &amp; Char(10) &amp; VLOOKUP(A761,Internal_lists_bugs!$A$2:$Z$73,26,FALSE())),"please select a BUG ID")</f>
        <v>please select a BUG ID</v>
      </c>
      <c r="C761" s="51" t="str">
        <f>IFERROR(VLOOKUP(A761,Internal_lists_bugs!$A$2:$G1001,7,FALSE()),"please select a BUG ID")</f>
        <v>please select a BUG ID</v>
      </c>
      <c r="D761" s="51" t="str">
        <f>IFERROR(VLOOKUP(A761,Internal_lists_bugs!$A$2:$I1001,9,FALSE()),"please select a BUG ID")</f>
        <v>please select a BUG ID</v>
      </c>
      <c r="E761" s="105"/>
      <c r="G761" s="54"/>
      <c r="H761" s="105"/>
    </row>
    <row r="762">
      <c r="A762" s="54"/>
      <c r="B762" s="88" t="str">
        <f>IFERROR(HYPERLINK(VLOOKUP(A762,Internal_lists_bugs!$A$2:$C$73,3,FALSE()), VLOOKUP(A762,Internal_lists_bugs!$A$2:$C$73,3,FALSE())&amp;Char(10) &amp; Char(10) &amp; VLOOKUP(A762,Internal_lists_bugs!$A$2:$Z$73,26,FALSE())),"please select a BUG ID")</f>
        <v>please select a BUG ID</v>
      </c>
      <c r="C762" s="51" t="str">
        <f>IFERROR(VLOOKUP(A762,Internal_lists_bugs!$A$2:$G1001,7,FALSE()),"please select a BUG ID")</f>
        <v>please select a BUG ID</v>
      </c>
      <c r="D762" s="51" t="str">
        <f>IFERROR(VLOOKUP(A762,Internal_lists_bugs!$A$2:$I1001,9,FALSE()),"please select a BUG ID")</f>
        <v>please select a BUG ID</v>
      </c>
      <c r="E762" s="105"/>
      <c r="G762" s="54"/>
      <c r="H762" s="105"/>
    </row>
    <row r="763">
      <c r="A763" s="54"/>
      <c r="B763" s="88" t="str">
        <f>IFERROR(HYPERLINK(VLOOKUP(A763,Internal_lists_bugs!$A$2:$C$73,3,FALSE()), VLOOKUP(A763,Internal_lists_bugs!$A$2:$C$73,3,FALSE())&amp;Char(10) &amp; Char(10) &amp; VLOOKUP(A763,Internal_lists_bugs!$A$2:$Z$73,26,FALSE())),"please select a BUG ID")</f>
        <v>please select a BUG ID</v>
      </c>
      <c r="C763" s="51" t="str">
        <f>IFERROR(VLOOKUP(A763,Internal_lists_bugs!$A$2:$G1001,7,FALSE()),"please select a BUG ID")</f>
        <v>please select a BUG ID</v>
      </c>
      <c r="D763" s="51" t="str">
        <f>IFERROR(VLOOKUP(A763,Internal_lists_bugs!$A$2:$I1001,9,FALSE()),"please select a BUG ID")</f>
        <v>please select a BUG ID</v>
      </c>
      <c r="E763" s="105"/>
      <c r="G763" s="54"/>
      <c r="H763" s="105"/>
    </row>
    <row r="764">
      <c r="A764" s="54"/>
      <c r="B764" s="88" t="str">
        <f>IFERROR(HYPERLINK(VLOOKUP(A764,Internal_lists_bugs!$A$2:$C$73,3,FALSE()), VLOOKUP(A764,Internal_lists_bugs!$A$2:$C$73,3,FALSE())&amp;Char(10) &amp; Char(10) &amp; VLOOKUP(A764,Internal_lists_bugs!$A$2:$Z$73,26,FALSE())),"please select a BUG ID")</f>
        <v>please select a BUG ID</v>
      </c>
      <c r="C764" s="51" t="str">
        <f>IFERROR(VLOOKUP(A764,Internal_lists_bugs!$A$2:$G1001,7,FALSE()),"please select a BUG ID")</f>
        <v>please select a BUG ID</v>
      </c>
      <c r="D764" s="51" t="str">
        <f>IFERROR(VLOOKUP(A764,Internal_lists_bugs!$A$2:$I1001,9,FALSE()),"please select a BUG ID")</f>
        <v>please select a BUG ID</v>
      </c>
      <c r="E764" s="105"/>
      <c r="G764" s="54"/>
      <c r="H764" s="105"/>
    </row>
    <row r="765">
      <c r="A765" s="54"/>
      <c r="B765" s="88" t="str">
        <f>IFERROR(HYPERLINK(VLOOKUP(A765,Internal_lists_bugs!$A$2:$C$73,3,FALSE()), VLOOKUP(A765,Internal_lists_bugs!$A$2:$C$73,3,FALSE())&amp;Char(10) &amp; Char(10) &amp; VLOOKUP(A765,Internal_lists_bugs!$A$2:$Z$73,26,FALSE())),"please select a BUG ID")</f>
        <v>please select a BUG ID</v>
      </c>
      <c r="C765" s="51" t="str">
        <f>IFERROR(VLOOKUP(A765,Internal_lists_bugs!$A$2:$G1001,7,FALSE()),"please select a BUG ID")</f>
        <v>please select a BUG ID</v>
      </c>
      <c r="D765" s="51" t="str">
        <f>IFERROR(VLOOKUP(A765,Internal_lists_bugs!$A$2:$I1001,9,FALSE()),"please select a BUG ID")</f>
        <v>please select a BUG ID</v>
      </c>
      <c r="E765" s="105"/>
      <c r="G765" s="54"/>
      <c r="H765" s="105"/>
    </row>
    <row r="766">
      <c r="A766" s="54"/>
      <c r="B766" s="88" t="str">
        <f>IFERROR(HYPERLINK(VLOOKUP(A766,Internal_lists_bugs!$A$2:$C$73,3,FALSE()), VLOOKUP(A766,Internal_lists_bugs!$A$2:$C$73,3,FALSE())&amp;Char(10) &amp; Char(10) &amp; VLOOKUP(A766,Internal_lists_bugs!$A$2:$Z$73,26,FALSE())),"please select a BUG ID")</f>
        <v>please select a BUG ID</v>
      </c>
      <c r="C766" s="51" t="str">
        <f>IFERROR(VLOOKUP(A766,Internal_lists_bugs!$A$2:$G1001,7,FALSE()),"please select a BUG ID")</f>
        <v>please select a BUG ID</v>
      </c>
      <c r="D766" s="51" t="str">
        <f>IFERROR(VLOOKUP(A766,Internal_lists_bugs!$A$2:$I1001,9,FALSE()),"please select a BUG ID")</f>
        <v>please select a BUG ID</v>
      </c>
      <c r="E766" s="105"/>
      <c r="G766" s="54"/>
      <c r="H766" s="105"/>
    </row>
    <row r="767">
      <c r="A767" s="54"/>
      <c r="B767" s="88" t="str">
        <f>IFERROR(HYPERLINK(VLOOKUP(A767,Internal_lists_bugs!$A$2:$C$73,3,FALSE()), VLOOKUP(A767,Internal_lists_bugs!$A$2:$C$73,3,FALSE())&amp;Char(10) &amp; Char(10) &amp; VLOOKUP(A767,Internal_lists_bugs!$A$2:$Z$73,26,FALSE())),"please select a BUG ID")</f>
        <v>please select a BUG ID</v>
      </c>
      <c r="C767" s="51" t="str">
        <f>IFERROR(VLOOKUP(A767,Internal_lists_bugs!$A$2:$G1001,7,FALSE()),"please select a BUG ID")</f>
        <v>please select a BUG ID</v>
      </c>
      <c r="D767" s="51" t="str">
        <f>IFERROR(VLOOKUP(A767,Internal_lists_bugs!$A$2:$I1001,9,FALSE()),"please select a BUG ID")</f>
        <v>please select a BUG ID</v>
      </c>
      <c r="E767" s="105"/>
      <c r="G767" s="54"/>
      <c r="H767" s="105"/>
    </row>
    <row r="768">
      <c r="A768" s="54"/>
      <c r="B768" s="88" t="str">
        <f>IFERROR(HYPERLINK(VLOOKUP(A768,Internal_lists_bugs!$A$2:$C$73,3,FALSE()), VLOOKUP(A768,Internal_lists_bugs!$A$2:$C$73,3,FALSE())&amp;Char(10) &amp; Char(10) &amp; VLOOKUP(A768,Internal_lists_bugs!$A$2:$Z$73,26,FALSE())),"please select a BUG ID")</f>
        <v>please select a BUG ID</v>
      </c>
      <c r="C768" s="51" t="str">
        <f>IFERROR(VLOOKUP(A768,Internal_lists_bugs!$A$2:$G1001,7,FALSE()),"please select a BUG ID")</f>
        <v>please select a BUG ID</v>
      </c>
      <c r="D768" s="51" t="str">
        <f>IFERROR(VLOOKUP(A768,Internal_lists_bugs!$A$2:$I1001,9,FALSE()),"please select a BUG ID")</f>
        <v>please select a BUG ID</v>
      </c>
      <c r="E768" s="105"/>
      <c r="G768" s="54"/>
      <c r="H768" s="105"/>
    </row>
    <row r="769">
      <c r="A769" s="54"/>
      <c r="B769" s="88" t="str">
        <f>IFERROR(HYPERLINK(VLOOKUP(A769,Internal_lists_bugs!$A$2:$C$73,3,FALSE()), VLOOKUP(A769,Internal_lists_bugs!$A$2:$C$73,3,FALSE())&amp;Char(10) &amp; Char(10) &amp; VLOOKUP(A769,Internal_lists_bugs!$A$2:$Z$73,26,FALSE())),"please select a BUG ID")</f>
        <v>please select a BUG ID</v>
      </c>
      <c r="C769" s="51" t="str">
        <f>IFERROR(VLOOKUP(A769,Internal_lists_bugs!$A$2:$G1001,7,FALSE()),"please select a BUG ID")</f>
        <v>please select a BUG ID</v>
      </c>
      <c r="D769" s="51" t="str">
        <f>IFERROR(VLOOKUP(A769,Internal_lists_bugs!$A$2:$I1001,9,FALSE()),"please select a BUG ID")</f>
        <v>please select a BUG ID</v>
      </c>
      <c r="E769" s="105"/>
      <c r="G769" s="54"/>
      <c r="H769" s="105"/>
    </row>
    <row r="770">
      <c r="A770" s="54"/>
      <c r="B770" s="88" t="str">
        <f>IFERROR(HYPERLINK(VLOOKUP(A770,Internal_lists_bugs!$A$2:$C$73,3,FALSE()), VLOOKUP(A770,Internal_lists_bugs!$A$2:$C$73,3,FALSE())&amp;Char(10) &amp; Char(10) &amp; VLOOKUP(A770,Internal_lists_bugs!$A$2:$Z$73,26,FALSE())),"please select a BUG ID")</f>
        <v>please select a BUG ID</v>
      </c>
      <c r="C770" s="51" t="str">
        <f>IFERROR(VLOOKUP(A770,Internal_lists_bugs!$A$2:$G1001,7,FALSE()),"please select a BUG ID")</f>
        <v>please select a BUG ID</v>
      </c>
      <c r="D770" s="51" t="str">
        <f>IFERROR(VLOOKUP(A770,Internal_lists_bugs!$A$2:$I1001,9,FALSE()),"please select a BUG ID")</f>
        <v>please select a BUG ID</v>
      </c>
      <c r="E770" s="105"/>
      <c r="G770" s="54"/>
      <c r="H770" s="105"/>
    </row>
    <row r="771">
      <c r="A771" s="54"/>
      <c r="B771" s="88" t="str">
        <f>IFERROR(HYPERLINK(VLOOKUP(A771,Internal_lists_bugs!$A$2:$C$73,3,FALSE()), VLOOKUP(A771,Internal_lists_bugs!$A$2:$C$73,3,FALSE())&amp;Char(10) &amp; Char(10) &amp; VLOOKUP(A771,Internal_lists_bugs!$A$2:$Z$73,26,FALSE())),"please select a BUG ID")</f>
        <v>please select a BUG ID</v>
      </c>
      <c r="C771" s="51" t="str">
        <f>IFERROR(VLOOKUP(A771,Internal_lists_bugs!$A$2:$G1001,7,FALSE()),"please select a BUG ID")</f>
        <v>please select a BUG ID</v>
      </c>
      <c r="D771" s="51" t="str">
        <f>IFERROR(VLOOKUP(A771,Internal_lists_bugs!$A$2:$I1001,9,FALSE()),"please select a BUG ID")</f>
        <v>please select a BUG ID</v>
      </c>
      <c r="E771" s="105"/>
      <c r="G771" s="54"/>
      <c r="H771" s="105"/>
    </row>
    <row r="772">
      <c r="A772" s="54"/>
      <c r="B772" s="88" t="str">
        <f>IFERROR(HYPERLINK(VLOOKUP(A772,Internal_lists_bugs!$A$2:$C$73,3,FALSE()), VLOOKUP(A772,Internal_lists_bugs!$A$2:$C$73,3,FALSE())&amp;Char(10) &amp; Char(10) &amp; VLOOKUP(A772,Internal_lists_bugs!$A$2:$Z$73,26,FALSE())),"please select a BUG ID")</f>
        <v>please select a BUG ID</v>
      </c>
      <c r="C772" s="51" t="str">
        <f>IFERROR(VLOOKUP(A772,Internal_lists_bugs!$A$2:$G1001,7,FALSE()),"please select a BUG ID")</f>
        <v>please select a BUG ID</v>
      </c>
      <c r="D772" s="51" t="str">
        <f>IFERROR(VLOOKUP(A772,Internal_lists_bugs!$A$2:$I1001,9,FALSE()),"please select a BUG ID")</f>
        <v>please select a BUG ID</v>
      </c>
      <c r="E772" s="105"/>
      <c r="G772" s="54"/>
      <c r="H772" s="105"/>
    </row>
    <row r="773">
      <c r="A773" s="54"/>
      <c r="B773" s="88" t="str">
        <f>IFERROR(HYPERLINK(VLOOKUP(A773,Internal_lists_bugs!$A$2:$C$73,3,FALSE()), VLOOKUP(A773,Internal_lists_bugs!$A$2:$C$73,3,FALSE())&amp;Char(10) &amp; Char(10) &amp; VLOOKUP(A773,Internal_lists_bugs!$A$2:$Z$73,26,FALSE())),"please select a BUG ID")</f>
        <v>please select a BUG ID</v>
      </c>
      <c r="C773" s="51" t="str">
        <f>IFERROR(VLOOKUP(A773,Internal_lists_bugs!$A$2:$G1001,7,FALSE()),"please select a BUG ID")</f>
        <v>please select a BUG ID</v>
      </c>
      <c r="D773" s="51" t="str">
        <f>IFERROR(VLOOKUP(A773,Internal_lists_bugs!$A$2:$I1001,9,FALSE()),"please select a BUG ID")</f>
        <v>please select a BUG ID</v>
      </c>
      <c r="E773" s="105"/>
      <c r="G773" s="54"/>
      <c r="H773" s="105"/>
    </row>
    <row r="774">
      <c r="A774" s="54"/>
      <c r="B774" s="88" t="str">
        <f>IFERROR(HYPERLINK(VLOOKUP(A774,Internal_lists_bugs!$A$2:$C$73,3,FALSE()), VLOOKUP(A774,Internal_lists_bugs!$A$2:$C$73,3,FALSE())&amp;Char(10) &amp; Char(10) &amp; VLOOKUP(A774,Internal_lists_bugs!$A$2:$Z$73,26,FALSE())),"please select a BUG ID")</f>
        <v>please select a BUG ID</v>
      </c>
      <c r="C774" s="51" t="str">
        <f>IFERROR(VLOOKUP(A774,Internal_lists_bugs!$A$2:$G1001,7,FALSE()),"please select a BUG ID")</f>
        <v>please select a BUG ID</v>
      </c>
      <c r="D774" s="51" t="str">
        <f>IFERROR(VLOOKUP(A774,Internal_lists_bugs!$A$2:$I1001,9,FALSE()),"please select a BUG ID")</f>
        <v>please select a BUG ID</v>
      </c>
      <c r="E774" s="105"/>
      <c r="G774" s="54"/>
      <c r="H774" s="105"/>
    </row>
    <row r="775">
      <c r="A775" s="54"/>
      <c r="B775" s="88" t="str">
        <f>IFERROR(HYPERLINK(VLOOKUP(A775,Internal_lists_bugs!$A$2:$C$73,3,FALSE()), VLOOKUP(A775,Internal_lists_bugs!$A$2:$C$73,3,FALSE())&amp;Char(10) &amp; Char(10) &amp; VLOOKUP(A775,Internal_lists_bugs!$A$2:$Z$73,26,FALSE())),"please select a BUG ID")</f>
        <v>please select a BUG ID</v>
      </c>
      <c r="C775" s="51" t="str">
        <f>IFERROR(VLOOKUP(A775,Internal_lists_bugs!$A$2:$G1001,7,FALSE()),"please select a BUG ID")</f>
        <v>please select a BUG ID</v>
      </c>
      <c r="D775" s="51" t="str">
        <f>IFERROR(VLOOKUP(A775,Internal_lists_bugs!$A$2:$I1001,9,FALSE()),"please select a BUG ID")</f>
        <v>please select a BUG ID</v>
      </c>
      <c r="E775" s="105"/>
      <c r="G775" s="54"/>
      <c r="H775" s="105"/>
    </row>
    <row r="776">
      <c r="A776" s="54"/>
      <c r="B776" s="88" t="str">
        <f>IFERROR(HYPERLINK(VLOOKUP(A776,Internal_lists_bugs!$A$2:$C$73,3,FALSE()), VLOOKUP(A776,Internal_lists_bugs!$A$2:$C$73,3,FALSE())&amp;Char(10) &amp; Char(10) &amp; VLOOKUP(A776,Internal_lists_bugs!$A$2:$Z$73,26,FALSE())),"please select a BUG ID")</f>
        <v>please select a BUG ID</v>
      </c>
      <c r="C776" s="51" t="str">
        <f>IFERROR(VLOOKUP(A776,Internal_lists_bugs!$A$2:$G1001,7,FALSE()),"please select a BUG ID")</f>
        <v>please select a BUG ID</v>
      </c>
      <c r="D776" s="51" t="str">
        <f>IFERROR(VLOOKUP(A776,Internal_lists_bugs!$A$2:$I1001,9,FALSE()),"please select a BUG ID")</f>
        <v>please select a BUG ID</v>
      </c>
      <c r="E776" s="105"/>
      <c r="G776" s="54"/>
      <c r="H776" s="105"/>
    </row>
    <row r="777">
      <c r="A777" s="54"/>
      <c r="B777" s="88" t="str">
        <f>IFERROR(HYPERLINK(VLOOKUP(A777,Internal_lists_bugs!$A$2:$C$73,3,FALSE()), VLOOKUP(A777,Internal_lists_bugs!$A$2:$C$73,3,FALSE())&amp;Char(10) &amp; Char(10) &amp; VLOOKUP(A777,Internal_lists_bugs!$A$2:$Z$73,26,FALSE())),"please select a BUG ID")</f>
        <v>please select a BUG ID</v>
      </c>
      <c r="C777" s="51" t="str">
        <f>IFERROR(VLOOKUP(A777,Internal_lists_bugs!$A$2:$G1001,7,FALSE()),"please select a BUG ID")</f>
        <v>please select a BUG ID</v>
      </c>
      <c r="D777" s="51" t="str">
        <f>IFERROR(VLOOKUP(A777,Internal_lists_bugs!$A$2:$I1001,9,FALSE()),"please select a BUG ID")</f>
        <v>please select a BUG ID</v>
      </c>
      <c r="E777" s="105"/>
      <c r="G777" s="54"/>
      <c r="H777" s="105"/>
    </row>
    <row r="778">
      <c r="A778" s="54"/>
      <c r="B778" s="88" t="str">
        <f>IFERROR(HYPERLINK(VLOOKUP(A778,Internal_lists_bugs!$A$2:$C$73,3,FALSE()), VLOOKUP(A778,Internal_lists_bugs!$A$2:$C$73,3,FALSE())&amp;Char(10) &amp; Char(10) &amp; VLOOKUP(A778,Internal_lists_bugs!$A$2:$Z$73,26,FALSE())),"please select a BUG ID")</f>
        <v>please select a BUG ID</v>
      </c>
      <c r="C778" s="51" t="str">
        <f>IFERROR(VLOOKUP(A778,Internal_lists_bugs!$A$2:$G1001,7,FALSE()),"please select a BUG ID")</f>
        <v>please select a BUG ID</v>
      </c>
      <c r="D778" s="51" t="str">
        <f>IFERROR(VLOOKUP(A778,Internal_lists_bugs!$A$2:$I1001,9,FALSE()),"please select a BUG ID")</f>
        <v>please select a BUG ID</v>
      </c>
      <c r="E778" s="105"/>
      <c r="G778" s="54"/>
      <c r="H778" s="105"/>
    </row>
    <row r="779">
      <c r="A779" s="54"/>
      <c r="B779" s="88" t="str">
        <f>IFERROR(HYPERLINK(VLOOKUP(A779,Internal_lists_bugs!$A$2:$C$73,3,FALSE()), VLOOKUP(A779,Internal_lists_bugs!$A$2:$C$73,3,FALSE())&amp;Char(10) &amp; Char(10) &amp; VLOOKUP(A779,Internal_lists_bugs!$A$2:$Z$73,26,FALSE())),"please select a BUG ID")</f>
        <v>please select a BUG ID</v>
      </c>
      <c r="C779" s="51" t="str">
        <f>IFERROR(VLOOKUP(A779,Internal_lists_bugs!$A$2:$G1001,7,FALSE()),"please select a BUG ID")</f>
        <v>please select a BUG ID</v>
      </c>
      <c r="D779" s="51" t="str">
        <f>IFERROR(VLOOKUP(A779,Internal_lists_bugs!$A$2:$I1001,9,FALSE()),"please select a BUG ID")</f>
        <v>please select a BUG ID</v>
      </c>
      <c r="E779" s="105"/>
      <c r="G779" s="54"/>
      <c r="H779" s="105"/>
    </row>
    <row r="780">
      <c r="A780" s="54"/>
      <c r="B780" s="88" t="str">
        <f>IFERROR(HYPERLINK(VLOOKUP(A780,Internal_lists_bugs!$A$2:$C$73,3,FALSE()), VLOOKUP(A780,Internal_lists_bugs!$A$2:$C$73,3,FALSE())&amp;Char(10) &amp; Char(10) &amp; VLOOKUP(A780,Internal_lists_bugs!$A$2:$Z$73,26,FALSE())),"please select a BUG ID")</f>
        <v>please select a BUG ID</v>
      </c>
      <c r="C780" s="51" t="str">
        <f>IFERROR(VLOOKUP(A780,Internal_lists_bugs!$A$2:$G1001,7,FALSE()),"please select a BUG ID")</f>
        <v>please select a BUG ID</v>
      </c>
      <c r="D780" s="51" t="str">
        <f>IFERROR(VLOOKUP(A780,Internal_lists_bugs!$A$2:$I1001,9,FALSE()),"please select a BUG ID")</f>
        <v>please select a BUG ID</v>
      </c>
      <c r="E780" s="105"/>
      <c r="G780" s="54"/>
      <c r="H780" s="105"/>
    </row>
    <row r="781">
      <c r="A781" s="54"/>
      <c r="B781" s="88" t="str">
        <f>IFERROR(HYPERLINK(VLOOKUP(A781,Internal_lists_bugs!$A$2:$C$73,3,FALSE()), VLOOKUP(A781,Internal_lists_bugs!$A$2:$C$73,3,FALSE())&amp;Char(10) &amp; Char(10) &amp; VLOOKUP(A781,Internal_lists_bugs!$A$2:$Z$73,26,FALSE())),"please select a BUG ID")</f>
        <v>please select a BUG ID</v>
      </c>
      <c r="C781" s="51" t="str">
        <f>IFERROR(VLOOKUP(A781,Internal_lists_bugs!$A$2:$G1001,7,FALSE()),"please select a BUG ID")</f>
        <v>please select a BUG ID</v>
      </c>
      <c r="D781" s="51" t="str">
        <f>IFERROR(VLOOKUP(A781,Internal_lists_bugs!$A$2:$I1001,9,FALSE()),"please select a BUG ID")</f>
        <v>please select a BUG ID</v>
      </c>
      <c r="E781" s="105"/>
      <c r="G781" s="54"/>
      <c r="H781" s="105"/>
    </row>
    <row r="782">
      <c r="A782" s="54"/>
      <c r="B782" s="88" t="str">
        <f>IFERROR(HYPERLINK(VLOOKUP(A782,Internal_lists_bugs!$A$2:$C$73,3,FALSE()), VLOOKUP(A782,Internal_lists_bugs!$A$2:$C$73,3,FALSE())&amp;Char(10) &amp; Char(10) &amp; VLOOKUP(A782,Internal_lists_bugs!$A$2:$Z$73,26,FALSE())),"please select a BUG ID")</f>
        <v>please select a BUG ID</v>
      </c>
      <c r="C782" s="51" t="str">
        <f>IFERROR(VLOOKUP(A782,Internal_lists_bugs!$A$2:$G1001,7,FALSE()),"please select a BUG ID")</f>
        <v>please select a BUG ID</v>
      </c>
      <c r="D782" s="51" t="str">
        <f>IFERROR(VLOOKUP(A782,Internal_lists_bugs!$A$2:$I1001,9,FALSE()),"please select a BUG ID")</f>
        <v>please select a BUG ID</v>
      </c>
      <c r="E782" s="105"/>
      <c r="G782" s="54"/>
      <c r="H782" s="105"/>
    </row>
    <row r="783">
      <c r="A783" s="54"/>
      <c r="B783" s="88" t="str">
        <f>IFERROR(HYPERLINK(VLOOKUP(A783,Internal_lists_bugs!$A$2:$C$73,3,FALSE()), VLOOKUP(A783,Internal_lists_bugs!$A$2:$C$73,3,FALSE())&amp;Char(10) &amp; Char(10) &amp; VLOOKUP(A783,Internal_lists_bugs!$A$2:$Z$73,26,FALSE())),"please select a BUG ID")</f>
        <v>please select a BUG ID</v>
      </c>
      <c r="C783" s="51" t="str">
        <f>IFERROR(VLOOKUP(A783,Internal_lists_bugs!$A$2:$G1001,7,FALSE()),"please select a BUG ID")</f>
        <v>please select a BUG ID</v>
      </c>
      <c r="D783" s="51" t="str">
        <f>IFERROR(VLOOKUP(A783,Internal_lists_bugs!$A$2:$I1001,9,FALSE()),"please select a BUG ID")</f>
        <v>please select a BUG ID</v>
      </c>
      <c r="E783" s="105"/>
      <c r="G783" s="54"/>
      <c r="H783" s="105"/>
    </row>
    <row r="784">
      <c r="A784" s="54"/>
      <c r="B784" s="88" t="str">
        <f>IFERROR(HYPERLINK(VLOOKUP(A784,Internal_lists_bugs!$A$2:$C$73,3,FALSE()), VLOOKUP(A784,Internal_lists_bugs!$A$2:$C$73,3,FALSE())&amp;Char(10) &amp; Char(10) &amp; VLOOKUP(A784,Internal_lists_bugs!$A$2:$Z$73,26,FALSE())),"please select a BUG ID")</f>
        <v>please select a BUG ID</v>
      </c>
      <c r="C784" s="51" t="str">
        <f>IFERROR(VLOOKUP(A784,Internal_lists_bugs!$A$2:$G1001,7,FALSE()),"please select a BUG ID")</f>
        <v>please select a BUG ID</v>
      </c>
      <c r="D784" s="51" t="str">
        <f>IFERROR(VLOOKUP(A784,Internal_lists_bugs!$A$2:$I1001,9,FALSE()),"please select a BUG ID")</f>
        <v>please select a BUG ID</v>
      </c>
      <c r="E784" s="105"/>
      <c r="G784" s="54"/>
      <c r="H784" s="105"/>
    </row>
    <row r="785">
      <c r="A785" s="54"/>
      <c r="B785" s="88" t="str">
        <f>IFERROR(HYPERLINK(VLOOKUP(A785,Internal_lists_bugs!$A$2:$C$73,3,FALSE()), VLOOKUP(A785,Internal_lists_bugs!$A$2:$C$73,3,FALSE())&amp;Char(10) &amp; Char(10) &amp; VLOOKUP(A785,Internal_lists_bugs!$A$2:$Z$73,26,FALSE())),"please select a BUG ID")</f>
        <v>please select a BUG ID</v>
      </c>
      <c r="C785" s="51" t="str">
        <f>IFERROR(VLOOKUP(A785,Internal_lists_bugs!$A$2:$G1001,7,FALSE()),"please select a BUG ID")</f>
        <v>please select a BUG ID</v>
      </c>
      <c r="D785" s="51" t="str">
        <f>IFERROR(VLOOKUP(A785,Internal_lists_bugs!$A$2:$I1001,9,FALSE()),"please select a BUG ID")</f>
        <v>please select a BUG ID</v>
      </c>
      <c r="E785" s="105"/>
      <c r="G785" s="54"/>
      <c r="H785" s="105"/>
    </row>
    <row r="786">
      <c r="A786" s="54"/>
      <c r="B786" s="88" t="str">
        <f>IFERROR(HYPERLINK(VLOOKUP(A786,Internal_lists_bugs!$A$2:$C$73,3,FALSE()), VLOOKUP(A786,Internal_lists_bugs!$A$2:$C$73,3,FALSE())&amp;Char(10) &amp; Char(10) &amp; VLOOKUP(A786,Internal_lists_bugs!$A$2:$Z$73,26,FALSE())),"please select a BUG ID")</f>
        <v>please select a BUG ID</v>
      </c>
      <c r="C786" s="51" t="str">
        <f>IFERROR(VLOOKUP(A786,Internal_lists_bugs!$A$2:$G1001,7,FALSE()),"please select a BUG ID")</f>
        <v>please select a BUG ID</v>
      </c>
      <c r="D786" s="51" t="str">
        <f>IFERROR(VLOOKUP(A786,Internal_lists_bugs!$A$2:$I1001,9,FALSE()),"please select a BUG ID")</f>
        <v>please select a BUG ID</v>
      </c>
      <c r="E786" s="105"/>
      <c r="G786" s="54"/>
      <c r="H786" s="105"/>
    </row>
    <row r="787">
      <c r="A787" s="54"/>
      <c r="B787" s="88" t="str">
        <f>IFERROR(HYPERLINK(VLOOKUP(A787,Internal_lists_bugs!$A$2:$C$73,3,FALSE()), VLOOKUP(A787,Internal_lists_bugs!$A$2:$C$73,3,FALSE())&amp;Char(10) &amp; Char(10) &amp; VLOOKUP(A787,Internal_lists_bugs!$A$2:$Z$73,26,FALSE())),"please select a BUG ID")</f>
        <v>please select a BUG ID</v>
      </c>
      <c r="C787" s="51" t="str">
        <f>IFERROR(VLOOKUP(A787,Internal_lists_bugs!$A$2:$G1001,7,FALSE()),"please select a BUG ID")</f>
        <v>please select a BUG ID</v>
      </c>
      <c r="D787" s="51" t="str">
        <f>IFERROR(VLOOKUP(A787,Internal_lists_bugs!$A$2:$I1001,9,FALSE()),"please select a BUG ID")</f>
        <v>please select a BUG ID</v>
      </c>
      <c r="E787" s="105"/>
      <c r="G787" s="54"/>
      <c r="H787" s="105"/>
    </row>
    <row r="788">
      <c r="A788" s="54"/>
      <c r="B788" s="88" t="str">
        <f>IFERROR(HYPERLINK(VLOOKUP(A788,Internal_lists_bugs!$A$2:$C$73,3,FALSE()), VLOOKUP(A788,Internal_lists_bugs!$A$2:$C$73,3,FALSE())&amp;Char(10) &amp; Char(10) &amp; VLOOKUP(A788,Internal_lists_bugs!$A$2:$Z$73,26,FALSE())),"please select a BUG ID")</f>
        <v>please select a BUG ID</v>
      </c>
      <c r="C788" s="51" t="str">
        <f>IFERROR(VLOOKUP(A788,Internal_lists_bugs!$A$2:$G1001,7,FALSE()),"please select a BUG ID")</f>
        <v>please select a BUG ID</v>
      </c>
      <c r="D788" s="51" t="str">
        <f>IFERROR(VLOOKUP(A788,Internal_lists_bugs!$A$2:$I1001,9,FALSE()),"please select a BUG ID")</f>
        <v>please select a BUG ID</v>
      </c>
      <c r="E788" s="105"/>
      <c r="G788" s="54"/>
      <c r="H788" s="105"/>
    </row>
    <row r="789">
      <c r="A789" s="54"/>
      <c r="B789" s="88" t="str">
        <f>IFERROR(HYPERLINK(VLOOKUP(A789,Internal_lists_bugs!$A$2:$C$73,3,FALSE()), VLOOKUP(A789,Internal_lists_bugs!$A$2:$C$73,3,FALSE())&amp;Char(10) &amp; Char(10) &amp; VLOOKUP(A789,Internal_lists_bugs!$A$2:$Z$73,26,FALSE())),"please select a BUG ID")</f>
        <v>please select a BUG ID</v>
      </c>
      <c r="C789" s="51" t="str">
        <f>IFERROR(VLOOKUP(A789,Internal_lists_bugs!$A$2:$G1001,7,FALSE()),"please select a BUG ID")</f>
        <v>please select a BUG ID</v>
      </c>
      <c r="D789" s="51" t="str">
        <f>IFERROR(VLOOKUP(A789,Internal_lists_bugs!$A$2:$I1001,9,FALSE()),"please select a BUG ID")</f>
        <v>please select a BUG ID</v>
      </c>
      <c r="E789" s="105"/>
      <c r="G789" s="54"/>
      <c r="H789" s="105"/>
    </row>
    <row r="790">
      <c r="A790" s="54"/>
      <c r="B790" s="88" t="str">
        <f>IFERROR(HYPERLINK(VLOOKUP(A790,Internal_lists_bugs!$A$2:$C$73,3,FALSE()), VLOOKUP(A790,Internal_lists_bugs!$A$2:$C$73,3,FALSE())&amp;Char(10) &amp; Char(10) &amp; VLOOKUP(A790,Internal_lists_bugs!$A$2:$Z$73,26,FALSE())),"please select a BUG ID")</f>
        <v>please select a BUG ID</v>
      </c>
      <c r="C790" s="51" t="str">
        <f>IFERROR(VLOOKUP(A790,Internal_lists_bugs!$A$2:$G1001,7,FALSE()),"please select a BUG ID")</f>
        <v>please select a BUG ID</v>
      </c>
      <c r="D790" s="51" t="str">
        <f>IFERROR(VLOOKUP(A790,Internal_lists_bugs!$A$2:$I1001,9,FALSE()),"please select a BUG ID")</f>
        <v>please select a BUG ID</v>
      </c>
      <c r="E790" s="105"/>
      <c r="G790" s="54"/>
      <c r="H790" s="105"/>
    </row>
    <row r="791">
      <c r="A791" s="54"/>
      <c r="B791" s="88" t="str">
        <f>IFERROR(HYPERLINK(VLOOKUP(A791,Internal_lists_bugs!$A$2:$C$73,3,FALSE()), VLOOKUP(A791,Internal_lists_bugs!$A$2:$C$73,3,FALSE())&amp;Char(10) &amp; Char(10) &amp; VLOOKUP(A791,Internal_lists_bugs!$A$2:$Z$73,26,FALSE())),"please select a BUG ID")</f>
        <v>please select a BUG ID</v>
      </c>
      <c r="C791" s="51" t="str">
        <f>IFERROR(VLOOKUP(A791,Internal_lists_bugs!$A$2:$G1001,7,FALSE()),"please select a BUG ID")</f>
        <v>please select a BUG ID</v>
      </c>
      <c r="D791" s="51" t="str">
        <f>IFERROR(VLOOKUP(A791,Internal_lists_bugs!$A$2:$I1001,9,FALSE()),"please select a BUG ID")</f>
        <v>please select a BUG ID</v>
      </c>
      <c r="E791" s="105"/>
      <c r="G791" s="54"/>
      <c r="H791" s="105"/>
    </row>
    <row r="792">
      <c r="A792" s="54"/>
      <c r="B792" s="88" t="str">
        <f>IFERROR(HYPERLINK(VLOOKUP(A792,Internal_lists_bugs!$A$2:$C$73,3,FALSE()), VLOOKUP(A792,Internal_lists_bugs!$A$2:$C$73,3,FALSE())&amp;Char(10) &amp; Char(10) &amp; VLOOKUP(A792,Internal_lists_bugs!$A$2:$Z$73,26,FALSE())),"please select a BUG ID")</f>
        <v>please select a BUG ID</v>
      </c>
      <c r="C792" s="51" t="str">
        <f>IFERROR(VLOOKUP(A792,Internal_lists_bugs!$A$2:$G1001,7,FALSE()),"please select a BUG ID")</f>
        <v>please select a BUG ID</v>
      </c>
      <c r="D792" s="51" t="str">
        <f>IFERROR(VLOOKUP(A792,Internal_lists_bugs!$A$2:$I1001,9,FALSE()),"please select a BUG ID")</f>
        <v>please select a BUG ID</v>
      </c>
      <c r="E792" s="105"/>
      <c r="G792" s="54"/>
      <c r="H792" s="105"/>
    </row>
    <row r="793">
      <c r="A793" s="54"/>
      <c r="B793" s="88" t="str">
        <f>IFERROR(HYPERLINK(VLOOKUP(A793,Internal_lists_bugs!$A$2:$C$73,3,FALSE()), VLOOKUP(A793,Internal_lists_bugs!$A$2:$C$73,3,FALSE())&amp;Char(10) &amp; Char(10) &amp; VLOOKUP(A793,Internal_lists_bugs!$A$2:$Z$73,26,FALSE())),"please select a BUG ID")</f>
        <v>please select a BUG ID</v>
      </c>
      <c r="C793" s="51" t="str">
        <f>IFERROR(VLOOKUP(A793,Internal_lists_bugs!$A$2:$G1001,7,FALSE()),"please select a BUG ID")</f>
        <v>please select a BUG ID</v>
      </c>
      <c r="D793" s="51" t="str">
        <f>IFERROR(VLOOKUP(A793,Internal_lists_bugs!$A$2:$I1001,9,FALSE()),"please select a BUG ID")</f>
        <v>please select a BUG ID</v>
      </c>
      <c r="E793" s="105"/>
      <c r="G793" s="54"/>
      <c r="H793" s="105"/>
    </row>
    <row r="794">
      <c r="A794" s="54"/>
      <c r="B794" s="88" t="str">
        <f>IFERROR(HYPERLINK(VLOOKUP(A794,Internal_lists_bugs!$A$2:$C$73,3,FALSE()), VLOOKUP(A794,Internal_lists_bugs!$A$2:$C$73,3,FALSE())&amp;Char(10) &amp; Char(10) &amp; VLOOKUP(A794,Internal_lists_bugs!$A$2:$Z$73,26,FALSE())),"please select a BUG ID")</f>
        <v>please select a BUG ID</v>
      </c>
      <c r="C794" s="51" t="str">
        <f>IFERROR(VLOOKUP(A794,Internal_lists_bugs!$A$2:$G1001,7,FALSE()),"please select a BUG ID")</f>
        <v>please select a BUG ID</v>
      </c>
      <c r="D794" s="51" t="str">
        <f>IFERROR(VLOOKUP(A794,Internal_lists_bugs!$A$2:$I1001,9,FALSE()),"please select a BUG ID")</f>
        <v>please select a BUG ID</v>
      </c>
      <c r="E794" s="105"/>
      <c r="G794" s="54"/>
      <c r="H794" s="105"/>
    </row>
    <row r="795">
      <c r="A795" s="54"/>
      <c r="B795" s="88" t="str">
        <f>IFERROR(HYPERLINK(VLOOKUP(A795,Internal_lists_bugs!$A$2:$C$73,3,FALSE()), VLOOKUP(A795,Internal_lists_bugs!$A$2:$C$73,3,FALSE())&amp;Char(10) &amp; Char(10) &amp; VLOOKUP(A795,Internal_lists_bugs!$A$2:$Z$73,26,FALSE())),"please select a BUG ID")</f>
        <v>please select a BUG ID</v>
      </c>
      <c r="C795" s="51" t="str">
        <f>IFERROR(VLOOKUP(A795,Internal_lists_bugs!$A$2:$G1001,7,FALSE()),"please select a BUG ID")</f>
        <v>please select a BUG ID</v>
      </c>
      <c r="D795" s="51" t="str">
        <f>IFERROR(VLOOKUP(A795,Internal_lists_bugs!$A$2:$I1001,9,FALSE()),"please select a BUG ID")</f>
        <v>please select a BUG ID</v>
      </c>
      <c r="E795" s="105"/>
      <c r="G795" s="54"/>
      <c r="H795" s="105"/>
    </row>
    <row r="796">
      <c r="A796" s="54"/>
      <c r="B796" s="88" t="str">
        <f>IFERROR(HYPERLINK(VLOOKUP(A796,Internal_lists_bugs!$A$2:$C$73,3,FALSE()), VLOOKUP(A796,Internal_lists_bugs!$A$2:$C$73,3,FALSE())&amp;Char(10) &amp; Char(10) &amp; VLOOKUP(A796,Internal_lists_bugs!$A$2:$Z$73,26,FALSE())),"please select a BUG ID")</f>
        <v>please select a BUG ID</v>
      </c>
      <c r="C796" s="51" t="str">
        <f>IFERROR(VLOOKUP(A796,Internal_lists_bugs!$A$2:$G1001,7,FALSE()),"please select a BUG ID")</f>
        <v>please select a BUG ID</v>
      </c>
      <c r="D796" s="51" t="str">
        <f>IFERROR(VLOOKUP(A796,Internal_lists_bugs!$A$2:$I1001,9,FALSE()),"please select a BUG ID")</f>
        <v>please select a BUG ID</v>
      </c>
      <c r="E796" s="105"/>
      <c r="G796" s="54"/>
      <c r="H796" s="105"/>
    </row>
    <row r="797">
      <c r="A797" s="54"/>
      <c r="B797" s="88" t="str">
        <f>IFERROR(HYPERLINK(VLOOKUP(A797,Internal_lists_bugs!$A$2:$C$73,3,FALSE()), VLOOKUP(A797,Internal_lists_bugs!$A$2:$C$73,3,FALSE())&amp;Char(10) &amp; Char(10) &amp; VLOOKUP(A797,Internal_lists_bugs!$A$2:$Z$73,26,FALSE())),"please select a BUG ID")</f>
        <v>please select a BUG ID</v>
      </c>
      <c r="C797" s="51" t="str">
        <f>IFERROR(VLOOKUP(A797,Internal_lists_bugs!$A$2:$G1001,7,FALSE()),"please select a BUG ID")</f>
        <v>please select a BUG ID</v>
      </c>
      <c r="D797" s="51" t="str">
        <f>IFERROR(VLOOKUP(A797,Internal_lists_bugs!$A$2:$I1001,9,FALSE()),"please select a BUG ID")</f>
        <v>please select a BUG ID</v>
      </c>
      <c r="E797" s="105"/>
      <c r="G797" s="54"/>
      <c r="H797" s="105"/>
    </row>
    <row r="798">
      <c r="A798" s="54"/>
      <c r="B798" s="88" t="str">
        <f>IFERROR(HYPERLINK(VLOOKUP(A798,Internal_lists_bugs!$A$2:$C$73,3,FALSE()), VLOOKUP(A798,Internal_lists_bugs!$A$2:$C$73,3,FALSE())&amp;Char(10) &amp; Char(10) &amp; VLOOKUP(A798,Internal_lists_bugs!$A$2:$Z$73,26,FALSE())),"please select a BUG ID")</f>
        <v>please select a BUG ID</v>
      </c>
      <c r="C798" s="51" t="str">
        <f>IFERROR(VLOOKUP(A798,Internal_lists_bugs!$A$2:$G1001,7,FALSE()),"please select a BUG ID")</f>
        <v>please select a BUG ID</v>
      </c>
      <c r="D798" s="51" t="str">
        <f>IFERROR(VLOOKUP(A798,Internal_lists_bugs!$A$2:$I1001,9,FALSE()),"please select a BUG ID")</f>
        <v>please select a BUG ID</v>
      </c>
      <c r="E798" s="105"/>
      <c r="G798" s="54"/>
      <c r="H798" s="105"/>
    </row>
    <row r="799">
      <c r="A799" s="54"/>
      <c r="B799" s="88" t="str">
        <f>IFERROR(HYPERLINK(VLOOKUP(A799,Internal_lists_bugs!$A$2:$C$73,3,FALSE()), VLOOKUP(A799,Internal_lists_bugs!$A$2:$C$73,3,FALSE())&amp;Char(10) &amp; Char(10) &amp; VLOOKUP(A799,Internal_lists_bugs!$A$2:$Z$73,26,FALSE())),"please select a BUG ID")</f>
        <v>please select a BUG ID</v>
      </c>
      <c r="C799" s="51" t="str">
        <f>IFERROR(VLOOKUP(A799,Internal_lists_bugs!$A$2:$G1001,7,FALSE()),"please select a BUG ID")</f>
        <v>please select a BUG ID</v>
      </c>
      <c r="D799" s="51" t="str">
        <f>IFERROR(VLOOKUP(A799,Internal_lists_bugs!$A$2:$I1001,9,FALSE()),"please select a BUG ID")</f>
        <v>please select a BUG ID</v>
      </c>
      <c r="E799" s="105"/>
      <c r="G799" s="54"/>
      <c r="H799" s="105"/>
    </row>
    <row r="800">
      <c r="A800" s="54"/>
      <c r="B800" s="88" t="str">
        <f>IFERROR(HYPERLINK(VLOOKUP(A800,Internal_lists_bugs!$A$2:$C$73,3,FALSE()), VLOOKUP(A800,Internal_lists_bugs!$A$2:$C$73,3,FALSE())&amp;Char(10) &amp; Char(10) &amp; VLOOKUP(A800,Internal_lists_bugs!$A$2:$Z$73,26,FALSE())),"please select a BUG ID")</f>
        <v>please select a BUG ID</v>
      </c>
      <c r="C800" s="51" t="str">
        <f>IFERROR(VLOOKUP(A800,Internal_lists_bugs!$A$2:$G1001,7,FALSE()),"please select a BUG ID")</f>
        <v>please select a BUG ID</v>
      </c>
      <c r="D800" s="51" t="str">
        <f>IFERROR(VLOOKUP(A800,Internal_lists_bugs!$A$2:$I1001,9,FALSE()),"please select a BUG ID")</f>
        <v>please select a BUG ID</v>
      </c>
      <c r="E800" s="105"/>
      <c r="G800" s="54"/>
      <c r="H800" s="105"/>
    </row>
    <row r="801">
      <c r="A801" s="54"/>
      <c r="B801" s="88" t="str">
        <f>IFERROR(HYPERLINK(VLOOKUP(A801,Internal_lists_bugs!$A$2:$C$73,3,FALSE()), VLOOKUP(A801,Internal_lists_bugs!$A$2:$C$73,3,FALSE())&amp;Char(10) &amp; Char(10) &amp; VLOOKUP(A801,Internal_lists_bugs!$A$2:$Z$73,26,FALSE())),"please select a BUG ID")</f>
        <v>please select a BUG ID</v>
      </c>
      <c r="C801" s="51" t="str">
        <f>IFERROR(VLOOKUP(A801,Internal_lists_bugs!$A$2:$G1001,7,FALSE()),"please select a BUG ID")</f>
        <v>please select a BUG ID</v>
      </c>
      <c r="D801" s="51" t="str">
        <f>IFERROR(VLOOKUP(A801,Internal_lists_bugs!$A$2:$I1001,9,FALSE()),"please select a BUG ID")</f>
        <v>please select a BUG ID</v>
      </c>
      <c r="E801" s="105"/>
      <c r="G801" s="54"/>
      <c r="H801" s="105"/>
    </row>
    <row r="802">
      <c r="A802" s="54"/>
      <c r="B802" s="88" t="str">
        <f>IFERROR(HYPERLINK(VLOOKUP(A802,Internal_lists_bugs!$A$2:$C$73,3,FALSE()), VLOOKUP(A802,Internal_lists_bugs!$A$2:$C$73,3,FALSE())&amp;Char(10) &amp; Char(10) &amp; VLOOKUP(A802,Internal_lists_bugs!$A$2:$Z$73,26,FALSE())),"please select a BUG ID")</f>
        <v>please select a BUG ID</v>
      </c>
      <c r="C802" s="51" t="str">
        <f>IFERROR(VLOOKUP(A802,Internal_lists_bugs!$A$2:$G1001,7,FALSE()),"please select a BUG ID")</f>
        <v>please select a BUG ID</v>
      </c>
      <c r="D802" s="51" t="str">
        <f>IFERROR(VLOOKUP(A802,Internal_lists_bugs!$A$2:$I1001,9,FALSE()),"please select a BUG ID")</f>
        <v>please select a BUG ID</v>
      </c>
      <c r="E802" s="105"/>
      <c r="G802" s="54"/>
      <c r="H802" s="105"/>
    </row>
    <row r="803">
      <c r="A803" s="54"/>
      <c r="B803" s="88" t="str">
        <f>IFERROR(HYPERLINK(VLOOKUP(A803,Internal_lists_bugs!$A$2:$C$73,3,FALSE()), VLOOKUP(A803,Internal_lists_bugs!$A$2:$C$73,3,FALSE())&amp;Char(10) &amp; Char(10) &amp; VLOOKUP(A803,Internal_lists_bugs!$A$2:$Z$73,26,FALSE())),"please select a BUG ID")</f>
        <v>please select a BUG ID</v>
      </c>
      <c r="C803" s="51" t="str">
        <f>IFERROR(VLOOKUP(A803,Internal_lists_bugs!$A$2:$G1001,7,FALSE()),"please select a BUG ID")</f>
        <v>please select a BUG ID</v>
      </c>
      <c r="D803" s="51" t="str">
        <f>IFERROR(VLOOKUP(A803,Internal_lists_bugs!$A$2:$I1001,9,FALSE()),"please select a BUG ID")</f>
        <v>please select a BUG ID</v>
      </c>
      <c r="E803" s="105"/>
      <c r="G803" s="54"/>
      <c r="H803" s="105"/>
    </row>
    <row r="804">
      <c r="A804" s="54"/>
      <c r="B804" s="88" t="str">
        <f>IFERROR(HYPERLINK(VLOOKUP(A804,Internal_lists_bugs!$A$2:$C$73,3,FALSE()), VLOOKUP(A804,Internal_lists_bugs!$A$2:$C$73,3,FALSE())&amp;Char(10) &amp; Char(10) &amp; VLOOKUP(A804,Internal_lists_bugs!$A$2:$Z$73,26,FALSE())),"please select a BUG ID")</f>
        <v>please select a BUG ID</v>
      </c>
      <c r="C804" s="51" t="str">
        <f>IFERROR(VLOOKUP(A804,Internal_lists_bugs!$A$2:$G1001,7,FALSE()),"please select a BUG ID")</f>
        <v>please select a BUG ID</v>
      </c>
      <c r="D804" s="51" t="str">
        <f>IFERROR(VLOOKUP(A804,Internal_lists_bugs!$A$2:$I1001,9,FALSE()),"please select a BUG ID")</f>
        <v>please select a BUG ID</v>
      </c>
      <c r="E804" s="105"/>
      <c r="G804" s="54"/>
      <c r="H804" s="105"/>
    </row>
    <row r="805">
      <c r="A805" s="54"/>
      <c r="B805" s="88" t="str">
        <f>IFERROR(HYPERLINK(VLOOKUP(A805,Internal_lists_bugs!$A$2:$C$73,3,FALSE()), VLOOKUP(A805,Internal_lists_bugs!$A$2:$C$73,3,FALSE())&amp;Char(10) &amp; Char(10) &amp; VLOOKUP(A805,Internal_lists_bugs!$A$2:$Z$73,26,FALSE())),"please select a BUG ID")</f>
        <v>please select a BUG ID</v>
      </c>
      <c r="C805" s="51" t="str">
        <f>IFERROR(VLOOKUP(A805,Internal_lists_bugs!$A$2:$G1001,7,FALSE()),"please select a BUG ID")</f>
        <v>please select a BUG ID</v>
      </c>
      <c r="D805" s="51" t="str">
        <f>IFERROR(VLOOKUP(A805,Internal_lists_bugs!$A$2:$I1001,9,FALSE()),"please select a BUG ID")</f>
        <v>please select a BUG ID</v>
      </c>
      <c r="E805" s="105"/>
      <c r="G805" s="54"/>
      <c r="H805" s="105"/>
    </row>
    <row r="806">
      <c r="A806" s="54"/>
      <c r="B806" s="88" t="str">
        <f>IFERROR(HYPERLINK(VLOOKUP(A806,Internal_lists_bugs!$A$2:$C$73,3,FALSE()), VLOOKUP(A806,Internal_lists_bugs!$A$2:$C$73,3,FALSE())&amp;Char(10) &amp; Char(10) &amp; VLOOKUP(A806,Internal_lists_bugs!$A$2:$Z$73,26,FALSE())),"please select a BUG ID")</f>
        <v>please select a BUG ID</v>
      </c>
      <c r="C806" s="51" t="str">
        <f>IFERROR(VLOOKUP(A806,Internal_lists_bugs!$A$2:$G1001,7,FALSE()),"please select a BUG ID")</f>
        <v>please select a BUG ID</v>
      </c>
      <c r="D806" s="51" t="str">
        <f>IFERROR(VLOOKUP(A806,Internal_lists_bugs!$A$2:$I1001,9,FALSE()),"please select a BUG ID")</f>
        <v>please select a BUG ID</v>
      </c>
      <c r="E806" s="105"/>
      <c r="G806" s="54"/>
      <c r="H806" s="105"/>
    </row>
    <row r="807">
      <c r="A807" s="54"/>
      <c r="B807" s="88" t="str">
        <f>IFERROR(HYPERLINK(VLOOKUP(A807,Internal_lists_bugs!$A$2:$C$73,3,FALSE()), VLOOKUP(A807,Internal_lists_bugs!$A$2:$C$73,3,FALSE())&amp;Char(10) &amp; Char(10) &amp; VLOOKUP(A807,Internal_lists_bugs!$A$2:$Z$73,26,FALSE())),"please select a BUG ID")</f>
        <v>please select a BUG ID</v>
      </c>
      <c r="C807" s="51" t="str">
        <f>IFERROR(VLOOKUP(A807,Internal_lists_bugs!$A$2:$G1001,7,FALSE()),"please select a BUG ID")</f>
        <v>please select a BUG ID</v>
      </c>
      <c r="D807" s="51" t="str">
        <f>IFERROR(VLOOKUP(A807,Internal_lists_bugs!$A$2:$I1001,9,FALSE()),"please select a BUG ID")</f>
        <v>please select a BUG ID</v>
      </c>
      <c r="E807" s="105"/>
      <c r="G807" s="54"/>
      <c r="H807" s="105"/>
    </row>
    <row r="808">
      <c r="A808" s="54"/>
      <c r="B808" s="88" t="str">
        <f>IFERROR(HYPERLINK(VLOOKUP(A808,Internal_lists_bugs!$A$2:$C$73,3,FALSE()), VLOOKUP(A808,Internal_lists_bugs!$A$2:$C$73,3,FALSE())&amp;Char(10) &amp; Char(10) &amp; VLOOKUP(A808,Internal_lists_bugs!$A$2:$Z$73,26,FALSE())),"please select a BUG ID")</f>
        <v>please select a BUG ID</v>
      </c>
      <c r="C808" s="51" t="str">
        <f>IFERROR(VLOOKUP(A808,Internal_lists_bugs!$A$2:$G1001,7,FALSE()),"please select a BUG ID")</f>
        <v>please select a BUG ID</v>
      </c>
      <c r="D808" s="51" t="str">
        <f>IFERROR(VLOOKUP(A808,Internal_lists_bugs!$A$2:$I1001,9,FALSE()),"please select a BUG ID")</f>
        <v>please select a BUG ID</v>
      </c>
      <c r="E808" s="105"/>
      <c r="G808" s="54"/>
      <c r="H808" s="105"/>
    </row>
    <row r="809">
      <c r="A809" s="54"/>
      <c r="B809" s="88" t="str">
        <f>IFERROR(HYPERLINK(VLOOKUP(A809,Internal_lists_bugs!$A$2:$C$73,3,FALSE()), VLOOKUP(A809,Internal_lists_bugs!$A$2:$C$73,3,FALSE())&amp;Char(10) &amp; Char(10) &amp; VLOOKUP(A809,Internal_lists_bugs!$A$2:$Z$73,26,FALSE())),"please select a BUG ID")</f>
        <v>please select a BUG ID</v>
      </c>
      <c r="C809" s="51" t="str">
        <f>IFERROR(VLOOKUP(A809,Internal_lists_bugs!$A$2:$G1001,7,FALSE()),"please select a BUG ID")</f>
        <v>please select a BUG ID</v>
      </c>
      <c r="D809" s="51" t="str">
        <f>IFERROR(VLOOKUP(A809,Internal_lists_bugs!$A$2:$I1001,9,FALSE()),"please select a BUG ID")</f>
        <v>please select a BUG ID</v>
      </c>
      <c r="E809" s="105"/>
      <c r="G809" s="54"/>
      <c r="H809" s="105"/>
    </row>
    <row r="810">
      <c r="A810" s="54"/>
      <c r="B810" s="88" t="str">
        <f>IFERROR(HYPERLINK(VLOOKUP(A810,Internal_lists_bugs!$A$2:$C$73,3,FALSE()), VLOOKUP(A810,Internal_lists_bugs!$A$2:$C$73,3,FALSE())&amp;Char(10) &amp; Char(10) &amp; VLOOKUP(A810,Internal_lists_bugs!$A$2:$Z$73,26,FALSE())),"please select a BUG ID")</f>
        <v>please select a BUG ID</v>
      </c>
      <c r="C810" s="51" t="str">
        <f>IFERROR(VLOOKUP(A810,Internal_lists_bugs!$A$2:$G1001,7,FALSE()),"please select a BUG ID")</f>
        <v>please select a BUG ID</v>
      </c>
      <c r="D810" s="51" t="str">
        <f>IFERROR(VLOOKUP(A810,Internal_lists_bugs!$A$2:$I1001,9,FALSE()),"please select a BUG ID")</f>
        <v>please select a BUG ID</v>
      </c>
      <c r="E810" s="105"/>
      <c r="G810" s="54"/>
      <c r="H810" s="105"/>
    </row>
    <row r="811">
      <c r="A811" s="54"/>
      <c r="B811" s="88" t="str">
        <f>IFERROR(HYPERLINK(VLOOKUP(A811,Internal_lists_bugs!$A$2:$C$73,3,FALSE()), VLOOKUP(A811,Internal_lists_bugs!$A$2:$C$73,3,FALSE())&amp;Char(10) &amp; Char(10) &amp; VLOOKUP(A811,Internal_lists_bugs!$A$2:$Z$73,26,FALSE())),"please select a BUG ID")</f>
        <v>please select a BUG ID</v>
      </c>
      <c r="C811" s="51" t="str">
        <f>IFERROR(VLOOKUP(A811,Internal_lists_bugs!$A$2:$G1001,7,FALSE()),"please select a BUG ID")</f>
        <v>please select a BUG ID</v>
      </c>
      <c r="D811" s="51" t="str">
        <f>IFERROR(VLOOKUP(A811,Internal_lists_bugs!$A$2:$I1001,9,FALSE()),"please select a BUG ID")</f>
        <v>please select a BUG ID</v>
      </c>
      <c r="E811" s="105"/>
      <c r="G811" s="54"/>
      <c r="H811" s="105"/>
    </row>
    <row r="812">
      <c r="A812" s="54"/>
      <c r="B812" s="88" t="str">
        <f>IFERROR(HYPERLINK(VLOOKUP(A812,Internal_lists_bugs!$A$2:$C$73,3,FALSE()), VLOOKUP(A812,Internal_lists_bugs!$A$2:$C$73,3,FALSE())&amp;Char(10) &amp; Char(10) &amp; VLOOKUP(A812,Internal_lists_bugs!$A$2:$Z$73,26,FALSE())),"please select a BUG ID")</f>
        <v>please select a BUG ID</v>
      </c>
      <c r="C812" s="51" t="str">
        <f>IFERROR(VLOOKUP(A812,Internal_lists_bugs!$A$2:$G1001,7,FALSE()),"please select a BUG ID")</f>
        <v>please select a BUG ID</v>
      </c>
      <c r="D812" s="51" t="str">
        <f>IFERROR(VLOOKUP(A812,Internal_lists_bugs!$A$2:$I1001,9,FALSE()),"please select a BUG ID")</f>
        <v>please select a BUG ID</v>
      </c>
      <c r="E812" s="105"/>
      <c r="G812" s="54"/>
      <c r="H812" s="105"/>
    </row>
    <row r="813">
      <c r="A813" s="54"/>
      <c r="B813" s="88" t="str">
        <f>IFERROR(HYPERLINK(VLOOKUP(A813,Internal_lists_bugs!$A$2:$C$73,3,FALSE()), VLOOKUP(A813,Internal_lists_bugs!$A$2:$C$73,3,FALSE())&amp;Char(10) &amp; Char(10) &amp; VLOOKUP(A813,Internal_lists_bugs!$A$2:$Z$73,26,FALSE())),"please select a BUG ID")</f>
        <v>please select a BUG ID</v>
      </c>
      <c r="C813" s="51" t="str">
        <f>IFERROR(VLOOKUP(A813,Internal_lists_bugs!$A$2:$G1001,7,FALSE()),"please select a BUG ID")</f>
        <v>please select a BUG ID</v>
      </c>
      <c r="D813" s="51" t="str">
        <f>IFERROR(VLOOKUP(A813,Internal_lists_bugs!$A$2:$I1001,9,FALSE()),"please select a BUG ID")</f>
        <v>please select a BUG ID</v>
      </c>
      <c r="E813" s="105"/>
      <c r="G813" s="54"/>
      <c r="H813" s="105"/>
    </row>
    <row r="814">
      <c r="A814" s="54"/>
      <c r="B814" s="88" t="str">
        <f>IFERROR(HYPERLINK(VLOOKUP(A814,Internal_lists_bugs!$A$2:$C$73,3,FALSE()), VLOOKUP(A814,Internal_lists_bugs!$A$2:$C$73,3,FALSE())&amp;Char(10) &amp; Char(10) &amp; VLOOKUP(A814,Internal_lists_bugs!$A$2:$Z$73,26,FALSE())),"please select a BUG ID")</f>
        <v>please select a BUG ID</v>
      </c>
      <c r="C814" s="51" t="str">
        <f>IFERROR(VLOOKUP(A814,Internal_lists_bugs!$A$2:$G1001,7,FALSE()),"please select a BUG ID")</f>
        <v>please select a BUG ID</v>
      </c>
      <c r="D814" s="51" t="str">
        <f>IFERROR(VLOOKUP(A814,Internal_lists_bugs!$A$2:$I1001,9,FALSE()),"please select a BUG ID")</f>
        <v>please select a BUG ID</v>
      </c>
      <c r="E814" s="105"/>
      <c r="G814" s="54"/>
      <c r="H814" s="105"/>
    </row>
    <row r="815">
      <c r="A815" s="54"/>
      <c r="B815" s="88" t="str">
        <f>IFERROR(HYPERLINK(VLOOKUP(A815,Internal_lists_bugs!$A$2:$C$73,3,FALSE()), VLOOKUP(A815,Internal_lists_bugs!$A$2:$C$73,3,FALSE())&amp;Char(10) &amp; Char(10) &amp; VLOOKUP(A815,Internal_lists_bugs!$A$2:$Z$73,26,FALSE())),"please select a BUG ID")</f>
        <v>please select a BUG ID</v>
      </c>
      <c r="C815" s="51" t="str">
        <f>IFERROR(VLOOKUP(A815,Internal_lists_bugs!$A$2:$G1001,7,FALSE()),"please select a BUG ID")</f>
        <v>please select a BUG ID</v>
      </c>
      <c r="D815" s="51" t="str">
        <f>IFERROR(VLOOKUP(A815,Internal_lists_bugs!$A$2:$I1001,9,FALSE()),"please select a BUG ID")</f>
        <v>please select a BUG ID</v>
      </c>
      <c r="E815" s="105"/>
      <c r="G815" s="54"/>
      <c r="H815" s="105"/>
    </row>
    <row r="816">
      <c r="A816" s="54"/>
      <c r="B816" s="88" t="str">
        <f>IFERROR(HYPERLINK(VLOOKUP(A816,Internal_lists_bugs!$A$2:$C$73,3,FALSE()), VLOOKUP(A816,Internal_lists_bugs!$A$2:$C$73,3,FALSE())&amp;Char(10) &amp; Char(10) &amp; VLOOKUP(A816,Internal_lists_bugs!$A$2:$Z$73,26,FALSE())),"please select a BUG ID")</f>
        <v>please select a BUG ID</v>
      </c>
      <c r="C816" s="51" t="str">
        <f>IFERROR(VLOOKUP(A816,Internal_lists_bugs!$A$2:$G1001,7,FALSE()),"please select a BUG ID")</f>
        <v>please select a BUG ID</v>
      </c>
      <c r="D816" s="51" t="str">
        <f>IFERROR(VLOOKUP(A816,Internal_lists_bugs!$A$2:$I1001,9,FALSE()),"please select a BUG ID")</f>
        <v>please select a BUG ID</v>
      </c>
      <c r="E816" s="105"/>
      <c r="G816" s="54"/>
      <c r="H816" s="105"/>
    </row>
    <row r="817">
      <c r="A817" s="54"/>
      <c r="B817" s="88" t="str">
        <f>IFERROR(HYPERLINK(VLOOKUP(A817,Internal_lists_bugs!$A$2:$C$73,3,FALSE()), VLOOKUP(A817,Internal_lists_bugs!$A$2:$C$73,3,FALSE())&amp;Char(10) &amp; Char(10) &amp; VLOOKUP(A817,Internal_lists_bugs!$A$2:$Z$73,26,FALSE())),"please select a BUG ID")</f>
        <v>please select a BUG ID</v>
      </c>
      <c r="C817" s="51" t="str">
        <f>IFERROR(VLOOKUP(A817,Internal_lists_bugs!$A$2:$G1001,7,FALSE()),"please select a BUG ID")</f>
        <v>please select a BUG ID</v>
      </c>
      <c r="D817" s="51" t="str">
        <f>IFERROR(VLOOKUP(A817,Internal_lists_bugs!$A$2:$I1001,9,FALSE()),"please select a BUG ID")</f>
        <v>please select a BUG ID</v>
      </c>
      <c r="E817" s="105"/>
      <c r="G817" s="54"/>
      <c r="H817" s="105"/>
    </row>
    <row r="818">
      <c r="A818" s="54"/>
      <c r="B818" s="88" t="str">
        <f>IFERROR(HYPERLINK(VLOOKUP(A818,Internal_lists_bugs!$A$2:$C$73,3,FALSE()), VLOOKUP(A818,Internal_lists_bugs!$A$2:$C$73,3,FALSE())&amp;Char(10) &amp; Char(10) &amp; VLOOKUP(A818,Internal_lists_bugs!$A$2:$Z$73,26,FALSE())),"please select a BUG ID")</f>
        <v>please select a BUG ID</v>
      </c>
      <c r="C818" s="51" t="str">
        <f>IFERROR(VLOOKUP(A818,Internal_lists_bugs!$A$2:$G1001,7,FALSE()),"please select a BUG ID")</f>
        <v>please select a BUG ID</v>
      </c>
      <c r="D818" s="51" t="str">
        <f>IFERROR(VLOOKUP(A818,Internal_lists_bugs!$A$2:$I1001,9,FALSE()),"please select a BUG ID")</f>
        <v>please select a BUG ID</v>
      </c>
      <c r="E818" s="105"/>
      <c r="G818" s="54"/>
      <c r="H818" s="105"/>
    </row>
    <row r="819">
      <c r="A819" s="54"/>
      <c r="B819" s="88" t="str">
        <f>IFERROR(HYPERLINK(VLOOKUP(A819,Internal_lists_bugs!$A$2:$C$73,3,FALSE()), VLOOKUP(A819,Internal_lists_bugs!$A$2:$C$73,3,FALSE())&amp;Char(10) &amp; Char(10) &amp; VLOOKUP(A819,Internal_lists_bugs!$A$2:$Z$73,26,FALSE())),"please select a BUG ID")</f>
        <v>please select a BUG ID</v>
      </c>
      <c r="C819" s="51" t="str">
        <f>IFERROR(VLOOKUP(A819,Internal_lists_bugs!$A$2:$G1001,7,FALSE()),"please select a BUG ID")</f>
        <v>please select a BUG ID</v>
      </c>
      <c r="D819" s="51" t="str">
        <f>IFERROR(VLOOKUP(A819,Internal_lists_bugs!$A$2:$I1001,9,FALSE()),"please select a BUG ID")</f>
        <v>please select a BUG ID</v>
      </c>
      <c r="E819" s="105"/>
      <c r="G819" s="54"/>
      <c r="H819" s="105"/>
    </row>
    <row r="820">
      <c r="A820" s="54"/>
      <c r="B820" s="88" t="str">
        <f>IFERROR(HYPERLINK(VLOOKUP(A820,Internal_lists_bugs!$A$2:$C$73,3,FALSE()), VLOOKUP(A820,Internal_lists_bugs!$A$2:$C$73,3,FALSE())&amp;Char(10) &amp; Char(10) &amp; VLOOKUP(A820,Internal_lists_bugs!$A$2:$Z$73,26,FALSE())),"please select a BUG ID")</f>
        <v>please select a BUG ID</v>
      </c>
      <c r="C820" s="51" t="str">
        <f>IFERROR(VLOOKUP(A820,Internal_lists_bugs!$A$2:$G1001,7,FALSE()),"please select a BUG ID")</f>
        <v>please select a BUG ID</v>
      </c>
      <c r="D820" s="51" t="str">
        <f>IFERROR(VLOOKUP(A820,Internal_lists_bugs!$A$2:$I1001,9,FALSE()),"please select a BUG ID")</f>
        <v>please select a BUG ID</v>
      </c>
      <c r="E820" s="105"/>
      <c r="G820" s="54"/>
      <c r="H820" s="105"/>
    </row>
    <row r="821">
      <c r="A821" s="54"/>
      <c r="B821" s="88" t="str">
        <f>IFERROR(HYPERLINK(VLOOKUP(A821,Internal_lists_bugs!$A$2:$C$73,3,FALSE()), VLOOKUP(A821,Internal_lists_bugs!$A$2:$C$73,3,FALSE())&amp;Char(10) &amp; Char(10) &amp; VLOOKUP(A821,Internal_lists_bugs!$A$2:$Z$73,26,FALSE())),"please select a BUG ID")</f>
        <v>please select a BUG ID</v>
      </c>
      <c r="C821" s="51" t="str">
        <f>IFERROR(VLOOKUP(A821,Internal_lists_bugs!$A$2:$G1001,7,FALSE()),"please select a BUG ID")</f>
        <v>please select a BUG ID</v>
      </c>
      <c r="D821" s="51" t="str">
        <f>IFERROR(VLOOKUP(A821,Internal_lists_bugs!$A$2:$I1001,9,FALSE()),"please select a BUG ID")</f>
        <v>please select a BUG ID</v>
      </c>
      <c r="E821" s="105"/>
      <c r="G821" s="54"/>
      <c r="H821" s="105"/>
    </row>
    <row r="822">
      <c r="A822" s="54"/>
      <c r="B822" s="88" t="str">
        <f>IFERROR(HYPERLINK(VLOOKUP(A822,Internal_lists_bugs!$A$2:$C$73,3,FALSE()), VLOOKUP(A822,Internal_lists_bugs!$A$2:$C$73,3,FALSE())&amp;Char(10) &amp; Char(10) &amp; VLOOKUP(A822,Internal_lists_bugs!$A$2:$Z$73,26,FALSE())),"please select a BUG ID")</f>
        <v>please select a BUG ID</v>
      </c>
      <c r="C822" s="51" t="str">
        <f>IFERROR(VLOOKUP(A822,Internal_lists_bugs!$A$2:$G1001,7,FALSE()),"please select a BUG ID")</f>
        <v>please select a BUG ID</v>
      </c>
      <c r="D822" s="51" t="str">
        <f>IFERROR(VLOOKUP(A822,Internal_lists_bugs!$A$2:$I1001,9,FALSE()),"please select a BUG ID")</f>
        <v>please select a BUG ID</v>
      </c>
      <c r="E822" s="105"/>
      <c r="G822" s="54"/>
      <c r="H822" s="105"/>
    </row>
    <row r="823">
      <c r="A823" s="54"/>
      <c r="B823" s="88" t="str">
        <f>IFERROR(HYPERLINK(VLOOKUP(A823,Internal_lists_bugs!$A$2:$C$73,3,FALSE()), VLOOKUP(A823,Internal_lists_bugs!$A$2:$C$73,3,FALSE())&amp;Char(10) &amp; Char(10) &amp; VLOOKUP(A823,Internal_lists_bugs!$A$2:$Z$73,26,FALSE())),"please select a BUG ID")</f>
        <v>please select a BUG ID</v>
      </c>
      <c r="C823" s="51" t="str">
        <f>IFERROR(VLOOKUP(A823,Internal_lists_bugs!$A$2:$G1001,7,FALSE()),"please select a BUG ID")</f>
        <v>please select a BUG ID</v>
      </c>
      <c r="D823" s="51" t="str">
        <f>IFERROR(VLOOKUP(A823,Internal_lists_bugs!$A$2:$I1001,9,FALSE()),"please select a BUG ID")</f>
        <v>please select a BUG ID</v>
      </c>
      <c r="E823" s="105"/>
      <c r="G823" s="54"/>
      <c r="H823" s="105"/>
    </row>
    <row r="824">
      <c r="A824" s="54"/>
      <c r="B824" s="88" t="str">
        <f>IFERROR(HYPERLINK(VLOOKUP(A824,Internal_lists_bugs!$A$2:$C$73,3,FALSE()), VLOOKUP(A824,Internal_lists_bugs!$A$2:$C$73,3,FALSE())&amp;Char(10) &amp; Char(10) &amp; VLOOKUP(A824,Internal_lists_bugs!$A$2:$Z$73,26,FALSE())),"please select a BUG ID")</f>
        <v>please select a BUG ID</v>
      </c>
      <c r="C824" s="51" t="str">
        <f>IFERROR(VLOOKUP(A824,Internal_lists_bugs!$A$2:$G1001,7,FALSE()),"please select a BUG ID")</f>
        <v>please select a BUG ID</v>
      </c>
      <c r="D824" s="51" t="str">
        <f>IFERROR(VLOOKUP(A824,Internal_lists_bugs!$A$2:$I1001,9,FALSE()),"please select a BUG ID")</f>
        <v>please select a BUG ID</v>
      </c>
      <c r="E824" s="105"/>
      <c r="G824" s="54"/>
      <c r="H824" s="105"/>
    </row>
    <row r="825">
      <c r="A825" s="54"/>
      <c r="B825" s="88" t="str">
        <f>IFERROR(HYPERLINK(VLOOKUP(A825,Internal_lists_bugs!$A$2:$C$73,3,FALSE()), VLOOKUP(A825,Internal_lists_bugs!$A$2:$C$73,3,FALSE())&amp;Char(10) &amp; Char(10) &amp; VLOOKUP(A825,Internal_lists_bugs!$A$2:$Z$73,26,FALSE())),"please select a BUG ID")</f>
        <v>please select a BUG ID</v>
      </c>
      <c r="C825" s="51" t="str">
        <f>IFERROR(VLOOKUP(A825,Internal_lists_bugs!$A$2:$G1001,7,FALSE()),"please select a BUG ID")</f>
        <v>please select a BUG ID</v>
      </c>
      <c r="D825" s="51" t="str">
        <f>IFERROR(VLOOKUP(A825,Internal_lists_bugs!$A$2:$I1001,9,FALSE()),"please select a BUG ID")</f>
        <v>please select a BUG ID</v>
      </c>
      <c r="E825" s="105"/>
      <c r="G825" s="54"/>
      <c r="H825" s="105"/>
    </row>
    <row r="826">
      <c r="A826" s="54"/>
      <c r="B826" s="88" t="str">
        <f>IFERROR(HYPERLINK(VLOOKUP(A826,Internal_lists_bugs!$A$2:$C$73,3,FALSE()), VLOOKUP(A826,Internal_lists_bugs!$A$2:$C$73,3,FALSE())&amp;Char(10) &amp; Char(10) &amp; VLOOKUP(A826,Internal_lists_bugs!$A$2:$Z$73,26,FALSE())),"please select a BUG ID")</f>
        <v>please select a BUG ID</v>
      </c>
      <c r="C826" s="51" t="str">
        <f>IFERROR(VLOOKUP(A826,Internal_lists_bugs!$A$2:$G1001,7,FALSE()),"please select a BUG ID")</f>
        <v>please select a BUG ID</v>
      </c>
      <c r="D826" s="51" t="str">
        <f>IFERROR(VLOOKUP(A826,Internal_lists_bugs!$A$2:$I1001,9,FALSE()),"please select a BUG ID")</f>
        <v>please select a BUG ID</v>
      </c>
      <c r="E826" s="105"/>
      <c r="G826" s="54"/>
      <c r="H826" s="105"/>
    </row>
    <row r="827">
      <c r="A827" s="54"/>
      <c r="B827" s="88" t="str">
        <f>IFERROR(HYPERLINK(VLOOKUP(A827,Internal_lists_bugs!$A$2:$C$73,3,FALSE()), VLOOKUP(A827,Internal_lists_bugs!$A$2:$C$73,3,FALSE())&amp;Char(10) &amp; Char(10) &amp; VLOOKUP(A827,Internal_lists_bugs!$A$2:$Z$73,26,FALSE())),"please select a BUG ID")</f>
        <v>please select a BUG ID</v>
      </c>
      <c r="C827" s="51" t="str">
        <f>IFERROR(VLOOKUP(A827,Internal_lists_bugs!$A$2:$G1001,7,FALSE()),"please select a BUG ID")</f>
        <v>please select a BUG ID</v>
      </c>
      <c r="D827" s="51" t="str">
        <f>IFERROR(VLOOKUP(A827,Internal_lists_bugs!$A$2:$I1001,9,FALSE()),"please select a BUG ID")</f>
        <v>please select a BUG ID</v>
      </c>
      <c r="E827" s="105"/>
      <c r="G827" s="54"/>
      <c r="H827" s="105"/>
    </row>
    <row r="828">
      <c r="A828" s="54"/>
      <c r="B828" s="88" t="str">
        <f>IFERROR(HYPERLINK(VLOOKUP(A828,Internal_lists_bugs!$A$2:$C$73,3,FALSE()), VLOOKUP(A828,Internal_lists_bugs!$A$2:$C$73,3,FALSE())&amp;Char(10) &amp; Char(10) &amp; VLOOKUP(A828,Internal_lists_bugs!$A$2:$Z$73,26,FALSE())),"please select a BUG ID")</f>
        <v>please select a BUG ID</v>
      </c>
      <c r="C828" s="51" t="str">
        <f>IFERROR(VLOOKUP(A828,Internal_lists_bugs!$A$2:$G1001,7,FALSE()),"please select a BUG ID")</f>
        <v>please select a BUG ID</v>
      </c>
      <c r="D828" s="51" t="str">
        <f>IFERROR(VLOOKUP(A828,Internal_lists_bugs!$A$2:$I1001,9,FALSE()),"please select a BUG ID")</f>
        <v>please select a BUG ID</v>
      </c>
      <c r="E828" s="105"/>
      <c r="G828" s="54"/>
      <c r="H828" s="105"/>
    </row>
    <row r="829">
      <c r="A829" s="54"/>
      <c r="B829" s="88" t="str">
        <f>IFERROR(HYPERLINK(VLOOKUP(A829,Internal_lists_bugs!$A$2:$C$73,3,FALSE()), VLOOKUP(A829,Internal_lists_bugs!$A$2:$C$73,3,FALSE())&amp;Char(10) &amp; Char(10) &amp; VLOOKUP(A829,Internal_lists_bugs!$A$2:$Z$73,26,FALSE())),"please select a BUG ID")</f>
        <v>please select a BUG ID</v>
      </c>
      <c r="C829" s="51" t="str">
        <f>IFERROR(VLOOKUP(A829,Internal_lists_bugs!$A$2:$G1001,7,FALSE()),"please select a BUG ID")</f>
        <v>please select a BUG ID</v>
      </c>
      <c r="D829" s="51" t="str">
        <f>IFERROR(VLOOKUP(A829,Internal_lists_bugs!$A$2:$I1001,9,FALSE()),"please select a BUG ID")</f>
        <v>please select a BUG ID</v>
      </c>
      <c r="E829" s="105"/>
      <c r="G829" s="54"/>
      <c r="H829" s="105"/>
    </row>
    <row r="830">
      <c r="A830" s="54"/>
      <c r="B830" s="88" t="str">
        <f>IFERROR(HYPERLINK(VLOOKUP(A830,Internal_lists_bugs!$A$2:$C$73,3,FALSE()), VLOOKUP(A830,Internal_lists_bugs!$A$2:$C$73,3,FALSE())&amp;Char(10) &amp; Char(10) &amp; VLOOKUP(A830,Internal_lists_bugs!$A$2:$Z$73,26,FALSE())),"please select a BUG ID")</f>
        <v>please select a BUG ID</v>
      </c>
      <c r="C830" s="51" t="str">
        <f>IFERROR(VLOOKUP(A830,Internal_lists_bugs!$A$2:$G1001,7,FALSE()),"please select a BUG ID")</f>
        <v>please select a BUG ID</v>
      </c>
      <c r="D830" s="51" t="str">
        <f>IFERROR(VLOOKUP(A830,Internal_lists_bugs!$A$2:$I1001,9,FALSE()),"please select a BUG ID")</f>
        <v>please select a BUG ID</v>
      </c>
      <c r="E830" s="105"/>
      <c r="G830" s="54"/>
      <c r="H830" s="105"/>
    </row>
    <row r="831">
      <c r="A831" s="54"/>
      <c r="B831" s="88" t="str">
        <f>IFERROR(HYPERLINK(VLOOKUP(A831,Internal_lists_bugs!$A$2:$C$73,3,FALSE()), VLOOKUP(A831,Internal_lists_bugs!$A$2:$C$73,3,FALSE())&amp;Char(10) &amp; Char(10) &amp; VLOOKUP(A831,Internal_lists_bugs!$A$2:$Z$73,26,FALSE())),"please select a BUG ID")</f>
        <v>please select a BUG ID</v>
      </c>
      <c r="C831" s="51" t="str">
        <f>IFERROR(VLOOKUP(A831,Internal_lists_bugs!$A$2:$G1001,7,FALSE()),"please select a BUG ID")</f>
        <v>please select a BUG ID</v>
      </c>
      <c r="D831" s="51" t="str">
        <f>IFERROR(VLOOKUP(A831,Internal_lists_bugs!$A$2:$I1001,9,FALSE()),"please select a BUG ID")</f>
        <v>please select a BUG ID</v>
      </c>
      <c r="E831" s="105"/>
      <c r="G831" s="54"/>
      <c r="H831" s="105"/>
    </row>
    <row r="832">
      <c r="A832" s="54"/>
      <c r="B832" s="88" t="str">
        <f>IFERROR(HYPERLINK(VLOOKUP(A832,Internal_lists_bugs!$A$2:$C$73,3,FALSE()), VLOOKUP(A832,Internal_lists_bugs!$A$2:$C$73,3,FALSE())&amp;Char(10) &amp; Char(10) &amp; VLOOKUP(A832,Internal_lists_bugs!$A$2:$Z$73,26,FALSE())),"please select a BUG ID")</f>
        <v>please select a BUG ID</v>
      </c>
      <c r="C832" s="51" t="str">
        <f>IFERROR(VLOOKUP(A832,Internal_lists_bugs!$A$2:$G1001,7,FALSE()),"please select a BUG ID")</f>
        <v>please select a BUG ID</v>
      </c>
      <c r="D832" s="51" t="str">
        <f>IFERROR(VLOOKUP(A832,Internal_lists_bugs!$A$2:$I1001,9,FALSE()),"please select a BUG ID")</f>
        <v>please select a BUG ID</v>
      </c>
      <c r="E832" s="105"/>
      <c r="G832" s="54"/>
      <c r="H832" s="105"/>
    </row>
    <row r="833">
      <c r="A833" s="54"/>
      <c r="B833" s="88" t="str">
        <f>IFERROR(HYPERLINK(VLOOKUP(A833,Internal_lists_bugs!$A$2:$C$73,3,FALSE()), VLOOKUP(A833,Internal_lists_bugs!$A$2:$C$73,3,FALSE())&amp;Char(10) &amp; Char(10) &amp; VLOOKUP(A833,Internal_lists_bugs!$A$2:$Z$73,26,FALSE())),"please select a BUG ID")</f>
        <v>please select a BUG ID</v>
      </c>
      <c r="C833" s="51" t="str">
        <f>IFERROR(VLOOKUP(A833,Internal_lists_bugs!$A$2:$G1001,7,FALSE()),"please select a BUG ID")</f>
        <v>please select a BUG ID</v>
      </c>
      <c r="D833" s="51" t="str">
        <f>IFERROR(VLOOKUP(A833,Internal_lists_bugs!$A$2:$I1001,9,FALSE()),"please select a BUG ID")</f>
        <v>please select a BUG ID</v>
      </c>
      <c r="E833" s="105"/>
      <c r="G833" s="54"/>
      <c r="H833" s="105"/>
    </row>
    <row r="834">
      <c r="A834" s="54"/>
      <c r="B834" s="88" t="str">
        <f>IFERROR(HYPERLINK(VLOOKUP(A834,Internal_lists_bugs!$A$2:$C$73,3,FALSE()), VLOOKUP(A834,Internal_lists_bugs!$A$2:$C$73,3,FALSE())&amp;Char(10) &amp; Char(10) &amp; VLOOKUP(A834,Internal_lists_bugs!$A$2:$Z$73,26,FALSE())),"please select a BUG ID")</f>
        <v>please select a BUG ID</v>
      </c>
      <c r="C834" s="51" t="str">
        <f>IFERROR(VLOOKUP(A834,Internal_lists_bugs!$A$2:$G1001,7,FALSE()),"please select a BUG ID")</f>
        <v>please select a BUG ID</v>
      </c>
      <c r="D834" s="51" t="str">
        <f>IFERROR(VLOOKUP(A834,Internal_lists_bugs!$A$2:$I1001,9,FALSE()),"please select a BUG ID")</f>
        <v>please select a BUG ID</v>
      </c>
      <c r="E834" s="105"/>
      <c r="G834" s="54"/>
      <c r="H834" s="105"/>
    </row>
    <row r="835">
      <c r="A835" s="54"/>
      <c r="B835" s="88" t="str">
        <f>IFERROR(HYPERLINK(VLOOKUP(A835,Internal_lists_bugs!$A$2:$C$73,3,FALSE()), VLOOKUP(A835,Internal_lists_bugs!$A$2:$C$73,3,FALSE())&amp;Char(10) &amp; Char(10) &amp; VLOOKUP(A835,Internal_lists_bugs!$A$2:$Z$73,26,FALSE())),"please select a BUG ID")</f>
        <v>please select a BUG ID</v>
      </c>
      <c r="C835" s="51" t="str">
        <f>IFERROR(VLOOKUP(A835,Internal_lists_bugs!$A$2:$G1001,7,FALSE()),"please select a BUG ID")</f>
        <v>please select a BUG ID</v>
      </c>
      <c r="D835" s="51" t="str">
        <f>IFERROR(VLOOKUP(A835,Internal_lists_bugs!$A$2:$I1001,9,FALSE()),"please select a BUG ID")</f>
        <v>please select a BUG ID</v>
      </c>
      <c r="E835" s="105"/>
      <c r="G835" s="54"/>
      <c r="H835" s="105"/>
    </row>
    <row r="836">
      <c r="A836" s="54"/>
      <c r="B836" s="88" t="str">
        <f>IFERROR(HYPERLINK(VLOOKUP(A836,Internal_lists_bugs!$A$2:$C$73,3,FALSE()), VLOOKUP(A836,Internal_lists_bugs!$A$2:$C$73,3,FALSE())&amp;Char(10) &amp; Char(10) &amp; VLOOKUP(A836,Internal_lists_bugs!$A$2:$Z$73,26,FALSE())),"please select a BUG ID")</f>
        <v>please select a BUG ID</v>
      </c>
      <c r="C836" s="51" t="str">
        <f>IFERROR(VLOOKUP(A836,Internal_lists_bugs!$A$2:$G1001,7,FALSE()),"please select a BUG ID")</f>
        <v>please select a BUG ID</v>
      </c>
      <c r="D836" s="51" t="str">
        <f>IFERROR(VLOOKUP(A836,Internal_lists_bugs!$A$2:$I1001,9,FALSE()),"please select a BUG ID")</f>
        <v>please select a BUG ID</v>
      </c>
      <c r="E836" s="105"/>
      <c r="G836" s="54"/>
      <c r="H836" s="105"/>
    </row>
    <row r="837">
      <c r="A837" s="54"/>
      <c r="B837" s="88" t="str">
        <f>IFERROR(HYPERLINK(VLOOKUP(A837,Internal_lists_bugs!$A$2:$C$73,3,FALSE()), VLOOKUP(A837,Internal_lists_bugs!$A$2:$C$73,3,FALSE())&amp;Char(10) &amp; Char(10) &amp; VLOOKUP(A837,Internal_lists_bugs!$A$2:$Z$73,26,FALSE())),"please select a BUG ID")</f>
        <v>please select a BUG ID</v>
      </c>
      <c r="C837" s="51" t="str">
        <f>IFERROR(VLOOKUP(A837,Internal_lists_bugs!$A$2:$G1001,7,FALSE()),"please select a BUG ID")</f>
        <v>please select a BUG ID</v>
      </c>
      <c r="D837" s="51" t="str">
        <f>IFERROR(VLOOKUP(A837,Internal_lists_bugs!$A$2:$I1001,9,FALSE()),"please select a BUG ID")</f>
        <v>please select a BUG ID</v>
      </c>
      <c r="E837" s="105"/>
      <c r="G837" s="54"/>
      <c r="H837" s="105"/>
    </row>
    <row r="838">
      <c r="A838" s="54"/>
      <c r="B838" s="88" t="str">
        <f>IFERROR(HYPERLINK(VLOOKUP(A838,Internal_lists_bugs!$A$2:$C$73,3,FALSE()), VLOOKUP(A838,Internal_lists_bugs!$A$2:$C$73,3,FALSE())&amp;Char(10) &amp; Char(10) &amp; VLOOKUP(A838,Internal_lists_bugs!$A$2:$Z$73,26,FALSE())),"please select a BUG ID")</f>
        <v>please select a BUG ID</v>
      </c>
      <c r="C838" s="51" t="str">
        <f>IFERROR(VLOOKUP(A838,Internal_lists_bugs!$A$2:$G1001,7,FALSE()),"please select a BUG ID")</f>
        <v>please select a BUG ID</v>
      </c>
      <c r="D838" s="51" t="str">
        <f>IFERROR(VLOOKUP(A838,Internal_lists_bugs!$A$2:$I1001,9,FALSE()),"please select a BUG ID")</f>
        <v>please select a BUG ID</v>
      </c>
      <c r="E838" s="105"/>
      <c r="G838" s="54"/>
      <c r="H838" s="105"/>
    </row>
    <row r="839">
      <c r="A839" s="54"/>
      <c r="B839" s="88" t="str">
        <f>IFERROR(HYPERLINK(VLOOKUP(A839,Internal_lists_bugs!$A$2:$C$73,3,FALSE()), VLOOKUP(A839,Internal_lists_bugs!$A$2:$C$73,3,FALSE())&amp;Char(10) &amp; Char(10) &amp; VLOOKUP(A839,Internal_lists_bugs!$A$2:$Z$73,26,FALSE())),"please select a BUG ID")</f>
        <v>please select a BUG ID</v>
      </c>
      <c r="C839" s="51" t="str">
        <f>IFERROR(VLOOKUP(A839,Internal_lists_bugs!$A$2:$G1001,7,FALSE()),"please select a BUG ID")</f>
        <v>please select a BUG ID</v>
      </c>
      <c r="D839" s="51" t="str">
        <f>IFERROR(VLOOKUP(A839,Internal_lists_bugs!$A$2:$I1001,9,FALSE()),"please select a BUG ID")</f>
        <v>please select a BUG ID</v>
      </c>
      <c r="E839" s="105"/>
      <c r="G839" s="54"/>
      <c r="H839" s="105"/>
    </row>
    <row r="840">
      <c r="A840" s="54"/>
      <c r="B840" s="88" t="str">
        <f>IFERROR(HYPERLINK(VLOOKUP(A840,Internal_lists_bugs!$A$2:$C$73,3,FALSE()), VLOOKUP(A840,Internal_lists_bugs!$A$2:$C$73,3,FALSE())&amp;Char(10) &amp; Char(10) &amp; VLOOKUP(A840,Internal_lists_bugs!$A$2:$Z$73,26,FALSE())),"please select a BUG ID")</f>
        <v>please select a BUG ID</v>
      </c>
      <c r="C840" s="51" t="str">
        <f>IFERROR(VLOOKUP(A840,Internal_lists_bugs!$A$2:$G1001,7,FALSE()),"please select a BUG ID")</f>
        <v>please select a BUG ID</v>
      </c>
      <c r="D840" s="51" t="str">
        <f>IFERROR(VLOOKUP(A840,Internal_lists_bugs!$A$2:$I1001,9,FALSE()),"please select a BUG ID")</f>
        <v>please select a BUG ID</v>
      </c>
      <c r="E840" s="105"/>
      <c r="G840" s="54"/>
      <c r="H840" s="105"/>
    </row>
    <row r="841">
      <c r="A841" s="54"/>
      <c r="B841" s="88" t="str">
        <f>IFERROR(HYPERLINK(VLOOKUP(A841,Internal_lists_bugs!$A$2:$C$73,3,FALSE()), VLOOKUP(A841,Internal_lists_bugs!$A$2:$C$73,3,FALSE())&amp;Char(10) &amp; Char(10) &amp; VLOOKUP(A841,Internal_lists_bugs!$A$2:$Z$73,26,FALSE())),"please select a BUG ID")</f>
        <v>please select a BUG ID</v>
      </c>
      <c r="C841" s="51" t="str">
        <f>IFERROR(VLOOKUP(A841,Internal_lists_bugs!$A$2:$G1001,7,FALSE()),"please select a BUG ID")</f>
        <v>please select a BUG ID</v>
      </c>
      <c r="D841" s="51" t="str">
        <f>IFERROR(VLOOKUP(A841,Internal_lists_bugs!$A$2:$I1001,9,FALSE()),"please select a BUG ID")</f>
        <v>please select a BUG ID</v>
      </c>
      <c r="E841" s="105"/>
      <c r="G841" s="54"/>
      <c r="H841" s="105"/>
    </row>
    <row r="842">
      <c r="A842" s="54"/>
      <c r="B842" s="88" t="str">
        <f>IFERROR(HYPERLINK(VLOOKUP(A842,Internal_lists_bugs!$A$2:$C$73,3,FALSE()), VLOOKUP(A842,Internal_lists_bugs!$A$2:$C$73,3,FALSE())&amp;Char(10) &amp; Char(10) &amp; VLOOKUP(A842,Internal_lists_bugs!$A$2:$Z$73,26,FALSE())),"please select a BUG ID")</f>
        <v>please select a BUG ID</v>
      </c>
      <c r="C842" s="51" t="str">
        <f>IFERROR(VLOOKUP(A842,Internal_lists_bugs!$A$2:$G1001,7,FALSE()),"please select a BUG ID")</f>
        <v>please select a BUG ID</v>
      </c>
      <c r="D842" s="51" t="str">
        <f>IFERROR(VLOOKUP(A842,Internal_lists_bugs!$A$2:$I1001,9,FALSE()),"please select a BUG ID")</f>
        <v>please select a BUG ID</v>
      </c>
      <c r="E842" s="105"/>
      <c r="G842" s="54"/>
      <c r="H842" s="105"/>
    </row>
    <row r="843">
      <c r="A843" s="54"/>
      <c r="B843" s="88" t="str">
        <f>IFERROR(HYPERLINK(VLOOKUP(A843,Internal_lists_bugs!$A$2:$C$73,3,FALSE()), VLOOKUP(A843,Internal_lists_bugs!$A$2:$C$73,3,FALSE())&amp;Char(10) &amp; Char(10) &amp; VLOOKUP(A843,Internal_lists_bugs!$A$2:$Z$73,26,FALSE())),"please select a BUG ID")</f>
        <v>please select a BUG ID</v>
      </c>
      <c r="C843" s="51" t="str">
        <f>IFERROR(VLOOKUP(A843,Internal_lists_bugs!$A$2:$G1001,7,FALSE()),"please select a BUG ID")</f>
        <v>please select a BUG ID</v>
      </c>
      <c r="D843" s="51" t="str">
        <f>IFERROR(VLOOKUP(A843,Internal_lists_bugs!$A$2:$I1001,9,FALSE()),"please select a BUG ID")</f>
        <v>please select a BUG ID</v>
      </c>
      <c r="E843" s="105"/>
      <c r="G843" s="54"/>
      <c r="H843" s="105"/>
    </row>
    <row r="844">
      <c r="A844" s="54"/>
      <c r="B844" s="88" t="str">
        <f>IFERROR(HYPERLINK(VLOOKUP(A844,Internal_lists_bugs!$A$2:$C$73,3,FALSE()), VLOOKUP(A844,Internal_lists_bugs!$A$2:$C$73,3,FALSE())&amp;Char(10) &amp; Char(10) &amp; VLOOKUP(A844,Internal_lists_bugs!$A$2:$Z$73,26,FALSE())),"please select a BUG ID")</f>
        <v>please select a BUG ID</v>
      </c>
      <c r="C844" s="51" t="str">
        <f>IFERROR(VLOOKUP(A844,Internal_lists_bugs!$A$2:$G1001,7,FALSE()),"please select a BUG ID")</f>
        <v>please select a BUG ID</v>
      </c>
      <c r="D844" s="51" t="str">
        <f>IFERROR(VLOOKUP(A844,Internal_lists_bugs!$A$2:$I1001,9,FALSE()),"please select a BUG ID")</f>
        <v>please select a BUG ID</v>
      </c>
      <c r="E844" s="105"/>
      <c r="G844" s="54"/>
      <c r="H844" s="105"/>
    </row>
    <row r="845">
      <c r="A845" s="54"/>
      <c r="B845" s="88" t="str">
        <f>IFERROR(HYPERLINK(VLOOKUP(A845,Internal_lists_bugs!$A$2:$C$73,3,FALSE()), VLOOKUP(A845,Internal_lists_bugs!$A$2:$C$73,3,FALSE())&amp;Char(10) &amp; Char(10) &amp; VLOOKUP(A845,Internal_lists_bugs!$A$2:$Z$73,26,FALSE())),"please select a BUG ID")</f>
        <v>please select a BUG ID</v>
      </c>
      <c r="C845" s="51" t="str">
        <f>IFERROR(VLOOKUP(A845,Internal_lists_bugs!$A$2:$G1001,7,FALSE()),"please select a BUG ID")</f>
        <v>please select a BUG ID</v>
      </c>
      <c r="D845" s="51" t="str">
        <f>IFERROR(VLOOKUP(A845,Internal_lists_bugs!$A$2:$I1001,9,FALSE()),"please select a BUG ID")</f>
        <v>please select a BUG ID</v>
      </c>
      <c r="E845" s="105"/>
      <c r="G845" s="54"/>
      <c r="H845" s="105"/>
    </row>
    <row r="846">
      <c r="A846" s="54"/>
      <c r="B846" s="88" t="str">
        <f>IFERROR(HYPERLINK(VLOOKUP(A846,Internal_lists_bugs!$A$2:$C$73,3,FALSE()), VLOOKUP(A846,Internal_lists_bugs!$A$2:$C$73,3,FALSE())&amp;Char(10) &amp; Char(10) &amp; VLOOKUP(A846,Internal_lists_bugs!$A$2:$Z$73,26,FALSE())),"please select a BUG ID")</f>
        <v>please select a BUG ID</v>
      </c>
      <c r="C846" s="51" t="str">
        <f>IFERROR(VLOOKUP(A846,Internal_lists_bugs!$A$2:$G1001,7,FALSE()),"please select a BUG ID")</f>
        <v>please select a BUG ID</v>
      </c>
      <c r="D846" s="51" t="str">
        <f>IFERROR(VLOOKUP(A846,Internal_lists_bugs!$A$2:$I1001,9,FALSE()),"please select a BUG ID")</f>
        <v>please select a BUG ID</v>
      </c>
      <c r="E846" s="105"/>
      <c r="G846" s="54"/>
      <c r="H846" s="105"/>
    </row>
    <row r="847">
      <c r="A847" s="54"/>
      <c r="B847" s="88" t="str">
        <f>IFERROR(HYPERLINK(VLOOKUP(A847,Internal_lists_bugs!$A$2:$C$73,3,FALSE()), VLOOKUP(A847,Internal_lists_bugs!$A$2:$C$73,3,FALSE())&amp;Char(10) &amp; Char(10) &amp; VLOOKUP(A847,Internal_lists_bugs!$A$2:$Z$73,26,FALSE())),"please select a BUG ID")</f>
        <v>please select a BUG ID</v>
      </c>
      <c r="C847" s="51" t="str">
        <f>IFERROR(VLOOKUP(A847,Internal_lists_bugs!$A$2:$G1001,7,FALSE()),"please select a BUG ID")</f>
        <v>please select a BUG ID</v>
      </c>
      <c r="D847" s="51" t="str">
        <f>IFERROR(VLOOKUP(A847,Internal_lists_bugs!$A$2:$I1001,9,FALSE()),"please select a BUG ID")</f>
        <v>please select a BUG ID</v>
      </c>
      <c r="E847" s="105"/>
      <c r="G847" s="54"/>
      <c r="H847" s="105"/>
    </row>
    <row r="848">
      <c r="A848" s="54"/>
      <c r="B848" s="88" t="str">
        <f>IFERROR(HYPERLINK(VLOOKUP(A848,Internal_lists_bugs!$A$2:$C$73,3,FALSE()), VLOOKUP(A848,Internal_lists_bugs!$A$2:$C$73,3,FALSE())&amp;Char(10) &amp; Char(10) &amp; VLOOKUP(A848,Internal_lists_bugs!$A$2:$Z$73,26,FALSE())),"please select a BUG ID")</f>
        <v>please select a BUG ID</v>
      </c>
      <c r="C848" s="51" t="str">
        <f>IFERROR(VLOOKUP(A848,Internal_lists_bugs!$A$2:$G1001,7,FALSE()),"please select a BUG ID")</f>
        <v>please select a BUG ID</v>
      </c>
      <c r="D848" s="51" t="str">
        <f>IFERROR(VLOOKUP(A848,Internal_lists_bugs!$A$2:$I1001,9,FALSE()),"please select a BUG ID")</f>
        <v>please select a BUG ID</v>
      </c>
      <c r="E848" s="105"/>
      <c r="G848" s="54"/>
      <c r="H848" s="105"/>
    </row>
    <row r="849">
      <c r="A849" s="54"/>
      <c r="B849" s="88" t="str">
        <f>IFERROR(HYPERLINK(VLOOKUP(A849,Internal_lists_bugs!$A$2:$C$73,3,FALSE()), VLOOKUP(A849,Internal_lists_bugs!$A$2:$C$73,3,FALSE())&amp;Char(10) &amp; Char(10) &amp; VLOOKUP(A849,Internal_lists_bugs!$A$2:$Z$73,26,FALSE())),"please select a BUG ID")</f>
        <v>please select a BUG ID</v>
      </c>
      <c r="C849" s="51" t="str">
        <f>IFERROR(VLOOKUP(A849,Internal_lists_bugs!$A$2:$G1001,7,FALSE()),"please select a BUG ID")</f>
        <v>please select a BUG ID</v>
      </c>
      <c r="D849" s="51" t="str">
        <f>IFERROR(VLOOKUP(A849,Internal_lists_bugs!$A$2:$I1001,9,FALSE()),"please select a BUG ID")</f>
        <v>please select a BUG ID</v>
      </c>
      <c r="E849" s="105"/>
      <c r="G849" s="54"/>
      <c r="H849" s="105"/>
    </row>
    <row r="850">
      <c r="A850" s="54"/>
      <c r="B850" s="88" t="str">
        <f>IFERROR(HYPERLINK(VLOOKUP(A850,Internal_lists_bugs!$A$2:$C$73,3,FALSE()), VLOOKUP(A850,Internal_lists_bugs!$A$2:$C$73,3,FALSE())&amp;Char(10) &amp; Char(10) &amp; VLOOKUP(A850,Internal_lists_bugs!$A$2:$Z$73,26,FALSE())),"please select a BUG ID")</f>
        <v>please select a BUG ID</v>
      </c>
      <c r="C850" s="51" t="str">
        <f>IFERROR(VLOOKUP(A850,Internal_lists_bugs!$A$2:$G1001,7,FALSE()),"please select a BUG ID")</f>
        <v>please select a BUG ID</v>
      </c>
      <c r="D850" s="51" t="str">
        <f>IFERROR(VLOOKUP(A850,Internal_lists_bugs!$A$2:$I1001,9,FALSE()),"please select a BUG ID")</f>
        <v>please select a BUG ID</v>
      </c>
      <c r="E850" s="105"/>
      <c r="G850" s="54"/>
      <c r="H850" s="105"/>
    </row>
    <row r="851">
      <c r="A851" s="54"/>
      <c r="B851" s="88" t="str">
        <f>IFERROR(HYPERLINK(VLOOKUP(A851,Internal_lists_bugs!$A$2:$C$73,3,FALSE()), VLOOKUP(A851,Internal_lists_bugs!$A$2:$C$73,3,FALSE())&amp;Char(10) &amp; Char(10) &amp; VLOOKUP(A851,Internal_lists_bugs!$A$2:$Z$73,26,FALSE())),"please select a BUG ID")</f>
        <v>please select a BUG ID</v>
      </c>
      <c r="C851" s="51" t="str">
        <f>IFERROR(VLOOKUP(A851,Internal_lists_bugs!$A$2:$G1001,7,FALSE()),"please select a BUG ID")</f>
        <v>please select a BUG ID</v>
      </c>
      <c r="D851" s="51" t="str">
        <f>IFERROR(VLOOKUP(A851,Internal_lists_bugs!$A$2:$I1001,9,FALSE()),"please select a BUG ID")</f>
        <v>please select a BUG ID</v>
      </c>
      <c r="E851" s="105"/>
      <c r="G851" s="54"/>
      <c r="H851" s="105"/>
    </row>
    <row r="852">
      <c r="A852" s="54"/>
      <c r="B852" s="88" t="str">
        <f>IFERROR(HYPERLINK(VLOOKUP(A852,Internal_lists_bugs!$A$2:$C$73,3,FALSE()), VLOOKUP(A852,Internal_lists_bugs!$A$2:$C$73,3,FALSE())&amp;Char(10) &amp; Char(10) &amp; VLOOKUP(A852,Internal_lists_bugs!$A$2:$Z$73,26,FALSE())),"please select a BUG ID")</f>
        <v>please select a BUG ID</v>
      </c>
      <c r="C852" s="51" t="str">
        <f>IFERROR(VLOOKUP(A852,Internal_lists_bugs!$A$2:$G1001,7,FALSE()),"please select a BUG ID")</f>
        <v>please select a BUG ID</v>
      </c>
      <c r="D852" s="51" t="str">
        <f>IFERROR(VLOOKUP(A852,Internal_lists_bugs!$A$2:$I1001,9,FALSE()),"please select a BUG ID")</f>
        <v>please select a BUG ID</v>
      </c>
      <c r="E852" s="105"/>
      <c r="G852" s="54"/>
      <c r="H852" s="105"/>
    </row>
    <row r="853">
      <c r="A853" s="54"/>
      <c r="B853" s="88" t="str">
        <f>IFERROR(HYPERLINK(VLOOKUP(A853,Internal_lists_bugs!$A$2:$C$73,3,FALSE()), VLOOKUP(A853,Internal_lists_bugs!$A$2:$C$73,3,FALSE())&amp;Char(10) &amp; Char(10) &amp; VLOOKUP(A853,Internal_lists_bugs!$A$2:$Z$73,26,FALSE())),"please select a BUG ID")</f>
        <v>please select a BUG ID</v>
      </c>
      <c r="C853" s="51" t="str">
        <f>IFERROR(VLOOKUP(A853,Internal_lists_bugs!$A$2:$G1001,7,FALSE()),"please select a BUG ID")</f>
        <v>please select a BUG ID</v>
      </c>
      <c r="D853" s="51" t="str">
        <f>IFERROR(VLOOKUP(A853,Internal_lists_bugs!$A$2:$I1001,9,FALSE()),"please select a BUG ID")</f>
        <v>please select a BUG ID</v>
      </c>
      <c r="E853" s="105"/>
      <c r="G853" s="54"/>
      <c r="H853" s="105"/>
    </row>
    <row r="854">
      <c r="A854" s="54"/>
      <c r="B854" s="88" t="str">
        <f>IFERROR(HYPERLINK(VLOOKUP(A854,Internal_lists_bugs!$A$2:$C$73,3,FALSE()), VLOOKUP(A854,Internal_lists_bugs!$A$2:$C$73,3,FALSE())&amp;Char(10) &amp; Char(10) &amp; VLOOKUP(A854,Internal_lists_bugs!$A$2:$Z$73,26,FALSE())),"please select a BUG ID")</f>
        <v>please select a BUG ID</v>
      </c>
      <c r="C854" s="51" t="str">
        <f>IFERROR(VLOOKUP(A854,Internal_lists_bugs!$A$2:$G1001,7,FALSE()),"please select a BUG ID")</f>
        <v>please select a BUG ID</v>
      </c>
      <c r="D854" s="51" t="str">
        <f>IFERROR(VLOOKUP(A854,Internal_lists_bugs!$A$2:$I1001,9,FALSE()),"please select a BUG ID")</f>
        <v>please select a BUG ID</v>
      </c>
      <c r="E854" s="105"/>
      <c r="G854" s="54"/>
      <c r="H854" s="105"/>
    </row>
    <row r="855">
      <c r="A855" s="54"/>
      <c r="B855" s="88" t="str">
        <f>IFERROR(HYPERLINK(VLOOKUP(A855,Internal_lists_bugs!$A$2:$C$73,3,FALSE()), VLOOKUP(A855,Internal_lists_bugs!$A$2:$C$73,3,FALSE())&amp;Char(10) &amp; Char(10) &amp; VLOOKUP(A855,Internal_lists_bugs!$A$2:$Z$73,26,FALSE())),"please select a BUG ID")</f>
        <v>please select a BUG ID</v>
      </c>
      <c r="C855" s="51" t="str">
        <f>IFERROR(VLOOKUP(A855,Internal_lists_bugs!$A$2:$G1001,7,FALSE()),"please select a BUG ID")</f>
        <v>please select a BUG ID</v>
      </c>
      <c r="D855" s="51" t="str">
        <f>IFERROR(VLOOKUP(A855,Internal_lists_bugs!$A$2:$I1001,9,FALSE()),"please select a BUG ID")</f>
        <v>please select a BUG ID</v>
      </c>
      <c r="E855" s="105"/>
      <c r="G855" s="54"/>
      <c r="H855" s="105"/>
    </row>
    <row r="856">
      <c r="A856" s="54"/>
      <c r="B856" s="88" t="str">
        <f>IFERROR(HYPERLINK(VLOOKUP(A856,Internal_lists_bugs!$A$2:$C$73,3,FALSE()), VLOOKUP(A856,Internal_lists_bugs!$A$2:$C$73,3,FALSE())&amp;Char(10) &amp; Char(10) &amp; VLOOKUP(A856,Internal_lists_bugs!$A$2:$Z$73,26,FALSE())),"please select a BUG ID")</f>
        <v>please select a BUG ID</v>
      </c>
      <c r="C856" s="51" t="str">
        <f>IFERROR(VLOOKUP(A856,Internal_lists_bugs!$A$2:$G1001,7,FALSE()),"please select a BUG ID")</f>
        <v>please select a BUG ID</v>
      </c>
      <c r="D856" s="51" t="str">
        <f>IFERROR(VLOOKUP(A856,Internal_lists_bugs!$A$2:$I1001,9,FALSE()),"please select a BUG ID")</f>
        <v>please select a BUG ID</v>
      </c>
      <c r="E856" s="105"/>
      <c r="G856" s="54"/>
      <c r="H856" s="105"/>
    </row>
    <row r="857">
      <c r="A857" s="54"/>
      <c r="B857" s="88" t="str">
        <f>IFERROR(HYPERLINK(VLOOKUP(A857,Internal_lists_bugs!$A$2:$C$73,3,FALSE()), VLOOKUP(A857,Internal_lists_bugs!$A$2:$C$73,3,FALSE())&amp;Char(10) &amp; Char(10) &amp; VLOOKUP(A857,Internal_lists_bugs!$A$2:$Z$73,26,FALSE())),"please select a BUG ID")</f>
        <v>please select a BUG ID</v>
      </c>
      <c r="C857" s="51" t="str">
        <f>IFERROR(VLOOKUP(A857,Internal_lists_bugs!$A$2:$G1001,7,FALSE()),"please select a BUG ID")</f>
        <v>please select a BUG ID</v>
      </c>
      <c r="D857" s="51" t="str">
        <f>IFERROR(VLOOKUP(A857,Internal_lists_bugs!$A$2:$I1001,9,FALSE()),"please select a BUG ID")</f>
        <v>please select a BUG ID</v>
      </c>
      <c r="E857" s="105"/>
      <c r="G857" s="54"/>
      <c r="H857" s="105"/>
    </row>
    <row r="858">
      <c r="A858" s="54"/>
      <c r="B858" s="88" t="str">
        <f>IFERROR(HYPERLINK(VLOOKUP(A858,Internal_lists_bugs!$A$2:$C$73,3,FALSE()), VLOOKUP(A858,Internal_lists_bugs!$A$2:$C$73,3,FALSE())&amp;Char(10) &amp; Char(10) &amp; VLOOKUP(A858,Internal_lists_bugs!$A$2:$Z$73,26,FALSE())),"please select a BUG ID")</f>
        <v>please select a BUG ID</v>
      </c>
      <c r="C858" s="51" t="str">
        <f>IFERROR(VLOOKUP(A858,Internal_lists_bugs!$A$2:$G1001,7,FALSE()),"please select a BUG ID")</f>
        <v>please select a BUG ID</v>
      </c>
      <c r="D858" s="51" t="str">
        <f>IFERROR(VLOOKUP(A858,Internal_lists_bugs!$A$2:$I1001,9,FALSE()),"please select a BUG ID")</f>
        <v>please select a BUG ID</v>
      </c>
      <c r="E858" s="105"/>
      <c r="G858" s="54"/>
      <c r="H858" s="105"/>
    </row>
    <row r="859">
      <c r="A859" s="54"/>
      <c r="B859" s="88" t="str">
        <f>IFERROR(HYPERLINK(VLOOKUP(A859,Internal_lists_bugs!$A$2:$C$73,3,FALSE()), VLOOKUP(A859,Internal_lists_bugs!$A$2:$C$73,3,FALSE())&amp;Char(10) &amp; Char(10) &amp; VLOOKUP(A859,Internal_lists_bugs!$A$2:$Z$73,26,FALSE())),"please select a BUG ID")</f>
        <v>please select a BUG ID</v>
      </c>
      <c r="C859" s="51" t="str">
        <f>IFERROR(VLOOKUP(A859,Internal_lists_bugs!$A$2:$G1001,7,FALSE()),"please select a BUG ID")</f>
        <v>please select a BUG ID</v>
      </c>
      <c r="D859" s="51" t="str">
        <f>IFERROR(VLOOKUP(A859,Internal_lists_bugs!$A$2:$I1001,9,FALSE()),"please select a BUG ID")</f>
        <v>please select a BUG ID</v>
      </c>
      <c r="E859" s="105"/>
      <c r="G859" s="54"/>
      <c r="H859" s="105"/>
    </row>
    <row r="860">
      <c r="A860" s="54"/>
      <c r="B860" s="88" t="str">
        <f>IFERROR(HYPERLINK(VLOOKUP(A860,Internal_lists_bugs!$A$2:$C$73,3,FALSE()), VLOOKUP(A860,Internal_lists_bugs!$A$2:$C$73,3,FALSE())&amp;Char(10) &amp; Char(10) &amp; VLOOKUP(A860,Internal_lists_bugs!$A$2:$Z$73,26,FALSE())),"please select a BUG ID")</f>
        <v>please select a BUG ID</v>
      </c>
      <c r="C860" s="51" t="str">
        <f>IFERROR(VLOOKUP(A860,Internal_lists_bugs!$A$2:$G1001,7,FALSE()),"please select a BUG ID")</f>
        <v>please select a BUG ID</v>
      </c>
      <c r="D860" s="51" t="str">
        <f>IFERROR(VLOOKUP(A860,Internal_lists_bugs!$A$2:$I1001,9,FALSE()),"please select a BUG ID")</f>
        <v>please select a BUG ID</v>
      </c>
      <c r="E860" s="105"/>
      <c r="G860" s="54"/>
      <c r="H860" s="105"/>
    </row>
    <row r="861">
      <c r="A861" s="54"/>
      <c r="B861" s="88" t="str">
        <f>IFERROR(HYPERLINK(VLOOKUP(A861,Internal_lists_bugs!$A$2:$C$73,3,FALSE()), VLOOKUP(A861,Internal_lists_bugs!$A$2:$C$73,3,FALSE())&amp;Char(10) &amp; Char(10) &amp; VLOOKUP(A861,Internal_lists_bugs!$A$2:$Z$73,26,FALSE())),"please select a BUG ID")</f>
        <v>please select a BUG ID</v>
      </c>
      <c r="C861" s="51" t="str">
        <f>IFERROR(VLOOKUP(A861,Internal_lists_bugs!$A$2:$G1001,7,FALSE()),"please select a BUG ID")</f>
        <v>please select a BUG ID</v>
      </c>
      <c r="D861" s="51" t="str">
        <f>IFERROR(VLOOKUP(A861,Internal_lists_bugs!$A$2:$I1001,9,FALSE()),"please select a BUG ID")</f>
        <v>please select a BUG ID</v>
      </c>
      <c r="E861" s="105"/>
      <c r="G861" s="54"/>
      <c r="H861" s="105"/>
    </row>
    <row r="862">
      <c r="A862" s="54"/>
      <c r="B862" s="88" t="str">
        <f>IFERROR(HYPERLINK(VLOOKUP(A862,Internal_lists_bugs!$A$2:$C$73,3,FALSE()), VLOOKUP(A862,Internal_lists_bugs!$A$2:$C$73,3,FALSE())&amp;Char(10) &amp; Char(10) &amp; VLOOKUP(A862,Internal_lists_bugs!$A$2:$Z$73,26,FALSE())),"please select a BUG ID")</f>
        <v>please select a BUG ID</v>
      </c>
      <c r="C862" s="51" t="str">
        <f>IFERROR(VLOOKUP(A862,Internal_lists_bugs!$A$2:$G1001,7,FALSE()),"please select a BUG ID")</f>
        <v>please select a BUG ID</v>
      </c>
      <c r="D862" s="51" t="str">
        <f>IFERROR(VLOOKUP(A862,Internal_lists_bugs!$A$2:$I1001,9,FALSE()),"please select a BUG ID")</f>
        <v>please select a BUG ID</v>
      </c>
      <c r="E862" s="105"/>
      <c r="G862" s="54"/>
      <c r="H862" s="105"/>
    </row>
    <row r="863">
      <c r="A863" s="54"/>
      <c r="B863" s="88" t="str">
        <f>IFERROR(HYPERLINK(VLOOKUP(A863,Internal_lists_bugs!$A$2:$C$73,3,FALSE()), VLOOKUP(A863,Internal_lists_bugs!$A$2:$C$73,3,FALSE())&amp;Char(10) &amp; Char(10) &amp; VLOOKUP(A863,Internal_lists_bugs!$A$2:$Z$73,26,FALSE())),"please select a BUG ID")</f>
        <v>please select a BUG ID</v>
      </c>
      <c r="C863" s="51" t="str">
        <f>IFERROR(VLOOKUP(A863,Internal_lists_bugs!$A$2:$G1001,7,FALSE()),"please select a BUG ID")</f>
        <v>please select a BUG ID</v>
      </c>
      <c r="D863" s="51" t="str">
        <f>IFERROR(VLOOKUP(A863,Internal_lists_bugs!$A$2:$I1001,9,FALSE()),"please select a BUG ID")</f>
        <v>please select a BUG ID</v>
      </c>
      <c r="E863" s="105"/>
      <c r="G863" s="54"/>
      <c r="H863" s="105"/>
    </row>
    <row r="864">
      <c r="A864" s="54"/>
      <c r="B864" s="88" t="str">
        <f>IFERROR(HYPERLINK(VLOOKUP(A864,Internal_lists_bugs!$A$2:$C$73,3,FALSE()), VLOOKUP(A864,Internal_lists_bugs!$A$2:$C$73,3,FALSE())&amp;Char(10) &amp; Char(10) &amp; VLOOKUP(A864,Internal_lists_bugs!$A$2:$Z$73,26,FALSE())),"please select a BUG ID")</f>
        <v>please select a BUG ID</v>
      </c>
      <c r="C864" s="51" t="str">
        <f>IFERROR(VLOOKUP(A864,Internal_lists_bugs!$A$2:$G1001,7,FALSE()),"please select a BUG ID")</f>
        <v>please select a BUG ID</v>
      </c>
      <c r="D864" s="51" t="str">
        <f>IFERROR(VLOOKUP(A864,Internal_lists_bugs!$A$2:$I1001,9,FALSE()),"please select a BUG ID")</f>
        <v>please select a BUG ID</v>
      </c>
      <c r="E864" s="105"/>
      <c r="G864" s="54"/>
      <c r="H864" s="105"/>
    </row>
    <row r="865">
      <c r="A865" s="54"/>
      <c r="B865" s="88" t="str">
        <f>IFERROR(HYPERLINK(VLOOKUP(A865,Internal_lists_bugs!$A$2:$C$73,3,FALSE()), VLOOKUP(A865,Internal_lists_bugs!$A$2:$C$73,3,FALSE())&amp;Char(10) &amp; Char(10) &amp; VLOOKUP(A865,Internal_lists_bugs!$A$2:$Z$73,26,FALSE())),"please select a BUG ID")</f>
        <v>please select a BUG ID</v>
      </c>
      <c r="C865" s="51" t="str">
        <f>IFERROR(VLOOKUP(A865,Internal_lists_bugs!$A$2:$G1001,7,FALSE()),"please select a BUG ID")</f>
        <v>please select a BUG ID</v>
      </c>
      <c r="D865" s="51" t="str">
        <f>IFERROR(VLOOKUP(A865,Internal_lists_bugs!$A$2:$I1001,9,FALSE()),"please select a BUG ID")</f>
        <v>please select a BUG ID</v>
      </c>
      <c r="E865" s="105"/>
      <c r="G865" s="54"/>
      <c r="H865" s="105"/>
    </row>
    <row r="866">
      <c r="A866" s="54"/>
      <c r="B866" s="88" t="str">
        <f>IFERROR(HYPERLINK(VLOOKUP(A866,Internal_lists_bugs!$A$2:$C$73,3,FALSE()), VLOOKUP(A866,Internal_lists_bugs!$A$2:$C$73,3,FALSE())&amp;Char(10) &amp; Char(10) &amp; VLOOKUP(A866,Internal_lists_bugs!$A$2:$Z$73,26,FALSE())),"please select a BUG ID")</f>
        <v>please select a BUG ID</v>
      </c>
      <c r="C866" s="51" t="str">
        <f>IFERROR(VLOOKUP(A866,Internal_lists_bugs!$A$2:$G1001,7,FALSE()),"please select a BUG ID")</f>
        <v>please select a BUG ID</v>
      </c>
      <c r="D866" s="51" t="str">
        <f>IFERROR(VLOOKUP(A866,Internal_lists_bugs!$A$2:$I1001,9,FALSE()),"please select a BUG ID")</f>
        <v>please select a BUG ID</v>
      </c>
      <c r="E866" s="105"/>
      <c r="G866" s="54"/>
      <c r="H866" s="105"/>
    </row>
    <row r="867">
      <c r="A867" s="54"/>
      <c r="B867" s="88" t="str">
        <f>IFERROR(HYPERLINK(VLOOKUP(A867,Internal_lists_bugs!$A$2:$C$73,3,FALSE()), VLOOKUP(A867,Internal_lists_bugs!$A$2:$C$73,3,FALSE())&amp;Char(10) &amp; Char(10) &amp; VLOOKUP(A867,Internal_lists_bugs!$A$2:$Z$73,26,FALSE())),"please select a BUG ID")</f>
        <v>please select a BUG ID</v>
      </c>
      <c r="C867" s="51" t="str">
        <f>IFERROR(VLOOKUP(A867,Internal_lists_bugs!$A$2:$G1001,7,FALSE()),"please select a BUG ID")</f>
        <v>please select a BUG ID</v>
      </c>
      <c r="D867" s="51" t="str">
        <f>IFERROR(VLOOKUP(A867,Internal_lists_bugs!$A$2:$I1001,9,FALSE()),"please select a BUG ID")</f>
        <v>please select a BUG ID</v>
      </c>
      <c r="E867" s="105"/>
      <c r="G867" s="54"/>
      <c r="H867" s="105"/>
    </row>
    <row r="868">
      <c r="A868" s="54"/>
      <c r="B868" s="88" t="str">
        <f>IFERROR(HYPERLINK(VLOOKUP(A868,Internal_lists_bugs!$A$2:$C$73,3,FALSE()), VLOOKUP(A868,Internal_lists_bugs!$A$2:$C$73,3,FALSE())&amp;Char(10) &amp; Char(10) &amp; VLOOKUP(A868,Internal_lists_bugs!$A$2:$Z$73,26,FALSE())),"please select a BUG ID")</f>
        <v>please select a BUG ID</v>
      </c>
      <c r="C868" s="51" t="str">
        <f>IFERROR(VLOOKUP(A868,Internal_lists_bugs!$A$2:$G1001,7,FALSE()),"please select a BUG ID")</f>
        <v>please select a BUG ID</v>
      </c>
      <c r="D868" s="51" t="str">
        <f>IFERROR(VLOOKUP(A868,Internal_lists_bugs!$A$2:$I1001,9,FALSE()),"please select a BUG ID")</f>
        <v>please select a BUG ID</v>
      </c>
      <c r="E868" s="105"/>
      <c r="G868" s="54"/>
      <c r="H868" s="105"/>
    </row>
    <row r="869">
      <c r="A869" s="54"/>
      <c r="B869" s="88" t="str">
        <f>IFERROR(HYPERLINK(VLOOKUP(A869,Internal_lists_bugs!$A$2:$C$73,3,FALSE()), VLOOKUP(A869,Internal_lists_bugs!$A$2:$C$73,3,FALSE())&amp;Char(10) &amp; Char(10) &amp; VLOOKUP(A869,Internal_lists_bugs!$A$2:$Z$73,26,FALSE())),"please select a BUG ID")</f>
        <v>please select a BUG ID</v>
      </c>
      <c r="C869" s="51" t="str">
        <f>IFERROR(VLOOKUP(A869,Internal_lists_bugs!$A$2:$G1001,7,FALSE()),"please select a BUG ID")</f>
        <v>please select a BUG ID</v>
      </c>
      <c r="D869" s="51" t="str">
        <f>IFERROR(VLOOKUP(A869,Internal_lists_bugs!$A$2:$I1001,9,FALSE()),"please select a BUG ID")</f>
        <v>please select a BUG ID</v>
      </c>
      <c r="E869" s="105"/>
      <c r="G869" s="54"/>
      <c r="H869" s="105"/>
    </row>
    <row r="870">
      <c r="A870" s="54"/>
      <c r="B870" s="88" t="str">
        <f>IFERROR(HYPERLINK(VLOOKUP(A870,Internal_lists_bugs!$A$2:$C$73,3,FALSE()), VLOOKUP(A870,Internal_lists_bugs!$A$2:$C$73,3,FALSE())&amp;Char(10) &amp; Char(10) &amp; VLOOKUP(A870,Internal_lists_bugs!$A$2:$Z$73,26,FALSE())),"please select a BUG ID")</f>
        <v>please select a BUG ID</v>
      </c>
      <c r="C870" s="51" t="str">
        <f>IFERROR(VLOOKUP(A870,Internal_lists_bugs!$A$2:$G1001,7,FALSE()),"please select a BUG ID")</f>
        <v>please select a BUG ID</v>
      </c>
      <c r="D870" s="51" t="str">
        <f>IFERROR(VLOOKUP(A870,Internal_lists_bugs!$A$2:$I1001,9,FALSE()),"please select a BUG ID")</f>
        <v>please select a BUG ID</v>
      </c>
      <c r="E870" s="105"/>
      <c r="G870" s="54"/>
      <c r="H870" s="105"/>
    </row>
    <row r="871">
      <c r="A871" s="54"/>
      <c r="B871" s="88" t="str">
        <f>IFERROR(HYPERLINK(VLOOKUP(A871,Internal_lists_bugs!$A$2:$C$73,3,FALSE()), VLOOKUP(A871,Internal_lists_bugs!$A$2:$C$73,3,FALSE())&amp;Char(10) &amp; Char(10) &amp; VLOOKUP(A871,Internal_lists_bugs!$A$2:$Z$73,26,FALSE())),"please select a BUG ID")</f>
        <v>please select a BUG ID</v>
      </c>
      <c r="C871" s="51" t="str">
        <f>IFERROR(VLOOKUP(A871,Internal_lists_bugs!$A$2:$G1001,7,FALSE()),"please select a BUG ID")</f>
        <v>please select a BUG ID</v>
      </c>
      <c r="D871" s="51" t="str">
        <f>IFERROR(VLOOKUP(A871,Internal_lists_bugs!$A$2:$I1001,9,FALSE()),"please select a BUG ID")</f>
        <v>please select a BUG ID</v>
      </c>
      <c r="E871" s="105"/>
      <c r="G871" s="54"/>
      <c r="H871" s="105"/>
    </row>
    <row r="872">
      <c r="A872" s="54"/>
      <c r="B872" s="88" t="str">
        <f>IFERROR(HYPERLINK(VLOOKUP(A872,Internal_lists_bugs!$A$2:$C$73,3,FALSE()), VLOOKUP(A872,Internal_lists_bugs!$A$2:$C$73,3,FALSE())&amp;Char(10) &amp; Char(10) &amp; VLOOKUP(A872,Internal_lists_bugs!$A$2:$Z$73,26,FALSE())),"please select a BUG ID")</f>
        <v>please select a BUG ID</v>
      </c>
      <c r="C872" s="51" t="str">
        <f>IFERROR(VLOOKUP(A872,Internal_lists_bugs!$A$2:$G1001,7,FALSE()),"please select a BUG ID")</f>
        <v>please select a BUG ID</v>
      </c>
      <c r="D872" s="51" t="str">
        <f>IFERROR(VLOOKUP(A872,Internal_lists_bugs!$A$2:$I1001,9,FALSE()),"please select a BUG ID")</f>
        <v>please select a BUG ID</v>
      </c>
      <c r="E872" s="105"/>
      <c r="G872" s="54"/>
      <c r="H872" s="105"/>
    </row>
    <row r="873">
      <c r="A873" s="54"/>
      <c r="B873" s="88" t="str">
        <f>IFERROR(HYPERLINK(VLOOKUP(A873,Internal_lists_bugs!$A$2:$C$73,3,FALSE()), VLOOKUP(A873,Internal_lists_bugs!$A$2:$C$73,3,FALSE())&amp;Char(10) &amp; Char(10) &amp; VLOOKUP(A873,Internal_lists_bugs!$A$2:$Z$73,26,FALSE())),"please select a BUG ID")</f>
        <v>please select a BUG ID</v>
      </c>
      <c r="C873" s="51" t="str">
        <f>IFERROR(VLOOKUP(A873,Internal_lists_bugs!$A$2:$G1001,7,FALSE()),"please select a BUG ID")</f>
        <v>please select a BUG ID</v>
      </c>
      <c r="D873" s="51" t="str">
        <f>IFERROR(VLOOKUP(A873,Internal_lists_bugs!$A$2:$I1001,9,FALSE()),"please select a BUG ID")</f>
        <v>please select a BUG ID</v>
      </c>
      <c r="E873" s="105"/>
      <c r="G873" s="54"/>
      <c r="H873" s="105"/>
    </row>
    <row r="874">
      <c r="A874" s="54"/>
      <c r="B874" s="88" t="str">
        <f>IFERROR(HYPERLINK(VLOOKUP(A874,Internal_lists_bugs!$A$2:$C$73,3,FALSE()), VLOOKUP(A874,Internal_lists_bugs!$A$2:$C$73,3,FALSE())&amp;Char(10) &amp; Char(10) &amp; VLOOKUP(A874,Internal_lists_bugs!$A$2:$Z$73,26,FALSE())),"please select a BUG ID")</f>
        <v>please select a BUG ID</v>
      </c>
      <c r="C874" s="51" t="str">
        <f>IFERROR(VLOOKUP(A874,Internal_lists_bugs!$A$2:$G1001,7,FALSE()),"please select a BUG ID")</f>
        <v>please select a BUG ID</v>
      </c>
      <c r="D874" s="51" t="str">
        <f>IFERROR(VLOOKUP(A874,Internal_lists_bugs!$A$2:$I1001,9,FALSE()),"please select a BUG ID")</f>
        <v>please select a BUG ID</v>
      </c>
      <c r="E874" s="105"/>
      <c r="G874" s="54"/>
      <c r="H874" s="105"/>
    </row>
    <row r="875">
      <c r="A875" s="54"/>
      <c r="B875" s="88" t="str">
        <f>IFERROR(HYPERLINK(VLOOKUP(A875,Internal_lists_bugs!$A$2:$C$73,3,FALSE()), VLOOKUP(A875,Internal_lists_bugs!$A$2:$C$73,3,FALSE())&amp;Char(10) &amp; Char(10) &amp; VLOOKUP(A875,Internal_lists_bugs!$A$2:$Z$73,26,FALSE())),"please select a BUG ID")</f>
        <v>please select a BUG ID</v>
      </c>
      <c r="C875" s="51" t="str">
        <f>IFERROR(VLOOKUP(A875,Internal_lists_bugs!$A$2:$G1001,7,FALSE()),"please select a BUG ID")</f>
        <v>please select a BUG ID</v>
      </c>
      <c r="D875" s="51" t="str">
        <f>IFERROR(VLOOKUP(A875,Internal_lists_bugs!$A$2:$I1001,9,FALSE()),"please select a BUG ID")</f>
        <v>please select a BUG ID</v>
      </c>
      <c r="E875" s="105"/>
      <c r="G875" s="54"/>
      <c r="H875" s="105"/>
    </row>
    <row r="876">
      <c r="A876" s="54"/>
      <c r="B876" s="88" t="str">
        <f>IFERROR(HYPERLINK(VLOOKUP(A876,Internal_lists_bugs!$A$2:$C$73,3,FALSE()), VLOOKUP(A876,Internal_lists_bugs!$A$2:$C$73,3,FALSE())&amp;Char(10) &amp; Char(10) &amp; VLOOKUP(A876,Internal_lists_bugs!$A$2:$Z$73,26,FALSE())),"please select a BUG ID")</f>
        <v>please select a BUG ID</v>
      </c>
      <c r="C876" s="51" t="str">
        <f>IFERROR(VLOOKUP(A876,Internal_lists_bugs!$A$2:$G1001,7,FALSE()),"please select a BUG ID")</f>
        <v>please select a BUG ID</v>
      </c>
      <c r="D876" s="51" t="str">
        <f>IFERROR(VLOOKUP(A876,Internal_lists_bugs!$A$2:$I1001,9,FALSE()),"please select a BUG ID")</f>
        <v>please select a BUG ID</v>
      </c>
      <c r="E876" s="105"/>
      <c r="G876" s="54"/>
      <c r="H876" s="105"/>
    </row>
    <row r="877">
      <c r="A877" s="54"/>
      <c r="B877" s="88" t="str">
        <f>IFERROR(HYPERLINK(VLOOKUP(A877,Internal_lists_bugs!$A$2:$C$73,3,FALSE()), VLOOKUP(A877,Internal_lists_bugs!$A$2:$C$73,3,FALSE())&amp;Char(10) &amp; Char(10) &amp; VLOOKUP(A877,Internal_lists_bugs!$A$2:$Z$73,26,FALSE())),"please select a BUG ID")</f>
        <v>please select a BUG ID</v>
      </c>
      <c r="C877" s="51" t="str">
        <f>IFERROR(VLOOKUP(A877,Internal_lists_bugs!$A$2:$G1001,7,FALSE()),"please select a BUG ID")</f>
        <v>please select a BUG ID</v>
      </c>
      <c r="D877" s="51" t="str">
        <f>IFERROR(VLOOKUP(A877,Internal_lists_bugs!$A$2:$I1001,9,FALSE()),"please select a BUG ID")</f>
        <v>please select a BUG ID</v>
      </c>
      <c r="E877" s="105"/>
      <c r="G877" s="54"/>
      <c r="H877" s="105"/>
    </row>
    <row r="878">
      <c r="A878" s="54"/>
      <c r="B878" s="88" t="str">
        <f>IFERROR(HYPERLINK(VLOOKUP(A878,Internal_lists_bugs!$A$2:$C$73,3,FALSE()), VLOOKUP(A878,Internal_lists_bugs!$A$2:$C$73,3,FALSE())&amp;Char(10) &amp; Char(10) &amp; VLOOKUP(A878,Internal_lists_bugs!$A$2:$Z$73,26,FALSE())),"please select a BUG ID")</f>
        <v>please select a BUG ID</v>
      </c>
      <c r="C878" s="51" t="str">
        <f>IFERROR(VLOOKUP(A878,Internal_lists_bugs!$A$2:$G1001,7,FALSE()),"please select a BUG ID")</f>
        <v>please select a BUG ID</v>
      </c>
      <c r="D878" s="51" t="str">
        <f>IFERROR(VLOOKUP(A878,Internal_lists_bugs!$A$2:$I1001,9,FALSE()),"please select a BUG ID")</f>
        <v>please select a BUG ID</v>
      </c>
      <c r="E878" s="105"/>
      <c r="G878" s="54"/>
      <c r="H878" s="105"/>
    </row>
    <row r="879">
      <c r="A879" s="54"/>
      <c r="B879" s="88" t="str">
        <f>IFERROR(HYPERLINK(VLOOKUP(A879,Internal_lists_bugs!$A$2:$C$73,3,FALSE()), VLOOKUP(A879,Internal_lists_bugs!$A$2:$C$73,3,FALSE())&amp;Char(10) &amp; Char(10) &amp; VLOOKUP(A879,Internal_lists_bugs!$A$2:$Z$73,26,FALSE())),"please select a BUG ID")</f>
        <v>please select a BUG ID</v>
      </c>
      <c r="C879" s="51" t="str">
        <f>IFERROR(VLOOKUP(A879,Internal_lists_bugs!$A$2:$G1001,7,FALSE()),"please select a BUG ID")</f>
        <v>please select a BUG ID</v>
      </c>
      <c r="D879" s="51" t="str">
        <f>IFERROR(VLOOKUP(A879,Internal_lists_bugs!$A$2:$I1001,9,FALSE()),"please select a BUG ID")</f>
        <v>please select a BUG ID</v>
      </c>
      <c r="E879" s="105"/>
      <c r="G879" s="54"/>
      <c r="H879" s="105"/>
    </row>
    <row r="880">
      <c r="A880" s="54"/>
      <c r="B880" s="88" t="str">
        <f>IFERROR(HYPERLINK(VLOOKUP(A880,Internal_lists_bugs!$A$2:$C$73,3,FALSE()), VLOOKUP(A880,Internal_lists_bugs!$A$2:$C$73,3,FALSE())&amp;Char(10) &amp; Char(10) &amp; VLOOKUP(A880,Internal_lists_bugs!$A$2:$Z$73,26,FALSE())),"please select a BUG ID")</f>
        <v>please select a BUG ID</v>
      </c>
      <c r="C880" s="51" t="str">
        <f>IFERROR(VLOOKUP(A880,Internal_lists_bugs!$A$2:$G1001,7,FALSE()),"please select a BUG ID")</f>
        <v>please select a BUG ID</v>
      </c>
      <c r="D880" s="51" t="str">
        <f>IFERROR(VLOOKUP(A880,Internal_lists_bugs!$A$2:$I1001,9,FALSE()),"please select a BUG ID")</f>
        <v>please select a BUG ID</v>
      </c>
      <c r="E880" s="105"/>
      <c r="G880" s="54"/>
      <c r="H880" s="105"/>
    </row>
    <row r="881">
      <c r="A881" s="54"/>
      <c r="B881" s="88" t="str">
        <f>IFERROR(HYPERLINK(VLOOKUP(A881,Internal_lists_bugs!$A$2:$C$73,3,FALSE()), VLOOKUP(A881,Internal_lists_bugs!$A$2:$C$73,3,FALSE())&amp;Char(10) &amp; Char(10) &amp; VLOOKUP(A881,Internal_lists_bugs!$A$2:$Z$73,26,FALSE())),"please select a BUG ID")</f>
        <v>please select a BUG ID</v>
      </c>
      <c r="C881" s="51" t="str">
        <f>IFERROR(VLOOKUP(A881,Internal_lists_bugs!$A$2:$G1001,7,FALSE()),"please select a BUG ID")</f>
        <v>please select a BUG ID</v>
      </c>
      <c r="D881" s="51" t="str">
        <f>IFERROR(VLOOKUP(A881,Internal_lists_bugs!$A$2:$I1001,9,FALSE()),"please select a BUG ID")</f>
        <v>please select a BUG ID</v>
      </c>
      <c r="E881" s="105"/>
      <c r="G881" s="54"/>
      <c r="H881" s="105"/>
    </row>
    <row r="882">
      <c r="A882" s="54"/>
      <c r="B882" s="88" t="str">
        <f>IFERROR(HYPERLINK(VLOOKUP(A882,Internal_lists_bugs!$A$2:$C$73,3,FALSE()), VLOOKUP(A882,Internal_lists_bugs!$A$2:$C$73,3,FALSE())&amp;Char(10) &amp; Char(10) &amp; VLOOKUP(A882,Internal_lists_bugs!$A$2:$Z$73,26,FALSE())),"please select a BUG ID")</f>
        <v>please select a BUG ID</v>
      </c>
      <c r="C882" s="51" t="str">
        <f>IFERROR(VLOOKUP(A882,Internal_lists_bugs!$A$2:$G1001,7,FALSE()),"please select a BUG ID")</f>
        <v>please select a BUG ID</v>
      </c>
      <c r="D882" s="51" t="str">
        <f>IFERROR(VLOOKUP(A882,Internal_lists_bugs!$A$2:$I1001,9,FALSE()),"please select a BUG ID")</f>
        <v>please select a BUG ID</v>
      </c>
      <c r="E882" s="105"/>
      <c r="G882" s="54"/>
      <c r="H882" s="105"/>
    </row>
    <row r="883">
      <c r="A883" s="54"/>
      <c r="B883" s="88" t="str">
        <f>IFERROR(HYPERLINK(VLOOKUP(A883,Internal_lists_bugs!$A$2:$C$73,3,FALSE()), VLOOKUP(A883,Internal_lists_bugs!$A$2:$C$73,3,FALSE())&amp;Char(10) &amp; Char(10) &amp; VLOOKUP(A883,Internal_lists_bugs!$A$2:$Z$73,26,FALSE())),"please select a BUG ID")</f>
        <v>please select a BUG ID</v>
      </c>
      <c r="C883" s="51" t="str">
        <f>IFERROR(VLOOKUP(A883,Internal_lists_bugs!$A$2:$G1001,7,FALSE()),"please select a BUG ID")</f>
        <v>please select a BUG ID</v>
      </c>
      <c r="D883" s="51" t="str">
        <f>IFERROR(VLOOKUP(A883,Internal_lists_bugs!$A$2:$I1001,9,FALSE()),"please select a BUG ID")</f>
        <v>please select a BUG ID</v>
      </c>
      <c r="E883" s="105"/>
      <c r="G883" s="54"/>
      <c r="H883" s="105"/>
    </row>
    <row r="884">
      <c r="A884" s="54"/>
      <c r="B884" s="88" t="str">
        <f>IFERROR(HYPERLINK(VLOOKUP(A884,Internal_lists_bugs!$A$2:$C$73,3,FALSE()), VLOOKUP(A884,Internal_lists_bugs!$A$2:$C$73,3,FALSE())&amp;Char(10) &amp; Char(10) &amp; VLOOKUP(A884,Internal_lists_bugs!$A$2:$Z$73,26,FALSE())),"please select a BUG ID")</f>
        <v>please select a BUG ID</v>
      </c>
      <c r="C884" s="51" t="str">
        <f>IFERROR(VLOOKUP(A884,Internal_lists_bugs!$A$2:$G1001,7,FALSE()),"please select a BUG ID")</f>
        <v>please select a BUG ID</v>
      </c>
      <c r="D884" s="51" t="str">
        <f>IFERROR(VLOOKUP(A884,Internal_lists_bugs!$A$2:$I1001,9,FALSE()),"please select a BUG ID")</f>
        <v>please select a BUG ID</v>
      </c>
      <c r="E884" s="105"/>
      <c r="G884" s="54"/>
      <c r="H884" s="105"/>
    </row>
    <row r="885">
      <c r="A885" s="54"/>
      <c r="B885" s="88" t="str">
        <f>IFERROR(HYPERLINK(VLOOKUP(A885,Internal_lists_bugs!$A$2:$C$73,3,FALSE()), VLOOKUP(A885,Internal_lists_bugs!$A$2:$C$73,3,FALSE())&amp;Char(10) &amp; Char(10) &amp; VLOOKUP(A885,Internal_lists_bugs!$A$2:$Z$73,26,FALSE())),"please select a BUG ID")</f>
        <v>please select a BUG ID</v>
      </c>
      <c r="C885" s="51" t="str">
        <f>IFERROR(VLOOKUP(A885,Internal_lists_bugs!$A$2:$G1001,7,FALSE()),"please select a BUG ID")</f>
        <v>please select a BUG ID</v>
      </c>
      <c r="D885" s="51" t="str">
        <f>IFERROR(VLOOKUP(A885,Internal_lists_bugs!$A$2:$I1001,9,FALSE()),"please select a BUG ID")</f>
        <v>please select a BUG ID</v>
      </c>
      <c r="E885" s="105"/>
      <c r="G885" s="54"/>
      <c r="H885" s="105"/>
    </row>
    <row r="886">
      <c r="A886" s="54"/>
      <c r="B886" s="88" t="str">
        <f>IFERROR(HYPERLINK(VLOOKUP(A886,Internal_lists_bugs!$A$2:$C$73,3,FALSE()), VLOOKUP(A886,Internal_lists_bugs!$A$2:$C$73,3,FALSE())&amp;Char(10) &amp; Char(10) &amp; VLOOKUP(A886,Internal_lists_bugs!$A$2:$Z$73,26,FALSE())),"please select a BUG ID")</f>
        <v>please select a BUG ID</v>
      </c>
      <c r="C886" s="51" t="str">
        <f>IFERROR(VLOOKUP(A886,Internal_lists_bugs!$A$2:$G1001,7,FALSE()),"please select a BUG ID")</f>
        <v>please select a BUG ID</v>
      </c>
      <c r="D886" s="51" t="str">
        <f>IFERROR(VLOOKUP(A886,Internal_lists_bugs!$A$2:$I1001,9,FALSE()),"please select a BUG ID")</f>
        <v>please select a BUG ID</v>
      </c>
      <c r="E886" s="105"/>
      <c r="G886" s="54"/>
      <c r="H886" s="105"/>
    </row>
    <row r="887">
      <c r="A887" s="54"/>
      <c r="B887" s="88" t="str">
        <f>IFERROR(HYPERLINK(VLOOKUP(A887,Internal_lists_bugs!$A$2:$C$73,3,FALSE()), VLOOKUP(A887,Internal_lists_bugs!$A$2:$C$73,3,FALSE())&amp;Char(10) &amp; Char(10) &amp; VLOOKUP(A887,Internal_lists_bugs!$A$2:$Z$73,26,FALSE())),"please select a BUG ID")</f>
        <v>please select a BUG ID</v>
      </c>
      <c r="C887" s="51" t="str">
        <f>IFERROR(VLOOKUP(A887,Internal_lists_bugs!$A$2:$G1001,7,FALSE()),"please select a BUG ID")</f>
        <v>please select a BUG ID</v>
      </c>
      <c r="D887" s="51" t="str">
        <f>IFERROR(VLOOKUP(A887,Internal_lists_bugs!$A$2:$I1001,9,FALSE()),"please select a BUG ID")</f>
        <v>please select a BUG ID</v>
      </c>
      <c r="E887" s="105"/>
      <c r="G887" s="54"/>
      <c r="H887" s="105"/>
    </row>
    <row r="888">
      <c r="A888" s="54"/>
      <c r="B888" s="88" t="str">
        <f>IFERROR(HYPERLINK(VLOOKUP(A888,Internal_lists_bugs!$A$2:$C$73,3,FALSE()), VLOOKUP(A888,Internal_lists_bugs!$A$2:$C$73,3,FALSE())&amp;Char(10) &amp; Char(10) &amp; VLOOKUP(A888,Internal_lists_bugs!$A$2:$Z$73,26,FALSE())),"please select a BUG ID")</f>
        <v>please select a BUG ID</v>
      </c>
      <c r="C888" s="51" t="str">
        <f>IFERROR(VLOOKUP(A888,Internal_lists_bugs!$A$2:$G1001,7,FALSE()),"please select a BUG ID")</f>
        <v>please select a BUG ID</v>
      </c>
      <c r="D888" s="51" t="str">
        <f>IFERROR(VLOOKUP(A888,Internal_lists_bugs!$A$2:$I1001,9,FALSE()),"please select a BUG ID")</f>
        <v>please select a BUG ID</v>
      </c>
      <c r="E888" s="105"/>
      <c r="G888" s="54"/>
      <c r="H888" s="105"/>
    </row>
    <row r="889">
      <c r="A889" s="54"/>
      <c r="B889" s="88" t="str">
        <f>IFERROR(HYPERLINK(VLOOKUP(A889,Internal_lists_bugs!$A$2:$C$73,3,FALSE()), VLOOKUP(A889,Internal_lists_bugs!$A$2:$C$73,3,FALSE())&amp;Char(10) &amp; Char(10) &amp; VLOOKUP(A889,Internal_lists_bugs!$A$2:$Z$73,26,FALSE())),"please select a BUG ID")</f>
        <v>please select a BUG ID</v>
      </c>
      <c r="C889" s="51" t="str">
        <f>IFERROR(VLOOKUP(A889,Internal_lists_bugs!$A$2:$G1001,7,FALSE()),"please select a BUG ID")</f>
        <v>please select a BUG ID</v>
      </c>
      <c r="D889" s="51" t="str">
        <f>IFERROR(VLOOKUP(A889,Internal_lists_bugs!$A$2:$I1001,9,FALSE()),"please select a BUG ID")</f>
        <v>please select a BUG ID</v>
      </c>
      <c r="E889" s="105"/>
      <c r="G889" s="54"/>
      <c r="H889" s="105"/>
    </row>
    <row r="890">
      <c r="A890" s="54"/>
      <c r="B890" s="88" t="str">
        <f>IFERROR(HYPERLINK(VLOOKUP(A890,Internal_lists_bugs!$A$2:$C$73,3,FALSE()), VLOOKUP(A890,Internal_lists_bugs!$A$2:$C$73,3,FALSE())&amp;Char(10) &amp; Char(10) &amp; VLOOKUP(A890,Internal_lists_bugs!$A$2:$Z$73,26,FALSE())),"please select a BUG ID")</f>
        <v>please select a BUG ID</v>
      </c>
      <c r="C890" s="51" t="str">
        <f>IFERROR(VLOOKUP(A890,Internal_lists_bugs!$A$2:$G1001,7,FALSE()),"please select a BUG ID")</f>
        <v>please select a BUG ID</v>
      </c>
      <c r="D890" s="51" t="str">
        <f>IFERROR(VLOOKUP(A890,Internal_lists_bugs!$A$2:$I1001,9,FALSE()),"please select a BUG ID")</f>
        <v>please select a BUG ID</v>
      </c>
      <c r="E890" s="105"/>
      <c r="G890" s="54"/>
      <c r="H890" s="105"/>
    </row>
    <row r="891">
      <c r="A891" s="54"/>
      <c r="B891" s="88" t="str">
        <f>IFERROR(HYPERLINK(VLOOKUP(A891,Internal_lists_bugs!$A$2:$C$73,3,FALSE()), VLOOKUP(A891,Internal_lists_bugs!$A$2:$C$73,3,FALSE())&amp;Char(10) &amp; Char(10) &amp; VLOOKUP(A891,Internal_lists_bugs!$A$2:$Z$73,26,FALSE())),"please select a BUG ID")</f>
        <v>please select a BUG ID</v>
      </c>
      <c r="C891" s="51" t="str">
        <f>IFERROR(VLOOKUP(A891,Internal_lists_bugs!$A$2:$G1001,7,FALSE()),"please select a BUG ID")</f>
        <v>please select a BUG ID</v>
      </c>
      <c r="D891" s="51" t="str">
        <f>IFERROR(VLOOKUP(A891,Internal_lists_bugs!$A$2:$I1001,9,FALSE()),"please select a BUG ID")</f>
        <v>please select a BUG ID</v>
      </c>
      <c r="E891" s="105"/>
      <c r="G891" s="54"/>
      <c r="H891" s="105"/>
    </row>
    <row r="892">
      <c r="A892" s="54"/>
      <c r="B892" s="88" t="str">
        <f>IFERROR(HYPERLINK(VLOOKUP(A892,Internal_lists_bugs!$A$2:$C$73,3,FALSE()), VLOOKUP(A892,Internal_lists_bugs!$A$2:$C$73,3,FALSE())&amp;Char(10) &amp; Char(10) &amp; VLOOKUP(A892,Internal_lists_bugs!$A$2:$Z$73,26,FALSE())),"please select a BUG ID")</f>
        <v>please select a BUG ID</v>
      </c>
      <c r="C892" s="51" t="str">
        <f>IFERROR(VLOOKUP(A892,Internal_lists_bugs!$A$2:$G1001,7,FALSE()),"please select a BUG ID")</f>
        <v>please select a BUG ID</v>
      </c>
      <c r="D892" s="51" t="str">
        <f>IFERROR(VLOOKUP(A892,Internal_lists_bugs!$A$2:$I1001,9,FALSE()),"please select a BUG ID")</f>
        <v>please select a BUG ID</v>
      </c>
      <c r="E892" s="105"/>
      <c r="G892" s="54"/>
      <c r="H892" s="105"/>
    </row>
    <row r="893">
      <c r="A893" s="54"/>
      <c r="B893" s="88" t="str">
        <f>IFERROR(HYPERLINK(VLOOKUP(A893,Internal_lists_bugs!$A$2:$C$73,3,FALSE()), VLOOKUP(A893,Internal_lists_bugs!$A$2:$C$73,3,FALSE())&amp;Char(10) &amp; Char(10) &amp; VLOOKUP(A893,Internal_lists_bugs!$A$2:$Z$73,26,FALSE())),"please select a BUG ID")</f>
        <v>please select a BUG ID</v>
      </c>
      <c r="C893" s="51" t="str">
        <f>IFERROR(VLOOKUP(A893,Internal_lists_bugs!$A$2:$G1001,7,FALSE()),"please select a BUG ID")</f>
        <v>please select a BUG ID</v>
      </c>
      <c r="D893" s="51" t="str">
        <f>IFERROR(VLOOKUP(A893,Internal_lists_bugs!$A$2:$I1001,9,FALSE()),"please select a BUG ID")</f>
        <v>please select a BUG ID</v>
      </c>
      <c r="E893" s="105"/>
      <c r="G893" s="54"/>
      <c r="H893" s="105"/>
    </row>
    <row r="894">
      <c r="A894" s="54"/>
      <c r="B894" s="88" t="str">
        <f>IFERROR(HYPERLINK(VLOOKUP(A894,Internal_lists_bugs!$A$2:$C$73,3,FALSE()), VLOOKUP(A894,Internal_lists_bugs!$A$2:$C$73,3,FALSE())&amp;Char(10) &amp; Char(10) &amp; VLOOKUP(A894,Internal_lists_bugs!$A$2:$Z$73,26,FALSE())),"please select a BUG ID")</f>
        <v>please select a BUG ID</v>
      </c>
      <c r="C894" s="51" t="str">
        <f>IFERROR(VLOOKUP(A894,Internal_lists_bugs!$A$2:$G1001,7,FALSE()),"please select a BUG ID")</f>
        <v>please select a BUG ID</v>
      </c>
      <c r="D894" s="51" t="str">
        <f>IFERROR(VLOOKUP(A894,Internal_lists_bugs!$A$2:$I1001,9,FALSE()),"please select a BUG ID")</f>
        <v>please select a BUG ID</v>
      </c>
      <c r="E894" s="105"/>
      <c r="G894" s="54"/>
      <c r="H894" s="105"/>
    </row>
    <row r="895">
      <c r="A895" s="54"/>
      <c r="B895" s="88" t="str">
        <f>IFERROR(HYPERLINK(VLOOKUP(A895,Internal_lists_bugs!$A$2:$C$73,3,FALSE()), VLOOKUP(A895,Internal_lists_bugs!$A$2:$C$73,3,FALSE())&amp;Char(10) &amp; Char(10) &amp; VLOOKUP(A895,Internal_lists_bugs!$A$2:$Z$73,26,FALSE())),"please select a BUG ID")</f>
        <v>please select a BUG ID</v>
      </c>
      <c r="C895" s="51" t="str">
        <f>IFERROR(VLOOKUP(A895,Internal_lists_bugs!$A$2:$G1001,7,FALSE()),"please select a BUG ID")</f>
        <v>please select a BUG ID</v>
      </c>
      <c r="D895" s="51" t="str">
        <f>IFERROR(VLOOKUP(A895,Internal_lists_bugs!$A$2:$I1001,9,FALSE()),"please select a BUG ID")</f>
        <v>please select a BUG ID</v>
      </c>
      <c r="E895" s="105"/>
      <c r="G895" s="54"/>
      <c r="H895" s="105"/>
    </row>
    <row r="896">
      <c r="A896" s="54"/>
      <c r="B896" s="88" t="str">
        <f>IFERROR(HYPERLINK(VLOOKUP(A896,Internal_lists_bugs!$A$2:$C$73,3,FALSE()), VLOOKUP(A896,Internal_lists_bugs!$A$2:$C$73,3,FALSE())&amp;Char(10) &amp; Char(10) &amp; VLOOKUP(A896,Internal_lists_bugs!$A$2:$Z$73,26,FALSE())),"please select a BUG ID")</f>
        <v>please select a BUG ID</v>
      </c>
      <c r="C896" s="51" t="str">
        <f>IFERROR(VLOOKUP(A896,Internal_lists_bugs!$A$2:$G1001,7,FALSE()),"please select a BUG ID")</f>
        <v>please select a BUG ID</v>
      </c>
      <c r="D896" s="51" t="str">
        <f>IFERROR(VLOOKUP(A896,Internal_lists_bugs!$A$2:$I1001,9,FALSE()),"please select a BUG ID")</f>
        <v>please select a BUG ID</v>
      </c>
      <c r="E896" s="105"/>
      <c r="G896" s="54"/>
      <c r="H896" s="105"/>
    </row>
    <row r="897">
      <c r="A897" s="54"/>
      <c r="B897" s="88" t="str">
        <f>IFERROR(HYPERLINK(VLOOKUP(A897,Internal_lists_bugs!$A$2:$C$73,3,FALSE()), VLOOKUP(A897,Internal_lists_bugs!$A$2:$C$73,3,FALSE())&amp;Char(10) &amp; Char(10) &amp; VLOOKUP(A897,Internal_lists_bugs!$A$2:$Z$73,26,FALSE())),"please select a BUG ID")</f>
        <v>please select a BUG ID</v>
      </c>
      <c r="C897" s="51" t="str">
        <f>IFERROR(VLOOKUP(A897,Internal_lists_bugs!$A$2:$G1001,7,FALSE()),"please select a BUG ID")</f>
        <v>please select a BUG ID</v>
      </c>
      <c r="D897" s="51" t="str">
        <f>IFERROR(VLOOKUP(A897,Internal_lists_bugs!$A$2:$I1001,9,FALSE()),"please select a BUG ID")</f>
        <v>please select a BUG ID</v>
      </c>
      <c r="E897" s="105"/>
      <c r="G897" s="54"/>
      <c r="H897" s="105"/>
    </row>
    <row r="898">
      <c r="A898" s="54"/>
      <c r="B898" s="88" t="str">
        <f>IFERROR(HYPERLINK(VLOOKUP(A898,Internal_lists_bugs!$A$2:$C$73,3,FALSE()), VLOOKUP(A898,Internal_lists_bugs!$A$2:$C$73,3,FALSE())&amp;Char(10) &amp; Char(10) &amp; VLOOKUP(A898,Internal_lists_bugs!$A$2:$Z$73,26,FALSE())),"please select a BUG ID")</f>
        <v>please select a BUG ID</v>
      </c>
      <c r="C898" s="51" t="str">
        <f>IFERROR(VLOOKUP(A898,Internal_lists_bugs!$A$2:$G1001,7,FALSE()),"please select a BUG ID")</f>
        <v>please select a BUG ID</v>
      </c>
      <c r="D898" s="51" t="str">
        <f>IFERROR(VLOOKUP(A898,Internal_lists_bugs!$A$2:$I1001,9,FALSE()),"please select a BUG ID")</f>
        <v>please select a BUG ID</v>
      </c>
      <c r="E898" s="105"/>
      <c r="G898" s="54"/>
      <c r="H898" s="105"/>
    </row>
    <row r="899">
      <c r="A899" s="54"/>
      <c r="B899" s="88" t="str">
        <f>IFERROR(HYPERLINK(VLOOKUP(A899,Internal_lists_bugs!$A$2:$C$73,3,FALSE()), VLOOKUP(A899,Internal_lists_bugs!$A$2:$C$73,3,FALSE())&amp;Char(10) &amp; Char(10) &amp; VLOOKUP(A899,Internal_lists_bugs!$A$2:$Z$73,26,FALSE())),"please select a BUG ID")</f>
        <v>please select a BUG ID</v>
      </c>
      <c r="C899" s="51" t="str">
        <f>IFERROR(VLOOKUP(A899,Internal_lists_bugs!$A$2:$G1001,7,FALSE()),"please select a BUG ID")</f>
        <v>please select a BUG ID</v>
      </c>
      <c r="D899" s="51" t="str">
        <f>IFERROR(VLOOKUP(A899,Internal_lists_bugs!$A$2:$I1001,9,FALSE()),"please select a BUG ID")</f>
        <v>please select a BUG ID</v>
      </c>
      <c r="E899" s="105"/>
      <c r="G899" s="54"/>
      <c r="H899" s="105"/>
    </row>
    <row r="900">
      <c r="A900" s="54"/>
      <c r="B900" s="88" t="str">
        <f>IFERROR(HYPERLINK(VLOOKUP(A900,Internal_lists_bugs!$A$2:$C$73,3,FALSE()), VLOOKUP(A900,Internal_lists_bugs!$A$2:$C$73,3,FALSE())&amp;Char(10) &amp; Char(10) &amp; VLOOKUP(A900,Internal_lists_bugs!$A$2:$Z$73,26,FALSE())),"please select a BUG ID")</f>
        <v>please select a BUG ID</v>
      </c>
      <c r="C900" s="51" t="str">
        <f>IFERROR(VLOOKUP(A900,Internal_lists_bugs!$A$2:$G1001,7,FALSE()),"please select a BUG ID")</f>
        <v>please select a BUG ID</v>
      </c>
      <c r="D900" s="51" t="str">
        <f>IFERROR(VLOOKUP(A900,Internal_lists_bugs!$A$2:$I1001,9,FALSE()),"please select a BUG ID")</f>
        <v>please select a BUG ID</v>
      </c>
      <c r="E900" s="105"/>
      <c r="G900" s="54"/>
      <c r="H900" s="105"/>
    </row>
    <row r="901">
      <c r="A901" s="54"/>
      <c r="B901" s="88" t="str">
        <f>IFERROR(HYPERLINK(VLOOKUP(A901,Internal_lists_bugs!$A$2:$C$73,3,FALSE()), VLOOKUP(A901,Internal_lists_bugs!$A$2:$C$73,3,FALSE())&amp;Char(10) &amp; Char(10) &amp; VLOOKUP(A901,Internal_lists_bugs!$A$2:$Z$73,26,FALSE())),"please select a BUG ID")</f>
        <v>please select a BUG ID</v>
      </c>
      <c r="C901" s="51" t="str">
        <f>IFERROR(VLOOKUP(A901,Internal_lists_bugs!$A$2:$G1001,7,FALSE()),"please select a BUG ID")</f>
        <v>please select a BUG ID</v>
      </c>
      <c r="D901" s="51" t="str">
        <f>IFERROR(VLOOKUP(A901,Internal_lists_bugs!$A$2:$I1001,9,FALSE()),"please select a BUG ID")</f>
        <v>please select a BUG ID</v>
      </c>
      <c r="E901" s="105"/>
      <c r="G901" s="54"/>
      <c r="H901" s="105"/>
    </row>
    <row r="902">
      <c r="A902" s="54"/>
      <c r="B902" s="88" t="str">
        <f>IFERROR(HYPERLINK(VLOOKUP(A902,Internal_lists_bugs!$A$2:$C$73,3,FALSE()), VLOOKUP(A902,Internal_lists_bugs!$A$2:$C$73,3,FALSE())&amp;Char(10) &amp; Char(10) &amp; VLOOKUP(A902,Internal_lists_bugs!$A$2:$Z$73,26,FALSE())),"please select a BUG ID")</f>
        <v>please select a BUG ID</v>
      </c>
      <c r="C902" s="51" t="str">
        <f>IFERROR(VLOOKUP(A902,Internal_lists_bugs!$A$2:$G1001,7,FALSE()),"please select a BUG ID")</f>
        <v>please select a BUG ID</v>
      </c>
      <c r="D902" s="51" t="str">
        <f>IFERROR(VLOOKUP(A902,Internal_lists_bugs!$A$2:$I1001,9,FALSE()),"please select a BUG ID")</f>
        <v>please select a BUG ID</v>
      </c>
      <c r="E902" s="105"/>
      <c r="G902" s="54"/>
      <c r="H902" s="105"/>
    </row>
    <row r="903">
      <c r="A903" s="54"/>
      <c r="B903" s="88" t="str">
        <f>IFERROR(HYPERLINK(VLOOKUP(A903,Internal_lists_bugs!$A$2:$C$73,3,FALSE()), VLOOKUP(A903,Internal_lists_bugs!$A$2:$C$73,3,FALSE())&amp;Char(10) &amp; Char(10) &amp; VLOOKUP(A903,Internal_lists_bugs!$A$2:$Z$73,26,FALSE())),"please select a BUG ID")</f>
        <v>please select a BUG ID</v>
      </c>
      <c r="C903" s="51" t="str">
        <f>IFERROR(VLOOKUP(A903,Internal_lists_bugs!$A$2:$G1001,7,FALSE()),"please select a BUG ID")</f>
        <v>please select a BUG ID</v>
      </c>
      <c r="D903" s="51" t="str">
        <f>IFERROR(VLOOKUP(A903,Internal_lists_bugs!$A$2:$I1001,9,FALSE()),"please select a BUG ID")</f>
        <v>please select a BUG ID</v>
      </c>
      <c r="E903" s="105"/>
      <c r="G903" s="54"/>
      <c r="H903" s="105"/>
    </row>
    <row r="904">
      <c r="A904" s="54"/>
      <c r="B904" s="88" t="str">
        <f>IFERROR(HYPERLINK(VLOOKUP(A904,Internal_lists_bugs!$A$2:$C$73,3,FALSE()), VLOOKUP(A904,Internal_lists_bugs!$A$2:$C$73,3,FALSE())&amp;Char(10) &amp; Char(10) &amp; VLOOKUP(A904,Internal_lists_bugs!$A$2:$Z$73,26,FALSE())),"please select a BUG ID")</f>
        <v>please select a BUG ID</v>
      </c>
      <c r="C904" s="51" t="str">
        <f>IFERROR(VLOOKUP(A904,Internal_lists_bugs!$A$2:$G1001,7,FALSE()),"please select a BUG ID")</f>
        <v>please select a BUG ID</v>
      </c>
      <c r="D904" s="51" t="str">
        <f>IFERROR(VLOOKUP(A904,Internal_lists_bugs!$A$2:$I1001,9,FALSE()),"please select a BUG ID")</f>
        <v>please select a BUG ID</v>
      </c>
      <c r="E904" s="105"/>
      <c r="G904" s="54"/>
      <c r="H904" s="105"/>
    </row>
    <row r="905">
      <c r="A905" s="54"/>
      <c r="B905" s="88" t="str">
        <f>IFERROR(HYPERLINK(VLOOKUP(A905,Internal_lists_bugs!$A$2:$C$73,3,FALSE()), VLOOKUP(A905,Internal_lists_bugs!$A$2:$C$73,3,FALSE())&amp;Char(10) &amp; Char(10) &amp; VLOOKUP(A905,Internal_lists_bugs!$A$2:$Z$73,26,FALSE())),"please select a BUG ID")</f>
        <v>please select a BUG ID</v>
      </c>
      <c r="C905" s="51" t="str">
        <f>IFERROR(VLOOKUP(A905,Internal_lists_bugs!$A$2:$G1001,7,FALSE()),"please select a BUG ID")</f>
        <v>please select a BUG ID</v>
      </c>
      <c r="D905" s="51" t="str">
        <f>IFERROR(VLOOKUP(A905,Internal_lists_bugs!$A$2:$I1001,9,FALSE()),"please select a BUG ID")</f>
        <v>please select a BUG ID</v>
      </c>
      <c r="E905" s="105"/>
      <c r="G905" s="54"/>
      <c r="H905" s="105"/>
    </row>
    <row r="906">
      <c r="A906" s="54"/>
      <c r="B906" s="88" t="str">
        <f>IFERROR(HYPERLINK(VLOOKUP(A906,Internal_lists_bugs!$A$2:$C$73,3,FALSE()), VLOOKUP(A906,Internal_lists_bugs!$A$2:$C$73,3,FALSE())&amp;Char(10) &amp; Char(10) &amp; VLOOKUP(A906,Internal_lists_bugs!$A$2:$Z$73,26,FALSE())),"please select a BUG ID")</f>
        <v>please select a BUG ID</v>
      </c>
      <c r="C906" s="51" t="str">
        <f>IFERROR(VLOOKUP(A906,Internal_lists_bugs!$A$2:$G1001,7,FALSE()),"please select a BUG ID")</f>
        <v>please select a BUG ID</v>
      </c>
      <c r="D906" s="51" t="str">
        <f>IFERROR(VLOOKUP(A906,Internal_lists_bugs!$A$2:$I1001,9,FALSE()),"please select a BUG ID")</f>
        <v>please select a BUG ID</v>
      </c>
      <c r="E906" s="105"/>
      <c r="G906" s="54"/>
      <c r="H906" s="105"/>
    </row>
    <row r="907">
      <c r="A907" s="54"/>
      <c r="B907" s="88" t="str">
        <f>IFERROR(HYPERLINK(VLOOKUP(A907,Internal_lists_bugs!$A$2:$C$73,3,FALSE()), VLOOKUP(A907,Internal_lists_bugs!$A$2:$C$73,3,FALSE())&amp;Char(10) &amp; Char(10) &amp; VLOOKUP(A907,Internal_lists_bugs!$A$2:$Z$73,26,FALSE())),"please select a BUG ID")</f>
        <v>please select a BUG ID</v>
      </c>
      <c r="C907" s="51" t="str">
        <f>IFERROR(VLOOKUP(A907,Internal_lists_bugs!$A$2:$G1001,7,FALSE()),"please select a BUG ID")</f>
        <v>please select a BUG ID</v>
      </c>
      <c r="D907" s="51" t="str">
        <f>IFERROR(VLOOKUP(A907,Internal_lists_bugs!$A$2:$I1001,9,FALSE()),"please select a BUG ID")</f>
        <v>please select a BUG ID</v>
      </c>
      <c r="E907" s="105"/>
      <c r="G907" s="54"/>
      <c r="H907" s="105"/>
    </row>
    <row r="908">
      <c r="A908" s="54"/>
      <c r="B908" s="88" t="str">
        <f>IFERROR(HYPERLINK(VLOOKUP(A908,Internal_lists_bugs!$A$2:$C$73,3,FALSE()), VLOOKUP(A908,Internal_lists_bugs!$A$2:$C$73,3,FALSE())&amp;Char(10) &amp; Char(10) &amp; VLOOKUP(A908,Internal_lists_bugs!$A$2:$Z$73,26,FALSE())),"please select a BUG ID")</f>
        <v>please select a BUG ID</v>
      </c>
      <c r="C908" s="51" t="str">
        <f>IFERROR(VLOOKUP(A908,Internal_lists_bugs!$A$2:$G1001,7,FALSE()),"please select a BUG ID")</f>
        <v>please select a BUG ID</v>
      </c>
      <c r="D908" s="51" t="str">
        <f>IFERROR(VLOOKUP(A908,Internal_lists_bugs!$A$2:$I1001,9,FALSE()),"please select a BUG ID")</f>
        <v>please select a BUG ID</v>
      </c>
      <c r="E908" s="105"/>
      <c r="G908" s="54"/>
      <c r="H908" s="105"/>
    </row>
    <row r="909">
      <c r="A909" s="54"/>
      <c r="B909" s="88" t="str">
        <f>IFERROR(HYPERLINK(VLOOKUP(A909,Internal_lists_bugs!$A$2:$C$73,3,FALSE()), VLOOKUP(A909,Internal_lists_bugs!$A$2:$C$73,3,FALSE())&amp;Char(10) &amp; Char(10) &amp; VLOOKUP(A909,Internal_lists_bugs!$A$2:$Z$73,26,FALSE())),"please select a BUG ID")</f>
        <v>please select a BUG ID</v>
      </c>
      <c r="C909" s="51" t="str">
        <f>IFERROR(VLOOKUP(A909,Internal_lists_bugs!$A$2:$G1001,7,FALSE()),"please select a BUG ID")</f>
        <v>please select a BUG ID</v>
      </c>
      <c r="D909" s="51" t="str">
        <f>IFERROR(VLOOKUP(A909,Internal_lists_bugs!$A$2:$I1001,9,FALSE()),"please select a BUG ID")</f>
        <v>please select a BUG ID</v>
      </c>
      <c r="E909" s="105"/>
      <c r="G909" s="54"/>
      <c r="H909" s="105"/>
    </row>
    <row r="910">
      <c r="A910" s="54"/>
      <c r="B910" s="88" t="str">
        <f>IFERROR(HYPERLINK(VLOOKUP(A910,Internal_lists_bugs!$A$2:$C$73,3,FALSE()), VLOOKUP(A910,Internal_lists_bugs!$A$2:$C$73,3,FALSE())&amp;Char(10) &amp; Char(10) &amp; VLOOKUP(A910,Internal_lists_bugs!$A$2:$Z$73,26,FALSE())),"please select a BUG ID")</f>
        <v>please select a BUG ID</v>
      </c>
      <c r="C910" s="51" t="str">
        <f>IFERROR(VLOOKUP(A910,Internal_lists_bugs!$A$2:$G1001,7,FALSE()),"please select a BUG ID")</f>
        <v>please select a BUG ID</v>
      </c>
      <c r="D910" s="51" t="str">
        <f>IFERROR(VLOOKUP(A910,Internal_lists_bugs!$A$2:$I1001,9,FALSE()),"please select a BUG ID")</f>
        <v>please select a BUG ID</v>
      </c>
      <c r="E910" s="105"/>
      <c r="G910" s="54"/>
      <c r="H910" s="105"/>
    </row>
    <row r="911">
      <c r="A911" s="54"/>
      <c r="B911" s="88" t="str">
        <f>IFERROR(HYPERLINK(VLOOKUP(A911,Internal_lists_bugs!$A$2:$C$73,3,FALSE()), VLOOKUP(A911,Internal_lists_bugs!$A$2:$C$73,3,FALSE())&amp;Char(10) &amp; Char(10) &amp; VLOOKUP(A911,Internal_lists_bugs!$A$2:$Z$73,26,FALSE())),"please select a BUG ID")</f>
        <v>please select a BUG ID</v>
      </c>
      <c r="C911" s="51" t="str">
        <f>IFERROR(VLOOKUP(A911,Internal_lists_bugs!$A$2:$G1001,7,FALSE()),"please select a BUG ID")</f>
        <v>please select a BUG ID</v>
      </c>
      <c r="D911" s="51" t="str">
        <f>IFERROR(VLOOKUP(A911,Internal_lists_bugs!$A$2:$I1001,9,FALSE()),"please select a BUG ID")</f>
        <v>please select a BUG ID</v>
      </c>
      <c r="E911" s="105"/>
      <c r="G911" s="54"/>
      <c r="H911" s="105"/>
    </row>
    <row r="912">
      <c r="A912" s="54"/>
      <c r="B912" s="88" t="str">
        <f>IFERROR(HYPERLINK(VLOOKUP(A912,Internal_lists_bugs!$A$2:$C$73,3,FALSE()), VLOOKUP(A912,Internal_lists_bugs!$A$2:$C$73,3,FALSE())&amp;Char(10) &amp; Char(10) &amp; VLOOKUP(A912,Internal_lists_bugs!$A$2:$Z$73,26,FALSE())),"please select a BUG ID")</f>
        <v>please select a BUG ID</v>
      </c>
      <c r="C912" s="51" t="str">
        <f>IFERROR(VLOOKUP(A912,Internal_lists_bugs!$A$2:$G1001,7,FALSE()),"please select a BUG ID")</f>
        <v>please select a BUG ID</v>
      </c>
      <c r="D912" s="51" t="str">
        <f>IFERROR(VLOOKUP(A912,Internal_lists_bugs!$A$2:$I1001,9,FALSE()),"please select a BUG ID")</f>
        <v>please select a BUG ID</v>
      </c>
      <c r="E912" s="105"/>
      <c r="G912" s="54"/>
      <c r="H912" s="105"/>
    </row>
    <row r="913">
      <c r="A913" s="54"/>
      <c r="B913" s="88" t="str">
        <f>IFERROR(HYPERLINK(VLOOKUP(A913,Internal_lists_bugs!$A$2:$C$73,3,FALSE()), VLOOKUP(A913,Internal_lists_bugs!$A$2:$C$73,3,FALSE())&amp;Char(10) &amp; Char(10) &amp; VLOOKUP(A913,Internal_lists_bugs!$A$2:$Z$73,26,FALSE())),"please select a BUG ID")</f>
        <v>please select a BUG ID</v>
      </c>
      <c r="C913" s="51" t="str">
        <f>IFERROR(VLOOKUP(A913,Internal_lists_bugs!$A$2:$G1001,7,FALSE()),"please select a BUG ID")</f>
        <v>please select a BUG ID</v>
      </c>
      <c r="D913" s="51" t="str">
        <f>IFERROR(VLOOKUP(A913,Internal_lists_bugs!$A$2:$I1001,9,FALSE()),"please select a BUG ID")</f>
        <v>please select a BUG ID</v>
      </c>
      <c r="E913" s="105"/>
      <c r="G913" s="54"/>
      <c r="H913" s="105"/>
    </row>
    <row r="914">
      <c r="A914" s="54"/>
      <c r="B914" s="88" t="str">
        <f>IFERROR(HYPERLINK(VLOOKUP(A914,Internal_lists_bugs!$A$2:$C$73,3,FALSE()), VLOOKUP(A914,Internal_lists_bugs!$A$2:$C$73,3,FALSE())&amp;Char(10) &amp; Char(10) &amp; VLOOKUP(A914,Internal_lists_bugs!$A$2:$Z$73,26,FALSE())),"please select a BUG ID")</f>
        <v>please select a BUG ID</v>
      </c>
      <c r="C914" s="51" t="str">
        <f>IFERROR(VLOOKUP(A914,Internal_lists_bugs!$A$2:$G1001,7,FALSE()),"please select a BUG ID")</f>
        <v>please select a BUG ID</v>
      </c>
      <c r="D914" s="51" t="str">
        <f>IFERROR(VLOOKUP(A914,Internal_lists_bugs!$A$2:$I1001,9,FALSE()),"please select a BUG ID")</f>
        <v>please select a BUG ID</v>
      </c>
      <c r="E914" s="105"/>
      <c r="G914" s="54"/>
      <c r="H914" s="105"/>
    </row>
    <row r="915">
      <c r="A915" s="54"/>
      <c r="B915" s="88" t="str">
        <f>IFERROR(HYPERLINK(VLOOKUP(A915,Internal_lists_bugs!$A$2:$C$73,3,FALSE()), VLOOKUP(A915,Internal_lists_bugs!$A$2:$C$73,3,FALSE())&amp;Char(10) &amp; Char(10) &amp; VLOOKUP(A915,Internal_lists_bugs!$A$2:$Z$73,26,FALSE())),"please select a BUG ID")</f>
        <v>please select a BUG ID</v>
      </c>
      <c r="C915" s="51" t="str">
        <f>IFERROR(VLOOKUP(A915,Internal_lists_bugs!$A$2:$G1001,7,FALSE()),"please select a BUG ID")</f>
        <v>please select a BUG ID</v>
      </c>
      <c r="D915" s="51" t="str">
        <f>IFERROR(VLOOKUP(A915,Internal_lists_bugs!$A$2:$I1001,9,FALSE()),"please select a BUG ID")</f>
        <v>please select a BUG ID</v>
      </c>
      <c r="E915" s="105"/>
      <c r="G915" s="54"/>
      <c r="H915" s="105"/>
    </row>
    <row r="916">
      <c r="A916" s="54"/>
      <c r="B916" s="88" t="str">
        <f>IFERROR(HYPERLINK(VLOOKUP(A916,Internal_lists_bugs!$A$2:$C$73,3,FALSE()), VLOOKUP(A916,Internal_lists_bugs!$A$2:$C$73,3,FALSE())&amp;Char(10) &amp; Char(10) &amp; VLOOKUP(A916,Internal_lists_bugs!$A$2:$Z$73,26,FALSE())),"please select a BUG ID")</f>
        <v>please select a BUG ID</v>
      </c>
      <c r="C916" s="51" t="str">
        <f>IFERROR(VLOOKUP(A916,Internal_lists_bugs!$A$2:$G1001,7,FALSE()),"please select a BUG ID")</f>
        <v>please select a BUG ID</v>
      </c>
      <c r="D916" s="51" t="str">
        <f>IFERROR(VLOOKUP(A916,Internal_lists_bugs!$A$2:$I1001,9,FALSE()),"please select a BUG ID")</f>
        <v>please select a BUG ID</v>
      </c>
      <c r="E916" s="105"/>
      <c r="G916" s="54"/>
      <c r="H916" s="105"/>
    </row>
    <row r="917">
      <c r="A917" s="54"/>
      <c r="B917" s="88" t="str">
        <f>IFERROR(HYPERLINK(VLOOKUP(A917,Internal_lists_bugs!$A$2:$C$73,3,FALSE()), VLOOKUP(A917,Internal_lists_bugs!$A$2:$C$73,3,FALSE())&amp;Char(10) &amp; Char(10) &amp; VLOOKUP(A917,Internal_lists_bugs!$A$2:$Z$73,26,FALSE())),"please select a BUG ID")</f>
        <v>please select a BUG ID</v>
      </c>
      <c r="C917" s="51" t="str">
        <f>IFERROR(VLOOKUP(A917,Internal_lists_bugs!$A$2:$G1001,7,FALSE()),"please select a BUG ID")</f>
        <v>please select a BUG ID</v>
      </c>
      <c r="D917" s="51" t="str">
        <f>IFERROR(VLOOKUP(A917,Internal_lists_bugs!$A$2:$I1001,9,FALSE()),"please select a BUG ID")</f>
        <v>please select a BUG ID</v>
      </c>
      <c r="E917" s="105"/>
      <c r="G917" s="54"/>
      <c r="H917" s="105"/>
    </row>
    <row r="918">
      <c r="A918" s="54"/>
      <c r="B918" s="88" t="str">
        <f>IFERROR(HYPERLINK(VLOOKUP(A918,Internal_lists_bugs!$A$2:$C$73,3,FALSE()), VLOOKUP(A918,Internal_lists_bugs!$A$2:$C$73,3,FALSE())&amp;Char(10) &amp; Char(10) &amp; VLOOKUP(A918,Internal_lists_bugs!$A$2:$Z$73,26,FALSE())),"please select a BUG ID")</f>
        <v>please select a BUG ID</v>
      </c>
      <c r="C918" s="51" t="str">
        <f>IFERROR(VLOOKUP(A918,Internal_lists_bugs!$A$2:$G1001,7,FALSE()),"please select a BUG ID")</f>
        <v>please select a BUG ID</v>
      </c>
      <c r="D918" s="51" t="str">
        <f>IFERROR(VLOOKUP(A918,Internal_lists_bugs!$A$2:$I1001,9,FALSE()),"please select a BUG ID")</f>
        <v>please select a BUG ID</v>
      </c>
      <c r="E918" s="105"/>
      <c r="G918" s="54"/>
      <c r="H918" s="105"/>
    </row>
    <row r="919">
      <c r="A919" s="54"/>
      <c r="B919" s="88" t="str">
        <f>IFERROR(HYPERLINK(VLOOKUP(A919,Internal_lists_bugs!$A$2:$C$73,3,FALSE()), VLOOKUP(A919,Internal_lists_bugs!$A$2:$C$73,3,FALSE())&amp;Char(10) &amp; Char(10) &amp; VLOOKUP(A919,Internal_lists_bugs!$A$2:$Z$73,26,FALSE())),"please select a BUG ID")</f>
        <v>please select a BUG ID</v>
      </c>
      <c r="C919" s="51" t="str">
        <f>IFERROR(VLOOKUP(A919,Internal_lists_bugs!$A$2:$G1001,7,FALSE()),"please select a BUG ID")</f>
        <v>please select a BUG ID</v>
      </c>
      <c r="D919" s="51" t="str">
        <f>IFERROR(VLOOKUP(A919,Internal_lists_bugs!$A$2:$I1001,9,FALSE()),"please select a BUG ID")</f>
        <v>please select a BUG ID</v>
      </c>
      <c r="E919" s="105"/>
      <c r="G919" s="54"/>
      <c r="H919" s="105"/>
    </row>
    <row r="920">
      <c r="A920" s="54"/>
      <c r="B920" s="88" t="str">
        <f>IFERROR(HYPERLINK(VLOOKUP(A920,Internal_lists_bugs!$A$2:$C$73,3,FALSE()), VLOOKUP(A920,Internal_lists_bugs!$A$2:$C$73,3,FALSE())&amp;Char(10) &amp; Char(10) &amp; VLOOKUP(A920,Internal_lists_bugs!$A$2:$Z$73,26,FALSE())),"please select a BUG ID")</f>
        <v>please select a BUG ID</v>
      </c>
      <c r="C920" s="51" t="str">
        <f>IFERROR(VLOOKUP(A920,Internal_lists_bugs!$A$2:$G1001,7,FALSE()),"please select a BUG ID")</f>
        <v>please select a BUG ID</v>
      </c>
      <c r="D920" s="51" t="str">
        <f>IFERROR(VLOOKUP(A920,Internal_lists_bugs!$A$2:$I1001,9,FALSE()),"please select a BUG ID")</f>
        <v>please select a BUG ID</v>
      </c>
      <c r="E920" s="105"/>
      <c r="G920" s="54"/>
      <c r="H920" s="105"/>
    </row>
    <row r="921">
      <c r="A921" s="54"/>
      <c r="B921" s="88" t="str">
        <f>IFERROR(HYPERLINK(VLOOKUP(A921,Internal_lists_bugs!$A$2:$C$73,3,FALSE()), VLOOKUP(A921,Internal_lists_bugs!$A$2:$C$73,3,FALSE())&amp;Char(10) &amp; Char(10) &amp; VLOOKUP(A921,Internal_lists_bugs!$A$2:$Z$73,26,FALSE())),"please select a BUG ID")</f>
        <v>please select a BUG ID</v>
      </c>
      <c r="C921" s="51" t="str">
        <f>IFERROR(VLOOKUP(A921,Internal_lists_bugs!$A$2:$G1001,7,FALSE()),"please select a BUG ID")</f>
        <v>please select a BUG ID</v>
      </c>
      <c r="D921" s="51" t="str">
        <f>IFERROR(VLOOKUP(A921,Internal_lists_bugs!$A$2:$I1001,9,FALSE()),"please select a BUG ID")</f>
        <v>please select a BUG ID</v>
      </c>
      <c r="E921" s="105"/>
      <c r="G921" s="54"/>
      <c r="H921" s="105"/>
    </row>
    <row r="922">
      <c r="A922" s="54"/>
      <c r="B922" s="88" t="str">
        <f>IFERROR(HYPERLINK(VLOOKUP(A922,Internal_lists_bugs!$A$2:$C$73,3,FALSE()), VLOOKUP(A922,Internal_lists_bugs!$A$2:$C$73,3,FALSE())&amp;Char(10) &amp; Char(10) &amp; VLOOKUP(A922,Internal_lists_bugs!$A$2:$Z$73,26,FALSE())),"please select a BUG ID")</f>
        <v>please select a BUG ID</v>
      </c>
      <c r="C922" s="51" t="str">
        <f>IFERROR(VLOOKUP(A922,Internal_lists_bugs!$A$2:$G1001,7,FALSE()),"please select a BUG ID")</f>
        <v>please select a BUG ID</v>
      </c>
      <c r="D922" s="51" t="str">
        <f>IFERROR(VLOOKUP(A922,Internal_lists_bugs!$A$2:$I1001,9,FALSE()),"please select a BUG ID")</f>
        <v>please select a BUG ID</v>
      </c>
      <c r="E922" s="105"/>
      <c r="G922" s="54"/>
      <c r="H922" s="105"/>
    </row>
    <row r="923">
      <c r="A923" s="54"/>
      <c r="B923" s="88" t="str">
        <f>IFERROR(HYPERLINK(VLOOKUP(A923,Internal_lists_bugs!$A$2:$C$73,3,FALSE()), VLOOKUP(A923,Internal_lists_bugs!$A$2:$C$73,3,FALSE())&amp;Char(10) &amp; Char(10) &amp; VLOOKUP(A923,Internal_lists_bugs!$A$2:$Z$73,26,FALSE())),"please select a BUG ID")</f>
        <v>please select a BUG ID</v>
      </c>
      <c r="C923" s="51" t="str">
        <f>IFERROR(VLOOKUP(A923,Internal_lists_bugs!$A$2:$G1001,7,FALSE()),"please select a BUG ID")</f>
        <v>please select a BUG ID</v>
      </c>
      <c r="D923" s="51" t="str">
        <f>IFERROR(VLOOKUP(A923,Internal_lists_bugs!$A$2:$I1001,9,FALSE()),"please select a BUG ID")</f>
        <v>please select a BUG ID</v>
      </c>
      <c r="E923" s="105"/>
      <c r="G923" s="54"/>
      <c r="H923" s="105"/>
    </row>
    <row r="924">
      <c r="A924" s="54"/>
      <c r="B924" s="88" t="str">
        <f>IFERROR(HYPERLINK(VLOOKUP(A924,Internal_lists_bugs!$A$2:$C$73,3,FALSE()), VLOOKUP(A924,Internal_lists_bugs!$A$2:$C$73,3,FALSE())&amp;Char(10) &amp; Char(10) &amp; VLOOKUP(A924,Internal_lists_bugs!$A$2:$Z$73,26,FALSE())),"please select a BUG ID")</f>
        <v>please select a BUG ID</v>
      </c>
      <c r="C924" s="51" t="str">
        <f>IFERROR(VLOOKUP(A924,Internal_lists_bugs!$A$2:$G1001,7,FALSE()),"please select a BUG ID")</f>
        <v>please select a BUG ID</v>
      </c>
      <c r="D924" s="51" t="str">
        <f>IFERROR(VLOOKUP(A924,Internal_lists_bugs!$A$2:$I1001,9,FALSE()),"please select a BUG ID")</f>
        <v>please select a BUG ID</v>
      </c>
      <c r="E924" s="105"/>
      <c r="G924" s="54"/>
      <c r="H924" s="105"/>
    </row>
    <row r="925">
      <c r="A925" s="54"/>
      <c r="B925" s="88" t="str">
        <f>IFERROR(HYPERLINK(VLOOKUP(A925,Internal_lists_bugs!$A$2:$C$73,3,FALSE()), VLOOKUP(A925,Internal_lists_bugs!$A$2:$C$73,3,FALSE())&amp;Char(10) &amp; Char(10) &amp; VLOOKUP(A925,Internal_lists_bugs!$A$2:$Z$73,26,FALSE())),"please select a BUG ID")</f>
        <v>please select a BUG ID</v>
      </c>
      <c r="C925" s="51" t="str">
        <f>IFERROR(VLOOKUP(A925,Internal_lists_bugs!$A$2:$G1001,7,FALSE()),"please select a BUG ID")</f>
        <v>please select a BUG ID</v>
      </c>
      <c r="D925" s="51" t="str">
        <f>IFERROR(VLOOKUP(A925,Internal_lists_bugs!$A$2:$I1001,9,FALSE()),"please select a BUG ID")</f>
        <v>please select a BUG ID</v>
      </c>
      <c r="E925" s="105"/>
      <c r="G925" s="54"/>
      <c r="H925" s="105"/>
    </row>
    <row r="926">
      <c r="A926" s="54"/>
      <c r="B926" s="88" t="str">
        <f>IFERROR(HYPERLINK(VLOOKUP(A926,Internal_lists_bugs!$A$2:$C$73,3,FALSE()), VLOOKUP(A926,Internal_lists_bugs!$A$2:$C$73,3,FALSE())&amp;Char(10) &amp; Char(10) &amp; VLOOKUP(A926,Internal_lists_bugs!$A$2:$Z$73,26,FALSE())),"please select a BUG ID")</f>
        <v>please select a BUG ID</v>
      </c>
      <c r="C926" s="51" t="str">
        <f>IFERROR(VLOOKUP(A926,Internal_lists_bugs!$A$2:$G1001,7,FALSE()),"please select a BUG ID")</f>
        <v>please select a BUG ID</v>
      </c>
      <c r="D926" s="51" t="str">
        <f>IFERROR(VLOOKUP(A926,Internal_lists_bugs!$A$2:$I1001,9,FALSE()),"please select a BUG ID")</f>
        <v>please select a BUG ID</v>
      </c>
      <c r="E926" s="105"/>
      <c r="G926" s="54"/>
      <c r="H926" s="105"/>
    </row>
    <row r="927">
      <c r="A927" s="54"/>
      <c r="B927" s="88" t="str">
        <f>IFERROR(HYPERLINK(VLOOKUP(A927,Internal_lists_bugs!$A$2:$C$73,3,FALSE()), VLOOKUP(A927,Internal_lists_bugs!$A$2:$C$73,3,FALSE())&amp;Char(10) &amp; Char(10) &amp; VLOOKUP(A927,Internal_lists_bugs!$A$2:$Z$73,26,FALSE())),"please select a BUG ID")</f>
        <v>please select a BUG ID</v>
      </c>
      <c r="C927" s="51" t="str">
        <f>IFERROR(VLOOKUP(A927,Internal_lists_bugs!$A$2:$G1001,7,FALSE()),"please select a BUG ID")</f>
        <v>please select a BUG ID</v>
      </c>
      <c r="D927" s="51" t="str">
        <f>IFERROR(VLOOKUP(A927,Internal_lists_bugs!$A$2:$I1001,9,FALSE()),"please select a BUG ID")</f>
        <v>please select a BUG ID</v>
      </c>
      <c r="E927" s="105"/>
      <c r="G927" s="54"/>
      <c r="H927" s="105"/>
    </row>
    <row r="928">
      <c r="A928" s="54"/>
      <c r="B928" s="88" t="str">
        <f>IFERROR(HYPERLINK(VLOOKUP(A928,Internal_lists_bugs!$A$2:$C$73,3,FALSE()), VLOOKUP(A928,Internal_lists_bugs!$A$2:$C$73,3,FALSE())&amp;Char(10) &amp; Char(10) &amp; VLOOKUP(A928,Internal_lists_bugs!$A$2:$Z$73,26,FALSE())),"please select a BUG ID")</f>
        <v>please select a BUG ID</v>
      </c>
      <c r="C928" s="51" t="str">
        <f>IFERROR(VLOOKUP(A928,Internal_lists_bugs!$A$2:$G1001,7,FALSE()),"please select a BUG ID")</f>
        <v>please select a BUG ID</v>
      </c>
      <c r="D928" s="51" t="str">
        <f>IFERROR(VLOOKUP(A928,Internal_lists_bugs!$A$2:$I1001,9,FALSE()),"please select a BUG ID")</f>
        <v>please select a BUG ID</v>
      </c>
      <c r="E928" s="105"/>
      <c r="G928" s="54"/>
      <c r="H928" s="105"/>
    </row>
    <row r="929">
      <c r="A929" s="54"/>
      <c r="B929" s="88" t="str">
        <f>IFERROR(HYPERLINK(VLOOKUP(A929,Internal_lists_bugs!$A$2:$C$73,3,FALSE()), VLOOKUP(A929,Internal_lists_bugs!$A$2:$C$73,3,FALSE())&amp;Char(10) &amp; Char(10) &amp; VLOOKUP(A929,Internal_lists_bugs!$A$2:$Z$73,26,FALSE())),"please select a BUG ID")</f>
        <v>please select a BUG ID</v>
      </c>
      <c r="C929" s="51" t="str">
        <f>IFERROR(VLOOKUP(A929,Internal_lists_bugs!$A$2:$G1001,7,FALSE()),"please select a BUG ID")</f>
        <v>please select a BUG ID</v>
      </c>
      <c r="D929" s="51" t="str">
        <f>IFERROR(VLOOKUP(A929,Internal_lists_bugs!$A$2:$I1001,9,FALSE()),"please select a BUG ID")</f>
        <v>please select a BUG ID</v>
      </c>
      <c r="E929" s="105"/>
      <c r="G929" s="54"/>
      <c r="H929" s="105"/>
    </row>
    <row r="930">
      <c r="A930" s="54"/>
      <c r="B930" s="88" t="str">
        <f>IFERROR(HYPERLINK(VLOOKUP(A930,Internal_lists_bugs!$A$2:$C$73,3,FALSE()), VLOOKUP(A930,Internal_lists_bugs!$A$2:$C$73,3,FALSE())&amp;Char(10) &amp; Char(10) &amp; VLOOKUP(A930,Internal_lists_bugs!$A$2:$Z$73,26,FALSE())),"please select a BUG ID")</f>
        <v>please select a BUG ID</v>
      </c>
      <c r="C930" s="51" t="str">
        <f>IFERROR(VLOOKUP(A930,Internal_lists_bugs!$A$2:$G1001,7,FALSE()),"please select a BUG ID")</f>
        <v>please select a BUG ID</v>
      </c>
      <c r="D930" s="51" t="str">
        <f>IFERROR(VLOOKUP(A930,Internal_lists_bugs!$A$2:$I1001,9,FALSE()),"please select a BUG ID")</f>
        <v>please select a BUG ID</v>
      </c>
      <c r="E930" s="105"/>
      <c r="G930" s="54"/>
      <c r="H930" s="105"/>
    </row>
    <row r="931">
      <c r="A931" s="54"/>
      <c r="B931" s="88" t="str">
        <f>IFERROR(HYPERLINK(VLOOKUP(A931,Internal_lists_bugs!$A$2:$C$73,3,FALSE()), VLOOKUP(A931,Internal_lists_bugs!$A$2:$C$73,3,FALSE())&amp;Char(10) &amp; Char(10) &amp; VLOOKUP(A931,Internal_lists_bugs!$A$2:$Z$73,26,FALSE())),"please select a BUG ID")</f>
        <v>please select a BUG ID</v>
      </c>
      <c r="C931" s="51" t="str">
        <f>IFERROR(VLOOKUP(A931,Internal_lists_bugs!$A$2:$G1001,7,FALSE()),"please select a BUG ID")</f>
        <v>please select a BUG ID</v>
      </c>
      <c r="D931" s="51" t="str">
        <f>IFERROR(VLOOKUP(A931,Internal_lists_bugs!$A$2:$I1001,9,FALSE()),"please select a BUG ID")</f>
        <v>please select a BUG ID</v>
      </c>
      <c r="E931" s="105"/>
      <c r="G931" s="54"/>
      <c r="H931" s="105"/>
    </row>
    <row r="932">
      <c r="A932" s="54"/>
      <c r="B932" s="88" t="str">
        <f>IFERROR(HYPERLINK(VLOOKUP(A932,Internal_lists_bugs!$A$2:$C$73,3,FALSE()), VLOOKUP(A932,Internal_lists_bugs!$A$2:$C$73,3,FALSE())&amp;Char(10) &amp; Char(10) &amp; VLOOKUP(A932,Internal_lists_bugs!$A$2:$Z$73,26,FALSE())),"please select a BUG ID")</f>
        <v>please select a BUG ID</v>
      </c>
      <c r="C932" s="51" t="str">
        <f>IFERROR(VLOOKUP(A932,Internal_lists_bugs!$A$2:$G1001,7,FALSE()),"please select a BUG ID")</f>
        <v>please select a BUG ID</v>
      </c>
      <c r="D932" s="51" t="str">
        <f>IFERROR(VLOOKUP(A932,Internal_lists_bugs!$A$2:$I1001,9,FALSE()),"please select a BUG ID")</f>
        <v>please select a BUG ID</v>
      </c>
      <c r="E932" s="105"/>
      <c r="G932" s="54"/>
      <c r="H932" s="105"/>
    </row>
    <row r="933">
      <c r="A933" s="54"/>
      <c r="B933" s="88" t="str">
        <f>IFERROR(HYPERLINK(VLOOKUP(A933,Internal_lists_bugs!$A$2:$C$73,3,FALSE()), VLOOKUP(A933,Internal_lists_bugs!$A$2:$C$73,3,FALSE())&amp;Char(10) &amp; Char(10) &amp; VLOOKUP(A933,Internal_lists_bugs!$A$2:$Z$73,26,FALSE())),"please select a BUG ID")</f>
        <v>please select a BUG ID</v>
      </c>
      <c r="C933" s="51" t="str">
        <f>IFERROR(VLOOKUP(A933,Internal_lists_bugs!$A$2:$G1001,7,FALSE()),"please select a BUG ID")</f>
        <v>please select a BUG ID</v>
      </c>
      <c r="D933" s="51" t="str">
        <f>IFERROR(VLOOKUP(A933,Internal_lists_bugs!$A$2:$I1001,9,FALSE()),"please select a BUG ID")</f>
        <v>please select a BUG ID</v>
      </c>
      <c r="E933" s="105"/>
      <c r="G933" s="54"/>
      <c r="H933" s="105"/>
    </row>
    <row r="934">
      <c r="A934" s="54"/>
      <c r="B934" s="88" t="str">
        <f>IFERROR(HYPERLINK(VLOOKUP(A934,Internal_lists_bugs!$A$2:$C$73,3,FALSE()), VLOOKUP(A934,Internal_lists_bugs!$A$2:$C$73,3,FALSE())&amp;Char(10) &amp; Char(10) &amp; VLOOKUP(A934,Internal_lists_bugs!$A$2:$Z$73,26,FALSE())),"please select a BUG ID")</f>
        <v>please select a BUG ID</v>
      </c>
      <c r="C934" s="51" t="str">
        <f>IFERROR(VLOOKUP(A934,Internal_lists_bugs!$A$2:$G1001,7,FALSE()),"please select a BUG ID")</f>
        <v>please select a BUG ID</v>
      </c>
      <c r="D934" s="51" t="str">
        <f>IFERROR(VLOOKUP(A934,Internal_lists_bugs!$A$2:$I1001,9,FALSE()),"please select a BUG ID")</f>
        <v>please select a BUG ID</v>
      </c>
      <c r="E934" s="105"/>
      <c r="G934" s="54"/>
      <c r="H934" s="105"/>
    </row>
    <row r="935">
      <c r="A935" s="54"/>
      <c r="B935" s="88" t="str">
        <f>IFERROR(HYPERLINK(VLOOKUP(A935,Internal_lists_bugs!$A$2:$C$73,3,FALSE()), VLOOKUP(A935,Internal_lists_bugs!$A$2:$C$73,3,FALSE())&amp;Char(10) &amp; Char(10) &amp; VLOOKUP(A935,Internal_lists_bugs!$A$2:$Z$73,26,FALSE())),"please select a BUG ID")</f>
        <v>please select a BUG ID</v>
      </c>
      <c r="C935" s="51" t="str">
        <f>IFERROR(VLOOKUP(A935,Internal_lists_bugs!$A$2:$G1001,7,FALSE()),"please select a BUG ID")</f>
        <v>please select a BUG ID</v>
      </c>
      <c r="D935" s="51" t="str">
        <f>IFERROR(VLOOKUP(A935,Internal_lists_bugs!$A$2:$I1001,9,FALSE()),"please select a BUG ID")</f>
        <v>please select a BUG ID</v>
      </c>
      <c r="E935" s="105"/>
      <c r="G935" s="54"/>
      <c r="H935" s="105"/>
    </row>
    <row r="936">
      <c r="A936" s="54"/>
      <c r="B936" s="88" t="str">
        <f>IFERROR(HYPERLINK(VLOOKUP(A936,Internal_lists_bugs!$A$2:$C$73,3,FALSE()), VLOOKUP(A936,Internal_lists_bugs!$A$2:$C$73,3,FALSE())&amp;Char(10) &amp; Char(10) &amp; VLOOKUP(A936,Internal_lists_bugs!$A$2:$Z$73,26,FALSE())),"please select a BUG ID")</f>
        <v>please select a BUG ID</v>
      </c>
      <c r="C936" s="51" t="str">
        <f>IFERROR(VLOOKUP(A936,Internal_lists_bugs!$A$2:$G1001,7,FALSE()),"please select a BUG ID")</f>
        <v>please select a BUG ID</v>
      </c>
      <c r="D936" s="51" t="str">
        <f>IFERROR(VLOOKUP(A936,Internal_lists_bugs!$A$2:$I1001,9,FALSE()),"please select a BUG ID")</f>
        <v>please select a BUG ID</v>
      </c>
      <c r="E936" s="105"/>
      <c r="G936" s="54"/>
      <c r="H936" s="105"/>
    </row>
    <row r="937">
      <c r="A937" s="54"/>
      <c r="B937" s="88" t="str">
        <f>IFERROR(HYPERLINK(VLOOKUP(A937,Internal_lists_bugs!$A$2:$C$73,3,FALSE()), VLOOKUP(A937,Internal_lists_bugs!$A$2:$C$73,3,FALSE())&amp;Char(10) &amp; Char(10) &amp; VLOOKUP(A937,Internal_lists_bugs!$A$2:$Z$73,26,FALSE())),"please select a BUG ID")</f>
        <v>please select a BUG ID</v>
      </c>
      <c r="C937" s="51" t="str">
        <f>IFERROR(VLOOKUP(A937,Internal_lists_bugs!$A$2:$G1001,7,FALSE()),"please select a BUG ID")</f>
        <v>please select a BUG ID</v>
      </c>
      <c r="D937" s="51" t="str">
        <f>IFERROR(VLOOKUP(A937,Internal_lists_bugs!$A$2:$I1001,9,FALSE()),"please select a BUG ID")</f>
        <v>please select a BUG ID</v>
      </c>
      <c r="E937" s="105"/>
      <c r="G937" s="54"/>
      <c r="H937" s="105"/>
    </row>
    <row r="938">
      <c r="A938" s="54"/>
      <c r="B938" s="88" t="str">
        <f>IFERROR(HYPERLINK(VLOOKUP(A938,Internal_lists_bugs!$A$2:$C$73,3,FALSE()), VLOOKUP(A938,Internal_lists_bugs!$A$2:$C$73,3,FALSE())&amp;Char(10) &amp; Char(10) &amp; VLOOKUP(A938,Internal_lists_bugs!$A$2:$Z$73,26,FALSE())),"please select a BUG ID")</f>
        <v>please select a BUG ID</v>
      </c>
      <c r="C938" s="51" t="str">
        <f>IFERROR(VLOOKUP(A938,Internal_lists_bugs!$A$2:$G1001,7,FALSE()),"please select a BUG ID")</f>
        <v>please select a BUG ID</v>
      </c>
      <c r="D938" s="51" t="str">
        <f>IFERROR(VLOOKUP(A938,Internal_lists_bugs!$A$2:$I1001,9,FALSE()),"please select a BUG ID")</f>
        <v>please select a BUG ID</v>
      </c>
      <c r="E938" s="105"/>
      <c r="G938" s="54"/>
      <c r="H938" s="105"/>
    </row>
    <row r="939">
      <c r="A939" s="54"/>
      <c r="B939" s="88" t="str">
        <f>IFERROR(HYPERLINK(VLOOKUP(A939,Internal_lists_bugs!$A$2:$C$73,3,FALSE()), VLOOKUP(A939,Internal_lists_bugs!$A$2:$C$73,3,FALSE())&amp;Char(10) &amp; Char(10) &amp; VLOOKUP(A939,Internal_lists_bugs!$A$2:$Z$73,26,FALSE())),"please select a BUG ID")</f>
        <v>please select a BUG ID</v>
      </c>
      <c r="C939" s="51" t="str">
        <f>IFERROR(VLOOKUP(A939,Internal_lists_bugs!$A$2:$G1001,7,FALSE()),"please select a BUG ID")</f>
        <v>please select a BUG ID</v>
      </c>
      <c r="D939" s="51" t="str">
        <f>IFERROR(VLOOKUP(A939,Internal_lists_bugs!$A$2:$I1001,9,FALSE()),"please select a BUG ID")</f>
        <v>please select a BUG ID</v>
      </c>
      <c r="E939" s="105"/>
      <c r="G939" s="54"/>
      <c r="H939" s="105"/>
    </row>
    <row r="940">
      <c r="A940" s="54"/>
      <c r="B940" s="88" t="str">
        <f>IFERROR(HYPERLINK(VLOOKUP(A940,Internal_lists_bugs!$A$2:$C$73,3,FALSE()), VLOOKUP(A940,Internal_lists_bugs!$A$2:$C$73,3,FALSE())&amp;Char(10) &amp; Char(10) &amp; VLOOKUP(A940,Internal_lists_bugs!$A$2:$Z$73,26,FALSE())),"please select a BUG ID")</f>
        <v>please select a BUG ID</v>
      </c>
      <c r="C940" s="51" t="str">
        <f>IFERROR(VLOOKUP(A940,Internal_lists_bugs!$A$2:$G1001,7,FALSE()),"please select a BUG ID")</f>
        <v>please select a BUG ID</v>
      </c>
      <c r="D940" s="51" t="str">
        <f>IFERROR(VLOOKUP(A940,Internal_lists_bugs!$A$2:$I1001,9,FALSE()),"please select a BUG ID")</f>
        <v>please select a BUG ID</v>
      </c>
      <c r="E940" s="105"/>
      <c r="G940" s="54"/>
      <c r="H940" s="105"/>
    </row>
    <row r="941">
      <c r="A941" s="54"/>
      <c r="B941" s="88" t="str">
        <f>IFERROR(HYPERLINK(VLOOKUP(A941,Internal_lists_bugs!$A$2:$C$73,3,FALSE()), VLOOKUP(A941,Internal_lists_bugs!$A$2:$C$73,3,FALSE())&amp;Char(10) &amp; Char(10) &amp; VLOOKUP(A941,Internal_lists_bugs!$A$2:$Z$73,26,FALSE())),"please select a BUG ID")</f>
        <v>please select a BUG ID</v>
      </c>
      <c r="C941" s="51" t="str">
        <f>IFERROR(VLOOKUP(A941,Internal_lists_bugs!$A$2:$G1001,7,FALSE()),"please select a BUG ID")</f>
        <v>please select a BUG ID</v>
      </c>
      <c r="D941" s="51" t="str">
        <f>IFERROR(VLOOKUP(A941,Internal_lists_bugs!$A$2:$I1001,9,FALSE()),"please select a BUG ID")</f>
        <v>please select a BUG ID</v>
      </c>
      <c r="E941" s="105"/>
      <c r="G941" s="54"/>
      <c r="H941" s="105"/>
    </row>
    <row r="942">
      <c r="A942" s="54"/>
      <c r="B942" s="88" t="str">
        <f>IFERROR(HYPERLINK(VLOOKUP(A942,Internal_lists_bugs!$A$2:$C$73,3,FALSE()), VLOOKUP(A942,Internal_lists_bugs!$A$2:$C$73,3,FALSE())&amp;Char(10) &amp; Char(10) &amp; VLOOKUP(A942,Internal_lists_bugs!$A$2:$Z$73,26,FALSE())),"please select a BUG ID")</f>
        <v>please select a BUG ID</v>
      </c>
      <c r="C942" s="51" t="str">
        <f>IFERROR(VLOOKUP(A942,Internal_lists_bugs!$A$2:$G1001,7,FALSE()),"please select a BUG ID")</f>
        <v>please select a BUG ID</v>
      </c>
      <c r="D942" s="51" t="str">
        <f>IFERROR(VLOOKUP(A942,Internal_lists_bugs!$A$2:$I1001,9,FALSE()),"please select a BUG ID")</f>
        <v>please select a BUG ID</v>
      </c>
      <c r="E942" s="105"/>
      <c r="G942" s="54"/>
      <c r="H942" s="105"/>
    </row>
    <row r="943">
      <c r="A943" s="54"/>
      <c r="B943" s="88" t="str">
        <f>IFERROR(HYPERLINK(VLOOKUP(A943,Internal_lists_bugs!$A$2:$C$73,3,FALSE()), VLOOKUP(A943,Internal_lists_bugs!$A$2:$C$73,3,FALSE())&amp;Char(10) &amp; Char(10) &amp; VLOOKUP(A943,Internal_lists_bugs!$A$2:$Z$73,26,FALSE())),"please select a BUG ID")</f>
        <v>please select a BUG ID</v>
      </c>
      <c r="C943" s="51" t="str">
        <f>IFERROR(VLOOKUP(A943,Internal_lists_bugs!$A$2:$G1001,7,FALSE()),"please select a BUG ID")</f>
        <v>please select a BUG ID</v>
      </c>
      <c r="D943" s="51" t="str">
        <f>IFERROR(VLOOKUP(A943,Internal_lists_bugs!$A$2:$I1001,9,FALSE()),"please select a BUG ID")</f>
        <v>please select a BUG ID</v>
      </c>
      <c r="E943" s="105"/>
      <c r="G943" s="54"/>
      <c r="H943" s="105"/>
    </row>
    <row r="944">
      <c r="A944" s="54"/>
      <c r="B944" s="88" t="str">
        <f>IFERROR(HYPERLINK(VLOOKUP(A944,Internal_lists_bugs!$A$2:$C$73,3,FALSE()), VLOOKUP(A944,Internal_lists_bugs!$A$2:$C$73,3,FALSE())&amp;Char(10) &amp; Char(10) &amp; VLOOKUP(A944,Internal_lists_bugs!$A$2:$Z$73,26,FALSE())),"please select a BUG ID")</f>
        <v>please select a BUG ID</v>
      </c>
      <c r="C944" s="51" t="str">
        <f>IFERROR(VLOOKUP(A944,Internal_lists_bugs!$A$2:$G1001,7,FALSE()),"please select a BUG ID")</f>
        <v>please select a BUG ID</v>
      </c>
      <c r="D944" s="51" t="str">
        <f>IFERROR(VLOOKUP(A944,Internal_lists_bugs!$A$2:$I1001,9,FALSE()),"please select a BUG ID")</f>
        <v>please select a BUG ID</v>
      </c>
      <c r="E944" s="105"/>
      <c r="G944" s="54"/>
      <c r="H944" s="105"/>
    </row>
    <row r="945">
      <c r="A945" s="54"/>
      <c r="B945" s="88" t="str">
        <f>IFERROR(HYPERLINK(VLOOKUP(A945,Internal_lists_bugs!$A$2:$C$73,3,FALSE()), VLOOKUP(A945,Internal_lists_bugs!$A$2:$C$73,3,FALSE())&amp;Char(10) &amp; Char(10) &amp; VLOOKUP(A945,Internal_lists_bugs!$A$2:$Z$73,26,FALSE())),"please select a BUG ID")</f>
        <v>please select a BUG ID</v>
      </c>
      <c r="C945" s="51" t="str">
        <f>IFERROR(VLOOKUP(A945,Internal_lists_bugs!$A$2:$G1001,7,FALSE()),"please select a BUG ID")</f>
        <v>please select a BUG ID</v>
      </c>
      <c r="D945" s="51" t="str">
        <f>IFERROR(VLOOKUP(A945,Internal_lists_bugs!$A$2:$I1001,9,FALSE()),"please select a BUG ID")</f>
        <v>please select a BUG ID</v>
      </c>
      <c r="E945" s="105"/>
      <c r="G945" s="54"/>
      <c r="H945" s="105"/>
    </row>
    <row r="946">
      <c r="A946" s="54"/>
      <c r="B946" s="88" t="str">
        <f>IFERROR(HYPERLINK(VLOOKUP(A946,Internal_lists_bugs!$A$2:$C$73,3,FALSE()), VLOOKUP(A946,Internal_lists_bugs!$A$2:$C$73,3,FALSE())&amp;Char(10) &amp; Char(10) &amp; VLOOKUP(A946,Internal_lists_bugs!$A$2:$Z$73,26,FALSE())),"please select a BUG ID")</f>
        <v>please select a BUG ID</v>
      </c>
      <c r="C946" s="51" t="str">
        <f>IFERROR(VLOOKUP(A946,Internal_lists_bugs!$A$2:$G1001,7,FALSE()),"please select a BUG ID")</f>
        <v>please select a BUG ID</v>
      </c>
      <c r="D946" s="51" t="str">
        <f>IFERROR(VLOOKUP(A946,Internal_lists_bugs!$A$2:$I1001,9,FALSE()),"please select a BUG ID")</f>
        <v>please select a BUG ID</v>
      </c>
      <c r="E946" s="105"/>
      <c r="G946" s="54"/>
      <c r="H946" s="105"/>
    </row>
    <row r="947">
      <c r="A947" s="54"/>
      <c r="B947" s="88" t="str">
        <f>IFERROR(HYPERLINK(VLOOKUP(A947,Internal_lists_bugs!$A$2:$C$73,3,FALSE()), VLOOKUP(A947,Internal_lists_bugs!$A$2:$C$73,3,FALSE())&amp;Char(10) &amp; Char(10) &amp; VLOOKUP(A947,Internal_lists_bugs!$A$2:$Z$73,26,FALSE())),"please select a BUG ID")</f>
        <v>please select a BUG ID</v>
      </c>
      <c r="C947" s="51" t="str">
        <f>IFERROR(VLOOKUP(A947,Internal_lists_bugs!$A$2:$G1001,7,FALSE()),"please select a BUG ID")</f>
        <v>please select a BUG ID</v>
      </c>
      <c r="D947" s="51" t="str">
        <f>IFERROR(VLOOKUP(A947,Internal_lists_bugs!$A$2:$I1001,9,FALSE()),"please select a BUG ID")</f>
        <v>please select a BUG ID</v>
      </c>
      <c r="E947" s="105"/>
      <c r="G947" s="54"/>
      <c r="H947" s="105"/>
    </row>
    <row r="948">
      <c r="A948" s="54"/>
      <c r="B948" s="88" t="str">
        <f>IFERROR(HYPERLINK(VLOOKUP(A948,Internal_lists_bugs!$A$2:$C$73,3,FALSE()), VLOOKUP(A948,Internal_lists_bugs!$A$2:$C$73,3,FALSE())&amp;Char(10) &amp; Char(10) &amp; VLOOKUP(A948,Internal_lists_bugs!$A$2:$Z$73,26,FALSE())),"please select a BUG ID")</f>
        <v>please select a BUG ID</v>
      </c>
      <c r="C948" s="51" t="str">
        <f>IFERROR(VLOOKUP(A948,Internal_lists_bugs!$A$2:$G1001,7,FALSE()),"please select a BUG ID")</f>
        <v>please select a BUG ID</v>
      </c>
      <c r="D948" s="51" t="str">
        <f>IFERROR(VLOOKUP(A948,Internal_lists_bugs!$A$2:$I1001,9,FALSE()),"please select a BUG ID")</f>
        <v>please select a BUG ID</v>
      </c>
      <c r="E948" s="105"/>
      <c r="G948" s="54"/>
      <c r="H948" s="105"/>
    </row>
    <row r="949">
      <c r="A949" s="54"/>
      <c r="B949" s="88" t="str">
        <f>IFERROR(HYPERLINK(VLOOKUP(A949,Internal_lists_bugs!$A$2:$C$73,3,FALSE()), VLOOKUP(A949,Internal_lists_bugs!$A$2:$C$73,3,FALSE())&amp;Char(10) &amp; Char(10) &amp; VLOOKUP(A949,Internal_lists_bugs!$A$2:$Z$73,26,FALSE())),"please select a BUG ID")</f>
        <v>please select a BUG ID</v>
      </c>
      <c r="C949" s="51" t="str">
        <f>IFERROR(VLOOKUP(A949,Internal_lists_bugs!$A$2:$G1001,7,FALSE()),"please select a BUG ID")</f>
        <v>please select a BUG ID</v>
      </c>
      <c r="D949" s="51" t="str">
        <f>IFERROR(VLOOKUP(A949,Internal_lists_bugs!$A$2:$I1001,9,FALSE()),"please select a BUG ID")</f>
        <v>please select a BUG ID</v>
      </c>
      <c r="E949" s="105"/>
      <c r="G949" s="54"/>
      <c r="H949" s="105"/>
    </row>
    <row r="950">
      <c r="A950" s="54"/>
      <c r="B950" s="88" t="str">
        <f>IFERROR(HYPERLINK(VLOOKUP(A950,Internal_lists_bugs!$A$2:$C$73,3,FALSE()), VLOOKUP(A950,Internal_lists_bugs!$A$2:$C$73,3,FALSE())&amp;Char(10) &amp; Char(10) &amp; VLOOKUP(A950,Internal_lists_bugs!$A$2:$Z$73,26,FALSE())),"please select a BUG ID")</f>
        <v>please select a BUG ID</v>
      </c>
      <c r="C950" s="51" t="str">
        <f>IFERROR(VLOOKUP(A950,Internal_lists_bugs!$A$2:$G1001,7,FALSE()),"please select a BUG ID")</f>
        <v>please select a BUG ID</v>
      </c>
      <c r="D950" s="51" t="str">
        <f>IFERROR(VLOOKUP(A950,Internal_lists_bugs!$A$2:$I1001,9,FALSE()),"please select a BUG ID")</f>
        <v>please select a BUG ID</v>
      </c>
      <c r="E950" s="105"/>
      <c r="G950" s="54"/>
      <c r="H950" s="105"/>
    </row>
    <row r="951">
      <c r="A951" s="54"/>
      <c r="B951" s="88" t="str">
        <f>IFERROR(HYPERLINK(VLOOKUP(A951,Internal_lists_bugs!$A$2:$C$73,3,FALSE()), VLOOKUP(A951,Internal_lists_bugs!$A$2:$C$73,3,FALSE())&amp;Char(10) &amp; Char(10) &amp; VLOOKUP(A951,Internal_lists_bugs!$A$2:$Z$73,26,FALSE())),"please select a BUG ID")</f>
        <v>please select a BUG ID</v>
      </c>
      <c r="C951" s="51" t="str">
        <f>IFERROR(VLOOKUP(A951,Internal_lists_bugs!$A$2:$G1001,7,FALSE()),"please select a BUG ID")</f>
        <v>please select a BUG ID</v>
      </c>
      <c r="D951" s="51" t="str">
        <f>IFERROR(VLOOKUP(A951,Internal_lists_bugs!$A$2:$I1001,9,FALSE()),"please select a BUG ID")</f>
        <v>please select a BUG ID</v>
      </c>
      <c r="E951" s="105"/>
      <c r="G951" s="54"/>
      <c r="H951" s="105"/>
    </row>
    <row r="952">
      <c r="A952" s="54"/>
      <c r="B952" s="88" t="str">
        <f>IFERROR(HYPERLINK(VLOOKUP(A952,Internal_lists_bugs!$A$2:$C$73,3,FALSE()), VLOOKUP(A952,Internal_lists_bugs!$A$2:$C$73,3,FALSE())&amp;Char(10) &amp; Char(10) &amp; VLOOKUP(A952,Internal_lists_bugs!$A$2:$Z$73,26,FALSE())),"please select a BUG ID")</f>
        <v>please select a BUG ID</v>
      </c>
      <c r="C952" s="51" t="str">
        <f>IFERROR(VLOOKUP(A952,Internal_lists_bugs!$A$2:$G1001,7,FALSE()),"please select a BUG ID")</f>
        <v>please select a BUG ID</v>
      </c>
      <c r="D952" s="51" t="str">
        <f>IFERROR(VLOOKUP(A952,Internal_lists_bugs!$A$2:$I1001,9,FALSE()),"please select a BUG ID")</f>
        <v>please select a BUG ID</v>
      </c>
      <c r="E952" s="105"/>
      <c r="G952" s="54"/>
      <c r="H952" s="105"/>
    </row>
    <row r="953">
      <c r="A953" s="54"/>
      <c r="B953" s="88" t="str">
        <f>IFERROR(HYPERLINK(VLOOKUP(A953,Internal_lists_bugs!$A$2:$C$73,3,FALSE()), VLOOKUP(A953,Internal_lists_bugs!$A$2:$C$73,3,FALSE())&amp;Char(10) &amp; Char(10) &amp; VLOOKUP(A953,Internal_lists_bugs!$A$2:$Z$73,26,FALSE())),"please select a BUG ID")</f>
        <v>please select a BUG ID</v>
      </c>
      <c r="C953" s="51" t="str">
        <f>IFERROR(VLOOKUP(A953,Internal_lists_bugs!$A$2:$G1001,7,FALSE()),"please select a BUG ID")</f>
        <v>please select a BUG ID</v>
      </c>
      <c r="D953" s="51" t="str">
        <f>IFERROR(VLOOKUP(A953,Internal_lists_bugs!$A$2:$I1001,9,FALSE()),"please select a BUG ID")</f>
        <v>please select a BUG ID</v>
      </c>
      <c r="E953" s="105"/>
      <c r="G953" s="54"/>
      <c r="H953" s="105"/>
    </row>
    <row r="954">
      <c r="A954" s="54"/>
      <c r="B954" s="88" t="str">
        <f>IFERROR(HYPERLINK(VLOOKUP(A954,Internal_lists_bugs!$A$2:$C$73,3,FALSE()), VLOOKUP(A954,Internal_lists_bugs!$A$2:$C$73,3,FALSE())&amp;Char(10) &amp; Char(10) &amp; VLOOKUP(A954,Internal_lists_bugs!$A$2:$Z$73,26,FALSE())),"please select a BUG ID")</f>
        <v>please select a BUG ID</v>
      </c>
      <c r="C954" s="51" t="str">
        <f>IFERROR(VLOOKUP(A954,Internal_lists_bugs!$A$2:$G1001,7,FALSE()),"please select a BUG ID")</f>
        <v>please select a BUG ID</v>
      </c>
      <c r="D954" s="51" t="str">
        <f>IFERROR(VLOOKUP(A954,Internal_lists_bugs!$A$2:$I1001,9,FALSE()),"please select a BUG ID")</f>
        <v>please select a BUG ID</v>
      </c>
      <c r="E954" s="105"/>
      <c r="G954" s="54"/>
      <c r="H954" s="105"/>
    </row>
    <row r="955">
      <c r="A955" s="54"/>
      <c r="B955" s="88" t="str">
        <f>IFERROR(HYPERLINK(VLOOKUP(A955,Internal_lists_bugs!$A$2:$C$73,3,FALSE()), VLOOKUP(A955,Internal_lists_bugs!$A$2:$C$73,3,FALSE())&amp;Char(10) &amp; Char(10) &amp; VLOOKUP(A955,Internal_lists_bugs!$A$2:$Z$73,26,FALSE())),"please select a BUG ID")</f>
        <v>please select a BUG ID</v>
      </c>
      <c r="C955" s="51" t="str">
        <f>IFERROR(VLOOKUP(A955,Internal_lists_bugs!$A$2:$G1001,7,FALSE()),"please select a BUG ID")</f>
        <v>please select a BUG ID</v>
      </c>
      <c r="D955" s="51" t="str">
        <f>IFERROR(VLOOKUP(A955,Internal_lists_bugs!$A$2:$I1001,9,FALSE()),"please select a BUG ID")</f>
        <v>please select a BUG ID</v>
      </c>
      <c r="E955" s="105"/>
      <c r="G955" s="54"/>
      <c r="H955" s="105"/>
    </row>
    <row r="956">
      <c r="A956" s="54"/>
      <c r="B956" s="88" t="str">
        <f>IFERROR(HYPERLINK(VLOOKUP(A956,Internal_lists_bugs!$A$2:$C$73,3,FALSE()), VLOOKUP(A956,Internal_lists_bugs!$A$2:$C$73,3,FALSE())&amp;Char(10) &amp; Char(10) &amp; VLOOKUP(A956,Internal_lists_bugs!$A$2:$Z$73,26,FALSE())),"please select a BUG ID")</f>
        <v>please select a BUG ID</v>
      </c>
      <c r="C956" s="51" t="str">
        <f>IFERROR(VLOOKUP(A956,Internal_lists_bugs!$A$2:$G1001,7,FALSE()),"please select a BUG ID")</f>
        <v>please select a BUG ID</v>
      </c>
      <c r="D956" s="51" t="str">
        <f>IFERROR(VLOOKUP(A956,Internal_lists_bugs!$A$2:$I1001,9,FALSE()),"please select a BUG ID")</f>
        <v>please select a BUG ID</v>
      </c>
      <c r="E956" s="105"/>
      <c r="G956" s="54"/>
      <c r="H956" s="105"/>
    </row>
    <row r="957">
      <c r="A957" s="54"/>
      <c r="B957" s="88" t="str">
        <f>IFERROR(HYPERLINK(VLOOKUP(A957,Internal_lists_bugs!$A$2:$C$73,3,FALSE()), VLOOKUP(A957,Internal_lists_bugs!$A$2:$C$73,3,FALSE())&amp;Char(10) &amp; Char(10) &amp; VLOOKUP(A957,Internal_lists_bugs!$A$2:$Z$73,26,FALSE())),"please select a BUG ID")</f>
        <v>please select a BUG ID</v>
      </c>
      <c r="C957" s="51" t="str">
        <f>IFERROR(VLOOKUP(A957,Internal_lists_bugs!$A$2:$G1001,7,FALSE()),"please select a BUG ID")</f>
        <v>please select a BUG ID</v>
      </c>
      <c r="D957" s="51" t="str">
        <f>IFERROR(VLOOKUP(A957,Internal_lists_bugs!$A$2:$I1001,9,FALSE()),"please select a BUG ID")</f>
        <v>please select a BUG ID</v>
      </c>
      <c r="E957" s="105"/>
      <c r="G957" s="54"/>
      <c r="H957" s="105"/>
    </row>
    <row r="958">
      <c r="A958" s="54"/>
      <c r="B958" s="88" t="str">
        <f>IFERROR(HYPERLINK(VLOOKUP(A958,Internal_lists_bugs!$A$2:$C$73,3,FALSE()), VLOOKUP(A958,Internal_lists_bugs!$A$2:$C$73,3,FALSE())&amp;Char(10) &amp; Char(10) &amp; VLOOKUP(A958,Internal_lists_bugs!$A$2:$Z$73,26,FALSE())),"please select a BUG ID")</f>
        <v>please select a BUG ID</v>
      </c>
      <c r="C958" s="51" t="str">
        <f>IFERROR(VLOOKUP(A958,Internal_lists_bugs!$A$2:$G1001,7,FALSE()),"please select a BUG ID")</f>
        <v>please select a BUG ID</v>
      </c>
      <c r="D958" s="51" t="str">
        <f>IFERROR(VLOOKUP(A958,Internal_lists_bugs!$A$2:$I1001,9,FALSE()),"please select a BUG ID")</f>
        <v>please select a BUG ID</v>
      </c>
      <c r="E958" s="105"/>
      <c r="G958" s="54"/>
      <c r="H958" s="105"/>
    </row>
    <row r="959">
      <c r="A959" s="54"/>
      <c r="B959" s="88" t="str">
        <f>IFERROR(HYPERLINK(VLOOKUP(A959,Internal_lists_bugs!$A$2:$C$73,3,FALSE()), VLOOKUP(A959,Internal_lists_bugs!$A$2:$C$73,3,FALSE())&amp;Char(10) &amp; Char(10) &amp; VLOOKUP(A959,Internal_lists_bugs!$A$2:$Z$73,26,FALSE())),"please select a BUG ID")</f>
        <v>please select a BUG ID</v>
      </c>
      <c r="C959" s="51" t="str">
        <f>IFERROR(VLOOKUP(A959,Internal_lists_bugs!$A$2:$G1001,7,FALSE()),"please select a BUG ID")</f>
        <v>please select a BUG ID</v>
      </c>
      <c r="D959" s="51" t="str">
        <f>IFERROR(VLOOKUP(A959,Internal_lists_bugs!$A$2:$I1001,9,FALSE()),"please select a BUG ID")</f>
        <v>please select a BUG ID</v>
      </c>
      <c r="E959" s="105"/>
      <c r="G959" s="54"/>
      <c r="H959" s="105"/>
    </row>
    <row r="960">
      <c r="A960" s="54"/>
      <c r="B960" s="88" t="str">
        <f>IFERROR(HYPERLINK(VLOOKUP(A960,Internal_lists_bugs!$A$2:$C$73,3,FALSE()), VLOOKUP(A960,Internal_lists_bugs!$A$2:$C$73,3,FALSE())&amp;Char(10) &amp; Char(10) &amp; VLOOKUP(A960,Internal_lists_bugs!$A$2:$Z$73,26,FALSE())),"please select a BUG ID")</f>
        <v>please select a BUG ID</v>
      </c>
      <c r="C960" s="51" t="str">
        <f>IFERROR(VLOOKUP(A960,Internal_lists_bugs!$A$2:$G1001,7,FALSE()),"please select a BUG ID")</f>
        <v>please select a BUG ID</v>
      </c>
      <c r="D960" s="51" t="str">
        <f>IFERROR(VLOOKUP(A960,Internal_lists_bugs!$A$2:$I1001,9,FALSE()),"please select a BUG ID")</f>
        <v>please select a BUG ID</v>
      </c>
      <c r="E960" s="105"/>
      <c r="G960" s="54"/>
      <c r="H960" s="105"/>
    </row>
    <row r="961">
      <c r="A961" s="54"/>
      <c r="B961" s="88" t="str">
        <f>IFERROR(HYPERLINK(VLOOKUP(A961,Internal_lists_bugs!$A$2:$C$73,3,FALSE()), VLOOKUP(A961,Internal_lists_bugs!$A$2:$C$73,3,FALSE())&amp;Char(10) &amp; Char(10) &amp; VLOOKUP(A961,Internal_lists_bugs!$A$2:$Z$73,26,FALSE())),"please select a BUG ID")</f>
        <v>please select a BUG ID</v>
      </c>
      <c r="C961" s="51" t="str">
        <f>IFERROR(VLOOKUP(A961,Internal_lists_bugs!$A$2:$G1001,7,FALSE()),"please select a BUG ID")</f>
        <v>please select a BUG ID</v>
      </c>
      <c r="D961" s="51" t="str">
        <f>IFERROR(VLOOKUP(A961,Internal_lists_bugs!$A$2:$I1001,9,FALSE()),"please select a BUG ID")</f>
        <v>please select a BUG ID</v>
      </c>
      <c r="E961" s="105"/>
      <c r="G961" s="54"/>
      <c r="H961" s="105"/>
    </row>
    <row r="962">
      <c r="A962" s="54"/>
      <c r="B962" s="88" t="str">
        <f>IFERROR(HYPERLINK(VLOOKUP(A962,Internal_lists_bugs!$A$2:$C$73,3,FALSE()), VLOOKUP(A962,Internal_lists_bugs!$A$2:$C$73,3,FALSE())&amp;Char(10) &amp; Char(10) &amp; VLOOKUP(A962,Internal_lists_bugs!$A$2:$Z$73,26,FALSE())),"please select a BUG ID")</f>
        <v>please select a BUG ID</v>
      </c>
      <c r="C962" s="51" t="str">
        <f>IFERROR(VLOOKUP(A962,Internal_lists_bugs!$A$2:$G1001,7,FALSE()),"please select a BUG ID")</f>
        <v>please select a BUG ID</v>
      </c>
      <c r="D962" s="51" t="str">
        <f>IFERROR(VLOOKUP(A962,Internal_lists_bugs!$A$2:$I1001,9,FALSE()),"please select a BUG ID")</f>
        <v>please select a BUG ID</v>
      </c>
      <c r="E962" s="105"/>
      <c r="G962" s="54"/>
      <c r="H962" s="105"/>
    </row>
    <row r="963">
      <c r="A963" s="54"/>
      <c r="B963" s="88" t="str">
        <f>IFERROR(HYPERLINK(VLOOKUP(A963,Internal_lists_bugs!$A$2:$C$73,3,FALSE()), VLOOKUP(A963,Internal_lists_bugs!$A$2:$C$73,3,FALSE())&amp;Char(10) &amp; Char(10) &amp; VLOOKUP(A963,Internal_lists_bugs!$A$2:$Z$73,26,FALSE())),"please select a BUG ID")</f>
        <v>please select a BUG ID</v>
      </c>
      <c r="C963" s="51" t="str">
        <f>IFERROR(VLOOKUP(A963,Internal_lists_bugs!$A$2:$G1001,7,FALSE()),"please select a BUG ID")</f>
        <v>please select a BUG ID</v>
      </c>
      <c r="D963" s="51" t="str">
        <f>IFERROR(VLOOKUP(A963,Internal_lists_bugs!$A$2:$I1001,9,FALSE()),"please select a BUG ID")</f>
        <v>please select a BUG ID</v>
      </c>
      <c r="E963" s="105"/>
      <c r="G963" s="54"/>
      <c r="H963" s="105"/>
    </row>
    <row r="964">
      <c r="A964" s="54"/>
      <c r="B964" s="88" t="str">
        <f>IFERROR(HYPERLINK(VLOOKUP(A964,Internal_lists_bugs!$A$2:$C$73,3,FALSE()), VLOOKUP(A964,Internal_lists_bugs!$A$2:$C$73,3,FALSE())&amp;Char(10) &amp; Char(10) &amp; VLOOKUP(A964,Internal_lists_bugs!$A$2:$Z$73,26,FALSE())),"please select a BUG ID")</f>
        <v>please select a BUG ID</v>
      </c>
      <c r="C964" s="51" t="str">
        <f>IFERROR(VLOOKUP(A964,Internal_lists_bugs!$A$2:$G1001,7,FALSE()),"please select a BUG ID")</f>
        <v>please select a BUG ID</v>
      </c>
      <c r="D964" s="51" t="str">
        <f>IFERROR(VLOOKUP(A964,Internal_lists_bugs!$A$2:$I1001,9,FALSE()),"please select a BUG ID")</f>
        <v>please select a BUG ID</v>
      </c>
      <c r="E964" s="105"/>
      <c r="G964" s="54"/>
      <c r="H964" s="105"/>
    </row>
    <row r="965">
      <c r="A965" s="54"/>
      <c r="B965" s="88" t="str">
        <f>IFERROR(HYPERLINK(VLOOKUP(A965,Internal_lists_bugs!$A$2:$C$73,3,FALSE()), VLOOKUP(A965,Internal_lists_bugs!$A$2:$C$73,3,FALSE())&amp;Char(10) &amp; Char(10) &amp; VLOOKUP(A965,Internal_lists_bugs!$A$2:$Z$73,26,FALSE())),"please select a BUG ID")</f>
        <v>please select a BUG ID</v>
      </c>
      <c r="C965" s="51" t="str">
        <f>IFERROR(VLOOKUP(A965,Internal_lists_bugs!$A$2:$G1001,7,FALSE()),"please select a BUG ID")</f>
        <v>please select a BUG ID</v>
      </c>
      <c r="D965" s="51" t="str">
        <f>IFERROR(VLOOKUP(A965,Internal_lists_bugs!$A$2:$I1001,9,FALSE()),"please select a BUG ID")</f>
        <v>please select a BUG ID</v>
      </c>
      <c r="E965" s="105"/>
      <c r="G965" s="54"/>
      <c r="H965" s="105"/>
    </row>
    <row r="966">
      <c r="A966" s="54"/>
      <c r="B966" s="88" t="str">
        <f>IFERROR(HYPERLINK(VLOOKUP(A966,Internal_lists_bugs!$A$2:$C$73,3,FALSE()), VLOOKUP(A966,Internal_lists_bugs!$A$2:$C$73,3,FALSE())&amp;Char(10) &amp; Char(10) &amp; VLOOKUP(A966,Internal_lists_bugs!$A$2:$Z$73,26,FALSE())),"please select a BUG ID")</f>
        <v>please select a BUG ID</v>
      </c>
      <c r="C966" s="51" t="str">
        <f>IFERROR(VLOOKUP(A966,Internal_lists_bugs!$A$2:$G1001,7,FALSE()),"please select a BUG ID")</f>
        <v>please select a BUG ID</v>
      </c>
      <c r="D966" s="51" t="str">
        <f>IFERROR(VLOOKUP(A966,Internal_lists_bugs!$A$2:$I1001,9,FALSE()),"please select a BUG ID")</f>
        <v>please select a BUG ID</v>
      </c>
      <c r="E966" s="105"/>
      <c r="G966" s="54"/>
      <c r="H966" s="105"/>
    </row>
    <row r="967">
      <c r="A967" s="54"/>
      <c r="B967" s="88" t="str">
        <f>IFERROR(HYPERLINK(VLOOKUP(A967,Internal_lists_bugs!$A$2:$C$73,3,FALSE()), VLOOKUP(A967,Internal_lists_bugs!$A$2:$C$73,3,FALSE())&amp;Char(10) &amp; Char(10) &amp; VLOOKUP(A967,Internal_lists_bugs!$A$2:$Z$73,26,FALSE())),"please select a BUG ID")</f>
        <v>please select a BUG ID</v>
      </c>
      <c r="C967" s="51" t="str">
        <f>IFERROR(VLOOKUP(A967,Internal_lists_bugs!$A$2:$G1001,7,FALSE()),"please select a BUG ID")</f>
        <v>please select a BUG ID</v>
      </c>
      <c r="D967" s="51" t="str">
        <f>IFERROR(VLOOKUP(A967,Internal_lists_bugs!$A$2:$I1001,9,FALSE()),"please select a BUG ID")</f>
        <v>please select a BUG ID</v>
      </c>
      <c r="E967" s="105"/>
      <c r="G967" s="54"/>
      <c r="H967" s="105"/>
    </row>
    <row r="968">
      <c r="A968" s="54"/>
      <c r="B968" s="88" t="str">
        <f>IFERROR(HYPERLINK(VLOOKUP(A968,Internal_lists_bugs!$A$2:$C$73,3,FALSE()), VLOOKUP(A968,Internal_lists_bugs!$A$2:$C$73,3,FALSE())&amp;Char(10) &amp; Char(10) &amp; VLOOKUP(A968,Internal_lists_bugs!$A$2:$Z$73,26,FALSE())),"please select a BUG ID")</f>
        <v>please select a BUG ID</v>
      </c>
      <c r="C968" s="51" t="str">
        <f>IFERROR(VLOOKUP(A968,Internal_lists_bugs!$A$2:$G1001,7,FALSE()),"please select a BUG ID")</f>
        <v>please select a BUG ID</v>
      </c>
      <c r="D968" s="51" t="str">
        <f>IFERROR(VLOOKUP(A968,Internal_lists_bugs!$A$2:$I1001,9,FALSE()),"please select a BUG ID")</f>
        <v>please select a BUG ID</v>
      </c>
      <c r="E968" s="105"/>
      <c r="G968" s="54"/>
      <c r="H968" s="105"/>
    </row>
    <row r="969">
      <c r="A969" s="54"/>
      <c r="B969" s="88" t="str">
        <f>IFERROR(HYPERLINK(VLOOKUP(A969,Internal_lists_bugs!$A$2:$C$73,3,FALSE()), VLOOKUP(A969,Internal_lists_bugs!$A$2:$C$73,3,FALSE())&amp;Char(10) &amp; Char(10) &amp; VLOOKUP(A969,Internal_lists_bugs!$A$2:$Z$73,26,FALSE())),"please select a BUG ID")</f>
        <v>please select a BUG ID</v>
      </c>
      <c r="C969" s="51" t="str">
        <f>IFERROR(VLOOKUP(A969,Internal_lists_bugs!$A$2:$G1001,7,FALSE()),"please select a BUG ID")</f>
        <v>please select a BUG ID</v>
      </c>
      <c r="D969" s="51" t="str">
        <f>IFERROR(VLOOKUP(A969,Internal_lists_bugs!$A$2:$I1001,9,FALSE()),"please select a BUG ID")</f>
        <v>please select a BUG ID</v>
      </c>
      <c r="E969" s="105"/>
      <c r="G969" s="54"/>
      <c r="H969" s="105"/>
    </row>
    <row r="970">
      <c r="A970" s="54"/>
      <c r="B970" s="88" t="str">
        <f>IFERROR(HYPERLINK(VLOOKUP(A970,Internal_lists_bugs!$A$2:$C$73,3,FALSE()), VLOOKUP(A970,Internal_lists_bugs!$A$2:$C$73,3,FALSE())&amp;Char(10) &amp; Char(10) &amp; VLOOKUP(A970,Internal_lists_bugs!$A$2:$Z$73,26,FALSE())),"please select a BUG ID")</f>
        <v>please select a BUG ID</v>
      </c>
      <c r="C970" s="51" t="str">
        <f>IFERROR(VLOOKUP(A970,Internal_lists_bugs!$A$2:$G1001,7,FALSE()),"please select a BUG ID")</f>
        <v>please select a BUG ID</v>
      </c>
      <c r="D970" s="51" t="str">
        <f>IFERROR(VLOOKUP(A970,Internal_lists_bugs!$A$2:$I1001,9,FALSE()),"please select a BUG ID")</f>
        <v>please select a BUG ID</v>
      </c>
      <c r="E970" s="105"/>
      <c r="G970" s="54"/>
      <c r="H970" s="105"/>
    </row>
    <row r="971">
      <c r="A971" s="54"/>
      <c r="B971" s="88" t="str">
        <f>IFERROR(HYPERLINK(VLOOKUP(A971,Internal_lists_bugs!$A$2:$C$73,3,FALSE()), VLOOKUP(A971,Internal_lists_bugs!$A$2:$C$73,3,FALSE())&amp;Char(10) &amp; Char(10) &amp; VLOOKUP(A971,Internal_lists_bugs!$A$2:$Z$73,26,FALSE())),"please select a BUG ID")</f>
        <v>please select a BUG ID</v>
      </c>
      <c r="C971" s="51" t="str">
        <f>IFERROR(VLOOKUP(A971,Internal_lists_bugs!$A$2:$G1001,7,FALSE()),"please select a BUG ID")</f>
        <v>please select a BUG ID</v>
      </c>
      <c r="D971" s="51" t="str">
        <f>IFERROR(VLOOKUP(A971,Internal_lists_bugs!$A$2:$I1001,9,FALSE()),"please select a BUG ID")</f>
        <v>please select a BUG ID</v>
      </c>
      <c r="E971" s="105"/>
      <c r="G971" s="54"/>
      <c r="H971" s="105"/>
    </row>
    <row r="972">
      <c r="A972" s="54"/>
      <c r="B972" s="88" t="str">
        <f>IFERROR(HYPERLINK(VLOOKUP(A972,Internal_lists_bugs!$A$2:$C$73,3,FALSE()), VLOOKUP(A972,Internal_lists_bugs!$A$2:$C$73,3,FALSE())&amp;Char(10) &amp; Char(10) &amp; VLOOKUP(A972,Internal_lists_bugs!$A$2:$Z$73,26,FALSE())),"please select a BUG ID")</f>
        <v>please select a BUG ID</v>
      </c>
      <c r="C972" s="51" t="str">
        <f>IFERROR(VLOOKUP(A972,Internal_lists_bugs!$A$2:$G1001,7,FALSE()),"please select a BUG ID")</f>
        <v>please select a BUG ID</v>
      </c>
      <c r="D972" s="51" t="str">
        <f>IFERROR(VLOOKUP(A972,Internal_lists_bugs!$A$2:$I1001,9,FALSE()),"please select a BUG ID")</f>
        <v>please select a BUG ID</v>
      </c>
      <c r="E972" s="105"/>
      <c r="G972" s="54"/>
      <c r="H972" s="105"/>
    </row>
    <row r="973">
      <c r="A973" s="54"/>
      <c r="B973" s="88" t="str">
        <f>IFERROR(HYPERLINK(VLOOKUP(A973,Internal_lists_bugs!$A$2:$C$73,3,FALSE()), VLOOKUP(A973,Internal_lists_bugs!$A$2:$C$73,3,FALSE())&amp;Char(10) &amp; Char(10) &amp; VLOOKUP(A973,Internal_lists_bugs!$A$2:$Z$73,26,FALSE())),"please select a BUG ID")</f>
        <v>please select a BUG ID</v>
      </c>
      <c r="C973" s="51" t="str">
        <f>IFERROR(VLOOKUP(A973,Internal_lists_bugs!$A$2:$G1001,7,FALSE()),"please select a BUG ID")</f>
        <v>please select a BUG ID</v>
      </c>
      <c r="D973" s="51" t="str">
        <f>IFERROR(VLOOKUP(A973,Internal_lists_bugs!$A$2:$I1001,9,FALSE()),"please select a BUG ID")</f>
        <v>please select a BUG ID</v>
      </c>
      <c r="E973" s="105"/>
      <c r="G973" s="54"/>
      <c r="H973" s="105"/>
    </row>
    <row r="974">
      <c r="A974" s="54"/>
      <c r="B974" s="88" t="str">
        <f>IFERROR(HYPERLINK(VLOOKUP(A974,Internal_lists_bugs!$A$2:$C$73,3,FALSE()), VLOOKUP(A974,Internal_lists_bugs!$A$2:$C$73,3,FALSE())&amp;Char(10) &amp; Char(10) &amp; VLOOKUP(A974,Internal_lists_bugs!$A$2:$Z$73,26,FALSE())),"please select a BUG ID")</f>
        <v>please select a BUG ID</v>
      </c>
      <c r="C974" s="51" t="str">
        <f>IFERROR(VLOOKUP(A974,Internal_lists_bugs!$A$2:$G1001,7,FALSE()),"please select a BUG ID")</f>
        <v>please select a BUG ID</v>
      </c>
      <c r="D974" s="51" t="str">
        <f>IFERROR(VLOOKUP(A974,Internal_lists_bugs!$A$2:$I1001,9,FALSE()),"please select a BUG ID")</f>
        <v>please select a BUG ID</v>
      </c>
      <c r="E974" s="105"/>
      <c r="G974" s="54"/>
      <c r="H974" s="105"/>
    </row>
    <row r="975">
      <c r="A975" s="54"/>
      <c r="B975" s="88" t="str">
        <f>IFERROR(HYPERLINK(VLOOKUP(A975,Internal_lists_bugs!$A$2:$C$73,3,FALSE()), VLOOKUP(A975,Internal_lists_bugs!$A$2:$C$73,3,FALSE())&amp;Char(10) &amp; Char(10) &amp; VLOOKUP(A975,Internal_lists_bugs!$A$2:$Z$73,26,FALSE())),"please select a BUG ID")</f>
        <v>please select a BUG ID</v>
      </c>
      <c r="C975" s="51" t="str">
        <f>IFERROR(VLOOKUP(A975,Internal_lists_bugs!$A$2:$G1001,7,FALSE()),"please select a BUG ID")</f>
        <v>please select a BUG ID</v>
      </c>
      <c r="D975" s="51" t="str">
        <f>IFERROR(VLOOKUP(A975,Internal_lists_bugs!$A$2:$I1001,9,FALSE()),"please select a BUG ID")</f>
        <v>please select a BUG ID</v>
      </c>
      <c r="E975" s="105"/>
      <c r="G975" s="54"/>
      <c r="H975" s="105"/>
    </row>
    <row r="976">
      <c r="A976" s="54"/>
      <c r="B976" s="88" t="str">
        <f>IFERROR(HYPERLINK(VLOOKUP(A976,Internal_lists_bugs!$A$2:$C$73,3,FALSE()), VLOOKUP(A976,Internal_lists_bugs!$A$2:$C$73,3,FALSE())&amp;Char(10) &amp; Char(10) &amp; VLOOKUP(A976,Internal_lists_bugs!$A$2:$Z$73,26,FALSE())),"please select a BUG ID")</f>
        <v>please select a BUG ID</v>
      </c>
      <c r="C976" s="51" t="str">
        <f>IFERROR(VLOOKUP(A976,Internal_lists_bugs!$A$2:$G1001,7,FALSE()),"please select a BUG ID")</f>
        <v>please select a BUG ID</v>
      </c>
      <c r="D976" s="51" t="str">
        <f>IFERROR(VLOOKUP(A976,Internal_lists_bugs!$A$2:$I1001,9,FALSE()),"please select a BUG ID")</f>
        <v>please select a BUG ID</v>
      </c>
      <c r="E976" s="105"/>
      <c r="G976" s="54"/>
      <c r="H976" s="105"/>
    </row>
    <row r="977">
      <c r="A977" s="54"/>
      <c r="B977" s="88" t="str">
        <f>IFERROR(HYPERLINK(VLOOKUP(A977,Internal_lists_bugs!$A$2:$C$73,3,FALSE()), VLOOKUP(A977,Internal_lists_bugs!$A$2:$C$73,3,FALSE())&amp;Char(10) &amp; Char(10) &amp; VLOOKUP(A977,Internal_lists_bugs!$A$2:$Z$73,26,FALSE())),"please select a BUG ID")</f>
        <v>please select a BUG ID</v>
      </c>
      <c r="C977" s="51" t="str">
        <f>IFERROR(VLOOKUP(A977,Internal_lists_bugs!$A$2:$G1001,7,FALSE()),"please select a BUG ID")</f>
        <v>please select a BUG ID</v>
      </c>
      <c r="D977" s="51" t="str">
        <f>IFERROR(VLOOKUP(A977,Internal_lists_bugs!$A$2:$I1001,9,FALSE()),"please select a BUG ID")</f>
        <v>please select a BUG ID</v>
      </c>
      <c r="E977" s="105"/>
      <c r="G977" s="54"/>
      <c r="H977" s="105"/>
    </row>
    <row r="978">
      <c r="A978" s="54"/>
      <c r="B978" s="88" t="str">
        <f>IFERROR(HYPERLINK(VLOOKUP(A978,Internal_lists_bugs!$A$2:$C$73,3,FALSE()), VLOOKUP(A978,Internal_lists_bugs!$A$2:$C$73,3,FALSE())&amp;Char(10) &amp; Char(10) &amp; VLOOKUP(A978,Internal_lists_bugs!$A$2:$Z$73,26,FALSE())),"please select a BUG ID")</f>
        <v>please select a BUG ID</v>
      </c>
      <c r="C978" s="51" t="str">
        <f>IFERROR(VLOOKUP(A978,Internal_lists_bugs!$A$2:$G1001,7,FALSE()),"please select a BUG ID")</f>
        <v>please select a BUG ID</v>
      </c>
      <c r="D978" s="51" t="str">
        <f>IFERROR(VLOOKUP(A978,Internal_lists_bugs!$A$2:$I1001,9,FALSE()),"please select a BUG ID")</f>
        <v>please select a BUG ID</v>
      </c>
      <c r="E978" s="105"/>
      <c r="G978" s="54"/>
      <c r="H978" s="105"/>
    </row>
    <row r="979">
      <c r="A979" s="54"/>
      <c r="B979" s="88" t="str">
        <f>IFERROR(HYPERLINK(VLOOKUP(A979,Internal_lists_bugs!$A$2:$C$73,3,FALSE()), VLOOKUP(A979,Internal_lists_bugs!$A$2:$C$73,3,FALSE())&amp;Char(10) &amp; Char(10) &amp; VLOOKUP(A979,Internal_lists_bugs!$A$2:$Z$73,26,FALSE())),"please select a BUG ID")</f>
        <v>please select a BUG ID</v>
      </c>
      <c r="C979" s="51" t="str">
        <f>IFERROR(VLOOKUP(A979,Internal_lists_bugs!$A$2:$G1001,7,FALSE()),"please select a BUG ID")</f>
        <v>please select a BUG ID</v>
      </c>
      <c r="D979" s="51" t="str">
        <f>IFERROR(VLOOKUP(A979,Internal_lists_bugs!$A$2:$I1001,9,FALSE()),"please select a BUG ID")</f>
        <v>please select a BUG ID</v>
      </c>
      <c r="E979" s="105"/>
      <c r="G979" s="54"/>
      <c r="H979" s="105"/>
    </row>
    <row r="980">
      <c r="A980" s="54"/>
      <c r="B980" s="88" t="str">
        <f>IFERROR(HYPERLINK(VLOOKUP(A980,Internal_lists_bugs!$A$2:$C$73,3,FALSE()), VLOOKUP(A980,Internal_lists_bugs!$A$2:$C$73,3,FALSE())&amp;Char(10) &amp; Char(10) &amp; VLOOKUP(A980,Internal_lists_bugs!$A$2:$Z$73,26,FALSE())),"please select a BUG ID")</f>
        <v>please select a BUG ID</v>
      </c>
      <c r="C980" s="51" t="str">
        <f>IFERROR(VLOOKUP(A980,Internal_lists_bugs!$A$2:$G1001,7,FALSE()),"please select a BUG ID")</f>
        <v>please select a BUG ID</v>
      </c>
      <c r="D980" s="51" t="str">
        <f>IFERROR(VLOOKUP(A980,Internal_lists_bugs!$A$2:$I1001,9,FALSE()),"please select a BUG ID")</f>
        <v>please select a BUG ID</v>
      </c>
      <c r="E980" s="105"/>
      <c r="G980" s="54"/>
      <c r="H980" s="105"/>
    </row>
    <row r="981">
      <c r="A981" s="54"/>
      <c r="B981" s="88" t="str">
        <f>IFERROR(HYPERLINK(VLOOKUP(A981,Internal_lists_bugs!$A$2:$C$73,3,FALSE()), VLOOKUP(A981,Internal_lists_bugs!$A$2:$C$73,3,FALSE())&amp;Char(10) &amp; Char(10) &amp; VLOOKUP(A981,Internal_lists_bugs!$A$2:$Z$73,26,FALSE())),"please select a BUG ID")</f>
        <v>please select a BUG ID</v>
      </c>
      <c r="C981" s="51" t="str">
        <f>IFERROR(VLOOKUP(A981,Internal_lists_bugs!$A$2:$G1001,7,FALSE()),"please select a BUG ID")</f>
        <v>please select a BUG ID</v>
      </c>
      <c r="D981" s="51" t="str">
        <f>IFERROR(VLOOKUP(A981,Internal_lists_bugs!$A$2:$I1001,9,FALSE()),"please select a BUG ID")</f>
        <v>please select a BUG ID</v>
      </c>
      <c r="E981" s="105"/>
      <c r="G981" s="54"/>
      <c r="H981" s="105"/>
    </row>
    <row r="982">
      <c r="A982" s="54"/>
      <c r="B982" s="88" t="str">
        <f>IFERROR(HYPERLINK(VLOOKUP(A982,Internal_lists_bugs!$A$2:$C$73,3,FALSE()), VLOOKUP(A982,Internal_lists_bugs!$A$2:$C$73,3,FALSE())&amp;Char(10) &amp; Char(10) &amp; VLOOKUP(A982,Internal_lists_bugs!$A$2:$Z$73,26,FALSE())),"please select a BUG ID")</f>
        <v>please select a BUG ID</v>
      </c>
      <c r="C982" s="51" t="str">
        <f>IFERROR(VLOOKUP(A982,Internal_lists_bugs!$A$2:$G1001,7,FALSE()),"please select a BUG ID")</f>
        <v>please select a BUG ID</v>
      </c>
      <c r="D982" s="51" t="str">
        <f>IFERROR(VLOOKUP(A982,Internal_lists_bugs!$A$2:$I1001,9,FALSE()),"please select a BUG ID")</f>
        <v>please select a BUG ID</v>
      </c>
      <c r="E982" s="105"/>
      <c r="G982" s="54"/>
      <c r="H982" s="105"/>
    </row>
    <row r="983">
      <c r="A983" s="54"/>
      <c r="B983" s="88" t="str">
        <f>IFERROR(HYPERLINK(VLOOKUP(A983,Internal_lists_bugs!$A$2:$C$73,3,FALSE()), VLOOKUP(A983,Internal_lists_bugs!$A$2:$C$73,3,FALSE())&amp;Char(10) &amp; Char(10) &amp; VLOOKUP(A983,Internal_lists_bugs!$A$2:$Z$73,26,FALSE())),"please select a BUG ID")</f>
        <v>please select a BUG ID</v>
      </c>
      <c r="C983" s="51" t="str">
        <f>IFERROR(VLOOKUP(A983,Internal_lists_bugs!$A$2:$G1001,7,FALSE()),"please select a BUG ID")</f>
        <v>please select a BUG ID</v>
      </c>
      <c r="D983" s="51" t="str">
        <f>IFERROR(VLOOKUP(A983,Internal_lists_bugs!$A$2:$I1001,9,FALSE()),"please select a BUG ID")</f>
        <v>please select a BUG ID</v>
      </c>
      <c r="E983" s="105"/>
      <c r="G983" s="54"/>
      <c r="H983" s="105"/>
    </row>
    <row r="984">
      <c r="A984" s="54"/>
      <c r="B984" s="88" t="str">
        <f>IFERROR(HYPERLINK(VLOOKUP(A984,Internal_lists_bugs!$A$2:$C$73,3,FALSE()), VLOOKUP(A984,Internal_lists_bugs!$A$2:$C$73,3,FALSE())&amp;Char(10) &amp; Char(10) &amp; VLOOKUP(A984,Internal_lists_bugs!$A$2:$Z$73,26,FALSE())),"please select a BUG ID")</f>
        <v>please select a BUG ID</v>
      </c>
      <c r="C984" s="51" t="str">
        <f>IFERROR(VLOOKUP(A984,Internal_lists_bugs!$A$2:$G1001,7,FALSE()),"please select a BUG ID")</f>
        <v>please select a BUG ID</v>
      </c>
      <c r="D984" s="51" t="str">
        <f>IFERROR(VLOOKUP(A984,Internal_lists_bugs!$A$2:$I1001,9,FALSE()),"please select a BUG ID")</f>
        <v>please select a BUG ID</v>
      </c>
      <c r="E984" s="105"/>
      <c r="G984" s="54"/>
      <c r="H984" s="105"/>
    </row>
    <row r="985">
      <c r="A985" s="54"/>
      <c r="B985" s="88" t="str">
        <f>IFERROR(HYPERLINK(VLOOKUP(A985,Internal_lists_bugs!$A$2:$C$73,3,FALSE()), VLOOKUP(A985,Internal_lists_bugs!$A$2:$C$73,3,FALSE())&amp;Char(10) &amp; Char(10) &amp; VLOOKUP(A985,Internal_lists_bugs!$A$2:$Z$73,26,FALSE())),"please select a BUG ID")</f>
        <v>please select a BUG ID</v>
      </c>
      <c r="C985" s="51" t="str">
        <f>IFERROR(VLOOKUP(A985,Internal_lists_bugs!$A$2:$G1001,7,FALSE()),"please select a BUG ID")</f>
        <v>please select a BUG ID</v>
      </c>
      <c r="D985" s="51" t="str">
        <f>IFERROR(VLOOKUP(A985,Internal_lists_bugs!$A$2:$I1001,9,FALSE()),"please select a BUG ID")</f>
        <v>please select a BUG ID</v>
      </c>
      <c r="E985" s="105"/>
      <c r="G985" s="54"/>
      <c r="H985" s="105"/>
    </row>
    <row r="986">
      <c r="A986" s="54"/>
      <c r="B986" s="88" t="str">
        <f>IFERROR(HYPERLINK(VLOOKUP(A986,Internal_lists_bugs!$A$2:$C$73,3,FALSE()), VLOOKUP(A986,Internal_lists_bugs!$A$2:$C$73,3,FALSE())&amp;Char(10) &amp; Char(10) &amp; VLOOKUP(A986,Internal_lists_bugs!$A$2:$Z$73,26,FALSE())),"please select a BUG ID")</f>
        <v>please select a BUG ID</v>
      </c>
      <c r="C986" s="51" t="str">
        <f>IFERROR(VLOOKUP(A986,Internal_lists_bugs!$A$2:$G1001,7,FALSE()),"please select a BUG ID")</f>
        <v>please select a BUG ID</v>
      </c>
      <c r="D986" s="51" t="str">
        <f>IFERROR(VLOOKUP(A986,Internal_lists_bugs!$A$2:$I1001,9,FALSE()),"please select a BUG ID")</f>
        <v>please select a BUG ID</v>
      </c>
      <c r="E986" s="105"/>
      <c r="G986" s="54"/>
      <c r="H986" s="105"/>
    </row>
    <row r="987">
      <c r="A987" s="54"/>
      <c r="B987" s="88" t="str">
        <f>IFERROR(HYPERLINK(VLOOKUP(A987,Internal_lists_bugs!$A$2:$C$73,3,FALSE()), VLOOKUP(A987,Internal_lists_bugs!$A$2:$C$73,3,FALSE())&amp;Char(10) &amp; Char(10) &amp; VLOOKUP(A987,Internal_lists_bugs!$A$2:$Z$73,26,FALSE())),"please select a BUG ID")</f>
        <v>please select a BUG ID</v>
      </c>
      <c r="C987" s="51" t="str">
        <f>IFERROR(VLOOKUP(A987,Internal_lists_bugs!$A$2:$G1001,7,FALSE()),"please select a BUG ID")</f>
        <v>please select a BUG ID</v>
      </c>
      <c r="D987" s="51" t="str">
        <f>IFERROR(VLOOKUP(A987,Internal_lists_bugs!$A$2:$I1001,9,FALSE()),"please select a BUG ID")</f>
        <v>please select a BUG ID</v>
      </c>
      <c r="E987" s="105"/>
      <c r="G987" s="54"/>
      <c r="H987" s="105"/>
    </row>
    <row r="988">
      <c r="A988" s="54"/>
      <c r="B988" s="88" t="str">
        <f>IFERROR(HYPERLINK(VLOOKUP(A988,Internal_lists_bugs!$A$2:$C$73,3,FALSE()), VLOOKUP(A988,Internal_lists_bugs!$A$2:$C$73,3,FALSE())&amp;Char(10) &amp; Char(10) &amp; VLOOKUP(A988,Internal_lists_bugs!$A$2:$Z$73,26,FALSE())),"please select a BUG ID")</f>
        <v>please select a BUG ID</v>
      </c>
      <c r="C988" s="51" t="str">
        <f>IFERROR(VLOOKUP(A988,Internal_lists_bugs!$A$2:$G1001,7,FALSE()),"please select a BUG ID")</f>
        <v>please select a BUG ID</v>
      </c>
      <c r="D988" s="51" t="str">
        <f>IFERROR(VLOOKUP(A988,Internal_lists_bugs!$A$2:$I1001,9,FALSE()),"please select a BUG ID")</f>
        <v>please select a BUG ID</v>
      </c>
      <c r="E988" s="105"/>
      <c r="G988" s="54"/>
      <c r="H988" s="105"/>
    </row>
    <row r="989">
      <c r="A989" s="54"/>
      <c r="B989" s="88" t="str">
        <f>IFERROR(HYPERLINK(VLOOKUP(A989,Internal_lists_bugs!$A$2:$C$73,3,FALSE()), VLOOKUP(A989,Internal_lists_bugs!$A$2:$C$73,3,FALSE())&amp;Char(10) &amp; Char(10) &amp; VLOOKUP(A989,Internal_lists_bugs!$A$2:$Z$73,26,FALSE())),"please select a BUG ID")</f>
        <v>please select a BUG ID</v>
      </c>
      <c r="C989" s="51" t="str">
        <f>IFERROR(VLOOKUP(A989,Internal_lists_bugs!$A$2:$G1001,7,FALSE()),"please select a BUG ID")</f>
        <v>please select a BUG ID</v>
      </c>
      <c r="D989" s="51" t="str">
        <f>IFERROR(VLOOKUP(A989,Internal_lists_bugs!$A$2:$I1001,9,FALSE()),"please select a BUG ID")</f>
        <v>please select a BUG ID</v>
      </c>
      <c r="E989" s="105"/>
      <c r="G989" s="54"/>
      <c r="H989" s="105"/>
    </row>
    <row r="990">
      <c r="A990" s="54"/>
      <c r="B990" s="88" t="str">
        <f>IFERROR(HYPERLINK(VLOOKUP(A990,Internal_lists_bugs!$A$2:$C$73,3,FALSE()), VLOOKUP(A990,Internal_lists_bugs!$A$2:$C$73,3,FALSE())&amp;Char(10) &amp; Char(10) &amp; VLOOKUP(A990,Internal_lists_bugs!$A$2:$Z$73,26,FALSE())),"please select a BUG ID")</f>
        <v>please select a BUG ID</v>
      </c>
      <c r="C990" s="51" t="str">
        <f>IFERROR(VLOOKUP(A990,Internal_lists_bugs!$A$2:$G1001,7,FALSE()),"please select a BUG ID")</f>
        <v>please select a BUG ID</v>
      </c>
      <c r="D990" s="51" t="str">
        <f>IFERROR(VLOOKUP(A990,Internal_lists_bugs!$A$2:$I1001,9,FALSE()),"please select a BUG ID")</f>
        <v>please select a BUG ID</v>
      </c>
      <c r="E990" s="105"/>
      <c r="G990" s="54"/>
      <c r="H990" s="105"/>
    </row>
    <row r="991">
      <c r="A991" s="54"/>
      <c r="B991" s="88" t="str">
        <f>IFERROR(HYPERLINK(VLOOKUP(A991,Internal_lists_bugs!$A$2:$C$73,3,FALSE()), VLOOKUP(A991,Internal_lists_bugs!$A$2:$C$73,3,FALSE())&amp;Char(10) &amp; Char(10) &amp; VLOOKUP(A991,Internal_lists_bugs!$A$2:$Z$73,26,FALSE())),"please select a BUG ID")</f>
        <v>please select a BUG ID</v>
      </c>
      <c r="C991" s="51" t="str">
        <f>IFERROR(VLOOKUP(A991,Internal_lists_bugs!$A$2:$G1001,7,FALSE()),"please select a BUG ID")</f>
        <v>please select a BUG ID</v>
      </c>
      <c r="D991" s="51" t="str">
        <f>IFERROR(VLOOKUP(A991,Internal_lists_bugs!$A$2:$I1001,9,FALSE()),"please select a BUG ID")</f>
        <v>please select a BUG ID</v>
      </c>
      <c r="E991" s="105"/>
      <c r="G991" s="54"/>
      <c r="H991" s="105"/>
    </row>
    <row r="992">
      <c r="A992" s="54"/>
      <c r="B992" s="88" t="str">
        <f>IFERROR(HYPERLINK(VLOOKUP(A992,Internal_lists_bugs!$A$2:$C$73,3,FALSE()), VLOOKUP(A992,Internal_lists_bugs!$A$2:$C$73,3,FALSE())&amp;Char(10) &amp; Char(10) &amp; VLOOKUP(A992,Internal_lists_bugs!$A$2:$Z$73,26,FALSE())),"please select a BUG ID")</f>
        <v>please select a BUG ID</v>
      </c>
      <c r="C992" s="51" t="str">
        <f>IFERROR(VLOOKUP(A992,Internal_lists_bugs!$A$2:$G1001,7,FALSE()),"please select a BUG ID")</f>
        <v>please select a BUG ID</v>
      </c>
      <c r="D992" s="51" t="str">
        <f>IFERROR(VLOOKUP(A992,Internal_lists_bugs!$A$2:$I1001,9,FALSE()),"please select a BUG ID")</f>
        <v>please select a BUG ID</v>
      </c>
      <c r="E992" s="105"/>
      <c r="G992" s="54"/>
      <c r="H992" s="105"/>
    </row>
    <row r="993">
      <c r="A993" s="54"/>
      <c r="B993" s="88" t="str">
        <f>IFERROR(HYPERLINK(VLOOKUP(A993,Internal_lists_bugs!$A$2:$C$73,3,FALSE()), VLOOKUP(A993,Internal_lists_bugs!$A$2:$C$73,3,FALSE())&amp;Char(10) &amp; Char(10) &amp; VLOOKUP(A993,Internal_lists_bugs!$A$2:$Z$73,26,FALSE())),"please select a BUG ID")</f>
        <v>please select a BUG ID</v>
      </c>
      <c r="C993" s="51" t="str">
        <f>IFERROR(VLOOKUP(A993,Internal_lists_bugs!$A$2:$G1001,7,FALSE()),"please select a BUG ID")</f>
        <v>please select a BUG ID</v>
      </c>
      <c r="D993" s="51" t="str">
        <f>IFERROR(VLOOKUP(A993,Internal_lists_bugs!$A$2:$I1001,9,FALSE()),"please select a BUG ID")</f>
        <v>please select a BUG ID</v>
      </c>
      <c r="E993" s="105"/>
      <c r="G993" s="54"/>
      <c r="H993" s="105"/>
    </row>
    <row r="994">
      <c r="A994" s="54"/>
      <c r="B994" s="88" t="str">
        <f>IFERROR(HYPERLINK(VLOOKUP(A994,Internal_lists_bugs!$A$2:$C$73,3,FALSE()), VLOOKUP(A994,Internal_lists_bugs!$A$2:$C$73,3,FALSE())&amp;Char(10) &amp; Char(10) &amp; VLOOKUP(A994,Internal_lists_bugs!$A$2:$Z$73,26,FALSE())),"please select a BUG ID")</f>
        <v>please select a BUG ID</v>
      </c>
      <c r="C994" s="51" t="str">
        <f>IFERROR(VLOOKUP(A994,Internal_lists_bugs!$A$2:$G1001,7,FALSE()),"please select a BUG ID")</f>
        <v>please select a BUG ID</v>
      </c>
      <c r="D994" s="51" t="str">
        <f>IFERROR(VLOOKUP(A994,Internal_lists_bugs!$A$2:$I1001,9,FALSE()),"please select a BUG ID")</f>
        <v>please select a BUG ID</v>
      </c>
      <c r="E994" s="105"/>
      <c r="G994" s="54"/>
      <c r="H994" s="105"/>
    </row>
    <row r="995">
      <c r="A995" s="54"/>
      <c r="B995" s="88" t="str">
        <f>IFERROR(HYPERLINK(VLOOKUP(A995,Internal_lists_bugs!$A$2:$C$73,3,FALSE()), VLOOKUP(A995,Internal_lists_bugs!$A$2:$C$73,3,FALSE())&amp;Char(10) &amp; Char(10) &amp; VLOOKUP(A995,Internal_lists_bugs!$A$2:$Z$73,26,FALSE())),"please select a BUG ID")</f>
        <v>please select a BUG ID</v>
      </c>
      <c r="C995" s="51" t="str">
        <f>IFERROR(VLOOKUP(A995,Internal_lists_bugs!$A$2:$G1001,7,FALSE()),"please select a BUG ID")</f>
        <v>please select a BUG ID</v>
      </c>
      <c r="D995" s="51" t="str">
        <f>IFERROR(VLOOKUP(A995,Internal_lists_bugs!$A$2:$I1001,9,FALSE()),"please select a BUG ID")</f>
        <v>please select a BUG ID</v>
      </c>
      <c r="E995" s="105"/>
      <c r="G995" s="54"/>
      <c r="H995" s="105"/>
    </row>
    <row r="996">
      <c r="A996" s="54"/>
      <c r="B996" s="88" t="str">
        <f>IFERROR(HYPERLINK(VLOOKUP(A996,Internal_lists_bugs!$A$2:$C$73,3,FALSE()), VLOOKUP(A996,Internal_lists_bugs!$A$2:$C$73,3,FALSE())&amp;Char(10) &amp; Char(10) &amp; VLOOKUP(A996,Internal_lists_bugs!$A$2:$Z$73,26,FALSE())),"please select a BUG ID")</f>
        <v>please select a BUG ID</v>
      </c>
      <c r="C996" s="51" t="str">
        <f>IFERROR(VLOOKUP(A996,Internal_lists_bugs!$A$2:$G1001,7,FALSE()),"please select a BUG ID")</f>
        <v>please select a BUG ID</v>
      </c>
      <c r="D996" s="51" t="str">
        <f>IFERROR(VLOOKUP(A996,Internal_lists_bugs!$A$2:$I1001,9,FALSE()),"please select a BUG ID")</f>
        <v>please select a BUG ID</v>
      </c>
      <c r="E996" s="105"/>
      <c r="G996" s="54"/>
      <c r="H996" s="105"/>
    </row>
    <row r="997">
      <c r="A997" s="54"/>
      <c r="B997" s="88" t="str">
        <f>IFERROR(HYPERLINK(VLOOKUP(A997,Internal_lists_bugs!$A$2:$C$73,3,FALSE()), VLOOKUP(A997,Internal_lists_bugs!$A$2:$C$73,3,FALSE())&amp;Char(10) &amp; Char(10) &amp; VLOOKUP(A997,Internal_lists_bugs!$A$2:$Z$73,26,FALSE())),"please select a BUG ID")</f>
        <v>please select a BUG ID</v>
      </c>
      <c r="C997" s="51" t="str">
        <f>IFERROR(VLOOKUP(A997,Internal_lists_bugs!$A$2:$G1001,7,FALSE()),"please select a BUG ID")</f>
        <v>please select a BUG ID</v>
      </c>
      <c r="D997" s="51" t="str">
        <f>IFERROR(VLOOKUP(A997,Internal_lists_bugs!$A$2:$I1001,9,FALSE()),"please select a BUG ID")</f>
        <v>please select a BUG ID</v>
      </c>
      <c r="E997" s="105"/>
      <c r="G997" s="54"/>
      <c r="H997" s="105"/>
    </row>
    <row r="998">
      <c r="A998" s="54"/>
      <c r="B998" s="88" t="str">
        <f>IFERROR(HYPERLINK(VLOOKUP(A998,Internal_lists_bugs!$A$2:$C$73,3,FALSE()), VLOOKUP(A998,Internal_lists_bugs!$A$2:$C$73,3,FALSE())&amp;Char(10) &amp; Char(10) &amp; VLOOKUP(A998,Internal_lists_bugs!$A$2:$Z$73,26,FALSE())),"please select a BUG ID")</f>
        <v>please select a BUG ID</v>
      </c>
      <c r="C998" s="51" t="str">
        <f>IFERROR(VLOOKUP(A998,Internal_lists_bugs!$A$2:$G1001,7,FALSE()),"please select a BUG ID")</f>
        <v>please select a BUG ID</v>
      </c>
      <c r="D998" s="51" t="str">
        <f>IFERROR(VLOOKUP(A998,Internal_lists_bugs!$A$2:$I1001,9,FALSE()),"please select a BUG ID")</f>
        <v>please select a BUG ID</v>
      </c>
      <c r="E998" s="105"/>
      <c r="G998" s="54"/>
      <c r="H998" s="105"/>
    </row>
    <row r="999">
      <c r="A999" s="54"/>
      <c r="B999" s="88" t="str">
        <f>IFERROR(HYPERLINK(VLOOKUP(A999,Internal_lists_bugs!$A$2:$C$73,3,FALSE()), VLOOKUP(A999,Internal_lists_bugs!$A$2:$C$73,3,FALSE())&amp;Char(10) &amp; Char(10) &amp; VLOOKUP(A999,Internal_lists_bugs!$A$2:$Z$73,26,FALSE())),"please select a BUG ID")</f>
        <v>please select a BUG ID</v>
      </c>
      <c r="C999" s="51" t="str">
        <f>IFERROR(VLOOKUP(A999,Internal_lists_bugs!$A$2:$G1001,7,FALSE()),"please select a BUG ID")</f>
        <v>please select a BUG ID</v>
      </c>
      <c r="D999" s="51" t="str">
        <f>IFERROR(VLOOKUP(A999,Internal_lists_bugs!$A$2:$I1001,9,FALSE()),"please select a BUG ID")</f>
        <v>please select a BUG ID</v>
      </c>
      <c r="E999" s="105"/>
      <c r="G999" s="54"/>
      <c r="H999" s="105"/>
    </row>
    <row r="1000">
      <c r="A1000" s="54"/>
      <c r="B1000" s="88" t="str">
        <f>IFERROR(HYPERLINK(VLOOKUP(A1000,Internal_lists_bugs!$A$2:$C$73,3,FALSE()), VLOOKUP(A1000,Internal_lists_bugs!$A$2:$C$73,3,FALSE())&amp;Char(10) &amp; Char(10) &amp; VLOOKUP(A1000,Internal_lists_bugs!$A$2:$Z$73,26,FALSE())),"please select a BUG ID")</f>
        <v>please select a BUG ID</v>
      </c>
      <c r="C1000" s="51" t="str">
        <f>IFERROR(VLOOKUP(A1000,Internal_lists_bugs!$A$2:$G1001,7,FALSE()),"please select a BUG ID")</f>
        <v>please select a BUG ID</v>
      </c>
      <c r="D1000" s="51" t="str">
        <f>IFERROR(VLOOKUP(A1000,Internal_lists_bugs!$A$2:$I1001,9,FALSE()),"please select a BUG ID")</f>
        <v>please select a BUG ID</v>
      </c>
      <c r="E1000" s="105"/>
      <c r="G1000" s="54"/>
      <c r="H1000" s="105"/>
    </row>
    <row r="1001">
      <c r="A1001" s="54"/>
      <c r="B1001" s="88" t="str">
        <f>IFERROR(HYPERLINK(VLOOKUP(A1001,Internal_lists_bugs!$A$2:$C$73,3,FALSE()), VLOOKUP(A1001,Internal_lists_bugs!$A$2:$C$73,3,FALSE())&amp;Char(10) &amp; Char(10) &amp; VLOOKUP(A1001,Internal_lists_bugs!$A$2:$Z$73,26,FALSE())),"please select a BUG ID")</f>
        <v>please select a BUG ID</v>
      </c>
      <c r="C1001" s="51" t="str">
        <f>IFERROR(VLOOKUP(A1001,Internal_lists_bugs!$A$2:$G1001,7,FALSE()),"please select a BUG ID")</f>
        <v>please select a BUG ID</v>
      </c>
      <c r="D1001" s="51" t="str">
        <f>IFERROR(VLOOKUP(A1001,Internal_lists_bugs!$A$2:$I1001,9,FALSE()),"please select a BUG ID")</f>
        <v>please select a BUG ID</v>
      </c>
      <c r="E1001" s="105"/>
      <c r="G1001" s="54"/>
      <c r="H1001" s="105"/>
    </row>
  </sheetData>
  <mergeCells count="1">
    <mergeCell ref="C2:D2"/>
  </mergeCells>
  <dataValidations>
    <dataValidation type="list" allowBlank="1" showInputMessage="1" showErrorMessage="1" prompt="Project BugID" sqref="A3:A1001">
      <formula1>Internal_lists_bugs!$A$2:$A1001</formula1>
    </dataValidation>
    <dataValidation type="list" allowBlank="1" showErrorMessage="1" sqref="G3:G1001">
      <formula1>"YES,NO,NA,NA, but ChangeLog"</formula1>
    </dataValidation>
  </dataValidations>
  <hyperlinks>
    <hyperlink r:id="rId1" ref="A1"/>
    <hyperlink r:id="rId2" location="gid=405816964" ref="B1"/>
    <hyperlink r:id="rId3" ref="E3"/>
    <hyperlink r:id="rId4" ref="E4"/>
    <hyperlink r:id="rId5" ref="E5"/>
    <hyperlink r:id="rId6" ref="H5"/>
    <hyperlink r:id="rId7" ref="E6"/>
    <hyperlink r:id="rId8" ref="E7"/>
    <hyperlink r:id="rId9" ref="E8"/>
    <hyperlink r:id="rId10" ref="E9"/>
    <hyperlink r:id="rId11" ref="H9"/>
    <hyperlink r:id="rId12" ref="E10"/>
    <hyperlink r:id="rId13" ref="E11"/>
    <hyperlink r:id="rId14" ref="E12"/>
    <hyperlink r:id="rId15" ref="E13"/>
    <hyperlink r:id="rId16" ref="E14"/>
    <hyperlink r:id="rId17" ref="E15"/>
    <hyperlink r:id="rId18" ref="E16"/>
    <hyperlink r:id="rId19" ref="H16"/>
    <hyperlink r:id="rId20" ref="E17"/>
    <hyperlink r:id="rId21" ref="E18"/>
    <hyperlink r:id="rId22" ref="E19"/>
    <hyperlink r:id="rId23" ref="H19"/>
    <hyperlink r:id="rId24" ref="E20"/>
    <hyperlink r:id="rId25" ref="E22"/>
    <hyperlink r:id="rId26" ref="E24"/>
    <hyperlink r:id="rId27" ref="H24"/>
    <hyperlink r:id="rId28" ref="E25"/>
    <hyperlink r:id="rId29" ref="E26"/>
    <hyperlink r:id="rId30" ref="E27"/>
    <hyperlink r:id="rId31" ref="E28"/>
    <hyperlink r:id="rId32" ref="E29"/>
    <hyperlink r:id="rId33" ref="E30"/>
    <hyperlink r:id="rId34" ref="E31"/>
    <hyperlink r:id="rId35" ref="E32"/>
    <hyperlink r:id="rId36" ref="E33"/>
    <hyperlink r:id="rId37" ref="E34"/>
    <hyperlink r:id="rId38" ref="E35"/>
  </hyperlinks>
  <drawing r:id="rId39"/>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Col="1"/>
  <cols>
    <col customWidth="1" min="1" max="1" width="18.88"/>
    <col customWidth="1" hidden="1" min="2" max="2" width="21.13"/>
    <col customWidth="1" min="3" max="3" width="25.5"/>
    <col min="4" max="4" width="12.63" outlineLevel="1"/>
    <col customWidth="1" min="5" max="5" width="10.88" outlineLevel="1"/>
    <col customWidth="1" min="6" max="6" width="8.13" outlineLevel="1"/>
    <col customWidth="1" min="7" max="7" width="47.25" outlineLevel="1"/>
    <col customWidth="1" min="8" max="8" width="41.0" outlineLevel="1"/>
    <col min="9" max="9" width="12.63" outlineLevel="1"/>
    <col customWidth="1" min="10" max="10" width="21.13" outlineLevel="1"/>
    <col customWidth="1" min="12" max="12" width="20.38"/>
    <col customWidth="1" min="14" max="16" width="46.88"/>
  </cols>
  <sheetData>
    <row r="1">
      <c r="A1" s="32" t="s">
        <v>103</v>
      </c>
      <c r="B1" s="32" t="s">
        <v>104</v>
      </c>
      <c r="C1" s="33" t="s">
        <v>105</v>
      </c>
      <c r="D1" s="37" t="s">
        <v>1403</v>
      </c>
      <c r="F1" s="107" t="s">
        <v>1404</v>
      </c>
      <c r="G1" s="34" t="s">
        <v>1405</v>
      </c>
      <c r="I1" s="73" t="s">
        <v>1406</v>
      </c>
      <c r="J1" s="36"/>
      <c r="K1" s="73" t="s">
        <v>1407</v>
      </c>
      <c r="L1" s="36"/>
      <c r="M1" s="37"/>
      <c r="N1" s="108" t="s">
        <v>1408</v>
      </c>
      <c r="O1" s="108" t="s">
        <v>1409</v>
      </c>
      <c r="P1" s="33" t="s">
        <v>1107</v>
      </c>
    </row>
    <row r="2">
      <c r="A2" s="39" t="s">
        <v>111</v>
      </c>
      <c r="B2" s="40" t="s">
        <v>511</v>
      </c>
      <c r="C2" s="41" t="s">
        <v>1410</v>
      </c>
      <c r="D2" s="42" t="s">
        <v>114</v>
      </c>
      <c r="E2" s="42" t="s">
        <v>115</v>
      </c>
      <c r="F2" s="109" t="s">
        <v>1411</v>
      </c>
      <c r="G2" s="110" t="s">
        <v>114</v>
      </c>
      <c r="H2" s="111" t="s">
        <v>115</v>
      </c>
      <c r="I2" s="110" t="s">
        <v>114</v>
      </c>
      <c r="J2" s="111" t="s">
        <v>115</v>
      </c>
      <c r="K2" s="110" t="s">
        <v>114</v>
      </c>
      <c r="L2" s="111" t="s">
        <v>115</v>
      </c>
      <c r="M2" s="42"/>
      <c r="N2" s="38"/>
      <c r="O2" s="9" t="s">
        <v>114</v>
      </c>
      <c r="P2" s="91" t="s">
        <v>1112</v>
      </c>
    </row>
    <row r="3" ht="244.5" customHeight="1">
      <c r="A3" s="16" t="s">
        <v>32</v>
      </c>
      <c r="B3" s="50" t="str">
        <f>IFERROR(HYPERLINK(VLOOKUP(A3,Internal_lists_bugs!$A$2:$C$73,3,FALSE()), VLOOKUP(A3,Internal_lists_bugs!$A$2:$C$73,3,FALSE())&amp;Char(10) &amp; Char(10) &amp; VLOOKUP(A3,Internal_lists_bugs!$A$2:$Z$73,26,FALSE())),"please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 s="81" t="str">
        <f>IFERROR(VLOOKUP(A3,Internal_lists_bugs!$A$2:$I7981,9,FALSE()),"please select a BUG ID")</f>
        <v>https://review.opendev.org/c/openstack/nova/+/1324</v>
      </c>
      <c r="D3" s="112" t="s">
        <v>1412</v>
      </c>
      <c r="E3" s="112" t="s">
        <v>1413</v>
      </c>
      <c r="F3" s="113" t="s">
        <v>251</v>
      </c>
      <c r="G3" s="16" t="s">
        <v>1414</v>
      </c>
      <c r="H3" s="16" t="s">
        <v>1415</v>
      </c>
      <c r="I3" s="79" t="s">
        <v>123</v>
      </c>
      <c r="J3" s="92"/>
      <c r="K3" s="79" t="s">
        <v>251</v>
      </c>
      <c r="L3" s="16" t="s">
        <v>1416</v>
      </c>
      <c r="M3" s="114" t="str">
        <f>VLOOKUP(A3,'BIC_(C_Variables)'!$A$3:$AS$43,45,FALSE())</f>
        <v>x_partial files</v>
      </c>
      <c r="N3" s="1"/>
      <c r="O3" s="1"/>
      <c r="P3" s="81" t="str">
        <f>IFERROR(VLOOKUP(A3,Internal_lists_bugs!$A$2:$G7981,7,FALSE()),"please select a BUG ID")</f>
        <v>https://opendev.org/openstack/nova/commit/e7aa4022374fb35d2131a7c633212c5d6302db3d</v>
      </c>
    </row>
    <row r="4" ht="25.5" customHeight="1">
      <c r="A4" s="16" t="s">
        <v>32</v>
      </c>
      <c r="B4" s="50" t="str">
        <f>IFERROR(HYPERLINK(VLOOKUP(A4,Internal_lists_bugs!$A$2:$C$73,3,FALSE()), VLOOKUP(A4,Internal_lists_bugs!$A$2:$C$73,3,FALSE())&amp;Char(10) &amp; Char(10) &amp; VLOOKUP(A4,Internal_lists_bugs!$A$2:$Z$73,26,FALSE())),"please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4" s="81" t="str">
        <f>IFERROR(VLOOKUP(A4,Internal_lists_bugs!$A$2:$I7981,9,FALSE()),"please select a BUG ID")</f>
        <v>https://review.opendev.org/c/openstack/nova/+/1324</v>
      </c>
      <c r="D4" s="114"/>
      <c r="E4" s="114"/>
      <c r="F4" s="115"/>
      <c r="G4" s="16" t="s">
        <v>1417</v>
      </c>
      <c r="H4" s="16" t="s">
        <v>1418</v>
      </c>
      <c r="I4" s="82"/>
      <c r="J4" s="92"/>
      <c r="K4" s="82"/>
      <c r="M4" s="114" t="str">
        <f>VLOOKUP(A4,'BIC_(C_Variables)'!$A$3:$AS$43,45,FALSE())</f>
        <v>x_partial files</v>
      </c>
      <c r="N4" s="1"/>
      <c r="O4" s="1"/>
      <c r="P4" s="81" t="str">
        <f>IFERROR(VLOOKUP(A4,Internal_lists_bugs!$A$2:$G7981,7,FALSE()),"please select a BUG ID")</f>
        <v>https://opendev.org/openstack/nova/commit/e7aa4022374fb35d2131a7c633212c5d6302db3d</v>
      </c>
    </row>
    <row r="5" ht="30.75" customHeight="1">
      <c r="A5" s="16" t="s">
        <v>32</v>
      </c>
      <c r="B5" s="50" t="str">
        <f>IFERROR(HYPERLINK(VLOOKUP(A5,Internal_lists_bugs!$A$2:$C$73,3,FALSE()), VLOOKUP(A5,Internal_lists_bugs!$A$2:$C$73,3,FALSE())&amp;Char(10) &amp; Char(10) &amp; VLOOKUP(A5,Internal_lists_bugs!$A$2:$Z$73,26,FALSE())),"please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5" s="81" t="str">
        <f>IFERROR(VLOOKUP(A5,Internal_lists_bugs!$A$2:$I7981,9,FALSE()),"please select a BUG ID")</f>
        <v>https://review.opendev.org/c/openstack/nova/+/1324</v>
      </c>
      <c r="D5" s="114"/>
      <c r="E5" s="114"/>
      <c r="F5" s="115"/>
      <c r="G5" s="16" t="s">
        <v>1419</v>
      </c>
      <c r="H5" s="16" t="s">
        <v>1420</v>
      </c>
      <c r="I5" s="82"/>
      <c r="J5" s="92"/>
      <c r="K5" s="82"/>
      <c r="M5" s="114" t="str">
        <f>VLOOKUP(A5,'BIC_(C_Variables)'!$A$3:$AS$43,45,FALSE())</f>
        <v>x_partial files</v>
      </c>
      <c r="N5" s="1"/>
      <c r="O5" s="1"/>
      <c r="P5" s="81" t="str">
        <f>IFERROR(VLOOKUP(A5,Internal_lists_bugs!$A$2:$G7981,7,FALSE()),"please select a BUG ID")</f>
        <v>https://opendev.org/openstack/nova/commit/e7aa4022374fb35d2131a7c633212c5d6302db3d</v>
      </c>
    </row>
    <row r="6" ht="34.5" customHeight="1">
      <c r="A6" s="16" t="s">
        <v>32</v>
      </c>
      <c r="B6" s="50" t="str">
        <f>IFERROR(HYPERLINK(VLOOKUP(A6,Internal_lists_bugs!$A$2:$C$73,3,FALSE()), VLOOKUP(A6,Internal_lists_bugs!$A$2:$C$73,3,FALSE())&amp;Char(10) &amp; Char(10) &amp; VLOOKUP(A6,Internal_lists_bugs!$A$2:$Z$73,26,FALSE())),"please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6" s="81" t="str">
        <f>IFERROR(VLOOKUP(A6,Internal_lists_bugs!$A$2:$I7981,9,FALSE()),"please select a BUG ID")</f>
        <v>https://review.opendev.org/c/openstack/nova/+/1324</v>
      </c>
      <c r="D6" s="114"/>
      <c r="E6" s="114"/>
      <c r="F6" s="115"/>
      <c r="G6" s="16" t="s">
        <v>1421</v>
      </c>
      <c r="H6" s="16" t="s">
        <v>1422</v>
      </c>
      <c r="I6" s="82"/>
      <c r="J6" s="92"/>
      <c r="K6" s="82"/>
      <c r="M6" s="114" t="str">
        <f>VLOOKUP(A6,'BIC_(C_Variables)'!$A$3:$AS$43,45,FALSE())</f>
        <v>x_partial files</v>
      </c>
      <c r="N6" s="1"/>
      <c r="O6" s="1"/>
      <c r="P6" s="81" t="str">
        <f>IFERROR(VLOOKUP(A6,Internal_lists_bugs!$A$2:$G7981,7,FALSE()),"please select a BUG ID")</f>
        <v>https://opendev.org/openstack/nova/commit/e7aa4022374fb35d2131a7c633212c5d6302db3d</v>
      </c>
    </row>
    <row r="7" ht="34.5" customHeight="1">
      <c r="A7" s="16" t="s">
        <v>32</v>
      </c>
      <c r="B7" s="50" t="str">
        <f>IFERROR(HYPERLINK(VLOOKUP(A7,Internal_lists_bugs!$A$2:$C$73,3,FALSE()), VLOOKUP(A7,Internal_lists_bugs!$A$2:$C$73,3,FALSE())&amp;Char(10) &amp; Char(10) &amp; VLOOKUP(A7,Internal_lists_bugs!$A$2:$Z$73,26,FALSE())),"please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7" s="81" t="str">
        <f>IFERROR(VLOOKUP(A7,Internal_lists_bugs!$A$2:$I7981,9,FALSE()),"please select a BUG ID")</f>
        <v>https://review.opendev.org/c/openstack/nova/+/1324</v>
      </c>
      <c r="D7" s="114"/>
      <c r="E7" s="114"/>
      <c r="F7" s="115"/>
      <c r="G7" s="16" t="s">
        <v>1423</v>
      </c>
      <c r="H7" s="16" t="s">
        <v>1422</v>
      </c>
      <c r="I7" s="82"/>
      <c r="J7" s="92"/>
      <c r="K7" s="82"/>
      <c r="M7" s="114" t="str">
        <f>VLOOKUP(A7,'BIC_(C_Variables)'!$A$3:$AS$43,45,FALSE())</f>
        <v>x_partial files</v>
      </c>
      <c r="N7" s="1"/>
      <c r="O7" s="1"/>
      <c r="P7" s="81" t="str">
        <f>IFERROR(VLOOKUP(A7,Internal_lists_bugs!$A$2:$G7981,7,FALSE()),"please select a BUG ID")</f>
        <v>https://opendev.org/openstack/nova/commit/e7aa4022374fb35d2131a7c633212c5d6302db3d</v>
      </c>
    </row>
    <row r="8" ht="34.5" customHeight="1">
      <c r="A8" s="16" t="s">
        <v>32</v>
      </c>
      <c r="B8" s="50" t="str">
        <f>IFERROR(HYPERLINK(VLOOKUP(A8,Internal_lists_bugs!$A$2:$C$73,3,FALSE()), VLOOKUP(A8,Internal_lists_bugs!$A$2:$C$73,3,FALSE())&amp;Char(10) &amp; Char(10) &amp; VLOOKUP(A8,Internal_lists_bugs!$A$2:$Z$73,26,FALSE())),"please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8" s="81" t="str">
        <f>IFERROR(VLOOKUP(A8,Internal_lists_bugs!$A$2:$I7981,9,FALSE()),"please select a BUG ID")</f>
        <v>https://review.opendev.org/c/openstack/nova/+/1324</v>
      </c>
      <c r="D8" s="114"/>
      <c r="E8" s="114"/>
      <c r="F8" s="115"/>
      <c r="G8" s="16" t="s">
        <v>1423</v>
      </c>
      <c r="H8" s="16" t="s">
        <v>1424</v>
      </c>
      <c r="I8" s="82"/>
      <c r="J8" s="92"/>
      <c r="K8" s="82"/>
      <c r="M8" s="114" t="str">
        <f>VLOOKUP(A8,'BIC_(C_Variables)'!$A$3:$AS$43,45,FALSE())</f>
        <v>x_partial files</v>
      </c>
      <c r="N8" s="1"/>
      <c r="O8" s="9"/>
      <c r="P8" s="81" t="str">
        <f>IFERROR(VLOOKUP(A8,Internal_lists_bugs!$A$2:$G7981,7,FALSE()),"please select a BUG ID")</f>
        <v>https://opendev.org/openstack/nova/commit/e7aa4022374fb35d2131a7c633212c5d6302db3d</v>
      </c>
    </row>
    <row r="9" ht="34.5" customHeight="1">
      <c r="A9" s="16" t="s">
        <v>32</v>
      </c>
      <c r="B9" s="50" t="str">
        <f>IFERROR(HYPERLINK(VLOOKUP(A9,Internal_lists_bugs!$A$2:$C$73,3,FALSE()), VLOOKUP(A9,Internal_lists_bugs!$A$2:$C$73,3,FALSE())&amp;Char(10) &amp; Char(10) &amp; VLOOKUP(A9,Internal_lists_bugs!$A$2:$Z$73,26,FALSE())),"please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9" s="81" t="str">
        <f>IFERROR(VLOOKUP(A9,Internal_lists_bugs!$A$2:$I7981,9,FALSE()),"please select a BUG ID")</f>
        <v>https://review.opendev.org/c/openstack/nova/+/1324</v>
      </c>
      <c r="D9" s="114"/>
      <c r="E9" s="114"/>
      <c r="F9" s="115"/>
      <c r="G9" s="16" t="s">
        <v>1425</v>
      </c>
      <c r="H9" s="16" t="s">
        <v>1426</v>
      </c>
      <c r="I9" s="82"/>
      <c r="J9" s="92"/>
      <c r="K9" s="82"/>
      <c r="M9" s="114" t="str">
        <f>VLOOKUP(A9,'BIC_(C_Variables)'!$A$3:$AS$43,45,FALSE())</f>
        <v>x_partial files</v>
      </c>
      <c r="N9" s="1"/>
      <c r="O9" s="1"/>
      <c r="P9" s="81" t="str">
        <f>IFERROR(VLOOKUP(A9,Internal_lists_bugs!$A$2:$G7981,7,FALSE()),"please select a BUG ID")</f>
        <v>https://opendev.org/openstack/nova/commit/e7aa4022374fb35d2131a7c633212c5d6302db3d</v>
      </c>
    </row>
    <row r="10" ht="34.5" customHeight="1">
      <c r="A10" s="16" t="s">
        <v>32</v>
      </c>
      <c r="B10" s="50" t="str">
        <f>IFERROR(HYPERLINK(VLOOKUP(A10,Internal_lists_bugs!$A$2:$C$73,3,FALSE()), VLOOKUP(A10,Internal_lists_bugs!$A$2:$C$73,3,FALSE())&amp;Char(10) &amp; Char(10) &amp; VLOOKUP(A10,Internal_lists_bugs!$A$2:$Z$73,26,FALSE())),"please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0" s="81" t="str">
        <f>IFERROR(VLOOKUP(A10,Internal_lists_bugs!$A$2:$I7981,9,FALSE()),"please select a BUG ID")</f>
        <v>https://review.opendev.org/c/openstack/nova/+/1324</v>
      </c>
      <c r="D10" s="114"/>
      <c r="E10" s="114"/>
      <c r="F10" s="115"/>
      <c r="G10" s="16" t="s">
        <v>1427</v>
      </c>
      <c r="H10" s="16" t="s">
        <v>1426</v>
      </c>
      <c r="I10" s="82"/>
      <c r="J10" s="92"/>
      <c r="K10" s="82"/>
      <c r="M10" s="114" t="str">
        <f>VLOOKUP(A10,'BIC_(C_Variables)'!$A$3:$AS$43,45,FALSE())</f>
        <v>x_partial files</v>
      </c>
      <c r="N10" s="1"/>
      <c r="O10" s="1"/>
      <c r="P10" s="81" t="str">
        <f>IFERROR(VLOOKUP(A10,Internal_lists_bugs!$A$2:$G7981,7,FALSE()),"please select a BUG ID")</f>
        <v>https://opendev.org/openstack/nova/commit/e7aa4022374fb35d2131a7c633212c5d6302db3d</v>
      </c>
    </row>
    <row r="11" ht="34.5" customHeight="1">
      <c r="A11" s="16" t="s">
        <v>32</v>
      </c>
      <c r="B11" s="50" t="str">
        <f>IFERROR(HYPERLINK(VLOOKUP(A11,Internal_lists_bugs!$A$2:$C$73,3,FALSE()), VLOOKUP(A11,Internal_lists_bugs!$A$2:$C$73,3,FALSE())&amp;Char(10) &amp; Char(10) &amp; VLOOKUP(A11,Internal_lists_bugs!$A$2:$Z$73,26,FALSE())),"please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1" s="81" t="str">
        <f>IFERROR(VLOOKUP(A11,Internal_lists_bugs!$A$2:$I7981,9,FALSE()),"please select a BUG ID")</f>
        <v>https://review.opendev.org/c/openstack/nova/+/1324</v>
      </c>
      <c r="D11" s="114"/>
      <c r="E11" s="114"/>
      <c r="F11" s="115"/>
      <c r="G11" s="16" t="s">
        <v>1428</v>
      </c>
      <c r="H11" s="16" t="s">
        <v>1429</v>
      </c>
      <c r="I11" s="82"/>
      <c r="J11" s="92"/>
      <c r="K11" s="82"/>
      <c r="M11" s="114" t="str">
        <f>VLOOKUP(A11,'BIC_(C_Variables)'!$A$3:$AS$43,45,FALSE())</f>
        <v>x_partial files</v>
      </c>
      <c r="N11" s="1"/>
      <c r="O11" s="1"/>
      <c r="P11" s="81" t="str">
        <f>IFERROR(VLOOKUP(A11,Internal_lists_bugs!$A$2:$G7981,7,FALSE()),"please select a BUG ID")</f>
        <v>https://opendev.org/openstack/nova/commit/e7aa4022374fb35d2131a7c633212c5d6302db3d</v>
      </c>
    </row>
    <row r="12" ht="34.5" customHeight="1">
      <c r="A12" s="16" t="s">
        <v>32</v>
      </c>
      <c r="B12" s="50" t="str">
        <f>IFERROR(HYPERLINK(VLOOKUP(A12,Internal_lists_bugs!$A$2:$C$73,3,FALSE()), VLOOKUP(A12,Internal_lists_bugs!$A$2:$C$73,3,FALSE())&amp;Char(10) &amp; Char(10) &amp; VLOOKUP(A12,Internal_lists_bugs!$A$2:$Z$73,26,FALSE())),"please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2" s="81" t="str">
        <f>IFERROR(VLOOKUP(A12,Internal_lists_bugs!$A$2:$I7981,9,FALSE()),"please select a BUG ID")</f>
        <v>https://review.opendev.org/c/openstack/nova/+/1324</v>
      </c>
      <c r="D12" s="114"/>
      <c r="E12" s="114"/>
      <c r="F12" s="115"/>
      <c r="G12" s="16" t="s">
        <v>1430</v>
      </c>
      <c r="H12" s="16" t="s">
        <v>1431</v>
      </c>
      <c r="I12" s="82"/>
      <c r="J12" s="92"/>
      <c r="K12" s="82"/>
      <c r="M12" s="114" t="str">
        <f>VLOOKUP(A12,'BIC_(C_Variables)'!$A$3:$AS$43,45,FALSE())</f>
        <v>x_partial files</v>
      </c>
      <c r="N12" s="1"/>
      <c r="O12" s="1"/>
      <c r="P12" s="81" t="str">
        <f>IFERROR(VLOOKUP(A12,Internal_lists_bugs!$A$2:$G7981,7,FALSE()),"please select a BUG ID")</f>
        <v>https://opendev.org/openstack/nova/commit/e7aa4022374fb35d2131a7c633212c5d6302db3d</v>
      </c>
    </row>
    <row r="13" ht="34.5" customHeight="1">
      <c r="A13" s="16" t="s">
        <v>32</v>
      </c>
      <c r="B13" s="50" t="str">
        <f>IFERROR(HYPERLINK(VLOOKUP(A13,Internal_lists_bugs!$A$2:$C$73,3,FALSE()), VLOOKUP(A13,Internal_lists_bugs!$A$2:$C$73,3,FALSE())&amp;Char(10) &amp; Char(10) &amp; VLOOKUP(A13,Internal_lists_bugs!$A$2:$Z$73,26,FALSE())),"please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3" s="81" t="str">
        <f>IFERROR(VLOOKUP(A13,Internal_lists_bugs!$A$2:$I7981,9,FALSE()),"please select a BUG ID")</f>
        <v>https://review.opendev.org/c/openstack/nova/+/1324</v>
      </c>
      <c r="D13" s="114"/>
      <c r="E13" s="114"/>
      <c r="F13" s="115"/>
      <c r="G13" s="16" t="s">
        <v>1432</v>
      </c>
      <c r="H13" s="16" t="s">
        <v>1433</v>
      </c>
      <c r="I13" s="82"/>
      <c r="J13" s="92"/>
      <c r="K13" s="82"/>
      <c r="M13" s="114" t="str">
        <f>VLOOKUP(A13,'BIC_(C_Variables)'!$A$3:$AS$43,45,FALSE())</f>
        <v>x_partial files</v>
      </c>
      <c r="N13" s="1"/>
      <c r="O13" s="1"/>
      <c r="P13" s="81" t="str">
        <f>IFERROR(VLOOKUP(A13,Internal_lists_bugs!$A$2:$G7981,7,FALSE()),"please select a BUG ID")</f>
        <v>https://opendev.org/openstack/nova/commit/e7aa4022374fb35d2131a7c633212c5d6302db3d</v>
      </c>
    </row>
    <row r="14" ht="34.5" customHeight="1">
      <c r="A14" s="16" t="s">
        <v>32</v>
      </c>
      <c r="B14" s="50" t="str">
        <f>IFERROR(HYPERLINK(VLOOKUP(A14,Internal_lists_bugs!$A$2:$C$73,3,FALSE()), VLOOKUP(A14,Internal_lists_bugs!$A$2:$C$73,3,FALSE())&amp;Char(10) &amp; Char(10) &amp; VLOOKUP(A14,Internal_lists_bugs!$A$2:$Z$73,26,FALSE())),"please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4" s="81" t="str">
        <f>IFERROR(VLOOKUP(A14,Internal_lists_bugs!$A$2:$I7981,9,FALSE()),"please select a BUG ID")</f>
        <v>https://review.opendev.org/c/openstack/nova/+/1324</v>
      </c>
      <c r="D14" s="114"/>
      <c r="E14" s="114"/>
      <c r="F14" s="115"/>
      <c r="G14" s="16" t="s">
        <v>1434</v>
      </c>
      <c r="H14" s="16" t="s">
        <v>1435</v>
      </c>
      <c r="I14" s="82"/>
      <c r="J14" s="92"/>
      <c r="K14" s="82"/>
      <c r="M14" s="114" t="str">
        <f>VLOOKUP(A14,'BIC_(C_Variables)'!$A$3:$AS$43,45,FALSE())</f>
        <v>x_partial files</v>
      </c>
      <c r="N14" s="1"/>
      <c r="O14" s="1"/>
      <c r="P14" s="81" t="str">
        <f>IFERROR(VLOOKUP(A14,Internal_lists_bugs!$A$2:$G7981,7,FALSE()),"please select a BUG ID")</f>
        <v>https://opendev.org/openstack/nova/commit/e7aa4022374fb35d2131a7c633212c5d6302db3d</v>
      </c>
    </row>
    <row r="15" ht="34.5" customHeight="1">
      <c r="A15" s="16" t="s">
        <v>32</v>
      </c>
      <c r="B15" s="50" t="str">
        <f>IFERROR(HYPERLINK(VLOOKUP(A15,Internal_lists_bugs!$A$2:$C$73,3,FALSE()), VLOOKUP(A15,Internal_lists_bugs!$A$2:$C$73,3,FALSE())&amp;Char(10) &amp; Char(10) &amp; VLOOKUP(A15,Internal_lists_bugs!$A$2:$Z$73,26,FALSE())),"please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5" s="81" t="str">
        <f>IFERROR(VLOOKUP(A15,Internal_lists_bugs!$A$2:$I7981,9,FALSE()),"please select a BUG ID")</f>
        <v>https://review.opendev.org/c/openstack/nova/+/1324</v>
      </c>
      <c r="D15" s="114"/>
      <c r="E15" s="114"/>
      <c r="F15" s="115"/>
      <c r="G15" s="16" t="s">
        <v>1436</v>
      </c>
      <c r="H15" s="16" t="s">
        <v>1437</v>
      </c>
      <c r="I15" s="82"/>
      <c r="J15" s="92"/>
      <c r="K15" s="82"/>
      <c r="M15" s="114" t="str">
        <f>VLOOKUP(A15,'BIC_(C_Variables)'!$A$3:$AS$43,45,FALSE())</f>
        <v>x_partial files</v>
      </c>
      <c r="N15" s="1"/>
      <c r="O15" s="1"/>
      <c r="P15" s="81" t="str">
        <f>IFERROR(VLOOKUP(A15,Internal_lists_bugs!$A$2:$G7981,7,FALSE()),"please select a BUG ID")</f>
        <v>https://opendev.org/openstack/nova/commit/e7aa4022374fb35d2131a7c633212c5d6302db3d</v>
      </c>
    </row>
    <row r="16" ht="34.5" customHeight="1">
      <c r="A16" s="16" t="s">
        <v>32</v>
      </c>
      <c r="B16" s="50" t="str">
        <f>IFERROR(HYPERLINK(VLOOKUP(A16,Internal_lists_bugs!$A$2:$C$73,3,FALSE()), VLOOKUP(A16,Internal_lists_bugs!$A$2:$C$73,3,FALSE())&amp;Char(10) &amp; Char(10) &amp; VLOOKUP(A16,Internal_lists_bugs!$A$2:$Z$73,26,FALSE())),"please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6" s="81" t="str">
        <f>IFERROR(VLOOKUP(A16,Internal_lists_bugs!$A$2:$I7981,9,FALSE()),"please select a BUG ID")</f>
        <v>https://review.opendev.org/c/openstack/nova/+/1324</v>
      </c>
      <c r="D16" s="114"/>
      <c r="E16" s="114"/>
      <c r="F16" s="115"/>
      <c r="G16" s="16" t="s">
        <v>1421</v>
      </c>
      <c r="H16" s="16" t="s">
        <v>1438</v>
      </c>
      <c r="I16" s="82"/>
      <c r="J16" s="92"/>
      <c r="K16" s="82"/>
      <c r="M16" s="114" t="str">
        <f>VLOOKUP(A16,'BIC_(C_Variables)'!$A$3:$AS$43,45,FALSE())</f>
        <v>x_partial files</v>
      </c>
      <c r="N16" s="1"/>
      <c r="O16" s="1"/>
      <c r="P16" s="81" t="str">
        <f>IFERROR(VLOOKUP(A16,Internal_lists_bugs!$A$2:$G7981,7,FALSE()),"please select a BUG ID")</f>
        <v>https://opendev.org/openstack/nova/commit/e7aa4022374fb35d2131a7c633212c5d6302db3d</v>
      </c>
    </row>
    <row r="17" ht="38.25" customHeight="1">
      <c r="A17" s="16" t="s">
        <v>32</v>
      </c>
      <c r="B17" s="50" t="str">
        <f>IFERROR(HYPERLINK(VLOOKUP(A17,Internal_lists_bugs!$A$2:$C$73,3,FALSE()), VLOOKUP(A17,Internal_lists_bugs!$A$2:$C$73,3,FALSE())&amp;Char(10) &amp; Char(10) &amp; VLOOKUP(A17,Internal_lists_bugs!$A$2:$Z$73,26,FALSE())),"please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7" s="81" t="str">
        <f>IFERROR(VLOOKUP(A17,Internal_lists_bugs!$A$2:$I7981,9,FALSE()),"please select a BUG ID")</f>
        <v>https://review.opendev.org/c/openstack/nova/+/1324</v>
      </c>
      <c r="D17" s="114"/>
      <c r="E17" s="114"/>
      <c r="F17" s="115"/>
      <c r="G17" s="16" t="s">
        <v>1430</v>
      </c>
      <c r="H17" s="16" t="s">
        <v>1439</v>
      </c>
      <c r="I17" s="82"/>
      <c r="J17" s="92"/>
      <c r="K17" s="82"/>
      <c r="M17" s="114" t="str">
        <f>VLOOKUP(A17,'BIC_(C_Variables)'!$A$3:$AS$43,45,FALSE())</f>
        <v>x_partial files</v>
      </c>
      <c r="N17" s="1"/>
      <c r="O17" s="1"/>
      <c r="P17" s="81" t="str">
        <f>IFERROR(VLOOKUP(A17,Internal_lists_bugs!$A$2:$G7981,7,FALSE()),"please select a BUG ID")</f>
        <v>https://opendev.org/openstack/nova/commit/e7aa4022374fb35d2131a7c633212c5d6302db3d</v>
      </c>
    </row>
    <row r="18" ht="39.75" customHeight="1">
      <c r="A18" s="16" t="s">
        <v>32</v>
      </c>
      <c r="B18" s="50" t="str">
        <f>IFERROR(HYPERLINK(VLOOKUP(A18,Internal_lists_bugs!$A$2:$C$73,3,FALSE()), VLOOKUP(A18,Internal_lists_bugs!$A$2:$C$73,3,FALSE())&amp;Char(10) &amp; Char(10) &amp; VLOOKUP(A18,Internal_lists_bugs!$A$2:$Z$73,26,FALSE())),"please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8" s="81" t="str">
        <f>IFERROR(VLOOKUP(A18,Internal_lists_bugs!$A$2:$I7981,9,FALSE()),"please select a BUG ID")</f>
        <v>https://review.opendev.org/c/openstack/nova/+/1324</v>
      </c>
      <c r="D18" s="114"/>
      <c r="E18" s="114"/>
      <c r="F18" s="115"/>
      <c r="G18" s="16" t="s">
        <v>1421</v>
      </c>
      <c r="H18" s="16" t="s">
        <v>1440</v>
      </c>
      <c r="I18" s="82"/>
      <c r="J18" s="92"/>
      <c r="K18" s="82"/>
      <c r="M18" s="114" t="str">
        <f>VLOOKUP(A18,'BIC_(C_Variables)'!$A$3:$AS$43,45,FALSE())</f>
        <v>x_partial files</v>
      </c>
      <c r="N18" s="1"/>
      <c r="O18" s="1"/>
      <c r="P18" s="81" t="str">
        <f>IFERROR(VLOOKUP(A18,Internal_lists_bugs!$A$2:$G7981,7,FALSE()),"please select a BUG ID")</f>
        <v>https://opendev.org/openstack/nova/commit/e7aa4022374fb35d2131a7c633212c5d6302db3d</v>
      </c>
    </row>
    <row r="19" ht="34.5" customHeight="1">
      <c r="A19" s="16" t="s">
        <v>32</v>
      </c>
      <c r="B19" s="50" t="str">
        <f>IFERROR(HYPERLINK(VLOOKUP(A19,Internal_lists_bugs!$A$2:$C$73,3,FALSE()), VLOOKUP(A19,Internal_lists_bugs!$A$2:$C$73,3,FALSE())&amp;Char(10) &amp; Char(10) &amp; VLOOKUP(A19,Internal_lists_bugs!$A$2:$Z$73,26,FALSE())),"please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19" s="81" t="str">
        <f>IFERROR(VLOOKUP(A19,Internal_lists_bugs!$A$2:$I7981,9,FALSE()),"please select a BUG ID")</f>
        <v>https://review.opendev.org/c/openstack/nova/+/1324</v>
      </c>
      <c r="D19" s="114"/>
      <c r="E19" s="114"/>
      <c r="F19" s="115"/>
      <c r="G19" s="16" t="s">
        <v>1441</v>
      </c>
      <c r="H19" s="16" t="s">
        <v>1442</v>
      </c>
      <c r="I19" s="82"/>
      <c r="J19" s="92"/>
      <c r="K19" s="82"/>
      <c r="M19" s="114" t="str">
        <f>VLOOKUP(A19,'BIC_(C_Variables)'!$A$3:$AS$43,45,FALSE())</f>
        <v>x_partial files</v>
      </c>
      <c r="N19" s="1"/>
      <c r="O19" s="1"/>
      <c r="P19" s="81" t="str">
        <f>IFERROR(VLOOKUP(A19,Internal_lists_bugs!$A$2:$G7981,7,FALSE()),"please select a BUG ID")</f>
        <v>https://opendev.org/openstack/nova/commit/e7aa4022374fb35d2131a7c633212c5d6302db3d</v>
      </c>
    </row>
    <row r="20" ht="34.5" customHeight="1">
      <c r="A20" s="16" t="s">
        <v>32</v>
      </c>
      <c r="B20" s="50" t="str">
        <f>IFERROR(HYPERLINK(VLOOKUP(A20,Internal_lists_bugs!$A$2:$C$73,3,FALSE()), VLOOKUP(A20,Internal_lists_bugs!$A$2:$C$73,3,FALSE())&amp;Char(10) &amp; Char(10) &amp; VLOOKUP(A20,Internal_lists_bugs!$A$2:$Z$73,26,FALSE())),"please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0" s="81" t="str">
        <f>IFERROR(VLOOKUP(A20,Internal_lists_bugs!$A$2:$I7981,9,FALSE()),"please select a BUG ID")</f>
        <v>https://review.opendev.org/c/openstack/nova/+/1324</v>
      </c>
      <c r="D20" s="114"/>
      <c r="E20" s="114"/>
      <c r="F20" s="115"/>
      <c r="G20" s="16" t="s">
        <v>1427</v>
      </c>
      <c r="H20" s="16" t="s">
        <v>1442</v>
      </c>
      <c r="I20" s="82"/>
      <c r="J20" s="92"/>
      <c r="K20" s="82"/>
      <c r="M20" s="114" t="str">
        <f>VLOOKUP(A20,'BIC_(C_Variables)'!$A$3:$AS$43,45,FALSE())</f>
        <v>x_partial files</v>
      </c>
      <c r="N20" s="1"/>
      <c r="O20" s="1"/>
      <c r="P20" s="81" t="str">
        <f>IFERROR(VLOOKUP(A20,Internal_lists_bugs!$A$2:$G7981,7,FALSE()),"please select a BUG ID")</f>
        <v>https://opendev.org/openstack/nova/commit/e7aa4022374fb35d2131a7c633212c5d6302db3d</v>
      </c>
    </row>
    <row r="21" ht="34.5" customHeight="1">
      <c r="A21" s="16" t="s">
        <v>32</v>
      </c>
      <c r="B21" s="50" t="str">
        <f>IFERROR(HYPERLINK(VLOOKUP(A21,Internal_lists_bugs!$A$2:$C$73,3,FALSE()), VLOOKUP(A21,Internal_lists_bugs!$A$2:$C$73,3,FALSE())&amp;Char(10) &amp; Char(10) &amp; VLOOKUP(A21,Internal_lists_bugs!$A$2:$Z$73,26,FALSE())),"please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1" s="81" t="str">
        <f>IFERROR(VLOOKUP(A21,Internal_lists_bugs!$A$2:$I7981,9,FALSE()),"please select a BUG ID")</f>
        <v>https://review.opendev.org/c/openstack/nova/+/1324</v>
      </c>
      <c r="D21" s="114"/>
      <c r="E21" s="114"/>
      <c r="F21" s="115"/>
      <c r="G21" s="16" t="s">
        <v>1443</v>
      </c>
      <c r="H21" s="116" t="s">
        <v>1444</v>
      </c>
      <c r="I21" s="82"/>
      <c r="J21" s="92"/>
      <c r="K21" s="82"/>
      <c r="M21" s="114" t="str">
        <f>VLOOKUP(A21,'BIC_(C_Variables)'!$A$3:$AS$43,45,FALSE())</f>
        <v>x_partial files</v>
      </c>
      <c r="N21" s="1"/>
      <c r="O21" s="1"/>
      <c r="P21" s="81" t="str">
        <f>IFERROR(VLOOKUP(A21,Internal_lists_bugs!$A$2:$G7981,7,FALSE()),"please select a BUG ID")</f>
        <v>https://opendev.org/openstack/nova/commit/e7aa4022374fb35d2131a7c633212c5d6302db3d</v>
      </c>
    </row>
    <row r="22" ht="34.5" customHeight="1">
      <c r="A22" s="16" t="s">
        <v>32</v>
      </c>
      <c r="B22" s="50" t="str">
        <f>IFERROR(HYPERLINK(VLOOKUP(A22,Internal_lists_bugs!$A$2:$C$73,3,FALSE()), VLOOKUP(A22,Internal_lists_bugs!$A$2:$C$73,3,FALSE())&amp;Char(10) &amp; Char(10) &amp; VLOOKUP(A22,Internal_lists_bugs!$A$2:$Z$73,26,FALSE())),"please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2" s="81" t="str">
        <f>IFERROR(VLOOKUP(A22,Internal_lists_bugs!$A$2:$I7981,9,FALSE()),"please select a BUG ID")</f>
        <v>https://review.opendev.org/c/openstack/nova/+/1324</v>
      </c>
      <c r="D22" s="114"/>
      <c r="E22" s="114"/>
      <c r="F22" s="115"/>
      <c r="G22" s="16" t="s">
        <v>1445</v>
      </c>
      <c r="H22" s="116" t="s">
        <v>1444</v>
      </c>
      <c r="I22" s="82"/>
      <c r="J22" s="92"/>
      <c r="K22" s="82"/>
      <c r="M22" s="114" t="str">
        <f>VLOOKUP(A22,'BIC_(C_Variables)'!$A$3:$AS$43,45,FALSE())</f>
        <v>x_partial files</v>
      </c>
      <c r="N22" s="1"/>
      <c r="O22" s="1"/>
      <c r="P22" s="81" t="str">
        <f>IFERROR(VLOOKUP(A22,Internal_lists_bugs!$A$2:$G7981,7,FALSE()),"please select a BUG ID")</f>
        <v>https://opendev.org/openstack/nova/commit/e7aa4022374fb35d2131a7c633212c5d6302db3d</v>
      </c>
    </row>
    <row r="23" ht="34.5" customHeight="1">
      <c r="A23" s="16" t="s">
        <v>32</v>
      </c>
      <c r="B23" s="50" t="str">
        <f>IFERROR(HYPERLINK(VLOOKUP(A23,Internal_lists_bugs!$A$2:$C$73,3,FALSE()), VLOOKUP(A23,Internal_lists_bugs!$A$2:$C$73,3,FALSE())&amp;Char(10) &amp; Char(10) &amp; VLOOKUP(A23,Internal_lists_bugs!$A$2:$Z$73,26,FALSE())),"please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3" s="81" t="str">
        <f>IFERROR(VLOOKUP(A23,Internal_lists_bugs!$A$2:$I7981,9,FALSE()),"please select a BUG ID")</f>
        <v>https://review.opendev.org/c/openstack/nova/+/1324</v>
      </c>
      <c r="D23" s="114"/>
      <c r="E23" s="114"/>
      <c r="F23" s="115"/>
      <c r="G23" s="16" t="s">
        <v>1446</v>
      </c>
      <c r="H23" s="16" t="s">
        <v>1447</v>
      </c>
      <c r="I23" s="82"/>
      <c r="J23" s="92"/>
      <c r="K23" s="82"/>
      <c r="M23" s="114" t="str">
        <f>VLOOKUP(A23,'BIC_(C_Variables)'!$A$3:$AS$43,45,FALSE())</f>
        <v>x_partial files</v>
      </c>
      <c r="N23" s="1"/>
      <c r="O23" s="1"/>
      <c r="P23" s="81" t="str">
        <f>IFERROR(VLOOKUP(A23,Internal_lists_bugs!$A$2:$G7981,7,FALSE()),"please select a BUG ID")</f>
        <v>https://opendev.org/openstack/nova/commit/e7aa4022374fb35d2131a7c633212c5d6302db3d</v>
      </c>
    </row>
    <row r="24" ht="34.5" customHeight="1">
      <c r="A24" s="16" t="s">
        <v>32</v>
      </c>
      <c r="B24" s="50" t="str">
        <f>IFERROR(HYPERLINK(VLOOKUP(A24,Internal_lists_bugs!$A$2:$C$73,3,FALSE()), VLOOKUP(A24,Internal_lists_bugs!$A$2:$C$73,3,FALSE())&amp;Char(10) &amp; Char(10) &amp; VLOOKUP(A24,Internal_lists_bugs!$A$2:$Z$73,26,FALSE())),"please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4" s="81" t="str">
        <f>IFERROR(VLOOKUP(A24,Internal_lists_bugs!$A$2:$I7981,9,FALSE()),"please select a BUG ID")</f>
        <v>https://review.opendev.org/c/openstack/nova/+/1324</v>
      </c>
      <c r="D24" s="114"/>
      <c r="E24" s="114"/>
      <c r="F24" s="115"/>
      <c r="G24" s="16" t="s">
        <v>1448</v>
      </c>
      <c r="H24" s="16" t="s">
        <v>1447</v>
      </c>
      <c r="I24" s="82"/>
      <c r="J24" s="92"/>
      <c r="K24" s="82"/>
      <c r="M24" s="114" t="str">
        <f>VLOOKUP(A24,'BIC_(C_Variables)'!$A$3:$AS$43,45,FALSE())</f>
        <v>x_partial files</v>
      </c>
      <c r="N24" s="1"/>
      <c r="O24" s="1"/>
      <c r="P24" s="81" t="str">
        <f>IFERROR(VLOOKUP(A24,Internal_lists_bugs!$A$2:$G7981,7,FALSE()),"please select a BUG ID")</f>
        <v>https://opendev.org/openstack/nova/commit/e7aa4022374fb35d2131a7c633212c5d6302db3d</v>
      </c>
    </row>
    <row r="25" ht="34.5" customHeight="1">
      <c r="A25" s="16" t="s">
        <v>32</v>
      </c>
      <c r="B25" s="50" t="str">
        <f>IFERROR(HYPERLINK(VLOOKUP(A25,Internal_lists_bugs!$A$2:$C$73,3,FALSE()), VLOOKUP(A25,Internal_lists_bugs!$A$2:$C$73,3,FALSE())&amp;Char(10) &amp; Char(10) &amp; VLOOKUP(A25,Internal_lists_bugs!$A$2:$Z$73,26,FALSE())),"please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5" s="81" t="str">
        <f>IFERROR(VLOOKUP(A25,Internal_lists_bugs!$A$2:$I7981,9,FALSE()),"please select a BUG ID")</f>
        <v>https://review.opendev.org/c/openstack/nova/+/1324</v>
      </c>
      <c r="D25" s="114"/>
      <c r="E25" s="114"/>
      <c r="F25" s="115"/>
      <c r="G25" s="16" t="s">
        <v>1449</v>
      </c>
      <c r="H25" s="16" t="s">
        <v>1447</v>
      </c>
      <c r="I25" s="82"/>
      <c r="J25" s="92"/>
      <c r="K25" s="82"/>
      <c r="M25" s="114" t="str">
        <f>VLOOKUP(A25,'BIC_(C_Variables)'!$A$3:$AS$43,45,FALSE())</f>
        <v>x_partial files</v>
      </c>
      <c r="N25" s="1"/>
      <c r="O25" s="1"/>
      <c r="P25" s="81" t="str">
        <f>IFERROR(VLOOKUP(A25,Internal_lists_bugs!$A$2:$G7981,7,FALSE()),"please select a BUG ID")</f>
        <v>https://opendev.org/openstack/nova/commit/e7aa4022374fb35d2131a7c633212c5d6302db3d</v>
      </c>
    </row>
    <row r="26" ht="34.5" customHeight="1">
      <c r="A26" s="16" t="s">
        <v>32</v>
      </c>
      <c r="B26" s="50" t="str">
        <f>IFERROR(HYPERLINK(VLOOKUP(A26,Internal_lists_bugs!$A$2:$C$73,3,FALSE()), VLOOKUP(A26,Internal_lists_bugs!$A$2:$C$73,3,FALSE())&amp;Char(10) &amp; Char(10) &amp; VLOOKUP(A26,Internal_lists_bugs!$A$2:$Z$73,26,FALSE())),"please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6" s="81" t="str">
        <f>IFERROR(VLOOKUP(A26,Internal_lists_bugs!$A$2:$I7981,9,FALSE()),"please select a BUG ID")</f>
        <v>https://review.opendev.org/c/openstack/nova/+/1324</v>
      </c>
      <c r="D26" s="114"/>
      <c r="E26" s="114"/>
      <c r="F26" s="115"/>
      <c r="G26" s="16" t="s">
        <v>1450</v>
      </c>
      <c r="H26" s="16" t="s">
        <v>1451</v>
      </c>
      <c r="I26" s="82"/>
      <c r="J26" s="92"/>
      <c r="K26" s="82"/>
      <c r="M26" s="114" t="str">
        <f>VLOOKUP(A26,'BIC_(C_Variables)'!$A$3:$AS$43,45,FALSE())</f>
        <v>x_partial files</v>
      </c>
      <c r="N26" s="1"/>
      <c r="O26" s="1"/>
      <c r="P26" s="81" t="str">
        <f>IFERROR(VLOOKUP(A26,Internal_lists_bugs!$A$2:$G7981,7,FALSE()),"please select a BUG ID")</f>
        <v>https://opendev.org/openstack/nova/commit/e7aa4022374fb35d2131a7c633212c5d6302db3d</v>
      </c>
    </row>
    <row r="27" ht="34.5" customHeight="1">
      <c r="A27" s="16" t="s">
        <v>32</v>
      </c>
      <c r="B27" s="50" t="str">
        <f>IFERROR(HYPERLINK(VLOOKUP(A27,Internal_lists_bugs!$A$2:$C$73,3,FALSE()), VLOOKUP(A27,Internal_lists_bugs!$A$2:$C$73,3,FALSE())&amp;Char(10) &amp; Char(10) &amp; VLOOKUP(A27,Internal_lists_bugs!$A$2:$Z$73,26,FALSE())),"please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7" s="81" t="str">
        <f>IFERROR(VLOOKUP(A27,Internal_lists_bugs!$A$2:$I7981,9,FALSE()),"please select a BUG ID")</f>
        <v>https://review.opendev.org/c/openstack/nova/+/1324</v>
      </c>
      <c r="D27" s="114"/>
      <c r="E27" s="114"/>
      <c r="F27" s="115"/>
      <c r="G27" s="16" t="s">
        <v>1452</v>
      </c>
      <c r="H27" s="16" t="s">
        <v>1451</v>
      </c>
      <c r="I27" s="82"/>
      <c r="J27" s="92"/>
      <c r="K27" s="82"/>
      <c r="M27" s="114" t="str">
        <f>VLOOKUP(A27,'BIC_(C_Variables)'!$A$3:$AS$43,45,FALSE())</f>
        <v>x_partial files</v>
      </c>
      <c r="N27" s="1"/>
      <c r="O27" s="1"/>
      <c r="P27" s="81" t="str">
        <f>IFERROR(VLOOKUP(A27,Internal_lists_bugs!$A$2:$G7981,7,FALSE()),"please select a BUG ID")</f>
        <v>https://opendev.org/openstack/nova/commit/e7aa4022374fb35d2131a7c633212c5d6302db3d</v>
      </c>
    </row>
    <row r="28" ht="34.5" customHeight="1">
      <c r="A28" s="16" t="s">
        <v>32</v>
      </c>
      <c r="B28" s="50" t="str">
        <f>IFERROR(HYPERLINK(VLOOKUP(A28,Internal_lists_bugs!$A$2:$C$73,3,FALSE()), VLOOKUP(A28,Internal_lists_bugs!$A$2:$C$73,3,FALSE())&amp;Char(10) &amp; Char(10) &amp; VLOOKUP(A28,Internal_lists_bugs!$A$2:$Z$73,26,FALSE())),"please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8" s="81" t="str">
        <f>IFERROR(VLOOKUP(A28,Internal_lists_bugs!$A$2:$I7981,9,FALSE()),"please select a BUG ID")</f>
        <v>https://review.opendev.org/c/openstack/nova/+/1324</v>
      </c>
      <c r="D28" s="114"/>
      <c r="E28" s="114"/>
      <c r="F28" s="115"/>
      <c r="G28" s="16" t="s">
        <v>1453</v>
      </c>
      <c r="H28" s="16" t="s">
        <v>1454</v>
      </c>
      <c r="I28" s="82"/>
      <c r="J28" s="92"/>
      <c r="K28" s="82"/>
      <c r="M28" s="114" t="str">
        <f>VLOOKUP(A28,'BIC_(C_Variables)'!$A$3:$AS$43,45,FALSE())</f>
        <v>x_partial files</v>
      </c>
      <c r="N28" s="1"/>
      <c r="O28" s="1"/>
      <c r="P28" s="81" t="str">
        <f>IFERROR(VLOOKUP(A28,Internal_lists_bugs!$A$2:$G7981,7,FALSE()),"please select a BUG ID")</f>
        <v>https://opendev.org/openstack/nova/commit/e7aa4022374fb35d2131a7c633212c5d6302db3d</v>
      </c>
    </row>
    <row r="29" ht="34.5" customHeight="1">
      <c r="A29" s="16" t="s">
        <v>32</v>
      </c>
      <c r="B29" s="50" t="str">
        <f>IFERROR(HYPERLINK(VLOOKUP(A29,Internal_lists_bugs!$A$2:$C$73,3,FALSE()), VLOOKUP(A29,Internal_lists_bugs!$A$2:$C$73,3,FALSE())&amp;Char(10) &amp; Char(10) &amp; VLOOKUP(A29,Internal_lists_bugs!$A$2:$Z$73,26,FALSE())),"please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9" s="81" t="str">
        <f>IFERROR(VLOOKUP(A29,Internal_lists_bugs!$A$2:$I7981,9,FALSE()),"please select a BUG ID")</f>
        <v>https://review.opendev.org/c/openstack/nova/+/1324</v>
      </c>
      <c r="D29" s="114"/>
      <c r="E29" s="114"/>
      <c r="F29" s="115"/>
      <c r="G29" s="16" t="s">
        <v>1455</v>
      </c>
      <c r="H29" s="16" t="s">
        <v>1454</v>
      </c>
      <c r="I29" s="82"/>
      <c r="J29" s="92"/>
      <c r="K29" s="82"/>
      <c r="M29" s="114" t="str">
        <f>VLOOKUP(A29,'BIC_(C_Variables)'!$A$3:$AS$43,45,FALSE())</f>
        <v>x_partial files</v>
      </c>
      <c r="N29" s="1"/>
      <c r="O29" s="1"/>
      <c r="P29" s="81" t="str">
        <f>IFERROR(VLOOKUP(A29,Internal_lists_bugs!$A$2:$G7981,7,FALSE()),"please select a BUG ID")</f>
        <v>https://opendev.org/openstack/nova/commit/e7aa4022374fb35d2131a7c633212c5d6302db3d</v>
      </c>
    </row>
    <row r="30" ht="34.5" customHeight="1">
      <c r="A30" s="16" t="s">
        <v>32</v>
      </c>
      <c r="B30" s="50" t="str">
        <f>IFERROR(HYPERLINK(VLOOKUP(A30,Internal_lists_bugs!$A$2:$C$73,3,FALSE()), VLOOKUP(A30,Internal_lists_bugs!$A$2:$C$73,3,FALSE())&amp;Char(10) &amp; Char(10) &amp; VLOOKUP(A30,Internal_lists_bugs!$A$2:$Z$73,26,FALSE())),"please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0" s="81" t="str">
        <f>IFERROR(VLOOKUP(A30,Internal_lists_bugs!$A$2:$I7981,9,FALSE()),"please select a BUG ID")</f>
        <v>https://review.opendev.org/c/openstack/nova/+/1324</v>
      </c>
      <c r="D30" s="114"/>
      <c r="E30" s="114"/>
      <c r="F30" s="115"/>
      <c r="G30" s="16" t="s">
        <v>1456</v>
      </c>
      <c r="H30" s="116" t="s">
        <v>1457</v>
      </c>
      <c r="I30" s="82"/>
      <c r="J30" s="92"/>
      <c r="K30" s="82"/>
      <c r="M30" s="114" t="str">
        <f>VLOOKUP(A30,'BIC_(C_Variables)'!$A$3:$AS$43,45,FALSE())</f>
        <v>x_partial files</v>
      </c>
      <c r="N30" s="1"/>
      <c r="O30" s="1"/>
      <c r="P30" s="81" t="str">
        <f>IFERROR(VLOOKUP(A30,Internal_lists_bugs!$A$2:$G7981,7,FALSE()),"please select a BUG ID")</f>
        <v>https://opendev.org/openstack/nova/commit/e7aa4022374fb35d2131a7c633212c5d6302db3d</v>
      </c>
    </row>
    <row r="31" ht="65.25" customHeight="1">
      <c r="A31" s="16" t="s">
        <v>32</v>
      </c>
      <c r="B31" s="50" t="str">
        <f>IFERROR(HYPERLINK(VLOOKUP(A31,Internal_lists_bugs!$A$2:$C$73,3,FALSE()), VLOOKUP(A31,Internal_lists_bugs!$A$2:$C$73,3,FALSE())&amp;Char(10) &amp; Char(10) &amp; VLOOKUP(A31,Internal_lists_bugs!$A$2:$Z$73,26,FALSE())),"please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1" s="81" t="str">
        <f>IFERROR(VLOOKUP(A31,Internal_lists_bugs!$A$2:$I7981,9,FALSE()),"please select a BUG ID")</f>
        <v>https://review.opendev.org/c/openstack/nova/+/1324</v>
      </c>
      <c r="D31" s="112"/>
      <c r="E31" s="112"/>
      <c r="F31" s="113"/>
      <c r="G31" s="16" t="s">
        <v>1458</v>
      </c>
      <c r="H31" s="16" t="s">
        <v>1459</v>
      </c>
      <c r="I31" s="79"/>
      <c r="J31" s="93"/>
      <c r="K31" s="79"/>
      <c r="M31" s="114"/>
      <c r="N31" s="1"/>
      <c r="O31" s="1"/>
      <c r="P31" s="51"/>
    </row>
    <row r="32" ht="65.25" customHeight="1">
      <c r="A32" s="16" t="s">
        <v>32</v>
      </c>
      <c r="B32" s="50" t="str">
        <f>IFERROR(HYPERLINK(VLOOKUP(A32,Internal_lists_bugs!$A$2:$C$73,3,FALSE()), VLOOKUP(A32,Internal_lists_bugs!$A$2:$C$73,3,FALSE())&amp;Char(10) &amp; Char(10) &amp; VLOOKUP(A32,Internal_lists_bugs!$A$2:$Z$73,26,FALSE())),"please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2" s="81" t="str">
        <f>IFERROR(VLOOKUP(A32,Internal_lists_bugs!$A$2:$I7981,9,FALSE()),"please select a BUG ID")</f>
        <v>https://review.opendev.org/c/openstack/nova/+/1324</v>
      </c>
      <c r="D32" s="112"/>
      <c r="E32" s="112"/>
      <c r="F32" s="113"/>
      <c r="G32" s="16" t="s">
        <v>1460</v>
      </c>
      <c r="H32" s="16" t="s">
        <v>1461</v>
      </c>
      <c r="I32" s="79"/>
      <c r="J32" s="93"/>
      <c r="K32" s="79"/>
      <c r="M32" s="114" t="str">
        <f>VLOOKUP(A32,'BIC_(C_Variables)'!$A$3:$AS$43,45,FALSE())</f>
        <v>x_partial files</v>
      </c>
      <c r="N32" s="1"/>
      <c r="O32" s="1"/>
      <c r="P32" s="81" t="str">
        <f>IFERROR(VLOOKUP(A32,Internal_lists_bugs!$A$2:$G7981,7,FALSE()),"please select a BUG ID")</f>
        <v>https://opendev.org/openstack/nova/commit/e7aa4022374fb35d2131a7c633212c5d6302db3d</v>
      </c>
    </row>
    <row r="33">
      <c r="A33" s="16" t="s">
        <v>33</v>
      </c>
      <c r="B33" s="50" t="str">
        <f>IFERROR(HYPERLINK(VLOOKUP(A33,Internal_lists_bugs!$A$2:$C$73,3,FALSE()), VLOOKUP(A33,Internal_lists_bugs!$A$2:$C$73,3,FALSE())&amp;Char(10) &amp; Char(10) &amp; VLOOKUP(A33,Internal_lists_bugs!$A$2:$Z$73,26,FALSE())),"please select a BUG ID")</f>
        <v>https://bugs.launchpad.net/nova/+bug/1367363
/libvirt/driver.py</v>
      </c>
      <c r="C33" s="81" t="str">
        <f>IFERROR(VLOOKUP(A33,Internal_lists_bugs!$A$2:$I7981,9,FALSE()),"please select a BUG ID")</f>
        <v>https://review.opendev.org/c/openstack/nova/+/53069</v>
      </c>
      <c r="D33" s="112" t="s">
        <v>1412</v>
      </c>
      <c r="E33" s="112" t="s">
        <v>1462</v>
      </c>
      <c r="F33" s="113" t="s">
        <v>251</v>
      </c>
      <c r="G33" s="16" t="s">
        <v>1417</v>
      </c>
      <c r="H33" s="16" t="s">
        <v>1420</v>
      </c>
      <c r="I33" s="79" t="s">
        <v>251</v>
      </c>
      <c r="J33" s="93" t="s">
        <v>1463</v>
      </c>
      <c r="K33" s="79" t="s">
        <v>251</v>
      </c>
      <c r="L33" s="54" t="s">
        <v>1464</v>
      </c>
      <c r="M33" s="114" t="str">
        <f>VLOOKUP(A33,'BIC_(C_Variables)'!$A$3:$AS$43,45,FALSE())</f>
        <v/>
      </c>
      <c r="N33" s="1"/>
      <c r="O33" s="1"/>
      <c r="P33" s="81" t="str">
        <f>IFERROR(VLOOKUP(A33,Internal_lists_bugs!$A$2:$G7981,7,FALSE()),"please select a BUG ID")</f>
        <v>https://opendev.org/openstack/nova/commit/0fcbb7b</v>
      </c>
    </row>
    <row r="34">
      <c r="A34" s="16" t="s">
        <v>33</v>
      </c>
      <c r="B34" s="50" t="str">
        <f>IFERROR(HYPERLINK(VLOOKUP(A34,Internal_lists_bugs!$A$2:$C$73,3,FALSE()), VLOOKUP(A34,Internal_lists_bugs!$A$2:$C$73,3,FALSE())&amp;Char(10) &amp; Char(10) &amp; VLOOKUP(A34,Internal_lists_bugs!$A$2:$Z$73,26,FALSE())),"please select a BUG ID")</f>
        <v>https://bugs.launchpad.net/nova/+bug/1367363
/libvirt/driver.py</v>
      </c>
      <c r="C34" s="81" t="str">
        <f>IFERROR(VLOOKUP(A34,Internal_lists_bugs!$A$2:$I7981,9,FALSE()),"please select a BUG ID")</f>
        <v>https://review.opendev.org/c/openstack/nova/+/53069</v>
      </c>
      <c r="D34" s="114"/>
      <c r="E34" s="114"/>
      <c r="F34" s="115"/>
      <c r="G34" s="16" t="s">
        <v>1465</v>
      </c>
      <c r="H34" s="16" t="s">
        <v>1420</v>
      </c>
      <c r="I34" s="82"/>
      <c r="J34" s="92"/>
      <c r="K34" s="82"/>
      <c r="M34" s="114" t="str">
        <f>VLOOKUP(A34,'BIC_(C_Variables)'!$A$3:$AS$43,45,FALSE())</f>
        <v/>
      </c>
      <c r="N34" s="1"/>
      <c r="O34" s="1"/>
      <c r="P34" s="81" t="str">
        <f>IFERROR(VLOOKUP(A34,Internal_lists_bugs!$A$2:$G7981,7,FALSE()),"please select a BUG ID")</f>
        <v>https://opendev.org/openstack/nova/commit/0fcbb7b</v>
      </c>
    </row>
    <row r="35">
      <c r="A35" s="16" t="s">
        <v>33</v>
      </c>
      <c r="B35" s="50" t="str">
        <f>IFERROR(HYPERLINK(VLOOKUP(A35,Internal_lists_bugs!$A$2:$C$73,3,FALSE()), VLOOKUP(A35,Internal_lists_bugs!$A$2:$C$73,3,FALSE())&amp;Char(10) &amp; Char(10) &amp; VLOOKUP(A35,Internal_lists_bugs!$A$2:$Z$73,26,FALSE())),"please select a BUG ID")</f>
        <v>https://bugs.launchpad.net/nova/+bug/1367363
/libvirt/driver.py</v>
      </c>
      <c r="C35" s="81" t="str">
        <f>IFERROR(VLOOKUP(A35,Internal_lists_bugs!$A$2:$I7981,9,FALSE()),"please select a BUG ID")</f>
        <v>https://review.opendev.org/c/openstack/nova/+/53069</v>
      </c>
      <c r="D35" s="114"/>
      <c r="E35" s="114"/>
      <c r="F35" s="115"/>
      <c r="G35" s="16" t="s">
        <v>1466</v>
      </c>
      <c r="H35" s="16" t="s">
        <v>1420</v>
      </c>
      <c r="I35" s="82"/>
      <c r="J35" s="92"/>
      <c r="K35" s="82"/>
      <c r="M35" s="114" t="str">
        <f>VLOOKUP(A35,'BIC_(C_Variables)'!$A$3:$AS$43,45,FALSE())</f>
        <v/>
      </c>
      <c r="N35" s="1"/>
      <c r="O35" s="1"/>
      <c r="P35" s="81" t="str">
        <f>IFERROR(VLOOKUP(A35,Internal_lists_bugs!$A$2:$G7981,7,FALSE()),"please select a BUG ID")</f>
        <v>https://opendev.org/openstack/nova/commit/0fcbb7b</v>
      </c>
    </row>
    <row r="36">
      <c r="A36" s="16" t="s">
        <v>33</v>
      </c>
      <c r="B36" s="50" t="str">
        <f>IFERROR(HYPERLINK(VLOOKUP(A36,Internal_lists_bugs!$A$2:$C$73,3,FALSE()), VLOOKUP(A36,Internal_lists_bugs!$A$2:$C$73,3,FALSE())&amp;Char(10) &amp; Char(10) &amp; VLOOKUP(A36,Internal_lists_bugs!$A$2:$Z$73,26,FALSE())),"please select a BUG ID")</f>
        <v>https://bugs.launchpad.net/nova/+bug/1367363
/libvirt/driver.py</v>
      </c>
      <c r="C36" s="81" t="str">
        <f>IFERROR(VLOOKUP(A36,Internal_lists_bugs!$A$2:$I7981,9,FALSE()),"please select a BUG ID")</f>
        <v>https://review.opendev.org/c/openstack/nova/+/53069</v>
      </c>
      <c r="D36" s="114"/>
      <c r="E36" s="114"/>
      <c r="F36" s="115"/>
      <c r="G36" s="16" t="s">
        <v>1419</v>
      </c>
      <c r="H36" s="16" t="s">
        <v>1420</v>
      </c>
      <c r="I36" s="82"/>
      <c r="J36" s="92"/>
      <c r="K36" s="82"/>
      <c r="M36" s="114" t="str">
        <f>VLOOKUP(A36,'BIC_(C_Variables)'!$A$3:$AS$43,45,FALSE())</f>
        <v/>
      </c>
      <c r="N36" s="1"/>
      <c r="O36" s="1"/>
      <c r="P36" s="81" t="str">
        <f>IFERROR(VLOOKUP(A36,Internal_lists_bugs!$A$2:$G7981,7,FALSE()),"please select a BUG ID")</f>
        <v>https://opendev.org/openstack/nova/commit/0fcbb7b</v>
      </c>
    </row>
    <row r="37">
      <c r="A37" s="16" t="s">
        <v>33</v>
      </c>
      <c r="B37" s="50" t="str">
        <f>IFERROR(HYPERLINK(VLOOKUP(A37,Internal_lists_bugs!$A$2:$C$73,3,FALSE()), VLOOKUP(A37,Internal_lists_bugs!$A$2:$C$73,3,FALSE())&amp;Char(10) &amp; Char(10) &amp; VLOOKUP(A37,Internal_lists_bugs!$A$2:$Z$73,26,FALSE())),"please select a BUG ID")</f>
        <v>https://bugs.launchpad.net/nova/+bug/1367363
/libvirt/driver.py</v>
      </c>
      <c r="C37" s="81" t="str">
        <f>IFERROR(VLOOKUP(A37,Internal_lists_bugs!$A$2:$I7981,9,FALSE()),"please select a BUG ID")</f>
        <v>https://review.opendev.org/c/openstack/nova/+/53069</v>
      </c>
      <c r="D37" s="114"/>
      <c r="E37" s="114"/>
      <c r="F37" s="115"/>
      <c r="G37" s="16" t="s">
        <v>1428</v>
      </c>
      <c r="H37" s="16" t="s">
        <v>1467</v>
      </c>
      <c r="I37" s="82"/>
      <c r="J37" s="92"/>
      <c r="K37" s="82"/>
      <c r="M37" s="114" t="str">
        <f>VLOOKUP(A37,'BIC_(C_Variables)'!$A$3:$AS$43,45,FALSE())</f>
        <v/>
      </c>
      <c r="N37" s="117"/>
      <c r="O37" s="1"/>
      <c r="P37" s="81" t="str">
        <f>IFERROR(VLOOKUP(A37,Internal_lists_bugs!$A$2:$G7981,7,FALSE()),"please select a BUG ID")</f>
        <v>https://opendev.org/openstack/nova/commit/0fcbb7b</v>
      </c>
    </row>
    <row r="38">
      <c r="A38" s="16" t="s">
        <v>33</v>
      </c>
      <c r="B38" s="50" t="str">
        <f>IFERROR(HYPERLINK(VLOOKUP(A38,Internal_lists_bugs!$A$2:$C$73,3,FALSE()), VLOOKUP(A38,Internal_lists_bugs!$A$2:$C$73,3,FALSE())&amp;Char(10) &amp; Char(10) &amp; VLOOKUP(A38,Internal_lists_bugs!$A$2:$Z$73,26,FALSE())),"please select a BUG ID")</f>
        <v>https://bugs.launchpad.net/nova/+bug/1367363
/libvirt/driver.py</v>
      </c>
      <c r="C38" s="81" t="str">
        <f>IFERROR(VLOOKUP(A38,Internal_lists_bugs!$A$2:$I7981,9,FALSE()),"please select a BUG ID")</f>
        <v>https://review.opendev.org/c/openstack/nova/+/53069</v>
      </c>
      <c r="D38" s="114"/>
      <c r="E38" s="114"/>
      <c r="F38" s="115"/>
      <c r="G38" s="16" t="s">
        <v>1468</v>
      </c>
      <c r="H38" s="16" t="s">
        <v>1467</v>
      </c>
      <c r="I38" s="82"/>
      <c r="J38" s="92"/>
      <c r="K38" s="82"/>
      <c r="M38" s="114" t="str">
        <f>VLOOKUP(A38,'BIC_(C_Variables)'!$A$3:$AS$43,45,FALSE())</f>
        <v/>
      </c>
      <c r="N38" s="117"/>
      <c r="O38" s="1"/>
      <c r="P38" s="81" t="str">
        <f>IFERROR(VLOOKUP(A38,Internal_lists_bugs!$A$2:$G7981,7,FALSE()),"please select a BUG ID")</f>
        <v>https://opendev.org/openstack/nova/commit/0fcbb7b</v>
      </c>
    </row>
    <row r="39">
      <c r="A39" s="16" t="s">
        <v>33</v>
      </c>
      <c r="B39" s="50" t="str">
        <f>IFERROR(HYPERLINK(VLOOKUP(A39,Internal_lists_bugs!$A$2:$C$73,3,FALSE()), VLOOKUP(A39,Internal_lists_bugs!$A$2:$C$73,3,FALSE())&amp;Char(10) &amp; Char(10) &amp; VLOOKUP(A39,Internal_lists_bugs!$A$2:$Z$73,26,FALSE())),"please select a BUG ID")</f>
        <v>https://bugs.launchpad.net/nova/+bug/1367363
/libvirt/driver.py</v>
      </c>
      <c r="C39" s="81" t="str">
        <f>IFERROR(VLOOKUP(A39,Internal_lists_bugs!$A$2:$I7981,9,FALSE()),"please select a BUG ID")</f>
        <v>https://review.opendev.org/c/openstack/nova/+/53069</v>
      </c>
      <c r="D39" s="114"/>
      <c r="E39" s="114"/>
      <c r="F39" s="115"/>
      <c r="G39" s="16" t="s">
        <v>1469</v>
      </c>
      <c r="H39" s="16" t="s">
        <v>1467</v>
      </c>
      <c r="I39" s="82"/>
      <c r="J39" s="92"/>
      <c r="K39" s="82"/>
      <c r="M39" s="114" t="str">
        <f>VLOOKUP(A39,'BIC_(C_Variables)'!$A$3:$AS$43,45,FALSE())</f>
        <v/>
      </c>
      <c r="N39" s="1"/>
      <c r="O39" s="1"/>
      <c r="P39" s="81" t="str">
        <f>IFERROR(VLOOKUP(A39,Internal_lists_bugs!$A$2:$G7981,7,FALSE()),"please select a BUG ID")</f>
        <v>https://opendev.org/openstack/nova/commit/0fcbb7b</v>
      </c>
    </row>
    <row r="40">
      <c r="A40" s="16" t="s">
        <v>33</v>
      </c>
      <c r="B40" s="50" t="str">
        <f>IFERROR(HYPERLINK(VLOOKUP(A40,Internal_lists_bugs!$A$2:$C$73,3,FALSE()), VLOOKUP(A40,Internal_lists_bugs!$A$2:$C$73,3,FALSE())&amp;Char(10) &amp; Char(10) &amp; VLOOKUP(A40,Internal_lists_bugs!$A$2:$Z$73,26,FALSE())),"please select a BUG ID")</f>
        <v>https://bugs.launchpad.net/nova/+bug/1367363
/libvirt/driver.py</v>
      </c>
      <c r="C40" s="81" t="str">
        <f>IFERROR(VLOOKUP(A40,Internal_lists_bugs!$A$2:$I7981,9,FALSE()),"please select a BUG ID")</f>
        <v>https://review.opendev.org/c/openstack/nova/+/53069</v>
      </c>
      <c r="D40" s="114"/>
      <c r="E40" s="114"/>
      <c r="F40" s="115"/>
      <c r="G40" s="16" t="s">
        <v>1470</v>
      </c>
      <c r="H40" s="16" t="s">
        <v>1471</v>
      </c>
      <c r="I40" s="82"/>
      <c r="J40" s="92"/>
      <c r="K40" s="82"/>
      <c r="M40" s="114" t="str">
        <f>VLOOKUP(A40,'BIC_(C_Variables)'!$A$3:$AS$43,45,FALSE())</f>
        <v/>
      </c>
      <c r="N40" s="1"/>
      <c r="O40" s="1"/>
      <c r="P40" s="81" t="str">
        <f>IFERROR(VLOOKUP(A40,Internal_lists_bugs!$A$2:$G7981,7,FALSE()),"please select a BUG ID")</f>
        <v>https://opendev.org/openstack/nova/commit/0fcbb7b</v>
      </c>
    </row>
    <row r="41">
      <c r="A41" s="16" t="s">
        <v>33</v>
      </c>
      <c r="B41" s="50" t="str">
        <f>IFERROR(HYPERLINK(VLOOKUP(A41,Internal_lists_bugs!$A$2:$C$73,3,FALSE()), VLOOKUP(A41,Internal_lists_bugs!$A$2:$C$73,3,FALSE())&amp;Char(10) &amp; Char(10) &amp; VLOOKUP(A41,Internal_lists_bugs!$A$2:$Z$73,26,FALSE())),"please select a BUG ID")</f>
        <v>https://bugs.launchpad.net/nova/+bug/1367363
/libvirt/driver.py</v>
      </c>
      <c r="C41" s="81" t="str">
        <f>IFERROR(VLOOKUP(A41,Internal_lists_bugs!$A$2:$I7981,9,FALSE()),"please select a BUG ID")</f>
        <v>https://review.opendev.org/c/openstack/nova/+/53069</v>
      </c>
      <c r="D41" s="114"/>
      <c r="E41" s="114"/>
      <c r="F41" s="115"/>
      <c r="G41" s="16" t="s">
        <v>1472</v>
      </c>
      <c r="H41" s="16" t="s">
        <v>1473</v>
      </c>
      <c r="I41" s="82"/>
      <c r="J41" s="92"/>
      <c r="K41" s="82"/>
      <c r="M41" s="114" t="str">
        <f>VLOOKUP(A41,'BIC_(C_Variables)'!$A$3:$AS$43,45,FALSE())</f>
        <v/>
      </c>
      <c r="N41" s="1"/>
      <c r="O41" s="1"/>
      <c r="P41" s="81" t="str">
        <f>IFERROR(VLOOKUP(A41,Internal_lists_bugs!$A$2:$G7981,7,FALSE()),"please select a BUG ID")</f>
        <v>https://opendev.org/openstack/nova/commit/0fcbb7b</v>
      </c>
    </row>
    <row r="42">
      <c r="A42" s="16" t="s">
        <v>33</v>
      </c>
      <c r="B42" s="50" t="str">
        <f>IFERROR(HYPERLINK(VLOOKUP(A42,Internal_lists_bugs!$A$2:$C$73,3,FALSE()), VLOOKUP(A42,Internal_lists_bugs!$A$2:$C$73,3,FALSE())&amp;Char(10) &amp; Char(10) &amp; VLOOKUP(A42,Internal_lists_bugs!$A$2:$Z$73,26,FALSE())),"please select a BUG ID")</f>
        <v>https://bugs.launchpad.net/nova/+bug/1367363
/libvirt/driver.py</v>
      </c>
      <c r="C42" s="81" t="str">
        <f>IFERROR(VLOOKUP(A42,Internal_lists_bugs!$A$2:$I7981,9,FALSE()),"please select a BUG ID")</f>
        <v>https://review.opendev.org/c/openstack/nova/+/53069</v>
      </c>
      <c r="D42" s="114"/>
      <c r="E42" s="114"/>
      <c r="F42" s="115"/>
      <c r="G42" s="16" t="s">
        <v>1474</v>
      </c>
      <c r="H42" s="16" t="s">
        <v>1475</v>
      </c>
      <c r="I42" s="82"/>
      <c r="J42" s="92"/>
      <c r="K42" s="82"/>
      <c r="M42" s="114"/>
      <c r="N42" s="1"/>
      <c r="O42" s="1"/>
      <c r="P42" s="51"/>
    </row>
    <row r="43">
      <c r="A43" s="16" t="s">
        <v>33</v>
      </c>
      <c r="B43" s="50" t="str">
        <f>IFERROR(HYPERLINK(VLOOKUP(A43,Internal_lists_bugs!$A$2:$C$73,3,FALSE()), VLOOKUP(A43,Internal_lists_bugs!$A$2:$C$73,3,FALSE())&amp;Char(10) &amp; Char(10) &amp; VLOOKUP(A43,Internal_lists_bugs!$A$2:$Z$73,26,FALSE())),"please select a BUG ID")</f>
        <v>https://bugs.launchpad.net/nova/+bug/1367363
/libvirt/driver.py</v>
      </c>
      <c r="C43" s="81" t="str">
        <f>IFERROR(VLOOKUP(A43,Internal_lists_bugs!$A$2:$I7981,9,FALSE()),"please select a BUG ID")</f>
        <v>https://review.opendev.org/c/openstack/nova/+/53069</v>
      </c>
      <c r="D43" s="114"/>
      <c r="E43" s="114"/>
      <c r="F43" s="115"/>
      <c r="G43" s="16" t="s">
        <v>1476</v>
      </c>
      <c r="H43" s="16" t="s">
        <v>1475</v>
      </c>
      <c r="I43" s="82"/>
      <c r="J43" s="92"/>
      <c r="K43" s="82"/>
      <c r="M43" s="114" t="str">
        <f>VLOOKUP(A43,'BIC_(C_Variables)'!$A$3:$AS$43,45,FALSE())</f>
        <v/>
      </c>
      <c r="N43" s="1"/>
      <c r="O43" s="1"/>
      <c r="P43" s="81" t="str">
        <f>IFERROR(VLOOKUP(A43,Internal_lists_bugs!$A$2:$G7981,7,FALSE()),"please select a BUG ID")</f>
        <v>https://opendev.org/openstack/nova/commit/0fcbb7b</v>
      </c>
    </row>
    <row r="44">
      <c r="A44" s="16" t="s">
        <v>33</v>
      </c>
      <c r="B44" s="50" t="str">
        <f>IFERROR(HYPERLINK(VLOOKUP(A44,Internal_lists_bugs!$A$2:$C$73,3,FALSE()), VLOOKUP(A44,Internal_lists_bugs!$A$2:$C$73,3,FALSE())&amp;Char(10) &amp; Char(10) &amp; VLOOKUP(A44,Internal_lists_bugs!$A$2:$Z$73,26,FALSE())),"please select a BUG ID")</f>
        <v>https://bugs.launchpad.net/nova/+bug/1367363
/libvirt/driver.py</v>
      </c>
      <c r="C44" s="81" t="str">
        <f>IFERROR(VLOOKUP(A44,Internal_lists_bugs!$A$2:$I7981,9,FALSE()),"please select a BUG ID")</f>
        <v>https://review.opendev.org/c/openstack/nova/+/53069</v>
      </c>
      <c r="D44" s="114"/>
      <c r="E44" s="114"/>
      <c r="F44" s="115"/>
      <c r="G44" s="16" t="s">
        <v>1443</v>
      </c>
      <c r="H44" s="16" t="s">
        <v>1477</v>
      </c>
      <c r="I44" s="82"/>
      <c r="J44" s="92"/>
      <c r="K44" s="82"/>
      <c r="M44" s="114" t="str">
        <f>VLOOKUP(A44,'BIC_(C_Variables)'!$A$3:$AS$43,45,FALSE())</f>
        <v/>
      </c>
      <c r="N44" s="1"/>
      <c r="O44" s="1"/>
      <c r="P44" s="81" t="str">
        <f>IFERROR(VLOOKUP(A44,Internal_lists_bugs!$A$2:$G7981,7,FALSE()),"please select a BUG ID")</f>
        <v>https://opendev.org/openstack/nova/commit/0fcbb7b</v>
      </c>
    </row>
    <row r="45">
      <c r="A45" s="16" t="s">
        <v>33</v>
      </c>
      <c r="B45" s="50" t="str">
        <f>IFERROR(HYPERLINK(VLOOKUP(A45,Internal_lists_bugs!$A$2:$C$73,3,FALSE()), VLOOKUP(A45,Internal_lists_bugs!$A$2:$C$73,3,FALSE())&amp;Char(10) &amp; Char(10) &amp; VLOOKUP(A45,Internal_lists_bugs!$A$2:$Z$73,26,FALSE())),"please select a BUG ID")</f>
        <v>https://bugs.launchpad.net/nova/+bug/1367363
/libvirt/driver.py</v>
      </c>
      <c r="C45" s="81" t="str">
        <f>IFERROR(VLOOKUP(A45,Internal_lists_bugs!$A$2:$I7981,9,FALSE()),"please select a BUG ID")</f>
        <v>https://review.opendev.org/c/openstack/nova/+/53069</v>
      </c>
      <c r="D45" s="114"/>
      <c r="E45" s="114"/>
      <c r="F45" s="115"/>
      <c r="G45" s="16" t="s">
        <v>1478</v>
      </c>
      <c r="H45" s="16" t="s">
        <v>1477</v>
      </c>
      <c r="I45" s="82"/>
      <c r="J45" s="92"/>
      <c r="K45" s="82"/>
      <c r="M45" s="114" t="str">
        <f>VLOOKUP(A45,'BIC_(C_Variables)'!$A$3:$AS$43,45,FALSE())</f>
        <v/>
      </c>
      <c r="N45" s="1"/>
      <c r="O45" s="1"/>
      <c r="P45" s="81" t="str">
        <f>IFERROR(VLOOKUP(A45,Internal_lists_bugs!$A$2:$G7981,7,FALSE()),"please select a BUG ID")</f>
        <v>https://opendev.org/openstack/nova/commit/0fcbb7b</v>
      </c>
    </row>
    <row r="46">
      <c r="A46" s="16" t="s">
        <v>33</v>
      </c>
      <c r="B46" s="50" t="str">
        <f>IFERROR(HYPERLINK(VLOOKUP(A46,Internal_lists_bugs!$A$2:$C$73,3,FALSE()), VLOOKUP(A46,Internal_lists_bugs!$A$2:$C$73,3,FALSE())&amp;Char(10) &amp; Char(10) &amp; VLOOKUP(A46,Internal_lists_bugs!$A$2:$Z$73,26,FALSE())),"please select a BUG ID")</f>
        <v>https://bugs.launchpad.net/nova/+bug/1367363
/libvirt/driver.py</v>
      </c>
      <c r="C46" s="81" t="str">
        <f>IFERROR(VLOOKUP(A46,Internal_lists_bugs!$A$2:$I7981,9,FALSE()),"please select a BUG ID")</f>
        <v>https://review.opendev.org/c/openstack/nova/+/53069</v>
      </c>
      <c r="D46" s="114"/>
      <c r="E46" s="114"/>
      <c r="F46" s="115"/>
      <c r="G46" s="16" t="s">
        <v>1479</v>
      </c>
      <c r="H46" s="16" t="s">
        <v>1480</v>
      </c>
      <c r="I46" s="82"/>
      <c r="J46" s="92"/>
      <c r="K46" s="82"/>
      <c r="M46" s="114" t="str">
        <f>VLOOKUP(A46,'BIC_(C_Variables)'!$A$3:$AS$43,45,FALSE())</f>
        <v/>
      </c>
      <c r="N46" s="1"/>
      <c r="O46" s="1"/>
      <c r="P46" s="81" t="str">
        <f>IFERROR(VLOOKUP(A46,Internal_lists_bugs!$A$2:$G7981,7,FALSE()),"please select a BUG ID")</f>
        <v>https://opendev.org/openstack/nova/commit/0fcbb7b</v>
      </c>
    </row>
    <row r="47">
      <c r="A47" s="16" t="s">
        <v>33</v>
      </c>
      <c r="B47" s="50" t="str">
        <f>IFERROR(HYPERLINK(VLOOKUP(A47,Internal_lists_bugs!$A$2:$C$73,3,FALSE()), VLOOKUP(A47,Internal_lists_bugs!$A$2:$C$73,3,FALSE())&amp;Char(10) &amp; Char(10) &amp; VLOOKUP(A47,Internal_lists_bugs!$A$2:$Z$73,26,FALSE())),"please select a BUG ID")</f>
        <v>https://bugs.launchpad.net/nova/+bug/1367363
/libvirt/driver.py</v>
      </c>
      <c r="C47" s="81" t="str">
        <f>IFERROR(VLOOKUP(A47,Internal_lists_bugs!$A$2:$I7981,9,FALSE()),"please select a BUG ID")</f>
        <v>https://review.opendev.org/c/openstack/nova/+/53069</v>
      </c>
      <c r="D47" s="114"/>
      <c r="E47" s="114"/>
      <c r="F47" s="115"/>
      <c r="G47" s="16" t="s">
        <v>1481</v>
      </c>
      <c r="H47" s="16" t="s">
        <v>1482</v>
      </c>
      <c r="I47" s="82"/>
      <c r="J47" s="92"/>
      <c r="K47" s="82"/>
      <c r="M47" s="114" t="str">
        <f>VLOOKUP(A47,'BIC_(C_Variables)'!$A$3:$AS$43,45,FALSE())</f>
        <v/>
      </c>
      <c r="N47" s="1"/>
      <c r="O47" s="1"/>
      <c r="P47" s="81" t="str">
        <f>IFERROR(VLOOKUP(A47,Internal_lists_bugs!$A$2:$G7981,7,FALSE()),"please select a BUG ID")</f>
        <v>https://opendev.org/openstack/nova/commit/0fcbb7b</v>
      </c>
    </row>
    <row r="48">
      <c r="A48" s="16" t="s">
        <v>33</v>
      </c>
      <c r="B48" s="50" t="str">
        <f>IFERROR(HYPERLINK(VLOOKUP(A48,Internal_lists_bugs!$A$2:$C$73,3,FALSE()), VLOOKUP(A48,Internal_lists_bugs!$A$2:$C$73,3,FALSE())&amp;Char(10) &amp; Char(10) &amp; VLOOKUP(A48,Internal_lists_bugs!$A$2:$Z$73,26,FALSE())),"please select a BUG ID")</f>
        <v>https://bugs.launchpad.net/nova/+bug/1367363
/libvirt/driver.py</v>
      </c>
      <c r="C48" s="81" t="str">
        <f>IFERROR(VLOOKUP(A48,Internal_lists_bugs!$A$2:$I7981,9,FALSE()),"please select a BUG ID")</f>
        <v>https://review.opendev.org/c/openstack/nova/+/53069</v>
      </c>
      <c r="D48" s="114"/>
      <c r="E48" s="114"/>
      <c r="F48" s="115"/>
      <c r="G48" s="16" t="s">
        <v>1483</v>
      </c>
      <c r="H48" s="16" t="s">
        <v>1484</v>
      </c>
      <c r="I48" s="82"/>
      <c r="J48" s="92"/>
      <c r="K48" s="82"/>
      <c r="M48" s="114" t="str">
        <f>VLOOKUP(A48,'BIC_(C_Variables)'!$A$3:$AS$43,45,FALSE())</f>
        <v/>
      </c>
      <c r="N48" s="1"/>
      <c r="O48" s="1"/>
      <c r="P48" s="81" t="str">
        <f>IFERROR(VLOOKUP(A48,Internal_lists_bugs!$A$2:$G7981,7,FALSE()),"please select a BUG ID")</f>
        <v>https://opendev.org/openstack/nova/commit/0fcbb7b</v>
      </c>
    </row>
    <row r="49">
      <c r="A49" s="16" t="s">
        <v>33</v>
      </c>
      <c r="B49" s="50" t="str">
        <f>IFERROR(HYPERLINK(VLOOKUP(A49,Internal_lists_bugs!$A$2:$C$73,3,FALSE()), VLOOKUP(A49,Internal_lists_bugs!$A$2:$C$73,3,FALSE())&amp;Char(10) &amp; Char(10) &amp; VLOOKUP(A49,Internal_lists_bugs!$A$2:$Z$73,26,FALSE())),"please select a BUG ID")</f>
        <v>https://bugs.launchpad.net/nova/+bug/1367363
/libvirt/driver.py</v>
      </c>
      <c r="C49" s="81" t="str">
        <f>IFERROR(VLOOKUP(A49,Internal_lists_bugs!$A$2:$I7981,9,FALSE()),"please select a BUG ID")</f>
        <v>https://review.opendev.org/c/openstack/nova/+/53069</v>
      </c>
      <c r="D49" s="114"/>
      <c r="E49" s="114"/>
      <c r="F49" s="115"/>
      <c r="G49" s="16" t="s">
        <v>1485</v>
      </c>
      <c r="H49" s="16" t="s">
        <v>1486</v>
      </c>
      <c r="I49" s="82"/>
      <c r="J49" s="92"/>
      <c r="K49" s="82"/>
      <c r="M49" s="114" t="str">
        <f>VLOOKUP(A49,'BIC_(C_Variables)'!$A$3:$AS$43,45,FALSE())</f>
        <v/>
      </c>
      <c r="N49" s="1"/>
      <c r="O49" s="1"/>
      <c r="P49" s="81" t="str">
        <f>IFERROR(VLOOKUP(A49,Internal_lists_bugs!$A$2:$G7981,7,FALSE()),"please select a BUG ID")</f>
        <v>https://opendev.org/openstack/nova/commit/0fcbb7b</v>
      </c>
    </row>
    <row r="50">
      <c r="A50" s="16" t="s">
        <v>33</v>
      </c>
      <c r="B50" s="50" t="str">
        <f>IFERROR(HYPERLINK(VLOOKUP(A50,Internal_lists_bugs!$A$2:$C$73,3,FALSE()), VLOOKUP(A50,Internal_lists_bugs!$A$2:$C$73,3,FALSE())&amp;Char(10) &amp; Char(10) &amp; VLOOKUP(A50,Internal_lists_bugs!$A$2:$Z$73,26,FALSE())),"please select a BUG ID")</f>
        <v>https://bugs.launchpad.net/nova/+bug/1367363
/libvirt/driver.py</v>
      </c>
      <c r="C50" s="81" t="str">
        <f>IFERROR(VLOOKUP(A50,Internal_lists_bugs!$A$2:$I7981,9,FALSE()),"please select a BUG ID")</f>
        <v>https://review.opendev.org/c/openstack/nova/+/53069</v>
      </c>
      <c r="D50" s="114"/>
      <c r="E50" s="114"/>
      <c r="F50" s="115"/>
      <c r="G50" s="16" t="s">
        <v>1487</v>
      </c>
      <c r="H50" s="16" t="s">
        <v>1488</v>
      </c>
      <c r="I50" s="82"/>
      <c r="J50" s="92"/>
      <c r="K50" s="82"/>
      <c r="M50" s="114" t="str">
        <f>VLOOKUP(A50,'BIC_(C_Variables)'!$A$3:$AS$43,45,FALSE())</f>
        <v/>
      </c>
      <c r="N50" s="1"/>
      <c r="O50" s="1"/>
      <c r="P50" s="81" t="str">
        <f>IFERROR(VLOOKUP(A50,Internal_lists_bugs!$A$2:$G7981,7,FALSE()),"please select a BUG ID")</f>
        <v>https://opendev.org/openstack/nova/commit/0fcbb7b</v>
      </c>
    </row>
    <row r="51">
      <c r="A51" s="16" t="s">
        <v>33</v>
      </c>
      <c r="B51" s="50" t="str">
        <f>IFERROR(HYPERLINK(VLOOKUP(A51,Internal_lists_bugs!$A$2:$C$73,3,FALSE()), VLOOKUP(A51,Internal_lists_bugs!$A$2:$C$73,3,FALSE())&amp;Char(10) &amp; Char(10) &amp; VLOOKUP(A51,Internal_lists_bugs!$A$2:$Z$73,26,FALSE())),"please select a BUG ID")</f>
        <v>https://bugs.launchpad.net/nova/+bug/1367363
/libvirt/driver.py</v>
      </c>
      <c r="C51" s="81" t="str">
        <f>IFERROR(VLOOKUP(A51,Internal_lists_bugs!$A$2:$I7981,9,FALSE()),"please select a BUG ID")</f>
        <v>https://review.opendev.org/c/openstack/nova/+/53069</v>
      </c>
      <c r="D51" s="114"/>
      <c r="E51" s="114"/>
      <c r="F51" s="115"/>
      <c r="G51" s="16" t="s">
        <v>1489</v>
      </c>
      <c r="H51" s="16" t="s">
        <v>1490</v>
      </c>
      <c r="I51" s="82"/>
      <c r="J51" s="92"/>
      <c r="K51" s="82"/>
      <c r="M51" s="114"/>
      <c r="N51" s="1"/>
      <c r="O51" s="1"/>
      <c r="P51" s="51"/>
    </row>
    <row r="52">
      <c r="A52" s="16" t="s">
        <v>33</v>
      </c>
      <c r="B52" s="50" t="str">
        <f>IFERROR(HYPERLINK(VLOOKUP(A52,Internal_lists_bugs!$A$2:$C$73,3,FALSE()), VLOOKUP(A52,Internal_lists_bugs!$A$2:$C$73,3,FALSE())&amp;Char(10) &amp; Char(10) &amp; VLOOKUP(A52,Internal_lists_bugs!$A$2:$Z$73,26,FALSE())),"please select a BUG ID")</f>
        <v>https://bugs.launchpad.net/nova/+bug/1367363
/libvirt/driver.py</v>
      </c>
      <c r="C52" s="81" t="str">
        <f>IFERROR(VLOOKUP(A52,Internal_lists_bugs!$A$2:$I7981,9,FALSE()),"please select a BUG ID")</f>
        <v>https://review.opendev.org/c/openstack/nova/+/53069</v>
      </c>
      <c r="D52" s="114"/>
      <c r="E52" s="114"/>
      <c r="F52" s="115"/>
      <c r="G52" s="16" t="s">
        <v>1456</v>
      </c>
      <c r="H52" s="16" t="s">
        <v>1490</v>
      </c>
      <c r="I52" s="82"/>
      <c r="J52" s="92"/>
      <c r="K52" s="82"/>
      <c r="M52" s="114" t="str">
        <f>VLOOKUP(A52,'BIC_(C_Variables)'!$A$3:$AS$43,45,FALSE())</f>
        <v/>
      </c>
      <c r="N52" s="1"/>
      <c r="O52" s="1"/>
      <c r="P52" s="81" t="str">
        <f>IFERROR(VLOOKUP(A52,Internal_lists_bugs!$A$2:$G7981,7,FALSE()),"please select a BUG ID")</f>
        <v>https://opendev.org/openstack/nova/commit/0fcbb7b</v>
      </c>
    </row>
    <row r="53">
      <c r="A53" s="16" t="s">
        <v>33</v>
      </c>
      <c r="B53" s="50" t="str">
        <f>IFERROR(HYPERLINK(VLOOKUP(A53,Internal_lists_bugs!$A$2:$C$73,3,FALSE()), VLOOKUP(A53,Internal_lists_bugs!$A$2:$C$73,3,FALSE())&amp;Char(10) &amp; Char(10) &amp; VLOOKUP(A53,Internal_lists_bugs!$A$2:$Z$73,26,FALSE())),"please select a BUG ID")</f>
        <v>https://bugs.launchpad.net/nova/+bug/1367363
/libvirt/driver.py</v>
      </c>
      <c r="C53" s="81" t="str">
        <f>IFERROR(VLOOKUP(A53,Internal_lists_bugs!$A$2:$I7981,9,FALSE()),"please select a BUG ID")</f>
        <v>https://review.opendev.org/c/openstack/nova/+/53069</v>
      </c>
      <c r="D53" s="112"/>
      <c r="E53" s="112"/>
      <c r="F53" s="113"/>
      <c r="G53" s="16" t="s">
        <v>1460</v>
      </c>
      <c r="H53" s="16" t="s">
        <v>1491</v>
      </c>
      <c r="I53" s="72"/>
      <c r="J53" s="93"/>
      <c r="K53" s="79"/>
      <c r="L53" s="16"/>
      <c r="M53" s="114" t="str">
        <f>VLOOKUP(A53,'BIC_(C_Variables)'!$A$3:$AS$43,45,FALSE())</f>
        <v/>
      </c>
      <c r="N53" s="1"/>
      <c r="O53" s="1"/>
      <c r="P53" s="81" t="str">
        <f>IFERROR(VLOOKUP(A53,Internal_lists_bugs!$A$2:$G7981,7,FALSE()),"please select a BUG ID")</f>
        <v>https://opendev.org/openstack/nova/commit/0fcbb7b</v>
      </c>
    </row>
    <row r="54">
      <c r="A54" s="16" t="s">
        <v>34</v>
      </c>
      <c r="B54" s="50" t="str">
        <f>IFERROR(HYPERLINK(VLOOKUP(A54,Internal_lists_bugs!$A$2:$C$73,3,FALSE()), VLOOKUP(A54,Internal_lists_bugs!$A$2:$C$73,3,FALSE())&amp;Char(10) &amp; Char(10) &amp; VLOOKUP(A54,Internal_lists_bugs!$A$2:$Z$73,26,FALSE())),"please select a BUG ID")</f>
        <v>https://bugs.launchpad.net/nova/+bug/1438331
/libvirt/rbd_utils.py</v>
      </c>
      <c r="C54" s="81" t="str">
        <f>IFERROR(VLOOKUP(A54,Internal_lists_bugs!$A$2:$I7981,9,FALSE()),"please select a BUG ID")</f>
        <v>https://review.opendev.org/c/openstack/nova/+/94294</v>
      </c>
      <c r="D54" s="112" t="s">
        <v>1412</v>
      </c>
      <c r="E54" s="112" t="s">
        <v>1462</v>
      </c>
      <c r="F54" s="113" t="s">
        <v>251</v>
      </c>
      <c r="G54" s="16" t="s">
        <v>1466</v>
      </c>
      <c r="H54" s="16" t="s">
        <v>1420</v>
      </c>
      <c r="I54" s="72" t="s">
        <v>251</v>
      </c>
      <c r="J54" s="93" t="s">
        <v>1492</v>
      </c>
      <c r="K54" s="79" t="s">
        <v>251</v>
      </c>
      <c r="L54" s="16" t="s">
        <v>1493</v>
      </c>
      <c r="M54" s="114" t="str">
        <f>VLOOKUP(A54,'BIC_(C_Variables)'!$A$3:$AS$43,45,FALSE())</f>
        <v>x_files buggy identified different name</v>
      </c>
      <c r="N54" s="1"/>
      <c r="O54" s="1"/>
      <c r="P54" s="81" t="str">
        <f>IFERROR(VLOOKUP(A54,Internal_lists_bugs!$A$2:$G7981,7,FALSE()),"please select a BUG ID")</f>
        <v>https://opendev.org/openstack/nova/commit/13e2bd0</v>
      </c>
    </row>
    <row r="55">
      <c r="A55" s="16" t="s">
        <v>34</v>
      </c>
      <c r="B55" s="50" t="str">
        <f>IFERROR(HYPERLINK(VLOOKUP(A55,Internal_lists_bugs!$A$2:$C$73,3,FALSE()), VLOOKUP(A55,Internal_lists_bugs!$A$2:$C$73,3,FALSE())&amp;Char(10) &amp; Char(10) &amp; VLOOKUP(A55,Internal_lists_bugs!$A$2:$Z$73,26,FALSE())),"please select a BUG ID")</f>
        <v>https://bugs.launchpad.net/nova/+bug/1438331
/libvirt/rbd_utils.py</v>
      </c>
      <c r="C55" s="81" t="str">
        <f>IFERROR(VLOOKUP(A55,Internal_lists_bugs!$A$2:$I7981,9,FALSE()),"please select a BUG ID")</f>
        <v>https://review.opendev.org/c/openstack/nova/+/94294</v>
      </c>
      <c r="D55" s="114"/>
      <c r="E55" s="112"/>
      <c r="F55" s="115"/>
      <c r="G55" s="16" t="s">
        <v>1417</v>
      </c>
      <c r="H55" s="16" t="s">
        <v>1420</v>
      </c>
      <c r="I55" s="82"/>
      <c r="J55" s="92"/>
      <c r="K55" s="82"/>
      <c r="M55" s="114" t="str">
        <f>VLOOKUP(A55,'BIC_(C_Variables)'!$A$3:$AS$43,45,FALSE())</f>
        <v>x_files buggy identified different name</v>
      </c>
      <c r="N55" s="1"/>
      <c r="O55" s="1"/>
      <c r="P55" s="81" t="str">
        <f>IFERROR(VLOOKUP(A55,Internal_lists_bugs!$A$2:$G7981,7,FALSE()),"please select a BUG ID")</f>
        <v>https://opendev.org/openstack/nova/commit/13e2bd0</v>
      </c>
    </row>
    <row r="56">
      <c r="A56" s="16" t="s">
        <v>34</v>
      </c>
      <c r="B56" s="50" t="str">
        <f>IFERROR(HYPERLINK(VLOOKUP(A56,Internal_lists_bugs!$A$2:$C$73,3,FALSE()), VLOOKUP(A56,Internal_lists_bugs!$A$2:$C$73,3,FALSE())&amp;Char(10) &amp; Char(10) &amp; VLOOKUP(A56,Internal_lists_bugs!$A$2:$Z$73,26,FALSE())),"please select a BUG ID")</f>
        <v>https://bugs.launchpad.net/nova/+bug/1438331
/libvirt/rbd_utils.py</v>
      </c>
      <c r="C56" s="81" t="str">
        <f>IFERROR(VLOOKUP(A56,Internal_lists_bugs!$A$2:$I7981,9,FALSE()),"please select a BUG ID")</f>
        <v>https://review.opendev.org/c/openstack/nova/+/94294</v>
      </c>
      <c r="D56" s="114"/>
      <c r="E56" s="114"/>
      <c r="F56" s="115"/>
      <c r="G56" s="16" t="s">
        <v>1494</v>
      </c>
      <c r="H56" s="16" t="s">
        <v>1420</v>
      </c>
      <c r="I56" s="82"/>
      <c r="J56" s="92"/>
      <c r="K56" s="82"/>
      <c r="M56" s="114" t="str">
        <f>VLOOKUP(A56,'BIC_(C_Variables)'!$A$3:$AS$43,45,FALSE())</f>
        <v>x_files buggy identified different name</v>
      </c>
      <c r="N56" s="1"/>
      <c r="O56" s="1"/>
      <c r="P56" s="81" t="str">
        <f>IFERROR(VLOOKUP(A56,Internal_lists_bugs!$A$2:$G7981,7,FALSE()),"please select a BUG ID")</f>
        <v>https://opendev.org/openstack/nova/commit/13e2bd0</v>
      </c>
    </row>
    <row r="57">
      <c r="A57" s="16" t="s">
        <v>34</v>
      </c>
      <c r="B57" s="50" t="str">
        <f>IFERROR(HYPERLINK(VLOOKUP(A57,Internal_lists_bugs!$A$2:$C$73,3,FALSE()), VLOOKUP(A57,Internal_lists_bugs!$A$2:$C$73,3,FALSE())&amp;Char(10) &amp; Char(10) &amp; VLOOKUP(A57,Internal_lists_bugs!$A$2:$Z$73,26,FALSE())),"please select a BUG ID")</f>
        <v>https://bugs.launchpad.net/nova/+bug/1438331
/libvirt/rbd_utils.py</v>
      </c>
      <c r="C57" s="81" t="str">
        <f>IFERROR(VLOOKUP(A57,Internal_lists_bugs!$A$2:$I7981,9,FALSE()),"please select a BUG ID")</f>
        <v>https://review.opendev.org/c/openstack/nova/+/94294</v>
      </c>
      <c r="D57" s="114"/>
      <c r="E57" s="114"/>
      <c r="F57" s="115"/>
      <c r="G57" s="16" t="s">
        <v>1495</v>
      </c>
      <c r="H57" s="16" t="s">
        <v>1496</v>
      </c>
      <c r="I57" s="82"/>
      <c r="J57" s="92"/>
      <c r="K57" s="82"/>
      <c r="M57" s="114"/>
      <c r="N57" s="1"/>
      <c r="O57" s="1"/>
      <c r="P57" s="51"/>
    </row>
    <row r="58">
      <c r="A58" s="16" t="s">
        <v>34</v>
      </c>
      <c r="B58" s="50" t="str">
        <f>IFERROR(HYPERLINK(VLOOKUP(A58,Internal_lists_bugs!$A$2:$C$73,3,FALSE()), VLOOKUP(A58,Internal_lists_bugs!$A$2:$C$73,3,FALSE())&amp;Char(10) &amp; Char(10) &amp; VLOOKUP(A58,Internal_lists_bugs!$A$2:$Z$73,26,FALSE())),"please select a BUG ID")</f>
        <v>https://bugs.launchpad.net/nova/+bug/1438331
/libvirt/rbd_utils.py</v>
      </c>
      <c r="C58" s="81" t="str">
        <f>IFERROR(VLOOKUP(A58,Internal_lists_bugs!$A$2:$I7981,9,FALSE()),"please select a BUG ID")</f>
        <v>https://review.opendev.org/c/openstack/nova/+/94294</v>
      </c>
      <c r="D58" s="114"/>
      <c r="E58" s="114"/>
      <c r="F58" s="115"/>
      <c r="G58" s="16" t="s">
        <v>1497</v>
      </c>
      <c r="H58" s="16" t="s">
        <v>1496</v>
      </c>
      <c r="I58" s="82"/>
      <c r="J58" s="92"/>
      <c r="K58" s="82"/>
      <c r="M58" s="114" t="str">
        <f>VLOOKUP(A58,'BIC_(C_Variables)'!$A$3:$AS$43,45,FALSE())</f>
        <v>x_files buggy identified different name</v>
      </c>
      <c r="N58" s="1"/>
      <c r="O58" s="1"/>
      <c r="P58" s="81" t="str">
        <f>IFERROR(VLOOKUP(A58,Internal_lists_bugs!$A$2:$G7981,7,FALSE()),"please select a BUG ID")</f>
        <v>https://opendev.org/openstack/nova/commit/13e2bd0</v>
      </c>
    </row>
    <row r="59">
      <c r="A59" s="16" t="s">
        <v>34</v>
      </c>
      <c r="B59" s="50" t="str">
        <f>IFERROR(HYPERLINK(VLOOKUP(A59,Internal_lists_bugs!$A$2:$C$73,3,FALSE()), VLOOKUP(A59,Internal_lists_bugs!$A$2:$C$73,3,FALSE())&amp;Char(10) &amp; Char(10) &amp; VLOOKUP(A59,Internal_lists_bugs!$A$2:$Z$73,26,FALSE())),"please select a BUG ID")</f>
        <v>https://bugs.launchpad.net/nova/+bug/1438331
/libvirt/rbd_utils.py</v>
      </c>
      <c r="C59" s="81" t="str">
        <f>IFERROR(VLOOKUP(A59,Internal_lists_bugs!$A$2:$I7981,9,FALSE()),"please select a BUG ID")</f>
        <v>https://review.opendev.org/c/openstack/nova/+/94294</v>
      </c>
      <c r="D59" s="114"/>
      <c r="E59" s="114"/>
      <c r="F59" s="115"/>
      <c r="G59" s="16" t="s">
        <v>1498</v>
      </c>
      <c r="H59" s="16" t="s">
        <v>1499</v>
      </c>
      <c r="I59" s="82"/>
      <c r="J59" s="92"/>
      <c r="K59" s="82"/>
      <c r="M59" s="114" t="str">
        <f>VLOOKUP(A59,'BIC_(C_Variables)'!$A$3:$AS$43,45,FALSE())</f>
        <v>x_files buggy identified different name</v>
      </c>
      <c r="N59" s="1"/>
      <c r="O59" s="1"/>
      <c r="P59" s="81" t="str">
        <f>IFERROR(VLOOKUP(A59,Internal_lists_bugs!$A$2:$G7981,7,FALSE()),"please select a BUG ID")</f>
        <v>https://opendev.org/openstack/nova/commit/13e2bd0</v>
      </c>
    </row>
    <row r="60">
      <c r="A60" s="16" t="s">
        <v>34</v>
      </c>
      <c r="B60" s="50" t="str">
        <f>IFERROR(HYPERLINK(VLOOKUP(A60,Internal_lists_bugs!$A$2:$C$73,3,FALSE()), VLOOKUP(A60,Internal_lists_bugs!$A$2:$C$73,3,FALSE())&amp;Char(10) &amp; Char(10) &amp; VLOOKUP(A60,Internal_lists_bugs!$A$2:$Z$73,26,FALSE())),"please select a BUG ID")</f>
        <v>https://bugs.launchpad.net/nova/+bug/1438331
/libvirt/rbd_utils.py</v>
      </c>
      <c r="C60" s="81" t="str">
        <f>IFERROR(VLOOKUP(A60,Internal_lists_bugs!$A$2:$I7981,9,FALSE()),"please select a BUG ID")</f>
        <v>https://review.opendev.org/c/openstack/nova/+/94294</v>
      </c>
      <c r="D60" s="114"/>
      <c r="E60" s="114"/>
      <c r="F60" s="115"/>
      <c r="G60" s="16" t="s">
        <v>1500</v>
      </c>
      <c r="H60" s="16" t="s">
        <v>1501</v>
      </c>
      <c r="I60" s="82"/>
      <c r="J60" s="92"/>
      <c r="K60" s="82"/>
      <c r="M60" s="114" t="str">
        <f>VLOOKUP(A60,'BIC_(C_Variables)'!$A$3:$AS$43,45,FALSE())</f>
        <v>x_files buggy identified different name</v>
      </c>
      <c r="N60" s="1"/>
      <c r="O60" s="1"/>
      <c r="P60" s="81" t="str">
        <f>IFERROR(VLOOKUP(A60,Internal_lists_bugs!$A$2:$G7981,7,FALSE()),"please select a BUG ID")</f>
        <v>https://opendev.org/openstack/nova/commit/13e2bd0</v>
      </c>
    </row>
    <row r="61">
      <c r="A61" s="16" t="s">
        <v>34</v>
      </c>
      <c r="B61" s="50" t="str">
        <f>IFERROR(HYPERLINK(VLOOKUP(A61,Internal_lists_bugs!$A$2:$C$73,3,FALSE()), VLOOKUP(A61,Internal_lists_bugs!$A$2:$C$73,3,FALSE())&amp;Char(10) &amp; Char(10) &amp; VLOOKUP(A61,Internal_lists_bugs!$A$2:$Z$73,26,FALSE())),"please select a BUG ID")</f>
        <v>https://bugs.launchpad.net/nova/+bug/1438331
/libvirt/rbd_utils.py</v>
      </c>
      <c r="C61" s="81" t="str">
        <f>IFERROR(VLOOKUP(A61,Internal_lists_bugs!$A$2:$I7981,9,FALSE()),"please select a BUG ID")</f>
        <v>https://review.opendev.org/c/openstack/nova/+/94294</v>
      </c>
      <c r="D61" s="114"/>
      <c r="E61" s="114"/>
      <c r="F61" s="115"/>
      <c r="G61" s="16" t="s">
        <v>1502</v>
      </c>
      <c r="H61" s="16" t="s">
        <v>1503</v>
      </c>
      <c r="I61" s="82"/>
      <c r="J61" s="92"/>
      <c r="K61" s="82"/>
      <c r="M61" s="114" t="str">
        <f>VLOOKUP(A61,'BIC_(C_Variables)'!$A$3:$AS$43,45,FALSE())</f>
        <v>x_files buggy identified different name</v>
      </c>
      <c r="N61" s="1"/>
      <c r="O61" s="1"/>
      <c r="P61" s="81" t="str">
        <f>IFERROR(VLOOKUP(A61,Internal_lists_bugs!$A$2:$G7981,7,FALSE()),"please select a BUG ID")</f>
        <v>https://opendev.org/openstack/nova/commit/13e2bd0</v>
      </c>
    </row>
    <row r="62">
      <c r="A62" s="16" t="s">
        <v>34</v>
      </c>
      <c r="B62" s="50" t="str">
        <f>IFERROR(HYPERLINK(VLOOKUP(A62,Internal_lists_bugs!$A$2:$C$73,3,FALSE()), VLOOKUP(A62,Internal_lists_bugs!$A$2:$C$73,3,FALSE())&amp;Char(10) &amp; Char(10) &amp; VLOOKUP(A62,Internal_lists_bugs!$A$2:$Z$73,26,FALSE())),"please select a BUG ID")</f>
        <v>https://bugs.launchpad.net/nova/+bug/1438331
/libvirt/rbd_utils.py</v>
      </c>
      <c r="C62" s="81" t="str">
        <f>IFERROR(VLOOKUP(A62,Internal_lists_bugs!$A$2:$I7981,9,FALSE()),"please select a BUG ID")</f>
        <v>https://review.opendev.org/c/openstack/nova/+/94294</v>
      </c>
      <c r="D62" s="114"/>
      <c r="E62" s="114"/>
      <c r="F62" s="115"/>
      <c r="G62" s="16" t="s">
        <v>1504</v>
      </c>
      <c r="H62" s="16" t="s">
        <v>1505</v>
      </c>
      <c r="I62" s="82"/>
      <c r="J62" s="92"/>
      <c r="K62" s="82"/>
      <c r="M62" s="114" t="str">
        <f>VLOOKUP(A62,'BIC_(C_Variables)'!$A$3:$AS$43,45,FALSE())</f>
        <v>x_files buggy identified different name</v>
      </c>
      <c r="N62" s="1"/>
      <c r="O62" s="1"/>
      <c r="P62" s="81" t="str">
        <f>IFERROR(VLOOKUP(A62,Internal_lists_bugs!$A$2:$G7981,7,FALSE()),"please select a BUG ID")</f>
        <v>https://opendev.org/openstack/nova/commit/13e2bd0</v>
      </c>
    </row>
    <row r="63">
      <c r="A63" s="16" t="s">
        <v>34</v>
      </c>
      <c r="B63" s="50" t="str">
        <f>IFERROR(HYPERLINK(VLOOKUP(A63,Internal_lists_bugs!$A$2:$C$73,3,FALSE()), VLOOKUP(A63,Internal_lists_bugs!$A$2:$C$73,3,FALSE())&amp;Char(10) &amp; Char(10) &amp; VLOOKUP(A63,Internal_lists_bugs!$A$2:$Z$73,26,FALSE())),"please select a BUG ID")</f>
        <v>https://bugs.launchpad.net/nova/+bug/1438331
/libvirt/rbd_utils.py</v>
      </c>
      <c r="C63" s="81" t="str">
        <f>IFERROR(VLOOKUP(A63,Internal_lists_bugs!$A$2:$I7981,9,FALSE()),"please select a BUG ID")</f>
        <v>https://review.opendev.org/c/openstack/nova/+/94294</v>
      </c>
      <c r="D63" s="114"/>
      <c r="E63" s="114"/>
      <c r="F63" s="115"/>
      <c r="G63" s="16" t="s">
        <v>1506</v>
      </c>
      <c r="H63" s="16" t="s">
        <v>1505</v>
      </c>
      <c r="I63" s="82"/>
      <c r="J63" s="92"/>
      <c r="K63" s="82"/>
      <c r="M63" s="114"/>
      <c r="N63" s="1"/>
      <c r="O63" s="1"/>
      <c r="P63" s="51"/>
    </row>
    <row r="64">
      <c r="A64" s="16" t="s">
        <v>34</v>
      </c>
      <c r="B64" s="50" t="str">
        <f>IFERROR(HYPERLINK(VLOOKUP(A64,Internal_lists_bugs!$A$2:$C$73,3,FALSE()), VLOOKUP(A64,Internal_lists_bugs!$A$2:$C$73,3,FALSE())&amp;Char(10) &amp; Char(10) &amp; VLOOKUP(A64,Internal_lists_bugs!$A$2:$Z$73,26,FALSE())),"please select a BUG ID")</f>
        <v>https://bugs.launchpad.net/nova/+bug/1438331
/libvirt/rbd_utils.py</v>
      </c>
      <c r="C64" s="81" t="str">
        <f>IFERROR(VLOOKUP(A64,Internal_lists_bugs!$A$2:$I7981,9,FALSE()),"please select a BUG ID")</f>
        <v>https://review.opendev.org/c/openstack/nova/+/94294</v>
      </c>
      <c r="D64" s="114"/>
      <c r="E64" s="114"/>
      <c r="F64" s="115"/>
      <c r="G64" s="16" t="s">
        <v>1507</v>
      </c>
      <c r="H64" s="16" t="s">
        <v>1505</v>
      </c>
      <c r="I64" s="82"/>
      <c r="J64" s="92"/>
      <c r="K64" s="82"/>
      <c r="M64" s="114"/>
      <c r="N64" s="1"/>
      <c r="O64" s="1"/>
      <c r="P64" s="51"/>
    </row>
    <row r="65">
      <c r="A65" s="16" t="s">
        <v>34</v>
      </c>
      <c r="B65" s="50" t="str">
        <f>IFERROR(HYPERLINK(VLOOKUP(A65,Internal_lists_bugs!$A$2:$C$73,3,FALSE()), VLOOKUP(A65,Internal_lists_bugs!$A$2:$C$73,3,FALSE())&amp;Char(10) &amp; Char(10) &amp; VLOOKUP(A65,Internal_lists_bugs!$A$2:$Z$73,26,FALSE())),"please select a BUG ID")</f>
        <v>https://bugs.launchpad.net/nova/+bug/1438331
/libvirt/rbd_utils.py</v>
      </c>
      <c r="C65" s="81" t="str">
        <f>IFERROR(VLOOKUP(A65,Internal_lists_bugs!$A$2:$I7981,9,FALSE()),"please select a BUG ID")</f>
        <v>https://review.opendev.org/c/openstack/nova/+/94294</v>
      </c>
      <c r="D65" s="114"/>
      <c r="E65" s="114"/>
      <c r="F65" s="115"/>
      <c r="G65" s="16" t="s">
        <v>1508</v>
      </c>
      <c r="H65" s="16" t="s">
        <v>1505</v>
      </c>
      <c r="I65" s="82"/>
      <c r="J65" s="92"/>
      <c r="K65" s="82"/>
      <c r="M65" s="114" t="str">
        <f>VLOOKUP(A65,'BIC_(C_Variables)'!$A$3:$AS$43,45,FALSE())</f>
        <v>x_files buggy identified different name</v>
      </c>
      <c r="N65" s="1"/>
      <c r="O65" s="1"/>
      <c r="P65" s="81" t="str">
        <f>IFERROR(VLOOKUP(A65,Internal_lists_bugs!$A$2:$G7981,7,FALSE()),"please select a BUG ID")</f>
        <v>https://opendev.org/openstack/nova/commit/13e2bd0</v>
      </c>
    </row>
    <row r="66">
      <c r="A66" s="16" t="s">
        <v>34</v>
      </c>
      <c r="B66" s="50" t="str">
        <f>IFERROR(HYPERLINK(VLOOKUP(A66,Internal_lists_bugs!$A$2:$C$73,3,FALSE()), VLOOKUP(A66,Internal_lists_bugs!$A$2:$C$73,3,FALSE())&amp;Char(10) &amp; Char(10) &amp; VLOOKUP(A66,Internal_lists_bugs!$A$2:$Z$73,26,FALSE())),"please select a BUG ID")</f>
        <v>https://bugs.launchpad.net/nova/+bug/1438331
/libvirt/rbd_utils.py</v>
      </c>
      <c r="C66" s="81" t="str">
        <f>IFERROR(VLOOKUP(A66,Internal_lists_bugs!$A$2:$I7981,9,FALSE()),"please select a BUG ID")</f>
        <v>https://review.opendev.org/c/openstack/nova/+/94294</v>
      </c>
      <c r="D66" s="114"/>
      <c r="E66" s="114"/>
      <c r="F66" s="115"/>
      <c r="G66" s="16" t="s">
        <v>1509</v>
      </c>
      <c r="H66" s="16" t="s">
        <v>1505</v>
      </c>
      <c r="I66" s="82"/>
      <c r="J66" s="92"/>
      <c r="K66" s="82"/>
      <c r="M66" s="114" t="str">
        <f>VLOOKUP(A66,'BIC_(C_Variables)'!$A$3:$AS$43,45,FALSE())</f>
        <v>x_files buggy identified different name</v>
      </c>
      <c r="N66" s="1"/>
      <c r="O66" s="1"/>
      <c r="P66" s="81" t="str">
        <f>IFERROR(VLOOKUP(A66,Internal_lists_bugs!$A$2:$G7981,7,FALSE()),"please select a BUG ID")</f>
        <v>https://opendev.org/openstack/nova/commit/13e2bd0</v>
      </c>
    </row>
    <row r="67">
      <c r="A67" s="16" t="s">
        <v>34</v>
      </c>
      <c r="B67" s="50" t="str">
        <f>IFERROR(HYPERLINK(VLOOKUP(A67,Internal_lists_bugs!$A$2:$C$73,3,FALSE()), VLOOKUP(A67,Internal_lists_bugs!$A$2:$C$73,3,FALSE())&amp;Char(10) &amp; Char(10) &amp; VLOOKUP(A67,Internal_lists_bugs!$A$2:$Z$73,26,FALSE())),"please select a BUG ID")</f>
        <v>https://bugs.launchpad.net/nova/+bug/1438331
/libvirt/rbd_utils.py</v>
      </c>
      <c r="C67" s="81" t="str">
        <f>IFERROR(VLOOKUP(A67,Internal_lists_bugs!$A$2:$I7981,9,FALSE()),"please select a BUG ID")</f>
        <v>https://review.opendev.org/c/openstack/nova/+/94294</v>
      </c>
      <c r="D67" s="114"/>
      <c r="E67" s="114"/>
      <c r="F67" s="115"/>
      <c r="G67" s="16" t="s">
        <v>1510</v>
      </c>
      <c r="H67" s="16" t="s">
        <v>1511</v>
      </c>
      <c r="I67" s="82"/>
      <c r="J67" s="92"/>
      <c r="K67" s="82"/>
      <c r="M67" s="114" t="str">
        <f>VLOOKUP(A67,'BIC_(C_Variables)'!$A$3:$AS$43,45,FALSE())</f>
        <v>x_files buggy identified different name</v>
      </c>
      <c r="N67" s="1"/>
      <c r="O67" s="1"/>
      <c r="P67" s="81" t="str">
        <f>IFERROR(VLOOKUP(A67,Internal_lists_bugs!$A$2:$G7981,7,FALSE()),"please select a BUG ID")</f>
        <v>https://opendev.org/openstack/nova/commit/13e2bd0</v>
      </c>
    </row>
    <row r="68">
      <c r="A68" s="16" t="s">
        <v>34</v>
      </c>
      <c r="B68" s="50" t="str">
        <f>IFERROR(HYPERLINK(VLOOKUP(A68,Internal_lists_bugs!$A$2:$C$73,3,FALSE()), VLOOKUP(A68,Internal_lists_bugs!$A$2:$C$73,3,FALSE())&amp;Char(10) &amp; Char(10) &amp; VLOOKUP(A68,Internal_lists_bugs!$A$2:$Z$73,26,FALSE())),"please select a BUG ID")</f>
        <v>https://bugs.launchpad.net/nova/+bug/1438331
/libvirt/rbd_utils.py</v>
      </c>
      <c r="C68" s="81" t="str">
        <f>IFERROR(VLOOKUP(A68,Internal_lists_bugs!$A$2:$I7981,9,FALSE()),"please select a BUG ID")</f>
        <v>https://review.opendev.org/c/openstack/nova/+/94294</v>
      </c>
      <c r="D68" s="114"/>
      <c r="E68" s="114"/>
      <c r="F68" s="115"/>
      <c r="G68" s="16" t="s">
        <v>1512</v>
      </c>
      <c r="H68" s="16" t="s">
        <v>1513</v>
      </c>
      <c r="I68" s="82"/>
      <c r="J68" s="92"/>
      <c r="K68" s="82"/>
      <c r="M68" s="114" t="str">
        <f>VLOOKUP(A68,'BIC_(C_Variables)'!$A$3:$AS$43,45,FALSE())</f>
        <v>x_files buggy identified different name</v>
      </c>
      <c r="N68" s="1"/>
      <c r="O68" s="1"/>
      <c r="P68" s="81" t="str">
        <f>IFERROR(VLOOKUP(A68,Internal_lists_bugs!$A$2:$G7981,7,FALSE()),"please select a BUG ID")</f>
        <v>https://opendev.org/openstack/nova/commit/13e2bd0</v>
      </c>
    </row>
    <row r="69">
      <c r="A69" s="16" t="s">
        <v>34</v>
      </c>
      <c r="B69" s="50" t="str">
        <f>IFERROR(HYPERLINK(VLOOKUP(A69,Internal_lists_bugs!$A$2:$C$73,3,FALSE()), VLOOKUP(A69,Internal_lists_bugs!$A$2:$C$73,3,FALSE())&amp;Char(10) &amp; Char(10) &amp; VLOOKUP(A69,Internal_lists_bugs!$A$2:$Z$73,26,FALSE())),"please select a BUG ID")</f>
        <v>https://bugs.launchpad.net/nova/+bug/1438331
/libvirt/rbd_utils.py</v>
      </c>
      <c r="C69" s="81" t="str">
        <f>IFERROR(VLOOKUP(A69,Internal_lists_bugs!$A$2:$I7981,9,FALSE()),"please select a BUG ID")</f>
        <v>https://review.opendev.org/c/openstack/nova/+/94294</v>
      </c>
      <c r="D69" s="114"/>
      <c r="E69" s="114"/>
      <c r="F69" s="115"/>
      <c r="G69" s="16" t="s">
        <v>1514</v>
      </c>
      <c r="H69" s="16" t="s">
        <v>1513</v>
      </c>
      <c r="I69" s="82"/>
      <c r="J69" s="92"/>
      <c r="K69" s="82"/>
      <c r="M69" s="114"/>
      <c r="N69" s="1"/>
      <c r="O69" s="1"/>
      <c r="P69" s="51"/>
    </row>
    <row r="70">
      <c r="A70" s="16" t="s">
        <v>34</v>
      </c>
      <c r="B70" s="50" t="str">
        <f>IFERROR(HYPERLINK(VLOOKUP(A70,Internal_lists_bugs!$A$2:$C$73,3,FALSE()), VLOOKUP(A70,Internal_lists_bugs!$A$2:$C$73,3,FALSE())&amp;Char(10) &amp; Char(10) &amp; VLOOKUP(A70,Internal_lists_bugs!$A$2:$Z$73,26,FALSE())),"please select a BUG ID")</f>
        <v>https://bugs.launchpad.net/nova/+bug/1438331
/libvirt/rbd_utils.py</v>
      </c>
      <c r="C70" s="81" t="str">
        <f>IFERROR(VLOOKUP(A70,Internal_lists_bugs!$A$2:$I7981,9,FALSE()),"please select a BUG ID")</f>
        <v>https://review.opendev.org/c/openstack/nova/+/94294</v>
      </c>
      <c r="D70" s="114"/>
      <c r="E70" s="114"/>
      <c r="F70" s="115"/>
      <c r="G70" s="16" t="s">
        <v>1515</v>
      </c>
      <c r="H70" s="16" t="s">
        <v>1516</v>
      </c>
      <c r="I70" s="82"/>
      <c r="J70" s="92"/>
      <c r="K70" s="82"/>
      <c r="M70" s="114"/>
      <c r="N70" s="1"/>
      <c r="O70" s="1"/>
      <c r="P70" s="51"/>
    </row>
    <row r="71">
      <c r="A71" s="16" t="s">
        <v>34</v>
      </c>
      <c r="B71" s="50" t="str">
        <f>IFERROR(HYPERLINK(VLOOKUP(A71,Internal_lists_bugs!$A$2:$C$73,3,FALSE()), VLOOKUP(A71,Internal_lists_bugs!$A$2:$C$73,3,FALSE())&amp;Char(10) &amp; Char(10) &amp; VLOOKUP(A71,Internal_lists_bugs!$A$2:$Z$73,26,FALSE())),"please select a BUG ID")</f>
        <v>https://bugs.launchpad.net/nova/+bug/1438331
/libvirt/rbd_utils.py</v>
      </c>
      <c r="C71" s="81" t="str">
        <f>IFERROR(VLOOKUP(A71,Internal_lists_bugs!$A$2:$I7981,9,FALSE()),"please select a BUG ID")</f>
        <v>https://review.opendev.org/c/openstack/nova/+/94294</v>
      </c>
      <c r="D71" s="114"/>
      <c r="E71" s="114"/>
      <c r="F71" s="115"/>
      <c r="G71" s="16" t="s">
        <v>1517</v>
      </c>
      <c r="H71" s="16" t="s">
        <v>1516</v>
      </c>
      <c r="I71" s="82"/>
      <c r="J71" s="92"/>
      <c r="K71" s="82"/>
      <c r="M71" s="114"/>
      <c r="N71" s="1"/>
      <c r="O71" s="1"/>
      <c r="P71" s="51"/>
    </row>
    <row r="72">
      <c r="A72" s="16" t="s">
        <v>34</v>
      </c>
      <c r="B72" s="50" t="str">
        <f>IFERROR(HYPERLINK(VLOOKUP(A72,Internal_lists_bugs!$A$2:$C$73,3,FALSE()), VLOOKUP(A72,Internal_lists_bugs!$A$2:$C$73,3,FALSE())&amp;Char(10) &amp; Char(10) &amp; VLOOKUP(A72,Internal_lists_bugs!$A$2:$Z$73,26,FALSE())),"please select a BUG ID")</f>
        <v>https://bugs.launchpad.net/nova/+bug/1438331
/libvirt/rbd_utils.py</v>
      </c>
      <c r="C72" s="81" t="str">
        <f>IFERROR(VLOOKUP(A72,Internal_lists_bugs!$A$2:$I7981,9,FALSE()),"please select a BUG ID")</f>
        <v>https://review.opendev.org/c/openstack/nova/+/94294</v>
      </c>
      <c r="D72" s="114"/>
      <c r="E72" s="114"/>
      <c r="F72" s="115"/>
      <c r="G72" s="16" t="s">
        <v>1518</v>
      </c>
      <c r="H72" s="16" t="s">
        <v>1516</v>
      </c>
      <c r="I72" s="82"/>
      <c r="J72" s="92"/>
      <c r="K72" s="82"/>
      <c r="M72" s="114"/>
      <c r="N72" s="1"/>
      <c r="O72" s="1"/>
      <c r="P72" s="51"/>
    </row>
    <row r="73">
      <c r="A73" s="16" t="s">
        <v>34</v>
      </c>
      <c r="B73" s="50" t="str">
        <f>IFERROR(HYPERLINK(VLOOKUP(A73,Internal_lists_bugs!$A$2:$C$73,3,FALSE()), VLOOKUP(A73,Internal_lists_bugs!$A$2:$C$73,3,FALSE())&amp;Char(10) &amp; Char(10) &amp; VLOOKUP(A73,Internal_lists_bugs!$A$2:$Z$73,26,FALSE())),"please select a BUG ID")</f>
        <v>https://bugs.launchpad.net/nova/+bug/1438331
/libvirt/rbd_utils.py</v>
      </c>
      <c r="C73" s="81" t="str">
        <f>IFERROR(VLOOKUP(A73,Internal_lists_bugs!$A$2:$I7981,9,FALSE()),"please select a BUG ID")</f>
        <v>https://review.opendev.org/c/openstack/nova/+/94294</v>
      </c>
      <c r="D73" s="114"/>
      <c r="E73" s="114"/>
      <c r="F73" s="115"/>
      <c r="G73" s="16" t="s">
        <v>1519</v>
      </c>
      <c r="H73" s="16" t="s">
        <v>1516</v>
      </c>
      <c r="I73" s="82"/>
      <c r="J73" s="92"/>
      <c r="K73" s="82"/>
      <c r="M73" s="114"/>
      <c r="N73" s="1"/>
      <c r="O73" s="1"/>
      <c r="P73" s="51"/>
    </row>
    <row r="74">
      <c r="A74" s="16" t="s">
        <v>34</v>
      </c>
      <c r="B74" s="50" t="str">
        <f>IFERROR(HYPERLINK(VLOOKUP(A74,Internal_lists_bugs!$A$2:$C$73,3,FALSE()), VLOOKUP(A74,Internal_lists_bugs!$A$2:$C$73,3,FALSE())&amp;Char(10) &amp; Char(10) &amp; VLOOKUP(A74,Internal_lists_bugs!$A$2:$Z$73,26,FALSE())),"please select a BUG ID")</f>
        <v>https://bugs.launchpad.net/nova/+bug/1438331
/libvirt/rbd_utils.py</v>
      </c>
      <c r="C74" s="81" t="str">
        <f>IFERROR(VLOOKUP(A74,Internal_lists_bugs!$A$2:$I7981,9,FALSE()),"please select a BUG ID")</f>
        <v>https://review.opendev.org/c/openstack/nova/+/94294</v>
      </c>
      <c r="D74" s="114"/>
      <c r="E74" s="114"/>
      <c r="F74" s="115"/>
      <c r="G74" s="16" t="s">
        <v>1520</v>
      </c>
      <c r="H74" s="16" t="s">
        <v>1521</v>
      </c>
      <c r="I74" s="82"/>
      <c r="J74" s="92"/>
      <c r="K74" s="82"/>
      <c r="M74" s="114" t="str">
        <f>VLOOKUP(A74,'BIC_(C_Variables)'!$A$3:$AS$43,45,FALSE())</f>
        <v>x_files buggy identified different name</v>
      </c>
      <c r="N74" s="1"/>
      <c r="O74" s="1"/>
      <c r="P74" s="81" t="str">
        <f>IFERROR(VLOOKUP(A74,Internal_lists_bugs!$A$2:$G7981,7,FALSE()),"please select a BUG ID")</f>
        <v>https://opendev.org/openstack/nova/commit/13e2bd0</v>
      </c>
    </row>
    <row r="75">
      <c r="A75" s="16" t="s">
        <v>34</v>
      </c>
      <c r="B75" s="50" t="str">
        <f>IFERROR(HYPERLINK(VLOOKUP(A75,Internal_lists_bugs!$A$2:$C$73,3,FALSE()), VLOOKUP(A75,Internal_lists_bugs!$A$2:$C$73,3,FALSE())&amp;Char(10) &amp; Char(10) &amp; VLOOKUP(A75,Internal_lists_bugs!$A$2:$Z$73,26,FALSE())),"please select a BUG ID")</f>
        <v>https://bugs.launchpad.net/nova/+bug/1438331
/libvirt/rbd_utils.py</v>
      </c>
      <c r="C75" s="81" t="str">
        <f>IFERROR(VLOOKUP(A75,Internal_lists_bugs!$A$2:$I7981,9,FALSE()),"please select a BUG ID")</f>
        <v>https://review.opendev.org/c/openstack/nova/+/94294</v>
      </c>
      <c r="D75" s="114"/>
      <c r="E75" s="114"/>
      <c r="F75" s="115"/>
      <c r="G75" s="16" t="s">
        <v>1522</v>
      </c>
      <c r="H75" s="16" t="s">
        <v>1523</v>
      </c>
      <c r="I75" s="82"/>
      <c r="J75" s="92"/>
      <c r="K75" s="82"/>
      <c r="M75" s="114"/>
      <c r="N75" s="1"/>
      <c r="O75" s="1"/>
      <c r="P75" s="51"/>
    </row>
    <row r="76">
      <c r="A76" s="16" t="s">
        <v>34</v>
      </c>
      <c r="B76" s="50" t="str">
        <f>IFERROR(HYPERLINK(VLOOKUP(A76,Internal_lists_bugs!$A$2:$C$73,3,FALSE()), VLOOKUP(A76,Internal_lists_bugs!$A$2:$C$73,3,FALSE())&amp;Char(10) &amp; Char(10) &amp; VLOOKUP(A76,Internal_lists_bugs!$A$2:$Z$73,26,FALSE())),"please select a BUG ID")</f>
        <v>https://bugs.launchpad.net/nova/+bug/1438331
/libvirt/rbd_utils.py</v>
      </c>
      <c r="C76" s="81" t="str">
        <f>IFERROR(VLOOKUP(A76,Internal_lists_bugs!$A$2:$I7981,9,FALSE()),"please select a BUG ID")</f>
        <v>https://review.opendev.org/c/openstack/nova/+/94294</v>
      </c>
      <c r="D76" s="114"/>
      <c r="E76" s="114"/>
      <c r="F76" s="115"/>
      <c r="G76" s="16" t="s">
        <v>1524</v>
      </c>
      <c r="H76" s="16" t="s">
        <v>1525</v>
      </c>
      <c r="I76" s="82"/>
      <c r="J76" s="92"/>
      <c r="K76" s="82"/>
      <c r="M76" s="114" t="str">
        <f>VLOOKUP(A76,'BIC_(C_Variables)'!$A$3:$AS$43,45,FALSE())</f>
        <v>x_files buggy identified different name</v>
      </c>
      <c r="N76" s="1"/>
      <c r="O76" s="1"/>
      <c r="P76" s="81" t="str">
        <f>IFERROR(VLOOKUP(A76,Internal_lists_bugs!$A$2:$G7981,7,FALSE()),"please select a BUG ID")</f>
        <v>https://opendev.org/openstack/nova/commit/13e2bd0</v>
      </c>
    </row>
    <row r="77">
      <c r="A77" s="16" t="s">
        <v>34</v>
      </c>
      <c r="B77" s="50" t="str">
        <f>IFERROR(HYPERLINK(VLOOKUP(A77,Internal_lists_bugs!$A$2:$C$73,3,FALSE()), VLOOKUP(A77,Internal_lists_bugs!$A$2:$C$73,3,FALSE())&amp;Char(10) &amp; Char(10) &amp; VLOOKUP(A77,Internal_lists_bugs!$A$2:$Z$73,26,FALSE())),"please select a BUG ID")</f>
        <v>https://bugs.launchpad.net/nova/+bug/1438331
/libvirt/rbd_utils.py</v>
      </c>
      <c r="C77" s="81" t="str">
        <f>IFERROR(VLOOKUP(A77,Internal_lists_bugs!$A$2:$I7981,9,FALSE()),"please select a BUG ID")</f>
        <v>https://review.opendev.org/c/openstack/nova/+/94294</v>
      </c>
      <c r="D77" s="114"/>
      <c r="E77" s="114"/>
      <c r="F77" s="115"/>
      <c r="G77" s="16" t="s">
        <v>1526</v>
      </c>
      <c r="H77" s="16" t="s">
        <v>1527</v>
      </c>
      <c r="I77" s="82"/>
      <c r="J77" s="92"/>
      <c r="K77" s="82"/>
      <c r="M77" s="114" t="str">
        <f>VLOOKUP(A77,'BIC_(C_Variables)'!$A$3:$AS$43,45,FALSE())</f>
        <v>x_files buggy identified different name</v>
      </c>
      <c r="N77" s="1"/>
      <c r="O77" s="1"/>
      <c r="P77" s="81" t="str">
        <f>IFERROR(VLOOKUP(A77,Internal_lists_bugs!$A$2:$G7981,7,FALSE()),"please select a BUG ID")</f>
        <v>https://opendev.org/openstack/nova/commit/13e2bd0</v>
      </c>
    </row>
    <row r="78">
      <c r="A78" s="16" t="s">
        <v>34</v>
      </c>
      <c r="B78" s="50" t="str">
        <f>IFERROR(HYPERLINK(VLOOKUP(A78,Internal_lists_bugs!$A$2:$C$73,3,FALSE()), VLOOKUP(A78,Internal_lists_bugs!$A$2:$C$73,3,FALSE())&amp;Char(10) &amp; Char(10) &amp; VLOOKUP(A78,Internal_lists_bugs!$A$2:$Z$73,26,FALSE())),"please select a BUG ID")</f>
        <v>https://bugs.launchpad.net/nova/+bug/1438331
/libvirt/rbd_utils.py</v>
      </c>
      <c r="C78" s="81" t="str">
        <f>IFERROR(VLOOKUP(A78,Internal_lists_bugs!$A$2:$I7981,9,FALSE()),"please select a BUG ID")</f>
        <v>https://review.opendev.org/c/openstack/nova/+/94294</v>
      </c>
      <c r="D78" s="114"/>
      <c r="E78" s="114"/>
      <c r="F78" s="115"/>
      <c r="G78" s="16" t="s">
        <v>1446</v>
      </c>
      <c r="H78" s="16" t="s">
        <v>1528</v>
      </c>
      <c r="I78" s="82"/>
      <c r="J78" s="92"/>
      <c r="K78" s="82"/>
      <c r="M78" s="114" t="str">
        <f>VLOOKUP(A78,'BIC_(C_Variables)'!$A$3:$AS$43,45,FALSE())</f>
        <v>x_files buggy identified different name</v>
      </c>
      <c r="N78" s="1"/>
      <c r="O78" s="1"/>
      <c r="P78" s="81" t="str">
        <f>IFERROR(VLOOKUP(A78,Internal_lists_bugs!$A$2:$G7981,7,FALSE()),"please select a BUG ID")</f>
        <v>https://opendev.org/openstack/nova/commit/13e2bd0</v>
      </c>
    </row>
    <row r="79">
      <c r="A79" s="16" t="s">
        <v>34</v>
      </c>
      <c r="B79" s="50" t="str">
        <f>IFERROR(HYPERLINK(VLOOKUP(A79,Internal_lists_bugs!$A$2:$C$73,3,FALSE()), VLOOKUP(A79,Internal_lists_bugs!$A$2:$C$73,3,FALSE())&amp;Char(10) &amp; Char(10) &amp; VLOOKUP(A79,Internal_lists_bugs!$A$2:$Z$73,26,FALSE())),"please select a BUG ID")</f>
        <v>https://bugs.launchpad.net/nova/+bug/1438331
/libvirt/rbd_utils.py</v>
      </c>
      <c r="C79" s="81" t="str">
        <f>IFERROR(VLOOKUP(A79,Internal_lists_bugs!$A$2:$I7981,9,FALSE()),"please select a BUG ID")</f>
        <v>https://review.opendev.org/c/openstack/nova/+/94294</v>
      </c>
      <c r="D79" s="114"/>
      <c r="E79" s="114"/>
      <c r="F79" s="115"/>
      <c r="G79" s="16" t="s">
        <v>1432</v>
      </c>
      <c r="H79" s="16" t="s">
        <v>1528</v>
      </c>
      <c r="I79" s="82"/>
      <c r="J79" s="92"/>
      <c r="K79" s="82"/>
      <c r="M79" s="114" t="str">
        <f>VLOOKUP(A79,'BIC_(C_Variables)'!$A$3:$AS$43,45,FALSE())</f>
        <v>x_files buggy identified different name</v>
      </c>
      <c r="N79" s="1"/>
      <c r="O79" s="1"/>
      <c r="P79" s="81" t="str">
        <f>IFERROR(VLOOKUP(A79,Internal_lists_bugs!$A$2:$G7981,7,FALSE()),"please select a BUG ID")</f>
        <v>https://opendev.org/openstack/nova/commit/13e2bd0</v>
      </c>
    </row>
    <row r="80">
      <c r="A80" s="16" t="s">
        <v>34</v>
      </c>
      <c r="B80" s="50" t="str">
        <f>IFERROR(HYPERLINK(VLOOKUP(A80,Internal_lists_bugs!$A$2:$C$73,3,FALSE()), VLOOKUP(A80,Internal_lists_bugs!$A$2:$C$73,3,FALSE())&amp;Char(10) &amp; Char(10) &amp; VLOOKUP(A80,Internal_lists_bugs!$A$2:$Z$73,26,FALSE())),"please select a BUG ID")</f>
        <v>https://bugs.launchpad.net/nova/+bug/1438331
/libvirt/rbd_utils.py</v>
      </c>
      <c r="C80" s="81" t="str">
        <f>IFERROR(VLOOKUP(A80,Internal_lists_bugs!$A$2:$I7981,9,FALSE()),"please select a BUG ID")</f>
        <v>https://review.opendev.org/c/openstack/nova/+/94294</v>
      </c>
      <c r="D80" s="114"/>
      <c r="E80" s="114"/>
      <c r="F80" s="115"/>
      <c r="G80" s="16" t="s">
        <v>1529</v>
      </c>
      <c r="H80" s="16" t="s">
        <v>1530</v>
      </c>
      <c r="I80" s="82"/>
      <c r="J80" s="92"/>
      <c r="K80" s="82"/>
      <c r="M80" s="114"/>
      <c r="N80" s="1"/>
      <c r="O80" s="1"/>
      <c r="P80" s="51"/>
    </row>
    <row r="81">
      <c r="A81" s="16" t="s">
        <v>34</v>
      </c>
      <c r="B81" s="50" t="str">
        <f>IFERROR(HYPERLINK(VLOOKUP(A81,Internal_lists_bugs!$A$2:$C$73,3,FALSE()), VLOOKUP(A81,Internal_lists_bugs!$A$2:$C$73,3,FALSE())&amp;Char(10) &amp; Char(10) &amp; VLOOKUP(A81,Internal_lists_bugs!$A$2:$Z$73,26,FALSE())),"please select a BUG ID")</f>
        <v>https://bugs.launchpad.net/nova/+bug/1438331
/libvirt/rbd_utils.py</v>
      </c>
      <c r="C81" s="81" t="str">
        <f>IFERROR(VLOOKUP(A81,Internal_lists_bugs!$A$2:$I7981,9,FALSE()),"please select a BUG ID")</f>
        <v>https://review.opendev.org/c/openstack/nova/+/94294</v>
      </c>
      <c r="D81" s="114"/>
      <c r="E81" s="114"/>
      <c r="F81" s="115"/>
      <c r="G81" s="16" t="s">
        <v>1531</v>
      </c>
      <c r="H81" s="16" t="s">
        <v>1532</v>
      </c>
      <c r="I81" s="82"/>
      <c r="J81" s="92"/>
      <c r="K81" s="82"/>
      <c r="M81" s="114" t="str">
        <f>VLOOKUP(A81,'BIC_(C_Variables)'!$A$3:$AS$43,45,FALSE())</f>
        <v>x_files buggy identified different name</v>
      </c>
      <c r="N81" s="1"/>
      <c r="O81" s="1"/>
      <c r="P81" s="81" t="str">
        <f>IFERROR(VLOOKUP(A81,Internal_lists_bugs!$A$2:$G7981,7,FALSE()),"please select a BUG ID")</f>
        <v>https://opendev.org/openstack/nova/commit/13e2bd0</v>
      </c>
    </row>
    <row r="82">
      <c r="A82" s="16" t="s">
        <v>34</v>
      </c>
      <c r="B82" s="50" t="str">
        <f>IFERROR(HYPERLINK(VLOOKUP(A82,Internal_lists_bugs!$A$2:$C$73,3,FALSE()), VLOOKUP(A82,Internal_lists_bugs!$A$2:$C$73,3,FALSE())&amp;Char(10) &amp; Char(10) &amp; VLOOKUP(A82,Internal_lists_bugs!$A$2:$Z$73,26,FALSE())),"please select a BUG ID")</f>
        <v>https://bugs.launchpad.net/nova/+bug/1438331
/libvirt/rbd_utils.py</v>
      </c>
      <c r="C82" s="81" t="str">
        <f>IFERROR(VLOOKUP(A82,Internal_lists_bugs!$A$2:$I7981,9,FALSE()),"please select a BUG ID")</f>
        <v>https://review.opendev.org/c/openstack/nova/+/94294</v>
      </c>
      <c r="D82" s="114"/>
      <c r="E82" s="114"/>
      <c r="F82" s="115"/>
      <c r="G82" s="16" t="s">
        <v>1533</v>
      </c>
      <c r="H82" s="16" t="s">
        <v>1534</v>
      </c>
      <c r="I82" s="82"/>
      <c r="J82" s="92"/>
      <c r="K82" s="82"/>
      <c r="M82" s="114"/>
      <c r="N82" s="1"/>
      <c r="O82" s="1"/>
      <c r="P82" s="51"/>
    </row>
    <row r="83">
      <c r="A83" s="16" t="s">
        <v>34</v>
      </c>
      <c r="B83" s="50" t="str">
        <f>IFERROR(HYPERLINK(VLOOKUP(A83,Internal_lists_bugs!$A$2:$C$73,3,FALSE()), VLOOKUP(A83,Internal_lists_bugs!$A$2:$C$73,3,FALSE())&amp;Char(10) &amp; Char(10) &amp; VLOOKUP(A83,Internal_lists_bugs!$A$2:$Z$73,26,FALSE())),"please select a BUG ID")</f>
        <v>https://bugs.launchpad.net/nova/+bug/1438331
/libvirt/rbd_utils.py</v>
      </c>
      <c r="C83" s="81" t="str">
        <f>IFERROR(VLOOKUP(A83,Internal_lists_bugs!$A$2:$I7981,9,FALSE()),"please select a BUG ID")</f>
        <v>https://review.opendev.org/c/openstack/nova/+/94294</v>
      </c>
      <c r="D83" s="114"/>
      <c r="E83" s="114"/>
      <c r="F83" s="115"/>
      <c r="G83" s="16" t="s">
        <v>1448</v>
      </c>
      <c r="H83" s="16" t="s">
        <v>1535</v>
      </c>
      <c r="I83" s="82"/>
      <c r="J83" s="92"/>
      <c r="K83" s="82"/>
      <c r="M83" s="114" t="str">
        <f>VLOOKUP(A83,'BIC_(C_Variables)'!$A$3:$AS$43,45,FALSE())</f>
        <v>x_files buggy identified different name</v>
      </c>
      <c r="N83" s="1"/>
      <c r="O83" s="1"/>
      <c r="P83" s="81" t="str">
        <f>IFERROR(VLOOKUP(A83,Internal_lists_bugs!$A$2:$G7981,7,FALSE()),"please select a BUG ID")</f>
        <v>https://opendev.org/openstack/nova/commit/13e2bd0</v>
      </c>
    </row>
    <row r="84">
      <c r="A84" s="16" t="s">
        <v>34</v>
      </c>
      <c r="B84" s="50" t="str">
        <f>IFERROR(HYPERLINK(VLOOKUP(A84,Internal_lists_bugs!$A$2:$C$73,3,FALSE()), VLOOKUP(A84,Internal_lists_bugs!$A$2:$C$73,3,FALSE())&amp;Char(10) &amp; Char(10) &amp; VLOOKUP(A84,Internal_lists_bugs!$A$2:$Z$73,26,FALSE())),"please select a BUG ID")</f>
        <v>https://bugs.launchpad.net/nova/+bug/1438331
/libvirt/rbd_utils.py</v>
      </c>
      <c r="C84" s="81" t="str">
        <f>IFERROR(VLOOKUP(A84,Internal_lists_bugs!$A$2:$I7981,9,FALSE()),"please select a BUG ID")</f>
        <v>https://review.opendev.org/c/openstack/nova/+/94294</v>
      </c>
      <c r="D84" s="114"/>
      <c r="E84" s="114"/>
      <c r="F84" s="115"/>
      <c r="G84" s="16" t="s">
        <v>1536</v>
      </c>
      <c r="H84" s="16" t="s">
        <v>1537</v>
      </c>
      <c r="I84" s="82"/>
      <c r="J84" s="92"/>
      <c r="K84" s="82"/>
      <c r="M84" s="114" t="str">
        <f>VLOOKUP(A84,'BIC_(C_Variables)'!$A$3:$AS$43,45,FALSE())</f>
        <v>x_files buggy identified different name</v>
      </c>
      <c r="N84" s="1"/>
      <c r="O84" s="1"/>
      <c r="P84" s="81" t="str">
        <f>IFERROR(VLOOKUP(A84,Internal_lists_bugs!$A$2:$G7981,7,FALSE()),"please select a BUG ID")</f>
        <v>https://opendev.org/openstack/nova/commit/13e2bd0</v>
      </c>
    </row>
    <row r="85">
      <c r="A85" s="16" t="s">
        <v>34</v>
      </c>
      <c r="B85" s="50" t="str">
        <f>IFERROR(HYPERLINK(VLOOKUP(A85,Internal_lists_bugs!$A$2:$C$73,3,FALSE()), VLOOKUP(A85,Internal_lists_bugs!$A$2:$C$73,3,FALSE())&amp;Char(10) &amp; Char(10) &amp; VLOOKUP(A85,Internal_lists_bugs!$A$2:$Z$73,26,FALSE())),"please select a BUG ID")</f>
        <v>https://bugs.launchpad.net/nova/+bug/1438331
/libvirt/rbd_utils.py</v>
      </c>
      <c r="C85" s="81" t="str">
        <f>IFERROR(VLOOKUP(A85,Internal_lists_bugs!$A$2:$I7981,9,FALSE()),"please select a BUG ID")</f>
        <v>https://review.opendev.org/c/openstack/nova/+/94294</v>
      </c>
      <c r="D85" s="114"/>
      <c r="E85" s="114"/>
      <c r="F85" s="115"/>
      <c r="G85" s="16" t="s">
        <v>1538</v>
      </c>
      <c r="H85" s="16" t="s">
        <v>1539</v>
      </c>
      <c r="I85" s="82"/>
      <c r="J85" s="92"/>
      <c r="K85" s="82"/>
      <c r="M85" s="114"/>
      <c r="N85" s="1"/>
      <c r="O85" s="1"/>
      <c r="P85" s="51"/>
    </row>
    <row r="86">
      <c r="A86" s="16" t="s">
        <v>34</v>
      </c>
      <c r="B86" s="50" t="str">
        <f>IFERROR(HYPERLINK(VLOOKUP(A86,Internal_lists_bugs!$A$2:$C$73,3,FALSE()), VLOOKUP(A86,Internal_lists_bugs!$A$2:$C$73,3,FALSE())&amp;Char(10) &amp; Char(10) &amp; VLOOKUP(A86,Internal_lists_bugs!$A$2:$Z$73,26,FALSE())),"please select a BUG ID")</f>
        <v>https://bugs.launchpad.net/nova/+bug/1438331
/libvirt/rbd_utils.py</v>
      </c>
      <c r="C86" s="81" t="str">
        <f>IFERROR(VLOOKUP(A86,Internal_lists_bugs!$A$2:$I7981,9,FALSE()),"please select a BUG ID")</f>
        <v>https://review.opendev.org/c/openstack/nova/+/94294</v>
      </c>
      <c r="D86" s="114"/>
      <c r="E86" s="114"/>
      <c r="F86" s="115"/>
      <c r="G86" s="16" t="s">
        <v>1540</v>
      </c>
      <c r="H86" s="16" t="s">
        <v>1541</v>
      </c>
      <c r="I86" s="82"/>
      <c r="J86" s="92"/>
      <c r="K86" s="82"/>
      <c r="M86" s="114" t="str">
        <f>VLOOKUP(A86,'BIC_(C_Variables)'!$A$3:$AS$43,45,FALSE())</f>
        <v>x_files buggy identified different name</v>
      </c>
      <c r="N86" s="1"/>
      <c r="O86" s="1"/>
      <c r="P86" s="81" t="str">
        <f>IFERROR(VLOOKUP(A86,Internal_lists_bugs!$A$2:$G7981,7,FALSE()),"please select a BUG ID")</f>
        <v>https://opendev.org/openstack/nova/commit/13e2bd0</v>
      </c>
    </row>
    <row r="87">
      <c r="A87" s="16" t="s">
        <v>34</v>
      </c>
      <c r="B87" s="50" t="str">
        <f>IFERROR(HYPERLINK(VLOOKUP(A87,Internal_lists_bugs!$A$2:$C$73,3,FALSE()), VLOOKUP(A87,Internal_lists_bugs!$A$2:$C$73,3,FALSE())&amp;Char(10) &amp; Char(10) &amp; VLOOKUP(A87,Internal_lists_bugs!$A$2:$Z$73,26,FALSE())),"please select a BUG ID")</f>
        <v>https://bugs.launchpad.net/nova/+bug/1438331
/libvirt/rbd_utils.py</v>
      </c>
      <c r="C87" s="81" t="str">
        <f>IFERROR(VLOOKUP(A87,Internal_lists_bugs!$A$2:$I7981,9,FALSE()),"please select a BUG ID")</f>
        <v>https://review.opendev.org/c/openstack/nova/+/94294</v>
      </c>
      <c r="D87" s="114"/>
      <c r="E87" s="114"/>
      <c r="F87" s="115"/>
      <c r="G87" s="16" t="s">
        <v>1542</v>
      </c>
      <c r="H87" s="16" t="s">
        <v>1543</v>
      </c>
      <c r="I87" s="82"/>
      <c r="J87" s="92"/>
      <c r="K87" s="82"/>
      <c r="M87" s="114" t="str">
        <f>VLOOKUP(A87,'BIC_(C_Variables)'!$A$3:$AS$43,45,FALSE())</f>
        <v>x_files buggy identified different name</v>
      </c>
      <c r="N87" s="1"/>
      <c r="O87" s="1"/>
      <c r="P87" s="81" t="str">
        <f>IFERROR(VLOOKUP(A87,Internal_lists_bugs!$A$2:$G7981,7,FALSE()),"please select a BUG ID")</f>
        <v>https://opendev.org/openstack/nova/commit/13e2bd0</v>
      </c>
    </row>
    <row r="88">
      <c r="A88" s="16" t="s">
        <v>34</v>
      </c>
      <c r="B88" s="50" t="str">
        <f>IFERROR(HYPERLINK(VLOOKUP(A88,Internal_lists_bugs!$A$2:$C$73,3,FALSE()), VLOOKUP(A88,Internal_lists_bugs!$A$2:$C$73,3,FALSE())&amp;Char(10) &amp; Char(10) &amp; VLOOKUP(A88,Internal_lists_bugs!$A$2:$Z$73,26,FALSE())),"please select a BUG ID")</f>
        <v>https://bugs.launchpad.net/nova/+bug/1438331
/libvirt/rbd_utils.py</v>
      </c>
      <c r="C88" s="81" t="str">
        <f>IFERROR(VLOOKUP(A88,Internal_lists_bugs!$A$2:$I7981,9,FALSE()),"please select a BUG ID")</f>
        <v>https://review.opendev.org/c/openstack/nova/+/94294</v>
      </c>
      <c r="D88" s="114"/>
      <c r="E88" s="114"/>
      <c r="F88" s="115"/>
      <c r="G88" s="16" t="s">
        <v>1544</v>
      </c>
      <c r="H88" s="16" t="s">
        <v>1545</v>
      </c>
      <c r="I88" s="82"/>
      <c r="J88" s="92"/>
      <c r="K88" s="82"/>
      <c r="M88" s="114" t="str">
        <f>VLOOKUP(A88,'BIC_(C_Variables)'!$A$3:$AS$43,45,FALSE())</f>
        <v>x_files buggy identified different name</v>
      </c>
      <c r="N88" s="1"/>
      <c r="O88" s="1"/>
      <c r="P88" s="81" t="str">
        <f>IFERROR(VLOOKUP(A88,Internal_lists_bugs!$A$2:$G7981,7,FALSE()),"please select a BUG ID")</f>
        <v>https://opendev.org/openstack/nova/commit/13e2bd0</v>
      </c>
    </row>
    <row r="89">
      <c r="A89" s="16" t="s">
        <v>34</v>
      </c>
      <c r="B89" s="50" t="str">
        <f>IFERROR(HYPERLINK(VLOOKUP(A89,Internal_lists_bugs!$A$2:$C$73,3,FALSE()), VLOOKUP(A89,Internal_lists_bugs!$A$2:$C$73,3,FALSE())&amp;Char(10) &amp; Char(10) &amp; VLOOKUP(A89,Internal_lists_bugs!$A$2:$Z$73,26,FALSE())),"please select a BUG ID")</f>
        <v>https://bugs.launchpad.net/nova/+bug/1438331
/libvirt/rbd_utils.py</v>
      </c>
      <c r="C89" s="81" t="str">
        <f>IFERROR(VLOOKUP(A89,Internal_lists_bugs!$A$2:$I7981,9,FALSE()),"please select a BUG ID")</f>
        <v>https://review.opendev.org/c/openstack/nova/+/94294</v>
      </c>
      <c r="D89" s="114"/>
      <c r="E89" s="114"/>
      <c r="F89" s="115"/>
      <c r="G89" s="16" t="s">
        <v>1546</v>
      </c>
      <c r="H89" s="16" t="s">
        <v>1545</v>
      </c>
      <c r="I89" s="82"/>
      <c r="J89" s="92"/>
      <c r="K89" s="82"/>
      <c r="M89" s="114"/>
      <c r="N89" s="1"/>
      <c r="O89" s="1"/>
      <c r="P89" s="51"/>
    </row>
    <row r="90">
      <c r="A90" s="16" t="s">
        <v>34</v>
      </c>
      <c r="B90" s="50" t="str">
        <f>IFERROR(HYPERLINK(VLOOKUP(A90,Internal_lists_bugs!$A$2:$C$73,3,FALSE()), VLOOKUP(A90,Internal_lists_bugs!$A$2:$C$73,3,FALSE())&amp;Char(10) &amp; Char(10) &amp; VLOOKUP(A90,Internal_lists_bugs!$A$2:$Z$73,26,FALSE())),"please select a BUG ID")</f>
        <v>https://bugs.launchpad.net/nova/+bug/1438331
/libvirt/rbd_utils.py</v>
      </c>
      <c r="C90" s="81" t="str">
        <f>IFERROR(VLOOKUP(A90,Internal_lists_bugs!$A$2:$I7981,9,FALSE()),"please select a BUG ID")</f>
        <v>https://review.opendev.org/c/openstack/nova/+/94294</v>
      </c>
      <c r="D90" s="114"/>
      <c r="E90" s="114"/>
      <c r="F90" s="115"/>
      <c r="G90" s="16" t="s">
        <v>1547</v>
      </c>
      <c r="H90" s="14" t="s">
        <v>1548</v>
      </c>
      <c r="I90" s="82"/>
      <c r="J90" s="92"/>
      <c r="K90" s="82"/>
      <c r="M90" s="114"/>
      <c r="N90" s="1"/>
      <c r="O90" s="1"/>
      <c r="P90" s="51"/>
    </row>
    <row r="91">
      <c r="A91" s="16" t="s">
        <v>34</v>
      </c>
      <c r="B91" s="50" t="str">
        <f>IFERROR(HYPERLINK(VLOOKUP(A91,Internal_lists_bugs!$A$2:$C$73,3,FALSE()), VLOOKUP(A91,Internal_lists_bugs!$A$2:$C$73,3,FALSE())&amp;Char(10) &amp; Char(10) &amp; VLOOKUP(A91,Internal_lists_bugs!$A$2:$Z$73,26,FALSE())),"please select a BUG ID")</f>
        <v>https://bugs.launchpad.net/nova/+bug/1438331
/libvirt/rbd_utils.py</v>
      </c>
      <c r="C91" s="81" t="str">
        <f>IFERROR(VLOOKUP(A91,Internal_lists_bugs!$A$2:$I7981,9,FALSE()),"please select a BUG ID")</f>
        <v>https://review.opendev.org/c/openstack/nova/+/94294</v>
      </c>
      <c r="D91" s="114"/>
      <c r="E91" s="114"/>
      <c r="F91" s="115"/>
      <c r="G91" s="16" t="s">
        <v>1549</v>
      </c>
      <c r="H91" s="14" t="s">
        <v>1550</v>
      </c>
      <c r="I91" s="82"/>
      <c r="J91" s="92"/>
      <c r="K91" s="82"/>
      <c r="M91" s="114"/>
      <c r="N91" s="1"/>
      <c r="O91" s="1"/>
      <c r="P91" s="51"/>
    </row>
    <row r="92">
      <c r="A92" s="16" t="s">
        <v>34</v>
      </c>
      <c r="B92" s="50" t="str">
        <f>IFERROR(HYPERLINK(VLOOKUP(A92,Internal_lists_bugs!$A$2:$C$73,3,FALSE()), VLOOKUP(A92,Internal_lists_bugs!$A$2:$C$73,3,FALSE())&amp;Char(10) &amp; Char(10) &amp; VLOOKUP(A92,Internal_lists_bugs!$A$2:$Z$73,26,FALSE())),"please select a BUG ID")</f>
        <v>https://bugs.launchpad.net/nova/+bug/1438331
/libvirt/rbd_utils.py</v>
      </c>
      <c r="C92" s="81" t="str">
        <f>IFERROR(VLOOKUP(A92,Internal_lists_bugs!$A$2:$I7981,9,FALSE()),"please select a BUG ID")</f>
        <v>https://review.opendev.org/c/openstack/nova/+/94294</v>
      </c>
      <c r="D92" s="114"/>
      <c r="E92" s="114"/>
      <c r="F92" s="115"/>
      <c r="G92" s="16" t="s">
        <v>1551</v>
      </c>
      <c r="H92" s="16" t="s">
        <v>1552</v>
      </c>
      <c r="I92" s="82"/>
      <c r="J92" s="92"/>
      <c r="K92" s="82"/>
      <c r="M92" s="114"/>
      <c r="N92" s="1"/>
      <c r="O92" s="1"/>
      <c r="P92" s="51"/>
    </row>
    <row r="93">
      <c r="A93" s="16" t="s">
        <v>34</v>
      </c>
      <c r="B93" s="50" t="str">
        <f>IFERROR(HYPERLINK(VLOOKUP(A93,Internal_lists_bugs!$A$2:$C$73,3,FALSE()), VLOOKUP(A93,Internal_lists_bugs!$A$2:$C$73,3,FALSE())&amp;Char(10) &amp; Char(10) &amp; VLOOKUP(A93,Internal_lists_bugs!$A$2:$Z$73,26,FALSE())),"please select a BUG ID")</f>
        <v>https://bugs.launchpad.net/nova/+bug/1438331
/libvirt/rbd_utils.py</v>
      </c>
      <c r="C93" s="81" t="str">
        <f>IFERROR(VLOOKUP(A93,Internal_lists_bugs!$A$2:$I7981,9,FALSE()),"please select a BUG ID")</f>
        <v>https://review.opendev.org/c/openstack/nova/+/94294</v>
      </c>
      <c r="D93" s="114"/>
      <c r="E93" s="114"/>
      <c r="F93" s="115"/>
      <c r="G93" s="16" t="s">
        <v>1553</v>
      </c>
      <c r="H93" s="16" t="s">
        <v>1554</v>
      </c>
      <c r="I93" s="82"/>
      <c r="J93" s="92"/>
      <c r="K93" s="82"/>
      <c r="M93" s="114" t="str">
        <f>VLOOKUP(A93,'BIC_(C_Variables)'!$A$3:$AS$43,45,FALSE())</f>
        <v>x_files buggy identified different name</v>
      </c>
      <c r="N93" s="1"/>
      <c r="O93" s="1"/>
      <c r="P93" s="81" t="str">
        <f>IFERROR(VLOOKUP(A93,Internal_lists_bugs!$A$2:$G7981,7,FALSE()),"please select a BUG ID")</f>
        <v>https://opendev.org/openstack/nova/commit/13e2bd0</v>
      </c>
    </row>
    <row r="94">
      <c r="A94" s="16" t="s">
        <v>34</v>
      </c>
      <c r="B94" s="50" t="str">
        <f>IFERROR(HYPERLINK(VLOOKUP(A94,Internal_lists_bugs!$A$2:$C$73,3,FALSE()), VLOOKUP(A94,Internal_lists_bugs!$A$2:$C$73,3,FALSE())&amp;Char(10) &amp; Char(10) &amp; VLOOKUP(A94,Internal_lists_bugs!$A$2:$Z$73,26,FALSE())),"please select a BUG ID")</f>
        <v>https://bugs.launchpad.net/nova/+bug/1438331
/libvirt/rbd_utils.py</v>
      </c>
      <c r="C94" s="81" t="str">
        <f>IFERROR(VLOOKUP(A94,Internal_lists_bugs!$A$2:$I7981,9,FALSE()),"please select a BUG ID")</f>
        <v>https://review.opendev.org/c/openstack/nova/+/94294</v>
      </c>
      <c r="D94" s="114"/>
      <c r="E94" s="114"/>
      <c r="F94" s="115"/>
      <c r="G94" s="16" t="s">
        <v>1555</v>
      </c>
      <c r="H94" s="16" t="s">
        <v>1556</v>
      </c>
      <c r="I94" s="82"/>
      <c r="J94" s="92"/>
      <c r="K94" s="82"/>
      <c r="M94" s="114"/>
      <c r="N94" s="1"/>
      <c r="O94" s="1"/>
      <c r="P94" s="51"/>
    </row>
    <row r="95">
      <c r="A95" s="16" t="s">
        <v>34</v>
      </c>
      <c r="B95" s="50" t="str">
        <f>IFERROR(HYPERLINK(VLOOKUP(A95,Internal_lists_bugs!$A$2:$C$73,3,FALSE()), VLOOKUP(A95,Internal_lists_bugs!$A$2:$C$73,3,FALSE())&amp;Char(10) &amp; Char(10) &amp; VLOOKUP(A95,Internal_lists_bugs!$A$2:$Z$73,26,FALSE())),"please select a BUG ID")</f>
        <v>https://bugs.launchpad.net/nova/+bug/1438331
/libvirt/rbd_utils.py</v>
      </c>
      <c r="C95" s="81" t="str">
        <f>IFERROR(VLOOKUP(A95,Internal_lists_bugs!$A$2:$I7981,9,FALSE()),"please select a BUG ID")</f>
        <v>https://review.opendev.org/c/openstack/nova/+/94294</v>
      </c>
      <c r="D95" s="114"/>
      <c r="E95" s="114"/>
      <c r="F95" s="115"/>
      <c r="G95" s="16" t="s">
        <v>1557</v>
      </c>
      <c r="H95" s="16" t="s">
        <v>1558</v>
      </c>
      <c r="I95" s="82"/>
      <c r="J95" s="92"/>
      <c r="K95" s="82"/>
      <c r="M95" s="114"/>
      <c r="N95" s="1"/>
      <c r="O95" s="1"/>
      <c r="P95" s="51"/>
    </row>
    <row r="96">
      <c r="A96" s="16" t="s">
        <v>34</v>
      </c>
      <c r="B96" s="50" t="str">
        <f>IFERROR(HYPERLINK(VLOOKUP(A96,Internal_lists_bugs!$A$2:$C$73,3,FALSE()), VLOOKUP(A96,Internal_lists_bugs!$A$2:$C$73,3,FALSE())&amp;Char(10) &amp; Char(10) &amp; VLOOKUP(A96,Internal_lists_bugs!$A$2:$Z$73,26,FALSE())),"please select a BUG ID")</f>
        <v>https://bugs.launchpad.net/nova/+bug/1438331
/libvirt/rbd_utils.py</v>
      </c>
      <c r="C96" s="81" t="str">
        <f>IFERROR(VLOOKUP(A96,Internal_lists_bugs!$A$2:$I7981,9,FALSE()),"please select a BUG ID")</f>
        <v>https://review.opendev.org/c/openstack/nova/+/94294</v>
      </c>
      <c r="D96" s="114"/>
      <c r="E96" s="114"/>
      <c r="F96" s="115"/>
      <c r="G96" s="16" t="s">
        <v>1559</v>
      </c>
      <c r="H96" s="16" t="s">
        <v>1560</v>
      </c>
      <c r="I96" s="82"/>
      <c r="J96" s="92"/>
      <c r="K96" s="82"/>
      <c r="M96" s="114" t="str">
        <f>VLOOKUP(A96,'BIC_(C_Variables)'!$A$3:$AS$43,45,FALSE())</f>
        <v>x_files buggy identified different name</v>
      </c>
      <c r="N96" s="1"/>
      <c r="O96" s="1"/>
      <c r="P96" s="81" t="str">
        <f>IFERROR(VLOOKUP(A96,Internal_lists_bugs!$A$2:$G7981,7,FALSE()),"please select a BUG ID")</f>
        <v>https://opendev.org/openstack/nova/commit/13e2bd0</v>
      </c>
    </row>
    <row r="97">
      <c r="A97" s="16" t="s">
        <v>34</v>
      </c>
      <c r="B97" s="50" t="str">
        <f>IFERROR(HYPERLINK(VLOOKUP(A97,Internal_lists_bugs!$A$2:$C$73,3,FALSE()), VLOOKUP(A97,Internal_lists_bugs!$A$2:$C$73,3,FALSE())&amp;Char(10) &amp; Char(10) &amp; VLOOKUP(A97,Internal_lists_bugs!$A$2:$Z$73,26,FALSE())),"please select a BUG ID")</f>
        <v>https://bugs.launchpad.net/nova/+bug/1438331
/libvirt/rbd_utils.py</v>
      </c>
      <c r="C97" s="81" t="str">
        <f>IFERROR(VLOOKUP(A97,Internal_lists_bugs!$A$2:$I7981,9,FALSE()),"please select a BUG ID")</f>
        <v>https://review.opendev.org/c/openstack/nova/+/94294</v>
      </c>
      <c r="D97" s="114"/>
      <c r="E97" s="114"/>
      <c r="F97" s="115"/>
      <c r="G97" s="16" t="s">
        <v>1432</v>
      </c>
      <c r="H97" s="16" t="s">
        <v>1561</v>
      </c>
      <c r="I97" s="82"/>
      <c r="J97" s="92"/>
      <c r="K97" s="82"/>
      <c r="M97" s="114" t="str">
        <f>VLOOKUP(A97,'BIC_(C_Variables)'!$A$3:$AS$43,45,FALSE())</f>
        <v>x_files buggy identified different name</v>
      </c>
      <c r="N97" s="1"/>
      <c r="O97" s="1"/>
      <c r="P97" s="81" t="str">
        <f>IFERROR(VLOOKUP(A97,Internal_lists_bugs!$A$2:$G7981,7,FALSE()),"please select a BUG ID")</f>
        <v>https://opendev.org/openstack/nova/commit/13e2bd0</v>
      </c>
    </row>
    <row r="98">
      <c r="A98" s="16" t="s">
        <v>34</v>
      </c>
      <c r="B98" s="50" t="str">
        <f>IFERROR(HYPERLINK(VLOOKUP(A98,Internal_lists_bugs!$A$2:$C$73,3,FALSE()), VLOOKUP(A98,Internal_lists_bugs!$A$2:$C$73,3,FALSE())&amp;Char(10) &amp; Char(10) &amp; VLOOKUP(A98,Internal_lists_bugs!$A$2:$Z$73,26,FALSE())),"please select a BUG ID")</f>
        <v>https://bugs.launchpad.net/nova/+bug/1438331
/libvirt/rbd_utils.py</v>
      </c>
      <c r="C98" s="81" t="str">
        <f>IFERROR(VLOOKUP(A98,Internal_lists_bugs!$A$2:$I7981,9,FALSE()),"please select a BUG ID")</f>
        <v>https://review.opendev.org/c/openstack/nova/+/94294</v>
      </c>
      <c r="D98" s="114"/>
      <c r="E98" s="114"/>
      <c r="F98" s="115"/>
      <c r="G98" s="16" t="s">
        <v>1562</v>
      </c>
      <c r="H98" s="16" t="s">
        <v>1563</v>
      </c>
      <c r="I98" s="82"/>
      <c r="J98" s="92"/>
      <c r="K98" s="82"/>
      <c r="M98" s="114"/>
      <c r="N98" s="1"/>
      <c r="O98" s="1"/>
      <c r="P98" s="51"/>
    </row>
    <row r="99">
      <c r="A99" s="16" t="s">
        <v>34</v>
      </c>
      <c r="B99" s="50" t="str">
        <f>IFERROR(HYPERLINK(VLOOKUP(A99,Internal_lists_bugs!$A$2:$C$73,3,FALSE()), VLOOKUP(A99,Internal_lists_bugs!$A$2:$C$73,3,FALSE())&amp;Char(10) &amp; Char(10) &amp; VLOOKUP(A99,Internal_lists_bugs!$A$2:$Z$73,26,FALSE())),"please select a BUG ID")</f>
        <v>https://bugs.launchpad.net/nova/+bug/1438331
/libvirt/rbd_utils.py</v>
      </c>
      <c r="C99" s="81" t="str">
        <f>IFERROR(VLOOKUP(A99,Internal_lists_bugs!$A$2:$I7981,9,FALSE()),"please select a BUG ID")</f>
        <v>https://review.opendev.org/c/openstack/nova/+/94294</v>
      </c>
      <c r="D99" s="114"/>
      <c r="E99" s="114"/>
      <c r="F99" s="115"/>
      <c r="G99" s="16" t="s">
        <v>1564</v>
      </c>
      <c r="H99" s="16" t="s">
        <v>1565</v>
      </c>
      <c r="I99" s="82"/>
      <c r="J99" s="92"/>
      <c r="K99" s="82"/>
      <c r="M99" s="114"/>
      <c r="N99" s="1"/>
      <c r="O99" s="1"/>
      <c r="P99" s="51"/>
    </row>
    <row r="100">
      <c r="A100" s="16" t="s">
        <v>34</v>
      </c>
      <c r="B100" s="50" t="str">
        <f>IFERROR(HYPERLINK(VLOOKUP(A100,Internal_lists_bugs!$A$2:$C$73,3,FALSE()), VLOOKUP(A100,Internal_lists_bugs!$A$2:$C$73,3,FALSE())&amp;Char(10) &amp; Char(10) &amp; VLOOKUP(A100,Internal_lists_bugs!$A$2:$Z$73,26,FALSE())),"please select a BUG ID")</f>
        <v>https://bugs.launchpad.net/nova/+bug/1438331
/libvirt/rbd_utils.py</v>
      </c>
      <c r="C100" s="81" t="str">
        <f>IFERROR(VLOOKUP(A100,Internal_lists_bugs!$A$2:$I7981,9,FALSE()),"please select a BUG ID")</f>
        <v>https://review.opendev.org/c/openstack/nova/+/94294</v>
      </c>
      <c r="D100" s="114"/>
      <c r="E100" s="114"/>
      <c r="F100" s="115"/>
      <c r="G100" s="16" t="s">
        <v>1566</v>
      </c>
      <c r="H100" s="16" t="s">
        <v>1567</v>
      </c>
      <c r="I100" s="82"/>
      <c r="J100" s="92"/>
      <c r="K100" s="82"/>
      <c r="M100" s="114" t="str">
        <f>VLOOKUP(A100,'BIC_(C_Variables)'!$A$3:$AS$43,45,FALSE())</f>
        <v>x_files buggy identified different name</v>
      </c>
      <c r="N100" s="1"/>
      <c r="O100" s="1"/>
      <c r="P100" s="81" t="str">
        <f>IFERROR(VLOOKUP(A100,Internal_lists_bugs!$A$2:$G7981,7,FALSE()),"please select a BUG ID")</f>
        <v>https://opendev.org/openstack/nova/commit/13e2bd0</v>
      </c>
    </row>
    <row r="101">
      <c r="A101" s="16" t="s">
        <v>34</v>
      </c>
      <c r="B101" s="50" t="str">
        <f>IFERROR(HYPERLINK(VLOOKUP(A101,Internal_lists_bugs!$A$2:$C$73,3,FALSE()), VLOOKUP(A101,Internal_lists_bugs!$A$2:$C$73,3,FALSE())&amp;Char(10) &amp; Char(10) &amp; VLOOKUP(A101,Internal_lists_bugs!$A$2:$Z$73,26,FALSE())),"please select a BUG ID")</f>
        <v>https://bugs.launchpad.net/nova/+bug/1438331
/libvirt/rbd_utils.py</v>
      </c>
      <c r="C101" s="81" t="str">
        <f>IFERROR(VLOOKUP(A101,Internal_lists_bugs!$A$2:$I7981,9,FALSE()),"please select a BUG ID")</f>
        <v>https://review.opendev.org/c/openstack/nova/+/94294</v>
      </c>
      <c r="D101" s="114"/>
      <c r="E101" s="114"/>
      <c r="F101" s="115"/>
      <c r="G101" s="16" t="s">
        <v>1568</v>
      </c>
      <c r="H101" s="16" t="s">
        <v>1569</v>
      </c>
      <c r="I101" s="82"/>
      <c r="J101" s="92"/>
      <c r="K101" s="82"/>
      <c r="M101" s="114" t="str">
        <f>VLOOKUP(A101,'BIC_(C_Variables)'!$A$3:$AS$43,45,FALSE())</f>
        <v>x_files buggy identified different name</v>
      </c>
      <c r="N101" s="1"/>
      <c r="O101" s="1"/>
      <c r="P101" s="81" t="str">
        <f>IFERROR(VLOOKUP(A101,Internal_lists_bugs!$A$2:$G7981,7,FALSE()),"please select a BUG ID")</f>
        <v>https://opendev.org/openstack/nova/commit/13e2bd0</v>
      </c>
    </row>
    <row r="102">
      <c r="A102" s="16" t="s">
        <v>34</v>
      </c>
      <c r="B102" s="50" t="str">
        <f>IFERROR(HYPERLINK(VLOOKUP(A102,Internal_lists_bugs!$A$2:$C$73,3,FALSE()), VLOOKUP(A102,Internal_lists_bugs!$A$2:$C$73,3,FALSE())&amp;Char(10) &amp; Char(10) &amp; VLOOKUP(A102,Internal_lists_bugs!$A$2:$Z$73,26,FALSE())),"please select a BUG ID")</f>
        <v>https://bugs.launchpad.net/nova/+bug/1438331
/libvirt/rbd_utils.py</v>
      </c>
      <c r="C102" s="81" t="str">
        <f>IFERROR(VLOOKUP(A102,Internal_lists_bugs!$A$2:$I7981,9,FALSE()),"please select a BUG ID")</f>
        <v>https://review.opendev.org/c/openstack/nova/+/94294</v>
      </c>
      <c r="D102" s="112"/>
      <c r="E102" s="112"/>
      <c r="F102" s="113"/>
      <c r="G102" s="16" t="s">
        <v>1570</v>
      </c>
      <c r="H102" s="16" t="s">
        <v>1569</v>
      </c>
      <c r="I102" s="79"/>
      <c r="J102" s="93"/>
      <c r="K102" s="79"/>
      <c r="L102" s="16"/>
      <c r="M102" s="114"/>
      <c r="N102" s="1"/>
      <c r="O102" s="1"/>
      <c r="P102" s="51"/>
    </row>
    <row r="103">
      <c r="A103" s="16" t="s">
        <v>34</v>
      </c>
      <c r="B103" s="50" t="str">
        <f>IFERROR(HYPERLINK(VLOOKUP(A103,Internal_lists_bugs!$A$2:$C$73,3,FALSE()), VLOOKUP(A103,Internal_lists_bugs!$A$2:$C$73,3,FALSE())&amp;Char(10) &amp; Char(10) &amp; VLOOKUP(A103,Internal_lists_bugs!$A$2:$Z$73,26,FALSE())),"please select a BUG ID")</f>
        <v>https://bugs.launchpad.net/nova/+bug/1438331
/libvirt/rbd_utils.py</v>
      </c>
      <c r="C103" s="81" t="str">
        <f>IFERROR(VLOOKUP(A103,Internal_lists_bugs!$A$2:$I7981,9,FALSE()),"please select a BUG ID")</f>
        <v>https://review.opendev.org/c/openstack/nova/+/94294</v>
      </c>
      <c r="D103" s="112"/>
      <c r="E103" s="112"/>
      <c r="F103" s="113"/>
      <c r="G103" s="16" t="s">
        <v>1460</v>
      </c>
      <c r="H103" s="16" t="s">
        <v>1571</v>
      </c>
      <c r="I103" s="79"/>
      <c r="J103" s="93"/>
      <c r="K103" s="79"/>
      <c r="L103" s="16"/>
      <c r="M103" s="114" t="str">
        <f>VLOOKUP(A103,'BIC_(C_Variables)'!$A$3:$AS$43,45,FALSE())</f>
        <v>x_files buggy identified different name</v>
      </c>
      <c r="N103" s="1"/>
      <c r="O103" s="1"/>
      <c r="P103" s="81" t="str">
        <f>IFERROR(VLOOKUP(A103,Internal_lists_bugs!$A$2:$G7981,7,FALSE()),"please select a BUG ID")</f>
        <v>https://opendev.org/openstack/nova/commit/13e2bd0</v>
      </c>
    </row>
    <row r="104">
      <c r="A104" s="16" t="s">
        <v>35</v>
      </c>
      <c r="B104" s="50" t="str">
        <f>IFERROR(HYPERLINK(VLOOKUP(A104,Internal_lists_bugs!$A$2:$C$73,3,FALSE()), VLOOKUP(A104,Internal_lists_bugs!$A$2:$C$73,3,FALSE())&amp;Char(10) &amp; Char(10) &amp; VLOOKUP(A104,Internal_lists_bugs!$A$2:$Z$73,26,FALSE())),"please select a BUG ID")</f>
        <v>https://bugs.launchpad.net/nova/+bug/1375379
/console/websocketproxy.py</v>
      </c>
      <c r="C104" s="81" t="str">
        <f>IFERROR(VLOOKUP(A104,Internal_lists_bugs!$A$2:$I7981,9,FALSE()),"please select a BUG ID")</f>
        <v>https://review.opendev.org/c/openstack/nova/+/18864</v>
      </c>
      <c r="D104" s="112" t="s">
        <v>1412</v>
      </c>
      <c r="E104" s="112" t="s">
        <v>1462</v>
      </c>
      <c r="F104" s="113" t="s">
        <v>251</v>
      </c>
      <c r="G104" s="16" t="s">
        <v>1466</v>
      </c>
      <c r="H104" s="16" t="s">
        <v>1420</v>
      </c>
      <c r="I104" s="79" t="s">
        <v>251</v>
      </c>
      <c r="J104" s="93" t="s">
        <v>1572</v>
      </c>
      <c r="K104" s="79" t="s">
        <v>251</v>
      </c>
      <c r="L104" s="16" t="s">
        <v>1573</v>
      </c>
      <c r="M104" s="114" t="str">
        <f>VLOOKUP(A104,'BIC_(C_Variables)'!$A$3:$AS$43,45,FALSE())</f>
        <v/>
      </c>
      <c r="N104" s="1"/>
      <c r="O104" s="1"/>
      <c r="P104" s="81" t="str">
        <f>IFERROR(VLOOKUP(A104,Internal_lists_bugs!$A$2:$G7981,7,FALSE()),"please select a BUG ID")</f>
        <v>https://opendev.org/openstack/nova/commit/e71e8c2</v>
      </c>
    </row>
    <row r="105">
      <c r="A105" s="16" t="s">
        <v>35</v>
      </c>
      <c r="B105" s="50" t="str">
        <f>IFERROR(HYPERLINK(VLOOKUP(A105,Internal_lists_bugs!$A$2:$C$73,3,FALSE()), VLOOKUP(A105,Internal_lists_bugs!$A$2:$C$73,3,FALSE())&amp;Char(10) &amp; Char(10) &amp; VLOOKUP(A105,Internal_lists_bugs!$A$2:$Z$73,26,FALSE())),"please select a BUG ID")</f>
        <v>https://bugs.launchpad.net/nova/+bug/1375379
/console/websocketproxy.py</v>
      </c>
      <c r="C105" s="81" t="str">
        <f>IFERROR(VLOOKUP(A105,Internal_lists_bugs!$A$2:$I7981,9,FALSE()),"please select a BUG ID")</f>
        <v>https://review.opendev.org/c/openstack/nova/+/18864</v>
      </c>
      <c r="D105" s="114"/>
      <c r="E105" s="114"/>
      <c r="F105" s="115"/>
      <c r="G105" s="16" t="s">
        <v>1419</v>
      </c>
      <c r="H105" s="16" t="s">
        <v>1420</v>
      </c>
      <c r="I105" s="82"/>
      <c r="J105" s="92"/>
      <c r="K105" s="82"/>
      <c r="M105" s="114" t="str">
        <f>VLOOKUP(A105,'BIC_(C_Variables)'!$A$3:$AS$43,45,FALSE())</f>
        <v/>
      </c>
      <c r="N105" s="1"/>
      <c r="O105" s="1"/>
      <c r="P105" s="81" t="str">
        <f>IFERROR(VLOOKUP(A105,Internal_lists_bugs!$A$2:$G7981,7,FALSE()),"please select a BUG ID")</f>
        <v>https://opendev.org/openstack/nova/commit/e71e8c2</v>
      </c>
    </row>
    <row r="106">
      <c r="A106" s="16" t="s">
        <v>35</v>
      </c>
      <c r="B106" s="50" t="str">
        <f>IFERROR(HYPERLINK(VLOOKUP(A106,Internal_lists_bugs!$A$2:$C$73,3,FALSE()), VLOOKUP(A106,Internal_lists_bugs!$A$2:$C$73,3,FALSE())&amp;Char(10) &amp; Char(10) &amp; VLOOKUP(A106,Internal_lists_bugs!$A$2:$Z$73,26,FALSE())),"please select a BUG ID")</f>
        <v>https://bugs.launchpad.net/nova/+bug/1375379
/console/websocketproxy.py</v>
      </c>
      <c r="C106" s="81" t="str">
        <f>IFERROR(VLOOKUP(A106,Internal_lists_bugs!$A$2:$I7981,9,FALSE()),"please select a BUG ID")</f>
        <v>https://review.opendev.org/c/openstack/nova/+/18864</v>
      </c>
      <c r="D106" s="114"/>
      <c r="E106" s="114"/>
      <c r="F106" s="115"/>
      <c r="G106" s="16" t="s">
        <v>1417</v>
      </c>
      <c r="H106" s="16" t="s">
        <v>1420</v>
      </c>
      <c r="I106" s="82"/>
      <c r="J106" s="92"/>
      <c r="K106" s="82"/>
      <c r="M106" s="114" t="str">
        <f>VLOOKUP(A106,'BIC_(C_Variables)'!$A$3:$AS$43,45,FALSE())</f>
        <v/>
      </c>
      <c r="N106" s="1"/>
      <c r="O106" s="1"/>
      <c r="P106" s="81" t="str">
        <f>IFERROR(VLOOKUP(A106,Internal_lists_bugs!$A$2:$G7981,7,FALSE()),"please select a BUG ID")</f>
        <v>https://opendev.org/openstack/nova/commit/e71e8c2</v>
      </c>
    </row>
    <row r="107">
      <c r="A107" s="16" t="s">
        <v>35</v>
      </c>
      <c r="B107" s="50" t="str">
        <f>IFERROR(HYPERLINK(VLOOKUP(A107,Internal_lists_bugs!$A$2:$C$73,3,FALSE()), VLOOKUP(A107,Internal_lists_bugs!$A$2:$C$73,3,FALSE())&amp;Char(10) &amp; Char(10) &amp; VLOOKUP(A107,Internal_lists_bugs!$A$2:$Z$73,26,FALSE())),"please select a BUG ID")</f>
        <v>https://bugs.launchpad.net/nova/+bug/1375379
/console/websocketproxy.py</v>
      </c>
      <c r="C107" s="81" t="str">
        <f>IFERROR(VLOOKUP(A107,Internal_lists_bugs!$A$2:$I7981,9,FALSE()),"please select a BUG ID")</f>
        <v>https://review.opendev.org/c/openstack/nova/+/18864</v>
      </c>
      <c r="D107" s="114"/>
      <c r="E107" s="114"/>
      <c r="F107" s="115"/>
      <c r="G107" s="16" t="s">
        <v>1494</v>
      </c>
      <c r="H107" s="16" t="s">
        <v>1420</v>
      </c>
      <c r="I107" s="82"/>
      <c r="J107" s="92"/>
      <c r="K107" s="82"/>
      <c r="M107" s="114" t="str">
        <f>VLOOKUP(A107,'BIC_(C_Variables)'!$A$3:$AS$43,45,FALSE())</f>
        <v/>
      </c>
      <c r="N107" s="1"/>
      <c r="O107" s="1"/>
      <c r="P107" s="81" t="str">
        <f>IFERROR(VLOOKUP(A107,Internal_lists_bugs!$A$2:$G7981,7,FALSE()),"please select a BUG ID")</f>
        <v>https://opendev.org/openstack/nova/commit/e71e8c2</v>
      </c>
    </row>
    <row r="108">
      <c r="A108" s="16" t="s">
        <v>35</v>
      </c>
      <c r="B108" s="50" t="str">
        <f>IFERROR(HYPERLINK(VLOOKUP(A108,Internal_lists_bugs!$A$2:$C$73,3,FALSE()), VLOOKUP(A108,Internal_lists_bugs!$A$2:$C$73,3,FALSE())&amp;Char(10) &amp; Char(10) &amp; VLOOKUP(A108,Internal_lists_bugs!$A$2:$Z$73,26,FALSE())),"please select a BUG ID")</f>
        <v>https://bugs.launchpad.net/nova/+bug/1375379
/console/websocketproxy.py</v>
      </c>
      <c r="C108" s="81" t="str">
        <f>IFERROR(VLOOKUP(A108,Internal_lists_bugs!$A$2:$I7981,9,FALSE()),"please select a BUG ID")</f>
        <v>https://review.opendev.org/c/openstack/nova/+/18864</v>
      </c>
      <c r="D108" s="114"/>
      <c r="E108" s="114"/>
      <c r="F108" s="115"/>
      <c r="G108" s="16" t="s">
        <v>1428</v>
      </c>
      <c r="H108" s="16" t="s">
        <v>1574</v>
      </c>
      <c r="I108" s="82"/>
      <c r="J108" s="92"/>
      <c r="K108" s="82"/>
      <c r="M108" s="114" t="str">
        <f>VLOOKUP(A108,'BIC_(C_Variables)'!$A$3:$AS$43,45,FALSE())</f>
        <v/>
      </c>
      <c r="N108" s="1"/>
      <c r="O108" s="1"/>
      <c r="P108" s="81" t="str">
        <f>IFERROR(VLOOKUP(A108,Internal_lists_bugs!$A$2:$G7981,7,FALSE()),"please select a BUG ID")</f>
        <v>https://opendev.org/openstack/nova/commit/e71e8c2</v>
      </c>
    </row>
    <row r="109">
      <c r="A109" s="16" t="s">
        <v>35</v>
      </c>
      <c r="B109" s="50" t="str">
        <f>IFERROR(HYPERLINK(VLOOKUP(A109,Internal_lists_bugs!$A$2:$C$73,3,FALSE()), VLOOKUP(A109,Internal_lists_bugs!$A$2:$C$73,3,FALSE())&amp;Char(10) &amp; Char(10) &amp; VLOOKUP(A109,Internal_lists_bugs!$A$2:$Z$73,26,FALSE())),"please select a BUG ID")</f>
        <v>https://bugs.launchpad.net/nova/+bug/1375379
/console/websocketproxy.py</v>
      </c>
      <c r="C109" s="81" t="str">
        <f>IFERROR(VLOOKUP(A109,Internal_lists_bugs!$A$2:$I7981,9,FALSE()),"please select a BUG ID")</f>
        <v>https://review.opendev.org/c/openstack/nova/+/18864</v>
      </c>
      <c r="D109" s="114"/>
      <c r="E109" s="114"/>
      <c r="F109" s="115"/>
      <c r="G109" s="16" t="s">
        <v>1575</v>
      </c>
      <c r="H109" s="16" t="s">
        <v>1576</v>
      </c>
      <c r="I109" s="82"/>
      <c r="J109" s="92"/>
      <c r="K109" s="82"/>
      <c r="M109" s="114" t="str">
        <f>VLOOKUP(A109,'BIC_(C_Variables)'!$A$3:$AS$43,45,FALSE())</f>
        <v/>
      </c>
      <c r="N109" s="1"/>
      <c r="O109" s="1"/>
      <c r="P109" s="81" t="str">
        <f>IFERROR(VLOOKUP(A109,Internal_lists_bugs!$A$2:$G7981,7,FALSE()),"please select a BUG ID")</f>
        <v>https://opendev.org/openstack/nova/commit/e71e8c2</v>
      </c>
    </row>
    <row r="110">
      <c r="A110" s="16" t="s">
        <v>35</v>
      </c>
      <c r="B110" s="50" t="str">
        <f>IFERROR(HYPERLINK(VLOOKUP(A110,Internal_lists_bugs!$A$2:$C$73,3,FALSE()), VLOOKUP(A110,Internal_lists_bugs!$A$2:$C$73,3,FALSE())&amp;Char(10) &amp; Char(10) &amp; VLOOKUP(A110,Internal_lists_bugs!$A$2:$Z$73,26,FALSE())),"please select a BUG ID")</f>
        <v>https://bugs.launchpad.net/nova/+bug/1375379
/console/websocketproxy.py</v>
      </c>
      <c r="C110" s="81" t="str">
        <f>IFERROR(VLOOKUP(A110,Internal_lists_bugs!$A$2:$I7981,9,FALSE()),"please select a BUG ID")</f>
        <v>https://review.opendev.org/c/openstack/nova/+/18864</v>
      </c>
      <c r="D110" s="114"/>
      <c r="E110" s="114"/>
      <c r="F110" s="115"/>
      <c r="G110" s="16" t="s">
        <v>1577</v>
      </c>
      <c r="H110" s="16" t="s">
        <v>1576</v>
      </c>
      <c r="I110" s="82"/>
      <c r="J110" s="92"/>
      <c r="K110" s="82"/>
      <c r="M110" s="114" t="str">
        <f>VLOOKUP(A110,'BIC_(C_Variables)'!$A$3:$AS$43,45,FALSE())</f>
        <v/>
      </c>
      <c r="N110" s="1"/>
      <c r="O110" s="1"/>
      <c r="P110" s="81" t="str">
        <f>IFERROR(VLOOKUP(A110,Internal_lists_bugs!$A$2:$G7981,7,FALSE()),"please select a BUG ID")</f>
        <v>https://opendev.org/openstack/nova/commit/e71e8c2</v>
      </c>
    </row>
    <row r="111">
      <c r="A111" s="16" t="s">
        <v>35</v>
      </c>
      <c r="B111" s="50" t="str">
        <f>IFERROR(HYPERLINK(VLOOKUP(A111,Internal_lists_bugs!$A$2:$C$73,3,FALSE()), VLOOKUP(A111,Internal_lists_bugs!$A$2:$C$73,3,FALSE())&amp;Char(10) &amp; Char(10) &amp; VLOOKUP(A111,Internal_lists_bugs!$A$2:$Z$73,26,FALSE())),"please select a BUG ID")</f>
        <v>https://bugs.launchpad.net/nova/+bug/1375379
/console/websocketproxy.py</v>
      </c>
      <c r="C111" s="81" t="str">
        <f>IFERROR(VLOOKUP(A111,Internal_lists_bugs!$A$2:$I7981,9,FALSE()),"please select a BUG ID")</f>
        <v>https://review.opendev.org/c/openstack/nova/+/18864</v>
      </c>
      <c r="D111" s="114"/>
      <c r="E111" s="114"/>
      <c r="F111" s="115"/>
      <c r="G111" s="16" t="s">
        <v>1578</v>
      </c>
      <c r="H111" s="16" t="s">
        <v>1471</v>
      </c>
      <c r="I111" s="82"/>
      <c r="J111" s="92"/>
      <c r="K111" s="82"/>
      <c r="M111" s="114" t="str">
        <f>VLOOKUP(A111,'BIC_(C_Variables)'!$A$3:$AS$43,45,FALSE())</f>
        <v/>
      </c>
      <c r="N111" s="1"/>
      <c r="O111" s="1"/>
      <c r="P111" s="81" t="str">
        <f>IFERROR(VLOOKUP(A111,Internal_lists_bugs!$A$2:$G7981,7,FALSE()),"please select a BUG ID")</f>
        <v>https://opendev.org/openstack/nova/commit/e71e8c2</v>
      </c>
    </row>
    <row r="112">
      <c r="A112" s="16" t="s">
        <v>35</v>
      </c>
      <c r="B112" s="50" t="str">
        <f>IFERROR(HYPERLINK(VLOOKUP(A112,Internal_lists_bugs!$A$2:$C$73,3,FALSE()), VLOOKUP(A112,Internal_lists_bugs!$A$2:$C$73,3,FALSE())&amp;Char(10) &amp; Char(10) &amp; VLOOKUP(A112,Internal_lists_bugs!$A$2:$Z$73,26,FALSE())),"please select a BUG ID")</f>
        <v>https://bugs.launchpad.net/nova/+bug/1375379
/console/websocketproxy.py</v>
      </c>
      <c r="C112" s="81" t="str">
        <f>IFERROR(VLOOKUP(A112,Internal_lists_bugs!$A$2:$I7981,9,FALSE()),"please select a BUG ID")</f>
        <v>https://review.opendev.org/c/openstack/nova/+/18864</v>
      </c>
      <c r="D112" s="114"/>
      <c r="E112" s="114"/>
      <c r="F112" s="115"/>
      <c r="G112" s="16" t="s">
        <v>1520</v>
      </c>
      <c r="H112" s="16" t="s">
        <v>1471</v>
      </c>
      <c r="I112" s="82"/>
      <c r="J112" s="92"/>
      <c r="K112" s="82"/>
      <c r="M112" s="114" t="str">
        <f>VLOOKUP(A112,'BIC_(C_Variables)'!$A$3:$AS$43,45,FALSE())</f>
        <v/>
      </c>
      <c r="N112" s="1"/>
      <c r="O112" s="1"/>
      <c r="P112" s="81" t="str">
        <f>IFERROR(VLOOKUP(A112,Internal_lists_bugs!$A$2:$G7981,7,FALSE()),"please select a BUG ID")</f>
        <v>https://opendev.org/openstack/nova/commit/e71e8c2</v>
      </c>
    </row>
    <row r="113">
      <c r="A113" s="16" t="s">
        <v>35</v>
      </c>
      <c r="B113" s="50" t="str">
        <f>IFERROR(HYPERLINK(VLOOKUP(A113,Internal_lists_bugs!$A$2:$C$73,3,FALSE()), VLOOKUP(A113,Internal_lists_bugs!$A$2:$C$73,3,FALSE())&amp;Char(10) &amp; Char(10) &amp; VLOOKUP(A113,Internal_lists_bugs!$A$2:$Z$73,26,FALSE())),"please select a BUG ID")</f>
        <v>https://bugs.launchpad.net/nova/+bug/1375379
/console/websocketproxy.py</v>
      </c>
      <c r="C113" s="81" t="str">
        <f>IFERROR(VLOOKUP(A113,Internal_lists_bugs!$A$2:$I7981,9,FALSE()),"please select a BUG ID")</f>
        <v>https://review.opendev.org/c/openstack/nova/+/18864</v>
      </c>
      <c r="D113" s="114"/>
      <c r="E113" s="114"/>
      <c r="F113" s="115"/>
      <c r="G113" s="16" t="s">
        <v>1579</v>
      </c>
      <c r="H113" s="16" t="s">
        <v>1580</v>
      </c>
      <c r="I113" s="82"/>
      <c r="J113" s="92"/>
      <c r="K113" s="82"/>
      <c r="M113" s="114" t="str">
        <f>VLOOKUP(A113,'BIC_(C_Variables)'!$A$3:$AS$43,45,FALSE())</f>
        <v/>
      </c>
      <c r="N113" s="1"/>
      <c r="O113" s="1"/>
      <c r="P113" s="81" t="str">
        <f>IFERROR(VLOOKUP(A113,Internal_lists_bugs!$A$2:$G7981,7,FALSE()),"please select a BUG ID")</f>
        <v>https://opendev.org/openstack/nova/commit/e71e8c2</v>
      </c>
    </row>
    <row r="114">
      <c r="A114" s="16" t="s">
        <v>35</v>
      </c>
      <c r="B114" s="50" t="str">
        <f>IFERROR(HYPERLINK(VLOOKUP(A114,Internal_lists_bugs!$A$2:$C$73,3,FALSE()), VLOOKUP(A114,Internal_lists_bugs!$A$2:$C$73,3,FALSE())&amp;Char(10) &amp; Char(10) &amp; VLOOKUP(A114,Internal_lists_bugs!$A$2:$Z$73,26,FALSE())),"please select a BUG ID")</f>
        <v>https://bugs.launchpad.net/nova/+bug/1375379
/console/websocketproxy.py</v>
      </c>
      <c r="C114" s="81" t="str">
        <f>IFERROR(VLOOKUP(A114,Internal_lists_bugs!$A$2:$I7981,9,FALSE()),"please select a BUG ID")</f>
        <v>https://review.opendev.org/c/openstack/nova/+/18864</v>
      </c>
      <c r="D114" s="114"/>
      <c r="E114" s="114"/>
      <c r="F114" s="115"/>
      <c r="G114" s="16" t="s">
        <v>1425</v>
      </c>
      <c r="H114" s="16" t="s">
        <v>1581</v>
      </c>
      <c r="I114" s="82"/>
      <c r="J114" s="92"/>
      <c r="K114" s="82"/>
      <c r="M114" s="114" t="str">
        <f>VLOOKUP(A114,'BIC_(C_Variables)'!$A$3:$AS$43,45,FALSE())</f>
        <v/>
      </c>
      <c r="N114" s="1"/>
      <c r="O114" s="1"/>
      <c r="P114" s="81" t="str">
        <f>IFERROR(VLOOKUP(A114,Internal_lists_bugs!$A$2:$G7981,7,FALSE()),"please select a BUG ID")</f>
        <v>https://opendev.org/openstack/nova/commit/e71e8c2</v>
      </c>
    </row>
    <row r="115">
      <c r="A115" s="16" t="s">
        <v>35</v>
      </c>
      <c r="B115" s="50" t="str">
        <f>IFERROR(HYPERLINK(VLOOKUP(A115,Internal_lists_bugs!$A$2:$C$73,3,FALSE()), VLOOKUP(A115,Internal_lists_bugs!$A$2:$C$73,3,FALSE())&amp;Char(10) &amp; Char(10) &amp; VLOOKUP(A115,Internal_lists_bugs!$A$2:$Z$73,26,FALSE())),"please select a BUG ID")</f>
        <v>https://bugs.launchpad.net/nova/+bug/1375379
/console/websocketproxy.py</v>
      </c>
      <c r="C115" s="81" t="str">
        <f>IFERROR(VLOOKUP(A115,Internal_lists_bugs!$A$2:$I7981,9,FALSE()),"please select a BUG ID")</f>
        <v>https://review.opendev.org/c/openstack/nova/+/18864</v>
      </c>
      <c r="D115" s="114"/>
      <c r="E115" s="114"/>
      <c r="F115" s="115"/>
      <c r="G115" s="16" t="s">
        <v>1478</v>
      </c>
      <c r="H115" s="16" t="s">
        <v>1581</v>
      </c>
      <c r="I115" s="82"/>
      <c r="J115" s="92"/>
      <c r="K115" s="82"/>
      <c r="M115" s="114" t="str">
        <f>VLOOKUP(A115,'BIC_(C_Variables)'!$A$3:$AS$43,45,FALSE())</f>
        <v/>
      </c>
      <c r="N115" s="1"/>
      <c r="O115" s="1"/>
      <c r="P115" s="81" t="str">
        <f>IFERROR(VLOOKUP(A115,Internal_lists_bugs!$A$2:$G7981,7,FALSE()),"please select a BUG ID")</f>
        <v>https://opendev.org/openstack/nova/commit/e71e8c2</v>
      </c>
    </row>
    <row r="116">
      <c r="A116" s="16" t="s">
        <v>35</v>
      </c>
      <c r="B116" s="50" t="str">
        <f>IFERROR(HYPERLINK(VLOOKUP(A116,Internal_lists_bugs!$A$2:$C$73,3,FALSE()), VLOOKUP(A116,Internal_lists_bugs!$A$2:$C$73,3,FALSE())&amp;Char(10) &amp; Char(10) &amp; VLOOKUP(A116,Internal_lists_bugs!$A$2:$Z$73,26,FALSE())),"please select a BUG ID")</f>
        <v>https://bugs.launchpad.net/nova/+bug/1375379
/console/websocketproxy.py</v>
      </c>
      <c r="C116" s="81" t="str">
        <f>IFERROR(VLOOKUP(A116,Internal_lists_bugs!$A$2:$I7981,9,FALSE()),"please select a BUG ID")</f>
        <v>https://review.opendev.org/c/openstack/nova/+/18864</v>
      </c>
      <c r="D116" s="114"/>
      <c r="E116" s="114"/>
      <c r="F116" s="115"/>
      <c r="G116" s="16" t="s">
        <v>1474</v>
      </c>
      <c r="H116" s="16" t="s">
        <v>1582</v>
      </c>
      <c r="I116" s="82"/>
      <c r="J116" s="92"/>
      <c r="K116" s="82"/>
      <c r="M116" s="114" t="str">
        <f>VLOOKUP(A116,'BIC_(C_Variables)'!$A$3:$AS$43,45,FALSE())</f>
        <v/>
      </c>
      <c r="N116" s="1"/>
      <c r="O116" s="1"/>
      <c r="P116" s="81" t="str">
        <f>IFERROR(VLOOKUP(A116,Internal_lists_bugs!$A$2:$G7981,7,FALSE()),"please select a BUG ID")</f>
        <v>https://opendev.org/openstack/nova/commit/e71e8c2</v>
      </c>
    </row>
    <row r="117">
      <c r="A117" s="16" t="s">
        <v>35</v>
      </c>
      <c r="B117" s="50" t="str">
        <f>IFERROR(HYPERLINK(VLOOKUP(A117,Internal_lists_bugs!$A$2:$C$73,3,FALSE()), VLOOKUP(A117,Internal_lists_bugs!$A$2:$C$73,3,FALSE())&amp;Char(10) &amp; Char(10) &amp; VLOOKUP(A117,Internal_lists_bugs!$A$2:$Z$73,26,FALSE())),"please select a BUG ID")</f>
        <v>https://bugs.launchpad.net/nova/+bug/1375379
/console/websocketproxy.py</v>
      </c>
      <c r="C117" s="81" t="str">
        <f>IFERROR(VLOOKUP(A117,Internal_lists_bugs!$A$2:$I7981,9,FALSE()),"please select a BUG ID")</f>
        <v>https://review.opendev.org/c/openstack/nova/+/18864</v>
      </c>
      <c r="D117" s="114"/>
      <c r="E117" s="114"/>
      <c r="F117" s="115"/>
      <c r="G117" s="16" t="s">
        <v>1583</v>
      </c>
      <c r="H117" s="16" t="s">
        <v>1584</v>
      </c>
      <c r="I117" s="82"/>
      <c r="J117" s="92"/>
      <c r="K117" s="82"/>
      <c r="M117" s="114"/>
      <c r="N117" s="1"/>
      <c r="O117" s="1"/>
      <c r="P117" s="51"/>
    </row>
    <row r="118">
      <c r="A118" s="16" t="s">
        <v>35</v>
      </c>
      <c r="B118" s="50" t="str">
        <f>IFERROR(HYPERLINK(VLOOKUP(A118,Internal_lists_bugs!$A$2:$C$73,3,FALSE()), VLOOKUP(A118,Internal_lists_bugs!$A$2:$C$73,3,FALSE())&amp;Char(10) &amp; Char(10) &amp; VLOOKUP(A118,Internal_lists_bugs!$A$2:$Z$73,26,FALSE())),"please select a BUG ID")</f>
        <v>https://bugs.launchpad.net/nova/+bug/1375379
/console/websocketproxy.py</v>
      </c>
      <c r="C118" s="81" t="str">
        <f>IFERROR(VLOOKUP(A118,Internal_lists_bugs!$A$2:$I7981,9,FALSE()),"please select a BUG ID")</f>
        <v>https://review.opendev.org/c/openstack/nova/+/18864</v>
      </c>
      <c r="D118" s="114"/>
      <c r="E118" s="114"/>
      <c r="F118" s="115"/>
      <c r="G118" s="16" t="s">
        <v>1456</v>
      </c>
      <c r="H118" s="16" t="s">
        <v>1584</v>
      </c>
      <c r="I118" s="82"/>
      <c r="J118" s="92"/>
      <c r="K118" s="82"/>
      <c r="M118" s="114" t="str">
        <f>VLOOKUP(A118,'BIC_(C_Variables)'!$A$3:$AS$43,45,FALSE())</f>
        <v/>
      </c>
      <c r="N118" s="1"/>
      <c r="O118" s="1"/>
      <c r="P118" s="81" t="str">
        <f>IFERROR(VLOOKUP(A118,Internal_lists_bugs!$A$2:$G7981,7,FALSE()),"please select a BUG ID")</f>
        <v>https://opendev.org/openstack/nova/commit/e71e8c2</v>
      </c>
    </row>
    <row r="119">
      <c r="A119" s="16" t="s">
        <v>35</v>
      </c>
      <c r="B119" s="50" t="str">
        <f>IFERROR(HYPERLINK(VLOOKUP(A119,Internal_lists_bugs!$A$2:$C$73,3,FALSE()), VLOOKUP(A119,Internal_lists_bugs!$A$2:$C$73,3,FALSE())&amp;Char(10) &amp; Char(10) &amp; VLOOKUP(A119,Internal_lists_bugs!$A$2:$Z$73,26,FALSE())),"please select a BUG ID")</f>
        <v>https://bugs.launchpad.net/nova/+bug/1375379
/console/websocketproxy.py</v>
      </c>
      <c r="C119" s="81" t="str">
        <f>IFERROR(VLOOKUP(A119,Internal_lists_bugs!$A$2:$I7981,9,FALSE()),"please select a BUG ID")</f>
        <v>https://review.opendev.org/c/openstack/nova/+/18864</v>
      </c>
      <c r="D119" s="112"/>
      <c r="E119" s="112"/>
      <c r="F119" s="113"/>
      <c r="G119" s="16" t="s">
        <v>1460</v>
      </c>
      <c r="H119" s="16" t="s">
        <v>1461</v>
      </c>
      <c r="I119" s="79"/>
      <c r="J119" s="92"/>
      <c r="K119" s="79"/>
      <c r="M119" s="114" t="str">
        <f>VLOOKUP(A119,'BIC_(C_Variables)'!$A$3:$AS$43,45,FALSE())</f>
        <v/>
      </c>
      <c r="N119" s="1"/>
      <c r="O119" s="1"/>
      <c r="P119" s="81" t="str">
        <f>IFERROR(VLOOKUP(A119,Internal_lists_bugs!$A$2:$G7981,7,FALSE()),"please select a BUG ID")</f>
        <v>https://opendev.org/openstack/nova/commit/e71e8c2</v>
      </c>
    </row>
    <row r="120">
      <c r="A120" s="16" t="s">
        <v>36</v>
      </c>
      <c r="B120" s="50" t="str">
        <f>IFERROR(HYPERLINK(VLOOKUP(A120,Internal_lists_bugs!$A$2:$C$73,3,FALSE()), VLOOKUP(A120,Internal_lists_bugs!$A$2:$C$73,3,FALSE())&amp;Char(10) &amp; Char(10) &amp; VLOOKUP(A120,Internal_lists_bugs!$A$2:$Z$73,26,FALSE())),"please select a BUG ID")</f>
        <v>https://bugs.launchpad.net/nova/+bug/1486541
/compute/cells_api.py</v>
      </c>
      <c r="C120" s="81" t="str">
        <f>IFERROR(VLOOKUP(A120,Internal_lists_bugs!$A$2:$I7981,9,FALSE()),"please select a BUG ID")</f>
        <v>https://review.opendev.org/c/openstack/nova/+/70747</v>
      </c>
      <c r="D120" s="112" t="s">
        <v>1412</v>
      </c>
      <c r="E120" s="112" t="s">
        <v>1462</v>
      </c>
      <c r="F120" s="113" t="s">
        <v>251</v>
      </c>
      <c r="G120" s="16" t="s">
        <v>1466</v>
      </c>
      <c r="H120" s="16" t="s">
        <v>1420</v>
      </c>
      <c r="I120" s="79" t="s">
        <v>124</v>
      </c>
      <c r="J120" s="92"/>
      <c r="K120" s="79" t="s">
        <v>124</v>
      </c>
      <c r="M120" s="114" t="str">
        <f>VLOOKUP(A120,'BIC_(C_Variables)'!$A$3:$AS$43,45,FALSE())</f>
        <v>xx_ file not presnt in the commit</v>
      </c>
      <c r="N120" s="1"/>
      <c r="O120" s="1"/>
      <c r="P120" s="81" t="str">
        <f>IFERROR(VLOOKUP(A120,Internal_lists_bugs!$A$2:$G7981,7,FALSE()),"please select a BUG ID")</f>
        <v>https://opendev.org/openstack/nova/commit/f5071bd1ac00ed68102d37c8025</v>
      </c>
    </row>
    <row r="121">
      <c r="A121" s="16" t="s">
        <v>36</v>
      </c>
      <c r="B121" s="50" t="str">
        <f>IFERROR(HYPERLINK(VLOOKUP(A121,Internal_lists_bugs!$A$2:$C$73,3,FALSE()), VLOOKUP(A121,Internal_lists_bugs!$A$2:$C$73,3,FALSE())&amp;Char(10) &amp; Char(10) &amp; VLOOKUP(A121,Internal_lists_bugs!$A$2:$Z$73,26,FALSE())),"please select a BUG ID")</f>
        <v>https://bugs.launchpad.net/nova/+bug/1486541
/compute/cells_api.py</v>
      </c>
      <c r="C121" s="81" t="str">
        <f>IFERROR(VLOOKUP(A121,Internal_lists_bugs!$A$2:$I7981,9,FALSE()),"please select a BUG ID")</f>
        <v>https://review.opendev.org/c/openstack/nova/+/70747</v>
      </c>
      <c r="D121" s="114"/>
      <c r="E121" s="114"/>
      <c r="F121" s="115"/>
      <c r="G121" s="16" t="s">
        <v>1417</v>
      </c>
      <c r="H121" s="16" t="s">
        <v>1420</v>
      </c>
      <c r="I121" s="82"/>
      <c r="J121" s="92"/>
      <c r="K121" s="82"/>
      <c r="M121" s="114" t="str">
        <f>VLOOKUP(A121,'BIC_(C_Variables)'!$A$3:$AS$43,45,FALSE())</f>
        <v>xx_ file not presnt in the commit</v>
      </c>
      <c r="N121" s="1"/>
      <c r="O121" s="1"/>
      <c r="P121" s="81" t="str">
        <f>IFERROR(VLOOKUP(A121,Internal_lists_bugs!$A$2:$G7981,7,FALSE()),"please select a BUG ID")</f>
        <v>https://opendev.org/openstack/nova/commit/f5071bd1ac00ed68102d37c8025</v>
      </c>
    </row>
    <row r="122">
      <c r="A122" s="16" t="s">
        <v>36</v>
      </c>
      <c r="B122" s="50" t="str">
        <f>IFERROR(HYPERLINK(VLOOKUP(A122,Internal_lists_bugs!$A$2:$C$73,3,FALSE()), VLOOKUP(A122,Internal_lists_bugs!$A$2:$C$73,3,FALSE())&amp;Char(10) &amp; Char(10) &amp; VLOOKUP(A122,Internal_lists_bugs!$A$2:$Z$73,26,FALSE())),"please select a BUG ID")</f>
        <v>https://bugs.launchpad.net/nova/+bug/1486541
/compute/cells_api.py</v>
      </c>
      <c r="C122" s="81" t="str">
        <f>IFERROR(VLOOKUP(A122,Internal_lists_bugs!$A$2:$I7981,9,FALSE()),"please select a BUG ID")</f>
        <v>https://review.opendev.org/c/openstack/nova/+/70747</v>
      </c>
      <c r="D122" s="114"/>
      <c r="E122" s="114"/>
      <c r="F122" s="115"/>
      <c r="G122" s="16" t="s">
        <v>1419</v>
      </c>
      <c r="H122" s="16" t="s">
        <v>1420</v>
      </c>
      <c r="I122" s="82"/>
      <c r="J122" s="92"/>
      <c r="K122" s="82"/>
      <c r="M122" s="114" t="str">
        <f>VLOOKUP(A122,'BIC_(C_Variables)'!$A$3:$AS$43,45,FALSE())</f>
        <v>xx_ file not presnt in the commit</v>
      </c>
      <c r="N122" s="1"/>
      <c r="O122" s="1"/>
      <c r="P122" s="81" t="str">
        <f>IFERROR(VLOOKUP(A122,Internal_lists_bugs!$A$2:$G7981,7,FALSE()),"please select a BUG ID")</f>
        <v>https://opendev.org/openstack/nova/commit/f5071bd1ac00ed68102d37c8025</v>
      </c>
    </row>
    <row r="123">
      <c r="A123" s="16" t="s">
        <v>36</v>
      </c>
      <c r="B123" s="50" t="str">
        <f>IFERROR(HYPERLINK(VLOOKUP(A123,Internal_lists_bugs!$A$2:$C$73,3,FALSE()), VLOOKUP(A123,Internal_lists_bugs!$A$2:$C$73,3,FALSE())&amp;Char(10) &amp; Char(10) &amp; VLOOKUP(A123,Internal_lists_bugs!$A$2:$Z$73,26,FALSE())),"please select a BUG ID")</f>
        <v>https://bugs.launchpad.net/nova/+bug/1486541
/compute/cells_api.py</v>
      </c>
      <c r="C123" s="81" t="str">
        <f>IFERROR(VLOOKUP(A123,Internal_lists_bugs!$A$2:$I7981,9,FALSE()),"please select a BUG ID")</f>
        <v>https://review.opendev.org/c/openstack/nova/+/70747</v>
      </c>
      <c r="D123" s="114"/>
      <c r="E123" s="114"/>
      <c r="F123" s="115"/>
      <c r="G123" s="16" t="s">
        <v>1428</v>
      </c>
      <c r="H123" s="16" t="s">
        <v>1585</v>
      </c>
      <c r="I123" s="82"/>
      <c r="J123" s="92"/>
      <c r="K123" s="82"/>
      <c r="M123" s="114" t="str">
        <f>VLOOKUP(A123,'BIC_(C_Variables)'!$A$3:$AS$43,45,FALSE())</f>
        <v>xx_ file not presnt in the commit</v>
      </c>
      <c r="N123" s="1"/>
      <c r="O123" s="1"/>
      <c r="P123" s="81" t="str">
        <f>IFERROR(VLOOKUP(A123,Internal_lists_bugs!$A$2:$G7981,7,FALSE()),"please select a BUG ID")</f>
        <v>https://opendev.org/openstack/nova/commit/f5071bd1ac00ed68102d37c8025</v>
      </c>
    </row>
    <row r="124">
      <c r="A124" s="16" t="s">
        <v>36</v>
      </c>
      <c r="B124" s="50" t="str">
        <f>IFERROR(HYPERLINK(VLOOKUP(A124,Internal_lists_bugs!$A$2:$C$73,3,FALSE()), VLOOKUP(A124,Internal_lists_bugs!$A$2:$C$73,3,FALSE())&amp;Char(10) &amp; Char(10) &amp; VLOOKUP(A124,Internal_lists_bugs!$A$2:$Z$73,26,FALSE())),"please select a BUG ID")</f>
        <v>https://bugs.launchpad.net/nova/+bug/1486541
/compute/cells_api.py</v>
      </c>
      <c r="C124" s="81" t="str">
        <f>IFERROR(VLOOKUP(A124,Internal_lists_bugs!$A$2:$I7981,9,FALSE()),"please select a BUG ID")</f>
        <v>https://review.opendev.org/c/openstack/nova/+/70747</v>
      </c>
      <c r="D124" s="114"/>
      <c r="E124" s="114"/>
      <c r="F124" s="115"/>
      <c r="G124" s="16" t="s">
        <v>1586</v>
      </c>
      <c r="H124" s="16" t="s">
        <v>1587</v>
      </c>
      <c r="I124" s="82"/>
      <c r="J124" s="92"/>
      <c r="K124" s="82"/>
      <c r="M124" s="114" t="str">
        <f>VLOOKUP(A124,'BIC_(C_Variables)'!$A$3:$AS$43,45,FALSE())</f>
        <v>xx_ file not presnt in the commit</v>
      </c>
      <c r="N124" s="1"/>
      <c r="O124" s="1"/>
      <c r="P124" s="81" t="str">
        <f>IFERROR(VLOOKUP(A124,Internal_lists_bugs!$A$2:$G7981,7,FALSE()),"please select a BUG ID")</f>
        <v>https://opendev.org/openstack/nova/commit/f5071bd1ac00ed68102d37c8025</v>
      </c>
    </row>
    <row r="125">
      <c r="A125" s="16" t="s">
        <v>36</v>
      </c>
      <c r="B125" s="50" t="str">
        <f>IFERROR(HYPERLINK(VLOOKUP(A125,Internal_lists_bugs!$A$2:$C$73,3,FALSE()), VLOOKUP(A125,Internal_lists_bugs!$A$2:$C$73,3,FALSE())&amp;Char(10) &amp; Char(10) &amp; VLOOKUP(A125,Internal_lists_bugs!$A$2:$Z$73,26,FALSE())),"please select a BUG ID")</f>
        <v>https://bugs.launchpad.net/nova/+bug/1486541
/compute/cells_api.py</v>
      </c>
      <c r="C125" s="81" t="str">
        <f>IFERROR(VLOOKUP(A125,Internal_lists_bugs!$A$2:$I7981,9,FALSE()),"please select a BUG ID")</f>
        <v>https://review.opendev.org/c/openstack/nova/+/70747</v>
      </c>
      <c r="D125" s="114"/>
      <c r="E125" s="114"/>
      <c r="F125" s="115"/>
      <c r="G125" s="16" t="s">
        <v>1588</v>
      </c>
      <c r="H125" s="16" t="s">
        <v>1589</v>
      </c>
      <c r="I125" s="82"/>
      <c r="J125" s="92"/>
      <c r="K125" s="82"/>
      <c r="M125" s="114" t="str">
        <f>VLOOKUP(A125,'BIC_(C_Variables)'!$A$3:$AS$43,45,FALSE())</f>
        <v>xx_ file not presnt in the commit</v>
      </c>
      <c r="N125" s="1"/>
      <c r="O125" s="1"/>
      <c r="P125" s="81" t="str">
        <f>IFERROR(VLOOKUP(A125,Internal_lists_bugs!$A$2:$G7981,7,FALSE()),"please select a BUG ID")</f>
        <v>https://opendev.org/openstack/nova/commit/f5071bd1ac00ed68102d37c8025</v>
      </c>
    </row>
    <row r="126">
      <c r="A126" s="16" t="s">
        <v>36</v>
      </c>
      <c r="B126" s="50" t="str">
        <f>IFERROR(HYPERLINK(VLOOKUP(A126,Internal_lists_bugs!$A$2:$C$73,3,FALSE()), VLOOKUP(A126,Internal_lists_bugs!$A$2:$C$73,3,FALSE())&amp;Char(10) &amp; Char(10) &amp; VLOOKUP(A126,Internal_lists_bugs!$A$2:$Z$73,26,FALSE())),"please select a BUG ID")</f>
        <v>https://bugs.launchpad.net/nova/+bug/1486541
/compute/cells_api.py</v>
      </c>
      <c r="C126" s="81" t="str">
        <f>IFERROR(VLOOKUP(A126,Internal_lists_bugs!$A$2:$I7981,9,FALSE()),"please select a BUG ID")</f>
        <v>https://review.opendev.org/c/openstack/nova/+/70747</v>
      </c>
      <c r="D126" s="114"/>
      <c r="E126" s="114"/>
      <c r="F126" s="115"/>
      <c r="G126" s="16" t="s">
        <v>1590</v>
      </c>
      <c r="H126" s="16" t="s">
        <v>1591</v>
      </c>
      <c r="I126" s="82"/>
      <c r="J126" s="92"/>
      <c r="K126" s="82"/>
      <c r="M126" s="114" t="str">
        <f>VLOOKUP(A126,'BIC_(C_Variables)'!$A$3:$AS$43,45,FALSE())</f>
        <v>xx_ file not presnt in the commit</v>
      </c>
      <c r="N126" s="1"/>
      <c r="O126" s="1"/>
      <c r="P126" s="81" t="str">
        <f>IFERROR(VLOOKUP(A126,Internal_lists_bugs!$A$2:$G7981,7,FALSE()),"please select a BUG ID")</f>
        <v>https://opendev.org/openstack/nova/commit/f5071bd1ac00ed68102d37c8025</v>
      </c>
    </row>
    <row r="127">
      <c r="A127" s="16" t="s">
        <v>36</v>
      </c>
      <c r="B127" s="50" t="str">
        <f>IFERROR(HYPERLINK(VLOOKUP(A127,Internal_lists_bugs!$A$2:$C$73,3,FALSE()), VLOOKUP(A127,Internal_lists_bugs!$A$2:$C$73,3,FALSE())&amp;Char(10) &amp; Char(10) &amp; VLOOKUP(A127,Internal_lists_bugs!$A$2:$Z$73,26,FALSE())),"please select a BUG ID")</f>
        <v>https://bugs.launchpad.net/nova/+bug/1486541
/compute/cells_api.py</v>
      </c>
      <c r="C127" s="81" t="str">
        <f>IFERROR(VLOOKUP(A127,Internal_lists_bugs!$A$2:$I7981,9,FALSE()),"please select a BUG ID")</f>
        <v>https://review.opendev.org/c/openstack/nova/+/70747</v>
      </c>
      <c r="D127" s="114"/>
      <c r="E127" s="114"/>
      <c r="F127" s="115"/>
      <c r="G127" s="16" t="s">
        <v>1425</v>
      </c>
      <c r="H127" s="16" t="s">
        <v>1592</v>
      </c>
      <c r="I127" s="82"/>
      <c r="J127" s="92"/>
      <c r="K127" s="82"/>
      <c r="M127" s="114" t="str">
        <f>VLOOKUP(A127,'BIC_(C_Variables)'!$A$3:$AS$43,45,FALSE())</f>
        <v>xx_ file not presnt in the commit</v>
      </c>
      <c r="N127" s="1"/>
      <c r="O127" s="1"/>
      <c r="P127" s="81" t="str">
        <f>IFERROR(VLOOKUP(A127,Internal_lists_bugs!$A$2:$G7981,7,FALSE()),"please select a BUG ID")</f>
        <v>https://opendev.org/openstack/nova/commit/f5071bd1ac00ed68102d37c8025</v>
      </c>
    </row>
    <row r="128">
      <c r="A128" s="16" t="s">
        <v>36</v>
      </c>
      <c r="B128" s="50" t="str">
        <f>IFERROR(HYPERLINK(VLOOKUP(A128,Internal_lists_bugs!$A$2:$C$73,3,FALSE()), VLOOKUP(A128,Internal_lists_bugs!$A$2:$C$73,3,FALSE())&amp;Char(10) &amp; Char(10) &amp; VLOOKUP(A128,Internal_lists_bugs!$A$2:$Z$73,26,FALSE())),"please select a BUG ID")</f>
        <v>https://bugs.launchpad.net/nova/+bug/1486541
/compute/cells_api.py</v>
      </c>
      <c r="C128" s="81" t="str">
        <f>IFERROR(VLOOKUP(A128,Internal_lists_bugs!$A$2:$I7981,9,FALSE()),"please select a BUG ID")</f>
        <v>https://review.opendev.org/c/openstack/nova/+/70747</v>
      </c>
      <c r="D128" s="114"/>
      <c r="E128" s="114"/>
      <c r="F128" s="115"/>
      <c r="G128" s="16" t="s">
        <v>1432</v>
      </c>
      <c r="H128" s="16" t="s">
        <v>1592</v>
      </c>
      <c r="I128" s="82"/>
      <c r="J128" s="92"/>
      <c r="K128" s="82"/>
      <c r="M128" s="114" t="str">
        <f>VLOOKUP(A128,'BIC_(C_Variables)'!$A$3:$AS$43,45,FALSE())</f>
        <v>xx_ file not presnt in the commit</v>
      </c>
      <c r="N128" s="1"/>
      <c r="O128" s="1"/>
      <c r="P128" s="81" t="str">
        <f>IFERROR(VLOOKUP(A128,Internal_lists_bugs!$A$2:$G7981,7,FALSE()),"please select a BUG ID")</f>
        <v>https://opendev.org/openstack/nova/commit/f5071bd1ac00ed68102d37c8025</v>
      </c>
    </row>
    <row r="129">
      <c r="A129" s="16" t="s">
        <v>36</v>
      </c>
      <c r="B129" s="50" t="str">
        <f>IFERROR(HYPERLINK(VLOOKUP(A129,Internal_lists_bugs!$A$2:$C$73,3,FALSE()), VLOOKUP(A129,Internal_lists_bugs!$A$2:$C$73,3,FALSE())&amp;Char(10) &amp; Char(10) &amp; VLOOKUP(A129,Internal_lists_bugs!$A$2:$Z$73,26,FALSE())),"please select a BUG ID")</f>
        <v>https://bugs.launchpad.net/nova/+bug/1486541
/compute/cells_api.py</v>
      </c>
      <c r="C129" s="81" t="str">
        <f>IFERROR(VLOOKUP(A129,Internal_lists_bugs!$A$2:$I7981,9,FALSE()),"please select a BUG ID")</f>
        <v>https://review.opendev.org/c/openstack/nova/+/70747</v>
      </c>
      <c r="D129" s="114"/>
      <c r="E129" s="114"/>
      <c r="F129" s="115"/>
      <c r="G129" s="16" t="s">
        <v>1478</v>
      </c>
      <c r="H129" s="16" t="s">
        <v>1592</v>
      </c>
      <c r="I129" s="82"/>
      <c r="J129" s="92"/>
      <c r="K129" s="82"/>
      <c r="M129" s="114" t="str">
        <f>VLOOKUP(A129,'BIC_(C_Variables)'!$A$3:$AS$43,45,FALSE())</f>
        <v>xx_ file not presnt in the commit</v>
      </c>
      <c r="N129" s="1"/>
      <c r="O129" s="1"/>
      <c r="P129" s="81" t="str">
        <f>IFERROR(VLOOKUP(A129,Internal_lists_bugs!$A$2:$G7981,7,FALSE()),"please select a BUG ID")</f>
        <v>https://opendev.org/openstack/nova/commit/f5071bd1ac00ed68102d37c8025</v>
      </c>
    </row>
    <row r="130">
      <c r="A130" s="16" t="s">
        <v>36</v>
      </c>
      <c r="B130" s="50" t="str">
        <f>IFERROR(HYPERLINK(VLOOKUP(A130,Internal_lists_bugs!$A$2:$C$73,3,FALSE()), VLOOKUP(A130,Internal_lists_bugs!$A$2:$C$73,3,FALSE())&amp;Char(10) &amp; Char(10) &amp; VLOOKUP(A130,Internal_lists_bugs!$A$2:$Z$73,26,FALSE())),"please select a BUG ID")</f>
        <v>https://bugs.launchpad.net/nova/+bug/1486541
/compute/cells_api.py</v>
      </c>
      <c r="C130" s="81" t="str">
        <f>IFERROR(VLOOKUP(A130,Internal_lists_bugs!$A$2:$I7981,9,FALSE()),"please select a BUG ID")</f>
        <v>https://review.opendev.org/c/openstack/nova/+/70747</v>
      </c>
      <c r="D130" s="114"/>
      <c r="E130" s="114"/>
      <c r="F130" s="115"/>
      <c r="G130" s="16" t="s">
        <v>1432</v>
      </c>
      <c r="H130" s="16" t="s">
        <v>1593</v>
      </c>
      <c r="I130" s="82"/>
      <c r="J130" s="92"/>
      <c r="K130" s="82"/>
      <c r="M130" s="114" t="str">
        <f>VLOOKUP(A130,'BIC_(C_Variables)'!$A$3:$AS$43,45,FALSE())</f>
        <v>xx_ file not presnt in the commit</v>
      </c>
      <c r="N130" s="1"/>
      <c r="O130" s="1"/>
      <c r="P130" s="81" t="str">
        <f>IFERROR(VLOOKUP(A130,Internal_lists_bugs!$A$2:$G7981,7,FALSE()),"please select a BUG ID")</f>
        <v>https://opendev.org/openstack/nova/commit/f5071bd1ac00ed68102d37c8025</v>
      </c>
    </row>
    <row r="131">
      <c r="A131" s="16" t="s">
        <v>36</v>
      </c>
      <c r="B131" s="50" t="str">
        <f>IFERROR(HYPERLINK(VLOOKUP(A131,Internal_lists_bugs!$A$2:$C$73,3,FALSE()), VLOOKUP(A131,Internal_lists_bugs!$A$2:$C$73,3,FALSE())&amp;Char(10) &amp; Char(10) &amp; VLOOKUP(A131,Internal_lists_bugs!$A$2:$Z$73,26,FALSE())),"please select a BUG ID")</f>
        <v>https://bugs.launchpad.net/nova/+bug/1486541
/compute/cells_api.py</v>
      </c>
      <c r="C131" s="81" t="str">
        <f>IFERROR(VLOOKUP(A131,Internal_lists_bugs!$A$2:$I7981,9,FALSE()),"please select a BUG ID")</f>
        <v>https://review.opendev.org/c/openstack/nova/+/70747</v>
      </c>
      <c r="D131" s="114"/>
      <c r="E131" s="114"/>
      <c r="F131" s="115"/>
      <c r="G131" s="16" t="s">
        <v>1441</v>
      </c>
      <c r="H131" s="16" t="s">
        <v>1593</v>
      </c>
      <c r="I131" s="82"/>
      <c r="J131" s="92"/>
      <c r="K131" s="82"/>
      <c r="M131" s="114" t="str">
        <f>VLOOKUP(A131,'BIC_(C_Variables)'!$A$3:$AS$43,45,FALSE())</f>
        <v>xx_ file not presnt in the commit</v>
      </c>
      <c r="N131" s="1"/>
      <c r="O131" s="1"/>
      <c r="P131" s="81" t="str">
        <f>IFERROR(VLOOKUP(A131,Internal_lists_bugs!$A$2:$G7981,7,FALSE()),"please select a BUG ID")</f>
        <v>https://opendev.org/openstack/nova/commit/f5071bd1ac00ed68102d37c8025</v>
      </c>
    </row>
    <row r="132">
      <c r="A132" s="16" t="s">
        <v>36</v>
      </c>
      <c r="B132" s="50" t="str">
        <f>IFERROR(HYPERLINK(VLOOKUP(A132,Internal_lists_bugs!$A$2:$C$73,3,FALSE()), VLOOKUP(A132,Internal_lists_bugs!$A$2:$C$73,3,FALSE())&amp;Char(10) &amp; Char(10) &amp; VLOOKUP(A132,Internal_lists_bugs!$A$2:$Z$73,26,FALSE())),"please select a BUG ID")</f>
        <v>https://bugs.launchpad.net/nova/+bug/1486541
/compute/cells_api.py</v>
      </c>
      <c r="C132" s="81" t="str">
        <f>IFERROR(VLOOKUP(A132,Internal_lists_bugs!$A$2:$I7981,9,FALSE()),"please select a BUG ID")</f>
        <v>https://review.opendev.org/c/openstack/nova/+/70747</v>
      </c>
      <c r="D132" s="114"/>
      <c r="E132" s="114"/>
      <c r="F132" s="115"/>
      <c r="G132" s="16" t="s">
        <v>1427</v>
      </c>
      <c r="H132" s="16" t="s">
        <v>1593</v>
      </c>
      <c r="I132" s="82"/>
      <c r="J132" s="92"/>
      <c r="K132" s="82"/>
      <c r="M132" s="114" t="str">
        <f>VLOOKUP(A132,'BIC_(C_Variables)'!$A$3:$AS$43,45,FALSE())</f>
        <v>xx_ file not presnt in the commit</v>
      </c>
      <c r="N132" s="1"/>
      <c r="O132" s="1"/>
      <c r="P132" s="81" t="str">
        <f>IFERROR(VLOOKUP(A132,Internal_lists_bugs!$A$2:$G7981,7,FALSE()),"please select a BUG ID")</f>
        <v>https://opendev.org/openstack/nova/commit/f5071bd1ac00ed68102d37c8025</v>
      </c>
    </row>
    <row r="133">
      <c r="A133" s="16" t="s">
        <v>36</v>
      </c>
      <c r="B133" s="50" t="str">
        <f>IFERROR(HYPERLINK(VLOOKUP(A133,Internal_lists_bugs!$A$2:$C$73,3,FALSE()), VLOOKUP(A133,Internal_lists_bugs!$A$2:$C$73,3,FALSE())&amp;Char(10) &amp; Char(10) &amp; VLOOKUP(A133,Internal_lists_bugs!$A$2:$Z$73,26,FALSE())),"please select a BUG ID")</f>
        <v>https://bugs.launchpad.net/nova/+bug/1486541
/compute/cells_api.py</v>
      </c>
      <c r="C133" s="81" t="str">
        <f>IFERROR(VLOOKUP(A133,Internal_lists_bugs!$A$2:$I7981,9,FALSE()),"please select a BUG ID")</f>
        <v>https://review.opendev.org/c/openstack/nova/+/70747</v>
      </c>
      <c r="D133" s="114"/>
      <c r="E133" s="114"/>
      <c r="F133" s="115"/>
      <c r="G133" s="16" t="s">
        <v>1594</v>
      </c>
      <c r="H133" s="16" t="s">
        <v>1595</v>
      </c>
      <c r="I133" s="82"/>
      <c r="J133" s="92"/>
      <c r="K133" s="82"/>
      <c r="M133" s="114" t="str">
        <f>VLOOKUP(A133,'BIC_(C_Variables)'!$A$3:$AS$43,45,FALSE())</f>
        <v>xx_ file not presnt in the commit</v>
      </c>
      <c r="N133" s="1"/>
      <c r="O133" s="1"/>
      <c r="P133" s="81" t="str">
        <f>IFERROR(VLOOKUP(A133,Internal_lists_bugs!$A$2:$G7981,7,FALSE()),"please select a BUG ID")</f>
        <v>https://opendev.org/openstack/nova/commit/f5071bd1ac00ed68102d37c8025</v>
      </c>
    </row>
    <row r="134">
      <c r="A134" s="16" t="s">
        <v>36</v>
      </c>
      <c r="B134" s="50" t="str">
        <f>IFERROR(HYPERLINK(VLOOKUP(A134,Internal_lists_bugs!$A$2:$C$73,3,FALSE()), VLOOKUP(A134,Internal_lists_bugs!$A$2:$C$73,3,FALSE())&amp;Char(10) &amp; Char(10) &amp; VLOOKUP(A134,Internal_lists_bugs!$A$2:$Z$73,26,FALSE())),"please select a BUG ID")</f>
        <v>https://bugs.launchpad.net/nova/+bug/1486541
/compute/cells_api.py</v>
      </c>
      <c r="C134" s="81" t="str">
        <f>IFERROR(VLOOKUP(A134,Internal_lists_bugs!$A$2:$I7981,9,FALSE()),"please select a BUG ID")</f>
        <v>https://review.opendev.org/c/openstack/nova/+/70747</v>
      </c>
      <c r="D134" s="114"/>
      <c r="E134" s="114"/>
      <c r="F134" s="115"/>
      <c r="G134" s="16" t="s">
        <v>1577</v>
      </c>
      <c r="H134" s="16" t="s">
        <v>1595</v>
      </c>
      <c r="I134" s="82"/>
      <c r="J134" s="92"/>
      <c r="K134" s="82"/>
      <c r="M134" s="114" t="str">
        <f>VLOOKUP(A134,'BIC_(C_Variables)'!$A$3:$AS$43,45,FALSE())</f>
        <v>xx_ file not presnt in the commit</v>
      </c>
      <c r="N134" s="1"/>
      <c r="O134" s="1"/>
      <c r="P134" s="81" t="str">
        <f>IFERROR(VLOOKUP(A134,Internal_lists_bugs!$A$2:$G7981,7,FALSE()),"please select a BUG ID")</f>
        <v>https://opendev.org/openstack/nova/commit/f5071bd1ac00ed68102d37c8025</v>
      </c>
    </row>
    <row r="135">
      <c r="A135" s="16" t="s">
        <v>36</v>
      </c>
      <c r="B135" s="50" t="str">
        <f>IFERROR(HYPERLINK(VLOOKUP(A135,Internal_lists_bugs!$A$2:$C$73,3,FALSE()), VLOOKUP(A135,Internal_lists_bugs!$A$2:$C$73,3,FALSE())&amp;Char(10) &amp; Char(10) &amp; VLOOKUP(A135,Internal_lists_bugs!$A$2:$Z$73,26,FALSE())),"please select a BUG ID")</f>
        <v>https://bugs.launchpad.net/nova/+bug/1486541
/compute/cells_api.py</v>
      </c>
      <c r="C135" s="81" t="str">
        <f>IFERROR(VLOOKUP(A135,Internal_lists_bugs!$A$2:$I7981,9,FALSE()),"please select a BUG ID")</f>
        <v>https://review.opendev.org/c/openstack/nova/+/70747</v>
      </c>
      <c r="D135" s="114"/>
      <c r="E135" s="114"/>
      <c r="F135" s="115"/>
      <c r="G135" s="16" t="s">
        <v>1443</v>
      </c>
      <c r="H135" s="16" t="s">
        <v>1596</v>
      </c>
      <c r="I135" s="82"/>
      <c r="J135" s="92"/>
      <c r="K135" s="82"/>
      <c r="M135" s="114" t="str">
        <f>VLOOKUP(A135,'BIC_(C_Variables)'!$A$3:$AS$43,45,FALSE())</f>
        <v>xx_ file not presnt in the commit</v>
      </c>
      <c r="N135" s="1"/>
      <c r="O135" s="1"/>
      <c r="P135" s="81" t="str">
        <f>IFERROR(VLOOKUP(A135,Internal_lists_bugs!$A$2:$G7981,7,FALSE()),"please select a BUG ID")</f>
        <v>https://opendev.org/openstack/nova/commit/f5071bd1ac00ed68102d37c8025</v>
      </c>
    </row>
    <row r="136">
      <c r="A136" s="16" t="s">
        <v>36</v>
      </c>
      <c r="B136" s="50" t="str">
        <f>IFERROR(HYPERLINK(VLOOKUP(A136,Internal_lists_bugs!$A$2:$C$73,3,FALSE()), VLOOKUP(A136,Internal_lists_bugs!$A$2:$C$73,3,FALSE())&amp;Char(10) &amp; Char(10) &amp; VLOOKUP(A136,Internal_lists_bugs!$A$2:$Z$73,26,FALSE())),"please select a BUG ID")</f>
        <v>https://bugs.launchpad.net/nova/+bug/1486541
/compute/cells_api.py</v>
      </c>
      <c r="C136" s="81" t="str">
        <f>IFERROR(VLOOKUP(A136,Internal_lists_bugs!$A$2:$I7981,9,FALSE()),"please select a BUG ID")</f>
        <v>https://review.opendev.org/c/openstack/nova/+/70747</v>
      </c>
      <c r="D136" s="114"/>
      <c r="E136" s="114"/>
      <c r="F136" s="115"/>
      <c r="G136" s="16" t="s">
        <v>1445</v>
      </c>
      <c r="H136" s="16" t="s">
        <v>1596</v>
      </c>
      <c r="I136" s="82"/>
      <c r="J136" s="92"/>
      <c r="K136" s="82"/>
      <c r="M136" s="114" t="str">
        <f>VLOOKUP(A136,'BIC_(C_Variables)'!$A$3:$AS$43,45,FALSE())</f>
        <v>xx_ file not presnt in the commit</v>
      </c>
      <c r="N136" s="1"/>
      <c r="O136" s="1"/>
      <c r="P136" s="81" t="str">
        <f>IFERROR(VLOOKUP(A136,Internal_lists_bugs!$A$2:$G7981,7,FALSE()),"please select a BUG ID")</f>
        <v>https://opendev.org/openstack/nova/commit/f5071bd1ac00ed68102d37c8025</v>
      </c>
    </row>
    <row r="137">
      <c r="A137" s="16" t="s">
        <v>36</v>
      </c>
      <c r="B137" s="50" t="str">
        <f>IFERROR(HYPERLINK(VLOOKUP(A137,Internal_lists_bugs!$A$2:$C$73,3,FALSE()), VLOOKUP(A137,Internal_lists_bugs!$A$2:$C$73,3,FALSE())&amp;Char(10) &amp; Char(10) &amp; VLOOKUP(A137,Internal_lists_bugs!$A$2:$Z$73,26,FALSE())),"please select a BUG ID")</f>
        <v>https://bugs.launchpad.net/nova/+bug/1486541
/compute/cells_api.py</v>
      </c>
      <c r="C137" s="81" t="str">
        <f>IFERROR(VLOOKUP(A137,Internal_lists_bugs!$A$2:$I7981,9,FALSE()),"please select a BUG ID")</f>
        <v>https://review.opendev.org/c/openstack/nova/+/70747</v>
      </c>
      <c r="D137" s="114"/>
      <c r="E137" s="114"/>
      <c r="F137" s="115"/>
      <c r="G137" s="16" t="s">
        <v>1597</v>
      </c>
      <c r="H137" s="16" t="s">
        <v>1598</v>
      </c>
      <c r="I137" s="82"/>
      <c r="J137" s="92"/>
      <c r="K137" s="82"/>
      <c r="M137" s="114" t="str">
        <f>VLOOKUP(A137,'BIC_(C_Variables)'!$A$3:$AS$43,45,FALSE())</f>
        <v>xx_ file not presnt in the commit</v>
      </c>
      <c r="N137" s="1"/>
      <c r="O137" s="1"/>
      <c r="P137" s="81" t="str">
        <f>IFERROR(VLOOKUP(A137,Internal_lists_bugs!$A$2:$G7981,7,FALSE()),"please select a BUG ID")</f>
        <v>https://opendev.org/openstack/nova/commit/f5071bd1ac00ed68102d37c8025</v>
      </c>
    </row>
    <row r="138">
      <c r="A138" s="16" t="s">
        <v>36</v>
      </c>
      <c r="B138" s="50" t="str">
        <f>IFERROR(HYPERLINK(VLOOKUP(A138,Internal_lists_bugs!$A$2:$C$73,3,FALSE()), VLOOKUP(A138,Internal_lists_bugs!$A$2:$C$73,3,FALSE())&amp;Char(10) &amp; Char(10) &amp; VLOOKUP(A138,Internal_lists_bugs!$A$2:$Z$73,26,FALSE())),"please select a BUG ID")</f>
        <v>https://bugs.launchpad.net/nova/+bug/1486541
/compute/cells_api.py</v>
      </c>
      <c r="C138" s="81" t="str">
        <f>IFERROR(VLOOKUP(A138,Internal_lists_bugs!$A$2:$I7981,9,FALSE()),"please select a BUG ID")</f>
        <v>https://review.opendev.org/c/openstack/nova/+/70747</v>
      </c>
      <c r="D138" s="114"/>
      <c r="E138" s="114"/>
      <c r="F138" s="115"/>
      <c r="G138" s="16" t="s">
        <v>1599</v>
      </c>
      <c r="H138" s="16" t="s">
        <v>1598</v>
      </c>
      <c r="I138" s="82"/>
      <c r="J138" s="92"/>
      <c r="K138" s="82"/>
      <c r="M138" s="114" t="str">
        <f>VLOOKUP(A138,'BIC_(C_Variables)'!$A$3:$AS$43,45,FALSE())</f>
        <v>xx_ file not presnt in the commit</v>
      </c>
      <c r="N138" s="1"/>
      <c r="O138" s="1"/>
      <c r="P138" s="81" t="str">
        <f>IFERROR(VLOOKUP(A138,Internal_lists_bugs!$A$2:$G7981,7,FALSE()),"please select a BUG ID")</f>
        <v>https://opendev.org/openstack/nova/commit/f5071bd1ac00ed68102d37c8025</v>
      </c>
    </row>
    <row r="139">
      <c r="A139" s="16" t="s">
        <v>36</v>
      </c>
      <c r="B139" s="50" t="str">
        <f>IFERROR(HYPERLINK(VLOOKUP(A139,Internal_lists_bugs!$A$2:$C$73,3,FALSE()), VLOOKUP(A139,Internal_lists_bugs!$A$2:$C$73,3,FALSE())&amp;Char(10) &amp; Char(10) &amp; VLOOKUP(A139,Internal_lists_bugs!$A$2:$Z$73,26,FALSE())),"please select a BUG ID")</f>
        <v>https://bugs.launchpad.net/nova/+bug/1486541
/compute/cells_api.py</v>
      </c>
      <c r="C139" s="81" t="str">
        <f>IFERROR(VLOOKUP(A139,Internal_lists_bugs!$A$2:$I7981,9,FALSE()),"please select a BUG ID")</f>
        <v>https://review.opendev.org/c/openstack/nova/+/70747</v>
      </c>
      <c r="D139" s="114"/>
      <c r="E139" s="114"/>
      <c r="F139" s="115"/>
      <c r="G139" s="16" t="s">
        <v>1600</v>
      </c>
      <c r="H139" s="16" t="s">
        <v>1601</v>
      </c>
      <c r="I139" s="82"/>
      <c r="J139" s="92"/>
      <c r="K139" s="82"/>
      <c r="M139" s="114" t="str">
        <f>VLOOKUP(A139,'BIC_(C_Variables)'!$A$3:$AS$43,45,FALSE())</f>
        <v>xx_ file not presnt in the commit</v>
      </c>
      <c r="N139" s="1"/>
      <c r="O139" s="1"/>
      <c r="P139" s="81" t="str">
        <f>IFERROR(VLOOKUP(A139,Internal_lists_bugs!$A$2:$G7981,7,FALSE()),"please select a BUG ID")</f>
        <v>https://opendev.org/openstack/nova/commit/f5071bd1ac00ed68102d37c8025</v>
      </c>
    </row>
    <row r="140">
      <c r="A140" s="16" t="s">
        <v>36</v>
      </c>
      <c r="B140" s="50" t="str">
        <f>IFERROR(HYPERLINK(VLOOKUP(A140,Internal_lists_bugs!$A$2:$C$73,3,FALSE()), VLOOKUP(A140,Internal_lists_bugs!$A$2:$C$73,3,FALSE())&amp;Char(10) &amp; Char(10) &amp; VLOOKUP(A140,Internal_lists_bugs!$A$2:$Z$73,26,FALSE())),"please select a BUG ID")</f>
        <v>https://bugs.launchpad.net/nova/+bug/1486541
/compute/cells_api.py</v>
      </c>
      <c r="C140" s="81" t="str">
        <f>IFERROR(VLOOKUP(A140,Internal_lists_bugs!$A$2:$I7981,9,FALSE()),"please select a BUG ID")</f>
        <v>https://review.opendev.org/c/openstack/nova/+/70747</v>
      </c>
      <c r="D140" s="114"/>
      <c r="E140" s="114"/>
      <c r="F140" s="115"/>
      <c r="G140" s="16" t="s">
        <v>1602</v>
      </c>
      <c r="H140" s="16" t="s">
        <v>1603</v>
      </c>
      <c r="I140" s="82"/>
      <c r="J140" s="92"/>
      <c r="K140" s="82"/>
      <c r="M140" s="114" t="str">
        <f>VLOOKUP(A140,'BIC_(C_Variables)'!$A$3:$AS$43,45,FALSE())</f>
        <v>xx_ file not presnt in the commit</v>
      </c>
      <c r="N140" s="1"/>
      <c r="O140" s="1"/>
      <c r="P140" s="81" t="str">
        <f>IFERROR(VLOOKUP(A140,Internal_lists_bugs!$A$2:$G7981,7,FALSE()),"please select a BUG ID")</f>
        <v>https://opendev.org/openstack/nova/commit/f5071bd1ac00ed68102d37c8025</v>
      </c>
    </row>
    <row r="141">
      <c r="A141" s="16" t="s">
        <v>36</v>
      </c>
      <c r="B141" s="50" t="str">
        <f>IFERROR(HYPERLINK(VLOOKUP(A141,Internal_lists_bugs!$A$2:$C$73,3,FALSE()), VLOOKUP(A141,Internal_lists_bugs!$A$2:$C$73,3,FALSE())&amp;Char(10) &amp; Char(10) &amp; VLOOKUP(A141,Internal_lists_bugs!$A$2:$Z$73,26,FALSE())),"please select a BUG ID")</f>
        <v>https://bugs.launchpad.net/nova/+bug/1486541
/compute/cells_api.py</v>
      </c>
      <c r="C141" s="81" t="str">
        <f>IFERROR(VLOOKUP(A141,Internal_lists_bugs!$A$2:$I7981,9,FALSE()),"please select a BUG ID")</f>
        <v>https://review.opendev.org/c/openstack/nova/+/70747</v>
      </c>
      <c r="D141" s="114"/>
      <c r="E141" s="114"/>
      <c r="F141" s="115"/>
      <c r="G141" s="16" t="s">
        <v>1604</v>
      </c>
      <c r="H141" s="16" t="s">
        <v>1605</v>
      </c>
      <c r="I141" s="82"/>
      <c r="J141" s="92"/>
      <c r="K141" s="82"/>
      <c r="M141" s="114" t="str">
        <f>VLOOKUP(A141,'BIC_(C_Variables)'!$A$3:$AS$43,45,FALSE())</f>
        <v>xx_ file not presnt in the commit</v>
      </c>
      <c r="N141" s="1"/>
      <c r="O141" s="1"/>
      <c r="P141" s="81" t="str">
        <f>IFERROR(VLOOKUP(A141,Internal_lists_bugs!$A$2:$G7981,7,FALSE()),"please select a BUG ID")</f>
        <v>https://opendev.org/openstack/nova/commit/f5071bd1ac00ed68102d37c8025</v>
      </c>
    </row>
    <row r="142">
      <c r="A142" s="16" t="s">
        <v>36</v>
      </c>
      <c r="B142" s="50" t="str">
        <f>IFERROR(HYPERLINK(VLOOKUP(A142,Internal_lists_bugs!$A$2:$C$73,3,FALSE()), VLOOKUP(A142,Internal_lists_bugs!$A$2:$C$73,3,FALSE())&amp;Char(10) &amp; Char(10) &amp; VLOOKUP(A142,Internal_lists_bugs!$A$2:$Z$73,26,FALSE())),"please select a BUG ID")</f>
        <v>https://bugs.launchpad.net/nova/+bug/1486541
/compute/cells_api.py</v>
      </c>
      <c r="C142" s="81" t="str">
        <f>IFERROR(VLOOKUP(A142,Internal_lists_bugs!$A$2:$I7981,9,FALSE()),"please select a BUG ID")</f>
        <v>https://review.opendev.org/c/openstack/nova/+/70747</v>
      </c>
      <c r="D142" s="114"/>
      <c r="E142" s="114"/>
      <c r="F142" s="115"/>
      <c r="G142" s="16" t="s">
        <v>1531</v>
      </c>
      <c r="H142" s="16" t="s">
        <v>1603</v>
      </c>
      <c r="I142" s="82"/>
      <c r="J142" s="92"/>
      <c r="K142" s="82"/>
      <c r="M142" s="114" t="str">
        <f>VLOOKUP(A142,'BIC_(C_Variables)'!$A$3:$AS$43,45,FALSE())</f>
        <v>xx_ file not presnt in the commit</v>
      </c>
      <c r="N142" s="1"/>
      <c r="O142" s="1"/>
      <c r="P142" s="81" t="str">
        <f>IFERROR(VLOOKUP(A142,Internal_lists_bugs!$A$2:$G7981,7,FALSE()),"please select a BUG ID")</f>
        <v>https://opendev.org/openstack/nova/commit/f5071bd1ac00ed68102d37c8025</v>
      </c>
    </row>
    <row r="143">
      <c r="A143" s="16" t="s">
        <v>36</v>
      </c>
      <c r="B143" s="50" t="str">
        <f>IFERROR(HYPERLINK(VLOOKUP(A143,Internal_lists_bugs!$A$2:$C$73,3,FALSE()), VLOOKUP(A143,Internal_lists_bugs!$A$2:$C$73,3,FALSE())&amp;Char(10) &amp; Char(10) &amp; VLOOKUP(A143,Internal_lists_bugs!$A$2:$Z$73,26,FALSE())),"please select a BUG ID")</f>
        <v>https://bugs.launchpad.net/nova/+bug/1486541
/compute/cells_api.py</v>
      </c>
      <c r="C143" s="81" t="str">
        <f>IFERROR(VLOOKUP(A143,Internal_lists_bugs!$A$2:$I7981,9,FALSE()),"please select a BUG ID")</f>
        <v>https://review.opendev.org/c/openstack/nova/+/70747</v>
      </c>
      <c r="D143" s="114"/>
      <c r="E143" s="114"/>
      <c r="F143" s="115"/>
      <c r="G143" s="16" t="s">
        <v>1606</v>
      </c>
      <c r="H143" s="16" t="s">
        <v>1605</v>
      </c>
      <c r="I143" s="82"/>
      <c r="J143" s="92"/>
      <c r="K143" s="82"/>
      <c r="M143" s="114" t="str">
        <f>VLOOKUP(A143,'BIC_(C_Variables)'!$A$3:$AS$43,45,FALSE())</f>
        <v>xx_ file not presnt in the commit</v>
      </c>
      <c r="N143" s="1"/>
      <c r="O143" s="1"/>
      <c r="P143" s="81" t="str">
        <f>IFERROR(VLOOKUP(A143,Internal_lists_bugs!$A$2:$G7981,7,FALSE()),"please select a BUG ID")</f>
        <v>https://opendev.org/openstack/nova/commit/f5071bd1ac00ed68102d37c8025</v>
      </c>
    </row>
    <row r="144">
      <c r="A144" s="16" t="s">
        <v>36</v>
      </c>
      <c r="B144" s="50" t="str">
        <f>IFERROR(HYPERLINK(VLOOKUP(A144,Internal_lists_bugs!$A$2:$C$73,3,FALSE()), VLOOKUP(A144,Internal_lists_bugs!$A$2:$C$73,3,FALSE())&amp;Char(10) &amp; Char(10) &amp; VLOOKUP(A144,Internal_lists_bugs!$A$2:$Z$73,26,FALSE())),"please select a BUG ID")</f>
        <v>https://bugs.launchpad.net/nova/+bug/1486541
/compute/cells_api.py</v>
      </c>
      <c r="C144" s="81" t="str">
        <f>IFERROR(VLOOKUP(A144,Internal_lists_bugs!$A$2:$I7981,9,FALSE()),"please select a BUG ID")</f>
        <v>https://review.opendev.org/c/openstack/nova/+/70747</v>
      </c>
      <c r="D144" s="114"/>
      <c r="E144" s="114"/>
      <c r="F144" s="115"/>
      <c r="G144" s="16" t="s">
        <v>1450</v>
      </c>
      <c r="H144" s="16" t="s">
        <v>1598</v>
      </c>
      <c r="I144" s="82"/>
      <c r="J144" s="92"/>
      <c r="K144" s="82"/>
      <c r="M144" s="114" t="str">
        <f>VLOOKUP(A144,'BIC_(C_Variables)'!$A$3:$AS$43,45,FALSE())</f>
        <v>xx_ file not presnt in the commit</v>
      </c>
      <c r="N144" s="1"/>
      <c r="O144" s="1"/>
      <c r="P144" s="81" t="str">
        <f>IFERROR(VLOOKUP(A144,Internal_lists_bugs!$A$2:$G7981,7,FALSE()),"please select a BUG ID")</f>
        <v>https://opendev.org/openstack/nova/commit/f5071bd1ac00ed68102d37c8025</v>
      </c>
    </row>
    <row r="145">
      <c r="A145" s="16" t="s">
        <v>36</v>
      </c>
      <c r="B145" s="50" t="str">
        <f>IFERROR(HYPERLINK(VLOOKUP(A145,Internal_lists_bugs!$A$2:$C$73,3,FALSE()), VLOOKUP(A145,Internal_lists_bugs!$A$2:$C$73,3,FALSE())&amp;Char(10) &amp; Char(10) &amp; VLOOKUP(A145,Internal_lists_bugs!$A$2:$Z$73,26,FALSE())),"please select a BUG ID")</f>
        <v>https://bugs.launchpad.net/nova/+bug/1486541
/compute/cells_api.py</v>
      </c>
      <c r="C145" s="81" t="str">
        <f>IFERROR(VLOOKUP(A145,Internal_lists_bugs!$A$2:$I7981,9,FALSE()),"please select a BUG ID")</f>
        <v>https://review.opendev.org/c/openstack/nova/+/70747</v>
      </c>
      <c r="D145" s="114"/>
      <c r="E145" s="114"/>
      <c r="F145" s="115"/>
      <c r="G145" s="16" t="s">
        <v>1452</v>
      </c>
      <c r="H145" s="16" t="s">
        <v>1598</v>
      </c>
      <c r="I145" s="82"/>
      <c r="J145" s="92"/>
      <c r="K145" s="82"/>
      <c r="M145" s="114" t="str">
        <f>VLOOKUP(A145,'BIC_(C_Variables)'!$A$3:$AS$43,45,FALSE())</f>
        <v>xx_ file not presnt in the commit</v>
      </c>
      <c r="N145" s="1"/>
      <c r="O145" s="1"/>
      <c r="P145" s="81" t="str">
        <f>IFERROR(VLOOKUP(A145,Internal_lists_bugs!$A$2:$G7981,7,FALSE()),"please select a BUG ID")</f>
        <v>https://opendev.org/openstack/nova/commit/f5071bd1ac00ed68102d37c8025</v>
      </c>
    </row>
    <row r="146">
      <c r="A146" s="16" t="s">
        <v>36</v>
      </c>
      <c r="B146" s="50" t="str">
        <f>IFERROR(HYPERLINK(VLOOKUP(A146,Internal_lists_bugs!$A$2:$C$73,3,FALSE()), VLOOKUP(A146,Internal_lists_bugs!$A$2:$C$73,3,FALSE())&amp;Char(10) &amp; Char(10) &amp; VLOOKUP(A146,Internal_lists_bugs!$A$2:$Z$73,26,FALSE())),"please select a BUG ID")</f>
        <v>https://bugs.launchpad.net/nova/+bug/1486541
/compute/cells_api.py</v>
      </c>
      <c r="C146" s="81" t="str">
        <f>IFERROR(VLOOKUP(A146,Internal_lists_bugs!$A$2:$I7981,9,FALSE()),"please select a BUG ID")</f>
        <v>https://review.opendev.org/c/openstack/nova/+/70747</v>
      </c>
      <c r="D146" s="114"/>
      <c r="E146" s="114"/>
      <c r="F146" s="115"/>
      <c r="G146" s="16" t="s">
        <v>1453</v>
      </c>
      <c r="H146" s="16" t="s">
        <v>1607</v>
      </c>
      <c r="I146" s="82"/>
      <c r="J146" s="92"/>
      <c r="K146" s="82"/>
      <c r="M146" s="114" t="str">
        <f>VLOOKUP(A146,'BIC_(C_Variables)'!$A$3:$AS$43,45,FALSE())</f>
        <v>xx_ file not presnt in the commit</v>
      </c>
      <c r="N146" s="1"/>
      <c r="O146" s="1"/>
      <c r="P146" s="81" t="str">
        <f>IFERROR(VLOOKUP(A146,Internal_lists_bugs!$A$2:$G7981,7,FALSE()),"please select a BUG ID")</f>
        <v>https://opendev.org/openstack/nova/commit/f5071bd1ac00ed68102d37c8025</v>
      </c>
    </row>
    <row r="147">
      <c r="A147" s="16" t="s">
        <v>36</v>
      </c>
      <c r="B147" s="50" t="str">
        <f>IFERROR(HYPERLINK(VLOOKUP(A147,Internal_lists_bugs!$A$2:$C$73,3,FALSE()), VLOOKUP(A147,Internal_lists_bugs!$A$2:$C$73,3,FALSE())&amp;Char(10) &amp; Char(10) &amp; VLOOKUP(A147,Internal_lists_bugs!$A$2:$Z$73,26,FALSE())),"please select a BUG ID")</f>
        <v>https://bugs.launchpad.net/nova/+bug/1486541
/compute/cells_api.py</v>
      </c>
      <c r="C147" s="81" t="str">
        <f>IFERROR(VLOOKUP(A147,Internal_lists_bugs!$A$2:$I7981,9,FALSE()),"please select a BUG ID")</f>
        <v>https://review.opendev.org/c/openstack/nova/+/70747</v>
      </c>
      <c r="D147" s="114"/>
      <c r="E147" s="114"/>
      <c r="F147" s="115"/>
      <c r="G147" s="16" t="s">
        <v>1455</v>
      </c>
      <c r="H147" s="16" t="s">
        <v>1607</v>
      </c>
      <c r="I147" s="82"/>
      <c r="J147" s="92"/>
      <c r="K147" s="82"/>
      <c r="M147" s="114" t="str">
        <f>VLOOKUP(A147,'BIC_(C_Variables)'!$A$3:$AS$43,45,FALSE())</f>
        <v>xx_ file not presnt in the commit</v>
      </c>
      <c r="N147" s="1"/>
      <c r="O147" s="1"/>
      <c r="P147" s="81" t="str">
        <f>IFERROR(VLOOKUP(A147,Internal_lists_bugs!$A$2:$G7981,7,FALSE()),"please select a BUG ID")</f>
        <v>https://opendev.org/openstack/nova/commit/f5071bd1ac00ed68102d37c8025</v>
      </c>
    </row>
    <row r="148">
      <c r="A148" s="16" t="s">
        <v>36</v>
      </c>
      <c r="B148" s="50" t="str">
        <f>IFERROR(HYPERLINK(VLOOKUP(A148,Internal_lists_bugs!$A$2:$C$73,3,FALSE()), VLOOKUP(A148,Internal_lists_bugs!$A$2:$C$73,3,FALSE())&amp;Char(10) &amp; Char(10) &amp; VLOOKUP(A148,Internal_lists_bugs!$A$2:$Z$73,26,FALSE())),"please select a BUG ID")</f>
        <v>https://bugs.launchpad.net/nova/+bug/1486541
/compute/cells_api.py</v>
      </c>
      <c r="C148" s="81" t="str">
        <f>IFERROR(VLOOKUP(A148,Internal_lists_bugs!$A$2:$I7981,9,FALSE()),"please select a BUG ID")</f>
        <v>https://review.opendev.org/c/openstack/nova/+/70747</v>
      </c>
      <c r="D148" s="114"/>
      <c r="E148" s="114"/>
      <c r="F148" s="115"/>
      <c r="G148" s="16" t="s">
        <v>1481</v>
      </c>
      <c r="H148" s="16" t="s">
        <v>1608</v>
      </c>
      <c r="I148" s="82"/>
      <c r="J148" s="92"/>
      <c r="K148" s="82"/>
      <c r="M148" s="114" t="str">
        <f>VLOOKUP(A148,'BIC_(C_Variables)'!$A$3:$AS$43,45,FALSE())</f>
        <v>xx_ file not presnt in the commit</v>
      </c>
      <c r="N148" s="1"/>
      <c r="O148" s="1"/>
      <c r="P148" s="81" t="str">
        <f>IFERROR(VLOOKUP(A148,Internal_lists_bugs!$A$2:$G7981,7,FALSE()),"please select a BUG ID")</f>
        <v>https://opendev.org/openstack/nova/commit/f5071bd1ac00ed68102d37c8025</v>
      </c>
    </row>
    <row r="149">
      <c r="A149" s="16" t="s">
        <v>36</v>
      </c>
      <c r="B149" s="50" t="str">
        <f>IFERROR(HYPERLINK(VLOOKUP(A149,Internal_lists_bugs!$A$2:$C$73,3,FALSE()), VLOOKUP(A149,Internal_lists_bugs!$A$2:$C$73,3,FALSE())&amp;Char(10) &amp; Char(10) &amp; VLOOKUP(A149,Internal_lists_bugs!$A$2:$Z$73,26,FALSE())),"please select a BUG ID")</f>
        <v>https://bugs.launchpad.net/nova/+bug/1486541
/compute/cells_api.py</v>
      </c>
      <c r="C149" s="81" t="str">
        <f>IFERROR(VLOOKUP(A149,Internal_lists_bugs!$A$2:$I7981,9,FALSE()),"please select a BUG ID")</f>
        <v>https://review.opendev.org/c/openstack/nova/+/70747</v>
      </c>
      <c r="D149" s="114"/>
      <c r="E149" s="114"/>
      <c r="F149" s="115"/>
      <c r="G149" s="16" t="s">
        <v>1609</v>
      </c>
      <c r="H149" s="16" t="s">
        <v>1610</v>
      </c>
      <c r="I149" s="82"/>
      <c r="J149" s="92"/>
      <c r="K149" s="82"/>
      <c r="M149" s="114" t="str">
        <f>VLOOKUP(A149,'BIC_(C_Variables)'!$A$3:$AS$43,45,FALSE())</f>
        <v>xx_ file not presnt in the commit</v>
      </c>
      <c r="N149" s="1"/>
      <c r="O149" s="1"/>
      <c r="P149" s="81" t="str">
        <f>IFERROR(VLOOKUP(A149,Internal_lists_bugs!$A$2:$G7981,7,FALSE()),"please select a BUG ID")</f>
        <v>https://opendev.org/openstack/nova/commit/f5071bd1ac00ed68102d37c8025</v>
      </c>
    </row>
    <row r="150">
      <c r="A150" s="16" t="s">
        <v>36</v>
      </c>
      <c r="B150" s="50" t="str">
        <f>IFERROR(HYPERLINK(VLOOKUP(A150,Internal_lists_bugs!$A$2:$C$73,3,FALSE()), VLOOKUP(A150,Internal_lists_bugs!$A$2:$C$73,3,FALSE())&amp;Char(10) &amp; Char(10) &amp; VLOOKUP(A150,Internal_lists_bugs!$A$2:$Z$73,26,FALSE())),"please select a BUG ID")</f>
        <v>https://bugs.launchpad.net/nova/+bug/1486541
/compute/cells_api.py</v>
      </c>
      <c r="C150" s="81" t="str">
        <f>IFERROR(VLOOKUP(A150,Internal_lists_bugs!$A$2:$I7981,9,FALSE()),"please select a BUG ID")</f>
        <v>https://review.opendev.org/c/openstack/nova/+/70747</v>
      </c>
      <c r="D150" s="114"/>
      <c r="E150" s="114"/>
      <c r="F150" s="115"/>
      <c r="G150" s="16" t="s">
        <v>1498</v>
      </c>
      <c r="H150" s="16" t="s">
        <v>1611</v>
      </c>
      <c r="I150" s="82"/>
      <c r="J150" s="92"/>
      <c r="K150" s="82"/>
      <c r="M150" s="114" t="str">
        <f>VLOOKUP(A150,'BIC_(C_Variables)'!$A$3:$AS$43,45,FALSE())</f>
        <v>xx_ file not presnt in the commit</v>
      </c>
      <c r="N150" s="1"/>
      <c r="O150" s="1"/>
      <c r="P150" s="81" t="str">
        <f>IFERROR(VLOOKUP(A150,Internal_lists_bugs!$A$2:$G7981,7,FALSE()),"please select a BUG ID")</f>
        <v>https://opendev.org/openstack/nova/commit/f5071bd1ac00ed68102d37c8025</v>
      </c>
    </row>
    <row r="151">
      <c r="A151" s="16" t="s">
        <v>36</v>
      </c>
      <c r="B151" s="50" t="str">
        <f>IFERROR(HYPERLINK(VLOOKUP(A151,Internal_lists_bugs!$A$2:$C$73,3,FALSE()), VLOOKUP(A151,Internal_lists_bugs!$A$2:$C$73,3,FALSE())&amp;Char(10) &amp; Char(10) &amp; VLOOKUP(A151,Internal_lists_bugs!$A$2:$Z$73,26,FALSE())),"please select a BUG ID")</f>
        <v>https://bugs.launchpad.net/nova/+bug/1486541
/compute/cells_api.py</v>
      </c>
      <c r="C151" s="81" t="str">
        <f>IFERROR(VLOOKUP(A151,Internal_lists_bugs!$A$2:$I7981,9,FALSE()),"please select a BUG ID")</f>
        <v>https://review.opendev.org/c/openstack/nova/+/70747</v>
      </c>
      <c r="D151" s="114"/>
      <c r="E151" s="114"/>
      <c r="F151" s="115"/>
      <c r="G151" s="16" t="s">
        <v>1612</v>
      </c>
      <c r="H151" s="16" t="s">
        <v>1613</v>
      </c>
      <c r="I151" s="82"/>
      <c r="J151" s="92"/>
      <c r="K151" s="82"/>
      <c r="M151" s="114" t="str">
        <f>VLOOKUP(A151,'BIC_(C_Variables)'!$A$3:$AS$43,45,FALSE())</f>
        <v>xx_ file not presnt in the commit</v>
      </c>
      <c r="N151" s="1"/>
      <c r="O151" s="1"/>
      <c r="P151" s="81" t="str">
        <f>IFERROR(VLOOKUP(A151,Internal_lists_bugs!$A$2:$G7981,7,FALSE()),"please select a BUG ID")</f>
        <v>https://opendev.org/openstack/nova/commit/f5071bd1ac00ed68102d37c8025</v>
      </c>
    </row>
    <row r="152">
      <c r="A152" s="16" t="s">
        <v>36</v>
      </c>
      <c r="B152" s="50" t="str">
        <f>IFERROR(HYPERLINK(VLOOKUP(A152,Internal_lists_bugs!$A$2:$C$73,3,FALSE()), VLOOKUP(A152,Internal_lists_bugs!$A$2:$C$73,3,FALSE())&amp;Char(10) &amp; Char(10) &amp; VLOOKUP(A152,Internal_lists_bugs!$A$2:$Z$73,26,FALSE())),"please select a BUG ID")</f>
        <v>https://bugs.launchpad.net/nova/+bug/1486541
/compute/cells_api.py</v>
      </c>
      <c r="C152" s="81" t="str">
        <f>IFERROR(VLOOKUP(A152,Internal_lists_bugs!$A$2:$I7981,9,FALSE()),"please select a BUG ID")</f>
        <v>https://review.opendev.org/c/openstack/nova/+/70747</v>
      </c>
      <c r="D152" s="114"/>
      <c r="E152" s="114"/>
      <c r="F152" s="115"/>
      <c r="G152" s="16" t="s">
        <v>1590</v>
      </c>
      <c r="H152" s="16" t="s">
        <v>1613</v>
      </c>
      <c r="I152" s="82"/>
      <c r="J152" s="92"/>
      <c r="K152" s="82"/>
      <c r="M152" s="114" t="str">
        <f>VLOOKUP(A152,'BIC_(C_Variables)'!$A$3:$AS$43,45,FALSE())</f>
        <v>xx_ file not presnt in the commit</v>
      </c>
      <c r="N152" s="1"/>
      <c r="O152" s="1"/>
      <c r="P152" s="81" t="str">
        <f>IFERROR(VLOOKUP(A152,Internal_lists_bugs!$A$2:$G7981,7,FALSE()),"please select a BUG ID")</f>
        <v>https://opendev.org/openstack/nova/commit/f5071bd1ac00ed68102d37c8025</v>
      </c>
    </row>
    <row r="153">
      <c r="A153" s="16" t="s">
        <v>36</v>
      </c>
      <c r="B153" s="50" t="str">
        <f>IFERROR(HYPERLINK(VLOOKUP(A153,Internal_lists_bugs!$A$2:$C$73,3,FALSE()), VLOOKUP(A153,Internal_lists_bugs!$A$2:$C$73,3,FALSE())&amp;Char(10) &amp; Char(10) &amp; VLOOKUP(A153,Internal_lists_bugs!$A$2:$Z$73,26,FALSE())),"please select a BUG ID")</f>
        <v>https://bugs.launchpad.net/nova/+bug/1486541
/compute/cells_api.py</v>
      </c>
      <c r="C153" s="81" t="str">
        <f>IFERROR(VLOOKUP(A153,Internal_lists_bugs!$A$2:$I7981,9,FALSE()),"please select a BUG ID")</f>
        <v>https://review.opendev.org/c/openstack/nova/+/70747</v>
      </c>
      <c r="D153" s="114"/>
      <c r="E153" s="114"/>
      <c r="F153" s="115"/>
      <c r="G153" s="16" t="s">
        <v>1500</v>
      </c>
      <c r="H153" s="16" t="s">
        <v>1614</v>
      </c>
      <c r="I153" s="82"/>
      <c r="J153" s="92"/>
      <c r="K153" s="82"/>
      <c r="M153" s="114" t="str">
        <f>VLOOKUP(A153,'BIC_(C_Variables)'!$A$3:$AS$43,45,FALSE())</f>
        <v>xx_ file not presnt in the commit</v>
      </c>
      <c r="N153" s="1"/>
      <c r="O153" s="1"/>
      <c r="P153" s="81" t="str">
        <f>IFERROR(VLOOKUP(A153,Internal_lists_bugs!$A$2:$G7981,7,FALSE()),"please select a BUG ID")</f>
        <v>https://opendev.org/openstack/nova/commit/f5071bd1ac00ed68102d37c8025</v>
      </c>
    </row>
    <row r="154">
      <c r="A154" s="16" t="s">
        <v>36</v>
      </c>
      <c r="B154" s="50" t="str">
        <f>IFERROR(HYPERLINK(VLOOKUP(A154,Internal_lists_bugs!$A$2:$C$73,3,FALSE()), VLOOKUP(A154,Internal_lists_bugs!$A$2:$C$73,3,FALSE())&amp;Char(10) &amp; Char(10) &amp; VLOOKUP(A154,Internal_lists_bugs!$A$2:$Z$73,26,FALSE())),"please select a BUG ID")</f>
        <v>https://bugs.launchpad.net/nova/+bug/1486541
/compute/cells_api.py</v>
      </c>
      <c r="C154" s="81" t="str">
        <f>IFERROR(VLOOKUP(A154,Internal_lists_bugs!$A$2:$I7981,9,FALSE()),"please select a BUG ID")</f>
        <v>https://review.opendev.org/c/openstack/nova/+/70747</v>
      </c>
      <c r="D154" s="114"/>
      <c r="E154" s="114"/>
      <c r="F154" s="115"/>
      <c r="G154" s="16" t="s">
        <v>1615</v>
      </c>
      <c r="H154" s="16" t="s">
        <v>1616</v>
      </c>
      <c r="I154" s="82"/>
      <c r="J154" s="92"/>
      <c r="K154" s="82"/>
      <c r="M154" s="114" t="str">
        <f>VLOOKUP(A154,'BIC_(C_Variables)'!$A$3:$AS$43,45,FALSE())</f>
        <v>xx_ file not presnt in the commit</v>
      </c>
      <c r="N154" s="1"/>
      <c r="O154" s="1"/>
      <c r="P154" s="81" t="str">
        <f>IFERROR(VLOOKUP(A154,Internal_lists_bugs!$A$2:$G7981,7,FALSE()),"please select a BUG ID")</f>
        <v>https://opendev.org/openstack/nova/commit/f5071bd1ac00ed68102d37c8025</v>
      </c>
    </row>
    <row r="155">
      <c r="A155" s="16" t="s">
        <v>36</v>
      </c>
      <c r="B155" s="50" t="str">
        <f>IFERROR(HYPERLINK(VLOOKUP(A155,Internal_lists_bugs!$A$2:$C$73,3,FALSE()), VLOOKUP(A155,Internal_lists_bugs!$A$2:$C$73,3,FALSE())&amp;Char(10) &amp; Char(10) &amp; VLOOKUP(A155,Internal_lists_bugs!$A$2:$Z$73,26,FALSE())),"please select a BUG ID")</f>
        <v>https://bugs.launchpad.net/nova/+bug/1486541
/compute/cells_api.py</v>
      </c>
      <c r="C155" s="81" t="str">
        <f>IFERROR(VLOOKUP(A155,Internal_lists_bugs!$A$2:$I7981,9,FALSE()),"please select a BUG ID")</f>
        <v>https://review.opendev.org/c/openstack/nova/+/70747</v>
      </c>
      <c r="D155" s="114"/>
      <c r="E155" s="114"/>
      <c r="F155" s="115"/>
      <c r="G155" s="16" t="s">
        <v>1617</v>
      </c>
      <c r="H155" s="16" t="s">
        <v>1618</v>
      </c>
      <c r="I155" s="82"/>
      <c r="J155" s="92"/>
      <c r="K155" s="82"/>
      <c r="M155" s="114" t="str">
        <f>VLOOKUP(A155,'BIC_(C_Variables)'!$A$3:$AS$43,45,FALSE())</f>
        <v>xx_ file not presnt in the commit</v>
      </c>
      <c r="N155" s="1"/>
      <c r="O155" s="1"/>
      <c r="P155" s="81" t="str">
        <f>IFERROR(VLOOKUP(A155,Internal_lists_bugs!$A$2:$G7981,7,FALSE()),"please select a BUG ID")</f>
        <v>https://opendev.org/openstack/nova/commit/f5071bd1ac00ed68102d37c8025</v>
      </c>
    </row>
    <row r="156">
      <c r="A156" s="16" t="s">
        <v>36</v>
      </c>
      <c r="B156" s="50" t="str">
        <f>IFERROR(HYPERLINK(VLOOKUP(A156,Internal_lists_bugs!$A$2:$C$73,3,FALSE()), VLOOKUP(A156,Internal_lists_bugs!$A$2:$C$73,3,FALSE())&amp;Char(10) &amp; Char(10) &amp; VLOOKUP(A156,Internal_lists_bugs!$A$2:$Z$73,26,FALSE())),"please select a BUG ID")</f>
        <v>https://bugs.launchpad.net/nova/+bug/1486541
/compute/cells_api.py</v>
      </c>
      <c r="C156" s="81" t="str">
        <f>IFERROR(VLOOKUP(A156,Internal_lists_bugs!$A$2:$I7981,9,FALSE()),"please select a BUG ID")</f>
        <v>https://review.opendev.org/c/openstack/nova/+/70747</v>
      </c>
      <c r="D156" s="114"/>
      <c r="E156" s="114"/>
      <c r="F156" s="115"/>
      <c r="G156" s="16" t="s">
        <v>1619</v>
      </c>
      <c r="H156" s="16" t="s">
        <v>1620</v>
      </c>
      <c r="I156" s="82"/>
      <c r="J156" s="92"/>
      <c r="K156" s="82"/>
      <c r="M156" s="114" t="str">
        <f>VLOOKUP(A156,'BIC_(C_Variables)'!$A$3:$AS$43,45,FALSE())</f>
        <v>xx_ file not presnt in the commit</v>
      </c>
      <c r="N156" s="1"/>
      <c r="O156" s="1"/>
      <c r="P156" s="81" t="str">
        <f>IFERROR(VLOOKUP(A156,Internal_lists_bugs!$A$2:$G7981,7,FALSE()),"please select a BUG ID")</f>
        <v>https://opendev.org/openstack/nova/commit/f5071bd1ac00ed68102d37c8025</v>
      </c>
    </row>
    <row r="157">
      <c r="A157" s="16" t="s">
        <v>36</v>
      </c>
      <c r="B157" s="50" t="str">
        <f>IFERROR(HYPERLINK(VLOOKUP(A157,Internal_lists_bugs!$A$2:$C$73,3,FALSE()), VLOOKUP(A157,Internal_lists_bugs!$A$2:$C$73,3,FALSE())&amp;Char(10) &amp; Char(10) &amp; VLOOKUP(A157,Internal_lists_bugs!$A$2:$Z$73,26,FALSE())),"please select a BUG ID")</f>
        <v>https://bugs.launchpad.net/nova/+bug/1486541
/compute/cells_api.py</v>
      </c>
      <c r="C157" s="81" t="str">
        <f>IFERROR(VLOOKUP(A157,Internal_lists_bugs!$A$2:$I7981,9,FALSE()),"please select a BUG ID")</f>
        <v>https://review.opendev.org/c/openstack/nova/+/70747</v>
      </c>
      <c r="D157" s="114"/>
      <c r="E157" s="114"/>
      <c r="F157" s="115"/>
      <c r="G157" s="16" t="s">
        <v>1621</v>
      </c>
      <c r="H157" s="16" t="s">
        <v>1622</v>
      </c>
      <c r="I157" s="82"/>
      <c r="J157" s="92"/>
      <c r="K157" s="82"/>
      <c r="M157" s="114"/>
      <c r="N157" s="1"/>
      <c r="O157" s="1"/>
      <c r="P157" s="51"/>
    </row>
    <row r="158">
      <c r="A158" s="16" t="s">
        <v>36</v>
      </c>
      <c r="B158" s="50" t="str">
        <f>IFERROR(HYPERLINK(VLOOKUP(A158,Internal_lists_bugs!$A$2:$C$73,3,FALSE()), VLOOKUP(A158,Internal_lists_bugs!$A$2:$C$73,3,FALSE())&amp;Char(10) &amp; Char(10) &amp; VLOOKUP(A158,Internal_lists_bugs!$A$2:$Z$73,26,FALSE())),"please select a BUG ID")</f>
        <v>https://bugs.launchpad.net/nova/+bug/1486541
/compute/cells_api.py</v>
      </c>
      <c r="C158" s="81" t="str">
        <f>IFERROR(VLOOKUP(A158,Internal_lists_bugs!$A$2:$I7981,9,FALSE()),"please select a BUG ID")</f>
        <v>https://review.opendev.org/c/openstack/nova/+/70747</v>
      </c>
      <c r="D158" s="114"/>
      <c r="E158" s="114"/>
      <c r="F158" s="115"/>
      <c r="G158" s="16" t="s">
        <v>1456</v>
      </c>
      <c r="H158" s="16" t="s">
        <v>1622</v>
      </c>
      <c r="I158" s="82"/>
      <c r="J158" s="92"/>
      <c r="K158" s="82"/>
      <c r="M158" s="114" t="str">
        <f>VLOOKUP(A158,'BIC_(C_Variables)'!$A$3:$AS$43,45,FALSE())</f>
        <v>xx_ file not presnt in the commit</v>
      </c>
      <c r="N158" s="1"/>
      <c r="O158" s="1"/>
      <c r="P158" s="81" t="str">
        <f>IFERROR(VLOOKUP(A158,Internal_lists_bugs!$A$2:$G7981,7,FALSE()),"please select a BUG ID")</f>
        <v>https://opendev.org/openstack/nova/commit/f5071bd1ac00ed68102d37c8025</v>
      </c>
    </row>
    <row r="159">
      <c r="A159" s="16" t="s">
        <v>36</v>
      </c>
      <c r="B159" s="50" t="str">
        <f>IFERROR(HYPERLINK(VLOOKUP(A159,Internal_lists_bugs!$A$2:$C$73,3,FALSE()), VLOOKUP(A159,Internal_lists_bugs!$A$2:$C$73,3,FALSE())&amp;Char(10) &amp; Char(10) &amp; VLOOKUP(A159,Internal_lists_bugs!$A$2:$Z$73,26,FALSE())),"please select a BUG ID")</f>
        <v>https://bugs.launchpad.net/nova/+bug/1486541
/compute/cells_api.py</v>
      </c>
      <c r="C159" s="81" t="str">
        <f>IFERROR(VLOOKUP(A159,Internal_lists_bugs!$A$2:$I7981,9,FALSE()),"please select a BUG ID")</f>
        <v>https://review.opendev.org/c/openstack/nova/+/70747</v>
      </c>
      <c r="D159" s="112"/>
      <c r="E159" s="112"/>
      <c r="F159" s="113"/>
      <c r="G159" s="16" t="s">
        <v>1623</v>
      </c>
      <c r="H159" s="16" t="s">
        <v>1601</v>
      </c>
      <c r="I159" s="79"/>
      <c r="J159" s="92"/>
      <c r="K159" s="79"/>
      <c r="L159" s="16"/>
      <c r="M159" s="114" t="str">
        <f>VLOOKUP(A159,'BIC_(C_Variables)'!$A$3:$AS$43,45,FALSE())</f>
        <v>xx_ file not presnt in the commit</v>
      </c>
      <c r="N159" s="1"/>
      <c r="O159" s="1"/>
      <c r="P159" s="81" t="str">
        <f>IFERROR(VLOOKUP(A159,Internal_lists_bugs!$A$2:$G7981,7,FALSE()),"please select a BUG ID")</f>
        <v>https://opendev.org/openstack/nova/commit/f5071bd1ac00ed68102d37c8025</v>
      </c>
    </row>
    <row r="160">
      <c r="A160" s="16" t="s">
        <v>36</v>
      </c>
      <c r="B160" s="50" t="str">
        <f>IFERROR(HYPERLINK(VLOOKUP(A160,Internal_lists_bugs!$A$2:$C$73,3,FALSE()), VLOOKUP(A160,Internal_lists_bugs!$A$2:$C$73,3,FALSE())&amp;Char(10) &amp; Char(10) &amp; VLOOKUP(A160,Internal_lists_bugs!$A$2:$Z$73,26,FALSE())),"please select a BUG ID")</f>
        <v>https://bugs.launchpad.net/nova/+bug/1486541
/compute/cells_api.py</v>
      </c>
      <c r="C160" s="81" t="str">
        <f>IFERROR(VLOOKUP(A160,Internal_lists_bugs!$A$2:$I7981,9,FALSE()),"please select a BUG ID")</f>
        <v>https://review.opendev.org/c/openstack/nova/+/70747</v>
      </c>
      <c r="D160" s="112"/>
      <c r="E160" s="112"/>
      <c r="F160" s="113"/>
      <c r="G160" s="16" t="s">
        <v>1624</v>
      </c>
      <c r="H160" s="16" t="s">
        <v>1601</v>
      </c>
      <c r="I160" s="79"/>
      <c r="J160" s="92"/>
      <c r="K160" s="79"/>
      <c r="L160" s="16"/>
      <c r="M160" s="114" t="str">
        <f>VLOOKUP(A160,'BIC_(C_Variables)'!$A$3:$AS$43,45,FALSE())</f>
        <v>xx_ file not presnt in the commit</v>
      </c>
      <c r="N160" s="1"/>
      <c r="O160" s="1"/>
      <c r="P160" s="81" t="str">
        <f>IFERROR(VLOOKUP(A160,Internal_lists_bugs!$A$2:$G7981,7,FALSE()),"please select a BUG ID")</f>
        <v>https://opendev.org/openstack/nova/commit/f5071bd1ac00ed68102d37c8025</v>
      </c>
    </row>
    <row r="161">
      <c r="A161" s="16" t="s">
        <v>36</v>
      </c>
      <c r="B161" s="50" t="str">
        <f>IFERROR(HYPERLINK(VLOOKUP(A161,Internal_lists_bugs!$A$2:$C$73,3,FALSE()), VLOOKUP(A161,Internal_lists_bugs!$A$2:$C$73,3,FALSE())&amp;Char(10) &amp; Char(10) &amp; VLOOKUP(A161,Internal_lists_bugs!$A$2:$Z$73,26,FALSE())),"please select a BUG ID")</f>
        <v>https://bugs.launchpad.net/nova/+bug/1486541
/compute/cells_api.py</v>
      </c>
      <c r="C161" s="81" t="str">
        <f>IFERROR(VLOOKUP(A161,Internal_lists_bugs!$A$2:$I7981,9,FALSE()),"please select a BUG ID")</f>
        <v>https://review.opendev.org/c/openstack/nova/+/70747</v>
      </c>
      <c r="D161" s="112"/>
      <c r="E161" s="112"/>
      <c r="F161" s="113"/>
      <c r="G161" s="16" t="s">
        <v>1460</v>
      </c>
      <c r="H161" s="16" t="s">
        <v>1461</v>
      </c>
      <c r="I161" s="79"/>
      <c r="J161" s="92"/>
      <c r="K161" s="79"/>
      <c r="L161" s="16"/>
      <c r="M161" s="114" t="str">
        <f>VLOOKUP(A161,'BIC_(C_Variables)'!$A$3:$AS$43,45,FALSE())</f>
        <v>xx_ file not presnt in the commit</v>
      </c>
      <c r="N161" s="1"/>
      <c r="O161" s="1"/>
      <c r="P161" s="81" t="str">
        <f>IFERROR(VLOOKUP(A161,Internal_lists_bugs!$A$2:$G7981,7,FALSE()),"please select a BUG ID")</f>
        <v>https://opendev.org/openstack/nova/commit/f5071bd1ac00ed68102d37c8025</v>
      </c>
    </row>
    <row r="162">
      <c r="A162" s="16" t="s">
        <v>37</v>
      </c>
      <c r="B162" s="50" t="str">
        <f>IFERROR(HYPERLINK(VLOOKUP(A162,Internal_lists_bugs!$A$2:$C$73,3,FALSE()), VLOOKUP(A162,Internal_lists_bugs!$A$2:$C$73,3,FALSE())&amp;Char(10) &amp; Char(10) &amp; VLOOKUP(A162,Internal_lists_bugs!$A$2:$Z$73,26,FALSE())),"please select a BUG ID")</f>
        <v>https://bugs.launchpad.net/nova/+bug/1314677
/cells/state.py</v>
      </c>
      <c r="C162" s="81" t="str">
        <f>IFERROR(VLOOKUP(A162,Internal_lists_bugs!$A$2:$I7981,9,FALSE()),"please select a BUG ID")</f>
        <v>https://review.opendev.org/c/openstack/nova/+/34464</v>
      </c>
      <c r="D162" s="112" t="s">
        <v>1412</v>
      </c>
      <c r="E162" s="112" t="s">
        <v>1462</v>
      </c>
      <c r="F162" s="113" t="s">
        <v>251</v>
      </c>
      <c r="G162" s="16" t="s">
        <v>1466</v>
      </c>
      <c r="H162" s="16" t="s">
        <v>1420</v>
      </c>
      <c r="I162" s="79" t="s">
        <v>251</v>
      </c>
      <c r="J162" s="92"/>
      <c r="K162" s="79" t="s">
        <v>251</v>
      </c>
      <c r="L162" s="16" t="s">
        <v>1625</v>
      </c>
      <c r="M162" s="114" t="str">
        <f>VLOOKUP(A162,'BIC_(C_Variables)'!$A$3:$AS$43,45,FALSE())</f>
        <v/>
      </c>
      <c r="N162" s="1"/>
      <c r="O162" s="1"/>
      <c r="P162" s="81" t="str">
        <f>IFERROR(VLOOKUP(A162,Internal_lists_bugs!$A$2:$G7981,7,FALSE()),"please select a BUG ID")</f>
        <v>https://opendev.org/openstack/nova/commit/88ab936</v>
      </c>
    </row>
    <row r="163">
      <c r="A163" s="16" t="s">
        <v>37</v>
      </c>
      <c r="B163" s="50" t="str">
        <f>IFERROR(HYPERLINK(VLOOKUP(A163,Internal_lists_bugs!$A$2:$C$73,3,FALSE()), VLOOKUP(A163,Internal_lists_bugs!$A$2:$C$73,3,FALSE())&amp;Char(10) &amp; Char(10) &amp; VLOOKUP(A163,Internal_lists_bugs!$A$2:$Z$73,26,FALSE())),"please select a BUG ID")</f>
        <v>https://bugs.launchpad.net/nova/+bug/1314677
/cells/state.py</v>
      </c>
      <c r="C163" s="81" t="str">
        <f>IFERROR(VLOOKUP(A163,Internal_lists_bugs!$A$2:$I7981,9,FALSE()),"please select a BUG ID")</f>
        <v>https://review.opendev.org/c/openstack/nova/+/34464</v>
      </c>
      <c r="D163" s="114"/>
      <c r="E163" s="114"/>
      <c r="F163" s="115"/>
      <c r="G163" s="16" t="s">
        <v>1417</v>
      </c>
      <c r="H163" s="16" t="s">
        <v>1420</v>
      </c>
      <c r="I163" s="82"/>
      <c r="J163" s="92"/>
      <c r="K163" s="82"/>
      <c r="M163" s="114" t="str">
        <f>VLOOKUP(A163,'BIC_(C_Variables)'!$A$3:$AS$43,45,FALSE())</f>
        <v/>
      </c>
      <c r="N163" s="1"/>
      <c r="O163" s="1"/>
      <c r="P163" s="81" t="str">
        <f>IFERROR(VLOOKUP(A163,Internal_lists_bugs!$A$2:$G7981,7,FALSE()),"please select a BUG ID")</f>
        <v>https://opendev.org/openstack/nova/commit/88ab936</v>
      </c>
    </row>
    <row r="164">
      <c r="A164" s="16" t="s">
        <v>37</v>
      </c>
      <c r="B164" s="50" t="str">
        <f>IFERROR(HYPERLINK(VLOOKUP(A164,Internal_lists_bugs!$A$2:$C$73,3,FALSE()), VLOOKUP(A164,Internal_lists_bugs!$A$2:$C$73,3,FALSE())&amp;Char(10) &amp; Char(10) &amp; VLOOKUP(A164,Internal_lists_bugs!$A$2:$Z$73,26,FALSE())),"please select a BUG ID")</f>
        <v>https://bugs.launchpad.net/nova/+bug/1314677
/cells/state.py</v>
      </c>
      <c r="C164" s="81" t="str">
        <f>IFERROR(VLOOKUP(A164,Internal_lists_bugs!$A$2:$I7981,9,FALSE()),"please select a BUG ID")</f>
        <v>https://review.opendev.org/c/openstack/nova/+/34464</v>
      </c>
      <c r="D164" s="114"/>
      <c r="E164" s="114"/>
      <c r="F164" s="115"/>
      <c r="G164" s="16" t="s">
        <v>1419</v>
      </c>
      <c r="H164" s="16" t="s">
        <v>1420</v>
      </c>
      <c r="I164" s="82"/>
      <c r="J164" s="92"/>
      <c r="K164" s="82"/>
      <c r="M164" s="114" t="str">
        <f>VLOOKUP(A164,'BIC_(C_Variables)'!$A$3:$AS$43,45,FALSE())</f>
        <v/>
      </c>
      <c r="N164" s="1"/>
      <c r="O164" s="1"/>
      <c r="P164" s="81" t="str">
        <f>IFERROR(VLOOKUP(A164,Internal_lists_bugs!$A$2:$G7981,7,FALSE()),"please select a BUG ID")</f>
        <v>https://opendev.org/openstack/nova/commit/88ab936</v>
      </c>
    </row>
    <row r="165">
      <c r="A165" s="16" t="s">
        <v>37</v>
      </c>
      <c r="B165" s="50" t="str">
        <f>IFERROR(HYPERLINK(VLOOKUP(A165,Internal_lists_bugs!$A$2:$C$73,3,FALSE()), VLOOKUP(A165,Internal_lists_bugs!$A$2:$C$73,3,FALSE())&amp;Char(10) &amp; Char(10) &amp; VLOOKUP(A165,Internal_lists_bugs!$A$2:$Z$73,26,FALSE())),"please select a BUG ID")</f>
        <v>https://bugs.launchpad.net/nova/+bug/1314677
/cells/state.py</v>
      </c>
      <c r="C165" s="81" t="str">
        <f>IFERROR(VLOOKUP(A165,Internal_lists_bugs!$A$2:$I7981,9,FALSE()),"please select a BUG ID")</f>
        <v>https://review.opendev.org/c/openstack/nova/+/34464</v>
      </c>
      <c r="D165" s="114"/>
      <c r="E165" s="114"/>
      <c r="F165" s="115"/>
      <c r="G165" s="16" t="s">
        <v>1626</v>
      </c>
      <c r="H165" s="16" t="s">
        <v>1420</v>
      </c>
      <c r="I165" s="82"/>
      <c r="J165" s="92"/>
      <c r="K165" s="82"/>
      <c r="M165" s="114" t="str">
        <f>VLOOKUP(A165,'BIC_(C_Variables)'!$A$3:$AS$43,45,FALSE())</f>
        <v/>
      </c>
      <c r="N165" s="1"/>
      <c r="O165" s="1"/>
      <c r="P165" s="81" t="str">
        <f>IFERROR(VLOOKUP(A165,Internal_lists_bugs!$A$2:$G7981,7,FALSE()),"please select a BUG ID")</f>
        <v>https://opendev.org/openstack/nova/commit/88ab936</v>
      </c>
    </row>
    <row r="166">
      <c r="A166" s="16" t="s">
        <v>37</v>
      </c>
      <c r="B166" s="50" t="str">
        <f>IFERROR(HYPERLINK(VLOOKUP(A166,Internal_lists_bugs!$A$2:$C$73,3,FALSE()), VLOOKUP(A166,Internal_lists_bugs!$A$2:$C$73,3,FALSE())&amp;Char(10) &amp; Char(10) &amp; VLOOKUP(A166,Internal_lists_bugs!$A$2:$Z$73,26,FALSE())),"please select a BUG ID")</f>
        <v>https://bugs.launchpad.net/nova/+bug/1314677
/cells/state.py</v>
      </c>
      <c r="C166" s="81" t="str">
        <f>IFERROR(VLOOKUP(A166,Internal_lists_bugs!$A$2:$I7981,9,FALSE()),"please select a BUG ID")</f>
        <v>https://review.opendev.org/c/openstack/nova/+/34464</v>
      </c>
      <c r="D166" s="114"/>
      <c r="E166" s="114"/>
      <c r="F166" s="115"/>
      <c r="G166" s="16" t="s">
        <v>1428</v>
      </c>
      <c r="H166" s="16" t="s">
        <v>1627</v>
      </c>
      <c r="I166" s="82"/>
      <c r="J166" s="92"/>
      <c r="K166" s="82"/>
      <c r="M166" s="114" t="str">
        <f>VLOOKUP(A166,'BIC_(C_Variables)'!$A$3:$AS$43,45,FALSE())</f>
        <v/>
      </c>
      <c r="N166" s="1"/>
      <c r="O166" s="1"/>
      <c r="P166" s="81" t="str">
        <f>IFERROR(VLOOKUP(A166,Internal_lists_bugs!$A$2:$G7981,7,FALSE()),"please select a BUG ID")</f>
        <v>https://opendev.org/openstack/nova/commit/88ab936</v>
      </c>
    </row>
    <row r="167">
      <c r="A167" s="16" t="s">
        <v>37</v>
      </c>
      <c r="B167" s="50" t="str">
        <f>IFERROR(HYPERLINK(VLOOKUP(A167,Internal_lists_bugs!$A$2:$C$73,3,FALSE()), VLOOKUP(A167,Internal_lists_bugs!$A$2:$C$73,3,FALSE())&amp;Char(10) &amp; Char(10) &amp; VLOOKUP(A167,Internal_lists_bugs!$A$2:$Z$73,26,FALSE())),"please select a BUG ID")</f>
        <v>https://bugs.launchpad.net/nova/+bug/1314677
/cells/state.py</v>
      </c>
      <c r="C167" s="81" t="str">
        <f>IFERROR(VLOOKUP(A167,Internal_lists_bugs!$A$2:$I7981,9,FALSE()),"please select a BUG ID")</f>
        <v>https://review.opendev.org/c/openstack/nova/+/34464</v>
      </c>
      <c r="D167" s="114"/>
      <c r="E167" s="114"/>
      <c r="F167" s="115"/>
      <c r="G167" s="16" t="s">
        <v>1628</v>
      </c>
      <c r="H167" s="16" t="s">
        <v>1627</v>
      </c>
      <c r="I167" s="82"/>
      <c r="J167" s="92"/>
      <c r="K167" s="82"/>
      <c r="M167" s="114" t="str">
        <f>VLOOKUP(A167,'BIC_(C_Variables)'!$A$3:$AS$43,45,FALSE())</f>
        <v/>
      </c>
      <c r="N167" s="1"/>
      <c r="O167" s="1"/>
      <c r="P167" s="81" t="str">
        <f>IFERROR(VLOOKUP(A167,Internal_lists_bugs!$A$2:$G7981,7,FALSE()),"please select a BUG ID")</f>
        <v>https://opendev.org/openstack/nova/commit/88ab936</v>
      </c>
    </row>
    <row r="168">
      <c r="A168" s="16" t="s">
        <v>37</v>
      </c>
      <c r="B168" s="50" t="str">
        <f>IFERROR(HYPERLINK(VLOOKUP(A168,Internal_lists_bugs!$A$2:$C$73,3,FALSE()), VLOOKUP(A168,Internal_lists_bugs!$A$2:$C$73,3,FALSE())&amp;Char(10) &amp; Char(10) &amp; VLOOKUP(A168,Internal_lists_bugs!$A$2:$Z$73,26,FALSE())),"please select a BUG ID")</f>
        <v>https://bugs.launchpad.net/nova/+bug/1314677
/cells/state.py</v>
      </c>
      <c r="C168" s="81" t="str">
        <f>IFERROR(VLOOKUP(A168,Internal_lists_bugs!$A$2:$I7981,9,FALSE()),"please select a BUG ID")</f>
        <v>https://review.opendev.org/c/openstack/nova/+/34464</v>
      </c>
      <c r="D168" s="114"/>
      <c r="E168" s="114"/>
      <c r="F168" s="115"/>
      <c r="G168" s="16" t="s">
        <v>1629</v>
      </c>
      <c r="H168" s="16" t="s">
        <v>1630</v>
      </c>
      <c r="I168" s="82"/>
      <c r="J168" s="92"/>
      <c r="K168" s="82"/>
      <c r="M168" s="114" t="str">
        <f>VLOOKUP(A168,'BIC_(C_Variables)'!$A$3:$AS$43,45,FALSE())</f>
        <v/>
      </c>
      <c r="N168" s="1"/>
      <c r="O168" s="1"/>
      <c r="P168" s="81" t="str">
        <f>IFERROR(VLOOKUP(A168,Internal_lists_bugs!$A$2:$G7981,7,FALSE()),"please select a BUG ID")</f>
        <v>https://opendev.org/openstack/nova/commit/88ab936</v>
      </c>
    </row>
    <row r="169">
      <c r="A169" s="16" t="s">
        <v>37</v>
      </c>
      <c r="B169" s="50" t="str">
        <f>IFERROR(HYPERLINK(VLOOKUP(A169,Internal_lists_bugs!$A$2:$C$73,3,FALSE()), VLOOKUP(A169,Internal_lists_bugs!$A$2:$C$73,3,FALSE())&amp;Char(10) &amp; Char(10) &amp; VLOOKUP(A169,Internal_lists_bugs!$A$2:$Z$73,26,FALSE())),"please select a BUG ID")</f>
        <v>https://bugs.launchpad.net/nova/+bug/1314677
/cells/state.py</v>
      </c>
      <c r="C169" s="81" t="str">
        <f>IFERROR(VLOOKUP(A169,Internal_lists_bugs!$A$2:$I7981,9,FALSE()),"please select a BUG ID")</f>
        <v>https://review.opendev.org/c/openstack/nova/+/34464</v>
      </c>
      <c r="D169" s="114"/>
      <c r="E169" s="114"/>
      <c r="F169" s="115"/>
      <c r="G169" s="16" t="s">
        <v>1631</v>
      </c>
      <c r="H169" s="16" t="s">
        <v>1632</v>
      </c>
      <c r="I169" s="82"/>
      <c r="J169" s="92"/>
      <c r="K169" s="82"/>
      <c r="M169" s="114" t="str">
        <f>VLOOKUP(A169,'BIC_(C_Variables)'!$A$3:$AS$43,45,FALSE())</f>
        <v/>
      </c>
      <c r="N169" s="1"/>
      <c r="O169" s="1"/>
      <c r="P169" s="81" t="str">
        <f>IFERROR(VLOOKUP(A169,Internal_lists_bugs!$A$2:$G7981,7,FALSE()),"please select a BUG ID")</f>
        <v>https://opendev.org/openstack/nova/commit/88ab936</v>
      </c>
    </row>
    <row r="170">
      <c r="A170" s="16" t="s">
        <v>37</v>
      </c>
      <c r="B170" s="50" t="str">
        <f>IFERROR(HYPERLINK(VLOOKUP(A170,Internal_lists_bugs!$A$2:$C$73,3,FALSE()), VLOOKUP(A170,Internal_lists_bugs!$A$2:$C$73,3,FALSE())&amp;Char(10) &amp; Char(10) &amp; VLOOKUP(A170,Internal_lists_bugs!$A$2:$Z$73,26,FALSE())),"please select a BUG ID")</f>
        <v>https://bugs.launchpad.net/nova/+bug/1314677
/cells/state.py</v>
      </c>
      <c r="C170" s="81" t="str">
        <f>IFERROR(VLOOKUP(A170,Internal_lists_bugs!$A$2:$I7981,9,FALSE()),"please select a BUG ID")</f>
        <v>https://review.opendev.org/c/openstack/nova/+/34464</v>
      </c>
      <c r="D170" s="114"/>
      <c r="E170" s="114"/>
      <c r="F170" s="115"/>
      <c r="G170" s="16" t="s">
        <v>1586</v>
      </c>
      <c r="H170" s="16" t="s">
        <v>1633</v>
      </c>
      <c r="I170" s="82"/>
      <c r="J170" s="92"/>
      <c r="K170" s="82"/>
      <c r="M170" s="114" t="str">
        <f>VLOOKUP(A170,'BIC_(C_Variables)'!$A$3:$AS$43,45,FALSE())</f>
        <v/>
      </c>
      <c r="N170" s="1"/>
      <c r="O170" s="1"/>
      <c r="P170" s="81" t="str">
        <f>IFERROR(VLOOKUP(A170,Internal_lists_bugs!$A$2:$G7981,7,FALSE()),"please select a BUG ID")</f>
        <v>https://opendev.org/openstack/nova/commit/88ab936</v>
      </c>
    </row>
    <row r="171">
      <c r="A171" s="16" t="s">
        <v>37</v>
      </c>
      <c r="B171" s="50" t="str">
        <f>IFERROR(HYPERLINK(VLOOKUP(A171,Internal_lists_bugs!$A$2:$C$73,3,FALSE()), VLOOKUP(A171,Internal_lists_bugs!$A$2:$C$73,3,FALSE())&amp;Char(10) &amp; Char(10) &amp; VLOOKUP(A171,Internal_lists_bugs!$A$2:$Z$73,26,FALSE())),"please select a BUG ID")</f>
        <v>https://bugs.launchpad.net/nova/+bug/1314677
/cells/state.py</v>
      </c>
      <c r="C171" s="81" t="str">
        <f>IFERROR(VLOOKUP(A171,Internal_lists_bugs!$A$2:$I7981,9,FALSE()),"please select a BUG ID")</f>
        <v>https://review.opendev.org/c/openstack/nova/+/34464</v>
      </c>
      <c r="D171" s="114"/>
      <c r="E171" s="114"/>
      <c r="F171" s="115"/>
      <c r="G171" s="16" t="s">
        <v>1634</v>
      </c>
      <c r="H171" s="16" t="s">
        <v>1635</v>
      </c>
      <c r="I171" s="82"/>
      <c r="J171" s="92"/>
      <c r="K171" s="82"/>
      <c r="M171" s="114" t="str">
        <f>VLOOKUP(A171,'BIC_(C_Variables)'!$A$3:$AS$43,45,FALSE())</f>
        <v/>
      </c>
      <c r="N171" s="1"/>
      <c r="O171" s="1"/>
      <c r="P171" s="81" t="str">
        <f>IFERROR(VLOOKUP(A171,Internal_lists_bugs!$A$2:$G7981,7,FALSE()),"please select a BUG ID")</f>
        <v>https://opendev.org/openstack/nova/commit/88ab936</v>
      </c>
    </row>
    <row r="172">
      <c r="A172" s="16" t="s">
        <v>37</v>
      </c>
      <c r="B172" s="50" t="str">
        <f>IFERROR(HYPERLINK(VLOOKUP(A172,Internal_lists_bugs!$A$2:$C$73,3,FALSE()), VLOOKUP(A172,Internal_lists_bugs!$A$2:$C$73,3,FALSE())&amp;Char(10) &amp; Char(10) &amp; VLOOKUP(A172,Internal_lists_bugs!$A$2:$Z$73,26,FALSE())),"please select a BUG ID")</f>
        <v>https://bugs.launchpad.net/nova/+bug/1314677
/cells/state.py</v>
      </c>
      <c r="C172" s="81" t="str">
        <f>IFERROR(VLOOKUP(A172,Internal_lists_bugs!$A$2:$I7981,9,FALSE()),"please select a BUG ID")</f>
        <v>https://review.opendev.org/c/openstack/nova/+/34464</v>
      </c>
      <c r="D172" s="114"/>
      <c r="E172" s="114"/>
      <c r="F172" s="115"/>
      <c r="G172" s="16" t="s">
        <v>1430</v>
      </c>
      <c r="H172" s="16" t="s">
        <v>1636</v>
      </c>
      <c r="I172" s="82"/>
      <c r="J172" s="92"/>
      <c r="K172" s="82"/>
      <c r="M172" s="114" t="str">
        <f>VLOOKUP(A172,'BIC_(C_Variables)'!$A$3:$AS$43,45,FALSE())</f>
        <v/>
      </c>
      <c r="N172" s="1"/>
      <c r="O172" s="1"/>
      <c r="P172" s="81" t="str">
        <f>IFERROR(VLOOKUP(A172,Internal_lists_bugs!$A$2:$G7981,7,FALSE()),"please select a BUG ID")</f>
        <v>https://opendev.org/openstack/nova/commit/88ab936</v>
      </c>
    </row>
    <row r="173">
      <c r="A173" s="16" t="s">
        <v>37</v>
      </c>
      <c r="B173" s="50" t="str">
        <f>IFERROR(HYPERLINK(VLOOKUP(A173,Internal_lists_bugs!$A$2:$C$73,3,FALSE()), VLOOKUP(A173,Internal_lists_bugs!$A$2:$C$73,3,FALSE())&amp;Char(10) &amp; Char(10) &amp; VLOOKUP(A173,Internal_lists_bugs!$A$2:$Z$73,26,FALSE())),"please select a BUG ID")</f>
        <v>https://bugs.launchpad.net/nova/+bug/1314677
/cells/state.py</v>
      </c>
      <c r="C173" s="81" t="str">
        <f>IFERROR(VLOOKUP(A173,Internal_lists_bugs!$A$2:$I7981,9,FALSE()),"please select a BUG ID")</f>
        <v>https://review.opendev.org/c/openstack/nova/+/34464</v>
      </c>
      <c r="D173" s="114"/>
      <c r="E173" s="114"/>
      <c r="F173" s="115"/>
      <c r="G173" s="16" t="s">
        <v>1637</v>
      </c>
      <c r="H173" s="16" t="s">
        <v>1638</v>
      </c>
      <c r="I173" s="82"/>
      <c r="J173" s="92"/>
      <c r="K173" s="82"/>
      <c r="M173" s="114" t="str">
        <f>VLOOKUP(A173,'BIC_(C_Variables)'!$A$3:$AS$43,45,FALSE())</f>
        <v/>
      </c>
      <c r="N173" s="1"/>
      <c r="O173" s="1"/>
      <c r="P173" s="81" t="str">
        <f>IFERROR(VLOOKUP(A173,Internal_lists_bugs!$A$2:$G7981,7,FALSE()),"please select a BUG ID")</f>
        <v>https://opendev.org/openstack/nova/commit/88ab936</v>
      </c>
    </row>
    <row r="174">
      <c r="A174" s="16" t="s">
        <v>37</v>
      </c>
      <c r="B174" s="50" t="str">
        <f>IFERROR(HYPERLINK(VLOOKUP(A174,Internal_lists_bugs!$A$2:$C$73,3,FALSE()), VLOOKUP(A174,Internal_lists_bugs!$A$2:$C$73,3,FALSE())&amp;Char(10) &amp; Char(10) &amp; VLOOKUP(A174,Internal_lists_bugs!$A$2:$Z$73,26,FALSE())),"please select a BUG ID")</f>
        <v>https://bugs.launchpad.net/nova/+bug/1314677
/cells/state.py</v>
      </c>
      <c r="C174" s="81" t="str">
        <f>IFERROR(VLOOKUP(A174,Internal_lists_bugs!$A$2:$I7981,9,FALSE()),"please select a BUG ID")</f>
        <v>https://review.opendev.org/c/openstack/nova/+/34464</v>
      </c>
      <c r="D174" s="114"/>
      <c r="E174" s="114"/>
      <c r="F174" s="115"/>
      <c r="G174" s="16" t="s">
        <v>1639</v>
      </c>
      <c r="H174" s="16" t="s">
        <v>1640</v>
      </c>
      <c r="I174" s="82"/>
      <c r="J174" s="92"/>
      <c r="K174" s="82"/>
      <c r="M174" s="114" t="str">
        <f>VLOOKUP(A174,'BIC_(C_Variables)'!$A$3:$AS$43,45,FALSE())</f>
        <v/>
      </c>
      <c r="N174" s="1"/>
      <c r="O174" s="1"/>
      <c r="P174" s="81" t="str">
        <f>IFERROR(VLOOKUP(A174,Internal_lists_bugs!$A$2:$G7981,7,FALSE()),"please select a BUG ID")</f>
        <v>https://opendev.org/openstack/nova/commit/88ab936</v>
      </c>
    </row>
    <row r="175">
      <c r="A175" s="16" t="s">
        <v>37</v>
      </c>
      <c r="B175" s="50" t="str">
        <f>IFERROR(HYPERLINK(VLOOKUP(A175,Internal_lists_bugs!$A$2:$C$73,3,FALSE()), VLOOKUP(A175,Internal_lists_bugs!$A$2:$C$73,3,FALSE())&amp;Char(10) &amp; Char(10) &amp; VLOOKUP(A175,Internal_lists_bugs!$A$2:$Z$73,26,FALSE())),"please select a BUG ID")</f>
        <v>https://bugs.launchpad.net/nova/+bug/1314677
/cells/state.py</v>
      </c>
      <c r="C175" s="81" t="str">
        <f>IFERROR(VLOOKUP(A175,Internal_lists_bugs!$A$2:$I7981,9,FALSE()),"please select a BUG ID")</f>
        <v>https://review.opendev.org/c/openstack/nova/+/34464</v>
      </c>
      <c r="D175" s="114"/>
      <c r="E175" s="114"/>
      <c r="F175" s="115"/>
      <c r="G175" s="16" t="s">
        <v>1641</v>
      </c>
      <c r="H175" s="16" t="s">
        <v>1642</v>
      </c>
      <c r="I175" s="82"/>
      <c r="J175" s="92"/>
      <c r="K175" s="82"/>
      <c r="M175" s="114" t="str">
        <f>VLOOKUP(A175,'BIC_(C_Variables)'!$A$3:$AS$43,45,FALSE())</f>
        <v/>
      </c>
      <c r="N175" s="1"/>
      <c r="O175" s="1"/>
      <c r="P175" s="81" t="str">
        <f>IFERROR(VLOOKUP(A175,Internal_lists_bugs!$A$2:$G7981,7,FALSE()),"please select a BUG ID")</f>
        <v>https://opendev.org/openstack/nova/commit/88ab936</v>
      </c>
    </row>
    <row r="176">
      <c r="A176" s="16" t="s">
        <v>37</v>
      </c>
      <c r="B176" s="50" t="str">
        <f>IFERROR(HYPERLINK(VLOOKUP(A176,Internal_lists_bugs!$A$2:$C$73,3,FALSE()), VLOOKUP(A176,Internal_lists_bugs!$A$2:$C$73,3,FALSE())&amp;Char(10) &amp; Char(10) &amp; VLOOKUP(A176,Internal_lists_bugs!$A$2:$Z$73,26,FALSE())),"please select a BUG ID")</f>
        <v>https://bugs.launchpad.net/nova/+bug/1314677
/cells/state.py</v>
      </c>
      <c r="C176" s="81" t="str">
        <f>IFERROR(VLOOKUP(A176,Internal_lists_bugs!$A$2:$I7981,9,FALSE()),"please select a BUG ID")</f>
        <v>https://review.opendev.org/c/openstack/nova/+/34464</v>
      </c>
      <c r="D176" s="114"/>
      <c r="E176" s="114"/>
      <c r="F176" s="115"/>
      <c r="G176" s="16" t="s">
        <v>1643</v>
      </c>
      <c r="H176" s="16" t="s">
        <v>1644</v>
      </c>
      <c r="I176" s="82"/>
      <c r="J176" s="92"/>
      <c r="K176" s="82"/>
      <c r="M176" s="114" t="str">
        <f>VLOOKUP(A176,'BIC_(C_Variables)'!$A$3:$AS$43,45,FALSE())</f>
        <v/>
      </c>
      <c r="N176" s="1"/>
      <c r="O176" s="1"/>
      <c r="P176" s="81" t="str">
        <f>IFERROR(VLOOKUP(A176,Internal_lists_bugs!$A$2:$G7981,7,FALSE()),"please select a BUG ID")</f>
        <v>https://opendev.org/openstack/nova/commit/88ab936</v>
      </c>
    </row>
    <row r="177">
      <c r="A177" s="16" t="s">
        <v>37</v>
      </c>
      <c r="B177" s="50" t="str">
        <f>IFERROR(HYPERLINK(VLOOKUP(A177,Internal_lists_bugs!$A$2:$C$73,3,FALSE()), VLOOKUP(A177,Internal_lists_bugs!$A$2:$C$73,3,FALSE())&amp;Char(10) &amp; Char(10) &amp; VLOOKUP(A177,Internal_lists_bugs!$A$2:$Z$73,26,FALSE())),"please select a BUG ID")</f>
        <v>https://bugs.launchpad.net/nova/+bug/1314677
/cells/state.py</v>
      </c>
      <c r="C177" s="81" t="str">
        <f>IFERROR(VLOOKUP(A177,Internal_lists_bugs!$A$2:$I7981,9,FALSE()),"please select a BUG ID")</f>
        <v>https://review.opendev.org/c/openstack/nova/+/34464</v>
      </c>
      <c r="D177" s="114"/>
      <c r="E177" s="114"/>
      <c r="F177" s="115"/>
      <c r="G177" s="16" t="s">
        <v>1645</v>
      </c>
      <c r="H177" s="16" t="s">
        <v>1644</v>
      </c>
      <c r="I177" s="82"/>
      <c r="J177" s="92"/>
      <c r="K177" s="82"/>
      <c r="M177" s="114" t="str">
        <f>VLOOKUP(A177,'BIC_(C_Variables)'!$A$3:$AS$43,45,FALSE())</f>
        <v/>
      </c>
      <c r="N177" s="1"/>
      <c r="O177" s="1"/>
      <c r="P177" s="81" t="str">
        <f>IFERROR(VLOOKUP(A177,Internal_lists_bugs!$A$2:$G7981,7,FALSE()),"please select a BUG ID")</f>
        <v>https://opendev.org/openstack/nova/commit/88ab936</v>
      </c>
    </row>
    <row r="178">
      <c r="A178" s="16" t="s">
        <v>37</v>
      </c>
      <c r="B178" s="50" t="str">
        <f>IFERROR(HYPERLINK(VLOOKUP(A178,Internal_lists_bugs!$A$2:$C$73,3,FALSE()), VLOOKUP(A178,Internal_lists_bugs!$A$2:$C$73,3,FALSE())&amp;Char(10) &amp; Char(10) &amp; VLOOKUP(A178,Internal_lists_bugs!$A$2:$Z$73,26,FALSE())),"please select a BUG ID")</f>
        <v>https://bugs.launchpad.net/nova/+bug/1314677
/cells/state.py</v>
      </c>
      <c r="C178" s="81" t="str">
        <f>IFERROR(VLOOKUP(A178,Internal_lists_bugs!$A$2:$I7981,9,FALSE()),"please select a BUG ID")</f>
        <v>https://review.opendev.org/c/openstack/nova/+/34464</v>
      </c>
      <c r="D178" s="114"/>
      <c r="E178" s="114"/>
      <c r="F178" s="115"/>
      <c r="G178" s="16" t="s">
        <v>1430</v>
      </c>
      <c r="H178" s="16" t="s">
        <v>1646</v>
      </c>
      <c r="I178" s="82"/>
      <c r="J178" s="92"/>
      <c r="K178" s="82"/>
      <c r="M178" s="114" t="str">
        <f>VLOOKUP(A178,'BIC_(C_Variables)'!$A$3:$AS$43,45,FALSE())</f>
        <v/>
      </c>
      <c r="N178" s="1"/>
      <c r="O178" s="1"/>
      <c r="P178" s="81" t="str">
        <f>IFERROR(VLOOKUP(A178,Internal_lists_bugs!$A$2:$G7981,7,FALSE()),"please select a BUG ID")</f>
        <v>https://opendev.org/openstack/nova/commit/88ab936</v>
      </c>
    </row>
    <row r="179">
      <c r="A179" s="16" t="s">
        <v>37</v>
      </c>
      <c r="B179" s="50" t="str">
        <f>IFERROR(HYPERLINK(VLOOKUP(A179,Internal_lists_bugs!$A$2:$C$73,3,FALSE()), VLOOKUP(A179,Internal_lists_bugs!$A$2:$C$73,3,FALSE())&amp;Char(10) &amp; Char(10) &amp; VLOOKUP(A179,Internal_lists_bugs!$A$2:$Z$73,26,FALSE())),"please select a BUG ID")</f>
        <v>https://bugs.launchpad.net/nova/+bug/1314677
/cells/state.py</v>
      </c>
      <c r="C179" s="81" t="str">
        <f>IFERROR(VLOOKUP(A179,Internal_lists_bugs!$A$2:$I7981,9,FALSE()),"please select a BUG ID")</f>
        <v>https://review.opendev.org/c/openstack/nova/+/34464</v>
      </c>
      <c r="D179" s="114"/>
      <c r="E179" s="114"/>
      <c r="F179" s="115"/>
      <c r="G179" s="16" t="s">
        <v>1472</v>
      </c>
      <c r="H179" s="16" t="s">
        <v>1647</v>
      </c>
      <c r="I179" s="82"/>
      <c r="J179" s="92"/>
      <c r="K179" s="82"/>
      <c r="M179" s="114" t="str">
        <f>VLOOKUP(A179,'BIC_(C_Variables)'!$A$3:$AS$43,45,FALSE())</f>
        <v/>
      </c>
      <c r="N179" s="1"/>
      <c r="O179" s="1"/>
      <c r="P179" s="81" t="str">
        <f>IFERROR(VLOOKUP(A179,Internal_lists_bugs!$A$2:$G7981,7,FALSE()),"please select a BUG ID")</f>
        <v>https://opendev.org/openstack/nova/commit/88ab936</v>
      </c>
    </row>
    <row r="180">
      <c r="A180" s="16" t="s">
        <v>37</v>
      </c>
      <c r="B180" s="50" t="str">
        <f>IFERROR(HYPERLINK(VLOOKUP(A180,Internal_lists_bugs!$A$2:$C$73,3,FALSE()), VLOOKUP(A180,Internal_lists_bugs!$A$2:$C$73,3,FALSE())&amp;Char(10) &amp; Char(10) &amp; VLOOKUP(A180,Internal_lists_bugs!$A$2:$Z$73,26,FALSE())),"please select a BUG ID")</f>
        <v>https://bugs.launchpad.net/nova/+bug/1314677
/cells/state.py</v>
      </c>
      <c r="C180" s="81" t="str">
        <f>IFERROR(VLOOKUP(A180,Internal_lists_bugs!$A$2:$I7981,9,FALSE()),"please select a BUG ID")</f>
        <v>https://review.opendev.org/c/openstack/nova/+/34464</v>
      </c>
      <c r="D180" s="114"/>
      <c r="E180" s="114"/>
      <c r="F180" s="115"/>
      <c r="G180" s="16" t="s">
        <v>1474</v>
      </c>
      <c r="H180" s="16" t="s">
        <v>1648</v>
      </c>
      <c r="I180" s="82"/>
      <c r="J180" s="92"/>
      <c r="K180" s="82"/>
      <c r="M180" s="114"/>
      <c r="N180" s="1"/>
      <c r="O180" s="1"/>
      <c r="P180" s="51"/>
    </row>
    <row r="181">
      <c r="A181" s="16" t="s">
        <v>37</v>
      </c>
      <c r="B181" s="50" t="str">
        <f>IFERROR(HYPERLINK(VLOOKUP(A181,Internal_lists_bugs!$A$2:$C$73,3,FALSE()), VLOOKUP(A181,Internal_lists_bugs!$A$2:$C$73,3,FALSE())&amp;Char(10) &amp; Char(10) &amp; VLOOKUP(A181,Internal_lists_bugs!$A$2:$Z$73,26,FALSE())),"please select a BUG ID")</f>
        <v>https://bugs.launchpad.net/nova/+bug/1314677
/cells/state.py</v>
      </c>
      <c r="C181" s="81" t="str">
        <f>IFERROR(VLOOKUP(A181,Internal_lists_bugs!$A$2:$I7981,9,FALSE()),"please select a BUG ID")</f>
        <v>https://review.opendev.org/c/openstack/nova/+/34464</v>
      </c>
      <c r="D181" s="114"/>
      <c r="E181" s="114"/>
      <c r="F181" s="115"/>
      <c r="G181" s="16" t="s">
        <v>1649</v>
      </c>
      <c r="H181" s="16" t="s">
        <v>1648</v>
      </c>
      <c r="I181" s="82"/>
      <c r="J181" s="92"/>
      <c r="K181" s="82"/>
      <c r="M181" s="114" t="str">
        <f>VLOOKUP(A181,'BIC_(C_Variables)'!$A$3:$AS$43,45,FALSE())</f>
        <v/>
      </c>
      <c r="N181" s="1"/>
      <c r="O181" s="1"/>
      <c r="P181" s="81" t="str">
        <f>IFERROR(VLOOKUP(A181,Internal_lists_bugs!$A$2:$G7981,7,FALSE()),"please select a BUG ID")</f>
        <v>https://opendev.org/openstack/nova/commit/88ab936</v>
      </c>
    </row>
    <row r="182">
      <c r="A182" s="16" t="s">
        <v>37</v>
      </c>
      <c r="B182" s="50" t="str">
        <f>IFERROR(HYPERLINK(VLOOKUP(A182,Internal_lists_bugs!$A$2:$C$73,3,FALSE()), VLOOKUP(A182,Internal_lists_bugs!$A$2:$C$73,3,FALSE())&amp;Char(10) &amp; Char(10) &amp; VLOOKUP(A182,Internal_lists_bugs!$A$2:$Z$73,26,FALSE())),"please select a BUG ID")</f>
        <v>https://bugs.launchpad.net/nova/+bug/1314677
/cells/state.py</v>
      </c>
      <c r="C182" s="81" t="str">
        <f>IFERROR(VLOOKUP(A182,Internal_lists_bugs!$A$2:$I7981,9,FALSE()),"please select a BUG ID")</f>
        <v>https://review.opendev.org/c/openstack/nova/+/34464</v>
      </c>
      <c r="D182" s="114"/>
      <c r="E182" s="114"/>
      <c r="F182" s="115"/>
      <c r="G182" s="16" t="s">
        <v>1650</v>
      </c>
      <c r="H182" s="16" t="s">
        <v>1651</v>
      </c>
      <c r="I182" s="82"/>
      <c r="J182" s="92"/>
      <c r="K182" s="82"/>
      <c r="M182" s="114" t="str">
        <f>VLOOKUP(A182,'BIC_(C_Variables)'!$A$3:$AS$43,45,FALSE())</f>
        <v/>
      </c>
      <c r="N182" s="1"/>
      <c r="O182" s="1"/>
      <c r="P182" s="81" t="str">
        <f>IFERROR(VLOOKUP(A182,Internal_lists_bugs!$A$2:$G7981,7,FALSE()),"please select a BUG ID")</f>
        <v>https://opendev.org/openstack/nova/commit/88ab936</v>
      </c>
    </row>
    <row r="183">
      <c r="A183" s="16" t="s">
        <v>37</v>
      </c>
      <c r="B183" s="50" t="str">
        <f>IFERROR(HYPERLINK(VLOOKUP(A183,Internal_lists_bugs!$A$2:$C$73,3,FALSE()), VLOOKUP(A183,Internal_lists_bugs!$A$2:$C$73,3,FALSE())&amp;Char(10) &amp; Char(10) &amp; VLOOKUP(A183,Internal_lists_bugs!$A$2:$Z$73,26,FALSE())),"please select a BUG ID")</f>
        <v>https://bugs.launchpad.net/nova/+bug/1314677
/cells/state.py</v>
      </c>
      <c r="C183" s="81" t="str">
        <f>IFERROR(VLOOKUP(A183,Internal_lists_bugs!$A$2:$I7981,9,FALSE()),"please select a BUG ID")</f>
        <v>https://review.opendev.org/c/openstack/nova/+/34464</v>
      </c>
      <c r="D183" s="114"/>
      <c r="E183" s="114"/>
      <c r="F183" s="115"/>
      <c r="G183" s="16" t="s">
        <v>1583</v>
      </c>
      <c r="H183" s="16" t="s">
        <v>1652</v>
      </c>
      <c r="I183" s="82"/>
      <c r="J183" s="92"/>
      <c r="K183" s="82"/>
      <c r="M183" s="114" t="str">
        <f>VLOOKUP(A183,'BIC_(C_Variables)'!$A$3:$AS$43,45,FALSE())</f>
        <v/>
      </c>
      <c r="N183" s="1"/>
      <c r="O183" s="1"/>
      <c r="P183" s="81" t="str">
        <f>IFERROR(VLOOKUP(A183,Internal_lists_bugs!$A$2:$G7981,7,FALSE()),"please select a BUG ID")</f>
        <v>https://opendev.org/openstack/nova/commit/88ab936</v>
      </c>
    </row>
    <row r="184">
      <c r="A184" s="16" t="s">
        <v>37</v>
      </c>
      <c r="B184" s="50" t="str">
        <f>IFERROR(HYPERLINK(VLOOKUP(A184,Internal_lists_bugs!$A$2:$C$73,3,FALSE()), VLOOKUP(A184,Internal_lists_bugs!$A$2:$C$73,3,FALSE())&amp;Char(10) &amp; Char(10) &amp; VLOOKUP(A184,Internal_lists_bugs!$A$2:$Z$73,26,FALSE())),"please select a BUG ID")</f>
        <v>https://bugs.launchpad.net/nova/+bug/1314677
/cells/state.py</v>
      </c>
      <c r="C184" s="81" t="str">
        <f>IFERROR(VLOOKUP(A184,Internal_lists_bugs!$A$2:$I7981,9,FALSE()),"please select a BUG ID")</f>
        <v>https://review.opendev.org/c/openstack/nova/+/34464</v>
      </c>
      <c r="D184" s="112"/>
      <c r="E184" s="112"/>
      <c r="F184" s="113"/>
      <c r="G184" s="16" t="s">
        <v>1489</v>
      </c>
      <c r="H184" s="16" t="s">
        <v>1653</v>
      </c>
      <c r="I184" s="79"/>
      <c r="J184" s="92"/>
      <c r="K184" s="79"/>
      <c r="L184" s="16"/>
      <c r="M184" s="114"/>
      <c r="N184" s="1"/>
      <c r="O184" s="1"/>
      <c r="P184" s="51"/>
    </row>
    <row r="185">
      <c r="A185" s="16" t="s">
        <v>37</v>
      </c>
      <c r="B185" s="50" t="str">
        <f>IFERROR(HYPERLINK(VLOOKUP(A185,Internal_lists_bugs!$A$2:$C$73,3,FALSE()), VLOOKUP(A185,Internal_lists_bugs!$A$2:$C$73,3,FALSE())&amp;Char(10) &amp; Char(10) &amp; VLOOKUP(A185,Internal_lists_bugs!$A$2:$Z$73,26,FALSE())),"please select a BUG ID")</f>
        <v>https://bugs.launchpad.net/nova/+bug/1314677
/cells/state.py</v>
      </c>
      <c r="C185" s="81" t="str">
        <f>IFERROR(VLOOKUP(A185,Internal_lists_bugs!$A$2:$I7981,9,FALSE()),"please select a BUG ID")</f>
        <v>https://review.opendev.org/c/openstack/nova/+/34464</v>
      </c>
      <c r="D185" s="112"/>
      <c r="E185" s="112"/>
      <c r="F185" s="113"/>
      <c r="G185" s="16" t="s">
        <v>1654</v>
      </c>
      <c r="H185" s="16" t="s">
        <v>1653</v>
      </c>
      <c r="I185" s="79"/>
      <c r="J185" s="92"/>
      <c r="K185" s="79"/>
      <c r="L185" s="16"/>
      <c r="M185" s="114"/>
      <c r="N185" s="1"/>
      <c r="O185" s="1"/>
      <c r="P185" s="51"/>
    </row>
    <row r="186">
      <c r="A186" s="16" t="s">
        <v>37</v>
      </c>
      <c r="B186" s="50" t="str">
        <f>IFERROR(HYPERLINK(VLOOKUP(A186,Internal_lists_bugs!$A$2:$C$73,3,FALSE()), VLOOKUP(A186,Internal_lists_bugs!$A$2:$C$73,3,FALSE())&amp;Char(10) &amp; Char(10) &amp; VLOOKUP(A186,Internal_lists_bugs!$A$2:$Z$73,26,FALSE())),"please select a BUG ID")</f>
        <v>https://bugs.launchpad.net/nova/+bug/1314677
/cells/state.py</v>
      </c>
      <c r="C186" s="81" t="str">
        <f>IFERROR(VLOOKUP(A186,Internal_lists_bugs!$A$2:$I7981,9,FALSE()),"please select a BUG ID")</f>
        <v>https://review.opendev.org/c/openstack/nova/+/34464</v>
      </c>
      <c r="D186" s="112"/>
      <c r="E186" s="112"/>
      <c r="F186" s="113"/>
      <c r="G186" s="16" t="s">
        <v>1460</v>
      </c>
      <c r="H186" s="16" t="s">
        <v>1655</v>
      </c>
      <c r="I186" s="79"/>
      <c r="J186" s="92"/>
      <c r="K186" s="79"/>
      <c r="L186" s="16"/>
      <c r="M186" s="114" t="str">
        <f>VLOOKUP(A186,'BIC_(C_Variables)'!$A$3:$AS$43,45,FALSE())</f>
        <v/>
      </c>
      <c r="N186" s="1"/>
      <c r="O186" s="1"/>
      <c r="P186" s="81" t="str">
        <f>IFERROR(VLOOKUP(A186,Internal_lists_bugs!$A$2:$G7981,7,FALSE()),"please select a BUG ID")</f>
        <v>https://opendev.org/openstack/nova/commit/88ab936</v>
      </c>
    </row>
    <row r="187">
      <c r="A187" s="16" t="s">
        <v>38</v>
      </c>
      <c r="B187" s="50" t="str">
        <f>IFERROR(HYPERLINK(VLOOKUP(A187,Internal_lists_bugs!$A$2:$C$73,3,FALSE()), VLOOKUP(A187,Internal_lists_bugs!$A$2:$C$73,3,FALSE())&amp;Char(10) &amp; Char(10) &amp; VLOOKUP(A187,Internal_lists_bugs!$A$2:$Z$73,26,FALSE())),"please select a BUG ID")</f>
        <v>https://bugs.launchpad.net/nova/+bug/1294939
/network/manager.py</v>
      </c>
      <c r="C187" s="81" t="str">
        <f>IFERROR(VLOOKUP(A187,Internal_lists_bugs!$A$2:$I7981,9,FALSE()),"please select a BUG ID")</f>
        <v>https://review.opendev.org/c/openstack/nova/+/67338</v>
      </c>
      <c r="D187" s="112" t="s">
        <v>1412</v>
      </c>
      <c r="E187" s="112" t="s">
        <v>1462</v>
      </c>
      <c r="F187" s="113" t="s">
        <v>251</v>
      </c>
      <c r="G187" s="16" t="s">
        <v>1419</v>
      </c>
      <c r="H187" s="16" t="s">
        <v>1420</v>
      </c>
      <c r="I187" s="79" t="s">
        <v>251</v>
      </c>
      <c r="J187" s="92"/>
      <c r="K187" s="79" t="s">
        <v>251</v>
      </c>
      <c r="L187" s="16" t="s">
        <v>1656</v>
      </c>
      <c r="M187" s="114" t="str">
        <f>VLOOKUP(A187,'BIC_(C_Variables)'!$A$3:$AS$43,45,FALSE())</f>
        <v/>
      </c>
      <c r="N187" s="1"/>
      <c r="O187" s="1"/>
      <c r="P187" s="81" t="str">
        <f>IFERROR(VLOOKUP(A187,Internal_lists_bugs!$A$2:$G7981,7,FALSE()),"please select a BUG ID")</f>
        <v>https://opendev.org/openstack/nova/commit/542958fac7445a14dea</v>
      </c>
    </row>
    <row r="188">
      <c r="A188" s="16" t="s">
        <v>38</v>
      </c>
      <c r="B188" s="50" t="str">
        <f>IFERROR(HYPERLINK(VLOOKUP(A188,Internal_lists_bugs!$A$2:$C$73,3,FALSE()), VLOOKUP(A188,Internal_lists_bugs!$A$2:$C$73,3,FALSE())&amp;Char(10) &amp; Char(10) &amp; VLOOKUP(A188,Internal_lists_bugs!$A$2:$Z$73,26,FALSE())),"please select a BUG ID")</f>
        <v>https://bugs.launchpad.net/nova/+bug/1294939
/network/manager.py</v>
      </c>
      <c r="C188" s="81" t="str">
        <f>IFERROR(VLOOKUP(A188,Internal_lists_bugs!$A$2:$I7981,9,FALSE()),"please select a BUG ID")</f>
        <v>https://review.opendev.org/c/openstack/nova/+/67338</v>
      </c>
      <c r="D188" s="114"/>
      <c r="E188" s="114"/>
      <c r="F188" s="115"/>
      <c r="G188" s="16" t="s">
        <v>1466</v>
      </c>
      <c r="H188" s="16" t="s">
        <v>1420</v>
      </c>
      <c r="I188" s="82"/>
      <c r="J188" s="92"/>
      <c r="K188" s="82"/>
      <c r="M188" s="114" t="str">
        <f>VLOOKUP(A188,'BIC_(C_Variables)'!$A$3:$AS$43,45,FALSE())</f>
        <v/>
      </c>
      <c r="N188" s="1"/>
      <c r="O188" s="1"/>
      <c r="P188" s="81" t="str">
        <f>IFERROR(VLOOKUP(A188,Internal_lists_bugs!$A$2:$G7981,7,FALSE()),"please select a BUG ID")</f>
        <v>https://opendev.org/openstack/nova/commit/542958fac7445a14dea</v>
      </c>
    </row>
    <row r="189">
      <c r="A189" s="16" t="s">
        <v>38</v>
      </c>
      <c r="B189" s="50" t="str">
        <f>IFERROR(HYPERLINK(VLOOKUP(A189,Internal_lists_bugs!$A$2:$C$73,3,FALSE()), VLOOKUP(A189,Internal_lists_bugs!$A$2:$C$73,3,FALSE())&amp;Char(10) &amp; Char(10) &amp; VLOOKUP(A189,Internal_lists_bugs!$A$2:$Z$73,26,FALSE())),"please select a BUG ID")</f>
        <v>https://bugs.launchpad.net/nova/+bug/1294939
/network/manager.py</v>
      </c>
      <c r="C189" s="81" t="str">
        <f>IFERROR(VLOOKUP(A189,Internal_lists_bugs!$A$2:$I7981,9,FALSE()),"please select a BUG ID")</f>
        <v>https://review.opendev.org/c/openstack/nova/+/67338</v>
      </c>
      <c r="D189" s="114"/>
      <c r="E189" s="114"/>
      <c r="F189" s="115"/>
      <c r="G189" s="16" t="s">
        <v>1417</v>
      </c>
      <c r="H189" s="16" t="s">
        <v>1420</v>
      </c>
      <c r="I189" s="82"/>
      <c r="J189" s="92"/>
      <c r="K189" s="82"/>
      <c r="M189" s="114" t="str">
        <f>VLOOKUP(A189,'BIC_(C_Variables)'!$A$3:$AS$43,45,FALSE())</f>
        <v/>
      </c>
      <c r="N189" s="1"/>
      <c r="O189" s="1"/>
      <c r="P189" s="81" t="str">
        <f>IFERROR(VLOOKUP(A189,Internal_lists_bugs!$A$2:$G7981,7,FALSE()),"please select a BUG ID")</f>
        <v>https://opendev.org/openstack/nova/commit/542958fac7445a14dea</v>
      </c>
    </row>
    <row r="190">
      <c r="A190" s="16" t="s">
        <v>38</v>
      </c>
      <c r="B190" s="50" t="str">
        <f>IFERROR(HYPERLINK(VLOOKUP(A190,Internal_lists_bugs!$A$2:$C$73,3,FALSE()), VLOOKUP(A190,Internal_lists_bugs!$A$2:$C$73,3,FALSE())&amp;Char(10) &amp; Char(10) &amp; VLOOKUP(A190,Internal_lists_bugs!$A$2:$Z$73,26,FALSE())),"please select a BUG ID")</f>
        <v>https://bugs.launchpad.net/nova/+bug/1294939
/network/manager.py</v>
      </c>
      <c r="C190" s="81" t="str">
        <f>IFERROR(VLOOKUP(A190,Internal_lists_bugs!$A$2:$I7981,9,FALSE()),"please select a BUG ID")</f>
        <v>https://review.opendev.org/c/openstack/nova/+/67338</v>
      </c>
      <c r="D190" s="114"/>
      <c r="E190" s="114"/>
      <c r="F190" s="115"/>
      <c r="G190" s="16" t="s">
        <v>1498</v>
      </c>
      <c r="H190" s="16" t="s">
        <v>1657</v>
      </c>
      <c r="I190" s="82"/>
      <c r="J190" s="92"/>
      <c r="K190" s="82"/>
      <c r="M190" s="114" t="str">
        <f>VLOOKUP(A190,'BIC_(C_Variables)'!$A$3:$AS$43,45,FALSE())</f>
        <v/>
      </c>
      <c r="N190" s="1"/>
      <c r="O190" s="1"/>
      <c r="P190" s="81" t="str">
        <f>IFERROR(VLOOKUP(A190,Internal_lists_bugs!$A$2:$G7981,7,FALSE()),"please select a BUG ID")</f>
        <v>https://opendev.org/openstack/nova/commit/542958fac7445a14dea</v>
      </c>
    </row>
    <row r="191">
      <c r="A191" s="16" t="s">
        <v>38</v>
      </c>
      <c r="B191" s="50" t="str">
        <f>IFERROR(HYPERLINK(VLOOKUP(A191,Internal_lists_bugs!$A$2:$C$73,3,FALSE()), VLOOKUP(A191,Internal_lists_bugs!$A$2:$C$73,3,FALSE())&amp;Char(10) &amp; Char(10) &amp; VLOOKUP(A191,Internal_lists_bugs!$A$2:$Z$73,26,FALSE())),"please select a BUG ID")</f>
        <v>https://bugs.launchpad.net/nova/+bug/1294939
/network/manager.py</v>
      </c>
      <c r="C191" s="81" t="str">
        <f>IFERROR(VLOOKUP(A191,Internal_lists_bugs!$A$2:$I7981,9,FALSE()),"please select a BUG ID")</f>
        <v>https://review.opendev.org/c/openstack/nova/+/67338</v>
      </c>
      <c r="D191" s="114"/>
      <c r="E191" s="114"/>
      <c r="F191" s="115"/>
      <c r="G191" s="16" t="s">
        <v>1425</v>
      </c>
      <c r="H191" s="16" t="s">
        <v>1658</v>
      </c>
      <c r="I191" s="82"/>
      <c r="J191" s="92"/>
      <c r="K191" s="82"/>
      <c r="M191" s="114" t="str">
        <f>VLOOKUP(A191,'BIC_(C_Variables)'!$A$3:$AS$43,45,FALSE())</f>
        <v/>
      </c>
      <c r="N191" s="1"/>
      <c r="O191" s="1"/>
      <c r="P191" s="81" t="str">
        <f>IFERROR(VLOOKUP(A191,Internal_lists_bugs!$A$2:$G7981,7,FALSE()),"please select a BUG ID")</f>
        <v>https://opendev.org/openstack/nova/commit/542958fac7445a14dea</v>
      </c>
    </row>
    <row r="192">
      <c r="A192" s="16" t="s">
        <v>38</v>
      </c>
      <c r="B192" s="50" t="str">
        <f>IFERROR(HYPERLINK(VLOOKUP(A192,Internal_lists_bugs!$A$2:$C$73,3,FALSE()), VLOOKUP(A192,Internal_lists_bugs!$A$2:$C$73,3,FALSE())&amp;Char(10) &amp; Char(10) &amp; VLOOKUP(A192,Internal_lists_bugs!$A$2:$Z$73,26,FALSE())),"please select a BUG ID")</f>
        <v>https://bugs.launchpad.net/nova/+bug/1294939
/network/manager.py</v>
      </c>
      <c r="C192" s="81" t="str">
        <f>IFERROR(VLOOKUP(A192,Internal_lists_bugs!$A$2:$I7981,9,FALSE()),"please select a BUG ID")</f>
        <v>https://review.opendev.org/c/openstack/nova/+/67338</v>
      </c>
      <c r="D192" s="114"/>
      <c r="E192" s="114"/>
      <c r="F192" s="115"/>
      <c r="G192" s="16" t="s">
        <v>1478</v>
      </c>
      <c r="H192" s="16" t="s">
        <v>1658</v>
      </c>
      <c r="I192" s="82"/>
      <c r="J192" s="92"/>
      <c r="K192" s="82"/>
      <c r="M192" s="114" t="str">
        <f>VLOOKUP(A192,'BIC_(C_Variables)'!$A$3:$AS$43,45,FALSE())</f>
        <v/>
      </c>
      <c r="N192" s="1"/>
      <c r="O192" s="1"/>
      <c r="P192" s="81" t="str">
        <f>IFERROR(VLOOKUP(A192,Internal_lists_bugs!$A$2:$G7981,7,FALSE()),"please select a BUG ID")</f>
        <v>https://opendev.org/openstack/nova/commit/542958fac7445a14dea</v>
      </c>
    </row>
    <row r="193">
      <c r="A193" s="16" t="s">
        <v>38</v>
      </c>
      <c r="B193" s="50" t="str">
        <f>IFERROR(HYPERLINK(VLOOKUP(A193,Internal_lists_bugs!$A$2:$C$73,3,FALSE()), VLOOKUP(A193,Internal_lists_bugs!$A$2:$C$73,3,FALSE())&amp;Char(10) &amp; Char(10) &amp; VLOOKUP(A193,Internal_lists_bugs!$A$2:$Z$73,26,FALSE())),"please select a BUG ID")</f>
        <v>https://bugs.launchpad.net/nova/+bug/1294939
/network/manager.py</v>
      </c>
      <c r="C193" s="81" t="str">
        <f>IFERROR(VLOOKUP(A193,Internal_lists_bugs!$A$2:$I7981,9,FALSE()),"please select a BUG ID")</f>
        <v>https://review.opendev.org/c/openstack/nova/+/67338</v>
      </c>
      <c r="D193" s="114"/>
      <c r="E193" s="114"/>
      <c r="F193" s="115"/>
      <c r="G193" s="16" t="s">
        <v>1441</v>
      </c>
      <c r="H193" s="16" t="s">
        <v>1659</v>
      </c>
      <c r="I193" s="82"/>
      <c r="J193" s="92"/>
      <c r="K193" s="82"/>
      <c r="M193" s="114"/>
      <c r="N193" s="1"/>
      <c r="O193" s="1"/>
      <c r="P193" s="51"/>
    </row>
    <row r="194">
      <c r="A194" s="16" t="s">
        <v>38</v>
      </c>
      <c r="B194" s="50" t="str">
        <f>IFERROR(HYPERLINK(VLOOKUP(A194,Internal_lists_bugs!$A$2:$C$73,3,FALSE()), VLOOKUP(A194,Internal_lists_bugs!$A$2:$C$73,3,FALSE())&amp;Char(10) &amp; Char(10) &amp; VLOOKUP(A194,Internal_lists_bugs!$A$2:$Z$73,26,FALSE())),"please select a BUG ID")</f>
        <v>https://bugs.launchpad.net/nova/+bug/1294939
/network/manager.py</v>
      </c>
      <c r="C194" s="81" t="str">
        <f>IFERROR(VLOOKUP(A194,Internal_lists_bugs!$A$2:$I7981,9,FALSE()),"please select a BUG ID")</f>
        <v>https://review.opendev.org/c/openstack/nova/+/67338</v>
      </c>
      <c r="D194" s="114"/>
      <c r="E194" s="114"/>
      <c r="F194" s="115"/>
      <c r="G194" s="16" t="s">
        <v>1427</v>
      </c>
      <c r="H194" s="16" t="s">
        <v>1659</v>
      </c>
      <c r="I194" s="82"/>
      <c r="J194" s="92"/>
      <c r="K194" s="82"/>
      <c r="M194" s="114"/>
      <c r="N194" s="1"/>
      <c r="O194" s="1"/>
      <c r="P194" s="51"/>
    </row>
    <row r="195">
      <c r="A195" s="16" t="s">
        <v>38</v>
      </c>
      <c r="B195" s="50" t="str">
        <f>IFERROR(HYPERLINK(VLOOKUP(A195,Internal_lists_bugs!$A$2:$C$73,3,FALSE()), VLOOKUP(A195,Internal_lists_bugs!$A$2:$C$73,3,FALSE())&amp;Char(10) &amp; Char(10) &amp; VLOOKUP(A195,Internal_lists_bugs!$A$2:$Z$73,26,FALSE())),"please select a BUG ID")</f>
        <v>https://bugs.launchpad.net/nova/+bug/1294939
/network/manager.py</v>
      </c>
      <c r="C195" s="81" t="str">
        <f>IFERROR(VLOOKUP(A195,Internal_lists_bugs!$A$2:$I7981,9,FALSE()),"please select a BUG ID")</f>
        <v>https://review.opendev.org/c/openstack/nova/+/67338</v>
      </c>
      <c r="D195" s="114"/>
      <c r="E195" s="114"/>
      <c r="F195" s="115"/>
      <c r="G195" s="16" t="s">
        <v>1639</v>
      </c>
      <c r="H195" s="16" t="s">
        <v>1660</v>
      </c>
      <c r="I195" s="82"/>
      <c r="J195" s="92"/>
      <c r="K195" s="82"/>
      <c r="M195" s="114" t="str">
        <f>VLOOKUP(A195,'BIC_(C_Variables)'!$A$3:$AS$43,45,FALSE())</f>
        <v/>
      </c>
      <c r="N195" s="1"/>
      <c r="O195" s="1"/>
      <c r="P195" s="81" t="str">
        <f>IFERROR(VLOOKUP(A195,Internal_lists_bugs!$A$2:$G7981,7,FALSE()),"please select a BUG ID")</f>
        <v>https://opendev.org/openstack/nova/commit/542958fac7445a14dea</v>
      </c>
    </row>
    <row r="196">
      <c r="A196" s="16" t="s">
        <v>38</v>
      </c>
      <c r="B196" s="50" t="str">
        <f>IFERROR(HYPERLINK(VLOOKUP(A196,Internal_lists_bugs!$A$2:$C$73,3,FALSE()), VLOOKUP(A196,Internal_lists_bugs!$A$2:$C$73,3,FALSE())&amp;Char(10) &amp; Char(10) &amp; VLOOKUP(A196,Internal_lists_bugs!$A$2:$Z$73,26,FALSE())),"please select a BUG ID")</f>
        <v>https://bugs.launchpad.net/nova/+bug/1294939
/network/manager.py</v>
      </c>
      <c r="C196" s="81" t="str">
        <f>IFERROR(VLOOKUP(A196,Internal_lists_bugs!$A$2:$I7981,9,FALSE()),"please select a BUG ID")</f>
        <v>https://review.opendev.org/c/openstack/nova/+/67338</v>
      </c>
      <c r="D196" s="114"/>
      <c r="E196" s="114"/>
      <c r="F196" s="115"/>
      <c r="G196" s="16" t="s">
        <v>1641</v>
      </c>
      <c r="H196" s="16" t="s">
        <v>1661</v>
      </c>
      <c r="I196" s="82"/>
      <c r="J196" s="92"/>
      <c r="K196" s="82"/>
      <c r="M196" s="114" t="str">
        <f>VLOOKUP(A196,'BIC_(C_Variables)'!$A$3:$AS$43,45,FALSE())</f>
        <v/>
      </c>
      <c r="N196" s="1"/>
      <c r="O196" s="1"/>
      <c r="P196" s="81" t="str">
        <f>IFERROR(VLOOKUP(A196,Internal_lists_bugs!$A$2:$G7981,7,FALSE()),"please select a BUG ID")</f>
        <v>https://opendev.org/openstack/nova/commit/542958fac7445a14dea</v>
      </c>
    </row>
    <row r="197">
      <c r="A197" s="16" t="s">
        <v>38</v>
      </c>
      <c r="B197" s="50" t="str">
        <f>IFERROR(HYPERLINK(VLOOKUP(A197,Internal_lists_bugs!$A$2:$C$73,3,FALSE()), VLOOKUP(A197,Internal_lists_bugs!$A$2:$C$73,3,FALSE())&amp;Char(10) &amp; Char(10) &amp; VLOOKUP(A197,Internal_lists_bugs!$A$2:$Z$73,26,FALSE())),"please select a BUG ID")</f>
        <v>https://bugs.launchpad.net/nova/+bug/1294939
/network/manager.py</v>
      </c>
      <c r="C197" s="81" t="str">
        <f>IFERROR(VLOOKUP(A197,Internal_lists_bugs!$A$2:$I7981,9,FALSE()),"please select a BUG ID")</f>
        <v>https://review.opendev.org/c/openstack/nova/+/67338</v>
      </c>
      <c r="D197" s="114"/>
      <c r="E197" s="114"/>
      <c r="F197" s="115"/>
      <c r="G197" s="16" t="s">
        <v>1583</v>
      </c>
      <c r="H197" s="16" t="s">
        <v>1662</v>
      </c>
      <c r="I197" s="82"/>
      <c r="J197" s="92"/>
      <c r="K197" s="82"/>
      <c r="M197" s="114" t="str">
        <f>VLOOKUP(A197,'BIC_(C_Variables)'!$A$3:$AS$43,45,FALSE())</f>
        <v/>
      </c>
      <c r="N197" s="1"/>
      <c r="O197" s="1"/>
      <c r="P197" s="81" t="str">
        <f>IFERROR(VLOOKUP(A197,Internal_lists_bugs!$A$2:$G7981,7,FALSE()),"please select a BUG ID")</f>
        <v>https://opendev.org/openstack/nova/commit/542958fac7445a14dea</v>
      </c>
    </row>
    <row r="198">
      <c r="A198" s="16" t="s">
        <v>38</v>
      </c>
      <c r="B198" s="50" t="str">
        <f>IFERROR(HYPERLINK(VLOOKUP(A198,Internal_lists_bugs!$A$2:$C$73,3,FALSE()), VLOOKUP(A198,Internal_lists_bugs!$A$2:$C$73,3,FALSE())&amp;Char(10) &amp; Char(10) &amp; VLOOKUP(A198,Internal_lists_bugs!$A$2:$Z$73,26,FALSE())),"please select a BUG ID")</f>
        <v>https://bugs.launchpad.net/nova/+bug/1294939
/network/manager.py</v>
      </c>
      <c r="C198" s="81" t="str">
        <f>IFERROR(VLOOKUP(A198,Internal_lists_bugs!$A$2:$I7981,9,FALSE()),"please select a BUG ID")</f>
        <v>https://review.opendev.org/c/openstack/nova/+/67338</v>
      </c>
      <c r="D198" s="114"/>
      <c r="E198" s="114"/>
      <c r="F198" s="115"/>
      <c r="G198" s="16" t="s">
        <v>1489</v>
      </c>
      <c r="H198" s="16" t="s">
        <v>1663</v>
      </c>
      <c r="I198" s="82"/>
      <c r="J198" s="92"/>
      <c r="K198" s="82"/>
      <c r="M198" s="114"/>
      <c r="N198" s="1"/>
      <c r="O198" s="1"/>
      <c r="P198" s="51"/>
    </row>
    <row r="199">
      <c r="A199" s="16" t="s">
        <v>38</v>
      </c>
      <c r="B199" s="50" t="str">
        <f>IFERROR(HYPERLINK(VLOOKUP(A199,Internal_lists_bugs!$A$2:$C$73,3,FALSE()), VLOOKUP(A199,Internal_lists_bugs!$A$2:$C$73,3,FALSE())&amp;Char(10) &amp; Char(10) &amp; VLOOKUP(A199,Internal_lists_bugs!$A$2:$Z$73,26,FALSE())),"please select a BUG ID")</f>
        <v>https://bugs.launchpad.net/nova/+bug/1294939
/network/manager.py</v>
      </c>
      <c r="C199" s="81" t="str">
        <f>IFERROR(VLOOKUP(A199,Internal_lists_bugs!$A$2:$I7981,9,FALSE()),"please select a BUG ID")</f>
        <v>https://review.opendev.org/c/openstack/nova/+/67338</v>
      </c>
      <c r="D199" s="114"/>
      <c r="E199" s="114"/>
      <c r="F199" s="115"/>
      <c r="G199" s="16" t="s">
        <v>1649</v>
      </c>
      <c r="H199" s="16" t="s">
        <v>1663</v>
      </c>
      <c r="I199" s="82"/>
      <c r="J199" s="92"/>
      <c r="K199" s="82"/>
      <c r="M199" s="114" t="str">
        <f>VLOOKUP(A199,'BIC_(C_Variables)'!$A$3:$AS$43,45,FALSE())</f>
        <v/>
      </c>
      <c r="N199" s="1"/>
      <c r="O199" s="1"/>
      <c r="P199" s="81" t="str">
        <f>IFERROR(VLOOKUP(A199,Internal_lists_bugs!$A$2:$G7981,7,FALSE()),"please select a BUG ID")</f>
        <v>https://opendev.org/openstack/nova/commit/542958fac7445a14dea</v>
      </c>
    </row>
    <row r="200">
      <c r="A200" s="16" t="s">
        <v>38</v>
      </c>
      <c r="B200" s="50" t="str">
        <f>IFERROR(HYPERLINK(VLOOKUP(A200,Internal_lists_bugs!$A$2:$C$73,3,FALSE()), VLOOKUP(A200,Internal_lists_bugs!$A$2:$C$73,3,FALSE())&amp;Char(10) &amp; Char(10) &amp; VLOOKUP(A200,Internal_lists_bugs!$A$2:$Z$73,26,FALSE())),"please select a BUG ID")</f>
        <v>https://bugs.launchpad.net/nova/+bug/1294939
/network/manager.py</v>
      </c>
      <c r="C200" s="81" t="str">
        <f>IFERROR(VLOOKUP(A200,Internal_lists_bugs!$A$2:$I7981,9,FALSE()),"please select a BUG ID")</f>
        <v>https://review.opendev.org/c/openstack/nova/+/67338</v>
      </c>
      <c r="D200" s="114"/>
      <c r="E200" s="114"/>
      <c r="F200" s="115"/>
      <c r="G200" s="16" t="s">
        <v>1453</v>
      </c>
      <c r="H200" s="16" t="s">
        <v>1664</v>
      </c>
      <c r="I200" s="82"/>
      <c r="J200" s="92"/>
      <c r="K200" s="82"/>
      <c r="M200" s="114" t="str">
        <f>VLOOKUP(A200,'BIC_(C_Variables)'!$A$3:$AS$43,45,FALSE())</f>
        <v/>
      </c>
      <c r="N200" s="1"/>
      <c r="O200" s="1"/>
      <c r="P200" s="81" t="str">
        <f>IFERROR(VLOOKUP(A200,Internal_lists_bugs!$A$2:$G7981,7,FALSE()),"please select a BUG ID")</f>
        <v>https://opendev.org/openstack/nova/commit/542958fac7445a14dea</v>
      </c>
    </row>
    <row r="201">
      <c r="A201" s="16" t="s">
        <v>38</v>
      </c>
      <c r="B201" s="50" t="str">
        <f>IFERROR(HYPERLINK(VLOOKUP(A201,Internal_lists_bugs!$A$2:$C$73,3,FALSE()), VLOOKUP(A201,Internal_lists_bugs!$A$2:$C$73,3,FALSE())&amp;Char(10) &amp; Char(10) &amp; VLOOKUP(A201,Internal_lists_bugs!$A$2:$Z$73,26,FALSE())),"please select a BUG ID")</f>
        <v>https://bugs.launchpad.net/nova/+bug/1294939
/network/manager.py</v>
      </c>
      <c r="C201" s="81" t="str">
        <f>IFERROR(VLOOKUP(A201,Internal_lists_bugs!$A$2:$I7981,9,FALSE()),"please select a BUG ID")</f>
        <v>https://review.opendev.org/c/openstack/nova/+/67338</v>
      </c>
      <c r="D201" s="114"/>
      <c r="E201" s="114"/>
      <c r="F201" s="115"/>
      <c r="G201" s="16" t="s">
        <v>1458</v>
      </c>
      <c r="H201" s="16" t="s">
        <v>1665</v>
      </c>
      <c r="I201" s="82"/>
      <c r="J201" s="92"/>
      <c r="K201" s="82"/>
      <c r="M201" s="114" t="str">
        <f>VLOOKUP(A201,'BIC_(C_Variables)'!$A$3:$AS$43,45,FALSE())</f>
        <v/>
      </c>
      <c r="N201" s="1"/>
      <c r="O201" s="1"/>
      <c r="P201" s="81" t="str">
        <f>IFERROR(VLOOKUP(A201,Internal_lists_bugs!$A$2:$G7981,7,FALSE()),"please select a BUG ID")</f>
        <v>https://opendev.org/openstack/nova/commit/542958fac7445a14dea</v>
      </c>
    </row>
    <row r="202">
      <c r="A202" s="16" t="s">
        <v>38</v>
      </c>
      <c r="B202" s="50" t="str">
        <f>IFERROR(HYPERLINK(VLOOKUP(A202,Internal_lists_bugs!$A$2:$C$73,3,FALSE()), VLOOKUP(A202,Internal_lists_bugs!$A$2:$C$73,3,FALSE())&amp;Char(10) &amp; Char(10) &amp; VLOOKUP(A202,Internal_lists_bugs!$A$2:$Z$73,26,FALSE())),"please select a BUG ID")</f>
        <v>https://bugs.launchpad.net/nova/+bug/1294939
/network/manager.py</v>
      </c>
      <c r="C202" s="81" t="str">
        <f>IFERROR(VLOOKUP(A202,Internal_lists_bugs!$A$2:$I7981,9,FALSE()),"please select a BUG ID")</f>
        <v>https://review.opendev.org/c/openstack/nova/+/67338</v>
      </c>
      <c r="D202" s="114"/>
      <c r="E202" s="114"/>
      <c r="F202" s="115"/>
      <c r="G202" s="16" t="s">
        <v>1666</v>
      </c>
      <c r="H202" s="16" t="s">
        <v>1667</v>
      </c>
      <c r="I202" s="82"/>
      <c r="J202" s="92"/>
      <c r="K202" s="82"/>
      <c r="M202" s="114" t="str">
        <f>VLOOKUP(A202,'BIC_(C_Variables)'!$A$3:$AS$43,45,FALSE())</f>
        <v/>
      </c>
      <c r="N202" s="1"/>
      <c r="O202" s="1"/>
      <c r="P202" s="81" t="str">
        <f>IFERROR(VLOOKUP(A202,Internal_lists_bugs!$A$2:$G7981,7,FALSE()),"please select a BUG ID")</f>
        <v>https://opendev.org/openstack/nova/commit/542958fac7445a14dea</v>
      </c>
    </row>
    <row r="203">
      <c r="A203" s="16" t="s">
        <v>38</v>
      </c>
      <c r="B203" s="50" t="str">
        <f>IFERROR(HYPERLINK(VLOOKUP(A203,Internal_lists_bugs!$A$2:$C$73,3,FALSE()), VLOOKUP(A203,Internal_lists_bugs!$A$2:$C$73,3,FALSE())&amp;Char(10) &amp; Char(10) &amp; VLOOKUP(A203,Internal_lists_bugs!$A$2:$Z$73,26,FALSE())),"please select a BUG ID")</f>
        <v>https://bugs.launchpad.net/nova/+bug/1294939
/network/manager.py</v>
      </c>
      <c r="C203" s="81" t="str">
        <f>IFERROR(VLOOKUP(A203,Internal_lists_bugs!$A$2:$I7981,9,FALSE()),"please select a BUG ID")</f>
        <v>https://review.opendev.org/c/openstack/nova/+/67338</v>
      </c>
      <c r="D203" s="114"/>
      <c r="E203" s="114"/>
      <c r="F203" s="115"/>
      <c r="G203" s="16" t="s">
        <v>1668</v>
      </c>
      <c r="H203" s="16" t="s">
        <v>1669</v>
      </c>
      <c r="I203" s="82"/>
      <c r="J203" s="92"/>
      <c r="K203" s="82"/>
      <c r="M203" s="114" t="str">
        <f>VLOOKUP(A203,'BIC_(C_Variables)'!$A$3:$AS$43,45,FALSE())</f>
        <v/>
      </c>
      <c r="N203" s="1"/>
      <c r="O203" s="1"/>
      <c r="P203" s="81" t="str">
        <f>IFERROR(VLOOKUP(A203,Internal_lists_bugs!$A$2:$G7981,7,FALSE()),"please select a BUG ID")</f>
        <v>https://opendev.org/openstack/nova/commit/542958fac7445a14dea</v>
      </c>
    </row>
    <row r="204">
      <c r="A204" s="16" t="s">
        <v>38</v>
      </c>
      <c r="B204" s="50" t="str">
        <f>IFERROR(HYPERLINK(VLOOKUP(A204,Internal_lists_bugs!$A$2:$C$73,3,FALSE()), VLOOKUP(A204,Internal_lists_bugs!$A$2:$C$73,3,FALSE())&amp;Char(10) &amp; Char(10) &amp; VLOOKUP(A204,Internal_lists_bugs!$A$2:$Z$73,26,FALSE())),"please select a BUG ID")</f>
        <v>https://bugs.launchpad.net/nova/+bug/1294939
/network/manager.py</v>
      </c>
      <c r="C204" s="81" t="str">
        <f>IFERROR(VLOOKUP(A204,Internal_lists_bugs!$A$2:$I7981,9,FALSE()),"please select a BUG ID")</f>
        <v>https://review.opendev.org/c/openstack/nova/+/67338</v>
      </c>
      <c r="D204" s="114"/>
      <c r="E204" s="114"/>
      <c r="F204" s="115"/>
      <c r="G204" s="16" t="s">
        <v>1500</v>
      </c>
      <c r="H204" s="16" t="s">
        <v>1669</v>
      </c>
      <c r="I204" s="82"/>
      <c r="J204" s="92"/>
      <c r="K204" s="82"/>
      <c r="M204" s="114" t="str">
        <f>VLOOKUP(A204,'BIC_(C_Variables)'!$A$3:$AS$43,45,FALSE())</f>
        <v/>
      </c>
      <c r="N204" s="1"/>
      <c r="O204" s="1"/>
      <c r="P204" s="81" t="str">
        <f>IFERROR(VLOOKUP(A204,Internal_lists_bugs!$A$2:$G7981,7,FALSE()),"please select a BUG ID")</f>
        <v>https://opendev.org/openstack/nova/commit/542958fac7445a14dea</v>
      </c>
    </row>
    <row r="205">
      <c r="A205" s="16" t="s">
        <v>38</v>
      </c>
      <c r="B205" s="50" t="str">
        <f>IFERROR(HYPERLINK(VLOOKUP(A205,Internal_lists_bugs!$A$2:$C$73,3,FALSE()), VLOOKUP(A205,Internal_lists_bugs!$A$2:$C$73,3,FALSE())&amp;Char(10) &amp; Char(10) &amp; VLOOKUP(A205,Internal_lists_bugs!$A$2:$Z$73,26,FALSE())),"please select a BUG ID")</f>
        <v>https://bugs.launchpad.net/nova/+bug/1294939
/network/manager.py</v>
      </c>
      <c r="C205" s="81" t="str">
        <f>IFERROR(VLOOKUP(A205,Internal_lists_bugs!$A$2:$I7981,9,FALSE()),"please select a BUG ID")</f>
        <v>https://review.opendev.org/c/openstack/nova/+/67338</v>
      </c>
      <c r="D205" s="114"/>
      <c r="E205" s="114"/>
      <c r="F205" s="115"/>
      <c r="G205" s="16" t="s">
        <v>1456</v>
      </c>
      <c r="H205" s="16" t="s">
        <v>1664</v>
      </c>
      <c r="I205" s="82"/>
      <c r="J205" s="92"/>
      <c r="K205" s="82"/>
      <c r="M205" s="114" t="str">
        <f>VLOOKUP(A205,'BIC_(C_Variables)'!$A$3:$AS$43,45,FALSE())</f>
        <v/>
      </c>
      <c r="N205" s="1"/>
      <c r="O205" s="1"/>
      <c r="P205" s="81" t="str">
        <f>IFERROR(VLOOKUP(A205,Internal_lists_bugs!$A$2:$G7981,7,FALSE()),"please select a BUG ID")</f>
        <v>https://opendev.org/openstack/nova/commit/542958fac7445a14dea</v>
      </c>
    </row>
    <row r="206">
      <c r="A206" s="16" t="s">
        <v>38</v>
      </c>
      <c r="B206" s="50" t="str">
        <f>IFERROR(HYPERLINK(VLOOKUP(A206,Internal_lists_bugs!$A$2:$C$73,3,FALSE()), VLOOKUP(A206,Internal_lists_bugs!$A$2:$C$73,3,FALSE())&amp;Char(10) &amp; Char(10) &amp; VLOOKUP(A206,Internal_lists_bugs!$A$2:$Z$73,26,FALSE())),"please select a BUG ID")</f>
        <v>https://bugs.launchpad.net/nova/+bug/1294939
/network/manager.py</v>
      </c>
      <c r="C206" s="81" t="str">
        <f>IFERROR(VLOOKUP(A206,Internal_lists_bugs!$A$2:$I7981,9,FALSE()),"please select a BUG ID")</f>
        <v>https://review.opendev.org/c/openstack/nova/+/67338</v>
      </c>
      <c r="D206" s="112"/>
      <c r="E206" s="112"/>
      <c r="F206" s="113"/>
      <c r="G206" s="16" t="s">
        <v>1460</v>
      </c>
      <c r="H206" s="16" t="s">
        <v>1461</v>
      </c>
      <c r="I206" s="79"/>
      <c r="J206" s="92"/>
      <c r="K206" s="79"/>
      <c r="L206" s="16"/>
      <c r="M206" s="114" t="str">
        <f>VLOOKUP(A206,'BIC_(C_Variables)'!$A$3:$AS$43,45,FALSE())</f>
        <v/>
      </c>
      <c r="N206" s="1"/>
      <c r="O206" s="1"/>
      <c r="P206" s="81" t="str">
        <f>IFERROR(VLOOKUP(A206,Internal_lists_bugs!$A$2:$G7981,7,FALSE()),"please select a BUG ID")</f>
        <v>https://opendev.org/openstack/nova/commit/542958fac7445a14dea</v>
      </c>
    </row>
    <row r="207">
      <c r="A207" s="16" t="s">
        <v>39</v>
      </c>
      <c r="B207" s="50" t="str">
        <f>IFERROR(HYPERLINK(VLOOKUP(A207,Internal_lists_bugs!$A$2:$C$73,3,FALSE()), VLOOKUP(A207,Internal_lists_bugs!$A$2:$C$73,3,FALSE())&amp;Char(10) &amp; Char(10) &amp; VLOOKUP(A207,Internal_lists_bugs!$A$2:$Z$73,26,FALSE())),"please select a BUG ID")</f>
        <v>https://bugs.launchpad.net/nova/+bug/1443697
/vmwareapi/vmops.py</v>
      </c>
      <c r="C207" s="81" t="str">
        <f>IFERROR(VLOOKUP(A207,Internal_lists_bugs!$A$2:$I7981,9,FALSE()),"please select a BUG ID")</f>
        <v>https://review.opendev.org/c/openstack/nova/+/145007</v>
      </c>
      <c r="D207" s="112" t="s">
        <v>1412</v>
      </c>
      <c r="E207" s="112" t="s">
        <v>1462</v>
      </c>
      <c r="F207" s="113" t="s">
        <v>251</v>
      </c>
      <c r="G207" s="16" t="s">
        <v>1417</v>
      </c>
      <c r="H207" s="16" t="s">
        <v>1420</v>
      </c>
      <c r="I207" s="79" t="s">
        <v>251</v>
      </c>
      <c r="J207" s="92"/>
      <c r="K207" s="79" t="s">
        <v>251</v>
      </c>
      <c r="L207" s="16" t="s">
        <v>1670</v>
      </c>
      <c r="M207" s="114" t="str">
        <f>VLOOKUP(A207,'BIC_(C_Variables)'!$A$3:$AS$43,45,FALSE())</f>
        <v/>
      </c>
      <c r="N207" s="1"/>
      <c r="O207" s="1"/>
      <c r="P207" s="81" t="str">
        <f>IFERROR(VLOOKUP(A207,Internal_lists_bugs!$A$2:$G7981,7,FALSE()),"please select a BUG ID")</f>
        <v>https://opendev.org/openstack/nova/commit/f3f1a53f</v>
      </c>
    </row>
    <row r="208">
      <c r="A208" s="16" t="s">
        <v>39</v>
      </c>
      <c r="B208" s="50" t="str">
        <f>IFERROR(HYPERLINK(VLOOKUP(A208,Internal_lists_bugs!$A$2:$C$73,3,FALSE()), VLOOKUP(A208,Internal_lists_bugs!$A$2:$C$73,3,FALSE())&amp;Char(10) &amp; Char(10) &amp; VLOOKUP(A208,Internal_lists_bugs!$A$2:$Z$73,26,FALSE())),"please select a BUG ID")</f>
        <v>https://bugs.launchpad.net/nova/+bug/1443697
/vmwareapi/vmops.py</v>
      </c>
      <c r="C208" s="81" t="str">
        <f>IFERROR(VLOOKUP(A208,Internal_lists_bugs!$A$2:$I7981,9,FALSE()),"please select a BUG ID")</f>
        <v>https://review.opendev.org/c/openstack/nova/+/145007</v>
      </c>
      <c r="D208" s="114"/>
      <c r="E208" s="114"/>
      <c r="F208" s="115"/>
      <c r="G208" s="16" t="s">
        <v>1466</v>
      </c>
      <c r="H208" s="16" t="s">
        <v>1420</v>
      </c>
      <c r="I208" s="82"/>
      <c r="J208" s="92"/>
      <c r="K208" s="82"/>
      <c r="M208" s="114" t="str">
        <f>VLOOKUP(A208,'BIC_(C_Variables)'!$A$3:$AS$43,45,FALSE())</f>
        <v/>
      </c>
      <c r="N208" s="1"/>
      <c r="O208" s="1"/>
      <c r="P208" s="81" t="str">
        <f>IFERROR(VLOOKUP(A208,Internal_lists_bugs!$A$2:$G7981,7,FALSE()),"please select a BUG ID")</f>
        <v>https://opendev.org/openstack/nova/commit/f3f1a53f</v>
      </c>
    </row>
    <row r="209">
      <c r="A209" s="16" t="s">
        <v>39</v>
      </c>
      <c r="B209" s="50" t="str">
        <f>IFERROR(HYPERLINK(VLOOKUP(A209,Internal_lists_bugs!$A$2:$C$73,3,FALSE()), VLOOKUP(A209,Internal_lists_bugs!$A$2:$C$73,3,FALSE())&amp;Char(10) &amp; Char(10) &amp; VLOOKUP(A209,Internal_lists_bugs!$A$2:$Z$73,26,FALSE())),"please select a BUG ID")</f>
        <v>https://bugs.launchpad.net/nova/+bug/1443697
/vmwareapi/vmops.py</v>
      </c>
      <c r="C209" s="81" t="str">
        <f>IFERROR(VLOOKUP(A209,Internal_lists_bugs!$A$2:$I7981,9,FALSE()),"please select a BUG ID")</f>
        <v>https://review.opendev.org/c/openstack/nova/+/145007</v>
      </c>
      <c r="D209" s="114"/>
      <c r="E209" s="114"/>
      <c r="F209" s="115"/>
      <c r="G209" s="16" t="s">
        <v>1671</v>
      </c>
      <c r="H209" s="16" t="s">
        <v>1420</v>
      </c>
      <c r="I209" s="82"/>
      <c r="J209" s="92"/>
      <c r="K209" s="82"/>
      <c r="M209" s="114" t="str">
        <f>VLOOKUP(A209,'BIC_(C_Variables)'!$A$3:$AS$43,45,FALSE())</f>
        <v/>
      </c>
      <c r="N209" s="1"/>
      <c r="O209" s="1"/>
      <c r="P209" s="81" t="str">
        <f>IFERROR(VLOOKUP(A209,Internal_lists_bugs!$A$2:$G7981,7,FALSE()),"please select a BUG ID")</f>
        <v>https://opendev.org/openstack/nova/commit/f3f1a53f</v>
      </c>
    </row>
    <row r="210">
      <c r="A210" s="16" t="s">
        <v>39</v>
      </c>
      <c r="B210" s="50" t="str">
        <f>IFERROR(HYPERLINK(VLOOKUP(A210,Internal_lists_bugs!$A$2:$C$73,3,FALSE()), VLOOKUP(A210,Internal_lists_bugs!$A$2:$C$73,3,FALSE())&amp;Char(10) &amp; Char(10) &amp; VLOOKUP(A210,Internal_lists_bugs!$A$2:$Z$73,26,FALSE())),"please select a BUG ID")</f>
        <v>https://bugs.launchpad.net/nova/+bug/1443697
/vmwareapi/vmops.py</v>
      </c>
      <c r="C210" s="81" t="str">
        <f>IFERROR(VLOOKUP(A210,Internal_lists_bugs!$A$2:$I7981,9,FALSE()),"please select a BUG ID")</f>
        <v>https://review.opendev.org/c/openstack/nova/+/145007</v>
      </c>
      <c r="D210" s="114"/>
      <c r="E210" s="114"/>
      <c r="F210" s="115"/>
      <c r="G210" s="16" t="s">
        <v>1419</v>
      </c>
      <c r="H210" s="16" t="s">
        <v>1420</v>
      </c>
      <c r="I210" s="82"/>
      <c r="J210" s="92"/>
      <c r="K210" s="82"/>
      <c r="M210" s="114" t="str">
        <f>VLOOKUP(A210,'BIC_(C_Variables)'!$A$3:$AS$43,45,FALSE())</f>
        <v/>
      </c>
      <c r="N210" s="1"/>
      <c r="O210" s="1"/>
      <c r="P210" s="81" t="str">
        <f>IFERROR(VLOOKUP(A210,Internal_lists_bugs!$A$2:$G7981,7,FALSE()),"please select a BUG ID")</f>
        <v>https://opendev.org/openstack/nova/commit/f3f1a53f</v>
      </c>
    </row>
    <row r="211">
      <c r="A211" s="16" t="s">
        <v>39</v>
      </c>
      <c r="B211" s="50" t="str">
        <f>IFERROR(HYPERLINK(VLOOKUP(A211,Internal_lists_bugs!$A$2:$C$73,3,FALSE()), VLOOKUP(A211,Internal_lists_bugs!$A$2:$C$73,3,FALSE())&amp;Char(10) &amp; Char(10) &amp; VLOOKUP(A211,Internal_lists_bugs!$A$2:$Z$73,26,FALSE())),"please select a BUG ID")</f>
        <v>https://bugs.launchpad.net/nova/+bug/1443697
/vmwareapi/vmops.py</v>
      </c>
      <c r="C211" s="81" t="str">
        <f>IFERROR(VLOOKUP(A211,Internal_lists_bugs!$A$2:$I7981,9,FALSE()),"please select a BUG ID")</f>
        <v>https://review.opendev.org/c/openstack/nova/+/145007</v>
      </c>
      <c r="D211" s="114"/>
      <c r="E211" s="114"/>
      <c r="F211" s="115"/>
      <c r="G211" s="16" t="s">
        <v>1672</v>
      </c>
      <c r="H211" s="16" t="s">
        <v>1420</v>
      </c>
      <c r="I211" s="82"/>
      <c r="J211" s="92"/>
      <c r="K211" s="82"/>
      <c r="M211" s="114" t="str">
        <f>VLOOKUP(A211,'BIC_(C_Variables)'!$A$3:$AS$43,45,FALSE())</f>
        <v/>
      </c>
      <c r="N211" s="1"/>
      <c r="O211" s="1"/>
      <c r="P211" s="81" t="str">
        <f>IFERROR(VLOOKUP(A211,Internal_lists_bugs!$A$2:$G7981,7,FALSE()),"please select a BUG ID")</f>
        <v>https://opendev.org/openstack/nova/commit/f3f1a53f</v>
      </c>
    </row>
    <row r="212">
      <c r="A212" s="16" t="s">
        <v>39</v>
      </c>
      <c r="B212" s="50" t="str">
        <f>IFERROR(HYPERLINK(VLOOKUP(A212,Internal_lists_bugs!$A$2:$C$73,3,FALSE()), VLOOKUP(A212,Internal_lists_bugs!$A$2:$C$73,3,FALSE())&amp;Char(10) &amp; Char(10) &amp; VLOOKUP(A212,Internal_lists_bugs!$A$2:$Z$73,26,FALSE())),"please select a BUG ID")</f>
        <v>https://bugs.launchpad.net/nova/+bug/1443697
/vmwareapi/vmops.py</v>
      </c>
      <c r="C212" s="81" t="str">
        <f>IFERROR(VLOOKUP(A212,Internal_lists_bugs!$A$2:$I7981,9,FALSE()),"please select a BUG ID")</f>
        <v>https://review.opendev.org/c/openstack/nova/+/145007</v>
      </c>
      <c r="D212" s="114"/>
      <c r="E212" s="114"/>
      <c r="F212" s="115"/>
      <c r="G212" s="16" t="s">
        <v>1673</v>
      </c>
      <c r="H212" s="16" t="s">
        <v>1674</v>
      </c>
      <c r="I212" s="82"/>
      <c r="J212" s="92"/>
      <c r="K212" s="82"/>
      <c r="M212" s="114"/>
      <c r="N212" s="1"/>
      <c r="O212" s="1"/>
      <c r="P212" s="51"/>
    </row>
    <row r="213">
      <c r="A213" s="16" t="s">
        <v>39</v>
      </c>
      <c r="B213" s="50" t="str">
        <f>IFERROR(HYPERLINK(VLOOKUP(A213,Internal_lists_bugs!$A$2:$C$73,3,FALSE()), VLOOKUP(A213,Internal_lists_bugs!$A$2:$C$73,3,FALSE())&amp;Char(10) &amp; Char(10) &amp; VLOOKUP(A213,Internal_lists_bugs!$A$2:$Z$73,26,FALSE())),"please select a BUG ID")</f>
        <v>https://bugs.launchpad.net/nova/+bug/1443697
/vmwareapi/vmops.py</v>
      </c>
      <c r="C213" s="81" t="str">
        <f>IFERROR(VLOOKUP(A213,Internal_lists_bugs!$A$2:$I7981,9,FALSE()),"please select a BUG ID")</f>
        <v>https://review.opendev.org/c/openstack/nova/+/145007</v>
      </c>
      <c r="D213" s="114"/>
      <c r="E213" s="114"/>
      <c r="F213" s="115"/>
      <c r="G213" s="16" t="s">
        <v>1495</v>
      </c>
      <c r="H213" s="16" t="s">
        <v>1675</v>
      </c>
      <c r="I213" s="82"/>
      <c r="J213" s="92"/>
      <c r="K213" s="82"/>
      <c r="M213" s="114"/>
      <c r="N213" s="1"/>
      <c r="O213" s="1"/>
      <c r="P213" s="51"/>
    </row>
    <row r="214">
      <c r="A214" s="16" t="s">
        <v>39</v>
      </c>
      <c r="B214" s="50" t="str">
        <f>IFERROR(HYPERLINK(VLOOKUP(A214,Internal_lists_bugs!$A$2:$C$73,3,FALSE()), VLOOKUP(A214,Internal_lists_bugs!$A$2:$C$73,3,FALSE())&amp;Char(10) &amp; Char(10) &amp; VLOOKUP(A214,Internal_lists_bugs!$A$2:$Z$73,26,FALSE())),"please select a BUG ID")</f>
        <v>https://bugs.launchpad.net/nova/+bug/1443697
/vmwareapi/vmops.py</v>
      </c>
      <c r="C214" s="81" t="str">
        <f>IFERROR(VLOOKUP(A214,Internal_lists_bugs!$A$2:$I7981,9,FALSE()),"please select a BUG ID")</f>
        <v>https://review.opendev.org/c/openstack/nova/+/145007</v>
      </c>
      <c r="D214" s="114"/>
      <c r="E214" s="114"/>
      <c r="F214" s="115"/>
      <c r="G214" s="16" t="s">
        <v>1676</v>
      </c>
      <c r="H214" s="16" t="s">
        <v>1677</v>
      </c>
      <c r="I214" s="82"/>
      <c r="J214" s="92"/>
      <c r="K214" s="82"/>
      <c r="M214" s="114" t="str">
        <f>VLOOKUP(A214,'BIC_(C_Variables)'!$A$3:$AS$43,45,FALSE())</f>
        <v/>
      </c>
      <c r="N214" s="1"/>
      <c r="O214" s="1"/>
      <c r="P214" s="81" t="str">
        <f>IFERROR(VLOOKUP(A214,Internal_lists_bugs!$A$2:$G7981,7,FALSE()),"please select a BUG ID")</f>
        <v>https://opendev.org/openstack/nova/commit/f3f1a53f</v>
      </c>
    </row>
    <row r="215">
      <c r="A215" s="16" t="s">
        <v>39</v>
      </c>
      <c r="B215" s="50" t="str">
        <f>IFERROR(HYPERLINK(VLOOKUP(A215,Internal_lists_bugs!$A$2:$C$73,3,FALSE()), VLOOKUP(A215,Internal_lists_bugs!$A$2:$C$73,3,FALSE())&amp;Char(10) &amp; Char(10) &amp; VLOOKUP(A215,Internal_lists_bugs!$A$2:$Z$73,26,FALSE())),"please select a BUG ID")</f>
        <v>https://bugs.launchpad.net/nova/+bug/1443697
/vmwareapi/vmops.py</v>
      </c>
      <c r="C215" s="81" t="str">
        <f>IFERROR(VLOOKUP(A215,Internal_lists_bugs!$A$2:$I7981,9,FALSE()),"please select a BUG ID")</f>
        <v>https://review.opendev.org/c/openstack/nova/+/145007</v>
      </c>
      <c r="D215" s="114"/>
      <c r="E215" s="114"/>
      <c r="F215" s="115"/>
      <c r="G215" s="16" t="s">
        <v>1678</v>
      </c>
      <c r="H215" s="112" t="s">
        <v>1679</v>
      </c>
      <c r="I215" s="82"/>
      <c r="J215" s="92"/>
      <c r="K215" s="82"/>
      <c r="M215" s="114" t="str">
        <f>VLOOKUP(A215,'BIC_(C_Variables)'!$A$3:$AS$43,45,FALSE())</f>
        <v/>
      </c>
      <c r="N215" s="1"/>
      <c r="O215" s="1"/>
      <c r="P215" s="81" t="str">
        <f>IFERROR(VLOOKUP(A215,Internal_lists_bugs!$A$2:$G7981,7,FALSE()),"please select a BUG ID")</f>
        <v>https://opendev.org/openstack/nova/commit/f3f1a53f</v>
      </c>
    </row>
    <row r="216">
      <c r="A216" s="16" t="s">
        <v>39</v>
      </c>
      <c r="B216" s="50" t="str">
        <f>IFERROR(HYPERLINK(VLOOKUP(A216,Internal_lists_bugs!$A$2:$C$73,3,FALSE()), VLOOKUP(A216,Internal_lists_bugs!$A$2:$C$73,3,FALSE())&amp;Char(10) &amp; Char(10) &amp; VLOOKUP(A216,Internal_lists_bugs!$A$2:$Z$73,26,FALSE())),"please select a BUG ID")</f>
        <v>https://bugs.launchpad.net/nova/+bug/1443697
/vmwareapi/vmops.py</v>
      </c>
      <c r="C216" s="81" t="str">
        <f>IFERROR(VLOOKUP(A216,Internal_lists_bugs!$A$2:$I7981,9,FALSE()),"please select a BUG ID")</f>
        <v>https://review.opendev.org/c/openstack/nova/+/145007</v>
      </c>
      <c r="D216" s="114"/>
      <c r="E216" s="114"/>
      <c r="F216" s="115"/>
      <c r="G216" s="16" t="s">
        <v>1680</v>
      </c>
      <c r="H216" s="112" t="s">
        <v>1681</v>
      </c>
      <c r="I216" s="82"/>
      <c r="J216" s="92"/>
      <c r="K216" s="82"/>
      <c r="M216" s="114" t="str">
        <f>VLOOKUP(A216,'BIC_(C_Variables)'!$A$3:$AS$43,45,FALSE())</f>
        <v/>
      </c>
      <c r="N216" s="1"/>
      <c r="O216" s="1"/>
      <c r="P216" s="81" t="str">
        <f>IFERROR(VLOOKUP(A216,Internal_lists_bugs!$A$2:$G7981,7,FALSE()),"please select a BUG ID")</f>
        <v>https://opendev.org/openstack/nova/commit/f3f1a53f</v>
      </c>
    </row>
    <row r="217">
      <c r="A217" s="16" t="s">
        <v>39</v>
      </c>
      <c r="B217" s="50" t="str">
        <f>IFERROR(HYPERLINK(VLOOKUP(A217,Internal_lists_bugs!$A$2:$C$73,3,FALSE()), VLOOKUP(A217,Internal_lists_bugs!$A$2:$C$73,3,FALSE())&amp;Char(10) &amp; Char(10) &amp; VLOOKUP(A217,Internal_lists_bugs!$A$2:$Z$73,26,FALSE())),"please select a BUG ID")</f>
        <v>https://bugs.launchpad.net/nova/+bug/1443697
/vmwareapi/vmops.py</v>
      </c>
      <c r="C217" s="81" t="str">
        <f>IFERROR(VLOOKUP(A217,Internal_lists_bugs!$A$2:$I7981,9,FALSE()),"please select a BUG ID")</f>
        <v>https://review.opendev.org/c/openstack/nova/+/145007</v>
      </c>
      <c r="D217" s="114"/>
      <c r="E217" s="114"/>
      <c r="F217" s="115"/>
      <c r="G217" s="16" t="s">
        <v>1682</v>
      </c>
      <c r="H217" s="112" t="s">
        <v>1683</v>
      </c>
      <c r="I217" s="82"/>
      <c r="J217" s="92"/>
      <c r="K217" s="82"/>
      <c r="M217" s="114" t="str">
        <f>VLOOKUP(A217,'BIC_(C_Variables)'!$A$3:$AS$43,45,FALSE())</f>
        <v/>
      </c>
      <c r="N217" s="1"/>
      <c r="O217" s="1"/>
      <c r="P217" s="81" t="str">
        <f>IFERROR(VLOOKUP(A217,Internal_lists_bugs!$A$2:$G7981,7,FALSE()),"please select a BUG ID")</f>
        <v>https://opendev.org/openstack/nova/commit/f3f1a53f</v>
      </c>
    </row>
    <row r="218">
      <c r="A218" s="16" t="s">
        <v>39</v>
      </c>
      <c r="B218" s="50" t="str">
        <f>IFERROR(HYPERLINK(VLOOKUP(A218,Internal_lists_bugs!$A$2:$C$73,3,FALSE()), VLOOKUP(A218,Internal_lists_bugs!$A$2:$C$73,3,FALSE())&amp;Char(10) &amp; Char(10) &amp; VLOOKUP(A218,Internal_lists_bugs!$A$2:$Z$73,26,FALSE())),"please select a BUG ID")</f>
        <v>https://bugs.launchpad.net/nova/+bug/1443697
/vmwareapi/vmops.py</v>
      </c>
      <c r="C218" s="81" t="str">
        <f>IFERROR(VLOOKUP(A218,Internal_lists_bugs!$A$2:$I7981,9,FALSE()),"please select a BUG ID")</f>
        <v>https://review.opendev.org/c/openstack/nova/+/145007</v>
      </c>
      <c r="D218" s="114"/>
      <c r="E218" s="114"/>
      <c r="F218" s="115"/>
      <c r="G218" s="16" t="s">
        <v>1684</v>
      </c>
      <c r="H218" s="112" t="s">
        <v>1685</v>
      </c>
      <c r="I218" s="82"/>
      <c r="J218" s="92"/>
      <c r="K218" s="82"/>
      <c r="M218" s="114" t="str">
        <f>VLOOKUP(A218,'BIC_(C_Variables)'!$A$3:$AS$43,45,FALSE())</f>
        <v/>
      </c>
      <c r="N218" s="1"/>
      <c r="O218" s="1"/>
      <c r="P218" s="81" t="str">
        <f>IFERROR(VLOOKUP(A218,Internal_lists_bugs!$A$2:$G7981,7,FALSE()),"please select a BUG ID")</f>
        <v>https://opendev.org/openstack/nova/commit/f3f1a53f</v>
      </c>
    </row>
    <row r="219">
      <c r="A219" s="16" t="s">
        <v>39</v>
      </c>
      <c r="B219" s="50" t="str">
        <f>IFERROR(HYPERLINK(VLOOKUP(A219,Internal_lists_bugs!$A$2:$C$73,3,FALSE()), VLOOKUP(A219,Internal_lists_bugs!$A$2:$C$73,3,FALSE())&amp;Char(10) &amp; Char(10) &amp; VLOOKUP(A219,Internal_lists_bugs!$A$2:$Z$73,26,FALSE())),"please select a BUG ID")</f>
        <v>https://bugs.launchpad.net/nova/+bug/1443697
/vmwareapi/vmops.py</v>
      </c>
      <c r="C219" s="81" t="str">
        <f>IFERROR(VLOOKUP(A219,Internal_lists_bugs!$A$2:$I7981,9,FALSE()),"please select a BUG ID")</f>
        <v>https://review.opendev.org/c/openstack/nova/+/145007</v>
      </c>
      <c r="D219" s="114"/>
      <c r="E219" s="114"/>
      <c r="F219" s="115"/>
      <c r="G219" s="16" t="s">
        <v>1686</v>
      </c>
      <c r="H219" s="112" t="s">
        <v>1687</v>
      </c>
      <c r="I219" s="82"/>
      <c r="J219" s="92"/>
      <c r="K219" s="82"/>
      <c r="M219" s="114" t="str">
        <f>VLOOKUP(A219,'BIC_(C_Variables)'!$A$3:$AS$43,45,FALSE())</f>
        <v/>
      </c>
      <c r="N219" s="1"/>
      <c r="O219" s="1"/>
      <c r="P219" s="81" t="str">
        <f>IFERROR(VLOOKUP(A219,Internal_lists_bugs!$A$2:$G7981,7,FALSE()),"please select a BUG ID")</f>
        <v>https://opendev.org/openstack/nova/commit/f3f1a53f</v>
      </c>
    </row>
    <row r="220">
      <c r="A220" s="16" t="s">
        <v>39</v>
      </c>
      <c r="B220" s="50" t="str">
        <f>IFERROR(HYPERLINK(VLOOKUP(A220,Internal_lists_bugs!$A$2:$C$73,3,FALSE()), VLOOKUP(A220,Internal_lists_bugs!$A$2:$C$73,3,FALSE())&amp;Char(10) &amp; Char(10) &amp; VLOOKUP(A220,Internal_lists_bugs!$A$2:$Z$73,26,FALSE())),"please select a BUG ID")</f>
        <v>https://bugs.launchpad.net/nova/+bug/1443697
/vmwareapi/vmops.py</v>
      </c>
      <c r="C220" s="81" t="str">
        <f>IFERROR(VLOOKUP(A220,Internal_lists_bugs!$A$2:$I7981,9,FALSE()),"please select a BUG ID")</f>
        <v>https://review.opendev.org/c/openstack/nova/+/145007</v>
      </c>
      <c r="D220" s="114"/>
      <c r="E220" s="114"/>
      <c r="F220" s="115"/>
      <c r="G220" s="16" t="s">
        <v>1688</v>
      </c>
      <c r="H220" s="112" t="s">
        <v>1689</v>
      </c>
      <c r="I220" s="82"/>
      <c r="J220" s="92"/>
      <c r="K220" s="82"/>
      <c r="M220" s="114" t="str">
        <f>VLOOKUP(A220,'BIC_(C_Variables)'!$A$3:$AS$43,45,FALSE())</f>
        <v/>
      </c>
      <c r="N220" s="1"/>
      <c r="O220" s="1"/>
      <c r="P220" s="81" t="str">
        <f>IFERROR(VLOOKUP(A220,Internal_lists_bugs!$A$2:$G7981,7,FALSE()),"please select a BUG ID")</f>
        <v>https://opendev.org/openstack/nova/commit/f3f1a53f</v>
      </c>
    </row>
    <row r="221">
      <c r="A221" s="16" t="s">
        <v>39</v>
      </c>
      <c r="B221" s="50" t="str">
        <f>IFERROR(HYPERLINK(VLOOKUP(A221,Internal_lists_bugs!$A$2:$C$73,3,FALSE()), VLOOKUP(A221,Internal_lists_bugs!$A$2:$C$73,3,FALSE())&amp;Char(10) &amp; Char(10) &amp; VLOOKUP(A221,Internal_lists_bugs!$A$2:$Z$73,26,FALSE())),"please select a BUG ID")</f>
        <v>https://bugs.launchpad.net/nova/+bug/1443697
/vmwareapi/vmops.py</v>
      </c>
      <c r="C221" s="81" t="str">
        <f>IFERROR(VLOOKUP(A221,Internal_lists_bugs!$A$2:$I7981,9,FALSE()),"please select a BUG ID")</f>
        <v>https://review.opendev.org/c/openstack/nova/+/145007</v>
      </c>
      <c r="D221" s="114"/>
      <c r="E221" s="114"/>
      <c r="F221" s="115"/>
      <c r="G221" s="16" t="s">
        <v>1690</v>
      </c>
      <c r="H221" s="112" t="s">
        <v>1691</v>
      </c>
      <c r="I221" s="82"/>
      <c r="J221" s="92"/>
      <c r="K221" s="82"/>
      <c r="M221" s="114" t="str">
        <f>VLOOKUP(A221,'BIC_(C_Variables)'!$A$3:$AS$43,45,FALSE())</f>
        <v/>
      </c>
      <c r="N221" s="1"/>
      <c r="O221" s="1"/>
      <c r="P221" s="81" t="str">
        <f>IFERROR(VLOOKUP(A221,Internal_lists_bugs!$A$2:$G7981,7,FALSE()),"please select a BUG ID")</f>
        <v>https://opendev.org/openstack/nova/commit/f3f1a53f</v>
      </c>
    </row>
    <row r="222">
      <c r="A222" s="16" t="s">
        <v>39</v>
      </c>
      <c r="B222" s="50" t="str">
        <f>IFERROR(HYPERLINK(VLOOKUP(A222,Internal_lists_bugs!$A$2:$C$73,3,FALSE()), VLOOKUP(A222,Internal_lists_bugs!$A$2:$C$73,3,FALSE())&amp;Char(10) &amp; Char(10) &amp; VLOOKUP(A222,Internal_lists_bugs!$A$2:$Z$73,26,FALSE())),"please select a BUG ID")</f>
        <v>https://bugs.launchpad.net/nova/+bug/1443697
/vmwareapi/vmops.py</v>
      </c>
      <c r="C222" s="81" t="str">
        <f>IFERROR(VLOOKUP(A222,Internal_lists_bugs!$A$2:$I7981,9,FALSE()),"please select a BUG ID")</f>
        <v>https://review.opendev.org/c/openstack/nova/+/145007</v>
      </c>
      <c r="D222" s="114"/>
      <c r="E222" s="114"/>
      <c r="F222" s="115"/>
      <c r="G222" s="16" t="s">
        <v>1509</v>
      </c>
      <c r="H222" s="112" t="s">
        <v>1692</v>
      </c>
      <c r="I222" s="82"/>
      <c r="J222" s="92"/>
      <c r="K222" s="82"/>
      <c r="M222" s="114" t="str">
        <f>VLOOKUP(A222,'BIC_(C_Variables)'!$A$3:$AS$43,45,FALSE())</f>
        <v/>
      </c>
      <c r="N222" s="1"/>
      <c r="O222" s="1"/>
      <c r="P222" s="81" t="str">
        <f>IFERROR(VLOOKUP(A222,Internal_lists_bugs!$A$2:$G7981,7,FALSE()),"please select a BUG ID")</f>
        <v>https://opendev.org/openstack/nova/commit/f3f1a53f</v>
      </c>
    </row>
    <row r="223">
      <c r="A223" s="16" t="s">
        <v>39</v>
      </c>
      <c r="B223" s="50" t="str">
        <f>IFERROR(HYPERLINK(VLOOKUP(A223,Internal_lists_bugs!$A$2:$C$73,3,FALSE()), VLOOKUP(A223,Internal_lists_bugs!$A$2:$C$73,3,FALSE())&amp;Char(10) &amp; Char(10) &amp; VLOOKUP(A223,Internal_lists_bugs!$A$2:$Z$73,26,FALSE())),"please select a BUG ID")</f>
        <v>https://bugs.launchpad.net/nova/+bug/1443697
/vmwareapi/vmops.py</v>
      </c>
      <c r="C223" s="81" t="str">
        <f>IFERROR(VLOOKUP(A223,Internal_lists_bugs!$A$2:$I7981,9,FALSE()),"please select a BUG ID")</f>
        <v>https://review.opendev.org/c/openstack/nova/+/145007</v>
      </c>
      <c r="D223" s="114"/>
      <c r="E223" s="114"/>
      <c r="F223" s="115"/>
      <c r="G223" s="16" t="s">
        <v>1507</v>
      </c>
      <c r="H223" s="112" t="s">
        <v>1693</v>
      </c>
      <c r="I223" s="82"/>
      <c r="J223" s="92"/>
      <c r="K223" s="82"/>
      <c r="M223" s="114"/>
      <c r="N223" s="1"/>
      <c r="O223" s="1"/>
      <c r="P223" s="51"/>
    </row>
    <row r="224">
      <c r="A224" s="16" t="s">
        <v>39</v>
      </c>
      <c r="B224" s="50" t="str">
        <f>IFERROR(HYPERLINK(VLOOKUP(A224,Internal_lists_bugs!$A$2:$C$73,3,FALSE()), VLOOKUP(A224,Internal_lists_bugs!$A$2:$C$73,3,FALSE())&amp;Char(10) &amp; Char(10) &amp; VLOOKUP(A224,Internal_lists_bugs!$A$2:$Z$73,26,FALSE())),"please select a BUG ID")</f>
        <v>https://bugs.launchpad.net/nova/+bug/1443697
/vmwareapi/vmops.py</v>
      </c>
      <c r="C224" s="81" t="str">
        <f>IFERROR(VLOOKUP(A224,Internal_lists_bugs!$A$2:$I7981,9,FALSE()),"please select a BUG ID")</f>
        <v>https://review.opendev.org/c/openstack/nova/+/145007</v>
      </c>
      <c r="D224" s="114"/>
      <c r="E224" s="114"/>
      <c r="F224" s="115"/>
      <c r="G224" s="16" t="s">
        <v>1694</v>
      </c>
      <c r="H224" s="16" t="s">
        <v>1695</v>
      </c>
      <c r="I224" s="82"/>
      <c r="J224" s="92"/>
      <c r="K224" s="82"/>
      <c r="M224" s="114" t="str">
        <f>VLOOKUP(A224,'BIC_(C_Variables)'!$A$3:$AS$43,45,FALSE())</f>
        <v/>
      </c>
      <c r="N224" s="1"/>
      <c r="O224" s="1"/>
      <c r="P224" s="81" t="str">
        <f>IFERROR(VLOOKUP(A224,Internal_lists_bugs!$A$2:$G7981,7,FALSE()),"please select a BUG ID")</f>
        <v>https://opendev.org/openstack/nova/commit/f3f1a53f</v>
      </c>
    </row>
    <row r="225">
      <c r="A225" s="16" t="s">
        <v>39</v>
      </c>
      <c r="B225" s="50" t="str">
        <f>IFERROR(HYPERLINK(VLOOKUP(A225,Internal_lists_bugs!$A$2:$C$73,3,FALSE()), VLOOKUP(A225,Internal_lists_bugs!$A$2:$C$73,3,FALSE())&amp;Char(10) &amp; Char(10) &amp; VLOOKUP(A225,Internal_lists_bugs!$A$2:$Z$73,26,FALSE())),"please select a BUG ID")</f>
        <v>https://bugs.launchpad.net/nova/+bug/1443697
/vmwareapi/vmops.py</v>
      </c>
      <c r="C225" s="81" t="str">
        <f>IFERROR(VLOOKUP(A225,Internal_lists_bugs!$A$2:$I7981,9,FALSE()),"please select a BUG ID")</f>
        <v>https://review.opendev.org/c/openstack/nova/+/145007</v>
      </c>
      <c r="D225" s="114"/>
      <c r="E225" s="114"/>
      <c r="F225" s="115"/>
      <c r="G225" s="16" t="s">
        <v>1696</v>
      </c>
      <c r="H225" s="112" t="s">
        <v>1697</v>
      </c>
      <c r="I225" s="82"/>
      <c r="J225" s="92"/>
      <c r="K225" s="82"/>
      <c r="M225" s="114"/>
      <c r="N225" s="1"/>
      <c r="O225" s="1"/>
      <c r="P225" s="51"/>
    </row>
    <row r="226">
      <c r="A226" s="16" t="s">
        <v>39</v>
      </c>
      <c r="B226" s="50" t="str">
        <f>IFERROR(HYPERLINK(VLOOKUP(A226,Internal_lists_bugs!$A$2:$C$73,3,FALSE()), VLOOKUP(A226,Internal_lists_bugs!$A$2:$C$73,3,FALSE())&amp;Char(10) &amp; Char(10) &amp; VLOOKUP(A226,Internal_lists_bugs!$A$2:$Z$73,26,FALSE())),"please select a BUG ID")</f>
        <v>https://bugs.launchpad.net/nova/+bug/1443697
/vmwareapi/vmops.py</v>
      </c>
      <c r="C226" s="81" t="str">
        <f>IFERROR(VLOOKUP(A226,Internal_lists_bugs!$A$2:$I7981,9,FALSE()),"please select a BUG ID")</f>
        <v>https://review.opendev.org/c/openstack/nova/+/145007</v>
      </c>
      <c r="D226" s="114"/>
      <c r="E226" s="114"/>
      <c r="F226" s="115"/>
      <c r="G226" s="16" t="s">
        <v>1514</v>
      </c>
      <c r="H226" s="112" t="s">
        <v>1698</v>
      </c>
      <c r="I226" s="82"/>
      <c r="J226" s="92"/>
      <c r="K226" s="82"/>
      <c r="M226" s="114"/>
      <c r="N226" s="1"/>
      <c r="O226" s="1"/>
      <c r="P226" s="51"/>
    </row>
    <row r="227">
      <c r="A227" s="16" t="s">
        <v>39</v>
      </c>
      <c r="B227" s="50" t="str">
        <f>IFERROR(HYPERLINK(VLOOKUP(A227,Internal_lists_bugs!$A$2:$C$73,3,FALSE()), VLOOKUP(A227,Internal_lists_bugs!$A$2:$C$73,3,FALSE())&amp;Char(10) &amp; Char(10) &amp; VLOOKUP(A227,Internal_lists_bugs!$A$2:$Z$73,26,FALSE())),"please select a BUG ID")</f>
        <v>https://bugs.launchpad.net/nova/+bug/1443697
/vmwareapi/vmops.py</v>
      </c>
      <c r="C227" s="81" t="str">
        <f>IFERROR(VLOOKUP(A227,Internal_lists_bugs!$A$2:$I7981,9,FALSE()),"please select a BUG ID")</f>
        <v>https://review.opendev.org/c/openstack/nova/+/145007</v>
      </c>
      <c r="D227" s="114"/>
      <c r="E227" s="114"/>
      <c r="F227" s="115"/>
      <c r="G227" s="16" t="s">
        <v>1460</v>
      </c>
      <c r="H227" s="16" t="s">
        <v>1699</v>
      </c>
      <c r="I227" s="82"/>
      <c r="J227" s="92"/>
      <c r="K227" s="82"/>
      <c r="M227" s="114" t="str">
        <f>VLOOKUP(A227,'BIC_(C_Variables)'!$A$3:$AS$43,45,FALSE())</f>
        <v/>
      </c>
      <c r="N227" s="1"/>
      <c r="O227" s="1"/>
      <c r="P227" s="81" t="str">
        <f>IFERROR(VLOOKUP(A227,Internal_lists_bugs!$A$2:$G7981,7,FALSE()),"please select a BUG ID")</f>
        <v>https://opendev.org/openstack/nova/commit/f3f1a53f</v>
      </c>
    </row>
    <row r="228">
      <c r="A228" s="16" t="s">
        <v>39</v>
      </c>
      <c r="B228" s="50" t="str">
        <f>IFERROR(HYPERLINK(VLOOKUP(A228,Internal_lists_bugs!$A$2:$C$73,3,FALSE()), VLOOKUP(A228,Internal_lists_bugs!$A$2:$C$73,3,FALSE())&amp;Char(10) &amp; Char(10) &amp; VLOOKUP(A228,Internal_lists_bugs!$A$2:$Z$73,26,FALSE())),"please select a BUG ID")</f>
        <v>https://bugs.launchpad.net/nova/+bug/1443697
/vmwareapi/vmops.py</v>
      </c>
      <c r="C228" s="81" t="str">
        <f>IFERROR(VLOOKUP(A228,Internal_lists_bugs!$A$2:$I7981,9,FALSE()),"please select a BUG ID")</f>
        <v>https://review.opendev.org/c/openstack/nova/+/145007</v>
      </c>
      <c r="D228" s="114"/>
      <c r="E228" s="114"/>
      <c r="F228" s="115"/>
      <c r="G228" s="16" t="s">
        <v>1515</v>
      </c>
      <c r="H228" s="112" t="s">
        <v>1700</v>
      </c>
      <c r="I228" s="82"/>
      <c r="J228" s="92"/>
      <c r="K228" s="82"/>
      <c r="M228" s="114"/>
      <c r="N228" s="1"/>
      <c r="O228" s="1"/>
      <c r="P228" s="51"/>
    </row>
    <row r="229">
      <c r="A229" s="16" t="s">
        <v>39</v>
      </c>
      <c r="B229" s="50" t="str">
        <f>IFERROR(HYPERLINK(VLOOKUP(A229,Internal_lists_bugs!$A$2:$C$73,3,FALSE()), VLOOKUP(A229,Internal_lists_bugs!$A$2:$C$73,3,FALSE())&amp;Char(10) &amp; Char(10) &amp; VLOOKUP(A229,Internal_lists_bugs!$A$2:$Z$73,26,FALSE())),"please select a BUG ID")</f>
        <v>https://bugs.launchpad.net/nova/+bug/1443697
/vmwareapi/vmops.py</v>
      </c>
      <c r="C229" s="81" t="str">
        <f>IFERROR(VLOOKUP(A229,Internal_lists_bugs!$A$2:$I7981,9,FALSE()),"please select a BUG ID")</f>
        <v>https://review.opendev.org/c/openstack/nova/+/145007</v>
      </c>
      <c r="D229" s="114"/>
      <c r="E229" s="114"/>
      <c r="F229" s="115"/>
      <c r="G229" s="16" t="s">
        <v>1423</v>
      </c>
      <c r="H229" s="16" t="s">
        <v>1701</v>
      </c>
      <c r="I229" s="82"/>
      <c r="J229" s="92"/>
      <c r="K229" s="82"/>
      <c r="M229" s="114" t="str">
        <f>VLOOKUP(A229,'BIC_(C_Variables)'!$A$3:$AS$43,45,FALSE())</f>
        <v/>
      </c>
      <c r="N229" s="1"/>
      <c r="O229" s="1"/>
      <c r="P229" s="81" t="str">
        <f>IFERROR(VLOOKUP(A229,Internal_lists_bugs!$A$2:$G7981,7,FALSE()),"please select a BUG ID")</f>
        <v>https://opendev.org/openstack/nova/commit/f3f1a53f</v>
      </c>
    </row>
    <row r="230">
      <c r="A230" s="16" t="s">
        <v>39</v>
      </c>
      <c r="B230" s="50" t="str">
        <f>IFERROR(HYPERLINK(VLOOKUP(A230,Internal_lists_bugs!$A$2:$C$73,3,FALSE()), VLOOKUP(A230,Internal_lists_bugs!$A$2:$C$73,3,FALSE())&amp;Char(10) &amp; Char(10) &amp; VLOOKUP(A230,Internal_lists_bugs!$A$2:$Z$73,26,FALSE())),"please select a BUG ID")</f>
        <v>https://bugs.launchpad.net/nova/+bug/1443697
/vmwareapi/vmops.py</v>
      </c>
      <c r="C230" s="81" t="str">
        <f>IFERROR(VLOOKUP(A230,Internal_lists_bugs!$A$2:$I7981,9,FALSE()),"please select a BUG ID")</f>
        <v>https://review.opendev.org/c/openstack/nova/+/145007</v>
      </c>
      <c r="D230" s="114"/>
      <c r="E230" s="114"/>
      <c r="F230" s="115"/>
      <c r="G230" s="16" t="s">
        <v>1702</v>
      </c>
      <c r="H230" s="16" t="s">
        <v>1701</v>
      </c>
      <c r="I230" s="82"/>
      <c r="J230" s="92"/>
      <c r="K230" s="82"/>
      <c r="M230" s="114" t="str">
        <f>VLOOKUP(A230,'BIC_(C_Variables)'!$A$3:$AS$43,45,FALSE())</f>
        <v/>
      </c>
      <c r="N230" s="1"/>
      <c r="O230" s="1"/>
      <c r="P230" s="81" t="str">
        <f>IFERROR(VLOOKUP(A230,Internal_lists_bugs!$A$2:$G7981,7,FALSE()),"please select a BUG ID")</f>
        <v>https://opendev.org/openstack/nova/commit/f3f1a53f</v>
      </c>
    </row>
    <row r="231">
      <c r="A231" s="16" t="s">
        <v>39</v>
      </c>
      <c r="B231" s="50" t="str">
        <f>IFERROR(HYPERLINK(VLOOKUP(A231,Internal_lists_bugs!$A$2:$C$73,3,FALSE()), VLOOKUP(A231,Internal_lists_bugs!$A$2:$C$73,3,FALSE())&amp;Char(10) &amp; Char(10) &amp; VLOOKUP(A231,Internal_lists_bugs!$A$2:$Z$73,26,FALSE())),"please select a BUG ID")</f>
        <v>https://bugs.launchpad.net/nova/+bug/1443697
/vmwareapi/vmops.py</v>
      </c>
      <c r="C231" s="81" t="str">
        <f>IFERROR(VLOOKUP(A231,Internal_lists_bugs!$A$2:$I7981,9,FALSE()),"please select a BUG ID")</f>
        <v>https://review.opendev.org/c/openstack/nova/+/145007</v>
      </c>
      <c r="D231" s="114"/>
      <c r="E231" s="114"/>
      <c r="F231" s="115"/>
      <c r="G231" s="16" t="s">
        <v>1432</v>
      </c>
      <c r="H231" s="16" t="s">
        <v>1703</v>
      </c>
      <c r="I231" s="82"/>
      <c r="J231" s="92"/>
      <c r="K231" s="82"/>
      <c r="M231" s="114" t="str">
        <f>VLOOKUP(A231,'BIC_(C_Variables)'!$A$3:$AS$43,45,FALSE())</f>
        <v/>
      </c>
      <c r="N231" s="1"/>
      <c r="O231" s="1"/>
      <c r="P231" s="81" t="str">
        <f>IFERROR(VLOOKUP(A231,Internal_lists_bugs!$A$2:$G7981,7,FALSE()),"please select a BUG ID")</f>
        <v>https://opendev.org/openstack/nova/commit/f3f1a53f</v>
      </c>
    </row>
    <row r="232">
      <c r="A232" s="16" t="s">
        <v>39</v>
      </c>
      <c r="B232" s="50" t="str">
        <f>IFERROR(HYPERLINK(VLOOKUP(A232,Internal_lists_bugs!$A$2:$C$73,3,FALSE()), VLOOKUP(A232,Internal_lists_bugs!$A$2:$C$73,3,FALSE())&amp;Char(10) &amp; Char(10) &amp; VLOOKUP(A232,Internal_lists_bugs!$A$2:$Z$73,26,FALSE())),"please select a BUG ID")</f>
        <v>https://bugs.launchpad.net/nova/+bug/1443697
/vmwareapi/vmops.py</v>
      </c>
      <c r="C232" s="81" t="str">
        <f>IFERROR(VLOOKUP(A232,Internal_lists_bugs!$A$2:$I7981,9,FALSE()),"please select a BUG ID")</f>
        <v>https://review.opendev.org/c/openstack/nova/+/145007</v>
      </c>
      <c r="D232" s="114"/>
      <c r="E232" s="114"/>
      <c r="F232" s="115"/>
      <c r="G232" s="16" t="s">
        <v>1704</v>
      </c>
      <c r="H232" s="16" t="s">
        <v>1705</v>
      </c>
      <c r="I232" s="82"/>
      <c r="J232" s="92"/>
      <c r="K232" s="82"/>
      <c r="M232" s="114" t="str">
        <f>VLOOKUP(A232,'BIC_(C_Variables)'!$A$3:$AS$43,45,FALSE())</f>
        <v/>
      </c>
      <c r="N232" s="1"/>
      <c r="O232" s="1"/>
      <c r="P232" s="81" t="str">
        <f>IFERROR(VLOOKUP(A232,Internal_lists_bugs!$A$2:$G7981,7,FALSE()),"please select a BUG ID")</f>
        <v>https://opendev.org/openstack/nova/commit/f3f1a53f</v>
      </c>
    </row>
    <row r="233">
      <c r="A233" s="16" t="s">
        <v>39</v>
      </c>
      <c r="B233" s="50" t="str">
        <f>IFERROR(HYPERLINK(VLOOKUP(A233,Internal_lists_bugs!$A$2:$C$73,3,FALSE()), VLOOKUP(A233,Internal_lists_bugs!$A$2:$C$73,3,FALSE())&amp;Char(10) &amp; Char(10) &amp; VLOOKUP(A233,Internal_lists_bugs!$A$2:$Z$73,26,FALSE())),"please select a BUG ID")</f>
        <v>https://bugs.launchpad.net/nova/+bug/1443697
/vmwareapi/vmops.py</v>
      </c>
      <c r="C233" s="81" t="str">
        <f>IFERROR(VLOOKUP(A233,Internal_lists_bugs!$A$2:$I7981,9,FALSE()),"please select a BUG ID")</f>
        <v>https://review.opendev.org/c/openstack/nova/+/145007</v>
      </c>
      <c r="D233" s="114"/>
      <c r="E233" s="114"/>
      <c r="F233" s="115"/>
      <c r="G233" s="16" t="s">
        <v>1639</v>
      </c>
      <c r="H233" s="16" t="s">
        <v>1706</v>
      </c>
      <c r="I233" s="82"/>
      <c r="J233" s="92"/>
      <c r="K233" s="82"/>
      <c r="M233" s="114" t="str">
        <f>VLOOKUP(A233,'BIC_(C_Variables)'!$A$3:$AS$43,45,FALSE())</f>
        <v/>
      </c>
      <c r="N233" s="1"/>
      <c r="O233" s="1"/>
      <c r="P233" s="81" t="str">
        <f>IFERROR(VLOOKUP(A233,Internal_lists_bugs!$A$2:$G7981,7,FALSE()),"please select a BUG ID")</f>
        <v>https://opendev.org/openstack/nova/commit/f3f1a53f</v>
      </c>
    </row>
    <row r="234">
      <c r="A234" s="16" t="s">
        <v>39</v>
      </c>
      <c r="B234" s="50" t="str">
        <f>IFERROR(HYPERLINK(VLOOKUP(A234,Internal_lists_bugs!$A$2:$C$73,3,FALSE()), VLOOKUP(A234,Internal_lists_bugs!$A$2:$C$73,3,FALSE())&amp;Char(10) &amp; Char(10) &amp; VLOOKUP(A234,Internal_lists_bugs!$A$2:$Z$73,26,FALSE())),"please select a BUG ID")</f>
        <v>https://bugs.launchpad.net/nova/+bug/1443697
/vmwareapi/vmops.py</v>
      </c>
      <c r="C234" s="81" t="str">
        <f>IFERROR(VLOOKUP(A234,Internal_lists_bugs!$A$2:$I7981,9,FALSE()),"please select a BUG ID")</f>
        <v>https://review.opendev.org/c/openstack/nova/+/145007</v>
      </c>
      <c r="D234" s="114"/>
      <c r="E234" s="114"/>
      <c r="F234" s="115"/>
      <c r="G234" s="16" t="s">
        <v>1707</v>
      </c>
      <c r="H234" s="16" t="s">
        <v>1708</v>
      </c>
      <c r="I234" s="82"/>
      <c r="J234" s="92"/>
      <c r="K234" s="82"/>
      <c r="M234" s="114" t="str">
        <f>VLOOKUP(A234,'BIC_(C_Variables)'!$A$3:$AS$43,45,FALSE())</f>
        <v/>
      </c>
      <c r="N234" s="1"/>
      <c r="O234" s="1"/>
      <c r="P234" s="81" t="str">
        <f>IFERROR(VLOOKUP(A234,Internal_lists_bugs!$A$2:$G7981,7,FALSE()),"please select a BUG ID")</f>
        <v>https://opendev.org/openstack/nova/commit/f3f1a53f</v>
      </c>
    </row>
    <row r="235">
      <c r="A235" s="16" t="s">
        <v>39</v>
      </c>
      <c r="B235" s="50" t="str">
        <f>IFERROR(HYPERLINK(VLOOKUP(A235,Internal_lists_bugs!$A$2:$C$73,3,FALSE()), VLOOKUP(A235,Internal_lists_bugs!$A$2:$C$73,3,FALSE())&amp;Char(10) &amp; Char(10) &amp; VLOOKUP(A235,Internal_lists_bugs!$A$2:$Z$73,26,FALSE())),"please select a BUG ID")</f>
        <v>https://bugs.launchpad.net/nova/+bug/1443697
/vmwareapi/vmops.py</v>
      </c>
      <c r="C235" s="81" t="str">
        <f>IFERROR(VLOOKUP(A235,Internal_lists_bugs!$A$2:$I7981,9,FALSE()),"please select a BUG ID")</f>
        <v>https://review.opendev.org/c/openstack/nova/+/145007</v>
      </c>
      <c r="D235" s="114"/>
      <c r="E235" s="114"/>
      <c r="F235" s="115"/>
      <c r="G235" s="16" t="s">
        <v>1709</v>
      </c>
      <c r="H235" s="16" t="s">
        <v>1710</v>
      </c>
      <c r="I235" s="82"/>
      <c r="J235" s="92"/>
      <c r="K235" s="82"/>
      <c r="M235" s="114" t="str">
        <f>VLOOKUP(A235,'BIC_(C_Variables)'!$A$3:$AS$43,45,FALSE())</f>
        <v/>
      </c>
      <c r="N235" s="1"/>
      <c r="O235" s="1"/>
      <c r="P235" s="81" t="str">
        <f>IFERROR(VLOOKUP(A235,Internal_lists_bugs!$A$2:$G7981,7,FALSE()),"please select a BUG ID")</f>
        <v>https://opendev.org/openstack/nova/commit/f3f1a53f</v>
      </c>
    </row>
    <row r="236">
      <c r="A236" s="16" t="s">
        <v>39</v>
      </c>
      <c r="B236" s="50" t="str">
        <f>IFERROR(HYPERLINK(VLOOKUP(A236,Internal_lists_bugs!$A$2:$C$73,3,FALSE()), VLOOKUP(A236,Internal_lists_bugs!$A$2:$C$73,3,FALSE())&amp;Char(10) &amp; Char(10) &amp; VLOOKUP(A236,Internal_lists_bugs!$A$2:$Z$73,26,FALSE())),"please select a BUG ID")</f>
        <v>https://bugs.launchpad.net/nova/+bug/1443697
/vmwareapi/vmops.py</v>
      </c>
      <c r="C236" s="81" t="str">
        <f>IFERROR(VLOOKUP(A236,Internal_lists_bugs!$A$2:$I7981,9,FALSE()),"please select a BUG ID")</f>
        <v>https://review.opendev.org/c/openstack/nova/+/145007</v>
      </c>
      <c r="D236" s="114"/>
      <c r="E236" s="114"/>
      <c r="F236" s="115"/>
      <c r="G236" s="16" t="s">
        <v>1529</v>
      </c>
      <c r="H236" s="112" t="s">
        <v>1711</v>
      </c>
      <c r="I236" s="82"/>
      <c r="J236" s="92"/>
      <c r="K236" s="82"/>
      <c r="M236" s="114"/>
      <c r="N236" s="1"/>
      <c r="O236" s="1"/>
      <c r="P236" s="51"/>
    </row>
    <row r="237">
      <c r="A237" s="16" t="s">
        <v>39</v>
      </c>
      <c r="B237" s="50" t="str">
        <f>IFERROR(HYPERLINK(VLOOKUP(A237,Internal_lists_bugs!$A$2:$C$73,3,FALSE()), VLOOKUP(A237,Internal_lists_bugs!$A$2:$C$73,3,FALSE())&amp;Char(10) &amp; Char(10) &amp; VLOOKUP(A237,Internal_lists_bugs!$A$2:$Z$73,26,FALSE())),"please select a BUG ID")</f>
        <v>https://bugs.launchpad.net/nova/+bug/1443697
/vmwareapi/vmops.py</v>
      </c>
      <c r="C237" s="81" t="str">
        <f>IFERROR(VLOOKUP(A237,Internal_lists_bugs!$A$2:$I7981,9,FALSE()),"please select a BUG ID")</f>
        <v>https://review.opendev.org/c/openstack/nova/+/145007</v>
      </c>
      <c r="D237" s="114"/>
      <c r="E237" s="114"/>
      <c r="F237" s="115"/>
      <c r="G237" s="16" t="s">
        <v>1546</v>
      </c>
      <c r="H237" s="112" t="s">
        <v>1712</v>
      </c>
      <c r="I237" s="82"/>
      <c r="J237" s="92"/>
      <c r="K237" s="82"/>
      <c r="M237" s="114"/>
      <c r="N237" s="1"/>
      <c r="O237" s="1"/>
      <c r="P237" s="51"/>
    </row>
    <row r="238">
      <c r="A238" s="16" t="s">
        <v>39</v>
      </c>
      <c r="B238" s="50" t="str">
        <f>IFERROR(HYPERLINK(VLOOKUP(A238,Internal_lists_bugs!$A$2:$C$73,3,FALSE()), VLOOKUP(A238,Internal_lists_bugs!$A$2:$C$73,3,FALSE())&amp;Char(10) &amp; Char(10) &amp; VLOOKUP(A238,Internal_lists_bugs!$A$2:$Z$73,26,FALSE())),"please select a BUG ID")</f>
        <v>https://bugs.launchpad.net/nova/+bug/1443697
/vmwareapi/vmops.py</v>
      </c>
      <c r="C238" s="81" t="str">
        <f>IFERROR(VLOOKUP(A238,Internal_lists_bugs!$A$2:$I7981,9,FALSE()),"please select a BUG ID")</f>
        <v>https://review.opendev.org/c/openstack/nova/+/145007</v>
      </c>
      <c r="D238" s="114"/>
      <c r="E238" s="114"/>
      <c r="F238" s="115"/>
      <c r="G238" s="16" t="s">
        <v>1713</v>
      </c>
      <c r="H238" s="112" t="s">
        <v>1714</v>
      </c>
      <c r="I238" s="82"/>
      <c r="J238" s="92"/>
      <c r="K238" s="82"/>
      <c r="M238" s="114"/>
      <c r="N238" s="1"/>
      <c r="O238" s="1"/>
      <c r="P238" s="51"/>
    </row>
    <row r="239">
      <c r="A239" s="16" t="s">
        <v>39</v>
      </c>
      <c r="B239" s="50" t="str">
        <f>IFERROR(HYPERLINK(VLOOKUP(A239,Internal_lists_bugs!$A$2:$C$73,3,FALSE()), VLOOKUP(A239,Internal_lists_bugs!$A$2:$C$73,3,FALSE())&amp;Char(10) &amp; Char(10) &amp; VLOOKUP(A239,Internal_lists_bugs!$A$2:$Z$73,26,FALSE())),"please select a BUG ID")</f>
        <v>https://bugs.launchpad.net/nova/+bug/1443697
/vmwareapi/vmops.py</v>
      </c>
      <c r="C239" s="81" t="str">
        <f>IFERROR(VLOOKUP(A239,Internal_lists_bugs!$A$2:$I7981,9,FALSE()),"please select a BUG ID")</f>
        <v>https://review.opendev.org/c/openstack/nova/+/145007</v>
      </c>
      <c r="D239" s="114"/>
      <c r="E239" s="114"/>
      <c r="F239" s="115"/>
      <c r="G239" s="16" t="s">
        <v>1715</v>
      </c>
      <c r="H239" s="16" t="s">
        <v>1716</v>
      </c>
      <c r="I239" s="82"/>
      <c r="J239" s="92"/>
      <c r="K239" s="82"/>
      <c r="M239" s="114" t="str">
        <f>VLOOKUP(A239,'BIC_(C_Variables)'!$A$3:$AS$43,45,FALSE())</f>
        <v/>
      </c>
      <c r="N239" s="1"/>
      <c r="O239" s="1"/>
      <c r="P239" s="81" t="str">
        <f>IFERROR(VLOOKUP(A239,Internal_lists_bugs!$A$2:$G7981,7,FALSE()),"please select a BUG ID")</f>
        <v>https://opendev.org/openstack/nova/commit/f3f1a53f</v>
      </c>
    </row>
    <row r="240">
      <c r="A240" s="16" t="s">
        <v>39</v>
      </c>
      <c r="B240" s="50" t="str">
        <f>IFERROR(HYPERLINK(VLOOKUP(A240,Internal_lists_bugs!$A$2:$C$73,3,FALSE()), VLOOKUP(A240,Internal_lists_bugs!$A$2:$C$73,3,FALSE())&amp;Char(10) &amp; Char(10) &amp; VLOOKUP(A240,Internal_lists_bugs!$A$2:$Z$73,26,FALSE())),"please select a BUG ID")</f>
        <v>https://bugs.launchpad.net/nova/+bug/1443697
/vmwareapi/vmops.py</v>
      </c>
      <c r="C240" s="81" t="str">
        <f>IFERROR(VLOOKUP(A240,Internal_lists_bugs!$A$2:$I7981,9,FALSE()),"please select a BUG ID")</f>
        <v>https://review.opendev.org/c/openstack/nova/+/145007</v>
      </c>
      <c r="D240" s="114"/>
      <c r="E240" s="114"/>
      <c r="F240" s="115"/>
      <c r="G240" s="16" t="s">
        <v>1717</v>
      </c>
      <c r="H240" s="16" t="s">
        <v>1718</v>
      </c>
      <c r="I240" s="82"/>
      <c r="J240" s="92"/>
      <c r="K240" s="82"/>
      <c r="M240" s="114" t="str">
        <f>VLOOKUP(A240,'BIC_(C_Variables)'!$A$3:$AS$43,45,FALSE())</f>
        <v/>
      </c>
      <c r="N240" s="1"/>
      <c r="O240" s="1"/>
      <c r="P240" s="81" t="str">
        <f>IFERROR(VLOOKUP(A240,Internal_lists_bugs!$A$2:$G7981,7,FALSE()),"please select a BUG ID")</f>
        <v>https://opendev.org/openstack/nova/commit/f3f1a53f</v>
      </c>
    </row>
    <row r="241">
      <c r="A241" s="16" t="s">
        <v>39</v>
      </c>
      <c r="B241" s="50" t="str">
        <f>IFERROR(HYPERLINK(VLOOKUP(A241,Internal_lists_bugs!$A$2:$C$73,3,FALSE()), VLOOKUP(A241,Internal_lists_bugs!$A$2:$C$73,3,FALSE())&amp;Char(10) &amp; Char(10) &amp; VLOOKUP(A241,Internal_lists_bugs!$A$2:$Z$73,26,FALSE())),"please select a BUG ID")</f>
        <v>https://bugs.launchpad.net/nova/+bug/1443697
/vmwareapi/vmops.py</v>
      </c>
      <c r="C241" s="81" t="str">
        <f>IFERROR(VLOOKUP(A241,Internal_lists_bugs!$A$2:$I7981,9,FALSE()),"please select a BUG ID")</f>
        <v>https://review.opendev.org/c/openstack/nova/+/145007</v>
      </c>
      <c r="D241" s="114"/>
      <c r="E241" s="114"/>
      <c r="F241" s="115"/>
      <c r="G241" s="16" t="s">
        <v>1551</v>
      </c>
      <c r="H241" s="16" t="s">
        <v>1719</v>
      </c>
      <c r="I241" s="82"/>
      <c r="J241" s="92"/>
      <c r="K241" s="82"/>
      <c r="M241" s="114"/>
      <c r="N241" s="1"/>
      <c r="O241" s="1"/>
      <c r="P241" s="51"/>
    </row>
    <row r="242">
      <c r="A242" s="16" t="s">
        <v>39</v>
      </c>
      <c r="B242" s="50" t="str">
        <f>IFERROR(HYPERLINK(VLOOKUP(A242,Internal_lists_bugs!$A$2:$C$73,3,FALSE()), VLOOKUP(A242,Internal_lists_bugs!$A$2:$C$73,3,FALSE())&amp;Char(10) &amp; Char(10) &amp; VLOOKUP(A242,Internal_lists_bugs!$A$2:$Z$73,26,FALSE())),"please select a BUG ID")</f>
        <v>https://bugs.launchpad.net/nova/+bug/1443697
/vmwareapi/vmops.py</v>
      </c>
      <c r="C242" s="81" t="str">
        <f>IFERROR(VLOOKUP(A242,Internal_lists_bugs!$A$2:$I7981,9,FALSE()),"please select a BUG ID")</f>
        <v>https://review.opendev.org/c/openstack/nova/+/145007</v>
      </c>
      <c r="D242" s="114"/>
      <c r="E242" s="114"/>
      <c r="F242" s="115"/>
      <c r="G242" s="16" t="s">
        <v>1720</v>
      </c>
      <c r="H242" s="16" t="s">
        <v>1721</v>
      </c>
      <c r="I242" s="82"/>
      <c r="J242" s="92"/>
      <c r="K242" s="82"/>
      <c r="M242" s="114" t="str">
        <f>VLOOKUP(A242,'BIC_(C_Variables)'!$A$3:$AS$43,45,FALSE())</f>
        <v/>
      </c>
      <c r="N242" s="1"/>
      <c r="O242" s="1"/>
      <c r="P242" s="81" t="str">
        <f>IFERROR(VLOOKUP(A242,Internal_lists_bugs!$A$2:$G7981,7,FALSE()),"please select a BUG ID")</f>
        <v>https://opendev.org/openstack/nova/commit/f3f1a53f</v>
      </c>
    </row>
    <row r="243">
      <c r="A243" s="16" t="s">
        <v>39</v>
      </c>
      <c r="B243" s="50" t="str">
        <f>IFERROR(HYPERLINK(VLOOKUP(A243,Internal_lists_bugs!$A$2:$C$73,3,FALSE()), VLOOKUP(A243,Internal_lists_bugs!$A$2:$C$73,3,FALSE())&amp;Char(10) &amp; Char(10) &amp; VLOOKUP(A243,Internal_lists_bugs!$A$2:$Z$73,26,FALSE())),"please select a BUG ID")</f>
        <v>https://bugs.launchpad.net/nova/+bug/1443697
/vmwareapi/vmops.py</v>
      </c>
      <c r="C243" s="81" t="str">
        <f>IFERROR(VLOOKUP(A243,Internal_lists_bugs!$A$2:$I7981,9,FALSE()),"please select a BUG ID")</f>
        <v>https://review.opendev.org/c/openstack/nova/+/145007</v>
      </c>
      <c r="D243" s="114"/>
      <c r="E243" s="114"/>
      <c r="F243" s="115"/>
      <c r="G243" s="16" t="s">
        <v>1588</v>
      </c>
      <c r="H243" s="16" t="s">
        <v>1722</v>
      </c>
      <c r="I243" s="82"/>
      <c r="J243" s="92"/>
      <c r="K243" s="82"/>
      <c r="M243" s="114" t="str">
        <f>VLOOKUP(A243,'BIC_(C_Variables)'!$A$3:$AS$43,45,FALSE())</f>
        <v/>
      </c>
      <c r="N243" s="1"/>
      <c r="O243" s="1"/>
      <c r="P243" s="81" t="str">
        <f>IFERROR(VLOOKUP(A243,Internal_lists_bugs!$A$2:$G7981,7,FALSE()),"please select a BUG ID")</f>
        <v>https://opendev.org/openstack/nova/commit/f3f1a53f</v>
      </c>
    </row>
    <row r="244">
      <c r="A244" s="16" t="s">
        <v>39</v>
      </c>
      <c r="B244" s="50" t="str">
        <f>IFERROR(HYPERLINK(VLOOKUP(A244,Internal_lists_bugs!$A$2:$C$73,3,FALSE()), VLOOKUP(A244,Internal_lists_bugs!$A$2:$C$73,3,FALSE())&amp;Char(10) &amp; Char(10) &amp; VLOOKUP(A244,Internal_lists_bugs!$A$2:$Z$73,26,FALSE())),"please select a BUG ID")</f>
        <v>https://bugs.launchpad.net/nova/+bug/1443697
/vmwareapi/vmops.py</v>
      </c>
      <c r="C244" s="81" t="str">
        <f>IFERROR(VLOOKUP(A244,Internal_lists_bugs!$A$2:$I7981,9,FALSE()),"please select a BUG ID")</f>
        <v>https://review.opendev.org/c/openstack/nova/+/145007</v>
      </c>
      <c r="D244" s="114"/>
      <c r="E244" s="114"/>
      <c r="F244" s="115"/>
      <c r="G244" s="16" t="s">
        <v>1555</v>
      </c>
      <c r="H244" s="16" t="s">
        <v>1723</v>
      </c>
      <c r="I244" s="82"/>
      <c r="J244" s="92"/>
      <c r="K244" s="82"/>
      <c r="M244" s="114"/>
      <c r="N244" s="1"/>
      <c r="O244" s="1"/>
      <c r="P244" s="51"/>
    </row>
    <row r="245">
      <c r="A245" s="16" t="s">
        <v>39</v>
      </c>
      <c r="B245" s="50" t="str">
        <f>IFERROR(HYPERLINK(VLOOKUP(A245,Internal_lists_bugs!$A$2:$C$73,3,FALSE()), VLOOKUP(A245,Internal_lists_bugs!$A$2:$C$73,3,FALSE())&amp;Char(10) &amp; Char(10) &amp; VLOOKUP(A245,Internal_lists_bugs!$A$2:$Z$73,26,FALSE())),"please select a BUG ID")</f>
        <v>https://bugs.launchpad.net/nova/+bug/1443697
/vmwareapi/vmops.py</v>
      </c>
      <c r="C245" s="81" t="str">
        <f>IFERROR(VLOOKUP(A245,Internal_lists_bugs!$A$2:$I7981,9,FALSE()),"please select a BUG ID")</f>
        <v>https://review.opendev.org/c/openstack/nova/+/145007</v>
      </c>
      <c r="D245" s="114"/>
      <c r="E245" s="114"/>
      <c r="F245" s="115"/>
      <c r="G245" s="16" t="s">
        <v>1724</v>
      </c>
      <c r="H245" s="16" t="s">
        <v>1725</v>
      </c>
      <c r="I245" s="82"/>
      <c r="J245" s="92"/>
      <c r="K245" s="82"/>
      <c r="M245" s="114" t="str">
        <f>VLOOKUP(A245,'BIC_(C_Variables)'!$A$3:$AS$43,45,FALSE())</f>
        <v/>
      </c>
      <c r="N245" s="1"/>
      <c r="O245" s="1"/>
      <c r="P245" s="81" t="str">
        <f>IFERROR(VLOOKUP(A245,Internal_lists_bugs!$A$2:$G7981,7,FALSE()),"please select a BUG ID")</f>
        <v>https://opendev.org/openstack/nova/commit/f3f1a53f</v>
      </c>
    </row>
    <row r="246">
      <c r="A246" s="16" t="s">
        <v>39</v>
      </c>
      <c r="B246" s="50" t="str">
        <f>IFERROR(HYPERLINK(VLOOKUP(A246,Internal_lists_bugs!$A$2:$C$73,3,FALSE()), VLOOKUP(A246,Internal_lists_bugs!$A$2:$C$73,3,FALSE())&amp;Char(10) &amp; Char(10) &amp; VLOOKUP(A246,Internal_lists_bugs!$A$2:$Z$73,26,FALSE())),"please select a BUG ID")</f>
        <v>https://bugs.launchpad.net/nova/+bug/1443697
/vmwareapi/vmops.py</v>
      </c>
      <c r="C246" s="81" t="str">
        <f>IFERROR(VLOOKUP(A246,Internal_lists_bugs!$A$2:$I7981,9,FALSE()),"please select a BUG ID")</f>
        <v>https://review.opendev.org/c/openstack/nova/+/145007</v>
      </c>
      <c r="D246" s="114"/>
      <c r="E246" s="114"/>
      <c r="F246" s="115"/>
      <c r="G246" s="16" t="s">
        <v>1726</v>
      </c>
      <c r="H246" s="16" t="s">
        <v>1727</v>
      </c>
      <c r="I246" s="82"/>
      <c r="J246" s="92"/>
      <c r="K246" s="82"/>
      <c r="M246" s="114" t="str">
        <f>VLOOKUP(A246,'BIC_(C_Variables)'!$A$3:$AS$43,45,FALSE())</f>
        <v/>
      </c>
      <c r="N246" s="1"/>
      <c r="O246" s="1"/>
      <c r="P246" s="81" t="str">
        <f>IFERROR(VLOOKUP(A246,Internal_lists_bugs!$A$2:$G7981,7,FALSE()),"please select a BUG ID")</f>
        <v>https://opendev.org/openstack/nova/commit/f3f1a53f</v>
      </c>
    </row>
    <row r="247">
      <c r="A247" s="16" t="s">
        <v>39</v>
      </c>
      <c r="B247" s="50" t="str">
        <f>IFERROR(HYPERLINK(VLOOKUP(A247,Internal_lists_bugs!$A$2:$C$73,3,FALSE()), VLOOKUP(A247,Internal_lists_bugs!$A$2:$C$73,3,FALSE())&amp;Char(10) &amp; Char(10) &amp; VLOOKUP(A247,Internal_lists_bugs!$A$2:$Z$73,26,FALSE())),"please select a BUG ID")</f>
        <v>https://bugs.launchpad.net/nova/+bug/1443697
/vmwareapi/vmops.py</v>
      </c>
      <c r="C247" s="81" t="str">
        <f>IFERROR(VLOOKUP(A247,Internal_lists_bugs!$A$2:$I7981,9,FALSE()),"please select a BUG ID")</f>
        <v>https://review.opendev.org/c/openstack/nova/+/145007</v>
      </c>
      <c r="D247" s="114"/>
      <c r="E247" s="114"/>
      <c r="F247" s="115"/>
      <c r="G247" s="16" t="s">
        <v>1728</v>
      </c>
      <c r="H247" s="16" t="s">
        <v>1729</v>
      </c>
      <c r="I247" s="82"/>
      <c r="J247" s="92"/>
      <c r="K247" s="82"/>
      <c r="M247" s="114" t="str">
        <f>VLOOKUP(A247,'BIC_(C_Variables)'!$A$3:$AS$43,45,FALSE())</f>
        <v/>
      </c>
      <c r="N247" s="1"/>
      <c r="O247" s="1"/>
      <c r="P247" s="81" t="str">
        <f>IFERROR(VLOOKUP(A247,Internal_lists_bugs!$A$2:$G7981,7,FALSE()),"please select a BUG ID")</f>
        <v>https://opendev.org/openstack/nova/commit/f3f1a53f</v>
      </c>
    </row>
    <row r="248">
      <c r="A248" s="16" t="s">
        <v>39</v>
      </c>
      <c r="B248" s="50" t="str">
        <f>IFERROR(HYPERLINK(VLOOKUP(A248,Internal_lists_bugs!$A$2:$C$73,3,FALSE()), VLOOKUP(A248,Internal_lists_bugs!$A$2:$C$73,3,FALSE())&amp;Char(10) &amp; Char(10) &amp; VLOOKUP(A248,Internal_lists_bugs!$A$2:$Z$73,26,FALSE())),"please select a BUG ID")</f>
        <v>https://bugs.launchpad.net/nova/+bug/1443697
/vmwareapi/vmops.py</v>
      </c>
      <c r="C248" s="81" t="str">
        <f>IFERROR(VLOOKUP(A248,Internal_lists_bugs!$A$2:$I7981,9,FALSE()),"please select a BUG ID")</f>
        <v>https://review.opendev.org/c/openstack/nova/+/145007</v>
      </c>
      <c r="D248" s="114"/>
      <c r="E248" s="114"/>
      <c r="F248" s="115"/>
      <c r="G248" s="16" t="s">
        <v>1566</v>
      </c>
      <c r="H248" s="16" t="s">
        <v>1730</v>
      </c>
      <c r="I248" s="82"/>
      <c r="J248" s="92"/>
      <c r="K248" s="82"/>
      <c r="M248" s="114"/>
      <c r="N248" s="1"/>
      <c r="O248" s="1"/>
      <c r="P248" s="51"/>
    </row>
    <row r="249">
      <c r="A249" s="16" t="s">
        <v>39</v>
      </c>
      <c r="B249" s="50" t="str">
        <f>IFERROR(HYPERLINK(VLOOKUP(A249,Internal_lists_bugs!$A$2:$C$73,3,FALSE()), VLOOKUP(A249,Internal_lists_bugs!$A$2:$C$73,3,FALSE())&amp;Char(10) &amp; Char(10) &amp; VLOOKUP(A249,Internal_lists_bugs!$A$2:$Z$73,26,FALSE())),"please select a BUG ID")</f>
        <v>https://bugs.launchpad.net/nova/+bug/1443697
/vmwareapi/vmops.py</v>
      </c>
      <c r="C249" s="81" t="str">
        <f>IFERROR(VLOOKUP(A249,Internal_lists_bugs!$A$2:$I7981,9,FALSE()),"please select a BUG ID")</f>
        <v>https://review.opendev.org/c/openstack/nova/+/145007</v>
      </c>
      <c r="D249" s="114"/>
      <c r="E249" s="114"/>
      <c r="F249" s="115"/>
      <c r="G249" s="16" t="s">
        <v>1731</v>
      </c>
      <c r="H249" s="16" t="s">
        <v>1732</v>
      </c>
      <c r="I249" s="82"/>
      <c r="J249" s="92"/>
      <c r="K249" s="82"/>
      <c r="M249" s="114"/>
      <c r="N249" s="1"/>
      <c r="O249" s="1"/>
      <c r="P249" s="51"/>
    </row>
    <row r="250">
      <c r="A250" s="16" t="s">
        <v>39</v>
      </c>
      <c r="B250" s="50" t="str">
        <f>IFERROR(HYPERLINK(VLOOKUP(A250,Internal_lists_bugs!$A$2:$C$73,3,FALSE()), VLOOKUP(A250,Internal_lists_bugs!$A$2:$C$73,3,FALSE())&amp;Char(10) &amp; Char(10) &amp; VLOOKUP(A250,Internal_lists_bugs!$A$2:$Z$73,26,FALSE())),"please select a BUG ID")</f>
        <v>https://bugs.launchpad.net/nova/+bug/1443697
/vmwareapi/vmops.py</v>
      </c>
      <c r="C250" s="81" t="str">
        <f>IFERROR(VLOOKUP(A250,Internal_lists_bugs!$A$2:$I7981,9,FALSE()),"please select a BUG ID")</f>
        <v>https://review.opendev.org/c/openstack/nova/+/145007</v>
      </c>
      <c r="D250" s="114"/>
      <c r="E250" s="114"/>
      <c r="F250" s="115"/>
      <c r="G250" s="16" t="s">
        <v>1733</v>
      </c>
      <c r="H250" s="16" t="s">
        <v>1734</v>
      </c>
      <c r="I250" s="82"/>
      <c r="J250" s="92"/>
      <c r="K250" s="82"/>
      <c r="M250" s="114"/>
      <c r="N250" s="1"/>
      <c r="O250" s="1"/>
      <c r="P250" s="51"/>
    </row>
    <row r="251">
      <c r="A251" s="16" t="s">
        <v>39</v>
      </c>
      <c r="B251" s="50" t="str">
        <f>IFERROR(HYPERLINK(VLOOKUP(A251,Internal_lists_bugs!$A$2:$C$73,3,FALSE()), VLOOKUP(A251,Internal_lists_bugs!$A$2:$C$73,3,FALSE())&amp;Char(10) &amp; Char(10) &amp; VLOOKUP(A251,Internal_lists_bugs!$A$2:$Z$73,26,FALSE())),"please select a BUG ID")</f>
        <v>https://bugs.launchpad.net/nova/+bug/1443697
/vmwareapi/vmops.py</v>
      </c>
      <c r="C251" s="81" t="str">
        <f>IFERROR(VLOOKUP(A251,Internal_lists_bugs!$A$2:$I7981,9,FALSE()),"please select a BUG ID")</f>
        <v>https://review.opendev.org/c/openstack/nova/+/145007</v>
      </c>
      <c r="D251" s="114"/>
      <c r="E251" s="114"/>
      <c r="F251" s="115"/>
      <c r="G251" s="16" t="s">
        <v>1735</v>
      </c>
      <c r="H251" s="16" t="s">
        <v>1736</v>
      </c>
      <c r="I251" s="82"/>
      <c r="J251" s="92"/>
      <c r="K251" s="82"/>
      <c r="M251" s="114"/>
      <c r="N251" s="1"/>
      <c r="O251" s="1"/>
      <c r="P251" s="51"/>
    </row>
    <row r="252">
      <c r="A252" s="16" t="s">
        <v>39</v>
      </c>
      <c r="B252" s="50" t="str">
        <f>IFERROR(HYPERLINK(VLOOKUP(A252,Internal_lists_bugs!$A$2:$C$73,3,FALSE()), VLOOKUP(A252,Internal_lists_bugs!$A$2:$C$73,3,FALSE())&amp;Char(10) &amp; Char(10) &amp; VLOOKUP(A252,Internal_lists_bugs!$A$2:$Z$73,26,FALSE())),"please select a BUG ID")</f>
        <v>https://bugs.launchpad.net/nova/+bug/1443697
/vmwareapi/vmops.py</v>
      </c>
      <c r="C252" s="81" t="str">
        <f>IFERROR(VLOOKUP(A252,Internal_lists_bugs!$A$2:$I7981,9,FALSE()),"please select a BUG ID")</f>
        <v>https://review.opendev.org/c/openstack/nova/+/145007</v>
      </c>
      <c r="D252" s="114"/>
      <c r="E252" s="114"/>
      <c r="F252" s="115"/>
      <c r="G252" s="16" t="s">
        <v>1737</v>
      </c>
      <c r="H252" s="16" t="s">
        <v>1738</v>
      </c>
      <c r="I252" s="82"/>
      <c r="J252" s="92"/>
      <c r="K252" s="82"/>
      <c r="M252" s="114" t="str">
        <f>VLOOKUP(A252,'BIC_(C_Variables)'!$A$3:$AS$43,45,FALSE())</f>
        <v/>
      </c>
      <c r="N252" s="1"/>
      <c r="O252" s="1"/>
      <c r="P252" s="81" t="str">
        <f>IFERROR(VLOOKUP(A252,Internal_lists_bugs!$A$2:$G7981,7,FALSE()),"please select a BUG ID")</f>
        <v>https://opendev.org/openstack/nova/commit/f3f1a53f</v>
      </c>
    </row>
    <row r="253">
      <c r="A253" s="16" t="s">
        <v>39</v>
      </c>
      <c r="B253" s="50" t="str">
        <f>IFERROR(HYPERLINK(VLOOKUP(A253,Internal_lists_bugs!$A$2:$C$73,3,FALSE()), VLOOKUP(A253,Internal_lists_bugs!$A$2:$C$73,3,FALSE())&amp;Char(10) &amp; Char(10) &amp; VLOOKUP(A253,Internal_lists_bugs!$A$2:$Z$73,26,FALSE())),"please select a BUG ID")</f>
        <v>https://bugs.launchpad.net/nova/+bug/1443697
/vmwareapi/vmops.py</v>
      </c>
      <c r="C253" s="81" t="str">
        <f>IFERROR(VLOOKUP(A253,Internal_lists_bugs!$A$2:$I7981,9,FALSE()),"please select a BUG ID")</f>
        <v>https://review.opendev.org/c/openstack/nova/+/145007</v>
      </c>
      <c r="D253" s="114"/>
      <c r="E253" s="114"/>
      <c r="F253" s="115"/>
      <c r="G253" s="16" t="s">
        <v>1568</v>
      </c>
      <c r="H253" s="16" t="s">
        <v>1738</v>
      </c>
      <c r="I253" s="82"/>
      <c r="J253" s="92"/>
      <c r="K253" s="82"/>
      <c r="M253" s="114" t="str">
        <f>VLOOKUP(A253,'BIC_(C_Variables)'!$A$3:$AS$43,45,FALSE())</f>
        <v/>
      </c>
      <c r="N253" s="1"/>
      <c r="O253" s="1"/>
      <c r="P253" s="81" t="str">
        <f>IFERROR(VLOOKUP(A253,Internal_lists_bugs!$A$2:$G7981,7,FALSE()),"please select a BUG ID")</f>
        <v>https://opendev.org/openstack/nova/commit/f3f1a53f</v>
      </c>
    </row>
    <row r="254">
      <c r="A254" s="16" t="s">
        <v>40</v>
      </c>
      <c r="B254" s="50" t="str">
        <f>IFERROR(HYPERLINK(VLOOKUP(A254,Internal_lists_bugs!$A$2:$C$73,3,FALSE()), VLOOKUP(A254,Internal_lists_bugs!$A$2:$C$73,3,FALSE())&amp;Char(10) &amp; Char(10) &amp; VLOOKUP(A254,Internal_lists_bugs!$A$2:$Z$73,26,FALSE())),"please select a BUG ID")</f>
        <v>https://bugs.launchpad.net/nova/+bug/1300788
/vmwareapi/vmops.py</v>
      </c>
      <c r="C254" s="81" t="str">
        <f>IFERROR(VLOOKUP(A254,Internal_lists_bugs!$A$2:$I7981,9,FALSE()),"please select a BUG ID")</f>
        <v>https://review.opendev.org/c/openstack/nova/+/31593</v>
      </c>
      <c r="D254" s="112" t="s">
        <v>1412</v>
      </c>
      <c r="E254" s="112" t="s">
        <v>1462</v>
      </c>
      <c r="F254" s="113" t="s">
        <v>251</v>
      </c>
      <c r="G254" s="16" t="s">
        <v>1466</v>
      </c>
      <c r="H254" s="16" t="s">
        <v>1739</v>
      </c>
      <c r="I254" s="79" t="s">
        <v>251</v>
      </c>
      <c r="J254" s="93" t="s">
        <v>1740</v>
      </c>
      <c r="K254" s="79" t="s">
        <v>251</v>
      </c>
      <c r="L254" s="93" t="s">
        <v>1741</v>
      </c>
      <c r="M254" s="114" t="str">
        <f>VLOOKUP(A254,'BIC_(C_Variables)'!$A$3:$AS$43,45,FALSE())</f>
        <v/>
      </c>
      <c r="N254" s="1"/>
      <c r="O254" s="1"/>
      <c r="P254" s="81" t="str">
        <f>IFERROR(VLOOKUP(A254,Internal_lists_bugs!$A$2:$G7981,7,FALSE()),"please select a BUG ID")</f>
        <v>https://opendev.org/openstack/nova/commit/e517e5668ab</v>
      </c>
    </row>
    <row r="255">
      <c r="A255" s="16" t="s">
        <v>40</v>
      </c>
      <c r="B255" s="50" t="str">
        <f>IFERROR(HYPERLINK(VLOOKUP(A255,Internal_lists_bugs!$A$2:$C$73,3,FALSE()), VLOOKUP(A255,Internal_lists_bugs!$A$2:$C$73,3,FALSE())&amp;Char(10) &amp; Char(10) &amp; VLOOKUP(A255,Internal_lists_bugs!$A$2:$Z$73,26,FALSE())),"please select a BUG ID")</f>
        <v>https://bugs.launchpad.net/nova/+bug/1300788
/vmwareapi/vmops.py</v>
      </c>
      <c r="C255" s="81" t="str">
        <f>IFERROR(VLOOKUP(A255,Internal_lists_bugs!$A$2:$I7981,9,FALSE()),"please select a BUG ID")</f>
        <v>https://review.opendev.org/c/openstack/nova/+/31593</v>
      </c>
      <c r="D255" s="114"/>
      <c r="E255" s="114"/>
      <c r="F255" s="115"/>
      <c r="G255" s="16" t="s">
        <v>1419</v>
      </c>
      <c r="H255" s="16" t="s">
        <v>1742</v>
      </c>
      <c r="I255" s="82"/>
      <c r="J255" s="92"/>
      <c r="K255" s="82"/>
      <c r="M255" s="114" t="str">
        <f>VLOOKUP(A255,'BIC_(C_Variables)'!$A$3:$AS$43,45,FALSE())</f>
        <v/>
      </c>
      <c r="N255" s="1"/>
      <c r="O255" s="1"/>
      <c r="P255" s="81" t="str">
        <f>IFERROR(VLOOKUP(A255,Internal_lists_bugs!$A$2:$G7981,7,FALSE()),"please select a BUG ID")</f>
        <v>https://opendev.org/openstack/nova/commit/e517e5668ab</v>
      </c>
    </row>
    <row r="256">
      <c r="A256" s="16" t="s">
        <v>40</v>
      </c>
      <c r="B256" s="50" t="str">
        <f>IFERROR(HYPERLINK(VLOOKUP(A256,Internal_lists_bugs!$A$2:$C$73,3,FALSE()), VLOOKUP(A256,Internal_lists_bugs!$A$2:$C$73,3,FALSE())&amp;Char(10) &amp; Char(10) &amp; VLOOKUP(A256,Internal_lists_bugs!$A$2:$Z$73,26,FALSE())),"please select a BUG ID")</f>
        <v>https://bugs.launchpad.net/nova/+bug/1300788
/vmwareapi/vmops.py</v>
      </c>
      <c r="C256" s="81" t="str">
        <f>IFERROR(VLOOKUP(A256,Internal_lists_bugs!$A$2:$I7981,9,FALSE()),"please select a BUG ID")</f>
        <v>https://review.opendev.org/c/openstack/nova/+/31593</v>
      </c>
      <c r="D256" s="114"/>
      <c r="E256" s="114"/>
      <c r="F256" s="115"/>
      <c r="G256" s="16" t="s">
        <v>1417</v>
      </c>
      <c r="H256" s="16" t="s">
        <v>1743</v>
      </c>
      <c r="I256" s="82"/>
      <c r="J256" s="92"/>
      <c r="K256" s="82"/>
      <c r="M256" s="114" t="str">
        <f>VLOOKUP(A256,'BIC_(C_Variables)'!$A$3:$AS$43,45,FALSE())</f>
        <v/>
      </c>
      <c r="N256" s="1"/>
      <c r="O256" s="1"/>
      <c r="P256" s="81" t="str">
        <f>IFERROR(VLOOKUP(A256,Internal_lists_bugs!$A$2:$G7981,7,FALSE()),"please select a BUG ID")</f>
        <v>https://opendev.org/openstack/nova/commit/e517e5668ab</v>
      </c>
    </row>
    <row r="257">
      <c r="A257" s="16" t="s">
        <v>40</v>
      </c>
      <c r="B257" s="50" t="str">
        <f>IFERROR(HYPERLINK(VLOOKUP(A257,Internal_lists_bugs!$A$2:$C$73,3,FALSE()), VLOOKUP(A257,Internal_lists_bugs!$A$2:$C$73,3,FALSE())&amp;Char(10) &amp; Char(10) &amp; VLOOKUP(A257,Internal_lists_bugs!$A$2:$Z$73,26,FALSE())),"please select a BUG ID")</f>
        <v>https://bugs.launchpad.net/nova/+bug/1300788
/vmwareapi/vmops.py</v>
      </c>
      <c r="C257" s="81" t="str">
        <f>IFERROR(VLOOKUP(A257,Internal_lists_bugs!$A$2:$I7981,9,FALSE()),"please select a BUG ID")</f>
        <v>https://review.opendev.org/c/openstack/nova/+/31593</v>
      </c>
      <c r="D257" s="114"/>
      <c r="E257" s="114"/>
      <c r="F257" s="115"/>
      <c r="G257" s="16" t="s">
        <v>1428</v>
      </c>
      <c r="H257" s="16" t="s">
        <v>1744</v>
      </c>
      <c r="I257" s="82"/>
      <c r="J257" s="92"/>
      <c r="K257" s="82"/>
      <c r="M257" s="114" t="str">
        <f>VLOOKUP(A257,'BIC_(C_Variables)'!$A$3:$AS$43,45,FALSE())</f>
        <v/>
      </c>
      <c r="N257" s="1"/>
      <c r="O257" s="1"/>
      <c r="P257" s="81" t="str">
        <f>IFERROR(VLOOKUP(A257,Internal_lists_bugs!$A$2:$G7981,7,FALSE()),"please select a BUG ID")</f>
        <v>https://opendev.org/openstack/nova/commit/e517e5668ab</v>
      </c>
    </row>
    <row r="258">
      <c r="A258" s="16" t="s">
        <v>40</v>
      </c>
      <c r="B258" s="50" t="str">
        <f>IFERROR(HYPERLINK(VLOOKUP(A258,Internal_lists_bugs!$A$2:$C$73,3,FALSE()), VLOOKUP(A258,Internal_lists_bugs!$A$2:$C$73,3,FALSE())&amp;Char(10) &amp; Char(10) &amp; VLOOKUP(A258,Internal_lists_bugs!$A$2:$Z$73,26,FALSE())),"please select a BUG ID")</f>
        <v>https://bugs.launchpad.net/nova/+bug/1300788
/vmwareapi/vmops.py</v>
      </c>
      <c r="C258" s="81" t="str">
        <f>IFERROR(VLOOKUP(A258,Internal_lists_bugs!$A$2:$I7981,9,FALSE()),"please select a BUG ID")</f>
        <v>https://review.opendev.org/c/openstack/nova/+/31593</v>
      </c>
      <c r="D258" s="114"/>
      <c r="E258" s="114"/>
      <c r="F258" s="115"/>
      <c r="G258" s="16" t="s">
        <v>1745</v>
      </c>
      <c r="H258" s="16" t="s">
        <v>1746</v>
      </c>
      <c r="I258" s="82"/>
      <c r="J258" s="92"/>
      <c r="K258" s="82"/>
      <c r="M258" s="114" t="str">
        <f>VLOOKUP(A258,'BIC_(C_Variables)'!$A$3:$AS$43,45,FALSE())</f>
        <v/>
      </c>
      <c r="N258" s="1"/>
      <c r="O258" s="1"/>
      <c r="P258" s="81" t="str">
        <f>IFERROR(VLOOKUP(A258,Internal_lists_bugs!$A$2:$G7981,7,FALSE()),"please select a BUG ID")</f>
        <v>https://opendev.org/openstack/nova/commit/e517e5668ab</v>
      </c>
    </row>
    <row r="259">
      <c r="A259" s="16" t="s">
        <v>40</v>
      </c>
      <c r="B259" s="50" t="str">
        <f>IFERROR(HYPERLINK(VLOOKUP(A259,Internal_lists_bugs!$A$2:$C$73,3,FALSE()), VLOOKUP(A259,Internal_lists_bugs!$A$2:$C$73,3,FALSE())&amp;Char(10) &amp; Char(10) &amp; VLOOKUP(A259,Internal_lists_bugs!$A$2:$Z$73,26,FALSE())),"please select a BUG ID")</f>
        <v>https://bugs.launchpad.net/nova/+bug/1300788
/vmwareapi/vmops.py</v>
      </c>
      <c r="C259" s="81" t="str">
        <f>IFERROR(VLOOKUP(A259,Internal_lists_bugs!$A$2:$I7981,9,FALSE()),"please select a BUG ID")</f>
        <v>https://review.opendev.org/c/openstack/nova/+/31593</v>
      </c>
      <c r="D259" s="114"/>
      <c r="E259" s="114"/>
      <c r="F259" s="115"/>
      <c r="G259" s="16" t="s">
        <v>1586</v>
      </c>
      <c r="H259" s="16" t="s">
        <v>1747</v>
      </c>
      <c r="I259" s="82"/>
      <c r="J259" s="92"/>
      <c r="K259" s="82"/>
      <c r="M259" s="114" t="str">
        <f>VLOOKUP(A259,'BIC_(C_Variables)'!$A$3:$AS$43,45,FALSE())</f>
        <v/>
      </c>
      <c r="N259" s="1"/>
      <c r="O259" s="1"/>
      <c r="P259" s="81" t="str">
        <f>IFERROR(VLOOKUP(A259,Internal_lists_bugs!$A$2:$G7981,7,FALSE()),"please select a BUG ID")</f>
        <v>https://opendev.org/openstack/nova/commit/e517e5668ab</v>
      </c>
    </row>
    <row r="260">
      <c r="A260" s="16" t="s">
        <v>40</v>
      </c>
      <c r="B260" s="50" t="str">
        <f>IFERROR(HYPERLINK(VLOOKUP(A260,Internal_lists_bugs!$A$2:$C$73,3,FALSE()), VLOOKUP(A260,Internal_lists_bugs!$A$2:$C$73,3,FALSE())&amp;Char(10) &amp; Char(10) &amp; VLOOKUP(A260,Internal_lists_bugs!$A$2:$Z$73,26,FALSE())),"please select a BUG ID")</f>
        <v>https://bugs.launchpad.net/nova/+bug/1300788
/vmwareapi/vmops.py</v>
      </c>
      <c r="C260" s="81" t="str">
        <f>IFERROR(VLOOKUP(A260,Internal_lists_bugs!$A$2:$I7981,9,FALSE()),"please select a BUG ID")</f>
        <v>https://review.opendev.org/c/openstack/nova/+/31593</v>
      </c>
      <c r="D260" s="114"/>
      <c r="E260" s="114"/>
      <c r="F260" s="115"/>
      <c r="G260" s="16" t="s">
        <v>1639</v>
      </c>
      <c r="H260" s="16" t="s">
        <v>1748</v>
      </c>
      <c r="I260" s="82"/>
      <c r="J260" s="92"/>
      <c r="K260" s="82"/>
      <c r="M260" s="114" t="str">
        <f>VLOOKUP(A260,'BIC_(C_Variables)'!$A$3:$AS$43,45,FALSE())</f>
        <v/>
      </c>
      <c r="N260" s="1"/>
      <c r="O260" s="1"/>
      <c r="P260" s="81" t="str">
        <f>IFERROR(VLOOKUP(A260,Internal_lists_bugs!$A$2:$G7981,7,FALSE()),"please select a BUG ID")</f>
        <v>https://opendev.org/openstack/nova/commit/e517e5668ab</v>
      </c>
    </row>
    <row r="261">
      <c r="A261" s="16" t="s">
        <v>40</v>
      </c>
      <c r="B261" s="50" t="str">
        <f>IFERROR(HYPERLINK(VLOOKUP(A261,Internal_lists_bugs!$A$2:$C$73,3,FALSE()), VLOOKUP(A261,Internal_lists_bugs!$A$2:$C$73,3,FALSE())&amp;Char(10) &amp; Char(10) &amp; VLOOKUP(A261,Internal_lists_bugs!$A$2:$Z$73,26,FALSE())),"please select a BUG ID")</f>
        <v>https://bugs.launchpad.net/nova/+bug/1300788
/vmwareapi/vmops.py</v>
      </c>
      <c r="C261" s="81" t="str">
        <f>IFERROR(VLOOKUP(A261,Internal_lists_bugs!$A$2:$I7981,9,FALSE()),"please select a BUG ID")</f>
        <v>https://review.opendev.org/c/openstack/nova/+/31593</v>
      </c>
      <c r="D261" s="114"/>
      <c r="E261" s="114"/>
      <c r="F261" s="115"/>
      <c r="G261" s="16" t="s">
        <v>1594</v>
      </c>
      <c r="H261" s="16" t="s">
        <v>1749</v>
      </c>
      <c r="I261" s="82"/>
      <c r="J261" s="92"/>
      <c r="K261" s="82"/>
      <c r="M261" s="114" t="str">
        <f>VLOOKUP(A261,'BIC_(C_Variables)'!$A$3:$AS$43,45,FALSE())</f>
        <v/>
      </c>
      <c r="N261" s="1"/>
      <c r="O261" s="1"/>
      <c r="P261" s="81" t="str">
        <f>IFERROR(VLOOKUP(A261,Internal_lists_bugs!$A$2:$G7981,7,FALSE()),"please select a BUG ID")</f>
        <v>https://opendev.org/openstack/nova/commit/e517e5668ab</v>
      </c>
    </row>
    <row r="262">
      <c r="A262" s="16" t="s">
        <v>40</v>
      </c>
      <c r="B262" s="50" t="str">
        <f>IFERROR(HYPERLINK(VLOOKUP(A262,Internal_lists_bugs!$A$2:$C$73,3,FALSE()), VLOOKUP(A262,Internal_lists_bugs!$A$2:$C$73,3,FALSE())&amp;Char(10) &amp; Char(10) &amp; VLOOKUP(A262,Internal_lists_bugs!$A$2:$Z$73,26,FALSE())),"please select a BUG ID")</f>
        <v>https://bugs.launchpad.net/nova/+bug/1300788
/vmwareapi/vmops.py</v>
      </c>
      <c r="C262" s="81" t="str">
        <f>IFERROR(VLOOKUP(A262,Internal_lists_bugs!$A$2:$I7981,9,FALSE()),"please select a BUG ID")</f>
        <v>https://review.opendev.org/c/openstack/nova/+/31593</v>
      </c>
      <c r="D262" s="114"/>
      <c r="E262" s="114"/>
      <c r="F262" s="115"/>
      <c r="G262" s="16" t="s">
        <v>1750</v>
      </c>
      <c r="H262" s="16" t="s">
        <v>1751</v>
      </c>
      <c r="I262" s="82"/>
      <c r="J262" s="92"/>
      <c r="K262" s="82"/>
      <c r="M262" s="114" t="str">
        <f>VLOOKUP(A262,'BIC_(C_Variables)'!$A$3:$AS$43,45,FALSE())</f>
        <v/>
      </c>
      <c r="N262" s="1"/>
      <c r="O262" s="1"/>
      <c r="P262" s="81" t="str">
        <f>IFERROR(VLOOKUP(A262,Internal_lists_bugs!$A$2:$G7981,7,FALSE()),"please select a BUG ID")</f>
        <v>https://opendev.org/openstack/nova/commit/e517e5668ab</v>
      </c>
    </row>
    <row r="263">
      <c r="A263" s="16" t="s">
        <v>40</v>
      </c>
      <c r="B263" s="50" t="str">
        <f>IFERROR(HYPERLINK(VLOOKUP(A263,Internal_lists_bugs!$A$2:$C$73,3,FALSE()), VLOOKUP(A263,Internal_lists_bugs!$A$2:$C$73,3,FALSE())&amp;Char(10) &amp; Char(10) &amp; VLOOKUP(A263,Internal_lists_bugs!$A$2:$Z$73,26,FALSE())),"please select a BUG ID")</f>
        <v>https://bugs.launchpad.net/nova/+bug/1300788
/vmwareapi/vmops.py</v>
      </c>
      <c r="C263" s="81" t="str">
        <f>IFERROR(VLOOKUP(A263,Internal_lists_bugs!$A$2:$I7981,9,FALSE()),"please select a BUG ID")</f>
        <v>https://review.opendev.org/c/openstack/nova/+/31593</v>
      </c>
      <c r="D263" s="114"/>
      <c r="E263" s="114"/>
      <c r="F263" s="115"/>
      <c r="G263" s="16" t="s">
        <v>1597</v>
      </c>
      <c r="H263" s="16" t="s">
        <v>1752</v>
      </c>
      <c r="I263" s="82"/>
      <c r="J263" s="92"/>
      <c r="K263" s="82"/>
      <c r="M263" s="114" t="str">
        <f>VLOOKUP(A263,'BIC_(C_Variables)'!$A$3:$AS$43,45,FALSE())</f>
        <v/>
      </c>
      <c r="N263" s="1"/>
      <c r="O263" s="1"/>
      <c r="P263" s="81" t="str">
        <f>IFERROR(VLOOKUP(A263,Internal_lists_bugs!$A$2:$G7981,7,FALSE()),"please select a BUG ID")</f>
        <v>https://opendev.org/openstack/nova/commit/e517e5668ab</v>
      </c>
    </row>
    <row r="264">
      <c r="A264" s="16" t="s">
        <v>40</v>
      </c>
      <c r="B264" s="50" t="str">
        <f>IFERROR(HYPERLINK(VLOOKUP(A264,Internal_lists_bugs!$A$2:$C$73,3,FALSE()), VLOOKUP(A264,Internal_lists_bugs!$A$2:$C$73,3,FALSE())&amp;Char(10) &amp; Char(10) &amp; VLOOKUP(A264,Internal_lists_bugs!$A$2:$Z$73,26,FALSE())),"please select a BUG ID")</f>
        <v>https://bugs.launchpad.net/nova/+bug/1300788
/vmwareapi/vmops.py</v>
      </c>
      <c r="C264" s="81" t="str">
        <f>IFERROR(VLOOKUP(A264,Internal_lists_bugs!$A$2:$I7981,9,FALSE()),"please select a BUG ID")</f>
        <v>https://review.opendev.org/c/openstack/nova/+/31593</v>
      </c>
      <c r="D264" s="114"/>
      <c r="E264" s="114"/>
      <c r="F264" s="115"/>
      <c r="G264" s="16" t="s">
        <v>1753</v>
      </c>
      <c r="H264" s="16" t="s">
        <v>1752</v>
      </c>
      <c r="I264" s="82"/>
      <c r="J264" s="92"/>
      <c r="K264" s="82"/>
      <c r="M264" s="114" t="str">
        <f>VLOOKUP(A264,'BIC_(C_Variables)'!$A$3:$AS$43,45,FALSE())</f>
        <v/>
      </c>
      <c r="N264" s="1"/>
      <c r="O264" s="1"/>
      <c r="P264" s="81" t="str">
        <f>IFERROR(VLOOKUP(A264,Internal_lists_bugs!$A$2:$G7981,7,FALSE()),"please select a BUG ID")</f>
        <v>https://opendev.org/openstack/nova/commit/e517e5668ab</v>
      </c>
    </row>
    <row r="265">
      <c r="A265" s="16" t="s">
        <v>40</v>
      </c>
      <c r="B265" s="50" t="str">
        <f>IFERROR(HYPERLINK(VLOOKUP(A265,Internal_lists_bugs!$A$2:$C$73,3,FALSE()), VLOOKUP(A265,Internal_lists_bugs!$A$2:$C$73,3,FALSE())&amp;Char(10) &amp; Char(10) &amp; VLOOKUP(A265,Internal_lists_bugs!$A$2:$Z$73,26,FALSE())),"please select a BUG ID")</f>
        <v>https://bugs.launchpad.net/nova/+bug/1300788
/vmwareapi/vmops.py</v>
      </c>
      <c r="C265" s="81" t="str">
        <f>IFERROR(VLOOKUP(A265,Internal_lists_bugs!$A$2:$I7981,9,FALSE()),"please select a BUG ID")</f>
        <v>https://review.opendev.org/c/openstack/nova/+/31593</v>
      </c>
      <c r="D265" s="114"/>
      <c r="E265" s="114"/>
      <c r="F265" s="115"/>
      <c r="G265" s="16" t="s">
        <v>1425</v>
      </c>
      <c r="H265" s="16" t="s">
        <v>1754</v>
      </c>
      <c r="I265" s="82"/>
      <c r="J265" s="92"/>
      <c r="K265" s="82"/>
      <c r="M265" s="114" t="str">
        <f>VLOOKUP(A265,'BIC_(C_Variables)'!$A$3:$AS$43,45,FALSE())</f>
        <v/>
      </c>
      <c r="N265" s="1"/>
      <c r="O265" s="1"/>
      <c r="P265" s="81" t="str">
        <f>IFERROR(VLOOKUP(A265,Internal_lists_bugs!$A$2:$G7981,7,FALSE()),"please select a BUG ID")</f>
        <v>https://opendev.org/openstack/nova/commit/e517e5668ab</v>
      </c>
    </row>
    <row r="266">
      <c r="A266" s="16" t="s">
        <v>40</v>
      </c>
      <c r="B266" s="50" t="str">
        <f>IFERROR(HYPERLINK(VLOOKUP(A266,Internal_lists_bugs!$A$2:$C$73,3,FALSE()), VLOOKUP(A266,Internal_lists_bugs!$A$2:$C$73,3,FALSE())&amp;Char(10) &amp; Char(10) &amp; VLOOKUP(A266,Internal_lists_bugs!$A$2:$Z$73,26,FALSE())),"please select a BUG ID")</f>
        <v>https://bugs.launchpad.net/nova/+bug/1300788
/vmwareapi/vmops.py</v>
      </c>
      <c r="C266" s="81" t="str">
        <f>IFERROR(VLOOKUP(A266,Internal_lists_bugs!$A$2:$I7981,9,FALSE()),"please select a BUG ID")</f>
        <v>https://review.opendev.org/c/openstack/nova/+/31593</v>
      </c>
      <c r="D266" s="114"/>
      <c r="E266" s="114"/>
      <c r="F266" s="115"/>
      <c r="G266" s="16" t="s">
        <v>1478</v>
      </c>
      <c r="H266" s="16" t="s">
        <v>1754</v>
      </c>
      <c r="I266" s="82"/>
      <c r="J266" s="92"/>
      <c r="K266" s="82"/>
      <c r="M266" s="114" t="str">
        <f>VLOOKUP(A266,'BIC_(C_Variables)'!$A$3:$AS$43,45,FALSE())</f>
        <v/>
      </c>
      <c r="N266" s="1"/>
      <c r="O266" s="1"/>
      <c r="P266" s="81" t="str">
        <f>IFERROR(VLOOKUP(A266,Internal_lists_bugs!$A$2:$G7981,7,FALSE()),"please select a BUG ID")</f>
        <v>https://opendev.org/openstack/nova/commit/e517e5668ab</v>
      </c>
    </row>
    <row r="267">
      <c r="A267" s="16" t="s">
        <v>40</v>
      </c>
      <c r="B267" s="50" t="str">
        <f>IFERROR(HYPERLINK(VLOOKUP(A267,Internal_lists_bugs!$A$2:$C$73,3,FALSE()), VLOOKUP(A267,Internal_lists_bugs!$A$2:$C$73,3,FALSE())&amp;Char(10) &amp; Char(10) &amp; VLOOKUP(A267,Internal_lists_bugs!$A$2:$Z$73,26,FALSE())),"please select a BUG ID")</f>
        <v>https://bugs.launchpad.net/nova/+bug/1300788
/vmwareapi/vmops.py</v>
      </c>
      <c r="C267" s="81" t="str">
        <f>IFERROR(VLOOKUP(A267,Internal_lists_bugs!$A$2:$I7981,9,FALSE()),"please select a BUG ID")</f>
        <v>https://review.opendev.org/c/openstack/nova/+/31593</v>
      </c>
      <c r="D267" s="114"/>
      <c r="E267" s="114"/>
      <c r="F267" s="115"/>
      <c r="G267" s="16" t="s">
        <v>1441</v>
      </c>
      <c r="H267" s="16" t="s">
        <v>1755</v>
      </c>
      <c r="I267" s="82"/>
      <c r="J267" s="92"/>
      <c r="K267" s="82"/>
      <c r="M267" s="114" t="str">
        <f>VLOOKUP(A267,'BIC_(C_Variables)'!$A$3:$AS$43,45,FALSE())</f>
        <v/>
      </c>
      <c r="N267" s="1"/>
      <c r="O267" s="1"/>
      <c r="P267" s="81" t="str">
        <f>IFERROR(VLOOKUP(A267,Internal_lists_bugs!$A$2:$G7981,7,FALSE()),"please select a BUG ID")</f>
        <v>https://opendev.org/openstack/nova/commit/e517e5668ab</v>
      </c>
    </row>
    <row r="268">
      <c r="A268" s="16" t="s">
        <v>40</v>
      </c>
      <c r="B268" s="50" t="str">
        <f>IFERROR(HYPERLINK(VLOOKUP(A268,Internal_lists_bugs!$A$2:$C$73,3,FALSE()), VLOOKUP(A268,Internal_lists_bugs!$A$2:$C$73,3,FALSE())&amp;Char(10) &amp; Char(10) &amp; VLOOKUP(A268,Internal_lists_bugs!$A$2:$Z$73,26,FALSE())),"please select a BUG ID")</f>
        <v>https://bugs.launchpad.net/nova/+bug/1300788
/vmwareapi/vmops.py</v>
      </c>
      <c r="C268" s="81" t="str">
        <f>IFERROR(VLOOKUP(A268,Internal_lists_bugs!$A$2:$I7981,9,FALSE()),"please select a BUG ID")</f>
        <v>https://review.opendev.org/c/openstack/nova/+/31593</v>
      </c>
      <c r="D268" s="114"/>
      <c r="E268" s="114"/>
      <c r="F268" s="115"/>
      <c r="G268" s="16" t="s">
        <v>1728</v>
      </c>
      <c r="H268" s="16" t="s">
        <v>1756</v>
      </c>
      <c r="I268" s="82"/>
      <c r="J268" s="92"/>
      <c r="K268" s="82"/>
      <c r="M268" s="114" t="str">
        <f>VLOOKUP(A268,'BIC_(C_Variables)'!$A$3:$AS$43,45,FALSE())</f>
        <v/>
      </c>
      <c r="N268" s="1"/>
      <c r="O268" s="1"/>
      <c r="P268" s="81" t="str">
        <f>IFERROR(VLOOKUP(A268,Internal_lists_bugs!$A$2:$G7981,7,FALSE()),"please select a BUG ID")</f>
        <v>https://opendev.org/openstack/nova/commit/e517e5668ab</v>
      </c>
    </row>
    <row r="269">
      <c r="A269" s="16" t="s">
        <v>40</v>
      </c>
      <c r="B269" s="50" t="str">
        <f>IFERROR(HYPERLINK(VLOOKUP(A269,Internal_lists_bugs!$A$2:$C$73,3,FALSE()), VLOOKUP(A269,Internal_lists_bugs!$A$2:$C$73,3,FALSE())&amp;Char(10) &amp; Char(10) &amp; VLOOKUP(A269,Internal_lists_bugs!$A$2:$Z$73,26,FALSE())),"please select a BUG ID")</f>
        <v>https://bugs.launchpad.net/nova/+bug/1300788
/vmwareapi/vmops.py</v>
      </c>
      <c r="C269" s="81" t="str">
        <f>IFERROR(VLOOKUP(A269,Internal_lists_bugs!$A$2:$I7981,9,FALSE()),"please select a BUG ID")</f>
        <v>https://review.opendev.org/c/openstack/nova/+/31593</v>
      </c>
      <c r="D269" s="114"/>
      <c r="E269" s="114"/>
      <c r="F269" s="115"/>
      <c r="G269" s="16" t="s">
        <v>1427</v>
      </c>
      <c r="H269" s="16" t="s">
        <v>1757</v>
      </c>
      <c r="I269" s="82"/>
      <c r="J269" s="92"/>
      <c r="K269" s="82"/>
      <c r="M269" s="114" t="str">
        <f>VLOOKUP(A269,'BIC_(C_Variables)'!$A$3:$AS$43,45,FALSE())</f>
        <v/>
      </c>
      <c r="N269" s="1"/>
      <c r="O269" s="1"/>
      <c r="P269" s="81" t="str">
        <f>IFERROR(VLOOKUP(A269,Internal_lists_bugs!$A$2:$G7981,7,FALSE()),"please select a BUG ID")</f>
        <v>https://opendev.org/openstack/nova/commit/e517e5668ab</v>
      </c>
    </row>
    <row r="270">
      <c r="A270" s="16" t="s">
        <v>40</v>
      </c>
      <c r="B270" s="50" t="str">
        <f>IFERROR(HYPERLINK(VLOOKUP(A270,Internal_lists_bugs!$A$2:$C$73,3,FALSE()), VLOOKUP(A270,Internal_lists_bugs!$A$2:$C$73,3,FALSE())&amp;Char(10) &amp; Char(10) &amp; VLOOKUP(A270,Internal_lists_bugs!$A$2:$Z$73,26,FALSE())),"please select a BUG ID")</f>
        <v>https://bugs.launchpad.net/nova/+bug/1300788
/vmwareapi/vmops.py</v>
      </c>
      <c r="C270" s="81" t="str">
        <f>IFERROR(VLOOKUP(A270,Internal_lists_bugs!$A$2:$I7981,9,FALSE()),"please select a BUG ID")</f>
        <v>https://review.opendev.org/c/openstack/nova/+/31593</v>
      </c>
      <c r="D270" s="114"/>
      <c r="E270" s="114"/>
      <c r="F270" s="115"/>
      <c r="G270" s="16" t="s">
        <v>1758</v>
      </c>
      <c r="H270" s="16" t="s">
        <v>1759</v>
      </c>
      <c r="I270" s="82"/>
      <c r="J270" s="92"/>
      <c r="K270" s="82"/>
      <c r="M270" s="114" t="str">
        <f>VLOOKUP(A270,'BIC_(C_Variables)'!$A$3:$AS$43,45,FALSE())</f>
        <v/>
      </c>
      <c r="N270" s="1"/>
      <c r="O270" s="1"/>
      <c r="P270" s="81" t="str">
        <f>IFERROR(VLOOKUP(A270,Internal_lists_bugs!$A$2:$G7981,7,FALSE()),"please select a BUG ID")</f>
        <v>https://opendev.org/openstack/nova/commit/e517e5668ab</v>
      </c>
    </row>
    <row r="271">
      <c r="A271" s="16" t="s">
        <v>40</v>
      </c>
      <c r="B271" s="50" t="str">
        <f>IFERROR(HYPERLINK(VLOOKUP(A271,Internal_lists_bugs!$A$2:$C$73,3,FALSE()), VLOOKUP(A271,Internal_lists_bugs!$A$2:$C$73,3,FALSE())&amp;Char(10) &amp; Char(10) &amp; VLOOKUP(A271,Internal_lists_bugs!$A$2:$Z$73,26,FALSE())),"please select a BUG ID")</f>
        <v>https://bugs.launchpad.net/nova/+bug/1300788
/vmwareapi/vmops.py</v>
      </c>
      <c r="C271" s="81" t="str">
        <f>IFERROR(VLOOKUP(A271,Internal_lists_bugs!$A$2:$I7981,9,FALSE()),"please select a BUG ID")</f>
        <v>https://review.opendev.org/c/openstack/nova/+/31593</v>
      </c>
      <c r="D271" s="114"/>
      <c r="E271" s="114"/>
      <c r="F271" s="115"/>
      <c r="G271" s="16" t="s">
        <v>1443</v>
      </c>
      <c r="H271" s="16" t="s">
        <v>1760</v>
      </c>
      <c r="I271" s="82"/>
      <c r="J271" s="92"/>
      <c r="K271" s="82"/>
      <c r="M271" s="114" t="str">
        <f>VLOOKUP(A271,'BIC_(C_Variables)'!$A$3:$AS$43,45,FALSE())</f>
        <v/>
      </c>
      <c r="N271" s="1"/>
      <c r="O271" s="1"/>
      <c r="P271" s="81" t="str">
        <f>IFERROR(VLOOKUP(A271,Internal_lists_bugs!$A$2:$G7981,7,FALSE()),"please select a BUG ID")</f>
        <v>https://opendev.org/openstack/nova/commit/e517e5668ab</v>
      </c>
    </row>
    <row r="272">
      <c r="A272" s="16" t="s">
        <v>40</v>
      </c>
      <c r="B272" s="50" t="str">
        <f>IFERROR(HYPERLINK(VLOOKUP(A272,Internal_lists_bugs!$A$2:$C$73,3,FALSE()), VLOOKUP(A272,Internal_lists_bugs!$A$2:$C$73,3,FALSE())&amp;Char(10) &amp; Char(10) &amp; VLOOKUP(A272,Internal_lists_bugs!$A$2:$Z$73,26,FALSE())),"please select a BUG ID")</f>
        <v>https://bugs.launchpad.net/nova/+bug/1300788
/vmwareapi/vmops.py</v>
      </c>
      <c r="C272" s="81" t="str">
        <f>IFERROR(VLOOKUP(A272,Internal_lists_bugs!$A$2:$I7981,9,FALSE()),"please select a BUG ID")</f>
        <v>https://review.opendev.org/c/openstack/nova/+/31593</v>
      </c>
      <c r="D272" s="114"/>
      <c r="E272" s="114"/>
      <c r="F272" s="115"/>
      <c r="G272" s="16" t="s">
        <v>1445</v>
      </c>
      <c r="H272" s="16" t="s">
        <v>1760</v>
      </c>
      <c r="I272" s="82"/>
      <c r="J272" s="92"/>
      <c r="K272" s="82"/>
      <c r="M272" s="114" t="str">
        <f>VLOOKUP(A272,'BIC_(C_Variables)'!$A$3:$AS$43,45,FALSE())</f>
        <v/>
      </c>
      <c r="N272" s="1"/>
      <c r="O272" s="1"/>
      <c r="P272" s="81" t="str">
        <f>IFERROR(VLOOKUP(A272,Internal_lists_bugs!$A$2:$G7981,7,FALSE()),"please select a BUG ID")</f>
        <v>https://opendev.org/openstack/nova/commit/e517e5668ab</v>
      </c>
    </row>
    <row r="273">
      <c r="A273" s="16" t="s">
        <v>40</v>
      </c>
      <c r="B273" s="50" t="str">
        <f>IFERROR(HYPERLINK(VLOOKUP(A273,Internal_lists_bugs!$A$2:$C$73,3,FALSE()), VLOOKUP(A273,Internal_lists_bugs!$A$2:$C$73,3,FALSE())&amp;Char(10) &amp; Char(10) &amp; VLOOKUP(A273,Internal_lists_bugs!$A$2:$Z$73,26,FALSE())),"please select a BUG ID")</f>
        <v>https://bugs.launchpad.net/nova/+bug/1300788
/vmwareapi/vmops.py</v>
      </c>
      <c r="C273" s="81" t="str">
        <f>IFERROR(VLOOKUP(A273,Internal_lists_bugs!$A$2:$I7981,9,FALSE()),"please select a BUG ID")</f>
        <v>https://review.opendev.org/c/openstack/nova/+/31593</v>
      </c>
      <c r="D273" s="114"/>
      <c r="E273" s="114"/>
      <c r="F273" s="115"/>
      <c r="G273" s="16" t="s">
        <v>1761</v>
      </c>
      <c r="H273" s="16" t="s">
        <v>1762</v>
      </c>
      <c r="I273" s="82"/>
      <c r="J273" s="92"/>
      <c r="K273" s="82"/>
      <c r="M273" s="114" t="str">
        <f>VLOOKUP(A273,'BIC_(C_Variables)'!$A$3:$AS$43,45,FALSE())</f>
        <v/>
      </c>
      <c r="N273" s="1"/>
      <c r="O273" s="1"/>
      <c r="P273" s="81" t="str">
        <f>IFERROR(VLOOKUP(A273,Internal_lists_bugs!$A$2:$G7981,7,FALSE()),"please select a BUG ID")</f>
        <v>https://opendev.org/openstack/nova/commit/e517e5668ab</v>
      </c>
    </row>
    <row r="274">
      <c r="A274" s="16" t="s">
        <v>40</v>
      </c>
      <c r="B274" s="50" t="str">
        <f>IFERROR(HYPERLINK(VLOOKUP(A274,Internal_lists_bugs!$A$2:$C$73,3,FALSE()), VLOOKUP(A274,Internal_lists_bugs!$A$2:$C$73,3,FALSE())&amp;Char(10) &amp; Char(10) &amp; VLOOKUP(A274,Internal_lists_bugs!$A$2:$Z$73,26,FALSE())),"please select a BUG ID")</f>
        <v>https://bugs.launchpad.net/nova/+bug/1300788
/vmwareapi/vmops.py</v>
      </c>
      <c r="C274" s="81" t="str">
        <f>IFERROR(VLOOKUP(A274,Internal_lists_bugs!$A$2:$I7981,9,FALSE()),"please select a BUG ID")</f>
        <v>https://review.opendev.org/c/openstack/nova/+/31593</v>
      </c>
      <c r="D274" s="114"/>
      <c r="E274" s="114"/>
      <c r="F274" s="115"/>
      <c r="G274" s="16" t="s">
        <v>1763</v>
      </c>
      <c r="H274" s="16" t="s">
        <v>1764</v>
      </c>
      <c r="I274" s="82"/>
      <c r="J274" s="92"/>
      <c r="K274" s="82"/>
      <c r="M274" s="114" t="str">
        <f>VLOOKUP(A274,'BIC_(C_Variables)'!$A$3:$AS$43,45,FALSE())</f>
        <v/>
      </c>
      <c r="N274" s="1"/>
      <c r="O274" s="1"/>
      <c r="P274" s="81" t="str">
        <f>IFERROR(VLOOKUP(A274,Internal_lists_bugs!$A$2:$G7981,7,FALSE()),"please select a BUG ID")</f>
        <v>https://opendev.org/openstack/nova/commit/e517e5668ab</v>
      </c>
    </row>
    <row r="275">
      <c r="A275" s="16" t="s">
        <v>40</v>
      </c>
      <c r="B275" s="50" t="str">
        <f>IFERROR(HYPERLINK(VLOOKUP(A275,Internal_lists_bugs!$A$2:$C$73,3,FALSE()), VLOOKUP(A275,Internal_lists_bugs!$A$2:$C$73,3,FALSE())&amp;Char(10) &amp; Char(10) &amp; VLOOKUP(A275,Internal_lists_bugs!$A$2:$Z$73,26,FALSE())),"please select a BUG ID")</f>
        <v>https://bugs.launchpad.net/nova/+bug/1300788
/vmwareapi/vmops.py</v>
      </c>
      <c r="C275" s="81" t="str">
        <f>IFERROR(VLOOKUP(A275,Internal_lists_bugs!$A$2:$I7981,9,FALSE()),"please select a BUG ID")</f>
        <v>https://review.opendev.org/c/openstack/nova/+/31593</v>
      </c>
      <c r="D275" s="114"/>
      <c r="E275" s="114"/>
      <c r="F275" s="115"/>
      <c r="G275" s="16" t="s">
        <v>1765</v>
      </c>
      <c r="H275" s="16" t="s">
        <v>1766</v>
      </c>
      <c r="I275" s="82"/>
      <c r="J275" s="92"/>
      <c r="K275" s="82"/>
      <c r="M275" s="114" t="str">
        <f>VLOOKUP(A275,'BIC_(C_Variables)'!$A$3:$AS$43,45,FALSE())</f>
        <v/>
      </c>
      <c r="N275" s="1"/>
      <c r="O275" s="1"/>
      <c r="P275" s="81" t="str">
        <f>IFERROR(VLOOKUP(A275,Internal_lists_bugs!$A$2:$G7981,7,FALSE()),"please select a BUG ID")</f>
        <v>https://opendev.org/openstack/nova/commit/e517e5668ab</v>
      </c>
    </row>
    <row r="276">
      <c r="A276" s="16" t="s">
        <v>40</v>
      </c>
      <c r="B276" s="50" t="str">
        <f>IFERROR(HYPERLINK(VLOOKUP(A276,Internal_lists_bugs!$A$2:$C$73,3,FALSE()), VLOOKUP(A276,Internal_lists_bugs!$A$2:$C$73,3,FALSE())&amp;Char(10) &amp; Char(10) &amp; VLOOKUP(A276,Internal_lists_bugs!$A$2:$Z$73,26,FALSE())),"please select a BUG ID")</f>
        <v>https://bugs.launchpad.net/nova/+bug/1300788
/vmwareapi/vmops.py</v>
      </c>
      <c r="C276" s="81" t="str">
        <f>IFERROR(VLOOKUP(A276,Internal_lists_bugs!$A$2:$I7981,9,FALSE()),"please select a BUG ID")</f>
        <v>https://review.opendev.org/c/openstack/nova/+/31593</v>
      </c>
      <c r="D276" s="114"/>
      <c r="E276" s="114"/>
      <c r="F276" s="115"/>
      <c r="G276" s="16" t="s">
        <v>1489</v>
      </c>
      <c r="H276" s="16" t="s">
        <v>1767</v>
      </c>
      <c r="I276" s="82"/>
      <c r="J276" s="92"/>
      <c r="K276" s="82"/>
      <c r="M276" s="114" t="str">
        <f>VLOOKUP(A276,'BIC_(C_Variables)'!$A$3:$AS$43,45,FALSE())</f>
        <v/>
      </c>
      <c r="N276" s="1"/>
      <c r="O276" s="1"/>
      <c r="P276" s="81" t="str">
        <f>IFERROR(VLOOKUP(A276,Internal_lists_bugs!$A$2:$G7981,7,FALSE()),"please select a BUG ID")</f>
        <v>https://opendev.org/openstack/nova/commit/e517e5668ab</v>
      </c>
    </row>
    <row r="277">
      <c r="A277" s="16" t="s">
        <v>40</v>
      </c>
      <c r="B277" s="50" t="str">
        <f>IFERROR(HYPERLINK(VLOOKUP(A277,Internal_lists_bugs!$A$2:$C$73,3,FALSE()), VLOOKUP(A277,Internal_lists_bugs!$A$2:$C$73,3,FALSE())&amp;Char(10) &amp; Char(10) &amp; VLOOKUP(A277,Internal_lists_bugs!$A$2:$Z$73,26,FALSE())),"please select a BUG ID")</f>
        <v>https://bugs.launchpad.net/nova/+bug/1300788
/vmwareapi/vmops.py</v>
      </c>
      <c r="C277" s="81" t="str">
        <f>IFERROR(VLOOKUP(A277,Internal_lists_bugs!$A$2:$I7981,9,FALSE()),"please select a BUG ID")</f>
        <v>https://review.opendev.org/c/openstack/nova/+/31593</v>
      </c>
      <c r="D277" s="114"/>
      <c r="E277" s="114"/>
      <c r="F277" s="115"/>
      <c r="G277" s="16" t="s">
        <v>1453</v>
      </c>
      <c r="H277" s="16" t="s">
        <v>1768</v>
      </c>
      <c r="I277" s="82"/>
      <c r="J277" s="92"/>
      <c r="K277" s="82"/>
      <c r="M277" s="114" t="str">
        <f>VLOOKUP(A277,'BIC_(C_Variables)'!$A$3:$AS$43,45,FALSE())</f>
        <v/>
      </c>
      <c r="N277" s="1"/>
      <c r="O277" s="1"/>
      <c r="P277" s="81" t="str">
        <f>IFERROR(VLOOKUP(A277,Internal_lists_bugs!$A$2:$G7981,7,FALSE()),"please select a BUG ID")</f>
        <v>https://opendev.org/openstack/nova/commit/e517e5668ab</v>
      </c>
    </row>
    <row r="278">
      <c r="A278" s="16" t="s">
        <v>40</v>
      </c>
      <c r="B278" s="50" t="str">
        <f>IFERROR(HYPERLINK(VLOOKUP(A278,Internal_lists_bugs!$A$2:$C$73,3,FALSE()), VLOOKUP(A278,Internal_lists_bugs!$A$2:$C$73,3,FALSE())&amp;Char(10) &amp; Char(10) &amp; VLOOKUP(A278,Internal_lists_bugs!$A$2:$Z$73,26,FALSE())),"please select a BUG ID")</f>
        <v>https://bugs.launchpad.net/nova/+bug/1300788
/vmwareapi/vmops.py</v>
      </c>
      <c r="C278" s="81" t="str">
        <f>IFERROR(VLOOKUP(A278,Internal_lists_bugs!$A$2:$I7981,9,FALSE()),"please select a BUG ID")</f>
        <v>https://review.opendev.org/c/openstack/nova/+/31593</v>
      </c>
      <c r="D278" s="114"/>
      <c r="E278" s="114"/>
      <c r="F278" s="115"/>
      <c r="G278" s="16" t="s">
        <v>1452</v>
      </c>
      <c r="H278" s="16" t="s">
        <v>1768</v>
      </c>
      <c r="I278" s="82"/>
      <c r="J278" s="92"/>
      <c r="K278" s="82"/>
      <c r="M278" s="114" t="str">
        <f>VLOOKUP(A278,'BIC_(C_Variables)'!$A$3:$AS$43,45,FALSE())</f>
        <v/>
      </c>
      <c r="N278" s="1"/>
      <c r="O278" s="1"/>
      <c r="P278" s="81" t="str">
        <f>IFERROR(VLOOKUP(A278,Internal_lists_bugs!$A$2:$G7981,7,FALSE()),"please select a BUG ID")</f>
        <v>https://opendev.org/openstack/nova/commit/e517e5668ab</v>
      </c>
    </row>
    <row r="279">
      <c r="A279" s="16" t="s">
        <v>40</v>
      </c>
      <c r="B279" s="50" t="str">
        <f>IFERROR(HYPERLINK(VLOOKUP(A279,Internal_lists_bugs!$A$2:$C$73,3,FALSE()), VLOOKUP(A279,Internal_lists_bugs!$A$2:$C$73,3,FALSE())&amp;Char(10) &amp; Char(10) &amp; VLOOKUP(A279,Internal_lists_bugs!$A$2:$Z$73,26,FALSE())),"please select a BUG ID")</f>
        <v>https://bugs.launchpad.net/nova/+bug/1300788
/vmwareapi/vmops.py</v>
      </c>
      <c r="C279" s="81" t="str">
        <f>IFERROR(VLOOKUP(A279,Internal_lists_bugs!$A$2:$I7981,9,FALSE()),"please select a BUG ID")</f>
        <v>https://review.opendev.org/c/openstack/nova/+/31593</v>
      </c>
      <c r="D279" s="114"/>
      <c r="E279" s="114"/>
      <c r="F279" s="115"/>
      <c r="G279" s="16" t="s">
        <v>1458</v>
      </c>
      <c r="H279" s="16" t="s">
        <v>1769</v>
      </c>
      <c r="I279" s="82"/>
      <c r="J279" s="92"/>
      <c r="K279" s="82"/>
      <c r="M279" s="114"/>
      <c r="N279" s="1"/>
      <c r="O279" s="1"/>
      <c r="P279" s="51"/>
    </row>
    <row r="280">
      <c r="A280" s="16" t="s">
        <v>40</v>
      </c>
      <c r="B280" s="50" t="str">
        <f>IFERROR(HYPERLINK(VLOOKUP(A280,Internal_lists_bugs!$A$2:$C$73,3,FALSE()), VLOOKUP(A280,Internal_lists_bugs!$A$2:$C$73,3,FALSE())&amp;Char(10) &amp; Char(10) &amp; VLOOKUP(A280,Internal_lists_bugs!$A$2:$Z$73,26,FALSE())),"please select a BUG ID")</f>
        <v>https://bugs.launchpad.net/nova/+bug/1300788
/vmwareapi/vmops.py</v>
      </c>
      <c r="C280" s="81" t="str">
        <f>IFERROR(VLOOKUP(A280,Internal_lists_bugs!$A$2:$I7981,9,FALSE()),"please select a BUG ID")</f>
        <v>https://review.opendev.org/c/openstack/nova/+/31593</v>
      </c>
      <c r="D280" s="114"/>
      <c r="E280" s="114"/>
      <c r="F280" s="115"/>
      <c r="G280" s="16" t="s">
        <v>1456</v>
      </c>
      <c r="H280" s="16" t="s">
        <v>1769</v>
      </c>
      <c r="I280" s="82"/>
      <c r="J280" s="92"/>
      <c r="K280" s="82"/>
      <c r="M280" s="114" t="str">
        <f>VLOOKUP(A280,'BIC_(C_Variables)'!$A$3:$AS$43,45,FALSE())</f>
        <v/>
      </c>
      <c r="N280" s="1"/>
      <c r="O280" s="1"/>
      <c r="P280" s="81" t="str">
        <f>IFERROR(VLOOKUP(A280,Internal_lists_bugs!$A$2:$G7981,7,FALSE()),"please select a BUG ID")</f>
        <v>https://opendev.org/openstack/nova/commit/e517e5668ab</v>
      </c>
    </row>
    <row r="281">
      <c r="A281" s="16" t="s">
        <v>40</v>
      </c>
      <c r="B281" s="50" t="str">
        <f>IFERROR(HYPERLINK(VLOOKUP(A281,Internal_lists_bugs!$A$2:$C$73,3,FALSE()), VLOOKUP(A281,Internal_lists_bugs!$A$2:$C$73,3,FALSE())&amp;Char(10) &amp; Char(10) &amp; VLOOKUP(A281,Internal_lists_bugs!$A$2:$Z$73,26,FALSE())),"please select a BUG ID")</f>
        <v>https://bugs.launchpad.net/nova/+bug/1300788
/vmwareapi/vmops.py</v>
      </c>
      <c r="C281" s="81" t="str">
        <f>IFERROR(VLOOKUP(A281,Internal_lists_bugs!$A$2:$I7981,9,FALSE()),"please select a BUG ID")</f>
        <v>https://review.opendev.org/c/openstack/nova/+/31593</v>
      </c>
      <c r="D281" s="112"/>
      <c r="E281" s="112"/>
      <c r="F281" s="113"/>
      <c r="G281" s="16" t="s">
        <v>1460</v>
      </c>
      <c r="H281" s="16" t="s">
        <v>1461</v>
      </c>
      <c r="I281" s="79"/>
      <c r="J281" s="93"/>
      <c r="K281" s="79"/>
      <c r="L281" s="16"/>
      <c r="M281" s="114" t="str">
        <f>VLOOKUP(A281,'BIC_(C_Variables)'!$A$3:$AS$43,45,FALSE())</f>
        <v/>
      </c>
      <c r="N281" s="1"/>
      <c r="O281" s="1"/>
      <c r="P281" s="81" t="str">
        <f>IFERROR(VLOOKUP(A281,Internal_lists_bugs!$A$2:$G7981,7,FALSE()),"please select a BUG ID")</f>
        <v>https://opendev.org/openstack/nova/commit/e517e5668ab</v>
      </c>
    </row>
    <row r="282">
      <c r="A282" s="16" t="s">
        <v>41</v>
      </c>
      <c r="B282" s="50" t="str">
        <f>IFERROR(HYPERLINK(VLOOKUP(A282,Internal_lists_bugs!$A$2:$C$73,3,FALSE()), VLOOKUP(A282,Internal_lists_bugs!$A$2:$C$73,3,FALSE())&amp;Char(10) &amp; Char(10) &amp; VLOOKUP(A282,Internal_lists_bugs!$A$2:$Z$73,26,FALSE())),"please select a BUG ID")</f>
        <v>https://bugs.launchpad.net/nova/+bug/1466390
/sqlalchemy/api.py</v>
      </c>
      <c r="C282" s="81" t="str">
        <f>IFERROR(VLOOKUP(A282,Internal_lists_bugs!$A$2:$I7981,9,FALSE()),"please select a BUG ID")</f>
        <v>https://review.opendev.org/c/openstack/nova/+/28880</v>
      </c>
      <c r="D282" s="112" t="s">
        <v>1412</v>
      </c>
      <c r="E282" s="112" t="s">
        <v>1462</v>
      </c>
      <c r="F282" s="113" t="s">
        <v>251</v>
      </c>
      <c r="G282" s="16" t="s">
        <v>1419</v>
      </c>
      <c r="H282" s="16" t="s">
        <v>1770</v>
      </c>
      <c r="I282" s="79" t="s">
        <v>251</v>
      </c>
      <c r="J282" s="93" t="s">
        <v>1771</v>
      </c>
      <c r="K282" s="79" t="s">
        <v>251</v>
      </c>
      <c r="L282" s="16" t="s">
        <v>1772</v>
      </c>
      <c r="M282" s="114" t="str">
        <f>VLOOKUP(A282,'BIC_(C_Variables)'!$A$3:$AS$43,45,FALSE())</f>
        <v/>
      </c>
      <c r="N282" s="1"/>
      <c r="O282" s="1"/>
      <c r="P282" s="81" t="str">
        <f>IFERROR(VLOOKUP(A282,Internal_lists_bugs!$A$2:$G7981,7,FALSE()),"please select a BUG ID")</f>
        <v>https://opendev.org/openstack/nova/commit/501ff41</v>
      </c>
    </row>
    <row r="283">
      <c r="A283" s="16" t="s">
        <v>41</v>
      </c>
      <c r="B283" s="50" t="str">
        <f>IFERROR(HYPERLINK(VLOOKUP(A283,Internal_lists_bugs!$A$2:$C$73,3,FALSE()), VLOOKUP(A283,Internal_lists_bugs!$A$2:$C$73,3,FALSE())&amp;Char(10) &amp; Char(10) &amp; VLOOKUP(A283,Internal_lists_bugs!$A$2:$Z$73,26,FALSE())),"please select a BUG ID")</f>
        <v>https://bugs.launchpad.net/nova/+bug/1466390
/sqlalchemy/api.py</v>
      </c>
      <c r="C283" s="81" t="str">
        <f>IFERROR(VLOOKUP(A283,Internal_lists_bugs!$A$2:$I7981,9,FALSE()),"please select a BUG ID")</f>
        <v>https://review.opendev.org/c/openstack/nova/+/28880</v>
      </c>
      <c r="D283" s="114"/>
      <c r="E283" s="114"/>
      <c r="F283" s="115"/>
      <c r="G283" s="16" t="s">
        <v>1466</v>
      </c>
      <c r="H283" s="16" t="s">
        <v>1773</v>
      </c>
      <c r="I283" s="82"/>
      <c r="J283" s="92"/>
      <c r="K283" s="82"/>
      <c r="M283" s="114" t="str">
        <f>VLOOKUP(A283,'BIC_(C_Variables)'!$A$3:$AS$43,45,FALSE())</f>
        <v/>
      </c>
      <c r="N283" s="1"/>
      <c r="O283" s="1"/>
      <c r="P283" s="81" t="str">
        <f>IFERROR(VLOOKUP(A283,Internal_lists_bugs!$A$2:$G7981,7,FALSE()),"please select a BUG ID")</f>
        <v>https://opendev.org/openstack/nova/commit/501ff41</v>
      </c>
    </row>
    <row r="284">
      <c r="A284" s="16" t="s">
        <v>41</v>
      </c>
      <c r="B284" s="50" t="str">
        <f>IFERROR(HYPERLINK(VLOOKUP(A284,Internal_lists_bugs!$A$2:$C$73,3,FALSE()), VLOOKUP(A284,Internal_lists_bugs!$A$2:$C$73,3,FALSE())&amp;Char(10) &amp; Char(10) &amp; VLOOKUP(A284,Internal_lists_bugs!$A$2:$Z$73,26,FALSE())),"please select a BUG ID")</f>
        <v>https://bugs.launchpad.net/nova/+bug/1466390
/sqlalchemy/api.py</v>
      </c>
      <c r="C284" s="81" t="str">
        <f>IFERROR(VLOOKUP(A284,Internal_lists_bugs!$A$2:$I7981,9,FALSE()),"please select a BUG ID")</f>
        <v>https://review.opendev.org/c/openstack/nova/+/28880</v>
      </c>
      <c r="D284" s="114"/>
      <c r="E284" s="114"/>
      <c r="F284" s="115"/>
      <c r="G284" s="16" t="s">
        <v>1428</v>
      </c>
      <c r="H284" s="16" t="s">
        <v>1774</v>
      </c>
      <c r="I284" s="82"/>
      <c r="J284" s="92"/>
      <c r="K284" s="82"/>
      <c r="M284" s="114" t="str">
        <f>VLOOKUP(A284,'BIC_(C_Variables)'!$A$3:$AS$43,45,FALSE())</f>
        <v/>
      </c>
      <c r="N284" s="1"/>
      <c r="O284" s="1"/>
      <c r="P284" s="81" t="str">
        <f>IFERROR(VLOOKUP(A284,Internal_lists_bugs!$A$2:$G7981,7,FALSE()),"please select a BUG ID")</f>
        <v>https://opendev.org/openstack/nova/commit/501ff41</v>
      </c>
    </row>
    <row r="285">
      <c r="A285" s="16" t="s">
        <v>41</v>
      </c>
      <c r="B285" s="50" t="str">
        <f>IFERROR(HYPERLINK(VLOOKUP(A285,Internal_lists_bugs!$A$2:$C$73,3,FALSE()), VLOOKUP(A285,Internal_lists_bugs!$A$2:$C$73,3,FALSE())&amp;Char(10) &amp; Char(10) &amp; VLOOKUP(A285,Internal_lists_bugs!$A$2:$Z$73,26,FALSE())),"please select a BUG ID")</f>
        <v>https://bugs.launchpad.net/nova/+bug/1466390
/sqlalchemy/api.py</v>
      </c>
      <c r="C285" s="81" t="str">
        <f>IFERROR(VLOOKUP(A285,Internal_lists_bugs!$A$2:$I7981,9,FALSE()),"please select a BUG ID")</f>
        <v>https://review.opendev.org/c/openstack/nova/+/28880</v>
      </c>
      <c r="D285" s="114"/>
      <c r="E285" s="114"/>
      <c r="F285" s="115"/>
      <c r="G285" s="16" t="s">
        <v>1775</v>
      </c>
      <c r="H285" s="16" t="s">
        <v>1776</v>
      </c>
      <c r="I285" s="82"/>
      <c r="J285" s="92"/>
      <c r="K285" s="82"/>
      <c r="M285" s="114" t="str">
        <f>VLOOKUP(A285,'BIC_(C_Variables)'!$A$3:$AS$43,45,FALSE())</f>
        <v/>
      </c>
      <c r="N285" s="1"/>
      <c r="O285" s="1"/>
      <c r="P285" s="81" t="str">
        <f>IFERROR(VLOOKUP(A285,Internal_lists_bugs!$A$2:$G7981,7,FALSE()),"please select a BUG ID")</f>
        <v>https://opendev.org/openstack/nova/commit/501ff41</v>
      </c>
    </row>
    <row r="286">
      <c r="A286" s="16" t="s">
        <v>41</v>
      </c>
      <c r="B286" s="50" t="str">
        <f>IFERROR(HYPERLINK(VLOOKUP(A286,Internal_lists_bugs!$A$2:$C$73,3,FALSE()), VLOOKUP(A286,Internal_lists_bugs!$A$2:$C$73,3,FALSE())&amp;Char(10) &amp; Char(10) &amp; VLOOKUP(A286,Internal_lists_bugs!$A$2:$Z$73,26,FALSE())),"please select a BUG ID")</f>
        <v>https://bugs.launchpad.net/nova/+bug/1466390
/sqlalchemy/api.py</v>
      </c>
      <c r="C286" s="81" t="str">
        <f>IFERROR(VLOOKUP(A286,Internal_lists_bugs!$A$2:$I7981,9,FALSE()),"please select a BUG ID")</f>
        <v>https://review.opendev.org/c/openstack/nova/+/28880</v>
      </c>
      <c r="D286" s="114"/>
      <c r="E286" s="114"/>
      <c r="F286" s="115"/>
      <c r="G286" s="16" t="s">
        <v>1777</v>
      </c>
      <c r="H286" s="16" t="s">
        <v>1778</v>
      </c>
      <c r="I286" s="82"/>
      <c r="J286" s="92"/>
      <c r="K286" s="82"/>
      <c r="M286" s="114" t="str">
        <f>VLOOKUP(A286,'BIC_(C_Variables)'!$A$3:$AS$43,45,FALSE())</f>
        <v/>
      </c>
      <c r="N286" s="1"/>
      <c r="O286" s="1"/>
      <c r="P286" s="81" t="str">
        <f>IFERROR(VLOOKUP(A286,Internal_lists_bugs!$A$2:$G7981,7,FALSE()),"please select a BUG ID")</f>
        <v>https://opendev.org/openstack/nova/commit/501ff41</v>
      </c>
    </row>
    <row r="287">
      <c r="A287" s="16" t="s">
        <v>41</v>
      </c>
      <c r="B287" s="50" t="str">
        <f>IFERROR(HYPERLINK(VLOOKUP(A287,Internal_lists_bugs!$A$2:$C$73,3,FALSE()), VLOOKUP(A287,Internal_lists_bugs!$A$2:$C$73,3,FALSE())&amp;Char(10) &amp; Char(10) &amp; VLOOKUP(A287,Internal_lists_bugs!$A$2:$Z$73,26,FALSE())),"please select a BUG ID")</f>
        <v>https://bugs.launchpad.net/nova/+bug/1466390
/sqlalchemy/api.py</v>
      </c>
      <c r="C287" s="81" t="str">
        <f>IFERROR(VLOOKUP(A287,Internal_lists_bugs!$A$2:$I7981,9,FALSE()),"please select a BUG ID")</f>
        <v>https://review.opendev.org/c/openstack/nova/+/28880</v>
      </c>
      <c r="D287" s="114"/>
      <c r="E287" s="114"/>
      <c r="F287" s="115"/>
      <c r="G287" s="16" t="s">
        <v>1779</v>
      </c>
      <c r="H287" s="16" t="s">
        <v>1780</v>
      </c>
      <c r="I287" s="82"/>
      <c r="J287" s="92"/>
      <c r="K287" s="82"/>
      <c r="M287" s="114" t="str">
        <f>VLOOKUP(A287,'BIC_(C_Variables)'!$A$3:$AS$43,45,FALSE())</f>
        <v/>
      </c>
      <c r="N287" s="1"/>
      <c r="O287" s="1"/>
      <c r="P287" s="81" t="str">
        <f>IFERROR(VLOOKUP(A287,Internal_lists_bugs!$A$2:$G7981,7,FALSE()),"please select a BUG ID")</f>
        <v>https://opendev.org/openstack/nova/commit/501ff41</v>
      </c>
    </row>
    <row r="288">
      <c r="A288" s="16" t="s">
        <v>41</v>
      </c>
      <c r="B288" s="50" t="str">
        <f>IFERROR(HYPERLINK(VLOOKUP(A288,Internal_lists_bugs!$A$2:$C$73,3,FALSE()), VLOOKUP(A288,Internal_lists_bugs!$A$2:$C$73,3,FALSE())&amp;Char(10) &amp; Char(10) &amp; VLOOKUP(A288,Internal_lists_bugs!$A$2:$Z$73,26,FALSE())),"please select a BUG ID")</f>
        <v>https://bugs.launchpad.net/nova/+bug/1466390
/sqlalchemy/api.py</v>
      </c>
      <c r="C288" s="81" t="str">
        <f>IFERROR(VLOOKUP(A288,Internal_lists_bugs!$A$2:$I7981,9,FALSE()),"please select a BUG ID")</f>
        <v>https://review.opendev.org/c/openstack/nova/+/28880</v>
      </c>
      <c r="D288" s="114"/>
      <c r="E288" s="114"/>
      <c r="F288" s="115"/>
      <c r="G288" s="16" t="s">
        <v>1781</v>
      </c>
      <c r="H288" s="16" t="s">
        <v>1776</v>
      </c>
      <c r="I288" s="82"/>
      <c r="J288" s="92"/>
      <c r="K288" s="82"/>
      <c r="M288" s="114" t="str">
        <f>VLOOKUP(A288,'BIC_(C_Variables)'!$A$3:$AS$43,45,FALSE())</f>
        <v/>
      </c>
      <c r="N288" s="1"/>
      <c r="O288" s="1"/>
      <c r="P288" s="81" t="str">
        <f>IFERROR(VLOOKUP(A288,Internal_lists_bugs!$A$2:$G7981,7,FALSE()),"please select a BUG ID")</f>
        <v>https://opendev.org/openstack/nova/commit/501ff41</v>
      </c>
    </row>
    <row r="289">
      <c r="A289" s="16" t="s">
        <v>41</v>
      </c>
      <c r="B289" s="50" t="str">
        <f>IFERROR(HYPERLINK(VLOOKUP(A289,Internal_lists_bugs!$A$2:$C$73,3,FALSE()), VLOOKUP(A289,Internal_lists_bugs!$A$2:$C$73,3,FALSE())&amp;Char(10) &amp; Char(10) &amp; VLOOKUP(A289,Internal_lists_bugs!$A$2:$Z$73,26,FALSE())),"please select a BUG ID")</f>
        <v>https://bugs.launchpad.net/nova/+bug/1466390
/sqlalchemy/api.py</v>
      </c>
      <c r="C289" s="81" t="str">
        <f>IFERROR(VLOOKUP(A289,Internal_lists_bugs!$A$2:$I7981,9,FALSE()),"please select a BUG ID")</f>
        <v>https://review.opendev.org/c/openstack/nova/+/28880</v>
      </c>
      <c r="D289" s="114"/>
      <c r="E289" s="114"/>
      <c r="F289" s="115"/>
      <c r="G289" s="16" t="s">
        <v>1694</v>
      </c>
      <c r="H289" s="16" t="s">
        <v>1782</v>
      </c>
      <c r="I289" s="82"/>
      <c r="J289" s="92"/>
      <c r="K289" s="82"/>
      <c r="M289" s="114" t="str">
        <f>VLOOKUP(A289,'BIC_(C_Variables)'!$A$3:$AS$43,45,FALSE())</f>
        <v/>
      </c>
      <c r="N289" s="1"/>
      <c r="O289" s="1"/>
      <c r="P289" s="81" t="str">
        <f>IFERROR(VLOOKUP(A289,Internal_lists_bugs!$A$2:$G7981,7,FALSE()),"please select a BUG ID")</f>
        <v>https://opendev.org/openstack/nova/commit/501ff41</v>
      </c>
    </row>
    <row r="290">
      <c r="A290" s="16" t="s">
        <v>41</v>
      </c>
      <c r="B290" s="50" t="str">
        <f>IFERROR(HYPERLINK(VLOOKUP(A290,Internal_lists_bugs!$A$2:$C$73,3,FALSE()), VLOOKUP(A290,Internal_lists_bugs!$A$2:$C$73,3,FALSE())&amp;Char(10) &amp; Char(10) &amp; VLOOKUP(A290,Internal_lists_bugs!$A$2:$Z$73,26,FALSE())),"please select a BUG ID")</f>
        <v>https://bugs.launchpad.net/nova/+bug/1466390
/sqlalchemy/api.py</v>
      </c>
      <c r="C290" s="81" t="str">
        <f>IFERROR(VLOOKUP(A290,Internal_lists_bugs!$A$2:$I7981,9,FALSE()),"please select a BUG ID")</f>
        <v>https://review.opendev.org/c/openstack/nova/+/28880</v>
      </c>
      <c r="D290" s="114"/>
      <c r="E290" s="114"/>
      <c r="F290" s="115"/>
      <c r="G290" s="16" t="s">
        <v>1694</v>
      </c>
      <c r="H290" s="16" t="s">
        <v>1783</v>
      </c>
      <c r="I290" s="82"/>
      <c r="J290" s="92"/>
      <c r="K290" s="82"/>
      <c r="M290" s="114" t="str">
        <f>VLOOKUP(A290,'BIC_(C_Variables)'!$A$3:$AS$43,45,FALSE())</f>
        <v/>
      </c>
      <c r="N290" s="1"/>
      <c r="O290" s="1"/>
      <c r="P290" s="81" t="str">
        <f>IFERROR(VLOOKUP(A290,Internal_lists_bugs!$A$2:$G7981,7,FALSE()),"please select a BUG ID")</f>
        <v>https://opendev.org/openstack/nova/commit/501ff41</v>
      </c>
    </row>
    <row r="291">
      <c r="A291" s="16" t="s">
        <v>41</v>
      </c>
      <c r="B291" s="50" t="str">
        <f>IFERROR(HYPERLINK(VLOOKUP(A291,Internal_lists_bugs!$A$2:$C$73,3,FALSE()), VLOOKUP(A291,Internal_lists_bugs!$A$2:$C$73,3,FALSE())&amp;Char(10) &amp; Char(10) &amp; VLOOKUP(A291,Internal_lists_bugs!$A$2:$Z$73,26,FALSE())),"please select a BUG ID")</f>
        <v>https://bugs.launchpad.net/nova/+bug/1466390
/sqlalchemy/api.py</v>
      </c>
      <c r="C291" s="81" t="str">
        <f>IFERROR(VLOOKUP(A291,Internal_lists_bugs!$A$2:$I7981,9,FALSE()),"please select a BUG ID")</f>
        <v>https://review.opendev.org/c/openstack/nova/+/28880</v>
      </c>
      <c r="D291" s="114"/>
      <c r="E291" s="114"/>
      <c r="F291" s="115"/>
      <c r="G291" s="16" t="s">
        <v>1784</v>
      </c>
      <c r="H291" s="16" t="s">
        <v>1785</v>
      </c>
      <c r="I291" s="82"/>
      <c r="J291" s="92"/>
      <c r="K291" s="82"/>
      <c r="M291" s="114" t="str">
        <f>VLOOKUP(A291,'BIC_(C_Variables)'!$A$3:$AS$43,45,FALSE())</f>
        <v/>
      </c>
      <c r="N291" s="1"/>
      <c r="O291" s="1"/>
      <c r="P291" s="81" t="str">
        <f>IFERROR(VLOOKUP(A291,Internal_lists_bugs!$A$2:$G7981,7,FALSE()),"please select a BUG ID")</f>
        <v>https://opendev.org/openstack/nova/commit/501ff41</v>
      </c>
    </row>
    <row r="292">
      <c r="A292" s="16" t="s">
        <v>41</v>
      </c>
      <c r="B292" s="50" t="str">
        <f>IFERROR(HYPERLINK(VLOOKUP(A292,Internal_lists_bugs!$A$2:$C$73,3,FALSE()), VLOOKUP(A292,Internal_lists_bugs!$A$2:$C$73,3,FALSE())&amp;Char(10) &amp; Char(10) &amp; VLOOKUP(A292,Internal_lists_bugs!$A$2:$Z$73,26,FALSE())),"please select a BUG ID")</f>
        <v>https://bugs.launchpad.net/nova/+bug/1466390
/sqlalchemy/api.py</v>
      </c>
      <c r="C292" s="81" t="str">
        <f>IFERROR(VLOOKUP(A292,Internal_lists_bugs!$A$2:$I7981,9,FALSE()),"please select a BUG ID")</f>
        <v>https://review.opendev.org/c/openstack/nova/+/28880</v>
      </c>
      <c r="D292" s="114"/>
      <c r="E292" s="114"/>
      <c r="F292" s="115"/>
      <c r="G292" s="16" t="s">
        <v>1786</v>
      </c>
      <c r="H292" s="16" t="s">
        <v>1787</v>
      </c>
      <c r="I292" s="82"/>
      <c r="J292" s="92"/>
      <c r="K292" s="82"/>
      <c r="M292" s="114" t="str">
        <f>VLOOKUP(A292,'BIC_(C_Variables)'!$A$3:$AS$43,45,FALSE())</f>
        <v/>
      </c>
      <c r="N292" s="1"/>
      <c r="O292" s="1"/>
      <c r="P292" s="81" t="str">
        <f>IFERROR(VLOOKUP(A292,Internal_lists_bugs!$A$2:$G7981,7,FALSE()),"please select a BUG ID")</f>
        <v>https://opendev.org/openstack/nova/commit/501ff41</v>
      </c>
    </row>
    <row r="293">
      <c r="A293" s="16" t="s">
        <v>41</v>
      </c>
      <c r="B293" s="50" t="str">
        <f>IFERROR(HYPERLINK(VLOOKUP(A293,Internal_lists_bugs!$A$2:$C$73,3,FALSE()), VLOOKUP(A293,Internal_lists_bugs!$A$2:$C$73,3,FALSE())&amp;Char(10) &amp; Char(10) &amp; VLOOKUP(A293,Internal_lists_bugs!$A$2:$Z$73,26,FALSE())),"please select a BUG ID")</f>
        <v>https://bugs.launchpad.net/nova/+bug/1466390
/sqlalchemy/api.py</v>
      </c>
      <c r="C293" s="81" t="str">
        <f>IFERROR(VLOOKUP(A293,Internal_lists_bugs!$A$2:$I7981,9,FALSE()),"please select a BUG ID")</f>
        <v>https://review.opendev.org/c/openstack/nova/+/28880</v>
      </c>
      <c r="D293" s="114"/>
      <c r="E293" s="114"/>
      <c r="F293" s="115"/>
      <c r="G293" s="16" t="s">
        <v>1460</v>
      </c>
      <c r="H293" s="16" t="s">
        <v>1461</v>
      </c>
      <c r="I293" s="82"/>
      <c r="J293" s="92"/>
      <c r="K293" s="82"/>
      <c r="M293" s="114" t="str">
        <f>VLOOKUP(A293,'BIC_(C_Variables)'!$A$3:$AS$43,45,FALSE())</f>
        <v/>
      </c>
      <c r="N293" s="1"/>
      <c r="O293" s="1"/>
      <c r="P293" s="81" t="str">
        <f>IFERROR(VLOOKUP(A293,Internal_lists_bugs!$A$2:$G7981,7,FALSE()),"please select a BUG ID")</f>
        <v>https://opendev.org/openstack/nova/commit/501ff41</v>
      </c>
    </row>
    <row r="294">
      <c r="A294" s="16" t="s">
        <v>41</v>
      </c>
      <c r="B294" s="50" t="str">
        <f>IFERROR(HYPERLINK(VLOOKUP(A294,Internal_lists_bugs!$A$2:$C$73,3,FALSE()), VLOOKUP(A294,Internal_lists_bugs!$A$2:$C$73,3,FALSE())&amp;Char(10) &amp; Char(10) &amp; VLOOKUP(A294,Internal_lists_bugs!$A$2:$Z$73,26,FALSE())),"please select a BUG ID")</f>
        <v>https://bugs.launchpad.net/nova/+bug/1466390
/sqlalchemy/api.py</v>
      </c>
      <c r="C294" s="81" t="str">
        <f>IFERROR(VLOOKUP(A294,Internal_lists_bugs!$A$2:$I7981,9,FALSE()),"please select a BUG ID")</f>
        <v>https://review.opendev.org/c/openstack/nova/+/28880</v>
      </c>
      <c r="D294" s="114"/>
      <c r="E294" s="114"/>
      <c r="F294" s="115"/>
      <c r="G294" s="16" t="s">
        <v>1788</v>
      </c>
      <c r="H294" s="16" t="s">
        <v>1789</v>
      </c>
      <c r="I294" s="82"/>
      <c r="J294" s="92"/>
      <c r="K294" s="82"/>
      <c r="M294" s="114" t="str">
        <f>VLOOKUP(A294,'BIC_(C_Variables)'!$A$3:$AS$43,45,FALSE())</f>
        <v/>
      </c>
      <c r="N294" s="1"/>
      <c r="O294" s="1"/>
      <c r="P294" s="81" t="str">
        <f>IFERROR(VLOOKUP(A294,Internal_lists_bugs!$A$2:$G7981,7,FALSE()),"please select a BUG ID")</f>
        <v>https://opendev.org/openstack/nova/commit/501ff41</v>
      </c>
    </row>
    <row r="295">
      <c r="A295" s="16" t="s">
        <v>41</v>
      </c>
      <c r="B295" s="50" t="str">
        <f>IFERROR(HYPERLINK(VLOOKUP(A295,Internal_lists_bugs!$A$2:$C$73,3,FALSE()), VLOOKUP(A295,Internal_lists_bugs!$A$2:$C$73,3,FALSE())&amp;Char(10) &amp; Char(10) &amp; VLOOKUP(A295,Internal_lists_bugs!$A$2:$Z$73,26,FALSE())),"please select a BUG ID")</f>
        <v>https://bugs.launchpad.net/nova/+bug/1466390
/sqlalchemy/api.py</v>
      </c>
      <c r="C295" s="81" t="str">
        <f>IFERROR(VLOOKUP(A295,Internal_lists_bugs!$A$2:$I7981,9,FALSE()),"please select a BUG ID")</f>
        <v>https://review.opendev.org/c/openstack/nova/+/28880</v>
      </c>
      <c r="D295" s="114"/>
      <c r="E295" s="114"/>
      <c r="F295" s="115"/>
      <c r="G295" s="16" t="s">
        <v>1788</v>
      </c>
      <c r="H295" s="16" t="s">
        <v>1790</v>
      </c>
      <c r="I295" s="82"/>
      <c r="J295" s="92"/>
      <c r="K295" s="82"/>
      <c r="M295" s="114" t="str">
        <f>VLOOKUP(A295,'BIC_(C_Variables)'!$A$3:$AS$43,45,FALSE())</f>
        <v/>
      </c>
      <c r="N295" s="1"/>
      <c r="O295" s="1"/>
      <c r="P295" s="81" t="str">
        <f>IFERROR(VLOOKUP(A295,Internal_lists_bugs!$A$2:$G7981,7,FALSE()),"please select a BUG ID")</f>
        <v>https://opendev.org/openstack/nova/commit/501ff41</v>
      </c>
    </row>
    <row r="296">
      <c r="A296" s="16" t="s">
        <v>41</v>
      </c>
      <c r="B296" s="50" t="str">
        <f>IFERROR(HYPERLINK(VLOOKUP(A296,Internal_lists_bugs!$A$2:$C$73,3,FALSE()), VLOOKUP(A296,Internal_lists_bugs!$A$2:$C$73,3,FALSE())&amp;Char(10) &amp; Char(10) &amp; VLOOKUP(A296,Internal_lists_bugs!$A$2:$Z$73,26,FALSE())),"please select a BUG ID")</f>
        <v>https://bugs.launchpad.net/nova/+bug/1466390
/sqlalchemy/api.py</v>
      </c>
      <c r="C296" s="81" t="str">
        <f>IFERROR(VLOOKUP(A296,Internal_lists_bugs!$A$2:$I7981,9,FALSE()),"please select a BUG ID")</f>
        <v>https://review.opendev.org/c/openstack/nova/+/28880</v>
      </c>
      <c r="D296" s="114"/>
      <c r="E296" s="114"/>
      <c r="F296" s="115"/>
      <c r="G296" s="16" t="s">
        <v>1791</v>
      </c>
      <c r="H296" s="16" t="s">
        <v>1792</v>
      </c>
      <c r="I296" s="82"/>
      <c r="J296" s="92"/>
      <c r="K296" s="82"/>
      <c r="M296" s="114" t="str">
        <f>VLOOKUP(A296,'BIC_(C_Variables)'!$A$3:$AS$43,45,FALSE())</f>
        <v/>
      </c>
      <c r="N296" s="1"/>
      <c r="O296" s="1"/>
      <c r="P296" s="81" t="str">
        <f>IFERROR(VLOOKUP(A296,Internal_lists_bugs!$A$2:$G7981,7,FALSE()),"please select a BUG ID")</f>
        <v>https://opendev.org/openstack/nova/commit/501ff41</v>
      </c>
    </row>
    <row r="297">
      <c r="A297" s="16" t="s">
        <v>41</v>
      </c>
      <c r="B297" s="50" t="str">
        <f>IFERROR(HYPERLINK(VLOOKUP(A297,Internal_lists_bugs!$A$2:$C$73,3,FALSE()), VLOOKUP(A297,Internal_lists_bugs!$A$2:$C$73,3,FALSE())&amp;Char(10) &amp; Char(10) &amp; VLOOKUP(A297,Internal_lists_bugs!$A$2:$Z$73,26,FALSE())),"please select a BUG ID")</f>
        <v>https://bugs.launchpad.net/nova/+bug/1466390
/sqlalchemy/api.py</v>
      </c>
      <c r="C297" s="81" t="str">
        <f>IFERROR(VLOOKUP(A297,Internal_lists_bugs!$A$2:$I7981,9,FALSE()),"please select a BUG ID")</f>
        <v>https://review.opendev.org/c/openstack/nova/+/28880</v>
      </c>
      <c r="D297" s="114"/>
      <c r="E297" s="114"/>
      <c r="F297" s="115"/>
      <c r="G297" s="16" t="s">
        <v>1793</v>
      </c>
      <c r="H297" s="16" t="s">
        <v>1794</v>
      </c>
      <c r="I297" s="82"/>
      <c r="J297" s="92"/>
      <c r="K297" s="82"/>
      <c r="M297" s="114" t="str">
        <f>VLOOKUP(A297,'BIC_(C_Variables)'!$A$3:$AS$43,45,FALSE())</f>
        <v/>
      </c>
      <c r="N297" s="1"/>
      <c r="O297" s="1"/>
      <c r="P297" s="81" t="str">
        <f>IFERROR(VLOOKUP(A297,Internal_lists_bugs!$A$2:$G7981,7,FALSE()),"please select a BUG ID")</f>
        <v>https://opendev.org/openstack/nova/commit/501ff41</v>
      </c>
    </row>
    <row r="298">
      <c r="A298" s="16" t="s">
        <v>41</v>
      </c>
      <c r="B298" s="50" t="str">
        <f>IFERROR(HYPERLINK(VLOOKUP(A298,Internal_lists_bugs!$A$2:$C$73,3,FALSE()), VLOOKUP(A298,Internal_lists_bugs!$A$2:$C$73,3,FALSE())&amp;Char(10) &amp; Char(10) &amp; VLOOKUP(A298,Internal_lists_bugs!$A$2:$Z$73,26,FALSE())),"please select a BUG ID")</f>
        <v>https://bugs.launchpad.net/nova/+bug/1466390
/sqlalchemy/api.py</v>
      </c>
      <c r="C298" s="81" t="str">
        <f>IFERROR(VLOOKUP(A298,Internal_lists_bugs!$A$2:$I7981,9,FALSE()),"please select a BUG ID")</f>
        <v>https://review.opendev.org/c/openstack/nova/+/28880</v>
      </c>
      <c r="D298" s="114"/>
      <c r="E298" s="114"/>
      <c r="F298" s="115"/>
      <c r="G298" s="16" t="s">
        <v>1704</v>
      </c>
      <c r="H298" s="16" t="s">
        <v>1795</v>
      </c>
      <c r="I298" s="82"/>
      <c r="J298" s="92"/>
      <c r="K298" s="82"/>
      <c r="M298" s="114" t="str">
        <f>VLOOKUP(A298,'BIC_(C_Variables)'!$A$3:$AS$43,45,FALSE())</f>
        <v/>
      </c>
      <c r="N298" s="1"/>
      <c r="O298" s="1"/>
      <c r="P298" s="81" t="str">
        <f>IFERROR(VLOOKUP(A298,Internal_lists_bugs!$A$2:$G7981,7,FALSE()),"please select a BUG ID")</f>
        <v>https://opendev.org/openstack/nova/commit/501ff41</v>
      </c>
    </row>
    <row r="299">
      <c r="A299" s="16" t="s">
        <v>41</v>
      </c>
      <c r="B299" s="50" t="str">
        <f>IFERROR(HYPERLINK(VLOOKUP(A299,Internal_lists_bugs!$A$2:$C$73,3,FALSE()), VLOOKUP(A299,Internal_lists_bugs!$A$2:$C$73,3,FALSE())&amp;Char(10) &amp; Char(10) &amp; VLOOKUP(A299,Internal_lists_bugs!$A$2:$Z$73,26,FALSE())),"please select a BUG ID")</f>
        <v>https://bugs.launchpad.net/nova/+bug/1466390
/sqlalchemy/api.py</v>
      </c>
      <c r="C299" s="81" t="str">
        <f>IFERROR(VLOOKUP(A299,Internal_lists_bugs!$A$2:$I7981,9,FALSE()),"please select a BUG ID")</f>
        <v>https://review.opendev.org/c/openstack/nova/+/28880</v>
      </c>
      <c r="D299" s="114"/>
      <c r="E299" s="114"/>
      <c r="F299" s="115"/>
      <c r="G299" s="16" t="s">
        <v>1796</v>
      </c>
      <c r="H299" s="16" t="s">
        <v>1797</v>
      </c>
      <c r="I299" s="82"/>
      <c r="J299" s="92"/>
      <c r="K299" s="82"/>
      <c r="M299" s="114" t="str">
        <f>VLOOKUP(A299,'BIC_(C_Variables)'!$A$3:$AS$43,45,FALSE())</f>
        <v/>
      </c>
      <c r="N299" s="1"/>
      <c r="O299" s="1"/>
      <c r="P299" s="81" t="str">
        <f>IFERROR(VLOOKUP(A299,Internal_lists_bugs!$A$2:$G7981,7,FALSE()),"please select a BUG ID")</f>
        <v>https://opendev.org/openstack/nova/commit/501ff41</v>
      </c>
    </row>
    <row r="300">
      <c r="A300" s="16" t="s">
        <v>41</v>
      </c>
      <c r="B300" s="50" t="str">
        <f>IFERROR(HYPERLINK(VLOOKUP(A300,Internal_lists_bugs!$A$2:$C$73,3,FALSE()), VLOOKUP(A300,Internal_lists_bugs!$A$2:$C$73,3,FALSE())&amp;Char(10) &amp; Char(10) &amp; VLOOKUP(A300,Internal_lists_bugs!$A$2:$Z$73,26,FALSE())),"please select a BUG ID")</f>
        <v>https://bugs.launchpad.net/nova/+bug/1466390
/sqlalchemy/api.py</v>
      </c>
      <c r="C300" s="81" t="str">
        <f>IFERROR(VLOOKUP(A300,Internal_lists_bugs!$A$2:$I7981,9,FALSE()),"please select a BUG ID")</f>
        <v>https://review.opendev.org/c/openstack/nova/+/28880</v>
      </c>
      <c r="D300" s="114"/>
      <c r="E300" s="114"/>
      <c r="F300" s="115"/>
      <c r="G300" s="16" t="s">
        <v>1798</v>
      </c>
      <c r="H300" s="16" t="s">
        <v>1799</v>
      </c>
      <c r="I300" s="82"/>
      <c r="J300" s="92"/>
      <c r="K300" s="82"/>
      <c r="M300" s="114" t="str">
        <f>VLOOKUP(A300,'BIC_(C_Variables)'!$A$3:$AS$43,45,FALSE())</f>
        <v/>
      </c>
      <c r="N300" s="1"/>
      <c r="O300" s="1"/>
      <c r="P300" s="81" t="str">
        <f>IFERROR(VLOOKUP(A300,Internal_lists_bugs!$A$2:$G7981,7,FALSE()),"please select a BUG ID")</f>
        <v>https://opendev.org/openstack/nova/commit/501ff41</v>
      </c>
    </row>
    <row r="301">
      <c r="A301" s="16" t="s">
        <v>41</v>
      </c>
      <c r="B301" s="50" t="str">
        <f>IFERROR(HYPERLINK(VLOOKUP(A301,Internal_lists_bugs!$A$2:$C$73,3,FALSE()), VLOOKUP(A301,Internal_lists_bugs!$A$2:$C$73,3,FALSE())&amp;Char(10) &amp; Char(10) &amp; VLOOKUP(A301,Internal_lists_bugs!$A$2:$Z$73,26,FALSE())),"please select a BUG ID")</f>
        <v>https://bugs.launchpad.net/nova/+bug/1466390
/sqlalchemy/api.py</v>
      </c>
      <c r="C301" s="81" t="str">
        <f>IFERROR(VLOOKUP(A301,Internal_lists_bugs!$A$2:$I7981,9,FALSE()),"please select a BUG ID")</f>
        <v>https://review.opendev.org/c/openstack/nova/+/28880</v>
      </c>
      <c r="D301" s="114"/>
      <c r="E301" s="114"/>
      <c r="F301" s="115"/>
      <c r="G301" s="16" t="s">
        <v>1586</v>
      </c>
      <c r="H301" s="16" t="s">
        <v>1800</v>
      </c>
      <c r="I301" s="82"/>
      <c r="J301" s="92"/>
      <c r="K301" s="82"/>
      <c r="M301" s="114" t="str">
        <f>VLOOKUP(A301,'BIC_(C_Variables)'!$A$3:$AS$43,45,FALSE())</f>
        <v/>
      </c>
      <c r="N301" s="1"/>
      <c r="O301" s="1"/>
      <c r="P301" s="81" t="str">
        <f>IFERROR(VLOOKUP(A301,Internal_lists_bugs!$A$2:$G7981,7,FALSE()),"please select a BUG ID")</f>
        <v>https://opendev.org/openstack/nova/commit/501ff41</v>
      </c>
    </row>
    <row r="302">
      <c r="A302" s="16" t="s">
        <v>41</v>
      </c>
      <c r="B302" s="50" t="str">
        <f>IFERROR(HYPERLINK(VLOOKUP(A302,Internal_lists_bugs!$A$2:$C$73,3,FALSE()), VLOOKUP(A302,Internal_lists_bugs!$A$2:$C$73,3,FALSE())&amp;Char(10) &amp; Char(10) &amp; VLOOKUP(A302,Internal_lists_bugs!$A$2:$Z$73,26,FALSE())),"please select a BUG ID")</f>
        <v>https://bugs.launchpad.net/nova/+bug/1466390
/sqlalchemy/api.py</v>
      </c>
      <c r="C302" s="81" t="str">
        <f>IFERROR(VLOOKUP(A302,Internal_lists_bugs!$A$2:$I7981,9,FALSE()),"please select a BUG ID")</f>
        <v>https://review.opendev.org/c/openstack/nova/+/28880</v>
      </c>
      <c r="D302" s="114"/>
      <c r="E302" s="114"/>
      <c r="F302" s="115"/>
      <c r="G302" s="16" t="s">
        <v>1639</v>
      </c>
      <c r="H302" s="16" t="s">
        <v>1801</v>
      </c>
      <c r="I302" s="82"/>
      <c r="J302" s="92"/>
      <c r="K302" s="82"/>
      <c r="M302" s="114" t="str">
        <f>VLOOKUP(A302,'BIC_(C_Variables)'!$A$3:$AS$43,45,FALSE())</f>
        <v/>
      </c>
      <c r="N302" s="1"/>
      <c r="O302" s="1"/>
      <c r="P302" s="81" t="str">
        <f>IFERROR(VLOOKUP(A302,Internal_lists_bugs!$A$2:$G7981,7,FALSE()),"please select a BUG ID")</f>
        <v>https://opendev.org/openstack/nova/commit/501ff41</v>
      </c>
    </row>
    <row r="303">
      <c r="A303" s="16" t="s">
        <v>41</v>
      </c>
      <c r="B303" s="50" t="str">
        <f>IFERROR(HYPERLINK(VLOOKUP(A303,Internal_lists_bugs!$A$2:$C$73,3,FALSE()), VLOOKUP(A303,Internal_lists_bugs!$A$2:$C$73,3,FALSE())&amp;Char(10) &amp; Char(10) &amp; VLOOKUP(A303,Internal_lists_bugs!$A$2:$Z$73,26,FALSE())),"please select a BUG ID")</f>
        <v>https://bugs.launchpad.net/nova/+bug/1466390
/sqlalchemy/api.py</v>
      </c>
      <c r="C303" s="81" t="str">
        <f>IFERROR(VLOOKUP(A303,Internal_lists_bugs!$A$2:$I7981,9,FALSE()),"please select a BUG ID")</f>
        <v>https://review.opendev.org/c/openstack/nova/+/28880</v>
      </c>
      <c r="D303" s="114"/>
      <c r="E303" s="114"/>
      <c r="F303" s="115"/>
      <c r="G303" s="16" t="s">
        <v>1802</v>
      </c>
      <c r="H303" s="16" t="s">
        <v>1803</v>
      </c>
      <c r="I303" s="82"/>
      <c r="J303" s="92"/>
      <c r="K303" s="82"/>
      <c r="M303" s="114" t="str">
        <f>VLOOKUP(A303,'BIC_(C_Variables)'!$A$3:$AS$43,45,FALSE())</f>
        <v/>
      </c>
      <c r="N303" s="1"/>
      <c r="O303" s="1"/>
      <c r="P303" s="81" t="str">
        <f>IFERROR(VLOOKUP(A303,Internal_lists_bugs!$A$2:$G7981,7,FALSE()),"please select a BUG ID")</f>
        <v>https://opendev.org/openstack/nova/commit/501ff41</v>
      </c>
    </row>
    <row r="304">
      <c r="A304" s="16" t="s">
        <v>41</v>
      </c>
      <c r="B304" s="50" t="str">
        <f>IFERROR(HYPERLINK(VLOOKUP(A304,Internal_lists_bugs!$A$2:$C$73,3,FALSE()), VLOOKUP(A304,Internal_lists_bugs!$A$2:$C$73,3,FALSE())&amp;Char(10) &amp; Char(10) &amp; VLOOKUP(A304,Internal_lists_bugs!$A$2:$Z$73,26,FALSE())),"please select a BUG ID")</f>
        <v>https://bugs.launchpad.net/nova/+bug/1466390
/sqlalchemy/api.py</v>
      </c>
      <c r="C304" s="81" t="str">
        <f>IFERROR(VLOOKUP(A304,Internal_lists_bugs!$A$2:$I7981,9,FALSE()),"please select a BUG ID")</f>
        <v>https://review.opendev.org/c/openstack/nova/+/28880</v>
      </c>
      <c r="D304" s="114"/>
      <c r="E304" s="114"/>
      <c r="F304" s="115"/>
      <c r="G304" s="16" t="s">
        <v>1804</v>
      </c>
      <c r="H304" s="16" t="s">
        <v>1805</v>
      </c>
      <c r="I304" s="82"/>
      <c r="J304" s="92"/>
      <c r="K304" s="82"/>
      <c r="M304" s="114" t="str">
        <f>VLOOKUP(A304,'BIC_(C_Variables)'!$A$3:$AS$43,45,FALSE())</f>
        <v/>
      </c>
      <c r="N304" s="1"/>
      <c r="O304" s="1"/>
      <c r="P304" s="81" t="str">
        <f>IFERROR(VLOOKUP(A304,Internal_lists_bugs!$A$2:$G7981,7,FALSE()),"please select a BUG ID")</f>
        <v>https://opendev.org/openstack/nova/commit/501ff41</v>
      </c>
    </row>
    <row r="305">
      <c r="A305" s="16" t="s">
        <v>41</v>
      </c>
      <c r="B305" s="50" t="str">
        <f>IFERROR(HYPERLINK(VLOOKUP(A305,Internal_lists_bugs!$A$2:$C$73,3,FALSE()), VLOOKUP(A305,Internal_lists_bugs!$A$2:$C$73,3,FALSE())&amp;Char(10) &amp; Char(10) &amp; VLOOKUP(A305,Internal_lists_bugs!$A$2:$Z$73,26,FALSE())),"please select a BUG ID")</f>
        <v>https://bugs.launchpad.net/nova/+bug/1466390
/sqlalchemy/api.py</v>
      </c>
      <c r="C305" s="81" t="str">
        <f>IFERROR(VLOOKUP(A305,Internal_lists_bugs!$A$2:$I7981,9,FALSE()),"please select a BUG ID")</f>
        <v>https://review.opendev.org/c/openstack/nova/+/28880</v>
      </c>
      <c r="D305" s="114"/>
      <c r="E305" s="114"/>
      <c r="F305" s="115"/>
      <c r="G305" s="16" t="s">
        <v>1506</v>
      </c>
      <c r="H305" s="16" t="s">
        <v>1806</v>
      </c>
      <c r="I305" s="82"/>
      <c r="J305" s="92"/>
      <c r="K305" s="82"/>
      <c r="M305" s="114" t="str">
        <f>VLOOKUP(A305,'BIC_(C_Variables)'!$A$3:$AS$43,45,FALSE())</f>
        <v/>
      </c>
      <c r="N305" s="1"/>
      <c r="O305" s="1"/>
      <c r="P305" s="81" t="str">
        <f>IFERROR(VLOOKUP(A305,Internal_lists_bugs!$A$2:$G7981,7,FALSE()),"please select a BUG ID")</f>
        <v>https://opendev.org/openstack/nova/commit/501ff41</v>
      </c>
    </row>
    <row r="306">
      <c r="A306" s="16" t="s">
        <v>41</v>
      </c>
      <c r="B306" s="50" t="str">
        <f>IFERROR(HYPERLINK(VLOOKUP(A306,Internal_lists_bugs!$A$2:$C$73,3,FALSE()), VLOOKUP(A306,Internal_lists_bugs!$A$2:$C$73,3,FALSE())&amp;Char(10) &amp; Char(10) &amp; VLOOKUP(A306,Internal_lists_bugs!$A$2:$Z$73,26,FALSE())),"please select a BUG ID")</f>
        <v>https://bugs.launchpad.net/nova/+bug/1466390
/sqlalchemy/api.py</v>
      </c>
      <c r="C306" s="81" t="str">
        <f>IFERROR(VLOOKUP(A306,Internal_lists_bugs!$A$2:$I7981,9,FALSE()),"please select a BUG ID")</f>
        <v>https://review.opendev.org/c/openstack/nova/+/28880</v>
      </c>
      <c r="D306" s="114"/>
      <c r="E306" s="114"/>
      <c r="F306" s="115"/>
      <c r="G306" s="16" t="s">
        <v>1509</v>
      </c>
      <c r="H306" s="16" t="s">
        <v>1807</v>
      </c>
      <c r="I306" s="82"/>
      <c r="J306" s="92"/>
      <c r="K306" s="82"/>
      <c r="M306" s="114" t="str">
        <f>VLOOKUP(A306,'BIC_(C_Variables)'!$A$3:$AS$43,45,FALSE())</f>
        <v/>
      </c>
      <c r="N306" s="1"/>
      <c r="O306" s="1"/>
      <c r="P306" s="81" t="str">
        <f>IFERROR(VLOOKUP(A306,Internal_lists_bugs!$A$2:$G7981,7,FALSE()),"please select a BUG ID")</f>
        <v>https://opendev.org/openstack/nova/commit/501ff41</v>
      </c>
    </row>
    <row r="307">
      <c r="A307" s="16" t="s">
        <v>41</v>
      </c>
      <c r="B307" s="50" t="str">
        <f>IFERROR(HYPERLINK(VLOOKUP(A307,Internal_lists_bugs!$A$2:$C$73,3,FALSE()), VLOOKUP(A307,Internal_lists_bugs!$A$2:$C$73,3,FALSE())&amp;Char(10) &amp; Char(10) &amp; VLOOKUP(A307,Internal_lists_bugs!$A$2:$Z$73,26,FALSE())),"please select a BUG ID")</f>
        <v>https://bugs.launchpad.net/nova/+bug/1466390
/sqlalchemy/api.py</v>
      </c>
      <c r="C307" s="81" t="str">
        <f>IFERROR(VLOOKUP(A307,Internal_lists_bugs!$A$2:$I7981,9,FALSE()),"please select a BUG ID")</f>
        <v>https://review.opendev.org/c/openstack/nova/+/28880</v>
      </c>
      <c r="D307" s="114"/>
      <c r="E307" s="114"/>
      <c r="F307" s="115"/>
      <c r="G307" s="16" t="s">
        <v>1808</v>
      </c>
      <c r="H307" s="16" t="s">
        <v>1809</v>
      </c>
      <c r="I307" s="82"/>
      <c r="J307" s="92"/>
      <c r="K307" s="82"/>
      <c r="M307" s="114" t="str">
        <f>VLOOKUP(A307,'BIC_(C_Variables)'!$A$3:$AS$43,45,FALSE())</f>
        <v/>
      </c>
      <c r="N307" s="1"/>
      <c r="O307" s="1"/>
      <c r="P307" s="81" t="str">
        <f>IFERROR(VLOOKUP(A307,Internal_lists_bugs!$A$2:$G7981,7,FALSE()),"please select a BUG ID")</f>
        <v>https://opendev.org/openstack/nova/commit/501ff41</v>
      </c>
    </row>
    <row r="308">
      <c r="A308" s="16" t="s">
        <v>41</v>
      </c>
      <c r="B308" s="50" t="str">
        <f>IFERROR(HYPERLINK(VLOOKUP(A308,Internal_lists_bugs!$A$2:$C$73,3,FALSE()), VLOOKUP(A308,Internal_lists_bugs!$A$2:$C$73,3,FALSE())&amp;Char(10) &amp; Char(10) &amp; VLOOKUP(A308,Internal_lists_bugs!$A$2:$Z$73,26,FALSE())),"please select a BUG ID")</f>
        <v>https://bugs.launchpad.net/nova/+bug/1466390
/sqlalchemy/api.py</v>
      </c>
      <c r="C308" s="81" t="str">
        <f>IFERROR(VLOOKUP(A308,Internal_lists_bugs!$A$2:$I7981,9,FALSE()),"please select a BUG ID")</f>
        <v>https://review.opendev.org/c/openstack/nova/+/28880</v>
      </c>
      <c r="D308" s="114"/>
      <c r="E308" s="114"/>
      <c r="F308" s="115"/>
      <c r="G308" s="16" t="s">
        <v>1810</v>
      </c>
      <c r="H308" s="16" t="s">
        <v>1811</v>
      </c>
      <c r="I308" s="82"/>
      <c r="J308" s="92"/>
      <c r="K308" s="82"/>
      <c r="M308" s="114" t="str">
        <f>VLOOKUP(A308,'BIC_(C_Variables)'!$A$3:$AS$43,45,FALSE())</f>
        <v/>
      </c>
      <c r="N308" s="1"/>
      <c r="O308" s="1"/>
      <c r="P308" s="81" t="str">
        <f>IFERROR(VLOOKUP(A308,Internal_lists_bugs!$A$2:$G7981,7,FALSE()),"please select a BUG ID")</f>
        <v>https://opendev.org/openstack/nova/commit/501ff41</v>
      </c>
    </row>
    <row r="309">
      <c r="A309" s="16" t="s">
        <v>41</v>
      </c>
      <c r="B309" s="50" t="str">
        <f>IFERROR(HYPERLINK(VLOOKUP(A309,Internal_lists_bugs!$A$2:$C$73,3,FALSE()), VLOOKUP(A309,Internal_lists_bugs!$A$2:$C$73,3,FALSE())&amp;Char(10) &amp; Char(10) &amp; VLOOKUP(A309,Internal_lists_bugs!$A$2:$Z$73,26,FALSE())),"please select a BUG ID")</f>
        <v>https://bugs.launchpad.net/nova/+bug/1466390
/sqlalchemy/api.py</v>
      </c>
      <c r="C309" s="81" t="str">
        <f>IFERROR(VLOOKUP(A309,Internal_lists_bugs!$A$2:$I7981,9,FALSE()),"please select a BUG ID")</f>
        <v>https://review.opendev.org/c/openstack/nova/+/28880</v>
      </c>
      <c r="D309" s="114"/>
      <c r="E309" s="114"/>
      <c r="F309" s="115"/>
      <c r="G309" s="16" t="s">
        <v>1531</v>
      </c>
      <c r="H309" s="16" t="s">
        <v>1812</v>
      </c>
      <c r="I309" s="82"/>
      <c r="J309" s="92"/>
      <c r="K309" s="82"/>
      <c r="M309" s="114" t="str">
        <f>VLOOKUP(A309,'BIC_(C_Variables)'!$A$3:$AS$43,45,FALSE())</f>
        <v/>
      </c>
      <c r="N309" s="1"/>
      <c r="O309" s="1"/>
      <c r="P309" s="81" t="str">
        <f>IFERROR(VLOOKUP(A309,Internal_lists_bugs!$A$2:$G7981,7,FALSE()),"please select a BUG ID")</f>
        <v>https://opendev.org/openstack/nova/commit/501ff41</v>
      </c>
    </row>
    <row r="310">
      <c r="A310" s="16" t="s">
        <v>41</v>
      </c>
      <c r="B310" s="50" t="str">
        <f>IFERROR(HYPERLINK(VLOOKUP(A310,Internal_lists_bugs!$A$2:$C$73,3,FALSE()), VLOOKUP(A310,Internal_lists_bugs!$A$2:$C$73,3,FALSE())&amp;Char(10) &amp; Char(10) &amp; VLOOKUP(A310,Internal_lists_bugs!$A$2:$Z$73,26,FALSE())),"please select a BUG ID")</f>
        <v>https://bugs.launchpad.net/nova/+bug/1466390
/sqlalchemy/api.py</v>
      </c>
      <c r="C310" s="81" t="str">
        <f>IFERROR(VLOOKUP(A310,Internal_lists_bugs!$A$2:$I7981,9,FALSE()),"please select a BUG ID")</f>
        <v>https://review.opendev.org/c/openstack/nova/+/28880</v>
      </c>
      <c r="D310" s="114"/>
      <c r="E310" s="114"/>
      <c r="F310" s="115"/>
      <c r="G310" s="16" t="s">
        <v>1639</v>
      </c>
      <c r="H310" s="16" t="s">
        <v>1813</v>
      </c>
      <c r="I310" s="82"/>
      <c r="J310" s="92"/>
      <c r="K310" s="82"/>
      <c r="M310" s="114" t="str">
        <f>VLOOKUP(A310,'BIC_(C_Variables)'!$A$3:$AS$43,45,FALSE())</f>
        <v/>
      </c>
      <c r="N310" s="1"/>
      <c r="O310" s="1"/>
      <c r="P310" s="81" t="str">
        <f>IFERROR(VLOOKUP(A310,Internal_lists_bugs!$A$2:$G7981,7,FALSE()),"please select a BUG ID")</f>
        <v>https://opendev.org/openstack/nova/commit/501ff41</v>
      </c>
    </row>
    <row r="311">
      <c r="A311" s="16" t="s">
        <v>41</v>
      </c>
      <c r="B311" s="50" t="str">
        <f>IFERROR(HYPERLINK(VLOOKUP(A311,Internal_lists_bugs!$A$2:$C$73,3,FALSE()), VLOOKUP(A311,Internal_lists_bugs!$A$2:$C$73,3,FALSE())&amp;Char(10) &amp; Char(10) &amp; VLOOKUP(A311,Internal_lists_bugs!$A$2:$Z$73,26,FALSE())),"please select a BUG ID")</f>
        <v>https://bugs.launchpad.net/nova/+bug/1466390
/sqlalchemy/api.py</v>
      </c>
      <c r="C311" s="81" t="str">
        <f>IFERROR(VLOOKUP(A311,Internal_lists_bugs!$A$2:$I7981,9,FALSE()),"please select a BUG ID")</f>
        <v>https://review.opendev.org/c/openstack/nova/+/28880</v>
      </c>
      <c r="D311" s="114"/>
      <c r="E311" s="114"/>
      <c r="F311" s="115"/>
      <c r="G311" s="16" t="s">
        <v>1641</v>
      </c>
      <c r="H311" s="16" t="s">
        <v>1814</v>
      </c>
      <c r="I311" s="82"/>
      <c r="J311" s="92"/>
      <c r="K311" s="82"/>
      <c r="M311" s="114" t="str">
        <f>VLOOKUP(A311,'BIC_(C_Variables)'!$A$3:$AS$43,45,FALSE())</f>
        <v/>
      </c>
      <c r="N311" s="1"/>
      <c r="O311" s="1"/>
      <c r="P311" s="81" t="str">
        <f>IFERROR(VLOOKUP(A311,Internal_lists_bugs!$A$2:$G7981,7,FALSE()),"please select a BUG ID")</f>
        <v>https://opendev.org/openstack/nova/commit/501ff41</v>
      </c>
    </row>
    <row r="312">
      <c r="A312" s="16" t="s">
        <v>41</v>
      </c>
      <c r="B312" s="50" t="str">
        <f>IFERROR(HYPERLINK(VLOOKUP(A312,Internal_lists_bugs!$A$2:$C$73,3,FALSE()), VLOOKUP(A312,Internal_lists_bugs!$A$2:$C$73,3,FALSE())&amp;Char(10) &amp; Char(10) &amp; VLOOKUP(A312,Internal_lists_bugs!$A$2:$Z$73,26,FALSE())),"please select a BUG ID")</f>
        <v>https://bugs.launchpad.net/nova/+bug/1466390
/sqlalchemy/api.py</v>
      </c>
      <c r="C312" s="81" t="str">
        <f>IFERROR(VLOOKUP(A312,Internal_lists_bugs!$A$2:$I7981,9,FALSE()),"please select a BUG ID")</f>
        <v>https://review.opendev.org/c/openstack/nova/+/28880</v>
      </c>
      <c r="D312" s="114"/>
      <c r="E312" s="114"/>
      <c r="F312" s="115"/>
      <c r="G312" s="16" t="s">
        <v>1594</v>
      </c>
      <c r="H312" s="16" t="s">
        <v>1815</v>
      </c>
      <c r="I312" s="82"/>
      <c r="J312" s="92"/>
      <c r="K312" s="82"/>
      <c r="M312" s="114" t="str">
        <f>VLOOKUP(A312,'BIC_(C_Variables)'!$A$3:$AS$43,45,FALSE())</f>
        <v/>
      </c>
      <c r="N312" s="1"/>
      <c r="O312" s="1"/>
      <c r="P312" s="81" t="str">
        <f>IFERROR(VLOOKUP(A312,Internal_lists_bugs!$A$2:$G7981,7,FALSE()),"please select a BUG ID")</f>
        <v>https://opendev.org/openstack/nova/commit/501ff41</v>
      </c>
    </row>
    <row r="313">
      <c r="A313" s="16" t="s">
        <v>41</v>
      </c>
      <c r="B313" s="50" t="str">
        <f>IFERROR(HYPERLINK(VLOOKUP(A313,Internal_lists_bugs!$A$2:$C$73,3,FALSE()), VLOOKUP(A313,Internal_lists_bugs!$A$2:$C$73,3,FALSE())&amp;Char(10) &amp; Char(10) &amp; VLOOKUP(A313,Internal_lists_bugs!$A$2:$Z$73,26,FALSE())),"please select a BUG ID")</f>
        <v>https://bugs.launchpad.net/nova/+bug/1466390
/sqlalchemy/api.py</v>
      </c>
      <c r="C313" s="81" t="str">
        <f>IFERROR(VLOOKUP(A313,Internal_lists_bugs!$A$2:$I7981,9,FALSE()),"please select a BUG ID")</f>
        <v>https://review.opendev.org/c/openstack/nova/+/28880</v>
      </c>
      <c r="D313" s="114"/>
      <c r="E313" s="114"/>
      <c r="F313" s="115"/>
      <c r="G313" s="16" t="s">
        <v>1788</v>
      </c>
      <c r="H313" s="16" t="s">
        <v>1816</v>
      </c>
      <c r="I313" s="82"/>
      <c r="J313" s="92"/>
      <c r="K313" s="82"/>
      <c r="M313" s="114" t="str">
        <f>VLOOKUP(A313,'BIC_(C_Variables)'!$A$3:$AS$43,45,FALSE())</f>
        <v/>
      </c>
      <c r="N313" s="1"/>
      <c r="O313" s="1"/>
      <c r="P313" s="81" t="str">
        <f>IFERROR(VLOOKUP(A313,Internal_lists_bugs!$A$2:$G7981,7,FALSE()),"please select a BUG ID")</f>
        <v>https://opendev.org/openstack/nova/commit/501ff41</v>
      </c>
    </row>
    <row r="314">
      <c r="A314" s="16" t="s">
        <v>41</v>
      </c>
      <c r="B314" s="50" t="str">
        <f>IFERROR(HYPERLINK(VLOOKUP(A314,Internal_lists_bugs!$A$2:$C$73,3,FALSE()), VLOOKUP(A314,Internal_lists_bugs!$A$2:$C$73,3,FALSE())&amp;Char(10) &amp; Char(10) &amp; VLOOKUP(A314,Internal_lists_bugs!$A$2:$Z$73,26,FALSE())),"please select a BUG ID")</f>
        <v>https://bugs.launchpad.net/nova/+bug/1466390
/sqlalchemy/api.py</v>
      </c>
      <c r="C314" s="81" t="str">
        <f>IFERROR(VLOOKUP(A314,Internal_lists_bugs!$A$2:$I7981,9,FALSE()),"please select a BUG ID")</f>
        <v>https://review.opendev.org/c/openstack/nova/+/28880</v>
      </c>
      <c r="D314" s="114"/>
      <c r="E314" s="114"/>
      <c r="F314" s="115"/>
      <c r="G314" s="16" t="s">
        <v>1791</v>
      </c>
      <c r="H314" s="16" t="s">
        <v>1817</v>
      </c>
      <c r="I314" s="82"/>
      <c r="J314" s="92"/>
      <c r="K314" s="82"/>
      <c r="M314" s="114" t="str">
        <f>VLOOKUP(A314,'BIC_(C_Variables)'!$A$3:$AS$43,45,FALSE())</f>
        <v/>
      </c>
      <c r="N314" s="1"/>
      <c r="O314" s="1"/>
      <c r="P314" s="81" t="str">
        <f>IFERROR(VLOOKUP(A314,Internal_lists_bugs!$A$2:$G7981,7,FALSE()),"please select a BUG ID")</f>
        <v>https://opendev.org/openstack/nova/commit/501ff41</v>
      </c>
    </row>
    <row r="315">
      <c r="A315" s="16" t="s">
        <v>41</v>
      </c>
      <c r="B315" s="50" t="str">
        <f>IFERROR(HYPERLINK(VLOOKUP(A315,Internal_lists_bugs!$A$2:$C$73,3,FALSE()), VLOOKUP(A315,Internal_lists_bugs!$A$2:$C$73,3,FALSE())&amp;Char(10) &amp; Char(10) &amp; VLOOKUP(A315,Internal_lists_bugs!$A$2:$Z$73,26,FALSE())),"please select a BUG ID")</f>
        <v>https://bugs.launchpad.net/nova/+bug/1466390
/sqlalchemy/api.py</v>
      </c>
      <c r="C315" s="81" t="str">
        <f>IFERROR(VLOOKUP(A315,Internal_lists_bugs!$A$2:$I7981,9,FALSE()),"please select a BUG ID")</f>
        <v>https://review.opendev.org/c/openstack/nova/+/28880</v>
      </c>
      <c r="D315" s="114"/>
      <c r="E315" s="114"/>
      <c r="F315" s="115"/>
      <c r="G315" s="16" t="s">
        <v>1818</v>
      </c>
      <c r="H315" s="14" t="s">
        <v>1819</v>
      </c>
      <c r="I315" s="82"/>
      <c r="J315" s="92"/>
      <c r="K315" s="82"/>
      <c r="M315" s="114" t="str">
        <f>VLOOKUP(A315,'BIC_(C_Variables)'!$A$3:$AS$43,45,FALSE())</f>
        <v/>
      </c>
      <c r="N315" s="1"/>
      <c r="O315" s="1"/>
      <c r="P315" s="81" t="str">
        <f>IFERROR(VLOOKUP(A315,Internal_lists_bugs!$A$2:$G7981,7,FALSE()),"please select a BUG ID")</f>
        <v>https://opendev.org/openstack/nova/commit/501ff41</v>
      </c>
    </row>
    <row r="316">
      <c r="A316" s="16" t="s">
        <v>41</v>
      </c>
      <c r="B316" s="50" t="str">
        <f>IFERROR(HYPERLINK(VLOOKUP(A316,Internal_lists_bugs!$A$2:$C$73,3,FALSE()), VLOOKUP(A316,Internal_lists_bugs!$A$2:$C$73,3,FALSE())&amp;Char(10) &amp; Char(10) &amp; VLOOKUP(A316,Internal_lists_bugs!$A$2:$Z$73,26,FALSE())),"please select a BUG ID")</f>
        <v>https://bugs.launchpad.net/nova/+bug/1466390
/sqlalchemy/api.py</v>
      </c>
      <c r="C316" s="81" t="str">
        <f>IFERROR(VLOOKUP(A316,Internal_lists_bugs!$A$2:$I7981,9,FALSE()),"please select a BUG ID")</f>
        <v>https://review.opendev.org/c/openstack/nova/+/28880</v>
      </c>
      <c r="D316" s="114"/>
      <c r="E316" s="114"/>
      <c r="F316" s="115"/>
      <c r="G316" s="16" t="s">
        <v>1820</v>
      </c>
      <c r="H316" s="16" t="s">
        <v>1821</v>
      </c>
      <c r="I316" s="82"/>
      <c r="J316" s="92"/>
      <c r="K316" s="82"/>
      <c r="M316" s="114" t="str">
        <f>VLOOKUP(A316,'BIC_(C_Variables)'!$A$3:$AS$43,45,FALSE())</f>
        <v/>
      </c>
      <c r="N316" s="1"/>
      <c r="O316" s="1"/>
      <c r="P316" s="81" t="str">
        <f>IFERROR(VLOOKUP(A316,Internal_lists_bugs!$A$2:$G7981,7,FALSE()),"please select a BUG ID")</f>
        <v>https://opendev.org/openstack/nova/commit/501ff41</v>
      </c>
    </row>
    <row r="317">
      <c r="A317" s="16" t="s">
        <v>41</v>
      </c>
      <c r="B317" s="50" t="str">
        <f>IFERROR(HYPERLINK(VLOOKUP(A317,Internal_lists_bugs!$A$2:$C$73,3,FALSE()), VLOOKUP(A317,Internal_lists_bugs!$A$2:$C$73,3,FALSE())&amp;Char(10) &amp; Char(10) &amp; VLOOKUP(A317,Internal_lists_bugs!$A$2:$Z$73,26,FALSE())),"please select a BUG ID")</f>
        <v>https://bugs.launchpad.net/nova/+bug/1466390
/sqlalchemy/api.py</v>
      </c>
      <c r="C317" s="81" t="str">
        <f>IFERROR(VLOOKUP(A317,Internal_lists_bugs!$A$2:$I7981,9,FALSE()),"please select a BUG ID")</f>
        <v>https://review.opendev.org/c/openstack/nova/+/28880</v>
      </c>
      <c r="D317" s="114"/>
      <c r="E317" s="114"/>
      <c r="F317" s="115"/>
      <c r="G317" s="16" t="s">
        <v>1588</v>
      </c>
      <c r="H317" s="16" t="s">
        <v>1822</v>
      </c>
      <c r="I317" s="82"/>
      <c r="J317" s="92"/>
      <c r="K317" s="82"/>
      <c r="M317" s="114" t="str">
        <f>VLOOKUP(A317,'BIC_(C_Variables)'!$A$3:$AS$43,45,FALSE())</f>
        <v/>
      </c>
      <c r="N317" s="1"/>
      <c r="O317" s="1"/>
      <c r="P317" s="81" t="str">
        <f>IFERROR(VLOOKUP(A317,Internal_lists_bugs!$A$2:$G7981,7,FALSE()),"please select a BUG ID")</f>
        <v>https://opendev.org/openstack/nova/commit/501ff41</v>
      </c>
    </row>
    <row r="318">
      <c r="A318" s="16" t="s">
        <v>41</v>
      </c>
      <c r="B318" s="50" t="str">
        <f>IFERROR(HYPERLINK(VLOOKUP(A318,Internal_lists_bugs!$A$2:$C$73,3,FALSE()), VLOOKUP(A318,Internal_lists_bugs!$A$2:$C$73,3,FALSE())&amp;Char(10) &amp; Char(10) &amp; VLOOKUP(A318,Internal_lists_bugs!$A$2:$Z$73,26,FALSE())),"please select a BUG ID")</f>
        <v>https://bugs.launchpad.net/nova/+bug/1466390
/sqlalchemy/api.py</v>
      </c>
      <c r="C318" s="81" t="str">
        <f>IFERROR(VLOOKUP(A318,Internal_lists_bugs!$A$2:$I7981,9,FALSE()),"please select a BUG ID")</f>
        <v>https://review.opendev.org/c/openstack/nova/+/28880</v>
      </c>
      <c r="D318" s="114"/>
      <c r="E318" s="114"/>
      <c r="F318" s="115"/>
      <c r="G318" s="16" t="s">
        <v>1597</v>
      </c>
      <c r="H318" s="16" t="s">
        <v>1823</v>
      </c>
      <c r="I318" s="82"/>
      <c r="J318" s="92"/>
      <c r="K318" s="82"/>
      <c r="M318" s="114" t="str">
        <f>VLOOKUP(A318,'BIC_(C_Variables)'!$A$3:$AS$43,45,FALSE())</f>
        <v/>
      </c>
      <c r="N318" s="1"/>
      <c r="O318" s="1"/>
      <c r="P318" s="81" t="str">
        <f>IFERROR(VLOOKUP(A318,Internal_lists_bugs!$A$2:$G7981,7,FALSE()),"please select a BUG ID")</f>
        <v>https://opendev.org/openstack/nova/commit/501ff41</v>
      </c>
    </row>
    <row r="319">
      <c r="A319" s="16" t="s">
        <v>41</v>
      </c>
      <c r="B319" s="50" t="str">
        <f>IFERROR(HYPERLINK(VLOOKUP(A319,Internal_lists_bugs!$A$2:$C$73,3,FALSE()), VLOOKUP(A319,Internal_lists_bugs!$A$2:$C$73,3,FALSE())&amp;Char(10) &amp; Char(10) &amp; VLOOKUP(A319,Internal_lists_bugs!$A$2:$Z$73,26,FALSE())),"please select a BUG ID")</f>
        <v>https://bugs.launchpad.net/nova/+bug/1466390
/sqlalchemy/api.py</v>
      </c>
      <c r="C319" s="81" t="str">
        <f>IFERROR(VLOOKUP(A319,Internal_lists_bugs!$A$2:$I7981,9,FALSE()),"please select a BUG ID")</f>
        <v>https://review.opendev.org/c/openstack/nova/+/28880</v>
      </c>
      <c r="D319" s="114"/>
      <c r="E319" s="114"/>
      <c r="F319" s="115"/>
      <c r="G319" s="16" t="s">
        <v>1818</v>
      </c>
      <c r="H319" s="16" t="s">
        <v>1824</v>
      </c>
      <c r="I319" s="82"/>
      <c r="J319" s="92"/>
      <c r="K319" s="82"/>
      <c r="M319" s="114" t="str">
        <f>VLOOKUP(A319,'BIC_(C_Variables)'!$A$3:$AS$43,45,FALSE())</f>
        <v/>
      </c>
      <c r="N319" s="1"/>
      <c r="O319" s="1"/>
      <c r="P319" s="81" t="str">
        <f>IFERROR(VLOOKUP(A319,Internal_lists_bugs!$A$2:$G7981,7,FALSE()),"please select a BUG ID")</f>
        <v>https://opendev.org/openstack/nova/commit/501ff41</v>
      </c>
    </row>
    <row r="320">
      <c r="A320" s="16" t="s">
        <v>41</v>
      </c>
      <c r="B320" s="50" t="str">
        <f>IFERROR(HYPERLINK(VLOOKUP(A320,Internal_lists_bugs!$A$2:$C$73,3,FALSE()), VLOOKUP(A320,Internal_lists_bugs!$A$2:$C$73,3,FALSE())&amp;Char(10) &amp; Char(10) &amp; VLOOKUP(A320,Internal_lists_bugs!$A$2:$Z$73,26,FALSE())),"please select a BUG ID")</f>
        <v>https://bugs.launchpad.net/nova/+bug/1466390
/sqlalchemy/api.py</v>
      </c>
      <c r="C320" s="81" t="str">
        <f>IFERROR(VLOOKUP(A320,Internal_lists_bugs!$A$2:$I7981,9,FALSE()),"please select a BUG ID")</f>
        <v>https://review.opendev.org/c/openstack/nova/+/28880</v>
      </c>
      <c r="D320" s="114"/>
      <c r="E320" s="114"/>
      <c r="F320" s="115"/>
      <c r="G320" s="16" t="s">
        <v>1430</v>
      </c>
      <c r="H320" s="16" t="s">
        <v>1825</v>
      </c>
      <c r="I320" s="82"/>
      <c r="J320" s="92"/>
      <c r="K320" s="82"/>
      <c r="M320" s="114" t="str">
        <f>VLOOKUP(A320,'BIC_(C_Variables)'!$A$3:$AS$43,45,FALSE())</f>
        <v/>
      </c>
      <c r="N320" s="1"/>
      <c r="O320" s="1"/>
      <c r="P320" s="81" t="str">
        <f>IFERROR(VLOOKUP(A320,Internal_lists_bugs!$A$2:$G7981,7,FALSE()),"please select a BUG ID")</f>
        <v>https://opendev.org/openstack/nova/commit/501ff41</v>
      </c>
    </row>
    <row r="321">
      <c r="A321" s="16" t="s">
        <v>41</v>
      </c>
      <c r="B321" s="50" t="str">
        <f>IFERROR(HYPERLINK(VLOOKUP(A321,Internal_lists_bugs!$A$2:$C$73,3,FALSE()), VLOOKUP(A321,Internal_lists_bugs!$A$2:$C$73,3,FALSE())&amp;Char(10) &amp; Char(10) &amp; VLOOKUP(A321,Internal_lists_bugs!$A$2:$Z$73,26,FALSE())),"please select a BUG ID")</f>
        <v>https://bugs.launchpad.net/nova/+bug/1466390
/sqlalchemy/api.py</v>
      </c>
      <c r="C321" s="81" t="str">
        <f>IFERROR(VLOOKUP(A321,Internal_lists_bugs!$A$2:$I7981,9,FALSE()),"please select a BUG ID")</f>
        <v>https://review.opendev.org/c/openstack/nova/+/28880</v>
      </c>
      <c r="D321" s="114"/>
      <c r="E321" s="114"/>
      <c r="F321" s="115"/>
      <c r="G321" s="16" t="s">
        <v>1758</v>
      </c>
      <c r="H321" s="16" t="s">
        <v>1826</v>
      </c>
      <c r="I321" s="82"/>
      <c r="J321" s="92"/>
      <c r="K321" s="82"/>
      <c r="M321" s="114" t="str">
        <f>VLOOKUP(A321,'BIC_(C_Variables)'!$A$3:$AS$43,45,FALSE())</f>
        <v/>
      </c>
      <c r="N321" s="1"/>
      <c r="O321" s="1"/>
      <c r="P321" s="81" t="str">
        <f>IFERROR(VLOOKUP(A321,Internal_lists_bugs!$A$2:$G7981,7,FALSE()),"please select a BUG ID")</f>
        <v>https://opendev.org/openstack/nova/commit/501ff41</v>
      </c>
    </row>
    <row r="322">
      <c r="A322" s="16" t="s">
        <v>41</v>
      </c>
      <c r="B322" s="50" t="str">
        <f>IFERROR(HYPERLINK(VLOOKUP(A322,Internal_lists_bugs!$A$2:$C$73,3,FALSE()), VLOOKUP(A322,Internal_lists_bugs!$A$2:$C$73,3,FALSE())&amp;Char(10) &amp; Char(10) &amp; VLOOKUP(A322,Internal_lists_bugs!$A$2:$Z$73,26,FALSE())),"please select a BUG ID")</f>
        <v>https://bugs.launchpad.net/nova/+bug/1466390
/sqlalchemy/api.py</v>
      </c>
      <c r="C322" s="81" t="str">
        <f>IFERROR(VLOOKUP(A322,Internal_lists_bugs!$A$2:$I7981,9,FALSE()),"please select a BUG ID")</f>
        <v>https://review.opendev.org/c/openstack/nova/+/28880</v>
      </c>
      <c r="D322" s="114"/>
      <c r="E322" s="114"/>
      <c r="F322" s="115"/>
      <c r="G322" s="16" t="s">
        <v>1818</v>
      </c>
      <c r="H322" s="16" t="s">
        <v>1827</v>
      </c>
      <c r="I322" s="82"/>
      <c r="J322" s="92"/>
      <c r="K322" s="82"/>
      <c r="M322" s="114" t="str">
        <f>VLOOKUP(A322,'BIC_(C_Variables)'!$A$3:$AS$43,45,FALSE())</f>
        <v/>
      </c>
      <c r="N322" s="1"/>
      <c r="O322" s="1"/>
      <c r="P322" s="81" t="str">
        <f>IFERROR(VLOOKUP(A322,Internal_lists_bugs!$A$2:$G7981,7,FALSE()),"please select a BUG ID")</f>
        <v>https://opendev.org/openstack/nova/commit/501ff41</v>
      </c>
    </row>
    <row r="323">
      <c r="A323" s="16" t="s">
        <v>41</v>
      </c>
      <c r="B323" s="50" t="str">
        <f>IFERROR(HYPERLINK(VLOOKUP(A323,Internal_lists_bugs!$A$2:$C$73,3,FALSE()), VLOOKUP(A323,Internal_lists_bugs!$A$2:$C$73,3,FALSE())&amp;Char(10) &amp; Char(10) &amp; VLOOKUP(A323,Internal_lists_bugs!$A$2:$Z$73,26,FALSE())),"please select a BUG ID")</f>
        <v>https://bugs.launchpad.net/nova/+bug/1466390
/sqlalchemy/api.py</v>
      </c>
      <c r="C323" s="81" t="str">
        <f>IFERROR(VLOOKUP(A323,Internal_lists_bugs!$A$2:$I7981,9,FALSE()),"please select a BUG ID")</f>
        <v>https://review.opendev.org/c/openstack/nova/+/28880</v>
      </c>
      <c r="D323" s="114"/>
      <c r="E323" s="114"/>
      <c r="F323" s="115"/>
      <c r="G323" s="16" t="s">
        <v>1425</v>
      </c>
      <c r="H323" s="16" t="s">
        <v>1828</v>
      </c>
      <c r="I323" s="82"/>
      <c r="J323" s="92"/>
      <c r="K323" s="82"/>
      <c r="M323" s="114" t="str">
        <f>VLOOKUP(A323,'BIC_(C_Variables)'!$A$3:$AS$43,45,FALSE())</f>
        <v/>
      </c>
      <c r="N323" s="1"/>
      <c r="O323" s="1"/>
      <c r="P323" s="81" t="str">
        <f>IFERROR(VLOOKUP(A323,Internal_lists_bugs!$A$2:$G7981,7,FALSE()),"please select a BUG ID")</f>
        <v>https://opendev.org/openstack/nova/commit/501ff41</v>
      </c>
    </row>
    <row r="324">
      <c r="A324" s="16" t="s">
        <v>41</v>
      </c>
      <c r="B324" s="50" t="str">
        <f>IFERROR(HYPERLINK(VLOOKUP(A324,Internal_lists_bugs!$A$2:$C$73,3,FALSE()), VLOOKUP(A324,Internal_lists_bugs!$A$2:$C$73,3,FALSE())&amp;Char(10) &amp; Char(10) &amp; VLOOKUP(A324,Internal_lists_bugs!$A$2:$Z$73,26,FALSE())),"please select a BUG ID")</f>
        <v>https://bugs.launchpad.net/nova/+bug/1466390
/sqlalchemy/api.py</v>
      </c>
      <c r="C324" s="81" t="str">
        <f>IFERROR(VLOOKUP(A324,Internal_lists_bugs!$A$2:$I7981,9,FALSE()),"please select a BUG ID")</f>
        <v>https://review.opendev.org/c/openstack/nova/+/28880</v>
      </c>
      <c r="D324" s="114"/>
      <c r="E324" s="114"/>
      <c r="F324" s="115"/>
      <c r="G324" s="16" t="s">
        <v>1478</v>
      </c>
      <c r="H324" s="16" t="s">
        <v>1828</v>
      </c>
      <c r="I324" s="82"/>
      <c r="J324" s="92"/>
      <c r="K324" s="82"/>
      <c r="M324" s="114" t="str">
        <f>VLOOKUP(A324,'BIC_(C_Variables)'!$A$3:$AS$43,45,FALSE())</f>
        <v/>
      </c>
      <c r="N324" s="1"/>
      <c r="O324" s="1"/>
      <c r="P324" s="81" t="str">
        <f>IFERROR(VLOOKUP(A324,Internal_lists_bugs!$A$2:$G7981,7,FALSE()),"please select a BUG ID")</f>
        <v>https://opendev.org/openstack/nova/commit/501ff41</v>
      </c>
    </row>
    <row r="325">
      <c r="A325" s="16" t="s">
        <v>41</v>
      </c>
      <c r="B325" s="50" t="str">
        <f>IFERROR(HYPERLINK(VLOOKUP(A325,Internal_lists_bugs!$A$2:$C$73,3,FALSE()), VLOOKUP(A325,Internal_lists_bugs!$A$2:$C$73,3,FALSE())&amp;Char(10) &amp; Char(10) &amp; VLOOKUP(A325,Internal_lists_bugs!$A$2:$Z$73,26,FALSE())),"please select a BUG ID")</f>
        <v>https://bugs.launchpad.net/nova/+bug/1466390
/sqlalchemy/api.py</v>
      </c>
      <c r="C325" s="81" t="str">
        <f>IFERROR(VLOOKUP(A325,Internal_lists_bugs!$A$2:$I7981,9,FALSE()),"please select a BUG ID")</f>
        <v>https://review.opendev.org/c/openstack/nova/+/28880</v>
      </c>
      <c r="D325" s="114"/>
      <c r="E325" s="114"/>
      <c r="F325" s="115"/>
      <c r="G325" s="16" t="s">
        <v>1590</v>
      </c>
      <c r="H325" s="16" t="s">
        <v>1829</v>
      </c>
      <c r="I325" s="82"/>
      <c r="J325" s="92"/>
      <c r="K325" s="82"/>
      <c r="M325" s="114" t="str">
        <f>VLOOKUP(A325,'BIC_(C_Variables)'!$A$3:$AS$43,45,FALSE())</f>
        <v/>
      </c>
      <c r="N325" s="1"/>
      <c r="O325" s="1"/>
      <c r="P325" s="81" t="str">
        <f>IFERROR(VLOOKUP(A325,Internal_lists_bugs!$A$2:$G7981,7,FALSE()),"please select a BUG ID")</f>
        <v>https://opendev.org/openstack/nova/commit/501ff41</v>
      </c>
    </row>
    <row r="326">
      <c r="A326" s="16" t="s">
        <v>41</v>
      </c>
      <c r="B326" s="50" t="str">
        <f>IFERROR(HYPERLINK(VLOOKUP(A326,Internal_lists_bugs!$A$2:$C$73,3,FALSE()), VLOOKUP(A326,Internal_lists_bugs!$A$2:$C$73,3,FALSE())&amp;Char(10) &amp; Char(10) &amp; VLOOKUP(A326,Internal_lists_bugs!$A$2:$Z$73,26,FALSE())),"please select a BUG ID")</f>
        <v>https://bugs.launchpad.net/nova/+bug/1466390
/sqlalchemy/api.py</v>
      </c>
      <c r="C326" s="81" t="str">
        <f>IFERROR(VLOOKUP(A326,Internal_lists_bugs!$A$2:$I7981,9,FALSE()),"please select a BUG ID")</f>
        <v>https://review.opendev.org/c/openstack/nova/+/28880</v>
      </c>
      <c r="D326" s="114"/>
      <c r="E326" s="114"/>
      <c r="F326" s="115"/>
      <c r="G326" s="16" t="s">
        <v>1761</v>
      </c>
      <c r="H326" s="16" t="s">
        <v>1830</v>
      </c>
      <c r="I326" s="82"/>
      <c r="J326" s="92"/>
      <c r="K326" s="82"/>
      <c r="M326" s="114" t="str">
        <f>VLOOKUP(A326,'BIC_(C_Variables)'!$A$3:$AS$43,45,FALSE())</f>
        <v/>
      </c>
      <c r="N326" s="1"/>
      <c r="O326" s="1"/>
      <c r="P326" s="81" t="str">
        <f>IFERROR(VLOOKUP(A326,Internal_lists_bugs!$A$2:$G7981,7,FALSE()),"please select a BUG ID")</f>
        <v>https://opendev.org/openstack/nova/commit/501ff41</v>
      </c>
    </row>
    <row r="327">
      <c r="A327" s="16" t="s">
        <v>41</v>
      </c>
      <c r="B327" s="50" t="str">
        <f>IFERROR(HYPERLINK(VLOOKUP(A327,Internal_lists_bugs!$A$2:$C$73,3,FALSE()), VLOOKUP(A327,Internal_lists_bugs!$A$2:$C$73,3,FALSE())&amp;Char(10) &amp; Char(10) &amp; VLOOKUP(A327,Internal_lists_bugs!$A$2:$Z$73,26,FALSE())),"please select a BUG ID")</f>
        <v>https://bugs.launchpad.net/nova/+bug/1466390
/sqlalchemy/api.py</v>
      </c>
      <c r="C327" s="81" t="str">
        <f>IFERROR(VLOOKUP(A327,Internal_lists_bugs!$A$2:$I7981,9,FALSE()),"please select a BUG ID")</f>
        <v>https://review.opendev.org/c/openstack/nova/+/28880</v>
      </c>
      <c r="D327" s="114"/>
      <c r="E327" s="114"/>
      <c r="F327" s="115"/>
      <c r="G327" s="16" t="s">
        <v>1831</v>
      </c>
      <c r="H327" s="16" t="s">
        <v>1832</v>
      </c>
      <c r="I327" s="82"/>
      <c r="J327" s="92"/>
      <c r="K327" s="82"/>
      <c r="M327" s="114" t="str">
        <f>VLOOKUP(A327,'BIC_(C_Variables)'!$A$3:$AS$43,45,FALSE())</f>
        <v/>
      </c>
      <c r="N327" s="1"/>
      <c r="O327" s="1"/>
      <c r="P327" s="81" t="str">
        <f>IFERROR(VLOOKUP(A327,Internal_lists_bugs!$A$2:$G7981,7,FALSE()),"please select a BUG ID")</f>
        <v>https://opendev.org/openstack/nova/commit/501ff41</v>
      </c>
    </row>
    <row r="328">
      <c r="A328" s="16" t="s">
        <v>41</v>
      </c>
      <c r="B328" s="50" t="str">
        <f>IFERROR(HYPERLINK(VLOOKUP(A328,Internal_lists_bugs!$A$2:$C$73,3,FALSE()), VLOOKUP(A328,Internal_lists_bugs!$A$2:$C$73,3,FALSE())&amp;Char(10) &amp; Char(10) &amp; VLOOKUP(A328,Internal_lists_bugs!$A$2:$Z$73,26,FALSE())),"please select a BUG ID")</f>
        <v>https://bugs.launchpad.net/nova/+bug/1466390
/sqlalchemy/api.py</v>
      </c>
      <c r="C328" s="81" t="str">
        <f>IFERROR(VLOOKUP(A328,Internal_lists_bugs!$A$2:$I7981,9,FALSE()),"please select a BUG ID")</f>
        <v>https://review.opendev.org/c/openstack/nova/+/28880</v>
      </c>
      <c r="D328" s="114"/>
      <c r="E328" s="114"/>
      <c r="F328" s="115"/>
      <c r="G328" s="16" t="s">
        <v>1639</v>
      </c>
      <c r="H328" s="16" t="s">
        <v>1833</v>
      </c>
      <c r="I328" s="82"/>
      <c r="J328" s="92"/>
      <c r="K328" s="82"/>
      <c r="M328" s="114" t="str">
        <f>VLOOKUP(A328,'BIC_(C_Variables)'!$A$3:$AS$43,45,FALSE())</f>
        <v/>
      </c>
      <c r="N328" s="1"/>
      <c r="O328" s="1"/>
      <c r="P328" s="81" t="str">
        <f>IFERROR(VLOOKUP(A328,Internal_lists_bugs!$A$2:$G7981,7,FALSE()),"please select a BUG ID")</f>
        <v>https://opendev.org/openstack/nova/commit/501ff41</v>
      </c>
    </row>
    <row r="329">
      <c r="A329" s="16" t="s">
        <v>41</v>
      </c>
      <c r="B329" s="50" t="str">
        <f>IFERROR(HYPERLINK(VLOOKUP(A329,Internal_lists_bugs!$A$2:$C$73,3,FALSE()), VLOOKUP(A329,Internal_lists_bugs!$A$2:$C$73,3,FALSE())&amp;Char(10) &amp; Char(10) &amp; VLOOKUP(A329,Internal_lists_bugs!$A$2:$Z$73,26,FALSE())),"please select a BUG ID")</f>
        <v>https://bugs.launchpad.net/nova/+bug/1466390
/sqlalchemy/api.py</v>
      </c>
      <c r="C329" s="81" t="str">
        <f>IFERROR(VLOOKUP(A329,Internal_lists_bugs!$A$2:$I7981,9,FALSE()),"please select a BUG ID")</f>
        <v>https://review.opendev.org/c/openstack/nova/+/28880</v>
      </c>
      <c r="D329" s="114"/>
      <c r="E329" s="114"/>
      <c r="F329" s="115"/>
      <c r="G329" s="16" t="s">
        <v>1641</v>
      </c>
      <c r="H329" s="16" t="s">
        <v>1834</v>
      </c>
      <c r="I329" s="82"/>
      <c r="J329" s="92"/>
      <c r="K329" s="82"/>
      <c r="M329" s="114" t="str">
        <f>VLOOKUP(A329,'BIC_(C_Variables)'!$A$3:$AS$43,45,FALSE())</f>
        <v/>
      </c>
      <c r="N329" s="1"/>
      <c r="O329" s="1"/>
      <c r="P329" s="81" t="str">
        <f>IFERROR(VLOOKUP(A329,Internal_lists_bugs!$A$2:$G7981,7,FALSE()),"please select a BUG ID")</f>
        <v>https://opendev.org/openstack/nova/commit/501ff41</v>
      </c>
    </row>
    <row r="330">
      <c r="A330" s="16" t="s">
        <v>41</v>
      </c>
      <c r="B330" s="50" t="str">
        <f>IFERROR(HYPERLINK(VLOOKUP(A330,Internal_lists_bugs!$A$2:$C$73,3,FALSE()), VLOOKUP(A330,Internal_lists_bugs!$A$2:$C$73,3,FALSE())&amp;Char(10) &amp; Char(10) &amp; VLOOKUP(A330,Internal_lists_bugs!$A$2:$Z$73,26,FALSE())),"please select a BUG ID")</f>
        <v>https://bugs.launchpad.net/nova/+bug/1466390
/sqlalchemy/api.py</v>
      </c>
      <c r="C330" s="81" t="str">
        <f>IFERROR(VLOOKUP(A330,Internal_lists_bugs!$A$2:$I7981,9,FALSE()),"please select a BUG ID")</f>
        <v>https://review.opendev.org/c/openstack/nova/+/28880</v>
      </c>
      <c r="D330" s="114"/>
      <c r="E330" s="114"/>
      <c r="F330" s="115"/>
      <c r="G330" s="16" t="s">
        <v>1835</v>
      </c>
      <c r="H330" s="16" t="s">
        <v>1836</v>
      </c>
      <c r="I330" s="82"/>
      <c r="J330" s="92"/>
      <c r="K330" s="82"/>
      <c r="M330" s="114" t="str">
        <f>VLOOKUP(A330,'BIC_(C_Variables)'!$A$3:$AS$43,45,FALSE())</f>
        <v/>
      </c>
      <c r="N330" s="1"/>
      <c r="O330" s="1"/>
      <c r="P330" s="81" t="str">
        <f>IFERROR(VLOOKUP(A330,Internal_lists_bugs!$A$2:$G7981,7,FALSE()),"please select a BUG ID")</f>
        <v>https://opendev.org/openstack/nova/commit/501ff41</v>
      </c>
    </row>
    <row r="331">
      <c r="A331" s="16" t="s">
        <v>41</v>
      </c>
      <c r="B331" s="50" t="str">
        <f>IFERROR(HYPERLINK(VLOOKUP(A331,Internal_lists_bugs!$A$2:$C$73,3,FALSE()), VLOOKUP(A331,Internal_lists_bugs!$A$2:$C$73,3,FALSE())&amp;Char(10) &amp; Char(10) &amp; VLOOKUP(A331,Internal_lists_bugs!$A$2:$Z$73,26,FALSE())),"please select a BUG ID")</f>
        <v>https://bugs.launchpad.net/nova/+bug/1466390
/sqlalchemy/api.py</v>
      </c>
      <c r="C331" s="81" t="str">
        <f>IFERROR(VLOOKUP(A331,Internal_lists_bugs!$A$2:$I7981,9,FALSE()),"please select a BUG ID")</f>
        <v>https://review.opendev.org/c/openstack/nova/+/28880</v>
      </c>
      <c r="D331" s="114"/>
      <c r="E331" s="114"/>
      <c r="F331" s="115"/>
      <c r="G331" s="16" t="s">
        <v>1506</v>
      </c>
      <c r="H331" s="16" t="s">
        <v>1837</v>
      </c>
      <c r="I331" s="82"/>
      <c r="J331" s="92"/>
      <c r="K331" s="82"/>
      <c r="M331" s="114" t="str">
        <f>VLOOKUP(A331,'BIC_(C_Variables)'!$A$3:$AS$43,45,FALSE())</f>
        <v/>
      </c>
      <c r="N331" s="1"/>
      <c r="O331" s="1"/>
      <c r="P331" s="81" t="str">
        <f>IFERROR(VLOOKUP(A331,Internal_lists_bugs!$A$2:$G7981,7,FALSE()),"please select a BUG ID")</f>
        <v>https://opendev.org/openstack/nova/commit/501ff41</v>
      </c>
    </row>
    <row r="332">
      <c r="A332" s="16" t="s">
        <v>41</v>
      </c>
      <c r="B332" s="50" t="str">
        <f>IFERROR(HYPERLINK(VLOOKUP(A332,Internal_lists_bugs!$A$2:$C$73,3,FALSE()), VLOOKUP(A332,Internal_lists_bugs!$A$2:$C$73,3,FALSE())&amp;Char(10) &amp; Char(10) &amp; VLOOKUP(A332,Internal_lists_bugs!$A$2:$Z$73,26,FALSE())),"please select a BUG ID")</f>
        <v>https://bugs.launchpad.net/nova/+bug/1466390
/sqlalchemy/api.py</v>
      </c>
      <c r="C332" s="81" t="str">
        <f>IFERROR(VLOOKUP(A332,Internal_lists_bugs!$A$2:$I7981,9,FALSE()),"please select a BUG ID")</f>
        <v>https://review.opendev.org/c/openstack/nova/+/28880</v>
      </c>
      <c r="D332" s="114"/>
      <c r="E332" s="114"/>
      <c r="F332" s="115"/>
      <c r="G332" s="16" t="s">
        <v>1838</v>
      </c>
      <c r="H332" s="16" t="s">
        <v>1839</v>
      </c>
      <c r="I332" s="82"/>
      <c r="J332" s="92"/>
      <c r="K332" s="82"/>
      <c r="M332" s="114" t="str">
        <f>VLOOKUP(A332,'BIC_(C_Variables)'!$A$3:$AS$43,45,FALSE())</f>
        <v/>
      </c>
      <c r="N332" s="1"/>
      <c r="O332" s="1"/>
      <c r="P332" s="81" t="str">
        <f>IFERROR(VLOOKUP(A332,Internal_lists_bugs!$A$2:$G7981,7,FALSE()),"please select a BUG ID")</f>
        <v>https://opendev.org/openstack/nova/commit/501ff41</v>
      </c>
    </row>
    <row r="333">
      <c r="A333" s="16" t="s">
        <v>41</v>
      </c>
      <c r="B333" s="50" t="str">
        <f>IFERROR(HYPERLINK(VLOOKUP(A333,Internal_lists_bugs!$A$2:$C$73,3,FALSE()), VLOOKUP(A333,Internal_lists_bugs!$A$2:$C$73,3,FALSE())&amp;Char(10) &amp; Char(10) &amp; VLOOKUP(A333,Internal_lists_bugs!$A$2:$Z$73,26,FALSE())),"please select a BUG ID")</f>
        <v>https://bugs.launchpad.net/nova/+bug/1466390
/sqlalchemy/api.py</v>
      </c>
      <c r="C333" s="81" t="str">
        <f>IFERROR(VLOOKUP(A333,Internal_lists_bugs!$A$2:$I7981,9,FALSE()),"please select a BUG ID")</f>
        <v>https://review.opendev.org/c/openstack/nova/+/28880</v>
      </c>
      <c r="D333" s="114"/>
      <c r="E333" s="114"/>
      <c r="F333" s="115"/>
      <c r="G333" s="16" t="s">
        <v>1840</v>
      </c>
      <c r="H333" s="16" t="s">
        <v>1841</v>
      </c>
      <c r="I333" s="82"/>
      <c r="J333" s="92"/>
      <c r="K333" s="82"/>
      <c r="M333" s="114" t="str">
        <f>VLOOKUP(A333,'BIC_(C_Variables)'!$A$3:$AS$43,45,FALSE())</f>
        <v/>
      </c>
      <c r="N333" s="1"/>
      <c r="O333" s="1"/>
      <c r="P333" s="81" t="str">
        <f>IFERROR(VLOOKUP(A333,Internal_lists_bugs!$A$2:$G7981,7,FALSE()),"please select a BUG ID")</f>
        <v>https://opendev.org/openstack/nova/commit/501ff41</v>
      </c>
    </row>
    <row r="334">
      <c r="A334" s="16" t="s">
        <v>41</v>
      </c>
      <c r="B334" s="50" t="str">
        <f>IFERROR(HYPERLINK(VLOOKUP(A334,Internal_lists_bugs!$A$2:$C$73,3,FALSE()), VLOOKUP(A334,Internal_lists_bugs!$A$2:$C$73,3,FALSE())&amp;Char(10) &amp; Char(10) &amp; VLOOKUP(A334,Internal_lists_bugs!$A$2:$Z$73,26,FALSE())),"please select a BUG ID")</f>
        <v>https://bugs.launchpad.net/nova/+bug/1466390
/sqlalchemy/api.py</v>
      </c>
      <c r="C334" s="81" t="str">
        <f>IFERROR(VLOOKUP(A334,Internal_lists_bugs!$A$2:$I7981,9,FALSE()),"please select a BUG ID")</f>
        <v>https://review.opendev.org/c/openstack/nova/+/28880</v>
      </c>
      <c r="D334" s="114"/>
      <c r="E334" s="114"/>
      <c r="F334" s="115"/>
      <c r="G334" s="16" t="s">
        <v>1842</v>
      </c>
      <c r="H334" s="16" t="s">
        <v>1843</v>
      </c>
      <c r="I334" s="82"/>
      <c r="J334" s="92"/>
      <c r="K334" s="82"/>
      <c r="M334" s="114" t="str">
        <f>VLOOKUP(A334,'BIC_(C_Variables)'!$A$3:$AS$43,45,FALSE())</f>
        <v/>
      </c>
      <c r="N334" s="1"/>
      <c r="O334" s="1"/>
      <c r="P334" s="81" t="str">
        <f>IFERROR(VLOOKUP(A334,Internal_lists_bugs!$A$2:$G7981,7,FALSE()),"please select a BUG ID")</f>
        <v>https://opendev.org/openstack/nova/commit/501ff41</v>
      </c>
    </row>
    <row r="335">
      <c r="A335" s="16" t="s">
        <v>41</v>
      </c>
      <c r="B335" s="50" t="str">
        <f>IFERROR(HYPERLINK(VLOOKUP(A335,Internal_lists_bugs!$A$2:$C$73,3,FALSE()), VLOOKUP(A335,Internal_lists_bugs!$A$2:$C$73,3,FALSE())&amp;Char(10) &amp; Char(10) &amp; VLOOKUP(A335,Internal_lists_bugs!$A$2:$Z$73,26,FALSE())),"please select a BUG ID")</f>
        <v>https://bugs.launchpad.net/nova/+bug/1466390
/sqlalchemy/api.py</v>
      </c>
      <c r="C335" s="81" t="str">
        <f>IFERROR(VLOOKUP(A335,Internal_lists_bugs!$A$2:$I7981,9,FALSE()),"please select a BUG ID")</f>
        <v>https://review.opendev.org/c/openstack/nova/+/28880</v>
      </c>
      <c r="D335" s="114"/>
      <c r="E335" s="114"/>
      <c r="F335" s="115"/>
      <c r="G335" s="16" t="s">
        <v>1844</v>
      </c>
      <c r="H335" s="16" t="s">
        <v>1845</v>
      </c>
      <c r="I335" s="82"/>
      <c r="J335" s="92"/>
      <c r="K335" s="82"/>
      <c r="M335" s="114" t="str">
        <f>VLOOKUP(A335,'BIC_(C_Variables)'!$A$3:$AS$43,45,FALSE())</f>
        <v/>
      </c>
      <c r="N335" s="1"/>
      <c r="O335" s="1"/>
      <c r="P335" s="81" t="str">
        <f>IFERROR(VLOOKUP(A335,Internal_lists_bugs!$A$2:$G7981,7,FALSE()),"please select a BUG ID")</f>
        <v>https://opendev.org/openstack/nova/commit/501ff41</v>
      </c>
    </row>
    <row r="336">
      <c r="A336" s="16" t="s">
        <v>41</v>
      </c>
      <c r="B336" s="50" t="str">
        <f>IFERROR(HYPERLINK(VLOOKUP(A336,Internal_lists_bugs!$A$2:$C$73,3,FALSE()), VLOOKUP(A336,Internal_lists_bugs!$A$2:$C$73,3,FALSE())&amp;Char(10) &amp; Char(10) &amp; VLOOKUP(A336,Internal_lists_bugs!$A$2:$Z$73,26,FALSE())),"please select a BUG ID")</f>
        <v>https://bugs.launchpad.net/nova/+bug/1466390
/sqlalchemy/api.py</v>
      </c>
      <c r="C336" s="81" t="str">
        <f>IFERROR(VLOOKUP(A336,Internal_lists_bugs!$A$2:$I7981,9,FALSE()),"please select a BUG ID")</f>
        <v>https://review.opendev.org/c/openstack/nova/+/28880</v>
      </c>
      <c r="D336" s="114"/>
      <c r="E336" s="114"/>
      <c r="F336" s="115"/>
      <c r="G336" s="16" t="s">
        <v>1846</v>
      </c>
      <c r="H336" s="16" t="s">
        <v>1847</v>
      </c>
      <c r="I336" s="82"/>
      <c r="J336" s="92"/>
      <c r="K336" s="82"/>
      <c r="M336" s="114" t="str">
        <f>VLOOKUP(A336,'BIC_(C_Variables)'!$A$3:$AS$43,45,FALSE())</f>
        <v/>
      </c>
      <c r="N336" s="1"/>
      <c r="O336" s="1"/>
      <c r="P336" s="81" t="str">
        <f>IFERROR(VLOOKUP(A336,Internal_lists_bugs!$A$2:$G7981,7,FALSE()),"please select a BUG ID")</f>
        <v>https://opendev.org/openstack/nova/commit/501ff41</v>
      </c>
    </row>
    <row r="337">
      <c r="A337" s="16" t="s">
        <v>41</v>
      </c>
      <c r="B337" s="50" t="str">
        <f>IFERROR(HYPERLINK(VLOOKUP(A337,Internal_lists_bugs!$A$2:$C$73,3,FALSE()), VLOOKUP(A337,Internal_lists_bugs!$A$2:$C$73,3,FALSE())&amp;Char(10) &amp; Char(10) &amp; VLOOKUP(A337,Internal_lists_bugs!$A$2:$Z$73,26,FALSE())),"please select a BUG ID")</f>
        <v>https://bugs.launchpad.net/nova/+bug/1466390
/sqlalchemy/api.py</v>
      </c>
      <c r="C337" s="81" t="str">
        <f>IFERROR(VLOOKUP(A337,Internal_lists_bugs!$A$2:$I7981,9,FALSE()),"please select a BUG ID")</f>
        <v>https://review.opendev.org/c/openstack/nova/+/28880</v>
      </c>
      <c r="D337" s="114"/>
      <c r="E337" s="114"/>
      <c r="F337" s="115"/>
      <c r="G337" s="16" t="s">
        <v>1848</v>
      </c>
      <c r="H337" s="16" t="s">
        <v>1849</v>
      </c>
      <c r="I337" s="82"/>
      <c r="J337" s="92"/>
      <c r="K337" s="82"/>
      <c r="M337" s="114" t="str">
        <f>VLOOKUP(A337,'BIC_(C_Variables)'!$A$3:$AS$43,45,FALSE())</f>
        <v/>
      </c>
      <c r="N337" s="1"/>
      <c r="O337" s="1"/>
      <c r="P337" s="81" t="str">
        <f>IFERROR(VLOOKUP(A337,Internal_lists_bugs!$A$2:$G7981,7,FALSE()),"please select a BUG ID")</f>
        <v>https://opendev.org/openstack/nova/commit/501ff41</v>
      </c>
    </row>
    <row r="338">
      <c r="A338" s="16" t="s">
        <v>41</v>
      </c>
      <c r="B338" s="50" t="str">
        <f>IFERROR(HYPERLINK(VLOOKUP(A338,Internal_lists_bugs!$A$2:$C$73,3,FALSE()), VLOOKUP(A338,Internal_lists_bugs!$A$2:$C$73,3,FALSE())&amp;Char(10) &amp; Char(10) &amp; VLOOKUP(A338,Internal_lists_bugs!$A$2:$Z$73,26,FALSE())),"please select a BUG ID")</f>
        <v>https://bugs.launchpad.net/nova/+bug/1466390
/sqlalchemy/api.py</v>
      </c>
      <c r="C338" s="81" t="str">
        <f>IFERROR(VLOOKUP(A338,Internal_lists_bugs!$A$2:$I7981,9,FALSE()),"please select a BUG ID")</f>
        <v>https://review.opendev.org/c/openstack/nova/+/28880</v>
      </c>
      <c r="D338" s="114"/>
      <c r="E338" s="114"/>
      <c r="F338" s="115"/>
      <c r="G338" s="16" t="s">
        <v>1850</v>
      </c>
      <c r="H338" s="16" t="s">
        <v>1851</v>
      </c>
      <c r="I338" s="82"/>
      <c r="J338" s="92"/>
      <c r="K338" s="82"/>
      <c r="M338" s="114" t="str">
        <f>VLOOKUP(A338,'BIC_(C_Variables)'!$A$3:$AS$43,45,FALSE())</f>
        <v/>
      </c>
      <c r="N338" s="1"/>
      <c r="O338" s="1"/>
      <c r="P338" s="81" t="str">
        <f>IFERROR(VLOOKUP(A338,Internal_lists_bugs!$A$2:$G7981,7,FALSE()),"please select a BUG ID")</f>
        <v>https://opendev.org/openstack/nova/commit/501ff41</v>
      </c>
    </row>
    <row r="339">
      <c r="A339" s="16" t="s">
        <v>41</v>
      </c>
      <c r="B339" s="50" t="str">
        <f>IFERROR(HYPERLINK(VLOOKUP(A339,Internal_lists_bugs!$A$2:$C$73,3,FALSE()), VLOOKUP(A339,Internal_lists_bugs!$A$2:$C$73,3,FALSE())&amp;Char(10) &amp; Char(10) &amp; VLOOKUP(A339,Internal_lists_bugs!$A$2:$Z$73,26,FALSE())),"please select a BUG ID")</f>
        <v>https://bugs.launchpad.net/nova/+bug/1466390
/sqlalchemy/api.py</v>
      </c>
      <c r="C339" s="81" t="str">
        <f>IFERROR(VLOOKUP(A339,Internal_lists_bugs!$A$2:$I7981,9,FALSE()),"please select a BUG ID")</f>
        <v>https://review.opendev.org/c/openstack/nova/+/28880</v>
      </c>
      <c r="D339" s="114"/>
      <c r="E339" s="114"/>
      <c r="F339" s="115"/>
      <c r="G339" s="16" t="s">
        <v>1852</v>
      </c>
      <c r="H339" s="118" t="s">
        <v>1853</v>
      </c>
      <c r="I339" s="82"/>
      <c r="J339" s="92"/>
      <c r="K339" s="82"/>
      <c r="M339" s="114" t="str">
        <f>VLOOKUP(A339,'BIC_(C_Variables)'!$A$3:$AS$43,45,FALSE())</f>
        <v/>
      </c>
      <c r="N339" s="1"/>
      <c r="O339" s="1"/>
      <c r="P339" s="81" t="str">
        <f>IFERROR(VLOOKUP(A339,Internal_lists_bugs!$A$2:$G7981,7,FALSE()),"please select a BUG ID")</f>
        <v>https://opendev.org/openstack/nova/commit/501ff41</v>
      </c>
    </row>
    <row r="340">
      <c r="A340" s="16" t="s">
        <v>41</v>
      </c>
      <c r="B340" s="50" t="str">
        <f>IFERROR(HYPERLINK(VLOOKUP(A340,Internal_lists_bugs!$A$2:$C$73,3,FALSE()), VLOOKUP(A340,Internal_lists_bugs!$A$2:$C$73,3,FALSE())&amp;Char(10) &amp; Char(10) &amp; VLOOKUP(A340,Internal_lists_bugs!$A$2:$Z$73,26,FALSE())),"please select a BUG ID")</f>
        <v>https://bugs.launchpad.net/nova/+bug/1466390
/sqlalchemy/api.py</v>
      </c>
      <c r="C340" s="81" t="str">
        <f>IFERROR(VLOOKUP(A340,Internal_lists_bugs!$A$2:$I7981,9,FALSE()),"please select a BUG ID")</f>
        <v>https://review.opendev.org/c/openstack/nova/+/28880</v>
      </c>
      <c r="D340" s="114"/>
      <c r="E340" s="114"/>
      <c r="F340" s="115"/>
      <c r="G340" s="16" t="s">
        <v>1639</v>
      </c>
      <c r="H340" s="118" t="s">
        <v>1854</v>
      </c>
      <c r="I340" s="82"/>
      <c r="J340" s="92"/>
      <c r="K340" s="82"/>
      <c r="M340" s="114" t="str">
        <f>VLOOKUP(A340,'BIC_(C_Variables)'!$A$3:$AS$43,45,FALSE())</f>
        <v/>
      </c>
      <c r="N340" s="1"/>
      <c r="O340" s="1"/>
      <c r="P340" s="81" t="str">
        <f>IFERROR(VLOOKUP(A340,Internal_lists_bugs!$A$2:$G7981,7,FALSE()),"please select a BUG ID")</f>
        <v>https://opendev.org/openstack/nova/commit/501ff41</v>
      </c>
    </row>
    <row r="341">
      <c r="A341" s="16" t="s">
        <v>41</v>
      </c>
      <c r="B341" s="50" t="str">
        <f>IFERROR(HYPERLINK(VLOOKUP(A341,Internal_lists_bugs!$A$2:$C$73,3,FALSE()), VLOOKUP(A341,Internal_lists_bugs!$A$2:$C$73,3,FALSE())&amp;Char(10) &amp; Char(10) &amp; VLOOKUP(A341,Internal_lists_bugs!$A$2:$Z$73,26,FALSE())),"please select a BUG ID")</f>
        <v>https://bugs.launchpad.net/nova/+bug/1466390
/sqlalchemy/api.py</v>
      </c>
      <c r="C341" s="81" t="str">
        <f>IFERROR(VLOOKUP(A341,Internal_lists_bugs!$A$2:$I7981,9,FALSE()),"please select a BUG ID")</f>
        <v>https://review.opendev.org/c/openstack/nova/+/28880</v>
      </c>
      <c r="D341" s="114"/>
      <c r="E341" s="114"/>
      <c r="F341" s="115"/>
      <c r="G341" s="16" t="s">
        <v>1641</v>
      </c>
      <c r="H341" s="118" t="s">
        <v>1855</v>
      </c>
      <c r="I341" s="82"/>
      <c r="J341" s="92"/>
      <c r="K341" s="82"/>
      <c r="M341" s="114" t="str">
        <f>VLOOKUP(A341,'BIC_(C_Variables)'!$A$3:$AS$43,45,FALSE())</f>
        <v/>
      </c>
      <c r="N341" s="1"/>
      <c r="O341" s="1"/>
      <c r="P341" s="81" t="str">
        <f>IFERROR(VLOOKUP(A341,Internal_lists_bugs!$A$2:$G7981,7,FALSE()),"please select a BUG ID")</f>
        <v>https://opendev.org/openstack/nova/commit/501ff41</v>
      </c>
    </row>
    <row r="342">
      <c r="A342" s="16" t="s">
        <v>41</v>
      </c>
      <c r="B342" s="50" t="str">
        <f>IFERROR(HYPERLINK(VLOOKUP(A342,Internal_lists_bugs!$A$2:$C$73,3,FALSE()), VLOOKUP(A342,Internal_lists_bugs!$A$2:$C$73,3,FALSE())&amp;Char(10) &amp; Char(10) &amp; VLOOKUP(A342,Internal_lists_bugs!$A$2:$Z$73,26,FALSE())),"please select a BUG ID")</f>
        <v>https://bugs.launchpad.net/nova/+bug/1466390
/sqlalchemy/api.py</v>
      </c>
      <c r="C342" s="81" t="str">
        <f>IFERROR(VLOOKUP(A342,Internal_lists_bugs!$A$2:$I7981,9,FALSE()),"please select a BUG ID")</f>
        <v>https://review.opendev.org/c/openstack/nova/+/28880</v>
      </c>
      <c r="D342" s="114"/>
      <c r="E342" s="114"/>
      <c r="F342" s="115"/>
      <c r="G342" s="16" t="s">
        <v>1423</v>
      </c>
      <c r="H342" s="119" t="s">
        <v>1856</v>
      </c>
      <c r="I342" s="82"/>
      <c r="J342" s="92"/>
      <c r="K342" s="82"/>
      <c r="M342" s="114" t="str">
        <f>VLOOKUP(A342,'BIC_(C_Variables)'!$A$3:$AS$43,45,FALSE())</f>
        <v/>
      </c>
      <c r="N342" s="1"/>
      <c r="O342" s="1"/>
      <c r="P342" s="81" t="str">
        <f>IFERROR(VLOOKUP(A342,Internal_lists_bugs!$A$2:$G7981,7,FALSE()),"please select a BUG ID")</f>
        <v>https://opendev.org/openstack/nova/commit/501ff41</v>
      </c>
    </row>
    <row r="343">
      <c r="A343" s="16" t="s">
        <v>41</v>
      </c>
      <c r="B343" s="50" t="str">
        <f>IFERROR(HYPERLINK(VLOOKUP(A343,Internal_lists_bugs!$A$2:$C$73,3,FALSE()), VLOOKUP(A343,Internal_lists_bugs!$A$2:$C$73,3,FALSE())&amp;Char(10) &amp; Char(10) &amp; VLOOKUP(A343,Internal_lists_bugs!$A$2:$Z$73,26,FALSE())),"please select a BUG ID")</f>
        <v>https://bugs.launchpad.net/nova/+bug/1466390
/sqlalchemy/api.py</v>
      </c>
      <c r="C343" s="81" t="str">
        <f>IFERROR(VLOOKUP(A343,Internal_lists_bugs!$A$2:$I7981,9,FALSE()),"please select a BUG ID")</f>
        <v>https://review.opendev.org/c/openstack/nova/+/28880</v>
      </c>
      <c r="D343" s="114"/>
      <c r="E343" s="114"/>
      <c r="F343" s="115"/>
      <c r="G343" s="16" t="s">
        <v>1857</v>
      </c>
      <c r="H343" s="118" t="s">
        <v>1858</v>
      </c>
      <c r="I343" s="82"/>
      <c r="J343" s="92"/>
      <c r="K343" s="82"/>
      <c r="M343" s="114" t="str">
        <f>VLOOKUP(A343,'BIC_(C_Variables)'!$A$3:$AS$43,45,FALSE())</f>
        <v/>
      </c>
      <c r="N343" s="1"/>
      <c r="O343" s="1"/>
      <c r="P343" s="81" t="str">
        <f>IFERROR(VLOOKUP(A343,Internal_lists_bugs!$A$2:$G7981,7,FALSE()),"please select a BUG ID")</f>
        <v>https://opendev.org/openstack/nova/commit/501ff41</v>
      </c>
    </row>
    <row r="344">
      <c r="A344" s="16" t="s">
        <v>41</v>
      </c>
      <c r="B344" s="50" t="str">
        <f>IFERROR(HYPERLINK(VLOOKUP(A344,Internal_lists_bugs!$A$2:$C$73,3,FALSE()), VLOOKUP(A344,Internal_lists_bugs!$A$2:$C$73,3,FALSE())&amp;Char(10) &amp; Char(10) &amp; VLOOKUP(A344,Internal_lists_bugs!$A$2:$Z$73,26,FALSE())),"please select a BUG ID")</f>
        <v>https://bugs.launchpad.net/nova/+bug/1466390
/sqlalchemy/api.py</v>
      </c>
      <c r="C344" s="81" t="str">
        <f>IFERROR(VLOOKUP(A344,Internal_lists_bugs!$A$2:$I7981,9,FALSE()),"please select a BUG ID")</f>
        <v>https://review.opendev.org/c/openstack/nova/+/28880</v>
      </c>
      <c r="D344" s="114"/>
      <c r="E344" s="114"/>
      <c r="F344" s="115"/>
      <c r="G344" s="16" t="s">
        <v>1784</v>
      </c>
      <c r="H344" s="118" t="s">
        <v>1859</v>
      </c>
      <c r="I344" s="82"/>
      <c r="J344" s="92"/>
      <c r="K344" s="82"/>
      <c r="M344" s="114" t="str">
        <f>VLOOKUP(A344,'BIC_(C_Variables)'!$A$3:$AS$43,45,FALSE())</f>
        <v/>
      </c>
      <c r="N344" s="1"/>
      <c r="O344" s="1"/>
      <c r="P344" s="81" t="str">
        <f>IFERROR(VLOOKUP(A344,Internal_lists_bugs!$A$2:$G7981,7,FALSE()),"please select a BUG ID")</f>
        <v>https://opendev.org/openstack/nova/commit/501ff41</v>
      </c>
    </row>
    <row r="345">
      <c r="A345" s="16" t="s">
        <v>41</v>
      </c>
      <c r="B345" s="50" t="str">
        <f>IFERROR(HYPERLINK(VLOOKUP(A345,Internal_lists_bugs!$A$2:$C$73,3,FALSE()), VLOOKUP(A345,Internal_lists_bugs!$A$2:$C$73,3,FALSE())&amp;Char(10) &amp; Char(10) &amp; VLOOKUP(A345,Internal_lists_bugs!$A$2:$Z$73,26,FALSE())),"please select a BUG ID")</f>
        <v>https://bugs.launchpad.net/nova/+bug/1466390
/sqlalchemy/api.py</v>
      </c>
      <c r="C345" s="81" t="str">
        <f>IFERROR(VLOOKUP(A345,Internal_lists_bugs!$A$2:$I7981,9,FALSE()),"please select a BUG ID")</f>
        <v>https://review.opendev.org/c/openstack/nova/+/28880</v>
      </c>
      <c r="D345" s="114"/>
      <c r="E345" s="114"/>
      <c r="F345" s="115"/>
      <c r="G345" s="16" t="s">
        <v>1860</v>
      </c>
      <c r="H345" s="118" t="s">
        <v>1861</v>
      </c>
      <c r="I345" s="82"/>
      <c r="J345" s="92"/>
      <c r="K345" s="82"/>
      <c r="M345" s="114" t="str">
        <f>VLOOKUP(A345,'BIC_(C_Variables)'!$A$3:$AS$43,45,FALSE())</f>
        <v/>
      </c>
      <c r="N345" s="1"/>
      <c r="O345" s="1"/>
      <c r="P345" s="81" t="str">
        <f>IFERROR(VLOOKUP(A345,Internal_lists_bugs!$A$2:$G7981,7,FALSE()),"please select a BUG ID")</f>
        <v>https://opendev.org/openstack/nova/commit/501ff41</v>
      </c>
    </row>
    <row r="346">
      <c r="A346" s="16" t="s">
        <v>41</v>
      </c>
      <c r="B346" s="50" t="str">
        <f>IFERROR(HYPERLINK(VLOOKUP(A346,Internal_lists_bugs!$A$2:$C$73,3,FALSE()), VLOOKUP(A346,Internal_lists_bugs!$A$2:$C$73,3,FALSE())&amp;Char(10) &amp; Char(10) &amp; VLOOKUP(A346,Internal_lists_bugs!$A$2:$Z$73,26,FALSE())),"please select a BUG ID")</f>
        <v>https://bugs.launchpad.net/nova/+bug/1466390
/sqlalchemy/api.py</v>
      </c>
      <c r="C346" s="81" t="str">
        <f>IFERROR(VLOOKUP(A346,Internal_lists_bugs!$A$2:$I7981,9,FALSE()),"please select a BUG ID")</f>
        <v>https://review.opendev.org/c/openstack/nova/+/28880</v>
      </c>
      <c r="D346" s="114"/>
      <c r="E346" s="114"/>
      <c r="F346" s="115"/>
      <c r="G346" s="16" t="s">
        <v>1639</v>
      </c>
      <c r="H346" s="118" t="s">
        <v>1862</v>
      </c>
      <c r="I346" s="82"/>
      <c r="J346" s="92"/>
      <c r="K346" s="82"/>
      <c r="M346" s="114" t="str">
        <f>VLOOKUP(A346,'BIC_(C_Variables)'!$A$3:$AS$43,45,FALSE())</f>
        <v/>
      </c>
      <c r="N346" s="1"/>
      <c r="O346" s="1"/>
      <c r="P346" s="81" t="str">
        <f>IFERROR(VLOOKUP(A346,Internal_lists_bugs!$A$2:$G7981,7,FALSE()),"please select a BUG ID")</f>
        <v>https://opendev.org/openstack/nova/commit/501ff41</v>
      </c>
    </row>
    <row r="347">
      <c r="A347" s="16" t="s">
        <v>41</v>
      </c>
      <c r="B347" s="50" t="str">
        <f>IFERROR(HYPERLINK(VLOOKUP(A347,Internal_lists_bugs!$A$2:$C$73,3,FALSE()), VLOOKUP(A347,Internal_lists_bugs!$A$2:$C$73,3,FALSE())&amp;Char(10) &amp; Char(10) &amp; VLOOKUP(A347,Internal_lists_bugs!$A$2:$Z$73,26,FALSE())),"please select a BUG ID")</f>
        <v>https://bugs.launchpad.net/nova/+bug/1466390
/sqlalchemy/api.py</v>
      </c>
      <c r="C347" s="81" t="str">
        <f>IFERROR(VLOOKUP(A347,Internal_lists_bugs!$A$2:$I7981,9,FALSE()),"please select a BUG ID")</f>
        <v>https://review.opendev.org/c/openstack/nova/+/28880</v>
      </c>
      <c r="D347" s="114"/>
      <c r="E347" s="114"/>
      <c r="F347" s="115"/>
      <c r="G347" s="16" t="s">
        <v>1863</v>
      </c>
      <c r="H347" s="118" t="s">
        <v>1864</v>
      </c>
      <c r="I347" s="82"/>
      <c r="J347" s="92"/>
      <c r="K347" s="82"/>
      <c r="M347" s="114" t="str">
        <f>VLOOKUP(A347,'BIC_(C_Variables)'!$A$3:$AS$43,45,FALSE())</f>
        <v/>
      </c>
      <c r="N347" s="1"/>
      <c r="O347" s="1"/>
      <c r="P347" s="81" t="str">
        <f>IFERROR(VLOOKUP(A347,Internal_lists_bugs!$A$2:$G7981,7,FALSE()),"please select a BUG ID")</f>
        <v>https://opendev.org/openstack/nova/commit/501ff41</v>
      </c>
    </row>
    <row r="348">
      <c r="A348" s="16" t="s">
        <v>41</v>
      </c>
      <c r="B348" s="50" t="str">
        <f>IFERROR(HYPERLINK(VLOOKUP(A348,Internal_lists_bugs!$A$2:$C$73,3,FALSE()), VLOOKUP(A348,Internal_lists_bugs!$A$2:$C$73,3,FALSE())&amp;Char(10) &amp; Char(10) &amp; VLOOKUP(A348,Internal_lists_bugs!$A$2:$Z$73,26,FALSE())),"please select a BUG ID")</f>
        <v>https://bugs.launchpad.net/nova/+bug/1466390
/sqlalchemy/api.py</v>
      </c>
      <c r="C348" s="81" t="str">
        <f>IFERROR(VLOOKUP(A348,Internal_lists_bugs!$A$2:$I7981,9,FALSE()),"please select a BUG ID")</f>
        <v>https://review.opendev.org/c/openstack/nova/+/28880</v>
      </c>
      <c r="D348" s="114"/>
      <c r="E348" s="114"/>
      <c r="F348" s="115"/>
      <c r="G348" s="16" t="s">
        <v>1804</v>
      </c>
      <c r="H348" s="118" t="s">
        <v>1865</v>
      </c>
      <c r="I348" s="82"/>
      <c r="J348" s="92"/>
      <c r="K348" s="82"/>
      <c r="M348" s="114" t="str">
        <f>VLOOKUP(A348,'BIC_(C_Variables)'!$A$3:$AS$43,45,FALSE())</f>
        <v/>
      </c>
      <c r="N348" s="1"/>
      <c r="O348" s="1"/>
      <c r="P348" s="81" t="str">
        <f>IFERROR(VLOOKUP(A348,Internal_lists_bugs!$A$2:$G7981,7,FALSE()),"please select a BUG ID")</f>
        <v>https://opendev.org/openstack/nova/commit/501ff41</v>
      </c>
    </row>
    <row r="349">
      <c r="A349" s="16" t="s">
        <v>41</v>
      </c>
      <c r="B349" s="50" t="str">
        <f>IFERROR(HYPERLINK(VLOOKUP(A349,Internal_lists_bugs!$A$2:$C$73,3,FALSE()), VLOOKUP(A349,Internal_lists_bugs!$A$2:$C$73,3,FALSE())&amp;Char(10) &amp; Char(10) &amp; VLOOKUP(A349,Internal_lists_bugs!$A$2:$Z$73,26,FALSE())),"please select a BUG ID")</f>
        <v>https://bugs.launchpad.net/nova/+bug/1466390
/sqlalchemy/api.py</v>
      </c>
      <c r="C349" s="81" t="str">
        <f>IFERROR(VLOOKUP(A349,Internal_lists_bugs!$A$2:$I7981,9,FALSE()),"please select a BUG ID")</f>
        <v>https://review.opendev.org/c/openstack/nova/+/28880</v>
      </c>
      <c r="D349" s="114"/>
      <c r="E349" s="114"/>
      <c r="F349" s="115"/>
      <c r="G349" s="16" t="s">
        <v>1779</v>
      </c>
      <c r="H349" s="118" t="s">
        <v>1866</v>
      </c>
      <c r="I349" s="82"/>
      <c r="J349" s="92"/>
      <c r="K349" s="82"/>
      <c r="M349" s="114" t="str">
        <f>VLOOKUP(A349,'BIC_(C_Variables)'!$A$3:$AS$43,45,FALSE())</f>
        <v/>
      </c>
      <c r="N349" s="1"/>
      <c r="O349" s="1"/>
      <c r="P349" s="81" t="str">
        <f>IFERROR(VLOOKUP(A349,Internal_lists_bugs!$A$2:$G7981,7,FALSE()),"please select a BUG ID")</f>
        <v>https://opendev.org/openstack/nova/commit/501ff41</v>
      </c>
    </row>
    <row r="350">
      <c r="A350" s="16" t="s">
        <v>41</v>
      </c>
      <c r="B350" s="50" t="str">
        <f>IFERROR(HYPERLINK(VLOOKUP(A350,Internal_lists_bugs!$A$2:$C$73,3,FALSE()), VLOOKUP(A350,Internal_lists_bugs!$A$2:$C$73,3,FALSE())&amp;Char(10) &amp; Char(10) &amp; VLOOKUP(A350,Internal_lists_bugs!$A$2:$Z$73,26,FALSE())),"please select a BUG ID")</f>
        <v>https://bugs.launchpad.net/nova/+bug/1466390
/sqlalchemy/api.py</v>
      </c>
      <c r="C350" s="81" t="str">
        <f>IFERROR(VLOOKUP(A350,Internal_lists_bugs!$A$2:$I7981,9,FALSE()),"please select a BUG ID")</f>
        <v>https://review.opendev.org/c/openstack/nova/+/28880</v>
      </c>
      <c r="D350" s="114"/>
      <c r="E350" s="114"/>
      <c r="F350" s="115"/>
      <c r="G350" s="16" t="s">
        <v>1728</v>
      </c>
      <c r="H350" s="118" t="s">
        <v>1867</v>
      </c>
      <c r="I350" s="82"/>
      <c r="J350" s="92"/>
      <c r="K350" s="82"/>
      <c r="M350" s="114" t="str">
        <f>VLOOKUP(A350,'BIC_(C_Variables)'!$A$3:$AS$43,45,FALSE())</f>
        <v/>
      </c>
      <c r="N350" s="1"/>
      <c r="O350" s="1"/>
      <c r="P350" s="81" t="str">
        <f>IFERROR(VLOOKUP(A350,Internal_lists_bugs!$A$2:$G7981,7,FALSE()),"please select a BUG ID")</f>
        <v>https://opendev.org/openstack/nova/commit/501ff41</v>
      </c>
    </row>
    <row r="351">
      <c r="A351" s="16" t="s">
        <v>41</v>
      </c>
      <c r="B351" s="50" t="str">
        <f>IFERROR(HYPERLINK(VLOOKUP(A351,Internal_lists_bugs!$A$2:$C$73,3,FALSE()), VLOOKUP(A351,Internal_lists_bugs!$A$2:$C$73,3,FALSE())&amp;Char(10) &amp; Char(10) &amp; VLOOKUP(A351,Internal_lists_bugs!$A$2:$Z$73,26,FALSE())),"please select a BUG ID")</f>
        <v>https://bugs.launchpad.net/nova/+bug/1466390
/sqlalchemy/api.py</v>
      </c>
      <c r="C351" s="81" t="str">
        <f>IFERROR(VLOOKUP(A351,Internal_lists_bugs!$A$2:$I7981,9,FALSE()),"please select a BUG ID")</f>
        <v>https://review.opendev.org/c/openstack/nova/+/28880</v>
      </c>
      <c r="D351" s="114"/>
      <c r="E351" s="114"/>
      <c r="F351" s="115"/>
      <c r="G351" s="16" t="s">
        <v>1860</v>
      </c>
      <c r="H351" s="118" t="s">
        <v>1868</v>
      </c>
      <c r="I351" s="82"/>
      <c r="J351" s="92"/>
      <c r="K351" s="82"/>
      <c r="M351" s="114" t="str">
        <f>VLOOKUP(A351,'BIC_(C_Variables)'!$A$3:$AS$43,45,FALSE())</f>
        <v/>
      </c>
      <c r="N351" s="1"/>
      <c r="O351" s="1"/>
      <c r="P351" s="81" t="str">
        <f>IFERROR(VLOOKUP(A351,Internal_lists_bugs!$A$2:$G7981,7,FALSE()),"please select a BUG ID")</f>
        <v>https://opendev.org/openstack/nova/commit/501ff41</v>
      </c>
    </row>
    <row r="352">
      <c r="A352" s="16" t="s">
        <v>41</v>
      </c>
      <c r="B352" s="50" t="str">
        <f>IFERROR(HYPERLINK(VLOOKUP(A352,Internal_lists_bugs!$A$2:$C$73,3,FALSE()), VLOOKUP(A352,Internal_lists_bugs!$A$2:$C$73,3,FALSE())&amp;Char(10) &amp; Char(10) &amp; VLOOKUP(A352,Internal_lists_bugs!$A$2:$Z$73,26,FALSE())),"please select a BUG ID")</f>
        <v>https://bugs.launchpad.net/nova/+bug/1466390
/sqlalchemy/api.py</v>
      </c>
      <c r="C352" s="81" t="str">
        <f>IFERROR(VLOOKUP(A352,Internal_lists_bugs!$A$2:$I7981,9,FALSE()),"please select a BUG ID")</f>
        <v>https://review.opendev.org/c/openstack/nova/+/28880</v>
      </c>
      <c r="D352" s="114"/>
      <c r="E352" s="114"/>
      <c r="F352" s="115"/>
      <c r="G352" s="16" t="s">
        <v>1784</v>
      </c>
      <c r="H352" s="118" t="s">
        <v>1869</v>
      </c>
      <c r="I352" s="82"/>
      <c r="J352" s="92"/>
      <c r="K352" s="82"/>
      <c r="M352" s="114" t="str">
        <f>VLOOKUP(A352,'BIC_(C_Variables)'!$A$3:$AS$43,45,FALSE())</f>
        <v/>
      </c>
      <c r="N352" s="1"/>
      <c r="O352" s="1"/>
      <c r="P352" s="81" t="str">
        <f>IFERROR(VLOOKUP(A352,Internal_lists_bugs!$A$2:$G7981,7,FALSE()),"please select a BUG ID")</f>
        <v>https://opendev.org/openstack/nova/commit/501ff41</v>
      </c>
    </row>
    <row r="353">
      <c r="A353" s="16" t="s">
        <v>41</v>
      </c>
      <c r="B353" s="50" t="str">
        <f>IFERROR(HYPERLINK(VLOOKUP(A353,Internal_lists_bugs!$A$2:$C$73,3,FALSE()), VLOOKUP(A353,Internal_lists_bugs!$A$2:$C$73,3,FALSE())&amp;Char(10) &amp; Char(10) &amp; VLOOKUP(A353,Internal_lists_bugs!$A$2:$Z$73,26,FALSE())),"please select a BUG ID")</f>
        <v>https://bugs.launchpad.net/nova/+bug/1466390
/sqlalchemy/api.py</v>
      </c>
      <c r="C353" s="81" t="str">
        <f>IFERROR(VLOOKUP(A353,Internal_lists_bugs!$A$2:$I7981,9,FALSE()),"please select a BUG ID")</f>
        <v>https://review.opendev.org/c/openstack/nova/+/28880</v>
      </c>
      <c r="D353" s="114"/>
      <c r="E353" s="114"/>
      <c r="F353" s="115"/>
      <c r="G353" s="16" t="s">
        <v>1786</v>
      </c>
      <c r="H353" s="118" t="s">
        <v>1870</v>
      </c>
      <c r="I353" s="82"/>
      <c r="J353" s="92"/>
      <c r="K353" s="82"/>
      <c r="M353" s="114" t="str">
        <f>VLOOKUP(A353,'BIC_(C_Variables)'!$A$3:$AS$43,45,FALSE())</f>
        <v/>
      </c>
      <c r="N353" s="1"/>
      <c r="O353" s="1"/>
      <c r="P353" s="81" t="str">
        <f>IFERROR(VLOOKUP(A353,Internal_lists_bugs!$A$2:$G7981,7,FALSE()),"please select a BUG ID")</f>
        <v>https://opendev.org/openstack/nova/commit/501ff41</v>
      </c>
    </row>
    <row r="354">
      <c r="A354" s="16" t="s">
        <v>41</v>
      </c>
      <c r="B354" s="50" t="str">
        <f>IFERROR(HYPERLINK(VLOOKUP(A354,Internal_lists_bugs!$A$2:$C$73,3,FALSE()), VLOOKUP(A354,Internal_lists_bugs!$A$2:$C$73,3,FALSE())&amp;Char(10) &amp; Char(10) &amp; VLOOKUP(A354,Internal_lists_bugs!$A$2:$Z$73,26,FALSE())),"please select a BUG ID")</f>
        <v>https://bugs.launchpad.net/nova/+bug/1466390
/sqlalchemy/api.py</v>
      </c>
      <c r="C354" s="81" t="str">
        <f>IFERROR(VLOOKUP(A354,Internal_lists_bugs!$A$2:$I7981,9,FALSE()),"please select a BUG ID")</f>
        <v>https://review.opendev.org/c/openstack/nova/+/28880</v>
      </c>
      <c r="D354" s="114"/>
      <c r="E354" s="114"/>
      <c r="F354" s="115"/>
      <c r="G354" s="16" t="s">
        <v>1871</v>
      </c>
      <c r="H354" s="118" t="s">
        <v>1872</v>
      </c>
      <c r="I354" s="82"/>
      <c r="J354" s="92"/>
      <c r="K354" s="82"/>
      <c r="M354" s="114" t="str">
        <f>VLOOKUP(A354,'BIC_(C_Variables)'!$A$3:$AS$43,45,FALSE())</f>
        <v/>
      </c>
      <c r="N354" s="1"/>
      <c r="O354" s="1"/>
      <c r="P354" s="81" t="str">
        <f>IFERROR(VLOOKUP(A354,Internal_lists_bugs!$A$2:$G7981,7,FALSE()),"please select a BUG ID")</f>
        <v>https://opendev.org/openstack/nova/commit/501ff41</v>
      </c>
    </row>
    <row r="355">
      <c r="A355" s="16" t="s">
        <v>41</v>
      </c>
      <c r="B355" s="50" t="str">
        <f>IFERROR(HYPERLINK(VLOOKUP(A355,Internal_lists_bugs!$A$2:$C$73,3,FALSE()), VLOOKUP(A355,Internal_lists_bugs!$A$2:$C$73,3,FALSE())&amp;Char(10) &amp; Char(10) &amp; VLOOKUP(A355,Internal_lists_bugs!$A$2:$Z$73,26,FALSE())),"please select a BUG ID")</f>
        <v>https://bugs.launchpad.net/nova/+bug/1466390
/sqlalchemy/api.py</v>
      </c>
      <c r="C355" s="81" t="str">
        <f>IFERROR(VLOOKUP(A355,Internal_lists_bugs!$A$2:$I7981,9,FALSE()),"please select a BUG ID")</f>
        <v>https://review.opendev.org/c/openstack/nova/+/28880</v>
      </c>
      <c r="D355" s="114"/>
      <c r="E355" s="114"/>
      <c r="F355" s="115"/>
      <c r="G355" s="16" t="s">
        <v>1873</v>
      </c>
      <c r="H355" s="118" t="s">
        <v>1874</v>
      </c>
      <c r="I355" s="82"/>
      <c r="J355" s="92"/>
      <c r="K355" s="82"/>
      <c r="M355" s="114" t="str">
        <f>VLOOKUP(A355,'BIC_(C_Variables)'!$A$3:$AS$43,45,FALSE())</f>
        <v/>
      </c>
      <c r="N355" s="1"/>
      <c r="O355" s="1"/>
      <c r="P355" s="81" t="str">
        <f>IFERROR(VLOOKUP(A355,Internal_lists_bugs!$A$2:$G7981,7,FALSE()),"please select a BUG ID")</f>
        <v>https://opendev.org/openstack/nova/commit/501ff41</v>
      </c>
    </row>
    <row r="356">
      <c r="A356" s="16" t="s">
        <v>41</v>
      </c>
      <c r="B356" s="50" t="str">
        <f>IFERROR(HYPERLINK(VLOOKUP(A356,Internal_lists_bugs!$A$2:$C$73,3,FALSE()), VLOOKUP(A356,Internal_lists_bugs!$A$2:$C$73,3,FALSE())&amp;Char(10) &amp; Char(10) &amp; VLOOKUP(A356,Internal_lists_bugs!$A$2:$Z$73,26,FALSE())),"please select a BUG ID")</f>
        <v>https://bugs.launchpad.net/nova/+bug/1466390
/sqlalchemy/api.py</v>
      </c>
      <c r="C356" s="81" t="str">
        <f>IFERROR(VLOOKUP(A356,Internal_lists_bugs!$A$2:$I7981,9,FALSE()),"please select a BUG ID")</f>
        <v>https://review.opendev.org/c/openstack/nova/+/28880</v>
      </c>
      <c r="D356" s="114"/>
      <c r="E356" s="114"/>
      <c r="F356" s="115"/>
      <c r="G356" s="16" t="s">
        <v>1728</v>
      </c>
      <c r="H356" s="118" t="s">
        <v>1874</v>
      </c>
      <c r="I356" s="82"/>
      <c r="J356" s="92"/>
      <c r="K356" s="82"/>
      <c r="M356" s="114" t="str">
        <f>VLOOKUP(A356,'BIC_(C_Variables)'!$A$3:$AS$43,45,FALSE())</f>
        <v/>
      </c>
      <c r="N356" s="1"/>
      <c r="O356" s="1"/>
      <c r="P356" s="81" t="str">
        <f>IFERROR(VLOOKUP(A356,Internal_lists_bugs!$A$2:$G7981,7,FALSE()),"please select a BUG ID")</f>
        <v>https://opendev.org/openstack/nova/commit/501ff41</v>
      </c>
    </row>
    <row r="357">
      <c r="A357" s="16" t="s">
        <v>41</v>
      </c>
      <c r="B357" s="50" t="str">
        <f>IFERROR(HYPERLINK(VLOOKUP(A357,Internal_lists_bugs!$A$2:$C$73,3,FALSE()), VLOOKUP(A357,Internal_lists_bugs!$A$2:$C$73,3,FALSE())&amp;Char(10) &amp; Char(10) &amp; VLOOKUP(A357,Internal_lists_bugs!$A$2:$Z$73,26,FALSE())),"please select a BUG ID")</f>
        <v>https://bugs.launchpad.net/nova/+bug/1466390
/sqlalchemy/api.py</v>
      </c>
      <c r="C357" s="81" t="str">
        <f>IFERROR(VLOOKUP(A357,Internal_lists_bugs!$A$2:$I7981,9,FALSE()),"please select a BUG ID")</f>
        <v>https://review.opendev.org/c/openstack/nova/+/28880</v>
      </c>
      <c r="D357" s="114"/>
      <c r="E357" s="114"/>
      <c r="F357" s="115"/>
      <c r="G357" s="16" t="s">
        <v>1788</v>
      </c>
      <c r="H357" s="118" t="s">
        <v>1875</v>
      </c>
      <c r="I357" s="82"/>
      <c r="J357" s="92"/>
      <c r="K357" s="82"/>
      <c r="M357" s="114" t="str">
        <f>VLOOKUP(A357,'BIC_(C_Variables)'!$A$3:$AS$43,45,FALSE())</f>
        <v/>
      </c>
      <c r="N357" s="1"/>
      <c r="O357" s="1"/>
      <c r="P357" s="81" t="str">
        <f>IFERROR(VLOOKUP(A357,Internal_lists_bugs!$A$2:$G7981,7,FALSE()),"please select a BUG ID")</f>
        <v>https://opendev.org/openstack/nova/commit/501ff41</v>
      </c>
    </row>
    <row r="358">
      <c r="A358" s="16" t="s">
        <v>41</v>
      </c>
      <c r="B358" s="50" t="str">
        <f>IFERROR(HYPERLINK(VLOOKUP(A358,Internal_lists_bugs!$A$2:$C$73,3,FALSE()), VLOOKUP(A358,Internal_lists_bugs!$A$2:$C$73,3,FALSE())&amp;Char(10) &amp; Char(10) &amp; VLOOKUP(A358,Internal_lists_bugs!$A$2:$Z$73,26,FALSE())),"please select a BUG ID")</f>
        <v>https://bugs.launchpad.net/nova/+bug/1466390
/sqlalchemy/api.py</v>
      </c>
      <c r="C358" s="81" t="str">
        <f>IFERROR(VLOOKUP(A358,Internal_lists_bugs!$A$2:$I7981,9,FALSE()),"please select a BUG ID")</f>
        <v>https://review.opendev.org/c/openstack/nova/+/28880</v>
      </c>
      <c r="D358" s="114"/>
      <c r="E358" s="114"/>
      <c r="F358" s="115"/>
      <c r="G358" s="16" t="s">
        <v>1430</v>
      </c>
      <c r="H358" s="118" t="s">
        <v>1876</v>
      </c>
      <c r="I358" s="82"/>
      <c r="J358" s="92"/>
      <c r="K358" s="82"/>
      <c r="M358" s="114" t="str">
        <f>VLOOKUP(A358,'BIC_(C_Variables)'!$A$3:$AS$43,45,FALSE())</f>
        <v/>
      </c>
      <c r="N358" s="1"/>
      <c r="O358" s="1"/>
      <c r="P358" s="81" t="str">
        <f>IFERROR(VLOOKUP(A358,Internal_lists_bugs!$A$2:$G7981,7,FALSE()),"please select a BUG ID")</f>
        <v>https://opendev.org/openstack/nova/commit/501ff41</v>
      </c>
    </row>
    <row r="359">
      <c r="A359" s="16" t="s">
        <v>41</v>
      </c>
      <c r="B359" s="50" t="str">
        <f>IFERROR(HYPERLINK(VLOOKUP(A359,Internal_lists_bugs!$A$2:$C$73,3,FALSE()), VLOOKUP(A359,Internal_lists_bugs!$A$2:$C$73,3,FALSE())&amp;Char(10) &amp; Char(10) &amp; VLOOKUP(A359,Internal_lists_bugs!$A$2:$Z$73,26,FALSE())),"please select a BUG ID")</f>
        <v>https://bugs.launchpad.net/nova/+bug/1466390
/sqlalchemy/api.py</v>
      </c>
      <c r="C359" s="81" t="str">
        <f>IFERROR(VLOOKUP(A359,Internal_lists_bugs!$A$2:$I7981,9,FALSE()),"please select a BUG ID")</f>
        <v>https://review.opendev.org/c/openstack/nova/+/28880</v>
      </c>
      <c r="D359" s="114"/>
      <c r="E359" s="114"/>
      <c r="F359" s="115"/>
      <c r="G359" s="16" t="s">
        <v>1877</v>
      </c>
      <c r="H359" s="118" t="s">
        <v>1878</v>
      </c>
      <c r="I359" s="82"/>
      <c r="J359" s="92"/>
      <c r="K359" s="82"/>
      <c r="M359" s="114" t="str">
        <f>VLOOKUP(A359,'BIC_(C_Variables)'!$A$3:$AS$43,45,FALSE())</f>
        <v/>
      </c>
      <c r="N359" s="1"/>
      <c r="O359" s="1"/>
      <c r="P359" s="81" t="str">
        <f>IFERROR(VLOOKUP(A359,Internal_lists_bugs!$A$2:$G7981,7,FALSE()),"please select a BUG ID")</f>
        <v>https://opendev.org/openstack/nova/commit/501ff41</v>
      </c>
    </row>
    <row r="360">
      <c r="A360" s="16" t="s">
        <v>41</v>
      </c>
      <c r="B360" s="50" t="str">
        <f>IFERROR(HYPERLINK(VLOOKUP(A360,Internal_lists_bugs!$A$2:$C$73,3,FALSE()), VLOOKUP(A360,Internal_lists_bugs!$A$2:$C$73,3,FALSE())&amp;Char(10) &amp; Char(10) &amp; VLOOKUP(A360,Internal_lists_bugs!$A$2:$Z$73,26,FALSE())),"please select a BUG ID")</f>
        <v>https://bugs.launchpad.net/nova/+bug/1466390
/sqlalchemy/api.py</v>
      </c>
      <c r="C360" s="81" t="str">
        <f>IFERROR(VLOOKUP(A360,Internal_lists_bugs!$A$2:$I7981,9,FALSE()),"please select a BUG ID")</f>
        <v>https://review.opendev.org/c/openstack/nova/+/28880</v>
      </c>
      <c r="D360" s="114"/>
      <c r="E360" s="114"/>
      <c r="F360" s="115"/>
      <c r="G360" s="16" t="s">
        <v>1879</v>
      </c>
      <c r="H360" s="118" t="s">
        <v>1880</v>
      </c>
      <c r="I360" s="82"/>
      <c r="J360" s="92"/>
      <c r="K360" s="82"/>
      <c r="M360" s="114" t="str">
        <f>VLOOKUP(A360,'BIC_(C_Variables)'!$A$3:$AS$43,45,FALSE())</f>
        <v/>
      </c>
      <c r="N360" s="1"/>
      <c r="O360" s="1"/>
      <c r="P360" s="81" t="str">
        <f>IFERROR(VLOOKUP(A360,Internal_lists_bugs!$A$2:$G7981,7,FALSE()),"please select a BUG ID")</f>
        <v>https://opendev.org/openstack/nova/commit/501ff41</v>
      </c>
    </row>
    <row r="361">
      <c r="A361" s="16" t="s">
        <v>41</v>
      </c>
      <c r="B361" s="50" t="str">
        <f>IFERROR(HYPERLINK(VLOOKUP(A361,Internal_lists_bugs!$A$2:$C$73,3,FALSE()), VLOOKUP(A361,Internal_lists_bugs!$A$2:$C$73,3,FALSE())&amp;Char(10) &amp; Char(10) &amp; VLOOKUP(A361,Internal_lists_bugs!$A$2:$Z$73,26,FALSE())),"please select a BUG ID")</f>
        <v>https://bugs.launchpad.net/nova/+bug/1466390
/sqlalchemy/api.py</v>
      </c>
      <c r="C361" s="81" t="str">
        <f>IFERROR(VLOOKUP(A361,Internal_lists_bugs!$A$2:$I7981,9,FALSE()),"please select a BUG ID")</f>
        <v>https://review.opendev.org/c/openstack/nova/+/28880</v>
      </c>
      <c r="D361" s="114"/>
      <c r="E361" s="114"/>
      <c r="F361" s="115"/>
      <c r="G361" s="16" t="s">
        <v>1818</v>
      </c>
      <c r="H361" s="118" t="s">
        <v>1881</v>
      </c>
      <c r="I361" s="82"/>
      <c r="J361" s="92"/>
      <c r="K361" s="82"/>
      <c r="M361" s="114" t="str">
        <f>VLOOKUP(A361,'BIC_(C_Variables)'!$A$3:$AS$43,45,FALSE())</f>
        <v/>
      </c>
      <c r="N361" s="1"/>
      <c r="O361" s="1"/>
      <c r="P361" s="81" t="str">
        <f>IFERROR(VLOOKUP(A361,Internal_lists_bugs!$A$2:$G7981,7,FALSE()),"please select a BUG ID")</f>
        <v>https://opendev.org/openstack/nova/commit/501ff41</v>
      </c>
    </row>
    <row r="362">
      <c r="A362" s="16" t="s">
        <v>41</v>
      </c>
      <c r="B362" s="50" t="str">
        <f>IFERROR(HYPERLINK(VLOOKUP(A362,Internal_lists_bugs!$A$2:$C$73,3,FALSE()), VLOOKUP(A362,Internal_lists_bugs!$A$2:$C$73,3,FALSE())&amp;Char(10) &amp; Char(10) &amp; VLOOKUP(A362,Internal_lists_bugs!$A$2:$Z$73,26,FALSE())),"please select a BUG ID")</f>
        <v>https://bugs.launchpad.net/nova/+bug/1466390
/sqlalchemy/api.py</v>
      </c>
      <c r="C362" s="81" t="str">
        <f>IFERROR(VLOOKUP(A362,Internal_lists_bugs!$A$2:$I7981,9,FALSE()),"please select a BUG ID")</f>
        <v>https://review.opendev.org/c/openstack/nova/+/28880</v>
      </c>
      <c r="D362" s="114"/>
      <c r="E362" s="114"/>
      <c r="F362" s="115"/>
      <c r="G362" s="16" t="s">
        <v>1882</v>
      </c>
      <c r="H362" s="118" t="s">
        <v>1883</v>
      </c>
      <c r="I362" s="82"/>
      <c r="J362" s="92"/>
      <c r="K362" s="82"/>
      <c r="M362" s="114"/>
      <c r="N362" s="1"/>
      <c r="O362" s="1"/>
      <c r="P362" s="51"/>
    </row>
    <row r="363">
      <c r="A363" s="16" t="s">
        <v>41</v>
      </c>
      <c r="B363" s="50" t="str">
        <f>IFERROR(HYPERLINK(VLOOKUP(A363,Internal_lists_bugs!$A$2:$C$73,3,FALSE()), VLOOKUP(A363,Internal_lists_bugs!$A$2:$C$73,3,FALSE())&amp;Char(10) &amp; Char(10) &amp; VLOOKUP(A363,Internal_lists_bugs!$A$2:$Z$73,26,FALSE())),"please select a BUG ID")</f>
        <v>https://bugs.launchpad.net/nova/+bug/1466390
/sqlalchemy/api.py</v>
      </c>
      <c r="C363" s="81" t="str">
        <f>IFERROR(VLOOKUP(A363,Internal_lists_bugs!$A$2:$I7981,9,FALSE()),"please select a BUG ID")</f>
        <v>https://review.opendev.org/c/openstack/nova/+/28880</v>
      </c>
      <c r="D363" s="114"/>
      <c r="E363" s="114"/>
      <c r="F363" s="115"/>
      <c r="G363" s="16" t="s">
        <v>1884</v>
      </c>
      <c r="H363" s="118" t="s">
        <v>1885</v>
      </c>
      <c r="I363" s="82"/>
      <c r="J363" s="92"/>
      <c r="K363" s="82"/>
      <c r="M363" s="114" t="str">
        <f>VLOOKUP(A363,'BIC_(C_Variables)'!$A$3:$AS$43,45,FALSE())</f>
        <v/>
      </c>
      <c r="N363" s="1"/>
      <c r="O363" s="1"/>
      <c r="P363" s="81" t="str">
        <f>IFERROR(VLOOKUP(A363,Internal_lists_bugs!$A$2:$G7981,7,FALSE()),"please select a BUG ID")</f>
        <v>https://opendev.org/openstack/nova/commit/501ff41</v>
      </c>
    </row>
    <row r="364">
      <c r="A364" s="16" t="s">
        <v>41</v>
      </c>
      <c r="B364" s="50" t="str">
        <f>IFERROR(HYPERLINK(VLOOKUP(A364,Internal_lists_bugs!$A$2:$C$73,3,FALSE()), VLOOKUP(A364,Internal_lists_bugs!$A$2:$C$73,3,FALSE())&amp;Char(10) &amp; Char(10) &amp; VLOOKUP(A364,Internal_lists_bugs!$A$2:$Z$73,26,FALSE())),"please select a BUG ID")</f>
        <v>https://bugs.launchpad.net/nova/+bug/1466390
/sqlalchemy/api.py</v>
      </c>
      <c r="C364" s="81" t="str">
        <f>IFERROR(VLOOKUP(A364,Internal_lists_bugs!$A$2:$I7981,9,FALSE()),"please select a BUG ID")</f>
        <v>https://review.opendev.org/c/openstack/nova/+/28880</v>
      </c>
      <c r="D364" s="114"/>
      <c r="E364" s="114"/>
      <c r="F364" s="115"/>
      <c r="G364" s="16" t="s">
        <v>1728</v>
      </c>
      <c r="H364" s="118" t="s">
        <v>1886</v>
      </c>
      <c r="I364" s="82"/>
      <c r="J364" s="92"/>
      <c r="K364" s="82"/>
      <c r="M364" s="114" t="str">
        <f>VLOOKUP(A364,'BIC_(C_Variables)'!$A$3:$AS$43,45,FALSE())</f>
        <v/>
      </c>
      <c r="N364" s="1"/>
      <c r="O364" s="1"/>
      <c r="P364" s="81" t="str">
        <f>IFERROR(VLOOKUP(A364,Internal_lists_bugs!$A$2:$G7981,7,FALSE()),"please select a BUG ID")</f>
        <v>https://opendev.org/openstack/nova/commit/501ff41</v>
      </c>
    </row>
    <row r="365">
      <c r="A365" s="16" t="s">
        <v>41</v>
      </c>
      <c r="B365" s="50" t="str">
        <f>IFERROR(HYPERLINK(VLOOKUP(A365,Internal_lists_bugs!$A$2:$C$73,3,FALSE()), VLOOKUP(A365,Internal_lists_bugs!$A$2:$C$73,3,FALSE())&amp;Char(10) &amp; Char(10) &amp; VLOOKUP(A365,Internal_lists_bugs!$A$2:$Z$73,26,FALSE())),"please select a BUG ID")</f>
        <v>https://bugs.launchpad.net/nova/+bug/1466390
/sqlalchemy/api.py</v>
      </c>
      <c r="C365" s="81" t="str">
        <f>IFERROR(VLOOKUP(A365,Internal_lists_bugs!$A$2:$I7981,9,FALSE()),"please select a BUG ID")</f>
        <v>https://review.opendev.org/c/openstack/nova/+/28880</v>
      </c>
      <c r="D365" s="114"/>
      <c r="E365" s="114"/>
      <c r="F365" s="115"/>
      <c r="G365" s="16" t="s">
        <v>1423</v>
      </c>
      <c r="H365" s="118" t="s">
        <v>1887</v>
      </c>
      <c r="I365" s="82"/>
      <c r="J365" s="92"/>
      <c r="K365" s="82"/>
      <c r="M365" s="114" t="str">
        <f>VLOOKUP(A365,'BIC_(C_Variables)'!$A$3:$AS$43,45,FALSE())</f>
        <v/>
      </c>
      <c r="N365" s="1"/>
      <c r="O365" s="1"/>
      <c r="P365" s="81" t="str">
        <f>IFERROR(VLOOKUP(A365,Internal_lists_bugs!$A$2:$G7981,7,FALSE()),"please select a BUG ID")</f>
        <v>https://opendev.org/openstack/nova/commit/501ff41</v>
      </c>
    </row>
    <row r="366">
      <c r="A366" s="16" t="s">
        <v>41</v>
      </c>
      <c r="B366" s="50" t="str">
        <f>IFERROR(HYPERLINK(VLOOKUP(A366,Internal_lists_bugs!$A$2:$C$73,3,FALSE()), VLOOKUP(A366,Internal_lists_bugs!$A$2:$C$73,3,FALSE())&amp;Char(10) &amp; Char(10) &amp; VLOOKUP(A366,Internal_lists_bugs!$A$2:$Z$73,26,FALSE())),"please select a BUG ID")</f>
        <v>https://bugs.launchpad.net/nova/+bug/1466390
/sqlalchemy/api.py</v>
      </c>
      <c r="C366" s="81" t="str">
        <f>IFERROR(VLOOKUP(A366,Internal_lists_bugs!$A$2:$I7981,9,FALSE()),"please select a BUG ID")</f>
        <v>https://review.opendev.org/c/openstack/nova/+/28880</v>
      </c>
      <c r="D366" s="114"/>
      <c r="E366" s="114"/>
      <c r="F366" s="115"/>
      <c r="G366" s="16" t="s">
        <v>1430</v>
      </c>
      <c r="H366" s="118" t="s">
        <v>1888</v>
      </c>
      <c r="I366" s="82"/>
      <c r="J366" s="92"/>
      <c r="K366" s="82"/>
      <c r="M366" s="114" t="str">
        <f>VLOOKUP(A366,'BIC_(C_Variables)'!$A$3:$AS$43,45,FALSE())</f>
        <v/>
      </c>
      <c r="N366" s="1"/>
      <c r="O366" s="1"/>
      <c r="P366" s="81" t="str">
        <f>IFERROR(VLOOKUP(A366,Internal_lists_bugs!$A$2:$G7981,7,FALSE()),"please select a BUG ID")</f>
        <v>https://opendev.org/openstack/nova/commit/501ff41</v>
      </c>
    </row>
    <row r="367">
      <c r="A367" s="16" t="s">
        <v>41</v>
      </c>
      <c r="B367" s="50" t="str">
        <f>IFERROR(HYPERLINK(VLOOKUP(A367,Internal_lists_bugs!$A$2:$C$73,3,FALSE()), VLOOKUP(A367,Internal_lists_bugs!$A$2:$C$73,3,FALSE())&amp;Char(10) &amp; Char(10) &amp; VLOOKUP(A367,Internal_lists_bugs!$A$2:$Z$73,26,FALSE())),"please select a BUG ID")</f>
        <v>https://bugs.launchpad.net/nova/+bug/1466390
/sqlalchemy/api.py</v>
      </c>
      <c r="C367" s="81" t="str">
        <f>IFERROR(VLOOKUP(A367,Internal_lists_bugs!$A$2:$I7981,9,FALSE()),"please select a BUG ID")</f>
        <v>https://review.opendev.org/c/openstack/nova/+/28880</v>
      </c>
      <c r="D367" s="114"/>
      <c r="E367" s="114"/>
      <c r="F367" s="115"/>
      <c r="G367" s="16" t="s">
        <v>1432</v>
      </c>
      <c r="H367" s="118" t="s">
        <v>1889</v>
      </c>
      <c r="I367" s="82"/>
      <c r="J367" s="92"/>
      <c r="K367" s="82"/>
      <c r="M367" s="114" t="str">
        <f>VLOOKUP(A367,'BIC_(C_Variables)'!$A$3:$AS$43,45,FALSE())</f>
        <v/>
      </c>
      <c r="N367" s="1"/>
      <c r="O367" s="1"/>
      <c r="P367" s="81" t="str">
        <f>IFERROR(VLOOKUP(A367,Internal_lists_bugs!$A$2:$G7981,7,FALSE()),"please select a BUG ID")</f>
        <v>https://opendev.org/openstack/nova/commit/501ff41</v>
      </c>
    </row>
    <row r="368">
      <c r="A368" s="16" t="s">
        <v>41</v>
      </c>
      <c r="B368" s="50" t="str">
        <f>IFERROR(HYPERLINK(VLOOKUP(A368,Internal_lists_bugs!$A$2:$C$73,3,FALSE()), VLOOKUP(A368,Internal_lists_bugs!$A$2:$C$73,3,FALSE())&amp;Char(10) &amp; Char(10) &amp; VLOOKUP(A368,Internal_lists_bugs!$A$2:$Z$73,26,FALSE())),"please select a BUG ID")</f>
        <v>https://bugs.launchpad.net/nova/+bug/1466390
/sqlalchemy/api.py</v>
      </c>
      <c r="C368" s="81" t="str">
        <f>IFERROR(VLOOKUP(A368,Internal_lists_bugs!$A$2:$I7981,9,FALSE()),"please select a BUG ID")</f>
        <v>https://review.opendev.org/c/openstack/nova/+/28880</v>
      </c>
      <c r="D368" s="114"/>
      <c r="E368" s="114"/>
      <c r="F368" s="115"/>
      <c r="G368" s="16" t="s">
        <v>1441</v>
      </c>
      <c r="H368" s="118" t="s">
        <v>1890</v>
      </c>
      <c r="I368" s="82"/>
      <c r="J368" s="92"/>
      <c r="K368" s="82"/>
      <c r="M368" s="114"/>
      <c r="N368" s="1"/>
      <c r="O368" s="1"/>
      <c r="P368" s="51"/>
    </row>
    <row r="369">
      <c r="A369" s="16" t="s">
        <v>41</v>
      </c>
      <c r="B369" s="50" t="str">
        <f>IFERROR(HYPERLINK(VLOOKUP(A369,Internal_lists_bugs!$A$2:$C$73,3,FALSE()), VLOOKUP(A369,Internal_lists_bugs!$A$2:$C$73,3,FALSE())&amp;Char(10) &amp; Char(10) &amp; VLOOKUP(A369,Internal_lists_bugs!$A$2:$Z$73,26,FALSE())),"please select a BUG ID")</f>
        <v>https://bugs.launchpad.net/nova/+bug/1466390
/sqlalchemy/api.py</v>
      </c>
      <c r="C369" s="81" t="str">
        <f>IFERROR(VLOOKUP(A369,Internal_lists_bugs!$A$2:$I7981,9,FALSE()),"please select a BUG ID")</f>
        <v>https://review.opendev.org/c/openstack/nova/+/28880</v>
      </c>
      <c r="D369" s="114"/>
      <c r="E369" s="114"/>
      <c r="F369" s="115"/>
      <c r="G369" s="16" t="s">
        <v>1427</v>
      </c>
      <c r="H369" s="118" t="s">
        <v>1890</v>
      </c>
      <c r="I369" s="82"/>
      <c r="J369" s="92"/>
      <c r="K369" s="82"/>
      <c r="M369" s="114"/>
      <c r="N369" s="1"/>
      <c r="O369" s="1"/>
      <c r="P369" s="51"/>
    </row>
    <row r="370">
      <c r="A370" s="16" t="s">
        <v>41</v>
      </c>
      <c r="B370" s="50" t="str">
        <f>IFERROR(HYPERLINK(VLOOKUP(A370,Internal_lists_bugs!$A$2:$C$73,3,FALSE()), VLOOKUP(A370,Internal_lists_bugs!$A$2:$C$73,3,FALSE())&amp;Char(10) &amp; Char(10) &amp; VLOOKUP(A370,Internal_lists_bugs!$A$2:$Z$73,26,FALSE())),"please select a BUG ID")</f>
        <v>https://bugs.launchpad.net/nova/+bug/1466390
/sqlalchemy/api.py</v>
      </c>
      <c r="C370" s="81" t="str">
        <f>IFERROR(VLOOKUP(A370,Internal_lists_bugs!$A$2:$I7981,9,FALSE()),"please select a BUG ID")</f>
        <v>https://review.opendev.org/c/openstack/nova/+/28880</v>
      </c>
      <c r="D370" s="114"/>
      <c r="E370" s="114"/>
      <c r="F370" s="115"/>
      <c r="G370" s="16" t="s">
        <v>1509</v>
      </c>
      <c r="H370" s="118" t="s">
        <v>1891</v>
      </c>
      <c r="I370" s="82"/>
      <c r="J370" s="92"/>
      <c r="K370" s="82"/>
      <c r="M370" s="114" t="str">
        <f>VLOOKUP(A370,'BIC_(C_Variables)'!$A$3:$AS$43,45,FALSE())</f>
        <v/>
      </c>
      <c r="N370" s="1"/>
      <c r="O370" s="1"/>
      <c r="P370" s="81" t="str">
        <f>IFERROR(VLOOKUP(A370,Internal_lists_bugs!$A$2:$G7981,7,FALSE()),"please select a BUG ID")</f>
        <v>https://opendev.org/openstack/nova/commit/501ff41</v>
      </c>
    </row>
    <row r="371">
      <c r="A371" s="16" t="s">
        <v>41</v>
      </c>
      <c r="B371" s="50" t="str">
        <f>IFERROR(HYPERLINK(VLOOKUP(A371,Internal_lists_bugs!$A$2:$C$73,3,FALSE()), VLOOKUP(A371,Internal_lists_bugs!$A$2:$C$73,3,FALSE())&amp;Char(10) &amp; Char(10) &amp; VLOOKUP(A371,Internal_lists_bugs!$A$2:$Z$73,26,FALSE())),"please select a BUG ID")</f>
        <v>https://bugs.launchpad.net/nova/+bug/1466390
/sqlalchemy/api.py</v>
      </c>
      <c r="C371" s="81" t="str">
        <f>IFERROR(VLOOKUP(A371,Internal_lists_bugs!$A$2:$I7981,9,FALSE()),"please select a BUG ID")</f>
        <v>https://review.opendev.org/c/openstack/nova/+/28880</v>
      </c>
      <c r="D371" s="114"/>
      <c r="E371" s="114"/>
      <c r="F371" s="115"/>
      <c r="G371" s="16" t="s">
        <v>1818</v>
      </c>
      <c r="H371" s="118" t="s">
        <v>1892</v>
      </c>
      <c r="I371" s="82"/>
      <c r="J371" s="92"/>
      <c r="K371" s="82"/>
      <c r="M371" s="114" t="str">
        <f>VLOOKUP(A371,'BIC_(C_Variables)'!$A$3:$AS$43,45,FALSE())</f>
        <v/>
      </c>
      <c r="N371" s="1"/>
      <c r="O371" s="1"/>
      <c r="P371" s="81" t="str">
        <f>IFERROR(VLOOKUP(A371,Internal_lists_bugs!$A$2:$G7981,7,FALSE()),"please select a BUG ID")</f>
        <v>https://opendev.org/openstack/nova/commit/501ff41</v>
      </c>
    </row>
    <row r="372">
      <c r="A372" s="16" t="s">
        <v>41</v>
      </c>
      <c r="B372" s="50" t="str">
        <f>IFERROR(HYPERLINK(VLOOKUP(A372,Internal_lists_bugs!$A$2:$C$73,3,FALSE()), VLOOKUP(A372,Internal_lists_bugs!$A$2:$C$73,3,FALSE())&amp;Char(10) &amp; Char(10) &amp; VLOOKUP(A372,Internal_lists_bugs!$A$2:$Z$73,26,FALSE())),"please select a BUG ID")</f>
        <v>https://bugs.launchpad.net/nova/+bug/1466390
/sqlalchemy/api.py</v>
      </c>
      <c r="C372" s="81" t="str">
        <f>IFERROR(VLOOKUP(A372,Internal_lists_bugs!$A$2:$I7981,9,FALSE()),"please select a BUG ID")</f>
        <v>https://review.opendev.org/c/openstack/nova/+/28880</v>
      </c>
      <c r="D372" s="114"/>
      <c r="E372" s="114"/>
      <c r="F372" s="115"/>
      <c r="G372" s="16" t="s">
        <v>1893</v>
      </c>
      <c r="H372" s="118" t="s">
        <v>1894</v>
      </c>
      <c r="I372" s="82"/>
      <c r="J372" s="92"/>
      <c r="K372" s="82"/>
      <c r="M372" s="114" t="str">
        <f>VLOOKUP(A372,'BIC_(C_Variables)'!$A$3:$AS$43,45,FALSE())</f>
        <v/>
      </c>
      <c r="N372" s="1"/>
      <c r="O372" s="1"/>
      <c r="P372" s="81" t="str">
        <f>IFERROR(VLOOKUP(A372,Internal_lists_bugs!$A$2:$G7981,7,FALSE()),"please select a BUG ID")</f>
        <v>https://opendev.org/openstack/nova/commit/501ff41</v>
      </c>
    </row>
    <row r="373">
      <c r="A373" s="16" t="s">
        <v>41</v>
      </c>
      <c r="B373" s="50" t="str">
        <f>IFERROR(HYPERLINK(VLOOKUP(A373,Internal_lists_bugs!$A$2:$C$73,3,FALSE()), VLOOKUP(A373,Internal_lists_bugs!$A$2:$C$73,3,FALSE())&amp;Char(10) &amp; Char(10) &amp; VLOOKUP(A373,Internal_lists_bugs!$A$2:$Z$73,26,FALSE())),"please select a BUG ID")</f>
        <v>https://bugs.launchpad.net/nova/+bug/1466390
/sqlalchemy/api.py</v>
      </c>
      <c r="C373" s="81" t="str">
        <f>IFERROR(VLOOKUP(A373,Internal_lists_bugs!$A$2:$I7981,9,FALSE()),"please select a BUG ID")</f>
        <v>https://review.opendev.org/c/openstack/nova/+/28880</v>
      </c>
      <c r="D373" s="114"/>
      <c r="E373" s="114"/>
      <c r="F373" s="115"/>
      <c r="G373" s="16" t="s">
        <v>1443</v>
      </c>
      <c r="H373" s="118" t="s">
        <v>1895</v>
      </c>
      <c r="I373" s="82"/>
      <c r="J373" s="92"/>
      <c r="K373" s="82"/>
      <c r="M373" s="114" t="str">
        <f>VLOOKUP(A373,'BIC_(C_Variables)'!$A$3:$AS$43,45,FALSE())</f>
        <v/>
      </c>
      <c r="N373" s="1"/>
      <c r="O373" s="1"/>
      <c r="P373" s="81" t="str">
        <f>IFERROR(VLOOKUP(A373,Internal_lists_bugs!$A$2:$G7981,7,FALSE()),"please select a BUG ID")</f>
        <v>https://opendev.org/openstack/nova/commit/501ff41</v>
      </c>
    </row>
    <row r="374">
      <c r="A374" s="16" t="s">
        <v>41</v>
      </c>
      <c r="B374" s="50" t="str">
        <f>IFERROR(HYPERLINK(VLOOKUP(A374,Internal_lists_bugs!$A$2:$C$73,3,FALSE()), VLOOKUP(A374,Internal_lists_bugs!$A$2:$C$73,3,FALSE())&amp;Char(10) &amp; Char(10) &amp; VLOOKUP(A374,Internal_lists_bugs!$A$2:$Z$73,26,FALSE())),"please select a BUG ID")</f>
        <v>https://bugs.launchpad.net/nova/+bug/1466390
/sqlalchemy/api.py</v>
      </c>
      <c r="C374" s="81" t="str">
        <f>IFERROR(VLOOKUP(A374,Internal_lists_bugs!$A$2:$I7981,9,FALSE()),"please select a BUG ID")</f>
        <v>https://review.opendev.org/c/openstack/nova/+/28880</v>
      </c>
      <c r="D374" s="114"/>
      <c r="E374" s="114"/>
      <c r="F374" s="115"/>
      <c r="G374" s="16" t="s">
        <v>1445</v>
      </c>
      <c r="H374" s="118" t="s">
        <v>1896</v>
      </c>
      <c r="I374" s="82"/>
      <c r="J374" s="92"/>
      <c r="K374" s="82"/>
      <c r="M374" s="114" t="str">
        <f>VLOOKUP(A374,'BIC_(C_Variables)'!$A$3:$AS$43,45,FALSE())</f>
        <v/>
      </c>
      <c r="N374" s="1"/>
      <c r="O374" s="1"/>
      <c r="P374" s="81" t="str">
        <f>IFERROR(VLOOKUP(A374,Internal_lists_bugs!$A$2:$G7981,7,FALSE()),"please select a BUG ID")</f>
        <v>https://opendev.org/openstack/nova/commit/501ff41</v>
      </c>
    </row>
    <row r="375">
      <c r="A375" s="16" t="s">
        <v>41</v>
      </c>
      <c r="B375" s="50" t="str">
        <f>IFERROR(HYPERLINK(VLOOKUP(A375,Internal_lists_bugs!$A$2:$C$73,3,FALSE()), VLOOKUP(A375,Internal_lists_bugs!$A$2:$C$73,3,FALSE())&amp;Char(10) &amp; Char(10) &amp; VLOOKUP(A375,Internal_lists_bugs!$A$2:$Z$73,26,FALSE())),"please select a BUG ID")</f>
        <v>https://bugs.launchpad.net/nova/+bug/1466390
/sqlalchemy/api.py</v>
      </c>
      <c r="C375" s="81" t="str">
        <f>IFERROR(VLOOKUP(A375,Internal_lists_bugs!$A$2:$I7981,9,FALSE()),"please select a BUG ID")</f>
        <v>https://review.opendev.org/c/openstack/nova/+/28880</v>
      </c>
      <c r="D375" s="114"/>
      <c r="E375" s="114"/>
      <c r="F375" s="115"/>
      <c r="G375" s="16" t="s">
        <v>1590</v>
      </c>
      <c r="H375" s="118" t="s">
        <v>1896</v>
      </c>
      <c r="I375" s="82"/>
      <c r="J375" s="92"/>
      <c r="K375" s="82"/>
      <c r="M375" s="114" t="str">
        <f>VLOOKUP(A375,'BIC_(C_Variables)'!$A$3:$AS$43,45,FALSE())</f>
        <v/>
      </c>
      <c r="N375" s="1"/>
      <c r="O375" s="1"/>
      <c r="P375" s="81" t="str">
        <f>IFERROR(VLOOKUP(A375,Internal_lists_bugs!$A$2:$G7981,7,FALSE()),"please select a BUG ID")</f>
        <v>https://opendev.org/openstack/nova/commit/501ff41</v>
      </c>
    </row>
    <row r="376">
      <c r="A376" s="16" t="s">
        <v>41</v>
      </c>
      <c r="B376" s="50" t="str">
        <f>IFERROR(HYPERLINK(VLOOKUP(A376,Internal_lists_bugs!$A$2:$C$73,3,FALSE()), VLOOKUP(A376,Internal_lists_bugs!$A$2:$C$73,3,FALSE())&amp;Char(10) &amp; Char(10) &amp; VLOOKUP(A376,Internal_lists_bugs!$A$2:$Z$73,26,FALSE())),"please select a BUG ID")</f>
        <v>https://bugs.launchpad.net/nova/+bug/1466390
/sqlalchemy/api.py</v>
      </c>
      <c r="C376" s="81" t="str">
        <f>IFERROR(VLOOKUP(A376,Internal_lists_bugs!$A$2:$I7981,9,FALSE()),"please select a BUG ID")</f>
        <v>https://review.opendev.org/c/openstack/nova/+/28880</v>
      </c>
      <c r="D376" s="114"/>
      <c r="E376" s="114"/>
      <c r="F376" s="115"/>
      <c r="G376" s="16" t="s">
        <v>1450</v>
      </c>
      <c r="H376" s="118" t="s">
        <v>1897</v>
      </c>
      <c r="I376" s="82"/>
      <c r="J376" s="92"/>
      <c r="K376" s="82"/>
      <c r="M376" s="114" t="str">
        <f>VLOOKUP(A376,'BIC_(C_Variables)'!$A$3:$AS$43,45,FALSE())</f>
        <v/>
      </c>
      <c r="N376" s="1"/>
      <c r="O376" s="1"/>
      <c r="P376" s="81" t="str">
        <f>IFERROR(VLOOKUP(A376,Internal_lists_bugs!$A$2:$G7981,7,FALSE()),"please select a BUG ID")</f>
        <v>https://opendev.org/openstack/nova/commit/501ff41</v>
      </c>
    </row>
    <row r="377">
      <c r="A377" s="16" t="s">
        <v>41</v>
      </c>
      <c r="B377" s="50" t="str">
        <f>IFERROR(HYPERLINK(VLOOKUP(A377,Internal_lists_bugs!$A$2:$C$73,3,FALSE()), VLOOKUP(A377,Internal_lists_bugs!$A$2:$C$73,3,FALSE())&amp;Char(10) &amp; Char(10) &amp; VLOOKUP(A377,Internal_lists_bugs!$A$2:$Z$73,26,FALSE())),"please select a BUG ID")</f>
        <v>https://bugs.launchpad.net/nova/+bug/1466390
/sqlalchemy/api.py</v>
      </c>
      <c r="C377" s="81" t="str">
        <f>IFERROR(VLOOKUP(A377,Internal_lists_bugs!$A$2:$I7981,9,FALSE()),"please select a BUG ID")</f>
        <v>https://review.opendev.org/c/openstack/nova/+/28880</v>
      </c>
      <c r="D377" s="114"/>
      <c r="E377" s="114"/>
      <c r="F377" s="115"/>
      <c r="G377" s="16" t="s">
        <v>1452</v>
      </c>
      <c r="H377" s="118" t="s">
        <v>1897</v>
      </c>
      <c r="I377" s="82"/>
      <c r="J377" s="92"/>
      <c r="K377" s="82"/>
      <c r="M377" s="114" t="str">
        <f>VLOOKUP(A377,'BIC_(C_Variables)'!$A$3:$AS$43,45,FALSE())</f>
        <v/>
      </c>
      <c r="N377" s="1"/>
      <c r="O377" s="1"/>
      <c r="P377" s="81" t="str">
        <f>IFERROR(VLOOKUP(A377,Internal_lists_bugs!$A$2:$G7981,7,FALSE()),"please select a BUG ID")</f>
        <v>https://opendev.org/openstack/nova/commit/501ff41</v>
      </c>
    </row>
    <row r="378">
      <c r="A378" s="16" t="s">
        <v>41</v>
      </c>
      <c r="B378" s="50" t="str">
        <f>IFERROR(HYPERLINK(VLOOKUP(A378,Internal_lists_bugs!$A$2:$C$73,3,FALSE()), VLOOKUP(A378,Internal_lists_bugs!$A$2:$C$73,3,FALSE())&amp;Char(10) &amp; Char(10) &amp; VLOOKUP(A378,Internal_lists_bugs!$A$2:$Z$73,26,FALSE())),"please select a BUG ID")</f>
        <v>https://bugs.launchpad.net/nova/+bug/1466390
/sqlalchemy/api.py</v>
      </c>
      <c r="C378" s="81" t="str">
        <f>IFERROR(VLOOKUP(A378,Internal_lists_bugs!$A$2:$I7981,9,FALSE()),"please select a BUG ID")</f>
        <v>https://review.opendev.org/c/openstack/nova/+/28880</v>
      </c>
      <c r="D378" s="114"/>
      <c r="E378" s="114"/>
      <c r="F378" s="115"/>
      <c r="G378" s="16" t="s">
        <v>1453</v>
      </c>
      <c r="H378" s="118" t="s">
        <v>1898</v>
      </c>
      <c r="I378" s="82"/>
      <c r="J378" s="92"/>
      <c r="K378" s="82"/>
      <c r="M378" s="114" t="str">
        <f>VLOOKUP(A378,'BIC_(C_Variables)'!$A$3:$AS$43,45,FALSE())</f>
        <v/>
      </c>
      <c r="N378" s="1"/>
      <c r="O378" s="1"/>
      <c r="P378" s="81" t="str">
        <f>IFERROR(VLOOKUP(A378,Internal_lists_bugs!$A$2:$G7981,7,FALSE()),"please select a BUG ID")</f>
        <v>https://opendev.org/openstack/nova/commit/501ff41</v>
      </c>
    </row>
    <row r="379">
      <c r="A379" s="16" t="s">
        <v>41</v>
      </c>
      <c r="B379" s="50" t="str">
        <f>IFERROR(HYPERLINK(VLOOKUP(A379,Internal_lists_bugs!$A$2:$C$73,3,FALSE()), VLOOKUP(A379,Internal_lists_bugs!$A$2:$C$73,3,FALSE())&amp;Char(10) &amp; Char(10) &amp; VLOOKUP(A379,Internal_lists_bugs!$A$2:$Z$73,26,FALSE())),"please select a BUG ID")</f>
        <v>https://bugs.launchpad.net/nova/+bug/1466390
/sqlalchemy/api.py</v>
      </c>
      <c r="C379" s="81" t="str">
        <f>IFERROR(VLOOKUP(A379,Internal_lists_bugs!$A$2:$I7981,9,FALSE()),"please select a BUG ID")</f>
        <v>https://review.opendev.org/c/openstack/nova/+/28880</v>
      </c>
      <c r="D379" s="114"/>
      <c r="E379" s="114"/>
      <c r="F379" s="115"/>
      <c r="G379" s="16" t="s">
        <v>1455</v>
      </c>
      <c r="H379" s="118" t="s">
        <v>1898</v>
      </c>
      <c r="I379" s="82"/>
      <c r="J379" s="92"/>
      <c r="K379" s="82"/>
      <c r="M379" s="114" t="str">
        <f>VLOOKUP(A379,'BIC_(C_Variables)'!$A$3:$AS$43,45,FALSE())</f>
        <v/>
      </c>
      <c r="N379" s="1"/>
      <c r="O379" s="1"/>
      <c r="P379" s="81" t="str">
        <f>IFERROR(VLOOKUP(A379,Internal_lists_bugs!$A$2:$G7981,7,FALSE()),"please select a BUG ID")</f>
        <v>https://opendev.org/openstack/nova/commit/501ff41</v>
      </c>
    </row>
    <row r="380">
      <c r="A380" s="16" t="s">
        <v>41</v>
      </c>
      <c r="B380" s="50" t="str">
        <f>IFERROR(HYPERLINK(VLOOKUP(A380,Internal_lists_bugs!$A$2:$C$73,3,FALSE()), VLOOKUP(A380,Internal_lists_bugs!$A$2:$C$73,3,FALSE())&amp;Char(10) &amp; Char(10) &amp; VLOOKUP(A380,Internal_lists_bugs!$A$2:$Z$73,26,FALSE())),"please select a BUG ID")</f>
        <v>https://bugs.launchpad.net/nova/+bug/1466390
/sqlalchemy/api.py</v>
      </c>
      <c r="C380" s="81" t="str">
        <f>IFERROR(VLOOKUP(A380,Internal_lists_bugs!$A$2:$I7981,9,FALSE()),"please select a BUG ID")</f>
        <v>https://review.opendev.org/c/openstack/nova/+/28880</v>
      </c>
      <c r="D380" s="114"/>
      <c r="E380" s="114"/>
      <c r="F380" s="115"/>
      <c r="G380" s="16" t="s">
        <v>1458</v>
      </c>
      <c r="H380" s="118" t="s">
        <v>1899</v>
      </c>
      <c r="I380" s="82"/>
      <c r="J380" s="92"/>
      <c r="K380" s="82"/>
      <c r="M380" s="114" t="str">
        <f>VLOOKUP(A380,'BIC_(C_Variables)'!$A$3:$AS$43,45,FALSE())</f>
        <v/>
      </c>
      <c r="N380" s="1"/>
      <c r="O380" s="1"/>
      <c r="P380" s="81" t="str">
        <f>IFERROR(VLOOKUP(A380,Internal_lists_bugs!$A$2:$G7981,7,FALSE()),"please select a BUG ID")</f>
        <v>https://opendev.org/openstack/nova/commit/501ff41</v>
      </c>
    </row>
    <row r="381">
      <c r="A381" s="16" t="s">
        <v>41</v>
      </c>
      <c r="B381" s="50" t="str">
        <f>IFERROR(HYPERLINK(VLOOKUP(A381,Internal_lists_bugs!$A$2:$C$73,3,FALSE()), VLOOKUP(A381,Internal_lists_bugs!$A$2:$C$73,3,FALSE())&amp;Char(10) &amp; Char(10) &amp; VLOOKUP(A381,Internal_lists_bugs!$A$2:$Z$73,26,FALSE())),"please select a BUG ID")</f>
        <v>https://bugs.launchpad.net/nova/+bug/1466390
/sqlalchemy/api.py</v>
      </c>
      <c r="C381" s="81" t="str">
        <f>IFERROR(VLOOKUP(A381,Internal_lists_bugs!$A$2:$I7981,9,FALSE()),"please select a BUG ID")</f>
        <v>https://review.opendev.org/c/openstack/nova/+/28880</v>
      </c>
      <c r="D381" s="114"/>
      <c r="E381" s="114"/>
      <c r="F381" s="115"/>
      <c r="G381" s="16" t="s">
        <v>1900</v>
      </c>
      <c r="H381" s="118" t="s">
        <v>1899</v>
      </c>
      <c r="I381" s="82"/>
      <c r="J381" s="92"/>
      <c r="K381" s="82"/>
      <c r="M381" s="114" t="str">
        <f>VLOOKUP(A381,'BIC_(C_Variables)'!$A$3:$AS$43,45,FALSE())</f>
        <v/>
      </c>
      <c r="N381" s="1"/>
      <c r="O381" s="1"/>
      <c r="P381" s="81" t="str">
        <f>IFERROR(VLOOKUP(A381,Internal_lists_bugs!$A$2:$G7981,7,FALSE()),"please select a BUG ID")</f>
        <v>https://opendev.org/openstack/nova/commit/501ff41</v>
      </c>
    </row>
    <row r="382">
      <c r="A382" s="16" t="s">
        <v>41</v>
      </c>
      <c r="B382" s="50" t="str">
        <f>IFERROR(HYPERLINK(VLOOKUP(A382,Internal_lists_bugs!$A$2:$C$73,3,FALSE()), VLOOKUP(A382,Internal_lists_bugs!$A$2:$C$73,3,FALSE())&amp;Char(10) &amp; Char(10) &amp; VLOOKUP(A382,Internal_lists_bugs!$A$2:$Z$73,26,FALSE())),"please select a BUG ID")</f>
        <v>https://bugs.launchpad.net/nova/+bug/1466390
/sqlalchemy/api.py</v>
      </c>
      <c r="C382" s="81" t="str">
        <f>IFERROR(VLOOKUP(A382,Internal_lists_bugs!$A$2:$I7981,9,FALSE()),"please select a BUG ID")</f>
        <v>https://review.opendev.org/c/openstack/nova/+/28880</v>
      </c>
      <c r="D382" s="114"/>
      <c r="E382" s="114"/>
      <c r="F382" s="115"/>
      <c r="G382" s="120" t="s">
        <v>1612</v>
      </c>
      <c r="H382" s="118" t="s">
        <v>1901</v>
      </c>
      <c r="I382" s="82"/>
      <c r="J382" s="92"/>
      <c r="K382" s="82"/>
      <c r="M382" s="114" t="str">
        <f>VLOOKUP(A382,'BIC_(C_Variables)'!$A$3:$AS$43,45,FALSE())</f>
        <v/>
      </c>
      <c r="N382" s="1"/>
      <c r="O382" s="1"/>
      <c r="P382" s="81" t="str">
        <f>IFERROR(VLOOKUP(A382,Internal_lists_bugs!$A$2:$G7981,7,FALSE()),"please select a BUG ID")</f>
        <v>https://opendev.org/openstack/nova/commit/501ff41</v>
      </c>
    </row>
    <row r="383">
      <c r="A383" s="16" t="s">
        <v>41</v>
      </c>
      <c r="B383" s="50" t="str">
        <f>IFERROR(HYPERLINK(VLOOKUP(A383,Internal_lists_bugs!$A$2:$C$73,3,FALSE()), VLOOKUP(A383,Internal_lists_bugs!$A$2:$C$73,3,FALSE())&amp;Char(10) &amp; Char(10) &amp; VLOOKUP(A383,Internal_lists_bugs!$A$2:$Z$73,26,FALSE())),"please select a BUG ID")</f>
        <v>https://bugs.launchpad.net/nova/+bug/1466390
/sqlalchemy/api.py</v>
      </c>
      <c r="C383" s="81" t="str">
        <f>IFERROR(VLOOKUP(A383,Internal_lists_bugs!$A$2:$I7981,9,FALSE()),"please select a BUG ID")</f>
        <v>https://review.opendev.org/c/openstack/nova/+/28880</v>
      </c>
      <c r="D383" s="114"/>
      <c r="E383" s="114"/>
      <c r="F383" s="115"/>
      <c r="G383" s="16" t="s">
        <v>1902</v>
      </c>
      <c r="H383" s="118" t="s">
        <v>1903</v>
      </c>
      <c r="I383" s="82"/>
      <c r="J383" s="92"/>
      <c r="K383" s="82"/>
      <c r="M383" s="114" t="str">
        <f>VLOOKUP(A383,'BIC_(C_Variables)'!$A$3:$AS$43,45,FALSE())</f>
        <v/>
      </c>
      <c r="N383" s="1"/>
      <c r="O383" s="1"/>
      <c r="P383" s="81" t="str">
        <f>IFERROR(VLOOKUP(A383,Internal_lists_bugs!$A$2:$G7981,7,FALSE()),"please select a BUG ID")</f>
        <v>https://opendev.org/openstack/nova/commit/501ff41</v>
      </c>
    </row>
    <row r="384">
      <c r="A384" s="16" t="s">
        <v>41</v>
      </c>
      <c r="B384" s="50" t="str">
        <f>IFERROR(HYPERLINK(VLOOKUP(A384,Internal_lists_bugs!$A$2:$C$73,3,FALSE()), VLOOKUP(A384,Internal_lists_bugs!$A$2:$C$73,3,FALSE())&amp;Char(10) &amp; Char(10) &amp; VLOOKUP(A384,Internal_lists_bugs!$A$2:$Z$73,26,FALSE())),"please select a BUG ID")</f>
        <v>https://bugs.launchpad.net/nova/+bug/1466390
/sqlalchemy/api.py</v>
      </c>
      <c r="C384" s="81" t="str">
        <f>IFERROR(VLOOKUP(A384,Internal_lists_bugs!$A$2:$I7981,9,FALSE()),"please select a BUG ID")</f>
        <v>https://review.opendev.org/c/openstack/nova/+/28880</v>
      </c>
      <c r="D384" s="114"/>
      <c r="E384" s="114"/>
      <c r="F384" s="115"/>
      <c r="G384" s="16" t="s">
        <v>1904</v>
      </c>
      <c r="H384" s="118" t="s">
        <v>1905</v>
      </c>
      <c r="I384" s="82"/>
      <c r="J384" s="92"/>
      <c r="K384" s="82"/>
      <c r="M384" s="114" t="str">
        <f>VLOOKUP(A384,'BIC_(C_Variables)'!$A$3:$AS$43,45,FALSE())</f>
        <v/>
      </c>
      <c r="N384" s="1"/>
      <c r="O384" s="1"/>
      <c r="P384" s="81" t="str">
        <f>IFERROR(VLOOKUP(A384,Internal_lists_bugs!$A$2:$G7981,7,FALSE()),"please select a BUG ID")</f>
        <v>https://opendev.org/openstack/nova/commit/501ff41</v>
      </c>
    </row>
    <row r="385">
      <c r="A385" s="16" t="s">
        <v>41</v>
      </c>
      <c r="B385" s="50" t="str">
        <f>IFERROR(HYPERLINK(VLOOKUP(A385,Internal_lists_bugs!$A$2:$C$73,3,FALSE()), VLOOKUP(A385,Internal_lists_bugs!$A$2:$C$73,3,FALSE())&amp;Char(10) &amp; Char(10) &amp; VLOOKUP(A385,Internal_lists_bugs!$A$2:$Z$73,26,FALSE())),"please select a BUG ID")</f>
        <v>https://bugs.launchpad.net/nova/+bug/1466390
/sqlalchemy/api.py</v>
      </c>
      <c r="C385" s="81" t="str">
        <f>IFERROR(VLOOKUP(A385,Internal_lists_bugs!$A$2:$I7981,9,FALSE()),"please select a BUG ID")</f>
        <v>https://review.opendev.org/c/openstack/nova/+/28880</v>
      </c>
      <c r="D385" s="114"/>
      <c r="E385" s="114"/>
      <c r="F385" s="115"/>
      <c r="G385" s="16" t="s">
        <v>1481</v>
      </c>
      <c r="H385" s="118" t="s">
        <v>1906</v>
      </c>
      <c r="I385" s="82"/>
      <c r="J385" s="92"/>
      <c r="K385" s="82"/>
      <c r="M385" s="114" t="str">
        <f>VLOOKUP(A385,'BIC_(C_Variables)'!$A$3:$AS$43,45,FALSE())</f>
        <v/>
      </c>
      <c r="N385" s="1"/>
      <c r="O385" s="1"/>
      <c r="P385" s="81" t="str">
        <f>IFERROR(VLOOKUP(A385,Internal_lists_bugs!$A$2:$G7981,7,FALSE()),"please select a BUG ID")</f>
        <v>https://opendev.org/openstack/nova/commit/501ff41</v>
      </c>
    </row>
    <row r="386">
      <c r="A386" s="16" t="s">
        <v>41</v>
      </c>
      <c r="B386" s="50" t="str">
        <f>IFERROR(HYPERLINK(VLOOKUP(A386,Internal_lists_bugs!$A$2:$C$73,3,FALSE()), VLOOKUP(A386,Internal_lists_bugs!$A$2:$C$73,3,FALSE())&amp;Char(10) &amp; Char(10) &amp; VLOOKUP(A386,Internal_lists_bugs!$A$2:$Z$73,26,FALSE())),"please select a BUG ID")</f>
        <v>https://bugs.launchpad.net/nova/+bug/1466390
/sqlalchemy/api.py</v>
      </c>
      <c r="C386" s="81" t="str">
        <f>IFERROR(VLOOKUP(A386,Internal_lists_bugs!$A$2:$I7981,9,FALSE()),"please select a BUG ID")</f>
        <v>https://review.opendev.org/c/openstack/nova/+/28880</v>
      </c>
      <c r="D386" s="114"/>
      <c r="E386" s="114"/>
      <c r="F386" s="115"/>
      <c r="G386" s="16" t="s">
        <v>1485</v>
      </c>
      <c r="H386" s="118" t="s">
        <v>1907</v>
      </c>
      <c r="I386" s="82"/>
      <c r="J386" s="92"/>
      <c r="K386" s="82"/>
      <c r="M386" s="114" t="str">
        <f>VLOOKUP(A386,'BIC_(C_Variables)'!$A$3:$AS$43,45,FALSE())</f>
        <v/>
      </c>
      <c r="N386" s="1"/>
      <c r="O386" s="1"/>
      <c r="P386" s="81" t="str">
        <f>IFERROR(VLOOKUP(A386,Internal_lists_bugs!$A$2:$G7981,7,FALSE()),"please select a BUG ID")</f>
        <v>https://opendev.org/openstack/nova/commit/501ff41</v>
      </c>
    </row>
    <row r="387">
      <c r="A387" s="16" t="s">
        <v>41</v>
      </c>
      <c r="B387" s="50" t="str">
        <f>IFERROR(HYPERLINK(VLOOKUP(A387,Internal_lists_bugs!$A$2:$C$73,3,FALSE()), VLOOKUP(A387,Internal_lists_bugs!$A$2:$C$73,3,FALSE())&amp;Char(10) &amp; Char(10) &amp; VLOOKUP(A387,Internal_lists_bugs!$A$2:$Z$73,26,FALSE())),"please select a BUG ID")</f>
        <v>https://bugs.launchpad.net/nova/+bug/1466390
/sqlalchemy/api.py</v>
      </c>
      <c r="C387" s="81" t="str">
        <f>IFERROR(VLOOKUP(A387,Internal_lists_bugs!$A$2:$I7981,9,FALSE()),"please select a BUG ID")</f>
        <v>https://review.opendev.org/c/openstack/nova/+/28880</v>
      </c>
      <c r="D387" s="114"/>
      <c r="E387" s="114"/>
      <c r="F387" s="115"/>
      <c r="G387" s="16" t="s">
        <v>1908</v>
      </c>
      <c r="H387" s="118" t="s">
        <v>1897</v>
      </c>
      <c r="I387" s="82"/>
      <c r="J387" s="92"/>
      <c r="K387" s="82"/>
      <c r="M387" s="114" t="str">
        <f>VLOOKUP(A387,'BIC_(C_Variables)'!$A$3:$AS$43,45,FALSE())</f>
        <v/>
      </c>
      <c r="N387" s="1"/>
      <c r="O387" s="1"/>
      <c r="P387" s="81" t="str">
        <f>IFERROR(VLOOKUP(A387,Internal_lists_bugs!$A$2:$G7981,7,FALSE()),"please select a BUG ID")</f>
        <v>https://opendev.org/openstack/nova/commit/501ff41</v>
      </c>
    </row>
    <row r="388">
      <c r="A388" s="16" t="s">
        <v>41</v>
      </c>
      <c r="B388" s="50" t="str">
        <f>IFERROR(HYPERLINK(VLOOKUP(A388,Internal_lists_bugs!$A$2:$C$73,3,FALSE()), VLOOKUP(A388,Internal_lists_bugs!$A$2:$C$73,3,FALSE())&amp;Char(10) &amp; Char(10) &amp; VLOOKUP(A388,Internal_lists_bugs!$A$2:$Z$73,26,FALSE())),"please select a BUG ID")</f>
        <v>https://bugs.launchpad.net/nova/+bug/1466390
/sqlalchemy/api.py</v>
      </c>
      <c r="C388" s="81" t="str">
        <f>IFERROR(VLOOKUP(A388,Internal_lists_bugs!$A$2:$I7981,9,FALSE()),"please select a BUG ID")</f>
        <v>https://review.opendev.org/c/openstack/nova/+/28880</v>
      </c>
      <c r="D388" s="114"/>
      <c r="E388" s="114"/>
      <c r="F388" s="115"/>
      <c r="G388" s="120" t="s">
        <v>1909</v>
      </c>
      <c r="H388" s="118" t="s">
        <v>1897</v>
      </c>
      <c r="I388" s="82"/>
      <c r="J388" s="92"/>
      <c r="K388" s="82"/>
      <c r="M388" s="114" t="str">
        <f>VLOOKUP(A388,'BIC_(C_Variables)'!$A$3:$AS$43,45,FALSE())</f>
        <v/>
      </c>
      <c r="N388" s="1"/>
      <c r="O388" s="1"/>
      <c r="P388" s="81" t="str">
        <f>IFERROR(VLOOKUP(A388,Internal_lists_bugs!$A$2:$G7981,7,FALSE()),"please select a BUG ID")</f>
        <v>https://opendev.org/openstack/nova/commit/501ff41</v>
      </c>
    </row>
    <row r="389">
      <c r="A389" s="16" t="s">
        <v>41</v>
      </c>
      <c r="B389" s="50" t="str">
        <f>IFERROR(HYPERLINK(VLOOKUP(A389,Internal_lists_bugs!$A$2:$C$73,3,FALSE()), VLOOKUP(A389,Internal_lists_bugs!$A$2:$C$73,3,FALSE())&amp;Char(10) &amp; Char(10) &amp; VLOOKUP(A389,Internal_lists_bugs!$A$2:$Z$73,26,FALSE())),"please select a BUG ID")</f>
        <v>https://bugs.launchpad.net/nova/+bug/1466390
/sqlalchemy/api.py</v>
      </c>
      <c r="C389" s="81" t="str">
        <f>IFERROR(VLOOKUP(A389,Internal_lists_bugs!$A$2:$I7981,9,FALSE()),"please select a BUG ID")</f>
        <v>https://review.opendev.org/c/openstack/nova/+/28880</v>
      </c>
      <c r="D389" s="114"/>
      <c r="E389" s="114"/>
      <c r="F389" s="115"/>
      <c r="G389" s="16" t="s">
        <v>1910</v>
      </c>
      <c r="H389" s="118" t="s">
        <v>1911</v>
      </c>
      <c r="I389" s="82"/>
      <c r="J389" s="92"/>
      <c r="K389" s="82"/>
      <c r="M389" s="114" t="str">
        <f>VLOOKUP(A389,'BIC_(C_Variables)'!$A$3:$AS$43,45,FALSE())</f>
        <v/>
      </c>
      <c r="N389" s="1"/>
      <c r="O389" s="1"/>
      <c r="P389" s="81" t="str">
        <f>IFERROR(VLOOKUP(A389,Internal_lists_bugs!$A$2:$G7981,7,FALSE()),"please select a BUG ID")</f>
        <v>https://opendev.org/openstack/nova/commit/501ff41</v>
      </c>
    </row>
    <row r="390">
      <c r="A390" s="16" t="s">
        <v>41</v>
      </c>
      <c r="B390" s="50" t="str">
        <f>IFERROR(HYPERLINK(VLOOKUP(A390,Internal_lists_bugs!$A$2:$C$73,3,FALSE()), VLOOKUP(A390,Internal_lists_bugs!$A$2:$C$73,3,FALSE())&amp;Char(10) &amp; Char(10) &amp; VLOOKUP(A390,Internal_lists_bugs!$A$2:$Z$73,26,FALSE())),"please select a BUG ID")</f>
        <v>https://bugs.launchpad.net/nova/+bug/1466390
/sqlalchemy/api.py</v>
      </c>
      <c r="C390" s="81" t="str">
        <f>IFERROR(VLOOKUP(A390,Internal_lists_bugs!$A$2:$I7981,9,FALSE()),"please select a BUG ID")</f>
        <v>https://review.opendev.org/c/openstack/nova/+/28880</v>
      </c>
      <c r="D390" s="114"/>
      <c r="E390" s="114"/>
      <c r="F390" s="115"/>
      <c r="G390" s="16" t="s">
        <v>1588</v>
      </c>
      <c r="H390" s="118" t="s">
        <v>1912</v>
      </c>
      <c r="I390" s="82"/>
      <c r="J390" s="92"/>
      <c r="K390" s="82"/>
      <c r="M390" s="114" t="str">
        <f>VLOOKUP(A390,'BIC_(C_Variables)'!$A$3:$AS$43,45,FALSE())</f>
        <v/>
      </c>
      <c r="N390" s="1"/>
      <c r="O390" s="1"/>
      <c r="P390" s="81" t="str">
        <f>IFERROR(VLOOKUP(A390,Internal_lists_bugs!$A$2:$G7981,7,FALSE()),"please select a BUG ID")</f>
        <v>https://opendev.org/openstack/nova/commit/501ff41</v>
      </c>
    </row>
    <row r="391">
      <c r="A391" s="16" t="s">
        <v>41</v>
      </c>
      <c r="B391" s="50" t="str">
        <f>IFERROR(HYPERLINK(VLOOKUP(A391,Internal_lists_bugs!$A$2:$C$73,3,FALSE()), VLOOKUP(A391,Internal_lists_bugs!$A$2:$C$73,3,FALSE())&amp;Char(10) &amp; Char(10) &amp; VLOOKUP(A391,Internal_lists_bugs!$A$2:$Z$73,26,FALSE())),"please select a BUG ID")</f>
        <v>https://bugs.launchpad.net/nova/+bug/1466390
/sqlalchemy/api.py</v>
      </c>
      <c r="C391" s="81" t="str">
        <f>IFERROR(VLOOKUP(A391,Internal_lists_bugs!$A$2:$I7981,9,FALSE()),"please select a BUG ID")</f>
        <v>https://review.opendev.org/c/openstack/nova/+/28880</v>
      </c>
      <c r="D391" s="114"/>
      <c r="E391" s="114"/>
      <c r="F391" s="115"/>
      <c r="G391" s="16" t="s">
        <v>1913</v>
      </c>
      <c r="H391" s="16" t="s">
        <v>1914</v>
      </c>
      <c r="I391" s="82"/>
      <c r="J391" s="92"/>
      <c r="K391" s="82"/>
      <c r="M391" s="114" t="str">
        <f>VLOOKUP(A391,'BIC_(C_Variables)'!$A$3:$AS$43,45,FALSE())</f>
        <v/>
      </c>
      <c r="N391" s="1"/>
      <c r="O391" s="1"/>
      <c r="P391" s="81" t="str">
        <f>IFERROR(VLOOKUP(A391,Internal_lists_bugs!$A$2:$G7981,7,FALSE()),"please select a BUG ID")</f>
        <v>https://opendev.org/openstack/nova/commit/501ff41</v>
      </c>
    </row>
    <row r="392">
      <c r="A392" s="16" t="s">
        <v>41</v>
      </c>
      <c r="B392" s="50" t="str">
        <f>IFERROR(HYPERLINK(VLOOKUP(A392,Internal_lists_bugs!$A$2:$C$73,3,FALSE()), VLOOKUP(A392,Internal_lists_bugs!$A$2:$C$73,3,FALSE())&amp;Char(10) &amp; Char(10) &amp; VLOOKUP(A392,Internal_lists_bugs!$A$2:$Z$73,26,FALSE())),"please select a BUG ID")</f>
        <v>https://bugs.launchpad.net/nova/+bug/1466390
/sqlalchemy/api.py</v>
      </c>
      <c r="C392" s="81" t="str">
        <f>IFERROR(VLOOKUP(A392,Internal_lists_bugs!$A$2:$I7981,9,FALSE()),"please select a BUG ID")</f>
        <v>https://review.opendev.org/c/openstack/nova/+/28880</v>
      </c>
      <c r="D392" s="114"/>
      <c r="E392" s="114"/>
      <c r="F392" s="115"/>
      <c r="G392" s="16" t="s">
        <v>1915</v>
      </c>
      <c r="H392" s="16" t="s">
        <v>1916</v>
      </c>
      <c r="I392" s="82"/>
      <c r="J392" s="92"/>
      <c r="K392" s="82"/>
      <c r="M392" s="114" t="str">
        <f>VLOOKUP(A392,'BIC_(C_Variables)'!$A$3:$AS$43,45,FALSE())</f>
        <v/>
      </c>
      <c r="N392" s="1"/>
      <c r="O392" s="1"/>
      <c r="P392" s="81" t="str">
        <f>IFERROR(VLOOKUP(A392,Internal_lists_bugs!$A$2:$G7981,7,FALSE()),"please select a BUG ID")</f>
        <v>https://opendev.org/openstack/nova/commit/501ff41</v>
      </c>
    </row>
    <row r="393">
      <c r="A393" s="16" t="s">
        <v>41</v>
      </c>
      <c r="B393" s="50" t="str">
        <f>IFERROR(HYPERLINK(VLOOKUP(A393,Internal_lists_bugs!$A$2:$C$73,3,FALSE()), VLOOKUP(A393,Internal_lists_bugs!$A$2:$C$73,3,FALSE())&amp;Char(10) &amp; Char(10) &amp; VLOOKUP(A393,Internal_lists_bugs!$A$2:$Z$73,26,FALSE())),"please select a BUG ID")</f>
        <v>https://bugs.launchpad.net/nova/+bug/1466390
/sqlalchemy/api.py</v>
      </c>
      <c r="C393" s="81" t="str">
        <f>IFERROR(VLOOKUP(A393,Internal_lists_bugs!$A$2:$I7981,9,FALSE()),"please select a BUG ID")</f>
        <v>https://review.opendev.org/c/openstack/nova/+/28880</v>
      </c>
      <c r="D393" s="114"/>
      <c r="E393" s="114"/>
      <c r="F393" s="115"/>
      <c r="G393" s="16" t="s">
        <v>1917</v>
      </c>
      <c r="H393" s="16" t="s">
        <v>1916</v>
      </c>
      <c r="I393" s="82"/>
      <c r="J393" s="92"/>
      <c r="K393" s="82"/>
      <c r="M393" s="114" t="str">
        <f>VLOOKUP(A393,'BIC_(C_Variables)'!$A$3:$AS$43,45,FALSE())</f>
        <v/>
      </c>
      <c r="N393" s="1"/>
      <c r="O393" s="1"/>
      <c r="P393" s="81" t="str">
        <f>IFERROR(VLOOKUP(A393,Internal_lists_bugs!$A$2:$G7981,7,FALSE()),"please select a BUG ID")</f>
        <v>https://opendev.org/openstack/nova/commit/501ff41</v>
      </c>
    </row>
    <row r="394">
      <c r="A394" s="16" t="s">
        <v>41</v>
      </c>
      <c r="B394" s="50" t="str">
        <f>IFERROR(HYPERLINK(VLOOKUP(A394,Internal_lists_bugs!$A$2:$C$73,3,FALSE()), VLOOKUP(A394,Internal_lists_bugs!$A$2:$C$73,3,FALSE())&amp;Char(10) &amp; Char(10) &amp; VLOOKUP(A394,Internal_lists_bugs!$A$2:$Z$73,26,FALSE())),"please select a BUG ID")</f>
        <v>https://bugs.launchpad.net/nova/+bug/1466390
/sqlalchemy/api.py</v>
      </c>
      <c r="C394" s="81" t="str">
        <f>IFERROR(VLOOKUP(A394,Internal_lists_bugs!$A$2:$I7981,9,FALSE()),"please select a BUG ID")</f>
        <v>https://review.opendev.org/c/openstack/nova/+/28880</v>
      </c>
      <c r="D394" s="114"/>
      <c r="E394" s="114"/>
      <c r="F394" s="115"/>
      <c r="G394" s="16" t="s">
        <v>1918</v>
      </c>
      <c r="H394" s="16" t="s">
        <v>1919</v>
      </c>
      <c r="I394" s="82"/>
      <c r="J394" s="92"/>
      <c r="K394" s="82"/>
      <c r="M394" s="114" t="str">
        <f>VLOOKUP(A394,'BIC_(C_Variables)'!$A$3:$AS$43,45,FALSE())</f>
        <v/>
      </c>
      <c r="N394" s="1"/>
      <c r="O394" s="1"/>
      <c r="P394" s="81" t="str">
        <f>IFERROR(VLOOKUP(A394,Internal_lists_bugs!$A$2:$G7981,7,FALSE()),"please select a BUG ID")</f>
        <v>https://opendev.org/openstack/nova/commit/501ff41</v>
      </c>
    </row>
    <row r="395">
      <c r="A395" s="16" t="s">
        <v>41</v>
      </c>
      <c r="B395" s="50" t="str">
        <f>IFERROR(HYPERLINK(VLOOKUP(A395,Internal_lists_bugs!$A$2:$C$73,3,FALSE()), VLOOKUP(A395,Internal_lists_bugs!$A$2:$C$73,3,FALSE())&amp;Char(10) &amp; Char(10) &amp; VLOOKUP(A395,Internal_lists_bugs!$A$2:$Z$73,26,FALSE())),"please select a BUG ID")</f>
        <v>https://bugs.launchpad.net/nova/+bug/1466390
/sqlalchemy/api.py</v>
      </c>
      <c r="C395" s="81" t="str">
        <f>IFERROR(VLOOKUP(A395,Internal_lists_bugs!$A$2:$I7981,9,FALSE()),"please select a BUG ID")</f>
        <v>https://review.opendev.org/c/openstack/nova/+/28880</v>
      </c>
      <c r="D395" s="114"/>
      <c r="E395" s="114"/>
      <c r="F395" s="115"/>
      <c r="G395" s="16" t="s">
        <v>1920</v>
      </c>
      <c r="H395" s="16" t="s">
        <v>1919</v>
      </c>
      <c r="I395" s="82"/>
      <c r="J395" s="92"/>
      <c r="K395" s="82"/>
      <c r="M395" s="114" t="str">
        <f>VLOOKUP(A395,'BIC_(C_Variables)'!$A$3:$AS$43,45,FALSE())</f>
        <v/>
      </c>
      <c r="N395" s="1"/>
      <c r="O395" s="1"/>
      <c r="P395" s="81" t="str">
        <f>IFERROR(VLOOKUP(A395,Internal_lists_bugs!$A$2:$G7981,7,FALSE()),"please select a BUG ID")</f>
        <v>https://opendev.org/openstack/nova/commit/501ff41</v>
      </c>
    </row>
    <row r="396">
      <c r="A396" s="16" t="s">
        <v>41</v>
      </c>
      <c r="B396" s="50" t="str">
        <f>IFERROR(HYPERLINK(VLOOKUP(A396,Internal_lists_bugs!$A$2:$C$73,3,FALSE()), VLOOKUP(A396,Internal_lists_bugs!$A$2:$C$73,3,FALSE())&amp;Char(10) &amp; Char(10) &amp; VLOOKUP(A396,Internal_lists_bugs!$A$2:$Z$73,26,FALSE())),"please select a BUG ID")</f>
        <v>https://bugs.launchpad.net/nova/+bug/1466390
/sqlalchemy/api.py</v>
      </c>
      <c r="C396" s="81" t="str">
        <f>IFERROR(VLOOKUP(A396,Internal_lists_bugs!$A$2:$I7981,9,FALSE()),"please select a BUG ID")</f>
        <v>https://review.opendev.org/c/openstack/nova/+/28880</v>
      </c>
      <c r="D396" s="114"/>
      <c r="E396" s="114"/>
      <c r="F396" s="115"/>
      <c r="G396" s="16" t="s">
        <v>1921</v>
      </c>
      <c r="H396" s="16" t="s">
        <v>1922</v>
      </c>
      <c r="I396" s="82"/>
      <c r="J396" s="92"/>
      <c r="K396" s="82"/>
      <c r="M396" s="114" t="str">
        <f>VLOOKUP(A396,'BIC_(C_Variables)'!$A$3:$AS$43,45,FALSE())</f>
        <v/>
      </c>
      <c r="N396" s="1"/>
      <c r="O396" s="1"/>
      <c r="P396" s="81" t="str">
        <f>IFERROR(VLOOKUP(A396,Internal_lists_bugs!$A$2:$G7981,7,FALSE()),"please select a BUG ID")</f>
        <v>https://opendev.org/openstack/nova/commit/501ff41</v>
      </c>
    </row>
    <row r="397">
      <c r="A397" s="16" t="s">
        <v>41</v>
      </c>
      <c r="B397" s="50" t="str">
        <f>IFERROR(HYPERLINK(VLOOKUP(A397,Internal_lists_bugs!$A$2:$C$73,3,FALSE()), VLOOKUP(A397,Internal_lists_bugs!$A$2:$C$73,3,FALSE())&amp;Char(10) &amp; Char(10) &amp; VLOOKUP(A397,Internal_lists_bugs!$A$2:$Z$73,26,FALSE())),"please select a BUG ID")</f>
        <v>https://bugs.launchpad.net/nova/+bug/1466390
/sqlalchemy/api.py</v>
      </c>
      <c r="C397" s="81" t="str">
        <f>IFERROR(VLOOKUP(A397,Internal_lists_bugs!$A$2:$I7981,9,FALSE()),"please select a BUG ID")</f>
        <v>https://review.opendev.org/c/openstack/nova/+/28880</v>
      </c>
      <c r="D397" s="114"/>
      <c r="E397" s="114"/>
      <c r="F397" s="115"/>
      <c r="G397" s="16" t="s">
        <v>1923</v>
      </c>
      <c r="H397" s="16" t="s">
        <v>1924</v>
      </c>
      <c r="I397" s="82"/>
      <c r="J397" s="92"/>
      <c r="K397" s="82"/>
      <c r="M397" s="114" t="str">
        <f>VLOOKUP(A397,'BIC_(C_Variables)'!$A$3:$AS$43,45,FALSE())</f>
        <v/>
      </c>
      <c r="N397" s="1"/>
      <c r="O397" s="1"/>
      <c r="P397" s="81" t="str">
        <f>IFERROR(VLOOKUP(A397,Internal_lists_bugs!$A$2:$G7981,7,FALSE()),"please select a BUG ID")</f>
        <v>https://opendev.org/openstack/nova/commit/501ff41</v>
      </c>
    </row>
    <row r="398">
      <c r="A398" s="16" t="s">
        <v>41</v>
      </c>
      <c r="B398" s="50" t="str">
        <f>IFERROR(HYPERLINK(VLOOKUP(A398,Internal_lists_bugs!$A$2:$C$73,3,FALSE()), VLOOKUP(A398,Internal_lists_bugs!$A$2:$C$73,3,FALSE())&amp;Char(10) &amp; Char(10) &amp; VLOOKUP(A398,Internal_lists_bugs!$A$2:$Z$73,26,FALSE())),"please select a BUG ID")</f>
        <v>https://bugs.launchpad.net/nova/+bug/1466390
/sqlalchemy/api.py</v>
      </c>
      <c r="C398" s="81" t="str">
        <f>IFERROR(VLOOKUP(A398,Internal_lists_bugs!$A$2:$I7981,9,FALSE()),"please select a BUG ID")</f>
        <v>https://review.opendev.org/c/openstack/nova/+/28880</v>
      </c>
      <c r="D398" s="114"/>
      <c r="E398" s="114"/>
      <c r="F398" s="115"/>
      <c r="G398" s="16" t="s">
        <v>1925</v>
      </c>
      <c r="H398" s="16" t="s">
        <v>1926</v>
      </c>
      <c r="I398" s="82"/>
      <c r="J398" s="92"/>
      <c r="K398" s="82"/>
      <c r="M398" s="114" t="str">
        <f>VLOOKUP(A398,'BIC_(C_Variables)'!$A$3:$AS$43,45,FALSE())</f>
        <v/>
      </c>
      <c r="N398" s="1"/>
      <c r="O398" s="1"/>
      <c r="P398" s="81" t="str">
        <f>IFERROR(VLOOKUP(A398,Internal_lists_bugs!$A$2:$G7981,7,FALSE()),"please select a BUG ID")</f>
        <v>https://opendev.org/openstack/nova/commit/501ff41</v>
      </c>
    </row>
    <row r="399">
      <c r="A399" s="16" t="s">
        <v>41</v>
      </c>
      <c r="B399" s="50" t="str">
        <f>IFERROR(HYPERLINK(VLOOKUP(A399,Internal_lists_bugs!$A$2:$C$73,3,FALSE()), VLOOKUP(A399,Internal_lists_bugs!$A$2:$C$73,3,FALSE())&amp;Char(10) &amp; Char(10) &amp; VLOOKUP(A399,Internal_lists_bugs!$A$2:$Z$73,26,FALSE())),"please select a BUG ID")</f>
        <v>https://bugs.launchpad.net/nova/+bug/1466390
/sqlalchemy/api.py</v>
      </c>
      <c r="C399" s="81" t="str">
        <f>IFERROR(VLOOKUP(A399,Internal_lists_bugs!$A$2:$I7981,9,FALSE()),"please select a BUG ID")</f>
        <v>https://review.opendev.org/c/openstack/nova/+/28880</v>
      </c>
      <c r="D399" s="114"/>
      <c r="E399" s="114"/>
      <c r="F399" s="115"/>
      <c r="G399" s="16" t="s">
        <v>1498</v>
      </c>
      <c r="H399" s="16" t="s">
        <v>1927</v>
      </c>
      <c r="I399" s="82"/>
      <c r="J399" s="92"/>
      <c r="K399" s="82"/>
      <c r="M399" s="114" t="str">
        <f>VLOOKUP(A399,'BIC_(C_Variables)'!$A$3:$AS$43,45,FALSE())</f>
        <v/>
      </c>
      <c r="N399" s="1"/>
      <c r="O399" s="1"/>
      <c r="P399" s="81" t="str">
        <f>IFERROR(VLOOKUP(A399,Internal_lists_bugs!$A$2:$G7981,7,FALSE()),"please select a BUG ID")</f>
        <v>https://opendev.org/openstack/nova/commit/501ff41</v>
      </c>
    </row>
    <row r="400">
      <c r="A400" s="16" t="s">
        <v>41</v>
      </c>
      <c r="B400" s="50" t="str">
        <f>IFERROR(HYPERLINK(VLOOKUP(A400,Internal_lists_bugs!$A$2:$C$73,3,FALSE()), VLOOKUP(A400,Internal_lists_bugs!$A$2:$C$73,3,FALSE())&amp;Char(10) &amp; Char(10) &amp; VLOOKUP(A400,Internal_lists_bugs!$A$2:$Z$73,26,FALSE())),"please select a BUG ID")</f>
        <v>https://bugs.launchpad.net/nova/+bug/1466390
/sqlalchemy/api.py</v>
      </c>
      <c r="C400" s="81" t="str">
        <f>IFERROR(VLOOKUP(A400,Internal_lists_bugs!$A$2:$I7981,9,FALSE()),"please select a BUG ID")</f>
        <v>https://review.opendev.org/c/openstack/nova/+/28880</v>
      </c>
      <c r="D400" s="114"/>
      <c r="E400" s="114"/>
      <c r="F400" s="115"/>
      <c r="G400" s="16" t="s">
        <v>1928</v>
      </c>
      <c r="H400" s="16" t="s">
        <v>1929</v>
      </c>
      <c r="I400" s="82"/>
      <c r="J400" s="92"/>
      <c r="K400" s="82"/>
      <c r="M400" s="114" t="str">
        <f>VLOOKUP(A400,'BIC_(C_Variables)'!$A$3:$AS$43,45,FALSE())</f>
        <v/>
      </c>
      <c r="N400" s="1"/>
      <c r="O400" s="1"/>
      <c r="P400" s="81" t="str">
        <f>IFERROR(VLOOKUP(A400,Internal_lists_bugs!$A$2:$G7981,7,FALSE()),"please select a BUG ID")</f>
        <v>https://opendev.org/openstack/nova/commit/501ff41</v>
      </c>
    </row>
    <row r="401">
      <c r="A401" s="16" t="s">
        <v>41</v>
      </c>
      <c r="B401" s="50" t="str">
        <f>IFERROR(HYPERLINK(VLOOKUP(A401,Internal_lists_bugs!$A$2:$C$73,3,FALSE()), VLOOKUP(A401,Internal_lists_bugs!$A$2:$C$73,3,FALSE())&amp;Char(10) &amp; Char(10) &amp; VLOOKUP(A401,Internal_lists_bugs!$A$2:$Z$73,26,FALSE())),"please select a BUG ID")</f>
        <v>https://bugs.launchpad.net/nova/+bug/1466390
/sqlalchemy/api.py</v>
      </c>
      <c r="C401" s="81" t="str">
        <f>IFERROR(VLOOKUP(A401,Internal_lists_bugs!$A$2:$I7981,9,FALSE()),"please select a BUG ID")</f>
        <v>https://review.opendev.org/c/openstack/nova/+/28880</v>
      </c>
      <c r="D401" s="114"/>
      <c r="E401" s="114"/>
      <c r="F401" s="115"/>
      <c r="G401" s="120" t="s">
        <v>1930</v>
      </c>
      <c r="H401" s="16" t="s">
        <v>1929</v>
      </c>
      <c r="I401" s="82"/>
      <c r="J401" s="92"/>
      <c r="K401" s="82"/>
      <c r="M401" s="114" t="str">
        <f>VLOOKUP(A401,'BIC_(C_Variables)'!$A$3:$AS$43,45,FALSE())</f>
        <v/>
      </c>
      <c r="N401" s="1"/>
      <c r="O401" s="1"/>
      <c r="P401" s="81" t="str">
        <f>IFERROR(VLOOKUP(A401,Internal_lists_bugs!$A$2:$G7981,7,FALSE()),"please select a BUG ID")</f>
        <v>https://opendev.org/openstack/nova/commit/501ff41</v>
      </c>
    </row>
    <row r="402">
      <c r="A402" s="16" t="s">
        <v>41</v>
      </c>
      <c r="B402" s="50" t="str">
        <f>IFERROR(HYPERLINK(VLOOKUP(A402,Internal_lists_bugs!$A$2:$C$73,3,FALSE()), VLOOKUP(A402,Internal_lists_bugs!$A$2:$C$73,3,FALSE())&amp;Char(10) &amp; Char(10) &amp; VLOOKUP(A402,Internal_lists_bugs!$A$2:$Z$73,26,FALSE())),"please select a BUG ID")</f>
        <v>https://bugs.launchpad.net/nova/+bug/1466390
/sqlalchemy/api.py</v>
      </c>
      <c r="C402" s="81" t="str">
        <f>IFERROR(VLOOKUP(A402,Internal_lists_bugs!$A$2:$I7981,9,FALSE()),"please select a BUG ID")</f>
        <v>https://review.opendev.org/c/openstack/nova/+/28880</v>
      </c>
      <c r="D402" s="114"/>
      <c r="E402" s="114"/>
      <c r="F402" s="115"/>
      <c r="G402" s="16" t="s">
        <v>1931</v>
      </c>
      <c r="H402" s="16" t="s">
        <v>1932</v>
      </c>
      <c r="I402" s="82"/>
      <c r="J402" s="92"/>
      <c r="K402" s="82"/>
      <c r="M402" s="114" t="str">
        <f>VLOOKUP(A402,'BIC_(C_Variables)'!$A$3:$AS$43,45,FALSE())</f>
        <v/>
      </c>
      <c r="N402" s="1"/>
      <c r="O402" s="1"/>
      <c r="P402" s="81" t="str">
        <f>IFERROR(VLOOKUP(A402,Internal_lists_bugs!$A$2:$G7981,7,FALSE()),"please select a BUG ID")</f>
        <v>https://opendev.org/openstack/nova/commit/501ff41</v>
      </c>
    </row>
    <row r="403">
      <c r="A403" s="16" t="s">
        <v>41</v>
      </c>
      <c r="B403" s="50" t="str">
        <f>IFERROR(HYPERLINK(VLOOKUP(A403,Internal_lists_bugs!$A$2:$C$73,3,FALSE()), VLOOKUP(A403,Internal_lists_bugs!$A$2:$C$73,3,FALSE())&amp;Char(10) &amp; Char(10) &amp; VLOOKUP(A403,Internal_lists_bugs!$A$2:$Z$73,26,FALSE())),"please select a BUG ID")</f>
        <v>https://bugs.launchpad.net/nova/+bug/1466390
/sqlalchemy/api.py</v>
      </c>
      <c r="C403" s="81" t="str">
        <f>IFERROR(VLOOKUP(A403,Internal_lists_bugs!$A$2:$I7981,9,FALSE()),"please select a BUG ID")</f>
        <v>https://review.opendev.org/c/openstack/nova/+/28880</v>
      </c>
      <c r="D403" s="114"/>
      <c r="E403" s="114"/>
      <c r="F403" s="115"/>
      <c r="G403" s="120" t="s">
        <v>1933</v>
      </c>
      <c r="H403" s="16" t="s">
        <v>1932</v>
      </c>
      <c r="I403" s="82"/>
      <c r="J403" s="92"/>
      <c r="K403" s="82"/>
      <c r="M403" s="114" t="str">
        <f>VLOOKUP(A403,'BIC_(C_Variables)'!$A$3:$AS$43,45,FALSE())</f>
        <v/>
      </c>
      <c r="N403" s="1"/>
      <c r="O403" s="1"/>
      <c r="P403" s="81" t="str">
        <f>IFERROR(VLOOKUP(A403,Internal_lists_bugs!$A$2:$G7981,7,FALSE()),"please select a BUG ID")</f>
        <v>https://opendev.org/openstack/nova/commit/501ff41</v>
      </c>
    </row>
    <row r="404">
      <c r="A404" s="16" t="s">
        <v>41</v>
      </c>
      <c r="B404" s="50" t="str">
        <f>IFERROR(HYPERLINK(VLOOKUP(A404,Internal_lists_bugs!$A$2:$C$73,3,FALSE()), VLOOKUP(A404,Internal_lists_bugs!$A$2:$C$73,3,FALSE())&amp;Char(10) &amp; Char(10) &amp; VLOOKUP(A404,Internal_lists_bugs!$A$2:$Z$73,26,FALSE())),"please select a BUG ID")</f>
        <v>https://bugs.launchpad.net/nova/+bug/1466390
/sqlalchemy/api.py</v>
      </c>
      <c r="C404" s="81" t="str">
        <f>IFERROR(VLOOKUP(A404,Internal_lists_bugs!$A$2:$I7981,9,FALSE()),"please select a BUG ID")</f>
        <v>https://review.opendev.org/c/openstack/nova/+/28880</v>
      </c>
      <c r="D404" s="114"/>
      <c r="E404" s="114"/>
      <c r="F404" s="115"/>
      <c r="G404" s="16" t="s">
        <v>1934</v>
      </c>
      <c r="H404" s="16" t="s">
        <v>1935</v>
      </c>
      <c r="I404" s="82"/>
      <c r="J404" s="92"/>
      <c r="K404" s="82"/>
      <c r="M404" s="114" t="str">
        <f>VLOOKUP(A404,'BIC_(C_Variables)'!$A$3:$AS$43,45,FALSE())</f>
        <v/>
      </c>
      <c r="N404" s="1"/>
      <c r="O404" s="1"/>
      <c r="P404" s="81" t="str">
        <f>IFERROR(VLOOKUP(A404,Internal_lists_bugs!$A$2:$G7981,7,FALSE()),"please select a BUG ID")</f>
        <v>https://opendev.org/openstack/nova/commit/501ff41</v>
      </c>
    </row>
    <row r="405">
      <c r="A405" s="16" t="s">
        <v>41</v>
      </c>
      <c r="B405" s="50" t="str">
        <f>IFERROR(HYPERLINK(VLOOKUP(A405,Internal_lists_bugs!$A$2:$C$73,3,FALSE()), VLOOKUP(A405,Internal_lists_bugs!$A$2:$C$73,3,FALSE())&amp;Char(10) &amp; Char(10) &amp; VLOOKUP(A405,Internal_lists_bugs!$A$2:$Z$73,26,FALSE())),"please select a BUG ID")</f>
        <v>https://bugs.launchpad.net/nova/+bug/1466390
/sqlalchemy/api.py</v>
      </c>
      <c r="C405" s="81" t="str">
        <f>IFERROR(VLOOKUP(A405,Internal_lists_bugs!$A$2:$I7981,9,FALSE()),"please select a BUG ID")</f>
        <v>https://review.opendev.org/c/openstack/nova/+/28880</v>
      </c>
      <c r="D405" s="114"/>
      <c r="E405" s="114"/>
      <c r="F405" s="115"/>
      <c r="G405" s="120" t="s">
        <v>1936</v>
      </c>
      <c r="H405" s="16" t="s">
        <v>1935</v>
      </c>
      <c r="I405" s="82"/>
      <c r="J405" s="92"/>
      <c r="K405" s="82"/>
      <c r="M405" s="114" t="str">
        <f>VLOOKUP(A405,'BIC_(C_Variables)'!$A$3:$AS$43,45,FALSE())</f>
        <v/>
      </c>
      <c r="N405" s="1"/>
      <c r="O405" s="1"/>
      <c r="P405" s="81" t="str">
        <f>IFERROR(VLOOKUP(A405,Internal_lists_bugs!$A$2:$G7981,7,FALSE()),"please select a BUG ID")</f>
        <v>https://opendev.org/openstack/nova/commit/501ff41</v>
      </c>
    </row>
    <row r="406">
      <c r="A406" s="16" t="s">
        <v>41</v>
      </c>
      <c r="B406" s="50" t="str">
        <f>IFERROR(HYPERLINK(VLOOKUP(A406,Internal_lists_bugs!$A$2:$C$73,3,FALSE()), VLOOKUP(A406,Internal_lists_bugs!$A$2:$C$73,3,FALSE())&amp;Char(10) &amp; Char(10) &amp; VLOOKUP(A406,Internal_lists_bugs!$A$2:$Z$73,26,FALSE())),"please select a BUG ID")</f>
        <v>https://bugs.launchpad.net/nova/+bug/1466390
/sqlalchemy/api.py</v>
      </c>
      <c r="C406" s="81" t="str">
        <f>IFERROR(VLOOKUP(A406,Internal_lists_bugs!$A$2:$I7981,9,FALSE()),"please select a BUG ID")</f>
        <v>https://review.opendev.org/c/openstack/nova/+/28880</v>
      </c>
      <c r="D406" s="114"/>
      <c r="E406" s="114"/>
      <c r="F406" s="115"/>
      <c r="G406" s="16" t="s">
        <v>1831</v>
      </c>
      <c r="H406" s="16" t="s">
        <v>1937</v>
      </c>
      <c r="I406" s="82"/>
      <c r="J406" s="92"/>
      <c r="K406" s="82"/>
      <c r="M406" s="114" t="str">
        <f>VLOOKUP(A406,'BIC_(C_Variables)'!$A$3:$AS$43,45,FALSE())</f>
        <v/>
      </c>
      <c r="N406" s="1"/>
      <c r="O406" s="1"/>
      <c r="P406" s="81" t="str">
        <f>IFERROR(VLOOKUP(A406,Internal_lists_bugs!$A$2:$G7981,7,FALSE()),"please select a BUG ID")</f>
        <v>https://opendev.org/openstack/nova/commit/501ff41</v>
      </c>
    </row>
    <row r="407">
      <c r="A407" s="16" t="s">
        <v>41</v>
      </c>
      <c r="B407" s="50" t="str">
        <f>IFERROR(HYPERLINK(VLOOKUP(A407,Internal_lists_bugs!$A$2:$C$73,3,FALSE()), VLOOKUP(A407,Internal_lists_bugs!$A$2:$C$73,3,FALSE())&amp;Char(10) &amp; Char(10) &amp; VLOOKUP(A407,Internal_lists_bugs!$A$2:$Z$73,26,FALSE())),"please select a BUG ID")</f>
        <v>https://bugs.launchpad.net/nova/+bug/1466390
/sqlalchemy/api.py</v>
      </c>
      <c r="C407" s="81" t="str">
        <f>IFERROR(VLOOKUP(A407,Internal_lists_bugs!$A$2:$I7981,9,FALSE()),"please select a BUG ID")</f>
        <v>https://review.opendev.org/c/openstack/nova/+/28880</v>
      </c>
      <c r="D407" s="114"/>
      <c r="E407" s="114"/>
      <c r="F407" s="115"/>
      <c r="G407" s="16" t="s">
        <v>1531</v>
      </c>
      <c r="H407" s="16" t="s">
        <v>1938</v>
      </c>
      <c r="I407" s="82"/>
      <c r="J407" s="92"/>
      <c r="K407" s="82"/>
      <c r="M407" s="114" t="str">
        <f>VLOOKUP(A407,'BIC_(C_Variables)'!$A$3:$AS$43,45,FALSE())</f>
        <v/>
      </c>
      <c r="N407" s="1"/>
      <c r="O407" s="1"/>
      <c r="P407" s="81" t="str">
        <f>IFERROR(VLOOKUP(A407,Internal_lists_bugs!$A$2:$G7981,7,FALSE()),"please select a BUG ID")</f>
        <v>https://opendev.org/openstack/nova/commit/501ff41</v>
      </c>
    </row>
    <row r="408">
      <c r="A408" s="16" t="s">
        <v>41</v>
      </c>
      <c r="B408" s="50" t="str">
        <f>IFERROR(HYPERLINK(VLOOKUP(A408,Internal_lists_bugs!$A$2:$C$73,3,FALSE()), VLOOKUP(A408,Internal_lists_bugs!$A$2:$C$73,3,FALSE())&amp;Char(10) &amp; Char(10) &amp; VLOOKUP(A408,Internal_lists_bugs!$A$2:$Z$73,26,FALSE())),"please select a BUG ID")</f>
        <v>https://bugs.launchpad.net/nova/+bug/1466390
/sqlalchemy/api.py</v>
      </c>
      <c r="C408" s="81" t="str">
        <f>IFERROR(VLOOKUP(A408,Internal_lists_bugs!$A$2:$I7981,9,FALSE()),"please select a BUG ID")</f>
        <v>https://review.opendev.org/c/openstack/nova/+/28880</v>
      </c>
      <c r="D408" s="114"/>
      <c r="E408" s="114"/>
      <c r="F408" s="115"/>
      <c r="G408" s="16" t="s">
        <v>1750</v>
      </c>
      <c r="H408" s="16" t="s">
        <v>1939</v>
      </c>
      <c r="I408" s="82"/>
      <c r="J408" s="92"/>
      <c r="K408" s="82"/>
      <c r="M408" s="114" t="str">
        <f>VLOOKUP(A408,'BIC_(C_Variables)'!$A$3:$AS$43,45,FALSE())</f>
        <v/>
      </c>
      <c r="N408" s="1"/>
      <c r="O408" s="1"/>
      <c r="P408" s="81" t="str">
        <f>IFERROR(VLOOKUP(A408,Internal_lists_bugs!$A$2:$G7981,7,FALSE()),"please select a BUG ID")</f>
        <v>https://opendev.org/openstack/nova/commit/501ff41</v>
      </c>
    </row>
    <row r="409">
      <c r="A409" s="16" t="s">
        <v>41</v>
      </c>
      <c r="B409" s="50" t="str">
        <f>IFERROR(HYPERLINK(VLOOKUP(A409,Internal_lists_bugs!$A$2:$C$73,3,FALSE()), VLOOKUP(A409,Internal_lists_bugs!$A$2:$C$73,3,FALSE())&amp;Char(10) &amp; Char(10) &amp; VLOOKUP(A409,Internal_lists_bugs!$A$2:$Z$73,26,FALSE())),"please select a BUG ID")</f>
        <v>https://bugs.launchpad.net/nova/+bug/1466390
/sqlalchemy/api.py</v>
      </c>
      <c r="C409" s="81" t="str">
        <f>IFERROR(VLOOKUP(A409,Internal_lists_bugs!$A$2:$I7981,9,FALSE()),"please select a BUG ID")</f>
        <v>https://review.opendev.org/c/openstack/nova/+/28880</v>
      </c>
      <c r="D409" s="114"/>
      <c r="E409" s="114"/>
      <c r="F409" s="115"/>
      <c r="G409" s="16" t="s">
        <v>1745</v>
      </c>
      <c r="H409" s="14" t="s">
        <v>1940</v>
      </c>
      <c r="I409" s="82"/>
      <c r="J409" s="92"/>
      <c r="K409" s="82"/>
      <c r="M409" s="114" t="str">
        <f>VLOOKUP(A409,'BIC_(C_Variables)'!$A$3:$AS$43,45,FALSE())</f>
        <v/>
      </c>
      <c r="N409" s="1"/>
      <c r="O409" s="1"/>
      <c r="P409" s="81" t="str">
        <f>IFERROR(VLOOKUP(A409,Internal_lists_bugs!$A$2:$G7981,7,FALSE()),"please select a BUG ID")</f>
        <v>https://opendev.org/openstack/nova/commit/501ff41</v>
      </c>
    </row>
    <row r="410">
      <c r="A410" s="16" t="s">
        <v>41</v>
      </c>
      <c r="B410" s="50" t="str">
        <f>IFERROR(HYPERLINK(VLOOKUP(A410,Internal_lists_bugs!$A$2:$C$73,3,FALSE()), VLOOKUP(A410,Internal_lists_bugs!$A$2:$C$73,3,FALSE())&amp;Char(10) &amp; Char(10) &amp; VLOOKUP(A410,Internal_lists_bugs!$A$2:$Z$73,26,FALSE())),"please select a BUG ID")</f>
        <v>https://bugs.launchpad.net/nova/+bug/1466390
/sqlalchemy/api.py</v>
      </c>
      <c r="C410" s="81" t="str">
        <f>IFERROR(VLOOKUP(A410,Internal_lists_bugs!$A$2:$I7981,9,FALSE()),"please select a BUG ID")</f>
        <v>https://review.opendev.org/c/openstack/nova/+/28880</v>
      </c>
      <c r="D410" s="114"/>
      <c r="E410" s="114"/>
      <c r="F410" s="115"/>
      <c r="G410" s="16" t="s">
        <v>1941</v>
      </c>
      <c r="H410" s="16" t="s">
        <v>1942</v>
      </c>
      <c r="I410" s="82"/>
      <c r="J410" s="92"/>
      <c r="K410" s="82"/>
      <c r="M410" s="114" t="str">
        <f>VLOOKUP(A410,'BIC_(C_Variables)'!$A$3:$AS$43,45,FALSE())</f>
        <v/>
      </c>
      <c r="N410" s="1"/>
      <c r="O410" s="1"/>
      <c r="P410" s="81" t="str">
        <f>IFERROR(VLOOKUP(A410,Internal_lists_bugs!$A$2:$G7981,7,FALSE()),"please select a BUG ID")</f>
        <v>https://opendev.org/openstack/nova/commit/501ff41</v>
      </c>
    </row>
    <row r="411">
      <c r="A411" s="16" t="s">
        <v>41</v>
      </c>
      <c r="B411" s="50" t="str">
        <f>IFERROR(HYPERLINK(VLOOKUP(A411,Internal_lists_bugs!$A$2:$C$73,3,FALSE()), VLOOKUP(A411,Internal_lists_bugs!$A$2:$C$73,3,FALSE())&amp;Char(10) &amp; Char(10) &amp; VLOOKUP(A411,Internal_lists_bugs!$A$2:$Z$73,26,FALSE())),"please select a BUG ID")</f>
        <v>https://bugs.launchpad.net/nova/+bug/1466390
/sqlalchemy/api.py</v>
      </c>
      <c r="C411" s="81" t="str">
        <f>IFERROR(VLOOKUP(A411,Internal_lists_bugs!$A$2:$I7981,9,FALSE()),"please select a BUG ID")</f>
        <v>https://review.opendev.org/c/openstack/nova/+/28880</v>
      </c>
      <c r="D411" s="114"/>
      <c r="E411" s="114"/>
      <c r="F411" s="115"/>
      <c r="G411" s="120" t="s">
        <v>1943</v>
      </c>
      <c r="H411" s="16" t="s">
        <v>1942</v>
      </c>
      <c r="I411" s="82"/>
      <c r="J411" s="92"/>
      <c r="K411" s="82"/>
      <c r="M411" s="114" t="str">
        <f>VLOOKUP(A411,'BIC_(C_Variables)'!$A$3:$AS$43,45,FALSE())</f>
        <v/>
      </c>
      <c r="N411" s="1"/>
      <c r="O411" s="1"/>
      <c r="P411" s="81" t="str">
        <f>IFERROR(VLOOKUP(A411,Internal_lists_bugs!$A$2:$G7981,7,FALSE()),"please select a BUG ID")</f>
        <v>https://opendev.org/openstack/nova/commit/501ff41</v>
      </c>
    </row>
    <row r="412">
      <c r="A412" s="16" t="s">
        <v>41</v>
      </c>
      <c r="B412" s="50" t="str">
        <f>IFERROR(HYPERLINK(VLOOKUP(A412,Internal_lists_bugs!$A$2:$C$73,3,FALSE()), VLOOKUP(A412,Internal_lists_bugs!$A$2:$C$73,3,FALSE())&amp;Char(10) &amp; Char(10) &amp; VLOOKUP(A412,Internal_lists_bugs!$A$2:$Z$73,26,FALSE())),"please select a BUG ID")</f>
        <v>https://bugs.launchpad.net/nova/+bug/1466390
/sqlalchemy/api.py</v>
      </c>
      <c r="C412" s="81" t="str">
        <f>IFERROR(VLOOKUP(A412,Internal_lists_bugs!$A$2:$I7981,9,FALSE()),"please select a BUG ID")</f>
        <v>https://review.opendev.org/c/openstack/nova/+/28880</v>
      </c>
      <c r="D412" s="114"/>
      <c r="E412" s="114"/>
      <c r="F412" s="115"/>
      <c r="G412" s="16" t="s">
        <v>1944</v>
      </c>
      <c r="H412" s="16" t="s">
        <v>1945</v>
      </c>
      <c r="I412" s="82"/>
      <c r="J412" s="92"/>
      <c r="K412" s="82"/>
      <c r="M412" s="114"/>
      <c r="N412" s="1"/>
      <c r="O412" s="1"/>
      <c r="P412" s="51"/>
    </row>
    <row r="413">
      <c r="A413" s="16" t="s">
        <v>41</v>
      </c>
      <c r="B413" s="50" t="str">
        <f>IFERROR(HYPERLINK(VLOOKUP(A413,Internal_lists_bugs!$A$2:$C$73,3,FALSE()), VLOOKUP(A413,Internal_lists_bugs!$A$2:$C$73,3,FALSE())&amp;Char(10) &amp; Char(10) &amp; VLOOKUP(A413,Internal_lists_bugs!$A$2:$Z$73,26,FALSE())),"please select a BUG ID")</f>
        <v>https://bugs.launchpad.net/nova/+bug/1466390
/sqlalchemy/api.py</v>
      </c>
      <c r="C413" s="81" t="str">
        <f>IFERROR(VLOOKUP(A413,Internal_lists_bugs!$A$2:$I7981,9,FALSE()),"please select a BUG ID")</f>
        <v>https://review.opendev.org/c/openstack/nova/+/28880</v>
      </c>
      <c r="D413" s="114"/>
      <c r="E413" s="114"/>
      <c r="F413" s="115"/>
      <c r="G413" s="120" t="s">
        <v>1946</v>
      </c>
      <c r="H413" s="16" t="s">
        <v>1945</v>
      </c>
      <c r="I413" s="82"/>
      <c r="J413" s="92"/>
      <c r="K413" s="82"/>
      <c r="M413" s="114"/>
      <c r="N413" s="1"/>
      <c r="O413" s="1"/>
      <c r="P413" s="51"/>
    </row>
    <row r="414">
      <c r="A414" s="16" t="s">
        <v>41</v>
      </c>
      <c r="B414" s="50" t="str">
        <f>IFERROR(HYPERLINK(VLOOKUP(A414,Internal_lists_bugs!$A$2:$C$73,3,FALSE()), VLOOKUP(A414,Internal_lists_bugs!$A$2:$C$73,3,FALSE())&amp;Char(10) &amp; Char(10) &amp; VLOOKUP(A414,Internal_lists_bugs!$A$2:$Z$73,26,FALSE())),"please select a BUG ID")</f>
        <v>https://bugs.launchpad.net/nova/+bug/1466390
/sqlalchemy/api.py</v>
      </c>
      <c r="C414" s="81" t="str">
        <f>IFERROR(VLOOKUP(A414,Internal_lists_bugs!$A$2:$I7981,9,FALSE()),"please select a BUG ID")</f>
        <v>https://review.opendev.org/c/openstack/nova/+/28880</v>
      </c>
      <c r="D414" s="114"/>
      <c r="E414" s="114"/>
      <c r="F414" s="115"/>
      <c r="G414" s="16" t="s">
        <v>1947</v>
      </c>
      <c r="H414" s="16" t="s">
        <v>1948</v>
      </c>
      <c r="I414" s="82"/>
      <c r="J414" s="92"/>
      <c r="K414" s="82"/>
      <c r="M414" s="114" t="str">
        <f>VLOOKUP(A414,'BIC_(C_Variables)'!$A$3:$AS$43,45,FALSE())</f>
        <v/>
      </c>
      <c r="N414" s="1"/>
      <c r="O414" s="1"/>
      <c r="P414" s="81" t="str">
        <f>IFERROR(VLOOKUP(A414,Internal_lists_bugs!$A$2:$G7981,7,FALSE()),"please select a BUG ID")</f>
        <v>https://opendev.org/openstack/nova/commit/501ff41</v>
      </c>
    </row>
    <row r="415">
      <c r="A415" s="16" t="s">
        <v>41</v>
      </c>
      <c r="B415" s="50" t="str">
        <f>IFERROR(HYPERLINK(VLOOKUP(A415,Internal_lists_bugs!$A$2:$C$73,3,FALSE()), VLOOKUP(A415,Internal_lists_bugs!$A$2:$C$73,3,FALSE())&amp;Char(10) &amp; Char(10) &amp; VLOOKUP(A415,Internal_lists_bugs!$A$2:$Z$73,26,FALSE())),"please select a BUG ID")</f>
        <v>https://bugs.launchpad.net/nova/+bug/1466390
/sqlalchemy/api.py</v>
      </c>
      <c r="C415" s="81" t="str">
        <f>IFERROR(VLOOKUP(A415,Internal_lists_bugs!$A$2:$I7981,9,FALSE()),"please select a BUG ID")</f>
        <v>https://review.opendev.org/c/openstack/nova/+/28880</v>
      </c>
      <c r="D415" s="114"/>
      <c r="E415" s="114"/>
      <c r="F415" s="115"/>
      <c r="G415" s="16" t="s">
        <v>1949</v>
      </c>
      <c r="H415" s="16" t="s">
        <v>1950</v>
      </c>
      <c r="I415" s="82"/>
      <c r="J415" s="92"/>
      <c r="K415" s="82"/>
      <c r="M415" s="114" t="str">
        <f>VLOOKUP(A415,'BIC_(C_Variables)'!$A$3:$AS$43,45,FALSE())</f>
        <v/>
      </c>
      <c r="N415" s="1"/>
      <c r="O415" s="1"/>
      <c r="P415" s="81" t="str">
        <f>IFERROR(VLOOKUP(A415,Internal_lists_bugs!$A$2:$G7981,7,FALSE()),"please select a BUG ID")</f>
        <v>https://opendev.org/openstack/nova/commit/501ff41</v>
      </c>
    </row>
    <row r="416">
      <c r="A416" s="16" t="s">
        <v>41</v>
      </c>
      <c r="B416" s="50" t="str">
        <f>IFERROR(HYPERLINK(VLOOKUP(A416,Internal_lists_bugs!$A$2:$C$73,3,FALSE()), VLOOKUP(A416,Internal_lists_bugs!$A$2:$C$73,3,FALSE())&amp;Char(10) &amp; Char(10) &amp; VLOOKUP(A416,Internal_lists_bugs!$A$2:$Z$73,26,FALSE())),"please select a BUG ID")</f>
        <v>https://bugs.launchpad.net/nova/+bug/1466390
/sqlalchemy/api.py</v>
      </c>
      <c r="C416" s="81" t="str">
        <f>IFERROR(VLOOKUP(A416,Internal_lists_bugs!$A$2:$I7981,9,FALSE()),"please select a BUG ID")</f>
        <v>https://review.opendev.org/c/openstack/nova/+/28880</v>
      </c>
      <c r="D416" s="114"/>
      <c r="E416" s="114"/>
      <c r="F416" s="115"/>
      <c r="G416" s="16" t="s">
        <v>1951</v>
      </c>
      <c r="H416" s="16" t="s">
        <v>1952</v>
      </c>
      <c r="I416" s="82"/>
      <c r="J416" s="92"/>
      <c r="K416" s="82"/>
      <c r="M416" s="114"/>
      <c r="N416" s="1"/>
      <c r="O416" s="1"/>
      <c r="P416" s="51"/>
    </row>
    <row r="417">
      <c r="A417" s="16" t="s">
        <v>41</v>
      </c>
      <c r="B417" s="50" t="str">
        <f>IFERROR(HYPERLINK(VLOOKUP(A417,Internal_lists_bugs!$A$2:$C$73,3,FALSE()), VLOOKUP(A417,Internal_lists_bugs!$A$2:$C$73,3,FALSE())&amp;Char(10) &amp; Char(10) &amp; VLOOKUP(A417,Internal_lists_bugs!$A$2:$Z$73,26,FALSE())),"please select a BUG ID")</f>
        <v>https://bugs.launchpad.net/nova/+bug/1466390
/sqlalchemy/api.py</v>
      </c>
      <c r="C417" s="81" t="str">
        <f>IFERROR(VLOOKUP(A417,Internal_lists_bugs!$A$2:$I7981,9,FALSE()),"please select a BUG ID")</f>
        <v>https://review.opendev.org/c/openstack/nova/+/28880</v>
      </c>
      <c r="D417" s="114"/>
      <c r="E417" s="114"/>
      <c r="F417" s="115"/>
      <c r="G417" s="120" t="s">
        <v>1953</v>
      </c>
      <c r="H417" s="16" t="s">
        <v>1952</v>
      </c>
      <c r="I417" s="82"/>
      <c r="J417" s="92"/>
      <c r="K417" s="82"/>
      <c r="M417" s="114"/>
      <c r="N417" s="1"/>
      <c r="O417" s="1"/>
      <c r="P417" s="51"/>
    </row>
    <row r="418">
      <c r="A418" s="16" t="s">
        <v>41</v>
      </c>
      <c r="B418" s="50" t="str">
        <f>IFERROR(HYPERLINK(VLOOKUP(A418,Internal_lists_bugs!$A$2:$C$73,3,FALSE()), VLOOKUP(A418,Internal_lists_bugs!$A$2:$C$73,3,FALSE())&amp;Char(10) &amp; Char(10) &amp; VLOOKUP(A418,Internal_lists_bugs!$A$2:$Z$73,26,FALSE())),"please select a BUG ID")</f>
        <v>https://bugs.launchpad.net/nova/+bug/1466390
/sqlalchemy/api.py</v>
      </c>
      <c r="C418" s="81" t="str">
        <f>IFERROR(VLOOKUP(A418,Internal_lists_bugs!$A$2:$I7981,9,FALSE()),"please select a BUG ID")</f>
        <v>https://review.opendev.org/c/openstack/nova/+/28880</v>
      </c>
      <c r="D418" s="114"/>
      <c r="E418" s="114"/>
      <c r="F418" s="115"/>
      <c r="G418" s="16" t="s">
        <v>1954</v>
      </c>
      <c r="H418" s="16" t="s">
        <v>1955</v>
      </c>
      <c r="I418" s="82"/>
      <c r="J418" s="92"/>
      <c r="K418" s="82"/>
      <c r="M418" s="114"/>
      <c r="N418" s="1"/>
      <c r="O418" s="1"/>
      <c r="P418" s="51"/>
    </row>
    <row r="419">
      <c r="A419" s="16" t="s">
        <v>41</v>
      </c>
      <c r="B419" s="50" t="str">
        <f>IFERROR(HYPERLINK(VLOOKUP(A419,Internal_lists_bugs!$A$2:$C$73,3,FALSE()), VLOOKUP(A419,Internal_lists_bugs!$A$2:$C$73,3,FALSE())&amp;Char(10) &amp; Char(10) &amp; VLOOKUP(A419,Internal_lists_bugs!$A$2:$Z$73,26,FALSE())),"please select a BUG ID")</f>
        <v>https://bugs.launchpad.net/nova/+bug/1466390
/sqlalchemy/api.py</v>
      </c>
      <c r="C419" s="81" t="str">
        <f>IFERROR(VLOOKUP(A419,Internal_lists_bugs!$A$2:$I7981,9,FALSE()),"please select a BUG ID")</f>
        <v>https://review.opendev.org/c/openstack/nova/+/28880</v>
      </c>
      <c r="D419" s="114"/>
      <c r="E419" s="114"/>
      <c r="F419" s="115"/>
      <c r="G419" s="16" t="s">
        <v>1956</v>
      </c>
      <c r="H419" s="16" t="s">
        <v>1957</v>
      </c>
      <c r="I419" s="82"/>
      <c r="J419" s="92"/>
      <c r="K419" s="82"/>
      <c r="M419" s="114"/>
      <c r="N419" s="1"/>
      <c r="O419" s="1"/>
      <c r="P419" s="51"/>
    </row>
    <row r="420">
      <c r="A420" s="16" t="s">
        <v>41</v>
      </c>
      <c r="B420" s="50" t="str">
        <f>IFERROR(HYPERLINK(VLOOKUP(A420,Internal_lists_bugs!$A$2:$C$73,3,FALSE()), VLOOKUP(A420,Internal_lists_bugs!$A$2:$C$73,3,FALSE())&amp;Char(10) &amp; Char(10) &amp; VLOOKUP(A420,Internal_lists_bugs!$A$2:$Z$73,26,FALSE())),"please select a BUG ID")</f>
        <v>https://bugs.launchpad.net/nova/+bug/1466390
/sqlalchemy/api.py</v>
      </c>
      <c r="C420" s="81" t="str">
        <f>IFERROR(VLOOKUP(A420,Internal_lists_bugs!$A$2:$I7981,9,FALSE()),"please select a BUG ID")</f>
        <v>https://review.opendev.org/c/openstack/nova/+/28880</v>
      </c>
      <c r="D420" s="114"/>
      <c r="E420" s="114"/>
      <c r="F420" s="115"/>
      <c r="G420" s="120" t="s">
        <v>1958</v>
      </c>
      <c r="H420" s="16" t="s">
        <v>1957</v>
      </c>
      <c r="I420" s="82"/>
      <c r="J420" s="92"/>
      <c r="K420" s="82"/>
      <c r="M420" s="114"/>
      <c r="N420" s="1"/>
      <c r="O420" s="1"/>
      <c r="P420" s="51"/>
    </row>
    <row r="421">
      <c r="A421" s="16" t="s">
        <v>41</v>
      </c>
      <c r="B421" s="50" t="str">
        <f>IFERROR(HYPERLINK(VLOOKUP(A421,Internal_lists_bugs!$A$2:$C$73,3,FALSE()), VLOOKUP(A421,Internal_lists_bugs!$A$2:$C$73,3,FALSE())&amp;Char(10) &amp; Char(10) &amp; VLOOKUP(A421,Internal_lists_bugs!$A$2:$Z$73,26,FALSE())),"please select a BUG ID")</f>
        <v>https://bugs.launchpad.net/nova/+bug/1466390
/sqlalchemy/api.py</v>
      </c>
      <c r="C421" s="81" t="str">
        <f>IFERROR(VLOOKUP(A421,Internal_lists_bugs!$A$2:$I7981,9,FALSE()),"please select a BUG ID")</f>
        <v>https://review.opendev.org/c/openstack/nova/+/28880</v>
      </c>
      <c r="D421" s="114"/>
      <c r="E421" s="114"/>
      <c r="F421" s="115"/>
      <c r="G421" s="16" t="s">
        <v>1959</v>
      </c>
      <c r="H421" s="16" t="s">
        <v>1952</v>
      </c>
      <c r="I421" s="82"/>
      <c r="J421" s="92"/>
      <c r="K421" s="82"/>
      <c r="M421" s="114"/>
      <c r="N421" s="1"/>
      <c r="O421" s="1"/>
      <c r="P421" s="51"/>
    </row>
    <row r="422">
      <c r="A422" s="16" t="s">
        <v>41</v>
      </c>
      <c r="B422" s="50" t="str">
        <f>IFERROR(HYPERLINK(VLOOKUP(A422,Internal_lists_bugs!$A$2:$C$73,3,FALSE()), VLOOKUP(A422,Internal_lists_bugs!$A$2:$C$73,3,FALSE())&amp;Char(10) &amp; Char(10) &amp; VLOOKUP(A422,Internal_lists_bugs!$A$2:$Z$73,26,FALSE())),"please select a BUG ID")</f>
        <v>https://bugs.launchpad.net/nova/+bug/1466390
/sqlalchemy/api.py</v>
      </c>
      <c r="C422" s="81" t="str">
        <f>IFERROR(VLOOKUP(A422,Internal_lists_bugs!$A$2:$I7981,9,FALSE()),"please select a BUG ID")</f>
        <v>https://review.opendev.org/c/openstack/nova/+/28880</v>
      </c>
      <c r="D422" s="114"/>
      <c r="E422" s="114"/>
      <c r="F422" s="115"/>
      <c r="G422" s="120" t="s">
        <v>1960</v>
      </c>
      <c r="H422" s="16" t="s">
        <v>1952</v>
      </c>
      <c r="I422" s="82"/>
      <c r="J422" s="92"/>
      <c r="K422" s="82"/>
      <c r="M422" s="114"/>
      <c r="N422" s="1"/>
      <c r="O422" s="1"/>
      <c r="P422" s="51"/>
    </row>
    <row r="423">
      <c r="A423" s="16" t="s">
        <v>41</v>
      </c>
      <c r="B423" s="50" t="str">
        <f>IFERROR(HYPERLINK(VLOOKUP(A423,Internal_lists_bugs!$A$2:$C$73,3,FALSE()), VLOOKUP(A423,Internal_lists_bugs!$A$2:$C$73,3,FALSE())&amp;Char(10) &amp; Char(10) &amp; VLOOKUP(A423,Internal_lists_bugs!$A$2:$Z$73,26,FALSE())),"please select a BUG ID")</f>
        <v>https://bugs.launchpad.net/nova/+bug/1466390
/sqlalchemy/api.py</v>
      </c>
      <c r="C423" s="81" t="str">
        <f>IFERROR(VLOOKUP(A423,Internal_lists_bugs!$A$2:$I7981,9,FALSE()),"please select a BUG ID")</f>
        <v>https://review.opendev.org/c/openstack/nova/+/28880</v>
      </c>
      <c r="D423" s="114"/>
      <c r="E423" s="114"/>
      <c r="F423" s="115"/>
      <c r="G423" s="16" t="s">
        <v>1750</v>
      </c>
      <c r="H423" s="16" t="s">
        <v>1961</v>
      </c>
      <c r="I423" s="82"/>
      <c r="J423" s="92"/>
      <c r="K423" s="82"/>
      <c r="M423" s="114" t="str">
        <f>VLOOKUP(A423,'BIC_(C_Variables)'!$A$3:$AS$43,45,FALSE())</f>
        <v/>
      </c>
      <c r="N423" s="1"/>
      <c r="O423" s="1"/>
      <c r="P423" s="81" t="str">
        <f>IFERROR(VLOOKUP(A423,Internal_lists_bugs!$A$2:$G7981,7,FALSE()),"please select a BUG ID")</f>
        <v>https://opendev.org/openstack/nova/commit/501ff41</v>
      </c>
    </row>
    <row r="424">
      <c r="A424" s="16" t="s">
        <v>41</v>
      </c>
      <c r="B424" s="50" t="str">
        <f>IFERROR(HYPERLINK(VLOOKUP(A424,Internal_lists_bugs!$A$2:$C$73,3,FALSE()), VLOOKUP(A424,Internal_lists_bugs!$A$2:$C$73,3,FALSE())&amp;Char(10) &amp; Char(10) &amp; VLOOKUP(A424,Internal_lists_bugs!$A$2:$Z$73,26,FALSE())),"please select a BUG ID")</f>
        <v>https://bugs.launchpad.net/nova/+bug/1466390
/sqlalchemy/api.py</v>
      </c>
      <c r="C424" s="81" t="str">
        <f>IFERROR(VLOOKUP(A424,Internal_lists_bugs!$A$2:$I7981,9,FALSE()),"please select a BUG ID")</f>
        <v>https://review.opendev.org/c/openstack/nova/+/28880</v>
      </c>
      <c r="D424" s="114"/>
      <c r="E424" s="114"/>
      <c r="F424" s="115"/>
      <c r="G424" s="16" t="s">
        <v>1962</v>
      </c>
      <c r="H424" s="16" t="s">
        <v>1963</v>
      </c>
      <c r="I424" s="82"/>
      <c r="J424" s="92"/>
      <c r="K424" s="82"/>
      <c r="M424" s="114" t="str">
        <f>VLOOKUP(A424,'BIC_(C_Variables)'!$A$3:$AS$43,45,FALSE())</f>
        <v/>
      </c>
      <c r="N424" s="1"/>
      <c r="O424" s="1"/>
      <c r="P424" s="81" t="str">
        <f>IFERROR(VLOOKUP(A424,Internal_lists_bugs!$A$2:$G7981,7,FALSE()),"please select a BUG ID")</f>
        <v>https://opendev.org/openstack/nova/commit/501ff41</v>
      </c>
    </row>
    <row r="425">
      <c r="A425" s="16" t="s">
        <v>41</v>
      </c>
      <c r="B425" s="50" t="str">
        <f>IFERROR(HYPERLINK(VLOOKUP(A425,Internal_lists_bugs!$A$2:$C$73,3,FALSE()), VLOOKUP(A425,Internal_lists_bugs!$A$2:$C$73,3,FALSE())&amp;Char(10) &amp; Char(10) &amp; VLOOKUP(A425,Internal_lists_bugs!$A$2:$Z$73,26,FALSE())),"please select a BUG ID")</f>
        <v>https://bugs.launchpad.net/nova/+bug/1466390
/sqlalchemy/api.py</v>
      </c>
      <c r="C425" s="81" t="str">
        <f>IFERROR(VLOOKUP(A425,Internal_lists_bugs!$A$2:$I7981,9,FALSE()),"please select a BUG ID")</f>
        <v>https://review.opendev.org/c/openstack/nova/+/28880</v>
      </c>
      <c r="D425" s="114"/>
      <c r="E425" s="114"/>
      <c r="F425" s="115"/>
      <c r="G425" s="16" t="s">
        <v>1964</v>
      </c>
      <c r="H425" s="16" t="s">
        <v>1965</v>
      </c>
      <c r="I425" s="82"/>
      <c r="J425" s="92"/>
      <c r="K425" s="82"/>
      <c r="M425" s="114" t="str">
        <f>VLOOKUP(A425,'BIC_(C_Variables)'!$A$3:$AS$43,45,FALSE())</f>
        <v/>
      </c>
      <c r="N425" s="1"/>
      <c r="O425" s="1"/>
      <c r="P425" s="81" t="str">
        <f>IFERROR(VLOOKUP(A425,Internal_lists_bugs!$A$2:$G7981,7,FALSE()),"please select a BUG ID")</f>
        <v>https://opendev.org/openstack/nova/commit/501ff41</v>
      </c>
    </row>
    <row r="426">
      <c r="A426" s="16" t="s">
        <v>41</v>
      </c>
      <c r="B426" s="50" t="str">
        <f>IFERROR(HYPERLINK(VLOOKUP(A426,Internal_lists_bugs!$A$2:$C$73,3,FALSE()), VLOOKUP(A426,Internal_lists_bugs!$A$2:$C$73,3,FALSE())&amp;Char(10) &amp; Char(10) &amp; VLOOKUP(A426,Internal_lists_bugs!$A$2:$Z$73,26,FALSE())),"please select a BUG ID")</f>
        <v>https://bugs.launchpad.net/nova/+bug/1466390
/sqlalchemy/api.py</v>
      </c>
      <c r="C426" s="81" t="str">
        <f>IFERROR(VLOOKUP(A426,Internal_lists_bugs!$A$2:$I7981,9,FALSE()),"please select a BUG ID")</f>
        <v>https://review.opendev.org/c/openstack/nova/+/28880</v>
      </c>
      <c r="D426" s="114"/>
      <c r="E426" s="114"/>
      <c r="F426" s="115"/>
      <c r="G426" s="16" t="s">
        <v>1966</v>
      </c>
      <c r="H426" s="16" t="s">
        <v>1967</v>
      </c>
      <c r="I426" s="82"/>
      <c r="J426" s="92"/>
      <c r="K426" s="82"/>
      <c r="M426" s="114" t="str">
        <f>VLOOKUP(A426,'BIC_(C_Variables)'!$A$3:$AS$43,45,FALSE())</f>
        <v/>
      </c>
      <c r="N426" s="1"/>
      <c r="O426" s="1"/>
      <c r="P426" s="81" t="str">
        <f>IFERROR(VLOOKUP(A426,Internal_lists_bugs!$A$2:$G7981,7,FALSE()),"please select a BUG ID")</f>
        <v>https://opendev.org/openstack/nova/commit/501ff41</v>
      </c>
    </row>
    <row r="427">
      <c r="A427" s="16" t="s">
        <v>41</v>
      </c>
      <c r="B427" s="50" t="str">
        <f>IFERROR(HYPERLINK(VLOOKUP(A427,Internal_lists_bugs!$A$2:$C$73,3,FALSE()), VLOOKUP(A427,Internal_lists_bugs!$A$2:$C$73,3,FALSE())&amp;Char(10) &amp; Char(10) &amp; VLOOKUP(A427,Internal_lists_bugs!$A$2:$Z$73,26,FALSE())),"please select a BUG ID")</f>
        <v>https://bugs.launchpad.net/nova/+bug/1466390
/sqlalchemy/api.py</v>
      </c>
      <c r="C427" s="81" t="str">
        <f>IFERROR(VLOOKUP(A427,Internal_lists_bugs!$A$2:$I7981,9,FALSE()),"please select a BUG ID")</f>
        <v>https://review.opendev.org/c/openstack/nova/+/28880</v>
      </c>
      <c r="D427" s="114"/>
      <c r="E427" s="114"/>
      <c r="F427" s="115"/>
      <c r="G427" s="16" t="s">
        <v>1968</v>
      </c>
      <c r="H427" s="16" t="s">
        <v>1969</v>
      </c>
      <c r="I427" s="82"/>
      <c r="J427" s="92"/>
      <c r="K427" s="82"/>
      <c r="M427" s="114" t="str">
        <f>VLOOKUP(A427,'BIC_(C_Variables)'!$A$3:$AS$43,45,FALSE())</f>
        <v/>
      </c>
      <c r="N427" s="1"/>
      <c r="O427" s="1"/>
      <c r="P427" s="81" t="str">
        <f>IFERROR(VLOOKUP(A427,Internal_lists_bugs!$A$2:$G7981,7,FALSE()),"please select a BUG ID")</f>
        <v>https://opendev.org/openstack/nova/commit/501ff41</v>
      </c>
    </row>
    <row r="428">
      <c r="A428" s="16" t="s">
        <v>41</v>
      </c>
      <c r="B428" s="50" t="str">
        <f>IFERROR(HYPERLINK(VLOOKUP(A428,Internal_lists_bugs!$A$2:$C$73,3,FALSE()), VLOOKUP(A428,Internal_lists_bugs!$A$2:$C$73,3,FALSE())&amp;Char(10) &amp; Char(10) &amp; VLOOKUP(A428,Internal_lists_bugs!$A$2:$Z$73,26,FALSE())),"please select a BUG ID")</f>
        <v>https://bugs.launchpad.net/nova/+bug/1466390
/sqlalchemy/api.py</v>
      </c>
      <c r="C428" s="81" t="str">
        <f>IFERROR(VLOOKUP(A428,Internal_lists_bugs!$A$2:$I7981,9,FALSE()),"please select a BUG ID")</f>
        <v>https://review.opendev.org/c/openstack/nova/+/28880</v>
      </c>
      <c r="D428" s="114"/>
      <c r="E428" s="114"/>
      <c r="F428" s="115"/>
      <c r="G428" s="16" t="s">
        <v>1970</v>
      </c>
      <c r="H428" s="16" t="s">
        <v>1971</v>
      </c>
      <c r="I428" s="82"/>
      <c r="J428" s="92"/>
      <c r="K428" s="82"/>
      <c r="M428" s="114" t="str">
        <f>VLOOKUP(A428,'BIC_(C_Variables)'!$A$3:$AS$43,45,FALSE())</f>
        <v/>
      </c>
      <c r="N428" s="1"/>
      <c r="O428" s="1"/>
      <c r="P428" s="81" t="str">
        <f>IFERROR(VLOOKUP(A428,Internal_lists_bugs!$A$2:$G7981,7,FALSE()),"please select a BUG ID")</f>
        <v>https://opendev.org/openstack/nova/commit/501ff41</v>
      </c>
    </row>
    <row r="429">
      <c r="A429" s="16" t="s">
        <v>41</v>
      </c>
      <c r="B429" s="50" t="str">
        <f>IFERROR(HYPERLINK(VLOOKUP(A429,Internal_lists_bugs!$A$2:$C$73,3,FALSE()), VLOOKUP(A429,Internal_lists_bugs!$A$2:$C$73,3,FALSE())&amp;Char(10) &amp; Char(10) &amp; VLOOKUP(A429,Internal_lists_bugs!$A$2:$Z$73,26,FALSE())),"please select a BUG ID")</f>
        <v>https://bugs.launchpad.net/nova/+bug/1466390
/sqlalchemy/api.py</v>
      </c>
      <c r="C429" s="81" t="str">
        <f>IFERROR(VLOOKUP(A429,Internal_lists_bugs!$A$2:$I7981,9,FALSE()),"please select a BUG ID")</f>
        <v>https://review.opendev.org/c/openstack/nova/+/28880</v>
      </c>
      <c r="D429" s="114"/>
      <c r="E429" s="114"/>
      <c r="F429" s="115"/>
      <c r="G429" s="120" t="s">
        <v>1972</v>
      </c>
      <c r="H429" s="16" t="s">
        <v>1971</v>
      </c>
      <c r="I429" s="82"/>
      <c r="J429" s="92"/>
      <c r="K429" s="82"/>
      <c r="M429" s="114" t="str">
        <f>VLOOKUP(A429,'BIC_(C_Variables)'!$A$3:$AS$43,45,FALSE())</f>
        <v/>
      </c>
      <c r="N429" s="1"/>
      <c r="O429" s="1"/>
      <c r="P429" s="81" t="str">
        <f>IFERROR(VLOOKUP(A429,Internal_lists_bugs!$A$2:$G7981,7,FALSE()),"please select a BUG ID")</f>
        <v>https://opendev.org/openstack/nova/commit/501ff41</v>
      </c>
    </row>
    <row r="430">
      <c r="A430" s="16" t="s">
        <v>41</v>
      </c>
      <c r="B430" s="50" t="str">
        <f>IFERROR(HYPERLINK(VLOOKUP(A430,Internal_lists_bugs!$A$2:$C$73,3,FALSE()), VLOOKUP(A430,Internal_lists_bugs!$A$2:$C$73,3,FALSE())&amp;Char(10) &amp; Char(10) &amp; VLOOKUP(A430,Internal_lists_bugs!$A$2:$Z$73,26,FALSE())),"please select a BUG ID")</f>
        <v>https://bugs.launchpad.net/nova/+bug/1466390
/sqlalchemy/api.py</v>
      </c>
      <c r="C430" s="81" t="str">
        <f>IFERROR(VLOOKUP(A430,Internal_lists_bugs!$A$2:$I7981,9,FALSE()),"please select a BUG ID")</f>
        <v>https://review.opendev.org/c/openstack/nova/+/28880</v>
      </c>
      <c r="D430" s="114"/>
      <c r="E430" s="114"/>
      <c r="F430" s="115"/>
      <c r="G430" s="16" t="s">
        <v>1973</v>
      </c>
      <c r="H430" s="16" t="s">
        <v>1974</v>
      </c>
      <c r="I430" s="82"/>
      <c r="J430" s="92"/>
      <c r="K430" s="82"/>
      <c r="M430" s="114" t="str">
        <f>VLOOKUP(A430,'BIC_(C_Variables)'!$A$3:$AS$43,45,FALSE())</f>
        <v/>
      </c>
      <c r="N430" s="1"/>
      <c r="O430" s="1"/>
      <c r="P430" s="81" t="str">
        <f>IFERROR(VLOOKUP(A430,Internal_lists_bugs!$A$2:$G7981,7,FALSE()),"please select a BUG ID")</f>
        <v>https://opendev.org/openstack/nova/commit/501ff41</v>
      </c>
    </row>
    <row r="431">
      <c r="A431" s="16" t="s">
        <v>41</v>
      </c>
      <c r="B431" s="50" t="str">
        <f>IFERROR(HYPERLINK(VLOOKUP(A431,Internal_lists_bugs!$A$2:$C$73,3,FALSE()), VLOOKUP(A431,Internal_lists_bugs!$A$2:$C$73,3,FALSE())&amp;Char(10) &amp; Char(10) &amp; VLOOKUP(A431,Internal_lists_bugs!$A$2:$Z$73,26,FALSE())),"please select a BUG ID")</f>
        <v>https://bugs.launchpad.net/nova/+bug/1466390
/sqlalchemy/api.py</v>
      </c>
      <c r="C431" s="81" t="str">
        <f>IFERROR(VLOOKUP(A431,Internal_lists_bugs!$A$2:$I7981,9,FALSE()),"please select a BUG ID")</f>
        <v>https://review.opendev.org/c/openstack/nova/+/28880</v>
      </c>
      <c r="D431" s="114"/>
      <c r="E431" s="114"/>
      <c r="F431" s="115"/>
      <c r="G431" s="16" t="s">
        <v>1975</v>
      </c>
      <c r="H431" s="16" t="s">
        <v>1976</v>
      </c>
      <c r="I431" s="82"/>
      <c r="J431" s="92"/>
      <c r="K431" s="82"/>
      <c r="M431" s="114" t="str">
        <f>VLOOKUP(A431,'BIC_(C_Variables)'!$A$3:$AS$43,45,FALSE())</f>
        <v/>
      </c>
      <c r="N431" s="1"/>
      <c r="O431" s="1"/>
      <c r="P431" s="81" t="str">
        <f>IFERROR(VLOOKUP(A431,Internal_lists_bugs!$A$2:$G7981,7,FALSE()),"please select a BUG ID")</f>
        <v>https://opendev.org/openstack/nova/commit/501ff41</v>
      </c>
    </row>
    <row r="432">
      <c r="A432" s="16" t="s">
        <v>41</v>
      </c>
      <c r="B432" s="50" t="str">
        <f>IFERROR(HYPERLINK(VLOOKUP(A432,Internal_lists_bugs!$A$2:$C$73,3,FALSE()), VLOOKUP(A432,Internal_lists_bugs!$A$2:$C$73,3,FALSE())&amp;Char(10) &amp; Char(10) &amp; VLOOKUP(A432,Internal_lists_bugs!$A$2:$Z$73,26,FALSE())),"please select a BUG ID")</f>
        <v>https://bugs.launchpad.net/nova/+bug/1466390
/sqlalchemy/api.py</v>
      </c>
      <c r="C432" s="81" t="str">
        <f>IFERROR(VLOOKUP(A432,Internal_lists_bugs!$A$2:$I7981,9,FALSE()),"please select a BUG ID")</f>
        <v>https://review.opendev.org/c/openstack/nova/+/28880</v>
      </c>
      <c r="D432" s="114"/>
      <c r="E432" s="114"/>
      <c r="F432" s="115"/>
      <c r="G432" s="120" t="s">
        <v>1977</v>
      </c>
      <c r="H432" s="16" t="s">
        <v>1976</v>
      </c>
      <c r="I432" s="82"/>
      <c r="J432" s="92"/>
      <c r="K432" s="82"/>
      <c r="M432" s="114" t="str">
        <f>VLOOKUP(A432,'BIC_(C_Variables)'!$A$3:$AS$43,45,FALSE())</f>
        <v/>
      </c>
      <c r="N432" s="1"/>
      <c r="O432" s="1"/>
      <c r="P432" s="81" t="str">
        <f>IFERROR(VLOOKUP(A432,Internal_lists_bugs!$A$2:$G7981,7,FALSE()),"please select a BUG ID")</f>
        <v>https://opendev.org/openstack/nova/commit/501ff41</v>
      </c>
    </row>
    <row r="433">
      <c r="A433" s="16" t="s">
        <v>41</v>
      </c>
      <c r="B433" s="50" t="str">
        <f>IFERROR(HYPERLINK(VLOOKUP(A433,Internal_lists_bugs!$A$2:$C$73,3,FALSE()), VLOOKUP(A433,Internal_lists_bugs!$A$2:$C$73,3,FALSE())&amp;Char(10) &amp; Char(10) &amp; VLOOKUP(A433,Internal_lists_bugs!$A$2:$Z$73,26,FALSE())),"please select a BUG ID")</f>
        <v>https://bugs.launchpad.net/nova/+bug/1466390
/sqlalchemy/api.py</v>
      </c>
      <c r="C433" s="81" t="str">
        <f>IFERROR(VLOOKUP(A433,Internal_lists_bugs!$A$2:$I7981,9,FALSE()),"please select a BUG ID")</f>
        <v>https://review.opendev.org/c/openstack/nova/+/28880</v>
      </c>
      <c r="D433" s="114"/>
      <c r="E433" s="114"/>
      <c r="F433" s="115"/>
      <c r="G433" s="16" t="s">
        <v>1978</v>
      </c>
      <c r="H433" s="16" t="s">
        <v>1979</v>
      </c>
      <c r="I433" s="82"/>
      <c r="J433" s="92"/>
      <c r="K433" s="82"/>
      <c r="M433" s="114" t="str">
        <f>VLOOKUP(A433,'BIC_(C_Variables)'!$A$3:$AS$43,45,FALSE())</f>
        <v/>
      </c>
      <c r="N433" s="1"/>
      <c r="O433" s="1"/>
      <c r="P433" s="81" t="str">
        <f>IFERROR(VLOOKUP(A433,Internal_lists_bugs!$A$2:$G7981,7,FALSE()),"please select a BUG ID")</f>
        <v>https://opendev.org/openstack/nova/commit/501ff41</v>
      </c>
    </row>
    <row r="434">
      <c r="A434" s="16" t="s">
        <v>41</v>
      </c>
      <c r="B434" s="50" t="str">
        <f>IFERROR(HYPERLINK(VLOOKUP(A434,Internal_lists_bugs!$A$2:$C$73,3,FALSE()), VLOOKUP(A434,Internal_lists_bugs!$A$2:$C$73,3,FALSE())&amp;Char(10) &amp; Char(10) &amp; VLOOKUP(A434,Internal_lists_bugs!$A$2:$Z$73,26,FALSE())),"please select a BUG ID")</f>
        <v>https://bugs.launchpad.net/nova/+bug/1466390
/sqlalchemy/api.py</v>
      </c>
      <c r="C434" s="81" t="str">
        <f>IFERROR(VLOOKUP(A434,Internal_lists_bugs!$A$2:$I7981,9,FALSE()),"please select a BUG ID")</f>
        <v>https://review.opendev.org/c/openstack/nova/+/28880</v>
      </c>
      <c r="D434" s="114"/>
      <c r="E434" s="114"/>
      <c r="F434" s="115"/>
      <c r="G434" s="16" t="s">
        <v>1980</v>
      </c>
      <c r="H434" s="16" t="s">
        <v>1979</v>
      </c>
      <c r="I434" s="82"/>
      <c r="J434" s="92"/>
      <c r="K434" s="82"/>
      <c r="M434" s="114" t="str">
        <f>VLOOKUP(A434,'BIC_(C_Variables)'!$A$3:$AS$43,45,FALSE())</f>
        <v/>
      </c>
      <c r="N434" s="1"/>
      <c r="O434" s="1"/>
      <c r="P434" s="81" t="str">
        <f>IFERROR(VLOOKUP(A434,Internal_lists_bugs!$A$2:$G7981,7,FALSE()),"please select a BUG ID")</f>
        <v>https://opendev.org/openstack/nova/commit/501ff41</v>
      </c>
    </row>
    <row r="435">
      <c r="A435" s="16" t="s">
        <v>41</v>
      </c>
      <c r="B435" s="50" t="str">
        <f>IFERROR(HYPERLINK(VLOOKUP(A435,Internal_lists_bugs!$A$2:$C$73,3,FALSE()), VLOOKUP(A435,Internal_lists_bugs!$A$2:$C$73,3,FALSE())&amp;Char(10) &amp; Char(10) &amp; VLOOKUP(A435,Internal_lists_bugs!$A$2:$Z$73,26,FALSE())),"please select a BUG ID")</f>
        <v>https://bugs.launchpad.net/nova/+bug/1466390
/sqlalchemy/api.py</v>
      </c>
      <c r="C435" s="81" t="str">
        <f>IFERROR(VLOOKUP(A435,Internal_lists_bugs!$A$2:$I7981,9,FALSE()),"please select a BUG ID")</f>
        <v>https://review.opendev.org/c/openstack/nova/+/28880</v>
      </c>
      <c r="D435" s="114"/>
      <c r="E435" s="114"/>
      <c r="F435" s="115"/>
      <c r="G435" s="16" t="s">
        <v>1485</v>
      </c>
      <c r="H435" s="16" t="s">
        <v>1981</v>
      </c>
      <c r="I435" s="82"/>
      <c r="J435" s="92"/>
      <c r="K435" s="82"/>
      <c r="M435" s="114" t="str">
        <f>VLOOKUP(A435,'BIC_(C_Variables)'!$A$3:$AS$43,45,FALSE())</f>
        <v/>
      </c>
      <c r="N435" s="1"/>
      <c r="O435" s="1"/>
      <c r="P435" s="81" t="str">
        <f>IFERROR(VLOOKUP(A435,Internal_lists_bugs!$A$2:$G7981,7,FALSE()),"please select a BUG ID")</f>
        <v>https://opendev.org/openstack/nova/commit/501ff41</v>
      </c>
    </row>
    <row r="436">
      <c r="A436" s="16" t="s">
        <v>41</v>
      </c>
      <c r="B436" s="50" t="str">
        <f>IFERROR(HYPERLINK(VLOOKUP(A436,Internal_lists_bugs!$A$2:$C$73,3,FALSE()), VLOOKUP(A436,Internal_lists_bugs!$A$2:$C$73,3,FALSE())&amp;Char(10) &amp; Char(10) &amp; VLOOKUP(A436,Internal_lists_bugs!$A$2:$Z$73,26,FALSE())),"please select a BUG ID")</f>
        <v>https://bugs.launchpad.net/nova/+bug/1466390
/sqlalchemy/api.py</v>
      </c>
      <c r="C436" s="81" t="str">
        <f>IFERROR(VLOOKUP(A436,Internal_lists_bugs!$A$2:$I7981,9,FALSE()),"please select a BUG ID")</f>
        <v>https://review.opendev.org/c/openstack/nova/+/28880</v>
      </c>
      <c r="D436" s="114"/>
      <c r="E436" s="114"/>
      <c r="F436" s="115"/>
      <c r="G436" s="16" t="s">
        <v>1982</v>
      </c>
      <c r="H436" s="16" t="s">
        <v>1983</v>
      </c>
      <c r="I436" s="82"/>
      <c r="J436" s="92"/>
      <c r="K436" s="82"/>
      <c r="M436" s="114" t="str">
        <f>VLOOKUP(A436,'BIC_(C_Variables)'!$A$3:$AS$43,45,FALSE())</f>
        <v/>
      </c>
      <c r="N436" s="1"/>
      <c r="O436" s="1"/>
      <c r="P436" s="81" t="str">
        <f>IFERROR(VLOOKUP(A436,Internal_lists_bugs!$A$2:$G7981,7,FALSE()),"please select a BUG ID")</f>
        <v>https://opendev.org/openstack/nova/commit/501ff41</v>
      </c>
    </row>
    <row r="437">
      <c r="A437" s="16" t="s">
        <v>41</v>
      </c>
      <c r="B437" s="50" t="str">
        <f>IFERROR(HYPERLINK(VLOOKUP(A437,Internal_lists_bugs!$A$2:$C$73,3,FALSE()), VLOOKUP(A437,Internal_lists_bugs!$A$2:$C$73,3,FALSE())&amp;Char(10) &amp; Char(10) &amp; VLOOKUP(A437,Internal_lists_bugs!$A$2:$Z$73,26,FALSE())),"please select a BUG ID")</f>
        <v>https://bugs.launchpad.net/nova/+bug/1466390
/sqlalchemy/api.py</v>
      </c>
      <c r="C437" s="81" t="str">
        <f>IFERROR(VLOOKUP(A437,Internal_lists_bugs!$A$2:$I7981,9,FALSE()),"please select a BUG ID")</f>
        <v>https://review.opendev.org/c/openstack/nova/+/28880</v>
      </c>
      <c r="D437" s="114"/>
      <c r="E437" s="114"/>
      <c r="F437" s="115"/>
      <c r="G437" s="16" t="s">
        <v>1984</v>
      </c>
      <c r="H437" s="16" t="s">
        <v>1985</v>
      </c>
      <c r="I437" s="82"/>
      <c r="J437" s="92"/>
      <c r="K437" s="82"/>
      <c r="M437" s="114" t="str">
        <f>VLOOKUP(A437,'BIC_(C_Variables)'!$A$3:$AS$43,45,FALSE())</f>
        <v/>
      </c>
      <c r="N437" s="1"/>
      <c r="O437" s="1"/>
      <c r="P437" s="81" t="str">
        <f>IFERROR(VLOOKUP(A437,Internal_lists_bugs!$A$2:$G7981,7,FALSE()),"please select a BUG ID")</f>
        <v>https://opendev.org/openstack/nova/commit/501ff41</v>
      </c>
    </row>
    <row r="438">
      <c r="A438" s="16" t="s">
        <v>41</v>
      </c>
      <c r="B438" s="50" t="str">
        <f>IFERROR(HYPERLINK(VLOOKUP(A438,Internal_lists_bugs!$A$2:$C$73,3,FALSE()), VLOOKUP(A438,Internal_lists_bugs!$A$2:$C$73,3,FALSE())&amp;Char(10) &amp; Char(10) &amp; VLOOKUP(A438,Internal_lists_bugs!$A$2:$Z$73,26,FALSE())),"please select a BUG ID")</f>
        <v>https://bugs.launchpad.net/nova/+bug/1466390
/sqlalchemy/api.py</v>
      </c>
      <c r="C438" s="81" t="str">
        <f>IFERROR(VLOOKUP(A438,Internal_lists_bugs!$A$2:$I7981,9,FALSE()),"please select a BUG ID")</f>
        <v>https://review.opendev.org/c/openstack/nova/+/28880</v>
      </c>
      <c r="D438" s="114"/>
      <c r="E438" s="114"/>
      <c r="F438" s="115"/>
      <c r="G438" s="120" t="s">
        <v>1986</v>
      </c>
      <c r="H438" s="16" t="s">
        <v>1985</v>
      </c>
      <c r="I438" s="82"/>
      <c r="J438" s="92"/>
      <c r="K438" s="82"/>
      <c r="M438" s="114" t="str">
        <f>VLOOKUP(A438,'BIC_(C_Variables)'!$A$3:$AS$43,45,FALSE())</f>
        <v/>
      </c>
      <c r="N438" s="1"/>
      <c r="O438" s="1"/>
      <c r="P438" s="81" t="str">
        <f>IFERROR(VLOOKUP(A438,Internal_lists_bugs!$A$2:$G7981,7,FALSE()),"please select a BUG ID")</f>
        <v>https://opendev.org/openstack/nova/commit/501ff41</v>
      </c>
    </row>
    <row r="439">
      <c r="A439" s="16" t="s">
        <v>41</v>
      </c>
      <c r="B439" s="50" t="str">
        <f>IFERROR(HYPERLINK(VLOOKUP(A439,Internal_lists_bugs!$A$2:$C$73,3,FALSE()), VLOOKUP(A439,Internal_lists_bugs!$A$2:$C$73,3,FALSE())&amp;Char(10) &amp; Char(10) &amp; VLOOKUP(A439,Internal_lists_bugs!$A$2:$Z$73,26,FALSE())),"please select a BUG ID")</f>
        <v>https://bugs.launchpad.net/nova/+bug/1466390
/sqlalchemy/api.py</v>
      </c>
      <c r="C439" s="81" t="str">
        <f>IFERROR(VLOOKUP(A439,Internal_lists_bugs!$A$2:$I7981,9,FALSE()),"please select a BUG ID")</f>
        <v>https://review.opendev.org/c/openstack/nova/+/28880</v>
      </c>
      <c r="D439" s="114"/>
      <c r="E439" s="114"/>
      <c r="F439" s="115"/>
      <c r="G439" s="16" t="s">
        <v>1987</v>
      </c>
      <c r="H439" s="16" t="s">
        <v>1988</v>
      </c>
      <c r="I439" s="82"/>
      <c r="J439" s="92"/>
      <c r="K439" s="82"/>
      <c r="M439" s="114" t="str">
        <f>VLOOKUP(A439,'BIC_(C_Variables)'!$A$3:$AS$43,45,FALSE())</f>
        <v/>
      </c>
      <c r="N439" s="1"/>
      <c r="O439" s="1"/>
      <c r="P439" s="81" t="str">
        <f>IFERROR(VLOOKUP(A439,Internal_lists_bugs!$A$2:$G7981,7,FALSE()),"please select a BUG ID")</f>
        <v>https://opendev.org/openstack/nova/commit/501ff41</v>
      </c>
    </row>
    <row r="440">
      <c r="A440" s="16" t="s">
        <v>41</v>
      </c>
      <c r="B440" s="50" t="str">
        <f>IFERROR(HYPERLINK(VLOOKUP(A440,Internal_lists_bugs!$A$2:$C$73,3,FALSE()), VLOOKUP(A440,Internal_lists_bugs!$A$2:$C$73,3,FALSE())&amp;Char(10) &amp; Char(10) &amp; VLOOKUP(A440,Internal_lists_bugs!$A$2:$Z$73,26,FALSE())),"please select a BUG ID")</f>
        <v>https://bugs.launchpad.net/nova/+bug/1466390
/sqlalchemy/api.py</v>
      </c>
      <c r="C440" s="81" t="str">
        <f>IFERROR(VLOOKUP(A440,Internal_lists_bugs!$A$2:$I7981,9,FALSE()),"please select a BUG ID")</f>
        <v>https://review.opendev.org/c/openstack/nova/+/28880</v>
      </c>
      <c r="D440" s="114"/>
      <c r="E440" s="114"/>
      <c r="F440" s="115"/>
      <c r="G440" s="120" t="s">
        <v>1989</v>
      </c>
      <c r="H440" s="16" t="s">
        <v>1988</v>
      </c>
      <c r="I440" s="82"/>
      <c r="J440" s="92"/>
      <c r="K440" s="82"/>
      <c r="M440" s="114" t="str">
        <f>VLOOKUP(A440,'BIC_(C_Variables)'!$A$3:$AS$43,45,FALSE())</f>
        <v/>
      </c>
      <c r="N440" s="1"/>
      <c r="O440" s="1"/>
      <c r="P440" s="81" t="str">
        <f>IFERROR(VLOOKUP(A440,Internal_lists_bugs!$A$2:$G7981,7,FALSE()),"please select a BUG ID")</f>
        <v>https://opendev.org/openstack/nova/commit/501ff41</v>
      </c>
    </row>
    <row r="441">
      <c r="A441" s="16" t="s">
        <v>41</v>
      </c>
      <c r="B441" s="50" t="str">
        <f>IFERROR(HYPERLINK(VLOOKUP(A441,Internal_lists_bugs!$A$2:$C$73,3,FALSE()), VLOOKUP(A441,Internal_lists_bugs!$A$2:$C$73,3,FALSE())&amp;Char(10) &amp; Char(10) &amp; VLOOKUP(A441,Internal_lists_bugs!$A$2:$Z$73,26,FALSE())),"please select a BUG ID")</f>
        <v>https://bugs.launchpad.net/nova/+bug/1466390
/sqlalchemy/api.py</v>
      </c>
      <c r="C441" s="81" t="str">
        <f>IFERROR(VLOOKUP(A441,Internal_lists_bugs!$A$2:$I7981,9,FALSE()),"please select a BUG ID")</f>
        <v>https://review.opendev.org/c/openstack/nova/+/28880</v>
      </c>
      <c r="D441" s="114"/>
      <c r="E441" s="114"/>
      <c r="F441" s="115"/>
      <c r="G441" s="16" t="s">
        <v>1990</v>
      </c>
      <c r="H441" s="16" t="s">
        <v>1991</v>
      </c>
      <c r="I441" s="82"/>
      <c r="J441" s="92"/>
      <c r="K441" s="82"/>
      <c r="M441" s="114"/>
      <c r="N441" s="1"/>
      <c r="O441" s="1"/>
      <c r="P441" s="51"/>
    </row>
    <row r="442">
      <c r="A442" s="16" t="s">
        <v>41</v>
      </c>
      <c r="B442" s="50" t="str">
        <f>IFERROR(HYPERLINK(VLOOKUP(A442,Internal_lists_bugs!$A$2:$C$73,3,FALSE()), VLOOKUP(A442,Internal_lists_bugs!$A$2:$C$73,3,FALSE())&amp;Char(10) &amp; Char(10) &amp; VLOOKUP(A442,Internal_lists_bugs!$A$2:$Z$73,26,FALSE())),"please select a BUG ID")</f>
        <v>https://bugs.launchpad.net/nova/+bug/1466390
/sqlalchemy/api.py</v>
      </c>
      <c r="C442" s="81" t="str">
        <f>IFERROR(VLOOKUP(A442,Internal_lists_bugs!$A$2:$I7981,9,FALSE()),"please select a BUG ID")</f>
        <v>https://review.opendev.org/c/openstack/nova/+/28880</v>
      </c>
      <c r="D442" s="114"/>
      <c r="E442" s="114"/>
      <c r="F442" s="115"/>
      <c r="G442" s="16" t="s">
        <v>1456</v>
      </c>
      <c r="H442" s="16" t="s">
        <v>1991</v>
      </c>
      <c r="I442" s="82"/>
      <c r="J442" s="92"/>
      <c r="K442" s="82"/>
      <c r="M442" s="114" t="str">
        <f>VLOOKUP(A442,'BIC_(C_Variables)'!$A$3:$AS$43,45,FALSE())</f>
        <v/>
      </c>
      <c r="N442" s="1"/>
      <c r="O442" s="1"/>
      <c r="P442" s="81" t="str">
        <f>IFERROR(VLOOKUP(A442,Internal_lists_bugs!$A$2:$G7981,7,FALSE()),"please select a BUG ID")</f>
        <v>https://opendev.org/openstack/nova/commit/501ff41</v>
      </c>
    </row>
    <row r="443">
      <c r="A443" s="16" t="s">
        <v>42</v>
      </c>
      <c r="B443" s="50" t="str">
        <f>IFERROR(HYPERLINK(VLOOKUP(A443,Internal_lists_bugs!$A$2:$C$73,3,FALSE()), VLOOKUP(A443,Internal_lists_bugs!$A$2:$C$73,3,FALSE())&amp;Char(10) &amp; Char(10) &amp; VLOOKUP(A443,Internal_lists_bugs!$A$2:$Z$73,26,FALSE())),"please select a BUG ID")</f>
        <v>https://bugs.launchpad.net/nova/+bug/1467451
/hyperv/vmutils.py
/virt/hyperv/vmutilsv2.py </v>
      </c>
      <c r="C443" s="81" t="str">
        <f>IFERROR(VLOOKUP(A443,Internal_lists_bugs!$A$2:$I7981,9,FALSE()),"please select a BUG ID")</f>
        <v>https://review.opendev.org/c/openstack/nova/+/129235</v>
      </c>
      <c r="D443" s="112" t="s">
        <v>1412</v>
      </c>
      <c r="E443" s="112" t="s">
        <v>1462</v>
      </c>
      <c r="F443" s="113" t="s">
        <v>251</v>
      </c>
      <c r="G443" s="16" t="s">
        <v>1466</v>
      </c>
      <c r="H443" s="16" t="s">
        <v>1992</v>
      </c>
      <c r="I443" s="79" t="s">
        <v>251</v>
      </c>
      <c r="J443" s="92"/>
      <c r="K443" s="79" t="s">
        <v>251</v>
      </c>
      <c r="M443" s="114" t="str">
        <f>VLOOKUP(A443,'BIC_(C_Variables)'!$A$3:$AS$43,45,FALSE())</f>
        <v/>
      </c>
      <c r="N443" s="1"/>
      <c r="O443" s="1"/>
      <c r="P443" s="81" t="str">
        <f>IFERROR(VLOOKUP(A443,Internal_lists_bugs!$A$2:$G7981,7,FALSE()),"please select a BUG ID")</f>
        <v>https://opendev.org/openstack/nova/commit/0e02db2980dc4e76ef7949ba4ec131af9fc4a44d</v>
      </c>
    </row>
    <row r="444">
      <c r="A444" s="16" t="s">
        <v>42</v>
      </c>
      <c r="B444" s="50" t="str">
        <f>IFERROR(HYPERLINK(VLOOKUP(A444,Internal_lists_bugs!$A$2:$C$73,3,FALSE()), VLOOKUP(A444,Internal_lists_bugs!$A$2:$C$73,3,FALSE())&amp;Char(10) &amp; Char(10) &amp; VLOOKUP(A444,Internal_lists_bugs!$A$2:$Z$73,26,FALSE())),"please select a BUG ID")</f>
        <v>https://bugs.launchpad.net/nova/+bug/1467451
/hyperv/vmutils.py
/virt/hyperv/vmutilsv2.py </v>
      </c>
      <c r="C444" s="81" t="str">
        <f>IFERROR(VLOOKUP(A444,Internal_lists_bugs!$A$2:$I7981,9,FALSE()),"please select a BUG ID")</f>
        <v>https://review.opendev.org/c/openstack/nova/+/129235</v>
      </c>
      <c r="D444" s="114"/>
      <c r="E444" s="114"/>
      <c r="F444" s="115"/>
      <c r="G444" s="16" t="s">
        <v>1419</v>
      </c>
      <c r="H444" s="16" t="s">
        <v>1993</v>
      </c>
      <c r="I444" s="82"/>
      <c r="J444" s="92"/>
      <c r="K444" s="82"/>
      <c r="M444" s="114" t="str">
        <f>VLOOKUP(A444,'BIC_(C_Variables)'!$A$3:$AS$43,45,FALSE())</f>
        <v/>
      </c>
      <c r="N444" s="1"/>
      <c r="O444" s="1"/>
      <c r="P444" s="81" t="str">
        <f>IFERROR(VLOOKUP(A444,Internal_lists_bugs!$A$2:$G7981,7,FALSE()),"please select a BUG ID")</f>
        <v>https://opendev.org/openstack/nova/commit/0e02db2980dc4e76ef7949ba4ec131af9fc4a44d</v>
      </c>
    </row>
    <row r="445">
      <c r="A445" s="16" t="s">
        <v>42</v>
      </c>
      <c r="B445" s="50" t="str">
        <f>IFERROR(HYPERLINK(VLOOKUP(A445,Internal_lists_bugs!$A$2:$C$73,3,FALSE()), VLOOKUP(A445,Internal_lists_bugs!$A$2:$C$73,3,FALSE())&amp;Char(10) &amp; Char(10) &amp; VLOOKUP(A445,Internal_lists_bugs!$A$2:$Z$73,26,FALSE())),"please select a BUG ID")</f>
        <v>https://bugs.launchpad.net/nova/+bug/1467451
/hyperv/vmutils.py
/virt/hyperv/vmutilsv2.py </v>
      </c>
      <c r="C445" s="81" t="str">
        <f>IFERROR(VLOOKUP(A445,Internal_lists_bugs!$A$2:$I7981,9,FALSE()),"please select a BUG ID")</f>
        <v>https://review.opendev.org/c/openstack/nova/+/129235</v>
      </c>
      <c r="D445" s="114"/>
      <c r="E445" s="114"/>
      <c r="F445" s="115"/>
      <c r="G445" s="16" t="s">
        <v>1417</v>
      </c>
      <c r="H445" s="16" t="s">
        <v>1994</v>
      </c>
      <c r="I445" s="82"/>
      <c r="J445" s="92"/>
      <c r="K445" s="82"/>
      <c r="M445" s="114" t="str">
        <f>VLOOKUP(A445,'BIC_(C_Variables)'!$A$3:$AS$43,45,FALSE())</f>
        <v/>
      </c>
      <c r="N445" s="1"/>
      <c r="O445" s="1"/>
      <c r="P445" s="81" t="str">
        <f>IFERROR(VLOOKUP(A445,Internal_lists_bugs!$A$2:$G7981,7,FALSE()),"please select a BUG ID")</f>
        <v>https://opendev.org/openstack/nova/commit/0e02db2980dc4e76ef7949ba4ec131af9fc4a44d</v>
      </c>
    </row>
    <row r="446">
      <c r="A446" s="16" t="s">
        <v>42</v>
      </c>
      <c r="B446" s="50" t="str">
        <f>IFERROR(HYPERLINK(VLOOKUP(A446,Internal_lists_bugs!$A$2:$C$73,3,FALSE()), VLOOKUP(A446,Internal_lists_bugs!$A$2:$C$73,3,FALSE())&amp;Char(10) &amp; Char(10) &amp; VLOOKUP(A446,Internal_lists_bugs!$A$2:$Z$73,26,FALSE())),"please select a BUG ID")</f>
        <v>https://bugs.launchpad.net/nova/+bug/1467451
/hyperv/vmutils.py
/virt/hyperv/vmutilsv2.py </v>
      </c>
      <c r="C446" s="81" t="str">
        <f>IFERROR(VLOOKUP(A446,Internal_lists_bugs!$A$2:$I7981,9,FALSE()),"please select a BUG ID")</f>
        <v>https://review.opendev.org/c/openstack/nova/+/129235</v>
      </c>
      <c r="D446" s="114"/>
      <c r="E446" s="114"/>
      <c r="F446" s="115"/>
      <c r="G446" s="16" t="s">
        <v>1720</v>
      </c>
      <c r="H446" s="16" t="s">
        <v>1995</v>
      </c>
      <c r="I446" s="82"/>
      <c r="J446" s="92"/>
      <c r="K446" s="82"/>
      <c r="M446" s="114" t="str">
        <f>VLOOKUP(A446,'BIC_(C_Variables)'!$A$3:$AS$43,45,FALSE())</f>
        <v/>
      </c>
      <c r="N446" s="1"/>
      <c r="O446" s="1"/>
      <c r="P446" s="81" t="str">
        <f>IFERROR(VLOOKUP(A446,Internal_lists_bugs!$A$2:$G7981,7,FALSE()),"please select a BUG ID")</f>
        <v>https://opendev.org/openstack/nova/commit/0e02db2980dc4e76ef7949ba4ec131af9fc4a44d</v>
      </c>
    </row>
    <row r="447">
      <c r="A447" s="16" t="s">
        <v>42</v>
      </c>
      <c r="B447" s="50" t="str">
        <f>IFERROR(HYPERLINK(VLOOKUP(A447,Internal_lists_bugs!$A$2:$C$73,3,FALSE()), VLOOKUP(A447,Internal_lists_bugs!$A$2:$C$73,3,FALSE())&amp;Char(10) &amp; Char(10) &amp; VLOOKUP(A447,Internal_lists_bugs!$A$2:$Z$73,26,FALSE())),"please select a BUG ID")</f>
        <v>https://bugs.launchpad.net/nova/+bug/1467451
/hyperv/vmutils.py
/virt/hyperv/vmutilsv2.py </v>
      </c>
      <c r="C447" s="81" t="str">
        <f>IFERROR(VLOOKUP(A447,Internal_lists_bugs!$A$2:$I7981,9,FALSE()),"please select a BUG ID")</f>
        <v>https://review.opendev.org/c/openstack/nova/+/129235</v>
      </c>
      <c r="D447" s="114"/>
      <c r="E447" s="114"/>
      <c r="F447" s="115"/>
      <c r="G447" s="16" t="s">
        <v>1485</v>
      </c>
      <c r="H447" s="16" t="s">
        <v>1996</v>
      </c>
      <c r="I447" s="82"/>
      <c r="J447" s="92"/>
      <c r="K447" s="82"/>
      <c r="M447" s="114" t="str">
        <f>VLOOKUP(A447,'BIC_(C_Variables)'!$A$3:$AS$43,45,FALSE())</f>
        <v/>
      </c>
      <c r="N447" s="1"/>
      <c r="O447" s="1"/>
      <c r="P447" s="81" t="str">
        <f>IFERROR(VLOOKUP(A447,Internal_lists_bugs!$A$2:$G7981,7,FALSE()),"please select a BUG ID")</f>
        <v>https://opendev.org/openstack/nova/commit/0e02db2980dc4e76ef7949ba4ec131af9fc4a44d</v>
      </c>
    </row>
    <row r="448">
      <c r="A448" s="16" t="s">
        <v>42</v>
      </c>
      <c r="B448" s="50" t="str">
        <f>IFERROR(HYPERLINK(VLOOKUP(A448,Internal_lists_bugs!$A$2:$C$73,3,FALSE()), VLOOKUP(A448,Internal_lists_bugs!$A$2:$C$73,3,FALSE())&amp;Char(10) &amp; Char(10) &amp; VLOOKUP(A448,Internal_lists_bugs!$A$2:$Z$73,26,FALSE())),"please select a BUG ID")</f>
        <v>https://bugs.launchpad.net/nova/+bug/1467451
/hyperv/vmutils.py
/virt/hyperv/vmutilsv2.py </v>
      </c>
      <c r="C448" s="81" t="str">
        <f>IFERROR(VLOOKUP(A448,Internal_lists_bugs!$A$2:$I7981,9,FALSE()),"please select a BUG ID")</f>
        <v>https://review.opendev.org/c/openstack/nova/+/129235</v>
      </c>
      <c r="D448" s="114"/>
      <c r="E448" s="114"/>
      <c r="F448" s="115"/>
      <c r="G448" s="16" t="s">
        <v>1460</v>
      </c>
      <c r="H448" s="16" t="s">
        <v>1997</v>
      </c>
      <c r="I448" s="82"/>
      <c r="J448" s="92"/>
      <c r="K448" s="82"/>
      <c r="M448" s="114" t="str">
        <f>VLOOKUP(A448,'BIC_(C_Variables)'!$A$3:$AS$43,45,FALSE())</f>
        <v/>
      </c>
      <c r="N448" s="1"/>
      <c r="O448" s="1"/>
      <c r="P448" s="81" t="str">
        <f>IFERROR(VLOOKUP(A448,Internal_lists_bugs!$A$2:$G7981,7,FALSE()),"please select a BUG ID")</f>
        <v>https://opendev.org/openstack/nova/commit/0e02db2980dc4e76ef7949ba4ec131af9fc4a44d</v>
      </c>
    </row>
    <row r="449">
      <c r="A449" s="16" t="s">
        <v>42</v>
      </c>
      <c r="B449" s="50" t="str">
        <f>IFERROR(HYPERLINK(VLOOKUP(A449,Internal_lists_bugs!$A$2:$C$73,3,FALSE()), VLOOKUP(A449,Internal_lists_bugs!$A$2:$C$73,3,FALSE())&amp;Char(10) &amp; Char(10) &amp; VLOOKUP(A449,Internal_lists_bugs!$A$2:$Z$73,26,FALSE())),"please select a BUG ID")</f>
        <v>https://bugs.launchpad.net/nova/+bug/1467451
/hyperv/vmutils.py
/virt/hyperv/vmutilsv2.py </v>
      </c>
      <c r="C449" s="81" t="str">
        <f>IFERROR(VLOOKUP(A449,Internal_lists_bugs!$A$2:$I7981,9,FALSE()),"please select a BUG ID")</f>
        <v>https://review.opendev.org/c/openstack/nova/+/129235</v>
      </c>
      <c r="D449" s="114"/>
      <c r="E449" s="114"/>
      <c r="F449" s="115"/>
      <c r="G449" s="16" t="s">
        <v>1998</v>
      </c>
      <c r="H449" s="16" t="s">
        <v>1999</v>
      </c>
      <c r="I449" s="82"/>
      <c r="J449" s="92"/>
      <c r="K449" s="82"/>
      <c r="M449" s="114" t="str">
        <f>VLOOKUP(A449,'BIC_(C_Variables)'!$A$3:$AS$43,45,FALSE())</f>
        <v/>
      </c>
      <c r="N449" s="1"/>
      <c r="O449" s="1"/>
      <c r="P449" s="81" t="str">
        <f>IFERROR(VLOOKUP(A449,Internal_lists_bugs!$A$2:$G7981,7,FALSE()),"please select a BUG ID")</f>
        <v>https://opendev.org/openstack/nova/commit/0e02db2980dc4e76ef7949ba4ec131af9fc4a44d</v>
      </c>
    </row>
    <row r="450">
      <c r="A450" s="16" t="s">
        <v>42</v>
      </c>
      <c r="B450" s="50" t="str">
        <f>IFERROR(HYPERLINK(VLOOKUP(A450,Internal_lists_bugs!$A$2:$C$73,3,FALSE()), VLOOKUP(A450,Internal_lists_bugs!$A$2:$C$73,3,FALSE())&amp;Char(10) &amp; Char(10) &amp; VLOOKUP(A450,Internal_lists_bugs!$A$2:$Z$73,26,FALSE())),"please select a BUG ID")</f>
        <v>https://bugs.launchpad.net/nova/+bug/1467451
/hyperv/vmutils.py
/virt/hyperv/vmutilsv2.py </v>
      </c>
      <c r="C450" s="81" t="str">
        <f>IFERROR(VLOOKUP(A450,Internal_lists_bugs!$A$2:$I7981,9,FALSE()),"please select a BUG ID")</f>
        <v>https://review.opendev.org/c/openstack/nova/+/129235</v>
      </c>
      <c r="D450" s="114"/>
      <c r="E450" s="114"/>
      <c r="F450" s="115"/>
      <c r="G450" s="16" t="s">
        <v>1506</v>
      </c>
      <c r="H450" s="16" t="s">
        <v>2000</v>
      </c>
      <c r="I450" s="82"/>
      <c r="J450" s="92"/>
      <c r="K450" s="82"/>
      <c r="M450" s="114" t="str">
        <f>VLOOKUP(A450,'BIC_(C_Variables)'!$A$3:$AS$43,45,FALSE())</f>
        <v/>
      </c>
      <c r="N450" s="1"/>
      <c r="O450" s="1"/>
      <c r="P450" s="81" t="str">
        <f>IFERROR(VLOOKUP(A450,Internal_lists_bugs!$A$2:$G7981,7,FALSE()),"please select a BUG ID")</f>
        <v>https://opendev.org/openstack/nova/commit/0e02db2980dc4e76ef7949ba4ec131af9fc4a44d</v>
      </c>
    </row>
    <row r="451">
      <c r="A451" s="16" t="s">
        <v>42</v>
      </c>
      <c r="B451" s="50" t="str">
        <f>IFERROR(HYPERLINK(VLOOKUP(A451,Internal_lists_bugs!$A$2:$C$73,3,FALSE()), VLOOKUP(A451,Internal_lists_bugs!$A$2:$C$73,3,FALSE())&amp;Char(10) &amp; Char(10) &amp; VLOOKUP(A451,Internal_lists_bugs!$A$2:$Z$73,26,FALSE())),"please select a BUG ID")</f>
        <v>https://bugs.launchpad.net/nova/+bug/1467451
/hyperv/vmutils.py
/virt/hyperv/vmutilsv2.py </v>
      </c>
      <c r="C451" s="81" t="str">
        <f>IFERROR(VLOOKUP(A451,Internal_lists_bugs!$A$2:$I7981,9,FALSE()),"please select a BUG ID")</f>
        <v>https://review.opendev.org/c/openstack/nova/+/129235</v>
      </c>
      <c r="D451" s="114"/>
      <c r="E451" s="114"/>
      <c r="F451" s="115"/>
      <c r="G451" s="16" t="s">
        <v>2001</v>
      </c>
      <c r="H451" s="16" t="s">
        <v>2002</v>
      </c>
      <c r="I451" s="82"/>
      <c r="J451" s="92"/>
      <c r="K451" s="82"/>
      <c r="M451" s="114" t="str">
        <f>VLOOKUP(A451,'BIC_(C_Variables)'!$A$3:$AS$43,45,FALSE())</f>
        <v/>
      </c>
      <c r="N451" s="1"/>
      <c r="O451" s="1"/>
      <c r="P451" s="81" t="str">
        <f>IFERROR(VLOOKUP(A451,Internal_lists_bugs!$A$2:$G7981,7,FALSE()),"please select a BUG ID")</f>
        <v>https://opendev.org/openstack/nova/commit/0e02db2980dc4e76ef7949ba4ec131af9fc4a44d</v>
      </c>
    </row>
    <row r="452">
      <c r="A452" s="16" t="s">
        <v>42</v>
      </c>
      <c r="B452" s="50" t="str">
        <f>IFERROR(HYPERLINK(VLOOKUP(A452,Internal_lists_bugs!$A$2:$C$73,3,FALSE()), VLOOKUP(A452,Internal_lists_bugs!$A$2:$C$73,3,FALSE())&amp;Char(10) &amp; Char(10) &amp; VLOOKUP(A452,Internal_lists_bugs!$A$2:$Z$73,26,FALSE())),"please select a BUG ID")</f>
        <v>https://bugs.launchpad.net/nova/+bug/1467451
/hyperv/vmutils.py
/virt/hyperv/vmutilsv2.py </v>
      </c>
      <c r="C452" s="81" t="str">
        <f>IFERROR(VLOOKUP(A452,Internal_lists_bugs!$A$2:$I7981,9,FALSE()),"please select a BUG ID")</f>
        <v>https://review.opendev.org/c/openstack/nova/+/129235</v>
      </c>
      <c r="D452" s="114"/>
      <c r="E452" s="114"/>
      <c r="F452" s="115"/>
      <c r="G452" s="16" t="s">
        <v>2003</v>
      </c>
      <c r="H452" s="16" t="s">
        <v>2004</v>
      </c>
      <c r="I452" s="82"/>
      <c r="J452" s="92"/>
      <c r="K452" s="82"/>
      <c r="M452" s="114" t="str">
        <f>VLOOKUP(A452,'BIC_(C_Variables)'!$A$3:$AS$43,45,FALSE())</f>
        <v/>
      </c>
      <c r="N452" s="1"/>
      <c r="O452" s="1"/>
      <c r="P452" s="81" t="str">
        <f>IFERROR(VLOOKUP(A452,Internal_lists_bugs!$A$2:$G7981,7,FALSE()),"please select a BUG ID")</f>
        <v>https://opendev.org/openstack/nova/commit/0e02db2980dc4e76ef7949ba4ec131af9fc4a44d</v>
      </c>
    </row>
    <row r="453">
      <c r="A453" s="16" t="s">
        <v>42</v>
      </c>
      <c r="B453" s="50" t="str">
        <f>IFERROR(HYPERLINK(VLOOKUP(A453,Internal_lists_bugs!$A$2:$C$73,3,FALSE()), VLOOKUP(A453,Internal_lists_bugs!$A$2:$C$73,3,FALSE())&amp;Char(10) &amp; Char(10) &amp; VLOOKUP(A453,Internal_lists_bugs!$A$2:$Z$73,26,FALSE())),"please select a BUG ID")</f>
        <v>https://bugs.launchpad.net/nova/+bug/1467451
/hyperv/vmutils.py
/virt/hyperv/vmutilsv2.py </v>
      </c>
      <c r="C453" s="81" t="str">
        <f>IFERROR(VLOOKUP(A453,Internal_lists_bugs!$A$2:$I7981,9,FALSE()),"please select a BUG ID")</f>
        <v>https://review.opendev.org/c/openstack/nova/+/129235</v>
      </c>
      <c r="D453" s="114"/>
      <c r="E453" s="114"/>
      <c r="F453" s="115"/>
      <c r="G453" s="16" t="s">
        <v>2005</v>
      </c>
      <c r="H453" s="16" t="s">
        <v>2006</v>
      </c>
      <c r="I453" s="82"/>
      <c r="J453" s="92"/>
      <c r="K453" s="82"/>
      <c r="M453" s="114" t="str">
        <f>VLOOKUP(A453,'BIC_(C_Variables)'!$A$3:$AS$43,45,FALSE())</f>
        <v/>
      </c>
      <c r="N453" s="1"/>
      <c r="O453" s="1"/>
      <c r="P453" s="81" t="str">
        <f>IFERROR(VLOOKUP(A453,Internal_lists_bugs!$A$2:$G7981,7,FALSE()),"please select a BUG ID")</f>
        <v>https://opendev.org/openstack/nova/commit/0e02db2980dc4e76ef7949ba4ec131af9fc4a44d</v>
      </c>
    </row>
    <row r="454">
      <c r="A454" s="16" t="s">
        <v>42</v>
      </c>
      <c r="B454" s="50" t="str">
        <f>IFERROR(HYPERLINK(VLOOKUP(A454,Internal_lists_bugs!$A$2:$C$73,3,FALSE()), VLOOKUP(A454,Internal_lists_bugs!$A$2:$C$73,3,FALSE())&amp;Char(10) &amp; Char(10) &amp; VLOOKUP(A454,Internal_lists_bugs!$A$2:$Z$73,26,FALSE())),"please select a BUG ID")</f>
        <v>https://bugs.launchpad.net/nova/+bug/1467451
/hyperv/vmutils.py
/virt/hyperv/vmutilsv2.py </v>
      </c>
      <c r="C454" s="81" t="str">
        <f>IFERROR(VLOOKUP(A454,Internal_lists_bugs!$A$2:$I7981,9,FALSE()),"please select a BUG ID")</f>
        <v>https://review.opendev.org/c/openstack/nova/+/129235</v>
      </c>
      <c r="D454" s="114"/>
      <c r="E454" s="114"/>
      <c r="F454" s="115"/>
      <c r="G454" s="16" t="s">
        <v>2007</v>
      </c>
      <c r="H454" s="16" t="s">
        <v>2008</v>
      </c>
      <c r="I454" s="82"/>
      <c r="J454" s="92"/>
      <c r="K454" s="82"/>
      <c r="M454" s="114" t="str">
        <f>VLOOKUP(A454,'BIC_(C_Variables)'!$A$3:$AS$43,45,FALSE())</f>
        <v/>
      </c>
      <c r="N454" s="1"/>
      <c r="O454" s="1"/>
      <c r="P454" s="81" t="str">
        <f>IFERROR(VLOOKUP(A454,Internal_lists_bugs!$A$2:$G7981,7,FALSE()),"please select a BUG ID")</f>
        <v>https://opendev.org/openstack/nova/commit/0e02db2980dc4e76ef7949ba4ec131af9fc4a44d</v>
      </c>
    </row>
    <row r="455">
      <c r="A455" s="16" t="s">
        <v>42</v>
      </c>
      <c r="B455" s="50" t="str">
        <f>IFERROR(HYPERLINK(VLOOKUP(A455,Internal_lists_bugs!$A$2:$C$73,3,FALSE()), VLOOKUP(A455,Internal_lists_bugs!$A$2:$C$73,3,FALSE())&amp;Char(10) &amp; Char(10) &amp; VLOOKUP(A455,Internal_lists_bugs!$A$2:$Z$73,26,FALSE())),"please select a BUG ID")</f>
        <v>https://bugs.launchpad.net/nova/+bug/1467451
/hyperv/vmutils.py
/virt/hyperv/vmutilsv2.py </v>
      </c>
      <c r="C455" s="81" t="str">
        <f>IFERROR(VLOOKUP(A455,Internal_lists_bugs!$A$2:$I7981,9,FALSE()),"please select a BUG ID")</f>
        <v>https://review.opendev.org/c/openstack/nova/+/129235</v>
      </c>
      <c r="D455" s="114"/>
      <c r="E455" s="114"/>
      <c r="F455" s="115"/>
      <c r="G455" s="16" t="s">
        <v>1690</v>
      </c>
      <c r="H455" s="16" t="s">
        <v>2009</v>
      </c>
      <c r="I455" s="82"/>
      <c r="J455" s="92"/>
      <c r="K455" s="82"/>
      <c r="M455" s="114" t="str">
        <f>VLOOKUP(A455,'BIC_(C_Variables)'!$A$3:$AS$43,45,FALSE())</f>
        <v/>
      </c>
      <c r="N455" s="1"/>
      <c r="O455" s="1"/>
      <c r="P455" s="81" t="str">
        <f>IFERROR(VLOOKUP(A455,Internal_lists_bugs!$A$2:$G7981,7,FALSE()),"please select a BUG ID")</f>
        <v>https://opendev.org/openstack/nova/commit/0e02db2980dc4e76ef7949ba4ec131af9fc4a44d</v>
      </c>
    </row>
    <row r="456">
      <c r="A456" s="16" t="s">
        <v>42</v>
      </c>
      <c r="B456" s="50" t="str">
        <f>IFERROR(HYPERLINK(VLOOKUP(A456,Internal_lists_bugs!$A$2:$C$73,3,FALSE()), VLOOKUP(A456,Internal_lists_bugs!$A$2:$C$73,3,FALSE())&amp;Char(10) &amp; Char(10) &amp; VLOOKUP(A456,Internal_lists_bugs!$A$2:$Z$73,26,FALSE())),"please select a BUG ID")</f>
        <v>https://bugs.launchpad.net/nova/+bug/1467451
/hyperv/vmutils.py
/virt/hyperv/vmutilsv2.py </v>
      </c>
      <c r="C456" s="81" t="str">
        <f>IFERROR(VLOOKUP(A456,Internal_lists_bugs!$A$2:$I7981,9,FALSE()),"please select a BUG ID")</f>
        <v>https://review.opendev.org/c/openstack/nova/+/129235</v>
      </c>
      <c r="D456" s="114"/>
      <c r="E456" s="114"/>
      <c r="F456" s="115"/>
      <c r="G456" s="16" t="s">
        <v>2010</v>
      </c>
      <c r="H456" s="16" t="s">
        <v>2011</v>
      </c>
      <c r="I456" s="82"/>
      <c r="J456" s="92"/>
      <c r="K456" s="82"/>
      <c r="M456" s="114" t="str">
        <f>VLOOKUP(A456,'BIC_(C_Variables)'!$A$3:$AS$43,45,FALSE())</f>
        <v/>
      </c>
      <c r="N456" s="1"/>
      <c r="O456" s="1"/>
      <c r="P456" s="81" t="str">
        <f>IFERROR(VLOOKUP(A456,Internal_lists_bugs!$A$2:$G7981,7,FALSE()),"please select a BUG ID")</f>
        <v>https://opendev.org/openstack/nova/commit/0e02db2980dc4e76ef7949ba4ec131af9fc4a44d</v>
      </c>
    </row>
    <row r="457">
      <c r="A457" s="16" t="s">
        <v>42</v>
      </c>
      <c r="B457" s="50" t="str">
        <f>IFERROR(HYPERLINK(VLOOKUP(A457,Internal_lists_bugs!$A$2:$C$73,3,FALSE()), VLOOKUP(A457,Internal_lists_bugs!$A$2:$C$73,3,FALSE())&amp;Char(10) &amp; Char(10) &amp; VLOOKUP(A457,Internal_lists_bugs!$A$2:$Z$73,26,FALSE())),"please select a BUG ID")</f>
        <v>https://bugs.launchpad.net/nova/+bug/1467451
/hyperv/vmutils.py
/virt/hyperv/vmutilsv2.py </v>
      </c>
      <c r="C457" s="81" t="str">
        <f>IFERROR(VLOOKUP(A457,Internal_lists_bugs!$A$2:$I7981,9,FALSE()),"please select a BUG ID")</f>
        <v>https://review.opendev.org/c/openstack/nova/+/129235</v>
      </c>
      <c r="D457" s="114"/>
      <c r="E457" s="114"/>
      <c r="F457" s="115"/>
      <c r="G457" s="16" t="s">
        <v>2012</v>
      </c>
      <c r="H457" s="16" t="s">
        <v>2013</v>
      </c>
      <c r="I457" s="82"/>
      <c r="J457" s="92"/>
      <c r="K457" s="82"/>
      <c r="M457" s="114" t="str">
        <f>VLOOKUP(A457,'BIC_(C_Variables)'!$A$3:$AS$43,45,FALSE())</f>
        <v/>
      </c>
      <c r="N457" s="1"/>
      <c r="O457" s="1"/>
      <c r="P457" s="81" t="str">
        <f>IFERROR(VLOOKUP(A457,Internal_lists_bugs!$A$2:$G7981,7,FALSE()),"please select a BUG ID")</f>
        <v>https://opendev.org/openstack/nova/commit/0e02db2980dc4e76ef7949ba4ec131af9fc4a44d</v>
      </c>
    </row>
    <row r="458">
      <c r="A458" s="16" t="s">
        <v>42</v>
      </c>
      <c r="B458" s="50" t="str">
        <f>IFERROR(HYPERLINK(VLOOKUP(A458,Internal_lists_bugs!$A$2:$C$73,3,FALSE()), VLOOKUP(A458,Internal_lists_bugs!$A$2:$C$73,3,FALSE())&amp;Char(10) &amp; Char(10) &amp; VLOOKUP(A458,Internal_lists_bugs!$A$2:$Z$73,26,FALSE())),"please select a BUG ID")</f>
        <v>https://bugs.launchpad.net/nova/+bug/1467451
/hyperv/vmutils.py
/virt/hyperv/vmutilsv2.py </v>
      </c>
      <c r="C458" s="81" t="str">
        <f>IFERROR(VLOOKUP(A458,Internal_lists_bugs!$A$2:$I7981,9,FALSE()),"please select a BUG ID")</f>
        <v>https://review.opendev.org/c/openstack/nova/+/129235</v>
      </c>
      <c r="D458" s="114"/>
      <c r="E458" s="114"/>
      <c r="F458" s="115"/>
      <c r="G458" s="16" t="s">
        <v>1779</v>
      </c>
      <c r="H458" s="16" t="s">
        <v>2014</v>
      </c>
      <c r="I458" s="82"/>
      <c r="J458" s="92"/>
      <c r="K458" s="82"/>
      <c r="M458" s="114" t="str">
        <f>VLOOKUP(A458,'BIC_(C_Variables)'!$A$3:$AS$43,45,FALSE())</f>
        <v/>
      </c>
      <c r="N458" s="1"/>
      <c r="O458" s="1"/>
      <c r="P458" s="81" t="str">
        <f>IFERROR(VLOOKUP(A458,Internal_lists_bugs!$A$2:$G7981,7,FALSE()),"please select a BUG ID")</f>
        <v>https://opendev.org/openstack/nova/commit/0e02db2980dc4e76ef7949ba4ec131af9fc4a44d</v>
      </c>
    </row>
    <row r="459">
      <c r="A459" s="16" t="s">
        <v>42</v>
      </c>
      <c r="B459" s="50" t="str">
        <f>IFERROR(HYPERLINK(VLOOKUP(A459,Internal_lists_bugs!$A$2:$C$73,3,FALSE()), VLOOKUP(A459,Internal_lists_bugs!$A$2:$C$73,3,FALSE())&amp;Char(10) &amp; Char(10) &amp; VLOOKUP(A459,Internal_lists_bugs!$A$2:$Z$73,26,FALSE())),"please select a BUG ID")</f>
        <v>https://bugs.launchpad.net/nova/+bug/1467451
/hyperv/vmutils.py
/virt/hyperv/vmutilsv2.py </v>
      </c>
      <c r="C459" s="81" t="str">
        <f>IFERROR(VLOOKUP(A459,Internal_lists_bugs!$A$2:$I7981,9,FALSE()),"please select a BUG ID")</f>
        <v>https://review.opendev.org/c/openstack/nova/+/129235</v>
      </c>
      <c r="D459" s="114"/>
      <c r="E459" s="114"/>
      <c r="F459" s="115"/>
      <c r="G459" s="16" t="s">
        <v>2015</v>
      </c>
      <c r="H459" s="16" t="s">
        <v>2016</v>
      </c>
      <c r="I459" s="82"/>
      <c r="J459" s="92"/>
      <c r="K459" s="82"/>
      <c r="M459" s="114" t="str">
        <f>VLOOKUP(A459,'BIC_(C_Variables)'!$A$3:$AS$43,45,FALSE())</f>
        <v/>
      </c>
      <c r="N459" s="1"/>
      <c r="O459" s="1"/>
      <c r="P459" s="81" t="str">
        <f>IFERROR(VLOOKUP(A459,Internal_lists_bugs!$A$2:$G7981,7,FALSE()),"please select a BUG ID")</f>
        <v>https://opendev.org/openstack/nova/commit/0e02db2980dc4e76ef7949ba4ec131af9fc4a44d</v>
      </c>
    </row>
    <row r="460">
      <c r="A460" s="16" t="s">
        <v>42</v>
      </c>
      <c r="B460" s="50" t="str">
        <f>IFERROR(HYPERLINK(VLOOKUP(A460,Internal_lists_bugs!$A$2:$C$73,3,FALSE()), VLOOKUP(A460,Internal_lists_bugs!$A$2:$C$73,3,FALSE())&amp;Char(10) &amp; Char(10) &amp; VLOOKUP(A460,Internal_lists_bugs!$A$2:$Z$73,26,FALSE())),"please select a BUG ID")</f>
        <v>https://bugs.launchpad.net/nova/+bug/1467451
/hyperv/vmutils.py
/virt/hyperv/vmutilsv2.py </v>
      </c>
      <c r="C460" s="81" t="str">
        <f>IFERROR(VLOOKUP(A460,Internal_lists_bugs!$A$2:$I7981,9,FALSE()),"please select a BUG ID")</f>
        <v>https://review.opendev.org/c/openstack/nova/+/129235</v>
      </c>
      <c r="D460" s="114"/>
      <c r="E460" s="114"/>
      <c r="F460" s="115"/>
      <c r="G460" s="16" t="s">
        <v>1639</v>
      </c>
      <c r="H460" s="16" t="s">
        <v>2017</v>
      </c>
      <c r="I460" s="82"/>
      <c r="J460" s="92"/>
      <c r="K460" s="82"/>
      <c r="M460" s="114" t="str">
        <f>VLOOKUP(A460,'BIC_(C_Variables)'!$A$3:$AS$43,45,FALSE())</f>
        <v/>
      </c>
      <c r="N460" s="1"/>
      <c r="O460" s="1"/>
      <c r="P460" s="81" t="str">
        <f>IFERROR(VLOOKUP(A460,Internal_lists_bugs!$A$2:$G7981,7,FALSE()),"please select a BUG ID")</f>
        <v>https://opendev.org/openstack/nova/commit/0e02db2980dc4e76ef7949ba4ec131af9fc4a44d</v>
      </c>
    </row>
    <row r="461">
      <c r="A461" s="16" t="s">
        <v>42</v>
      </c>
      <c r="B461" s="50" t="str">
        <f>IFERROR(HYPERLINK(VLOOKUP(A461,Internal_lists_bugs!$A$2:$C$73,3,FALSE()), VLOOKUP(A461,Internal_lists_bugs!$A$2:$C$73,3,FALSE())&amp;Char(10) &amp; Char(10) &amp; VLOOKUP(A461,Internal_lists_bugs!$A$2:$Z$73,26,FALSE())),"please select a BUG ID")</f>
        <v>https://bugs.launchpad.net/nova/+bug/1467451
/hyperv/vmutils.py
/virt/hyperv/vmutilsv2.py </v>
      </c>
      <c r="C461" s="81" t="str">
        <f>IFERROR(VLOOKUP(A461,Internal_lists_bugs!$A$2:$I7981,9,FALSE()),"please select a BUG ID")</f>
        <v>https://review.opendev.org/c/openstack/nova/+/129235</v>
      </c>
      <c r="D461" s="114"/>
      <c r="E461" s="114"/>
      <c r="F461" s="115"/>
      <c r="G461" s="16" t="s">
        <v>1641</v>
      </c>
      <c r="H461" s="16" t="s">
        <v>2018</v>
      </c>
      <c r="I461" s="82"/>
      <c r="J461" s="92"/>
      <c r="K461" s="82"/>
      <c r="M461" s="114" t="str">
        <f>VLOOKUP(A461,'BIC_(C_Variables)'!$A$3:$AS$43,45,FALSE())</f>
        <v/>
      </c>
      <c r="N461" s="1"/>
      <c r="O461" s="1"/>
      <c r="P461" s="81" t="str">
        <f>IFERROR(VLOOKUP(A461,Internal_lists_bugs!$A$2:$G7981,7,FALSE()),"please select a BUG ID")</f>
        <v>https://opendev.org/openstack/nova/commit/0e02db2980dc4e76ef7949ba4ec131af9fc4a44d</v>
      </c>
    </row>
    <row r="462">
      <c r="A462" s="16" t="s">
        <v>42</v>
      </c>
      <c r="B462" s="50" t="str">
        <f>IFERROR(HYPERLINK(VLOOKUP(A462,Internal_lists_bugs!$A$2:$C$73,3,FALSE()), VLOOKUP(A462,Internal_lists_bugs!$A$2:$C$73,3,FALSE())&amp;Char(10) &amp; Char(10) &amp; VLOOKUP(A462,Internal_lists_bugs!$A$2:$Z$73,26,FALSE())),"please select a BUG ID")</f>
        <v>https://bugs.launchpad.net/nova/+bug/1467451
/hyperv/vmutils.py
/virt/hyperv/vmutilsv2.py </v>
      </c>
      <c r="C462" s="81" t="str">
        <f>IFERROR(VLOOKUP(A462,Internal_lists_bugs!$A$2:$I7981,9,FALSE()),"please select a BUG ID")</f>
        <v>https://review.opendev.org/c/openstack/nova/+/129235</v>
      </c>
      <c r="D462" s="114"/>
      <c r="E462" s="114"/>
      <c r="F462" s="115"/>
      <c r="G462" s="16" t="s">
        <v>2019</v>
      </c>
      <c r="H462" s="16" t="s">
        <v>2020</v>
      </c>
      <c r="I462" s="82"/>
      <c r="J462" s="92"/>
      <c r="K462" s="82"/>
      <c r="M462" s="114" t="str">
        <f>VLOOKUP(A462,'BIC_(C_Variables)'!$A$3:$AS$43,45,FALSE())</f>
        <v/>
      </c>
      <c r="N462" s="1"/>
      <c r="O462" s="1"/>
      <c r="P462" s="81" t="str">
        <f>IFERROR(VLOOKUP(A462,Internal_lists_bugs!$A$2:$G7981,7,FALSE()),"please select a BUG ID")</f>
        <v>https://opendev.org/openstack/nova/commit/0e02db2980dc4e76ef7949ba4ec131af9fc4a44d</v>
      </c>
    </row>
    <row r="463">
      <c r="A463" s="16" t="s">
        <v>42</v>
      </c>
      <c r="B463" s="50" t="str">
        <f>IFERROR(HYPERLINK(VLOOKUP(A463,Internal_lists_bugs!$A$2:$C$73,3,FALSE()), VLOOKUP(A463,Internal_lists_bugs!$A$2:$C$73,3,FALSE())&amp;Char(10) &amp; Char(10) &amp; VLOOKUP(A463,Internal_lists_bugs!$A$2:$Z$73,26,FALSE())),"please select a BUG ID")</f>
        <v>https://bugs.launchpad.net/nova/+bug/1467451
/hyperv/vmutils.py
/virt/hyperv/vmutilsv2.py </v>
      </c>
      <c r="C463" s="81" t="str">
        <f>IFERROR(VLOOKUP(A463,Internal_lists_bugs!$A$2:$I7981,9,FALSE()),"please select a BUG ID")</f>
        <v>https://review.opendev.org/c/openstack/nova/+/129235</v>
      </c>
      <c r="D463" s="114"/>
      <c r="E463" s="114"/>
      <c r="F463" s="115"/>
      <c r="G463" s="16" t="s">
        <v>1860</v>
      </c>
      <c r="H463" s="16" t="s">
        <v>2021</v>
      </c>
      <c r="I463" s="82"/>
      <c r="J463" s="92"/>
      <c r="K463" s="82"/>
      <c r="M463" s="114" t="str">
        <f>VLOOKUP(A463,'BIC_(C_Variables)'!$A$3:$AS$43,45,FALSE())</f>
        <v/>
      </c>
      <c r="N463" s="1"/>
      <c r="O463" s="1"/>
      <c r="P463" s="81" t="str">
        <f>IFERROR(VLOOKUP(A463,Internal_lists_bugs!$A$2:$G7981,7,FALSE()),"please select a BUG ID")</f>
        <v>https://opendev.org/openstack/nova/commit/0e02db2980dc4e76ef7949ba4ec131af9fc4a44d</v>
      </c>
    </row>
    <row r="464">
      <c r="A464" s="16" t="s">
        <v>42</v>
      </c>
      <c r="B464" s="50" t="str">
        <f>IFERROR(HYPERLINK(VLOOKUP(A464,Internal_lists_bugs!$A$2:$C$73,3,FALSE()), VLOOKUP(A464,Internal_lists_bugs!$A$2:$C$73,3,FALSE())&amp;Char(10) &amp; Char(10) &amp; VLOOKUP(A464,Internal_lists_bugs!$A$2:$Z$73,26,FALSE())),"please select a BUG ID")</f>
        <v>https://bugs.launchpad.net/nova/+bug/1467451
/hyperv/vmutils.py
/virt/hyperv/vmutilsv2.py </v>
      </c>
      <c r="C464" s="81" t="str">
        <f>IFERROR(VLOOKUP(A464,Internal_lists_bugs!$A$2:$I7981,9,FALSE()),"please select a BUG ID")</f>
        <v>https://review.opendev.org/c/openstack/nova/+/129235</v>
      </c>
      <c r="D464" s="114"/>
      <c r="E464" s="114"/>
      <c r="F464" s="115"/>
      <c r="G464" s="16" t="s">
        <v>1860</v>
      </c>
      <c r="H464" s="16" t="s">
        <v>2022</v>
      </c>
      <c r="I464" s="82"/>
      <c r="J464" s="92"/>
      <c r="K464" s="82"/>
      <c r="M464" s="114" t="str">
        <f>VLOOKUP(A464,'BIC_(C_Variables)'!$A$3:$AS$43,45,FALSE())</f>
        <v/>
      </c>
      <c r="N464" s="1"/>
      <c r="O464" s="1"/>
      <c r="P464" s="81" t="str">
        <f>IFERROR(VLOOKUP(A464,Internal_lists_bugs!$A$2:$G7981,7,FALSE()),"please select a BUG ID")</f>
        <v>https://opendev.org/openstack/nova/commit/0e02db2980dc4e76ef7949ba4ec131af9fc4a44d</v>
      </c>
    </row>
    <row r="465">
      <c r="A465" s="16" t="s">
        <v>42</v>
      </c>
      <c r="B465" s="50" t="str">
        <f>IFERROR(HYPERLINK(VLOOKUP(A465,Internal_lists_bugs!$A$2:$C$73,3,FALSE()), VLOOKUP(A465,Internal_lists_bugs!$A$2:$C$73,3,FALSE())&amp;Char(10) &amp; Char(10) &amp; VLOOKUP(A465,Internal_lists_bugs!$A$2:$Z$73,26,FALSE())),"please select a BUG ID")</f>
        <v>https://bugs.launchpad.net/nova/+bug/1467451
/hyperv/vmutils.py
/virt/hyperv/vmutilsv2.py </v>
      </c>
      <c r="C465" s="81" t="str">
        <f>IFERROR(VLOOKUP(A465,Internal_lists_bugs!$A$2:$I7981,9,FALSE()),"please select a BUG ID")</f>
        <v>https://review.opendev.org/c/openstack/nova/+/129235</v>
      </c>
      <c r="D465" s="114"/>
      <c r="E465" s="114"/>
      <c r="F465" s="115"/>
      <c r="G465" s="16" t="s">
        <v>1860</v>
      </c>
      <c r="H465" s="16" t="s">
        <v>2023</v>
      </c>
      <c r="I465" s="82"/>
      <c r="J465" s="92"/>
      <c r="K465" s="82"/>
      <c r="M465" s="114" t="str">
        <f>VLOOKUP(A465,'BIC_(C_Variables)'!$A$3:$AS$43,45,FALSE())</f>
        <v/>
      </c>
      <c r="N465" s="1"/>
      <c r="O465" s="1"/>
      <c r="P465" s="81" t="str">
        <f>IFERROR(VLOOKUP(A465,Internal_lists_bugs!$A$2:$G7981,7,FALSE()),"please select a BUG ID")</f>
        <v>https://opendev.org/openstack/nova/commit/0e02db2980dc4e76ef7949ba4ec131af9fc4a44d</v>
      </c>
    </row>
    <row r="466">
      <c r="A466" s="16" t="s">
        <v>42</v>
      </c>
      <c r="B466" s="50" t="str">
        <f>IFERROR(HYPERLINK(VLOOKUP(A466,Internal_lists_bugs!$A$2:$C$73,3,FALSE()), VLOOKUP(A466,Internal_lists_bugs!$A$2:$C$73,3,FALSE())&amp;Char(10) &amp; Char(10) &amp; VLOOKUP(A466,Internal_lists_bugs!$A$2:$Z$73,26,FALSE())),"please select a BUG ID")</f>
        <v>https://bugs.launchpad.net/nova/+bug/1467451
/hyperv/vmutils.py
/virt/hyperv/vmutilsv2.py </v>
      </c>
      <c r="C466" s="81" t="str">
        <f>IFERROR(VLOOKUP(A466,Internal_lists_bugs!$A$2:$I7981,9,FALSE()),"please select a BUG ID")</f>
        <v>https://review.opendev.org/c/openstack/nova/+/129235</v>
      </c>
      <c r="D466" s="114"/>
      <c r="E466" s="114"/>
      <c r="F466" s="115"/>
      <c r="G466" s="16" t="s">
        <v>1690</v>
      </c>
      <c r="H466" s="16" t="s">
        <v>2024</v>
      </c>
      <c r="I466" s="82"/>
      <c r="J466" s="92"/>
      <c r="K466" s="82"/>
      <c r="M466" s="114" t="str">
        <f>VLOOKUP(A466,'BIC_(C_Variables)'!$A$3:$AS$43,45,FALSE())</f>
        <v/>
      </c>
      <c r="N466" s="1"/>
      <c r="O466" s="1"/>
      <c r="P466" s="81" t="str">
        <f>IFERROR(VLOOKUP(A466,Internal_lists_bugs!$A$2:$G7981,7,FALSE()),"please select a BUG ID")</f>
        <v>https://opendev.org/openstack/nova/commit/0e02db2980dc4e76ef7949ba4ec131af9fc4a44d</v>
      </c>
    </row>
    <row r="467">
      <c r="A467" s="16" t="s">
        <v>42</v>
      </c>
      <c r="B467" s="50" t="str">
        <f>IFERROR(HYPERLINK(VLOOKUP(A467,Internal_lists_bugs!$A$2:$C$73,3,FALSE()), VLOOKUP(A467,Internal_lists_bugs!$A$2:$C$73,3,FALSE())&amp;Char(10) &amp; Char(10) &amp; VLOOKUP(A467,Internal_lists_bugs!$A$2:$Z$73,26,FALSE())),"please select a BUG ID")</f>
        <v>https://bugs.launchpad.net/nova/+bug/1467451
/hyperv/vmutils.py
/virt/hyperv/vmutilsv2.py </v>
      </c>
      <c r="C467" s="81" t="str">
        <f>IFERROR(VLOOKUP(A467,Internal_lists_bugs!$A$2:$I7981,9,FALSE()),"please select a BUG ID")</f>
        <v>https://review.opendev.org/c/openstack/nova/+/129235</v>
      </c>
      <c r="D467" s="114"/>
      <c r="E467" s="114"/>
      <c r="F467" s="115"/>
      <c r="G467" s="16" t="s">
        <v>2025</v>
      </c>
      <c r="H467" s="16" t="s">
        <v>2026</v>
      </c>
      <c r="I467" s="82"/>
      <c r="J467" s="92"/>
      <c r="K467" s="82"/>
      <c r="M467" s="114" t="str">
        <f>VLOOKUP(A467,'BIC_(C_Variables)'!$A$3:$AS$43,45,FALSE())</f>
        <v/>
      </c>
      <c r="N467" s="1"/>
      <c r="O467" s="1"/>
      <c r="P467" s="81" t="str">
        <f>IFERROR(VLOOKUP(A467,Internal_lists_bugs!$A$2:$G7981,7,FALSE()),"please select a BUG ID")</f>
        <v>https://opendev.org/openstack/nova/commit/0e02db2980dc4e76ef7949ba4ec131af9fc4a44d</v>
      </c>
    </row>
    <row r="468">
      <c r="A468" s="16" t="s">
        <v>42</v>
      </c>
      <c r="B468" s="50" t="str">
        <f>IFERROR(HYPERLINK(VLOOKUP(A468,Internal_lists_bugs!$A$2:$C$73,3,FALSE()), VLOOKUP(A468,Internal_lists_bugs!$A$2:$C$73,3,FALSE())&amp;Char(10) &amp; Char(10) &amp; VLOOKUP(A468,Internal_lists_bugs!$A$2:$Z$73,26,FALSE())),"please select a BUG ID")</f>
        <v>https://bugs.launchpad.net/nova/+bug/1467451
/hyperv/vmutils.py
/virt/hyperv/vmutilsv2.py </v>
      </c>
      <c r="C468" s="81" t="str">
        <f>IFERROR(VLOOKUP(A468,Internal_lists_bugs!$A$2:$I7981,9,FALSE()),"please select a BUG ID")</f>
        <v>https://review.opendev.org/c/openstack/nova/+/129235</v>
      </c>
      <c r="D468" s="114"/>
      <c r="E468" s="114"/>
      <c r="F468" s="115"/>
      <c r="G468" s="16" t="s">
        <v>1531</v>
      </c>
      <c r="H468" s="16" t="s">
        <v>2027</v>
      </c>
      <c r="I468" s="82"/>
      <c r="J468" s="92"/>
      <c r="K468" s="82"/>
      <c r="M468" s="114" t="str">
        <f>VLOOKUP(A468,'BIC_(C_Variables)'!$A$3:$AS$43,45,FALSE())</f>
        <v/>
      </c>
      <c r="N468" s="1"/>
      <c r="O468" s="1"/>
      <c r="P468" s="81" t="str">
        <f>IFERROR(VLOOKUP(A468,Internal_lists_bugs!$A$2:$G7981,7,FALSE()),"please select a BUG ID")</f>
        <v>https://opendev.org/openstack/nova/commit/0e02db2980dc4e76ef7949ba4ec131af9fc4a44d</v>
      </c>
    </row>
    <row r="469">
      <c r="A469" s="16" t="s">
        <v>42</v>
      </c>
      <c r="B469" s="50" t="str">
        <f>IFERROR(HYPERLINK(VLOOKUP(A469,Internal_lists_bugs!$A$2:$C$73,3,FALSE()), VLOOKUP(A469,Internal_lists_bugs!$A$2:$C$73,3,FALSE())&amp;Char(10) &amp; Char(10) &amp; VLOOKUP(A469,Internal_lists_bugs!$A$2:$Z$73,26,FALSE())),"please select a BUG ID")</f>
        <v>https://bugs.launchpad.net/nova/+bug/1467451
/hyperv/vmutils.py
/virt/hyperv/vmutilsv2.py </v>
      </c>
      <c r="C469" s="81" t="str">
        <f>IFERROR(VLOOKUP(A469,Internal_lists_bugs!$A$2:$I7981,9,FALSE()),"please select a BUG ID")</f>
        <v>https://review.opendev.org/c/openstack/nova/+/129235</v>
      </c>
      <c r="D469" s="114"/>
      <c r="E469" s="114"/>
      <c r="F469" s="115"/>
      <c r="G469" s="16" t="s">
        <v>1720</v>
      </c>
      <c r="H469" s="16" t="s">
        <v>2028</v>
      </c>
      <c r="I469" s="82"/>
      <c r="J469" s="92"/>
      <c r="K469" s="82"/>
      <c r="M469" s="114" t="str">
        <f>VLOOKUP(A469,'BIC_(C_Variables)'!$A$3:$AS$43,45,FALSE())</f>
        <v/>
      </c>
      <c r="N469" s="1"/>
      <c r="O469" s="1"/>
      <c r="P469" s="81" t="str">
        <f>IFERROR(VLOOKUP(A469,Internal_lists_bugs!$A$2:$G7981,7,FALSE()),"please select a BUG ID")</f>
        <v>https://opendev.org/openstack/nova/commit/0e02db2980dc4e76ef7949ba4ec131af9fc4a44d</v>
      </c>
    </row>
    <row r="470">
      <c r="A470" s="16" t="s">
        <v>42</v>
      </c>
      <c r="B470" s="50" t="str">
        <f>IFERROR(HYPERLINK(VLOOKUP(A470,Internal_lists_bugs!$A$2:$C$73,3,FALSE()), VLOOKUP(A470,Internal_lists_bugs!$A$2:$C$73,3,FALSE())&amp;Char(10) &amp; Char(10) &amp; VLOOKUP(A470,Internal_lists_bugs!$A$2:$Z$73,26,FALSE())),"please select a BUG ID")</f>
        <v>https://bugs.launchpad.net/nova/+bug/1467451
/hyperv/vmutils.py
/virt/hyperv/vmutilsv2.py </v>
      </c>
      <c r="C470" s="81" t="str">
        <f>IFERROR(VLOOKUP(A470,Internal_lists_bugs!$A$2:$I7981,9,FALSE()),"please select a BUG ID")</f>
        <v>https://review.opendev.org/c/openstack/nova/+/129235</v>
      </c>
      <c r="D470" s="114"/>
      <c r="E470" s="114"/>
      <c r="F470" s="115"/>
      <c r="G470" s="16" t="s">
        <v>1808</v>
      </c>
      <c r="H470" s="16" t="s">
        <v>2029</v>
      </c>
      <c r="I470" s="82"/>
      <c r="J470" s="92"/>
      <c r="K470" s="82"/>
      <c r="M470" s="114" t="str">
        <f>VLOOKUP(A470,'BIC_(C_Variables)'!$A$3:$AS$43,45,FALSE())</f>
        <v/>
      </c>
      <c r="N470" s="1"/>
      <c r="O470" s="1"/>
      <c r="P470" s="81" t="str">
        <f>IFERROR(VLOOKUP(A470,Internal_lists_bugs!$A$2:$G7981,7,FALSE()),"please select a BUG ID")</f>
        <v>https://opendev.org/openstack/nova/commit/0e02db2980dc4e76ef7949ba4ec131af9fc4a44d</v>
      </c>
    </row>
    <row r="471">
      <c r="A471" s="16" t="s">
        <v>42</v>
      </c>
      <c r="B471" s="50" t="str">
        <f>IFERROR(HYPERLINK(VLOOKUP(A471,Internal_lists_bugs!$A$2:$C$73,3,FALSE()), VLOOKUP(A471,Internal_lists_bugs!$A$2:$C$73,3,FALSE())&amp;Char(10) &amp; Char(10) &amp; VLOOKUP(A471,Internal_lists_bugs!$A$2:$Z$73,26,FALSE())),"please select a BUG ID")</f>
        <v>https://bugs.launchpad.net/nova/+bug/1467451
/hyperv/vmutils.py
/virt/hyperv/vmutilsv2.py </v>
      </c>
      <c r="C471" s="81" t="str">
        <f>IFERROR(VLOOKUP(A471,Internal_lists_bugs!$A$2:$I7981,9,FALSE()),"please select a BUG ID")</f>
        <v>https://review.opendev.org/c/openstack/nova/+/129235</v>
      </c>
      <c r="D471" s="114"/>
      <c r="E471" s="114"/>
      <c r="F471" s="115"/>
      <c r="G471" s="16" t="s">
        <v>2030</v>
      </c>
      <c r="H471" s="16" t="s">
        <v>2031</v>
      </c>
      <c r="I471" s="82"/>
      <c r="J471" s="92"/>
      <c r="K471" s="82"/>
      <c r="M471" s="114" t="str">
        <f>VLOOKUP(A471,'BIC_(C_Variables)'!$A$3:$AS$43,45,FALSE())</f>
        <v/>
      </c>
      <c r="N471" s="1"/>
      <c r="O471" s="1"/>
      <c r="P471" s="81" t="str">
        <f>IFERROR(VLOOKUP(A471,Internal_lists_bugs!$A$2:$G7981,7,FALSE()),"please select a BUG ID")</f>
        <v>https://opendev.org/openstack/nova/commit/0e02db2980dc4e76ef7949ba4ec131af9fc4a44d</v>
      </c>
    </row>
    <row r="472">
      <c r="A472" s="16" t="s">
        <v>42</v>
      </c>
      <c r="B472" s="50" t="str">
        <f>IFERROR(HYPERLINK(VLOOKUP(A472,Internal_lists_bugs!$A$2:$C$73,3,FALSE()), VLOOKUP(A472,Internal_lists_bugs!$A$2:$C$73,3,FALSE())&amp;Char(10) &amp; Char(10) &amp; VLOOKUP(A472,Internal_lists_bugs!$A$2:$Z$73,26,FALSE())),"please select a BUG ID")</f>
        <v>https://bugs.launchpad.net/nova/+bug/1467451
/hyperv/vmutils.py
/virt/hyperv/vmutilsv2.py </v>
      </c>
      <c r="C472" s="81" t="str">
        <f>IFERROR(VLOOKUP(A472,Internal_lists_bugs!$A$2:$I7981,9,FALSE()),"please select a BUG ID")</f>
        <v>https://review.opendev.org/c/openstack/nova/+/129235</v>
      </c>
      <c r="D472" s="114"/>
      <c r="E472" s="114"/>
      <c r="F472" s="115"/>
      <c r="G472" s="16" t="s">
        <v>1506</v>
      </c>
      <c r="H472" s="16" t="s">
        <v>2032</v>
      </c>
      <c r="I472" s="82"/>
      <c r="J472" s="92"/>
      <c r="K472" s="82"/>
      <c r="M472" s="114"/>
      <c r="N472" s="1"/>
      <c r="O472" s="1"/>
      <c r="P472" s="51"/>
    </row>
    <row r="473">
      <c r="A473" s="16" t="s">
        <v>42</v>
      </c>
      <c r="B473" s="50" t="str">
        <f>IFERROR(HYPERLINK(VLOOKUP(A473,Internal_lists_bugs!$A$2:$C$73,3,FALSE()), VLOOKUP(A473,Internal_lists_bugs!$A$2:$C$73,3,FALSE())&amp;Char(10) &amp; Char(10) &amp; VLOOKUP(A473,Internal_lists_bugs!$A$2:$Z$73,26,FALSE())),"please select a BUG ID")</f>
        <v>https://bugs.launchpad.net/nova/+bug/1467451
/hyperv/vmutils.py
/virt/hyperv/vmutilsv2.py </v>
      </c>
      <c r="C473" s="81" t="str">
        <f>IFERROR(VLOOKUP(A473,Internal_lists_bugs!$A$2:$I7981,9,FALSE()),"please select a BUG ID")</f>
        <v>https://review.opendev.org/c/openstack/nova/+/129235</v>
      </c>
      <c r="D473" s="114"/>
      <c r="E473" s="114"/>
      <c r="F473" s="115"/>
      <c r="G473" s="16" t="s">
        <v>1495</v>
      </c>
      <c r="H473" s="16" t="s">
        <v>2033</v>
      </c>
      <c r="I473" s="82"/>
      <c r="J473" s="92"/>
      <c r="K473" s="82"/>
      <c r="M473" s="114"/>
      <c r="N473" s="1"/>
      <c r="O473" s="1"/>
      <c r="P473" s="51"/>
    </row>
    <row r="474">
      <c r="A474" s="16" t="s">
        <v>42</v>
      </c>
      <c r="B474" s="50" t="str">
        <f>IFERROR(HYPERLINK(VLOOKUP(A474,Internal_lists_bugs!$A$2:$C$73,3,FALSE()), VLOOKUP(A474,Internal_lists_bugs!$A$2:$C$73,3,FALSE())&amp;Char(10) &amp; Char(10) &amp; VLOOKUP(A474,Internal_lists_bugs!$A$2:$Z$73,26,FALSE())),"please select a BUG ID")</f>
        <v>https://bugs.launchpad.net/nova/+bug/1467451
/hyperv/vmutils.py
/virt/hyperv/vmutilsv2.py </v>
      </c>
      <c r="C474" s="81" t="str">
        <f>IFERROR(VLOOKUP(A474,Internal_lists_bugs!$A$2:$I7981,9,FALSE()),"please select a BUG ID")</f>
        <v>https://review.opendev.org/c/openstack/nova/+/129235</v>
      </c>
      <c r="D474" s="114"/>
      <c r="E474" s="114"/>
      <c r="F474" s="115"/>
      <c r="G474" s="16" t="s">
        <v>1810</v>
      </c>
      <c r="H474" s="16" t="s">
        <v>2034</v>
      </c>
      <c r="I474" s="82"/>
      <c r="J474" s="92"/>
      <c r="K474" s="82"/>
      <c r="M474" s="114" t="str">
        <f>VLOOKUP(A474,'BIC_(C_Variables)'!$A$3:$AS$43,45,FALSE())</f>
        <v/>
      </c>
      <c r="N474" s="1"/>
      <c r="O474" s="1"/>
      <c r="P474" s="81" t="str">
        <f>IFERROR(VLOOKUP(A474,Internal_lists_bugs!$A$2:$G7981,7,FALSE()),"please select a BUG ID")</f>
        <v>https://opendev.org/openstack/nova/commit/0e02db2980dc4e76ef7949ba4ec131af9fc4a44d</v>
      </c>
    </row>
    <row r="475">
      <c r="A475" s="16" t="s">
        <v>42</v>
      </c>
      <c r="B475" s="50" t="str">
        <f>IFERROR(HYPERLINK(VLOOKUP(A475,Internal_lists_bugs!$A$2:$C$73,3,FALSE()), VLOOKUP(A475,Internal_lists_bugs!$A$2:$C$73,3,FALSE())&amp;Char(10) &amp; Char(10) &amp; VLOOKUP(A475,Internal_lists_bugs!$A$2:$Z$73,26,FALSE())),"please select a BUG ID")</f>
        <v>https://bugs.launchpad.net/nova/+bug/1467451
/hyperv/vmutils.py
/virt/hyperv/vmutilsv2.py </v>
      </c>
      <c r="C475" s="81" t="str">
        <f>IFERROR(VLOOKUP(A475,Internal_lists_bugs!$A$2:$I7981,9,FALSE()),"please select a BUG ID")</f>
        <v>https://review.opendev.org/c/openstack/nova/+/129235</v>
      </c>
      <c r="D475" s="114"/>
      <c r="E475" s="114"/>
      <c r="F475" s="115"/>
      <c r="G475" s="16" t="s">
        <v>1696</v>
      </c>
      <c r="H475" s="16" t="s">
        <v>2035</v>
      </c>
      <c r="I475" s="82"/>
      <c r="J475" s="92"/>
      <c r="K475" s="82"/>
      <c r="M475" s="114" t="str">
        <f>VLOOKUP(A475,'BIC_(C_Variables)'!$A$3:$AS$43,45,FALSE())</f>
        <v/>
      </c>
      <c r="N475" s="1"/>
      <c r="O475" s="1"/>
      <c r="P475" s="81" t="str">
        <f>IFERROR(VLOOKUP(A475,Internal_lists_bugs!$A$2:$G7981,7,FALSE()),"please select a BUG ID")</f>
        <v>https://opendev.org/openstack/nova/commit/0e02db2980dc4e76ef7949ba4ec131af9fc4a44d</v>
      </c>
    </row>
    <row r="476">
      <c r="A476" s="16" t="s">
        <v>42</v>
      </c>
      <c r="B476" s="50" t="str">
        <f>IFERROR(HYPERLINK(VLOOKUP(A476,Internal_lists_bugs!$A$2:$C$73,3,FALSE()), VLOOKUP(A476,Internal_lists_bugs!$A$2:$C$73,3,FALSE())&amp;Char(10) &amp; Char(10) &amp; VLOOKUP(A476,Internal_lists_bugs!$A$2:$Z$73,26,FALSE())),"please select a BUG ID")</f>
        <v>https://bugs.launchpad.net/nova/+bug/1467451
/hyperv/vmutils.py
/virt/hyperv/vmutilsv2.py </v>
      </c>
      <c r="C476" s="81" t="str">
        <f>IFERROR(VLOOKUP(A476,Internal_lists_bugs!$A$2:$I7981,9,FALSE()),"please select a BUG ID")</f>
        <v>https://review.opendev.org/c/openstack/nova/+/129235</v>
      </c>
      <c r="D476" s="114"/>
      <c r="E476" s="114"/>
      <c r="F476" s="115"/>
      <c r="G476" s="16" t="s">
        <v>1568</v>
      </c>
      <c r="H476" s="16" t="s">
        <v>2036</v>
      </c>
      <c r="I476" s="82"/>
      <c r="J476" s="92"/>
      <c r="K476" s="82"/>
      <c r="M476" s="114" t="str">
        <f>VLOOKUP(A476,'BIC_(C_Variables)'!$A$3:$AS$43,45,FALSE())</f>
        <v/>
      </c>
      <c r="N476" s="1"/>
      <c r="O476" s="1"/>
      <c r="P476" s="81" t="str">
        <f>IFERROR(VLOOKUP(A476,Internal_lists_bugs!$A$2:$G7981,7,FALSE()),"please select a BUG ID")</f>
        <v>https://opendev.org/openstack/nova/commit/0e02db2980dc4e76ef7949ba4ec131af9fc4a44d</v>
      </c>
    </row>
    <row r="477">
      <c r="A477" s="16" t="s">
        <v>42</v>
      </c>
      <c r="B477" s="50" t="str">
        <f>IFERROR(HYPERLINK(VLOOKUP(A477,Internal_lists_bugs!$A$2:$C$73,3,FALSE()), VLOOKUP(A477,Internal_lists_bugs!$A$2:$C$73,3,FALSE())&amp;Char(10) &amp; Char(10) &amp; VLOOKUP(A477,Internal_lists_bugs!$A$2:$Z$73,26,FALSE())),"please select a BUG ID")</f>
        <v>https://bugs.launchpad.net/nova/+bug/1467451
/hyperv/vmutils.py
/virt/hyperv/vmutilsv2.py </v>
      </c>
      <c r="C477" s="81" t="str">
        <f>IFERROR(VLOOKUP(A477,Internal_lists_bugs!$A$2:$I7981,9,FALSE()),"please select a BUG ID")</f>
        <v>https://review.opendev.org/c/openstack/nova/+/129235</v>
      </c>
      <c r="D477" s="114"/>
      <c r="E477" s="114"/>
      <c r="F477" s="115"/>
      <c r="G477" s="16" t="s">
        <v>1731</v>
      </c>
      <c r="H477" s="16" t="s">
        <v>2037</v>
      </c>
      <c r="I477" s="82"/>
      <c r="J477" s="92"/>
      <c r="K477" s="82"/>
      <c r="M477" s="114"/>
      <c r="N477" s="1"/>
      <c r="O477" s="1"/>
      <c r="P477" s="51"/>
    </row>
    <row r="478">
      <c r="A478" s="16" t="s">
        <v>42</v>
      </c>
      <c r="B478" s="50" t="str">
        <f>IFERROR(HYPERLINK(VLOOKUP(A478,Internal_lists_bugs!$A$2:$C$73,3,FALSE()), VLOOKUP(A478,Internal_lists_bugs!$A$2:$C$73,3,FALSE())&amp;Char(10) &amp; Char(10) &amp; VLOOKUP(A478,Internal_lists_bugs!$A$2:$Z$73,26,FALSE())),"please select a BUG ID")</f>
        <v>https://bugs.launchpad.net/nova/+bug/1467451
/hyperv/vmutils.py
/virt/hyperv/vmutilsv2.py </v>
      </c>
      <c r="C478" s="81" t="str">
        <f>IFERROR(VLOOKUP(A478,Internal_lists_bugs!$A$2:$I7981,9,FALSE()),"please select a BUG ID")</f>
        <v>https://review.opendev.org/c/openstack/nova/+/129235</v>
      </c>
      <c r="D478" s="114"/>
      <c r="E478" s="114"/>
      <c r="F478" s="115"/>
      <c r="G478" s="16" t="s">
        <v>1507</v>
      </c>
      <c r="H478" s="16" t="s">
        <v>2038</v>
      </c>
      <c r="I478" s="82"/>
      <c r="J478" s="92"/>
      <c r="K478" s="82"/>
      <c r="M478" s="114"/>
      <c r="N478" s="1"/>
      <c r="O478" s="1"/>
      <c r="P478" s="51"/>
    </row>
    <row r="479">
      <c r="A479" s="16" t="s">
        <v>42</v>
      </c>
      <c r="B479" s="50" t="str">
        <f>IFERROR(HYPERLINK(VLOOKUP(A479,Internal_lists_bugs!$A$2:$C$73,3,FALSE()), VLOOKUP(A479,Internal_lists_bugs!$A$2:$C$73,3,FALSE())&amp;Char(10) &amp; Char(10) &amp; VLOOKUP(A479,Internal_lists_bugs!$A$2:$Z$73,26,FALSE())),"please select a BUG ID")</f>
        <v>https://bugs.launchpad.net/nova/+bug/1467451
/hyperv/vmutils.py
/virt/hyperv/vmutilsv2.py </v>
      </c>
      <c r="C479" s="81" t="str">
        <f>IFERROR(VLOOKUP(A479,Internal_lists_bugs!$A$2:$I7981,9,FALSE()),"please select a BUG ID")</f>
        <v>https://review.opendev.org/c/openstack/nova/+/129235</v>
      </c>
      <c r="D479" s="114"/>
      <c r="E479" s="114"/>
      <c r="F479" s="115"/>
      <c r="G479" s="16" t="s">
        <v>1733</v>
      </c>
      <c r="H479" s="16" t="s">
        <v>2039</v>
      </c>
      <c r="I479" s="82"/>
      <c r="J479" s="92"/>
      <c r="K479" s="82"/>
      <c r="M479" s="114"/>
      <c r="N479" s="1"/>
      <c r="O479" s="1"/>
      <c r="P479" s="51"/>
    </row>
    <row r="480">
      <c r="A480" s="16" t="s">
        <v>42</v>
      </c>
      <c r="B480" s="50" t="str">
        <f>IFERROR(HYPERLINK(VLOOKUP(A480,Internal_lists_bugs!$A$2:$C$73,3,FALSE()), VLOOKUP(A480,Internal_lists_bugs!$A$2:$C$73,3,FALSE())&amp;Char(10) &amp; Char(10) &amp; VLOOKUP(A480,Internal_lists_bugs!$A$2:$Z$73,26,FALSE())),"please select a BUG ID")</f>
        <v>https://bugs.launchpad.net/nova/+bug/1467451
/hyperv/vmutils.py
/virt/hyperv/vmutilsv2.py </v>
      </c>
      <c r="C480" s="81" t="str">
        <f>IFERROR(VLOOKUP(A480,Internal_lists_bugs!$A$2:$I7981,9,FALSE()),"please select a BUG ID")</f>
        <v>https://review.opendev.org/c/openstack/nova/+/129235</v>
      </c>
      <c r="D480" s="114"/>
      <c r="E480" s="114"/>
      <c r="F480" s="115"/>
      <c r="G480" s="16" t="s">
        <v>2040</v>
      </c>
      <c r="H480" s="16" t="s">
        <v>2041</v>
      </c>
      <c r="I480" s="82"/>
      <c r="J480" s="92"/>
      <c r="K480" s="82"/>
      <c r="M480" s="114" t="str">
        <f>VLOOKUP(A480,'BIC_(C_Variables)'!$A$3:$AS$43,45,FALSE())</f>
        <v/>
      </c>
      <c r="N480" s="1"/>
      <c r="O480" s="1"/>
      <c r="P480" s="81" t="str">
        <f>IFERROR(VLOOKUP(A480,Internal_lists_bugs!$A$2:$G7981,7,FALSE()),"please select a BUG ID")</f>
        <v>https://opendev.org/openstack/nova/commit/0e02db2980dc4e76ef7949ba4ec131af9fc4a44d</v>
      </c>
    </row>
    <row r="481">
      <c r="A481" s="16" t="s">
        <v>42</v>
      </c>
      <c r="B481" s="50" t="str">
        <f>IFERROR(HYPERLINK(VLOOKUP(A481,Internal_lists_bugs!$A$2:$C$73,3,FALSE()), VLOOKUP(A481,Internal_lists_bugs!$A$2:$C$73,3,FALSE())&amp;Char(10) &amp; Char(10) &amp; VLOOKUP(A481,Internal_lists_bugs!$A$2:$Z$73,26,FALSE())),"please select a BUG ID")</f>
        <v>https://bugs.launchpad.net/nova/+bug/1467451
/hyperv/vmutils.py
/virt/hyperv/vmutilsv2.py </v>
      </c>
      <c r="C481" s="81" t="str">
        <f>IFERROR(VLOOKUP(A481,Internal_lists_bugs!$A$2:$I7981,9,FALSE()),"please select a BUG ID")</f>
        <v>https://review.opendev.org/c/openstack/nova/+/129235</v>
      </c>
      <c r="D481" s="114"/>
      <c r="E481" s="114"/>
      <c r="F481" s="115"/>
      <c r="G481" s="16" t="s">
        <v>2042</v>
      </c>
      <c r="H481" s="16" t="s">
        <v>2043</v>
      </c>
      <c r="I481" s="82"/>
      <c r="J481" s="92"/>
      <c r="K481" s="82"/>
      <c r="M481" s="114" t="str">
        <f>VLOOKUP(A481,'BIC_(C_Variables)'!$A$3:$AS$43,45,FALSE())</f>
        <v/>
      </c>
      <c r="N481" s="1"/>
      <c r="O481" s="1"/>
      <c r="P481" s="81" t="str">
        <f>IFERROR(VLOOKUP(A481,Internal_lists_bugs!$A$2:$G7981,7,FALSE()),"please select a BUG ID")</f>
        <v>https://opendev.org/openstack/nova/commit/0e02db2980dc4e76ef7949ba4ec131af9fc4a44d</v>
      </c>
    </row>
    <row r="482">
      <c r="A482" s="16" t="s">
        <v>42</v>
      </c>
      <c r="B482" s="50" t="str">
        <f>IFERROR(HYPERLINK(VLOOKUP(A482,Internal_lists_bugs!$A$2:$C$73,3,FALSE()), VLOOKUP(A482,Internal_lists_bugs!$A$2:$C$73,3,FALSE())&amp;Char(10) &amp; Char(10) &amp; VLOOKUP(A482,Internal_lists_bugs!$A$2:$Z$73,26,FALSE())),"please select a BUG ID")</f>
        <v>https://bugs.launchpad.net/nova/+bug/1467451
/hyperv/vmutils.py
/virt/hyperv/vmutilsv2.py </v>
      </c>
      <c r="C482" s="81" t="str">
        <f>IFERROR(VLOOKUP(A482,Internal_lists_bugs!$A$2:$I7981,9,FALSE()),"please select a BUG ID")</f>
        <v>https://review.opendev.org/c/openstack/nova/+/129235</v>
      </c>
      <c r="D482" s="114"/>
      <c r="E482" s="114"/>
      <c r="F482" s="115"/>
      <c r="G482" s="16" t="s">
        <v>2044</v>
      </c>
      <c r="H482" s="16" t="s">
        <v>2045</v>
      </c>
      <c r="I482" s="82"/>
      <c r="J482" s="92"/>
      <c r="K482" s="82"/>
      <c r="M482" s="114" t="str">
        <f>VLOOKUP(A482,'BIC_(C_Variables)'!$A$3:$AS$43,45,FALSE())</f>
        <v/>
      </c>
      <c r="N482" s="1"/>
      <c r="O482" s="1"/>
      <c r="P482" s="81" t="str">
        <f>IFERROR(VLOOKUP(A482,Internal_lists_bugs!$A$2:$G7981,7,FALSE()),"please select a BUG ID")</f>
        <v>https://opendev.org/openstack/nova/commit/0e02db2980dc4e76ef7949ba4ec131af9fc4a44d</v>
      </c>
    </row>
    <row r="483">
      <c r="A483" s="16" t="s">
        <v>42</v>
      </c>
      <c r="B483" s="50" t="str">
        <f>IFERROR(HYPERLINK(VLOOKUP(A483,Internal_lists_bugs!$A$2:$C$73,3,FALSE()), VLOOKUP(A483,Internal_lists_bugs!$A$2:$C$73,3,FALSE())&amp;Char(10) &amp; Char(10) &amp; VLOOKUP(A483,Internal_lists_bugs!$A$2:$Z$73,26,FALSE())),"please select a BUG ID")</f>
        <v>https://bugs.launchpad.net/nova/+bug/1467451
/hyperv/vmutils.py
/virt/hyperv/vmutilsv2.py </v>
      </c>
      <c r="C483" s="81" t="str">
        <f>IFERROR(VLOOKUP(A483,Internal_lists_bugs!$A$2:$I7981,9,FALSE()),"please select a BUG ID")</f>
        <v>https://review.opendev.org/c/openstack/nova/+/129235</v>
      </c>
      <c r="D483" s="114"/>
      <c r="E483" s="114"/>
      <c r="F483" s="115"/>
      <c r="G483" s="16" t="s">
        <v>1735</v>
      </c>
      <c r="H483" s="16" t="s">
        <v>2046</v>
      </c>
      <c r="I483" s="82"/>
      <c r="J483" s="92"/>
      <c r="K483" s="82"/>
      <c r="M483" s="114" t="str">
        <f>VLOOKUP(A483,'BIC_(C_Variables)'!$A$3:$AS$43,45,FALSE())</f>
        <v/>
      </c>
      <c r="N483" s="1"/>
      <c r="O483" s="1"/>
      <c r="P483" s="81" t="str">
        <f>IFERROR(VLOOKUP(A483,Internal_lists_bugs!$A$2:$G7981,7,FALSE()),"please select a BUG ID")</f>
        <v>https://opendev.org/openstack/nova/commit/0e02db2980dc4e76ef7949ba4ec131af9fc4a44d</v>
      </c>
    </row>
    <row r="484">
      <c r="A484" s="16" t="s">
        <v>42</v>
      </c>
      <c r="B484" s="50" t="str">
        <f>IFERROR(HYPERLINK(VLOOKUP(A484,Internal_lists_bugs!$A$2:$C$73,3,FALSE()), VLOOKUP(A484,Internal_lists_bugs!$A$2:$C$73,3,FALSE())&amp;Char(10) &amp; Char(10) &amp; VLOOKUP(A484,Internal_lists_bugs!$A$2:$Z$73,26,FALSE())),"please select a BUG ID")</f>
        <v>https://bugs.launchpad.net/nova/+bug/1467451
/hyperv/vmutils.py
/virt/hyperv/vmutilsv2.py </v>
      </c>
      <c r="C484" s="81" t="str">
        <f>IFERROR(VLOOKUP(A484,Internal_lists_bugs!$A$2:$I7981,9,FALSE()),"please select a BUG ID")</f>
        <v>https://review.opendev.org/c/openstack/nova/+/129235</v>
      </c>
      <c r="D484" s="114"/>
      <c r="E484" s="114"/>
      <c r="F484" s="115"/>
      <c r="G484" s="16" t="s">
        <v>2047</v>
      </c>
      <c r="H484" s="16" t="s">
        <v>2048</v>
      </c>
      <c r="I484" s="82"/>
      <c r="J484" s="92"/>
      <c r="K484" s="82"/>
      <c r="M484" s="114" t="str">
        <f>VLOOKUP(A484,'BIC_(C_Variables)'!$A$3:$AS$43,45,FALSE())</f>
        <v/>
      </c>
      <c r="N484" s="1"/>
      <c r="O484" s="1"/>
      <c r="P484" s="81" t="str">
        <f>IFERROR(VLOOKUP(A484,Internal_lists_bugs!$A$2:$G7981,7,FALSE()),"please select a BUG ID")</f>
        <v>https://opendev.org/openstack/nova/commit/0e02db2980dc4e76ef7949ba4ec131af9fc4a44d</v>
      </c>
    </row>
    <row r="485">
      <c r="A485" s="16" t="s">
        <v>42</v>
      </c>
      <c r="B485" s="50" t="str">
        <f>IFERROR(HYPERLINK(VLOOKUP(A485,Internal_lists_bugs!$A$2:$C$73,3,FALSE()), VLOOKUP(A485,Internal_lists_bugs!$A$2:$C$73,3,FALSE())&amp;Char(10) &amp; Char(10) &amp; VLOOKUP(A485,Internal_lists_bugs!$A$2:$Z$73,26,FALSE())),"please select a BUG ID")</f>
        <v>https://bugs.launchpad.net/nova/+bug/1467451
/hyperv/vmutils.py
/virt/hyperv/vmutilsv2.py </v>
      </c>
      <c r="C485" s="81" t="str">
        <f>IFERROR(VLOOKUP(A485,Internal_lists_bugs!$A$2:$I7981,9,FALSE()),"please select a BUG ID")</f>
        <v>https://review.opendev.org/c/openstack/nova/+/129235</v>
      </c>
      <c r="D485" s="114"/>
      <c r="E485" s="114"/>
      <c r="F485" s="115"/>
      <c r="G485" s="16" t="s">
        <v>2049</v>
      </c>
      <c r="H485" s="16" t="s">
        <v>2050</v>
      </c>
      <c r="I485" s="82"/>
      <c r="J485" s="92"/>
      <c r="K485" s="82"/>
      <c r="M485" s="114" t="str">
        <f>VLOOKUP(A485,'BIC_(C_Variables)'!$A$3:$AS$43,45,FALSE())</f>
        <v/>
      </c>
      <c r="N485" s="1"/>
      <c r="O485" s="1"/>
      <c r="P485" s="81" t="str">
        <f>IFERROR(VLOOKUP(A485,Internal_lists_bugs!$A$2:$G7981,7,FALSE()),"please select a BUG ID")</f>
        <v>https://opendev.org/openstack/nova/commit/0e02db2980dc4e76ef7949ba4ec131af9fc4a44d</v>
      </c>
    </row>
    <row r="486">
      <c r="A486" s="16" t="s">
        <v>42</v>
      </c>
      <c r="B486" s="50" t="str">
        <f>IFERROR(HYPERLINK(VLOOKUP(A486,Internal_lists_bugs!$A$2:$C$73,3,FALSE()), VLOOKUP(A486,Internal_lists_bugs!$A$2:$C$73,3,FALSE())&amp;Char(10) &amp; Char(10) &amp; VLOOKUP(A486,Internal_lists_bugs!$A$2:$Z$73,26,FALSE())),"please select a BUG ID")</f>
        <v>https://bugs.launchpad.net/nova/+bug/1467451
/hyperv/vmutils.py
/virt/hyperv/vmutilsv2.py </v>
      </c>
      <c r="C486" s="81" t="str">
        <f>IFERROR(VLOOKUP(A486,Internal_lists_bugs!$A$2:$I7981,9,FALSE()),"please select a BUG ID")</f>
        <v>https://review.opendev.org/c/openstack/nova/+/129235</v>
      </c>
      <c r="D486" s="114"/>
      <c r="E486" s="114"/>
      <c r="F486" s="115"/>
      <c r="G486" s="16" t="s">
        <v>2051</v>
      </c>
      <c r="H486" s="16" t="s">
        <v>2050</v>
      </c>
      <c r="I486" s="82"/>
      <c r="J486" s="92"/>
      <c r="K486" s="82"/>
      <c r="M486" s="114"/>
      <c r="N486" s="1"/>
      <c r="O486" s="1"/>
      <c r="P486" s="51"/>
    </row>
    <row r="487">
      <c r="A487" s="16" t="s">
        <v>42</v>
      </c>
      <c r="B487" s="50" t="str">
        <f>IFERROR(HYPERLINK(VLOOKUP(A487,Internal_lists_bugs!$A$2:$C$73,3,FALSE()), VLOOKUP(A487,Internal_lists_bugs!$A$2:$C$73,3,FALSE())&amp;Char(10) &amp; Char(10) &amp; VLOOKUP(A487,Internal_lists_bugs!$A$2:$Z$73,26,FALSE())),"please select a BUG ID")</f>
        <v>https://bugs.launchpad.net/nova/+bug/1467451
/hyperv/vmutils.py
/virt/hyperv/vmutilsv2.py </v>
      </c>
      <c r="C487" s="81" t="str">
        <f>IFERROR(VLOOKUP(A487,Internal_lists_bugs!$A$2:$I7981,9,FALSE()),"please select a BUG ID")</f>
        <v>https://review.opendev.org/c/openstack/nova/+/129235</v>
      </c>
      <c r="D487" s="114"/>
      <c r="E487" s="114"/>
      <c r="F487" s="115"/>
      <c r="G487" s="16" t="s">
        <v>1485</v>
      </c>
      <c r="H487" s="16" t="s">
        <v>2052</v>
      </c>
      <c r="I487" s="82"/>
      <c r="J487" s="92"/>
      <c r="K487" s="82"/>
      <c r="M487" s="114" t="str">
        <f>VLOOKUP(A487,'BIC_(C_Variables)'!$A$3:$AS$43,45,FALSE())</f>
        <v/>
      </c>
      <c r="N487" s="1"/>
      <c r="O487" s="1"/>
      <c r="P487" s="81" t="str">
        <f>IFERROR(VLOOKUP(A487,Internal_lists_bugs!$A$2:$G7981,7,FALSE()),"please select a BUG ID")</f>
        <v>https://opendev.org/openstack/nova/commit/0e02db2980dc4e76ef7949ba4ec131af9fc4a44d</v>
      </c>
    </row>
    <row r="488">
      <c r="A488" s="16" t="s">
        <v>42</v>
      </c>
      <c r="B488" s="50" t="str">
        <f>IFERROR(HYPERLINK(VLOOKUP(A488,Internal_lists_bugs!$A$2:$C$73,3,FALSE()), VLOOKUP(A488,Internal_lists_bugs!$A$2:$C$73,3,FALSE())&amp;Char(10) &amp; Char(10) &amp; VLOOKUP(A488,Internal_lists_bugs!$A$2:$Z$73,26,FALSE())),"please select a BUG ID")</f>
        <v>https://bugs.launchpad.net/nova/+bug/1467451
/hyperv/vmutils.py
/virt/hyperv/vmutilsv2.py </v>
      </c>
      <c r="C488" s="81" t="str">
        <f>IFERROR(VLOOKUP(A488,Internal_lists_bugs!$A$2:$I7981,9,FALSE()),"please select a BUG ID")</f>
        <v>https://review.opendev.org/c/openstack/nova/+/129235</v>
      </c>
      <c r="D488" s="114"/>
      <c r="E488" s="114"/>
      <c r="F488" s="115"/>
      <c r="G488" s="16" t="s">
        <v>2053</v>
      </c>
      <c r="H488" s="16" t="s">
        <v>2054</v>
      </c>
      <c r="I488" s="82"/>
      <c r="J488" s="92"/>
      <c r="K488" s="82"/>
      <c r="M488" s="114" t="str">
        <f>VLOOKUP(A488,'BIC_(C_Variables)'!$A$3:$AS$43,45,FALSE())</f>
        <v/>
      </c>
      <c r="N488" s="1"/>
      <c r="O488" s="1"/>
      <c r="P488" s="81" t="str">
        <f>IFERROR(VLOOKUP(A488,Internal_lists_bugs!$A$2:$G7981,7,FALSE()),"please select a BUG ID")</f>
        <v>https://opendev.org/openstack/nova/commit/0e02db2980dc4e76ef7949ba4ec131af9fc4a44d</v>
      </c>
    </row>
    <row r="489">
      <c r="A489" s="16" t="s">
        <v>42</v>
      </c>
      <c r="B489" s="50" t="str">
        <f>IFERROR(HYPERLINK(VLOOKUP(A489,Internal_lists_bugs!$A$2:$C$73,3,FALSE()), VLOOKUP(A489,Internal_lists_bugs!$A$2:$C$73,3,FALSE())&amp;Char(10) &amp; Char(10) &amp; VLOOKUP(A489,Internal_lists_bugs!$A$2:$Z$73,26,FALSE())),"please select a BUG ID")</f>
        <v>https://bugs.launchpad.net/nova/+bug/1467451
/hyperv/vmutils.py
/virt/hyperv/vmutilsv2.py </v>
      </c>
      <c r="C489" s="81" t="str">
        <f>IFERROR(VLOOKUP(A489,Internal_lists_bugs!$A$2:$I7981,9,FALSE()),"please select a BUG ID")</f>
        <v>https://review.opendev.org/c/openstack/nova/+/129235</v>
      </c>
      <c r="D489" s="112"/>
      <c r="E489" s="112"/>
      <c r="F489" s="113"/>
      <c r="G489" s="16" t="s">
        <v>1570</v>
      </c>
      <c r="H489" s="16" t="s">
        <v>2054</v>
      </c>
      <c r="I489" s="79"/>
      <c r="J489" s="93"/>
      <c r="K489" s="79"/>
      <c r="L489" s="16"/>
      <c r="M489" s="114"/>
      <c r="N489" s="1"/>
      <c r="O489" s="1"/>
      <c r="P489" s="51"/>
    </row>
    <row r="490">
      <c r="A490" s="16" t="s">
        <v>42</v>
      </c>
      <c r="B490" s="50" t="str">
        <f>IFERROR(HYPERLINK(VLOOKUP(A490,Internal_lists_bugs!$A$2:$C$73,3,FALSE()), VLOOKUP(A490,Internal_lists_bugs!$A$2:$C$73,3,FALSE())&amp;Char(10) &amp; Char(10) &amp; VLOOKUP(A490,Internal_lists_bugs!$A$2:$Z$73,26,FALSE())),"please select a BUG ID")</f>
        <v>https://bugs.launchpad.net/nova/+bug/1467451
/hyperv/vmutils.py
/virt/hyperv/vmutilsv2.py </v>
      </c>
      <c r="C490" s="81" t="str">
        <f>IFERROR(VLOOKUP(A490,Internal_lists_bugs!$A$2:$I7981,9,FALSE()),"please select a BUG ID")</f>
        <v>https://review.opendev.org/c/openstack/nova/+/129235</v>
      </c>
      <c r="D490" s="112"/>
      <c r="E490" s="112"/>
      <c r="F490" s="113"/>
      <c r="G490" s="16" t="s">
        <v>2055</v>
      </c>
      <c r="H490" s="16" t="s">
        <v>2056</v>
      </c>
      <c r="I490" s="79"/>
      <c r="J490" s="93"/>
      <c r="K490" s="79"/>
      <c r="L490" s="16"/>
      <c r="M490" s="114"/>
      <c r="N490" s="1"/>
      <c r="O490" s="1"/>
      <c r="P490" s="51"/>
    </row>
    <row r="491">
      <c r="A491" s="16" t="s">
        <v>43</v>
      </c>
      <c r="B491" s="50" t="str">
        <f>IFERROR(HYPERLINK(VLOOKUP(A491,Internal_lists_bugs!$A$2:$C$73,3,FALSE()), VLOOKUP(A491,Internal_lists_bugs!$A$2:$C$73,3,FALSE())&amp;Char(10) &amp; Char(10) &amp; VLOOKUP(A491,Internal_lists_bugs!$A$2:$Z$73,26,FALSE())),"please select a BUG ID")</f>
        <v>https://bugs.launchpad.net/nova/+bug/1392798
/compute/manager.py</v>
      </c>
      <c r="C491" s="81" t="str">
        <f>IFERROR(VLOOKUP(A491,Internal_lists_bugs!$A$2:$I7981,9,FALSE()),"please select a BUG ID")</f>
        <v>https://review.opendev.org/c/openstack/nova/+/22897</v>
      </c>
      <c r="D491" s="112" t="s">
        <v>1412</v>
      </c>
      <c r="E491" s="112" t="s">
        <v>1462</v>
      </c>
      <c r="F491" s="113" t="s">
        <v>251</v>
      </c>
      <c r="G491" s="16" t="s">
        <v>1466</v>
      </c>
      <c r="H491" s="16" t="s">
        <v>2057</v>
      </c>
      <c r="I491" s="79" t="s">
        <v>251</v>
      </c>
      <c r="J491" s="93" t="s">
        <v>1574</v>
      </c>
      <c r="K491" s="79" t="s">
        <v>123</v>
      </c>
      <c r="L491" s="16" t="s">
        <v>2058</v>
      </c>
      <c r="M491" s="114" t="str">
        <f>VLOOKUP(A491,'BIC_(C_Variables)'!$A$3:$AS$43,45,FALSE())</f>
        <v/>
      </c>
      <c r="N491" s="1"/>
      <c r="O491" s="1"/>
      <c r="P491" s="81" t="str">
        <f>IFERROR(VLOOKUP(A491,Internal_lists_bugs!$A$2:$G7981,7,FALSE()),"please select a BUG ID")</f>
        <v>https://opendev.org/openstack/nova/commit/a9d0313c</v>
      </c>
    </row>
    <row r="492">
      <c r="A492" s="16" t="s">
        <v>43</v>
      </c>
      <c r="B492" s="50" t="str">
        <f>IFERROR(HYPERLINK(VLOOKUP(A492,Internal_lists_bugs!$A$2:$C$73,3,FALSE()), VLOOKUP(A492,Internal_lists_bugs!$A$2:$C$73,3,FALSE())&amp;Char(10) &amp; Char(10) &amp; VLOOKUP(A492,Internal_lists_bugs!$A$2:$Z$73,26,FALSE())),"please select a BUG ID")</f>
        <v>https://bugs.launchpad.net/nova/+bug/1392798
/compute/manager.py</v>
      </c>
      <c r="C492" s="81" t="str">
        <f>IFERROR(VLOOKUP(A492,Internal_lists_bugs!$A$2:$I7981,9,FALSE()),"please select a BUG ID")</f>
        <v>https://review.opendev.org/c/openstack/nova/+/22897</v>
      </c>
      <c r="D492" s="114"/>
      <c r="E492" s="114"/>
      <c r="F492" s="115"/>
      <c r="G492" s="16" t="s">
        <v>1419</v>
      </c>
      <c r="H492" s="16" t="s">
        <v>2059</v>
      </c>
      <c r="I492" s="82"/>
      <c r="J492" s="92"/>
      <c r="K492" s="82"/>
      <c r="M492" s="114" t="str">
        <f>VLOOKUP(A492,'BIC_(C_Variables)'!$A$3:$AS$43,45,FALSE())</f>
        <v/>
      </c>
      <c r="N492" s="1"/>
      <c r="O492" s="1"/>
      <c r="P492" s="81" t="str">
        <f>IFERROR(VLOOKUP(A492,Internal_lists_bugs!$A$2:$G7981,7,FALSE()),"please select a BUG ID")</f>
        <v>https://opendev.org/openstack/nova/commit/a9d0313c</v>
      </c>
    </row>
    <row r="493">
      <c r="A493" s="16" t="s">
        <v>43</v>
      </c>
      <c r="B493" s="50" t="str">
        <f>IFERROR(HYPERLINK(VLOOKUP(A493,Internal_lists_bugs!$A$2:$C$73,3,FALSE()), VLOOKUP(A493,Internal_lists_bugs!$A$2:$C$73,3,FALSE())&amp;Char(10) &amp; Char(10) &amp; VLOOKUP(A493,Internal_lists_bugs!$A$2:$Z$73,26,FALSE())),"please select a BUG ID")</f>
        <v>https://bugs.launchpad.net/nova/+bug/1392798
/compute/manager.py</v>
      </c>
      <c r="C493" s="81" t="str">
        <f>IFERROR(VLOOKUP(A493,Internal_lists_bugs!$A$2:$I7981,9,FALSE()),"please select a BUG ID")</f>
        <v>https://review.opendev.org/c/openstack/nova/+/22897</v>
      </c>
      <c r="D493" s="114"/>
      <c r="E493" s="114"/>
      <c r="F493" s="115"/>
      <c r="G493" s="16" t="s">
        <v>1417</v>
      </c>
      <c r="H493" s="16" t="s">
        <v>2060</v>
      </c>
      <c r="I493" s="82"/>
      <c r="J493" s="92"/>
      <c r="K493" s="82"/>
      <c r="M493" s="114" t="str">
        <f>VLOOKUP(A493,'BIC_(C_Variables)'!$A$3:$AS$43,45,FALSE())</f>
        <v/>
      </c>
      <c r="N493" s="1"/>
      <c r="O493" s="1"/>
      <c r="P493" s="81" t="str">
        <f>IFERROR(VLOOKUP(A493,Internal_lists_bugs!$A$2:$G7981,7,FALSE()),"please select a BUG ID")</f>
        <v>https://opendev.org/openstack/nova/commit/a9d0313c</v>
      </c>
    </row>
    <row r="494">
      <c r="A494" s="16" t="s">
        <v>43</v>
      </c>
      <c r="B494" s="50" t="str">
        <f>IFERROR(HYPERLINK(VLOOKUP(A494,Internal_lists_bugs!$A$2:$C$73,3,FALSE()), VLOOKUP(A494,Internal_lists_bugs!$A$2:$C$73,3,FALSE())&amp;Char(10) &amp; Char(10) &amp; VLOOKUP(A494,Internal_lists_bugs!$A$2:$Z$73,26,FALSE())),"please select a BUG ID")</f>
        <v>https://bugs.launchpad.net/nova/+bug/1392798
/compute/manager.py</v>
      </c>
      <c r="C494" s="81" t="str">
        <f>IFERROR(VLOOKUP(A494,Internal_lists_bugs!$A$2:$I7981,9,FALSE()),"please select a BUG ID")</f>
        <v>https://review.opendev.org/c/openstack/nova/+/22897</v>
      </c>
      <c r="D494" s="114"/>
      <c r="E494" s="114"/>
      <c r="F494" s="115"/>
      <c r="G494" s="16" t="s">
        <v>1672</v>
      </c>
      <c r="H494" s="16" t="s">
        <v>2061</v>
      </c>
      <c r="I494" s="82"/>
      <c r="J494" s="92"/>
      <c r="K494" s="82"/>
      <c r="M494" s="114" t="str">
        <f>VLOOKUP(A494,'BIC_(C_Variables)'!$A$3:$AS$43,45,FALSE())</f>
        <v/>
      </c>
      <c r="N494" s="1"/>
      <c r="O494" s="1"/>
      <c r="P494" s="81" t="str">
        <f>IFERROR(VLOOKUP(A494,Internal_lists_bugs!$A$2:$G7981,7,FALSE()),"please select a BUG ID")</f>
        <v>https://opendev.org/openstack/nova/commit/a9d0313c</v>
      </c>
    </row>
    <row r="495">
      <c r="A495" s="16" t="s">
        <v>43</v>
      </c>
      <c r="B495" s="50" t="str">
        <f>IFERROR(HYPERLINK(VLOOKUP(A495,Internal_lists_bugs!$A$2:$C$73,3,FALSE()), VLOOKUP(A495,Internal_lists_bugs!$A$2:$C$73,3,FALSE())&amp;Char(10) &amp; Char(10) &amp; VLOOKUP(A495,Internal_lists_bugs!$A$2:$Z$73,26,FALSE())),"please select a BUG ID")</f>
        <v>https://bugs.launchpad.net/nova/+bug/1392798
/compute/manager.py</v>
      </c>
      <c r="C495" s="81" t="str">
        <f>IFERROR(VLOOKUP(A495,Internal_lists_bugs!$A$2:$I7981,9,FALSE()),"please select a BUG ID")</f>
        <v>https://review.opendev.org/c/openstack/nova/+/22897</v>
      </c>
      <c r="D495" s="114"/>
      <c r="E495" s="114"/>
      <c r="F495" s="115"/>
      <c r="G495" s="16" t="s">
        <v>1913</v>
      </c>
      <c r="H495" s="16" t="s">
        <v>2062</v>
      </c>
      <c r="I495" s="82"/>
      <c r="J495" s="92"/>
      <c r="K495" s="82"/>
      <c r="M495" s="114" t="str">
        <f>VLOOKUP(A495,'BIC_(C_Variables)'!$A$3:$AS$43,45,FALSE())</f>
        <v/>
      </c>
      <c r="N495" s="1"/>
      <c r="O495" s="1"/>
      <c r="P495" s="81" t="str">
        <f>IFERROR(VLOOKUP(A495,Internal_lists_bugs!$A$2:$G7981,7,FALSE()),"please select a BUG ID")</f>
        <v>https://opendev.org/openstack/nova/commit/a9d0313c</v>
      </c>
    </row>
    <row r="496">
      <c r="A496" s="16" t="s">
        <v>43</v>
      </c>
      <c r="B496" s="50" t="str">
        <f>IFERROR(HYPERLINK(VLOOKUP(A496,Internal_lists_bugs!$A$2:$C$73,3,FALSE()), VLOOKUP(A496,Internal_lists_bugs!$A$2:$C$73,3,FALSE())&amp;Char(10) &amp; Char(10) &amp; VLOOKUP(A496,Internal_lists_bugs!$A$2:$Z$73,26,FALSE())),"please select a BUG ID")</f>
        <v>https://bugs.launchpad.net/nova/+bug/1392798
/compute/manager.py</v>
      </c>
      <c r="C496" s="81" t="str">
        <f>IFERROR(VLOOKUP(A496,Internal_lists_bugs!$A$2:$I7981,9,FALSE()),"please select a BUG ID")</f>
        <v>https://review.opendev.org/c/openstack/nova/+/22897</v>
      </c>
      <c r="D496" s="114"/>
      <c r="E496" s="114"/>
      <c r="F496" s="115"/>
      <c r="G496" s="16" t="s">
        <v>1639</v>
      </c>
      <c r="H496" s="16" t="s">
        <v>2063</v>
      </c>
      <c r="I496" s="82"/>
      <c r="J496" s="92"/>
      <c r="K496" s="82"/>
      <c r="M496" s="114" t="str">
        <f>VLOOKUP(A496,'BIC_(C_Variables)'!$A$3:$AS$43,45,FALSE())</f>
        <v/>
      </c>
      <c r="N496" s="1"/>
      <c r="O496" s="1"/>
      <c r="P496" s="81" t="str">
        <f>IFERROR(VLOOKUP(A496,Internal_lists_bugs!$A$2:$G7981,7,FALSE()),"please select a BUG ID")</f>
        <v>https://opendev.org/openstack/nova/commit/a9d0313c</v>
      </c>
    </row>
    <row r="497">
      <c r="A497" s="16" t="s">
        <v>43</v>
      </c>
      <c r="B497" s="50" t="str">
        <f>IFERROR(HYPERLINK(VLOOKUP(A497,Internal_lists_bugs!$A$2:$C$73,3,FALSE()), VLOOKUP(A497,Internal_lists_bugs!$A$2:$C$73,3,FALSE())&amp;Char(10) &amp; Char(10) &amp; VLOOKUP(A497,Internal_lists_bugs!$A$2:$Z$73,26,FALSE())),"please select a BUG ID")</f>
        <v>https://bugs.launchpad.net/nova/+bug/1392798
/compute/manager.py</v>
      </c>
      <c r="C497" s="81" t="str">
        <f>IFERROR(VLOOKUP(A497,Internal_lists_bugs!$A$2:$I7981,9,FALSE()),"please select a BUG ID")</f>
        <v>https://review.opendev.org/c/openstack/nova/+/22897</v>
      </c>
      <c r="D497" s="114"/>
      <c r="E497" s="114"/>
      <c r="F497" s="115"/>
      <c r="G497" s="16" t="s">
        <v>1641</v>
      </c>
      <c r="H497" s="16" t="s">
        <v>2064</v>
      </c>
      <c r="I497" s="82"/>
      <c r="J497" s="92"/>
      <c r="K497" s="82"/>
      <c r="M497" s="114" t="str">
        <f>VLOOKUP(A497,'BIC_(C_Variables)'!$A$3:$AS$43,45,FALSE())</f>
        <v/>
      </c>
      <c r="N497" s="1"/>
      <c r="O497" s="1"/>
      <c r="P497" s="81" t="str">
        <f>IFERROR(VLOOKUP(A497,Internal_lists_bugs!$A$2:$G7981,7,FALSE()),"please select a BUG ID")</f>
        <v>https://opendev.org/openstack/nova/commit/a9d0313c</v>
      </c>
    </row>
    <row r="498">
      <c r="A498" s="16" t="s">
        <v>43</v>
      </c>
      <c r="B498" s="50" t="str">
        <f>IFERROR(HYPERLINK(VLOOKUP(A498,Internal_lists_bugs!$A$2:$C$73,3,FALSE()), VLOOKUP(A498,Internal_lists_bugs!$A$2:$C$73,3,FALSE())&amp;Char(10) &amp; Char(10) &amp; VLOOKUP(A498,Internal_lists_bugs!$A$2:$Z$73,26,FALSE())),"please select a BUG ID")</f>
        <v>https://bugs.launchpad.net/nova/+bug/1392798
/compute/manager.py</v>
      </c>
      <c r="C498" s="81" t="str">
        <f>IFERROR(VLOOKUP(A498,Internal_lists_bugs!$A$2:$I7981,9,FALSE()),"please select a BUG ID")</f>
        <v>https://review.opendev.org/c/openstack/nova/+/22897</v>
      </c>
      <c r="D498" s="114"/>
      <c r="E498" s="114"/>
      <c r="F498" s="115"/>
      <c r="G498" s="16" t="s">
        <v>2065</v>
      </c>
      <c r="H498" s="16" t="s">
        <v>2066</v>
      </c>
      <c r="I498" s="82"/>
      <c r="J498" s="92"/>
      <c r="K498" s="82"/>
      <c r="M498" s="114" t="str">
        <f>VLOOKUP(A498,'BIC_(C_Variables)'!$A$3:$AS$43,45,FALSE())</f>
        <v/>
      </c>
      <c r="N498" s="1"/>
      <c r="O498" s="1"/>
      <c r="P498" s="81" t="str">
        <f>IFERROR(VLOOKUP(A498,Internal_lists_bugs!$A$2:$G7981,7,FALSE()),"please select a BUG ID")</f>
        <v>https://opendev.org/openstack/nova/commit/a9d0313c</v>
      </c>
    </row>
    <row r="499">
      <c r="A499" s="16" t="s">
        <v>43</v>
      </c>
      <c r="B499" s="50" t="str">
        <f>IFERROR(HYPERLINK(VLOOKUP(A499,Internal_lists_bugs!$A$2:$C$73,3,FALSE()), VLOOKUP(A499,Internal_lists_bugs!$A$2:$C$73,3,FALSE())&amp;Char(10) &amp; Char(10) &amp; VLOOKUP(A499,Internal_lists_bugs!$A$2:$Z$73,26,FALSE())),"please select a BUG ID")</f>
        <v>https://bugs.launchpad.net/nova/+bug/1392798
/compute/manager.py</v>
      </c>
      <c r="C499" s="81" t="str">
        <f>IFERROR(VLOOKUP(A499,Internal_lists_bugs!$A$2:$I7981,9,FALSE()),"please select a BUG ID")</f>
        <v>https://review.opendev.org/c/openstack/nova/+/22897</v>
      </c>
      <c r="D499" s="114"/>
      <c r="E499" s="114"/>
      <c r="F499" s="115"/>
      <c r="G499" s="16" t="s">
        <v>1842</v>
      </c>
      <c r="H499" s="16" t="s">
        <v>2067</v>
      </c>
      <c r="I499" s="82"/>
      <c r="J499" s="92"/>
      <c r="K499" s="82"/>
      <c r="M499" s="114" t="str">
        <f>VLOOKUP(A499,'BIC_(C_Variables)'!$A$3:$AS$43,45,FALSE())</f>
        <v/>
      </c>
      <c r="N499" s="1"/>
      <c r="O499" s="1"/>
      <c r="P499" s="81" t="str">
        <f>IFERROR(VLOOKUP(A499,Internal_lists_bugs!$A$2:$G7981,7,FALSE()),"please select a BUG ID")</f>
        <v>https://opendev.org/openstack/nova/commit/a9d0313c</v>
      </c>
    </row>
    <row r="500">
      <c r="A500" s="16" t="s">
        <v>43</v>
      </c>
      <c r="B500" s="50" t="str">
        <f>IFERROR(HYPERLINK(VLOOKUP(A500,Internal_lists_bugs!$A$2:$C$73,3,FALSE()), VLOOKUP(A500,Internal_lists_bugs!$A$2:$C$73,3,FALSE())&amp;Char(10) &amp; Char(10) &amp; VLOOKUP(A500,Internal_lists_bugs!$A$2:$Z$73,26,FALSE())),"please select a BUG ID")</f>
        <v>https://bugs.launchpad.net/nova/+bug/1392798
/compute/manager.py</v>
      </c>
      <c r="C500" s="81" t="str">
        <f>IFERROR(VLOOKUP(A500,Internal_lists_bugs!$A$2:$I7981,9,FALSE()),"please select a BUG ID")</f>
        <v>https://review.opendev.org/c/openstack/nova/+/22897</v>
      </c>
      <c r="D500" s="114"/>
      <c r="E500" s="114"/>
      <c r="F500" s="115"/>
      <c r="G500" s="16" t="s">
        <v>1844</v>
      </c>
      <c r="H500" s="16" t="s">
        <v>2068</v>
      </c>
      <c r="I500" s="82"/>
      <c r="J500" s="92"/>
      <c r="K500" s="82"/>
      <c r="M500" s="114" t="str">
        <f>VLOOKUP(A500,'BIC_(C_Variables)'!$A$3:$AS$43,45,FALSE())</f>
        <v/>
      </c>
      <c r="N500" s="1"/>
      <c r="O500" s="1"/>
      <c r="P500" s="81" t="str">
        <f>IFERROR(VLOOKUP(A500,Internal_lists_bugs!$A$2:$G7981,7,FALSE()),"please select a BUG ID")</f>
        <v>https://opendev.org/openstack/nova/commit/a9d0313c</v>
      </c>
    </row>
    <row r="501">
      <c r="A501" s="16" t="s">
        <v>43</v>
      </c>
      <c r="B501" s="50" t="str">
        <f>IFERROR(HYPERLINK(VLOOKUP(A501,Internal_lists_bugs!$A$2:$C$73,3,FALSE()), VLOOKUP(A501,Internal_lists_bugs!$A$2:$C$73,3,FALSE())&amp;Char(10) &amp; Char(10) &amp; VLOOKUP(A501,Internal_lists_bugs!$A$2:$Z$73,26,FALSE())),"please select a BUG ID")</f>
        <v>https://bugs.launchpad.net/nova/+bug/1392798
/compute/manager.py</v>
      </c>
      <c r="C501" s="81" t="str">
        <f>IFERROR(VLOOKUP(A501,Internal_lists_bugs!$A$2:$I7981,9,FALSE()),"please select a BUG ID")</f>
        <v>https://review.opendev.org/c/openstack/nova/+/22897</v>
      </c>
      <c r="D501" s="114"/>
      <c r="E501" s="114"/>
      <c r="F501" s="115"/>
      <c r="G501" s="16" t="s">
        <v>1460</v>
      </c>
      <c r="H501" s="16" t="s">
        <v>1997</v>
      </c>
      <c r="I501" s="82"/>
      <c r="J501" s="92"/>
      <c r="K501" s="82"/>
      <c r="M501" s="114" t="str">
        <f>VLOOKUP(A501,'BIC_(C_Variables)'!$A$3:$AS$43,45,FALSE())</f>
        <v/>
      </c>
      <c r="N501" s="1"/>
      <c r="O501" s="1"/>
      <c r="P501" s="81" t="str">
        <f>IFERROR(VLOOKUP(A501,Internal_lists_bugs!$A$2:$G7981,7,FALSE()),"please select a BUG ID")</f>
        <v>https://opendev.org/openstack/nova/commit/a9d0313c</v>
      </c>
    </row>
    <row r="502">
      <c r="A502" s="16" t="s">
        <v>43</v>
      </c>
      <c r="B502" s="50" t="str">
        <f>IFERROR(HYPERLINK(VLOOKUP(A502,Internal_lists_bugs!$A$2:$C$73,3,FALSE()), VLOOKUP(A502,Internal_lists_bugs!$A$2:$C$73,3,FALSE())&amp;Char(10) &amp; Char(10) &amp; VLOOKUP(A502,Internal_lists_bugs!$A$2:$Z$73,26,FALSE())),"please select a BUG ID")</f>
        <v>https://bugs.launchpad.net/nova/+bug/1392798
/compute/manager.py</v>
      </c>
      <c r="C502" s="81" t="str">
        <f>IFERROR(VLOOKUP(A502,Internal_lists_bugs!$A$2:$I7981,9,FALSE()),"please select a BUG ID")</f>
        <v>https://review.opendev.org/c/openstack/nova/+/22897</v>
      </c>
      <c r="D502" s="114"/>
      <c r="E502" s="114"/>
      <c r="F502" s="115"/>
      <c r="G502" s="16" t="s">
        <v>1531</v>
      </c>
      <c r="H502" s="16" t="s">
        <v>2069</v>
      </c>
      <c r="I502" s="82"/>
      <c r="J502" s="92"/>
      <c r="K502" s="82"/>
      <c r="M502" s="114" t="str">
        <f>VLOOKUP(A502,'BIC_(C_Variables)'!$A$3:$AS$43,45,FALSE())</f>
        <v/>
      </c>
      <c r="N502" s="1"/>
      <c r="O502" s="1"/>
      <c r="P502" s="81" t="str">
        <f>IFERROR(VLOOKUP(A502,Internal_lists_bugs!$A$2:$G7981,7,FALSE()),"please select a BUG ID")</f>
        <v>https://opendev.org/openstack/nova/commit/a9d0313c</v>
      </c>
    </row>
    <row r="503">
      <c r="A503" s="16" t="s">
        <v>43</v>
      </c>
      <c r="B503" s="50" t="str">
        <f>IFERROR(HYPERLINK(VLOOKUP(A503,Internal_lists_bugs!$A$2:$C$73,3,FALSE()), VLOOKUP(A503,Internal_lists_bugs!$A$2:$C$73,3,FALSE())&amp;Char(10) &amp; Char(10) &amp; VLOOKUP(A503,Internal_lists_bugs!$A$2:$Z$73,26,FALSE())),"please select a BUG ID")</f>
        <v>https://bugs.launchpad.net/nova/+bug/1392798
/compute/manager.py</v>
      </c>
      <c r="C503" s="81" t="str">
        <f>IFERROR(VLOOKUP(A503,Internal_lists_bugs!$A$2:$I7981,9,FALSE()),"please select a BUG ID")</f>
        <v>https://review.opendev.org/c/openstack/nova/+/22897</v>
      </c>
      <c r="D503" s="114"/>
      <c r="E503" s="114"/>
      <c r="F503" s="115"/>
      <c r="G503" s="16" t="s">
        <v>1428</v>
      </c>
      <c r="H503" s="16" t="s">
        <v>2070</v>
      </c>
      <c r="I503" s="82"/>
      <c r="J503" s="92"/>
      <c r="K503" s="82"/>
      <c r="M503" s="114" t="str">
        <f>VLOOKUP(A503,'BIC_(C_Variables)'!$A$3:$AS$43,45,FALSE())</f>
        <v/>
      </c>
      <c r="N503" s="1"/>
      <c r="O503" s="1"/>
      <c r="P503" s="81" t="str">
        <f>IFERROR(VLOOKUP(A503,Internal_lists_bugs!$A$2:$G7981,7,FALSE()),"please select a BUG ID")</f>
        <v>https://opendev.org/openstack/nova/commit/a9d0313c</v>
      </c>
    </row>
    <row r="504">
      <c r="A504" s="16" t="s">
        <v>43</v>
      </c>
      <c r="B504" s="50" t="str">
        <f>IFERROR(HYPERLINK(VLOOKUP(A504,Internal_lists_bugs!$A$2:$C$73,3,FALSE()), VLOOKUP(A504,Internal_lists_bugs!$A$2:$C$73,3,FALSE())&amp;Char(10) &amp; Char(10) &amp; VLOOKUP(A504,Internal_lists_bugs!$A$2:$Z$73,26,FALSE())),"please select a BUG ID")</f>
        <v>https://bugs.launchpad.net/nova/+bug/1392798
/compute/manager.py</v>
      </c>
      <c r="C504" s="81" t="str">
        <f>IFERROR(VLOOKUP(A504,Internal_lists_bugs!$A$2:$I7981,9,FALSE()),"please select a BUG ID")</f>
        <v>https://review.opendev.org/c/openstack/nova/+/22897</v>
      </c>
      <c r="D504" s="114"/>
      <c r="E504" s="114"/>
      <c r="F504" s="115"/>
      <c r="G504" s="16" t="s">
        <v>1586</v>
      </c>
      <c r="H504" s="16" t="s">
        <v>2071</v>
      </c>
      <c r="I504" s="82"/>
      <c r="J504" s="92"/>
      <c r="K504" s="82"/>
      <c r="M504" s="114" t="str">
        <f>VLOOKUP(A504,'BIC_(C_Variables)'!$A$3:$AS$43,45,FALSE())</f>
        <v/>
      </c>
      <c r="N504" s="1"/>
      <c r="O504" s="1"/>
      <c r="P504" s="81" t="str">
        <f>IFERROR(VLOOKUP(A504,Internal_lists_bugs!$A$2:$G7981,7,FALSE()),"please select a BUG ID")</f>
        <v>https://opendev.org/openstack/nova/commit/a9d0313c</v>
      </c>
    </row>
    <row r="505">
      <c r="A505" s="16" t="s">
        <v>43</v>
      </c>
      <c r="B505" s="50" t="str">
        <f>IFERROR(HYPERLINK(VLOOKUP(A505,Internal_lists_bugs!$A$2:$C$73,3,FALSE()), VLOOKUP(A505,Internal_lists_bugs!$A$2:$C$73,3,FALSE())&amp;Char(10) &amp; Char(10) &amp; VLOOKUP(A505,Internal_lists_bugs!$A$2:$Z$73,26,FALSE())),"please select a BUG ID")</f>
        <v>https://bugs.launchpad.net/nova/+bug/1392798
/compute/manager.py</v>
      </c>
      <c r="C505" s="81" t="str">
        <f>IFERROR(VLOOKUP(A505,Internal_lists_bugs!$A$2:$I7981,9,FALSE()),"please select a BUG ID")</f>
        <v>https://review.opendev.org/c/openstack/nova/+/22897</v>
      </c>
      <c r="D505" s="114"/>
      <c r="E505" s="114"/>
      <c r="F505" s="115"/>
      <c r="G505" s="16" t="s">
        <v>2072</v>
      </c>
      <c r="H505" s="16" t="s">
        <v>2073</v>
      </c>
      <c r="I505" s="82"/>
      <c r="J505" s="92"/>
      <c r="K505" s="82"/>
      <c r="M505" s="114" t="str">
        <f>VLOOKUP(A505,'BIC_(C_Variables)'!$A$3:$AS$43,45,FALSE())</f>
        <v/>
      </c>
      <c r="N505" s="1"/>
      <c r="O505" s="1"/>
      <c r="P505" s="81" t="str">
        <f>IFERROR(VLOOKUP(A505,Internal_lists_bugs!$A$2:$G7981,7,FALSE()),"please select a BUG ID")</f>
        <v>https://opendev.org/openstack/nova/commit/a9d0313c</v>
      </c>
    </row>
    <row r="506">
      <c r="A506" s="16" t="s">
        <v>43</v>
      </c>
      <c r="B506" s="50" t="str">
        <f>IFERROR(HYPERLINK(VLOOKUP(A506,Internal_lists_bugs!$A$2:$C$73,3,FALSE()), VLOOKUP(A506,Internal_lists_bugs!$A$2:$C$73,3,FALSE())&amp;Char(10) &amp; Char(10) &amp; VLOOKUP(A506,Internal_lists_bugs!$A$2:$Z$73,26,FALSE())),"please select a BUG ID")</f>
        <v>https://bugs.launchpad.net/nova/+bug/1392798
/compute/manager.py</v>
      </c>
      <c r="C506" s="81" t="str">
        <f>IFERROR(VLOOKUP(A506,Internal_lists_bugs!$A$2:$I7981,9,FALSE()),"please select a BUG ID")</f>
        <v>https://review.opendev.org/c/openstack/nova/+/22897</v>
      </c>
      <c r="D506" s="114"/>
      <c r="E506" s="114"/>
      <c r="F506" s="115"/>
      <c r="G506" s="16" t="s">
        <v>1690</v>
      </c>
      <c r="H506" s="16" t="s">
        <v>2074</v>
      </c>
      <c r="I506" s="82"/>
      <c r="J506" s="92"/>
      <c r="K506" s="82"/>
      <c r="M506" s="114" t="str">
        <f>VLOOKUP(A506,'BIC_(C_Variables)'!$A$3:$AS$43,45,FALSE())</f>
        <v/>
      </c>
      <c r="N506" s="1"/>
      <c r="O506" s="1"/>
      <c r="P506" s="81" t="str">
        <f>IFERROR(VLOOKUP(A506,Internal_lists_bugs!$A$2:$G7981,7,FALSE()),"please select a BUG ID")</f>
        <v>https://opendev.org/openstack/nova/commit/a9d0313c</v>
      </c>
    </row>
    <row r="507">
      <c r="A507" s="16" t="s">
        <v>43</v>
      </c>
      <c r="B507" s="50" t="str">
        <f>IFERROR(HYPERLINK(VLOOKUP(A507,Internal_lists_bugs!$A$2:$C$73,3,FALSE()), VLOOKUP(A507,Internal_lists_bugs!$A$2:$C$73,3,FALSE())&amp;Char(10) &amp; Char(10) &amp; VLOOKUP(A507,Internal_lists_bugs!$A$2:$Z$73,26,FALSE())),"please select a BUG ID")</f>
        <v>https://bugs.launchpad.net/nova/+bug/1392798
/compute/manager.py</v>
      </c>
      <c r="C507" s="81" t="str">
        <f>IFERROR(VLOOKUP(A507,Internal_lists_bugs!$A$2:$I7981,9,FALSE()),"please select a BUG ID")</f>
        <v>https://review.opendev.org/c/openstack/nova/+/22897</v>
      </c>
      <c r="D507" s="114"/>
      <c r="E507" s="114"/>
      <c r="F507" s="115"/>
      <c r="G507" s="16" t="s">
        <v>2075</v>
      </c>
      <c r="H507" s="16" t="s">
        <v>2076</v>
      </c>
      <c r="I507" s="82"/>
      <c r="J507" s="92"/>
      <c r="K507" s="82"/>
      <c r="M507" s="114" t="str">
        <f>VLOOKUP(A507,'BIC_(C_Variables)'!$A$3:$AS$43,45,FALSE())</f>
        <v/>
      </c>
      <c r="N507" s="1"/>
      <c r="O507" s="1"/>
      <c r="P507" s="81" t="str">
        <f>IFERROR(VLOOKUP(A507,Internal_lists_bugs!$A$2:$G7981,7,FALSE()),"please select a BUG ID")</f>
        <v>https://opendev.org/openstack/nova/commit/a9d0313c</v>
      </c>
    </row>
    <row r="508">
      <c r="A508" s="16" t="s">
        <v>43</v>
      </c>
      <c r="B508" s="50" t="str">
        <f>IFERROR(HYPERLINK(VLOOKUP(A508,Internal_lists_bugs!$A$2:$C$73,3,FALSE()), VLOOKUP(A508,Internal_lists_bugs!$A$2:$C$73,3,FALSE())&amp;Char(10) &amp; Char(10) &amp; VLOOKUP(A508,Internal_lists_bugs!$A$2:$Z$73,26,FALSE())),"please select a BUG ID")</f>
        <v>https://bugs.launchpad.net/nova/+bug/1392798
/compute/manager.py</v>
      </c>
      <c r="C508" s="81" t="str">
        <f>IFERROR(VLOOKUP(A508,Internal_lists_bugs!$A$2:$I7981,9,FALSE()),"please select a BUG ID")</f>
        <v>https://review.opendev.org/c/openstack/nova/+/22897</v>
      </c>
      <c r="D508" s="114"/>
      <c r="E508" s="114"/>
      <c r="F508" s="115"/>
      <c r="G508" s="16" t="s">
        <v>1425</v>
      </c>
      <c r="H508" s="16" t="s">
        <v>2077</v>
      </c>
      <c r="I508" s="82"/>
      <c r="J508" s="92"/>
      <c r="K508" s="82"/>
      <c r="M508" s="114" t="str">
        <f>VLOOKUP(A508,'BIC_(C_Variables)'!$A$3:$AS$43,45,FALSE())</f>
        <v/>
      </c>
      <c r="N508" s="1"/>
      <c r="O508" s="1"/>
      <c r="P508" s="81" t="str">
        <f>IFERROR(VLOOKUP(A508,Internal_lists_bugs!$A$2:$G7981,7,FALSE()),"please select a BUG ID")</f>
        <v>https://opendev.org/openstack/nova/commit/a9d0313c</v>
      </c>
    </row>
    <row r="509">
      <c r="A509" s="16" t="s">
        <v>43</v>
      </c>
      <c r="B509" s="50" t="str">
        <f>IFERROR(HYPERLINK(VLOOKUP(A509,Internal_lists_bugs!$A$2:$C$73,3,FALSE()), VLOOKUP(A509,Internal_lists_bugs!$A$2:$C$73,3,FALSE())&amp;Char(10) &amp; Char(10) &amp; VLOOKUP(A509,Internal_lists_bugs!$A$2:$Z$73,26,FALSE())),"please select a BUG ID")</f>
        <v>https://bugs.launchpad.net/nova/+bug/1392798
/compute/manager.py</v>
      </c>
      <c r="C509" s="81" t="str">
        <f>IFERROR(VLOOKUP(A509,Internal_lists_bugs!$A$2:$I7981,9,FALSE()),"please select a BUG ID")</f>
        <v>https://review.opendev.org/c/openstack/nova/+/22897</v>
      </c>
      <c r="D509" s="114"/>
      <c r="E509" s="114"/>
      <c r="F509" s="115"/>
      <c r="G509" s="16" t="s">
        <v>1478</v>
      </c>
      <c r="H509" s="16" t="s">
        <v>2077</v>
      </c>
      <c r="I509" s="82"/>
      <c r="J509" s="92"/>
      <c r="K509" s="82"/>
      <c r="M509" s="114" t="str">
        <f>VLOOKUP(A509,'BIC_(C_Variables)'!$A$3:$AS$43,45,FALSE())</f>
        <v/>
      </c>
      <c r="N509" s="1"/>
      <c r="O509" s="1"/>
      <c r="P509" s="81" t="str">
        <f>IFERROR(VLOOKUP(A509,Internal_lists_bugs!$A$2:$G7981,7,FALSE()),"please select a BUG ID")</f>
        <v>https://opendev.org/openstack/nova/commit/a9d0313c</v>
      </c>
    </row>
    <row r="510">
      <c r="A510" s="16" t="s">
        <v>43</v>
      </c>
      <c r="B510" s="50" t="str">
        <f>IFERROR(HYPERLINK(VLOOKUP(A510,Internal_lists_bugs!$A$2:$C$73,3,FALSE()), VLOOKUP(A510,Internal_lists_bugs!$A$2:$C$73,3,FALSE())&amp;Char(10) &amp; Char(10) &amp; VLOOKUP(A510,Internal_lists_bugs!$A$2:$Z$73,26,FALSE())),"please select a BUG ID")</f>
        <v>https://bugs.launchpad.net/nova/+bug/1392798
/compute/manager.py</v>
      </c>
      <c r="C510" s="81" t="str">
        <f>IFERROR(VLOOKUP(A510,Internal_lists_bugs!$A$2:$I7981,9,FALSE()),"please select a BUG ID")</f>
        <v>https://review.opendev.org/c/openstack/nova/+/22897</v>
      </c>
      <c r="D510" s="114"/>
      <c r="E510" s="114"/>
      <c r="F510" s="115"/>
      <c r="G510" s="16" t="s">
        <v>1441</v>
      </c>
      <c r="H510" s="116" t="s">
        <v>2078</v>
      </c>
      <c r="I510" s="82"/>
      <c r="J510" s="92"/>
      <c r="K510" s="82"/>
      <c r="M510" s="114" t="str">
        <f>VLOOKUP(A510,'BIC_(C_Variables)'!$A$3:$AS$43,45,FALSE())</f>
        <v/>
      </c>
      <c r="N510" s="1"/>
      <c r="O510" s="1"/>
      <c r="P510" s="81" t="str">
        <f>IFERROR(VLOOKUP(A510,Internal_lists_bugs!$A$2:$G7981,7,FALSE()),"please select a BUG ID")</f>
        <v>https://opendev.org/openstack/nova/commit/a9d0313c</v>
      </c>
    </row>
    <row r="511">
      <c r="A511" s="16" t="s">
        <v>43</v>
      </c>
      <c r="B511" s="50" t="str">
        <f>IFERROR(HYPERLINK(VLOOKUP(A511,Internal_lists_bugs!$A$2:$C$73,3,FALSE()), VLOOKUP(A511,Internal_lists_bugs!$A$2:$C$73,3,FALSE())&amp;Char(10) &amp; Char(10) &amp; VLOOKUP(A511,Internal_lists_bugs!$A$2:$Z$73,26,FALSE())),"please select a BUG ID")</f>
        <v>https://bugs.launchpad.net/nova/+bug/1392798
/compute/manager.py</v>
      </c>
      <c r="C511" s="81" t="str">
        <f>IFERROR(VLOOKUP(A511,Internal_lists_bugs!$A$2:$I7981,9,FALSE()),"please select a BUG ID")</f>
        <v>https://review.opendev.org/c/openstack/nova/+/22897</v>
      </c>
      <c r="D511" s="114"/>
      <c r="E511" s="114"/>
      <c r="F511" s="115"/>
      <c r="G511" s="16" t="s">
        <v>1427</v>
      </c>
      <c r="H511" s="116" t="s">
        <v>2078</v>
      </c>
      <c r="I511" s="82"/>
      <c r="J511" s="92"/>
      <c r="K511" s="82"/>
      <c r="M511" s="114" t="str">
        <f>VLOOKUP(A511,'BIC_(C_Variables)'!$A$3:$AS$43,45,FALSE())</f>
        <v/>
      </c>
      <c r="N511" s="1"/>
      <c r="O511" s="1"/>
      <c r="P511" s="81" t="str">
        <f>IFERROR(VLOOKUP(A511,Internal_lists_bugs!$A$2:$G7981,7,FALSE()),"please select a BUG ID")</f>
        <v>https://opendev.org/openstack/nova/commit/a9d0313c</v>
      </c>
    </row>
    <row r="512">
      <c r="A512" s="16" t="s">
        <v>43</v>
      </c>
      <c r="B512" s="50" t="str">
        <f>IFERROR(HYPERLINK(VLOOKUP(A512,Internal_lists_bugs!$A$2:$C$73,3,FALSE()), VLOOKUP(A512,Internal_lists_bugs!$A$2:$C$73,3,FALSE())&amp;Char(10) &amp; Char(10) &amp; VLOOKUP(A512,Internal_lists_bugs!$A$2:$Z$73,26,FALSE())),"please select a BUG ID")</f>
        <v>https://bugs.launchpad.net/nova/+bug/1392798
/compute/manager.py</v>
      </c>
      <c r="C512" s="81" t="str">
        <f>IFERROR(VLOOKUP(A512,Internal_lists_bugs!$A$2:$I7981,9,FALSE()),"please select a BUG ID")</f>
        <v>https://review.opendev.org/c/openstack/nova/+/22897</v>
      </c>
      <c r="D512" s="114"/>
      <c r="E512" s="114"/>
      <c r="F512" s="115"/>
      <c r="G512" s="16" t="s">
        <v>1443</v>
      </c>
      <c r="H512" s="116" t="s">
        <v>2079</v>
      </c>
      <c r="I512" s="82"/>
      <c r="J512" s="92"/>
      <c r="K512" s="82"/>
      <c r="M512" s="114"/>
      <c r="N512" s="1"/>
      <c r="O512" s="1"/>
      <c r="P512" s="51"/>
    </row>
    <row r="513">
      <c r="A513" s="16" t="s">
        <v>43</v>
      </c>
      <c r="B513" s="50" t="str">
        <f>IFERROR(HYPERLINK(VLOOKUP(A513,Internal_lists_bugs!$A$2:$C$73,3,FALSE()), VLOOKUP(A513,Internal_lists_bugs!$A$2:$C$73,3,FALSE())&amp;Char(10) &amp; Char(10) &amp; VLOOKUP(A513,Internal_lists_bugs!$A$2:$Z$73,26,FALSE())),"please select a BUG ID")</f>
        <v>https://bugs.launchpad.net/nova/+bug/1392798
/compute/manager.py</v>
      </c>
      <c r="C513" s="81" t="str">
        <f>IFERROR(VLOOKUP(A513,Internal_lists_bugs!$A$2:$I7981,9,FALSE()),"please select a BUG ID")</f>
        <v>https://review.opendev.org/c/openstack/nova/+/22897</v>
      </c>
      <c r="D513" s="114"/>
      <c r="E513" s="114"/>
      <c r="F513" s="115"/>
      <c r="G513" s="16" t="s">
        <v>1445</v>
      </c>
      <c r="H513" s="116" t="s">
        <v>2079</v>
      </c>
      <c r="I513" s="82"/>
      <c r="J513" s="92"/>
      <c r="K513" s="82"/>
      <c r="M513" s="114"/>
      <c r="N513" s="1"/>
      <c r="O513" s="1"/>
      <c r="P513" s="51"/>
    </row>
    <row r="514">
      <c r="A514" s="16" t="s">
        <v>43</v>
      </c>
      <c r="B514" s="50" t="str">
        <f>IFERROR(HYPERLINK(VLOOKUP(A514,Internal_lists_bugs!$A$2:$C$73,3,FALSE()), VLOOKUP(A514,Internal_lists_bugs!$A$2:$C$73,3,FALSE())&amp;Char(10) &amp; Char(10) &amp; VLOOKUP(A514,Internal_lists_bugs!$A$2:$Z$73,26,FALSE())),"please select a BUG ID")</f>
        <v>https://bugs.launchpad.net/nova/+bug/1392798
/compute/manager.py</v>
      </c>
      <c r="C514" s="81" t="str">
        <f>IFERROR(VLOOKUP(A514,Internal_lists_bugs!$A$2:$I7981,9,FALSE()),"please select a BUG ID")</f>
        <v>https://review.opendev.org/c/openstack/nova/+/22897</v>
      </c>
      <c r="D514" s="114"/>
      <c r="E514" s="114"/>
      <c r="F514" s="115"/>
      <c r="G514" s="16" t="s">
        <v>1428</v>
      </c>
      <c r="H514" s="116" t="s">
        <v>2080</v>
      </c>
      <c r="I514" s="82"/>
      <c r="J514" s="92"/>
      <c r="K514" s="82"/>
      <c r="M514" s="114" t="str">
        <f>VLOOKUP(A514,'BIC_(C_Variables)'!$A$3:$AS$43,45,FALSE())</f>
        <v/>
      </c>
      <c r="N514" s="1"/>
      <c r="O514" s="1"/>
      <c r="P514" s="81" t="str">
        <f>IFERROR(VLOOKUP(A514,Internal_lists_bugs!$A$2:$G7981,7,FALSE()),"please select a BUG ID")</f>
        <v>https://opendev.org/openstack/nova/commit/a9d0313c</v>
      </c>
    </row>
    <row r="515">
      <c r="A515" s="16" t="s">
        <v>43</v>
      </c>
      <c r="B515" s="50" t="str">
        <f>IFERROR(HYPERLINK(VLOOKUP(A515,Internal_lists_bugs!$A$2:$C$73,3,FALSE()), VLOOKUP(A515,Internal_lists_bugs!$A$2:$C$73,3,FALSE())&amp;Char(10) &amp; Char(10) &amp; VLOOKUP(A515,Internal_lists_bugs!$A$2:$Z$73,26,FALSE())),"please select a BUG ID")</f>
        <v>https://bugs.launchpad.net/nova/+bug/1392798
/compute/manager.py</v>
      </c>
      <c r="C515" s="81" t="str">
        <f>IFERROR(VLOOKUP(A515,Internal_lists_bugs!$A$2:$I7981,9,FALSE()),"please select a BUG ID")</f>
        <v>https://review.opendev.org/c/openstack/nova/+/22897</v>
      </c>
      <c r="D515" s="114"/>
      <c r="E515" s="114"/>
      <c r="F515" s="115"/>
      <c r="G515" s="16" t="s">
        <v>2081</v>
      </c>
      <c r="H515" s="116" t="s">
        <v>2082</v>
      </c>
      <c r="I515" s="82"/>
      <c r="J515" s="92"/>
      <c r="K515" s="82"/>
      <c r="M515" s="114" t="str">
        <f>VLOOKUP(A515,'BIC_(C_Variables)'!$A$3:$AS$43,45,FALSE())</f>
        <v/>
      </c>
      <c r="N515" s="1"/>
      <c r="O515" s="1"/>
      <c r="P515" s="81" t="str">
        <f>IFERROR(VLOOKUP(A515,Internal_lists_bugs!$A$2:$G7981,7,FALSE()),"please select a BUG ID")</f>
        <v>https://opendev.org/openstack/nova/commit/a9d0313c</v>
      </c>
    </row>
    <row r="516">
      <c r="A516" s="16" t="s">
        <v>43</v>
      </c>
      <c r="B516" s="50" t="str">
        <f>IFERROR(HYPERLINK(VLOOKUP(A516,Internal_lists_bugs!$A$2:$C$73,3,FALSE()), VLOOKUP(A516,Internal_lists_bugs!$A$2:$C$73,3,FALSE())&amp;Char(10) &amp; Char(10) &amp; VLOOKUP(A516,Internal_lists_bugs!$A$2:$Z$73,26,FALSE())),"please select a BUG ID")</f>
        <v>https://bugs.launchpad.net/nova/+bug/1392798
/compute/manager.py</v>
      </c>
      <c r="C516" s="81" t="str">
        <f>IFERROR(VLOOKUP(A516,Internal_lists_bugs!$A$2:$I7981,9,FALSE()),"please select a BUG ID")</f>
        <v>https://review.opendev.org/c/openstack/nova/+/22897</v>
      </c>
      <c r="D516" s="114"/>
      <c r="E516" s="114"/>
      <c r="F516" s="115"/>
      <c r="G516" s="16" t="s">
        <v>2083</v>
      </c>
      <c r="H516" s="116" t="s">
        <v>2084</v>
      </c>
      <c r="I516" s="82"/>
      <c r="J516" s="92"/>
      <c r="K516" s="82"/>
      <c r="M516" s="114" t="str">
        <f>VLOOKUP(A516,'BIC_(C_Variables)'!$A$3:$AS$43,45,FALSE())</f>
        <v/>
      </c>
      <c r="N516" s="1"/>
      <c r="O516" s="1"/>
      <c r="P516" s="81" t="str">
        <f>IFERROR(VLOOKUP(A516,Internal_lists_bugs!$A$2:$G7981,7,FALSE()),"please select a BUG ID")</f>
        <v>https://opendev.org/openstack/nova/commit/a9d0313c</v>
      </c>
    </row>
    <row r="517">
      <c r="A517" s="16" t="s">
        <v>43</v>
      </c>
      <c r="B517" s="50" t="str">
        <f>IFERROR(HYPERLINK(VLOOKUP(A517,Internal_lists_bugs!$A$2:$C$73,3,FALSE()), VLOOKUP(A517,Internal_lists_bugs!$A$2:$C$73,3,FALSE())&amp;Char(10) &amp; Char(10) &amp; VLOOKUP(A517,Internal_lists_bugs!$A$2:$Z$73,26,FALSE())),"please select a BUG ID")</f>
        <v>https://bugs.launchpad.net/nova/+bug/1392798
/compute/manager.py</v>
      </c>
      <c r="C517" s="81" t="str">
        <f>IFERROR(VLOOKUP(A517,Internal_lists_bugs!$A$2:$I7981,9,FALSE()),"please select a BUG ID")</f>
        <v>https://review.opendev.org/c/openstack/nova/+/22897</v>
      </c>
      <c r="D517" s="114"/>
      <c r="E517" s="114"/>
      <c r="F517" s="115"/>
      <c r="G517" s="16" t="s">
        <v>2085</v>
      </c>
      <c r="H517" s="16" t="s">
        <v>2086</v>
      </c>
      <c r="I517" s="82"/>
      <c r="J517" s="92"/>
      <c r="K517" s="82"/>
      <c r="M517" s="114" t="str">
        <f>VLOOKUP(A517,'BIC_(C_Variables)'!$A$3:$AS$43,45,FALSE())</f>
        <v/>
      </c>
      <c r="N517" s="1"/>
      <c r="O517" s="1"/>
      <c r="P517" s="81" t="str">
        <f>IFERROR(VLOOKUP(A517,Internal_lists_bugs!$A$2:$G7981,7,FALSE()),"please select a BUG ID")</f>
        <v>https://opendev.org/openstack/nova/commit/a9d0313c</v>
      </c>
    </row>
    <row r="518">
      <c r="A518" s="16" t="s">
        <v>43</v>
      </c>
      <c r="B518" s="50" t="str">
        <f>IFERROR(HYPERLINK(VLOOKUP(A518,Internal_lists_bugs!$A$2:$C$73,3,FALSE()), VLOOKUP(A518,Internal_lists_bugs!$A$2:$C$73,3,FALSE())&amp;Char(10) &amp; Char(10) &amp; VLOOKUP(A518,Internal_lists_bugs!$A$2:$Z$73,26,FALSE())),"please select a BUG ID")</f>
        <v>https://bugs.launchpad.net/nova/+bug/1392798
/compute/manager.py</v>
      </c>
      <c r="C518" s="81" t="str">
        <f>IFERROR(VLOOKUP(A518,Internal_lists_bugs!$A$2:$I7981,9,FALSE()),"please select a BUG ID")</f>
        <v>https://review.opendev.org/c/openstack/nova/+/22897</v>
      </c>
      <c r="D518" s="114"/>
      <c r="E518" s="114"/>
      <c r="F518" s="115"/>
      <c r="G518" s="120" t="s">
        <v>1450</v>
      </c>
      <c r="H518" s="16" t="s">
        <v>2087</v>
      </c>
      <c r="I518" s="82"/>
      <c r="J518" s="92"/>
      <c r="K518" s="82"/>
      <c r="M518" s="114" t="str">
        <f>VLOOKUP(A518,'BIC_(C_Variables)'!$A$3:$AS$43,45,FALSE())</f>
        <v/>
      </c>
      <c r="N518" s="1"/>
      <c r="O518" s="1"/>
      <c r="P518" s="81" t="str">
        <f>IFERROR(VLOOKUP(A518,Internal_lists_bugs!$A$2:$G7981,7,FALSE()),"please select a BUG ID")</f>
        <v>https://opendev.org/openstack/nova/commit/a9d0313c</v>
      </c>
    </row>
    <row r="519">
      <c r="A519" s="16" t="s">
        <v>43</v>
      </c>
      <c r="B519" s="50" t="str">
        <f>IFERROR(HYPERLINK(VLOOKUP(A519,Internal_lists_bugs!$A$2:$C$73,3,FALSE()), VLOOKUP(A519,Internal_lists_bugs!$A$2:$C$73,3,FALSE())&amp;Char(10) &amp; Char(10) &amp; VLOOKUP(A519,Internal_lists_bugs!$A$2:$Z$73,26,FALSE())),"please select a BUG ID")</f>
        <v>https://bugs.launchpad.net/nova/+bug/1392798
/compute/manager.py</v>
      </c>
      <c r="C519" s="81" t="str">
        <f>IFERROR(VLOOKUP(A519,Internal_lists_bugs!$A$2:$I7981,9,FALSE()),"please select a BUG ID")</f>
        <v>https://review.opendev.org/c/openstack/nova/+/22897</v>
      </c>
      <c r="D519" s="114"/>
      <c r="E519" s="114"/>
      <c r="F519" s="115"/>
      <c r="G519" s="120" t="s">
        <v>1452</v>
      </c>
      <c r="H519" s="16" t="s">
        <v>2087</v>
      </c>
      <c r="I519" s="82"/>
      <c r="J519" s="92"/>
      <c r="K519" s="82"/>
      <c r="M519" s="114" t="str">
        <f>VLOOKUP(A519,'BIC_(C_Variables)'!$A$3:$AS$43,45,FALSE())</f>
        <v/>
      </c>
      <c r="N519" s="1"/>
      <c r="O519" s="1"/>
      <c r="P519" s="81" t="str">
        <f>IFERROR(VLOOKUP(A519,Internal_lists_bugs!$A$2:$G7981,7,FALSE()),"please select a BUG ID")</f>
        <v>https://opendev.org/openstack/nova/commit/a9d0313c</v>
      </c>
    </row>
    <row r="520">
      <c r="A520" s="16" t="s">
        <v>43</v>
      </c>
      <c r="B520" s="50" t="str">
        <f>IFERROR(HYPERLINK(VLOOKUP(A520,Internal_lists_bugs!$A$2:$C$73,3,FALSE()), VLOOKUP(A520,Internal_lists_bugs!$A$2:$C$73,3,FALSE())&amp;Char(10) &amp; Char(10) &amp; VLOOKUP(A520,Internal_lists_bugs!$A$2:$Z$73,26,FALSE())),"please select a BUG ID")</f>
        <v>https://bugs.launchpad.net/nova/+bug/1392798
/compute/manager.py</v>
      </c>
      <c r="C520" s="81" t="str">
        <f>IFERROR(VLOOKUP(A520,Internal_lists_bugs!$A$2:$I7981,9,FALSE()),"please select a BUG ID")</f>
        <v>https://review.opendev.org/c/openstack/nova/+/22897</v>
      </c>
      <c r="D520" s="114"/>
      <c r="E520" s="114"/>
      <c r="F520" s="115"/>
      <c r="G520" s="120" t="s">
        <v>2088</v>
      </c>
      <c r="H520" s="16" t="s">
        <v>2089</v>
      </c>
      <c r="I520" s="82"/>
      <c r="J520" s="92"/>
      <c r="K520" s="82"/>
      <c r="M520" s="114" t="str">
        <f>VLOOKUP(A520,'BIC_(C_Variables)'!$A$3:$AS$43,45,FALSE())</f>
        <v/>
      </c>
      <c r="N520" s="1"/>
      <c r="O520" s="1"/>
      <c r="P520" s="81" t="str">
        <f>IFERROR(VLOOKUP(A520,Internal_lists_bugs!$A$2:$G7981,7,FALSE()),"please select a BUG ID")</f>
        <v>https://opendev.org/openstack/nova/commit/a9d0313c</v>
      </c>
    </row>
    <row r="521">
      <c r="A521" s="16" t="s">
        <v>43</v>
      </c>
      <c r="B521" s="50" t="str">
        <f>IFERROR(HYPERLINK(VLOOKUP(A521,Internal_lists_bugs!$A$2:$C$73,3,FALSE()), VLOOKUP(A521,Internal_lists_bugs!$A$2:$C$73,3,FALSE())&amp;Char(10) &amp; Char(10) &amp; VLOOKUP(A521,Internal_lists_bugs!$A$2:$Z$73,26,FALSE())),"please select a BUG ID")</f>
        <v>https://bugs.launchpad.net/nova/+bug/1392798
/compute/manager.py</v>
      </c>
      <c r="C521" s="81" t="str">
        <f>IFERROR(VLOOKUP(A521,Internal_lists_bugs!$A$2:$I7981,9,FALSE()),"please select a BUG ID")</f>
        <v>https://review.opendev.org/c/openstack/nova/+/22897</v>
      </c>
      <c r="D521" s="114"/>
      <c r="E521" s="114"/>
      <c r="F521" s="115"/>
      <c r="G521" s="120" t="s">
        <v>1609</v>
      </c>
      <c r="H521" s="16" t="s">
        <v>2090</v>
      </c>
      <c r="I521" s="82"/>
      <c r="J521" s="92"/>
      <c r="K521" s="82"/>
      <c r="M521" s="114"/>
      <c r="N521" s="1"/>
      <c r="O521" s="1"/>
      <c r="P521" s="51"/>
    </row>
    <row r="522">
      <c r="A522" s="16" t="s">
        <v>43</v>
      </c>
      <c r="B522" s="50" t="str">
        <f>IFERROR(HYPERLINK(VLOOKUP(A522,Internal_lists_bugs!$A$2:$C$73,3,FALSE()), VLOOKUP(A522,Internal_lists_bugs!$A$2:$C$73,3,FALSE())&amp;Char(10) &amp; Char(10) &amp; VLOOKUP(A522,Internal_lists_bugs!$A$2:$Z$73,26,FALSE())),"please select a BUG ID")</f>
        <v>https://bugs.launchpad.net/nova/+bug/1392798
/compute/manager.py</v>
      </c>
      <c r="C522" s="81" t="str">
        <f>IFERROR(VLOOKUP(A522,Internal_lists_bugs!$A$2:$I7981,9,FALSE()),"please select a BUG ID")</f>
        <v>https://review.opendev.org/c/openstack/nova/+/22897</v>
      </c>
      <c r="D522" s="114"/>
      <c r="E522" s="114"/>
      <c r="F522" s="115"/>
      <c r="G522" s="16" t="s">
        <v>1654</v>
      </c>
      <c r="H522" s="16" t="s">
        <v>2090</v>
      </c>
      <c r="I522" s="82"/>
      <c r="J522" s="92"/>
      <c r="K522" s="82"/>
      <c r="M522" s="114" t="str">
        <f>VLOOKUP(A522,'BIC_(C_Variables)'!$A$3:$AS$43,45,FALSE())</f>
        <v/>
      </c>
      <c r="N522" s="1"/>
      <c r="O522" s="1"/>
      <c r="P522" s="81" t="str">
        <f>IFERROR(VLOOKUP(A522,Internal_lists_bugs!$A$2:$G7981,7,FALSE()),"please select a BUG ID")</f>
        <v>https://opendev.org/openstack/nova/commit/a9d0313c</v>
      </c>
    </row>
    <row r="523">
      <c r="A523" s="16" t="s">
        <v>44</v>
      </c>
      <c r="B523" s="50" t="str">
        <f>IFERROR(HYPERLINK(VLOOKUP(A523,Internal_lists_bugs!$A$2:$C$73,3,FALSE()), VLOOKUP(A523,Internal_lists_bugs!$A$2:$C$73,3,FALSE())&amp;Char(10) &amp; Char(10) &amp; VLOOKUP(A523,Internal_lists_bugs!$A$2:$Z$73,26,FALSE())),"please select a BUG ID")</f>
        <v>https://bugs.launchpad.net/nova/+bug/1475911
cmd/idmapshift.py</v>
      </c>
      <c r="C523" s="81" t="str">
        <f>IFERROR(VLOOKUP(A523,Internal_lists_bugs!$A$2:$I7981,9,FALSE()),"please select a BUG ID")</f>
        <v>https://review.opendev.org/c/openstack/nova/+/113545</v>
      </c>
      <c r="D523" s="112" t="s">
        <v>1412</v>
      </c>
      <c r="E523" s="112" t="s">
        <v>1462</v>
      </c>
      <c r="F523" s="113" t="s">
        <v>251</v>
      </c>
      <c r="G523" s="16" t="s">
        <v>1466</v>
      </c>
      <c r="H523" s="16" t="s">
        <v>2091</v>
      </c>
      <c r="I523" s="79" t="s">
        <v>123</v>
      </c>
      <c r="J523" s="93" t="s">
        <v>2092</v>
      </c>
      <c r="K523" s="79" t="s">
        <v>251</v>
      </c>
      <c r="L523" s="16" t="s">
        <v>2093</v>
      </c>
      <c r="M523" s="114" t="str">
        <f>VLOOKUP(A523,'BIC_(C_Variables)'!$A$3:$AS$43,45,FALSE())</f>
        <v/>
      </c>
      <c r="N523" s="1"/>
      <c r="O523" s="1"/>
      <c r="P523" s="81" t="str">
        <f>IFERROR(VLOOKUP(A523,Internal_lists_bugs!$A$2:$G7981,7,FALSE()),"please select a BUG ID")</f>
        <v>https://opendev.org/openstack/nova/commit/e310985</v>
      </c>
    </row>
    <row r="524">
      <c r="A524" s="16" t="s">
        <v>44</v>
      </c>
      <c r="B524" s="50" t="str">
        <f>IFERROR(HYPERLINK(VLOOKUP(A524,Internal_lists_bugs!$A$2:$C$73,3,FALSE()), VLOOKUP(A524,Internal_lists_bugs!$A$2:$C$73,3,FALSE())&amp;Char(10) &amp; Char(10) &amp; VLOOKUP(A524,Internal_lists_bugs!$A$2:$Z$73,26,FALSE())),"please select a BUG ID")</f>
        <v>https://bugs.launchpad.net/nova/+bug/1475911
cmd/idmapshift.py</v>
      </c>
      <c r="C524" s="81" t="str">
        <f>IFERROR(VLOOKUP(A524,Internal_lists_bugs!$A$2:$I7981,9,FALSE()),"please select a BUG ID")</f>
        <v>https://review.opendev.org/c/openstack/nova/+/113545</v>
      </c>
      <c r="D524" s="114"/>
      <c r="E524" s="114"/>
      <c r="F524" s="115"/>
      <c r="G524" s="16" t="s">
        <v>1419</v>
      </c>
      <c r="H524" s="16" t="s">
        <v>2094</v>
      </c>
      <c r="I524" s="82"/>
      <c r="J524" s="92"/>
      <c r="K524" s="82"/>
      <c r="M524" s="114" t="str">
        <f>VLOOKUP(A524,'BIC_(C_Variables)'!$A$3:$AS$43,45,FALSE())</f>
        <v/>
      </c>
      <c r="N524" s="1"/>
      <c r="O524" s="1"/>
      <c r="P524" s="81" t="str">
        <f>IFERROR(VLOOKUP(A524,Internal_lists_bugs!$A$2:$G7981,7,FALSE()),"please select a BUG ID")</f>
        <v>https://opendev.org/openstack/nova/commit/e310985</v>
      </c>
    </row>
    <row r="525">
      <c r="A525" s="16" t="s">
        <v>44</v>
      </c>
      <c r="B525" s="50" t="str">
        <f>IFERROR(HYPERLINK(VLOOKUP(A525,Internal_lists_bugs!$A$2:$C$73,3,FALSE()), VLOOKUP(A525,Internal_lists_bugs!$A$2:$C$73,3,FALSE())&amp;Char(10) &amp; Char(10) &amp; VLOOKUP(A525,Internal_lists_bugs!$A$2:$Z$73,26,FALSE())),"please select a BUG ID")</f>
        <v>https://bugs.launchpad.net/nova/+bug/1475911
cmd/idmapshift.py</v>
      </c>
      <c r="C525" s="81" t="str">
        <f>IFERROR(VLOOKUP(A525,Internal_lists_bugs!$A$2:$I7981,9,FALSE()),"please select a BUG ID")</f>
        <v>https://review.opendev.org/c/openstack/nova/+/113545</v>
      </c>
      <c r="D525" s="114"/>
      <c r="E525" s="114"/>
      <c r="F525" s="115"/>
      <c r="G525" s="16" t="s">
        <v>1417</v>
      </c>
      <c r="H525" s="16" t="s">
        <v>2095</v>
      </c>
      <c r="I525" s="82"/>
      <c r="J525" s="92"/>
      <c r="K525" s="82"/>
      <c r="M525" s="114" t="str">
        <f>VLOOKUP(A525,'BIC_(C_Variables)'!$A$3:$AS$43,45,FALSE())</f>
        <v/>
      </c>
      <c r="N525" s="1"/>
      <c r="O525" s="1"/>
      <c r="P525" s="81" t="str">
        <f>IFERROR(VLOOKUP(A525,Internal_lists_bugs!$A$2:$G7981,7,FALSE()),"please select a BUG ID")</f>
        <v>https://opendev.org/openstack/nova/commit/e310985</v>
      </c>
    </row>
    <row r="526">
      <c r="A526" s="16" t="s">
        <v>44</v>
      </c>
      <c r="B526" s="50" t="str">
        <f>IFERROR(HYPERLINK(VLOOKUP(A526,Internal_lists_bugs!$A$2:$C$73,3,FALSE()), VLOOKUP(A526,Internal_lists_bugs!$A$2:$C$73,3,FALSE())&amp;Char(10) &amp; Char(10) &amp; VLOOKUP(A526,Internal_lists_bugs!$A$2:$Z$73,26,FALSE())),"please select a BUG ID")</f>
        <v>https://bugs.launchpad.net/nova/+bug/1475911
cmd/idmapshift.py</v>
      </c>
      <c r="C526" s="81" t="str">
        <f>IFERROR(VLOOKUP(A526,Internal_lists_bugs!$A$2:$I7981,9,FALSE()),"please select a BUG ID")</f>
        <v>https://review.opendev.org/c/openstack/nova/+/113545</v>
      </c>
      <c r="D526" s="114"/>
      <c r="E526" s="114"/>
      <c r="F526" s="115"/>
      <c r="G526" s="16" t="s">
        <v>1533</v>
      </c>
      <c r="H526" s="16" t="s">
        <v>2096</v>
      </c>
      <c r="I526" s="82"/>
      <c r="J526" s="92"/>
      <c r="K526" s="82"/>
      <c r="M526" s="114" t="str">
        <f>VLOOKUP(A526,'BIC_(C_Variables)'!$A$3:$AS$43,45,FALSE())</f>
        <v/>
      </c>
      <c r="N526" s="1"/>
      <c r="O526" s="1"/>
      <c r="P526" s="81" t="str">
        <f>IFERROR(VLOOKUP(A526,Internal_lists_bugs!$A$2:$G7981,7,FALSE()),"please select a BUG ID")</f>
        <v>https://opendev.org/openstack/nova/commit/e310985</v>
      </c>
    </row>
    <row r="527">
      <c r="A527" s="16" t="s">
        <v>44</v>
      </c>
      <c r="B527" s="50" t="str">
        <f>IFERROR(HYPERLINK(VLOOKUP(A527,Internal_lists_bugs!$A$2:$C$73,3,FALSE()), VLOOKUP(A527,Internal_lists_bugs!$A$2:$C$73,3,FALSE())&amp;Char(10) &amp; Char(10) &amp; VLOOKUP(A527,Internal_lists_bugs!$A$2:$Z$73,26,FALSE())),"please select a BUG ID")</f>
        <v>https://bugs.launchpad.net/nova/+bug/1475911
cmd/idmapshift.py</v>
      </c>
      <c r="C527" s="81" t="str">
        <f>IFERROR(VLOOKUP(A527,Internal_lists_bugs!$A$2:$I7981,9,FALSE()),"please select a BUG ID")</f>
        <v>https://review.opendev.org/c/openstack/nova/+/113545</v>
      </c>
      <c r="D527" s="114"/>
      <c r="E527" s="114"/>
      <c r="F527" s="115"/>
      <c r="G527" s="16" t="s">
        <v>1568</v>
      </c>
      <c r="H527" s="16" t="s">
        <v>2097</v>
      </c>
      <c r="I527" s="82"/>
      <c r="J527" s="92"/>
      <c r="K527" s="82"/>
      <c r="M527" s="114" t="str">
        <f>VLOOKUP(A527,'BIC_(C_Variables)'!$A$3:$AS$43,45,FALSE())</f>
        <v/>
      </c>
      <c r="N527" s="1"/>
      <c r="O527" s="1"/>
      <c r="P527" s="81" t="str">
        <f>IFERROR(VLOOKUP(A527,Internal_lists_bugs!$A$2:$G7981,7,FALSE()),"please select a BUG ID")</f>
        <v>https://opendev.org/openstack/nova/commit/e310985</v>
      </c>
    </row>
    <row r="528">
      <c r="A528" s="16" t="s">
        <v>44</v>
      </c>
      <c r="B528" s="50" t="str">
        <f>IFERROR(HYPERLINK(VLOOKUP(A528,Internal_lists_bugs!$A$2:$C$73,3,FALSE()), VLOOKUP(A528,Internal_lists_bugs!$A$2:$C$73,3,FALSE())&amp;Char(10) &amp; Char(10) &amp; VLOOKUP(A528,Internal_lists_bugs!$A$2:$Z$73,26,FALSE())),"please select a BUG ID")</f>
        <v>https://bugs.launchpad.net/nova/+bug/1475911
cmd/idmapshift.py</v>
      </c>
      <c r="C528" s="81" t="str">
        <f>IFERROR(VLOOKUP(A528,Internal_lists_bugs!$A$2:$I7981,9,FALSE()),"please select a BUG ID")</f>
        <v>https://review.opendev.org/c/openstack/nova/+/113545</v>
      </c>
      <c r="D528" s="114"/>
      <c r="E528" s="114"/>
      <c r="F528" s="115"/>
      <c r="G528" s="16" t="s">
        <v>1502</v>
      </c>
      <c r="H528" s="16" t="s">
        <v>2098</v>
      </c>
      <c r="I528" s="82"/>
      <c r="J528" s="92"/>
      <c r="K528" s="82"/>
      <c r="M528" s="114" t="str">
        <f>VLOOKUP(A528,'BIC_(C_Variables)'!$A$3:$AS$43,45,FALSE())</f>
        <v/>
      </c>
      <c r="N528" s="1"/>
      <c r="O528" s="1"/>
      <c r="P528" s="81" t="str">
        <f>IFERROR(VLOOKUP(A528,Internal_lists_bugs!$A$2:$G7981,7,FALSE()),"please select a BUG ID")</f>
        <v>https://opendev.org/openstack/nova/commit/e310985</v>
      </c>
    </row>
    <row r="529">
      <c r="A529" s="16" t="s">
        <v>44</v>
      </c>
      <c r="B529" s="50" t="str">
        <f>IFERROR(HYPERLINK(VLOOKUP(A529,Internal_lists_bugs!$A$2:$C$73,3,FALSE()), VLOOKUP(A529,Internal_lists_bugs!$A$2:$C$73,3,FALSE())&amp;Char(10) &amp; Char(10) &amp; VLOOKUP(A529,Internal_lists_bugs!$A$2:$Z$73,26,FALSE())),"please select a BUG ID")</f>
        <v>https://bugs.launchpad.net/nova/+bug/1475911
cmd/idmapshift.py</v>
      </c>
      <c r="C529" s="81" t="str">
        <f>IFERROR(VLOOKUP(A529,Internal_lists_bugs!$A$2:$I7981,9,FALSE()),"please select a BUG ID")</f>
        <v>https://review.opendev.org/c/openstack/nova/+/113545</v>
      </c>
      <c r="D529" s="114"/>
      <c r="E529" s="114"/>
      <c r="F529" s="115"/>
      <c r="G529" s="16" t="s">
        <v>2099</v>
      </c>
      <c r="H529" s="16" t="s">
        <v>2100</v>
      </c>
      <c r="I529" s="82"/>
      <c r="J529" s="92"/>
      <c r="K529" s="82"/>
      <c r="M529" s="114" t="str">
        <f>VLOOKUP(A529,'BIC_(C_Variables)'!$A$3:$AS$43,45,FALSE())</f>
        <v/>
      </c>
      <c r="N529" s="1"/>
      <c r="O529" s="1"/>
      <c r="P529" s="81" t="str">
        <f>IFERROR(VLOOKUP(A529,Internal_lists_bugs!$A$2:$G7981,7,FALSE()),"please select a BUG ID")</f>
        <v>https://opendev.org/openstack/nova/commit/e310985</v>
      </c>
    </row>
    <row r="530">
      <c r="A530" s="16" t="s">
        <v>44</v>
      </c>
      <c r="B530" s="50" t="str">
        <f>IFERROR(HYPERLINK(VLOOKUP(A530,Internal_lists_bugs!$A$2:$C$73,3,FALSE()), VLOOKUP(A530,Internal_lists_bugs!$A$2:$C$73,3,FALSE())&amp;Char(10) &amp; Char(10) &amp; VLOOKUP(A530,Internal_lists_bugs!$A$2:$Z$73,26,FALSE())),"please select a BUG ID")</f>
        <v>https://bugs.launchpad.net/nova/+bug/1475911
cmd/idmapshift.py</v>
      </c>
      <c r="C530" s="81" t="str">
        <f>IFERROR(VLOOKUP(A530,Internal_lists_bugs!$A$2:$I7981,9,FALSE()),"please select a BUG ID")</f>
        <v>https://review.opendev.org/c/openstack/nova/+/113545</v>
      </c>
      <c r="D530" s="114"/>
      <c r="E530" s="114"/>
      <c r="F530" s="115"/>
      <c r="G530" s="16" t="s">
        <v>2051</v>
      </c>
      <c r="H530" s="16" t="s">
        <v>2101</v>
      </c>
      <c r="I530" s="82"/>
      <c r="J530" s="92"/>
      <c r="K530" s="82"/>
      <c r="M530" s="114" t="str">
        <f>VLOOKUP(A530,'BIC_(C_Variables)'!$A$3:$AS$43,45,FALSE())</f>
        <v/>
      </c>
      <c r="N530" s="1"/>
      <c r="O530" s="1"/>
      <c r="P530" s="81" t="str">
        <f>IFERROR(VLOOKUP(A530,Internal_lists_bugs!$A$2:$G7981,7,FALSE()),"please select a BUG ID")</f>
        <v>https://opendev.org/openstack/nova/commit/e310985</v>
      </c>
    </row>
    <row r="531">
      <c r="A531" s="16" t="s">
        <v>44</v>
      </c>
      <c r="B531" s="50" t="str">
        <f>IFERROR(HYPERLINK(VLOOKUP(A531,Internal_lists_bugs!$A$2:$C$73,3,FALSE()), VLOOKUP(A531,Internal_lists_bugs!$A$2:$C$73,3,FALSE())&amp;Char(10) &amp; Char(10) &amp; VLOOKUP(A531,Internal_lists_bugs!$A$2:$Z$73,26,FALSE())),"please select a BUG ID")</f>
        <v>https://bugs.launchpad.net/nova/+bug/1475911
cmd/idmapshift.py</v>
      </c>
      <c r="C531" s="81" t="str">
        <f>IFERROR(VLOOKUP(A531,Internal_lists_bugs!$A$2:$I7981,9,FALSE()),"please select a BUG ID")</f>
        <v>https://review.opendev.org/c/openstack/nova/+/113545</v>
      </c>
      <c r="D531" s="114"/>
      <c r="E531" s="114"/>
      <c r="F531" s="115"/>
      <c r="G531" s="16" t="s">
        <v>1686</v>
      </c>
      <c r="H531" s="16" t="s">
        <v>2102</v>
      </c>
      <c r="I531" s="82"/>
      <c r="J531" s="92"/>
      <c r="K531" s="82"/>
      <c r="M531" s="114" t="str">
        <f>VLOOKUP(A531,'BIC_(C_Variables)'!$A$3:$AS$43,45,FALSE())</f>
        <v/>
      </c>
      <c r="N531" s="1"/>
      <c r="O531" s="1"/>
      <c r="P531" s="81" t="str">
        <f>IFERROR(VLOOKUP(A531,Internal_lists_bugs!$A$2:$G7981,7,FALSE()),"please select a BUG ID")</f>
        <v>https://opendev.org/openstack/nova/commit/e310985</v>
      </c>
    </row>
    <row r="532">
      <c r="A532" s="16" t="s">
        <v>44</v>
      </c>
      <c r="B532" s="50" t="str">
        <f>IFERROR(HYPERLINK(VLOOKUP(A532,Internal_lists_bugs!$A$2:$C$73,3,FALSE()), VLOOKUP(A532,Internal_lists_bugs!$A$2:$C$73,3,FALSE())&amp;Char(10) &amp; Char(10) &amp; VLOOKUP(A532,Internal_lists_bugs!$A$2:$Z$73,26,FALSE())),"please select a BUG ID")</f>
        <v>https://bugs.launchpad.net/nova/+bug/1475911
cmd/idmapshift.py</v>
      </c>
      <c r="C532" s="81" t="str">
        <f>IFERROR(VLOOKUP(A532,Internal_lists_bugs!$A$2:$I7981,9,FALSE()),"please select a BUG ID")</f>
        <v>https://review.opendev.org/c/openstack/nova/+/113545</v>
      </c>
      <c r="D532" s="114"/>
      <c r="E532" s="114"/>
      <c r="F532" s="115"/>
      <c r="G532" s="16" t="s">
        <v>1498</v>
      </c>
      <c r="H532" s="16" t="s">
        <v>2103</v>
      </c>
      <c r="I532" s="82"/>
      <c r="J532" s="92"/>
      <c r="K532" s="82"/>
      <c r="M532" s="114" t="str">
        <f>VLOOKUP(A532,'BIC_(C_Variables)'!$A$3:$AS$43,45,FALSE())</f>
        <v/>
      </c>
      <c r="N532" s="1"/>
      <c r="O532" s="1"/>
      <c r="P532" s="81" t="str">
        <f>IFERROR(VLOOKUP(A532,Internal_lists_bugs!$A$2:$G7981,7,FALSE()),"please select a BUG ID")</f>
        <v>https://opendev.org/openstack/nova/commit/e310985</v>
      </c>
    </row>
    <row r="533">
      <c r="A533" s="16" t="s">
        <v>44</v>
      </c>
      <c r="B533" s="50" t="str">
        <f>IFERROR(HYPERLINK(VLOOKUP(A533,Internal_lists_bugs!$A$2:$C$73,3,FALSE()), VLOOKUP(A533,Internal_lists_bugs!$A$2:$C$73,3,FALSE())&amp;Char(10) &amp; Char(10) &amp; VLOOKUP(A533,Internal_lists_bugs!$A$2:$Z$73,26,FALSE())),"please select a BUG ID")</f>
        <v>https://bugs.launchpad.net/nova/+bug/1475911
cmd/idmapshift.py</v>
      </c>
      <c r="C533" s="81" t="str">
        <f>IFERROR(VLOOKUP(A533,Internal_lists_bugs!$A$2:$I7981,9,FALSE()),"please select a BUG ID")</f>
        <v>https://review.opendev.org/c/openstack/nova/+/113545</v>
      </c>
      <c r="D533" s="112"/>
      <c r="E533" s="112"/>
      <c r="F533" s="113"/>
      <c r="G533" s="16" t="s">
        <v>2104</v>
      </c>
      <c r="H533" s="16" t="s">
        <v>2101</v>
      </c>
      <c r="I533" s="79"/>
      <c r="J533" s="93"/>
      <c r="K533" s="79"/>
      <c r="L533" s="16"/>
      <c r="M533" s="114"/>
      <c r="N533" s="1"/>
      <c r="O533" s="1"/>
      <c r="P533" s="51"/>
    </row>
    <row r="534">
      <c r="A534" s="16" t="s">
        <v>44</v>
      </c>
      <c r="B534" s="50" t="str">
        <f>IFERROR(HYPERLINK(VLOOKUP(A534,Internal_lists_bugs!$A$2:$C$73,3,FALSE()), VLOOKUP(A534,Internal_lists_bugs!$A$2:$C$73,3,FALSE())&amp;Char(10) &amp; Char(10) &amp; VLOOKUP(A534,Internal_lists_bugs!$A$2:$Z$73,26,FALSE())),"please select a BUG ID")</f>
        <v>https://bugs.launchpad.net/nova/+bug/1475911
cmd/idmapshift.py</v>
      </c>
      <c r="C534" s="81" t="str">
        <f>IFERROR(VLOOKUP(A534,Internal_lists_bugs!$A$2:$I7981,9,FALSE()),"please select a BUG ID")</f>
        <v>https://review.opendev.org/c/openstack/nova/+/113545</v>
      </c>
      <c r="D534" s="112"/>
      <c r="E534" s="112"/>
      <c r="F534" s="113"/>
      <c r="G534" s="16" t="s">
        <v>1570</v>
      </c>
      <c r="H534" s="16" t="s">
        <v>2101</v>
      </c>
      <c r="I534" s="79"/>
      <c r="J534" s="93"/>
      <c r="K534" s="79"/>
      <c r="L534" s="16"/>
      <c r="M534" s="114"/>
      <c r="N534" s="1"/>
      <c r="O534" s="1"/>
      <c r="P534" s="51"/>
    </row>
    <row r="535">
      <c r="A535" s="16" t="s">
        <v>44</v>
      </c>
      <c r="B535" s="50" t="str">
        <f>IFERROR(HYPERLINK(VLOOKUP(A535,Internal_lists_bugs!$A$2:$C$73,3,FALSE()), VLOOKUP(A535,Internal_lists_bugs!$A$2:$C$73,3,FALSE())&amp;Char(10) &amp; Char(10) &amp; VLOOKUP(A535,Internal_lists_bugs!$A$2:$Z$73,26,FALSE())),"please select a BUG ID")</f>
        <v>https://bugs.launchpad.net/nova/+bug/1475911
cmd/idmapshift.py</v>
      </c>
      <c r="C535" s="81" t="str">
        <f>IFERROR(VLOOKUP(A535,Internal_lists_bugs!$A$2:$I7981,9,FALSE()),"please select a BUG ID")</f>
        <v>https://review.opendev.org/c/openstack/nova/+/113545</v>
      </c>
      <c r="D535" s="112"/>
      <c r="E535" s="112"/>
      <c r="F535" s="113"/>
      <c r="G535" s="16" t="s">
        <v>1460</v>
      </c>
      <c r="H535" s="16" t="s">
        <v>1997</v>
      </c>
      <c r="I535" s="79"/>
      <c r="J535" s="93"/>
      <c r="K535" s="79"/>
      <c r="L535" s="16"/>
      <c r="M535" s="114" t="str">
        <f>VLOOKUP(A535,'BIC_(C_Variables)'!$A$3:$AS$43,45,FALSE())</f>
        <v/>
      </c>
      <c r="N535" s="1"/>
      <c r="O535" s="1"/>
      <c r="P535" s="81" t="str">
        <f>IFERROR(VLOOKUP(A535,Internal_lists_bugs!$A$2:$G7981,7,FALSE()),"please select a BUG ID")</f>
        <v>https://opendev.org/openstack/nova/commit/e310985</v>
      </c>
    </row>
    <row r="536">
      <c r="A536" s="16" t="s">
        <v>45</v>
      </c>
      <c r="B536" s="50" t="str">
        <f>IFERROR(HYPERLINK(VLOOKUP(A536,Internal_lists_bugs!$A$2:$C$73,3,FALSE()), VLOOKUP(A536,Internal_lists_bugs!$A$2:$C$73,3,FALSE())&amp;Char(10) &amp; Char(10) &amp; VLOOKUP(A536,Internal_lists_bugs!$A$2:$Z$73,26,FALSE())),"please select a BUG ID")</f>
        <v>https://bugs.launchpad.net/nova/+bug/1437855
/contrib/floating_ips.py
/v3/floating_ips.py </v>
      </c>
      <c r="C536" s="81" t="str">
        <f>IFERROR(VLOOKUP(A536,Internal_lists_bugs!$A$2:$I7981,9,FALSE()),"please select a BUG ID")</f>
        <v>https://review.opendev.org/c/openstack/nova/+/26113</v>
      </c>
      <c r="D536" s="112" t="s">
        <v>1412</v>
      </c>
      <c r="E536" s="112" t="s">
        <v>1462</v>
      </c>
      <c r="F536" s="113" t="s">
        <v>251</v>
      </c>
      <c r="G536" s="16" t="s">
        <v>1626</v>
      </c>
      <c r="H536" s="16" t="s">
        <v>2105</v>
      </c>
      <c r="I536" s="79" t="s">
        <v>251</v>
      </c>
      <c r="J536" s="93" t="s">
        <v>2106</v>
      </c>
      <c r="K536" s="79" t="s">
        <v>251</v>
      </c>
      <c r="L536" s="16" t="s">
        <v>2107</v>
      </c>
      <c r="M536" s="114" t="str">
        <f>VLOOKUP(A536,'BIC_(C_Variables)'!$A$3:$AS$43,45,FALSE())</f>
        <v>x_partial files NO V3</v>
      </c>
      <c r="N536" s="1"/>
      <c r="O536" s="1"/>
      <c r="P536" s="81" t="str">
        <f>IFERROR(VLOOKUP(A536,Internal_lists_bugs!$A$2:$G7981,7,FALSE()),"please select a BUG ID")</f>
        <v>https://opendev.org/openstack/nova/commit/1b2c121f133b1</v>
      </c>
    </row>
    <row r="537">
      <c r="A537" s="16" t="s">
        <v>45</v>
      </c>
      <c r="B537" s="50" t="str">
        <f>IFERROR(HYPERLINK(VLOOKUP(A537,Internal_lists_bugs!$A$2:$C$73,3,FALSE()), VLOOKUP(A537,Internal_lists_bugs!$A$2:$C$73,3,FALSE())&amp;Char(10) &amp; Char(10) &amp; VLOOKUP(A537,Internal_lists_bugs!$A$2:$Z$73,26,FALSE())),"please select a BUG ID")</f>
        <v>https://bugs.launchpad.net/nova/+bug/1437855
/contrib/floating_ips.py
/v3/floating_ips.py </v>
      </c>
      <c r="C537" s="81" t="str">
        <f>IFERROR(VLOOKUP(A537,Internal_lists_bugs!$A$2:$I7981,9,FALSE()),"please select a BUG ID")</f>
        <v>https://review.opendev.org/c/openstack/nova/+/26113</v>
      </c>
      <c r="D537" s="114"/>
      <c r="E537" s="114"/>
      <c r="F537" s="115"/>
      <c r="G537" s="16" t="s">
        <v>1466</v>
      </c>
      <c r="H537" s="16" t="s">
        <v>2108</v>
      </c>
      <c r="I537" s="82"/>
      <c r="J537" s="92"/>
      <c r="K537" s="82"/>
      <c r="M537" s="114" t="str">
        <f>VLOOKUP(A537,'BIC_(C_Variables)'!$A$3:$AS$43,45,FALSE())</f>
        <v>x_partial files NO V3</v>
      </c>
      <c r="N537" s="1"/>
      <c r="O537" s="1"/>
      <c r="P537" s="81" t="str">
        <f>IFERROR(VLOOKUP(A537,Internal_lists_bugs!$A$2:$G7981,7,FALSE()),"please select a BUG ID")</f>
        <v>https://opendev.org/openstack/nova/commit/1b2c121f133b1</v>
      </c>
    </row>
    <row r="538">
      <c r="A538" s="16" t="s">
        <v>45</v>
      </c>
      <c r="B538" s="50" t="str">
        <f>IFERROR(HYPERLINK(VLOOKUP(A538,Internal_lists_bugs!$A$2:$C$73,3,FALSE()), VLOOKUP(A538,Internal_lists_bugs!$A$2:$C$73,3,FALSE())&amp;Char(10) &amp; Char(10) &amp; VLOOKUP(A538,Internal_lists_bugs!$A$2:$Z$73,26,FALSE())),"please select a BUG ID")</f>
        <v>https://bugs.launchpad.net/nova/+bug/1437855
/contrib/floating_ips.py
/v3/floating_ips.py </v>
      </c>
      <c r="C538" s="81" t="str">
        <f>IFERROR(VLOOKUP(A538,Internal_lists_bugs!$A$2:$I7981,9,FALSE()),"please select a BUG ID")</f>
        <v>https://review.opendev.org/c/openstack/nova/+/26113</v>
      </c>
      <c r="D538" s="114"/>
      <c r="E538" s="114"/>
      <c r="F538" s="115"/>
      <c r="G538" s="16" t="s">
        <v>1419</v>
      </c>
      <c r="H538" s="16" t="s">
        <v>2109</v>
      </c>
      <c r="I538" s="82"/>
      <c r="J538" s="92"/>
      <c r="K538" s="82"/>
      <c r="M538" s="114" t="str">
        <f>VLOOKUP(A538,'BIC_(C_Variables)'!$A$3:$AS$43,45,FALSE())</f>
        <v>x_partial files NO V3</v>
      </c>
      <c r="N538" s="1"/>
      <c r="O538" s="1"/>
      <c r="P538" s="81" t="str">
        <f>IFERROR(VLOOKUP(A538,Internal_lists_bugs!$A$2:$G7981,7,FALSE()),"please select a BUG ID")</f>
        <v>https://opendev.org/openstack/nova/commit/1b2c121f133b1</v>
      </c>
    </row>
    <row r="539">
      <c r="A539" s="16" t="s">
        <v>45</v>
      </c>
      <c r="B539" s="50" t="str">
        <f>IFERROR(HYPERLINK(VLOOKUP(A539,Internal_lists_bugs!$A$2:$C$73,3,FALSE()), VLOOKUP(A539,Internal_lists_bugs!$A$2:$C$73,3,FALSE())&amp;Char(10) &amp; Char(10) &amp; VLOOKUP(A539,Internal_lists_bugs!$A$2:$Z$73,26,FALSE())),"please select a BUG ID")</f>
        <v>https://bugs.launchpad.net/nova/+bug/1437855
/contrib/floating_ips.py
/v3/floating_ips.py </v>
      </c>
      <c r="C539" s="81" t="str">
        <f>IFERROR(VLOOKUP(A539,Internal_lists_bugs!$A$2:$I7981,9,FALSE()),"please select a BUG ID")</f>
        <v>https://review.opendev.org/c/openstack/nova/+/26113</v>
      </c>
      <c r="D539" s="114"/>
      <c r="E539" s="114"/>
      <c r="F539" s="115"/>
      <c r="G539" s="16" t="s">
        <v>1417</v>
      </c>
      <c r="H539" s="16" t="s">
        <v>2110</v>
      </c>
      <c r="I539" s="82"/>
      <c r="J539" s="92"/>
      <c r="K539" s="82"/>
      <c r="M539" s="114" t="str">
        <f>VLOOKUP(A539,'BIC_(C_Variables)'!$A$3:$AS$43,45,FALSE())</f>
        <v>x_partial files NO V3</v>
      </c>
      <c r="N539" s="1"/>
      <c r="O539" s="1"/>
      <c r="P539" s="81" t="str">
        <f>IFERROR(VLOOKUP(A539,Internal_lists_bugs!$A$2:$G7981,7,FALSE()),"please select a BUG ID")</f>
        <v>https://opendev.org/openstack/nova/commit/1b2c121f133b1</v>
      </c>
    </row>
    <row r="540">
      <c r="A540" s="16" t="s">
        <v>45</v>
      </c>
      <c r="B540" s="50" t="str">
        <f>IFERROR(HYPERLINK(VLOOKUP(A540,Internal_lists_bugs!$A$2:$C$73,3,FALSE()), VLOOKUP(A540,Internal_lists_bugs!$A$2:$C$73,3,FALSE())&amp;Char(10) &amp; Char(10) &amp; VLOOKUP(A540,Internal_lists_bugs!$A$2:$Z$73,26,FALSE())),"please select a BUG ID")</f>
        <v>https://bugs.launchpad.net/nova/+bug/1437855
/contrib/floating_ips.py
/v3/floating_ips.py </v>
      </c>
      <c r="C540" s="81" t="str">
        <f>IFERROR(VLOOKUP(A540,Internal_lists_bugs!$A$2:$I7981,9,FALSE()),"please select a BUG ID")</f>
        <v>https://review.opendev.org/c/openstack/nova/+/26113</v>
      </c>
      <c r="D540" s="114"/>
      <c r="E540" s="114"/>
      <c r="F540" s="115"/>
      <c r="G540" s="16" t="s">
        <v>1921</v>
      </c>
      <c r="H540" s="16" t="s">
        <v>2111</v>
      </c>
      <c r="I540" s="82"/>
      <c r="J540" s="92"/>
      <c r="K540" s="82"/>
      <c r="M540" s="114" t="str">
        <f>VLOOKUP(A540,'BIC_(C_Variables)'!$A$3:$AS$43,45,FALSE())</f>
        <v>x_partial files NO V3</v>
      </c>
      <c r="N540" s="1"/>
      <c r="O540" s="1"/>
      <c r="P540" s="81" t="str">
        <f>IFERROR(VLOOKUP(A540,Internal_lists_bugs!$A$2:$G7981,7,FALSE()),"please select a BUG ID")</f>
        <v>https://opendev.org/openstack/nova/commit/1b2c121f133b1</v>
      </c>
    </row>
    <row r="541">
      <c r="A541" s="16" t="s">
        <v>45</v>
      </c>
      <c r="B541" s="50" t="str">
        <f>IFERROR(HYPERLINK(VLOOKUP(A541,Internal_lists_bugs!$A$2:$C$73,3,FALSE()), VLOOKUP(A541,Internal_lists_bugs!$A$2:$C$73,3,FALSE())&amp;Char(10) &amp; Char(10) &amp; VLOOKUP(A541,Internal_lists_bugs!$A$2:$Z$73,26,FALSE())),"please select a BUG ID")</f>
        <v>https://bugs.launchpad.net/nova/+bug/1437855
/contrib/floating_ips.py
/v3/floating_ips.py </v>
      </c>
      <c r="C541" s="81" t="str">
        <f>IFERROR(VLOOKUP(A541,Internal_lists_bugs!$A$2:$I7981,9,FALSE()),"please select a BUG ID")</f>
        <v>https://review.opendev.org/c/openstack/nova/+/26113</v>
      </c>
      <c r="D541" s="114"/>
      <c r="E541" s="114"/>
      <c r="F541" s="115"/>
      <c r="G541" s="16" t="s">
        <v>2112</v>
      </c>
      <c r="H541" s="16" t="s">
        <v>2113</v>
      </c>
      <c r="I541" s="82"/>
      <c r="J541" s="92"/>
      <c r="K541" s="82"/>
      <c r="M541" s="114" t="str">
        <f>VLOOKUP(A541,'BIC_(C_Variables)'!$A$3:$AS$43,45,FALSE())</f>
        <v>x_partial files NO V3</v>
      </c>
      <c r="N541" s="1"/>
      <c r="O541" s="1"/>
      <c r="P541" s="81" t="str">
        <f>IFERROR(VLOOKUP(A541,Internal_lists_bugs!$A$2:$G7981,7,FALSE()),"please select a BUG ID")</f>
        <v>https://opendev.org/openstack/nova/commit/1b2c121f133b1</v>
      </c>
    </row>
    <row r="542">
      <c r="A542" s="16" t="s">
        <v>45</v>
      </c>
      <c r="B542" s="50" t="str">
        <f>IFERROR(HYPERLINK(VLOOKUP(A542,Internal_lists_bugs!$A$2:$C$73,3,FALSE()), VLOOKUP(A542,Internal_lists_bugs!$A$2:$C$73,3,FALSE())&amp;Char(10) &amp; Char(10) &amp; VLOOKUP(A542,Internal_lists_bugs!$A$2:$Z$73,26,FALSE())),"please select a BUG ID")</f>
        <v>https://bugs.launchpad.net/nova/+bug/1437855
/contrib/floating_ips.py
/v3/floating_ips.py </v>
      </c>
      <c r="C542" s="81" t="str">
        <f>IFERROR(VLOOKUP(A542,Internal_lists_bugs!$A$2:$I7981,9,FALSE()),"please select a BUG ID")</f>
        <v>https://review.opendev.org/c/openstack/nova/+/26113</v>
      </c>
      <c r="D542" s="114"/>
      <c r="E542" s="114"/>
      <c r="F542" s="115"/>
      <c r="G542" s="16" t="s">
        <v>2114</v>
      </c>
      <c r="H542" s="16" t="s">
        <v>2115</v>
      </c>
      <c r="I542" s="82"/>
      <c r="J542" s="92"/>
      <c r="K542" s="82"/>
      <c r="M542" s="114" t="str">
        <f>VLOOKUP(A542,'BIC_(C_Variables)'!$A$3:$AS$43,45,FALSE())</f>
        <v>x_partial files NO V3</v>
      </c>
      <c r="N542" s="1"/>
      <c r="O542" s="1"/>
      <c r="P542" s="81" t="str">
        <f>IFERROR(VLOOKUP(A542,Internal_lists_bugs!$A$2:$G7981,7,FALSE()),"please select a BUG ID")</f>
        <v>https://opendev.org/openstack/nova/commit/1b2c121f133b1</v>
      </c>
    </row>
    <row r="543">
      <c r="A543" s="16" t="s">
        <v>45</v>
      </c>
      <c r="B543" s="50" t="str">
        <f>IFERROR(HYPERLINK(VLOOKUP(A543,Internal_lists_bugs!$A$2:$C$73,3,FALSE()), VLOOKUP(A543,Internal_lists_bugs!$A$2:$C$73,3,FALSE())&amp;Char(10) &amp; Char(10) &amp; VLOOKUP(A543,Internal_lists_bugs!$A$2:$Z$73,26,FALSE())),"please select a BUG ID")</f>
        <v>https://bugs.launchpad.net/nova/+bug/1437855
/contrib/floating_ips.py
/v3/floating_ips.py </v>
      </c>
      <c r="C543" s="81" t="str">
        <f>IFERROR(VLOOKUP(A543,Internal_lists_bugs!$A$2:$I7981,9,FALSE()),"please select a BUG ID")</f>
        <v>https://review.opendev.org/c/openstack/nova/+/26113</v>
      </c>
      <c r="D543" s="114"/>
      <c r="E543" s="114"/>
      <c r="F543" s="115"/>
      <c r="G543" s="16" t="s">
        <v>1428</v>
      </c>
      <c r="H543" s="16" t="s">
        <v>2116</v>
      </c>
      <c r="I543" s="82"/>
      <c r="J543" s="92"/>
      <c r="K543" s="82"/>
      <c r="M543" s="114" t="str">
        <f>VLOOKUP(A543,'BIC_(C_Variables)'!$A$3:$AS$43,45,FALSE())</f>
        <v>x_partial files NO V3</v>
      </c>
      <c r="N543" s="1"/>
      <c r="O543" s="1"/>
      <c r="P543" s="81" t="str">
        <f>IFERROR(VLOOKUP(A543,Internal_lists_bugs!$A$2:$G7981,7,FALSE()),"please select a BUG ID")</f>
        <v>https://opendev.org/openstack/nova/commit/1b2c121f133b1</v>
      </c>
    </row>
    <row r="544">
      <c r="A544" s="16" t="s">
        <v>45</v>
      </c>
      <c r="B544" s="50" t="str">
        <f>IFERROR(HYPERLINK(VLOOKUP(A544,Internal_lists_bugs!$A$2:$C$73,3,FALSE()), VLOOKUP(A544,Internal_lists_bugs!$A$2:$C$73,3,FALSE())&amp;Char(10) &amp; Char(10) &amp; VLOOKUP(A544,Internal_lists_bugs!$A$2:$Z$73,26,FALSE())),"please select a BUG ID")</f>
        <v>https://bugs.launchpad.net/nova/+bug/1437855
/contrib/floating_ips.py
/v3/floating_ips.py </v>
      </c>
      <c r="C544" s="81" t="str">
        <f>IFERROR(VLOOKUP(A544,Internal_lists_bugs!$A$2:$I7981,9,FALSE()),"please select a BUG ID")</f>
        <v>https://review.opendev.org/c/openstack/nova/+/26113</v>
      </c>
      <c r="D544" s="114"/>
      <c r="E544" s="114"/>
      <c r="F544" s="115"/>
      <c r="G544" s="16" t="s">
        <v>2117</v>
      </c>
      <c r="H544" s="16" t="s">
        <v>2118</v>
      </c>
      <c r="I544" s="82"/>
      <c r="J544" s="92"/>
      <c r="K544" s="82"/>
      <c r="M544" s="114" t="str">
        <f>VLOOKUP(A544,'BIC_(C_Variables)'!$A$3:$AS$43,45,FALSE())</f>
        <v>x_partial files NO V3</v>
      </c>
      <c r="N544" s="1"/>
      <c r="O544" s="1"/>
      <c r="P544" s="81" t="str">
        <f>IFERROR(VLOOKUP(A544,Internal_lists_bugs!$A$2:$G7981,7,FALSE()),"please select a BUG ID")</f>
        <v>https://opendev.org/openstack/nova/commit/1b2c121f133b1</v>
      </c>
    </row>
    <row r="545">
      <c r="A545" s="16" t="s">
        <v>45</v>
      </c>
      <c r="B545" s="50" t="str">
        <f>IFERROR(HYPERLINK(VLOOKUP(A545,Internal_lists_bugs!$A$2:$C$73,3,FALSE()), VLOOKUP(A545,Internal_lists_bugs!$A$2:$C$73,3,FALSE())&amp;Char(10) &amp; Char(10) &amp; VLOOKUP(A545,Internal_lists_bugs!$A$2:$Z$73,26,FALSE())),"please select a BUG ID")</f>
        <v>https://bugs.launchpad.net/nova/+bug/1437855
/contrib/floating_ips.py
/v3/floating_ips.py </v>
      </c>
      <c r="C545" s="81" t="str">
        <f>IFERROR(VLOOKUP(A545,Internal_lists_bugs!$A$2:$I7981,9,FALSE()),"please select a BUG ID")</f>
        <v>https://review.opendev.org/c/openstack/nova/+/26113</v>
      </c>
      <c r="D545" s="114"/>
      <c r="E545" s="114"/>
      <c r="F545" s="115"/>
      <c r="G545" s="16" t="s">
        <v>2119</v>
      </c>
      <c r="H545" s="16" t="s">
        <v>2120</v>
      </c>
      <c r="I545" s="82"/>
      <c r="J545" s="92"/>
      <c r="K545" s="82"/>
      <c r="M545" s="114" t="str">
        <f>VLOOKUP(A545,'BIC_(C_Variables)'!$A$3:$AS$43,45,FALSE())</f>
        <v>x_partial files NO V3</v>
      </c>
      <c r="N545" s="1"/>
      <c r="O545" s="1"/>
      <c r="P545" s="81" t="str">
        <f>IFERROR(VLOOKUP(A545,Internal_lists_bugs!$A$2:$G7981,7,FALSE()),"please select a BUG ID")</f>
        <v>https://opendev.org/openstack/nova/commit/1b2c121f133b1</v>
      </c>
    </row>
    <row r="546">
      <c r="A546" s="16" t="s">
        <v>45</v>
      </c>
      <c r="B546" s="50" t="str">
        <f>IFERROR(HYPERLINK(VLOOKUP(A546,Internal_lists_bugs!$A$2:$C$73,3,FALSE()), VLOOKUP(A546,Internal_lists_bugs!$A$2:$C$73,3,FALSE())&amp;Char(10) &amp; Char(10) &amp; VLOOKUP(A546,Internal_lists_bugs!$A$2:$Z$73,26,FALSE())),"please select a BUG ID")</f>
        <v>https://bugs.launchpad.net/nova/+bug/1437855
/contrib/floating_ips.py
/v3/floating_ips.py </v>
      </c>
      <c r="C546" s="81" t="str">
        <f>IFERROR(VLOOKUP(A546,Internal_lists_bugs!$A$2:$I7981,9,FALSE()),"please select a BUG ID")</f>
        <v>https://review.opendev.org/c/openstack/nova/+/26113</v>
      </c>
      <c r="D546" s="114"/>
      <c r="E546" s="114"/>
      <c r="F546" s="115"/>
      <c r="G546" s="16" t="s">
        <v>1425</v>
      </c>
      <c r="H546" s="16" t="s">
        <v>2121</v>
      </c>
      <c r="I546" s="82"/>
      <c r="J546" s="92"/>
      <c r="K546" s="82"/>
      <c r="M546" s="114" t="str">
        <f>VLOOKUP(A546,'BIC_(C_Variables)'!$A$3:$AS$43,45,FALSE())</f>
        <v>x_partial files NO V3</v>
      </c>
      <c r="N546" s="1"/>
      <c r="O546" s="1"/>
      <c r="P546" s="81" t="str">
        <f>IFERROR(VLOOKUP(A546,Internal_lists_bugs!$A$2:$G7981,7,FALSE()),"please select a BUG ID")</f>
        <v>https://opendev.org/openstack/nova/commit/1b2c121f133b1</v>
      </c>
    </row>
    <row r="547">
      <c r="A547" s="16" t="s">
        <v>45</v>
      </c>
      <c r="B547" s="50" t="str">
        <f>IFERROR(HYPERLINK(VLOOKUP(A547,Internal_lists_bugs!$A$2:$C$73,3,FALSE()), VLOOKUP(A547,Internal_lists_bugs!$A$2:$C$73,3,FALSE())&amp;Char(10) &amp; Char(10) &amp; VLOOKUP(A547,Internal_lists_bugs!$A$2:$Z$73,26,FALSE())),"please select a BUG ID")</f>
        <v>https://bugs.launchpad.net/nova/+bug/1437855
/contrib/floating_ips.py
/v3/floating_ips.py </v>
      </c>
      <c r="C547" s="81" t="str">
        <f>IFERROR(VLOOKUP(A547,Internal_lists_bugs!$A$2:$I7981,9,FALSE()),"please select a BUG ID")</f>
        <v>https://review.opendev.org/c/openstack/nova/+/26113</v>
      </c>
      <c r="D547" s="114"/>
      <c r="E547" s="114"/>
      <c r="F547" s="115"/>
      <c r="G547" s="16" t="s">
        <v>1478</v>
      </c>
      <c r="H547" s="16" t="s">
        <v>2121</v>
      </c>
      <c r="I547" s="82"/>
      <c r="J547" s="92"/>
      <c r="K547" s="82"/>
      <c r="M547" s="114" t="str">
        <f>VLOOKUP(A547,'BIC_(C_Variables)'!$A$3:$AS$43,45,FALSE())</f>
        <v>x_partial files NO V3</v>
      </c>
      <c r="N547" s="1"/>
      <c r="O547" s="1"/>
      <c r="P547" s="81" t="str">
        <f>IFERROR(VLOOKUP(A547,Internal_lists_bugs!$A$2:$G7981,7,FALSE()),"please select a BUG ID")</f>
        <v>https://opendev.org/openstack/nova/commit/1b2c121f133b1</v>
      </c>
    </row>
    <row r="548">
      <c r="A548" s="16" t="s">
        <v>45</v>
      </c>
      <c r="B548" s="50" t="str">
        <f>IFERROR(HYPERLINK(VLOOKUP(A548,Internal_lists_bugs!$A$2:$C$73,3,FALSE()), VLOOKUP(A548,Internal_lists_bugs!$A$2:$C$73,3,FALSE())&amp;Char(10) &amp; Char(10) &amp; VLOOKUP(A548,Internal_lists_bugs!$A$2:$Z$73,26,FALSE())),"please select a BUG ID")</f>
        <v>https://bugs.launchpad.net/nova/+bug/1437855
/contrib/floating_ips.py
/v3/floating_ips.py </v>
      </c>
      <c r="C548" s="81" t="str">
        <f>IFERROR(VLOOKUP(A548,Internal_lists_bugs!$A$2:$I7981,9,FALSE()),"please select a BUG ID")</f>
        <v>https://review.opendev.org/c/openstack/nova/+/26113</v>
      </c>
      <c r="D548" s="114"/>
      <c r="E548" s="114"/>
      <c r="F548" s="115"/>
      <c r="G548" s="16" t="s">
        <v>2122</v>
      </c>
      <c r="H548" s="16" t="s">
        <v>2123</v>
      </c>
      <c r="I548" s="82"/>
      <c r="J548" s="92"/>
      <c r="K548" s="82"/>
      <c r="M548" s="114" t="str">
        <f>VLOOKUP(A548,'BIC_(C_Variables)'!$A$3:$AS$43,45,FALSE())</f>
        <v>x_partial files NO V3</v>
      </c>
      <c r="N548" s="1"/>
      <c r="O548" s="1"/>
      <c r="P548" s="81" t="str">
        <f>IFERROR(VLOOKUP(A548,Internal_lists_bugs!$A$2:$G7981,7,FALSE()),"please select a BUG ID")</f>
        <v>https://opendev.org/openstack/nova/commit/1b2c121f133b1</v>
      </c>
    </row>
    <row r="549">
      <c r="A549" s="16" t="s">
        <v>45</v>
      </c>
      <c r="B549" s="50" t="str">
        <f>IFERROR(HYPERLINK(VLOOKUP(A549,Internal_lists_bugs!$A$2:$C$73,3,FALSE()), VLOOKUP(A549,Internal_lists_bugs!$A$2:$C$73,3,FALSE())&amp;Char(10) &amp; Char(10) &amp; VLOOKUP(A549,Internal_lists_bugs!$A$2:$Z$73,26,FALSE())),"please select a BUG ID")</f>
        <v>https://bugs.launchpad.net/nova/+bug/1437855
/contrib/floating_ips.py
/v3/floating_ips.py </v>
      </c>
      <c r="C549" s="81" t="str">
        <f>IFERROR(VLOOKUP(A549,Internal_lists_bugs!$A$2:$I7981,9,FALSE()),"please select a BUG ID")</f>
        <v>https://review.opendev.org/c/openstack/nova/+/26113</v>
      </c>
      <c r="D549" s="114"/>
      <c r="E549" s="114"/>
      <c r="F549" s="115"/>
      <c r="G549" s="16" t="s">
        <v>2124</v>
      </c>
      <c r="H549" s="16" t="s">
        <v>2125</v>
      </c>
      <c r="I549" s="82"/>
      <c r="J549" s="92"/>
      <c r="K549" s="82"/>
      <c r="M549" s="114" t="str">
        <f>VLOOKUP(A549,'BIC_(C_Variables)'!$A$3:$AS$43,45,FALSE())</f>
        <v>x_partial files NO V3</v>
      </c>
      <c r="N549" s="1"/>
      <c r="O549" s="1"/>
      <c r="P549" s="81" t="str">
        <f>IFERROR(VLOOKUP(A549,Internal_lists_bugs!$A$2:$G7981,7,FALSE()),"please select a BUG ID")</f>
        <v>https://opendev.org/openstack/nova/commit/1b2c121f133b1</v>
      </c>
    </row>
    <row r="550">
      <c r="A550" s="16" t="s">
        <v>45</v>
      </c>
      <c r="B550" s="50" t="str">
        <f>IFERROR(HYPERLINK(VLOOKUP(A550,Internal_lists_bugs!$A$2:$C$73,3,FALSE()), VLOOKUP(A550,Internal_lists_bugs!$A$2:$C$73,3,FALSE())&amp;Char(10) &amp; Char(10) &amp; VLOOKUP(A550,Internal_lists_bugs!$A$2:$Z$73,26,FALSE())),"please select a BUG ID")</f>
        <v>https://bugs.launchpad.net/nova/+bug/1437855
/contrib/floating_ips.py
/v3/floating_ips.py </v>
      </c>
      <c r="C550" s="81" t="str">
        <f>IFERROR(VLOOKUP(A550,Internal_lists_bugs!$A$2:$I7981,9,FALSE()),"please select a BUG ID")</f>
        <v>https://review.opendev.org/c/openstack/nova/+/26113</v>
      </c>
      <c r="D550" s="114"/>
      <c r="E550" s="114"/>
      <c r="F550" s="115"/>
      <c r="G550" s="16" t="s">
        <v>1690</v>
      </c>
      <c r="H550" s="16" t="s">
        <v>2126</v>
      </c>
      <c r="I550" s="82"/>
      <c r="J550" s="92"/>
      <c r="K550" s="82"/>
      <c r="M550" s="114" t="str">
        <f>VLOOKUP(A550,'BIC_(C_Variables)'!$A$3:$AS$43,45,FALSE())</f>
        <v>x_partial files NO V3</v>
      </c>
      <c r="N550" s="1"/>
      <c r="O550" s="1"/>
      <c r="P550" s="81" t="str">
        <f>IFERROR(VLOOKUP(A550,Internal_lists_bugs!$A$2:$G7981,7,FALSE()),"please select a BUG ID")</f>
        <v>https://opendev.org/openstack/nova/commit/1b2c121f133b1</v>
      </c>
    </row>
    <row r="551">
      <c r="A551" s="16" t="s">
        <v>45</v>
      </c>
      <c r="B551" s="50" t="str">
        <f>IFERROR(HYPERLINK(VLOOKUP(A551,Internal_lists_bugs!$A$2:$C$73,3,FALSE()), VLOOKUP(A551,Internal_lists_bugs!$A$2:$C$73,3,FALSE())&amp;Char(10) &amp; Char(10) &amp; VLOOKUP(A551,Internal_lists_bugs!$A$2:$Z$73,26,FALSE())),"please select a BUG ID")</f>
        <v>https://bugs.launchpad.net/nova/+bug/1437855
/contrib/floating_ips.py
/v3/floating_ips.py </v>
      </c>
      <c r="C551" s="81" t="str">
        <f>IFERROR(VLOOKUP(A551,Internal_lists_bugs!$A$2:$I7981,9,FALSE()),"please select a BUG ID")</f>
        <v>https://review.opendev.org/c/openstack/nova/+/26113</v>
      </c>
      <c r="D551" s="114"/>
      <c r="E551" s="114"/>
      <c r="F551" s="115"/>
      <c r="G551" s="16" t="s">
        <v>1474</v>
      </c>
      <c r="H551" s="16" t="s">
        <v>2127</v>
      </c>
      <c r="I551" s="82"/>
      <c r="J551" s="92"/>
      <c r="K551" s="82"/>
      <c r="M551" s="114" t="str">
        <f>VLOOKUP(A551,'BIC_(C_Variables)'!$A$3:$AS$43,45,FALSE())</f>
        <v>x_partial files NO V3</v>
      </c>
      <c r="N551" s="1"/>
      <c r="O551" s="1"/>
      <c r="P551" s="81" t="str">
        <f>IFERROR(VLOOKUP(A551,Internal_lists_bugs!$A$2:$G7981,7,FALSE()),"please select a BUG ID")</f>
        <v>https://opendev.org/openstack/nova/commit/1b2c121f133b1</v>
      </c>
    </row>
    <row r="552">
      <c r="A552" s="16" t="s">
        <v>45</v>
      </c>
      <c r="B552" s="50" t="str">
        <f>IFERROR(HYPERLINK(VLOOKUP(A552,Internal_lists_bugs!$A$2:$C$73,3,FALSE()), VLOOKUP(A552,Internal_lists_bugs!$A$2:$C$73,3,FALSE())&amp;Char(10) &amp; Char(10) &amp; VLOOKUP(A552,Internal_lists_bugs!$A$2:$Z$73,26,FALSE())),"please select a BUG ID")</f>
        <v>https://bugs.launchpad.net/nova/+bug/1437855
/contrib/floating_ips.py
/v3/floating_ips.py </v>
      </c>
      <c r="C552" s="81" t="str">
        <f>IFERROR(VLOOKUP(A552,Internal_lists_bugs!$A$2:$I7981,9,FALSE()),"please select a BUG ID")</f>
        <v>https://review.opendev.org/c/openstack/nova/+/26113</v>
      </c>
      <c r="D552" s="114"/>
      <c r="E552" s="114"/>
      <c r="F552" s="115"/>
      <c r="G552" s="16" t="s">
        <v>1793</v>
      </c>
      <c r="H552" s="16" t="s">
        <v>2128</v>
      </c>
      <c r="I552" s="82"/>
      <c r="J552" s="92"/>
      <c r="K552" s="82"/>
      <c r="M552" s="114" t="str">
        <f>VLOOKUP(A552,'BIC_(C_Variables)'!$A$3:$AS$43,45,FALSE())</f>
        <v>x_partial files NO V3</v>
      </c>
      <c r="N552" s="1"/>
      <c r="O552" s="1"/>
      <c r="P552" s="81" t="str">
        <f>IFERROR(VLOOKUP(A552,Internal_lists_bugs!$A$2:$G7981,7,FALSE()),"please select a BUG ID")</f>
        <v>https://opendev.org/openstack/nova/commit/1b2c121f133b1</v>
      </c>
    </row>
    <row r="553">
      <c r="A553" s="16" t="s">
        <v>45</v>
      </c>
      <c r="B553" s="50" t="str">
        <f>IFERROR(HYPERLINK(VLOOKUP(A553,Internal_lists_bugs!$A$2:$C$73,3,FALSE()), VLOOKUP(A553,Internal_lists_bugs!$A$2:$C$73,3,FALSE())&amp;Char(10) &amp; Char(10) &amp; VLOOKUP(A553,Internal_lists_bugs!$A$2:$Z$73,26,FALSE())),"please select a BUG ID")</f>
        <v>https://bugs.launchpad.net/nova/+bug/1437855
/contrib/floating_ips.py
/v3/floating_ips.py </v>
      </c>
      <c r="C553" s="81" t="str">
        <f>IFERROR(VLOOKUP(A553,Internal_lists_bugs!$A$2:$I7981,9,FALSE()),"please select a BUG ID")</f>
        <v>https://review.opendev.org/c/openstack/nova/+/26113</v>
      </c>
      <c r="D553" s="114"/>
      <c r="E553" s="114"/>
      <c r="F553" s="115"/>
      <c r="G553" s="16" t="s">
        <v>1586</v>
      </c>
      <c r="H553" s="16" t="s">
        <v>2129</v>
      </c>
      <c r="I553" s="82"/>
      <c r="J553" s="92"/>
      <c r="K553" s="82"/>
      <c r="M553" s="114" t="str">
        <f>VLOOKUP(A553,'BIC_(C_Variables)'!$A$3:$AS$43,45,FALSE())</f>
        <v>x_partial files NO V3</v>
      </c>
      <c r="N553" s="1"/>
      <c r="O553" s="1"/>
      <c r="P553" s="81" t="str">
        <f>IFERROR(VLOOKUP(A553,Internal_lists_bugs!$A$2:$G7981,7,FALSE()),"please select a BUG ID")</f>
        <v>https://opendev.org/openstack/nova/commit/1b2c121f133b1</v>
      </c>
    </row>
    <row r="554">
      <c r="A554" s="16" t="s">
        <v>45</v>
      </c>
      <c r="B554" s="50" t="str">
        <f>IFERROR(HYPERLINK(VLOOKUP(A554,Internal_lists_bugs!$A$2:$C$73,3,FALSE()), VLOOKUP(A554,Internal_lists_bugs!$A$2:$C$73,3,FALSE())&amp;Char(10) &amp; Char(10) &amp; VLOOKUP(A554,Internal_lists_bugs!$A$2:$Z$73,26,FALSE())),"please select a BUG ID")</f>
        <v>https://bugs.launchpad.net/nova/+bug/1437855
/contrib/floating_ips.py
/v3/floating_ips.py </v>
      </c>
      <c r="C554" s="81" t="str">
        <f>IFERROR(VLOOKUP(A554,Internal_lists_bugs!$A$2:$I7981,9,FALSE()),"please select a BUG ID")</f>
        <v>https://review.opendev.org/c/openstack/nova/+/26113</v>
      </c>
      <c r="D554" s="114"/>
      <c r="E554" s="114"/>
      <c r="F554" s="115"/>
      <c r="G554" s="16" t="s">
        <v>2130</v>
      </c>
      <c r="H554" s="16" t="s">
        <v>2131</v>
      </c>
      <c r="I554" s="82"/>
      <c r="J554" s="92"/>
      <c r="K554" s="82"/>
      <c r="M554" s="114" t="str">
        <f>VLOOKUP(A554,'BIC_(C_Variables)'!$A$3:$AS$43,45,FALSE())</f>
        <v>x_partial files NO V3</v>
      </c>
      <c r="N554" s="1"/>
      <c r="O554" s="1"/>
      <c r="P554" s="81" t="str">
        <f>IFERROR(VLOOKUP(A554,Internal_lists_bugs!$A$2:$G7981,7,FALSE()),"please select a BUG ID")</f>
        <v>https://opendev.org/openstack/nova/commit/1b2c121f133b1</v>
      </c>
    </row>
    <row r="555">
      <c r="A555" s="16" t="s">
        <v>45</v>
      </c>
      <c r="B555" s="50" t="str">
        <f>IFERROR(HYPERLINK(VLOOKUP(A555,Internal_lists_bugs!$A$2:$C$73,3,FALSE()), VLOOKUP(A555,Internal_lists_bugs!$A$2:$C$73,3,FALSE())&amp;Char(10) &amp; Char(10) &amp; VLOOKUP(A555,Internal_lists_bugs!$A$2:$Z$73,26,FALSE())),"please select a BUG ID")</f>
        <v>https://bugs.launchpad.net/nova/+bug/1437855
/contrib/floating_ips.py
/v3/floating_ips.py </v>
      </c>
      <c r="C555" s="81" t="str">
        <f>IFERROR(VLOOKUP(A555,Internal_lists_bugs!$A$2:$I7981,9,FALSE()),"please select a BUG ID")</f>
        <v>https://review.opendev.org/c/openstack/nova/+/26113</v>
      </c>
      <c r="D555" s="114"/>
      <c r="E555" s="114"/>
      <c r="F555" s="115"/>
      <c r="G555" s="16" t="s">
        <v>2124</v>
      </c>
      <c r="H555" s="16" t="s">
        <v>2132</v>
      </c>
      <c r="I555" s="82"/>
      <c r="J555" s="92"/>
      <c r="K555" s="82"/>
      <c r="M555" s="114" t="str">
        <f>VLOOKUP(A555,'BIC_(C_Variables)'!$A$3:$AS$43,45,FALSE())</f>
        <v>x_partial files NO V3</v>
      </c>
      <c r="N555" s="1"/>
      <c r="O555" s="1"/>
      <c r="P555" s="81" t="str">
        <f>IFERROR(VLOOKUP(A555,Internal_lists_bugs!$A$2:$G7981,7,FALSE()),"please select a BUG ID")</f>
        <v>https://opendev.org/openstack/nova/commit/1b2c121f133b1</v>
      </c>
    </row>
    <row r="556">
      <c r="A556" s="16" t="s">
        <v>45</v>
      </c>
      <c r="B556" s="50" t="str">
        <f>IFERROR(HYPERLINK(VLOOKUP(A556,Internal_lists_bugs!$A$2:$C$73,3,FALSE()), VLOOKUP(A556,Internal_lists_bugs!$A$2:$C$73,3,FALSE())&amp;Char(10) &amp; Char(10) &amp; VLOOKUP(A556,Internal_lists_bugs!$A$2:$Z$73,26,FALSE())),"please select a BUG ID")</f>
        <v>https://bugs.launchpad.net/nova/+bug/1437855
/contrib/floating_ips.py
/v3/floating_ips.py </v>
      </c>
      <c r="C556" s="81" t="str">
        <f>IFERROR(VLOOKUP(A556,Internal_lists_bugs!$A$2:$I7981,9,FALSE()),"please select a BUG ID")</f>
        <v>https://review.opendev.org/c/openstack/nova/+/26113</v>
      </c>
      <c r="D556" s="114"/>
      <c r="E556" s="114"/>
      <c r="F556" s="115"/>
      <c r="G556" s="16" t="s">
        <v>1750</v>
      </c>
      <c r="H556" s="16" t="s">
        <v>2133</v>
      </c>
      <c r="I556" s="82"/>
      <c r="J556" s="92"/>
      <c r="K556" s="82"/>
      <c r="M556" s="114" t="str">
        <f>VLOOKUP(A556,'BIC_(C_Variables)'!$A$3:$AS$43,45,FALSE())</f>
        <v>x_partial files NO V3</v>
      </c>
      <c r="N556" s="1"/>
      <c r="O556" s="1"/>
      <c r="P556" s="81" t="str">
        <f>IFERROR(VLOOKUP(A556,Internal_lists_bugs!$A$2:$G7981,7,FALSE()),"please select a BUG ID")</f>
        <v>https://opendev.org/openstack/nova/commit/1b2c121f133b1</v>
      </c>
    </row>
    <row r="557">
      <c r="A557" s="16" t="s">
        <v>45</v>
      </c>
      <c r="B557" s="50" t="str">
        <f>IFERROR(HYPERLINK(VLOOKUP(A557,Internal_lists_bugs!$A$2:$C$73,3,FALSE()), VLOOKUP(A557,Internal_lists_bugs!$A$2:$C$73,3,FALSE())&amp;Char(10) &amp; Char(10) &amp; VLOOKUP(A557,Internal_lists_bugs!$A$2:$Z$73,26,FALSE())),"please select a BUG ID")</f>
        <v>https://bugs.launchpad.net/nova/+bug/1437855
/contrib/floating_ips.py
/v3/floating_ips.py </v>
      </c>
      <c r="C557" s="81" t="str">
        <f>IFERROR(VLOOKUP(A557,Internal_lists_bugs!$A$2:$I7981,9,FALSE()),"please select a BUG ID")</f>
        <v>https://review.opendev.org/c/openstack/nova/+/26113</v>
      </c>
      <c r="D557" s="114"/>
      <c r="E557" s="114"/>
      <c r="F557" s="115"/>
      <c r="G557" s="16" t="s">
        <v>2134</v>
      </c>
      <c r="H557" s="16" t="s">
        <v>2135</v>
      </c>
      <c r="I557" s="82"/>
      <c r="J557" s="92"/>
      <c r="K557" s="82"/>
      <c r="M557" s="114" t="str">
        <f>VLOOKUP(A557,'BIC_(C_Variables)'!$A$3:$AS$43,45,FALSE())</f>
        <v>x_partial files NO V3</v>
      </c>
      <c r="N557" s="1"/>
      <c r="O557" s="1"/>
      <c r="P557" s="81" t="str">
        <f>IFERROR(VLOOKUP(A557,Internal_lists_bugs!$A$2:$G7981,7,FALSE()),"please select a BUG ID")</f>
        <v>https://opendev.org/openstack/nova/commit/1b2c121f133b1</v>
      </c>
    </row>
    <row r="558">
      <c r="A558" s="16" t="s">
        <v>45</v>
      </c>
      <c r="B558" s="50" t="str">
        <f>IFERROR(HYPERLINK(VLOOKUP(A558,Internal_lists_bugs!$A$2:$C$73,3,FALSE()), VLOOKUP(A558,Internal_lists_bugs!$A$2:$C$73,3,FALSE())&amp;Char(10) &amp; Char(10) &amp; VLOOKUP(A558,Internal_lists_bugs!$A$2:$Z$73,26,FALSE())),"please select a BUG ID")</f>
        <v>https://bugs.launchpad.net/nova/+bug/1437855
/contrib/floating_ips.py
/v3/floating_ips.py </v>
      </c>
      <c r="C558" s="81" t="str">
        <f>IFERROR(VLOOKUP(A558,Internal_lists_bugs!$A$2:$I7981,9,FALSE()),"please select a BUG ID")</f>
        <v>https://review.opendev.org/c/openstack/nova/+/26113</v>
      </c>
      <c r="D558" s="114"/>
      <c r="E558" s="114"/>
      <c r="F558" s="115"/>
      <c r="G558" s="16" t="s">
        <v>1443</v>
      </c>
      <c r="H558" s="16" t="s">
        <v>2136</v>
      </c>
      <c r="I558" s="82"/>
      <c r="J558" s="92"/>
      <c r="K558" s="82"/>
      <c r="M558" s="114" t="str">
        <f>VLOOKUP(A558,'BIC_(C_Variables)'!$A$3:$AS$43,45,FALSE())</f>
        <v>x_partial files NO V3</v>
      </c>
      <c r="N558" s="1"/>
      <c r="O558" s="1"/>
      <c r="P558" s="81" t="str">
        <f>IFERROR(VLOOKUP(A558,Internal_lists_bugs!$A$2:$G7981,7,FALSE()),"please select a BUG ID")</f>
        <v>https://opendev.org/openstack/nova/commit/1b2c121f133b1</v>
      </c>
    </row>
    <row r="559">
      <c r="A559" s="16" t="s">
        <v>45</v>
      </c>
      <c r="B559" s="50" t="str">
        <f>IFERROR(HYPERLINK(VLOOKUP(A559,Internal_lists_bugs!$A$2:$C$73,3,FALSE()), VLOOKUP(A559,Internal_lists_bugs!$A$2:$C$73,3,FALSE())&amp;Char(10) &amp; Char(10) &amp; VLOOKUP(A559,Internal_lists_bugs!$A$2:$Z$73,26,FALSE())),"please select a BUG ID")</f>
        <v>https://bugs.launchpad.net/nova/+bug/1437855
/contrib/floating_ips.py
/v3/floating_ips.py </v>
      </c>
      <c r="C559" s="81" t="str">
        <f>IFERROR(VLOOKUP(A559,Internal_lists_bugs!$A$2:$I7981,9,FALSE()),"please select a BUG ID")</f>
        <v>https://review.opendev.org/c/openstack/nova/+/26113</v>
      </c>
      <c r="D559" s="114"/>
      <c r="E559" s="114"/>
      <c r="F559" s="115"/>
      <c r="G559" s="16" t="s">
        <v>1427</v>
      </c>
      <c r="H559" s="16" t="s">
        <v>2136</v>
      </c>
      <c r="I559" s="82"/>
      <c r="J559" s="92"/>
      <c r="K559" s="82"/>
      <c r="M559" s="114" t="str">
        <f>VLOOKUP(A559,'BIC_(C_Variables)'!$A$3:$AS$43,45,FALSE())</f>
        <v>x_partial files NO V3</v>
      </c>
      <c r="N559" s="1"/>
      <c r="O559" s="1"/>
      <c r="P559" s="81" t="str">
        <f>IFERROR(VLOOKUP(A559,Internal_lists_bugs!$A$2:$G7981,7,FALSE()),"please select a BUG ID")</f>
        <v>https://opendev.org/openstack/nova/commit/1b2c121f133b1</v>
      </c>
    </row>
    <row r="560">
      <c r="A560" s="16" t="s">
        <v>45</v>
      </c>
      <c r="B560" s="50" t="str">
        <f>IFERROR(HYPERLINK(VLOOKUP(A560,Internal_lists_bugs!$A$2:$C$73,3,FALSE()), VLOOKUP(A560,Internal_lists_bugs!$A$2:$C$73,3,FALSE())&amp;Char(10) &amp; Char(10) &amp; VLOOKUP(A560,Internal_lists_bugs!$A$2:$Z$73,26,FALSE())),"please select a BUG ID")</f>
        <v>https://bugs.launchpad.net/nova/+bug/1437855
/contrib/floating_ips.py
/v3/floating_ips.py </v>
      </c>
      <c r="C560" s="81" t="str">
        <f>IFERROR(VLOOKUP(A560,Internal_lists_bugs!$A$2:$I7981,9,FALSE()),"please select a BUG ID")</f>
        <v>https://review.opendev.org/c/openstack/nova/+/26113</v>
      </c>
      <c r="D560" s="114"/>
      <c r="E560" s="114"/>
      <c r="F560" s="115"/>
      <c r="G560" s="16" t="s">
        <v>1450</v>
      </c>
      <c r="H560" s="16" t="s">
        <v>2137</v>
      </c>
      <c r="I560" s="82"/>
      <c r="J560" s="92"/>
      <c r="K560" s="82"/>
      <c r="M560" s="114" t="str">
        <f>VLOOKUP(A560,'BIC_(C_Variables)'!$A$3:$AS$43,45,FALSE())</f>
        <v>x_partial files NO V3</v>
      </c>
      <c r="N560" s="1"/>
      <c r="O560" s="1"/>
      <c r="P560" s="81" t="str">
        <f>IFERROR(VLOOKUP(A560,Internal_lists_bugs!$A$2:$G7981,7,FALSE()),"please select a BUG ID")</f>
        <v>https://opendev.org/openstack/nova/commit/1b2c121f133b1</v>
      </c>
    </row>
    <row r="561">
      <c r="A561" s="16" t="s">
        <v>45</v>
      </c>
      <c r="B561" s="50" t="str">
        <f>IFERROR(HYPERLINK(VLOOKUP(A561,Internal_lists_bugs!$A$2:$C$73,3,FALSE()), VLOOKUP(A561,Internal_lists_bugs!$A$2:$C$73,3,FALSE())&amp;Char(10) &amp; Char(10) &amp; VLOOKUP(A561,Internal_lists_bugs!$A$2:$Z$73,26,FALSE())),"please select a BUG ID")</f>
        <v>https://bugs.launchpad.net/nova/+bug/1437855
/contrib/floating_ips.py
/v3/floating_ips.py </v>
      </c>
      <c r="C561" s="81" t="str">
        <f>IFERROR(VLOOKUP(A561,Internal_lists_bugs!$A$2:$I7981,9,FALSE()),"please select a BUG ID")</f>
        <v>https://review.opendev.org/c/openstack/nova/+/26113</v>
      </c>
      <c r="D561" s="114"/>
      <c r="E561" s="114"/>
      <c r="F561" s="115"/>
      <c r="G561" s="16" t="s">
        <v>1453</v>
      </c>
      <c r="H561" s="16" t="s">
        <v>2138</v>
      </c>
      <c r="I561" s="82"/>
      <c r="J561" s="92"/>
      <c r="K561" s="82"/>
      <c r="M561" s="114" t="str">
        <f>VLOOKUP(A561,'BIC_(C_Variables)'!$A$3:$AS$43,45,FALSE())</f>
        <v>x_partial files NO V3</v>
      </c>
      <c r="N561" s="1"/>
      <c r="O561" s="1"/>
      <c r="P561" s="81" t="str">
        <f>IFERROR(VLOOKUP(A561,Internal_lists_bugs!$A$2:$G7981,7,FALSE()),"please select a BUG ID")</f>
        <v>https://opendev.org/openstack/nova/commit/1b2c121f133b1</v>
      </c>
    </row>
    <row r="562">
      <c r="A562" s="16" t="s">
        <v>45</v>
      </c>
      <c r="B562" s="50" t="str">
        <f>IFERROR(HYPERLINK(VLOOKUP(A562,Internal_lists_bugs!$A$2:$C$73,3,FALSE()), VLOOKUP(A562,Internal_lists_bugs!$A$2:$C$73,3,FALSE())&amp;Char(10) &amp; Char(10) &amp; VLOOKUP(A562,Internal_lists_bugs!$A$2:$Z$73,26,FALSE())),"please select a BUG ID")</f>
        <v>https://bugs.launchpad.net/nova/+bug/1437855
/contrib/floating_ips.py
/v3/floating_ips.py </v>
      </c>
      <c r="C562" s="81" t="str">
        <f>IFERROR(VLOOKUP(A562,Internal_lists_bugs!$A$2:$I7981,9,FALSE()),"please select a BUG ID")</f>
        <v>https://review.opendev.org/c/openstack/nova/+/26113</v>
      </c>
      <c r="D562" s="114"/>
      <c r="E562" s="114"/>
      <c r="F562" s="115"/>
      <c r="G562" s="16" t="s">
        <v>1654</v>
      </c>
      <c r="H562" s="16" t="s">
        <v>2138</v>
      </c>
      <c r="I562" s="82"/>
      <c r="J562" s="92"/>
      <c r="K562" s="82"/>
      <c r="M562" s="114" t="str">
        <f>VLOOKUP(A562,'BIC_(C_Variables)'!$A$3:$AS$43,45,FALSE())</f>
        <v>x_partial files NO V3</v>
      </c>
      <c r="N562" s="1"/>
      <c r="O562" s="1"/>
      <c r="P562" s="81" t="str">
        <f>IFERROR(VLOOKUP(A562,Internal_lists_bugs!$A$2:$G7981,7,FALSE()),"please select a BUG ID")</f>
        <v>https://opendev.org/openstack/nova/commit/1b2c121f133b1</v>
      </c>
    </row>
    <row r="563">
      <c r="A563" s="16" t="s">
        <v>45</v>
      </c>
      <c r="B563" s="50" t="str">
        <f>IFERROR(HYPERLINK(VLOOKUP(A563,Internal_lists_bugs!$A$2:$C$73,3,FALSE()), VLOOKUP(A563,Internal_lists_bugs!$A$2:$C$73,3,FALSE())&amp;Char(10) &amp; Char(10) &amp; VLOOKUP(A563,Internal_lists_bugs!$A$2:$Z$73,26,FALSE())),"please select a BUG ID")</f>
        <v>https://bugs.launchpad.net/nova/+bug/1437855
/contrib/floating_ips.py
/v3/floating_ips.py </v>
      </c>
      <c r="C563" s="81" t="str">
        <f>IFERROR(VLOOKUP(A563,Internal_lists_bugs!$A$2:$I7981,9,FALSE()),"please select a BUG ID")</f>
        <v>https://review.opendev.org/c/openstack/nova/+/26113</v>
      </c>
      <c r="D563" s="114"/>
      <c r="E563" s="114"/>
      <c r="F563" s="115"/>
      <c r="G563" s="16" t="s">
        <v>1728</v>
      </c>
      <c r="H563" s="16" t="s">
        <v>2136</v>
      </c>
      <c r="I563" s="82"/>
      <c r="J563" s="92"/>
      <c r="K563" s="82"/>
      <c r="M563" s="114" t="str">
        <f>VLOOKUP(A563,'BIC_(C_Variables)'!$A$3:$AS$43,45,FALSE())</f>
        <v>x_partial files NO V3</v>
      </c>
      <c r="N563" s="1"/>
      <c r="O563" s="1"/>
      <c r="P563" s="81" t="str">
        <f>IFERROR(VLOOKUP(A563,Internal_lists_bugs!$A$2:$G7981,7,FALSE()),"please select a BUG ID")</f>
        <v>https://opendev.org/openstack/nova/commit/1b2c121f133b1</v>
      </c>
    </row>
    <row r="564">
      <c r="A564" s="16" t="s">
        <v>45</v>
      </c>
      <c r="B564" s="50" t="str">
        <f>IFERROR(HYPERLINK(VLOOKUP(A564,Internal_lists_bugs!$A$2:$C$73,3,FALSE()), VLOOKUP(A564,Internal_lists_bugs!$A$2:$C$73,3,FALSE())&amp;Char(10) &amp; Char(10) &amp; VLOOKUP(A564,Internal_lists_bugs!$A$2:$Z$73,26,FALSE())),"please select a BUG ID")</f>
        <v>https://bugs.launchpad.net/nova/+bug/1437855
/contrib/floating_ips.py
/v3/floating_ips.py </v>
      </c>
      <c r="C564" s="81" t="str">
        <f>IFERROR(VLOOKUP(A564,Internal_lists_bugs!$A$2:$I7981,9,FALSE()),"please select a BUG ID")</f>
        <v>https://review.opendev.org/c/openstack/nova/+/26113</v>
      </c>
      <c r="D564" s="112"/>
      <c r="E564" s="112"/>
      <c r="F564" s="113"/>
      <c r="G564" s="16" t="s">
        <v>1460</v>
      </c>
      <c r="H564" s="16" t="s">
        <v>1997</v>
      </c>
      <c r="I564" s="79"/>
      <c r="J564" s="93"/>
      <c r="K564" s="79"/>
      <c r="L564" s="16"/>
      <c r="M564" s="114" t="str">
        <f>VLOOKUP(A564,'BIC_(C_Variables)'!$A$3:$AS$43,45,FALSE())</f>
        <v>x_partial files NO V3</v>
      </c>
      <c r="N564" s="1"/>
      <c r="O564" s="1"/>
      <c r="P564" s="81" t="str">
        <f>IFERROR(VLOOKUP(A564,Internal_lists_bugs!$A$2:$G7981,7,FALSE()),"please select a BUG ID")</f>
        <v>https://opendev.org/openstack/nova/commit/1b2c121f133b1</v>
      </c>
    </row>
    <row r="565">
      <c r="A565" s="16" t="s">
        <v>46</v>
      </c>
      <c r="B565" s="50" t="str">
        <f>IFERROR(HYPERLINK(VLOOKUP(A565,Internal_lists_bugs!$A$2:$C$73,3,FALSE()), VLOOKUP(A565,Internal_lists_bugs!$A$2:$C$73,3,FALSE())&amp;Char(10) &amp; Char(10) &amp; VLOOKUP(A565,Internal_lists_bugs!$A$2:$Z$73,26,FALSE())),"please select a BUG ID")</f>
        <v>https://bugs.launchpad.net/nova/+bug/1434855
/os-extended-volumes/v2.3/server-get-resp.json
/os-extended-volumes/v2.3/servers-detail-resp.json </v>
      </c>
      <c r="C565" s="81" t="str">
        <f>IFERROR(VLOOKUP(A565,Internal_lists_bugs!$A$2:$I7981,9,FALSE()),"please select a BUG ID")</f>
        <v>https://review.opendev.org/c/openstack/nova/+/155853</v>
      </c>
      <c r="D565" s="112" t="s">
        <v>1412</v>
      </c>
      <c r="E565" s="112" t="s">
        <v>1462</v>
      </c>
      <c r="F565" s="113" t="s">
        <v>251</v>
      </c>
      <c r="G565" s="16" t="s">
        <v>1419</v>
      </c>
      <c r="H565" s="16" t="s">
        <v>2139</v>
      </c>
      <c r="I565" s="79" t="s">
        <v>123</v>
      </c>
      <c r="J565" s="93" t="s">
        <v>2140</v>
      </c>
      <c r="K565" s="79" t="s">
        <v>123</v>
      </c>
      <c r="L565" s="16" t="s">
        <v>2141</v>
      </c>
      <c r="M565" s="114" t="str">
        <f>VLOOKUP(A565,'BIC_(C_Variables)'!$A$3:$AS$43,45,FALSE())</f>
        <v/>
      </c>
      <c r="N565" s="1"/>
      <c r="O565" s="1"/>
      <c r="P565" s="81" t="str">
        <f>IFERROR(VLOOKUP(A565,Internal_lists_bugs!$A$2:$G7981,7,FALSE()),"please select a BUG ID")</f>
        <v>https://opendev.org/openstack/nova/commit/abc656d</v>
      </c>
    </row>
    <row r="566">
      <c r="A566" s="16" t="s">
        <v>46</v>
      </c>
      <c r="B566" s="50" t="str">
        <f>IFERROR(HYPERLINK(VLOOKUP(A566,Internal_lists_bugs!$A$2:$C$73,3,FALSE()), VLOOKUP(A566,Internal_lists_bugs!$A$2:$C$73,3,FALSE())&amp;Char(10) &amp; Char(10) &amp; VLOOKUP(A566,Internal_lists_bugs!$A$2:$Z$73,26,FALSE())),"please select a BUG ID")</f>
        <v>https://bugs.launchpad.net/nova/+bug/1434855
/os-extended-volumes/v2.3/server-get-resp.json
/os-extended-volumes/v2.3/servers-detail-resp.json </v>
      </c>
      <c r="C566" s="81" t="str">
        <f>IFERROR(VLOOKUP(A566,Internal_lists_bugs!$A$2:$I7981,9,FALSE()),"please select a BUG ID")</f>
        <v>https://review.opendev.org/c/openstack/nova/+/155853</v>
      </c>
      <c r="D566" s="114"/>
      <c r="E566" s="114"/>
      <c r="F566" s="115"/>
      <c r="G566" s="16" t="s">
        <v>1465</v>
      </c>
      <c r="H566" s="16" t="s">
        <v>2142</v>
      </c>
      <c r="I566" s="82"/>
      <c r="J566" s="92"/>
      <c r="K566" s="82"/>
      <c r="M566" s="114" t="str">
        <f>VLOOKUP(A566,'BIC_(C_Variables)'!$A$3:$AS$43,45,FALSE())</f>
        <v/>
      </c>
      <c r="N566" s="1"/>
      <c r="O566" s="1"/>
      <c r="P566" s="81" t="str">
        <f>IFERROR(VLOOKUP(A566,Internal_lists_bugs!$A$2:$G7981,7,FALSE()),"please select a BUG ID")</f>
        <v>https://opendev.org/openstack/nova/commit/abc656d</v>
      </c>
    </row>
    <row r="567">
      <c r="A567" s="16" t="s">
        <v>46</v>
      </c>
      <c r="B567" s="50" t="str">
        <f>IFERROR(HYPERLINK(VLOOKUP(A567,Internal_lists_bugs!$A$2:$C$73,3,FALSE()), VLOOKUP(A567,Internal_lists_bugs!$A$2:$C$73,3,FALSE())&amp;Char(10) &amp; Char(10) &amp; VLOOKUP(A567,Internal_lists_bugs!$A$2:$Z$73,26,FALSE())),"please select a BUG ID")</f>
        <v>https://bugs.launchpad.net/nova/+bug/1434855
/os-extended-volumes/v2.3/server-get-resp.json
/os-extended-volumes/v2.3/servers-detail-resp.json </v>
      </c>
      <c r="C567" s="81" t="str">
        <f>IFERROR(VLOOKUP(A567,Internal_lists_bugs!$A$2:$I7981,9,FALSE()),"please select a BUG ID")</f>
        <v>https://review.opendev.org/c/openstack/nova/+/155853</v>
      </c>
      <c r="D567" s="114"/>
      <c r="E567" s="114"/>
      <c r="F567" s="115"/>
      <c r="G567" s="16" t="s">
        <v>1417</v>
      </c>
      <c r="H567" s="16" t="s">
        <v>2143</v>
      </c>
      <c r="I567" s="82"/>
      <c r="J567" s="92"/>
      <c r="K567" s="82"/>
      <c r="M567" s="114" t="str">
        <f>VLOOKUP(A567,'BIC_(C_Variables)'!$A$3:$AS$43,45,FALSE())</f>
        <v/>
      </c>
      <c r="N567" s="1"/>
      <c r="O567" s="1"/>
      <c r="P567" s="81" t="str">
        <f>IFERROR(VLOOKUP(A567,Internal_lists_bugs!$A$2:$G7981,7,FALSE()),"please select a BUG ID")</f>
        <v>https://opendev.org/openstack/nova/commit/abc656d</v>
      </c>
    </row>
    <row r="568">
      <c r="A568" s="16" t="s">
        <v>46</v>
      </c>
      <c r="B568" s="50" t="str">
        <f>IFERROR(HYPERLINK(VLOOKUP(A568,Internal_lists_bugs!$A$2:$C$73,3,FALSE()), VLOOKUP(A568,Internal_lists_bugs!$A$2:$C$73,3,FALSE())&amp;Char(10) &amp; Char(10) &amp; VLOOKUP(A568,Internal_lists_bugs!$A$2:$Z$73,26,FALSE())),"please select a BUG ID")</f>
        <v>https://bugs.launchpad.net/nova/+bug/1434855
/os-extended-volumes/v2.3/server-get-resp.json
/os-extended-volumes/v2.3/servers-detail-resp.json </v>
      </c>
      <c r="C568" s="81" t="str">
        <f>IFERROR(VLOOKUP(A568,Internal_lists_bugs!$A$2:$I7981,9,FALSE()),"please select a BUG ID")</f>
        <v>https://review.opendev.org/c/openstack/nova/+/155853</v>
      </c>
      <c r="D568" s="114"/>
      <c r="E568" s="114"/>
      <c r="F568" s="115"/>
      <c r="G568" s="16" t="s">
        <v>2144</v>
      </c>
      <c r="H568" s="16" t="s">
        <v>2145</v>
      </c>
      <c r="I568" s="82"/>
      <c r="J568" s="92"/>
      <c r="K568" s="82"/>
      <c r="M568" s="114" t="str">
        <f>VLOOKUP(A568,'BIC_(C_Variables)'!$A$3:$AS$43,45,FALSE())</f>
        <v/>
      </c>
      <c r="N568" s="1"/>
      <c r="O568" s="1"/>
      <c r="P568" s="81" t="str">
        <f>IFERROR(VLOOKUP(A568,Internal_lists_bugs!$A$2:$G7981,7,FALSE()),"please select a BUG ID")</f>
        <v>https://opendev.org/openstack/nova/commit/abc656d</v>
      </c>
    </row>
    <row r="569">
      <c r="A569" s="16" t="s">
        <v>46</v>
      </c>
      <c r="B569" s="50" t="str">
        <f>IFERROR(HYPERLINK(VLOOKUP(A569,Internal_lists_bugs!$A$2:$C$73,3,FALSE()), VLOOKUP(A569,Internal_lists_bugs!$A$2:$C$73,3,FALSE())&amp;Char(10) &amp; Char(10) &amp; VLOOKUP(A569,Internal_lists_bugs!$A$2:$Z$73,26,FALSE())),"please select a BUG ID")</f>
        <v>https://bugs.launchpad.net/nova/+bug/1434855
/os-extended-volumes/v2.3/server-get-resp.json
/os-extended-volumes/v2.3/servers-detail-resp.json </v>
      </c>
      <c r="C569" s="81" t="str">
        <f>IFERROR(VLOOKUP(A569,Internal_lists_bugs!$A$2:$I7981,9,FALSE()),"please select a BUG ID")</f>
        <v>https://review.opendev.org/c/openstack/nova/+/155853</v>
      </c>
      <c r="D569" s="114"/>
      <c r="E569" s="114"/>
      <c r="F569" s="115"/>
      <c r="G569" s="16" t="s">
        <v>1495</v>
      </c>
      <c r="H569" s="16" t="s">
        <v>2146</v>
      </c>
      <c r="I569" s="82"/>
      <c r="J569" s="92"/>
      <c r="K569" s="82"/>
      <c r="M569" s="114"/>
      <c r="N569" s="1"/>
      <c r="O569" s="1"/>
      <c r="P569" s="51"/>
    </row>
    <row r="570">
      <c r="A570" s="16" t="s">
        <v>46</v>
      </c>
      <c r="B570" s="50" t="str">
        <f>IFERROR(HYPERLINK(VLOOKUP(A570,Internal_lists_bugs!$A$2:$C$73,3,FALSE()), VLOOKUP(A570,Internal_lists_bugs!$A$2:$C$73,3,FALSE())&amp;Char(10) &amp; Char(10) &amp; VLOOKUP(A570,Internal_lists_bugs!$A$2:$Z$73,26,FALSE())),"please select a BUG ID")</f>
        <v>https://bugs.launchpad.net/nova/+bug/1434855
/os-extended-volumes/v2.3/server-get-resp.json
/os-extended-volumes/v2.3/servers-detail-resp.json </v>
      </c>
      <c r="C570" s="81" t="str">
        <f>IFERROR(VLOOKUP(A570,Internal_lists_bugs!$A$2:$I7981,9,FALSE()),"please select a BUG ID")</f>
        <v>https://review.opendev.org/c/openstack/nova/+/155853</v>
      </c>
      <c r="D570" s="114"/>
      <c r="E570" s="114"/>
      <c r="F570" s="115"/>
      <c r="G570" s="16" t="s">
        <v>1432</v>
      </c>
      <c r="H570" s="16" t="s">
        <v>2147</v>
      </c>
      <c r="I570" s="82"/>
      <c r="J570" s="92"/>
      <c r="K570" s="82"/>
      <c r="M570" s="114" t="str">
        <f>VLOOKUP(A570,'BIC_(C_Variables)'!$A$3:$AS$43,45,FALSE())</f>
        <v/>
      </c>
      <c r="N570" s="1"/>
      <c r="O570" s="1"/>
      <c r="P570" s="81" t="str">
        <f>IFERROR(VLOOKUP(A570,Internal_lists_bugs!$A$2:$G7981,7,FALSE()),"please select a BUG ID")</f>
        <v>https://opendev.org/openstack/nova/commit/abc656d</v>
      </c>
    </row>
    <row r="571">
      <c r="A571" s="16" t="s">
        <v>46</v>
      </c>
      <c r="B571" s="50" t="str">
        <f>IFERROR(HYPERLINK(VLOOKUP(A571,Internal_lists_bugs!$A$2:$C$73,3,FALSE()), VLOOKUP(A571,Internal_lists_bugs!$A$2:$C$73,3,FALSE())&amp;Char(10) &amp; Char(10) &amp; VLOOKUP(A571,Internal_lists_bugs!$A$2:$Z$73,26,FALSE())),"please select a BUG ID")</f>
        <v>https://bugs.launchpad.net/nova/+bug/1434855
/os-extended-volumes/v2.3/server-get-resp.json
/os-extended-volumes/v2.3/servers-detail-resp.json </v>
      </c>
      <c r="C571" s="81" t="str">
        <f>IFERROR(VLOOKUP(A571,Internal_lists_bugs!$A$2:$I7981,9,FALSE()),"please select a BUG ID")</f>
        <v>https://review.opendev.org/c/openstack/nova/+/155853</v>
      </c>
      <c r="D571" s="114"/>
      <c r="E571" s="114"/>
      <c r="F571" s="115"/>
      <c r="G571" s="16" t="s">
        <v>2148</v>
      </c>
      <c r="H571" s="16" t="s">
        <v>2149</v>
      </c>
      <c r="I571" s="82"/>
      <c r="J571" s="92"/>
      <c r="K571" s="82"/>
      <c r="M571" s="114" t="str">
        <f>VLOOKUP(A571,'BIC_(C_Variables)'!$A$3:$AS$43,45,FALSE())</f>
        <v/>
      </c>
      <c r="N571" s="1"/>
      <c r="O571" s="1"/>
      <c r="P571" s="81" t="str">
        <f>IFERROR(VLOOKUP(A571,Internal_lists_bugs!$A$2:$G7981,7,FALSE()),"please select a BUG ID")</f>
        <v>https://opendev.org/openstack/nova/commit/abc656d</v>
      </c>
    </row>
    <row r="572">
      <c r="A572" s="16" t="s">
        <v>46</v>
      </c>
      <c r="B572" s="50" t="str">
        <f>IFERROR(HYPERLINK(VLOOKUP(A572,Internal_lists_bugs!$A$2:$C$73,3,FALSE()), VLOOKUP(A572,Internal_lists_bugs!$A$2:$C$73,3,FALSE())&amp;Char(10) &amp; Char(10) &amp; VLOOKUP(A572,Internal_lists_bugs!$A$2:$Z$73,26,FALSE())),"please select a BUG ID")</f>
        <v>https://bugs.launchpad.net/nova/+bug/1434855
/os-extended-volumes/v2.3/server-get-resp.json
/os-extended-volumes/v2.3/servers-detail-resp.json </v>
      </c>
      <c r="C572" s="81" t="str">
        <f>IFERROR(VLOOKUP(A572,Internal_lists_bugs!$A$2:$I7981,9,FALSE()),"please select a BUG ID")</f>
        <v>https://review.opendev.org/c/openstack/nova/+/155853</v>
      </c>
      <c r="D572" s="114"/>
      <c r="E572" s="114"/>
      <c r="F572" s="115"/>
      <c r="G572" s="16" t="s">
        <v>1842</v>
      </c>
      <c r="H572" s="16" t="s">
        <v>2150</v>
      </c>
      <c r="I572" s="82"/>
      <c r="J572" s="92"/>
      <c r="K572" s="82"/>
      <c r="M572" s="114" t="str">
        <f>VLOOKUP(A572,'BIC_(C_Variables)'!$A$3:$AS$43,45,FALSE())</f>
        <v/>
      </c>
      <c r="N572" s="1"/>
      <c r="O572" s="1"/>
      <c r="P572" s="81" t="str">
        <f>IFERROR(VLOOKUP(A572,Internal_lists_bugs!$A$2:$G7981,7,FALSE()),"please select a BUG ID")</f>
        <v>https://opendev.org/openstack/nova/commit/abc656d</v>
      </c>
    </row>
    <row r="573">
      <c r="A573" s="16" t="s">
        <v>46</v>
      </c>
      <c r="B573" s="50" t="str">
        <f>IFERROR(HYPERLINK(VLOOKUP(A573,Internal_lists_bugs!$A$2:$C$73,3,FALSE()), VLOOKUP(A573,Internal_lists_bugs!$A$2:$C$73,3,FALSE())&amp;Char(10) &amp; Char(10) &amp; VLOOKUP(A573,Internal_lists_bugs!$A$2:$Z$73,26,FALSE())),"please select a BUG ID")</f>
        <v>https://bugs.launchpad.net/nova/+bug/1434855
/os-extended-volumes/v2.3/server-get-resp.json
/os-extended-volumes/v2.3/servers-detail-resp.json </v>
      </c>
      <c r="C573" s="81" t="str">
        <f>IFERROR(VLOOKUP(A573,Internal_lists_bugs!$A$2:$I7981,9,FALSE()),"please select a BUG ID")</f>
        <v>https://review.opendev.org/c/openstack/nova/+/155853</v>
      </c>
      <c r="D573" s="114"/>
      <c r="E573" s="114"/>
      <c r="F573" s="115"/>
      <c r="G573" s="16" t="s">
        <v>1844</v>
      </c>
      <c r="H573" s="16" t="s">
        <v>2151</v>
      </c>
      <c r="I573" s="82"/>
      <c r="J573" s="92"/>
      <c r="K573" s="82"/>
      <c r="M573" s="114" t="str">
        <f>VLOOKUP(A573,'BIC_(C_Variables)'!$A$3:$AS$43,45,FALSE())</f>
        <v/>
      </c>
      <c r="N573" s="1"/>
      <c r="O573" s="1"/>
      <c r="P573" s="81" t="str">
        <f>IFERROR(VLOOKUP(A573,Internal_lists_bugs!$A$2:$G7981,7,FALSE()),"please select a BUG ID")</f>
        <v>https://opendev.org/openstack/nova/commit/abc656d</v>
      </c>
    </row>
    <row r="574">
      <c r="A574" s="16" t="s">
        <v>46</v>
      </c>
      <c r="B574" s="50" t="str">
        <f>IFERROR(HYPERLINK(VLOOKUP(A574,Internal_lists_bugs!$A$2:$C$73,3,FALSE()), VLOOKUP(A574,Internal_lists_bugs!$A$2:$C$73,3,FALSE())&amp;Char(10) &amp; Char(10) &amp; VLOOKUP(A574,Internal_lists_bugs!$A$2:$Z$73,26,FALSE())),"please select a BUG ID")</f>
        <v>https://bugs.launchpad.net/nova/+bug/1434855
/os-extended-volumes/v2.3/server-get-resp.json
/os-extended-volumes/v2.3/servers-detail-resp.json </v>
      </c>
      <c r="C574" s="81" t="str">
        <f>IFERROR(VLOOKUP(A574,Internal_lists_bugs!$A$2:$I7981,9,FALSE()),"please select a BUG ID")</f>
        <v>https://review.opendev.org/c/openstack/nova/+/155853</v>
      </c>
      <c r="D574" s="114"/>
      <c r="E574" s="114"/>
      <c r="F574" s="115"/>
      <c r="G574" s="16" t="s">
        <v>2152</v>
      </c>
      <c r="H574" s="16" t="s">
        <v>2153</v>
      </c>
      <c r="I574" s="82"/>
      <c r="J574" s="92"/>
      <c r="K574" s="82"/>
      <c r="M574" s="114" t="str">
        <f>VLOOKUP(A574,'BIC_(C_Variables)'!$A$3:$AS$43,45,FALSE())</f>
        <v/>
      </c>
      <c r="N574" s="1"/>
      <c r="O574" s="1"/>
      <c r="P574" s="81" t="str">
        <f>IFERROR(VLOOKUP(A574,Internal_lists_bugs!$A$2:$G7981,7,FALSE()),"please select a BUG ID")</f>
        <v>https://opendev.org/openstack/nova/commit/abc656d</v>
      </c>
    </row>
    <row r="575">
      <c r="A575" s="16" t="s">
        <v>46</v>
      </c>
      <c r="B575" s="50" t="str">
        <f>IFERROR(HYPERLINK(VLOOKUP(A575,Internal_lists_bugs!$A$2:$C$73,3,FALSE()), VLOOKUP(A575,Internal_lists_bugs!$A$2:$C$73,3,FALSE())&amp;Char(10) &amp; Char(10) &amp; VLOOKUP(A575,Internal_lists_bugs!$A$2:$Z$73,26,FALSE())),"please select a BUG ID")</f>
        <v>https://bugs.launchpad.net/nova/+bug/1434855
/os-extended-volumes/v2.3/server-get-resp.json
/os-extended-volumes/v2.3/servers-detail-resp.json </v>
      </c>
      <c r="C575" s="81" t="str">
        <f>IFERROR(VLOOKUP(A575,Internal_lists_bugs!$A$2:$I7981,9,FALSE()),"please select a BUG ID")</f>
        <v>https://review.opendev.org/c/openstack/nova/+/155853</v>
      </c>
      <c r="D575" s="114"/>
      <c r="E575" s="114"/>
      <c r="F575" s="115"/>
      <c r="G575" s="16" t="s">
        <v>1507</v>
      </c>
      <c r="H575" s="16" t="s">
        <v>2154</v>
      </c>
      <c r="I575" s="82"/>
      <c r="J575" s="92"/>
      <c r="K575" s="82"/>
      <c r="M575" s="114"/>
      <c r="N575" s="1"/>
      <c r="O575" s="1"/>
      <c r="P575" s="51"/>
    </row>
    <row r="576">
      <c r="A576" s="16" t="s">
        <v>46</v>
      </c>
      <c r="B576" s="50" t="str">
        <f>IFERROR(HYPERLINK(VLOOKUP(A576,Internal_lists_bugs!$A$2:$C$73,3,FALSE()), VLOOKUP(A576,Internal_lists_bugs!$A$2:$C$73,3,FALSE())&amp;Char(10) &amp; Char(10) &amp; VLOOKUP(A576,Internal_lists_bugs!$A$2:$Z$73,26,FALSE())),"please select a BUG ID")</f>
        <v>https://bugs.launchpad.net/nova/+bug/1434855
/os-extended-volumes/v2.3/server-get-resp.json
/os-extended-volumes/v2.3/servers-detail-resp.json </v>
      </c>
      <c r="C576" s="81" t="str">
        <f>IFERROR(VLOOKUP(A576,Internal_lists_bugs!$A$2:$I7981,9,FALSE()),"please select a BUG ID")</f>
        <v>https://review.opendev.org/c/openstack/nova/+/155853</v>
      </c>
      <c r="D576" s="114"/>
      <c r="E576" s="114"/>
      <c r="F576" s="115"/>
      <c r="G576" s="16" t="s">
        <v>1514</v>
      </c>
      <c r="H576" s="16" t="s">
        <v>2155</v>
      </c>
      <c r="I576" s="82"/>
      <c r="J576" s="92"/>
      <c r="K576" s="82"/>
      <c r="M576" s="114"/>
      <c r="N576" s="1"/>
      <c r="O576" s="1"/>
      <c r="P576" s="51"/>
    </row>
    <row r="577">
      <c r="A577" s="16" t="s">
        <v>46</v>
      </c>
      <c r="B577" s="50" t="str">
        <f>IFERROR(HYPERLINK(VLOOKUP(A577,Internal_lists_bugs!$A$2:$C$73,3,FALSE()), VLOOKUP(A577,Internal_lists_bugs!$A$2:$C$73,3,FALSE())&amp;Char(10) &amp; Char(10) &amp; VLOOKUP(A577,Internal_lists_bugs!$A$2:$Z$73,26,FALSE())),"please select a BUG ID")</f>
        <v>https://bugs.launchpad.net/nova/+bug/1434855
/os-extended-volumes/v2.3/server-get-resp.json
/os-extended-volumes/v2.3/servers-detail-resp.json </v>
      </c>
      <c r="C577" s="81" t="str">
        <f>IFERROR(VLOOKUP(A577,Internal_lists_bugs!$A$2:$I7981,9,FALSE()),"please select a BUG ID")</f>
        <v>https://review.opendev.org/c/openstack/nova/+/155853</v>
      </c>
      <c r="D577" s="114"/>
      <c r="E577" s="114"/>
      <c r="F577" s="115"/>
      <c r="G577" s="16" t="s">
        <v>2156</v>
      </c>
      <c r="H577" s="14" t="s">
        <v>2157</v>
      </c>
      <c r="I577" s="82"/>
      <c r="J577" s="92"/>
      <c r="K577" s="82"/>
      <c r="M577" s="114" t="str">
        <f>VLOOKUP(A577,'BIC_(C_Variables)'!$A$3:$AS$43,45,FALSE())</f>
        <v/>
      </c>
      <c r="N577" s="1"/>
      <c r="O577" s="1"/>
      <c r="P577" s="81" t="str">
        <f>IFERROR(VLOOKUP(A577,Internal_lists_bugs!$A$2:$G7981,7,FALSE()),"please select a BUG ID")</f>
        <v>https://opendev.org/openstack/nova/commit/abc656d</v>
      </c>
    </row>
    <row r="578">
      <c r="A578" s="16" t="s">
        <v>46</v>
      </c>
      <c r="B578" s="50" t="str">
        <f>IFERROR(HYPERLINK(VLOOKUP(A578,Internal_lists_bugs!$A$2:$C$73,3,FALSE()), VLOOKUP(A578,Internal_lists_bugs!$A$2:$C$73,3,FALSE())&amp;Char(10) &amp; Char(10) &amp; VLOOKUP(A578,Internal_lists_bugs!$A$2:$Z$73,26,FALSE())),"please select a BUG ID")</f>
        <v>https://bugs.launchpad.net/nova/+bug/1434855
/os-extended-volumes/v2.3/server-get-resp.json
/os-extended-volumes/v2.3/servers-detail-resp.json </v>
      </c>
      <c r="C578" s="81" t="str">
        <f>IFERROR(VLOOKUP(A578,Internal_lists_bugs!$A$2:$I7981,9,FALSE()),"please select a BUG ID")</f>
        <v>https://review.opendev.org/c/openstack/nova/+/155853</v>
      </c>
      <c r="D578" s="114"/>
      <c r="E578" s="114"/>
      <c r="F578" s="115"/>
      <c r="G578" s="16" t="s">
        <v>2158</v>
      </c>
      <c r="H578" s="16" t="s">
        <v>2159</v>
      </c>
      <c r="I578" s="82"/>
      <c r="J578" s="92"/>
      <c r="K578" s="82"/>
      <c r="M578" s="114" t="str">
        <f>VLOOKUP(A578,'BIC_(C_Variables)'!$A$3:$AS$43,45,FALSE())</f>
        <v/>
      </c>
      <c r="N578" s="1"/>
      <c r="O578" s="1"/>
      <c r="P578" s="81" t="str">
        <f>IFERROR(VLOOKUP(A578,Internal_lists_bugs!$A$2:$G7981,7,FALSE()),"please select a BUG ID")</f>
        <v>https://opendev.org/openstack/nova/commit/abc656d</v>
      </c>
    </row>
    <row r="579">
      <c r="A579" s="16" t="s">
        <v>46</v>
      </c>
      <c r="B579" s="50" t="str">
        <f>IFERROR(HYPERLINK(VLOOKUP(A579,Internal_lists_bugs!$A$2:$C$73,3,FALSE()), VLOOKUP(A579,Internal_lists_bugs!$A$2:$C$73,3,FALSE())&amp;Char(10) &amp; Char(10) &amp; VLOOKUP(A579,Internal_lists_bugs!$A$2:$Z$73,26,FALSE())),"please select a BUG ID")</f>
        <v>https://bugs.launchpad.net/nova/+bug/1434855
/os-extended-volumes/v2.3/server-get-resp.json
/os-extended-volumes/v2.3/servers-detail-resp.json </v>
      </c>
      <c r="C579" s="81" t="str">
        <f>IFERROR(VLOOKUP(A579,Internal_lists_bugs!$A$2:$I7981,9,FALSE()),"please select a BUG ID")</f>
        <v>https://review.opendev.org/c/openstack/nova/+/155853</v>
      </c>
      <c r="D579" s="114"/>
      <c r="E579" s="114"/>
      <c r="F579" s="115"/>
      <c r="G579" s="16" t="s">
        <v>1504</v>
      </c>
      <c r="H579" s="14" t="s">
        <v>2160</v>
      </c>
      <c r="I579" s="82"/>
      <c r="J579" s="92"/>
      <c r="K579" s="82"/>
      <c r="M579" s="114" t="str">
        <f>VLOOKUP(A579,'BIC_(C_Variables)'!$A$3:$AS$43,45,FALSE())</f>
        <v/>
      </c>
      <c r="N579" s="1"/>
      <c r="O579" s="1"/>
      <c r="P579" s="81" t="str">
        <f>IFERROR(VLOOKUP(A579,Internal_lists_bugs!$A$2:$G7981,7,FALSE()),"please select a BUG ID")</f>
        <v>https://opendev.org/openstack/nova/commit/abc656d</v>
      </c>
    </row>
    <row r="580">
      <c r="A580" s="16" t="s">
        <v>46</v>
      </c>
      <c r="B580" s="50" t="str">
        <f>IFERROR(HYPERLINK(VLOOKUP(A580,Internal_lists_bugs!$A$2:$C$73,3,FALSE()), VLOOKUP(A580,Internal_lists_bugs!$A$2:$C$73,3,FALSE())&amp;Char(10) &amp; Char(10) &amp; VLOOKUP(A580,Internal_lists_bugs!$A$2:$Z$73,26,FALSE())),"please select a BUG ID")</f>
        <v>https://bugs.launchpad.net/nova/+bug/1434855
/os-extended-volumes/v2.3/server-get-resp.json
/os-extended-volumes/v2.3/servers-detail-resp.json </v>
      </c>
      <c r="C580" s="81" t="str">
        <f>IFERROR(VLOOKUP(A580,Internal_lists_bugs!$A$2:$I7981,9,FALSE()),"please select a BUG ID")</f>
        <v>https://review.opendev.org/c/openstack/nova/+/155853</v>
      </c>
      <c r="D580" s="114"/>
      <c r="E580" s="114"/>
      <c r="F580" s="115"/>
      <c r="G580" s="16" t="s">
        <v>1538</v>
      </c>
      <c r="H580" s="66" t="s">
        <v>2161</v>
      </c>
      <c r="I580" s="82"/>
      <c r="J580" s="92"/>
      <c r="K580" s="82"/>
      <c r="M580" s="114"/>
      <c r="N580" s="1"/>
      <c r="O580" s="1"/>
      <c r="P580" s="51"/>
    </row>
    <row r="581">
      <c r="A581" s="16" t="s">
        <v>46</v>
      </c>
      <c r="B581" s="50" t="str">
        <f>IFERROR(HYPERLINK(VLOOKUP(A581,Internal_lists_bugs!$A$2:$C$73,3,FALSE()), VLOOKUP(A581,Internal_lists_bugs!$A$2:$C$73,3,FALSE())&amp;Char(10) &amp; Char(10) &amp; VLOOKUP(A581,Internal_lists_bugs!$A$2:$Z$73,26,FALSE())),"please select a BUG ID")</f>
        <v>https://bugs.launchpad.net/nova/+bug/1434855
/os-extended-volumes/v2.3/server-get-resp.json
/os-extended-volumes/v2.3/servers-detail-resp.json </v>
      </c>
      <c r="C581" s="81" t="str">
        <f>IFERROR(VLOOKUP(A581,Internal_lists_bugs!$A$2:$I7981,9,FALSE()),"please select a BUG ID")</f>
        <v>https://review.opendev.org/c/openstack/nova/+/155853</v>
      </c>
      <c r="D581" s="114"/>
      <c r="E581" s="114"/>
      <c r="F581" s="115"/>
      <c r="G581" s="16" t="s">
        <v>1519</v>
      </c>
      <c r="H581" s="16" t="s">
        <v>2162</v>
      </c>
      <c r="I581" s="82"/>
      <c r="J581" s="92"/>
      <c r="K581" s="82"/>
      <c r="M581" s="114" t="str">
        <f>VLOOKUP(A581,'BIC_(C_Variables)'!$A$3:$AS$43,45,FALSE())</f>
        <v/>
      </c>
      <c r="N581" s="1"/>
      <c r="O581" s="1"/>
      <c r="P581" s="81" t="str">
        <f>IFERROR(VLOOKUP(A581,Internal_lists_bugs!$A$2:$G7981,7,FALSE()),"please select a BUG ID")</f>
        <v>https://opendev.org/openstack/nova/commit/abc656d</v>
      </c>
    </row>
    <row r="582">
      <c r="A582" s="16" t="s">
        <v>46</v>
      </c>
      <c r="B582" s="50" t="str">
        <f>IFERROR(HYPERLINK(VLOOKUP(A582,Internal_lists_bugs!$A$2:$C$73,3,FALSE()), VLOOKUP(A582,Internal_lists_bugs!$A$2:$C$73,3,FALSE())&amp;Char(10) &amp; Char(10) &amp; VLOOKUP(A582,Internal_lists_bugs!$A$2:$Z$73,26,FALSE())),"please select a BUG ID")</f>
        <v>https://bugs.launchpad.net/nova/+bug/1434855
/os-extended-volumes/v2.3/server-get-resp.json
/os-extended-volumes/v2.3/servers-detail-resp.json </v>
      </c>
      <c r="C582" s="81" t="str">
        <f>IFERROR(VLOOKUP(A582,Internal_lists_bugs!$A$2:$I7981,9,FALSE()),"please select a BUG ID")</f>
        <v>https://review.opendev.org/c/openstack/nova/+/155853</v>
      </c>
      <c r="D582" s="114"/>
      <c r="E582" s="114"/>
      <c r="F582" s="115"/>
      <c r="G582" s="16" t="s">
        <v>2163</v>
      </c>
      <c r="H582" s="16" t="s">
        <v>2164</v>
      </c>
      <c r="I582" s="82"/>
      <c r="J582" s="92"/>
      <c r="K582" s="82"/>
      <c r="M582" s="114" t="str">
        <f>VLOOKUP(A582,'BIC_(C_Variables)'!$A$3:$AS$43,45,FALSE())</f>
        <v/>
      </c>
      <c r="N582" s="1"/>
      <c r="O582" s="1"/>
      <c r="P582" s="81" t="str">
        <f>IFERROR(VLOOKUP(A582,Internal_lists_bugs!$A$2:$G7981,7,FALSE()),"please select a BUG ID")</f>
        <v>https://opendev.org/openstack/nova/commit/abc656d</v>
      </c>
    </row>
    <row r="583">
      <c r="A583" s="16" t="s">
        <v>46</v>
      </c>
      <c r="B583" s="50" t="str">
        <f>IFERROR(HYPERLINK(VLOOKUP(A583,Internal_lists_bugs!$A$2:$C$73,3,FALSE()), VLOOKUP(A583,Internal_lists_bugs!$A$2:$C$73,3,FALSE())&amp;Char(10) &amp; Char(10) &amp; VLOOKUP(A583,Internal_lists_bugs!$A$2:$Z$73,26,FALSE())),"please select a BUG ID")</f>
        <v>https://bugs.launchpad.net/nova/+bug/1434855
/os-extended-volumes/v2.3/server-get-resp.json
/os-extended-volumes/v2.3/servers-detail-resp.json </v>
      </c>
      <c r="C583" s="81" t="str">
        <f>IFERROR(VLOOKUP(A583,Internal_lists_bugs!$A$2:$I7981,9,FALSE()),"please select a BUG ID")</f>
        <v>https://review.opendev.org/c/openstack/nova/+/155853</v>
      </c>
      <c r="D583" s="114"/>
      <c r="E583" s="114"/>
      <c r="F583" s="115"/>
      <c r="G583" s="16" t="s">
        <v>1515</v>
      </c>
      <c r="H583" s="16" t="s">
        <v>2165</v>
      </c>
      <c r="I583" s="82"/>
      <c r="J583" s="92"/>
      <c r="K583" s="82"/>
      <c r="M583" s="114"/>
      <c r="N583" s="1"/>
      <c r="O583" s="1"/>
      <c r="P583" s="51"/>
    </row>
    <row r="584">
      <c r="A584" s="16" t="s">
        <v>46</v>
      </c>
      <c r="B584" s="50" t="str">
        <f>IFERROR(HYPERLINK(VLOOKUP(A584,Internal_lists_bugs!$A$2:$C$73,3,FALSE()), VLOOKUP(A584,Internal_lists_bugs!$A$2:$C$73,3,FALSE())&amp;Char(10) &amp; Char(10) &amp; VLOOKUP(A584,Internal_lists_bugs!$A$2:$Z$73,26,FALSE())),"please select a BUG ID")</f>
        <v>https://bugs.launchpad.net/nova/+bug/1434855
/os-extended-volumes/v2.3/server-get-resp.json
/os-extended-volumes/v2.3/servers-detail-resp.json </v>
      </c>
      <c r="C584" s="81" t="str">
        <f>IFERROR(VLOOKUP(A584,Internal_lists_bugs!$A$2:$I7981,9,FALSE()),"please select a BUG ID")</f>
        <v>https://review.opendev.org/c/openstack/nova/+/155853</v>
      </c>
      <c r="D584" s="114"/>
      <c r="E584" s="114"/>
      <c r="F584" s="115"/>
      <c r="G584" s="16" t="s">
        <v>1678</v>
      </c>
      <c r="H584" s="16" t="s">
        <v>2166</v>
      </c>
      <c r="I584" s="82"/>
      <c r="J584" s="92"/>
      <c r="K584" s="82"/>
      <c r="M584" s="114" t="str">
        <f>VLOOKUP(A584,'BIC_(C_Variables)'!$A$3:$AS$43,45,FALSE())</f>
        <v/>
      </c>
      <c r="N584" s="1"/>
      <c r="O584" s="1"/>
      <c r="P584" s="81" t="str">
        <f>IFERROR(VLOOKUP(A584,Internal_lists_bugs!$A$2:$G7981,7,FALSE()),"please select a BUG ID")</f>
        <v>https://opendev.org/openstack/nova/commit/abc656d</v>
      </c>
    </row>
    <row r="585">
      <c r="A585" s="16" t="s">
        <v>46</v>
      </c>
      <c r="B585" s="50" t="str">
        <f>IFERROR(HYPERLINK(VLOOKUP(A585,Internal_lists_bugs!$A$2:$C$73,3,FALSE()), VLOOKUP(A585,Internal_lists_bugs!$A$2:$C$73,3,FALSE())&amp;Char(10) &amp; Char(10) &amp; VLOOKUP(A585,Internal_lists_bugs!$A$2:$Z$73,26,FALSE())),"please select a BUG ID")</f>
        <v>https://bugs.launchpad.net/nova/+bug/1434855
/os-extended-volumes/v2.3/server-get-resp.json
/os-extended-volumes/v2.3/servers-detail-resp.json </v>
      </c>
      <c r="C585" s="81" t="str">
        <f>IFERROR(VLOOKUP(A585,Internal_lists_bugs!$A$2:$I7981,9,FALSE()),"please select a BUG ID")</f>
        <v>https://review.opendev.org/c/openstack/nova/+/155853</v>
      </c>
      <c r="D585" s="114"/>
      <c r="E585" s="114"/>
      <c r="F585" s="115"/>
      <c r="G585" s="16" t="s">
        <v>2167</v>
      </c>
      <c r="H585" s="16" t="s">
        <v>2168</v>
      </c>
      <c r="I585" s="82"/>
      <c r="J585" s="92"/>
      <c r="K585" s="82"/>
      <c r="M585" s="114" t="str">
        <f>VLOOKUP(A585,'BIC_(C_Variables)'!$A$3:$AS$43,45,FALSE())</f>
        <v/>
      </c>
      <c r="N585" s="1"/>
      <c r="O585" s="1"/>
      <c r="P585" s="81" t="str">
        <f>IFERROR(VLOOKUP(A585,Internal_lists_bugs!$A$2:$G7981,7,FALSE()),"please select a BUG ID")</f>
        <v>https://opendev.org/openstack/nova/commit/abc656d</v>
      </c>
    </row>
    <row r="586">
      <c r="A586" s="16" t="s">
        <v>46</v>
      </c>
      <c r="B586" s="50" t="str">
        <f>IFERROR(HYPERLINK(VLOOKUP(A586,Internal_lists_bugs!$A$2:$C$73,3,FALSE()), VLOOKUP(A586,Internal_lists_bugs!$A$2:$C$73,3,FALSE())&amp;Char(10) &amp; Char(10) &amp; VLOOKUP(A586,Internal_lists_bugs!$A$2:$Z$73,26,FALSE())),"please select a BUG ID")</f>
        <v>https://bugs.launchpad.net/nova/+bug/1434855
/os-extended-volumes/v2.3/server-get-resp.json
/os-extended-volumes/v2.3/servers-detail-resp.json </v>
      </c>
      <c r="C586" s="81" t="str">
        <f>IFERROR(VLOOKUP(A586,Internal_lists_bugs!$A$2:$I7981,9,FALSE()),"please select a BUG ID")</f>
        <v>https://review.opendev.org/c/openstack/nova/+/155853</v>
      </c>
      <c r="D586" s="114"/>
      <c r="E586" s="114"/>
      <c r="F586" s="115"/>
      <c r="G586" s="16" t="s">
        <v>1536</v>
      </c>
      <c r="H586" s="16" t="s">
        <v>2169</v>
      </c>
      <c r="I586" s="82"/>
      <c r="J586" s="92"/>
      <c r="K586" s="82"/>
      <c r="M586" s="114" t="str">
        <f>VLOOKUP(A586,'BIC_(C_Variables)'!$A$3:$AS$43,45,FALSE())</f>
        <v/>
      </c>
      <c r="N586" s="1"/>
      <c r="O586" s="1"/>
      <c r="P586" s="81" t="str">
        <f>IFERROR(VLOOKUP(A586,Internal_lists_bugs!$A$2:$G7981,7,FALSE()),"please select a BUG ID")</f>
        <v>https://opendev.org/openstack/nova/commit/abc656d</v>
      </c>
    </row>
    <row r="587">
      <c r="A587" s="16" t="s">
        <v>46</v>
      </c>
      <c r="B587" s="50" t="str">
        <f>IFERROR(HYPERLINK(VLOOKUP(A587,Internal_lists_bugs!$A$2:$C$73,3,FALSE()), VLOOKUP(A587,Internal_lists_bugs!$A$2:$C$73,3,FALSE())&amp;Char(10) &amp; Char(10) &amp; VLOOKUP(A587,Internal_lists_bugs!$A$2:$Z$73,26,FALSE())),"please select a BUG ID")</f>
        <v>https://bugs.launchpad.net/nova/+bug/1434855
/os-extended-volumes/v2.3/server-get-resp.json
/os-extended-volumes/v2.3/servers-detail-resp.json </v>
      </c>
      <c r="C587" s="81" t="str">
        <f>IFERROR(VLOOKUP(A587,Internal_lists_bugs!$A$2:$I7981,9,FALSE()),"please select a BUG ID")</f>
        <v>https://review.opendev.org/c/openstack/nova/+/155853</v>
      </c>
      <c r="D587" s="114"/>
      <c r="E587" s="114"/>
      <c r="F587" s="115"/>
      <c r="G587" s="16" t="s">
        <v>1506</v>
      </c>
      <c r="H587" s="16" t="s">
        <v>2170</v>
      </c>
      <c r="I587" s="82"/>
      <c r="J587" s="92"/>
      <c r="K587" s="82"/>
      <c r="M587" s="114" t="str">
        <f>VLOOKUP(A587,'BIC_(C_Variables)'!$A$3:$AS$43,45,FALSE())</f>
        <v/>
      </c>
      <c r="N587" s="1"/>
      <c r="O587" s="1"/>
      <c r="P587" s="81" t="str">
        <f>IFERROR(VLOOKUP(A587,Internal_lists_bugs!$A$2:$G7981,7,FALSE()),"please select a BUG ID")</f>
        <v>https://opendev.org/openstack/nova/commit/abc656d</v>
      </c>
    </row>
    <row r="588">
      <c r="A588" s="16" t="s">
        <v>46</v>
      </c>
      <c r="B588" s="50" t="str">
        <f>IFERROR(HYPERLINK(VLOOKUP(A588,Internal_lists_bugs!$A$2:$C$73,3,FALSE()), VLOOKUP(A588,Internal_lists_bugs!$A$2:$C$73,3,FALSE())&amp;Char(10) &amp; Char(10) &amp; VLOOKUP(A588,Internal_lists_bugs!$A$2:$Z$73,26,FALSE())),"please select a BUG ID")</f>
        <v>https://bugs.launchpad.net/nova/+bug/1434855
/os-extended-volumes/v2.3/server-get-resp.json
/os-extended-volumes/v2.3/servers-detail-resp.json </v>
      </c>
      <c r="C588" s="81" t="str">
        <f>IFERROR(VLOOKUP(A588,Internal_lists_bugs!$A$2:$I7981,9,FALSE()),"please select a BUG ID")</f>
        <v>https://review.opendev.org/c/openstack/nova/+/155853</v>
      </c>
      <c r="D588" s="114"/>
      <c r="E588" s="114"/>
      <c r="F588" s="115"/>
      <c r="G588" s="16" t="s">
        <v>1779</v>
      </c>
      <c r="H588" s="16" t="s">
        <v>2171</v>
      </c>
      <c r="I588" s="82"/>
      <c r="J588" s="92"/>
      <c r="K588" s="82"/>
      <c r="M588" s="114" t="str">
        <f>VLOOKUP(A588,'BIC_(C_Variables)'!$A$3:$AS$43,45,FALSE())</f>
        <v/>
      </c>
      <c r="N588" s="1"/>
      <c r="O588" s="1"/>
      <c r="P588" s="81" t="str">
        <f>IFERROR(VLOOKUP(A588,Internal_lists_bugs!$A$2:$G7981,7,FALSE()),"please select a BUG ID")</f>
        <v>https://opendev.org/openstack/nova/commit/abc656d</v>
      </c>
    </row>
    <row r="589">
      <c r="A589" s="16" t="s">
        <v>46</v>
      </c>
      <c r="B589" s="50" t="str">
        <f>IFERROR(HYPERLINK(VLOOKUP(A589,Internal_lists_bugs!$A$2:$C$73,3,FALSE()), VLOOKUP(A589,Internal_lists_bugs!$A$2:$C$73,3,FALSE())&amp;Char(10) &amp; Char(10) &amp; VLOOKUP(A589,Internal_lists_bugs!$A$2:$Z$73,26,FALSE())),"please select a BUG ID")</f>
        <v>https://bugs.launchpad.net/nova/+bug/1434855
/os-extended-volumes/v2.3/server-get-resp.json
/os-extended-volumes/v2.3/servers-detail-resp.json </v>
      </c>
      <c r="C589" s="81" t="str">
        <f>IFERROR(VLOOKUP(A589,Internal_lists_bugs!$A$2:$I7981,9,FALSE()),"please select a BUG ID")</f>
        <v>https://review.opendev.org/c/openstack/nova/+/155853</v>
      </c>
      <c r="D589" s="114"/>
      <c r="E589" s="114"/>
      <c r="F589" s="115"/>
      <c r="G589" s="16" t="s">
        <v>1678</v>
      </c>
      <c r="H589" s="16" t="s">
        <v>2172</v>
      </c>
      <c r="I589" s="82"/>
      <c r="J589" s="92"/>
      <c r="K589" s="82"/>
      <c r="M589" s="114" t="str">
        <f>VLOOKUP(A589,'BIC_(C_Variables)'!$A$3:$AS$43,45,FALSE())</f>
        <v/>
      </c>
      <c r="N589" s="1"/>
      <c r="O589" s="1"/>
      <c r="P589" s="81" t="str">
        <f>IFERROR(VLOOKUP(A589,Internal_lists_bugs!$A$2:$G7981,7,FALSE()),"please select a BUG ID")</f>
        <v>https://opendev.org/openstack/nova/commit/abc656d</v>
      </c>
    </row>
    <row r="590">
      <c r="A590" s="16" t="s">
        <v>46</v>
      </c>
      <c r="B590" s="50" t="str">
        <f>IFERROR(HYPERLINK(VLOOKUP(A590,Internal_lists_bugs!$A$2:$C$73,3,FALSE()), VLOOKUP(A590,Internal_lists_bugs!$A$2:$C$73,3,FALSE())&amp;Char(10) &amp; Char(10) &amp; VLOOKUP(A590,Internal_lists_bugs!$A$2:$Z$73,26,FALSE())),"please select a BUG ID")</f>
        <v>https://bugs.launchpad.net/nova/+bug/1434855
/os-extended-volumes/v2.3/server-get-resp.json
/os-extended-volumes/v2.3/servers-detail-resp.json </v>
      </c>
      <c r="C590" s="81" t="str">
        <f>IFERROR(VLOOKUP(A590,Internal_lists_bugs!$A$2:$I7981,9,FALSE()),"please select a BUG ID")</f>
        <v>https://review.opendev.org/c/openstack/nova/+/155853</v>
      </c>
      <c r="D590" s="114"/>
      <c r="E590" s="114"/>
      <c r="F590" s="115"/>
      <c r="G590" s="16" t="s">
        <v>2173</v>
      </c>
      <c r="H590" s="16" t="s">
        <v>2174</v>
      </c>
      <c r="I590" s="82"/>
      <c r="J590" s="92"/>
      <c r="K590" s="82"/>
      <c r="M590" s="114" t="str">
        <f>VLOOKUP(A590,'BIC_(C_Variables)'!$A$3:$AS$43,45,FALSE())</f>
        <v/>
      </c>
      <c r="N590" s="1"/>
      <c r="O590" s="1"/>
      <c r="P590" s="81" t="str">
        <f>IFERROR(VLOOKUP(A590,Internal_lists_bugs!$A$2:$G7981,7,FALSE()),"please select a BUG ID")</f>
        <v>https://opendev.org/openstack/nova/commit/abc656d</v>
      </c>
    </row>
    <row r="591">
      <c r="A591" s="16" t="s">
        <v>46</v>
      </c>
      <c r="B591" s="50" t="str">
        <f>IFERROR(HYPERLINK(VLOOKUP(A591,Internal_lists_bugs!$A$2:$C$73,3,FALSE()), VLOOKUP(A591,Internal_lists_bugs!$A$2:$C$73,3,FALSE())&amp;Char(10) &amp; Char(10) &amp; VLOOKUP(A591,Internal_lists_bugs!$A$2:$Z$73,26,FALSE())),"please select a BUG ID")</f>
        <v>https://bugs.launchpad.net/nova/+bug/1434855
/os-extended-volumes/v2.3/server-get-resp.json
/os-extended-volumes/v2.3/servers-detail-resp.json </v>
      </c>
      <c r="C591" s="81" t="str">
        <f>IFERROR(VLOOKUP(A591,Internal_lists_bugs!$A$2:$I7981,9,FALSE()),"please select a BUG ID")</f>
        <v>https://review.opendev.org/c/openstack/nova/+/155853</v>
      </c>
      <c r="D591" s="114"/>
      <c r="E591" s="114"/>
      <c r="F591" s="115"/>
      <c r="G591" s="16" t="s">
        <v>2175</v>
      </c>
      <c r="H591" s="16" t="s">
        <v>2176</v>
      </c>
      <c r="I591" s="82"/>
      <c r="J591" s="92"/>
      <c r="K591" s="82"/>
      <c r="M591" s="114" t="str">
        <f>VLOOKUP(A591,'BIC_(C_Variables)'!$A$3:$AS$43,45,FALSE())</f>
        <v/>
      </c>
      <c r="N591" s="1"/>
      <c r="O591" s="1"/>
      <c r="P591" s="81" t="str">
        <f>IFERROR(VLOOKUP(A591,Internal_lists_bugs!$A$2:$G7981,7,FALSE()),"please select a BUG ID")</f>
        <v>https://opendev.org/openstack/nova/commit/abc656d</v>
      </c>
    </row>
    <row r="592">
      <c r="A592" s="16" t="s">
        <v>46</v>
      </c>
      <c r="B592" s="50" t="str">
        <f>IFERROR(HYPERLINK(VLOOKUP(A592,Internal_lists_bugs!$A$2:$C$73,3,FALSE()), VLOOKUP(A592,Internal_lists_bugs!$A$2:$C$73,3,FALSE())&amp;Char(10) &amp; Char(10) &amp; VLOOKUP(A592,Internal_lists_bugs!$A$2:$Z$73,26,FALSE())),"please select a BUG ID")</f>
        <v>https://bugs.launchpad.net/nova/+bug/1434855
/os-extended-volumes/v2.3/server-get-resp.json
/os-extended-volumes/v2.3/servers-detail-resp.json </v>
      </c>
      <c r="C592" s="81" t="str">
        <f>IFERROR(VLOOKUP(A592,Internal_lists_bugs!$A$2:$I7981,9,FALSE()),"please select a BUG ID")</f>
        <v>https://review.opendev.org/c/openstack/nova/+/155853</v>
      </c>
      <c r="D592" s="114"/>
      <c r="E592" s="114"/>
      <c r="F592" s="115"/>
      <c r="G592" s="16" t="s">
        <v>2177</v>
      </c>
      <c r="H592" s="16" t="s">
        <v>2178</v>
      </c>
      <c r="I592" s="82"/>
      <c r="J592" s="92"/>
      <c r="K592" s="82"/>
      <c r="M592" s="114"/>
      <c r="N592" s="1"/>
      <c r="O592" s="1"/>
      <c r="P592" s="51"/>
    </row>
    <row r="593">
      <c r="A593" s="16" t="s">
        <v>46</v>
      </c>
      <c r="B593" s="50" t="str">
        <f>IFERROR(HYPERLINK(VLOOKUP(A593,Internal_lists_bugs!$A$2:$C$73,3,FALSE()), VLOOKUP(A593,Internal_lists_bugs!$A$2:$C$73,3,FALSE())&amp;Char(10) &amp; Char(10) &amp; VLOOKUP(A593,Internal_lists_bugs!$A$2:$Z$73,26,FALSE())),"please select a BUG ID")</f>
        <v>https://bugs.launchpad.net/nova/+bug/1434855
/os-extended-volumes/v2.3/server-get-resp.json
/os-extended-volumes/v2.3/servers-detail-resp.json </v>
      </c>
      <c r="C593" s="81" t="str">
        <f>IFERROR(VLOOKUP(A593,Internal_lists_bugs!$A$2:$I7981,9,FALSE()),"please select a BUG ID")</f>
        <v>https://review.opendev.org/c/openstack/nova/+/155853</v>
      </c>
      <c r="D593" s="114"/>
      <c r="E593" s="114"/>
      <c r="F593" s="115"/>
      <c r="G593" s="16" t="s">
        <v>1529</v>
      </c>
      <c r="H593" s="16" t="s">
        <v>2178</v>
      </c>
      <c r="I593" s="82"/>
      <c r="J593" s="92"/>
      <c r="K593" s="82"/>
      <c r="M593" s="114"/>
      <c r="N593" s="1"/>
      <c r="O593" s="1"/>
      <c r="P593" s="51"/>
    </row>
    <row r="594">
      <c r="A594" s="16" t="s">
        <v>46</v>
      </c>
      <c r="B594" s="50" t="str">
        <f>IFERROR(HYPERLINK(VLOOKUP(A594,Internal_lists_bugs!$A$2:$C$73,3,FALSE()), VLOOKUP(A594,Internal_lists_bugs!$A$2:$C$73,3,FALSE())&amp;Char(10) &amp; Char(10) &amp; VLOOKUP(A594,Internal_lists_bugs!$A$2:$Z$73,26,FALSE())),"please select a BUG ID")</f>
        <v>https://bugs.launchpad.net/nova/+bug/1434855
/os-extended-volumes/v2.3/server-get-resp.json
/os-extended-volumes/v2.3/servers-detail-resp.json </v>
      </c>
      <c r="C594" s="81" t="str">
        <f>IFERROR(VLOOKUP(A594,Internal_lists_bugs!$A$2:$I7981,9,FALSE()),"please select a BUG ID")</f>
        <v>https://review.opendev.org/c/openstack/nova/+/155853</v>
      </c>
      <c r="D594" s="114"/>
      <c r="E594" s="114"/>
      <c r="F594" s="115"/>
      <c r="G594" s="16" t="s">
        <v>2179</v>
      </c>
      <c r="H594" s="16" t="s">
        <v>2180</v>
      </c>
      <c r="I594" s="82"/>
      <c r="J594" s="92"/>
      <c r="K594" s="82"/>
      <c r="M594" s="114" t="str">
        <f>VLOOKUP(A594,'BIC_(C_Variables)'!$A$3:$AS$43,45,FALSE())</f>
        <v/>
      </c>
      <c r="N594" s="1"/>
      <c r="O594" s="1"/>
      <c r="P594" s="81" t="str">
        <f>IFERROR(VLOOKUP(A594,Internal_lists_bugs!$A$2:$G7981,7,FALSE()),"please select a BUG ID")</f>
        <v>https://opendev.org/openstack/nova/commit/abc656d</v>
      </c>
    </row>
    <row r="595">
      <c r="A595" s="16" t="s">
        <v>46</v>
      </c>
      <c r="B595" s="50" t="str">
        <f>IFERROR(HYPERLINK(VLOOKUP(A595,Internal_lists_bugs!$A$2:$C$73,3,FALSE()), VLOOKUP(A595,Internal_lists_bugs!$A$2:$C$73,3,FALSE())&amp;Char(10) &amp; Char(10) &amp; VLOOKUP(A595,Internal_lists_bugs!$A$2:$Z$73,26,FALSE())),"please select a BUG ID")</f>
        <v>https://bugs.launchpad.net/nova/+bug/1434855
/os-extended-volumes/v2.3/server-get-resp.json
/os-extended-volumes/v2.3/servers-detail-resp.json </v>
      </c>
      <c r="C595" s="81" t="str">
        <f>IFERROR(VLOOKUP(A595,Internal_lists_bugs!$A$2:$I7981,9,FALSE()),"please select a BUG ID")</f>
        <v>https://review.opendev.org/c/openstack/nova/+/155853</v>
      </c>
      <c r="D595" s="114"/>
      <c r="E595" s="114"/>
      <c r="F595" s="115"/>
      <c r="G595" s="16" t="s">
        <v>1639</v>
      </c>
      <c r="H595" s="16" t="s">
        <v>2181</v>
      </c>
      <c r="I595" s="82"/>
      <c r="J595" s="92"/>
      <c r="K595" s="82"/>
      <c r="M595" s="114" t="str">
        <f>VLOOKUP(A595,'BIC_(C_Variables)'!$A$3:$AS$43,45,FALSE())</f>
        <v/>
      </c>
      <c r="N595" s="1"/>
      <c r="O595" s="1"/>
      <c r="P595" s="81" t="str">
        <f>IFERROR(VLOOKUP(A595,Internal_lists_bugs!$A$2:$G7981,7,FALSE()),"please select a BUG ID")</f>
        <v>https://opendev.org/openstack/nova/commit/abc656d</v>
      </c>
    </row>
    <row r="596">
      <c r="A596" s="16" t="s">
        <v>46</v>
      </c>
      <c r="B596" s="50" t="str">
        <f>IFERROR(HYPERLINK(VLOOKUP(A596,Internal_lists_bugs!$A$2:$C$73,3,FALSE()), VLOOKUP(A596,Internal_lists_bugs!$A$2:$C$73,3,FALSE())&amp;Char(10) &amp; Char(10) &amp; VLOOKUP(A596,Internal_lists_bugs!$A$2:$Z$73,26,FALSE())),"please select a BUG ID")</f>
        <v>https://bugs.launchpad.net/nova/+bug/1434855
/os-extended-volumes/v2.3/server-get-resp.json
/os-extended-volumes/v2.3/servers-detail-resp.json </v>
      </c>
      <c r="C596" s="81" t="str">
        <f>IFERROR(VLOOKUP(A596,Internal_lists_bugs!$A$2:$I7981,9,FALSE()),"please select a BUG ID")</f>
        <v>https://review.opendev.org/c/openstack/nova/+/155853</v>
      </c>
      <c r="D596" s="114"/>
      <c r="E596" s="114"/>
      <c r="F596" s="115"/>
      <c r="G596" s="16" t="s">
        <v>1641</v>
      </c>
      <c r="H596" s="16" t="s">
        <v>2182</v>
      </c>
      <c r="I596" s="82"/>
      <c r="J596" s="92"/>
      <c r="K596" s="82"/>
      <c r="M596" s="114" t="str">
        <f>VLOOKUP(A596,'BIC_(C_Variables)'!$A$3:$AS$43,45,FALSE())</f>
        <v/>
      </c>
      <c r="N596" s="1"/>
      <c r="O596" s="1"/>
      <c r="P596" s="81" t="str">
        <f>IFERROR(VLOOKUP(A596,Internal_lists_bugs!$A$2:$G7981,7,FALSE()),"please select a BUG ID")</f>
        <v>https://opendev.org/openstack/nova/commit/abc656d</v>
      </c>
    </row>
    <row r="597">
      <c r="A597" s="16" t="s">
        <v>46</v>
      </c>
      <c r="B597" s="50" t="str">
        <f>IFERROR(HYPERLINK(VLOOKUP(A597,Internal_lists_bugs!$A$2:$C$73,3,FALSE()), VLOOKUP(A597,Internal_lists_bugs!$A$2:$C$73,3,FALSE())&amp;Char(10) &amp; Char(10) &amp; VLOOKUP(A597,Internal_lists_bugs!$A$2:$Z$73,26,FALSE())),"please select a BUG ID")</f>
        <v>https://bugs.launchpad.net/nova/+bug/1434855
/os-extended-volumes/v2.3/server-get-resp.json
/os-extended-volumes/v2.3/servers-detail-resp.json </v>
      </c>
      <c r="C597" s="81" t="str">
        <f>IFERROR(VLOOKUP(A597,Internal_lists_bugs!$A$2:$I7981,9,FALSE()),"please select a BUG ID")</f>
        <v>https://review.opendev.org/c/openstack/nova/+/155853</v>
      </c>
      <c r="D597" s="114"/>
      <c r="E597" s="114"/>
      <c r="F597" s="115"/>
      <c r="G597" s="16" t="s">
        <v>2183</v>
      </c>
      <c r="H597" s="16" t="s">
        <v>2184</v>
      </c>
      <c r="I597" s="82"/>
      <c r="J597" s="92"/>
      <c r="K597" s="82"/>
      <c r="M597" s="114" t="str">
        <f>VLOOKUP(A597,'BIC_(C_Variables)'!$A$3:$AS$43,45,FALSE())</f>
        <v/>
      </c>
      <c r="N597" s="1"/>
      <c r="O597" s="1"/>
      <c r="P597" s="81" t="str">
        <f>IFERROR(VLOOKUP(A597,Internal_lists_bugs!$A$2:$G7981,7,FALSE()),"please select a BUG ID")</f>
        <v>https://opendev.org/openstack/nova/commit/abc656d</v>
      </c>
    </row>
    <row r="598">
      <c r="A598" s="16" t="s">
        <v>46</v>
      </c>
      <c r="B598" s="50" t="str">
        <f>IFERROR(HYPERLINK(VLOOKUP(A598,Internal_lists_bugs!$A$2:$C$73,3,FALSE()), VLOOKUP(A598,Internal_lists_bugs!$A$2:$C$73,3,FALSE())&amp;Char(10) &amp; Char(10) &amp; VLOOKUP(A598,Internal_lists_bugs!$A$2:$Z$73,26,FALSE())),"please select a BUG ID")</f>
        <v>https://bugs.launchpad.net/nova/+bug/1434855
/os-extended-volumes/v2.3/server-get-resp.json
/os-extended-volumes/v2.3/servers-detail-resp.json </v>
      </c>
      <c r="C598" s="81" t="str">
        <f>IFERROR(VLOOKUP(A598,Internal_lists_bugs!$A$2:$I7981,9,FALSE()),"please select a BUG ID")</f>
        <v>https://review.opendev.org/c/openstack/nova/+/155853</v>
      </c>
      <c r="D598" s="114"/>
      <c r="E598" s="114"/>
      <c r="F598" s="115"/>
      <c r="G598" s="16" t="s">
        <v>2185</v>
      </c>
      <c r="H598" s="16" t="s">
        <v>2186</v>
      </c>
      <c r="I598" s="82"/>
      <c r="J598" s="92"/>
      <c r="K598" s="82"/>
      <c r="M598" s="114" t="str">
        <f>VLOOKUP(A598,'BIC_(C_Variables)'!$A$3:$AS$43,45,FALSE())</f>
        <v/>
      </c>
      <c r="N598" s="1"/>
      <c r="O598" s="1"/>
      <c r="P598" s="81" t="str">
        <f>IFERROR(VLOOKUP(A598,Internal_lists_bugs!$A$2:$G7981,7,FALSE()),"please select a BUG ID")</f>
        <v>https://opendev.org/openstack/nova/commit/abc656d</v>
      </c>
    </row>
    <row r="599">
      <c r="A599" s="16" t="s">
        <v>46</v>
      </c>
      <c r="B599" s="50" t="str">
        <f>IFERROR(HYPERLINK(VLOOKUP(A599,Internal_lists_bugs!$A$2:$C$73,3,FALSE()), VLOOKUP(A599,Internal_lists_bugs!$A$2:$C$73,3,FALSE())&amp;Char(10) &amp; Char(10) &amp; VLOOKUP(A599,Internal_lists_bugs!$A$2:$Z$73,26,FALSE())),"please select a BUG ID")</f>
        <v>https://bugs.launchpad.net/nova/+bug/1434855
/os-extended-volumes/v2.3/server-get-resp.json
/os-extended-volumes/v2.3/servers-detail-resp.json </v>
      </c>
      <c r="C599" s="81" t="str">
        <f>IFERROR(VLOOKUP(A599,Internal_lists_bugs!$A$2:$I7981,9,FALSE()),"please select a BUG ID")</f>
        <v>https://review.opendev.org/c/openstack/nova/+/155853</v>
      </c>
      <c r="D599" s="114"/>
      <c r="E599" s="114"/>
      <c r="F599" s="115"/>
      <c r="G599" s="16" t="s">
        <v>2187</v>
      </c>
      <c r="H599" s="16" t="s">
        <v>2188</v>
      </c>
      <c r="I599" s="82"/>
      <c r="J599" s="92"/>
      <c r="K599" s="82"/>
      <c r="M599" s="114" t="str">
        <f>VLOOKUP(A599,'BIC_(C_Variables)'!$A$3:$AS$43,45,FALSE())</f>
        <v/>
      </c>
      <c r="N599" s="1"/>
      <c r="O599" s="1"/>
      <c r="P599" s="81" t="str">
        <f>IFERROR(VLOOKUP(A599,Internal_lists_bugs!$A$2:$G7981,7,FALSE()),"please select a BUG ID")</f>
        <v>https://opendev.org/openstack/nova/commit/abc656d</v>
      </c>
    </row>
    <row r="600">
      <c r="A600" s="16" t="s">
        <v>46</v>
      </c>
      <c r="B600" s="50" t="str">
        <f>IFERROR(HYPERLINK(VLOOKUP(A600,Internal_lists_bugs!$A$2:$C$73,3,FALSE()), VLOOKUP(A600,Internal_lists_bugs!$A$2:$C$73,3,FALSE())&amp;Char(10) &amp; Char(10) &amp; VLOOKUP(A600,Internal_lists_bugs!$A$2:$Z$73,26,FALSE())),"please select a BUG ID")</f>
        <v>https://bugs.launchpad.net/nova/+bug/1434855
/os-extended-volumes/v2.3/server-get-resp.json
/os-extended-volumes/v2.3/servers-detail-resp.json </v>
      </c>
      <c r="C600" s="81" t="str">
        <f>IFERROR(VLOOKUP(A600,Internal_lists_bugs!$A$2:$I7981,9,FALSE()),"please select a BUG ID")</f>
        <v>https://review.opendev.org/c/openstack/nova/+/155853</v>
      </c>
      <c r="D600" s="114"/>
      <c r="E600" s="114"/>
      <c r="F600" s="115"/>
      <c r="G600" s="16" t="s">
        <v>1678</v>
      </c>
      <c r="H600" s="16" t="s">
        <v>2189</v>
      </c>
      <c r="I600" s="82"/>
      <c r="J600" s="92"/>
      <c r="K600" s="82"/>
      <c r="M600" s="114" t="str">
        <f>VLOOKUP(A600,'BIC_(C_Variables)'!$A$3:$AS$43,45,FALSE())</f>
        <v/>
      </c>
      <c r="N600" s="1"/>
      <c r="O600" s="1"/>
      <c r="P600" s="81" t="str">
        <f>IFERROR(VLOOKUP(A600,Internal_lists_bugs!$A$2:$G7981,7,FALSE()),"please select a BUG ID")</f>
        <v>https://opendev.org/openstack/nova/commit/abc656d</v>
      </c>
    </row>
    <row r="601">
      <c r="A601" s="16" t="s">
        <v>46</v>
      </c>
      <c r="B601" s="50" t="str">
        <f>IFERROR(HYPERLINK(VLOOKUP(A601,Internal_lists_bugs!$A$2:$C$73,3,FALSE()), VLOOKUP(A601,Internal_lists_bugs!$A$2:$C$73,3,FALSE())&amp;Char(10) &amp; Char(10) &amp; VLOOKUP(A601,Internal_lists_bugs!$A$2:$Z$73,26,FALSE())),"please select a BUG ID")</f>
        <v>https://bugs.launchpad.net/nova/+bug/1434855
/os-extended-volumes/v2.3/server-get-resp.json
/os-extended-volumes/v2.3/servers-detail-resp.json </v>
      </c>
      <c r="C601" s="81" t="str">
        <f>IFERROR(VLOOKUP(A601,Internal_lists_bugs!$A$2:$I7981,9,FALSE()),"please select a BUG ID")</f>
        <v>https://review.opendev.org/c/openstack/nova/+/155853</v>
      </c>
      <c r="D601" s="114"/>
      <c r="E601" s="114"/>
      <c r="F601" s="115"/>
      <c r="G601" s="16" t="s">
        <v>1498</v>
      </c>
      <c r="H601" s="16" t="s">
        <v>2190</v>
      </c>
      <c r="I601" s="82"/>
      <c r="J601" s="92"/>
      <c r="K601" s="82"/>
      <c r="M601" s="114" t="str">
        <f>VLOOKUP(A601,'BIC_(C_Variables)'!$A$3:$AS$43,45,FALSE())</f>
        <v/>
      </c>
      <c r="N601" s="1"/>
      <c r="O601" s="1"/>
      <c r="P601" s="81" t="str">
        <f>IFERROR(VLOOKUP(A601,Internal_lists_bugs!$A$2:$G7981,7,FALSE()),"please select a BUG ID")</f>
        <v>https://opendev.org/openstack/nova/commit/abc656d</v>
      </c>
    </row>
    <row r="602">
      <c r="A602" s="16" t="s">
        <v>46</v>
      </c>
      <c r="B602" s="50" t="str">
        <f>IFERROR(HYPERLINK(VLOOKUP(A602,Internal_lists_bugs!$A$2:$C$73,3,FALSE()), VLOOKUP(A602,Internal_lists_bugs!$A$2:$C$73,3,FALSE())&amp;Char(10) &amp; Char(10) &amp; VLOOKUP(A602,Internal_lists_bugs!$A$2:$Z$73,26,FALSE())),"please select a BUG ID")</f>
        <v>https://bugs.launchpad.net/nova/+bug/1434855
/os-extended-volumes/v2.3/server-get-resp.json
/os-extended-volumes/v2.3/servers-detail-resp.json </v>
      </c>
      <c r="C602" s="81" t="str">
        <f>IFERROR(VLOOKUP(A602,Internal_lists_bugs!$A$2:$I7981,9,FALSE()),"please select a BUG ID")</f>
        <v>https://review.opendev.org/c/openstack/nova/+/155853</v>
      </c>
      <c r="D602" s="114"/>
      <c r="E602" s="114"/>
      <c r="F602" s="115"/>
      <c r="G602" s="16" t="s">
        <v>1546</v>
      </c>
      <c r="H602" s="16" t="s">
        <v>2191</v>
      </c>
      <c r="I602" s="82"/>
      <c r="J602" s="92"/>
      <c r="K602" s="82"/>
      <c r="M602" s="114"/>
      <c r="N602" s="1"/>
      <c r="O602" s="1"/>
      <c r="P602" s="51"/>
    </row>
    <row r="603">
      <c r="A603" s="16" t="s">
        <v>46</v>
      </c>
      <c r="B603" s="50" t="str">
        <f>IFERROR(HYPERLINK(VLOOKUP(A603,Internal_lists_bugs!$A$2:$C$73,3,FALSE()), VLOOKUP(A603,Internal_lists_bugs!$A$2:$C$73,3,FALSE())&amp;Char(10) &amp; Char(10) &amp; VLOOKUP(A603,Internal_lists_bugs!$A$2:$Z$73,26,FALSE())),"please select a BUG ID")</f>
        <v>https://bugs.launchpad.net/nova/+bug/1434855
/os-extended-volumes/v2.3/server-get-resp.json
/os-extended-volumes/v2.3/servers-detail-resp.json </v>
      </c>
      <c r="C603" s="81" t="str">
        <f>IFERROR(VLOOKUP(A603,Internal_lists_bugs!$A$2:$I7981,9,FALSE()),"please select a BUG ID")</f>
        <v>https://review.opendev.org/c/openstack/nova/+/155853</v>
      </c>
      <c r="D603" s="114"/>
      <c r="E603" s="114"/>
      <c r="F603" s="115"/>
      <c r="G603" s="16" t="s">
        <v>1531</v>
      </c>
      <c r="H603" s="16" t="s">
        <v>2192</v>
      </c>
      <c r="I603" s="82"/>
      <c r="J603" s="92"/>
      <c r="K603" s="82"/>
      <c r="M603" s="114" t="str">
        <f>VLOOKUP(A603,'BIC_(C_Variables)'!$A$3:$AS$43,45,FALSE())</f>
        <v/>
      </c>
      <c r="N603" s="1"/>
      <c r="O603" s="1"/>
      <c r="P603" s="81" t="str">
        <f>IFERROR(VLOOKUP(A603,Internal_lists_bugs!$A$2:$G7981,7,FALSE()),"please select a BUG ID")</f>
        <v>https://opendev.org/openstack/nova/commit/abc656d</v>
      </c>
    </row>
    <row r="604">
      <c r="A604" s="16" t="s">
        <v>46</v>
      </c>
      <c r="B604" s="50" t="str">
        <f>IFERROR(HYPERLINK(VLOOKUP(A604,Internal_lists_bugs!$A$2:$C$73,3,FALSE()), VLOOKUP(A604,Internal_lists_bugs!$A$2:$C$73,3,FALSE())&amp;Char(10) &amp; Char(10) &amp; VLOOKUP(A604,Internal_lists_bugs!$A$2:$Z$73,26,FALSE())),"please select a BUG ID")</f>
        <v>https://bugs.launchpad.net/nova/+bug/1434855
/os-extended-volumes/v2.3/server-get-resp.json
/os-extended-volumes/v2.3/servers-detail-resp.json </v>
      </c>
      <c r="C604" s="81" t="str">
        <f>IFERROR(VLOOKUP(A604,Internal_lists_bugs!$A$2:$I7981,9,FALSE()),"please select a BUG ID")</f>
        <v>https://review.opendev.org/c/openstack/nova/+/155853</v>
      </c>
      <c r="D604" s="114"/>
      <c r="E604" s="114"/>
      <c r="F604" s="115"/>
      <c r="G604" s="16" t="s">
        <v>1624</v>
      </c>
      <c r="H604" s="16" t="s">
        <v>2193</v>
      </c>
      <c r="I604" s="82"/>
      <c r="J604" s="92"/>
      <c r="K604" s="82"/>
      <c r="M604" s="114" t="str">
        <f>VLOOKUP(A604,'BIC_(C_Variables)'!$A$3:$AS$43,45,FALSE())</f>
        <v/>
      </c>
      <c r="N604" s="1"/>
      <c r="O604" s="1"/>
      <c r="P604" s="81" t="str">
        <f>IFERROR(VLOOKUP(A604,Internal_lists_bugs!$A$2:$G7981,7,FALSE()),"please select a BUG ID")</f>
        <v>https://opendev.org/openstack/nova/commit/abc656d</v>
      </c>
    </row>
    <row r="605">
      <c r="A605" s="16" t="s">
        <v>46</v>
      </c>
      <c r="B605" s="50" t="str">
        <f>IFERROR(HYPERLINK(VLOOKUP(A605,Internal_lists_bugs!$A$2:$C$73,3,FALSE()), VLOOKUP(A605,Internal_lists_bugs!$A$2:$C$73,3,FALSE())&amp;Char(10) &amp; Char(10) &amp; VLOOKUP(A605,Internal_lists_bugs!$A$2:$Z$73,26,FALSE())),"please select a BUG ID")</f>
        <v>https://bugs.launchpad.net/nova/+bug/1434855
/os-extended-volumes/v2.3/server-get-resp.json
/os-extended-volumes/v2.3/servers-detail-resp.json </v>
      </c>
      <c r="C605" s="81" t="str">
        <f>IFERROR(VLOOKUP(A605,Internal_lists_bugs!$A$2:$I7981,9,FALSE()),"please select a BUG ID")</f>
        <v>https://review.opendev.org/c/openstack/nova/+/155853</v>
      </c>
      <c r="D605" s="114"/>
      <c r="E605" s="114"/>
      <c r="F605" s="115"/>
      <c r="G605" s="16" t="s">
        <v>2173</v>
      </c>
      <c r="H605" s="16" t="s">
        <v>2194</v>
      </c>
      <c r="I605" s="82"/>
      <c r="J605" s="92"/>
      <c r="K605" s="82"/>
      <c r="M605" s="114" t="str">
        <f>VLOOKUP(A605,'BIC_(C_Variables)'!$A$3:$AS$43,45,FALSE())</f>
        <v/>
      </c>
      <c r="N605" s="1"/>
      <c r="O605" s="1"/>
      <c r="P605" s="81" t="str">
        <f>IFERROR(VLOOKUP(A605,Internal_lists_bugs!$A$2:$G7981,7,FALSE()),"please select a BUG ID")</f>
        <v>https://opendev.org/openstack/nova/commit/abc656d</v>
      </c>
    </row>
    <row r="606">
      <c r="A606" s="16" t="s">
        <v>46</v>
      </c>
      <c r="B606" s="50" t="str">
        <f>IFERROR(HYPERLINK(VLOOKUP(A606,Internal_lists_bugs!$A$2:$C$73,3,FALSE()), VLOOKUP(A606,Internal_lists_bugs!$A$2:$C$73,3,FALSE())&amp;Char(10) &amp; Char(10) &amp; VLOOKUP(A606,Internal_lists_bugs!$A$2:$Z$73,26,FALSE())),"please select a BUG ID")</f>
        <v>https://bugs.launchpad.net/nova/+bug/1434855
/os-extended-volumes/v2.3/server-get-resp.json
/os-extended-volumes/v2.3/servers-detail-resp.json </v>
      </c>
      <c r="C606" s="81" t="str">
        <f>IFERROR(VLOOKUP(A606,Internal_lists_bugs!$A$2:$I7981,9,FALSE()),"please select a BUG ID")</f>
        <v>https://review.opendev.org/c/openstack/nova/+/155853</v>
      </c>
      <c r="D606" s="114"/>
      <c r="E606" s="114"/>
      <c r="F606" s="115"/>
      <c r="G606" s="16" t="s">
        <v>2195</v>
      </c>
      <c r="H606" s="16" t="s">
        <v>2196</v>
      </c>
      <c r="I606" s="82"/>
      <c r="J606" s="92"/>
      <c r="K606" s="82"/>
      <c r="M606" s="114" t="str">
        <f>VLOOKUP(A606,'BIC_(C_Variables)'!$A$3:$AS$43,45,FALSE())</f>
        <v/>
      </c>
      <c r="N606" s="1"/>
      <c r="O606" s="1"/>
      <c r="P606" s="81" t="str">
        <f>IFERROR(VLOOKUP(A606,Internal_lists_bugs!$A$2:$G7981,7,FALSE()),"please select a BUG ID")</f>
        <v>https://opendev.org/openstack/nova/commit/abc656d</v>
      </c>
    </row>
    <row r="607">
      <c r="A607" s="16" t="s">
        <v>46</v>
      </c>
      <c r="B607" s="50" t="str">
        <f>IFERROR(HYPERLINK(VLOOKUP(A607,Internal_lists_bugs!$A$2:$C$73,3,FALSE()), VLOOKUP(A607,Internal_lists_bugs!$A$2:$C$73,3,FALSE())&amp;Char(10) &amp; Char(10) &amp; VLOOKUP(A607,Internal_lists_bugs!$A$2:$Z$73,26,FALSE())),"please select a BUG ID")</f>
        <v>https://bugs.launchpad.net/nova/+bug/1434855
/os-extended-volumes/v2.3/server-get-resp.json
/os-extended-volumes/v2.3/servers-detail-resp.json </v>
      </c>
      <c r="C607" s="81" t="str">
        <f>IFERROR(VLOOKUP(A607,Internal_lists_bugs!$A$2:$I7981,9,FALSE()),"please select a BUG ID")</f>
        <v>https://review.opendev.org/c/openstack/nova/+/155853</v>
      </c>
      <c r="D607" s="114"/>
      <c r="E607" s="114"/>
      <c r="F607" s="115"/>
      <c r="G607" s="16" t="s">
        <v>1551</v>
      </c>
      <c r="H607" s="16" t="s">
        <v>2197</v>
      </c>
      <c r="I607" s="82"/>
      <c r="J607" s="92"/>
      <c r="K607" s="82"/>
      <c r="M607" s="114"/>
      <c r="N607" s="1"/>
      <c r="O607" s="1"/>
      <c r="P607" s="51"/>
    </row>
    <row r="608">
      <c r="A608" s="16" t="s">
        <v>46</v>
      </c>
      <c r="B608" s="50" t="str">
        <f>IFERROR(HYPERLINK(VLOOKUP(A608,Internal_lists_bugs!$A$2:$C$73,3,FALSE()), VLOOKUP(A608,Internal_lists_bugs!$A$2:$C$73,3,FALSE())&amp;Char(10) &amp; Char(10) &amp; VLOOKUP(A608,Internal_lists_bugs!$A$2:$Z$73,26,FALSE())),"please select a BUG ID")</f>
        <v>https://bugs.launchpad.net/nova/+bug/1434855
/os-extended-volumes/v2.3/server-get-resp.json
/os-extended-volumes/v2.3/servers-detail-resp.json </v>
      </c>
      <c r="C608" s="81" t="str">
        <f>IFERROR(VLOOKUP(A608,Internal_lists_bugs!$A$2:$I7981,9,FALSE()),"please select a BUG ID")</f>
        <v>https://review.opendev.org/c/openstack/nova/+/155853</v>
      </c>
      <c r="D608" s="114"/>
      <c r="E608" s="114"/>
      <c r="F608" s="115"/>
      <c r="G608" s="16" t="s">
        <v>2198</v>
      </c>
      <c r="H608" s="16" t="s">
        <v>2199</v>
      </c>
      <c r="I608" s="82"/>
      <c r="J608" s="92"/>
      <c r="K608" s="82"/>
      <c r="M608" s="114" t="str">
        <f>VLOOKUP(A608,'BIC_(C_Variables)'!$A$3:$AS$43,45,FALSE())</f>
        <v/>
      </c>
      <c r="N608" s="1"/>
      <c r="O608" s="1"/>
      <c r="P608" s="81" t="str">
        <f>IFERROR(VLOOKUP(A608,Internal_lists_bugs!$A$2:$G7981,7,FALSE()),"please select a BUG ID")</f>
        <v>https://opendev.org/openstack/nova/commit/abc656d</v>
      </c>
    </row>
    <row r="609">
      <c r="A609" s="16" t="s">
        <v>46</v>
      </c>
      <c r="B609" s="50" t="str">
        <f>IFERROR(HYPERLINK(VLOOKUP(A609,Internal_lists_bugs!$A$2:$C$73,3,FALSE()), VLOOKUP(A609,Internal_lists_bugs!$A$2:$C$73,3,FALSE())&amp;Char(10) &amp; Char(10) &amp; VLOOKUP(A609,Internal_lists_bugs!$A$2:$Z$73,26,FALSE())),"please select a BUG ID")</f>
        <v>https://bugs.launchpad.net/nova/+bug/1434855
/os-extended-volumes/v2.3/server-get-resp.json
/os-extended-volumes/v2.3/servers-detail-resp.json </v>
      </c>
      <c r="C609" s="81" t="str">
        <f>IFERROR(VLOOKUP(A609,Internal_lists_bugs!$A$2:$I7981,9,FALSE()),"please select a BUG ID")</f>
        <v>https://review.opendev.org/c/openstack/nova/+/155853</v>
      </c>
      <c r="D609" s="114"/>
      <c r="E609" s="114"/>
      <c r="F609" s="115"/>
      <c r="G609" s="16" t="s">
        <v>2200</v>
      </c>
      <c r="H609" s="16" t="s">
        <v>2201</v>
      </c>
      <c r="I609" s="82"/>
      <c r="J609" s="92"/>
      <c r="K609" s="82"/>
      <c r="M609" s="114" t="str">
        <f>VLOOKUP(A609,'BIC_(C_Variables)'!$A$3:$AS$43,45,FALSE())</f>
        <v/>
      </c>
      <c r="N609" s="1"/>
      <c r="O609" s="1"/>
      <c r="P609" s="81" t="str">
        <f>IFERROR(VLOOKUP(A609,Internal_lists_bugs!$A$2:$G7981,7,FALSE()),"please select a BUG ID")</f>
        <v>https://opendev.org/openstack/nova/commit/abc656d</v>
      </c>
    </row>
    <row r="610">
      <c r="A610" s="16" t="s">
        <v>46</v>
      </c>
      <c r="B610" s="50" t="str">
        <f>IFERROR(HYPERLINK(VLOOKUP(A610,Internal_lists_bugs!$A$2:$C$73,3,FALSE()), VLOOKUP(A610,Internal_lists_bugs!$A$2:$C$73,3,FALSE())&amp;Char(10) &amp; Char(10) &amp; VLOOKUP(A610,Internal_lists_bugs!$A$2:$Z$73,26,FALSE())),"please select a BUG ID")</f>
        <v>https://bugs.launchpad.net/nova/+bug/1434855
/os-extended-volumes/v2.3/server-get-resp.json
/os-extended-volumes/v2.3/servers-detail-resp.json </v>
      </c>
      <c r="C610" s="81" t="str">
        <f>IFERROR(VLOOKUP(A610,Internal_lists_bugs!$A$2:$I7981,9,FALSE()),"please select a BUG ID")</f>
        <v>https://review.opendev.org/c/openstack/nova/+/155853</v>
      </c>
      <c r="D610" s="114"/>
      <c r="E610" s="114"/>
      <c r="F610" s="115"/>
      <c r="G610" s="16" t="s">
        <v>1555</v>
      </c>
      <c r="H610" s="16" t="s">
        <v>2202</v>
      </c>
      <c r="I610" s="82"/>
      <c r="J610" s="92"/>
      <c r="K610" s="82"/>
      <c r="M610" s="114"/>
      <c r="N610" s="1"/>
      <c r="O610" s="1"/>
      <c r="P610" s="51"/>
    </row>
    <row r="611">
      <c r="A611" s="16" t="s">
        <v>46</v>
      </c>
      <c r="B611" s="50" t="str">
        <f>IFERROR(HYPERLINK(VLOOKUP(A611,Internal_lists_bugs!$A$2:$C$73,3,FALSE()), VLOOKUP(A611,Internal_lists_bugs!$A$2:$C$73,3,FALSE())&amp;Char(10) &amp; Char(10) &amp; VLOOKUP(A611,Internal_lists_bugs!$A$2:$Z$73,26,FALSE())),"please select a BUG ID")</f>
        <v>https://bugs.launchpad.net/nova/+bug/1434855
/os-extended-volumes/v2.3/server-get-resp.json
/os-extended-volumes/v2.3/servers-detail-resp.json </v>
      </c>
      <c r="C611" s="81" t="str">
        <f>IFERROR(VLOOKUP(A611,Internal_lists_bugs!$A$2:$I7981,9,FALSE()),"please select a BUG ID")</f>
        <v>https://review.opendev.org/c/openstack/nova/+/155853</v>
      </c>
      <c r="D611" s="114"/>
      <c r="E611" s="114"/>
      <c r="F611" s="115"/>
      <c r="G611" s="16" t="s">
        <v>2187</v>
      </c>
      <c r="H611" s="16" t="s">
        <v>2203</v>
      </c>
      <c r="I611" s="82"/>
      <c r="J611" s="92"/>
      <c r="K611" s="82"/>
      <c r="M611" s="114" t="str">
        <f>VLOOKUP(A611,'BIC_(C_Variables)'!$A$3:$AS$43,45,FALSE())</f>
        <v/>
      </c>
      <c r="N611" s="1"/>
      <c r="O611" s="1"/>
      <c r="P611" s="81" t="str">
        <f>IFERROR(VLOOKUP(A611,Internal_lists_bugs!$A$2:$G7981,7,FALSE()),"please select a BUG ID")</f>
        <v>https://opendev.org/openstack/nova/commit/abc656d</v>
      </c>
    </row>
    <row r="612">
      <c r="A612" s="16" t="s">
        <v>46</v>
      </c>
      <c r="B612" s="50" t="str">
        <f>IFERROR(HYPERLINK(VLOOKUP(A612,Internal_lists_bugs!$A$2:$C$73,3,FALSE()), VLOOKUP(A612,Internal_lists_bugs!$A$2:$C$73,3,FALSE())&amp;Char(10) &amp; Char(10) &amp; VLOOKUP(A612,Internal_lists_bugs!$A$2:$Z$73,26,FALSE())),"please select a BUG ID")</f>
        <v>https://bugs.launchpad.net/nova/+bug/1434855
/os-extended-volumes/v2.3/server-get-resp.json
/os-extended-volumes/v2.3/servers-detail-resp.json </v>
      </c>
      <c r="C612" s="81" t="str">
        <f>IFERROR(VLOOKUP(A612,Internal_lists_bugs!$A$2:$I7981,9,FALSE()),"please select a BUG ID")</f>
        <v>https://review.opendev.org/c/openstack/nova/+/155853</v>
      </c>
      <c r="D612" s="114"/>
      <c r="E612" s="114"/>
      <c r="F612" s="115"/>
      <c r="G612" s="16" t="s">
        <v>2185</v>
      </c>
      <c r="H612" s="16" t="s">
        <v>2204</v>
      </c>
      <c r="I612" s="82"/>
      <c r="J612" s="92"/>
      <c r="K612" s="82"/>
      <c r="M612" s="114" t="str">
        <f>VLOOKUP(A612,'BIC_(C_Variables)'!$A$3:$AS$43,45,FALSE())</f>
        <v/>
      </c>
      <c r="N612" s="1"/>
      <c r="O612" s="1"/>
      <c r="P612" s="81" t="str">
        <f>IFERROR(VLOOKUP(A612,Internal_lists_bugs!$A$2:$G7981,7,FALSE()),"please select a BUG ID")</f>
        <v>https://opendev.org/openstack/nova/commit/abc656d</v>
      </c>
    </row>
    <row r="613">
      <c r="A613" s="16" t="s">
        <v>46</v>
      </c>
      <c r="B613" s="50" t="str">
        <f>IFERROR(HYPERLINK(VLOOKUP(A613,Internal_lists_bugs!$A$2:$C$73,3,FALSE()), VLOOKUP(A613,Internal_lists_bugs!$A$2:$C$73,3,FALSE())&amp;Char(10) &amp; Char(10) &amp; VLOOKUP(A613,Internal_lists_bugs!$A$2:$Z$73,26,FALSE())),"please select a BUG ID")</f>
        <v>https://bugs.launchpad.net/nova/+bug/1434855
/os-extended-volumes/v2.3/server-get-resp.json
/os-extended-volumes/v2.3/servers-detail-resp.json </v>
      </c>
      <c r="C613" s="81" t="str">
        <f>IFERROR(VLOOKUP(A613,Internal_lists_bugs!$A$2:$I7981,9,FALSE()),"please select a BUG ID")</f>
        <v>https://review.opendev.org/c/openstack/nova/+/155853</v>
      </c>
      <c r="D613" s="114"/>
      <c r="E613" s="114"/>
      <c r="F613" s="115"/>
      <c r="G613" s="16" t="s">
        <v>1750</v>
      </c>
      <c r="H613" s="16" t="s">
        <v>2205</v>
      </c>
      <c r="I613" s="82"/>
      <c r="J613" s="92"/>
      <c r="K613" s="82"/>
      <c r="M613" s="114" t="str">
        <f>VLOOKUP(A613,'BIC_(C_Variables)'!$A$3:$AS$43,45,FALSE())</f>
        <v/>
      </c>
      <c r="N613" s="1"/>
      <c r="O613" s="1"/>
      <c r="P613" s="81" t="str">
        <f>IFERROR(VLOOKUP(A613,Internal_lists_bugs!$A$2:$G7981,7,FALSE()),"please select a BUG ID")</f>
        <v>https://opendev.org/openstack/nova/commit/abc656d</v>
      </c>
    </row>
    <row r="614">
      <c r="A614" s="16" t="s">
        <v>46</v>
      </c>
      <c r="B614" s="50" t="str">
        <f>IFERROR(HYPERLINK(VLOOKUP(A614,Internal_lists_bugs!$A$2:$C$73,3,FALSE()), VLOOKUP(A614,Internal_lists_bugs!$A$2:$C$73,3,FALSE())&amp;Char(10) &amp; Char(10) &amp; VLOOKUP(A614,Internal_lists_bugs!$A$2:$Z$73,26,FALSE())),"please select a BUG ID")</f>
        <v>https://bugs.launchpad.net/nova/+bug/1434855
/os-extended-volumes/v2.3/server-get-resp.json
/os-extended-volumes/v2.3/servers-detail-resp.json </v>
      </c>
      <c r="C614" s="81" t="str">
        <f>IFERROR(VLOOKUP(A614,Internal_lists_bugs!$A$2:$I7981,9,FALSE()),"please select a BUG ID")</f>
        <v>https://review.opendev.org/c/openstack/nova/+/155853</v>
      </c>
      <c r="D614" s="114"/>
      <c r="E614" s="114"/>
      <c r="F614" s="115"/>
      <c r="G614" s="16" t="s">
        <v>1555</v>
      </c>
      <c r="H614" s="16" t="s">
        <v>2206</v>
      </c>
      <c r="I614" s="82"/>
      <c r="J614" s="92"/>
      <c r="K614" s="82"/>
      <c r="M614" s="114"/>
      <c r="N614" s="1"/>
      <c r="O614" s="1"/>
      <c r="P614" s="51"/>
    </row>
    <row r="615">
      <c r="A615" s="16" t="s">
        <v>46</v>
      </c>
      <c r="B615" s="50" t="str">
        <f>IFERROR(HYPERLINK(VLOOKUP(A615,Internal_lists_bugs!$A$2:$C$73,3,FALSE()), VLOOKUP(A615,Internal_lists_bugs!$A$2:$C$73,3,FALSE())&amp;Char(10) &amp; Char(10) &amp; VLOOKUP(A615,Internal_lists_bugs!$A$2:$Z$73,26,FALSE())),"please select a BUG ID")</f>
        <v>https://bugs.launchpad.net/nova/+bug/1434855
/os-extended-volumes/v2.3/server-get-resp.json
/os-extended-volumes/v2.3/servers-detail-resp.json </v>
      </c>
      <c r="C615" s="81" t="str">
        <f>IFERROR(VLOOKUP(A615,Internal_lists_bugs!$A$2:$I7981,9,FALSE()),"please select a BUG ID")</f>
        <v>https://review.opendev.org/c/openstack/nova/+/155853</v>
      </c>
      <c r="D615" s="114"/>
      <c r="E615" s="114"/>
      <c r="F615" s="115"/>
      <c r="G615" s="16" t="s">
        <v>1678</v>
      </c>
      <c r="H615" s="16" t="s">
        <v>2207</v>
      </c>
      <c r="I615" s="82"/>
      <c r="J615" s="92"/>
      <c r="K615" s="82"/>
      <c r="M615" s="114" t="str">
        <f>VLOOKUP(A615,'BIC_(C_Variables)'!$A$3:$AS$43,45,FALSE())</f>
        <v/>
      </c>
      <c r="N615" s="1"/>
      <c r="O615" s="1"/>
      <c r="P615" s="81" t="str">
        <f>IFERROR(VLOOKUP(A615,Internal_lists_bugs!$A$2:$G7981,7,FALSE()),"please select a BUG ID")</f>
        <v>https://opendev.org/openstack/nova/commit/abc656d</v>
      </c>
    </row>
    <row r="616">
      <c r="A616" s="16" t="s">
        <v>46</v>
      </c>
      <c r="B616" s="50" t="str">
        <f>IFERROR(HYPERLINK(VLOOKUP(A616,Internal_lists_bugs!$A$2:$C$73,3,FALSE()), VLOOKUP(A616,Internal_lists_bugs!$A$2:$C$73,3,FALSE())&amp;Char(10) &amp; Char(10) &amp; VLOOKUP(A616,Internal_lists_bugs!$A$2:$Z$73,26,FALSE())),"please select a BUG ID")</f>
        <v>https://bugs.launchpad.net/nova/+bug/1434855
/os-extended-volumes/v2.3/server-get-resp.json
/os-extended-volumes/v2.3/servers-detail-resp.json </v>
      </c>
      <c r="C616" s="81" t="str">
        <f>IFERROR(VLOOKUP(A616,Internal_lists_bugs!$A$2:$I7981,9,FALSE()),"please select a BUG ID")</f>
        <v>https://review.opendev.org/c/openstack/nova/+/155853</v>
      </c>
      <c r="D616" s="114"/>
      <c r="E616" s="114"/>
      <c r="F616" s="115"/>
      <c r="G616" s="16" t="s">
        <v>1686</v>
      </c>
      <c r="H616" s="16" t="s">
        <v>2208</v>
      </c>
      <c r="I616" s="82"/>
      <c r="J616" s="92"/>
      <c r="K616" s="82"/>
      <c r="M616" s="114" t="str">
        <f>VLOOKUP(A616,'BIC_(C_Variables)'!$A$3:$AS$43,45,FALSE())</f>
        <v/>
      </c>
      <c r="N616" s="1"/>
      <c r="O616" s="1"/>
      <c r="P616" s="81" t="str">
        <f>IFERROR(VLOOKUP(A616,Internal_lists_bugs!$A$2:$G7981,7,FALSE()),"please select a BUG ID")</f>
        <v>https://opendev.org/openstack/nova/commit/abc656d</v>
      </c>
    </row>
    <row r="617">
      <c r="A617" s="16" t="s">
        <v>46</v>
      </c>
      <c r="B617" s="50" t="str">
        <f>IFERROR(HYPERLINK(VLOOKUP(A617,Internal_lists_bugs!$A$2:$C$73,3,FALSE()), VLOOKUP(A617,Internal_lists_bugs!$A$2:$C$73,3,FALSE())&amp;Char(10) &amp; Char(10) &amp; VLOOKUP(A617,Internal_lists_bugs!$A$2:$Z$73,26,FALSE())),"please select a BUG ID")</f>
        <v>https://bugs.launchpad.net/nova/+bug/1434855
/os-extended-volumes/v2.3/server-get-resp.json
/os-extended-volumes/v2.3/servers-detail-resp.json </v>
      </c>
      <c r="C617" s="81" t="str">
        <f>IFERROR(VLOOKUP(A617,Internal_lists_bugs!$A$2:$I7981,9,FALSE()),"please select a BUG ID")</f>
        <v>https://review.opendev.org/c/openstack/nova/+/155853</v>
      </c>
      <c r="D617" s="114"/>
      <c r="E617" s="114"/>
      <c r="F617" s="115"/>
      <c r="G617" s="16" t="s">
        <v>1696</v>
      </c>
      <c r="H617" s="16" t="s">
        <v>2209</v>
      </c>
      <c r="I617" s="82"/>
      <c r="J617" s="92"/>
      <c r="K617" s="82"/>
      <c r="M617" s="114" t="str">
        <f>VLOOKUP(A617,'BIC_(C_Variables)'!$A$3:$AS$43,45,FALSE())</f>
        <v/>
      </c>
      <c r="N617" s="1"/>
      <c r="O617" s="1"/>
      <c r="P617" s="81" t="str">
        <f>IFERROR(VLOOKUP(A617,Internal_lists_bugs!$A$2:$G7981,7,FALSE()),"please select a BUG ID")</f>
        <v>https://opendev.org/openstack/nova/commit/abc656d</v>
      </c>
    </row>
    <row r="618">
      <c r="A618" s="16" t="s">
        <v>46</v>
      </c>
      <c r="B618" s="50" t="str">
        <f>IFERROR(HYPERLINK(VLOOKUP(A618,Internal_lists_bugs!$A$2:$C$73,3,FALSE()), VLOOKUP(A618,Internal_lists_bugs!$A$2:$C$73,3,FALSE())&amp;Char(10) &amp; Char(10) &amp; VLOOKUP(A618,Internal_lists_bugs!$A$2:$Z$73,26,FALSE())),"please select a BUG ID")</f>
        <v>https://bugs.launchpad.net/nova/+bug/1434855
/os-extended-volumes/v2.3/server-get-resp.json
/os-extended-volumes/v2.3/servers-detail-resp.json </v>
      </c>
      <c r="C618" s="81" t="str">
        <f>IFERROR(VLOOKUP(A618,Internal_lists_bugs!$A$2:$I7981,9,FALSE()),"please select a BUG ID")</f>
        <v>https://review.opendev.org/c/openstack/nova/+/155853</v>
      </c>
      <c r="D618" s="114"/>
      <c r="E618" s="114"/>
      <c r="F618" s="115"/>
      <c r="G618" s="16" t="s">
        <v>1566</v>
      </c>
      <c r="H618" s="16" t="s">
        <v>2210</v>
      </c>
      <c r="I618" s="82"/>
      <c r="J618" s="92"/>
      <c r="K618" s="82"/>
      <c r="M618" s="114" t="str">
        <f>VLOOKUP(A618,'BIC_(C_Variables)'!$A$3:$AS$43,45,FALSE())</f>
        <v/>
      </c>
      <c r="N618" s="1"/>
      <c r="O618" s="1"/>
      <c r="P618" s="81" t="str">
        <f>IFERROR(VLOOKUP(A618,Internal_lists_bugs!$A$2:$G7981,7,FALSE()),"please select a BUG ID")</f>
        <v>https://opendev.org/openstack/nova/commit/abc656d</v>
      </c>
    </row>
    <row r="619">
      <c r="A619" s="16" t="s">
        <v>46</v>
      </c>
      <c r="B619" s="50" t="str">
        <f>IFERROR(HYPERLINK(VLOOKUP(A619,Internal_lists_bugs!$A$2:$C$73,3,FALSE()), VLOOKUP(A619,Internal_lists_bugs!$A$2:$C$73,3,FALSE())&amp;Char(10) &amp; Char(10) &amp; VLOOKUP(A619,Internal_lists_bugs!$A$2:$Z$73,26,FALSE())),"please select a BUG ID")</f>
        <v>https://bugs.launchpad.net/nova/+bug/1434855
/os-extended-volumes/v2.3/server-get-resp.json
/os-extended-volumes/v2.3/servers-detail-resp.json </v>
      </c>
      <c r="C619" s="81" t="str">
        <f>IFERROR(VLOOKUP(A619,Internal_lists_bugs!$A$2:$I7981,9,FALSE()),"please select a BUG ID")</f>
        <v>https://review.opendev.org/c/openstack/nova/+/155853</v>
      </c>
      <c r="D619" s="114"/>
      <c r="E619" s="114"/>
      <c r="F619" s="115"/>
      <c r="G619" s="16" t="s">
        <v>2099</v>
      </c>
      <c r="H619" s="16" t="s">
        <v>2211</v>
      </c>
      <c r="I619" s="82"/>
      <c r="J619" s="92"/>
      <c r="K619" s="82"/>
      <c r="M619" s="114"/>
      <c r="N619" s="1"/>
      <c r="O619" s="1"/>
      <c r="P619" s="51"/>
    </row>
    <row r="620">
      <c r="A620" s="16" t="s">
        <v>46</v>
      </c>
      <c r="B620" s="50" t="str">
        <f>IFERROR(HYPERLINK(VLOOKUP(A620,Internal_lists_bugs!$A$2:$C$73,3,FALSE()), VLOOKUP(A620,Internal_lists_bugs!$A$2:$C$73,3,FALSE())&amp;Char(10) &amp; Char(10) &amp; VLOOKUP(A620,Internal_lists_bugs!$A$2:$Z$73,26,FALSE())),"please select a BUG ID")</f>
        <v>https://bugs.launchpad.net/nova/+bug/1434855
/os-extended-volumes/v2.3/server-get-resp.json
/os-extended-volumes/v2.3/servers-detail-resp.json </v>
      </c>
      <c r="C620" s="81" t="str">
        <f>IFERROR(VLOOKUP(A620,Internal_lists_bugs!$A$2:$I7981,9,FALSE()),"please select a BUG ID")</f>
        <v>https://review.opendev.org/c/openstack/nova/+/155853</v>
      </c>
      <c r="D620" s="114"/>
      <c r="E620" s="114"/>
      <c r="F620" s="115"/>
      <c r="G620" s="16" t="s">
        <v>1570</v>
      </c>
      <c r="H620" s="16" t="s">
        <v>2211</v>
      </c>
      <c r="I620" s="82"/>
      <c r="J620" s="92"/>
      <c r="K620" s="82"/>
      <c r="M620" s="114" t="str">
        <f>VLOOKUP(A620,'BIC_(C_Variables)'!$A$3:$AS$43,45,FALSE())</f>
        <v/>
      </c>
      <c r="N620" s="1"/>
      <c r="O620" s="1"/>
      <c r="P620" s="81" t="str">
        <f>IFERROR(VLOOKUP(A620,Internal_lists_bugs!$A$2:$G7981,7,FALSE()),"please select a BUG ID")</f>
        <v>https://opendev.org/openstack/nova/commit/abc656d</v>
      </c>
    </row>
    <row r="621">
      <c r="A621" s="16" t="s">
        <v>46</v>
      </c>
      <c r="B621" s="50" t="str">
        <f>IFERROR(HYPERLINK(VLOOKUP(A621,Internal_lists_bugs!$A$2:$C$73,3,FALSE()), VLOOKUP(A621,Internal_lists_bugs!$A$2:$C$73,3,FALSE())&amp;Char(10) &amp; Char(10) &amp; VLOOKUP(A621,Internal_lists_bugs!$A$2:$Z$73,26,FALSE())),"please select a BUG ID")</f>
        <v>https://bugs.launchpad.net/nova/+bug/1434855
/os-extended-volumes/v2.3/server-get-resp.json
/os-extended-volumes/v2.3/servers-detail-resp.json </v>
      </c>
      <c r="C621" s="81" t="str">
        <f>IFERROR(VLOOKUP(A621,Internal_lists_bugs!$A$2:$I7981,9,FALSE()),"please select a BUG ID")</f>
        <v>https://review.opendev.org/c/openstack/nova/+/155853</v>
      </c>
      <c r="D621" s="112"/>
      <c r="E621" s="112"/>
      <c r="F621" s="113"/>
      <c r="G621" s="16" t="s">
        <v>1460</v>
      </c>
      <c r="H621" s="16" t="s">
        <v>1997</v>
      </c>
      <c r="I621" s="79"/>
      <c r="J621" s="93"/>
      <c r="K621" s="79"/>
      <c r="L621" s="16"/>
      <c r="M621" s="114" t="str">
        <f>VLOOKUP(A621,'BIC_(C_Variables)'!$A$3:$AS$43,45,FALSE())</f>
        <v/>
      </c>
      <c r="N621" s="1"/>
      <c r="O621" s="1"/>
      <c r="P621" s="81" t="str">
        <f>IFERROR(VLOOKUP(A621,Internal_lists_bugs!$A$2:$G7981,7,FALSE()),"please select a BUG ID")</f>
        <v>https://opendev.org/openstack/nova/commit/abc656d</v>
      </c>
    </row>
    <row r="622">
      <c r="A622" s="16" t="s">
        <v>47</v>
      </c>
      <c r="B622" s="50" t="str">
        <f>IFERROR(HYPERLINK(VLOOKUP(A622,Internal_lists_bugs!$A$2:$C$73,3,FALSE()), VLOOKUP(A622,Internal_lists_bugs!$A$2:$C$73,3,FALSE())&amp;Char(10) &amp; Char(10) &amp; VLOOKUP(A622,Internal_lists_bugs!$A$2:$Z$73,26,FALSE())),"please select a BUG ID")</f>
        <v>https://bugs.launchpad.net/nova/+bug/1447249
/virt/ironic/driver.py</v>
      </c>
      <c r="C622" s="81" t="str">
        <f>IFERROR(VLOOKUP(A622,Internal_lists_bugs!$A$2:$I7981,9,FALSE()),"please select a BUG ID")</f>
        <v>https://review.opendev.org/c/openstack/nova/+/144792</v>
      </c>
      <c r="D622" s="112" t="s">
        <v>1412</v>
      </c>
      <c r="E622" s="112" t="s">
        <v>1462</v>
      </c>
      <c r="F622" s="113" t="s">
        <v>251</v>
      </c>
      <c r="G622" s="16" t="s">
        <v>1417</v>
      </c>
      <c r="H622" s="16" t="s">
        <v>2212</v>
      </c>
      <c r="I622" s="79" t="s">
        <v>251</v>
      </c>
      <c r="J622" s="93" t="s">
        <v>2213</v>
      </c>
      <c r="K622" s="79" t="s">
        <v>251</v>
      </c>
      <c r="L622" s="16" t="s">
        <v>2214</v>
      </c>
      <c r="M622" s="114" t="str">
        <f>VLOOKUP(A622,'BIC_(C_Variables)'!$A$3:$AS$43,45,FALSE())</f>
        <v/>
      </c>
      <c r="N622" s="1"/>
      <c r="O622" s="1"/>
      <c r="P622" s="81" t="str">
        <f>IFERROR(VLOOKUP(A622,Internal_lists_bugs!$A$2:$G7981,7,FALSE()),"please select a BUG ID")</f>
        <v>https://opendev.org/openstack/nova/commit/1682c5b</v>
      </c>
    </row>
    <row r="623">
      <c r="A623" s="16" t="s">
        <v>47</v>
      </c>
      <c r="B623" s="50" t="str">
        <f>IFERROR(HYPERLINK(VLOOKUP(A623,Internal_lists_bugs!$A$2:$C$73,3,FALSE()), VLOOKUP(A623,Internal_lists_bugs!$A$2:$C$73,3,FALSE())&amp;Char(10) &amp; Char(10) &amp; VLOOKUP(A623,Internal_lists_bugs!$A$2:$Z$73,26,FALSE())),"please select a BUG ID")</f>
        <v>https://bugs.launchpad.net/nova/+bug/1447249
/virt/ironic/driver.py</v>
      </c>
      <c r="C623" s="81" t="str">
        <f>IFERROR(VLOOKUP(A623,Internal_lists_bugs!$A$2:$I7981,9,FALSE()),"please select a BUG ID")</f>
        <v>https://review.opendev.org/c/openstack/nova/+/144792</v>
      </c>
      <c r="D623" s="114"/>
      <c r="E623" s="114"/>
      <c r="F623" s="115"/>
      <c r="G623" s="16" t="s">
        <v>1626</v>
      </c>
      <c r="H623" s="16" t="s">
        <v>2105</v>
      </c>
      <c r="I623" s="82"/>
      <c r="J623" s="92"/>
      <c r="K623" s="82"/>
      <c r="M623" s="114" t="str">
        <f>VLOOKUP(A623,'BIC_(C_Variables)'!$A$3:$AS$43,45,FALSE())</f>
        <v/>
      </c>
      <c r="N623" s="1"/>
      <c r="O623" s="1"/>
      <c r="P623" s="81" t="str">
        <f>IFERROR(VLOOKUP(A623,Internal_lists_bugs!$A$2:$G7981,7,FALSE()),"please select a BUG ID")</f>
        <v>https://opendev.org/openstack/nova/commit/1682c5b</v>
      </c>
    </row>
    <row r="624">
      <c r="A624" s="16" t="s">
        <v>47</v>
      </c>
      <c r="B624" s="50" t="str">
        <f>IFERROR(HYPERLINK(VLOOKUP(A624,Internal_lists_bugs!$A$2:$C$73,3,FALSE()), VLOOKUP(A624,Internal_lists_bugs!$A$2:$C$73,3,FALSE())&amp;Char(10) &amp; Char(10) &amp; VLOOKUP(A624,Internal_lists_bugs!$A$2:$Z$73,26,FALSE())),"please select a BUG ID")</f>
        <v>https://bugs.launchpad.net/nova/+bug/1447249
/virt/ironic/driver.py</v>
      </c>
      <c r="C624" s="81" t="str">
        <f>IFERROR(VLOOKUP(A624,Internal_lists_bugs!$A$2:$I7981,9,FALSE()),"please select a BUG ID")</f>
        <v>https://review.opendev.org/c/openstack/nova/+/144792</v>
      </c>
      <c r="D624" s="114"/>
      <c r="E624" s="114"/>
      <c r="F624" s="115"/>
      <c r="G624" s="16" t="s">
        <v>1466</v>
      </c>
      <c r="H624" s="16" t="s">
        <v>2215</v>
      </c>
      <c r="I624" s="82"/>
      <c r="J624" s="92"/>
      <c r="K624" s="82"/>
      <c r="M624" s="114" t="str">
        <f>VLOOKUP(A624,'BIC_(C_Variables)'!$A$3:$AS$43,45,FALSE())</f>
        <v/>
      </c>
      <c r="N624" s="1"/>
      <c r="O624" s="1"/>
      <c r="P624" s="81" t="str">
        <f>IFERROR(VLOOKUP(A624,Internal_lists_bugs!$A$2:$G7981,7,FALSE()),"please select a BUG ID")</f>
        <v>https://opendev.org/openstack/nova/commit/1682c5b</v>
      </c>
    </row>
    <row r="625">
      <c r="A625" s="16" t="s">
        <v>47</v>
      </c>
      <c r="B625" s="50" t="str">
        <f>IFERROR(HYPERLINK(VLOOKUP(A625,Internal_lists_bugs!$A$2:$C$73,3,FALSE()), VLOOKUP(A625,Internal_lists_bugs!$A$2:$C$73,3,FALSE())&amp;Char(10) &amp; Char(10) &amp; VLOOKUP(A625,Internal_lists_bugs!$A$2:$Z$73,26,FALSE())),"please select a BUG ID")</f>
        <v>https://bugs.launchpad.net/nova/+bug/1447249
/virt/ironic/driver.py</v>
      </c>
      <c r="C625" s="81" t="str">
        <f>IFERROR(VLOOKUP(A625,Internal_lists_bugs!$A$2:$I7981,9,FALSE()),"please select a BUG ID")</f>
        <v>https://review.opendev.org/c/openstack/nova/+/144792</v>
      </c>
      <c r="D625" s="114"/>
      <c r="E625" s="114"/>
      <c r="F625" s="115"/>
      <c r="G625" s="16" t="s">
        <v>1419</v>
      </c>
      <c r="H625" s="16" t="s">
        <v>2216</v>
      </c>
      <c r="I625" s="82"/>
      <c r="J625" s="92"/>
      <c r="K625" s="82"/>
      <c r="M625" s="114" t="str">
        <f>VLOOKUP(A625,'BIC_(C_Variables)'!$A$3:$AS$43,45,FALSE())</f>
        <v/>
      </c>
      <c r="N625" s="1"/>
      <c r="O625" s="1"/>
      <c r="P625" s="81" t="str">
        <f>IFERROR(VLOOKUP(A625,Internal_lists_bugs!$A$2:$G7981,7,FALSE()),"please select a BUG ID")</f>
        <v>https://opendev.org/openstack/nova/commit/1682c5b</v>
      </c>
    </row>
    <row r="626">
      <c r="A626" s="16" t="s">
        <v>47</v>
      </c>
      <c r="B626" s="50" t="str">
        <f>IFERROR(HYPERLINK(VLOOKUP(A626,Internal_lists_bugs!$A$2:$C$73,3,FALSE()), VLOOKUP(A626,Internal_lists_bugs!$A$2:$C$73,3,FALSE())&amp;Char(10) &amp; Char(10) &amp; VLOOKUP(A626,Internal_lists_bugs!$A$2:$Z$73,26,FALSE())),"please select a BUG ID")</f>
        <v>https://bugs.launchpad.net/nova/+bug/1447249
/virt/ironic/driver.py</v>
      </c>
      <c r="C626" s="81" t="str">
        <f>IFERROR(VLOOKUP(A626,Internal_lists_bugs!$A$2:$I7981,9,FALSE()),"please select a BUG ID")</f>
        <v>https://review.opendev.org/c/openstack/nova/+/144792</v>
      </c>
      <c r="D626" s="114"/>
      <c r="E626" s="114"/>
      <c r="F626" s="115"/>
      <c r="G626" s="16" t="s">
        <v>1673</v>
      </c>
      <c r="H626" s="16" t="s">
        <v>2217</v>
      </c>
      <c r="I626" s="82"/>
      <c r="J626" s="92"/>
      <c r="K626" s="82"/>
      <c r="M626" s="114"/>
      <c r="N626" s="1"/>
      <c r="O626" s="1"/>
      <c r="P626" s="51"/>
    </row>
    <row r="627">
      <c r="A627" s="16" t="s">
        <v>47</v>
      </c>
      <c r="B627" s="50" t="str">
        <f>IFERROR(HYPERLINK(VLOOKUP(A627,Internal_lists_bugs!$A$2:$C$73,3,FALSE()), VLOOKUP(A627,Internal_lists_bugs!$A$2:$C$73,3,FALSE())&amp;Char(10) &amp; Char(10) &amp; VLOOKUP(A627,Internal_lists_bugs!$A$2:$Z$73,26,FALSE())),"please select a BUG ID")</f>
        <v>https://bugs.launchpad.net/nova/+bug/1447249
/virt/ironic/driver.py</v>
      </c>
      <c r="C627" s="81" t="str">
        <f>IFERROR(VLOOKUP(A627,Internal_lists_bugs!$A$2:$I7981,9,FALSE()),"please select a BUG ID")</f>
        <v>https://review.opendev.org/c/openstack/nova/+/144792</v>
      </c>
      <c r="D627" s="114"/>
      <c r="E627" s="114"/>
      <c r="F627" s="115"/>
      <c r="G627" s="16" t="s">
        <v>2218</v>
      </c>
      <c r="H627" s="16" t="s">
        <v>2219</v>
      </c>
      <c r="I627" s="82"/>
      <c r="J627" s="92"/>
      <c r="K627" s="82"/>
      <c r="M627" s="114" t="str">
        <f>VLOOKUP(A627,'BIC_(C_Variables)'!$A$3:$AS$43,45,FALSE())</f>
        <v/>
      </c>
      <c r="N627" s="1"/>
      <c r="O627" s="1"/>
      <c r="P627" s="81" t="str">
        <f>IFERROR(VLOOKUP(A627,Internal_lists_bugs!$A$2:$G7981,7,FALSE()),"please select a BUG ID")</f>
        <v>https://opendev.org/openstack/nova/commit/1682c5b</v>
      </c>
    </row>
    <row r="628">
      <c r="A628" s="16" t="s">
        <v>47</v>
      </c>
      <c r="B628" s="50" t="str">
        <f>IFERROR(HYPERLINK(VLOOKUP(A628,Internal_lists_bugs!$A$2:$C$73,3,FALSE()), VLOOKUP(A628,Internal_lists_bugs!$A$2:$C$73,3,FALSE())&amp;Char(10) &amp; Char(10) &amp; VLOOKUP(A628,Internal_lists_bugs!$A$2:$Z$73,26,FALSE())),"please select a BUG ID")</f>
        <v>https://bugs.launchpad.net/nova/+bug/1447249
/virt/ironic/driver.py</v>
      </c>
      <c r="C628" s="81" t="str">
        <f>IFERROR(VLOOKUP(A628,Internal_lists_bugs!$A$2:$I7981,9,FALSE()),"please select a BUG ID")</f>
        <v>https://review.opendev.org/c/openstack/nova/+/144792</v>
      </c>
      <c r="D628" s="114"/>
      <c r="E628" s="114"/>
      <c r="F628" s="115"/>
      <c r="G628" s="16" t="s">
        <v>1686</v>
      </c>
      <c r="H628" s="16" t="s">
        <v>2220</v>
      </c>
      <c r="I628" s="82"/>
      <c r="J628" s="92"/>
      <c r="K628" s="82"/>
      <c r="M628" s="114" t="str">
        <f>VLOOKUP(A628,'BIC_(C_Variables)'!$A$3:$AS$43,45,FALSE())</f>
        <v/>
      </c>
      <c r="N628" s="1"/>
      <c r="O628" s="1"/>
      <c r="P628" s="81" t="str">
        <f>IFERROR(VLOOKUP(A628,Internal_lists_bugs!$A$2:$G7981,7,FALSE()),"please select a BUG ID")</f>
        <v>https://opendev.org/openstack/nova/commit/1682c5b</v>
      </c>
    </row>
    <row r="629">
      <c r="A629" s="16" t="s">
        <v>47</v>
      </c>
      <c r="B629" s="50" t="str">
        <f>IFERROR(HYPERLINK(VLOOKUP(A629,Internal_lists_bugs!$A$2:$C$73,3,FALSE()), VLOOKUP(A629,Internal_lists_bugs!$A$2:$C$73,3,FALSE())&amp;Char(10) &amp; Char(10) &amp; VLOOKUP(A629,Internal_lists_bugs!$A$2:$Z$73,26,FALSE())),"please select a BUG ID")</f>
        <v>https://bugs.launchpad.net/nova/+bug/1447249
/virt/ironic/driver.py</v>
      </c>
      <c r="C629" s="81" t="str">
        <f>IFERROR(VLOOKUP(A629,Internal_lists_bugs!$A$2:$I7981,9,FALSE()),"please select a BUG ID")</f>
        <v>https://review.opendev.org/c/openstack/nova/+/144792</v>
      </c>
      <c r="D629" s="114"/>
      <c r="E629" s="114"/>
      <c r="F629" s="115"/>
      <c r="G629" s="16" t="s">
        <v>2221</v>
      </c>
      <c r="H629" s="16" t="s">
        <v>2222</v>
      </c>
      <c r="I629" s="82"/>
      <c r="J629" s="92"/>
      <c r="K629" s="82"/>
      <c r="M629" s="114"/>
      <c r="N629" s="1"/>
      <c r="O629" s="1"/>
      <c r="P629" s="51"/>
    </row>
    <row r="630">
      <c r="A630" s="16" t="s">
        <v>47</v>
      </c>
      <c r="B630" s="50" t="str">
        <f>IFERROR(HYPERLINK(VLOOKUP(A630,Internal_lists_bugs!$A$2:$C$73,3,FALSE()), VLOOKUP(A630,Internal_lists_bugs!$A$2:$C$73,3,FALSE())&amp;Char(10) &amp; Char(10) &amp; VLOOKUP(A630,Internal_lists_bugs!$A$2:$Z$73,26,FALSE())),"please select a BUG ID")</f>
        <v>https://bugs.launchpad.net/nova/+bug/1447249
/virt/ironic/driver.py</v>
      </c>
      <c r="C630" s="81" t="str">
        <f>IFERROR(VLOOKUP(A630,Internal_lists_bugs!$A$2:$I7981,9,FALSE()),"please select a BUG ID")</f>
        <v>https://review.opendev.org/c/openstack/nova/+/144792</v>
      </c>
      <c r="D630" s="114"/>
      <c r="E630" s="114"/>
      <c r="F630" s="115"/>
      <c r="G630" s="16" t="s">
        <v>1506</v>
      </c>
      <c r="H630" s="16" t="s">
        <v>2223</v>
      </c>
      <c r="I630" s="82"/>
      <c r="J630" s="92"/>
      <c r="K630" s="82"/>
      <c r="M630" s="114" t="str">
        <f>VLOOKUP(A630,'BIC_(C_Variables)'!$A$3:$AS$43,45,FALSE())</f>
        <v/>
      </c>
      <c r="N630" s="1"/>
      <c r="O630" s="1"/>
      <c r="P630" s="81" t="str">
        <f>IFERROR(VLOOKUP(A630,Internal_lists_bugs!$A$2:$G7981,7,FALSE()),"please select a BUG ID")</f>
        <v>https://opendev.org/openstack/nova/commit/1682c5b</v>
      </c>
    </row>
    <row r="631">
      <c r="A631" s="16" t="s">
        <v>47</v>
      </c>
      <c r="B631" s="50" t="str">
        <f>IFERROR(HYPERLINK(VLOOKUP(A631,Internal_lists_bugs!$A$2:$C$73,3,FALSE()), VLOOKUP(A631,Internal_lists_bugs!$A$2:$C$73,3,FALSE())&amp;Char(10) &amp; Char(10) &amp; VLOOKUP(A631,Internal_lists_bugs!$A$2:$Z$73,26,FALSE())),"please select a BUG ID")</f>
        <v>https://bugs.launchpad.net/nova/+bug/1447249
/virt/ironic/driver.py</v>
      </c>
      <c r="C631" s="81" t="str">
        <f>IFERROR(VLOOKUP(A631,Internal_lists_bugs!$A$2:$I7981,9,FALSE()),"please select a BUG ID")</f>
        <v>https://review.opendev.org/c/openstack/nova/+/144792</v>
      </c>
      <c r="D631" s="114"/>
      <c r="E631" s="114"/>
      <c r="F631" s="115"/>
      <c r="G631" s="16" t="s">
        <v>1495</v>
      </c>
      <c r="H631" s="16" t="s">
        <v>2224</v>
      </c>
      <c r="I631" s="82"/>
      <c r="J631" s="92"/>
      <c r="K631" s="82"/>
      <c r="M631" s="114" t="str">
        <f>VLOOKUP(A631,'BIC_(C_Variables)'!$A$3:$AS$43,45,FALSE())</f>
        <v/>
      </c>
      <c r="N631" s="1"/>
      <c r="O631" s="1"/>
      <c r="P631" s="81" t="str">
        <f>IFERROR(VLOOKUP(A631,Internal_lists_bugs!$A$2:$G7981,7,FALSE()),"please select a BUG ID")</f>
        <v>https://opendev.org/openstack/nova/commit/1682c5b</v>
      </c>
    </row>
    <row r="632">
      <c r="A632" s="16" t="s">
        <v>47</v>
      </c>
      <c r="B632" s="50" t="str">
        <f>IFERROR(HYPERLINK(VLOOKUP(A632,Internal_lists_bugs!$A$2:$C$73,3,FALSE()), VLOOKUP(A632,Internal_lists_bugs!$A$2:$C$73,3,FALSE())&amp;Char(10) &amp; Char(10) &amp; VLOOKUP(A632,Internal_lists_bugs!$A$2:$Z$73,26,FALSE())),"please select a BUG ID")</f>
        <v>https://bugs.launchpad.net/nova/+bug/1447249
/virt/ironic/driver.py</v>
      </c>
      <c r="C632" s="81" t="str">
        <f>IFERROR(VLOOKUP(A632,Internal_lists_bugs!$A$2:$I7981,9,FALSE()),"please select a BUG ID")</f>
        <v>https://review.opendev.org/c/openstack/nova/+/144792</v>
      </c>
      <c r="D632" s="114"/>
      <c r="E632" s="114"/>
      <c r="F632" s="115"/>
      <c r="G632" s="16" t="s">
        <v>1808</v>
      </c>
      <c r="H632" s="16" t="s">
        <v>2225</v>
      </c>
      <c r="I632" s="82"/>
      <c r="J632" s="92"/>
      <c r="K632" s="82"/>
      <c r="M632" s="114" t="str">
        <f>VLOOKUP(A632,'BIC_(C_Variables)'!$A$3:$AS$43,45,FALSE())</f>
        <v/>
      </c>
      <c r="N632" s="1"/>
      <c r="O632" s="1"/>
      <c r="P632" s="81" t="str">
        <f>IFERROR(VLOOKUP(A632,Internal_lists_bugs!$A$2:$G7981,7,FALSE()),"please select a BUG ID")</f>
        <v>https://opendev.org/openstack/nova/commit/1682c5b</v>
      </c>
    </row>
    <row r="633">
      <c r="A633" s="16" t="s">
        <v>47</v>
      </c>
      <c r="B633" s="50" t="str">
        <f>IFERROR(HYPERLINK(VLOOKUP(A633,Internal_lists_bugs!$A$2:$C$73,3,FALSE()), VLOOKUP(A633,Internal_lists_bugs!$A$2:$C$73,3,FALSE())&amp;Char(10) &amp; Char(10) &amp; VLOOKUP(A633,Internal_lists_bugs!$A$2:$Z$73,26,FALSE())),"please select a BUG ID")</f>
        <v>https://bugs.launchpad.net/nova/+bug/1447249
/virt/ironic/driver.py</v>
      </c>
      <c r="C633" s="81" t="str">
        <f>IFERROR(VLOOKUP(A633,Internal_lists_bugs!$A$2:$I7981,9,FALSE()),"please select a BUG ID")</f>
        <v>https://review.opendev.org/c/openstack/nova/+/144792</v>
      </c>
      <c r="D633" s="114"/>
      <c r="E633" s="114"/>
      <c r="F633" s="115"/>
      <c r="G633" s="16" t="s">
        <v>1842</v>
      </c>
      <c r="H633" s="16" t="s">
        <v>2226</v>
      </c>
      <c r="I633" s="82"/>
      <c r="J633" s="92"/>
      <c r="K633" s="82"/>
      <c r="M633" s="114" t="str">
        <f>VLOOKUP(A633,'BIC_(C_Variables)'!$A$3:$AS$43,45,FALSE())</f>
        <v/>
      </c>
      <c r="N633" s="1"/>
      <c r="O633" s="1"/>
      <c r="P633" s="81" t="str">
        <f>IFERROR(VLOOKUP(A633,Internal_lists_bugs!$A$2:$G7981,7,FALSE()),"please select a BUG ID")</f>
        <v>https://opendev.org/openstack/nova/commit/1682c5b</v>
      </c>
    </row>
    <row r="634">
      <c r="A634" s="16" t="s">
        <v>47</v>
      </c>
      <c r="B634" s="50" t="str">
        <f>IFERROR(HYPERLINK(VLOOKUP(A634,Internal_lists_bugs!$A$2:$C$73,3,FALSE()), VLOOKUP(A634,Internal_lists_bugs!$A$2:$C$73,3,FALSE())&amp;Char(10) &amp; Char(10) &amp; VLOOKUP(A634,Internal_lists_bugs!$A$2:$Z$73,26,FALSE())),"please select a BUG ID")</f>
        <v>https://bugs.launchpad.net/nova/+bug/1447249
/virt/ironic/driver.py</v>
      </c>
      <c r="C634" s="81" t="str">
        <f>IFERROR(VLOOKUP(A634,Internal_lists_bugs!$A$2:$I7981,9,FALSE()),"please select a BUG ID")</f>
        <v>https://review.opendev.org/c/openstack/nova/+/144792</v>
      </c>
      <c r="D634" s="114"/>
      <c r="E634" s="114"/>
      <c r="F634" s="115"/>
      <c r="G634" s="16" t="s">
        <v>2227</v>
      </c>
      <c r="H634" s="16" t="s">
        <v>2228</v>
      </c>
      <c r="I634" s="82"/>
      <c r="J634" s="92"/>
      <c r="K634" s="82"/>
      <c r="M634" s="114"/>
      <c r="N634" s="1"/>
      <c r="O634" s="1"/>
      <c r="P634" s="51"/>
    </row>
    <row r="635">
      <c r="A635" s="16" t="s">
        <v>47</v>
      </c>
      <c r="B635" s="50" t="str">
        <f>IFERROR(HYPERLINK(VLOOKUP(A635,Internal_lists_bugs!$A$2:$C$73,3,FALSE()), VLOOKUP(A635,Internal_lists_bugs!$A$2:$C$73,3,FALSE())&amp;Char(10) &amp; Char(10) &amp; VLOOKUP(A635,Internal_lists_bugs!$A$2:$Z$73,26,FALSE())),"please select a BUG ID")</f>
        <v>https://bugs.launchpad.net/nova/+bug/1447249
/virt/ironic/driver.py</v>
      </c>
      <c r="C635" s="81" t="str">
        <f>IFERROR(VLOOKUP(A635,Internal_lists_bugs!$A$2:$I7981,9,FALSE()),"please select a BUG ID")</f>
        <v>https://review.opendev.org/c/openstack/nova/+/144792</v>
      </c>
      <c r="D635" s="114"/>
      <c r="E635" s="114"/>
      <c r="F635" s="115"/>
      <c r="G635" s="16" t="s">
        <v>1696</v>
      </c>
      <c r="H635" s="16" t="s">
        <v>2229</v>
      </c>
      <c r="I635" s="82"/>
      <c r="J635" s="92"/>
      <c r="K635" s="82"/>
      <c r="M635" s="114" t="str">
        <f>VLOOKUP(A635,'BIC_(C_Variables)'!$A$3:$AS$43,45,FALSE())</f>
        <v/>
      </c>
      <c r="N635" s="1"/>
      <c r="O635" s="1"/>
      <c r="P635" s="81" t="str">
        <f>IFERROR(VLOOKUP(A635,Internal_lists_bugs!$A$2:$G7981,7,FALSE()),"please select a BUG ID")</f>
        <v>https://opendev.org/openstack/nova/commit/1682c5b</v>
      </c>
    </row>
    <row r="636">
      <c r="A636" s="16" t="s">
        <v>47</v>
      </c>
      <c r="B636" s="50" t="str">
        <f>IFERROR(HYPERLINK(VLOOKUP(A636,Internal_lists_bugs!$A$2:$C$73,3,FALSE()), VLOOKUP(A636,Internal_lists_bugs!$A$2:$C$73,3,FALSE())&amp;Char(10) &amp; Char(10) &amp; VLOOKUP(A636,Internal_lists_bugs!$A$2:$Z$73,26,FALSE())),"please select a BUG ID")</f>
        <v>https://bugs.launchpad.net/nova/+bug/1447249
/virt/ironic/driver.py</v>
      </c>
      <c r="C636" s="81" t="str">
        <f>IFERROR(VLOOKUP(A636,Internal_lists_bugs!$A$2:$I7981,9,FALSE()),"please select a BUG ID")</f>
        <v>https://review.opendev.org/c/openstack/nova/+/144792</v>
      </c>
      <c r="D636" s="114"/>
      <c r="E636" s="114"/>
      <c r="F636" s="115"/>
      <c r="G636" s="16" t="s">
        <v>2230</v>
      </c>
      <c r="H636" s="16" t="s">
        <v>2231</v>
      </c>
      <c r="I636" s="82"/>
      <c r="J636" s="92"/>
      <c r="K636" s="82"/>
      <c r="M636" s="114" t="str">
        <f>VLOOKUP(A636,'BIC_(C_Variables)'!$A$3:$AS$43,45,FALSE())</f>
        <v/>
      </c>
      <c r="N636" s="1"/>
      <c r="O636" s="1"/>
      <c r="P636" s="81" t="str">
        <f>IFERROR(VLOOKUP(A636,Internal_lists_bugs!$A$2:$G7981,7,FALSE()),"please select a BUG ID")</f>
        <v>https://opendev.org/openstack/nova/commit/1682c5b</v>
      </c>
    </row>
    <row r="637">
      <c r="A637" s="16" t="s">
        <v>47</v>
      </c>
      <c r="B637" s="50" t="str">
        <f>IFERROR(HYPERLINK(VLOOKUP(A637,Internal_lists_bugs!$A$2:$C$73,3,FALSE()), VLOOKUP(A637,Internal_lists_bugs!$A$2:$C$73,3,FALSE())&amp;Char(10) &amp; Char(10) &amp; VLOOKUP(A637,Internal_lists_bugs!$A$2:$Z$73,26,FALSE())),"please select a BUG ID")</f>
        <v>https://bugs.launchpad.net/nova/+bug/1447249
/virt/ironic/driver.py</v>
      </c>
      <c r="C637" s="81" t="str">
        <f>IFERROR(VLOOKUP(A637,Internal_lists_bugs!$A$2:$I7981,9,FALSE()),"please select a BUG ID")</f>
        <v>https://review.opendev.org/c/openstack/nova/+/144792</v>
      </c>
      <c r="D637" s="114"/>
      <c r="E637" s="114"/>
      <c r="F637" s="115"/>
      <c r="G637" s="16" t="s">
        <v>1728</v>
      </c>
      <c r="H637" s="16" t="s">
        <v>2232</v>
      </c>
      <c r="I637" s="82"/>
      <c r="J637" s="92"/>
      <c r="K637" s="82"/>
      <c r="M637" s="114" t="str">
        <f>VLOOKUP(A637,'BIC_(C_Variables)'!$A$3:$AS$43,45,FALSE())</f>
        <v/>
      </c>
      <c r="N637" s="1"/>
      <c r="O637" s="1"/>
      <c r="P637" s="81" t="str">
        <f>IFERROR(VLOOKUP(A637,Internal_lists_bugs!$A$2:$G7981,7,FALSE()),"please select a BUG ID")</f>
        <v>https://opendev.org/openstack/nova/commit/1682c5b</v>
      </c>
    </row>
    <row r="638">
      <c r="A638" s="16" t="s">
        <v>47</v>
      </c>
      <c r="B638" s="50" t="str">
        <f>IFERROR(HYPERLINK(VLOOKUP(A638,Internal_lists_bugs!$A$2:$C$73,3,FALSE()), VLOOKUP(A638,Internal_lists_bugs!$A$2:$C$73,3,FALSE())&amp;Char(10) &amp; Char(10) &amp; VLOOKUP(A638,Internal_lists_bugs!$A$2:$Z$73,26,FALSE())),"please select a BUG ID")</f>
        <v>https://bugs.launchpad.net/nova/+bug/1447249
/virt/ironic/driver.py</v>
      </c>
      <c r="C638" s="81" t="str">
        <f>IFERROR(VLOOKUP(A638,Internal_lists_bugs!$A$2:$I7981,9,FALSE()),"please select a BUG ID")</f>
        <v>https://review.opendev.org/c/openstack/nova/+/144792</v>
      </c>
      <c r="D638" s="114"/>
      <c r="E638" s="114"/>
      <c r="F638" s="115"/>
      <c r="G638" s="16" t="s">
        <v>1460</v>
      </c>
      <c r="H638" s="16" t="s">
        <v>1997</v>
      </c>
      <c r="I638" s="82"/>
      <c r="J638" s="92"/>
      <c r="K638" s="82"/>
      <c r="M638" s="114" t="str">
        <f>VLOOKUP(A638,'BIC_(C_Variables)'!$A$3:$AS$43,45,FALSE())</f>
        <v/>
      </c>
      <c r="N638" s="1"/>
      <c r="O638" s="1"/>
      <c r="P638" s="81" t="str">
        <f>IFERROR(VLOOKUP(A638,Internal_lists_bugs!$A$2:$G7981,7,FALSE()),"please select a BUG ID")</f>
        <v>https://opendev.org/openstack/nova/commit/1682c5b</v>
      </c>
    </row>
    <row r="639">
      <c r="A639" s="16" t="s">
        <v>47</v>
      </c>
      <c r="B639" s="50" t="str">
        <f>IFERROR(HYPERLINK(VLOOKUP(A639,Internal_lists_bugs!$A$2:$C$73,3,FALSE()), VLOOKUP(A639,Internal_lists_bugs!$A$2:$C$73,3,FALSE())&amp;Char(10) &amp; Char(10) &amp; VLOOKUP(A639,Internal_lists_bugs!$A$2:$Z$73,26,FALSE())),"please select a BUG ID")</f>
        <v>https://bugs.launchpad.net/nova/+bug/1447249
/virt/ironic/driver.py</v>
      </c>
      <c r="C639" s="81" t="str">
        <f>IFERROR(VLOOKUP(A639,Internal_lists_bugs!$A$2:$I7981,9,FALSE()),"please select a BUG ID")</f>
        <v>https://review.opendev.org/c/openstack/nova/+/144792</v>
      </c>
      <c r="D639" s="114"/>
      <c r="E639" s="114"/>
      <c r="F639" s="115"/>
      <c r="G639" s="16" t="s">
        <v>1506</v>
      </c>
      <c r="H639" s="16" t="s">
        <v>2233</v>
      </c>
      <c r="I639" s="82"/>
      <c r="J639" s="92"/>
      <c r="K639" s="82"/>
      <c r="M639" s="114" t="str">
        <f>VLOOKUP(A639,'BIC_(C_Variables)'!$A$3:$AS$43,45,FALSE())</f>
        <v/>
      </c>
      <c r="N639" s="1"/>
      <c r="O639" s="1"/>
      <c r="P639" s="81" t="str">
        <f>IFERROR(VLOOKUP(A639,Internal_lists_bugs!$A$2:$G7981,7,FALSE()),"please select a BUG ID")</f>
        <v>https://opendev.org/openstack/nova/commit/1682c5b</v>
      </c>
    </row>
    <row r="640">
      <c r="A640" s="16" t="s">
        <v>47</v>
      </c>
      <c r="B640" s="50" t="str">
        <f>IFERROR(HYPERLINK(VLOOKUP(A640,Internal_lists_bugs!$A$2:$C$73,3,FALSE()), VLOOKUP(A640,Internal_lists_bugs!$A$2:$C$73,3,FALSE())&amp;Char(10) &amp; Char(10) &amp; VLOOKUP(A640,Internal_lists_bugs!$A$2:$Z$73,26,FALSE())),"please select a BUG ID")</f>
        <v>https://bugs.launchpad.net/nova/+bug/1447249
/virt/ironic/driver.py</v>
      </c>
      <c r="C640" s="81" t="str">
        <f>IFERROR(VLOOKUP(A640,Internal_lists_bugs!$A$2:$I7981,9,FALSE()),"please select a BUG ID")</f>
        <v>https://review.opendev.org/c/openstack/nova/+/144792</v>
      </c>
      <c r="D640" s="114"/>
      <c r="E640" s="114"/>
      <c r="F640" s="115"/>
      <c r="G640" s="16" t="s">
        <v>1507</v>
      </c>
      <c r="H640" s="16" t="s">
        <v>2234</v>
      </c>
      <c r="I640" s="82"/>
      <c r="J640" s="92"/>
      <c r="K640" s="82"/>
      <c r="M640" s="114" t="str">
        <f>VLOOKUP(A640,'BIC_(C_Variables)'!$A$3:$AS$43,45,FALSE())</f>
        <v/>
      </c>
      <c r="N640" s="1"/>
      <c r="O640" s="1"/>
      <c r="P640" s="81" t="str">
        <f>IFERROR(VLOOKUP(A640,Internal_lists_bugs!$A$2:$G7981,7,FALSE()),"please select a BUG ID")</f>
        <v>https://opendev.org/openstack/nova/commit/1682c5b</v>
      </c>
    </row>
    <row r="641">
      <c r="A641" s="16" t="s">
        <v>47</v>
      </c>
      <c r="B641" s="50" t="str">
        <f>IFERROR(HYPERLINK(VLOOKUP(A641,Internal_lists_bugs!$A$2:$C$73,3,FALSE()), VLOOKUP(A641,Internal_lists_bugs!$A$2:$C$73,3,FALSE())&amp;Char(10) &amp; Char(10) &amp; VLOOKUP(A641,Internal_lists_bugs!$A$2:$Z$73,26,FALSE())),"please select a BUG ID")</f>
        <v>https://bugs.launchpad.net/nova/+bug/1447249
/virt/ironic/driver.py</v>
      </c>
      <c r="C641" s="81" t="str">
        <f>IFERROR(VLOOKUP(A641,Internal_lists_bugs!$A$2:$I7981,9,FALSE()),"please select a BUG ID")</f>
        <v>https://review.opendev.org/c/openstack/nova/+/144792</v>
      </c>
      <c r="D641" s="114"/>
      <c r="E641" s="114"/>
      <c r="F641" s="115"/>
      <c r="G641" s="16" t="s">
        <v>2235</v>
      </c>
      <c r="H641" s="16" t="s">
        <v>2236</v>
      </c>
      <c r="I641" s="82"/>
      <c r="J641" s="92"/>
      <c r="K641" s="82"/>
      <c r="M641" s="114" t="str">
        <f>VLOOKUP(A641,'BIC_(C_Variables)'!$A$3:$AS$43,45,FALSE())</f>
        <v/>
      </c>
      <c r="N641" s="1"/>
      <c r="O641" s="1"/>
      <c r="P641" s="81" t="str">
        <f>IFERROR(VLOOKUP(A641,Internal_lists_bugs!$A$2:$G7981,7,FALSE()),"please select a BUG ID")</f>
        <v>https://opendev.org/openstack/nova/commit/1682c5b</v>
      </c>
    </row>
    <row r="642">
      <c r="A642" s="16" t="s">
        <v>47</v>
      </c>
      <c r="B642" s="50" t="str">
        <f>IFERROR(HYPERLINK(VLOOKUP(A642,Internal_lists_bugs!$A$2:$C$73,3,FALSE()), VLOOKUP(A642,Internal_lists_bugs!$A$2:$C$73,3,FALSE())&amp;Char(10) &amp; Char(10) &amp; VLOOKUP(A642,Internal_lists_bugs!$A$2:$Z$73,26,FALSE())),"please select a BUG ID")</f>
        <v>https://bugs.launchpad.net/nova/+bug/1447249
/virt/ironic/driver.py</v>
      </c>
      <c r="C642" s="81" t="str">
        <f>IFERROR(VLOOKUP(A642,Internal_lists_bugs!$A$2:$I7981,9,FALSE()),"please select a BUG ID")</f>
        <v>https://review.opendev.org/c/openstack/nova/+/144792</v>
      </c>
      <c r="D642" s="114"/>
      <c r="E642" s="114"/>
      <c r="F642" s="115"/>
      <c r="G642" s="16" t="s">
        <v>2237</v>
      </c>
      <c r="H642" s="16" t="s">
        <v>2238</v>
      </c>
      <c r="I642" s="82"/>
      <c r="J642" s="92"/>
      <c r="K642" s="82"/>
      <c r="M642" s="114" t="str">
        <f>VLOOKUP(A642,'BIC_(C_Variables)'!$A$3:$AS$43,45,FALSE())</f>
        <v/>
      </c>
      <c r="N642" s="1"/>
      <c r="O642" s="1"/>
      <c r="P642" s="81" t="str">
        <f>IFERROR(VLOOKUP(A642,Internal_lists_bugs!$A$2:$G7981,7,FALSE()),"please select a BUG ID")</f>
        <v>https://opendev.org/openstack/nova/commit/1682c5b</v>
      </c>
    </row>
    <row r="643">
      <c r="A643" s="16" t="s">
        <v>47</v>
      </c>
      <c r="B643" s="50" t="str">
        <f>IFERROR(HYPERLINK(VLOOKUP(A643,Internal_lists_bugs!$A$2:$C$73,3,FALSE()), VLOOKUP(A643,Internal_lists_bugs!$A$2:$C$73,3,FALSE())&amp;Char(10) &amp; Char(10) &amp; VLOOKUP(A643,Internal_lists_bugs!$A$2:$Z$73,26,FALSE())),"please select a BUG ID")</f>
        <v>https://bugs.launchpad.net/nova/+bug/1447249
/virt/ironic/driver.py</v>
      </c>
      <c r="C643" s="81" t="str">
        <f>IFERROR(VLOOKUP(A643,Internal_lists_bugs!$A$2:$I7981,9,FALSE()),"please select a BUG ID")</f>
        <v>https://review.opendev.org/c/openstack/nova/+/144792</v>
      </c>
      <c r="D643" s="114"/>
      <c r="E643" s="114"/>
      <c r="F643" s="115"/>
      <c r="G643" s="16" t="s">
        <v>2239</v>
      </c>
      <c r="H643" s="16" t="s">
        <v>2240</v>
      </c>
      <c r="I643" s="82"/>
      <c r="J643" s="92"/>
      <c r="K643" s="82"/>
      <c r="M643" s="114" t="str">
        <f>VLOOKUP(A643,'BIC_(C_Variables)'!$A$3:$AS$43,45,FALSE())</f>
        <v/>
      </c>
      <c r="N643" s="1"/>
      <c r="O643" s="1"/>
      <c r="P643" s="81" t="str">
        <f>IFERROR(VLOOKUP(A643,Internal_lists_bugs!$A$2:$G7981,7,FALSE()),"please select a BUG ID")</f>
        <v>https://opendev.org/openstack/nova/commit/1682c5b</v>
      </c>
    </row>
    <row r="644">
      <c r="A644" s="16" t="s">
        <v>47</v>
      </c>
      <c r="B644" s="50" t="str">
        <f>IFERROR(HYPERLINK(VLOOKUP(A644,Internal_lists_bugs!$A$2:$C$73,3,FALSE()), VLOOKUP(A644,Internal_lists_bugs!$A$2:$C$73,3,FALSE())&amp;Char(10) &amp; Char(10) &amp; VLOOKUP(A644,Internal_lists_bugs!$A$2:$Z$73,26,FALSE())),"please select a BUG ID")</f>
        <v>https://bugs.launchpad.net/nova/+bug/1447249
/virt/ironic/driver.py</v>
      </c>
      <c r="C644" s="81" t="str">
        <f>IFERROR(VLOOKUP(A644,Internal_lists_bugs!$A$2:$I7981,9,FALSE()),"please select a BUG ID")</f>
        <v>https://review.opendev.org/c/openstack/nova/+/144792</v>
      </c>
      <c r="D644" s="114"/>
      <c r="E644" s="114"/>
      <c r="F644" s="115"/>
      <c r="G644" s="16" t="s">
        <v>2241</v>
      </c>
      <c r="H644" s="16" t="s">
        <v>2242</v>
      </c>
      <c r="I644" s="82"/>
      <c r="J644" s="92"/>
      <c r="K644" s="82"/>
      <c r="M644" s="114" t="str">
        <f>VLOOKUP(A644,'BIC_(C_Variables)'!$A$3:$AS$43,45,FALSE())</f>
        <v/>
      </c>
      <c r="N644" s="1"/>
      <c r="O644" s="1"/>
      <c r="P644" s="81" t="str">
        <f>IFERROR(VLOOKUP(A644,Internal_lists_bugs!$A$2:$G7981,7,FALSE()),"please select a BUG ID")</f>
        <v>https://opendev.org/openstack/nova/commit/1682c5b</v>
      </c>
    </row>
    <row r="645">
      <c r="A645" s="16" t="s">
        <v>47</v>
      </c>
      <c r="B645" s="50" t="str">
        <f>IFERROR(HYPERLINK(VLOOKUP(A645,Internal_lists_bugs!$A$2:$C$73,3,FALSE()), VLOOKUP(A645,Internal_lists_bugs!$A$2:$C$73,3,FALSE())&amp;Char(10) &amp; Char(10) &amp; VLOOKUP(A645,Internal_lists_bugs!$A$2:$Z$73,26,FALSE())),"please select a BUG ID")</f>
        <v>https://bugs.launchpad.net/nova/+bug/1447249
/virt/ironic/driver.py</v>
      </c>
      <c r="C645" s="81" t="str">
        <f>IFERROR(VLOOKUP(A645,Internal_lists_bugs!$A$2:$I7981,9,FALSE()),"please select a BUG ID")</f>
        <v>https://review.opendev.org/c/openstack/nova/+/144792</v>
      </c>
      <c r="D645" s="114"/>
      <c r="E645" s="114"/>
      <c r="F645" s="115"/>
      <c r="G645" s="16" t="s">
        <v>1531</v>
      </c>
      <c r="H645" s="16" t="s">
        <v>2243</v>
      </c>
      <c r="I645" s="82"/>
      <c r="J645" s="92"/>
      <c r="K645" s="82"/>
      <c r="M645" s="114" t="str">
        <f>VLOOKUP(A645,'BIC_(C_Variables)'!$A$3:$AS$43,45,FALSE())</f>
        <v/>
      </c>
      <c r="N645" s="1"/>
      <c r="O645" s="1"/>
      <c r="P645" s="81" t="str">
        <f>IFERROR(VLOOKUP(A645,Internal_lists_bugs!$A$2:$G7981,7,FALSE()),"please select a BUG ID")</f>
        <v>https://opendev.org/openstack/nova/commit/1682c5b</v>
      </c>
    </row>
    <row r="646">
      <c r="A646" s="16" t="s">
        <v>47</v>
      </c>
      <c r="B646" s="50" t="str">
        <f>IFERROR(HYPERLINK(VLOOKUP(A646,Internal_lists_bugs!$A$2:$C$73,3,FALSE()), VLOOKUP(A646,Internal_lists_bugs!$A$2:$C$73,3,FALSE())&amp;Char(10) &amp; Char(10) &amp; VLOOKUP(A646,Internal_lists_bugs!$A$2:$Z$73,26,FALSE())),"please select a BUG ID")</f>
        <v>https://bugs.launchpad.net/nova/+bug/1447249
/virt/ironic/driver.py</v>
      </c>
      <c r="C646" s="81" t="str">
        <f>IFERROR(VLOOKUP(A646,Internal_lists_bugs!$A$2:$I7981,9,FALSE()),"please select a BUG ID")</f>
        <v>https://review.opendev.org/c/openstack/nova/+/144792</v>
      </c>
      <c r="D646" s="114"/>
      <c r="E646" s="114"/>
      <c r="F646" s="115"/>
      <c r="G646" s="16" t="s">
        <v>1798</v>
      </c>
      <c r="H646" s="16" t="s">
        <v>2244</v>
      </c>
      <c r="I646" s="82"/>
      <c r="J646" s="92"/>
      <c r="K646" s="82"/>
      <c r="M646" s="114" t="str">
        <f>VLOOKUP(A646,'BIC_(C_Variables)'!$A$3:$AS$43,45,FALSE())</f>
        <v/>
      </c>
      <c r="N646" s="1"/>
      <c r="O646" s="1"/>
      <c r="P646" s="81" t="str">
        <f>IFERROR(VLOOKUP(A646,Internal_lists_bugs!$A$2:$G7981,7,FALSE()),"please select a BUG ID")</f>
        <v>https://opendev.org/openstack/nova/commit/1682c5b</v>
      </c>
    </row>
    <row r="647">
      <c r="A647" s="16" t="s">
        <v>47</v>
      </c>
      <c r="B647" s="50" t="str">
        <f>IFERROR(HYPERLINK(VLOOKUP(A647,Internal_lists_bugs!$A$2:$C$73,3,FALSE()), VLOOKUP(A647,Internal_lists_bugs!$A$2:$C$73,3,FALSE())&amp;Char(10) &amp; Char(10) &amp; VLOOKUP(A647,Internal_lists_bugs!$A$2:$Z$73,26,FALSE())),"please select a BUG ID")</f>
        <v>https://bugs.launchpad.net/nova/+bug/1447249
/virt/ironic/driver.py</v>
      </c>
      <c r="C647" s="81" t="str">
        <f>IFERROR(VLOOKUP(A647,Internal_lists_bugs!$A$2:$I7981,9,FALSE()),"please select a BUG ID")</f>
        <v>https://review.opendev.org/c/openstack/nova/+/144792</v>
      </c>
      <c r="D647" s="114"/>
      <c r="E647" s="114"/>
      <c r="F647" s="115"/>
      <c r="G647" s="16" t="s">
        <v>1514</v>
      </c>
      <c r="H647" s="16" t="s">
        <v>2245</v>
      </c>
      <c r="I647" s="82"/>
      <c r="J647" s="92"/>
      <c r="K647" s="82"/>
      <c r="M647" s="114" t="str">
        <f>VLOOKUP(A647,'BIC_(C_Variables)'!$A$3:$AS$43,45,FALSE())</f>
        <v/>
      </c>
      <c r="N647" s="1"/>
      <c r="O647" s="1"/>
      <c r="P647" s="81" t="str">
        <f>IFERROR(VLOOKUP(A647,Internal_lists_bugs!$A$2:$G7981,7,FALSE()),"please select a BUG ID")</f>
        <v>https://opendev.org/openstack/nova/commit/1682c5b</v>
      </c>
    </row>
    <row r="648">
      <c r="A648" s="16" t="s">
        <v>47</v>
      </c>
      <c r="B648" s="50" t="str">
        <f>IFERROR(HYPERLINK(VLOOKUP(A648,Internal_lists_bugs!$A$2:$C$73,3,FALSE()), VLOOKUP(A648,Internal_lists_bugs!$A$2:$C$73,3,FALSE())&amp;Char(10) &amp; Char(10) &amp; VLOOKUP(A648,Internal_lists_bugs!$A$2:$Z$73,26,FALSE())),"please select a BUG ID")</f>
        <v>https://bugs.launchpad.net/nova/+bug/1447249
/virt/ironic/driver.py</v>
      </c>
      <c r="C648" s="81" t="str">
        <f>IFERROR(VLOOKUP(A648,Internal_lists_bugs!$A$2:$I7981,9,FALSE()),"please select a BUG ID")</f>
        <v>https://review.opendev.org/c/openstack/nova/+/144792</v>
      </c>
      <c r="D648" s="114"/>
      <c r="E648" s="114"/>
      <c r="F648" s="115"/>
      <c r="G648" s="16" t="s">
        <v>1860</v>
      </c>
      <c r="H648" s="16" t="s">
        <v>2246</v>
      </c>
      <c r="I648" s="82"/>
      <c r="J648" s="92"/>
      <c r="K648" s="82"/>
      <c r="M648" s="114" t="str">
        <f>VLOOKUP(A648,'BIC_(C_Variables)'!$A$3:$AS$43,45,FALSE())</f>
        <v/>
      </c>
      <c r="N648" s="1"/>
      <c r="O648" s="1"/>
      <c r="P648" s="81" t="str">
        <f>IFERROR(VLOOKUP(A648,Internal_lists_bugs!$A$2:$G7981,7,FALSE()),"please select a BUG ID")</f>
        <v>https://opendev.org/openstack/nova/commit/1682c5b</v>
      </c>
    </row>
    <row r="649">
      <c r="A649" s="16" t="s">
        <v>47</v>
      </c>
      <c r="B649" s="50" t="str">
        <f>IFERROR(HYPERLINK(VLOOKUP(A649,Internal_lists_bugs!$A$2:$C$73,3,FALSE()), VLOOKUP(A649,Internal_lists_bugs!$A$2:$C$73,3,FALSE())&amp;Char(10) &amp; Char(10) &amp; VLOOKUP(A649,Internal_lists_bugs!$A$2:$Z$73,26,FALSE())),"please select a BUG ID")</f>
        <v>https://bugs.launchpad.net/nova/+bug/1447249
/virt/ironic/driver.py</v>
      </c>
      <c r="C649" s="81" t="str">
        <f>IFERROR(VLOOKUP(A649,Internal_lists_bugs!$A$2:$I7981,9,FALSE()),"please select a BUG ID")</f>
        <v>https://review.opendev.org/c/openstack/nova/+/144792</v>
      </c>
      <c r="D649" s="114"/>
      <c r="E649" s="114"/>
      <c r="F649" s="115"/>
      <c r="G649" s="16" t="s">
        <v>1639</v>
      </c>
      <c r="H649" s="16" t="s">
        <v>2247</v>
      </c>
      <c r="I649" s="82"/>
      <c r="J649" s="92"/>
      <c r="K649" s="82"/>
      <c r="M649" s="114" t="str">
        <f>VLOOKUP(A649,'BIC_(C_Variables)'!$A$3:$AS$43,45,FALSE())</f>
        <v/>
      </c>
      <c r="N649" s="1"/>
      <c r="O649" s="1"/>
      <c r="P649" s="81" t="str">
        <f>IFERROR(VLOOKUP(A649,Internal_lists_bugs!$A$2:$G7981,7,FALSE()),"please select a BUG ID")</f>
        <v>https://opendev.org/openstack/nova/commit/1682c5b</v>
      </c>
    </row>
    <row r="650">
      <c r="A650" s="16" t="s">
        <v>47</v>
      </c>
      <c r="B650" s="50" t="str">
        <f>IFERROR(HYPERLINK(VLOOKUP(A650,Internal_lists_bugs!$A$2:$C$73,3,FALSE()), VLOOKUP(A650,Internal_lists_bugs!$A$2:$C$73,3,FALSE())&amp;Char(10) &amp; Char(10) &amp; VLOOKUP(A650,Internal_lists_bugs!$A$2:$Z$73,26,FALSE())),"please select a BUG ID")</f>
        <v>https://bugs.launchpad.net/nova/+bug/1447249
/virt/ironic/driver.py</v>
      </c>
      <c r="C650" s="81" t="str">
        <f>IFERROR(VLOOKUP(A650,Internal_lists_bugs!$A$2:$I7981,9,FALSE()),"please select a BUG ID")</f>
        <v>https://review.opendev.org/c/openstack/nova/+/144792</v>
      </c>
      <c r="D650" s="114"/>
      <c r="E650" s="114"/>
      <c r="F650" s="115"/>
      <c r="G650" s="16" t="s">
        <v>1641</v>
      </c>
      <c r="H650" s="16" t="s">
        <v>2248</v>
      </c>
      <c r="I650" s="82"/>
      <c r="J650" s="92"/>
      <c r="K650" s="82"/>
      <c r="M650" s="114" t="str">
        <f>VLOOKUP(A650,'BIC_(C_Variables)'!$A$3:$AS$43,45,FALSE())</f>
        <v/>
      </c>
      <c r="N650" s="1"/>
      <c r="O650" s="1"/>
      <c r="P650" s="81" t="str">
        <f>IFERROR(VLOOKUP(A650,Internal_lists_bugs!$A$2:$G7981,7,FALSE()),"please select a BUG ID")</f>
        <v>https://opendev.org/openstack/nova/commit/1682c5b</v>
      </c>
    </row>
    <row r="651">
      <c r="A651" s="16" t="s">
        <v>47</v>
      </c>
      <c r="B651" s="50" t="str">
        <f>IFERROR(HYPERLINK(VLOOKUP(A651,Internal_lists_bugs!$A$2:$C$73,3,FALSE()), VLOOKUP(A651,Internal_lists_bugs!$A$2:$C$73,3,FALSE())&amp;Char(10) &amp; Char(10) &amp; VLOOKUP(A651,Internal_lists_bugs!$A$2:$Z$73,26,FALSE())),"please select a BUG ID")</f>
        <v>https://bugs.launchpad.net/nova/+bug/1447249
/virt/ironic/driver.py</v>
      </c>
      <c r="C651" s="81" t="str">
        <f>IFERROR(VLOOKUP(A651,Internal_lists_bugs!$A$2:$I7981,9,FALSE()),"please select a BUG ID")</f>
        <v>https://review.opendev.org/c/openstack/nova/+/144792</v>
      </c>
      <c r="D651" s="114"/>
      <c r="E651" s="114"/>
      <c r="F651" s="115"/>
      <c r="G651" s="16" t="s">
        <v>1860</v>
      </c>
      <c r="H651" s="16" t="s">
        <v>2249</v>
      </c>
      <c r="I651" s="82"/>
      <c r="J651" s="92"/>
      <c r="K651" s="82"/>
      <c r="M651" s="114" t="str">
        <f>VLOOKUP(A651,'BIC_(C_Variables)'!$A$3:$AS$43,45,FALSE())</f>
        <v/>
      </c>
      <c r="N651" s="1"/>
      <c r="O651" s="1"/>
      <c r="P651" s="81" t="str">
        <f>IFERROR(VLOOKUP(A651,Internal_lists_bugs!$A$2:$G7981,7,FALSE()),"please select a BUG ID")</f>
        <v>https://opendev.org/openstack/nova/commit/1682c5b</v>
      </c>
    </row>
    <row r="652">
      <c r="A652" s="16" t="s">
        <v>47</v>
      </c>
      <c r="B652" s="50" t="str">
        <f>IFERROR(HYPERLINK(VLOOKUP(A652,Internal_lists_bugs!$A$2:$C$73,3,FALSE()), VLOOKUP(A652,Internal_lists_bugs!$A$2:$C$73,3,FALSE())&amp;Char(10) &amp; Char(10) &amp; VLOOKUP(A652,Internal_lists_bugs!$A$2:$Z$73,26,FALSE())),"please select a BUG ID")</f>
        <v>https://bugs.launchpad.net/nova/+bug/1447249
/virt/ironic/driver.py</v>
      </c>
      <c r="C652" s="81" t="str">
        <f>IFERROR(VLOOKUP(A652,Internal_lists_bugs!$A$2:$I7981,9,FALSE()),"please select a BUG ID")</f>
        <v>https://review.opendev.org/c/openstack/nova/+/144792</v>
      </c>
      <c r="D652" s="114"/>
      <c r="E652" s="114"/>
      <c r="F652" s="115"/>
      <c r="G652" s="16" t="s">
        <v>1568</v>
      </c>
      <c r="H652" s="16" t="s">
        <v>2250</v>
      </c>
      <c r="I652" s="82"/>
      <c r="J652" s="92"/>
      <c r="K652" s="82"/>
      <c r="M652" s="114"/>
      <c r="N652" s="1"/>
      <c r="O652" s="1"/>
      <c r="P652" s="51"/>
    </row>
    <row r="653">
      <c r="A653" s="16" t="s">
        <v>47</v>
      </c>
      <c r="B653" s="50" t="str">
        <f>IFERROR(HYPERLINK(VLOOKUP(A653,Internal_lists_bugs!$A$2:$C$73,3,FALSE()), VLOOKUP(A653,Internal_lists_bugs!$A$2:$C$73,3,FALSE())&amp;Char(10) &amp; Char(10) &amp; VLOOKUP(A653,Internal_lists_bugs!$A$2:$Z$73,26,FALSE())),"please select a BUG ID")</f>
        <v>https://bugs.launchpad.net/nova/+bug/1447249
/virt/ironic/driver.py</v>
      </c>
      <c r="C653" s="81" t="str">
        <f>IFERROR(VLOOKUP(A653,Internal_lists_bugs!$A$2:$I7981,9,FALSE()),"please select a BUG ID")</f>
        <v>https://review.opendev.org/c/openstack/nova/+/144792</v>
      </c>
      <c r="D653" s="114"/>
      <c r="E653" s="114"/>
      <c r="F653" s="115"/>
      <c r="G653" s="16" t="s">
        <v>2235</v>
      </c>
      <c r="H653" s="16" t="s">
        <v>2251</v>
      </c>
      <c r="I653" s="82"/>
      <c r="J653" s="92"/>
      <c r="K653" s="82"/>
      <c r="M653" s="114" t="str">
        <f>VLOOKUP(A653,'BIC_(C_Variables)'!$A$3:$AS$43,45,FALSE())</f>
        <v/>
      </c>
      <c r="N653" s="1"/>
      <c r="O653" s="1"/>
      <c r="P653" s="81" t="str">
        <f>IFERROR(VLOOKUP(A653,Internal_lists_bugs!$A$2:$G7981,7,FALSE()),"please select a BUG ID")</f>
        <v>https://opendev.org/openstack/nova/commit/1682c5b</v>
      </c>
    </row>
    <row r="654">
      <c r="A654" s="16" t="s">
        <v>47</v>
      </c>
      <c r="B654" s="50" t="str">
        <f>IFERROR(HYPERLINK(VLOOKUP(A654,Internal_lists_bugs!$A$2:$C$73,3,FALSE()), VLOOKUP(A654,Internal_lists_bugs!$A$2:$C$73,3,FALSE())&amp;Char(10) &amp; Char(10) &amp; VLOOKUP(A654,Internal_lists_bugs!$A$2:$Z$73,26,FALSE())),"please select a BUG ID")</f>
        <v>https://bugs.launchpad.net/nova/+bug/1447249
/virt/ironic/driver.py</v>
      </c>
      <c r="C654" s="81" t="str">
        <f>IFERROR(VLOOKUP(A654,Internal_lists_bugs!$A$2:$I7981,9,FALSE()),"please select a BUG ID")</f>
        <v>https://review.opendev.org/c/openstack/nova/+/144792</v>
      </c>
      <c r="D654" s="114"/>
      <c r="E654" s="114"/>
      <c r="F654" s="115"/>
      <c r="G654" s="16" t="s">
        <v>1515</v>
      </c>
      <c r="H654" s="16" t="s">
        <v>2252</v>
      </c>
      <c r="I654" s="82"/>
      <c r="J654" s="92"/>
      <c r="K654" s="82"/>
      <c r="M654" s="114" t="str">
        <f>VLOOKUP(A654,'BIC_(C_Variables)'!$A$3:$AS$43,45,FALSE())</f>
        <v/>
      </c>
      <c r="N654" s="1"/>
      <c r="O654" s="1"/>
      <c r="P654" s="81" t="str">
        <f>IFERROR(VLOOKUP(A654,Internal_lists_bugs!$A$2:$G7981,7,FALSE()),"please select a BUG ID")</f>
        <v>https://opendev.org/openstack/nova/commit/1682c5b</v>
      </c>
    </row>
    <row r="655">
      <c r="A655" s="16" t="s">
        <v>47</v>
      </c>
      <c r="B655" s="50" t="str">
        <f>IFERROR(HYPERLINK(VLOOKUP(A655,Internal_lists_bugs!$A$2:$C$73,3,FALSE()), VLOOKUP(A655,Internal_lists_bugs!$A$2:$C$73,3,FALSE())&amp;Char(10) &amp; Char(10) &amp; VLOOKUP(A655,Internal_lists_bugs!$A$2:$Z$73,26,FALSE())),"please select a BUG ID")</f>
        <v>https://bugs.launchpad.net/nova/+bug/1447249
/virt/ironic/driver.py</v>
      </c>
      <c r="C655" s="81" t="str">
        <f>IFERROR(VLOOKUP(A655,Internal_lists_bugs!$A$2:$I7981,9,FALSE()),"please select a BUG ID")</f>
        <v>https://review.opendev.org/c/openstack/nova/+/144792</v>
      </c>
      <c r="D655" s="114"/>
      <c r="E655" s="114"/>
      <c r="F655" s="115"/>
      <c r="G655" s="16" t="s">
        <v>2253</v>
      </c>
      <c r="H655" s="16" t="s">
        <v>2254</v>
      </c>
      <c r="I655" s="82"/>
      <c r="J655" s="92"/>
      <c r="K655" s="82"/>
      <c r="M655" s="114" t="str">
        <f>VLOOKUP(A655,'BIC_(C_Variables)'!$A$3:$AS$43,45,FALSE())</f>
        <v/>
      </c>
      <c r="N655" s="1"/>
      <c r="O655" s="1"/>
      <c r="P655" s="81" t="str">
        <f>IFERROR(VLOOKUP(A655,Internal_lists_bugs!$A$2:$G7981,7,FALSE()),"please select a BUG ID")</f>
        <v>https://opendev.org/openstack/nova/commit/1682c5b</v>
      </c>
    </row>
    <row r="656">
      <c r="A656" s="16" t="s">
        <v>47</v>
      </c>
      <c r="B656" s="50" t="str">
        <f>IFERROR(HYPERLINK(VLOOKUP(A656,Internal_lists_bugs!$A$2:$C$73,3,FALSE()), VLOOKUP(A656,Internal_lists_bugs!$A$2:$C$73,3,FALSE())&amp;Char(10) &amp; Char(10) &amp; VLOOKUP(A656,Internal_lists_bugs!$A$2:$Z$73,26,FALSE())),"please select a BUG ID")</f>
        <v>https://bugs.launchpad.net/nova/+bug/1447249
/virt/ironic/driver.py</v>
      </c>
      <c r="C656" s="81" t="str">
        <f>IFERROR(VLOOKUP(A656,Internal_lists_bugs!$A$2:$I7981,9,FALSE()),"please select a BUG ID")</f>
        <v>https://review.opendev.org/c/openstack/nova/+/144792</v>
      </c>
      <c r="D656" s="114"/>
      <c r="E656" s="114"/>
      <c r="F656" s="115"/>
      <c r="G656" s="16" t="s">
        <v>2099</v>
      </c>
      <c r="H656" s="16" t="s">
        <v>2255</v>
      </c>
      <c r="I656" s="82"/>
      <c r="J656" s="92"/>
      <c r="K656" s="82"/>
      <c r="M656" s="114" t="str">
        <f>VLOOKUP(A656,'BIC_(C_Variables)'!$A$3:$AS$43,45,FALSE())</f>
        <v/>
      </c>
      <c r="N656" s="1"/>
      <c r="O656" s="1"/>
      <c r="P656" s="81" t="str">
        <f>IFERROR(VLOOKUP(A656,Internal_lists_bugs!$A$2:$G7981,7,FALSE()),"please select a BUG ID")</f>
        <v>https://opendev.org/openstack/nova/commit/1682c5b</v>
      </c>
    </row>
    <row r="657">
      <c r="A657" s="16" t="s">
        <v>47</v>
      </c>
      <c r="B657" s="50" t="str">
        <f>IFERROR(HYPERLINK(VLOOKUP(A657,Internal_lists_bugs!$A$2:$C$73,3,FALSE()), VLOOKUP(A657,Internal_lists_bugs!$A$2:$C$73,3,FALSE())&amp;Char(10) &amp; Char(10) &amp; VLOOKUP(A657,Internal_lists_bugs!$A$2:$Z$73,26,FALSE())),"please select a BUG ID")</f>
        <v>https://bugs.launchpad.net/nova/+bug/1447249
/virt/ironic/driver.py</v>
      </c>
      <c r="C657" s="81" t="str">
        <f>IFERROR(VLOOKUP(A657,Internal_lists_bugs!$A$2:$I7981,9,FALSE()),"please select a BUG ID")</f>
        <v>https://review.opendev.org/c/openstack/nova/+/144792</v>
      </c>
      <c r="D657" s="114"/>
      <c r="E657" s="114"/>
      <c r="F657" s="115"/>
      <c r="G657" s="16" t="s">
        <v>1538</v>
      </c>
      <c r="H657" s="16" t="s">
        <v>2255</v>
      </c>
      <c r="I657" s="82"/>
      <c r="J657" s="92"/>
      <c r="K657" s="82"/>
      <c r="M657" s="114"/>
      <c r="N657" s="1"/>
      <c r="O657" s="1"/>
      <c r="P657" s="51"/>
    </row>
    <row r="658">
      <c r="A658" s="16" t="s">
        <v>47</v>
      </c>
      <c r="B658" s="50" t="str">
        <f>IFERROR(HYPERLINK(VLOOKUP(A658,Internal_lists_bugs!$A$2:$C$73,3,FALSE()), VLOOKUP(A658,Internal_lists_bugs!$A$2:$C$73,3,FALSE())&amp;Char(10) &amp; Char(10) &amp; VLOOKUP(A658,Internal_lists_bugs!$A$2:$Z$73,26,FALSE())),"please select a BUG ID")</f>
        <v>https://bugs.launchpad.net/nova/+bug/1447249
/virt/ironic/driver.py</v>
      </c>
      <c r="C658" s="81" t="str">
        <f>IFERROR(VLOOKUP(A658,Internal_lists_bugs!$A$2:$I7981,9,FALSE()),"please select a BUG ID")</f>
        <v>https://review.opendev.org/c/openstack/nova/+/144792</v>
      </c>
      <c r="D658" s="114"/>
      <c r="E658" s="114"/>
      <c r="F658" s="115"/>
      <c r="G658" s="16" t="s">
        <v>1921</v>
      </c>
      <c r="H658" s="16" t="s">
        <v>2256</v>
      </c>
      <c r="I658" s="82"/>
      <c r="J658" s="92"/>
      <c r="K658" s="82"/>
      <c r="M658" s="114" t="str">
        <f>VLOOKUP(A658,'BIC_(C_Variables)'!$A$3:$AS$43,45,FALSE())</f>
        <v/>
      </c>
      <c r="N658" s="1"/>
      <c r="O658" s="1"/>
      <c r="P658" s="81" t="str">
        <f>IFERROR(VLOOKUP(A658,Internal_lists_bugs!$A$2:$G7981,7,FALSE()),"please select a BUG ID")</f>
        <v>https://opendev.org/openstack/nova/commit/1682c5b</v>
      </c>
    </row>
    <row r="659">
      <c r="A659" s="16" t="s">
        <v>47</v>
      </c>
      <c r="B659" s="50" t="str">
        <f>IFERROR(HYPERLINK(VLOOKUP(A659,Internal_lists_bugs!$A$2:$C$73,3,FALSE()), VLOOKUP(A659,Internal_lists_bugs!$A$2:$C$73,3,FALSE())&amp;Char(10) &amp; Char(10) &amp; VLOOKUP(A659,Internal_lists_bugs!$A$2:$Z$73,26,FALSE())),"please select a BUG ID")</f>
        <v>https://bugs.launchpad.net/nova/+bug/1447249
/virt/ironic/driver.py</v>
      </c>
      <c r="C659" s="81" t="str">
        <f>IFERROR(VLOOKUP(A659,Internal_lists_bugs!$A$2:$I7981,9,FALSE()),"please select a BUG ID")</f>
        <v>https://review.opendev.org/c/openstack/nova/+/144792</v>
      </c>
      <c r="D659" s="114"/>
      <c r="E659" s="114"/>
      <c r="F659" s="115"/>
      <c r="G659" s="16" t="s">
        <v>2112</v>
      </c>
      <c r="H659" s="16" t="s">
        <v>2257</v>
      </c>
      <c r="I659" s="82"/>
      <c r="J659" s="92"/>
      <c r="K659" s="82"/>
      <c r="M659" s="114" t="str">
        <f>VLOOKUP(A659,'BIC_(C_Variables)'!$A$3:$AS$43,45,FALSE())</f>
        <v/>
      </c>
      <c r="N659" s="1"/>
      <c r="O659" s="1"/>
      <c r="P659" s="81" t="str">
        <f>IFERROR(VLOOKUP(A659,Internal_lists_bugs!$A$2:$G7981,7,FALSE()),"please select a BUG ID")</f>
        <v>https://opendev.org/openstack/nova/commit/1682c5b</v>
      </c>
    </row>
    <row r="660">
      <c r="A660" s="16" t="s">
        <v>47</v>
      </c>
      <c r="B660" s="50" t="str">
        <f>IFERROR(HYPERLINK(VLOOKUP(A660,Internal_lists_bugs!$A$2:$C$73,3,FALSE()), VLOOKUP(A660,Internal_lists_bugs!$A$2:$C$73,3,FALSE())&amp;Char(10) &amp; Char(10) &amp; VLOOKUP(A660,Internal_lists_bugs!$A$2:$Z$73,26,FALSE())),"please select a BUG ID")</f>
        <v>https://bugs.launchpad.net/nova/+bug/1447249
/virt/ironic/driver.py</v>
      </c>
      <c r="C660" s="81" t="str">
        <f>IFERROR(VLOOKUP(A660,Internal_lists_bugs!$A$2:$I7981,9,FALSE()),"please select a BUG ID")</f>
        <v>https://review.opendev.org/c/openstack/nova/+/144792</v>
      </c>
      <c r="D660" s="114"/>
      <c r="E660" s="114"/>
      <c r="F660" s="115"/>
      <c r="G660" s="16" t="s">
        <v>2114</v>
      </c>
      <c r="H660" s="16" t="s">
        <v>2258</v>
      </c>
      <c r="I660" s="82"/>
      <c r="J660" s="92"/>
      <c r="K660" s="82"/>
      <c r="M660" s="114" t="str">
        <f>VLOOKUP(A660,'BIC_(C_Variables)'!$A$3:$AS$43,45,FALSE())</f>
        <v/>
      </c>
      <c r="N660" s="1"/>
      <c r="O660" s="1"/>
      <c r="P660" s="81" t="str">
        <f>IFERROR(VLOOKUP(A660,Internal_lists_bugs!$A$2:$G7981,7,FALSE()),"please select a BUG ID")</f>
        <v>https://opendev.org/openstack/nova/commit/1682c5b</v>
      </c>
    </row>
    <row r="661">
      <c r="A661" s="16" t="s">
        <v>47</v>
      </c>
      <c r="B661" s="50" t="str">
        <f>IFERROR(HYPERLINK(VLOOKUP(A661,Internal_lists_bugs!$A$2:$C$73,3,FALSE()), VLOOKUP(A661,Internal_lists_bugs!$A$2:$C$73,3,FALSE())&amp;Char(10) &amp; Char(10) &amp; VLOOKUP(A661,Internal_lists_bugs!$A$2:$Z$73,26,FALSE())),"please select a BUG ID")</f>
        <v>https://bugs.launchpad.net/nova/+bug/1447249
/virt/ironic/driver.py</v>
      </c>
      <c r="C661" s="81" t="str">
        <f>IFERROR(VLOOKUP(A661,Internal_lists_bugs!$A$2:$I7981,9,FALSE()),"please select a BUG ID")</f>
        <v>https://review.opendev.org/c/openstack/nova/+/144792</v>
      </c>
      <c r="D661" s="114"/>
      <c r="E661" s="114"/>
      <c r="F661" s="115"/>
      <c r="G661" s="16" t="s">
        <v>2259</v>
      </c>
      <c r="H661" s="16" t="s">
        <v>2260</v>
      </c>
      <c r="I661" s="82"/>
      <c r="J661" s="92"/>
      <c r="K661" s="82"/>
      <c r="M661" s="114" t="str">
        <f>VLOOKUP(A661,'BIC_(C_Variables)'!$A$3:$AS$43,45,FALSE())</f>
        <v/>
      </c>
      <c r="N661" s="1"/>
      <c r="O661" s="1"/>
      <c r="P661" s="81" t="str">
        <f>IFERROR(VLOOKUP(A661,Internal_lists_bugs!$A$2:$G7981,7,FALSE()),"please select a BUG ID")</f>
        <v>https://opendev.org/openstack/nova/commit/1682c5b</v>
      </c>
    </row>
    <row r="662">
      <c r="A662" s="16" t="s">
        <v>47</v>
      </c>
      <c r="B662" s="50" t="str">
        <f>IFERROR(HYPERLINK(VLOOKUP(A662,Internal_lists_bugs!$A$2:$C$73,3,FALSE()), VLOOKUP(A662,Internal_lists_bugs!$A$2:$C$73,3,FALSE())&amp;Char(10) &amp; Char(10) &amp; VLOOKUP(A662,Internal_lists_bugs!$A$2:$Z$73,26,FALSE())),"please select a BUG ID")</f>
        <v>https://bugs.launchpad.net/nova/+bug/1447249
/virt/ironic/driver.py</v>
      </c>
      <c r="C662" s="81" t="str">
        <f>IFERROR(VLOOKUP(A662,Internal_lists_bugs!$A$2:$I7981,9,FALSE()),"please select a BUG ID")</f>
        <v>https://review.opendev.org/c/openstack/nova/+/144792</v>
      </c>
      <c r="D662" s="114"/>
      <c r="E662" s="114"/>
      <c r="F662" s="115"/>
      <c r="G662" s="16" t="s">
        <v>2261</v>
      </c>
      <c r="H662" s="16" t="s">
        <v>2262</v>
      </c>
      <c r="I662" s="82"/>
      <c r="J662" s="92"/>
      <c r="K662" s="82"/>
      <c r="M662" s="114" t="str">
        <f>VLOOKUP(A662,'BIC_(C_Variables)'!$A$3:$AS$43,45,FALSE())</f>
        <v/>
      </c>
      <c r="N662" s="1"/>
      <c r="O662" s="1"/>
      <c r="P662" s="81" t="str">
        <f>IFERROR(VLOOKUP(A662,Internal_lists_bugs!$A$2:$G7981,7,FALSE()),"please select a BUG ID")</f>
        <v>https://opendev.org/openstack/nova/commit/1682c5b</v>
      </c>
    </row>
    <row r="663">
      <c r="A663" s="16" t="s">
        <v>47</v>
      </c>
      <c r="B663" s="50" t="str">
        <f>IFERROR(HYPERLINK(VLOOKUP(A663,Internal_lists_bugs!$A$2:$C$73,3,FALSE()), VLOOKUP(A663,Internal_lists_bugs!$A$2:$C$73,3,FALSE())&amp;Char(10) &amp; Char(10) &amp; VLOOKUP(A663,Internal_lists_bugs!$A$2:$Z$73,26,FALSE())),"please select a BUG ID")</f>
        <v>https://bugs.launchpad.net/nova/+bug/1447249
/virt/ironic/driver.py</v>
      </c>
      <c r="C663" s="81" t="str">
        <f>IFERROR(VLOOKUP(A663,Internal_lists_bugs!$A$2:$I7981,9,FALSE()),"please select a BUG ID")</f>
        <v>https://review.opendev.org/c/openstack/nova/+/144792</v>
      </c>
      <c r="D663" s="114"/>
      <c r="E663" s="114"/>
      <c r="F663" s="115"/>
      <c r="G663" s="16" t="s">
        <v>1529</v>
      </c>
      <c r="H663" s="16" t="s">
        <v>2263</v>
      </c>
      <c r="I663" s="82"/>
      <c r="J663" s="92"/>
      <c r="K663" s="82"/>
      <c r="M663" s="114" t="str">
        <f>VLOOKUP(A663,'BIC_(C_Variables)'!$A$3:$AS$43,45,FALSE())</f>
        <v/>
      </c>
      <c r="N663" s="1"/>
      <c r="O663" s="1"/>
      <c r="P663" s="81" t="str">
        <f>IFERROR(VLOOKUP(A663,Internal_lists_bugs!$A$2:$G7981,7,FALSE()),"please select a BUG ID")</f>
        <v>https://opendev.org/openstack/nova/commit/1682c5b</v>
      </c>
    </row>
    <row r="664">
      <c r="A664" s="16" t="s">
        <v>47</v>
      </c>
      <c r="B664" s="50" t="str">
        <f>IFERROR(HYPERLINK(VLOOKUP(A664,Internal_lists_bugs!$A$2:$C$73,3,FALSE()), VLOOKUP(A664,Internal_lists_bugs!$A$2:$C$73,3,FALSE())&amp;Char(10) &amp; Char(10) &amp; VLOOKUP(A664,Internal_lists_bugs!$A$2:$Z$73,26,FALSE())),"please select a BUG ID")</f>
        <v>https://bugs.launchpad.net/nova/+bug/1447249
/virt/ironic/driver.py</v>
      </c>
      <c r="C664" s="81" t="str">
        <f>IFERROR(VLOOKUP(A664,Internal_lists_bugs!$A$2:$I7981,9,FALSE()),"please select a BUG ID")</f>
        <v>https://review.opendev.org/c/openstack/nova/+/144792</v>
      </c>
      <c r="D664" s="114"/>
      <c r="E664" s="114"/>
      <c r="F664" s="115"/>
      <c r="G664" s="16" t="s">
        <v>2264</v>
      </c>
      <c r="H664" s="16" t="s">
        <v>2265</v>
      </c>
      <c r="I664" s="82"/>
      <c r="J664" s="92"/>
      <c r="K664" s="82"/>
      <c r="M664" s="114"/>
      <c r="N664" s="1"/>
      <c r="O664" s="1"/>
      <c r="P664" s="51"/>
    </row>
    <row r="665">
      <c r="A665" s="16" t="s">
        <v>47</v>
      </c>
      <c r="B665" s="50" t="str">
        <f>IFERROR(HYPERLINK(VLOOKUP(A665,Internal_lists_bugs!$A$2:$C$73,3,FALSE()), VLOOKUP(A665,Internal_lists_bugs!$A$2:$C$73,3,FALSE())&amp;Char(10) &amp; Char(10) &amp; VLOOKUP(A665,Internal_lists_bugs!$A$2:$Z$73,26,FALSE())),"please select a BUG ID")</f>
        <v>https://bugs.launchpad.net/nova/+bug/1447249
/virt/ironic/driver.py</v>
      </c>
      <c r="C665" s="81" t="str">
        <f>IFERROR(VLOOKUP(A665,Internal_lists_bugs!$A$2:$I7981,9,FALSE()),"please select a BUG ID")</f>
        <v>https://review.opendev.org/c/openstack/nova/+/144792</v>
      </c>
      <c r="D665" s="114"/>
      <c r="E665" s="114"/>
      <c r="F665" s="115"/>
      <c r="G665" s="16" t="s">
        <v>1831</v>
      </c>
      <c r="H665" s="16" t="s">
        <v>2266</v>
      </c>
      <c r="I665" s="82"/>
      <c r="J665" s="92"/>
      <c r="K665" s="82"/>
      <c r="M665" s="114" t="str">
        <f>VLOOKUP(A665,'BIC_(C_Variables)'!$A$3:$AS$43,45,FALSE())</f>
        <v/>
      </c>
      <c r="N665" s="1"/>
      <c r="O665" s="1"/>
      <c r="P665" s="81" t="str">
        <f>IFERROR(VLOOKUP(A665,Internal_lists_bugs!$A$2:$G7981,7,FALSE()),"please select a BUG ID")</f>
        <v>https://opendev.org/openstack/nova/commit/1682c5b</v>
      </c>
    </row>
    <row r="666">
      <c r="A666" s="16" t="s">
        <v>47</v>
      </c>
      <c r="B666" s="50" t="str">
        <f>IFERROR(HYPERLINK(VLOOKUP(A666,Internal_lists_bugs!$A$2:$C$73,3,FALSE()), VLOOKUP(A666,Internal_lists_bugs!$A$2:$C$73,3,FALSE())&amp;Char(10) &amp; Char(10) &amp; VLOOKUP(A666,Internal_lists_bugs!$A$2:$Z$73,26,FALSE())),"please select a BUG ID")</f>
        <v>https://bugs.launchpad.net/nova/+bug/1447249
/virt/ironic/driver.py</v>
      </c>
      <c r="C666" s="81" t="str">
        <f>IFERROR(VLOOKUP(A666,Internal_lists_bugs!$A$2:$I7981,9,FALSE()),"please select a BUG ID")</f>
        <v>https://review.opendev.org/c/openstack/nova/+/144792</v>
      </c>
      <c r="D666" s="114"/>
      <c r="E666" s="114"/>
      <c r="F666" s="115"/>
      <c r="G666" s="16" t="s">
        <v>1733</v>
      </c>
      <c r="H666" s="16" t="s">
        <v>2267</v>
      </c>
      <c r="I666" s="82"/>
      <c r="J666" s="92"/>
      <c r="K666" s="82"/>
      <c r="M666" s="114" t="str">
        <f>VLOOKUP(A666,'BIC_(C_Variables)'!$A$3:$AS$43,45,FALSE())</f>
        <v/>
      </c>
      <c r="N666" s="1"/>
      <c r="O666" s="1"/>
      <c r="P666" s="81" t="str">
        <f>IFERROR(VLOOKUP(A666,Internal_lists_bugs!$A$2:$G7981,7,FALSE()),"please select a BUG ID")</f>
        <v>https://opendev.org/openstack/nova/commit/1682c5b</v>
      </c>
    </row>
    <row r="667">
      <c r="A667" s="16" t="s">
        <v>47</v>
      </c>
      <c r="B667" s="50" t="str">
        <f>IFERROR(HYPERLINK(VLOOKUP(A667,Internal_lists_bugs!$A$2:$C$73,3,FALSE()), VLOOKUP(A667,Internal_lists_bugs!$A$2:$C$73,3,FALSE())&amp;Char(10) &amp; Char(10) &amp; VLOOKUP(A667,Internal_lists_bugs!$A$2:$Z$73,26,FALSE())),"please select a BUG ID")</f>
        <v>https://bugs.launchpad.net/nova/+bug/1447249
/virt/ironic/driver.py</v>
      </c>
      <c r="C667" s="81" t="str">
        <f>IFERROR(VLOOKUP(A667,Internal_lists_bugs!$A$2:$I7981,9,FALSE()),"please select a BUG ID")</f>
        <v>https://review.opendev.org/c/openstack/nova/+/144792</v>
      </c>
      <c r="D667" s="114"/>
      <c r="E667" s="114"/>
      <c r="F667" s="115"/>
      <c r="G667" s="16" t="s">
        <v>2268</v>
      </c>
      <c r="H667" s="16" t="s">
        <v>2269</v>
      </c>
      <c r="I667" s="82"/>
      <c r="J667" s="92"/>
      <c r="K667" s="82"/>
      <c r="M667" s="114" t="str">
        <f>VLOOKUP(A667,'BIC_(C_Variables)'!$A$3:$AS$43,45,FALSE())</f>
        <v/>
      </c>
      <c r="N667" s="1"/>
      <c r="O667" s="1"/>
      <c r="P667" s="81" t="str">
        <f>IFERROR(VLOOKUP(A667,Internal_lists_bugs!$A$2:$G7981,7,FALSE()),"please select a BUG ID")</f>
        <v>https://opendev.org/openstack/nova/commit/1682c5b</v>
      </c>
    </row>
    <row r="668">
      <c r="A668" s="16" t="s">
        <v>47</v>
      </c>
      <c r="B668" s="50" t="str">
        <f>IFERROR(HYPERLINK(VLOOKUP(A668,Internal_lists_bugs!$A$2:$C$73,3,FALSE()), VLOOKUP(A668,Internal_lists_bugs!$A$2:$C$73,3,FALSE())&amp;Char(10) &amp; Char(10) &amp; VLOOKUP(A668,Internal_lists_bugs!$A$2:$Z$73,26,FALSE())),"please select a BUG ID")</f>
        <v>https://bugs.launchpad.net/nova/+bug/1447249
/virt/ironic/driver.py</v>
      </c>
      <c r="C668" s="81" t="str">
        <f>IFERROR(VLOOKUP(A668,Internal_lists_bugs!$A$2:$I7981,9,FALSE()),"please select a BUG ID")</f>
        <v>https://review.opendev.org/c/openstack/nova/+/144792</v>
      </c>
      <c r="D668" s="114"/>
      <c r="E668" s="114"/>
      <c r="F668" s="115"/>
      <c r="G668" s="16" t="s">
        <v>1546</v>
      </c>
      <c r="H668" s="16" t="s">
        <v>2270</v>
      </c>
      <c r="I668" s="82"/>
      <c r="J668" s="92"/>
      <c r="K668" s="82"/>
      <c r="M668" s="114" t="str">
        <f>VLOOKUP(A668,'BIC_(C_Variables)'!$A$3:$AS$43,45,FALSE())</f>
        <v/>
      </c>
      <c r="N668" s="1"/>
      <c r="O668" s="1"/>
      <c r="P668" s="81" t="str">
        <f>IFERROR(VLOOKUP(A668,Internal_lists_bugs!$A$2:$G7981,7,FALSE()),"please select a BUG ID")</f>
        <v>https://opendev.org/openstack/nova/commit/1682c5b</v>
      </c>
    </row>
    <row r="669">
      <c r="A669" s="16" t="s">
        <v>47</v>
      </c>
      <c r="B669" s="50" t="str">
        <f>IFERROR(HYPERLINK(VLOOKUP(A669,Internal_lists_bugs!$A$2:$C$73,3,FALSE()), VLOOKUP(A669,Internal_lists_bugs!$A$2:$C$73,3,FALSE())&amp;Char(10) &amp; Char(10) &amp; VLOOKUP(A669,Internal_lists_bugs!$A$2:$Z$73,26,FALSE())),"please select a BUG ID")</f>
        <v>https://bugs.launchpad.net/nova/+bug/1447249
/virt/ironic/driver.py</v>
      </c>
      <c r="C669" s="81" t="str">
        <f>IFERROR(VLOOKUP(A669,Internal_lists_bugs!$A$2:$I7981,9,FALSE()),"please select a BUG ID")</f>
        <v>https://review.opendev.org/c/openstack/nova/+/144792</v>
      </c>
      <c r="D669" s="114"/>
      <c r="E669" s="114"/>
      <c r="F669" s="115"/>
      <c r="G669" s="16" t="s">
        <v>1686</v>
      </c>
      <c r="H669" s="16" t="s">
        <v>2271</v>
      </c>
      <c r="I669" s="82"/>
      <c r="J669" s="92"/>
      <c r="K669" s="82"/>
      <c r="M669" s="114" t="str">
        <f>VLOOKUP(A669,'BIC_(C_Variables)'!$A$3:$AS$43,45,FALSE())</f>
        <v/>
      </c>
      <c r="N669" s="1"/>
      <c r="O669" s="1"/>
      <c r="P669" s="81" t="str">
        <f>IFERROR(VLOOKUP(A669,Internal_lists_bugs!$A$2:$G7981,7,FALSE()),"please select a BUG ID")</f>
        <v>https://opendev.org/openstack/nova/commit/1682c5b</v>
      </c>
    </row>
    <row r="670">
      <c r="A670" s="16" t="s">
        <v>47</v>
      </c>
      <c r="B670" s="50" t="str">
        <f>IFERROR(HYPERLINK(VLOOKUP(A670,Internal_lists_bugs!$A$2:$C$73,3,FALSE()), VLOOKUP(A670,Internal_lists_bugs!$A$2:$C$73,3,FALSE())&amp;Char(10) &amp; Char(10) &amp; VLOOKUP(A670,Internal_lists_bugs!$A$2:$Z$73,26,FALSE())),"please select a BUG ID")</f>
        <v>https://bugs.launchpad.net/nova/+bug/1447249
/virt/ironic/driver.py</v>
      </c>
      <c r="C670" s="81" t="str">
        <f>IFERROR(VLOOKUP(A670,Internal_lists_bugs!$A$2:$I7981,9,FALSE()),"please select a BUG ID")</f>
        <v>https://review.opendev.org/c/openstack/nova/+/144792</v>
      </c>
      <c r="D670" s="114"/>
      <c r="E670" s="114"/>
      <c r="F670" s="115"/>
      <c r="G670" s="16" t="s">
        <v>1590</v>
      </c>
      <c r="H670" s="16" t="s">
        <v>2272</v>
      </c>
      <c r="I670" s="82"/>
      <c r="J670" s="92"/>
      <c r="K670" s="82"/>
      <c r="M670" s="114" t="str">
        <f>VLOOKUP(A670,'BIC_(C_Variables)'!$A$3:$AS$43,45,FALSE())</f>
        <v/>
      </c>
      <c r="N670" s="1"/>
      <c r="O670" s="1"/>
      <c r="P670" s="81" t="str">
        <f>IFERROR(VLOOKUP(A670,Internal_lists_bugs!$A$2:$G7981,7,FALSE()),"please select a BUG ID")</f>
        <v>https://opendev.org/openstack/nova/commit/1682c5b</v>
      </c>
    </row>
    <row r="671">
      <c r="A671" s="16" t="s">
        <v>47</v>
      </c>
      <c r="B671" s="50" t="str">
        <f>IFERROR(HYPERLINK(VLOOKUP(A671,Internal_lists_bugs!$A$2:$C$73,3,FALSE()), VLOOKUP(A671,Internal_lists_bugs!$A$2:$C$73,3,FALSE())&amp;Char(10) &amp; Char(10) &amp; VLOOKUP(A671,Internal_lists_bugs!$A$2:$Z$73,26,FALSE())),"please select a BUG ID")</f>
        <v>https://bugs.launchpad.net/nova/+bug/1447249
/virt/ironic/driver.py</v>
      </c>
      <c r="C671" s="81" t="str">
        <f>IFERROR(VLOOKUP(A671,Internal_lists_bugs!$A$2:$I7981,9,FALSE()),"please select a BUG ID")</f>
        <v>https://review.opendev.org/c/openstack/nova/+/144792</v>
      </c>
      <c r="D671" s="114"/>
      <c r="E671" s="114"/>
      <c r="F671" s="115"/>
      <c r="G671" s="16" t="s">
        <v>2047</v>
      </c>
      <c r="H671" s="16" t="s">
        <v>2273</v>
      </c>
      <c r="I671" s="82"/>
      <c r="J671" s="92"/>
      <c r="K671" s="82"/>
      <c r="M671" s="114" t="str">
        <f>VLOOKUP(A671,'BIC_(C_Variables)'!$A$3:$AS$43,45,FALSE())</f>
        <v/>
      </c>
      <c r="N671" s="1"/>
      <c r="O671" s="1"/>
      <c r="P671" s="81" t="str">
        <f>IFERROR(VLOOKUP(A671,Internal_lists_bugs!$A$2:$G7981,7,FALSE()),"please select a BUG ID")</f>
        <v>https://opendev.org/openstack/nova/commit/1682c5b</v>
      </c>
    </row>
    <row r="672">
      <c r="A672" s="16" t="s">
        <v>47</v>
      </c>
      <c r="B672" s="50" t="str">
        <f>IFERROR(HYPERLINK(VLOOKUP(A672,Internal_lists_bugs!$A$2:$C$73,3,FALSE()), VLOOKUP(A672,Internal_lists_bugs!$A$2:$C$73,3,FALSE())&amp;Char(10) &amp; Char(10) &amp; VLOOKUP(A672,Internal_lists_bugs!$A$2:$Z$73,26,FALSE())),"please select a BUG ID")</f>
        <v>https://bugs.launchpad.net/nova/+bug/1447249
/virt/ironic/driver.py</v>
      </c>
      <c r="C672" s="81" t="str">
        <f>IFERROR(VLOOKUP(A672,Internal_lists_bugs!$A$2:$I7981,9,FALSE()),"please select a BUG ID")</f>
        <v>https://review.opendev.org/c/openstack/nova/+/144792</v>
      </c>
      <c r="D672" s="114"/>
      <c r="E672" s="114"/>
      <c r="F672" s="115"/>
      <c r="G672" s="16" t="s">
        <v>2049</v>
      </c>
      <c r="H672" s="16" t="s">
        <v>2274</v>
      </c>
      <c r="I672" s="82"/>
      <c r="J672" s="92"/>
      <c r="K672" s="82"/>
      <c r="M672" s="114" t="str">
        <f>VLOOKUP(A672,'BIC_(C_Variables)'!$A$3:$AS$43,45,FALSE())</f>
        <v/>
      </c>
      <c r="N672" s="1"/>
      <c r="O672" s="1"/>
      <c r="P672" s="81" t="str">
        <f>IFERROR(VLOOKUP(A672,Internal_lists_bugs!$A$2:$G7981,7,FALSE()),"please select a BUG ID")</f>
        <v>https://opendev.org/openstack/nova/commit/1682c5b</v>
      </c>
    </row>
    <row r="673">
      <c r="A673" s="16" t="s">
        <v>47</v>
      </c>
      <c r="B673" s="50" t="str">
        <f>IFERROR(HYPERLINK(VLOOKUP(A673,Internal_lists_bugs!$A$2:$C$73,3,FALSE()), VLOOKUP(A673,Internal_lists_bugs!$A$2:$C$73,3,FALSE())&amp;Char(10) &amp; Char(10) &amp; VLOOKUP(A673,Internal_lists_bugs!$A$2:$Z$73,26,FALSE())),"please select a BUG ID")</f>
        <v>https://bugs.launchpad.net/nova/+bug/1447249
/virt/ironic/driver.py</v>
      </c>
      <c r="C673" s="81" t="str">
        <f>IFERROR(VLOOKUP(A673,Internal_lists_bugs!$A$2:$I7981,9,FALSE()),"please select a BUG ID")</f>
        <v>https://review.opendev.org/c/openstack/nova/+/144792</v>
      </c>
      <c r="D673" s="114"/>
      <c r="E673" s="114"/>
      <c r="F673" s="115"/>
      <c r="G673" s="16" t="s">
        <v>2275</v>
      </c>
      <c r="H673" s="16" t="s">
        <v>2276</v>
      </c>
      <c r="I673" s="82"/>
      <c r="J673" s="92"/>
      <c r="K673" s="82"/>
      <c r="M673" s="114" t="str">
        <f>VLOOKUP(A673,'BIC_(C_Variables)'!$A$3:$AS$43,45,FALSE())</f>
        <v/>
      </c>
      <c r="N673" s="1"/>
      <c r="O673" s="1"/>
      <c r="P673" s="81" t="str">
        <f>IFERROR(VLOOKUP(A673,Internal_lists_bugs!$A$2:$G7981,7,FALSE()),"please select a BUG ID")</f>
        <v>https://opendev.org/openstack/nova/commit/1682c5b</v>
      </c>
    </row>
    <row r="674">
      <c r="A674" s="16" t="s">
        <v>47</v>
      </c>
      <c r="B674" s="50" t="str">
        <f>IFERROR(HYPERLINK(VLOOKUP(A674,Internal_lists_bugs!$A$2:$C$73,3,FALSE()), VLOOKUP(A674,Internal_lists_bugs!$A$2:$C$73,3,FALSE())&amp;Char(10) &amp; Char(10) &amp; VLOOKUP(A674,Internal_lists_bugs!$A$2:$Z$73,26,FALSE())),"please select a BUG ID")</f>
        <v>https://bugs.launchpad.net/nova/+bug/1447249
/virt/ironic/driver.py</v>
      </c>
      <c r="C674" s="81" t="str">
        <f>IFERROR(VLOOKUP(A674,Internal_lists_bugs!$A$2:$I7981,9,FALSE()),"please select a BUG ID")</f>
        <v>https://review.opendev.org/c/openstack/nova/+/144792</v>
      </c>
      <c r="D674" s="114"/>
      <c r="E674" s="114"/>
      <c r="F674" s="115"/>
      <c r="G674" s="16" t="s">
        <v>2277</v>
      </c>
      <c r="H674" s="16" t="s">
        <v>2278</v>
      </c>
      <c r="I674" s="82"/>
      <c r="J674" s="92"/>
      <c r="K674" s="82"/>
      <c r="M674" s="114" t="str">
        <f>VLOOKUP(A674,'BIC_(C_Variables)'!$A$3:$AS$43,45,FALSE())</f>
        <v/>
      </c>
      <c r="N674" s="1"/>
      <c r="O674" s="1"/>
      <c r="P674" s="81" t="str">
        <f>IFERROR(VLOOKUP(A674,Internal_lists_bugs!$A$2:$G7981,7,FALSE()),"please select a BUG ID")</f>
        <v>https://opendev.org/openstack/nova/commit/1682c5b</v>
      </c>
    </row>
    <row r="675">
      <c r="A675" s="16" t="s">
        <v>47</v>
      </c>
      <c r="B675" s="50" t="str">
        <f>IFERROR(HYPERLINK(VLOOKUP(A675,Internal_lists_bugs!$A$2:$C$73,3,FALSE()), VLOOKUP(A675,Internal_lists_bugs!$A$2:$C$73,3,FALSE())&amp;Char(10) &amp; Char(10) &amp; VLOOKUP(A675,Internal_lists_bugs!$A$2:$Z$73,26,FALSE())),"please select a BUG ID")</f>
        <v>https://bugs.launchpad.net/nova/+bug/1447249
/virt/ironic/driver.py</v>
      </c>
      <c r="C675" s="81" t="str">
        <f>IFERROR(VLOOKUP(A675,Internal_lists_bugs!$A$2:$I7981,9,FALSE()),"please select a BUG ID")</f>
        <v>https://review.opendev.org/c/openstack/nova/+/144792</v>
      </c>
      <c r="D675" s="114"/>
      <c r="E675" s="114"/>
      <c r="F675" s="115"/>
      <c r="G675" s="16" t="s">
        <v>2279</v>
      </c>
      <c r="H675" s="16" t="s">
        <v>1661</v>
      </c>
      <c r="I675" s="82"/>
      <c r="J675" s="92"/>
      <c r="K675" s="82"/>
      <c r="M675" s="114" t="str">
        <f>VLOOKUP(A675,'BIC_(C_Variables)'!$A$3:$AS$43,45,FALSE())</f>
        <v/>
      </c>
      <c r="N675" s="1"/>
      <c r="O675" s="1"/>
      <c r="P675" s="81" t="str">
        <f>IFERROR(VLOOKUP(A675,Internal_lists_bugs!$A$2:$G7981,7,FALSE()),"please select a BUG ID")</f>
        <v>https://opendev.org/openstack/nova/commit/1682c5b</v>
      </c>
    </row>
    <row r="676">
      <c r="A676" s="16" t="s">
        <v>47</v>
      </c>
      <c r="B676" s="50" t="str">
        <f>IFERROR(HYPERLINK(VLOOKUP(A676,Internal_lists_bugs!$A$2:$C$73,3,FALSE()), VLOOKUP(A676,Internal_lists_bugs!$A$2:$C$73,3,FALSE())&amp;Char(10) &amp; Char(10) &amp; VLOOKUP(A676,Internal_lists_bugs!$A$2:$Z$73,26,FALSE())),"please select a BUG ID")</f>
        <v>https://bugs.launchpad.net/nova/+bug/1447249
/virt/ironic/driver.py</v>
      </c>
      <c r="C676" s="81" t="str">
        <f>IFERROR(VLOOKUP(A676,Internal_lists_bugs!$A$2:$I7981,9,FALSE()),"please select a BUG ID")</f>
        <v>https://review.opendev.org/c/openstack/nova/+/144792</v>
      </c>
      <c r="D676" s="114"/>
      <c r="E676" s="114"/>
      <c r="F676" s="115"/>
      <c r="G676" s="16" t="s">
        <v>2280</v>
      </c>
      <c r="H676" s="16" t="s">
        <v>2281</v>
      </c>
      <c r="I676" s="82"/>
      <c r="J676" s="92"/>
      <c r="K676" s="82"/>
      <c r="M676" s="114" t="str">
        <f>VLOOKUP(A676,'BIC_(C_Variables)'!$A$3:$AS$43,45,FALSE())</f>
        <v/>
      </c>
      <c r="N676" s="1"/>
      <c r="O676" s="1"/>
      <c r="P676" s="81" t="str">
        <f>IFERROR(VLOOKUP(A676,Internal_lists_bugs!$A$2:$G7981,7,FALSE()),"please select a BUG ID")</f>
        <v>https://opendev.org/openstack/nova/commit/1682c5b</v>
      </c>
    </row>
    <row r="677">
      <c r="A677" s="16" t="s">
        <v>47</v>
      </c>
      <c r="B677" s="50" t="str">
        <f>IFERROR(HYPERLINK(VLOOKUP(A677,Internal_lists_bugs!$A$2:$C$73,3,FALSE()), VLOOKUP(A677,Internal_lists_bugs!$A$2:$C$73,3,FALSE())&amp;Char(10) &amp; Char(10) &amp; VLOOKUP(A677,Internal_lists_bugs!$A$2:$Z$73,26,FALSE())),"please select a BUG ID")</f>
        <v>https://bugs.launchpad.net/nova/+bug/1447249
/virt/ironic/driver.py</v>
      </c>
      <c r="C677" s="81" t="str">
        <f>IFERROR(VLOOKUP(A677,Internal_lists_bugs!$A$2:$I7981,9,FALSE()),"please select a BUG ID")</f>
        <v>https://review.opendev.org/c/openstack/nova/+/144792</v>
      </c>
      <c r="D677" s="114"/>
      <c r="E677" s="114"/>
      <c r="F677" s="115"/>
      <c r="G677" s="16" t="s">
        <v>2282</v>
      </c>
      <c r="H677" s="16" t="s">
        <v>2283</v>
      </c>
      <c r="I677" s="82"/>
      <c r="J677" s="92"/>
      <c r="K677" s="82"/>
      <c r="M677" s="114" t="str">
        <f>VLOOKUP(A677,'BIC_(C_Variables)'!$A$3:$AS$43,45,FALSE())</f>
        <v/>
      </c>
      <c r="N677" s="1"/>
      <c r="O677" s="1"/>
      <c r="P677" s="81" t="str">
        <f>IFERROR(VLOOKUP(A677,Internal_lists_bugs!$A$2:$G7981,7,FALSE()),"please select a BUG ID")</f>
        <v>https://opendev.org/openstack/nova/commit/1682c5b</v>
      </c>
    </row>
    <row r="678">
      <c r="A678" s="16" t="s">
        <v>47</v>
      </c>
      <c r="B678" s="50" t="str">
        <f>IFERROR(HYPERLINK(VLOOKUP(A678,Internal_lists_bugs!$A$2:$C$73,3,FALSE()), VLOOKUP(A678,Internal_lists_bugs!$A$2:$C$73,3,FALSE())&amp;Char(10) &amp; Char(10) &amp; VLOOKUP(A678,Internal_lists_bugs!$A$2:$Z$73,26,FALSE())),"please select a BUG ID")</f>
        <v>https://bugs.launchpad.net/nova/+bug/1447249
/virt/ironic/driver.py</v>
      </c>
      <c r="C678" s="81" t="str">
        <f>IFERROR(VLOOKUP(A678,Internal_lists_bugs!$A$2:$I7981,9,FALSE()),"please select a BUG ID")</f>
        <v>https://review.opendev.org/c/openstack/nova/+/144792</v>
      </c>
      <c r="D678" s="114"/>
      <c r="E678" s="114"/>
      <c r="F678" s="115"/>
      <c r="G678" s="16" t="s">
        <v>2284</v>
      </c>
      <c r="H678" s="16" t="s">
        <v>2285</v>
      </c>
      <c r="I678" s="82"/>
      <c r="J678" s="92"/>
      <c r="K678" s="82"/>
      <c r="M678" s="114" t="str">
        <f>VLOOKUP(A678,'BIC_(C_Variables)'!$A$3:$AS$43,45,FALSE())</f>
        <v/>
      </c>
      <c r="N678" s="1"/>
      <c r="O678" s="1"/>
      <c r="P678" s="81" t="str">
        <f>IFERROR(VLOOKUP(A678,Internal_lists_bugs!$A$2:$G7981,7,FALSE()),"please select a BUG ID")</f>
        <v>https://opendev.org/openstack/nova/commit/1682c5b</v>
      </c>
    </row>
    <row r="679">
      <c r="A679" s="16" t="s">
        <v>47</v>
      </c>
      <c r="B679" s="50" t="str">
        <f>IFERROR(HYPERLINK(VLOOKUP(A679,Internal_lists_bugs!$A$2:$C$73,3,FALSE()), VLOOKUP(A679,Internal_lists_bugs!$A$2:$C$73,3,FALSE())&amp;Char(10) &amp; Char(10) &amp; VLOOKUP(A679,Internal_lists_bugs!$A$2:$Z$73,26,FALSE())),"please select a BUG ID")</f>
        <v>https://bugs.launchpad.net/nova/+bug/1447249
/virt/ironic/driver.py</v>
      </c>
      <c r="C679" s="81" t="str">
        <f>IFERROR(VLOOKUP(A679,Internal_lists_bugs!$A$2:$I7981,9,FALSE()),"please select a BUG ID")</f>
        <v>https://review.opendev.org/c/openstack/nova/+/144792</v>
      </c>
      <c r="D679" s="114"/>
      <c r="E679" s="114"/>
      <c r="F679" s="115"/>
      <c r="G679" s="16" t="s">
        <v>2286</v>
      </c>
      <c r="H679" s="16" t="s">
        <v>2287</v>
      </c>
      <c r="I679" s="82"/>
      <c r="J679" s="92"/>
      <c r="K679" s="82"/>
      <c r="M679" s="114" t="str">
        <f>VLOOKUP(A679,'BIC_(C_Variables)'!$A$3:$AS$43,45,FALSE())</f>
        <v/>
      </c>
      <c r="N679" s="1"/>
      <c r="O679" s="1"/>
      <c r="P679" s="81" t="str">
        <f>IFERROR(VLOOKUP(A679,Internal_lists_bugs!$A$2:$G7981,7,FALSE()),"please select a BUG ID")</f>
        <v>https://opendev.org/openstack/nova/commit/1682c5b</v>
      </c>
    </row>
    <row r="680">
      <c r="A680" s="16" t="s">
        <v>47</v>
      </c>
      <c r="B680" s="50" t="str">
        <f>IFERROR(HYPERLINK(VLOOKUP(A680,Internal_lists_bugs!$A$2:$C$73,3,FALSE()), VLOOKUP(A680,Internal_lists_bugs!$A$2:$C$73,3,FALSE())&amp;Char(10) &amp; Char(10) &amp; VLOOKUP(A680,Internal_lists_bugs!$A$2:$Z$73,26,FALSE())),"please select a BUG ID")</f>
        <v>https://bugs.launchpad.net/nova/+bug/1447249
/virt/ironic/driver.py</v>
      </c>
      <c r="C680" s="81" t="str">
        <f>IFERROR(VLOOKUP(A680,Internal_lists_bugs!$A$2:$I7981,9,FALSE()),"please select a BUG ID")</f>
        <v>https://review.opendev.org/c/openstack/nova/+/144792</v>
      </c>
      <c r="D680" s="114"/>
      <c r="E680" s="114"/>
      <c r="F680" s="115"/>
      <c r="G680" s="16" t="s">
        <v>2288</v>
      </c>
      <c r="H680" s="16" t="s">
        <v>2289</v>
      </c>
      <c r="I680" s="82"/>
      <c r="J680" s="92"/>
      <c r="K680" s="82"/>
      <c r="M680" s="114" t="str">
        <f>VLOOKUP(A680,'BIC_(C_Variables)'!$A$3:$AS$43,45,FALSE())</f>
        <v/>
      </c>
      <c r="N680" s="1"/>
      <c r="O680" s="1"/>
      <c r="P680" s="81" t="str">
        <f>IFERROR(VLOOKUP(A680,Internal_lists_bugs!$A$2:$G7981,7,FALSE()),"please select a BUG ID")</f>
        <v>https://opendev.org/openstack/nova/commit/1682c5b</v>
      </c>
    </row>
    <row r="681">
      <c r="A681" s="16" t="s">
        <v>47</v>
      </c>
      <c r="B681" s="50" t="str">
        <f>IFERROR(HYPERLINK(VLOOKUP(A681,Internal_lists_bugs!$A$2:$C$73,3,FALSE()), VLOOKUP(A681,Internal_lists_bugs!$A$2:$C$73,3,FALSE())&amp;Char(10) &amp; Char(10) &amp; VLOOKUP(A681,Internal_lists_bugs!$A$2:$Z$73,26,FALSE())),"please select a BUG ID")</f>
        <v>https://bugs.launchpad.net/nova/+bug/1447249
/virt/ironic/driver.py</v>
      </c>
      <c r="C681" s="81" t="str">
        <f>IFERROR(VLOOKUP(A681,Internal_lists_bugs!$A$2:$I7981,9,FALSE()),"please select a BUG ID")</f>
        <v>https://review.opendev.org/c/openstack/nova/+/144792</v>
      </c>
      <c r="D681" s="112"/>
      <c r="E681" s="112"/>
      <c r="F681" s="115"/>
      <c r="G681" s="16" t="s">
        <v>1570</v>
      </c>
      <c r="H681" s="16" t="s">
        <v>1661</v>
      </c>
      <c r="I681" s="82"/>
      <c r="J681" s="92"/>
      <c r="K681" s="82"/>
      <c r="M681" s="114" t="str">
        <f>VLOOKUP(A681,'BIC_(C_Variables)'!$A$3:$AS$43,45,FALSE())</f>
        <v/>
      </c>
      <c r="N681" s="1"/>
      <c r="O681" s="1"/>
      <c r="P681" s="81" t="str">
        <f>IFERROR(VLOOKUP(A681,Internal_lists_bugs!$A$2:$G7981,7,FALSE()),"please select a BUG ID")</f>
        <v>https://opendev.org/openstack/nova/commit/1682c5b</v>
      </c>
    </row>
    <row r="682">
      <c r="A682" s="16" t="s">
        <v>48</v>
      </c>
      <c r="B682" s="50" t="str">
        <f>IFERROR(HYPERLINK(VLOOKUP(A682,Internal_lists_bugs!$A$2:$C$73,3,FALSE()), VLOOKUP(A682,Internal_lists_bugs!$A$2:$C$73,3,FALSE())&amp;Char(10) &amp; Char(10) &amp; VLOOKUP(A682,Internal_lists_bugs!$A$2:$Z$73,26,FALSE())),"please select a BUG ID")</f>
        <v>https://bugs.launchpad.net/nova/+bug/1475356
/objects/base.py</v>
      </c>
      <c r="C682" s="81" t="str">
        <f>IFERROR(VLOOKUP(A682,Internal_lists_bugs!$A$2:$I7981,9,FALSE()),"please select a BUG ID")</f>
        <v>https://review.opendev.org/c/openstack/nova/+/59560</v>
      </c>
      <c r="D682" s="112" t="s">
        <v>1412</v>
      </c>
      <c r="E682" s="112" t="s">
        <v>1462</v>
      </c>
      <c r="F682" s="113" t="s">
        <v>251</v>
      </c>
      <c r="G682" s="16" t="s">
        <v>1417</v>
      </c>
      <c r="H682" s="16" t="s">
        <v>2290</v>
      </c>
      <c r="I682" s="79" t="s">
        <v>251</v>
      </c>
      <c r="J682" s="93" t="s">
        <v>1471</v>
      </c>
      <c r="K682" s="79" t="s">
        <v>251</v>
      </c>
      <c r="L682" s="16" t="s">
        <v>1580</v>
      </c>
      <c r="M682" s="114" t="str">
        <f>VLOOKUP(A682,'BIC_(C_Variables)'!$A$3:$AS$43,45,FALSE())</f>
        <v/>
      </c>
      <c r="N682" s="1"/>
      <c r="O682" s="1"/>
      <c r="P682" s="81" t="str">
        <f>IFERROR(VLOOKUP(A682,Internal_lists_bugs!$A$2:$G7981,7,FALSE()),"please select a BUG ID")</f>
        <v>https://opendev.org/openstack/nova/commit/0eb7e35fbf</v>
      </c>
    </row>
    <row r="683">
      <c r="A683" s="16" t="s">
        <v>48</v>
      </c>
      <c r="B683" s="50" t="str">
        <f>IFERROR(HYPERLINK(VLOOKUP(A683,Internal_lists_bugs!$A$2:$C$73,3,FALSE()), VLOOKUP(A683,Internal_lists_bugs!$A$2:$C$73,3,FALSE())&amp;Char(10) &amp; Char(10) &amp; VLOOKUP(A683,Internal_lists_bugs!$A$2:$Z$73,26,FALSE())),"please select a BUG ID")</f>
        <v>https://bugs.launchpad.net/nova/+bug/1475356
/objects/base.py</v>
      </c>
      <c r="C683" s="81" t="str">
        <f>IFERROR(VLOOKUP(A683,Internal_lists_bugs!$A$2:$I7981,9,FALSE()),"please select a BUG ID")</f>
        <v>https://review.opendev.org/c/openstack/nova/+/59560</v>
      </c>
      <c r="D683" s="114"/>
      <c r="E683" s="114"/>
      <c r="F683" s="115"/>
      <c r="G683" s="16" t="s">
        <v>1466</v>
      </c>
      <c r="H683" s="16" t="s">
        <v>2291</v>
      </c>
      <c r="I683" s="82"/>
      <c r="J683" s="92"/>
      <c r="K683" s="82"/>
      <c r="M683" s="114" t="str">
        <f>VLOOKUP(A683,'BIC_(C_Variables)'!$A$3:$AS$43,45,FALSE())</f>
        <v/>
      </c>
      <c r="N683" s="1"/>
      <c r="O683" s="1"/>
      <c r="P683" s="81" t="str">
        <f>IFERROR(VLOOKUP(A683,Internal_lists_bugs!$A$2:$G7981,7,FALSE()),"please select a BUG ID")</f>
        <v>https://opendev.org/openstack/nova/commit/0eb7e35fbf</v>
      </c>
    </row>
    <row r="684">
      <c r="A684" s="16" t="s">
        <v>48</v>
      </c>
      <c r="B684" s="50" t="str">
        <f>IFERROR(HYPERLINK(VLOOKUP(A684,Internal_lists_bugs!$A$2:$C$73,3,FALSE()), VLOOKUP(A684,Internal_lists_bugs!$A$2:$C$73,3,FALSE())&amp;Char(10) &amp; Char(10) &amp; VLOOKUP(A684,Internal_lists_bugs!$A$2:$Z$73,26,FALSE())),"please select a BUG ID")</f>
        <v>https://bugs.launchpad.net/nova/+bug/1475356
/objects/base.py</v>
      </c>
      <c r="C684" s="81" t="str">
        <f>IFERROR(VLOOKUP(A684,Internal_lists_bugs!$A$2:$I7981,9,FALSE()),"please select a BUG ID")</f>
        <v>https://review.opendev.org/c/openstack/nova/+/59560</v>
      </c>
      <c r="D684" s="114"/>
      <c r="E684" s="114"/>
      <c r="F684" s="115"/>
      <c r="G684" s="16" t="s">
        <v>1419</v>
      </c>
      <c r="H684" s="16" t="s">
        <v>2292</v>
      </c>
      <c r="I684" s="82"/>
      <c r="J684" s="92"/>
      <c r="K684" s="82"/>
      <c r="M684" s="114" t="str">
        <f>VLOOKUP(A684,'BIC_(C_Variables)'!$A$3:$AS$43,45,FALSE())</f>
        <v/>
      </c>
      <c r="N684" s="1"/>
      <c r="O684" s="1"/>
      <c r="P684" s="81" t="str">
        <f>IFERROR(VLOOKUP(A684,Internal_lists_bugs!$A$2:$G7981,7,FALSE()),"please select a BUG ID")</f>
        <v>https://opendev.org/openstack/nova/commit/0eb7e35fbf</v>
      </c>
    </row>
    <row r="685">
      <c r="A685" s="16" t="s">
        <v>48</v>
      </c>
      <c r="B685" s="50" t="str">
        <f>IFERROR(HYPERLINK(VLOOKUP(A685,Internal_lists_bugs!$A$2:$C$73,3,FALSE()), VLOOKUP(A685,Internal_lists_bugs!$A$2:$C$73,3,FALSE())&amp;Char(10) &amp; Char(10) &amp; VLOOKUP(A685,Internal_lists_bugs!$A$2:$Z$73,26,FALSE())),"please select a BUG ID")</f>
        <v>https://bugs.launchpad.net/nova/+bug/1475356
/objects/base.py</v>
      </c>
      <c r="C685" s="81" t="str">
        <f>IFERROR(VLOOKUP(A685,Internal_lists_bugs!$A$2:$I7981,9,FALSE()),"please select a BUG ID")</f>
        <v>https://review.opendev.org/c/openstack/nova/+/59560</v>
      </c>
      <c r="D685" s="114"/>
      <c r="E685" s="114"/>
      <c r="F685" s="115"/>
      <c r="G685" s="16" t="s">
        <v>1498</v>
      </c>
      <c r="H685" s="16" t="s">
        <v>2293</v>
      </c>
      <c r="I685" s="82"/>
      <c r="J685" s="92"/>
      <c r="K685" s="82"/>
      <c r="M685" s="114" t="str">
        <f>VLOOKUP(A685,'BIC_(C_Variables)'!$A$3:$AS$43,45,FALSE())</f>
        <v/>
      </c>
      <c r="N685" s="1"/>
      <c r="O685" s="1"/>
      <c r="P685" s="81" t="str">
        <f>IFERROR(VLOOKUP(A685,Internal_lists_bugs!$A$2:$G7981,7,FALSE()),"please select a BUG ID")</f>
        <v>https://opendev.org/openstack/nova/commit/0eb7e35fbf</v>
      </c>
    </row>
    <row r="686">
      <c r="A686" s="16" t="s">
        <v>48</v>
      </c>
      <c r="B686" s="50" t="str">
        <f>IFERROR(HYPERLINK(VLOOKUP(A686,Internal_lists_bugs!$A$2:$C$73,3,FALSE()), VLOOKUP(A686,Internal_lists_bugs!$A$2:$C$73,3,FALSE())&amp;Char(10) &amp; Char(10) &amp; VLOOKUP(A686,Internal_lists_bugs!$A$2:$Z$73,26,FALSE())),"please select a BUG ID")</f>
        <v>https://bugs.launchpad.net/nova/+bug/1475356
/objects/base.py</v>
      </c>
      <c r="C686" s="81" t="str">
        <f>IFERROR(VLOOKUP(A686,Internal_lists_bugs!$A$2:$I7981,9,FALSE()),"please select a BUG ID")</f>
        <v>https://review.opendev.org/c/openstack/nova/+/59560</v>
      </c>
      <c r="D686" s="114"/>
      <c r="E686" s="114"/>
      <c r="F686" s="115"/>
      <c r="G686" s="16" t="s">
        <v>2112</v>
      </c>
      <c r="H686" s="16" t="s">
        <v>2294</v>
      </c>
      <c r="I686" s="82"/>
      <c r="J686" s="92"/>
      <c r="K686" s="82"/>
      <c r="M686" s="114" t="str">
        <f>VLOOKUP(A686,'BIC_(C_Variables)'!$A$3:$AS$43,45,FALSE())</f>
        <v/>
      </c>
      <c r="N686" s="1"/>
      <c r="O686" s="1"/>
      <c r="P686" s="81" t="str">
        <f>IFERROR(VLOOKUP(A686,Internal_lists_bugs!$A$2:$G7981,7,FALSE()),"please select a BUG ID")</f>
        <v>https://opendev.org/openstack/nova/commit/0eb7e35fbf</v>
      </c>
    </row>
    <row r="687">
      <c r="A687" s="16" t="s">
        <v>48</v>
      </c>
      <c r="B687" s="50" t="str">
        <f>IFERROR(HYPERLINK(VLOOKUP(A687,Internal_lists_bugs!$A$2:$C$73,3,FALSE()), VLOOKUP(A687,Internal_lists_bugs!$A$2:$C$73,3,FALSE())&amp;Char(10) &amp; Char(10) &amp; VLOOKUP(A687,Internal_lists_bugs!$A$2:$Z$73,26,FALSE())),"please select a BUG ID")</f>
        <v>https://bugs.launchpad.net/nova/+bug/1475356
/objects/base.py</v>
      </c>
      <c r="C687" s="81" t="str">
        <f>IFERROR(VLOOKUP(A687,Internal_lists_bugs!$A$2:$I7981,9,FALSE()),"please select a BUG ID")</f>
        <v>https://review.opendev.org/c/openstack/nova/+/59560</v>
      </c>
      <c r="D687" s="114"/>
      <c r="E687" s="114"/>
      <c r="F687" s="115"/>
      <c r="G687" s="16" t="s">
        <v>2295</v>
      </c>
      <c r="H687" s="16" t="s">
        <v>2296</v>
      </c>
      <c r="I687" s="82"/>
      <c r="J687" s="92"/>
      <c r="K687" s="82"/>
      <c r="M687" s="114" t="str">
        <f>VLOOKUP(A687,'BIC_(C_Variables)'!$A$3:$AS$43,45,FALSE())</f>
        <v/>
      </c>
      <c r="N687" s="1"/>
      <c r="O687" s="1"/>
      <c r="P687" s="81" t="str">
        <f>IFERROR(VLOOKUP(A687,Internal_lists_bugs!$A$2:$G7981,7,FALSE()),"please select a BUG ID")</f>
        <v>https://opendev.org/openstack/nova/commit/0eb7e35fbf</v>
      </c>
    </row>
    <row r="688">
      <c r="A688" s="16" t="s">
        <v>48</v>
      </c>
      <c r="B688" s="50" t="str">
        <f>IFERROR(HYPERLINK(VLOOKUP(A688,Internal_lists_bugs!$A$2:$C$73,3,FALSE()), VLOOKUP(A688,Internal_lists_bugs!$A$2:$C$73,3,FALSE())&amp;Char(10) &amp; Char(10) &amp; VLOOKUP(A688,Internal_lists_bugs!$A$2:$Z$73,26,FALSE())),"please select a BUG ID")</f>
        <v>https://bugs.launchpad.net/nova/+bug/1475356
/objects/base.py</v>
      </c>
      <c r="C688" s="81" t="str">
        <f>IFERROR(VLOOKUP(A688,Internal_lists_bugs!$A$2:$I7981,9,FALSE()),"please select a BUG ID")</f>
        <v>https://review.opendev.org/c/openstack/nova/+/59560</v>
      </c>
      <c r="D688" s="114"/>
      <c r="E688" s="114"/>
      <c r="F688" s="115"/>
      <c r="G688" s="16" t="s">
        <v>1590</v>
      </c>
      <c r="H688" s="16" t="s">
        <v>2297</v>
      </c>
      <c r="I688" s="82"/>
      <c r="J688" s="92"/>
      <c r="K688" s="82"/>
      <c r="M688" s="114" t="str">
        <f>VLOOKUP(A688,'BIC_(C_Variables)'!$A$3:$AS$43,45,FALSE())</f>
        <v/>
      </c>
      <c r="N688" s="1"/>
      <c r="O688" s="1"/>
      <c r="P688" s="81" t="str">
        <f>IFERROR(VLOOKUP(A688,Internal_lists_bugs!$A$2:$G7981,7,FALSE()),"please select a BUG ID")</f>
        <v>https://opendev.org/openstack/nova/commit/0eb7e35fbf</v>
      </c>
    </row>
    <row r="689">
      <c r="A689" s="16" t="s">
        <v>48</v>
      </c>
      <c r="B689" s="50" t="str">
        <f>IFERROR(HYPERLINK(VLOOKUP(A689,Internal_lists_bugs!$A$2:$C$73,3,FALSE()), VLOOKUP(A689,Internal_lists_bugs!$A$2:$C$73,3,FALSE())&amp;Char(10) &amp; Char(10) &amp; VLOOKUP(A689,Internal_lists_bugs!$A$2:$Z$73,26,FALSE())),"please select a BUG ID")</f>
        <v>https://bugs.launchpad.net/nova/+bug/1475356
/objects/base.py</v>
      </c>
      <c r="C689" s="81" t="str">
        <f>IFERROR(VLOOKUP(A689,Internal_lists_bugs!$A$2:$I7981,9,FALSE()),"please select a BUG ID")</f>
        <v>https://review.opendev.org/c/openstack/nova/+/59560</v>
      </c>
      <c r="D689" s="114"/>
      <c r="E689" s="114"/>
      <c r="F689" s="115"/>
      <c r="G689" s="16" t="s">
        <v>1590</v>
      </c>
      <c r="H689" s="16" t="s">
        <v>2298</v>
      </c>
      <c r="I689" s="82"/>
      <c r="J689" s="92"/>
      <c r="K689" s="82"/>
      <c r="M689" s="114" t="str">
        <f>VLOOKUP(A689,'BIC_(C_Variables)'!$A$3:$AS$43,45,FALSE())</f>
        <v/>
      </c>
      <c r="N689" s="1"/>
      <c r="O689" s="1"/>
      <c r="P689" s="81" t="str">
        <f>IFERROR(VLOOKUP(A689,Internal_lists_bugs!$A$2:$G7981,7,FALSE()),"please select a BUG ID")</f>
        <v>https://opendev.org/openstack/nova/commit/0eb7e35fbf</v>
      </c>
    </row>
    <row r="690">
      <c r="A690" s="16" t="s">
        <v>48</v>
      </c>
      <c r="B690" s="50" t="str">
        <f>IFERROR(HYPERLINK(VLOOKUP(A690,Internal_lists_bugs!$A$2:$C$73,3,FALSE()), VLOOKUP(A690,Internal_lists_bugs!$A$2:$C$73,3,FALSE())&amp;Char(10) &amp; Char(10) &amp; VLOOKUP(A690,Internal_lists_bugs!$A$2:$Z$73,26,FALSE())),"please select a BUG ID")</f>
        <v>https://bugs.launchpad.net/nova/+bug/1475356
/objects/base.py</v>
      </c>
      <c r="C690" s="81" t="str">
        <f>IFERROR(VLOOKUP(A690,Internal_lists_bugs!$A$2:$I7981,9,FALSE()),"please select a BUG ID")</f>
        <v>https://review.opendev.org/c/openstack/nova/+/59560</v>
      </c>
      <c r="D690" s="114"/>
      <c r="E690" s="114"/>
      <c r="F690" s="115"/>
      <c r="G690" s="16" t="s">
        <v>1500</v>
      </c>
      <c r="H690" s="16" t="s">
        <v>2299</v>
      </c>
      <c r="I690" s="82"/>
      <c r="J690" s="92"/>
      <c r="K690" s="82"/>
      <c r="M690" s="114" t="str">
        <f>VLOOKUP(A690,'BIC_(C_Variables)'!$A$3:$AS$43,45,FALSE())</f>
        <v/>
      </c>
      <c r="N690" s="1"/>
      <c r="O690" s="1"/>
      <c r="P690" s="81" t="str">
        <f>IFERROR(VLOOKUP(A690,Internal_lists_bugs!$A$2:$G7981,7,FALSE()),"please select a BUG ID")</f>
        <v>https://opendev.org/openstack/nova/commit/0eb7e35fbf</v>
      </c>
    </row>
    <row r="691">
      <c r="A691" s="16" t="s">
        <v>48</v>
      </c>
      <c r="B691" s="50" t="str">
        <f>IFERROR(HYPERLINK(VLOOKUP(A691,Internal_lists_bugs!$A$2:$C$73,3,FALSE()), VLOOKUP(A691,Internal_lists_bugs!$A$2:$C$73,3,FALSE())&amp;Char(10) &amp; Char(10) &amp; VLOOKUP(A691,Internal_lists_bugs!$A$2:$Z$73,26,FALSE())),"please select a BUG ID")</f>
        <v>https://bugs.launchpad.net/nova/+bug/1475356
/objects/base.py</v>
      </c>
      <c r="C691" s="81" t="str">
        <f>IFERROR(VLOOKUP(A691,Internal_lists_bugs!$A$2:$I7981,9,FALSE()),"please select a BUG ID")</f>
        <v>https://review.opendev.org/c/openstack/nova/+/59560</v>
      </c>
      <c r="D691" s="114"/>
      <c r="E691" s="114"/>
      <c r="F691" s="115"/>
      <c r="G691" s="16" t="s">
        <v>1428</v>
      </c>
      <c r="H691" s="16" t="s">
        <v>2300</v>
      </c>
      <c r="I691" s="82"/>
      <c r="J691" s="92"/>
      <c r="K691" s="82"/>
      <c r="M691" s="114" t="str">
        <f>VLOOKUP(A691,'BIC_(C_Variables)'!$A$3:$AS$43,45,FALSE())</f>
        <v/>
      </c>
      <c r="N691" s="1"/>
      <c r="O691" s="1"/>
      <c r="P691" s="81" t="str">
        <f>IFERROR(VLOOKUP(A691,Internal_lists_bugs!$A$2:$G7981,7,FALSE()),"please select a BUG ID")</f>
        <v>https://opendev.org/openstack/nova/commit/0eb7e35fbf</v>
      </c>
    </row>
    <row r="692">
      <c r="A692" s="16" t="s">
        <v>48</v>
      </c>
      <c r="B692" s="50" t="str">
        <f>IFERROR(HYPERLINK(VLOOKUP(A692,Internal_lists_bugs!$A$2:$C$73,3,FALSE()), VLOOKUP(A692,Internal_lists_bugs!$A$2:$C$73,3,FALSE())&amp;Char(10) &amp; Char(10) &amp; VLOOKUP(A692,Internal_lists_bugs!$A$2:$Z$73,26,FALSE())),"please select a BUG ID")</f>
        <v>https://bugs.launchpad.net/nova/+bug/1475356
/objects/base.py</v>
      </c>
      <c r="C692" s="81" t="str">
        <f>IFERROR(VLOOKUP(A692,Internal_lists_bugs!$A$2:$I7981,9,FALSE()),"please select a BUG ID")</f>
        <v>https://review.opendev.org/c/openstack/nova/+/59560</v>
      </c>
      <c r="D692" s="114"/>
      <c r="E692" s="114"/>
      <c r="F692" s="115"/>
      <c r="G692" s="16" t="s">
        <v>2301</v>
      </c>
      <c r="H692" s="16" t="s">
        <v>2302</v>
      </c>
      <c r="I692" s="82"/>
      <c r="J692" s="92"/>
      <c r="K692" s="82"/>
      <c r="M692" s="114" t="str">
        <f>VLOOKUP(A692,'BIC_(C_Variables)'!$A$3:$AS$43,45,FALSE())</f>
        <v/>
      </c>
      <c r="N692" s="1"/>
      <c r="O692" s="1"/>
      <c r="P692" s="81" t="str">
        <f>IFERROR(VLOOKUP(A692,Internal_lists_bugs!$A$2:$G7981,7,FALSE()),"please select a BUG ID")</f>
        <v>https://opendev.org/openstack/nova/commit/0eb7e35fbf</v>
      </c>
    </row>
    <row r="693">
      <c r="A693" s="16" t="s">
        <v>48</v>
      </c>
      <c r="B693" s="50" t="str">
        <f>IFERROR(HYPERLINK(VLOOKUP(A693,Internal_lists_bugs!$A$2:$C$73,3,FALSE()), VLOOKUP(A693,Internal_lists_bugs!$A$2:$C$73,3,FALSE())&amp;Char(10) &amp; Char(10) &amp; VLOOKUP(A693,Internal_lists_bugs!$A$2:$Z$73,26,FALSE())),"please select a BUG ID")</f>
        <v>https://bugs.launchpad.net/nova/+bug/1475356
/objects/base.py</v>
      </c>
      <c r="C693" s="81" t="str">
        <f>IFERROR(VLOOKUP(A693,Internal_lists_bugs!$A$2:$I7981,9,FALSE()),"please select a BUG ID")</f>
        <v>https://review.opendev.org/c/openstack/nova/+/59560</v>
      </c>
      <c r="D693" s="114"/>
      <c r="E693" s="114"/>
      <c r="F693" s="115"/>
      <c r="G693" s="16" t="s">
        <v>2303</v>
      </c>
      <c r="H693" s="16" t="s">
        <v>2304</v>
      </c>
      <c r="I693" s="82"/>
      <c r="J693" s="92"/>
      <c r="K693" s="82"/>
      <c r="M693" s="114" t="str">
        <f>VLOOKUP(A693,'BIC_(C_Variables)'!$A$3:$AS$43,45,FALSE())</f>
        <v/>
      </c>
      <c r="N693" s="1"/>
      <c r="O693" s="1"/>
      <c r="P693" s="81" t="str">
        <f>IFERROR(VLOOKUP(A693,Internal_lists_bugs!$A$2:$G7981,7,FALSE()),"please select a BUG ID")</f>
        <v>https://opendev.org/openstack/nova/commit/0eb7e35fbf</v>
      </c>
    </row>
    <row r="694">
      <c r="A694" s="16" t="s">
        <v>48</v>
      </c>
      <c r="B694" s="50" t="str">
        <f>IFERROR(HYPERLINK(VLOOKUP(A694,Internal_lists_bugs!$A$2:$C$73,3,FALSE()), VLOOKUP(A694,Internal_lists_bugs!$A$2:$C$73,3,FALSE())&amp;Char(10) &amp; Char(10) &amp; VLOOKUP(A694,Internal_lists_bugs!$A$2:$Z$73,26,FALSE())),"please select a BUG ID")</f>
        <v>https://bugs.launchpad.net/nova/+bug/1475356
/objects/base.py</v>
      </c>
      <c r="C694" s="81" t="str">
        <f>IFERROR(VLOOKUP(A694,Internal_lists_bugs!$A$2:$I7981,9,FALSE()),"please select a BUG ID")</f>
        <v>https://review.opendev.org/c/openstack/nova/+/59560</v>
      </c>
      <c r="D694" s="114"/>
      <c r="E694" s="114"/>
      <c r="F694" s="115"/>
      <c r="G694" s="16" t="s">
        <v>1472</v>
      </c>
      <c r="H694" s="16" t="s">
        <v>2300</v>
      </c>
      <c r="I694" s="82"/>
      <c r="J694" s="92"/>
      <c r="K694" s="82"/>
      <c r="M694" s="114" t="str">
        <f>VLOOKUP(A694,'BIC_(C_Variables)'!$A$3:$AS$43,45,FALSE())</f>
        <v/>
      </c>
      <c r="N694" s="1"/>
      <c r="O694" s="1"/>
      <c r="P694" s="81" t="str">
        <f>IFERROR(VLOOKUP(A694,Internal_lists_bugs!$A$2:$G7981,7,FALSE()),"please select a BUG ID")</f>
        <v>https://opendev.org/openstack/nova/commit/0eb7e35fbf</v>
      </c>
    </row>
    <row r="695">
      <c r="A695" s="16" t="s">
        <v>48</v>
      </c>
      <c r="B695" s="50" t="str">
        <f>IFERROR(HYPERLINK(VLOOKUP(A695,Internal_lists_bugs!$A$2:$C$73,3,FALSE()), VLOOKUP(A695,Internal_lists_bugs!$A$2:$C$73,3,FALSE())&amp;Char(10) &amp; Char(10) &amp; VLOOKUP(A695,Internal_lists_bugs!$A$2:$Z$73,26,FALSE())),"please select a BUG ID")</f>
        <v>https://bugs.launchpad.net/nova/+bug/1475356
/objects/base.py</v>
      </c>
      <c r="C695" s="81" t="str">
        <f>IFERROR(VLOOKUP(A695,Internal_lists_bugs!$A$2:$I7981,9,FALSE()),"please select a BUG ID")</f>
        <v>https://review.opendev.org/c/openstack/nova/+/59560</v>
      </c>
      <c r="D695" s="114"/>
      <c r="E695" s="114"/>
      <c r="F695" s="115"/>
      <c r="G695" s="16" t="s">
        <v>1474</v>
      </c>
      <c r="H695" s="16" t="s">
        <v>2305</v>
      </c>
      <c r="I695" s="82"/>
      <c r="J695" s="92"/>
      <c r="K695" s="82"/>
      <c r="M695" s="114" t="str">
        <f>VLOOKUP(A695,'BIC_(C_Variables)'!$A$3:$AS$43,45,FALSE())</f>
        <v/>
      </c>
      <c r="N695" s="1"/>
      <c r="O695" s="1"/>
      <c r="P695" s="81" t="str">
        <f>IFERROR(VLOOKUP(A695,Internal_lists_bugs!$A$2:$G7981,7,FALSE()),"please select a BUG ID")</f>
        <v>https://opendev.org/openstack/nova/commit/0eb7e35fbf</v>
      </c>
    </row>
    <row r="696">
      <c r="A696" s="16" t="s">
        <v>48</v>
      </c>
      <c r="B696" s="50" t="str">
        <f>IFERROR(HYPERLINK(VLOOKUP(A696,Internal_lists_bugs!$A$2:$C$73,3,FALSE()), VLOOKUP(A696,Internal_lists_bugs!$A$2:$C$73,3,FALSE())&amp;Char(10) &amp; Char(10) &amp; VLOOKUP(A696,Internal_lists_bugs!$A$2:$Z$73,26,FALSE())),"please select a BUG ID")</f>
        <v>https://bugs.launchpad.net/nova/+bug/1475356
/objects/base.py</v>
      </c>
      <c r="C696" s="81" t="str">
        <f>IFERROR(VLOOKUP(A696,Internal_lists_bugs!$A$2:$I7981,9,FALSE()),"please select a BUG ID")</f>
        <v>https://review.opendev.org/c/openstack/nova/+/59560</v>
      </c>
      <c r="D696" s="114"/>
      <c r="E696" s="114"/>
      <c r="F696" s="115"/>
      <c r="G696" s="16" t="s">
        <v>1583</v>
      </c>
      <c r="H696" s="16" t="s">
        <v>2306</v>
      </c>
      <c r="I696" s="82"/>
      <c r="J696" s="92"/>
      <c r="K696" s="82"/>
      <c r="M696" s="114" t="str">
        <f>VLOOKUP(A696,'BIC_(C_Variables)'!$A$3:$AS$43,45,FALSE())</f>
        <v/>
      </c>
      <c r="N696" s="1"/>
      <c r="O696" s="1"/>
      <c r="P696" s="81" t="str">
        <f>IFERROR(VLOOKUP(A696,Internal_lists_bugs!$A$2:$G7981,7,FALSE()),"please select a BUG ID")</f>
        <v>https://opendev.org/openstack/nova/commit/0eb7e35fbf</v>
      </c>
    </row>
    <row r="697">
      <c r="A697" s="16" t="s">
        <v>48</v>
      </c>
      <c r="B697" s="50" t="str">
        <f>IFERROR(HYPERLINK(VLOOKUP(A697,Internal_lists_bugs!$A$2:$C$73,3,FALSE()), VLOOKUP(A697,Internal_lists_bugs!$A$2:$C$73,3,FALSE())&amp;Char(10) &amp; Char(10) &amp; VLOOKUP(A697,Internal_lists_bugs!$A$2:$Z$73,26,FALSE())),"please select a BUG ID")</f>
        <v>https://bugs.launchpad.net/nova/+bug/1475356
/objects/base.py</v>
      </c>
      <c r="C697" s="81" t="str">
        <f>IFERROR(VLOOKUP(A697,Internal_lists_bugs!$A$2:$I7981,9,FALSE()),"please select a BUG ID")</f>
        <v>https://review.opendev.org/c/openstack/nova/+/59560</v>
      </c>
      <c r="D697" s="114"/>
      <c r="E697" s="114"/>
      <c r="F697" s="115"/>
      <c r="G697" s="16" t="s">
        <v>1489</v>
      </c>
      <c r="H697" s="16" t="s">
        <v>2307</v>
      </c>
      <c r="I697" s="82"/>
      <c r="J697" s="92"/>
      <c r="K697" s="82"/>
      <c r="M697" s="114" t="str">
        <f>VLOOKUP(A697,'BIC_(C_Variables)'!$A$3:$AS$43,45,FALSE())</f>
        <v/>
      </c>
      <c r="N697" s="1"/>
      <c r="O697" s="1"/>
      <c r="P697" s="81" t="str">
        <f>IFERROR(VLOOKUP(A697,Internal_lists_bugs!$A$2:$G7981,7,FALSE()),"please select a BUG ID")</f>
        <v>https://opendev.org/openstack/nova/commit/0eb7e35fbf</v>
      </c>
    </row>
    <row r="698">
      <c r="A698" s="16" t="s">
        <v>48</v>
      </c>
      <c r="B698" s="50" t="str">
        <f>IFERROR(HYPERLINK(VLOOKUP(A698,Internal_lists_bugs!$A$2:$C$73,3,FALSE()), VLOOKUP(A698,Internal_lists_bugs!$A$2:$C$73,3,FALSE())&amp;Char(10) &amp; Char(10) &amp; VLOOKUP(A698,Internal_lists_bugs!$A$2:$Z$73,26,FALSE())),"please select a BUG ID")</f>
        <v>https://bugs.launchpad.net/nova/+bug/1475356
/objects/base.py</v>
      </c>
      <c r="C698" s="81" t="str">
        <f>IFERROR(VLOOKUP(A698,Internal_lists_bugs!$A$2:$I7981,9,FALSE()),"please select a BUG ID")</f>
        <v>https://review.opendev.org/c/openstack/nova/+/59560</v>
      </c>
      <c r="D698" s="114"/>
      <c r="E698" s="114"/>
      <c r="F698" s="115"/>
      <c r="G698" s="16" t="s">
        <v>2088</v>
      </c>
      <c r="H698" s="16" t="s">
        <v>2308</v>
      </c>
      <c r="I698" s="82"/>
      <c r="J698" s="92"/>
      <c r="K698" s="82"/>
      <c r="M698" s="114"/>
      <c r="N698" s="1"/>
      <c r="O698" s="1"/>
      <c r="P698" s="51"/>
    </row>
    <row r="699">
      <c r="A699" s="16" t="s">
        <v>48</v>
      </c>
      <c r="B699" s="50" t="str">
        <f>IFERROR(HYPERLINK(VLOOKUP(A699,Internal_lists_bugs!$A$2:$C$73,3,FALSE()), VLOOKUP(A699,Internal_lists_bugs!$A$2:$C$73,3,FALSE())&amp;Char(10) &amp; Char(10) &amp; VLOOKUP(A699,Internal_lists_bugs!$A$2:$Z$73,26,FALSE())),"please select a BUG ID")</f>
        <v>https://bugs.launchpad.net/nova/+bug/1475356
/objects/base.py</v>
      </c>
      <c r="C699" s="81" t="str">
        <f>IFERROR(VLOOKUP(A699,Internal_lists_bugs!$A$2:$I7981,9,FALSE()),"please select a BUG ID")</f>
        <v>https://review.opendev.org/c/openstack/nova/+/59560</v>
      </c>
      <c r="D699" s="114"/>
      <c r="E699" s="114"/>
      <c r="F699" s="115"/>
      <c r="G699" s="16" t="s">
        <v>1649</v>
      </c>
      <c r="H699" s="16" t="s">
        <v>2308</v>
      </c>
      <c r="I699" s="82"/>
      <c r="J699" s="92"/>
      <c r="K699" s="82"/>
      <c r="M699" s="114" t="str">
        <f>VLOOKUP(A699,'BIC_(C_Variables)'!$A$3:$AS$43,45,FALSE())</f>
        <v/>
      </c>
      <c r="N699" s="1"/>
      <c r="O699" s="1"/>
      <c r="P699" s="81" t="str">
        <f>IFERROR(VLOOKUP(A699,Internal_lists_bugs!$A$2:$G7981,7,FALSE()),"please select a BUG ID")</f>
        <v>https://opendev.org/openstack/nova/commit/0eb7e35fbf</v>
      </c>
    </row>
    <row r="700">
      <c r="A700" s="16" t="s">
        <v>48</v>
      </c>
      <c r="B700" s="50" t="str">
        <f>IFERROR(HYPERLINK(VLOOKUP(A700,Internal_lists_bugs!$A$2:$C$73,3,FALSE()), VLOOKUP(A700,Internal_lists_bugs!$A$2:$C$73,3,FALSE())&amp;Char(10) &amp; Char(10) &amp; VLOOKUP(A700,Internal_lists_bugs!$A$2:$Z$73,26,FALSE())),"please select a BUG ID")</f>
        <v>https://bugs.launchpad.net/nova/+bug/1475356
/objects/base.py</v>
      </c>
      <c r="C700" s="81" t="str">
        <f>IFERROR(VLOOKUP(A700,Internal_lists_bugs!$A$2:$I7981,9,FALSE()),"please select a BUG ID")</f>
        <v>https://review.opendev.org/c/openstack/nova/+/59560</v>
      </c>
      <c r="D700" s="114"/>
      <c r="E700" s="114"/>
      <c r="F700" s="115"/>
      <c r="G700" s="16" t="s">
        <v>1590</v>
      </c>
      <c r="H700" s="16" t="s">
        <v>2309</v>
      </c>
      <c r="I700" s="82"/>
      <c r="J700" s="92"/>
      <c r="K700" s="82"/>
      <c r="M700" s="114" t="str">
        <f>VLOOKUP(A700,'BIC_(C_Variables)'!$A$3:$AS$43,45,FALSE())</f>
        <v/>
      </c>
      <c r="N700" s="1"/>
      <c r="O700" s="1"/>
      <c r="P700" s="81" t="str">
        <f>IFERROR(VLOOKUP(A700,Internal_lists_bugs!$A$2:$G7981,7,FALSE()),"please select a BUG ID")</f>
        <v>https://opendev.org/openstack/nova/commit/0eb7e35fbf</v>
      </c>
    </row>
    <row r="701">
      <c r="A701" s="16" t="s">
        <v>48</v>
      </c>
      <c r="B701" s="50" t="str">
        <f>IFERROR(HYPERLINK(VLOOKUP(A701,Internal_lists_bugs!$A$2:$C$73,3,FALSE()), VLOOKUP(A701,Internal_lists_bugs!$A$2:$C$73,3,FALSE())&amp;Char(10) &amp; Char(10) &amp; VLOOKUP(A701,Internal_lists_bugs!$A$2:$Z$73,26,FALSE())),"please select a BUG ID")</f>
        <v>https://bugs.launchpad.net/nova/+bug/1475356
/objects/base.py</v>
      </c>
      <c r="C701" s="81" t="str">
        <f>IFERROR(VLOOKUP(A701,Internal_lists_bugs!$A$2:$I7981,9,FALSE()),"please select a BUG ID")</f>
        <v>https://review.opendev.org/c/openstack/nova/+/59560</v>
      </c>
      <c r="D701" s="114"/>
      <c r="E701" s="114"/>
      <c r="F701" s="115"/>
      <c r="G701" s="16" t="s">
        <v>1609</v>
      </c>
      <c r="H701" s="16" t="s">
        <v>2310</v>
      </c>
      <c r="I701" s="82"/>
      <c r="J701" s="92"/>
      <c r="K701" s="82"/>
      <c r="M701" s="114" t="str">
        <f>VLOOKUP(A701,'BIC_(C_Variables)'!$A$3:$AS$43,45,FALSE())</f>
        <v/>
      </c>
      <c r="N701" s="1"/>
      <c r="O701" s="1"/>
      <c r="P701" s="81" t="str">
        <f>IFERROR(VLOOKUP(A701,Internal_lists_bugs!$A$2:$G7981,7,FALSE()),"please select a BUG ID")</f>
        <v>https://opendev.org/openstack/nova/commit/0eb7e35fbf</v>
      </c>
    </row>
    <row r="702">
      <c r="A702" s="16" t="s">
        <v>48</v>
      </c>
      <c r="B702" s="50" t="str">
        <f>IFERROR(HYPERLINK(VLOOKUP(A702,Internal_lists_bugs!$A$2:$C$73,3,FALSE()), VLOOKUP(A702,Internal_lists_bugs!$A$2:$C$73,3,FALSE())&amp;Char(10) &amp; Char(10) &amp; VLOOKUP(A702,Internal_lists_bugs!$A$2:$Z$73,26,FALSE())),"please select a BUG ID")</f>
        <v>https://bugs.launchpad.net/nova/+bug/1475356
/objects/base.py</v>
      </c>
      <c r="C702" s="81" t="str">
        <f>IFERROR(VLOOKUP(A702,Internal_lists_bugs!$A$2:$I7981,9,FALSE()),"please select a BUG ID")</f>
        <v>https://review.opendev.org/c/openstack/nova/+/59560</v>
      </c>
      <c r="D702" s="114"/>
      <c r="E702" s="114"/>
      <c r="F702" s="115"/>
      <c r="G702" s="16" t="s">
        <v>1612</v>
      </c>
      <c r="H702" s="16" t="s">
        <v>2311</v>
      </c>
      <c r="I702" s="82"/>
      <c r="J702" s="92"/>
      <c r="K702" s="82"/>
      <c r="M702" s="114" t="str">
        <f>VLOOKUP(A702,'BIC_(C_Variables)'!$A$3:$AS$43,45,FALSE())</f>
        <v/>
      </c>
      <c r="N702" s="1"/>
      <c r="O702" s="1"/>
      <c r="P702" s="81" t="str">
        <f>IFERROR(VLOOKUP(A702,Internal_lists_bugs!$A$2:$G7981,7,FALSE()),"please select a BUG ID")</f>
        <v>https://opendev.org/openstack/nova/commit/0eb7e35fbf</v>
      </c>
    </row>
    <row r="703">
      <c r="A703" s="16" t="s">
        <v>48</v>
      </c>
      <c r="B703" s="50" t="str">
        <f>IFERROR(HYPERLINK(VLOOKUP(A703,Internal_lists_bugs!$A$2:$C$73,3,FALSE()), VLOOKUP(A703,Internal_lists_bugs!$A$2:$C$73,3,FALSE())&amp;Char(10) &amp; Char(10) &amp; VLOOKUP(A703,Internal_lists_bugs!$A$2:$Z$73,26,FALSE())),"please select a BUG ID")</f>
        <v>https://bugs.launchpad.net/nova/+bug/1475356
/objects/base.py</v>
      </c>
      <c r="C703" s="81" t="str">
        <f>IFERROR(VLOOKUP(A703,Internal_lists_bugs!$A$2:$I7981,9,FALSE()),"please select a BUG ID")</f>
        <v>https://review.opendev.org/c/openstack/nova/+/59560</v>
      </c>
      <c r="D703" s="114"/>
      <c r="E703" s="114"/>
      <c r="F703" s="115"/>
      <c r="G703" s="16" t="s">
        <v>1615</v>
      </c>
      <c r="H703" s="16" t="s">
        <v>2312</v>
      </c>
      <c r="I703" s="82"/>
      <c r="J703" s="92"/>
      <c r="K703" s="82"/>
      <c r="M703" s="114"/>
      <c r="N703" s="1"/>
      <c r="O703" s="1"/>
      <c r="P703" s="51"/>
    </row>
    <row r="704">
      <c r="A704" s="16" t="s">
        <v>48</v>
      </c>
      <c r="B704" s="50" t="str">
        <f>IFERROR(HYPERLINK(VLOOKUP(A704,Internal_lists_bugs!$A$2:$C$73,3,FALSE()), VLOOKUP(A704,Internal_lists_bugs!$A$2:$C$73,3,FALSE())&amp;Char(10) &amp; Char(10) &amp; VLOOKUP(A704,Internal_lists_bugs!$A$2:$Z$73,26,FALSE())),"please select a BUG ID")</f>
        <v>https://bugs.launchpad.net/nova/+bug/1475356
/objects/base.py</v>
      </c>
      <c r="C704" s="81" t="str">
        <f>IFERROR(VLOOKUP(A704,Internal_lists_bugs!$A$2:$I7981,9,FALSE()),"please select a BUG ID")</f>
        <v>https://review.opendev.org/c/openstack/nova/+/59560</v>
      </c>
      <c r="D704" s="114"/>
      <c r="E704" s="114"/>
      <c r="F704" s="115"/>
      <c r="G704" s="16" t="s">
        <v>1654</v>
      </c>
      <c r="H704" s="16" t="s">
        <v>2312</v>
      </c>
      <c r="I704" s="82"/>
      <c r="J704" s="92"/>
      <c r="K704" s="82"/>
      <c r="M704" s="114" t="str">
        <f>VLOOKUP(A704,'BIC_(C_Variables)'!$A$3:$AS$43,45,FALSE())</f>
        <v/>
      </c>
      <c r="N704" s="1"/>
      <c r="O704" s="1"/>
      <c r="P704" s="81" t="str">
        <f>IFERROR(VLOOKUP(A704,Internal_lists_bugs!$A$2:$G7981,7,FALSE()),"please select a BUG ID")</f>
        <v>https://opendev.org/openstack/nova/commit/0eb7e35fbf</v>
      </c>
    </row>
    <row r="705">
      <c r="A705" s="16" t="s">
        <v>49</v>
      </c>
      <c r="B705" s="50" t="str">
        <f>IFERROR(HYPERLINK(VLOOKUP(A705,Internal_lists_bugs!$A$2:$C$73,3,FALSE()), VLOOKUP(A705,Internal_lists_bugs!$A$2:$C$73,3,FALSE())&amp;Char(10) &amp; Char(10) &amp; VLOOKUP(A705,Internal_lists_bugs!$A$2:$Z$73,26,FALSE())),"please select a BUG ID")</f>
        <v>https://bugs.launchpad.net/nova/+bug/1370177
nova/block_device.py</v>
      </c>
      <c r="C705" s="81" t="str">
        <f>IFERROR(VLOOKUP(A705,Internal_lists_bugs!$A$2:$I7981,9,FALSE()),"please select a BUG ID")</f>
        <v>https://review.opendev.org/c/openstack/nova/+/59034</v>
      </c>
      <c r="D705" s="112" t="s">
        <v>1412</v>
      </c>
      <c r="E705" s="112" t="s">
        <v>1462</v>
      </c>
      <c r="F705" s="113" t="s">
        <v>251</v>
      </c>
      <c r="G705" s="16" t="s">
        <v>1466</v>
      </c>
      <c r="H705" s="16" t="s">
        <v>2313</v>
      </c>
      <c r="I705" s="79" t="s">
        <v>123</v>
      </c>
      <c r="J705" s="93" t="s">
        <v>2314</v>
      </c>
      <c r="K705" s="79" t="s">
        <v>123</v>
      </c>
      <c r="L705" s="16" t="s">
        <v>2315</v>
      </c>
      <c r="M705" s="114" t="str">
        <f>VLOOKUP(A705,'BIC_(C_Variables)'!$A$3:$AS$43,45,FALSE())</f>
        <v/>
      </c>
      <c r="N705" s="1"/>
      <c r="O705" s="1"/>
      <c r="P705" s="81" t="str">
        <f>IFERROR(VLOOKUP(A705,Internal_lists_bugs!$A$2:$G7981,7,FALSE()),"please select a BUG ID")</f>
        <v>https://opendev.org/openstack/nova/commit/33e3d4c6b9</v>
      </c>
    </row>
    <row r="706">
      <c r="A706" s="16" t="s">
        <v>49</v>
      </c>
      <c r="B706" s="50" t="str">
        <f>IFERROR(HYPERLINK(VLOOKUP(A706,Internal_lists_bugs!$A$2:$C$73,3,FALSE()), VLOOKUP(A706,Internal_lists_bugs!$A$2:$C$73,3,FALSE())&amp;Char(10) &amp; Char(10) &amp; VLOOKUP(A706,Internal_lists_bugs!$A$2:$Z$73,26,FALSE())),"please select a BUG ID")</f>
        <v>https://bugs.launchpad.net/nova/+bug/1370177
nova/block_device.py</v>
      </c>
      <c r="C706" s="81" t="str">
        <f>IFERROR(VLOOKUP(A706,Internal_lists_bugs!$A$2:$I7981,9,FALSE()),"please select a BUG ID")</f>
        <v>https://review.opendev.org/c/openstack/nova/+/59034</v>
      </c>
      <c r="D706" s="114"/>
      <c r="E706" s="114"/>
      <c r="F706" s="115"/>
      <c r="G706" s="16" t="s">
        <v>1419</v>
      </c>
      <c r="H706" s="16" t="s">
        <v>2316</v>
      </c>
      <c r="I706" s="82"/>
      <c r="J706" s="92"/>
      <c r="K706" s="82"/>
      <c r="M706" s="114" t="str">
        <f>VLOOKUP(A706,'BIC_(C_Variables)'!$A$3:$AS$43,45,FALSE())</f>
        <v/>
      </c>
      <c r="N706" s="1"/>
      <c r="O706" s="1"/>
      <c r="P706" s="81" t="str">
        <f>IFERROR(VLOOKUP(A706,Internal_lists_bugs!$A$2:$G7981,7,FALSE()),"please select a BUG ID")</f>
        <v>https://opendev.org/openstack/nova/commit/33e3d4c6b9</v>
      </c>
    </row>
    <row r="707">
      <c r="A707" s="16" t="s">
        <v>49</v>
      </c>
      <c r="B707" s="50" t="str">
        <f>IFERROR(HYPERLINK(VLOOKUP(A707,Internal_lists_bugs!$A$2:$C$73,3,FALSE()), VLOOKUP(A707,Internal_lists_bugs!$A$2:$C$73,3,FALSE())&amp;Char(10) &amp; Char(10) &amp; VLOOKUP(A707,Internal_lists_bugs!$A$2:$Z$73,26,FALSE())),"please select a BUG ID")</f>
        <v>https://bugs.launchpad.net/nova/+bug/1370177
nova/block_device.py</v>
      </c>
      <c r="C707" s="81" t="str">
        <f>IFERROR(VLOOKUP(A707,Internal_lists_bugs!$A$2:$I7981,9,FALSE()),"please select a BUG ID")</f>
        <v>https://review.opendev.org/c/openstack/nova/+/59034</v>
      </c>
      <c r="D707" s="114"/>
      <c r="E707" s="114"/>
      <c r="F707" s="115"/>
      <c r="G707" s="16" t="s">
        <v>1417</v>
      </c>
      <c r="H707" s="16" t="s">
        <v>2317</v>
      </c>
      <c r="I707" s="82"/>
      <c r="J707" s="92"/>
      <c r="K707" s="82"/>
      <c r="M707" s="114" t="str">
        <f>VLOOKUP(A707,'BIC_(C_Variables)'!$A$3:$AS$43,45,FALSE())</f>
        <v/>
      </c>
      <c r="N707" s="1"/>
      <c r="O707" s="1"/>
      <c r="P707" s="81" t="str">
        <f>IFERROR(VLOOKUP(A707,Internal_lists_bugs!$A$2:$G7981,7,FALSE()),"please select a BUG ID")</f>
        <v>https://opendev.org/openstack/nova/commit/33e3d4c6b9</v>
      </c>
    </row>
    <row r="708">
      <c r="A708" s="16" t="s">
        <v>49</v>
      </c>
      <c r="B708" s="50" t="str">
        <f>IFERROR(HYPERLINK(VLOOKUP(A708,Internal_lists_bugs!$A$2:$C$73,3,FALSE()), VLOOKUP(A708,Internal_lists_bugs!$A$2:$C$73,3,FALSE())&amp;Char(10) &amp; Char(10) &amp; VLOOKUP(A708,Internal_lists_bugs!$A$2:$Z$73,26,FALSE())),"please select a BUG ID")</f>
        <v>https://bugs.launchpad.net/nova/+bug/1370177
nova/block_device.py</v>
      </c>
      <c r="C708" s="81" t="str">
        <f>IFERROR(VLOOKUP(A708,Internal_lists_bugs!$A$2:$I7981,9,FALSE()),"please select a BUG ID")</f>
        <v>https://review.opendev.org/c/openstack/nova/+/59034</v>
      </c>
      <c r="D708" s="114"/>
      <c r="E708" s="114"/>
      <c r="F708" s="115"/>
      <c r="G708" s="16" t="s">
        <v>1502</v>
      </c>
      <c r="H708" s="16" t="s">
        <v>2318</v>
      </c>
      <c r="I708" s="82"/>
      <c r="J708" s="92"/>
      <c r="K708" s="82"/>
      <c r="M708" s="114" t="str">
        <f>VLOOKUP(A708,'BIC_(C_Variables)'!$A$3:$AS$43,45,FALSE())</f>
        <v/>
      </c>
      <c r="N708" s="1"/>
      <c r="O708" s="1"/>
      <c r="P708" s="81" t="str">
        <f>IFERROR(VLOOKUP(A708,Internal_lists_bugs!$A$2:$G7981,7,FALSE()),"please select a BUG ID")</f>
        <v>https://opendev.org/openstack/nova/commit/33e3d4c6b9</v>
      </c>
    </row>
    <row r="709">
      <c r="A709" s="16" t="s">
        <v>49</v>
      </c>
      <c r="B709" s="50" t="str">
        <f>IFERROR(HYPERLINK(VLOOKUP(A709,Internal_lists_bugs!$A$2:$C$73,3,FALSE()), VLOOKUP(A709,Internal_lists_bugs!$A$2:$C$73,3,FALSE())&amp;Char(10) &amp; Char(10) &amp; VLOOKUP(A709,Internal_lists_bugs!$A$2:$Z$73,26,FALSE())),"please select a BUG ID")</f>
        <v>https://bugs.launchpad.net/nova/+bug/1370177
nova/block_device.py</v>
      </c>
      <c r="C709" s="81" t="str">
        <f>IFERROR(VLOOKUP(A709,Internal_lists_bugs!$A$2:$I7981,9,FALSE()),"please select a BUG ID")</f>
        <v>https://review.opendev.org/c/openstack/nova/+/59034</v>
      </c>
      <c r="D709" s="114"/>
      <c r="E709" s="114"/>
      <c r="F709" s="115"/>
      <c r="G709" s="16" t="s">
        <v>1428</v>
      </c>
      <c r="H709" s="16" t="s">
        <v>2319</v>
      </c>
      <c r="I709" s="82"/>
      <c r="J709" s="92"/>
      <c r="K709" s="82"/>
      <c r="M709" s="114" t="str">
        <f>VLOOKUP(A709,'BIC_(C_Variables)'!$A$3:$AS$43,45,FALSE())</f>
        <v/>
      </c>
      <c r="N709" s="1"/>
      <c r="O709" s="1"/>
      <c r="P709" s="81" t="str">
        <f>IFERROR(VLOOKUP(A709,Internal_lists_bugs!$A$2:$G7981,7,FALSE()),"please select a BUG ID")</f>
        <v>https://opendev.org/openstack/nova/commit/33e3d4c6b9</v>
      </c>
    </row>
    <row r="710">
      <c r="A710" s="16" t="s">
        <v>49</v>
      </c>
      <c r="B710" s="50" t="str">
        <f>IFERROR(HYPERLINK(VLOOKUP(A710,Internal_lists_bugs!$A$2:$C$73,3,FALSE()), VLOOKUP(A710,Internal_lists_bugs!$A$2:$C$73,3,FALSE())&amp;Char(10) &amp; Char(10) &amp; VLOOKUP(A710,Internal_lists_bugs!$A$2:$Z$73,26,FALSE())),"please select a BUG ID")</f>
        <v>https://bugs.launchpad.net/nova/+bug/1370177
nova/block_device.py</v>
      </c>
      <c r="C710" s="81" t="str">
        <f>IFERROR(VLOOKUP(A710,Internal_lists_bugs!$A$2:$I7981,9,FALSE()),"please select a BUG ID")</f>
        <v>https://review.opendev.org/c/openstack/nova/+/59034</v>
      </c>
      <c r="D710" s="114"/>
      <c r="E710" s="114"/>
      <c r="F710" s="115"/>
      <c r="G710" s="16" t="s">
        <v>1586</v>
      </c>
      <c r="H710" s="16" t="s">
        <v>2320</v>
      </c>
      <c r="I710" s="82"/>
      <c r="J710" s="92"/>
      <c r="K710" s="82"/>
      <c r="M710" s="114" t="str">
        <f>VLOOKUP(A710,'BIC_(C_Variables)'!$A$3:$AS$43,45,FALSE())</f>
        <v/>
      </c>
      <c r="N710" s="1"/>
      <c r="O710" s="1"/>
      <c r="P710" s="81" t="str">
        <f>IFERROR(VLOOKUP(A710,Internal_lists_bugs!$A$2:$G7981,7,FALSE()),"please select a BUG ID")</f>
        <v>https://opendev.org/openstack/nova/commit/33e3d4c6b9</v>
      </c>
    </row>
    <row r="711">
      <c r="A711" s="16" t="s">
        <v>49</v>
      </c>
      <c r="B711" s="50" t="str">
        <f>IFERROR(HYPERLINK(VLOOKUP(A711,Internal_lists_bugs!$A$2:$C$73,3,FALSE()), VLOOKUP(A711,Internal_lists_bugs!$A$2:$C$73,3,FALSE())&amp;Char(10) &amp; Char(10) &amp; VLOOKUP(A711,Internal_lists_bugs!$A$2:$Z$73,26,FALSE())),"please select a BUG ID")</f>
        <v>https://bugs.launchpad.net/nova/+bug/1370177
nova/block_device.py</v>
      </c>
      <c r="C711" s="81" t="str">
        <f>IFERROR(VLOOKUP(A711,Internal_lists_bugs!$A$2:$I7981,9,FALSE()),"please select a BUG ID")</f>
        <v>https://review.opendev.org/c/openstack/nova/+/59034</v>
      </c>
      <c r="D711" s="114"/>
      <c r="E711" s="114"/>
      <c r="F711" s="115"/>
      <c r="G711" s="16" t="s">
        <v>1506</v>
      </c>
      <c r="H711" s="16" t="s">
        <v>2321</v>
      </c>
      <c r="I711" s="82"/>
      <c r="J711" s="92"/>
      <c r="K711" s="82"/>
      <c r="M711" s="114" t="str">
        <f>VLOOKUP(A711,'BIC_(C_Variables)'!$A$3:$AS$43,45,FALSE())</f>
        <v/>
      </c>
      <c r="N711" s="1"/>
      <c r="O711" s="1"/>
      <c r="P711" s="81" t="str">
        <f>IFERROR(VLOOKUP(A711,Internal_lists_bugs!$A$2:$G7981,7,FALSE()),"please select a BUG ID")</f>
        <v>https://opendev.org/openstack/nova/commit/33e3d4c6b9</v>
      </c>
    </row>
    <row r="712">
      <c r="A712" s="16" t="s">
        <v>49</v>
      </c>
      <c r="B712" s="50" t="str">
        <f>IFERROR(HYPERLINK(VLOOKUP(A712,Internal_lists_bugs!$A$2:$C$73,3,FALSE()), VLOOKUP(A712,Internal_lists_bugs!$A$2:$C$73,3,FALSE())&amp;Char(10) &amp; Char(10) &amp; VLOOKUP(A712,Internal_lists_bugs!$A$2:$Z$73,26,FALSE())),"please select a BUG ID")</f>
        <v>https://bugs.launchpad.net/nova/+bug/1370177
nova/block_device.py</v>
      </c>
      <c r="C712" s="81" t="str">
        <f>IFERROR(VLOOKUP(A712,Internal_lists_bugs!$A$2:$I7981,9,FALSE()),"please select a BUG ID")</f>
        <v>https://review.opendev.org/c/openstack/nova/+/59034</v>
      </c>
      <c r="D712" s="114"/>
      <c r="E712" s="114"/>
      <c r="F712" s="115"/>
      <c r="G712" s="16" t="s">
        <v>2235</v>
      </c>
      <c r="H712" s="16" t="s">
        <v>2322</v>
      </c>
      <c r="I712" s="82"/>
      <c r="J712" s="92"/>
      <c r="K712" s="82"/>
      <c r="M712" s="114" t="str">
        <f>VLOOKUP(A712,'BIC_(C_Variables)'!$A$3:$AS$43,45,FALSE())</f>
        <v/>
      </c>
      <c r="N712" s="1"/>
      <c r="O712" s="1"/>
      <c r="P712" s="81" t="str">
        <f>IFERROR(VLOOKUP(A712,Internal_lists_bugs!$A$2:$G7981,7,FALSE()),"please select a BUG ID")</f>
        <v>https://opendev.org/openstack/nova/commit/33e3d4c6b9</v>
      </c>
    </row>
    <row r="713">
      <c r="A713" s="16" t="s">
        <v>49</v>
      </c>
      <c r="B713" s="50" t="str">
        <f>IFERROR(HYPERLINK(VLOOKUP(A713,Internal_lists_bugs!$A$2:$C$73,3,FALSE()), VLOOKUP(A713,Internal_lists_bugs!$A$2:$C$73,3,FALSE())&amp;Char(10) &amp; Char(10) &amp; VLOOKUP(A713,Internal_lists_bugs!$A$2:$Z$73,26,FALSE())),"please select a BUG ID")</f>
        <v>https://bugs.launchpad.net/nova/+bug/1370177
nova/block_device.py</v>
      </c>
      <c r="C713" s="81" t="str">
        <f>IFERROR(VLOOKUP(A713,Internal_lists_bugs!$A$2:$I7981,9,FALSE()),"please select a BUG ID")</f>
        <v>https://review.opendev.org/c/openstack/nova/+/59034</v>
      </c>
      <c r="D713" s="114"/>
      <c r="E713" s="114"/>
      <c r="F713" s="115"/>
      <c r="G713" s="16" t="s">
        <v>1594</v>
      </c>
      <c r="H713" s="16" t="s">
        <v>2323</v>
      </c>
      <c r="I713" s="82"/>
      <c r="J713" s="92"/>
      <c r="K713" s="82"/>
      <c r="M713" s="114" t="str">
        <f>VLOOKUP(A713,'BIC_(C_Variables)'!$A$3:$AS$43,45,FALSE())</f>
        <v/>
      </c>
      <c r="N713" s="1"/>
      <c r="O713" s="1"/>
      <c r="P713" s="81" t="str">
        <f>IFERROR(VLOOKUP(A713,Internal_lists_bugs!$A$2:$G7981,7,FALSE()),"please select a BUG ID")</f>
        <v>https://opendev.org/openstack/nova/commit/33e3d4c6b9</v>
      </c>
    </row>
    <row r="714">
      <c r="A714" s="16" t="s">
        <v>49</v>
      </c>
      <c r="B714" s="50" t="str">
        <f>IFERROR(HYPERLINK(VLOOKUP(A714,Internal_lists_bugs!$A$2:$C$73,3,FALSE()), VLOOKUP(A714,Internal_lists_bugs!$A$2:$C$73,3,FALSE())&amp;Char(10) &amp; Char(10) &amp; VLOOKUP(A714,Internal_lists_bugs!$A$2:$Z$73,26,FALSE())),"please select a BUG ID")</f>
        <v>https://bugs.launchpad.net/nova/+bug/1370177
nova/block_device.py</v>
      </c>
      <c r="C714" s="81" t="str">
        <f>IFERROR(VLOOKUP(A714,Internal_lists_bugs!$A$2:$I7981,9,FALSE()),"please select a BUG ID")</f>
        <v>https://review.opendev.org/c/openstack/nova/+/59034</v>
      </c>
      <c r="D714" s="114"/>
      <c r="E714" s="114"/>
      <c r="F714" s="115"/>
      <c r="G714" s="16" t="s">
        <v>1509</v>
      </c>
      <c r="H714" s="16" t="s">
        <v>2324</v>
      </c>
      <c r="I714" s="82"/>
      <c r="J714" s="92"/>
      <c r="K714" s="82"/>
      <c r="M714" s="114" t="str">
        <f>VLOOKUP(A714,'BIC_(C_Variables)'!$A$3:$AS$43,45,FALSE())</f>
        <v/>
      </c>
      <c r="N714" s="1"/>
      <c r="O714" s="1"/>
      <c r="P714" s="81" t="str">
        <f>IFERROR(VLOOKUP(A714,Internal_lists_bugs!$A$2:$G7981,7,FALSE()),"please select a BUG ID")</f>
        <v>https://opendev.org/openstack/nova/commit/33e3d4c6b9</v>
      </c>
    </row>
    <row r="715">
      <c r="A715" s="16" t="s">
        <v>49</v>
      </c>
      <c r="B715" s="50" t="str">
        <f>IFERROR(HYPERLINK(VLOOKUP(A715,Internal_lists_bugs!$A$2:$C$73,3,FALSE()), VLOOKUP(A715,Internal_lists_bugs!$A$2:$C$73,3,FALSE())&amp;Char(10) &amp; Char(10) &amp; VLOOKUP(A715,Internal_lists_bugs!$A$2:$Z$73,26,FALSE())),"please select a BUG ID")</f>
        <v>https://bugs.launchpad.net/nova/+bug/1370177
nova/block_device.py</v>
      </c>
      <c r="C715" s="81" t="str">
        <f>IFERROR(VLOOKUP(A715,Internal_lists_bugs!$A$2:$I7981,9,FALSE()),"please select a BUG ID")</f>
        <v>https://review.opendev.org/c/openstack/nova/+/59034</v>
      </c>
      <c r="D715" s="114"/>
      <c r="E715" s="114"/>
      <c r="F715" s="115"/>
      <c r="G715" s="16" t="s">
        <v>1425</v>
      </c>
      <c r="H715" s="16" t="s">
        <v>2325</v>
      </c>
      <c r="I715" s="82"/>
      <c r="J715" s="92"/>
      <c r="K715" s="82"/>
      <c r="M715" s="114" t="str">
        <f>VLOOKUP(A715,'BIC_(C_Variables)'!$A$3:$AS$43,45,FALSE())</f>
        <v/>
      </c>
      <c r="N715" s="1"/>
      <c r="O715" s="1"/>
      <c r="P715" s="81" t="str">
        <f>IFERROR(VLOOKUP(A715,Internal_lists_bugs!$A$2:$G7981,7,FALSE()),"please select a BUG ID")</f>
        <v>https://opendev.org/openstack/nova/commit/33e3d4c6b9</v>
      </c>
    </row>
    <row r="716">
      <c r="A716" s="16" t="s">
        <v>49</v>
      </c>
      <c r="B716" s="50" t="str">
        <f>IFERROR(HYPERLINK(VLOOKUP(A716,Internal_lists_bugs!$A$2:$C$73,3,FALSE()), VLOOKUP(A716,Internal_lists_bugs!$A$2:$C$73,3,FALSE())&amp;Char(10) &amp; Char(10) &amp; VLOOKUP(A716,Internal_lists_bugs!$A$2:$Z$73,26,FALSE())),"please select a BUG ID")</f>
        <v>https://bugs.launchpad.net/nova/+bug/1370177
nova/block_device.py</v>
      </c>
      <c r="C716" s="81" t="str">
        <f>IFERROR(VLOOKUP(A716,Internal_lists_bugs!$A$2:$I7981,9,FALSE()),"please select a BUG ID")</f>
        <v>https://review.opendev.org/c/openstack/nova/+/59034</v>
      </c>
      <c r="D716" s="114"/>
      <c r="E716" s="114"/>
      <c r="F716" s="115"/>
      <c r="G716" s="16" t="s">
        <v>1478</v>
      </c>
      <c r="H716" s="16" t="s">
        <v>2325</v>
      </c>
      <c r="I716" s="82"/>
      <c r="J716" s="92"/>
      <c r="K716" s="82"/>
      <c r="M716" s="114" t="str">
        <f>VLOOKUP(A716,'BIC_(C_Variables)'!$A$3:$AS$43,45,FALSE())</f>
        <v/>
      </c>
      <c r="N716" s="1"/>
      <c r="O716" s="1"/>
      <c r="P716" s="81" t="str">
        <f>IFERROR(VLOOKUP(A716,Internal_lists_bugs!$A$2:$G7981,7,FALSE()),"please select a BUG ID")</f>
        <v>https://opendev.org/openstack/nova/commit/33e3d4c6b9</v>
      </c>
    </row>
    <row r="717">
      <c r="A717" s="16" t="s">
        <v>49</v>
      </c>
      <c r="B717" s="50" t="str">
        <f>IFERROR(HYPERLINK(VLOOKUP(A717,Internal_lists_bugs!$A$2:$C$73,3,FALSE()), VLOOKUP(A717,Internal_lists_bugs!$A$2:$C$73,3,FALSE())&amp;Char(10) &amp; Char(10) &amp; VLOOKUP(A717,Internal_lists_bugs!$A$2:$Z$73,26,FALSE())),"please select a BUG ID")</f>
        <v>https://bugs.launchpad.net/nova/+bug/1370177
nova/block_device.py</v>
      </c>
      <c r="C717" s="81" t="str">
        <f>IFERROR(VLOOKUP(A717,Internal_lists_bugs!$A$2:$I7981,9,FALSE()),"please select a BUG ID")</f>
        <v>https://review.opendev.org/c/openstack/nova/+/59034</v>
      </c>
      <c r="D717" s="114"/>
      <c r="E717" s="114"/>
      <c r="F717" s="115"/>
      <c r="G717" s="16" t="s">
        <v>1590</v>
      </c>
      <c r="H717" s="16" t="s">
        <v>2326</v>
      </c>
      <c r="I717" s="82"/>
      <c r="J717" s="92"/>
      <c r="K717" s="82"/>
      <c r="M717" s="114" t="str">
        <f>VLOOKUP(A717,'BIC_(C_Variables)'!$A$3:$AS$43,45,FALSE())</f>
        <v/>
      </c>
      <c r="N717" s="1"/>
      <c r="O717" s="1"/>
      <c r="P717" s="81" t="str">
        <f>IFERROR(VLOOKUP(A717,Internal_lists_bugs!$A$2:$G7981,7,FALSE()),"please select a BUG ID")</f>
        <v>https://opendev.org/openstack/nova/commit/33e3d4c6b9</v>
      </c>
    </row>
    <row r="718">
      <c r="A718" s="16" t="s">
        <v>49</v>
      </c>
      <c r="B718" s="50" t="str">
        <f>IFERROR(HYPERLINK(VLOOKUP(A718,Internal_lists_bugs!$A$2:$C$73,3,FALSE()), VLOOKUP(A718,Internal_lists_bugs!$A$2:$C$73,3,FALSE())&amp;Char(10) &amp; Char(10) &amp; VLOOKUP(A718,Internal_lists_bugs!$A$2:$Z$73,26,FALSE())),"please select a BUG ID")</f>
        <v>https://bugs.launchpad.net/nova/+bug/1370177
nova/block_device.py</v>
      </c>
      <c r="C718" s="81" t="str">
        <f>IFERROR(VLOOKUP(A718,Internal_lists_bugs!$A$2:$I7981,9,FALSE()),"please select a BUG ID")</f>
        <v>https://review.opendev.org/c/openstack/nova/+/59034</v>
      </c>
      <c r="D718" s="114"/>
      <c r="E718" s="114"/>
      <c r="F718" s="115"/>
      <c r="G718" s="16" t="s">
        <v>1498</v>
      </c>
      <c r="H718" s="16" t="s">
        <v>2327</v>
      </c>
      <c r="I718" s="82"/>
      <c r="J718" s="92"/>
      <c r="K718" s="82"/>
      <c r="M718" s="114" t="str">
        <f>VLOOKUP(A718,'BIC_(C_Variables)'!$A$3:$AS$43,45,FALSE())</f>
        <v/>
      </c>
      <c r="N718" s="1"/>
      <c r="O718" s="1"/>
      <c r="P718" s="81" t="str">
        <f>IFERROR(VLOOKUP(A718,Internal_lists_bugs!$A$2:$G7981,7,FALSE()),"please select a BUG ID")</f>
        <v>https://opendev.org/openstack/nova/commit/33e3d4c6b9</v>
      </c>
    </row>
    <row r="719">
      <c r="A719" s="16" t="s">
        <v>49</v>
      </c>
      <c r="B719" s="50" t="str">
        <f>IFERROR(HYPERLINK(VLOOKUP(A719,Internal_lists_bugs!$A$2:$C$73,3,FALSE()), VLOOKUP(A719,Internal_lists_bugs!$A$2:$C$73,3,FALSE())&amp;Char(10) &amp; Char(10) &amp; VLOOKUP(A719,Internal_lists_bugs!$A$2:$Z$73,26,FALSE())),"please select a BUG ID")</f>
        <v>https://bugs.launchpad.net/nova/+bug/1370177
nova/block_device.py</v>
      </c>
      <c r="C719" s="81" t="str">
        <f>IFERROR(VLOOKUP(A719,Internal_lists_bugs!$A$2:$I7981,9,FALSE()),"please select a BUG ID")</f>
        <v>https://review.opendev.org/c/openstack/nova/+/59034</v>
      </c>
      <c r="D719" s="114"/>
      <c r="E719" s="114"/>
      <c r="F719" s="115"/>
      <c r="G719" s="16" t="s">
        <v>1441</v>
      </c>
      <c r="H719" s="16" t="s">
        <v>2328</v>
      </c>
      <c r="I719" s="82"/>
      <c r="J719" s="92"/>
      <c r="K719" s="82"/>
      <c r="M719" s="114" t="str">
        <f>VLOOKUP(A719,'BIC_(C_Variables)'!$A$3:$AS$43,45,FALSE())</f>
        <v/>
      </c>
      <c r="N719" s="1"/>
      <c r="O719" s="1"/>
      <c r="P719" s="81" t="str">
        <f>IFERROR(VLOOKUP(A719,Internal_lists_bugs!$A$2:$G7981,7,FALSE()),"please select a BUG ID")</f>
        <v>https://opendev.org/openstack/nova/commit/33e3d4c6b9</v>
      </c>
    </row>
    <row r="720">
      <c r="A720" s="16" t="s">
        <v>49</v>
      </c>
      <c r="B720" s="50" t="str">
        <f>IFERROR(HYPERLINK(VLOOKUP(A720,Internal_lists_bugs!$A$2:$C$73,3,FALSE()), VLOOKUP(A720,Internal_lists_bugs!$A$2:$C$73,3,FALSE())&amp;Char(10) &amp; Char(10) &amp; VLOOKUP(A720,Internal_lists_bugs!$A$2:$Z$73,26,FALSE())),"please select a BUG ID")</f>
        <v>https://bugs.launchpad.net/nova/+bug/1370177
nova/block_device.py</v>
      </c>
      <c r="C720" s="81" t="str">
        <f>IFERROR(VLOOKUP(A720,Internal_lists_bugs!$A$2:$I7981,9,FALSE()),"please select a BUG ID")</f>
        <v>https://review.opendev.org/c/openstack/nova/+/59034</v>
      </c>
      <c r="D720" s="114"/>
      <c r="E720" s="114"/>
      <c r="F720" s="115"/>
      <c r="G720" s="16" t="s">
        <v>1427</v>
      </c>
      <c r="H720" s="16" t="s">
        <v>2328</v>
      </c>
      <c r="I720" s="82"/>
      <c r="J720" s="92"/>
      <c r="K720" s="82"/>
      <c r="M720" s="114" t="str">
        <f>VLOOKUP(A720,'BIC_(C_Variables)'!$A$3:$AS$43,45,FALSE())</f>
        <v/>
      </c>
      <c r="N720" s="1"/>
      <c r="O720" s="1"/>
      <c r="P720" s="81" t="str">
        <f>IFERROR(VLOOKUP(A720,Internal_lists_bugs!$A$2:$G7981,7,FALSE()),"please select a BUG ID")</f>
        <v>https://opendev.org/openstack/nova/commit/33e3d4c6b9</v>
      </c>
    </row>
    <row r="721">
      <c r="A721" s="16" t="s">
        <v>49</v>
      </c>
      <c r="B721" s="50" t="str">
        <f>IFERROR(HYPERLINK(VLOOKUP(A721,Internal_lists_bugs!$A$2:$C$73,3,FALSE()), VLOOKUP(A721,Internal_lists_bugs!$A$2:$C$73,3,FALSE())&amp;Char(10) &amp; Char(10) &amp; VLOOKUP(A721,Internal_lists_bugs!$A$2:$Z$73,26,FALSE())),"please select a BUG ID")</f>
        <v>https://bugs.launchpad.net/nova/+bug/1370177
nova/block_device.py</v>
      </c>
      <c r="C721" s="81" t="str">
        <f>IFERROR(VLOOKUP(A721,Internal_lists_bugs!$A$2:$I7981,9,FALSE()),"please select a BUG ID")</f>
        <v>https://review.opendev.org/c/openstack/nova/+/59034</v>
      </c>
      <c r="D721" s="114"/>
      <c r="E721" s="114"/>
      <c r="F721" s="115"/>
      <c r="G721" s="16" t="s">
        <v>1443</v>
      </c>
      <c r="H721" s="16" t="s">
        <v>2329</v>
      </c>
      <c r="I721" s="82"/>
      <c r="J721" s="92"/>
      <c r="K721" s="82"/>
      <c r="M721" s="114" t="str">
        <f>VLOOKUP(A721,'BIC_(C_Variables)'!$A$3:$AS$43,45,FALSE())</f>
        <v/>
      </c>
      <c r="N721" s="1"/>
      <c r="O721" s="1"/>
      <c r="P721" s="81" t="str">
        <f>IFERROR(VLOOKUP(A721,Internal_lists_bugs!$A$2:$G7981,7,FALSE()),"please select a BUG ID")</f>
        <v>https://opendev.org/openstack/nova/commit/33e3d4c6b9</v>
      </c>
    </row>
    <row r="722">
      <c r="A722" s="16" t="s">
        <v>49</v>
      </c>
      <c r="B722" s="50" t="str">
        <f>IFERROR(HYPERLINK(VLOOKUP(A722,Internal_lists_bugs!$A$2:$C$73,3,FALSE()), VLOOKUP(A722,Internal_lists_bugs!$A$2:$C$73,3,FALSE())&amp;Char(10) &amp; Char(10) &amp; VLOOKUP(A722,Internal_lists_bugs!$A$2:$Z$73,26,FALSE())),"please select a BUG ID")</f>
        <v>https://bugs.launchpad.net/nova/+bug/1370177
nova/block_device.py</v>
      </c>
      <c r="C722" s="81" t="str">
        <f>IFERROR(VLOOKUP(A722,Internal_lists_bugs!$A$2:$I7981,9,FALSE()),"please select a BUG ID")</f>
        <v>https://review.opendev.org/c/openstack/nova/+/59034</v>
      </c>
      <c r="D722" s="114"/>
      <c r="E722" s="114"/>
      <c r="F722" s="115"/>
      <c r="G722" s="16" t="s">
        <v>1445</v>
      </c>
      <c r="H722" s="16" t="s">
        <v>2329</v>
      </c>
      <c r="I722" s="82"/>
      <c r="J722" s="92"/>
      <c r="K722" s="82"/>
      <c r="M722" s="114" t="str">
        <f>VLOOKUP(A722,'BIC_(C_Variables)'!$A$3:$AS$43,45,FALSE())</f>
        <v/>
      </c>
      <c r="N722" s="1"/>
      <c r="O722" s="1"/>
      <c r="P722" s="81" t="str">
        <f>IFERROR(VLOOKUP(A722,Internal_lists_bugs!$A$2:$G7981,7,FALSE()),"please select a BUG ID")</f>
        <v>https://opendev.org/openstack/nova/commit/33e3d4c6b9</v>
      </c>
    </row>
    <row r="723">
      <c r="A723" s="16" t="s">
        <v>49</v>
      </c>
      <c r="B723" s="50" t="str">
        <f>IFERROR(HYPERLINK(VLOOKUP(A723,Internal_lists_bugs!$A$2:$C$73,3,FALSE()), VLOOKUP(A723,Internal_lists_bugs!$A$2:$C$73,3,FALSE())&amp;Char(10) &amp; Char(10) &amp; VLOOKUP(A723,Internal_lists_bugs!$A$2:$Z$73,26,FALSE())),"please select a BUG ID")</f>
        <v>https://bugs.launchpad.net/nova/+bug/1370177
nova/block_device.py</v>
      </c>
      <c r="C723" s="81" t="str">
        <f>IFERROR(VLOOKUP(A723,Internal_lists_bugs!$A$2:$I7981,9,FALSE()),"please select a BUG ID")</f>
        <v>https://review.opendev.org/c/openstack/nova/+/59034</v>
      </c>
      <c r="D723" s="114"/>
      <c r="E723" s="114"/>
      <c r="F723" s="115"/>
      <c r="G723" s="16" t="s">
        <v>1450</v>
      </c>
      <c r="H723" s="16" t="s">
        <v>2330</v>
      </c>
      <c r="I723" s="82"/>
      <c r="J723" s="92"/>
      <c r="K723" s="82"/>
      <c r="M723" s="114" t="str">
        <f>VLOOKUP(A723,'BIC_(C_Variables)'!$A$3:$AS$43,45,FALSE())</f>
        <v/>
      </c>
      <c r="N723" s="1"/>
      <c r="O723" s="1"/>
      <c r="P723" s="81" t="str">
        <f>IFERROR(VLOOKUP(A723,Internal_lists_bugs!$A$2:$G7981,7,FALSE()),"please select a BUG ID")</f>
        <v>https://opendev.org/openstack/nova/commit/33e3d4c6b9</v>
      </c>
    </row>
    <row r="724">
      <c r="A724" s="16" t="s">
        <v>49</v>
      </c>
      <c r="B724" s="50" t="str">
        <f>IFERROR(HYPERLINK(VLOOKUP(A724,Internal_lists_bugs!$A$2:$C$73,3,FALSE()), VLOOKUP(A724,Internal_lists_bugs!$A$2:$C$73,3,FALSE())&amp;Char(10) &amp; Char(10) &amp; VLOOKUP(A724,Internal_lists_bugs!$A$2:$Z$73,26,FALSE())),"please select a BUG ID")</f>
        <v>https://bugs.launchpad.net/nova/+bug/1370177
nova/block_device.py</v>
      </c>
      <c r="C724" s="81" t="str">
        <f>IFERROR(VLOOKUP(A724,Internal_lists_bugs!$A$2:$I7981,9,FALSE()),"please select a BUG ID")</f>
        <v>https://review.opendev.org/c/openstack/nova/+/59034</v>
      </c>
      <c r="D724" s="114"/>
      <c r="E724" s="114"/>
      <c r="F724" s="115"/>
      <c r="G724" s="16" t="s">
        <v>1452</v>
      </c>
      <c r="H724" s="16" t="s">
        <v>2330</v>
      </c>
      <c r="I724" s="82"/>
      <c r="J724" s="92"/>
      <c r="K724" s="82"/>
      <c r="M724" s="114" t="str">
        <f>VLOOKUP(A724,'BIC_(C_Variables)'!$A$3:$AS$43,45,FALSE())</f>
        <v/>
      </c>
      <c r="N724" s="1"/>
      <c r="O724" s="1"/>
      <c r="P724" s="81" t="str">
        <f>IFERROR(VLOOKUP(A724,Internal_lists_bugs!$A$2:$G7981,7,FALSE()),"please select a BUG ID")</f>
        <v>https://opendev.org/openstack/nova/commit/33e3d4c6b9</v>
      </c>
    </row>
    <row r="725">
      <c r="A725" s="16" t="s">
        <v>49</v>
      </c>
      <c r="B725" s="50" t="str">
        <f>IFERROR(HYPERLINK(VLOOKUP(A725,Internal_lists_bugs!$A$2:$C$73,3,FALSE()), VLOOKUP(A725,Internal_lists_bugs!$A$2:$C$73,3,FALSE())&amp;Char(10) &amp; Char(10) &amp; VLOOKUP(A725,Internal_lists_bugs!$A$2:$Z$73,26,FALSE())),"please select a BUG ID")</f>
        <v>https://bugs.launchpad.net/nova/+bug/1370177
nova/block_device.py</v>
      </c>
      <c r="C725" s="81" t="str">
        <f>IFERROR(VLOOKUP(A725,Internal_lists_bugs!$A$2:$I7981,9,FALSE()),"please select a BUG ID")</f>
        <v>https://review.opendev.org/c/openstack/nova/+/59034</v>
      </c>
      <c r="D725" s="114"/>
      <c r="E725" s="114"/>
      <c r="F725" s="115"/>
      <c r="G725" s="16" t="s">
        <v>1500</v>
      </c>
      <c r="H725" s="16" t="s">
        <v>2331</v>
      </c>
      <c r="I725" s="82"/>
      <c r="J725" s="92"/>
      <c r="K725" s="82"/>
      <c r="M725" s="114" t="str">
        <f>VLOOKUP(A725,'BIC_(C_Variables)'!$A$3:$AS$43,45,FALSE())</f>
        <v/>
      </c>
      <c r="N725" s="1"/>
      <c r="O725" s="1"/>
      <c r="P725" s="81" t="str">
        <f>IFERROR(VLOOKUP(A725,Internal_lists_bugs!$A$2:$G7981,7,FALSE()),"please select a BUG ID")</f>
        <v>https://opendev.org/openstack/nova/commit/33e3d4c6b9</v>
      </c>
    </row>
    <row r="726">
      <c r="A726" s="16" t="s">
        <v>49</v>
      </c>
      <c r="B726" s="50" t="str">
        <f>IFERROR(HYPERLINK(VLOOKUP(A726,Internal_lists_bugs!$A$2:$C$73,3,FALSE()), VLOOKUP(A726,Internal_lists_bugs!$A$2:$C$73,3,FALSE())&amp;Char(10) &amp; Char(10) &amp; VLOOKUP(A726,Internal_lists_bugs!$A$2:$Z$73,26,FALSE())),"please select a BUG ID")</f>
        <v>https://bugs.launchpad.net/nova/+bug/1370177
nova/block_device.py</v>
      </c>
      <c r="C726" s="81" t="str">
        <f>IFERROR(VLOOKUP(A726,Internal_lists_bugs!$A$2:$I7981,9,FALSE()),"please select a BUG ID")</f>
        <v>https://review.opendev.org/c/openstack/nova/+/59034</v>
      </c>
      <c r="D726" s="114"/>
      <c r="E726" s="114"/>
      <c r="F726" s="115"/>
      <c r="G726" s="16" t="s">
        <v>1453</v>
      </c>
      <c r="H726" s="16" t="s">
        <v>2332</v>
      </c>
      <c r="I726" s="82"/>
      <c r="J726" s="92"/>
      <c r="K726" s="82"/>
      <c r="M726" s="114" t="str">
        <f>VLOOKUP(A726,'BIC_(C_Variables)'!$A$3:$AS$43,45,FALSE())</f>
        <v/>
      </c>
      <c r="N726" s="1"/>
      <c r="O726" s="1"/>
      <c r="P726" s="81" t="str">
        <f>IFERROR(VLOOKUP(A726,Internal_lists_bugs!$A$2:$G7981,7,FALSE()),"please select a BUG ID")</f>
        <v>https://opendev.org/openstack/nova/commit/33e3d4c6b9</v>
      </c>
    </row>
    <row r="727">
      <c r="A727" s="16" t="s">
        <v>49</v>
      </c>
      <c r="B727" s="50" t="str">
        <f>IFERROR(HYPERLINK(VLOOKUP(A727,Internal_lists_bugs!$A$2:$C$73,3,FALSE()), VLOOKUP(A727,Internal_lists_bugs!$A$2:$C$73,3,FALSE())&amp;Char(10) &amp; Char(10) &amp; VLOOKUP(A727,Internal_lists_bugs!$A$2:$Z$73,26,FALSE())),"please select a BUG ID")</f>
        <v>https://bugs.launchpad.net/nova/+bug/1370177
nova/block_device.py</v>
      </c>
      <c r="C727" s="81" t="str">
        <f>IFERROR(VLOOKUP(A727,Internal_lists_bugs!$A$2:$I7981,9,FALSE()),"please select a BUG ID")</f>
        <v>https://review.opendev.org/c/openstack/nova/+/59034</v>
      </c>
      <c r="D727" s="114"/>
      <c r="E727" s="114"/>
      <c r="F727" s="115"/>
      <c r="G727" s="16" t="s">
        <v>1455</v>
      </c>
      <c r="H727" s="16" t="s">
        <v>2332</v>
      </c>
      <c r="I727" s="82"/>
      <c r="J727" s="92"/>
      <c r="K727" s="82"/>
      <c r="M727" s="114" t="str">
        <f>VLOOKUP(A727,'BIC_(C_Variables)'!$A$3:$AS$43,45,FALSE())</f>
        <v/>
      </c>
      <c r="N727" s="1"/>
      <c r="O727" s="1"/>
      <c r="P727" s="81" t="str">
        <f>IFERROR(VLOOKUP(A727,Internal_lists_bugs!$A$2:$G7981,7,FALSE()),"please select a BUG ID")</f>
        <v>https://opendev.org/openstack/nova/commit/33e3d4c6b9</v>
      </c>
    </row>
    <row r="728">
      <c r="A728" s="16" t="s">
        <v>49</v>
      </c>
      <c r="B728" s="50" t="str">
        <f>IFERROR(HYPERLINK(VLOOKUP(A728,Internal_lists_bugs!$A$2:$C$73,3,FALSE()), VLOOKUP(A728,Internal_lists_bugs!$A$2:$C$73,3,FALSE())&amp;Char(10) &amp; Char(10) &amp; VLOOKUP(A728,Internal_lists_bugs!$A$2:$Z$73,26,FALSE())),"please select a BUG ID")</f>
        <v>https://bugs.launchpad.net/nova/+bug/1370177
nova/block_device.py</v>
      </c>
      <c r="C728" s="81" t="str">
        <f>IFERROR(VLOOKUP(A728,Internal_lists_bugs!$A$2:$I7981,9,FALSE()),"please select a BUG ID")</f>
        <v>https://review.opendev.org/c/openstack/nova/+/59034</v>
      </c>
      <c r="D728" s="114"/>
      <c r="E728" s="114"/>
      <c r="F728" s="115"/>
      <c r="G728" s="16" t="s">
        <v>1510</v>
      </c>
      <c r="H728" s="16" t="s">
        <v>2333</v>
      </c>
      <c r="I728" s="82"/>
      <c r="J728" s="92"/>
      <c r="K728" s="82"/>
      <c r="M728" s="114" t="str">
        <f>VLOOKUP(A728,'BIC_(C_Variables)'!$A$3:$AS$43,45,FALSE())</f>
        <v/>
      </c>
      <c r="N728" s="1"/>
      <c r="O728" s="1"/>
      <c r="P728" s="81" t="str">
        <f>IFERROR(VLOOKUP(A728,Internal_lists_bugs!$A$2:$G7981,7,FALSE()),"please select a BUG ID")</f>
        <v>https://opendev.org/openstack/nova/commit/33e3d4c6b9</v>
      </c>
    </row>
    <row r="729">
      <c r="A729" s="16" t="s">
        <v>49</v>
      </c>
      <c r="B729" s="50" t="str">
        <f>IFERROR(HYPERLINK(VLOOKUP(A729,Internal_lists_bugs!$A$2:$C$73,3,FALSE()), VLOOKUP(A729,Internal_lists_bugs!$A$2:$C$73,3,FALSE())&amp;Char(10) &amp; Char(10) &amp; VLOOKUP(A729,Internal_lists_bugs!$A$2:$Z$73,26,FALSE())),"please select a BUG ID")</f>
        <v>https://bugs.launchpad.net/nova/+bug/1370177
nova/block_device.py</v>
      </c>
      <c r="C729" s="81" t="str">
        <f>IFERROR(VLOOKUP(A729,Internal_lists_bugs!$A$2:$I7981,9,FALSE()),"please select a BUG ID")</f>
        <v>https://review.opendev.org/c/openstack/nova/+/59034</v>
      </c>
      <c r="D729" s="114"/>
      <c r="E729" s="114"/>
      <c r="F729" s="115"/>
      <c r="G729" s="16" t="s">
        <v>1458</v>
      </c>
      <c r="H729" s="16" t="s">
        <v>2334</v>
      </c>
      <c r="I729" s="82"/>
      <c r="J729" s="92"/>
      <c r="K729" s="82"/>
      <c r="M729" s="114" t="str">
        <f>VLOOKUP(A729,'BIC_(C_Variables)'!$A$3:$AS$43,45,FALSE())</f>
        <v/>
      </c>
      <c r="N729" s="1"/>
      <c r="O729" s="1"/>
      <c r="P729" s="81" t="str">
        <f>IFERROR(VLOOKUP(A729,Internal_lists_bugs!$A$2:$G7981,7,FALSE()),"please select a BUG ID")</f>
        <v>https://opendev.org/openstack/nova/commit/33e3d4c6b9</v>
      </c>
    </row>
    <row r="730">
      <c r="A730" s="16" t="s">
        <v>49</v>
      </c>
      <c r="B730" s="50" t="str">
        <f>IFERROR(HYPERLINK(VLOOKUP(A730,Internal_lists_bugs!$A$2:$C$73,3,FALSE()), VLOOKUP(A730,Internal_lists_bugs!$A$2:$C$73,3,FALSE())&amp;Char(10) &amp; Char(10) &amp; VLOOKUP(A730,Internal_lists_bugs!$A$2:$Z$73,26,FALSE())),"please select a BUG ID")</f>
        <v>https://bugs.launchpad.net/nova/+bug/1370177
nova/block_device.py</v>
      </c>
      <c r="C730" s="81" t="str">
        <f>IFERROR(VLOOKUP(A730,Internal_lists_bugs!$A$2:$I7981,9,FALSE()),"please select a BUG ID")</f>
        <v>https://review.opendev.org/c/openstack/nova/+/59034</v>
      </c>
      <c r="D730" s="114"/>
      <c r="E730" s="114"/>
      <c r="F730" s="115"/>
      <c r="G730" s="16" t="s">
        <v>1900</v>
      </c>
      <c r="H730" s="16" t="s">
        <v>2334</v>
      </c>
      <c r="I730" s="82"/>
      <c r="J730" s="92"/>
      <c r="K730" s="82"/>
      <c r="M730" s="114" t="str">
        <f>VLOOKUP(A730,'BIC_(C_Variables)'!$A$3:$AS$43,45,FALSE())</f>
        <v/>
      </c>
      <c r="N730" s="1"/>
      <c r="O730" s="1"/>
      <c r="P730" s="81" t="str">
        <f>IFERROR(VLOOKUP(A730,Internal_lists_bugs!$A$2:$G7981,7,FALSE()),"please select a BUG ID")</f>
        <v>https://opendev.org/openstack/nova/commit/33e3d4c6b9</v>
      </c>
    </row>
    <row r="731">
      <c r="A731" s="16" t="s">
        <v>49</v>
      </c>
      <c r="B731" s="50" t="str">
        <f>IFERROR(HYPERLINK(VLOOKUP(A731,Internal_lists_bugs!$A$2:$C$73,3,FALSE()), VLOOKUP(A731,Internal_lists_bugs!$A$2:$C$73,3,FALSE())&amp;Char(10) &amp; Char(10) &amp; VLOOKUP(A731,Internal_lists_bugs!$A$2:$Z$73,26,FALSE())),"please select a BUG ID")</f>
        <v>https://bugs.launchpad.net/nova/+bug/1370177
nova/block_device.py</v>
      </c>
      <c r="C731" s="81" t="str">
        <f>IFERROR(VLOOKUP(A731,Internal_lists_bugs!$A$2:$I7981,9,FALSE()),"please select a BUG ID")</f>
        <v>https://review.opendev.org/c/openstack/nova/+/59034</v>
      </c>
      <c r="D731" s="114"/>
      <c r="E731" s="114"/>
      <c r="F731" s="115"/>
      <c r="G731" s="16" t="s">
        <v>2335</v>
      </c>
      <c r="H731" s="16" t="s">
        <v>2336</v>
      </c>
      <c r="I731" s="82"/>
      <c r="J731" s="92"/>
      <c r="K731" s="82"/>
      <c r="M731" s="114" t="str">
        <f>VLOOKUP(A731,'BIC_(C_Variables)'!$A$3:$AS$43,45,FALSE())</f>
        <v/>
      </c>
      <c r="N731" s="1"/>
      <c r="O731" s="1"/>
      <c r="P731" s="81" t="str">
        <f>IFERROR(VLOOKUP(A731,Internal_lists_bugs!$A$2:$G7981,7,FALSE()),"please select a BUG ID")</f>
        <v>https://opendev.org/openstack/nova/commit/33e3d4c6b9</v>
      </c>
    </row>
    <row r="732">
      <c r="A732" s="16" t="s">
        <v>49</v>
      </c>
      <c r="B732" s="50" t="str">
        <f>IFERROR(HYPERLINK(VLOOKUP(A732,Internal_lists_bugs!$A$2:$C$73,3,FALSE()), VLOOKUP(A732,Internal_lists_bugs!$A$2:$C$73,3,FALSE())&amp;Char(10) &amp; Char(10) &amp; VLOOKUP(A732,Internal_lists_bugs!$A$2:$Z$73,26,FALSE())),"please select a BUG ID")</f>
        <v>https://bugs.launchpad.net/nova/+bug/1370177
nova/block_device.py</v>
      </c>
      <c r="C732" s="81" t="str">
        <f>IFERROR(VLOOKUP(A732,Internal_lists_bugs!$A$2:$I7981,9,FALSE()),"please select a BUG ID")</f>
        <v>https://review.opendev.org/c/openstack/nova/+/59034</v>
      </c>
      <c r="D732" s="114"/>
      <c r="E732" s="114"/>
      <c r="F732" s="115"/>
      <c r="G732" s="16" t="s">
        <v>1909</v>
      </c>
      <c r="H732" s="16" t="s">
        <v>2336</v>
      </c>
      <c r="I732" s="82"/>
      <c r="J732" s="92"/>
      <c r="K732" s="82"/>
      <c r="M732" s="114" t="str">
        <f>VLOOKUP(A732,'BIC_(C_Variables)'!$A$3:$AS$43,45,FALSE())</f>
        <v/>
      </c>
      <c r="N732" s="1"/>
      <c r="O732" s="1"/>
      <c r="P732" s="81" t="str">
        <f>IFERROR(VLOOKUP(A732,Internal_lists_bugs!$A$2:$G7981,7,FALSE()),"please select a BUG ID")</f>
        <v>https://opendev.org/openstack/nova/commit/33e3d4c6b9</v>
      </c>
    </row>
    <row r="733">
      <c r="A733" s="16" t="s">
        <v>49</v>
      </c>
      <c r="B733" s="50" t="str">
        <f>IFERROR(HYPERLINK(VLOOKUP(A733,Internal_lists_bugs!$A$2:$C$73,3,FALSE()), VLOOKUP(A733,Internal_lists_bugs!$A$2:$C$73,3,FALSE())&amp;Char(10) &amp; Char(10) &amp; VLOOKUP(A733,Internal_lists_bugs!$A$2:$Z$73,26,FALSE())),"please select a BUG ID")</f>
        <v>https://bugs.launchpad.net/nova/+bug/1370177
nova/block_device.py</v>
      </c>
      <c r="C733" s="81" t="str">
        <f>IFERROR(VLOOKUP(A733,Internal_lists_bugs!$A$2:$I7981,9,FALSE()),"please select a BUG ID")</f>
        <v>https://review.opendev.org/c/openstack/nova/+/59034</v>
      </c>
      <c r="D733" s="114"/>
      <c r="E733" s="114"/>
      <c r="F733" s="115"/>
      <c r="G733" s="16" t="s">
        <v>1908</v>
      </c>
      <c r="H733" s="16" t="s">
        <v>2337</v>
      </c>
      <c r="I733" s="82"/>
      <c r="J733" s="92"/>
      <c r="K733" s="82"/>
      <c r="M733" s="114" t="str">
        <f>VLOOKUP(A733,'BIC_(C_Variables)'!$A$3:$AS$43,45,FALSE())</f>
        <v/>
      </c>
      <c r="N733" s="1"/>
      <c r="O733" s="1"/>
      <c r="P733" s="81" t="str">
        <f>IFERROR(VLOOKUP(A733,Internal_lists_bugs!$A$2:$G7981,7,FALSE()),"please select a BUG ID")</f>
        <v>https://opendev.org/openstack/nova/commit/33e3d4c6b9</v>
      </c>
    </row>
    <row r="734">
      <c r="A734" s="16" t="s">
        <v>49</v>
      </c>
      <c r="B734" s="50" t="str">
        <f>IFERROR(HYPERLINK(VLOOKUP(A734,Internal_lists_bugs!$A$2:$C$73,3,FALSE()), VLOOKUP(A734,Internal_lists_bugs!$A$2:$C$73,3,FALSE())&amp;Char(10) &amp; Char(10) &amp; VLOOKUP(A734,Internal_lists_bugs!$A$2:$Z$73,26,FALSE())),"please select a BUG ID")</f>
        <v>https://bugs.launchpad.net/nova/+bug/1370177
nova/block_device.py</v>
      </c>
      <c r="C734" s="81" t="str">
        <f>IFERROR(VLOOKUP(A734,Internal_lists_bugs!$A$2:$I7981,9,FALSE()),"please select a BUG ID")</f>
        <v>https://review.opendev.org/c/openstack/nova/+/59034</v>
      </c>
      <c r="D734" s="114"/>
      <c r="E734" s="114"/>
      <c r="F734" s="115"/>
      <c r="G734" s="16" t="s">
        <v>1917</v>
      </c>
      <c r="H734" s="16" t="s">
        <v>2337</v>
      </c>
      <c r="I734" s="82"/>
      <c r="J734" s="92"/>
      <c r="K734" s="82"/>
      <c r="M734" s="114" t="str">
        <f>VLOOKUP(A734,'BIC_(C_Variables)'!$A$3:$AS$43,45,FALSE())</f>
        <v/>
      </c>
      <c r="N734" s="1"/>
      <c r="O734" s="1"/>
      <c r="P734" s="81" t="str">
        <f>IFERROR(VLOOKUP(A734,Internal_lists_bugs!$A$2:$G7981,7,FALSE()),"please select a BUG ID")</f>
        <v>https://opendev.org/openstack/nova/commit/33e3d4c6b9</v>
      </c>
    </row>
    <row r="735">
      <c r="A735" s="16" t="s">
        <v>49</v>
      </c>
      <c r="B735" s="50" t="str">
        <f>IFERROR(HYPERLINK(VLOOKUP(A735,Internal_lists_bugs!$A$2:$C$73,3,FALSE()), VLOOKUP(A735,Internal_lists_bugs!$A$2:$C$73,3,FALSE())&amp;Char(10) &amp; Char(10) &amp; VLOOKUP(A735,Internal_lists_bugs!$A$2:$Z$73,26,FALSE())),"please select a BUG ID")</f>
        <v>https://bugs.launchpad.net/nova/+bug/1370177
nova/block_device.py</v>
      </c>
      <c r="C735" s="81" t="str">
        <f>IFERROR(VLOOKUP(A735,Internal_lists_bugs!$A$2:$I7981,9,FALSE()),"please select a BUG ID")</f>
        <v>https://review.opendev.org/c/openstack/nova/+/59034</v>
      </c>
      <c r="D735" s="114"/>
      <c r="E735" s="114"/>
      <c r="F735" s="115"/>
      <c r="G735" s="16" t="s">
        <v>1915</v>
      </c>
      <c r="H735" s="16" t="s">
        <v>2338</v>
      </c>
      <c r="I735" s="82"/>
      <c r="J735" s="92"/>
      <c r="K735" s="82"/>
      <c r="M735" s="114" t="str">
        <f>VLOOKUP(A735,'BIC_(C_Variables)'!$A$3:$AS$43,45,FALSE())</f>
        <v/>
      </c>
      <c r="N735" s="1"/>
      <c r="O735" s="1"/>
      <c r="P735" s="81" t="str">
        <f>IFERROR(VLOOKUP(A735,Internal_lists_bugs!$A$2:$G7981,7,FALSE()),"please select a BUG ID")</f>
        <v>https://opendev.org/openstack/nova/commit/33e3d4c6b9</v>
      </c>
    </row>
    <row r="736">
      <c r="A736" s="16" t="s">
        <v>49</v>
      </c>
      <c r="B736" s="50" t="str">
        <f>IFERROR(HYPERLINK(VLOOKUP(A736,Internal_lists_bugs!$A$2:$C$73,3,FALSE()), VLOOKUP(A736,Internal_lists_bugs!$A$2:$C$73,3,FALSE())&amp;Char(10) &amp; Char(10) &amp; VLOOKUP(A736,Internal_lists_bugs!$A$2:$Z$73,26,FALSE())),"please select a BUG ID")</f>
        <v>https://bugs.launchpad.net/nova/+bug/1370177
nova/block_device.py</v>
      </c>
      <c r="C736" s="81" t="str">
        <f>IFERROR(VLOOKUP(A736,Internal_lists_bugs!$A$2:$I7981,9,FALSE()),"please select a BUG ID")</f>
        <v>https://review.opendev.org/c/openstack/nova/+/59034</v>
      </c>
      <c r="D736" s="114"/>
      <c r="E736" s="114"/>
      <c r="F736" s="115"/>
      <c r="G736" s="16" t="s">
        <v>1930</v>
      </c>
      <c r="H736" s="16" t="s">
        <v>2338</v>
      </c>
      <c r="I736" s="82"/>
      <c r="J736" s="92"/>
      <c r="K736" s="82"/>
      <c r="M736" s="114" t="str">
        <f>VLOOKUP(A736,'BIC_(C_Variables)'!$A$3:$AS$43,45,FALSE())</f>
        <v/>
      </c>
      <c r="N736" s="1"/>
      <c r="O736" s="1"/>
      <c r="P736" s="81" t="str">
        <f>IFERROR(VLOOKUP(A736,Internal_lists_bugs!$A$2:$G7981,7,FALSE()),"please select a BUG ID")</f>
        <v>https://opendev.org/openstack/nova/commit/33e3d4c6b9</v>
      </c>
    </row>
    <row r="737">
      <c r="A737" s="16" t="s">
        <v>49</v>
      </c>
      <c r="B737" s="50" t="str">
        <f>IFERROR(HYPERLINK(VLOOKUP(A737,Internal_lists_bugs!$A$2:$C$73,3,FALSE()), VLOOKUP(A737,Internal_lists_bugs!$A$2:$C$73,3,FALSE())&amp;Char(10) &amp; Char(10) &amp; VLOOKUP(A737,Internal_lists_bugs!$A$2:$Z$73,26,FALSE())),"please select a BUG ID")</f>
        <v>https://bugs.launchpad.net/nova/+bug/1370177
nova/block_device.py</v>
      </c>
      <c r="C737" s="81" t="str">
        <f>IFERROR(VLOOKUP(A737,Internal_lists_bugs!$A$2:$I7981,9,FALSE()),"please select a BUG ID")</f>
        <v>https://review.opendev.org/c/openstack/nova/+/59034</v>
      </c>
      <c r="D737" s="114"/>
      <c r="E737" s="114"/>
      <c r="F737" s="115"/>
      <c r="G737" s="16" t="s">
        <v>1928</v>
      </c>
      <c r="H737" s="16" t="s">
        <v>2339</v>
      </c>
      <c r="I737" s="82"/>
      <c r="J737" s="92"/>
      <c r="K737" s="82"/>
      <c r="M737" s="114" t="str">
        <f>VLOOKUP(A737,'BIC_(C_Variables)'!$A$3:$AS$43,45,FALSE())</f>
        <v/>
      </c>
      <c r="N737" s="1"/>
      <c r="O737" s="1"/>
      <c r="P737" s="81" t="str">
        <f>IFERROR(VLOOKUP(A737,Internal_lists_bugs!$A$2:$G7981,7,FALSE()),"please select a BUG ID")</f>
        <v>https://opendev.org/openstack/nova/commit/33e3d4c6b9</v>
      </c>
    </row>
    <row r="738">
      <c r="A738" s="16" t="s">
        <v>49</v>
      </c>
      <c r="B738" s="50" t="str">
        <f>IFERROR(HYPERLINK(VLOOKUP(A738,Internal_lists_bugs!$A$2:$C$73,3,FALSE()), VLOOKUP(A738,Internal_lists_bugs!$A$2:$C$73,3,FALSE())&amp;Char(10) &amp; Char(10) &amp; VLOOKUP(A738,Internal_lists_bugs!$A$2:$Z$73,26,FALSE())),"please select a BUG ID")</f>
        <v>https://bugs.launchpad.net/nova/+bug/1370177
nova/block_device.py</v>
      </c>
      <c r="C738" s="81" t="str">
        <f>IFERROR(VLOOKUP(A738,Internal_lists_bugs!$A$2:$I7981,9,FALSE()),"please select a BUG ID")</f>
        <v>https://review.opendev.org/c/openstack/nova/+/59034</v>
      </c>
      <c r="D738" s="114"/>
      <c r="E738" s="114"/>
      <c r="F738" s="115"/>
      <c r="G738" s="16" t="s">
        <v>1933</v>
      </c>
      <c r="H738" s="16" t="s">
        <v>2339</v>
      </c>
      <c r="I738" s="82"/>
      <c r="J738" s="92"/>
      <c r="K738" s="82"/>
      <c r="M738" s="114" t="str">
        <f>VLOOKUP(A738,'BIC_(C_Variables)'!$A$3:$AS$43,45,FALSE())</f>
        <v/>
      </c>
      <c r="N738" s="1"/>
      <c r="O738" s="1"/>
      <c r="P738" s="81" t="str">
        <f>IFERROR(VLOOKUP(A738,Internal_lists_bugs!$A$2:$G7981,7,FALSE()),"please select a BUG ID")</f>
        <v>https://opendev.org/openstack/nova/commit/33e3d4c6b9</v>
      </c>
    </row>
    <row r="739">
      <c r="A739" s="16" t="s">
        <v>49</v>
      </c>
      <c r="B739" s="50" t="str">
        <f>IFERROR(HYPERLINK(VLOOKUP(A739,Internal_lists_bugs!$A$2:$C$73,3,FALSE()), VLOOKUP(A739,Internal_lists_bugs!$A$2:$C$73,3,FALSE())&amp;Char(10) &amp; Char(10) &amp; VLOOKUP(A739,Internal_lists_bugs!$A$2:$Z$73,26,FALSE())),"please select a BUG ID")</f>
        <v>https://bugs.launchpad.net/nova/+bug/1370177
nova/block_device.py</v>
      </c>
      <c r="C739" s="81" t="str">
        <f>IFERROR(VLOOKUP(A739,Internal_lists_bugs!$A$2:$I7981,9,FALSE()),"please select a BUG ID")</f>
        <v>https://review.opendev.org/c/openstack/nova/+/59034</v>
      </c>
      <c r="D739" s="114"/>
      <c r="E739" s="114"/>
      <c r="F739" s="115"/>
      <c r="G739" s="16" t="s">
        <v>1931</v>
      </c>
      <c r="H739" s="16" t="s">
        <v>2340</v>
      </c>
      <c r="I739" s="82"/>
      <c r="J739" s="92"/>
      <c r="K739" s="82"/>
      <c r="M739" s="114" t="str">
        <f>VLOOKUP(A739,'BIC_(C_Variables)'!$A$3:$AS$43,45,FALSE())</f>
        <v/>
      </c>
      <c r="N739" s="1"/>
      <c r="O739" s="1"/>
      <c r="P739" s="81" t="str">
        <f>IFERROR(VLOOKUP(A739,Internal_lists_bugs!$A$2:$G7981,7,FALSE()),"please select a BUG ID")</f>
        <v>https://opendev.org/openstack/nova/commit/33e3d4c6b9</v>
      </c>
    </row>
    <row r="740">
      <c r="A740" s="16" t="s">
        <v>49</v>
      </c>
      <c r="B740" s="50" t="str">
        <f>IFERROR(HYPERLINK(VLOOKUP(A740,Internal_lists_bugs!$A$2:$C$73,3,FALSE()), VLOOKUP(A740,Internal_lists_bugs!$A$2:$C$73,3,FALSE())&amp;Char(10) &amp; Char(10) &amp; VLOOKUP(A740,Internal_lists_bugs!$A$2:$Z$73,26,FALSE())),"please select a BUG ID")</f>
        <v>https://bugs.launchpad.net/nova/+bug/1370177
nova/block_device.py</v>
      </c>
      <c r="C740" s="81" t="str">
        <f>IFERROR(VLOOKUP(A740,Internal_lists_bugs!$A$2:$I7981,9,FALSE()),"please select a BUG ID")</f>
        <v>https://review.opendev.org/c/openstack/nova/+/59034</v>
      </c>
      <c r="D740" s="114"/>
      <c r="E740" s="114"/>
      <c r="F740" s="115"/>
      <c r="G740" s="16" t="s">
        <v>1936</v>
      </c>
      <c r="H740" s="16" t="s">
        <v>2340</v>
      </c>
      <c r="I740" s="82"/>
      <c r="J740" s="92"/>
      <c r="K740" s="82"/>
      <c r="M740" s="114" t="str">
        <f>VLOOKUP(A740,'BIC_(C_Variables)'!$A$3:$AS$43,45,FALSE())</f>
        <v/>
      </c>
      <c r="N740" s="1"/>
      <c r="O740" s="1"/>
      <c r="P740" s="81" t="str">
        <f>IFERROR(VLOOKUP(A740,Internal_lists_bugs!$A$2:$G7981,7,FALSE()),"please select a BUG ID")</f>
        <v>https://opendev.org/openstack/nova/commit/33e3d4c6b9</v>
      </c>
    </row>
    <row r="741">
      <c r="A741" s="16" t="s">
        <v>49</v>
      </c>
      <c r="B741" s="50" t="str">
        <f>IFERROR(HYPERLINK(VLOOKUP(A741,Internal_lists_bugs!$A$2:$C$73,3,FALSE()), VLOOKUP(A741,Internal_lists_bugs!$A$2:$C$73,3,FALSE())&amp;Char(10) &amp; Char(10) &amp; VLOOKUP(A741,Internal_lists_bugs!$A$2:$Z$73,26,FALSE())),"please select a BUG ID")</f>
        <v>https://bugs.launchpad.net/nova/+bug/1370177
nova/block_device.py</v>
      </c>
      <c r="C741" s="81" t="str">
        <f>IFERROR(VLOOKUP(A741,Internal_lists_bugs!$A$2:$I7981,9,FALSE()),"please select a BUG ID")</f>
        <v>https://review.opendev.org/c/openstack/nova/+/59034</v>
      </c>
      <c r="D741" s="114"/>
      <c r="E741" s="114"/>
      <c r="F741" s="115"/>
      <c r="G741" s="16" t="s">
        <v>2200</v>
      </c>
      <c r="H741" s="16" t="s">
        <v>2341</v>
      </c>
      <c r="I741" s="82"/>
      <c r="J741" s="92"/>
      <c r="K741" s="82"/>
      <c r="M741" s="114" t="str">
        <f>VLOOKUP(A741,'BIC_(C_Variables)'!$A$3:$AS$43,45,FALSE())</f>
        <v/>
      </c>
      <c r="N741" s="1"/>
      <c r="O741" s="1"/>
      <c r="P741" s="81" t="str">
        <f>IFERROR(VLOOKUP(A741,Internal_lists_bugs!$A$2:$G7981,7,FALSE()),"please select a BUG ID")</f>
        <v>https://opendev.org/openstack/nova/commit/33e3d4c6b9</v>
      </c>
    </row>
    <row r="742">
      <c r="A742" s="16" t="s">
        <v>49</v>
      </c>
      <c r="B742" s="50" t="str">
        <f>IFERROR(HYPERLINK(VLOOKUP(A742,Internal_lists_bugs!$A$2:$C$73,3,FALSE()), VLOOKUP(A742,Internal_lists_bugs!$A$2:$C$73,3,FALSE())&amp;Char(10) &amp; Char(10) &amp; VLOOKUP(A742,Internal_lists_bugs!$A$2:$Z$73,26,FALSE())),"please select a BUG ID")</f>
        <v>https://bugs.launchpad.net/nova/+bug/1370177
nova/block_device.py</v>
      </c>
      <c r="C742" s="81" t="str">
        <f>IFERROR(VLOOKUP(A742,Internal_lists_bugs!$A$2:$I7981,9,FALSE()),"please select a BUG ID")</f>
        <v>https://review.opendev.org/c/openstack/nova/+/59034</v>
      </c>
      <c r="D742" s="114"/>
      <c r="E742" s="114"/>
      <c r="F742" s="115"/>
      <c r="G742" s="16" t="s">
        <v>1934</v>
      </c>
      <c r="H742" s="16" t="s">
        <v>2342</v>
      </c>
      <c r="I742" s="82"/>
      <c r="J742" s="92"/>
      <c r="K742" s="82"/>
      <c r="M742" s="114" t="str">
        <f>VLOOKUP(A742,'BIC_(C_Variables)'!$A$3:$AS$43,45,FALSE())</f>
        <v/>
      </c>
      <c r="N742" s="1"/>
      <c r="O742" s="1"/>
      <c r="P742" s="81" t="str">
        <f>IFERROR(VLOOKUP(A742,Internal_lists_bugs!$A$2:$G7981,7,FALSE()),"please select a BUG ID")</f>
        <v>https://opendev.org/openstack/nova/commit/33e3d4c6b9</v>
      </c>
    </row>
    <row r="743">
      <c r="A743" s="16" t="s">
        <v>49</v>
      </c>
      <c r="B743" s="50" t="str">
        <f>IFERROR(HYPERLINK(VLOOKUP(A743,Internal_lists_bugs!$A$2:$C$73,3,FALSE()), VLOOKUP(A743,Internal_lists_bugs!$A$2:$C$73,3,FALSE())&amp;Char(10) &amp; Char(10) &amp; VLOOKUP(A743,Internal_lists_bugs!$A$2:$Z$73,26,FALSE())),"please select a BUG ID")</f>
        <v>https://bugs.launchpad.net/nova/+bug/1370177
nova/block_device.py</v>
      </c>
      <c r="C743" s="81" t="str">
        <f>IFERROR(VLOOKUP(A743,Internal_lists_bugs!$A$2:$I7981,9,FALSE()),"please select a BUG ID")</f>
        <v>https://review.opendev.org/c/openstack/nova/+/59034</v>
      </c>
      <c r="D743" s="114"/>
      <c r="E743" s="114"/>
      <c r="F743" s="115"/>
      <c r="G743" s="16" t="s">
        <v>1943</v>
      </c>
      <c r="H743" s="16" t="s">
        <v>2342</v>
      </c>
      <c r="I743" s="82"/>
      <c r="J743" s="92"/>
      <c r="K743" s="82"/>
      <c r="M743" s="114" t="str">
        <f>VLOOKUP(A743,'BIC_(C_Variables)'!$A$3:$AS$43,45,FALSE())</f>
        <v/>
      </c>
      <c r="N743" s="1"/>
      <c r="O743" s="1"/>
      <c r="P743" s="81" t="str">
        <f>IFERROR(VLOOKUP(A743,Internal_lists_bugs!$A$2:$G7981,7,FALSE()),"please select a BUG ID")</f>
        <v>https://opendev.org/openstack/nova/commit/33e3d4c6b9</v>
      </c>
    </row>
    <row r="744">
      <c r="A744" s="16" t="s">
        <v>49</v>
      </c>
      <c r="B744" s="50" t="str">
        <f>IFERROR(HYPERLINK(VLOOKUP(A744,Internal_lists_bugs!$A$2:$C$73,3,FALSE()), VLOOKUP(A744,Internal_lists_bugs!$A$2:$C$73,3,FALSE())&amp;Char(10) &amp; Char(10) &amp; VLOOKUP(A744,Internal_lists_bugs!$A$2:$Z$73,26,FALSE())),"please select a BUG ID")</f>
        <v>https://bugs.launchpad.net/nova/+bug/1370177
nova/block_device.py</v>
      </c>
      <c r="C744" s="81" t="str">
        <f>IFERROR(VLOOKUP(A744,Internal_lists_bugs!$A$2:$I7981,9,FALSE()),"please select a BUG ID")</f>
        <v>https://review.opendev.org/c/openstack/nova/+/59034</v>
      </c>
      <c r="D744" s="114"/>
      <c r="E744" s="114"/>
      <c r="F744" s="115"/>
      <c r="G744" s="16" t="s">
        <v>1941</v>
      </c>
      <c r="H744" s="16" t="s">
        <v>2343</v>
      </c>
      <c r="I744" s="82"/>
      <c r="J744" s="92"/>
      <c r="K744" s="82"/>
      <c r="M744" s="114" t="str">
        <f>VLOOKUP(A744,'BIC_(C_Variables)'!$A$3:$AS$43,45,FALSE())</f>
        <v/>
      </c>
      <c r="N744" s="1"/>
      <c r="O744" s="1"/>
      <c r="P744" s="81" t="str">
        <f>IFERROR(VLOOKUP(A744,Internal_lists_bugs!$A$2:$G7981,7,FALSE()),"please select a BUG ID")</f>
        <v>https://opendev.org/openstack/nova/commit/33e3d4c6b9</v>
      </c>
    </row>
    <row r="745">
      <c r="A745" s="16" t="s">
        <v>49</v>
      </c>
      <c r="B745" s="50" t="str">
        <f>IFERROR(HYPERLINK(VLOOKUP(A745,Internal_lists_bugs!$A$2:$C$73,3,FALSE()), VLOOKUP(A745,Internal_lists_bugs!$A$2:$C$73,3,FALSE())&amp;Char(10) &amp; Char(10) &amp; VLOOKUP(A745,Internal_lists_bugs!$A$2:$Z$73,26,FALSE())),"please select a BUG ID")</f>
        <v>https://bugs.launchpad.net/nova/+bug/1370177
nova/block_device.py</v>
      </c>
      <c r="C745" s="81" t="str">
        <f>IFERROR(VLOOKUP(A745,Internal_lists_bugs!$A$2:$I7981,9,FALSE()),"please select a BUG ID")</f>
        <v>https://review.opendev.org/c/openstack/nova/+/59034</v>
      </c>
      <c r="D745" s="114"/>
      <c r="E745" s="114"/>
      <c r="F745" s="115"/>
      <c r="G745" s="16" t="s">
        <v>1946</v>
      </c>
      <c r="H745" s="16" t="s">
        <v>2343</v>
      </c>
      <c r="I745" s="82"/>
      <c r="J745" s="92"/>
      <c r="K745" s="82"/>
      <c r="M745" s="114" t="str">
        <f>VLOOKUP(A745,'BIC_(C_Variables)'!$A$3:$AS$43,45,FALSE())</f>
        <v/>
      </c>
      <c r="N745" s="1"/>
      <c r="O745" s="1"/>
      <c r="P745" s="81" t="str">
        <f>IFERROR(VLOOKUP(A745,Internal_lists_bugs!$A$2:$G7981,7,FALSE()),"please select a BUG ID")</f>
        <v>https://opendev.org/openstack/nova/commit/33e3d4c6b9</v>
      </c>
    </row>
    <row r="746">
      <c r="A746" s="16" t="s">
        <v>49</v>
      </c>
      <c r="B746" s="50" t="str">
        <f>IFERROR(HYPERLINK(VLOOKUP(A746,Internal_lists_bugs!$A$2:$C$73,3,FALSE()), VLOOKUP(A746,Internal_lists_bugs!$A$2:$C$73,3,FALSE())&amp;Char(10) &amp; Char(10) &amp; VLOOKUP(A746,Internal_lists_bugs!$A$2:$Z$73,26,FALSE())),"please select a BUG ID")</f>
        <v>https://bugs.launchpad.net/nova/+bug/1370177
nova/block_device.py</v>
      </c>
      <c r="C746" s="81" t="str">
        <f>IFERROR(VLOOKUP(A746,Internal_lists_bugs!$A$2:$I7981,9,FALSE()),"please select a BUG ID")</f>
        <v>https://review.opendev.org/c/openstack/nova/+/59034</v>
      </c>
      <c r="D746" s="114"/>
      <c r="E746" s="114"/>
      <c r="F746" s="115"/>
      <c r="G746" s="16" t="s">
        <v>1944</v>
      </c>
      <c r="H746" s="16" t="s">
        <v>2344</v>
      </c>
      <c r="I746" s="82"/>
      <c r="J746" s="92"/>
      <c r="K746" s="82"/>
      <c r="M746" s="114" t="str">
        <f>VLOOKUP(A746,'BIC_(C_Variables)'!$A$3:$AS$43,45,FALSE())</f>
        <v/>
      </c>
      <c r="N746" s="1"/>
      <c r="O746" s="1"/>
      <c r="P746" s="81" t="str">
        <f>IFERROR(VLOOKUP(A746,Internal_lists_bugs!$A$2:$G7981,7,FALSE()),"please select a BUG ID")</f>
        <v>https://opendev.org/openstack/nova/commit/33e3d4c6b9</v>
      </c>
    </row>
    <row r="747">
      <c r="A747" s="16" t="s">
        <v>49</v>
      </c>
      <c r="B747" s="50" t="str">
        <f>IFERROR(HYPERLINK(VLOOKUP(A747,Internal_lists_bugs!$A$2:$C$73,3,FALSE()), VLOOKUP(A747,Internal_lists_bugs!$A$2:$C$73,3,FALSE())&amp;Char(10) &amp; Char(10) &amp; VLOOKUP(A747,Internal_lists_bugs!$A$2:$Z$73,26,FALSE())),"please select a BUG ID")</f>
        <v>https://bugs.launchpad.net/nova/+bug/1370177
nova/block_device.py</v>
      </c>
      <c r="C747" s="81" t="str">
        <f>IFERROR(VLOOKUP(A747,Internal_lists_bugs!$A$2:$I7981,9,FALSE()),"please select a BUG ID")</f>
        <v>https://review.opendev.org/c/openstack/nova/+/59034</v>
      </c>
      <c r="D747" s="114"/>
      <c r="E747" s="114"/>
      <c r="F747" s="115"/>
      <c r="G747" s="16" t="s">
        <v>1953</v>
      </c>
      <c r="H747" s="16" t="s">
        <v>2344</v>
      </c>
      <c r="I747" s="82"/>
      <c r="J747" s="92"/>
      <c r="K747" s="82"/>
      <c r="M747" s="114" t="str">
        <f>VLOOKUP(A747,'BIC_(C_Variables)'!$A$3:$AS$43,45,FALSE())</f>
        <v/>
      </c>
      <c r="N747" s="1"/>
      <c r="O747" s="1"/>
      <c r="P747" s="81" t="str">
        <f>IFERROR(VLOOKUP(A747,Internal_lists_bugs!$A$2:$G7981,7,FALSE()),"please select a BUG ID")</f>
        <v>https://opendev.org/openstack/nova/commit/33e3d4c6b9</v>
      </c>
    </row>
    <row r="748">
      <c r="A748" s="16" t="s">
        <v>49</v>
      </c>
      <c r="B748" s="50" t="str">
        <f>IFERROR(HYPERLINK(VLOOKUP(A748,Internal_lists_bugs!$A$2:$C$73,3,FALSE()), VLOOKUP(A748,Internal_lists_bugs!$A$2:$C$73,3,FALSE())&amp;Char(10) &amp; Char(10) &amp; VLOOKUP(A748,Internal_lists_bugs!$A$2:$Z$73,26,FALSE())),"please select a BUG ID")</f>
        <v>https://bugs.launchpad.net/nova/+bug/1370177
nova/block_device.py</v>
      </c>
      <c r="C748" s="81" t="str">
        <f>IFERROR(VLOOKUP(A748,Internal_lists_bugs!$A$2:$I7981,9,FALSE()),"please select a BUG ID")</f>
        <v>https://review.opendev.org/c/openstack/nova/+/59034</v>
      </c>
      <c r="D748" s="114"/>
      <c r="E748" s="114"/>
      <c r="F748" s="115"/>
      <c r="G748" s="16" t="s">
        <v>1947</v>
      </c>
      <c r="H748" s="16" t="s">
        <v>2345</v>
      </c>
      <c r="I748" s="82"/>
      <c r="J748" s="92"/>
      <c r="K748" s="82"/>
      <c r="M748" s="114" t="str">
        <f>VLOOKUP(A748,'BIC_(C_Variables)'!$A$3:$AS$43,45,FALSE())</f>
        <v/>
      </c>
      <c r="N748" s="1"/>
      <c r="O748" s="1"/>
      <c r="P748" s="81" t="str">
        <f>IFERROR(VLOOKUP(A748,Internal_lists_bugs!$A$2:$G7981,7,FALSE()),"please select a BUG ID")</f>
        <v>https://opendev.org/openstack/nova/commit/33e3d4c6b9</v>
      </c>
    </row>
    <row r="749">
      <c r="A749" s="16" t="s">
        <v>49</v>
      </c>
      <c r="B749" s="50" t="str">
        <f>IFERROR(HYPERLINK(VLOOKUP(A749,Internal_lists_bugs!$A$2:$C$73,3,FALSE()), VLOOKUP(A749,Internal_lists_bugs!$A$2:$C$73,3,FALSE())&amp;Char(10) &amp; Char(10) &amp; VLOOKUP(A749,Internal_lists_bugs!$A$2:$Z$73,26,FALSE())),"please select a BUG ID")</f>
        <v>https://bugs.launchpad.net/nova/+bug/1370177
nova/block_device.py</v>
      </c>
      <c r="C749" s="81" t="str">
        <f>IFERROR(VLOOKUP(A749,Internal_lists_bugs!$A$2:$I7981,9,FALSE()),"please select a BUG ID")</f>
        <v>https://review.opendev.org/c/openstack/nova/+/59034</v>
      </c>
      <c r="D749" s="114"/>
      <c r="E749" s="114"/>
      <c r="F749" s="115"/>
      <c r="G749" s="16" t="s">
        <v>1460</v>
      </c>
      <c r="H749" s="16" t="s">
        <v>1997</v>
      </c>
      <c r="I749" s="82"/>
      <c r="J749" s="92"/>
      <c r="K749" s="82"/>
      <c r="M749" s="114" t="str">
        <f>VLOOKUP(A749,'BIC_(C_Variables)'!$A$3:$AS$43,45,FALSE())</f>
        <v/>
      </c>
      <c r="N749" s="1"/>
      <c r="O749" s="1"/>
      <c r="P749" s="81" t="str">
        <f>IFERROR(VLOOKUP(A749,Internal_lists_bugs!$A$2:$G7981,7,FALSE()),"please select a BUG ID")</f>
        <v>https://opendev.org/openstack/nova/commit/33e3d4c6b9</v>
      </c>
    </row>
    <row r="750">
      <c r="A750" s="16" t="s">
        <v>49</v>
      </c>
      <c r="B750" s="50" t="str">
        <f>IFERROR(HYPERLINK(VLOOKUP(A750,Internal_lists_bugs!$A$2:$C$73,3,FALSE()), VLOOKUP(A750,Internal_lists_bugs!$A$2:$C$73,3,FALSE())&amp;Char(10) &amp; Char(10) &amp; VLOOKUP(A750,Internal_lists_bugs!$A$2:$Z$73,26,FALSE())),"please select a BUG ID")</f>
        <v>https://bugs.launchpad.net/nova/+bug/1370177
nova/block_device.py</v>
      </c>
      <c r="C750" s="81" t="str">
        <f>IFERROR(VLOOKUP(A750,Internal_lists_bugs!$A$2:$I7981,9,FALSE()),"please select a BUG ID")</f>
        <v>https://review.opendev.org/c/openstack/nova/+/59034</v>
      </c>
      <c r="D750" s="114"/>
      <c r="E750" s="114"/>
      <c r="F750" s="115"/>
      <c r="G750" s="16" t="s">
        <v>2346</v>
      </c>
      <c r="H750" s="16" t="s">
        <v>2347</v>
      </c>
      <c r="I750" s="82"/>
      <c r="J750" s="92"/>
      <c r="K750" s="82"/>
      <c r="M750" s="114" t="str">
        <f>VLOOKUP(A750,'BIC_(C_Variables)'!$A$3:$AS$43,45,FALSE())</f>
        <v/>
      </c>
      <c r="N750" s="1"/>
      <c r="O750" s="1"/>
      <c r="P750" s="81" t="str">
        <f>IFERROR(VLOOKUP(A750,Internal_lists_bugs!$A$2:$G7981,7,FALSE()),"please select a BUG ID")</f>
        <v>https://opendev.org/openstack/nova/commit/33e3d4c6b9</v>
      </c>
    </row>
    <row r="751">
      <c r="A751" s="16" t="s">
        <v>49</v>
      </c>
      <c r="B751" s="50" t="str">
        <f>IFERROR(HYPERLINK(VLOOKUP(A751,Internal_lists_bugs!$A$2:$C$73,3,FALSE()), VLOOKUP(A751,Internal_lists_bugs!$A$2:$C$73,3,FALSE())&amp;Char(10) &amp; Char(10) &amp; VLOOKUP(A751,Internal_lists_bugs!$A$2:$Z$73,26,FALSE())),"please select a BUG ID")</f>
        <v>https://bugs.launchpad.net/nova/+bug/1370177
nova/block_device.py</v>
      </c>
      <c r="C751" s="81" t="str">
        <f>IFERROR(VLOOKUP(A751,Internal_lists_bugs!$A$2:$I7981,9,FALSE()),"please select a BUG ID")</f>
        <v>https://review.opendev.org/c/openstack/nova/+/59034</v>
      </c>
      <c r="D751" s="114"/>
      <c r="E751" s="114"/>
      <c r="F751" s="115"/>
      <c r="G751" s="16" t="s">
        <v>1958</v>
      </c>
      <c r="H751" s="16" t="s">
        <v>2347</v>
      </c>
      <c r="I751" s="82"/>
      <c r="J751" s="92"/>
      <c r="K751" s="82"/>
      <c r="M751" s="114" t="str">
        <f>VLOOKUP(A751,'BIC_(C_Variables)'!$A$3:$AS$43,45,FALSE())</f>
        <v/>
      </c>
      <c r="N751" s="1"/>
      <c r="O751" s="1"/>
      <c r="P751" s="81" t="str">
        <f>IFERROR(VLOOKUP(A751,Internal_lists_bugs!$A$2:$G7981,7,FALSE()),"please select a BUG ID")</f>
        <v>https://opendev.org/openstack/nova/commit/33e3d4c6b9</v>
      </c>
    </row>
    <row r="752">
      <c r="A752" s="16" t="s">
        <v>49</v>
      </c>
      <c r="B752" s="50" t="str">
        <f>IFERROR(HYPERLINK(VLOOKUP(A752,Internal_lists_bugs!$A$2:$C$73,3,FALSE()), VLOOKUP(A752,Internal_lists_bugs!$A$2:$C$73,3,FALSE())&amp;Char(10) &amp; Char(10) &amp; VLOOKUP(A752,Internal_lists_bugs!$A$2:$Z$73,26,FALSE())),"please select a BUG ID")</f>
        <v>https://bugs.launchpad.net/nova/+bug/1370177
nova/block_device.py</v>
      </c>
      <c r="C752" s="81" t="str">
        <f>IFERROR(VLOOKUP(A752,Internal_lists_bugs!$A$2:$I7981,9,FALSE()),"please select a BUG ID")</f>
        <v>https://review.opendev.org/c/openstack/nova/+/59034</v>
      </c>
      <c r="D752" s="114"/>
      <c r="E752" s="114"/>
      <c r="F752" s="115"/>
      <c r="G752" s="16" t="s">
        <v>2010</v>
      </c>
      <c r="H752" s="16" t="s">
        <v>2347</v>
      </c>
      <c r="I752" s="82"/>
      <c r="J752" s="92"/>
      <c r="K752" s="82"/>
      <c r="M752" s="114" t="str">
        <f>VLOOKUP(A752,'BIC_(C_Variables)'!$A$3:$AS$43,45,FALSE())</f>
        <v/>
      </c>
      <c r="N752" s="1"/>
      <c r="O752" s="1"/>
      <c r="P752" s="81" t="str">
        <f>IFERROR(VLOOKUP(A752,Internal_lists_bugs!$A$2:$G7981,7,FALSE()),"please select a BUG ID")</f>
        <v>https://opendev.org/openstack/nova/commit/33e3d4c6b9</v>
      </c>
    </row>
    <row r="753">
      <c r="A753" s="16" t="s">
        <v>49</v>
      </c>
      <c r="B753" s="50" t="str">
        <f>IFERROR(HYPERLINK(VLOOKUP(A753,Internal_lists_bugs!$A$2:$C$73,3,FALSE()), VLOOKUP(A753,Internal_lists_bugs!$A$2:$C$73,3,FALSE())&amp;Char(10) &amp; Char(10) &amp; VLOOKUP(A753,Internal_lists_bugs!$A$2:$Z$73,26,FALSE())),"please select a BUG ID")</f>
        <v>https://bugs.launchpad.net/nova/+bug/1370177
nova/block_device.py</v>
      </c>
      <c r="C753" s="81" t="str">
        <f>IFERROR(VLOOKUP(A753,Internal_lists_bugs!$A$2:$I7981,9,FALSE()),"please select a BUG ID")</f>
        <v>https://review.opendev.org/c/openstack/nova/+/59034</v>
      </c>
      <c r="D753" s="114"/>
      <c r="E753" s="114"/>
      <c r="F753" s="115"/>
      <c r="G753" s="16" t="s">
        <v>1951</v>
      </c>
      <c r="H753" s="16" t="s">
        <v>2348</v>
      </c>
      <c r="I753" s="82"/>
      <c r="J753" s="92"/>
      <c r="K753" s="82"/>
      <c r="M753" s="114"/>
      <c r="N753" s="1"/>
      <c r="O753" s="1"/>
      <c r="P753" s="51"/>
    </row>
    <row r="754">
      <c r="A754" s="16" t="s">
        <v>49</v>
      </c>
      <c r="B754" s="50" t="str">
        <f>IFERROR(HYPERLINK(VLOOKUP(A754,Internal_lists_bugs!$A$2:$C$73,3,FALSE()), VLOOKUP(A754,Internal_lists_bugs!$A$2:$C$73,3,FALSE())&amp;Char(10) &amp; Char(10) &amp; VLOOKUP(A754,Internal_lists_bugs!$A$2:$Z$73,26,FALSE())),"please select a BUG ID")</f>
        <v>https://bugs.launchpad.net/nova/+bug/1370177
nova/block_device.py</v>
      </c>
      <c r="C754" s="81" t="str">
        <f>IFERROR(VLOOKUP(A754,Internal_lists_bugs!$A$2:$I7981,9,FALSE()),"please select a BUG ID")</f>
        <v>https://review.opendev.org/c/openstack/nova/+/59034</v>
      </c>
      <c r="D754" s="114"/>
      <c r="E754" s="114"/>
      <c r="F754" s="115"/>
      <c r="G754" s="16" t="s">
        <v>2349</v>
      </c>
      <c r="H754" s="16" t="s">
        <v>2350</v>
      </c>
      <c r="I754" s="82"/>
      <c r="J754" s="92"/>
      <c r="K754" s="82"/>
      <c r="M754" s="114" t="str">
        <f>VLOOKUP(A754,'BIC_(C_Variables)'!$A$3:$AS$43,45,FALSE())</f>
        <v/>
      </c>
      <c r="N754" s="1"/>
      <c r="O754" s="1"/>
      <c r="P754" s="81" t="str">
        <f>IFERROR(VLOOKUP(A754,Internal_lists_bugs!$A$2:$G7981,7,FALSE()),"please select a BUG ID")</f>
        <v>https://opendev.org/openstack/nova/commit/33e3d4c6b9</v>
      </c>
    </row>
    <row r="755">
      <c r="A755" s="16" t="s">
        <v>49</v>
      </c>
      <c r="B755" s="50" t="str">
        <f>IFERROR(HYPERLINK(VLOOKUP(A755,Internal_lists_bugs!$A$2:$C$73,3,FALSE()), VLOOKUP(A755,Internal_lists_bugs!$A$2:$C$73,3,FALSE())&amp;Char(10) &amp; Char(10) &amp; VLOOKUP(A755,Internal_lists_bugs!$A$2:$Z$73,26,FALSE())),"please select a BUG ID")</f>
        <v>https://bugs.launchpad.net/nova/+bug/1370177
nova/block_device.py</v>
      </c>
      <c r="C755" s="81" t="str">
        <f>IFERROR(VLOOKUP(A755,Internal_lists_bugs!$A$2:$I7981,9,FALSE()),"please select a BUG ID")</f>
        <v>https://review.opendev.org/c/openstack/nova/+/59034</v>
      </c>
      <c r="D755" s="114"/>
      <c r="E755" s="114"/>
      <c r="F755" s="115"/>
      <c r="G755" s="16" t="s">
        <v>1649</v>
      </c>
      <c r="H755" s="16" t="s">
        <v>2348</v>
      </c>
      <c r="I755" s="82"/>
      <c r="J755" s="92"/>
      <c r="K755" s="82"/>
      <c r="M755" s="114"/>
      <c r="N755" s="1"/>
      <c r="O755" s="1"/>
      <c r="P755" s="51"/>
    </row>
    <row r="756">
      <c r="A756" s="16" t="s">
        <v>49</v>
      </c>
      <c r="B756" s="50" t="str">
        <f>IFERROR(HYPERLINK(VLOOKUP(A756,Internal_lists_bugs!$A$2:$C$73,3,FALSE()), VLOOKUP(A756,Internal_lists_bugs!$A$2:$C$73,3,FALSE())&amp;Char(10) &amp; Char(10) &amp; VLOOKUP(A756,Internal_lists_bugs!$A$2:$Z$73,26,FALSE())),"please select a BUG ID")</f>
        <v>https://bugs.launchpad.net/nova/+bug/1370177
nova/block_device.py</v>
      </c>
      <c r="C756" s="81" t="str">
        <f>IFERROR(VLOOKUP(A756,Internal_lists_bugs!$A$2:$I7981,9,FALSE()),"please select a BUG ID")</f>
        <v>https://review.opendev.org/c/openstack/nova/+/59034</v>
      </c>
      <c r="D756" s="114"/>
      <c r="E756" s="114"/>
      <c r="F756" s="115"/>
      <c r="G756" s="16" t="s">
        <v>1960</v>
      </c>
      <c r="H756" s="16" t="s">
        <v>2350</v>
      </c>
      <c r="I756" s="82"/>
      <c r="J756" s="92"/>
      <c r="K756" s="82"/>
      <c r="M756" s="114" t="str">
        <f>VLOOKUP(A756,'BIC_(C_Variables)'!$A$3:$AS$43,45,FALSE())</f>
        <v/>
      </c>
      <c r="N756" s="1"/>
      <c r="O756" s="1"/>
      <c r="P756" s="81" t="str">
        <f>IFERROR(VLOOKUP(A756,Internal_lists_bugs!$A$2:$G7981,7,FALSE()),"please select a BUG ID")</f>
        <v>https://opendev.org/openstack/nova/commit/33e3d4c6b9</v>
      </c>
    </row>
    <row r="757">
      <c r="A757" s="16" t="s">
        <v>49</v>
      </c>
      <c r="B757" s="50" t="str">
        <f>IFERROR(HYPERLINK(VLOOKUP(A757,Internal_lists_bugs!$A$2:$C$73,3,FALSE()), VLOOKUP(A757,Internal_lists_bugs!$A$2:$C$73,3,FALSE())&amp;Char(10) &amp; Char(10) &amp; VLOOKUP(A757,Internal_lists_bugs!$A$2:$Z$73,26,FALSE())),"please select a BUG ID")</f>
        <v>https://bugs.launchpad.net/nova/+bug/1370177
nova/block_device.py</v>
      </c>
      <c r="C757" s="81" t="str">
        <f>IFERROR(VLOOKUP(A757,Internal_lists_bugs!$A$2:$I7981,9,FALSE()),"please select a BUG ID")</f>
        <v>https://review.opendev.org/c/openstack/nova/+/59034</v>
      </c>
      <c r="D757" s="114"/>
      <c r="E757" s="114"/>
      <c r="F757" s="115"/>
      <c r="G757" s="16" t="s">
        <v>1970</v>
      </c>
      <c r="H757" s="16" t="s">
        <v>2351</v>
      </c>
      <c r="I757" s="82"/>
      <c r="J757" s="92"/>
      <c r="K757" s="82"/>
      <c r="M757" s="114" t="str">
        <f>VLOOKUP(A757,'BIC_(C_Variables)'!$A$3:$AS$43,45,FALSE())</f>
        <v/>
      </c>
      <c r="N757" s="1"/>
      <c r="O757" s="1"/>
      <c r="P757" s="81" t="str">
        <f>IFERROR(VLOOKUP(A757,Internal_lists_bugs!$A$2:$G7981,7,FALSE()),"please select a BUG ID")</f>
        <v>https://opendev.org/openstack/nova/commit/33e3d4c6b9</v>
      </c>
    </row>
    <row r="758">
      <c r="A758" s="16" t="s">
        <v>49</v>
      </c>
      <c r="B758" s="50" t="str">
        <f>IFERROR(HYPERLINK(VLOOKUP(A758,Internal_lists_bugs!$A$2:$C$73,3,FALSE()), VLOOKUP(A758,Internal_lists_bugs!$A$2:$C$73,3,FALSE())&amp;Char(10) &amp; Char(10) &amp; VLOOKUP(A758,Internal_lists_bugs!$A$2:$Z$73,26,FALSE())),"please select a BUG ID")</f>
        <v>https://bugs.launchpad.net/nova/+bug/1370177
nova/block_device.py</v>
      </c>
      <c r="C758" s="81" t="str">
        <f>IFERROR(VLOOKUP(A758,Internal_lists_bugs!$A$2:$I7981,9,FALSE()),"please select a BUG ID")</f>
        <v>https://review.opendev.org/c/openstack/nova/+/59034</v>
      </c>
      <c r="D758" s="114"/>
      <c r="E758" s="114"/>
      <c r="F758" s="115"/>
      <c r="G758" s="16" t="s">
        <v>1972</v>
      </c>
      <c r="H758" s="16" t="s">
        <v>2351</v>
      </c>
      <c r="I758" s="82"/>
      <c r="J758" s="92"/>
      <c r="K758" s="82"/>
      <c r="M758" s="114" t="str">
        <f>VLOOKUP(A758,'BIC_(C_Variables)'!$A$3:$AS$43,45,FALSE())</f>
        <v/>
      </c>
      <c r="N758" s="1"/>
      <c r="O758" s="1"/>
      <c r="P758" s="81" t="str">
        <f>IFERROR(VLOOKUP(A758,Internal_lists_bugs!$A$2:$G7981,7,FALSE()),"please select a BUG ID")</f>
        <v>https://opendev.org/openstack/nova/commit/33e3d4c6b9</v>
      </c>
    </row>
    <row r="759">
      <c r="A759" s="16" t="s">
        <v>49</v>
      </c>
      <c r="B759" s="50" t="str">
        <f>IFERROR(HYPERLINK(VLOOKUP(A759,Internal_lists_bugs!$A$2:$C$73,3,FALSE()), VLOOKUP(A759,Internal_lists_bugs!$A$2:$C$73,3,FALSE())&amp;Char(10) &amp; Char(10) &amp; VLOOKUP(A759,Internal_lists_bugs!$A$2:$Z$73,26,FALSE())),"please select a BUG ID")</f>
        <v>https://bugs.launchpad.net/nova/+bug/1370177
nova/block_device.py</v>
      </c>
      <c r="C759" s="81" t="str">
        <f>IFERROR(VLOOKUP(A759,Internal_lists_bugs!$A$2:$I7981,9,FALSE()),"please select a BUG ID")</f>
        <v>https://review.opendev.org/c/openstack/nova/+/59034</v>
      </c>
      <c r="D759" s="114"/>
      <c r="E759" s="114"/>
      <c r="F759" s="115"/>
      <c r="G759" s="16" t="s">
        <v>2352</v>
      </c>
      <c r="H759" s="16" t="s">
        <v>2353</v>
      </c>
      <c r="I759" s="82"/>
      <c r="J759" s="92"/>
      <c r="K759" s="82"/>
      <c r="M759" s="114" t="str">
        <f>VLOOKUP(A759,'BIC_(C_Variables)'!$A$3:$AS$43,45,FALSE())</f>
        <v/>
      </c>
      <c r="N759" s="1"/>
      <c r="O759" s="1"/>
      <c r="P759" s="81" t="str">
        <f>IFERROR(VLOOKUP(A759,Internal_lists_bugs!$A$2:$G7981,7,FALSE()),"please select a BUG ID")</f>
        <v>https://opendev.org/openstack/nova/commit/33e3d4c6b9</v>
      </c>
    </row>
    <row r="760">
      <c r="A760" s="16" t="s">
        <v>49</v>
      </c>
      <c r="B760" s="50" t="str">
        <f>IFERROR(HYPERLINK(VLOOKUP(A760,Internal_lists_bugs!$A$2:$C$73,3,FALSE()), VLOOKUP(A760,Internal_lists_bugs!$A$2:$C$73,3,FALSE())&amp;Char(10) &amp; Char(10) &amp; VLOOKUP(A760,Internal_lists_bugs!$A$2:$Z$73,26,FALSE())),"please select a BUG ID")</f>
        <v>https://bugs.launchpad.net/nova/+bug/1370177
nova/block_device.py</v>
      </c>
      <c r="C760" s="81" t="str">
        <f>IFERROR(VLOOKUP(A760,Internal_lists_bugs!$A$2:$I7981,9,FALSE()),"please select a BUG ID")</f>
        <v>https://review.opendev.org/c/openstack/nova/+/59034</v>
      </c>
      <c r="D760" s="114"/>
      <c r="E760" s="114"/>
      <c r="F760" s="115"/>
      <c r="G760" s="16" t="s">
        <v>2354</v>
      </c>
      <c r="H760" s="16" t="s">
        <v>2355</v>
      </c>
      <c r="I760" s="82"/>
      <c r="J760" s="92"/>
      <c r="K760" s="82"/>
      <c r="M760" s="114" t="str">
        <f>VLOOKUP(A760,'BIC_(C_Variables)'!$A$3:$AS$43,45,FALSE())</f>
        <v/>
      </c>
      <c r="N760" s="1"/>
      <c r="O760" s="1"/>
      <c r="P760" s="81" t="str">
        <f>IFERROR(VLOOKUP(A760,Internal_lists_bugs!$A$2:$G7981,7,FALSE()),"please select a BUG ID")</f>
        <v>https://opendev.org/openstack/nova/commit/33e3d4c6b9</v>
      </c>
    </row>
    <row r="761">
      <c r="A761" s="16" t="s">
        <v>49</v>
      </c>
      <c r="B761" s="50" t="str">
        <f>IFERROR(HYPERLINK(VLOOKUP(A761,Internal_lists_bugs!$A$2:$C$73,3,FALSE()), VLOOKUP(A761,Internal_lists_bugs!$A$2:$C$73,3,FALSE())&amp;Char(10) &amp; Char(10) &amp; VLOOKUP(A761,Internal_lists_bugs!$A$2:$Z$73,26,FALSE())),"please select a BUG ID")</f>
        <v>https://bugs.launchpad.net/nova/+bug/1370177
nova/block_device.py</v>
      </c>
      <c r="C761" s="81" t="str">
        <f>IFERROR(VLOOKUP(A761,Internal_lists_bugs!$A$2:$I7981,9,FALSE()),"please select a BUG ID")</f>
        <v>https://review.opendev.org/c/openstack/nova/+/59034</v>
      </c>
      <c r="D761" s="114"/>
      <c r="E761" s="114"/>
      <c r="F761" s="115"/>
      <c r="G761" s="16" t="s">
        <v>1540</v>
      </c>
      <c r="H761" s="16" t="s">
        <v>2356</v>
      </c>
      <c r="I761" s="82"/>
      <c r="J761" s="92"/>
      <c r="K761" s="82"/>
      <c r="M761" s="114" t="str">
        <f>VLOOKUP(A761,'BIC_(C_Variables)'!$A$3:$AS$43,45,FALSE())</f>
        <v/>
      </c>
      <c r="N761" s="1"/>
      <c r="O761" s="1"/>
      <c r="P761" s="81" t="str">
        <f>IFERROR(VLOOKUP(A761,Internal_lists_bugs!$A$2:$G7981,7,FALSE()),"please select a BUG ID")</f>
        <v>https://opendev.org/openstack/nova/commit/33e3d4c6b9</v>
      </c>
    </row>
    <row r="762">
      <c r="A762" s="16" t="s">
        <v>49</v>
      </c>
      <c r="B762" s="50" t="str">
        <f>IFERROR(HYPERLINK(VLOOKUP(A762,Internal_lists_bugs!$A$2:$C$73,3,FALSE()), VLOOKUP(A762,Internal_lists_bugs!$A$2:$C$73,3,FALSE())&amp;Char(10) &amp; Char(10) &amp; VLOOKUP(A762,Internal_lists_bugs!$A$2:$Z$73,26,FALSE())),"please select a BUG ID")</f>
        <v>https://bugs.launchpad.net/nova/+bug/1370177
nova/block_device.py</v>
      </c>
      <c r="C762" s="81" t="str">
        <f>IFERROR(VLOOKUP(A762,Internal_lists_bugs!$A$2:$I7981,9,FALSE()),"please select a BUG ID")</f>
        <v>https://review.opendev.org/c/openstack/nova/+/59034</v>
      </c>
      <c r="D762" s="114"/>
      <c r="E762" s="114"/>
      <c r="F762" s="115"/>
      <c r="G762" s="16" t="s">
        <v>1542</v>
      </c>
      <c r="H762" s="16" t="s">
        <v>2357</v>
      </c>
      <c r="I762" s="82"/>
      <c r="J762" s="92"/>
      <c r="K762" s="82"/>
      <c r="M762" s="114" t="str">
        <f>VLOOKUP(A762,'BIC_(C_Variables)'!$A$3:$AS$43,45,FALSE())</f>
        <v/>
      </c>
      <c r="N762" s="1"/>
      <c r="O762" s="1"/>
      <c r="P762" s="81" t="str">
        <f>IFERROR(VLOOKUP(A762,Internal_lists_bugs!$A$2:$G7981,7,FALSE()),"please select a BUG ID")</f>
        <v>https://opendev.org/openstack/nova/commit/33e3d4c6b9</v>
      </c>
    </row>
    <row r="763">
      <c r="A763" s="16" t="s">
        <v>49</v>
      </c>
      <c r="B763" s="50" t="str">
        <f>IFERROR(HYPERLINK(VLOOKUP(A763,Internal_lists_bugs!$A$2:$C$73,3,FALSE()), VLOOKUP(A763,Internal_lists_bugs!$A$2:$C$73,3,FALSE())&amp;Char(10) &amp; Char(10) &amp; VLOOKUP(A763,Internal_lists_bugs!$A$2:$Z$73,26,FALSE())),"please select a BUG ID")</f>
        <v>https://bugs.launchpad.net/nova/+bug/1370177
nova/block_device.py</v>
      </c>
      <c r="C763" s="81" t="str">
        <f>IFERROR(VLOOKUP(A763,Internal_lists_bugs!$A$2:$I7981,9,FALSE()),"please select a BUG ID")</f>
        <v>https://review.opendev.org/c/openstack/nova/+/59034</v>
      </c>
      <c r="D763" s="114"/>
      <c r="E763" s="114"/>
      <c r="F763" s="115"/>
      <c r="G763" s="16" t="s">
        <v>2358</v>
      </c>
      <c r="H763" s="16" t="s">
        <v>2359</v>
      </c>
      <c r="I763" s="82"/>
      <c r="J763" s="92"/>
      <c r="K763" s="82"/>
      <c r="M763" s="114" t="str">
        <f>VLOOKUP(A763,'BIC_(C_Variables)'!$A$3:$AS$43,45,FALSE())</f>
        <v/>
      </c>
      <c r="N763" s="1"/>
      <c r="O763" s="1"/>
      <c r="P763" s="81" t="str">
        <f>IFERROR(VLOOKUP(A763,Internal_lists_bugs!$A$2:$G7981,7,FALSE()),"please select a BUG ID")</f>
        <v>https://opendev.org/openstack/nova/commit/33e3d4c6b9</v>
      </c>
    </row>
    <row r="764">
      <c r="A764" s="16" t="s">
        <v>49</v>
      </c>
      <c r="B764" s="50" t="str">
        <f>IFERROR(HYPERLINK(VLOOKUP(A764,Internal_lists_bugs!$A$2:$C$73,3,FALSE()), VLOOKUP(A764,Internal_lists_bugs!$A$2:$C$73,3,FALSE())&amp;Char(10) &amp; Char(10) &amp; VLOOKUP(A764,Internal_lists_bugs!$A$2:$Z$73,26,FALSE())),"please select a BUG ID")</f>
        <v>https://bugs.launchpad.net/nova/+bug/1370177
nova/block_device.py</v>
      </c>
      <c r="C764" s="81" t="str">
        <f>IFERROR(VLOOKUP(A764,Internal_lists_bugs!$A$2:$I7981,9,FALSE()),"please select a BUG ID")</f>
        <v>https://review.opendev.org/c/openstack/nova/+/59034</v>
      </c>
      <c r="D764" s="114"/>
      <c r="E764" s="114"/>
      <c r="F764" s="115"/>
      <c r="G764" s="16" t="s">
        <v>1977</v>
      </c>
      <c r="H764" s="16" t="s">
        <v>2359</v>
      </c>
      <c r="I764" s="82"/>
      <c r="J764" s="92"/>
      <c r="K764" s="82"/>
      <c r="M764" s="114" t="str">
        <f>VLOOKUP(A764,'BIC_(C_Variables)'!$A$3:$AS$43,45,FALSE())</f>
        <v/>
      </c>
      <c r="N764" s="1"/>
      <c r="O764" s="1"/>
      <c r="P764" s="81" t="str">
        <f>IFERROR(VLOOKUP(A764,Internal_lists_bugs!$A$2:$G7981,7,FALSE()),"please select a BUG ID")</f>
        <v>https://opendev.org/openstack/nova/commit/33e3d4c6b9</v>
      </c>
    </row>
    <row r="765">
      <c r="A765" s="16" t="s">
        <v>49</v>
      </c>
      <c r="B765" s="50" t="str">
        <f>IFERROR(HYPERLINK(VLOOKUP(A765,Internal_lists_bugs!$A$2:$C$73,3,FALSE()), VLOOKUP(A765,Internal_lists_bugs!$A$2:$C$73,3,FALSE())&amp;Char(10) &amp; Char(10) &amp; VLOOKUP(A765,Internal_lists_bugs!$A$2:$Z$73,26,FALSE())),"please select a BUG ID")</f>
        <v>https://bugs.launchpad.net/nova/+bug/1370177
nova/block_device.py</v>
      </c>
      <c r="C765" s="81" t="str">
        <f>IFERROR(VLOOKUP(A765,Internal_lists_bugs!$A$2:$I7981,9,FALSE()),"please select a BUG ID")</f>
        <v>https://review.opendev.org/c/openstack/nova/+/59034</v>
      </c>
      <c r="D765" s="114"/>
      <c r="E765" s="114"/>
      <c r="F765" s="115"/>
      <c r="G765" s="16" t="s">
        <v>1984</v>
      </c>
      <c r="H765" s="16" t="s">
        <v>2360</v>
      </c>
      <c r="I765" s="82"/>
      <c r="J765" s="92"/>
      <c r="K765" s="82"/>
      <c r="M765" s="114" t="str">
        <f>VLOOKUP(A765,'BIC_(C_Variables)'!$A$3:$AS$43,45,FALSE())</f>
        <v/>
      </c>
      <c r="N765" s="1"/>
      <c r="O765" s="1"/>
      <c r="P765" s="81" t="str">
        <f>IFERROR(VLOOKUP(A765,Internal_lists_bugs!$A$2:$G7981,7,FALSE()),"please select a BUG ID")</f>
        <v>https://opendev.org/openstack/nova/commit/33e3d4c6b9</v>
      </c>
    </row>
    <row r="766">
      <c r="A766" s="16" t="s">
        <v>49</v>
      </c>
      <c r="B766" s="50" t="str">
        <f>IFERROR(HYPERLINK(VLOOKUP(A766,Internal_lists_bugs!$A$2:$C$73,3,FALSE()), VLOOKUP(A766,Internal_lists_bugs!$A$2:$C$73,3,FALSE())&amp;Char(10) &amp; Char(10) &amp; VLOOKUP(A766,Internal_lists_bugs!$A$2:$Z$73,26,FALSE())),"please select a BUG ID")</f>
        <v>https://bugs.launchpad.net/nova/+bug/1370177
nova/block_device.py</v>
      </c>
      <c r="C766" s="81" t="str">
        <f>IFERROR(VLOOKUP(A766,Internal_lists_bugs!$A$2:$I7981,9,FALSE()),"please select a BUG ID")</f>
        <v>https://review.opendev.org/c/openstack/nova/+/59034</v>
      </c>
      <c r="D766" s="114"/>
      <c r="E766" s="114"/>
      <c r="F766" s="115"/>
      <c r="G766" s="16" t="s">
        <v>1986</v>
      </c>
      <c r="H766" s="16" t="s">
        <v>2360</v>
      </c>
      <c r="I766" s="82"/>
      <c r="J766" s="92"/>
      <c r="K766" s="82"/>
      <c r="M766" s="114" t="str">
        <f>VLOOKUP(A766,'BIC_(C_Variables)'!$A$3:$AS$43,45,FALSE())</f>
        <v/>
      </c>
      <c r="N766" s="1"/>
      <c r="O766" s="1"/>
      <c r="P766" s="81" t="str">
        <f>IFERROR(VLOOKUP(A766,Internal_lists_bugs!$A$2:$G7981,7,FALSE()),"please select a BUG ID")</f>
        <v>https://opendev.org/openstack/nova/commit/33e3d4c6b9</v>
      </c>
    </row>
    <row r="767">
      <c r="A767" s="16" t="s">
        <v>49</v>
      </c>
      <c r="B767" s="50" t="str">
        <f>IFERROR(HYPERLINK(VLOOKUP(A767,Internal_lists_bugs!$A$2:$C$73,3,FALSE()), VLOOKUP(A767,Internal_lists_bugs!$A$2:$C$73,3,FALSE())&amp;Char(10) &amp; Char(10) &amp; VLOOKUP(A767,Internal_lists_bugs!$A$2:$Z$73,26,FALSE())),"please select a BUG ID")</f>
        <v>https://bugs.launchpad.net/nova/+bug/1370177
nova/block_device.py</v>
      </c>
      <c r="C767" s="81" t="str">
        <f>IFERROR(VLOOKUP(A767,Internal_lists_bugs!$A$2:$I7981,9,FALSE()),"please select a BUG ID")</f>
        <v>https://review.opendev.org/c/openstack/nova/+/59034</v>
      </c>
      <c r="D767" s="114"/>
      <c r="E767" s="114"/>
      <c r="F767" s="115"/>
      <c r="G767" s="16" t="s">
        <v>2361</v>
      </c>
      <c r="H767" s="16" t="s">
        <v>2362</v>
      </c>
      <c r="I767" s="82"/>
      <c r="J767" s="92"/>
      <c r="K767" s="82"/>
      <c r="M767" s="114" t="str">
        <f>VLOOKUP(A767,'BIC_(C_Variables)'!$A$3:$AS$43,45,FALSE())</f>
        <v/>
      </c>
      <c r="N767" s="1"/>
      <c r="O767" s="1"/>
      <c r="P767" s="81" t="str">
        <f>IFERROR(VLOOKUP(A767,Internal_lists_bugs!$A$2:$G7981,7,FALSE()),"please select a BUG ID")</f>
        <v>https://opendev.org/openstack/nova/commit/33e3d4c6b9</v>
      </c>
    </row>
    <row r="768">
      <c r="A768" s="16" t="s">
        <v>49</v>
      </c>
      <c r="B768" s="50" t="str">
        <f>IFERROR(HYPERLINK(VLOOKUP(A768,Internal_lists_bugs!$A$2:$C$73,3,FALSE()), VLOOKUP(A768,Internal_lists_bugs!$A$2:$C$73,3,FALSE())&amp;Char(10) &amp; Char(10) &amp; VLOOKUP(A768,Internal_lists_bugs!$A$2:$Z$73,26,FALSE())),"please select a BUG ID")</f>
        <v>https://bugs.launchpad.net/nova/+bug/1370177
nova/block_device.py</v>
      </c>
      <c r="C768" s="81" t="str">
        <f>IFERROR(VLOOKUP(A768,Internal_lists_bugs!$A$2:$I7981,9,FALSE()),"please select a BUG ID")</f>
        <v>https://review.opendev.org/c/openstack/nova/+/59034</v>
      </c>
      <c r="D768" s="114"/>
      <c r="E768" s="114"/>
      <c r="F768" s="115"/>
      <c r="G768" s="16" t="s">
        <v>1982</v>
      </c>
      <c r="H768" s="16" t="s">
        <v>2363</v>
      </c>
      <c r="I768" s="82"/>
      <c r="J768" s="92"/>
      <c r="K768" s="82"/>
      <c r="M768" s="114" t="str">
        <f>VLOOKUP(A768,'BIC_(C_Variables)'!$A$3:$AS$43,45,FALSE())</f>
        <v/>
      </c>
      <c r="N768" s="1"/>
      <c r="O768" s="1"/>
      <c r="P768" s="81" t="str">
        <f>IFERROR(VLOOKUP(A768,Internal_lists_bugs!$A$2:$G7981,7,FALSE()),"please select a BUG ID")</f>
        <v>https://opendev.org/openstack/nova/commit/33e3d4c6b9</v>
      </c>
    </row>
    <row r="769">
      <c r="A769" s="16" t="s">
        <v>49</v>
      </c>
      <c r="B769" s="50" t="str">
        <f>IFERROR(HYPERLINK(VLOOKUP(A769,Internal_lists_bugs!$A$2:$C$73,3,FALSE()), VLOOKUP(A769,Internal_lists_bugs!$A$2:$C$73,3,FALSE())&amp;Char(10) &amp; Char(10) &amp; VLOOKUP(A769,Internal_lists_bugs!$A$2:$Z$73,26,FALSE())),"please select a BUG ID")</f>
        <v>https://bugs.launchpad.net/nova/+bug/1370177
nova/block_device.py</v>
      </c>
      <c r="C769" s="81" t="str">
        <f>IFERROR(VLOOKUP(A769,Internal_lists_bugs!$A$2:$I7981,9,FALSE()),"please select a BUG ID")</f>
        <v>https://review.opendev.org/c/openstack/nova/+/59034</v>
      </c>
      <c r="D769" s="114"/>
      <c r="E769" s="114"/>
      <c r="F769" s="115"/>
      <c r="G769" s="16" t="s">
        <v>1987</v>
      </c>
      <c r="H769" s="16" t="s">
        <v>2364</v>
      </c>
      <c r="I769" s="82"/>
      <c r="J769" s="92"/>
      <c r="K769" s="82"/>
      <c r="M769" s="114" t="str">
        <f>VLOOKUP(A769,'BIC_(C_Variables)'!$A$3:$AS$43,45,FALSE())</f>
        <v/>
      </c>
      <c r="N769" s="1"/>
      <c r="O769" s="1"/>
      <c r="P769" s="81" t="str">
        <f>IFERROR(VLOOKUP(A769,Internal_lists_bugs!$A$2:$G7981,7,FALSE()),"please select a BUG ID")</f>
        <v>https://opendev.org/openstack/nova/commit/33e3d4c6b9</v>
      </c>
    </row>
    <row r="770">
      <c r="A770" s="16" t="s">
        <v>49</v>
      </c>
      <c r="B770" s="50" t="str">
        <f>IFERROR(HYPERLINK(VLOOKUP(A770,Internal_lists_bugs!$A$2:$C$73,3,FALSE()), VLOOKUP(A770,Internal_lists_bugs!$A$2:$C$73,3,FALSE())&amp;Char(10) &amp; Char(10) &amp; VLOOKUP(A770,Internal_lists_bugs!$A$2:$Z$73,26,FALSE())),"please select a BUG ID")</f>
        <v>https://bugs.launchpad.net/nova/+bug/1370177
nova/block_device.py</v>
      </c>
      <c r="C770" s="81" t="str">
        <f>IFERROR(VLOOKUP(A770,Internal_lists_bugs!$A$2:$I7981,9,FALSE()),"please select a BUG ID")</f>
        <v>https://review.opendev.org/c/openstack/nova/+/59034</v>
      </c>
      <c r="D770" s="114"/>
      <c r="E770" s="114"/>
      <c r="F770" s="115"/>
      <c r="G770" s="16" t="s">
        <v>1989</v>
      </c>
      <c r="H770" s="16" t="s">
        <v>2364</v>
      </c>
      <c r="I770" s="82"/>
      <c r="J770" s="92"/>
      <c r="K770" s="82"/>
      <c r="M770" s="114" t="str">
        <f>VLOOKUP(A770,'BIC_(C_Variables)'!$A$3:$AS$43,45,FALSE())</f>
        <v/>
      </c>
      <c r="N770" s="1"/>
      <c r="O770" s="1"/>
      <c r="P770" s="81" t="str">
        <f>IFERROR(VLOOKUP(A770,Internal_lists_bugs!$A$2:$G7981,7,FALSE()),"please select a BUG ID")</f>
        <v>https://opendev.org/openstack/nova/commit/33e3d4c6b9</v>
      </c>
    </row>
    <row r="771">
      <c r="A771" s="16" t="s">
        <v>49</v>
      </c>
      <c r="B771" s="50" t="str">
        <f>IFERROR(HYPERLINK(VLOOKUP(A771,Internal_lists_bugs!$A$2:$C$73,3,FALSE()), VLOOKUP(A771,Internal_lists_bugs!$A$2:$C$73,3,FALSE())&amp;Char(10) &amp; Char(10) &amp; VLOOKUP(A771,Internal_lists_bugs!$A$2:$Z$73,26,FALSE())),"please select a BUG ID")</f>
        <v>https://bugs.launchpad.net/nova/+bug/1370177
nova/block_device.py</v>
      </c>
      <c r="C771" s="81" t="str">
        <f>IFERROR(VLOOKUP(A771,Internal_lists_bugs!$A$2:$I7981,9,FALSE()),"please select a BUG ID")</f>
        <v>https://review.opendev.org/c/openstack/nova/+/59034</v>
      </c>
      <c r="D771" s="114"/>
      <c r="E771" s="114"/>
      <c r="F771" s="115"/>
      <c r="G771" s="16" t="s">
        <v>2365</v>
      </c>
      <c r="H771" s="16" t="s">
        <v>2366</v>
      </c>
      <c r="I771" s="82"/>
      <c r="J771" s="92"/>
      <c r="K771" s="82"/>
      <c r="M771" s="114" t="str">
        <f>VLOOKUP(A771,'BIC_(C_Variables)'!$A$3:$AS$43,45,FALSE())</f>
        <v/>
      </c>
      <c r="N771" s="1"/>
      <c r="O771" s="1"/>
      <c r="P771" s="81" t="str">
        <f>IFERROR(VLOOKUP(A771,Internal_lists_bugs!$A$2:$G7981,7,FALSE()),"please select a BUG ID")</f>
        <v>https://opendev.org/openstack/nova/commit/33e3d4c6b9</v>
      </c>
    </row>
    <row r="772">
      <c r="A772" s="16" t="s">
        <v>49</v>
      </c>
      <c r="B772" s="50" t="str">
        <f>IFERROR(HYPERLINK(VLOOKUP(A772,Internal_lists_bugs!$A$2:$C$73,3,FALSE()), VLOOKUP(A772,Internal_lists_bugs!$A$2:$C$73,3,FALSE())&amp;Char(10) &amp; Char(10) &amp; VLOOKUP(A772,Internal_lists_bugs!$A$2:$Z$73,26,FALSE())),"please select a BUG ID")</f>
        <v>https://bugs.launchpad.net/nova/+bug/1370177
nova/block_device.py</v>
      </c>
      <c r="C772" s="81" t="str">
        <f>IFERROR(VLOOKUP(A772,Internal_lists_bugs!$A$2:$I7981,9,FALSE()),"please select a BUG ID")</f>
        <v>https://review.opendev.org/c/openstack/nova/+/59034</v>
      </c>
      <c r="D772" s="114"/>
      <c r="E772" s="114"/>
      <c r="F772" s="115"/>
      <c r="G772" s="16" t="s">
        <v>2367</v>
      </c>
      <c r="H772" s="16" t="s">
        <v>2366</v>
      </c>
      <c r="I772" s="82"/>
      <c r="J772" s="92"/>
      <c r="K772" s="82"/>
      <c r="M772" s="114" t="str">
        <f>VLOOKUP(A772,'BIC_(C_Variables)'!$A$3:$AS$43,45,FALSE())</f>
        <v/>
      </c>
      <c r="N772" s="1"/>
      <c r="O772" s="1"/>
      <c r="P772" s="81" t="str">
        <f>IFERROR(VLOOKUP(A772,Internal_lists_bugs!$A$2:$G7981,7,FALSE()),"please select a BUG ID")</f>
        <v>https://opendev.org/openstack/nova/commit/33e3d4c6b9</v>
      </c>
    </row>
    <row r="773">
      <c r="A773" s="16" t="s">
        <v>49</v>
      </c>
      <c r="B773" s="50" t="str">
        <f>IFERROR(HYPERLINK(VLOOKUP(A773,Internal_lists_bugs!$A$2:$C$73,3,FALSE()), VLOOKUP(A773,Internal_lists_bugs!$A$2:$C$73,3,FALSE())&amp;Char(10) &amp; Char(10) &amp; VLOOKUP(A773,Internal_lists_bugs!$A$2:$Z$73,26,FALSE())),"please select a BUG ID")</f>
        <v>https://bugs.launchpad.net/nova/+bug/1370177
nova/block_device.py</v>
      </c>
      <c r="C773" s="81" t="str">
        <f>IFERROR(VLOOKUP(A773,Internal_lists_bugs!$A$2:$I7981,9,FALSE()),"please select a BUG ID")</f>
        <v>https://review.opendev.org/c/openstack/nova/+/59034</v>
      </c>
      <c r="D773" s="114"/>
      <c r="E773" s="114"/>
      <c r="F773" s="115"/>
      <c r="G773" s="16" t="s">
        <v>2368</v>
      </c>
      <c r="H773" s="16" t="s">
        <v>2369</v>
      </c>
      <c r="I773" s="82"/>
      <c r="J773" s="92"/>
      <c r="K773" s="82"/>
      <c r="M773" s="114" t="str">
        <f>VLOOKUP(A773,'BIC_(C_Variables)'!$A$3:$AS$43,45,FALSE())</f>
        <v/>
      </c>
      <c r="N773" s="1"/>
      <c r="O773" s="1"/>
      <c r="P773" s="81" t="str">
        <f>IFERROR(VLOOKUP(A773,Internal_lists_bugs!$A$2:$G7981,7,FALSE()),"please select a BUG ID")</f>
        <v>https://opendev.org/openstack/nova/commit/33e3d4c6b9</v>
      </c>
    </row>
    <row r="774">
      <c r="A774" s="16" t="s">
        <v>49</v>
      </c>
      <c r="B774" s="50" t="str">
        <f>IFERROR(HYPERLINK(VLOOKUP(A774,Internal_lists_bugs!$A$2:$C$73,3,FALSE()), VLOOKUP(A774,Internal_lists_bugs!$A$2:$C$73,3,FALSE())&amp;Char(10) &amp; Char(10) &amp; VLOOKUP(A774,Internal_lists_bugs!$A$2:$Z$73,26,FALSE())),"please select a BUG ID")</f>
        <v>https://bugs.launchpad.net/nova/+bug/1370177
nova/block_device.py</v>
      </c>
      <c r="C774" s="81" t="str">
        <f>IFERROR(VLOOKUP(A774,Internal_lists_bugs!$A$2:$I7981,9,FALSE()),"please select a BUG ID")</f>
        <v>https://review.opendev.org/c/openstack/nova/+/59034</v>
      </c>
      <c r="D774" s="114"/>
      <c r="E774" s="114"/>
      <c r="F774" s="115"/>
      <c r="G774" s="16" t="s">
        <v>2370</v>
      </c>
      <c r="H774" s="16" t="s">
        <v>2371</v>
      </c>
      <c r="I774" s="82"/>
      <c r="J774" s="92"/>
      <c r="K774" s="82"/>
      <c r="M774" s="114" t="str">
        <f>VLOOKUP(A774,'BIC_(C_Variables)'!$A$3:$AS$43,45,FALSE())</f>
        <v/>
      </c>
      <c r="N774" s="1"/>
      <c r="O774" s="1"/>
      <c r="P774" s="81" t="str">
        <f>IFERROR(VLOOKUP(A774,Internal_lists_bugs!$A$2:$G7981,7,FALSE()),"please select a BUG ID")</f>
        <v>https://opendev.org/openstack/nova/commit/33e3d4c6b9</v>
      </c>
    </row>
    <row r="775">
      <c r="A775" s="16" t="s">
        <v>49</v>
      </c>
      <c r="B775" s="50" t="str">
        <f>IFERROR(HYPERLINK(VLOOKUP(A775,Internal_lists_bugs!$A$2:$C$73,3,FALSE()), VLOOKUP(A775,Internal_lists_bugs!$A$2:$C$73,3,FALSE())&amp;Char(10) &amp; Char(10) &amp; VLOOKUP(A775,Internal_lists_bugs!$A$2:$Z$73,26,FALSE())),"please select a BUG ID")</f>
        <v>https://bugs.launchpad.net/nova/+bug/1370177
nova/block_device.py</v>
      </c>
      <c r="C775" s="81" t="str">
        <f>IFERROR(VLOOKUP(A775,Internal_lists_bugs!$A$2:$I7981,9,FALSE()),"please select a BUG ID")</f>
        <v>https://review.opendev.org/c/openstack/nova/+/59034</v>
      </c>
      <c r="D775" s="112"/>
      <c r="E775" s="112"/>
      <c r="F775" s="113"/>
      <c r="G775" s="16" t="s">
        <v>2372</v>
      </c>
      <c r="H775" s="16" t="s">
        <v>2373</v>
      </c>
      <c r="I775" s="79"/>
      <c r="J775" s="93"/>
      <c r="K775" s="79"/>
      <c r="L775" s="16"/>
      <c r="M775" s="114"/>
      <c r="N775" s="1"/>
      <c r="O775" s="1"/>
      <c r="P775" s="51"/>
    </row>
    <row r="776">
      <c r="A776" s="16" t="s">
        <v>49</v>
      </c>
      <c r="B776" s="50" t="str">
        <f>IFERROR(HYPERLINK(VLOOKUP(A776,Internal_lists_bugs!$A$2:$C$73,3,FALSE()), VLOOKUP(A776,Internal_lists_bugs!$A$2:$C$73,3,FALSE())&amp;Char(10) &amp; Char(10) &amp; VLOOKUP(A776,Internal_lists_bugs!$A$2:$Z$73,26,FALSE())),"please select a BUG ID")</f>
        <v>https://bugs.launchpad.net/nova/+bug/1370177
nova/block_device.py</v>
      </c>
      <c r="C776" s="81" t="str">
        <f>IFERROR(VLOOKUP(A776,Internal_lists_bugs!$A$2:$I7981,9,FALSE()),"please select a BUG ID")</f>
        <v>https://review.opendev.org/c/openstack/nova/+/59034</v>
      </c>
      <c r="D776" s="112"/>
      <c r="E776" s="112"/>
      <c r="F776" s="113"/>
      <c r="G776" s="16" t="s">
        <v>2374</v>
      </c>
      <c r="H776" s="16" t="s">
        <v>2375</v>
      </c>
      <c r="I776" s="79"/>
      <c r="J776" s="93"/>
      <c r="K776" s="79"/>
      <c r="L776" s="16"/>
      <c r="M776" s="114"/>
      <c r="N776" s="1"/>
      <c r="O776" s="1"/>
      <c r="P776" s="51"/>
    </row>
    <row r="777">
      <c r="A777" s="16" t="s">
        <v>49</v>
      </c>
      <c r="B777" s="50" t="str">
        <f>IFERROR(HYPERLINK(VLOOKUP(A777,Internal_lists_bugs!$A$2:$C$73,3,FALSE()), VLOOKUP(A777,Internal_lists_bugs!$A$2:$C$73,3,FALSE())&amp;Char(10) &amp; Char(10) &amp; VLOOKUP(A777,Internal_lists_bugs!$A$2:$Z$73,26,FALSE())),"please select a BUG ID")</f>
        <v>https://bugs.launchpad.net/nova/+bug/1370177
nova/block_device.py</v>
      </c>
      <c r="C777" s="81" t="str">
        <f>IFERROR(VLOOKUP(A777,Internal_lists_bugs!$A$2:$I7981,9,FALSE()),"please select a BUG ID")</f>
        <v>https://review.opendev.org/c/openstack/nova/+/59034</v>
      </c>
      <c r="D777" s="112"/>
      <c r="E777" s="112"/>
      <c r="F777" s="113"/>
      <c r="G777" s="16" t="s">
        <v>1654</v>
      </c>
      <c r="H777" s="16" t="s">
        <v>2375</v>
      </c>
      <c r="I777" s="79"/>
      <c r="J777" s="93"/>
      <c r="K777" s="79"/>
      <c r="L777" s="16"/>
      <c r="M777" s="114"/>
      <c r="N777" s="1"/>
      <c r="O777" s="1"/>
      <c r="P777" s="51"/>
    </row>
    <row r="778">
      <c r="A778" s="16" t="s">
        <v>51</v>
      </c>
      <c r="B778" s="50" t="str">
        <f>IFERROR(HYPERLINK(VLOOKUP(A778,Internal_lists_bugs!$A$2:$C$73,3,FALSE()), VLOOKUP(A778,Internal_lists_bugs!$A$2:$C$73,3,FALSE())&amp;Char(10) &amp; Char(10) &amp; VLOOKUP(A778,Internal_lists_bugs!$A$2:$Z$73,26,FALSE())),"please select a BUG ID")</f>
        <v>https://bugs.launchpad.net/nova/+bug/1370590
/libvirt/driver.py</v>
      </c>
      <c r="C778" s="81" t="str">
        <f>IFERROR(VLOOKUP(A778,Internal_lists_bugs!$A$2:$I7981,9,FALSE()),"please select a BUG ID")</f>
        <v>https://review.opendev.org/c/openstack/nova/+/74537</v>
      </c>
      <c r="D778" s="112" t="s">
        <v>1412</v>
      </c>
      <c r="E778" s="112" t="s">
        <v>1462</v>
      </c>
      <c r="F778" s="113" t="s">
        <v>251</v>
      </c>
      <c r="G778" s="16" t="s">
        <v>1419</v>
      </c>
      <c r="H778" s="16" t="s">
        <v>2376</v>
      </c>
      <c r="I778" s="79" t="s">
        <v>251</v>
      </c>
      <c r="J778" s="93" t="s">
        <v>2377</v>
      </c>
      <c r="K778" s="79" t="s">
        <v>251</v>
      </c>
      <c r="L778" s="16" t="s">
        <v>2378</v>
      </c>
      <c r="M778" s="114" t="str">
        <f>VLOOKUP(A778,'BIC_(C_Variables)'!$A$3:$AS$43,45,FALSE())</f>
        <v/>
      </c>
      <c r="N778" s="1"/>
      <c r="O778" s="1"/>
      <c r="P778" s="81" t="str">
        <f>IFERROR(VLOOKUP(A778,Internal_lists_bugs!$A$2:$G7981,7,FALSE()),"please select a BUG ID")</f>
        <v>https://opendev.org/openstack/nova/commit/7326bac8f95</v>
      </c>
    </row>
    <row r="779">
      <c r="A779" s="16" t="s">
        <v>51</v>
      </c>
      <c r="B779" s="50" t="str">
        <f>IFERROR(HYPERLINK(VLOOKUP(A779,Internal_lists_bugs!$A$2:$C$73,3,FALSE()), VLOOKUP(A779,Internal_lists_bugs!$A$2:$C$73,3,FALSE())&amp;Char(10) &amp; Char(10) &amp; VLOOKUP(A779,Internal_lists_bugs!$A$2:$Z$73,26,FALSE())),"please select a BUG ID")</f>
        <v>https://bugs.launchpad.net/nova/+bug/1370590
/libvirt/driver.py</v>
      </c>
      <c r="C779" s="81" t="str">
        <f>IFERROR(VLOOKUP(A779,Internal_lists_bugs!$A$2:$I7981,9,FALSE()),"please select a BUG ID")</f>
        <v>https://review.opendev.org/c/openstack/nova/+/74537</v>
      </c>
      <c r="D779" s="114"/>
      <c r="E779" s="114"/>
      <c r="F779" s="115"/>
      <c r="G779" s="16" t="s">
        <v>1466</v>
      </c>
      <c r="H779" s="16" t="s">
        <v>2379</v>
      </c>
      <c r="I779" s="82"/>
      <c r="J779" s="92"/>
      <c r="K779" s="82"/>
      <c r="M779" s="114" t="str">
        <f>VLOOKUP(A779,'BIC_(C_Variables)'!$A$3:$AS$43,45,FALSE())</f>
        <v/>
      </c>
      <c r="N779" s="1"/>
      <c r="O779" s="1"/>
      <c r="P779" s="81" t="str">
        <f>IFERROR(VLOOKUP(A779,Internal_lists_bugs!$A$2:$G7981,7,FALSE()),"please select a BUG ID")</f>
        <v>https://opendev.org/openstack/nova/commit/7326bac8f95</v>
      </c>
    </row>
    <row r="780">
      <c r="A780" s="16" t="s">
        <v>51</v>
      </c>
      <c r="B780" s="50" t="str">
        <f>IFERROR(HYPERLINK(VLOOKUP(A780,Internal_lists_bugs!$A$2:$C$73,3,FALSE()), VLOOKUP(A780,Internal_lists_bugs!$A$2:$C$73,3,FALSE())&amp;Char(10) &amp; Char(10) &amp; VLOOKUP(A780,Internal_lists_bugs!$A$2:$Z$73,26,FALSE())),"please select a BUG ID")</f>
        <v>https://bugs.launchpad.net/nova/+bug/1370590
/libvirt/driver.py</v>
      </c>
      <c r="C780" s="81" t="str">
        <f>IFERROR(VLOOKUP(A780,Internal_lists_bugs!$A$2:$I7981,9,FALSE()),"please select a BUG ID")</f>
        <v>https://review.opendev.org/c/openstack/nova/+/74537</v>
      </c>
      <c r="D780" s="114"/>
      <c r="E780" s="114"/>
      <c r="F780" s="115"/>
      <c r="G780" s="16" t="s">
        <v>1417</v>
      </c>
      <c r="H780" s="16" t="s">
        <v>2380</v>
      </c>
      <c r="I780" s="82"/>
      <c r="J780" s="92"/>
      <c r="K780" s="82"/>
      <c r="M780" s="114" t="str">
        <f>VLOOKUP(A780,'BIC_(C_Variables)'!$A$3:$AS$43,45,FALSE())</f>
        <v/>
      </c>
      <c r="N780" s="1"/>
      <c r="O780" s="1"/>
      <c r="P780" s="81" t="str">
        <f>IFERROR(VLOOKUP(A780,Internal_lists_bugs!$A$2:$G7981,7,FALSE()),"please select a BUG ID")</f>
        <v>https://opendev.org/openstack/nova/commit/7326bac8f95</v>
      </c>
    </row>
    <row r="781">
      <c r="A781" s="16" t="s">
        <v>51</v>
      </c>
      <c r="B781" s="50" t="str">
        <f>IFERROR(HYPERLINK(VLOOKUP(A781,Internal_lists_bugs!$A$2:$C$73,3,FALSE()), VLOOKUP(A781,Internal_lists_bugs!$A$2:$C$73,3,FALSE())&amp;Char(10) &amp; Char(10) &amp; VLOOKUP(A781,Internal_lists_bugs!$A$2:$Z$73,26,FALSE())),"please select a BUG ID")</f>
        <v>https://bugs.launchpad.net/nova/+bug/1370590
/libvirt/driver.py</v>
      </c>
      <c r="C781" s="81" t="str">
        <f>IFERROR(VLOOKUP(A781,Internal_lists_bugs!$A$2:$I7981,9,FALSE()),"please select a BUG ID")</f>
        <v>https://review.opendev.org/c/openstack/nova/+/74537</v>
      </c>
      <c r="D781" s="114"/>
      <c r="E781" s="114"/>
      <c r="F781" s="115"/>
      <c r="G781" s="16" t="s">
        <v>1481</v>
      </c>
      <c r="H781" s="16" t="s">
        <v>2381</v>
      </c>
      <c r="I781" s="82"/>
      <c r="J781" s="92"/>
      <c r="K781" s="82"/>
      <c r="M781" s="114" t="str">
        <f>VLOOKUP(A781,'BIC_(C_Variables)'!$A$3:$AS$43,45,FALSE())</f>
        <v/>
      </c>
      <c r="N781" s="1"/>
      <c r="O781" s="1"/>
      <c r="P781" s="81" t="str">
        <f>IFERROR(VLOOKUP(A781,Internal_lists_bugs!$A$2:$G7981,7,FALSE()),"please select a BUG ID")</f>
        <v>https://opendev.org/openstack/nova/commit/7326bac8f95</v>
      </c>
    </row>
    <row r="782">
      <c r="A782" s="16" t="s">
        <v>51</v>
      </c>
      <c r="B782" s="50" t="str">
        <f>IFERROR(HYPERLINK(VLOOKUP(A782,Internal_lists_bugs!$A$2:$C$73,3,FALSE()), VLOOKUP(A782,Internal_lists_bugs!$A$2:$C$73,3,FALSE())&amp;Char(10) &amp; Char(10) &amp; VLOOKUP(A782,Internal_lists_bugs!$A$2:$Z$73,26,FALSE())),"please select a BUG ID")</f>
        <v>https://bugs.launchpad.net/nova/+bug/1370590
/libvirt/driver.py</v>
      </c>
      <c r="C782" s="81" t="str">
        <f>IFERROR(VLOOKUP(A782,Internal_lists_bugs!$A$2:$I7981,9,FALSE()),"please select a BUG ID")</f>
        <v>https://review.opendev.org/c/openstack/nova/+/74537</v>
      </c>
      <c r="D782" s="114"/>
      <c r="E782" s="114"/>
      <c r="F782" s="115"/>
      <c r="G782" s="16" t="s">
        <v>2382</v>
      </c>
      <c r="H782" s="16" t="s">
        <v>2383</v>
      </c>
      <c r="I782" s="82"/>
      <c r="J782" s="92"/>
      <c r="K782" s="82"/>
      <c r="M782" s="114" t="str">
        <f>VLOOKUP(A782,'BIC_(C_Variables)'!$A$3:$AS$43,45,FALSE())</f>
        <v/>
      </c>
      <c r="N782" s="1"/>
      <c r="O782" s="1"/>
      <c r="P782" s="81" t="str">
        <f>IFERROR(VLOOKUP(A782,Internal_lists_bugs!$A$2:$G7981,7,FALSE()),"please select a BUG ID")</f>
        <v>https://opendev.org/openstack/nova/commit/7326bac8f95</v>
      </c>
    </row>
    <row r="783">
      <c r="A783" s="16" t="s">
        <v>51</v>
      </c>
      <c r="B783" s="50" t="str">
        <f>IFERROR(HYPERLINK(VLOOKUP(A783,Internal_lists_bugs!$A$2:$C$73,3,FALSE()), VLOOKUP(A783,Internal_lists_bugs!$A$2:$C$73,3,FALSE())&amp;Char(10) &amp; Char(10) &amp; VLOOKUP(A783,Internal_lists_bugs!$A$2:$Z$73,26,FALSE())),"please select a BUG ID")</f>
        <v>https://bugs.launchpad.net/nova/+bug/1370590
/libvirt/driver.py</v>
      </c>
      <c r="C783" s="81" t="str">
        <f>IFERROR(VLOOKUP(A783,Internal_lists_bugs!$A$2:$I7981,9,FALSE()),"please select a BUG ID")</f>
        <v>https://review.opendev.org/c/openstack/nova/+/74537</v>
      </c>
      <c r="D783" s="114"/>
      <c r="E783" s="114"/>
      <c r="F783" s="115"/>
      <c r="G783" s="16" t="s">
        <v>2384</v>
      </c>
      <c r="H783" s="16" t="s">
        <v>2385</v>
      </c>
      <c r="I783" s="82"/>
      <c r="J783" s="92"/>
      <c r="K783" s="82"/>
      <c r="M783" s="114" t="str">
        <f>VLOOKUP(A783,'BIC_(C_Variables)'!$A$3:$AS$43,45,FALSE())</f>
        <v/>
      </c>
      <c r="N783" s="1"/>
      <c r="O783" s="1"/>
      <c r="P783" s="81" t="str">
        <f>IFERROR(VLOOKUP(A783,Internal_lists_bugs!$A$2:$G7981,7,FALSE()),"please select a BUG ID")</f>
        <v>https://opendev.org/openstack/nova/commit/7326bac8f95</v>
      </c>
    </row>
    <row r="784">
      <c r="A784" s="16" t="s">
        <v>51</v>
      </c>
      <c r="B784" s="50" t="str">
        <f>IFERROR(HYPERLINK(VLOOKUP(A784,Internal_lists_bugs!$A$2:$C$73,3,FALSE()), VLOOKUP(A784,Internal_lists_bugs!$A$2:$C$73,3,FALSE())&amp;Char(10) &amp; Char(10) &amp; VLOOKUP(A784,Internal_lists_bugs!$A$2:$Z$73,26,FALSE())),"please select a BUG ID")</f>
        <v>https://bugs.launchpad.net/nova/+bug/1370590
/libvirt/driver.py</v>
      </c>
      <c r="C784" s="81" t="str">
        <f>IFERROR(VLOOKUP(A784,Internal_lists_bugs!$A$2:$I7981,9,FALSE()),"please select a BUG ID")</f>
        <v>https://review.opendev.org/c/openstack/nova/+/74537</v>
      </c>
      <c r="D784" s="114"/>
      <c r="E784" s="114"/>
      <c r="F784" s="115"/>
      <c r="G784" s="16" t="s">
        <v>1498</v>
      </c>
      <c r="H784" s="16" t="s">
        <v>2386</v>
      </c>
      <c r="I784" s="82"/>
      <c r="J784" s="92"/>
      <c r="K784" s="82"/>
      <c r="M784" s="114" t="str">
        <f>VLOOKUP(A784,'BIC_(C_Variables)'!$A$3:$AS$43,45,FALSE())</f>
        <v/>
      </c>
      <c r="N784" s="1"/>
      <c r="O784" s="1"/>
      <c r="P784" s="81" t="str">
        <f>IFERROR(VLOOKUP(A784,Internal_lists_bugs!$A$2:$G7981,7,FALSE()),"please select a BUG ID")</f>
        <v>https://opendev.org/openstack/nova/commit/7326bac8f95</v>
      </c>
    </row>
    <row r="785">
      <c r="A785" s="16" t="s">
        <v>51</v>
      </c>
      <c r="B785" s="50" t="str">
        <f>IFERROR(HYPERLINK(VLOOKUP(A785,Internal_lists_bugs!$A$2:$C$73,3,FALSE()), VLOOKUP(A785,Internal_lists_bugs!$A$2:$C$73,3,FALSE())&amp;Char(10) &amp; Char(10) &amp; VLOOKUP(A785,Internal_lists_bugs!$A$2:$Z$73,26,FALSE())),"please select a BUG ID")</f>
        <v>https://bugs.launchpad.net/nova/+bug/1370590
/libvirt/driver.py</v>
      </c>
      <c r="C785" s="81" t="str">
        <f>IFERROR(VLOOKUP(A785,Internal_lists_bugs!$A$2:$I7981,9,FALSE()),"please select a BUG ID")</f>
        <v>https://review.opendev.org/c/openstack/nova/+/74537</v>
      </c>
      <c r="D785" s="114"/>
      <c r="E785" s="114"/>
      <c r="F785" s="115"/>
      <c r="G785" s="16" t="s">
        <v>1533</v>
      </c>
      <c r="H785" s="16" t="s">
        <v>2263</v>
      </c>
      <c r="I785" s="82"/>
      <c r="J785" s="92"/>
      <c r="K785" s="82"/>
      <c r="M785" s="114"/>
      <c r="N785" s="1"/>
      <c r="O785" s="1"/>
      <c r="P785" s="51"/>
    </row>
    <row r="786">
      <c r="A786" s="16" t="s">
        <v>51</v>
      </c>
      <c r="B786" s="50" t="str">
        <f>IFERROR(HYPERLINK(VLOOKUP(A786,Internal_lists_bugs!$A$2:$C$73,3,FALSE()), VLOOKUP(A786,Internal_lists_bugs!$A$2:$C$73,3,FALSE())&amp;Char(10) &amp; Char(10) &amp; VLOOKUP(A786,Internal_lists_bugs!$A$2:$Z$73,26,FALSE())),"please select a BUG ID")</f>
        <v>https://bugs.launchpad.net/nova/+bug/1370590
/libvirt/driver.py</v>
      </c>
      <c r="C786" s="81" t="str">
        <f>IFERROR(VLOOKUP(A786,Internal_lists_bugs!$A$2:$I7981,9,FALSE()),"please select a BUG ID")</f>
        <v>https://review.opendev.org/c/openstack/nova/+/74537</v>
      </c>
      <c r="D786" s="114"/>
      <c r="E786" s="114"/>
      <c r="F786" s="115"/>
      <c r="G786" s="16" t="s">
        <v>1495</v>
      </c>
      <c r="H786" s="16" t="s">
        <v>2387</v>
      </c>
      <c r="I786" s="82"/>
      <c r="J786" s="92"/>
      <c r="K786" s="82"/>
      <c r="M786" s="114"/>
      <c r="N786" s="1"/>
      <c r="O786" s="1"/>
      <c r="P786" s="51"/>
    </row>
    <row r="787">
      <c r="A787" s="16" t="s">
        <v>51</v>
      </c>
      <c r="B787" s="50" t="str">
        <f>IFERROR(HYPERLINK(VLOOKUP(A787,Internal_lists_bugs!$A$2:$C$73,3,FALSE()), VLOOKUP(A787,Internal_lists_bugs!$A$2:$C$73,3,FALSE())&amp;Char(10) &amp; Char(10) &amp; VLOOKUP(A787,Internal_lists_bugs!$A$2:$Z$73,26,FALSE())),"please select a BUG ID")</f>
        <v>https://bugs.launchpad.net/nova/+bug/1370590
/libvirt/driver.py</v>
      </c>
      <c r="C787" s="81" t="str">
        <f>IFERROR(VLOOKUP(A787,Internal_lists_bugs!$A$2:$I7981,9,FALSE()),"please select a BUG ID")</f>
        <v>https://review.opendev.org/c/openstack/nova/+/74537</v>
      </c>
      <c r="D787" s="114"/>
      <c r="E787" s="114"/>
      <c r="F787" s="115"/>
      <c r="G787" s="16" t="s">
        <v>1506</v>
      </c>
      <c r="H787" s="16" t="s">
        <v>2388</v>
      </c>
      <c r="I787" s="82"/>
      <c r="J787" s="92"/>
      <c r="K787" s="82"/>
      <c r="M787" s="114" t="str">
        <f>VLOOKUP(A787,'BIC_(C_Variables)'!$A$3:$AS$43,45,FALSE())</f>
        <v/>
      </c>
      <c r="N787" s="1"/>
      <c r="O787" s="1"/>
      <c r="P787" s="81" t="str">
        <f>IFERROR(VLOOKUP(A787,Internal_lists_bugs!$A$2:$G7981,7,FALSE()),"please select a BUG ID")</f>
        <v>https://opendev.org/openstack/nova/commit/7326bac8f95</v>
      </c>
    </row>
    <row r="788">
      <c r="A788" s="16" t="s">
        <v>51</v>
      </c>
      <c r="B788" s="50" t="str">
        <f>IFERROR(HYPERLINK(VLOOKUP(A788,Internal_lists_bugs!$A$2:$C$73,3,FALSE()), VLOOKUP(A788,Internal_lists_bugs!$A$2:$C$73,3,FALSE())&amp;Char(10) &amp; Char(10) &amp; VLOOKUP(A788,Internal_lists_bugs!$A$2:$Z$73,26,FALSE())),"please select a BUG ID")</f>
        <v>https://bugs.launchpad.net/nova/+bug/1370590
/libvirt/driver.py</v>
      </c>
      <c r="C788" s="81" t="str">
        <f>IFERROR(VLOOKUP(A788,Internal_lists_bugs!$A$2:$I7981,9,FALSE()),"please select a BUG ID")</f>
        <v>https://review.opendev.org/c/openstack/nova/+/74537</v>
      </c>
      <c r="D788" s="114"/>
      <c r="E788" s="114"/>
      <c r="F788" s="115"/>
      <c r="G788" s="16" t="s">
        <v>2235</v>
      </c>
      <c r="H788" s="16" t="s">
        <v>2389</v>
      </c>
      <c r="I788" s="82"/>
      <c r="J788" s="92"/>
      <c r="K788" s="82"/>
      <c r="M788" s="114" t="str">
        <f>VLOOKUP(A788,'BIC_(C_Variables)'!$A$3:$AS$43,45,FALSE())</f>
        <v/>
      </c>
      <c r="N788" s="1"/>
      <c r="O788" s="1"/>
      <c r="P788" s="81" t="str">
        <f>IFERROR(VLOOKUP(A788,Internal_lists_bugs!$A$2:$G7981,7,FALSE()),"please select a BUG ID")</f>
        <v>https://opendev.org/openstack/nova/commit/7326bac8f95</v>
      </c>
    </row>
    <row r="789">
      <c r="A789" s="16" t="s">
        <v>51</v>
      </c>
      <c r="B789" s="50" t="str">
        <f>IFERROR(HYPERLINK(VLOOKUP(A789,Internal_lists_bugs!$A$2:$C$73,3,FALSE()), VLOOKUP(A789,Internal_lists_bugs!$A$2:$C$73,3,FALSE())&amp;Char(10) &amp; Char(10) &amp; VLOOKUP(A789,Internal_lists_bugs!$A$2:$Z$73,26,FALSE())),"please select a BUG ID")</f>
        <v>https://bugs.launchpad.net/nova/+bug/1370590
/libvirt/driver.py</v>
      </c>
      <c r="C789" s="81" t="str">
        <f>IFERROR(VLOOKUP(A789,Internal_lists_bugs!$A$2:$I7981,9,FALSE()),"please select a BUG ID")</f>
        <v>https://review.opendev.org/c/openstack/nova/+/74537</v>
      </c>
      <c r="D789" s="114"/>
      <c r="E789" s="114"/>
      <c r="F789" s="115"/>
      <c r="G789" s="16" t="s">
        <v>2390</v>
      </c>
      <c r="H789" s="16" t="s">
        <v>2391</v>
      </c>
      <c r="I789" s="82"/>
      <c r="J789" s="92"/>
      <c r="K789" s="82"/>
      <c r="M789" s="114" t="str">
        <f>VLOOKUP(A789,'BIC_(C_Variables)'!$A$3:$AS$43,45,FALSE())</f>
        <v/>
      </c>
      <c r="N789" s="1"/>
      <c r="O789" s="1"/>
      <c r="P789" s="81" t="str">
        <f>IFERROR(VLOOKUP(A789,Internal_lists_bugs!$A$2:$G7981,7,FALSE()),"please select a BUG ID")</f>
        <v>https://opendev.org/openstack/nova/commit/7326bac8f95</v>
      </c>
    </row>
    <row r="790">
      <c r="A790" s="16" t="s">
        <v>51</v>
      </c>
      <c r="B790" s="50" t="str">
        <f>IFERROR(HYPERLINK(VLOOKUP(A790,Internal_lists_bugs!$A$2:$C$73,3,FALSE()), VLOOKUP(A790,Internal_lists_bugs!$A$2:$C$73,3,FALSE())&amp;Char(10) &amp; Char(10) &amp; VLOOKUP(A790,Internal_lists_bugs!$A$2:$Z$73,26,FALSE())),"please select a BUG ID")</f>
        <v>https://bugs.launchpad.net/nova/+bug/1370590
/libvirt/driver.py</v>
      </c>
      <c r="C790" s="81" t="str">
        <f>IFERROR(VLOOKUP(A790,Internal_lists_bugs!$A$2:$I7981,9,FALSE()),"please select a BUG ID")</f>
        <v>https://review.opendev.org/c/openstack/nova/+/74537</v>
      </c>
      <c r="D790" s="114"/>
      <c r="E790" s="114"/>
      <c r="F790" s="115"/>
      <c r="G790" s="16" t="s">
        <v>2392</v>
      </c>
      <c r="H790" s="16" t="s">
        <v>2393</v>
      </c>
      <c r="I790" s="82"/>
      <c r="J790" s="92"/>
      <c r="K790" s="82"/>
      <c r="M790" s="114" t="str">
        <f>VLOOKUP(A790,'BIC_(C_Variables)'!$A$3:$AS$43,45,FALSE())</f>
        <v/>
      </c>
      <c r="N790" s="1"/>
      <c r="O790" s="1"/>
      <c r="P790" s="81" t="str">
        <f>IFERROR(VLOOKUP(A790,Internal_lists_bugs!$A$2:$G7981,7,FALSE()),"please select a BUG ID")</f>
        <v>https://opendev.org/openstack/nova/commit/7326bac8f95</v>
      </c>
    </row>
    <row r="791">
      <c r="A791" s="16" t="s">
        <v>51</v>
      </c>
      <c r="B791" s="50" t="str">
        <f>IFERROR(HYPERLINK(VLOOKUP(A791,Internal_lists_bugs!$A$2:$C$73,3,FALSE()), VLOOKUP(A791,Internal_lists_bugs!$A$2:$C$73,3,FALSE())&amp;Char(10) &amp; Char(10) &amp; VLOOKUP(A791,Internal_lists_bugs!$A$2:$Z$73,26,FALSE())),"please select a BUG ID")</f>
        <v>https://bugs.launchpad.net/nova/+bug/1370590
/libvirt/driver.py</v>
      </c>
      <c r="C791" s="81" t="str">
        <f>IFERROR(VLOOKUP(A791,Internal_lists_bugs!$A$2:$I7981,9,FALSE()),"please select a BUG ID")</f>
        <v>https://review.opendev.org/c/openstack/nova/+/74537</v>
      </c>
      <c r="D791" s="114"/>
      <c r="E791" s="114"/>
      <c r="F791" s="115"/>
      <c r="G791" s="16" t="s">
        <v>2394</v>
      </c>
      <c r="H791" s="16" t="s">
        <v>2395</v>
      </c>
      <c r="I791" s="82"/>
      <c r="J791" s="92"/>
      <c r="K791" s="82"/>
      <c r="M791" s="114" t="str">
        <f>VLOOKUP(A791,'BIC_(C_Variables)'!$A$3:$AS$43,45,FALSE())</f>
        <v/>
      </c>
      <c r="N791" s="1"/>
      <c r="O791" s="1"/>
      <c r="P791" s="81" t="str">
        <f>IFERROR(VLOOKUP(A791,Internal_lists_bugs!$A$2:$G7981,7,FALSE()),"please select a BUG ID")</f>
        <v>https://opendev.org/openstack/nova/commit/7326bac8f95</v>
      </c>
    </row>
    <row r="792">
      <c r="A792" s="16" t="s">
        <v>51</v>
      </c>
      <c r="B792" s="50" t="str">
        <f>IFERROR(HYPERLINK(VLOOKUP(A792,Internal_lists_bugs!$A$2:$C$73,3,FALSE()), VLOOKUP(A792,Internal_lists_bugs!$A$2:$C$73,3,FALSE())&amp;Char(10) &amp; Char(10) &amp; VLOOKUP(A792,Internal_lists_bugs!$A$2:$Z$73,26,FALSE())),"please select a BUG ID")</f>
        <v>https://bugs.launchpad.net/nova/+bug/1370590
/libvirt/driver.py</v>
      </c>
      <c r="C792" s="81" t="str">
        <f>IFERROR(VLOOKUP(A792,Internal_lists_bugs!$A$2:$I7981,9,FALSE()),"please select a BUG ID")</f>
        <v>https://review.opendev.org/c/openstack/nova/+/74537</v>
      </c>
      <c r="D792" s="114"/>
      <c r="E792" s="114"/>
      <c r="F792" s="115"/>
      <c r="G792" s="16" t="s">
        <v>2396</v>
      </c>
      <c r="H792" s="16" t="s">
        <v>2397</v>
      </c>
      <c r="I792" s="82"/>
      <c r="J792" s="92"/>
      <c r="K792" s="82"/>
      <c r="M792" s="114" t="str">
        <f>VLOOKUP(A792,'BIC_(C_Variables)'!$A$3:$AS$43,45,FALSE())</f>
        <v/>
      </c>
      <c r="N792" s="1"/>
      <c r="O792" s="1"/>
      <c r="P792" s="81" t="str">
        <f>IFERROR(VLOOKUP(A792,Internal_lists_bugs!$A$2:$G7981,7,FALSE()),"please select a BUG ID")</f>
        <v>https://opendev.org/openstack/nova/commit/7326bac8f95</v>
      </c>
    </row>
    <row r="793">
      <c r="A793" s="16" t="s">
        <v>51</v>
      </c>
      <c r="B793" s="50" t="str">
        <f>IFERROR(HYPERLINK(VLOOKUP(A793,Internal_lists_bugs!$A$2:$C$73,3,FALSE()), VLOOKUP(A793,Internal_lists_bugs!$A$2:$C$73,3,FALSE())&amp;Char(10) &amp; Char(10) &amp; VLOOKUP(A793,Internal_lists_bugs!$A$2:$Z$73,26,FALSE())),"please select a BUG ID")</f>
        <v>https://bugs.launchpad.net/nova/+bug/1370590
/libvirt/driver.py</v>
      </c>
      <c r="C793" s="81" t="str">
        <f>IFERROR(VLOOKUP(A793,Internal_lists_bugs!$A$2:$I7981,9,FALSE()),"please select a BUG ID")</f>
        <v>https://review.opendev.org/c/openstack/nova/+/74537</v>
      </c>
      <c r="D793" s="114"/>
      <c r="E793" s="114"/>
      <c r="F793" s="115"/>
      <c r="G793" s="16" t="s">
        <v>2177</v>
      </c>
      <c r="H793" s="16" t="s">
        <v>2398</v>
      </c>
      <c r="I793" s="82"/>
      <c r="J793" s="92"/>
      <c r="K793" s="82"/>
      <c r="M793" s="114"/>
      <c r="N793" s="1"/>
      <c r="O793" s="1"/>
      <c r="P793" s="51"/>
    </row>
    <row r="794">
      <c r="A794" s="16" t="s">
        <v>51</v>
      </c>
      <c r="B794" s="50" t="str">
        <f>IFERROR(HYPERLINK(VLOOKUP(A794,Internal_lists_bugs!$A$2:$C$73,3,FALSE()), VLOOKUP(A794,Internal_lists_bugs!$A$2:$C$73,3,FALSE())&amp;Char(10) &amp; Char(10) &amp; VLOOKUP(A794,Internal_lists_bugs!$A$2:$Z$73,26,FALSE())),"please select a BUG ID")</f>
        <v>https://bugs.launchpad.net/nova/+bug/1370590
/libvirt/driver.py</v>
      </c>
      <c r="C794" s="81" t="str">
        <f>IFERROR(VLOOKUP(A794,Internal_lists_bugs!$A$2:$I7981,9,FALSE()),"please select a BUG ID")</f>
        <v>https://review.opendev.org/c/openstack/nova/+/74537</v>
      </c>
      <c r="D794" s="114"/>
      <c r="E794" s="114"/>
      <c r="F794" s="115"/>
      <c r="G794" s="16" t="s">
        <v>2399</v>
      </c>
      <c r="H794" s="16" t="s">
        <v>2400</v>
      </c>
      <c r="I794" s="82"/>
      <c r="J794" s="92"/>
      <c r="K794" s="82"/>
      <c r="M794" s="114" t="str">
        <f>VLOOKUP(A794,'BIC_(C_Variables)'!$A$3:$AS$43,45,FALSE())</f>
        <v/>
      </c>
      <c r="N794" s="1"/>
      <c r="O794" s="1"/>
      <c r="P794" s="81" t="str">
        <f>IFERROR(VLOOKUP(A794,Internal_lists_bugs!$A$2:$G7981,7,FALSE()),"please select a BUG ID")</f>
        <v>https://opendev.org/openstack/nova/commit/7326bac8f95</v>
      </c>
    </row>
    <row r="795">
      <c r="A795" s="16" t="s">
        <v>51</v>
      </c>
      <c r="B795" s="50" t="str">
        <f>IFERROR(HYPERLINK(VLOOKUP(A795,Internal_lists_bugs!$A$2:$C$73,3,FALSE()), VLOOKUP(A795,Internal_lists_bugs!$A$2:$C$73,3,FALSE())&amp;Char(10) &amp; Char(10) &amp; VLOOKUP(A795,Internal_lists_bugs!$A$2:$Z$73,26,FALSE())),"please select a BUG ID")</f>
        <v>https://bugs.launchpad.net/nova/+bug/1370590
/libvirt/driver.py</v>
      </c>
      <c r="C795" s="81" t="str">
        <f>IFERROR(VLOOKUP(A795,Internal_lists_bugs!$A$2:$I7981,9,FALSE()),"please select a BUG ID")</f>
        <v>https://review.opendev.org/c/openstack/nova/+/74537</v>
      </c>
      <c r="D795" s="114"/>
      <c r="E795" s="114"/>
      <c r="F795" s="115"/>
      <c r="G795" s="16" t="s">
        <v>1500</v>
      </c>
      <c r="H795" s="16" t="s">
        <v>2401</v>
      </c>
      <c r="I795" s="82"/>
      <c r="J795" s="92"/>
      <c r="K795" s="82"/>
      <c r="M795" s="114" t="str">
        <f>VLOOKUP(A795,'BIC_(C_Variables)'!$A$3:$AS$43,45,FALSE())</f>
        <v/>
      </c>
      <c r="N795" s="1"/>
      <c r="O795" s="1"/>
      <c r="P795" s="81" t="str">
        <f>IFERROR(VLOOKUP(A795,Internal_lists_bugs!$A$2:$G7981,7,FALSE()),"please select a BUG ID")</f>
        <v>https://opendev.org/openstack/nova/commit/7326bac8f95</v>
      </c>
    </row>
    <row r="796">
      <c r="A796" s="16" t="s">
        <v>51</v>
      </c>
      <c r="B796" s="50" t="str">
        <f>IFERROR(HYPERLINK(VLOOKUP(A796,Internal_lists_bugs!$A$2:$C$73,3,FALSE()), VLOOKUP(A796,Internal_lists_bugs!$A$2:$C$73,3,FALSE())&amp;Char(10) &amp; Char(10) &amp; VLOOKUP(A796,Internal_lists_bugs!$A$2:$Z$73,26,FALSE())),"please select a BUG ID")</f>
        <v>https://bugs.launchpad.net/nova/+bug/1370590
/libvirt/driver.py</v>
      </c>
      <c r="C796" s="81" t="str">
        <f>IFERROR(VLOOKUP(A796,Internal_lists_bugs!$A$2:$I7981,9,FALSE()),"please select a BUG ID")</f>
        <v>https://review.opendev.org/c/openstack/nova/+/74537</v>
      </c>
      <c r="D796" s="114"/>
      <c r="E796" s="114"/>
      <c r="F796" s="115"/>
      <c r="G796" s="16" t="s">
        <v>1720</v>
      </c>
      <c r="H796" s="16" t="s">
        <v>2402</v>
      </c>
      <c r="I796" s="82"/>
      <c r="J796" s="92"/>
      <c r="K796" s="82"/>
      <c r="M796" s="114" t="str">
        <f>VLOOKUP(A796,'BIC_(C_Variables)'!$A$3:$AS$43,45,FALSE())</f>
        <v/>
      </c>
      <c r="N796" s="1"/>
      <c r="O796" s="1"/>
      <c r="P796" s="81" t="str">
        <f>IFERROR(VLOOKUP(A796,Internal_lists_bugs!$A$2:$G7981,7,FALSE()),"please select a BUG ID")</f>
        <v>https://opendev.org/openstack/nova/commit/7326bac8f95</v>
      </c>
    </row>
    <row r="797">
      <c r="A797" s="16" t="s">
        <v>51</v>
      </c>
      <c r="B797" s="50" t="str">
        <f>IFERROR(HYPERLINK(VLOOKUP(A797,Internal_lists_bugs!$A$2:$C$73,3,FALSE()), VLOOKUP(A797,Internal_lists_bugs!$A$2:$C$73,3,FALSE())&amp;Char(10) &amp; Char(10) &amp; VLOOKUP(A797,Internal_lists_bugs!$A$2:$Z$73,26,FALSE())),"please select a BUG ID")</f>
        <v>https://bugs.launchpad.net/nova/+bug/1370590
/libvirt/driver.py</v>
      </c>
      <c r="C797" s="81" t="str">
        <f>IFERROR(VLOOKUP(A797,Internal_lists_bugs!$A$2:$I7981,9,FALSE()),"please select a BUG ID")</f>
        <v>https://review.opendev.org/c/openstack/nova/+/74537</v>
      </c>
      <c r="D797" s="114"/>
      <c r="E797" s="114"/>
      <c r="F797" s="115"/>
      <c r="G797" s="16" t="s">
        <v>1566</v>
      </c>
      <c r="H797" s="16" t="s">
        <v>2403</v>
      </c>
      <c r="I797" s="82"/>
      <c r="J797" s="92"/>
      <c r="K797" s="82"/>
      <c r="M797" s="114" t="str">
        <f>VLOOKUP(A797,'BIC_(C_Variables)'!$A$3:$AS$43,45,FALSE())</f>
        <v/>
      </c>
      <c r="N797" s="1"/>
      <c r="O797" s="1"/>
      <c r="P797" s="81" t="str">
        <f>IFERROR(VLOOKUP(A797,Internal_lists_bugs!$A$2:$G7981,7,FALSE()),"please select a BUG ID")</f>
        <v>https://opendev.org/openstack/nova/commit/7326bac8f95</v>
      </c>
    </row>
    <row r="798">
      <c r="A798" s="16" t="s">
        <v>51</v>
      </c>
      <c r="B798" s="50" t="str">
        <f>IFERROR(HYPERLINK(VLOOKUP(A798,Internal_lists_bugs!$A$2:$C$73,3,FALSE()), VLOOKUP(A798,Internal_lists_bugs!$A$2:$C$73,3,FALSE())&amp;Char(10) &amp; Char(10) &amp; VLOOKUP(A798,Internal_lists_bugs!$A$2:$Z$73,26,FALSE())),"please select a BUG ID")</f>
        <v>https://bugs.launchpad.net/nova/+bug/1370590
/libvirt/driver.py</v>
      </c>
      <c r="C798" s="81" t="str">
        <f>IFERROR(VLOOKUP(A798,Internal_lists_bugs!$A$2:$I7981,9,FALSE()),"please select a BUG ID")</f>
        <v>https://review.opendev.org/c/openstack/nova/+/74537</v>
      </c>
      <c r="D798" s="114"/>
      <c r="E798" s="114"/>
      <c r="F798" s="115"/>
      <c r="G798" s="16" t="s">
        <v>1860</v>
      </c>
      <c r="H798" s="16" t="s">
        <v>2404</v>
      </c>
      <c r="I798" s="82"/>
      <c r="J798" s="92"/>
      <c r="K798" s="82"/>
      <c r="M798" s="114" t="str">
        <f>VLOOKUP(A798,'BIC_(C_Variables)'!$A$3:$AS$43,45,FALSE())</f>
        <v/>
      </c>
      <c r="N798" s="1"/>
      <c r="O798" s="1"/>
      <c r="P798" s="81" t="str">
        <f>IFERROR(VLOOKUP(A798,Internal_lists_bugs!$A$2:$G7981,7,FALSE()),"please select a BUG ID")</f>
        <v>https://opendev.org/openstack/nova/commit/7326bac8f95</v>
      </c>
    </row>
    <row r="799">
      <c r="A799" s="16" t="s">
        <v>51</v>
      </c>
      <c r="B799" s="50" t="str">
        <f>IFERROR(HYPERLINK(VLOOKUP(A799,Internal_lists_bugs!$A$2:$C$73,3,FALSE()), VLOOKUP(A799,Internal_lists_bugs!$A$2:$C$73,3,FALSE())&amp;Char(10) &amp; Char(10) &amp; VLOOKUP(A799,Internal_lists_bugs!$A$2:$Z$73,26,FALSE())),"please select a BUG ID")</f>
        <v>https://bugs.launchpad.net/nova/+bug/1370590
/libvirt/driver.py</v>
      </c>
      <c r="C799" s="81" t="str">
        <f>IFERROR(VLOOKUP(A799,Internal_lists_bugs!$A$2:$I7981,9,FALSE()),"please select a BUG ID")</f>
        <v>https://review.opendev.org/c/openstack/nova/+/74537</v>
      </c>
      <c r="D799" s="114"/>
      <c r="E799" s="114"/>
      <c r="F799" s="115"/>
      <c r="G799" s="16" t="s">
        <v>1507</v>
      </c>
      <c r="H799" s="16" t="s">
        <v>2405</v>
      </c>
      <c r="I799" s="82"/>
      <c r="J799" s="92"/>
      <c r="K799" s="82"/>
      <c r="M799" s="114"/>
      <c r="N799" s="1"/>
      <c r="O799" s="1"/>
      <c r="P799" s="51"/>
    </row>
    <row r="800">
      <c r="A800" s="16" t="s">
        <v>51</v>
      </c>
      <c r="B800" s="50" t="str">
        <f>IFERROR(HYPERLINK(VLOOKUP(A800,Internal_lists_bugs!$A$2:$C$73,3,FALSE()), VLOOKUP(A800,Internal_lists_bugs!$A$2:$C$73,3,FALSE())&amp;Char(10) &amp; Char(10) &amp; VLOOKUP(A800,Internal_lists_bugs!$A$2:$Z$73,26,FALSE())),"please select a BUG ID")</f>
        <v>https://bugs.launchpad.net/nova/+bug/1370590
/libvirt/driver.py</v>
      </c>
      <c r="C800" s="81" t="str">
        <f>IFERROR(VLOOKUP(A800,Internal_lists_bugs!$A$2:$I7981,9,FALSE()),"please select a BUG ID")</f>
        <v>https://review.opendev.org/c/openstack/nova/+/74537</v>
      </c>
      <c r="D800" s="114"/>
      <c r="E800" s="114"/>
      <c r="F800" s="115"/>
      <c r="G800" s="16" t="s">
        <v>1590</v>
      </c>
      <c r="H800" s="16" t="s">
        <v>2406</v>
      </c>
      <c r="I800" s="82"/>
      <c r="J800" s="92"/>
      <c r="K800" s="82"/>
      <c r="M800" s="114" t="str">
        <f>VLOOKUP(A800,'BIC_(C_Variables)'!$A$3:$AS$43,45,FALSE())</f>
        <v/>
      </c>
      <c r="N800" s="1"/>
      <c r="O800" s="1"/>
      <c r="P800" s="81" t="str">
        <f>IFERROR(VLOOKUP(A800,Internal_lists_bugs!$A$2:$G7981,7,FALSE()),"please select a BUG ID")</f>
        <v>https://opendev.org/openstack/nova/commit/7326bac8f95</v>
      </c>
    </row>
    <row r="801">
      <c r="A801" s="16" t="s">
        <v>51</v>
      </c>
      <c r="B801" s="50" t="str">
        <f>IFERROR(HYPERLINK(VLOOKUP(A801,Internal_lists_bugs!$A$2:$C$73,3,FALSE()), VLOOKUP(A801,Internal_lists_bugs!$A$2:$C$73,3,FALSE())&amp;Char(10) &amp; Char(10) &amp; VLOOKUP(A801,Internal_lists_bugs!$A$2:$Z$73,26,FALSE())),"please select a BUG ID")</f>
        <v>https://bugs.launchpad.net/nova/+bug/1370590
/libvirt/driver.py</v>
      </c>
      <c r="C801" s="81" t="str">
        <f>IFERROR(VLOOKUP(A801,Internal_lists_bugs!$A$2:$I7981,9,FALSE()),"please select a BUG ID")</f>
        <v>https://review.opendev.org/c/openstack/nova/+/74537</v>
      </c>
      <c r="D801" s="114"/>
      <c r="E801" s="114"/>
      <c r="F801" s="115"/>
      <c r="G801" s="16" t="s">
        <v>2099</v>
      </c>
      <c r="H801" s="16" t="s">
        <v>2407</v>
      </c>
      <c r="I801" s="82"/>
      <c r="J801" s="92"/>
      <c r="K801" s="82"/>
      <c r="M801" s="114" t="str">
        <f>VLOOKUP(A801,'BIC_(C_Variables)'!$A$3:$AS$43,45,FALSE())</f>
        <v/>
      </c>
      <c r="N801" s="1"/>
      <c r="O801" s="1"/>
      <c r="P801" s="81" t="str">
        <f>IFERROR(VLOOKUP(A801,Internal_lists_bugs!$A$2:$G7981,7,FALSE()),"please select a BUG ID")</f>
        <v>https://opendev.org/openstack/nova/commit/7326bac8f95</v>
      </c>
    </row>
    <row r="802">
      <c r="A802" s="16" t="s">
        <v>51</v>
      </c>
      <c r="B802" s="50" t="str">
        <f>IFERROR(HYPERLINK(VLOOKUP(A802,Internal_lists_bugs!$A$2:$C$73,3,FALSE()), VLOOKUP(A802,Internal_lists_bugs!$A$2:$C$73,3,FALSE())&amp;Char(10) &amp; Char(10) &amp; VLOOKUP(A802,Internal_lists_bugs!$A$2:$Z$73,26,FALSE())),"please select a BUG ID")</f>
        <v>https://bugs.launchpad.net/nova/+bug/1370590
/libvirt/driver.py</v>
      </c>
      <c r="C802" s="81" t="str">
        <f>IFERROR(VLOOKUP(A802,Internal_lists_bugs!$A$2:$I7981,9,FALSE()),"please select a BUG ID")</f>
        <v>https://review.opendev.org/c/openstack/nova/+/74537</v>
      </c>
      <c r="D802" s="114"/>
      <c r="E802" s="114"/>
      <c r="F802" s="115"/>
      <c r="G802" s="16" t="s">
        <v>2104</v>
      </c>
      <c r="H802" s="16" t="s">
        <v>2408</v>
      </c>
      <c r="I802" s="82"/>
      <c r="J802" s="92"/>
      <c r="K802" s="82"/>
      <c r="M802" s="114" t="str">
        <f>VLOOKUP(A802,'BIC_(C_Variables)'!$A$3:$AS$43,45,FALSE())</f>
        <v/>
      </c>
      <c r="N802" s="1"/>
      <c r="O802" s="1"/>
      <c r="P802" s="81" t="str">
        <f>IFERROR(VLOOKUP(A802,Internal_lists_bugs!$A$2:$G7981,7,FALSE()),"please select a BUG ID")</f>
        <v>https://opendev.org/openstack/nova/commit/7326bac8f95</v>
      </c>
    </row>
    <row r="803">
      <c r="A803" s="16" t="s">
        <v>51</v>
      </c>
      <c r="B803" s="50" t="str">
        <f>IFERROR(HYPERLINK(VLOOKUP(A803,Internal_lists_bugs!$A$2:$C$73,3,FALSE()), VLOOKUP(A803,Internal_lists_bugs!$A$2:$C$73,3,FALSE())&amp;Char(10) &amp; Char(10) &amp; VLOOKUP(A803,Internal_lists_bugs!$A$2:$Z$73,26,FALSE())),"please select a BUG ID")</f>
        <v>https://bugs.launchpad.net/nova/+bug/1370590
/libvirt/driver.py</v>
      </c>
      <c r="C803" s="81" t="str">
        <f>IFERROR(VLOOKUP(A803,Internal_lists_bugs!$A$2:$I7981,9,FALSE()),"please select a BUG ID")</f>
        <v>https://review.opendev.org/c/openstack/nova/+/74537</v>
      </c>
      <c r="D803" s="114"/>
      <c r="E803" s="114"/>
      <c r="F803" s="115"/>
      <c r="G803" s="16" t="s">
        <v>1502</v>
      </c>
      <c r="H803" s="16" t="s">
        <v>2409</v>
      </c>
      <c r="I803" s="82"/>
      <c r="J803" s="92"/>
      <c r="K803" s="82"/>
      <c r="M803" s="114" t="str">
        <f>VLOOKUP(A803,'BIC_(C_Variables)'!$A$3:$AS$43,45,FALSE())</f>
        <v/>
      </c>
      <c r="N803" s="1"/>
      <c r="O803" s="1"/>
      <c r="P803" s="81" t="str">
        <f>IFERROR(VLOOKUP(A803,Internal_lists_bugs!$A$2:$G7981,7,FALSE()),"please select a BUG ID")</f>
        <v>https://opendev.org/openstack/nova/commit/7326bac8f95</v>
      </c>
    </row>
    <row r="804">
      <c r="A804" s="16" t="s">
        <v>51</v>
      </c>
      <c r="B804" s="50" t="str">
        <f>IFERROR(HYPERLINK(VLOOKUP(A804,Internal_lists_bugs!$A$2:$C$73,3,FALSE()), VLOOKUP(A804,Internal_lists_bugs!$A$2:$C$73,3,FALSE())&amp;Char(10) &amp; Char(10) &amp; VLOOKUP(A804,Internal_lists_bugs!$A$2:$Z$73,26,FALSE())),"please select a BUG ID")</f>
        <v>https://bugs.launchpad.net/nova/+bug/1370590
/libvirt/driver.py</v>
      </c>
      <c r="C804" s="81" t="str">
        <f>IFERROR(VLOOKUP(A804,Internal_lists_bugs!$A$2:$I7981,9,FALSE()),"please select a BUG ID")</f>
        <v>https://review.opendev.org/c/openstack/nova/+/74537</v>
      </c>
      <c r="D804" s="114"/>
      <c r="E804" s="114"/>
      <c r="F804" s="115"/>
      <c r="G804" s="16" t="s">
        <v>1735</v>
      </c>
      <c r="H804" s="16" t="s">
        <v>2410</v>
      </c>
      <c r="I804" s="82"/>
      <c r="J804" s="92"/>
      <c r="K804" s="82"/>
      <c r="M804" s="114" t="str">
        <f>VLOOKUP(A804,'BIC_(C_Variables)'!$A$3:$AS$43,45,FALSE())</f>
        <v/>
      </c>
      <c r="N804" s="1"/>
      <c r="O804" s="1"/>
      <c r="P804" s="81" t="str">
        <f>IFERROR(VLOOKUP(A804,Internal_lists_bugs!$A$2:$G7981,7,FALSE()),"please select a BUG ID")</f>
        <v>https://opendev.org/openstack/nova/commit/7326bac8f95</v>
      </c>
    </row>
    <row r="805">
      <c r="A805" s="16" t="s">
        <v>51</v>
      </c>
      <c r="B805" s="50" t="str">
        <f>IFERROR(HYPERLINK(VLOOKUP(A805,Internal_lists_bugs!$A$2:$C$73,3,FALSE()), VLOOKUP(A805,Internal_lists_bugs!$A$2:$C$73,3,FALSE())&amp;Char(10) &amp; Char(10) &amp; VLOOKUP(A805,Internal_lists_bugs!$A$2:$Z$73,26,FALSE())),"please select a BUG ID")</f>
        <v>https://bugs.launchpad.net/nova/+bug/1370590
/libvirt/driver.py</v>
      </c>
      <c r="C805" s="81" t="str">
        <f>IFERROR(VLOOKUP(A805,Internal_lists_bugs!$A$2:$I7981,9,FALSE()),"please select a BUG ID")</f>
        <v>https://review.opendev.org/c/openstack/nova/+/74537</v>
      </c>
      <c r="D805" s="114"/>
      <c r="E805" s="114"/>
      <c r="F805" s="115"/>
      <c r="G805" s="16" t="s">
        <v>1737</v>
      </c>
      <c r="H805" s="16" t="s">
        <v>2411</v>
      </c>
      <c r="I805" s="82"/>
      <c r="J805" s="92"/>
      <c r="K805" s="82"/>
      <c r="M805" s="114" t="str">
        <f>VLOOKUP(A805,'BIC_(C_Variables)'!$A$3:$AS$43,45,FALSE())</f>
        <v/>
      </c>
      <c r="N805" s="1"/>
      <c r="O805" s="1"/>
      <c r="P805" s="81" t="str">
        <f>IFERROR(VLOOKUP(A805,Internal_lists_bugs!$A$2:$G7981,7,FALSE()),"please select a BUG ID")</f>
        <v>https://opendev.org/openstack/nova/commit/7326bac8f95</v>
      </c>
    </row>
    <row r="806">
      <c r="A806" s="16" t="s">
        <v>51</v>
      </c>
      <c r="B806" s="50" t="str">
        <f>IFERROR(HYPERLINK(VLOOKUP(A806,Internal_lists_bugs!$A$2:$C$73,3,FALSE()), VLOOKUP(A806,Internal_lists_bugs!$A$2:$C$73,3,FALSE())&amp;Char(10) &amp; Char(10) &amp; VLOOKUP(A806,Internal_lists_bugs!$A$2:$Z$73,26,FALSE())),"please select a BUG ID")</f>
        <v>https://bugs.launchpad.net/nova/+bug/1370590
/libvirt/driver.py</v>
      </c>
      <c r="C806" s="81" t="str">
        <f>IFERROR(VLOOKUP(A806,Internal_lists_bugs!$A$2:$I7981,9,FALSE()),"please select a BUG ID")</f>
        <v>https://review.opendev.org/c/openstack/nova/+/74537</v>
      </c>
      <c r="D806" s="114"/>
      <c r="E806" s="114"/>
      <c r="F806" s="115"/>
      <c r="G806" s="16" t="s">
        <v>1514</v>
      </c>
      <c r="H806" s="16" t="s">
        <v>2411</v>
      </c>
      <c r="I806" s="82"/>
      <c r="J806" s="92"/>
      <c r="K806" s="82"/>
      <c r="M806" s="114"/>
      <c r="N806" s="1"/>
      <c r="O806" s="1"/>
      <c r="P806" s="51"/>
    </row>
    <row r="807">
      <c r="A807" s="16" t="s">
        <v>51</v>
      </c>
      <c r="B807" s="50" t="str">
        <f>IFERROR(HYPERLINK(VLOOKUP(A807,Internal_lists_bugs!$A$2:$C$73,3,FALSE()), VLOOKUP(A807,Internal_lists_bugs!$A$2:$C$73,3,FALSE())&amp;Char(10) &amp; Char(10) &amp; VLOOKUP(A807,Internal_lists_bugs!$A$2:$Z$73,26,FALSE())),"please select a BUG ID")</f>
        <v>https://bugs.launchpad.net/nova/+bug/1370590
/libvirt/driver.py</v>
      </c>
      <c r="C807" s="81" t="str">
        <f>IFERROR(VLOOKUP(A807,Internal_lists_bugs!$A$2:$I7981,9,FALSE()),"please select a BUG ID")</f>
        <v>https://review.opendev.org/c/openstack/nova/+/74537</v>
      </c>
      <c r="D807" s="114"/>
      <c r="E807" s="114"/>
      <c r="F807" s="115"/>
      <c r="G807" s="16" t="s">
        <v>1639</v>
      </c>
      <c r="H807" s="16" t="s">
        <v>2412</v>
      </c>
      <c r="I807" s="82"/>
      <c r="J807" s="92"/>
      <c r="K807" s="82"/>
      <c r="M807" s="114" t="str">
        <f>VLOOKUP(A807,'BIC_(C_Variables)'!$A$3:$AS$43,45,FALSE())</f>
        <v/>
      </c>
      <c r="N807" s="1"/>
      <c r="O807" s="1"/>
      <c r="P807" s="81" t="str">
        <f>IFERROR(VLOOKUP(A807,Internal_lists_bugs!$A$2:$G7981,7,FALSE()),"please select a BUG ID")</f>
        <v>https://opendev.org/openstack/nova/commit/7326bac8f95</v>
      </c>
    </row>
    <row r="808">
      <c r="A808" s="16" t="s">
        <v>51</v>
      </c>
      <c r="B808" s="50" t="str">
        <f>IFERROR(HYPERLINK(VLOOKUP(A808,Internal_lists_bugs!$A$2:$C$73,3,FALSE()), VLOOKUP(A808,Internal_lists_bugs!$A$2:$C$73,3,FALSE())&amp;Char(10) &amp; Char(10) &amp; VLOOKUP(A808,Internal_lists_bugs!$A$2:$Z$73,26,FALSE())),"please select a BUG ID")</f>
        <v>https://bugs.launchpad.net/nova/+bug/1370590
/libvirt/driver.py</v>
      </c>
      <c r="C808" s="81" t="str">
        <f>IFERROR(VLOOKUP(A808,Internal_lists_bugs!$A$2:$I7981,9,FALSE()),"please select a BUG ID")</f>
        <v>https://review.opendev.org/c/openstack/nova/+/74537</v>
      </c>
      <c r="D808" s="114"/>
      <c r="E808" s="114"/>
      <c r="F808" s="115"/>
      <c r="G808" s="16" t="s">
        <v>1641</v>
      </c>
      <c r="H808" s="16" t="s">
        <v>2413</v>
      </c>
      <c r="I808" s="82"/>
      <c r="J808" s="92"/>
      <c r="K808" s="82"/>
      <c r="M808" s="114" t="str">
        <f>VLOOKUP(A808,'BIC_(C_Variables)'!$A$3:$AS$43,45,FALSE())</f>
        <v/>
      </c>
      <c r="N808" s="1"/>
      <c r="O808" s="1"/>
      <c r="P808" s="81" t="str">
        <f>IFERROR(VLOOKUP(A808,Internal_lists_bugs!$A$2:$G7981,7,FALSE()),"please select a BUG ID")</f>
        <v>https://opendev.org/openstack/nova/commit/7326bac8f95</v>
      </c>
    </row>
    <row r="809">
      <c r="A809" s="16" t="s">
        <v>51</v>
      </c>
      <c r="B809" s="50" t="str">
        <f>IFERROR(HYPERLINK(VLOOKUP(A809,Internal_lists_bugs!$A$2:$C$73,3,FALSE()), VLOOKUP(A809,Internal_lists_bugs!$A$2:$C$73,3,FALSE())&amp;Char(10) &amp; Char(10) &amp; VLOOKUP(A809,Internal_lists_bugs!$A$2:$Z$73,26,FALSE())),"please select a BUG ID")</f>
        <v>https://bugs.launchpad.net/nova/+bug/1370590
/libvirt/driver.py</v>
      </c>
      <c r="C809" s="81" t="str">
        <f>IFERROR(VLOOKUP(A809,Internal_lists_bugs!$A$2:$I7981,9,FALSE()),"please select a BUG ID")</f>
        <v>https://review.opendev.org/c/openstack/nova/+/74537</v>
      </c>
      <c r="D809" s="114"/>
      <c r="E809" s="114"/>
      <c r="F809" s="115"/>
      <c r="G809" s="16" t="s">
        <v>1515</v>
      </c>
      <c r="H809" s="16" t="s">
        <v>2414</v>
      </c>
      <c r="I809" s="82"/>
      <c r="J809" s="92"/>
      <c r="K809" s="82"/>
      <c r="M809" s="114" t="str">
        <f>VLOOKUP(A809,'BIC_(C_Variables)'!$A$3:$AS$43,45,FALSE())</f>
        <v/>
      </c>
      <c r="N809" s="1"/>
      <c r="O809" s="1"/>
      <c r="P809" s="81" t="str">
        <f>IFERROR(VLOOKUP(A809,Internal_lists_bugs!$A$2:$G7981,7,FALSE()),"please select a BUG ID")</f>
        <v>https://opendev.org/openstack/nova/commit/7326bac8f95</v>
      </c>
    </row>
    <row r="810">
      <c r="A810" s="16" t="s">
        <v>51</v>
      </c>
      <c r="B810" s="50" t="str">
        <f>IFERROR(HYPERLINK(VLOOKUP(A810,Internal_lists_bugs!$A$2:$C$73,3,FALSE()), VLOOKUP(A810,Internal_lists_bugs!$A$2:$C$73,3,FALSE())&amp;Char(10) &amp; Char(10) &amp; VLOOKUP(A810,Internal_lists_bugs!$A$2:$Z$73,26,FALSE())),"please select a BUG ID")</f>
        <v>https://bugs.launchpad.net/nova/+bug/1370590
/libvirt/driver.py</v>
      </c>
      <c r="C810" s="81" t="str">
        <f>IFERROR(VLOOKUP(A810,Internal_lists_bugs!$A$2:$I7981,9,FALSE()),"please select a BUG ID")</f>
        <v>https://review.opendev.org/c/openstack/nova/+/74537</v>
      </c>
      <c r="D810" s="114"/>
      <c r="E810" s="114"/>
      <c r="F810" s="115"/>
      <c r="G810" s="16" t="s">
        <v>2415</v>
      </c>
      <c r="H810" s="16" t="s">
        <v>2416</v>
      </c>
      <c r="I810" s="82"/>
      <c r="J810" s="92"/>
      <c r="K810" s="82"/>
      <c r="M810" s="114"/>
      <c r="N810" s="1"/>
      <c r="O810" s="1"/>
      <c r="P810" s="51"/>
    </row>
    <row r="811">
      <c r="A811" s="16" t="s">
        <v>51</v>
      </c>
      <c r="B811" s="50" t="str">
        <f>IFERROR(HYPERLINK(VLOOKUP(A811,Internal_lists_bugs!$A$2:$C$73,3,FALSE()), VLOOKUP(A811,Internal_lists_bugs!$A$2:$C$73,3,FALSE())&amp;Char(10) &amp; Char(10) &amp; VLOOKUP(A811,Internal_lists_bugs!$A$2:$Z$73,26,FALSE())),"please select a BUG ID")</f>
        <v>https://bugs.launchpad.net/nova/+bug/1370590
/libvirt/driver.py</v>
      </c>
      <c r="C811" s="81" t="str">
        <f>IFERROR(VLOOKUP(A811,Internal_lists_bugs!$A$2:$I7981,9,FALSE()),"please select a BUG ID")</f>
        <v>https://review.opendev.org/c/openstack/nova/+/74537</v>
      </c>
      <c r="D811" s="114"/>
      <c r="E811" s="114"/>
      <c r="F811" s="115"/>
      <c r="G811" s="16" t="s">
        <v>1779</v>
      </c>
      <c r="H811" s="16" t="s">
        <v>2417</v>
      </c>
      <c r="I811" s="82"/>
      <c r="J811" s="92"/>
      <c r="K811" s="82"/>
      <c r="M811" s="114" t="str">
        <f>VLOOKUP(A811,'BIC_(C_Variables)'!$A$3:$AS$43,45,FALSE())</f>
        <v/>
      </c>
      <c r="N811" s="1"/>
      <c r="O811" s="1"/>
      <c r="P811" s="81" t="str">
        <f>IFERROR(VLOOKUP(A811,Internal_lists_bugs!$A$2:$G7981,7,FALSE()),"please select a BUG ID")</f>
        <v>https://opendev.org/openstack/nova/commit/7326bac8f95</v>
      </c>
    </row>
    <row r="812">
      <c r="A812" s="16" t="s">
        <v>51</v>
      </c>
      <c r="B812" s="50" t="str">
        <f>IFERROR(HYPERLINK(VLOOKUP(A812,Internal_lists_bugs!$A$2:$C$73,3,FALSE()), VLOOKUP(A812,Internal_lists_bugs!$A$2:$C$73,3,FALSE())&amp;Char(10) &amp; Char(10) &amp; VLOOKUP(A812,Internal_lists_bugs!$A$2:$Z$73,26,FALSE())),"please select a BUG ID")</f>
        <v>https://bugs.launchpad.net/nova/+bug/1370590
/libvirt/driver.py</v>
      </c>
      <c r="C812" s="81" t="str">
        <f>IFERROR(VLOOKUP(A812,Internal_lists_bugs!$A$2:$I7981,9,FALSE()),"please select a BUG ID")</f>
        <v>https://review.opendev.org/c/openstack/nova/+/74537</v>
      </c>
      <c r="D812" s="114"/>
      <c r="E812" s="114"/>
      <c r="F812" s="115"/>
      <c r="G812" s="16" t="s">
        <v>2047</v>
      </c>
      <c r="H812" s="16" t="s">
        <v>2418</v>
      </c>
      <c r="I812" s="82"/>
      <c r="J812" s="92"/>
      <c r="K812" s="82"/>
      <c r="M812" s="114" t="str">
        <f>VLOOKUP(A812,'BIC_(C_Variables)'!$A$3:$AS$43,45,FALSE())</f>
        <v/>
      </c>
      <c r="N812" s="1"/>
      <c r="O812" s="1"/>
      <c r="P812" s="81" t="str">
        <f>IFERROR(VLOOKUP(A812,Internal_lists_bugs!$A$2:$G7981,7,FALSE()),"please select a BUG ID")</f>
        <v>https://opendev.org/openstack/nova/commit/7326bac8f95</v>
      </c>
    </row>
    <row r="813">
      <c r="A813" s="16" t="s">
        <v>51</v>
      </c>
      <c r="B813" s="50" t="str">
        <f>IFERROR(HYPERLINK(VLOOKUP(A813,Internal_lists_bugs!$A$2:$C$73,3,FALSE()), VLOOKUP(A813,Internal_lists_bugs!$A$2:$C$73,3,FALSE())&amp;Char(10) &amp; Char(10) &amp; VLOOKUP(A813,Internal_lists_bugs!$A$2:$Z$73,26,FALSE())),"please select a BUG ID")</f>
        <v>https://bugs.launchpad.net/nova/+bug/1370590
/libvirt/driver.py</v>
      </c>
      <c r="C813" s="81" t="str">
        <f>IFERROR(VLOOKUP(A813,Internal_lists_bugs!$A$2:$I7981,9,FALSE()),"please select a BUG ID")</f>
        <v>https://review.opendev.org/c/openstack/nova/+/74537</v>
      </c>
      <c r="D813" s="114"/>
      <c r="E813" s="114"/>
      <c r="F813" s="115"/>
      <c r="G813" s="16" t="s">
        <v>1590</v>
      </c>
      <c r="H813" s="16" t="s">
        <v>2419</v>
      </c>
      <c r="I813" s="82"/>
      <c r="J813" s="92"/>
      <c r="K813" s="82"/>
      <c r="M813" s="114" t="str">
        <f>VLOOKUP(A813,'BIC_(C_Variables)'!$A$3:$AS$43,45,FALSE())</f>
        <v/>
      </c>
      <c r="N813" s="1"/>
      <c r="O813" s="1"/>
      <c r="P813" s="81" t="str">
        <f>IFERROR(VLOOKUP(A813,Internal_lists_bugs!$A$2:$G7981,7,FALSE()),"please select a BUG ID")</f>
        <v>https://opendev.org/openstack/nova/commit/7326bac8f95</v>
      </c>
    </row>
    <row r="814">
      <c r="A814" s="16" t="s">
        <v>51</v>
      </c>
      <c r="B814" s="50" t="str">
        <f>IFERROR(HYPERLINK(VLOOKUP(A814,Internal_lists_bugs!$A$2:$C$73,3,FALSE()), VLOOKUP(A814,Internal_lists_bugs!$A$2:$C$73,3,FALSE())&amp;Char(10) &amp; Char(10) &amp; VLOOKUP(A814,Internal_lists_bugs!$A$2:$Z$73,26,FALSE())),"please select a BUG ID")</f>
        <v>https://bugs.launchpad.net/nova/+bug/1370590
/libvirt/driver.py</v>
      </c>
      <c r="C814" s="81" t="str">
        <f>IFERROR(VLOOKUP(A814,Internal_lists_bugs!$A$2:$I7981,9,FALSE()),"please select a BUG ID")</f>
        <v>https://review.opendev.org/c/openstack/nova/+/74537</v>
      </c>
      <c r="D814" s="114"/>
      <c r="E814" s="114"/>
      <c r="F814" s="115"/>
      <c r="G814" s="16" t="s">
        <v>1538</v>
      </c>
      <c r="H814" s="16" t="s">
        <v>2420</v>
      </c>
      <c r="I814" s="82"/>
      <c r="J814" s="92"/>
      <c r="K814" s="82"/>
      <c r="M814" s="114" t="str">
        <f>VLOOKUP(A814,'BIC_(C_Variables)'!$A$3:$AS$43,45,FALSE())</f>
        <v/>
      </c>
      <c r="N814" s="1"/>
      <c r="O814" s="1"/>
      <c r="P814" s="81" t="str">
        <f>IFERROR(VLOOKUP(A814,Internal_lists_bugs!$A$2:$G7981,7,FALSE()),"please select a BUG ID")</f>
        <v>https://opendev.org/openstack/nova/commit/7326bac8f95</v>
      </c>
    </row>
    <row r="815">
      <c r="A815" s="16" t="s">
        <v>51</v>
      </c>
      <c r="B815" s="50" t="str">
        <f>IFERROR(HYPERLINK(VLOOKUP(A815,Internal_lists_bugs!$A$2:$C$73,3,FALSE()), VLOOKUP(A815,Internal_lists_bugs!$A$2:$C$73,3,FALSE())&amp;Char(10) &amp; Char(10) &amp; VLOOKUP(A815,Internal_lists_bugs!$A$2:$Z$73,26,FALSE())),"please select a BUG ID")</f>
        <v>https://bugs.launchpad.net/nova/+bug/1370590
/libvirt/driver.py</v>
      </c>
      <c r="C815" s="81" t="str">
        <f>IFERROR(VLOOKUP(A815,Internal_lists_bugs!$A$2:$I7981,9,FALSE()),"please select a BUG ID")</f>
        <v>https://review.opendev.org/c/openstack/nova/+/74537</v>
      </c>
      <c r="D815" s="114"/>
      <c r="E815" s="114"/>
      <c r="F815" s="115"/>
      <c r="G815" s="16" t="s">
        <v>1519</v>
      </c>
      <c r="H815" s="16" t="s">
        <v>2421</v>
      </c>
      <c r="I815" s="82"/>
      <c r="J815" s="92"/>
      <c r="K815" s="82"/>
      <c r="M815" s="114" t="str">
        <f>VLOOKUP(A815,'BIC_(C_Variables)'!$A$3:$AS$43,45,FALSE())</f>
        <v/>
      </c>
      <c r="N815" s="1"/>
      <c r="O815" s="1"/>
      <c r="P815" s="81" t="str">
        <f>IFERROR(VLOOKUP(A815,Internal_lists_bugs!$A$2:$G7981,7,FALSE()),"please select a BUG ID")</f>
        <v>https://opendev.org/openstack/nova/commit/7326bac8f95</v>
      </c>
    </row>
    <row r="816">
      <c r="A816" s="16" t="s">
        <v>51</v>
      </c>
      <c r="B816" s="50" t="str">
        <f>IFERROR(HYPERLINK(VLOOKUP(A816,Internal_lists_bugs!$A$2:$C$73,3,FALSE()), VLOOKUP(A816,Internal_lists_bugs!$A$2:$C$73,3,FALSE())&amp;Char(10) &amp; Char(10) &amp; VLOOKUP(A816,Internal_lists_bugs!$A$2:$Z$73,26,FALSE())),"please select a BUG ID")</f>
        <v>https://bugs.launchpad.net/nova/+bug/1370590
/libvirt/driver.py</v>
      </c>
      <c r="C816" s="81" t="str">
        <f>IFERROR(VLOOKUP(A816,Internal_lists_bugs!$A$2:$I7981,9,FALSE()),"please select a BUG ID")</f>
        <v>https://review.opendev.org/c/openstack/nova/+/74537</v>
      </c>
      <c r="D816" s="114"/>
      <c r="E816" s="114"/>
      <c r="F816" s="115"/>
      <c r="G816" s="16" t="s">
        <v>2422</v>
      </c>
      <c r="H816" s="16" t="s">
        <v>2423</v>
      </c>
      <c r="I816" s="82"/>
      <c r="J816" s="92"/>
      <c r="K816" s="82"/>
      <c r="M816" s="114" t="str">
        <f>VLOOKUP(A816,'BIC_(C_Variables)'!$A$3:$AS$43,45,FALSE())</f>
        <v/>
      </c>
      <c r="N816" s="1"/>
      <c r="O816" s="1"/>
      <c r="P816" s="81" t="str">
        <f>IFERROR(VLOOKUP(A816,Internal_lists_bugs!$A$2:$G7981,7,FALSE()),"please select a BUG ID")</f>
        <v>https://opendev.org/openstack/nova/commit/7326bac8f95</v>
      </c>
    </row>
    <row r="817">
      <c r="A817" s="16" t="s">
        <v>51</v>
      </c>
      <c r="B817" s="50" t="str">
        <f>IFERROR(HYPERLINK(VLOOKUP(A817,Internal_lists_bugs!$A$2:$C$73,3,FALSE()), VLOOKUP(A817,Internal_lists_bugs!$A$2:$C$73,3,FALSE())&amp;Char(10) &amp; Char(10) &amp; VLOOKUP(A817,Internal_lists_bugs!$A$2:$Z$73,26,FALSE())),"please select a BUG ID")</f>
        <v>https://bugs.launchpad.net/nova/+bug/1370590
/libvirt/driver.py</v>
      </c>
      <c r="C817" s="81" t="str">
        <f>IFERROR(VLOOKUP(A817,Internal_lists_bugs!$A$2:$I7981,9,FALSE()),"please select a BUG ID")</f>
        <v>https://review.opendev.org/c/openstack/nova/+/74537</v>
      </c>
      <c r="D817" s="114"/>
      <c r="E817" s="114"/>
      <c r="F817" s="115"/>
      <c r="G817" s="16" t="s">
        <v>2424</v>
      </c>
      <c r="H817" s="16" t="s">
        <v>2425</v>
      </c>
      <c r="I817" s="82"/>
      <c r="J817" s="92"/>
      <c r="K817" s="82"/>
      <c r="M817" s="114" t="str">
        <f>VLOOKUP(A817,'BIC_(C_Variables)'!$A$3:$AS$43,45,FALSE())</f>
        <v/>
      </c>
      <c r="N817" s="1"/>
      <c r="O817" s="1"/>
      <c r="P817" s="81" t="str">
        <f>IFERROR(VLOOKUP(A817,Internal_lists_bugs!$A$2:$G7981,7,FALSE()),"please select a BUG ID")</f>
        <v>https://opendev.org/openstack/nova/commit/7326bac8f95</v>
      </c>
    </row>
    <row r="818">
      <c r="A818" s="16" t="s">
        <v>51</v>
      </c>
      <c r="B818" s="50" t="str">
        <f>IFERROR(HYPERLINK(VLOOKUP(A818,Internal_lists_bugs!$A$2:$C$73,3,FALSE()), VLOOKUP(A818,Internal_lists_bugs!$A$2:$C$73,3,FALSE())&amp;Char(10) &amp; Char(10) &amp; VLOOKUP(A818,Internal_lists_bugs!$A$2:$Z$73,26,FALSE())),"please select a BUG ID")</f>
        <v>https://bugs.launchpad.net/nova/+bug/1370590
/libvirt/driver.py</v>
      </c>
      <c r="C818" s="81" t="str">
        <f>IFERROR(VLOOKUP(A818,Internal_lists_bugs!$A$2:$I7981,9,FALSE()),"please select a BUG ID")</f>
        <v>https://review.opendev.org/c/openstack/nova/+/74537</v>
      </c>
      <c r="D818" s="114"/>
      <c r="E818" s="114"/>
      <c r="F818" s="115"/>
      <c r="G818" s="16" t="s">
        <v>1728</v>
      </c>
      <c r="H818" s="16" t="s">
        <v>2426</v>
      </c>
      <c r="I818" s="82"/>
      <c r="J818" s="92"/>
      <c r="K818" s="82"/>
      <c r="M818" s="114" t="str">
        <f>VLOOKUP(A818,'BIC_(C_Variables)'!$A$3:$AS$43,45,FALSE())</f>
        <v/>
      </c>
      <c r="N818" s="1"/>
      <c r="O818" s="1"/>
      <c r="P818" s="81" t="str">
        <f>IFERROR(VLOOKUP(A818,Internal_lists_bugs!$A$2:$G7981,7,FALSE()),"please select a BUG ID")</f>
        <v>https://opendev.org/openstack/nova/commit/7326bac8f95</v>
      </c>
    </row>
    <row r="819">
      <c r="A819" s="16" t="s">
        <v>51</v>
      </c>
      <c r="B819" s="50" t="str">
        <f>IFERROR(HYPERLINK(VLOOKUP(A819,Internal_lists_bugs!$A$2:$C$73,3,FALSE()), VLOOKUP(A819,Internal_lists_bugs!$A$2:$C$73,3,FALSE())&amp;Char(10) &amp; Char(10) &amp; VLOOKUP(A819,Internal_lists_bugs!$A$2:$Z$73,26,FALSE())),"please select a BUG ID")</f>
        <v>https://bugs.launchpad.net/nova/+bug/1370590
/libvirt/driver.py</v>
      </c>
      <c r="C819" s="81" t="str">
        <f>IFERROR(VLOOKUP(A819,Internal_lists_bugs!$A$2:$I7981,9,FALSE()),"please select a BUG ID")</f>
        <v>https://review.opendev.org/c/openstack/nova/+/74537</v>
      </c>
      <c r="D819" s="114"/>
      <c r="E819" s="114"/>
      <c r="F819" s="115"/>
      <c r="G819" s="16" t="s">
        <v>2427</v>
      </c>
      <c r="H819" s="16" t="s">
        <v>2428</v>
      </c>
      <c r="I819" s="82"/>
      <c r="J819" s="92"/>
      <c r="K819" s="82"/>
      <c r="M819" s="114" t="str">
        <f>VLOOKUP(A819,'BIC_(C_Variables)'!$A$3:$AS$43,45,FALSE())</f>
        <v/>
      </c>
      <c r="N819" s="1"/>
      <c r="O819" s="1"/>
      <c r="P819" s="81" t="str">
        <f>IFERROR(VLOOKUP(A819,Internal_lists_bugs!$A$2:$G7981,7,FALSE()),"please select a BUG ID")</f>
        <v>https://opendev.org/openstack/nova/commit/7326bac8f95</v>
      </c>
    </row>
    <row r="820">
      <c r="A820" s="16" t="s">
        <v>51</v>
      </c>
      <c r="B820" s="50" t="str">
        <f>IFERROR(HYPERLINK(VLOOKUP(A820,Internal_lists_bugs!$A$2:$C$73,3,FALSE()), VLOOKUP(A820,Internal_lists_bugs!$A$2:$C$73,3,FALSE())&amp;Char(10) &amp; Char(10) &amp; VLOOKUP(A820,Internal_lists_bugs!$A$2:$Z$73,26,FALSE())),"please select a BUG ID")</f>
        <v>https://bugs.launchpad.net/nova/+bug/1370590
/libvirt/driver.py</v>
      </c>
      <c r="C820" s="81" t="str">
        <f>IFERROR(VLOOKUP(A820,Internal_lists_bugs!$A$2:$I7981,9,FALSE()),"please select a BUG ID")</f>
        <v>https://review.opendev.org/c/openstack/nova/+/74537</v>
      </c>
      <c r="D820" s="114"/>
      <c r="E820" s="114"/>
      <c r="F820" s="115"/>
      <c r="G820" s="16" t="s">
        <v>1750</v>
      </c>
      <c r="H820" s="16" t="s">
        <v>2429</v>
      </c>
      <c r="I820" s="82"/>
      <c r="J820" s="92"/>
      <c r="K820" s="82"/>
      <c r="M820" s="114" t="str">
        <f>VLOOKUP(A820,'BIC_(C_Variables)'!$A$3:$AS$43,45,FALSE())</f>
        <v/>
      </c>
      <c r="N820" s="1"/>
      <c r="O820" s="1"/>
      <c r="P820" s="81" t="str">
        <f>IFERROR(VLOOKUP(A820,Internal_lists_bugs!$A$2:$G7981,7,FALSE()),"please select a BUG ID")</f>
        <v>https://opendev.org/openstack/nova/commit/7326bac8f95</v>
      </c>
    </row>
    <row r="821">
      <c r="A821" s="16" t="s">
        <v>51</v>
      </c>
      <c r="B821" s="50" t="str">
        <f>IFERROR(HYPERLINK(VLOOKUP(A821,Internal_lists_bugs!$A$2:$C$73,3,FALSE()), VLOOKUP(A821,Internal_lists_bugs!$A$2:$C$73,3,FALSE())&amp;Char(10) &amp; Char(10) &amp; VLOOKUP(A821,Internal_lists_bugs!$A$2:$Z$73,26,FALSE())),"please select a BUG ID")</f>
        <v>https://bugs.launchpad.net/nova/+bug/1370590
/libvirt/driver.py</v>
      </c>
      <c r="C821" s="81" t="str">
        <f>IFERROR(VLOOKUP(A821,Internal_lists_bugs!$A$2:$I7981,9,FALSE()),"please select a BUG ID")</f>
        <v>https://review.opendev.org/c/openstack/nova/+/74537</v>
      </c>
      <c r="D821" s="114"/>
      <c r="E821" s="114"/>
      <c r="F821" s="115"/>
      <c r="G821" s="16" t="s">
        <v>2430</v>
      </c>
      <c r="H821" s="16" t="s">
        <v>2431</v>
      </c>
      <c r="I821" s="82"/>
      <c r="J821" s="92"/>
      <c r="K821" s="82"/>
      <c r="M821" s="114" t="str">
        <f>VLOOKUP(A821,'BIC_(C_Variables)'!$A$3:$AS$43,45,FALSE())</f>
        <v/>
      </c>
      <c r="N821" s="1"/>
      <c r="O821" s="1"/>
      <c r="P821" s="81" t="str">
        <f>IFERROR(VLOOKUP(A821,Internal_lists_bugs!$A$2:$G7981,7,FALSE()),"please select a BUG ID")</f>
        <v>https://opendev.org/openstack/nova/commit/7326bac8f95</v>
      </c>
    </row>
    <row r="822">
      <c r="A822" s="16" t="s">
        <v>51</v>
      </c>
      <c r="B822" s="50" t="str">
        <f>IFERROR(HYPERLINK(VLOOKUP(A822,Internal_lists_bugs!$A$2:$C$73,3,FALSE()), VLOOKUP(A822,Internal_lists_bugs!$A$2:$C$73,3,FALSE())&amp;Char(10) &amp; Char(10) &amp; VLOOKUP(A822,Internal_lists_bugs!$A$2:$Z$73,26,FALSE())),"please select a BUG ID")</f>
        <v>https://bugs.launchpad.net/nova/+bug/1370590
/libvirt/driver.py</v>
      </c>
      <c r="C822" s="81" t="str">
        <f>IFERROR(VLOOKUP(A822,Internal_lists_bugs!$A$2:$I7981,9,FALSE()),"please select a BUG ID")</f>
        <v>https://review.opendev.org/c/openstack/nova/+/74537</v>
      </c>
      <c r="D822" s="114"/>
      <c r="E822" s="114"/>
      <c r="F822" s="115"/>
      <c r="G822" s="16" t="s">
        <v>2432</v>
      </c>
      <c r="H822" s="16" t="s">
        <v>2433</v>
      </c>
      <c r="I822" s="82"/>
      <c r="J822" s="92"/>
      <c r="K822" s="82"/>
      <c r="M822" s="114" t="str">
        <f>VLOOKUP(A822,'BIC_(C_Variables)'!$A$3:$AS$43,45,FALSE())</f>
        <v/>
      </c>
      <c r="N822" s="1"/>
      <c r="O822" s="1"/>
      <c r="P822" s="81" t="str">
        <f>IFERROR(VLOOKUP(A822,Internal_lists_bugs!$A$2:$G7981,7,FALSE()),"please select a BUG ID")</f>
        <v>https://opendev.org/openstack/nova/commit/7326bac8f95</v>
      </c>
    </row>
    <row r="823">
      <c r="A823" s="16" t="s">
        <v>51</v>
      </c>
      <c r="B823" s="50" t="str">
        <f>IFERROR(HYPERLINK(VLOOKUP(A823,Internal_lists_bugs!$A$2:$C$73,3,FALSE()), VLOOKUP(A823,Internal_lists_bugs!$A$2:$C$73,3,FALSE())&amp;Char(10) &amp; Char(10) &amp; VLOOKUP(A823,Internal_lists_bugs!$A$2:$Z$73,26,FALSE())),"please select a BUG ID")</f>
        <v>https://bugs.launchpad.net/nova/+bug/1370590
/libvirt/driver.py</v>
      </c>
      <c r="C823" s="81" t="str">
        <f>IFERROR(VLOOKUP(A823,Internal_lists_bugs!$A$2:$I7981,9,FALSE()),"please select a BUG ID")</f>
        <v>https://review.opendev.org/c/openstack/nova/+/74537</v>
      </c>
      <c r="D823" s="114"/>
      <c r="E823" s="114"/>
      <c r="F823" s="115"/>
      <c r="G823" s="16" t="s">
        <v>2434</v>
      </c>
      <c r="H823" s="16" t="s">
        <v>2435</v>
      </c>
      <c r="I823" s="82"/>
      <c r="J823" s="92"/>
      <c r="K823" s="82"/>
      <c r="M823" s="114"/>
      <c r="N823" s="1"/>
      <c r="O823" s="1"/>
      <c r="P823" s="51"/>
    </row>
    <row r="824">
      <c r="A824" s="16" t="s">
        <v>51</v>
      </c>
      <c r="B824" s="50" t="str">
        <f>IFERROR(HYPERLINK(VLOOKUP(A824,Internal_lists_bugs!$A$2:$C$73,3,FALSE()), VLOOKUP(A824,Internal_lists_bugs!$A$2:$C$73,3,FALSE())&amp;Char(10) &amp; Char(10) &amp; VLOOKUP(A824,Internal_lists_bugs!$A$2:$Z$73,26,FALSE())),"please select a BUG ID")</f>
        <v>https://bugs.launchpad.net/nova/+bug/1370590
/libvirt/driver.py</v>
      </c>
      <c r="C824" s="81" t="str">
        <f>IFERROR(VLOOKUP(A824,Internal_lists_bugs!$A$2:$I7981,9,FALSE()),"please select a BUG ID")</f>
        <v>https://review.opendev.org/c/openstack/nova/+/74537</v>
      </c>
      <c r="D824" s="114"/>
      <c r="E824" s="114"/>
      <c r="F824" s="115"/>
      <c r="G824" s="16" t="s">
        <v>2436</v>
      </c>
      <c r="H824" s="16" t="s">
        <v>2437</v>
      </c>
      <c r="I824" s="82"/>
      <c r="J824" s="92"/>
      <c r="K824" s="82"/>
      <c r="M824" s="114" t="str">
        <f>VLOOKUP(A824,'BIC_(C_Variables)'!$A$3:$AS$43,45,FALSE())</f>
        <v/>
      </c>
      <c r="N824" s="1"/>
      <c r="O824" s="1"/>
      <c r="P824" s="81" t="str">
        <f>IFERROR(VLOOKUP(A824,Internal_lists_bugs!$A$2:$G7981,7,FALSE()),"please select a BUG ID")</f>
        <v>https://opendev.org/openstack/nova/commit/7326bac8f95</v>
      </c>
    </row>
    <row r="825">
      <c r="A825" s="16" t="s">
        <v>51</v>
      </c>
      <c r="B825" s="50" t="str">
        <f>IFERROR(HYPERLINK(VLOOKUP(A825,Internal_lists_bugs!$A$2:$C$73,3,FALSE()), VLOOKUP(A825,Internal_lists_bugs!$A$2:$C$73,3,FALSE())&amp;Char(10) &amp; Char(10) &amp; VLOOKUP(A825,Internal_lists_bugs!$A$2:$Z$73,26,FALSE())),"please select a BUG ID")</f>
        <v>https://bugs.launchpad.net/nova/+bug/1370590
/libvirt/driver.py</v>
      </c>
      <c r="C825" s="81" t="str">
        <f>IFERROR(VLOOKUP(A825,Internal_lists_bugs!$A$2:$I7981,9,FALSE()),"please select a BUG ID")</f>
        <v>https://review.opendev.org/c/openstack/nova/+/74537</v>
      </c>
      <c r="D825" s="114"/>
      <c r="E825" s="114"/>
      <c r="F825" s="115"/>
      <c r="G825" s="16" t="s">
        <v>2051</v>
      </c>
      <c r="H825" s="16" t="s">
        <v>2437</v>
      </c>
      <c r="I825" s="82"/>
      <c r="J825" s="92"/>
      <c r="K825" s="82"/>
      <c r="M825" s="114" t="str">
        <f>VLOOKUP(A825,'BIC_(C_Variables)'!$A$3:$AS$43,45,FALSE())</f>
        <v/>
      </c>
      <c r="N825" s="1"/>
      <c r="O825" s="1"/>
      <c r="P825" s="81" t="str">
        <f>IFERROR(VLOOKUP(A825,Internal_lists_bugs!$A$2:$G7981,7,FALSE()),"please select a BUG ID")</f>
        <v>https://opendev.org/openstack/nova/commit/7326bac8f95</v>
      </c>
    </row>
    <row r="826">
      <c r="A826" s="16" t="s">
        <v>51</v>
      </c>
      <c r="B826" s="50" t="str">
        <f>IFERROR(HYPERLINK(VLOOKUP(A826,Internal_lists_bugs!$A$2:$C$73,3,FALSE()), VLOOKUP(A826,Internal_lists_bugs!$A$2:$C$73,3,FALSE())&amp;Char(10) &amp; Char(10) &amp; VLOOKUP(A826,Internal_lists_bugs!$A$2:$Z$73,26,FALSE())),"please select a BUG ID")</f>
        <v>https://bugs.launchpad.net/nova/+bug/1370590
/libvirt/driver.py</v>
      </c>
      <c r="C826" s="81" t="str">
        <f>IFERROR(VLOOKUP(A826,Internal_lists_bugs!$A$2:$I7981,9,FALSE()),"please select a BUG ID")</f>
        <v>https://review.opendev.org/c/openstack/nova/+/74537</v>
      </c>
      <c r="D826" s="114"/>
      <c r="E826" s="114"/>
      <c r="F826" s="115"/>
      <c r="G826" s="16" t="s">
        <v>2053</v>
      </c>
      <c r="H826" s="16" t="s">
        <v>2438</v>
      </c>
      <c r="I826" s="82"/>
      <c r="J826" s="92"/>
      <c r="K826" s="82"/>
      <c r="M826" s="114" t="str">
        <f>VLOOKUP(A826,'BIC_(C_Variables)'!$A$3:$AS$43,45,FALSE())</f>
        <v/>
      </c>
      <c r="N826" s="1"/>
      <c r="O826" s="1"/>
      <c r="P826" s="81" t="str">
        <f>IFERROR(VLOOKUP(A826,Internal_lists_bugs!$A$2:$G7981,7,FALSE()),"please select a BUG ID")</f>
        <v>https://opendev.org/openstack/nova/commit/7326bac8f95</v>
      </c>
    </row>
    <row r="827">
      <c r="A827" s="16" t="s">
        <v>51</v>
      </c>
      <c r="B827" s="50" t="str">
        <f>IFERROR(HYPERLINK(VLOOKUP(A827,Internal_lists_bugs!$A$2:$C$73,3,FALSE()), VLOOKUP(A827,Internal_lists_bugs!$A$2:$C$73,3,FALSE())&amp;Char(10) &amp; Char(10) &amp; VLOOKUP(A827,Internal_lists_bugs!$A$2:$Z$73,26,FALSE())),"please select a BUG ID")</f>
        <v>https://bugs.launchpad.net/nova/+bug/1370590
/libvirt/driver.py</v>
      </c>
      <c r="C827" s="81" t="str">
        <f>IFERROR(VLOOKUP(A827,Internal_lists_bugs!$A$2:$I7981,9,FALSE()),"please select a BUG ID")</f>
        <v>https://review.opendev.org/c/openstack/nova/+/74537</v>
      </c>
      <c r="D827" s="114"/>
      <c r="E827" s="114"/>
      <c r="F827" s="115"/>
      <c r="G827" s="16" t="s">
        <v>2055</v>
      </c>
      <c r="H827" s="16" t="s">
        <v>2439</v>
      </c>
      <c r="I827" s="82"/>
      <c r="J827" s="92"/>
      <c r="K827" s="82"/>
      <c r="M827" s="114" t="str">
        <f>VLOOKUP(A827,'BIC_(C_Variables)'!$A$3:$AS$43,45,FALSE())</f>
        <v/>
      </c>
      <c r="N827" s="1"/>
      <c r="O827" s="1"/>
      <c r="P827" s="81" t="str">
        <f>IFERROR(VLOOKUP(A827,Internal_lists_bugs!$A$2:$G7981,7,FALSE()),"please select a BUG ID")</f>
        <v>https://opendev.org/openstack/nova/commit/7326bac8f95</v>
      </c>
    </row>
    <row r="828">
      <c r="A828" s="16" t="s">
        <v>51</v>
      </c>
      <c r="B828" s="50" t="str">
        <f>IFERROR(HYPERLINK(VLOOKUP(A828,Internal_lists_bugs!$A$2:$C$73,3,FALSE()), VLOOKUP(A828,Internal_lists_bugs!$A$2:$C$73,3,FALSE())&amp;Char(10) &amp; Char(10) &amp; VLOOKUP(A828,Internal_lists_bugs!$A$2:$Z$73,26,FALSE())),"please select a BUG ID")</f>
        <v>https://bugs.launchpad.net/nova/+bug/1370590
/libvirt/driver.py</v>
      </c>
      <c r="C828" s="81" t="str">
        <f>IFERROR(VLOOKUP(A828,Internal_lists_bugs!$A$2:$I7981,9,FALSE()),"please select a BUG ID")</f>
        <v>https://review.opendev.org/c/openstack/nova/+/74537</v>
      </c>
      <c r="D828" s="114"/>
      <c r="E828" s="114"/>
      <c r="F828" s="115"/>
      <c r="G828" s="16" t="s">
        <v>2280</v>
      </c>
      <c r="H828" s="16" t="s">
        <v>2440</v>
      </c>
      <c r="I828" s="82"/>
      <c r="J828" s="92"/>
      <c r="K828" s="82"/>
      <c r="M828" s="114"/>
      <c r="N828" s="1"/>
      <c r="O828" s="1"/>
      <c r="P828" s="51"/>
    </row>
    <row r="829">
      <c r="A829" s="16" t="s">
        <v>51</v>
      </c>
      <c r="B829" s="50" t="str">
        <f>IFERROR(HYPERLINK(VLOOKUP(A829,Internal_lists_bugs!$A$2:$C$73,3,FALSE()), VLOOKUP(A829,Internal_lists_bugs!$A$2:$C$73,3,FALSE())&amp;Char(10) &amp; Char(10) &amp; VLOOKUP(A829,Internal_lists_bugs!$A$2:$Z$73,26,FALSE())),"please select a BUG ID")</f>
        <v>https://bugs.launchpad.net/nova/+bug/1370590
/libvirt/driver.py</v>
      </c>
      <c r="C829" s="81" t="str">
        <f>IFERROR(VLOOKUP(A829,Internal_lists_bugs!$A$2:$I7981,9,FALSE()),"please select a BUG ID")</f>
        <v>https://review.opendev.org/c/openstack/nova/+/74537</v>
      </c>
      <c r="D829" s="114"/>
      <c r="E829" s="114"/>
      <c r="F829" s="115"/>
      <c r="G829" s="16" t="s">
        <v>1570</v>
      </c>
      <c r="H829" s="16" t="s">
        <v>2440</v>
      </c>
      <c r="I829" s="82"/>
      <c r="J829" s="92"/>
      <c r="K829" s="82"/>
      <c r="M829" s="114" t="str">
        <f>VLOOKUP(A829,'BIC_(C_Variables)'!$A$3:$AS$43,45,FALSE())</f>
        <v/>
      </c>
      <c r="N829" s="1"/>
      <c r="O829" s="1"/>
      <c r="P829" s="81" t="str">
        <f>IFERROR(VLOOKUP(A829,Internal_lists_bugs!$A$2:$G7981,7,FALSE()),"please select a BUG ID")</f>
        <v>https://opendev.org/openstack/nova/commit/7326bac8f95</v>
      </c>
    </row>
    <row r="830">
      <c r="A830" s="16" t="s">
        <v>51</v>
      </c>
      <c r="B830" s="50" t="str">
        <f>IFERROR(HYPERLINK(VLOOKUP(A830,Internal_lists_bugs!$A$2:$C$73,3,FALSE()), VLOOKUP(A830,Internal_lists_bugs!$A$2:$C$73,3,FALSE())&amp;Char(10) &amp; Char(10) &amp; VLOOKUP(A830,Internal_lists_bugs!$A$2:$Z$73,26,FALSE())),"please select a BUG ID")</f>
        <v>https://bugs.launchpad.net/nova/+bug/1370590
/libvirt/driver.py</v>
      </c>
      <c r="C830" s="81" t="str">
        <f>IFERROR(VLOOKUP(A830,Internal_lists_bugs!$A$2:$I7981,9,FALSE()),"please select a BUG ID")</f>
        <v>https://review.opendev.org/c/openstack/nova/+/74537</v>
      </c>
      <c r="D830" s="112"/>
      <c r="E830" s="112"/>
      <c r="F830" s="113"/>
      <c r="G830" s="16" t="s">
        <v>1460</v>
      </c>
      <c r="H830" s="16" t="s">
        <v>1997</v>
      </c>
      <c r="I830" s="79"/>
      <c r="J830" s="93"/>
      <c r="K830" s="79"/>
      <c r="L830" s="16"/>
      <c r="M830" s="114" t="str">
        <f>VLOOKUP(A830,'BIC_(C_Variables)'!$A$3:$AS$43,45,FALSE())</f>
        <v/>
      </c>
      <c r="N830" s="1"/>
      <c r="O830" s="1"/>
      <c r="P830" s="81" t="str">
        <f>IFERROR(VLOOKUP(A830,Internal_lists_bugs!$A$2:$G7981,7,FALSE()),"please select a BUG ID")</f>
        <v>https://opendev.org/openstack/nova/commit/7326bac8f95</v>
      </c>
    </row>
    <row r="831">
      <c r="A831" s="16" t="s">
        <v>53</v>
      </c>
      <c r="B831" s="50" t="str">
        <f>IFERROR(HYPERLINK(VLOOKUP(A831,Internal_lists_bugs!$A$2:$C$73,3,FALSE()), VLOOKUP(A831,Internal_lists_bugs!$A$2:$C$73,3,FALSE())&amp;Char(10) &amp; Char(10) &amp; VLOOKUP(A831,Internal_lists_bugs!$A$2:$Z$73,26,FALSE())),"please select a BUG ID")</f>
        <v>https://bugs.launchpad.net/nova/+bug/1336127
/compute/manager.py</v>
      </c>
      <c r="C831" s="81" t="str">
        <f>IFERROR(VLOOKUP(A831,Internal_lists_bugs!$A$2:$I7981,9,FALSE()),"please select a BUG ID")</f>
        <v>https://review.opendev.org/c/openstack/nova/+/42389</v>
      </c>
      <c r="D831" s="112" t="s">
        <v>1412</v>
      </c>
      <c r="E831" s="112" t="s">
        <v>1462</v>
      </c>
      <c r="F831" s="113" t="s">
        <v>251</v>
      </c>
      <c r="G831" s="16" t="s">
        <v>1465</v>
      </c>
      <c r="H831" s="16" t="s">
        <v>2441</v>
      </c>
      <c r="I831" s="79" t="s">
        <v>251</v>
      </c>
      <c r="J831" s="93" t="s">
        <v>2442</v>
      </c>
      <c r="K831" s="79" t="s">
        <v>251</v>
      </c>
      <c r="L831" s="16" t="s">
        <v>2443</v>
      </c>
      <c r="M831" s="114" t="str">
        <f>VLOOKUP(A831,'BIC_(C_Variables)'!$A$3:$AS$43,45,FALSE())</f>
        <v/>
      </c>
      <c r="N831" s="1"/>
      <c r="O831" s="1"/>
      <c r="P831" s="81" t="str">
        <f>IFERROR(VLOOKUP(A831,Internal_lists_bugs!$A$2:$G7981,7,FALSE()),"please select a BUG ID")</f>
        <v>https://opendev.org/openstack/nova/commit/2c62e34</v>
      </c>
    </row>
    <row r="832">
      <c r="A832" s="16" t="s">
        <v>53</v>
      </c>
      <c r="B832" s="50" t="str">
        <f>IFERROR(HYPERLINK(VLOOKUP(A832,Internal_lists_bugs!$A$2:$C$73,3,FALSE()), VLOOKUP(A832,Internal_lists_bugs!$A$2:$C$73,3,FALSE())&amp;Char(10) &amp; Char(10) &amp; VLOOKUP(A832,Internal_lists_bugs!$A$2:$Z$73,26,FALSE())),"please select a BUG ID")</f>
        <v>https://bugs.launchpad.net/nova/+bug/1336127
/compute/manager.py</v>
      </c>
      <c r="C832" s="81" t="str">
        <f>IFERROR(VLOOKUP(A832,Internal_lists_bugs!$A$2:$I7981,9,FALSE()),"please select a BUG ID")</f>
        <v>https://review.opendev.org/c/openstack/nova/+/42389</v>
      </c>
      <c r="D832" s="114"/>
      <c r="E832" s="114"/>
      <c r="F832" s="115"/>
      <c r="G832" s="16" t="s">
        <v>1419</v>
      </c>
      <c r="H832" s="16" t="s">
        <v>2444</v>
      </c>
      <c r="I832" s="82"/>
      <c r="J832" s="92"/>
      <c r="K832" s="82"/>
      <c r="M832" s="114" t="str">
        <f>VLOOKUP(A832,'BIC_(C_Variables)'!$A$3:$AS$43,45,FALSE())</f>
        <v/>
      </c>
      <c r="N832" s="1"/>
      <c r="O832" s="1"/>
      <c r="P832" s="81" t="str">
        <f>IFERROR(VLOOKUP(A832,Internal_lists_bugs!$A$2:$G7981,7,FALSE()),"please select a BUG ID")</f>
        <v>https://opendev.org/openstack/nova/commit/2c62e34</v>
      </c>
    </row>
    <row r="833">
      <c r="A833" s="16" t="s">
        <v>53</v>
      </c>
      <c r="B833" s="50" t="str">
        <f>IFERROR(HYPERLINK(VLOOKUP(A833,Internal_lists_bugs!$A$2:$C$73,3,FALSE()), VLOOKUP(A833,Internal_lists_bugs!$A$2:$C$73,3,FALSE())&amp;Char(10) &amp; Char(10) &amp; VLOOKUP(A833,Internal_lists_bugs!$A$2:$Z$73,26,FALSE())),"please select a BUG ID")</f>
        <v>https://bugs.launchpad.net/nova/+bug/1336127
/compute/manager.py</v>
      </c>
      <c r="C833" s="81" t="str">
        <f>IFERROR(VLOOKUP(A833,Internal_lists_bugs!$A$2:$I7981,9,FALSE()),"please select a BUG ID")</f>
        <v>https://review.opendev.org/c/openstack/nova/+/42389</v>
      </c>
      <c r="D833" s="114"/>
      <c r="E833" s="114"/>
      <c r="F833" s="115"/>
      <c r="G833" s="16" t="s">
        <v>1417</v>
      </c>
      <c r="H833" s="16" t="s">
        <v>2445</v>
      </c>
      <c r="I833" s="82"/>
      <c r="J833" s="92"/>
      <c r="K833" s="82"/>
      <c r="M833" s="114" t="str">
        <f>VLOOKUP(A833,'BIC_(C_Variables)'!$A$3:$AS$43,45,FALSE())</f>
        <v/>
      </c>
      <c r="N833" s="1"/>
      <c r="O833" s="1"/>
      <c r="P833" s="81" t="str">
        <f>IFERROR(VLOOKUP(A833,Internal_lists_bugs!$A$2:$G7981,7,FALSE()),"please select a BUG ID")</f>
        <v>https://opendev.org/openstack/nova/commit/2c62e34</v>
      </c>
    </row>
    <row r="834">
      <c r="A834" s="16" t="s">
        <v>53</v>
      </c>
      <c r="B834" s="50" t="str">
        <f>IFERROR(HYPERLINK(VLOOKUP(A834,Internal_lists_bugs!$A$2:$C$73,3,FALSE()), VLOOKUP(A834,Internal_lists_bugs!$A$2:$C$73,3,FALSE())&amp;Char(10) &amp; Char(10) &amp; VLOOKUP(A834,Internal_lists_bugs!$A$2:$Z$73,26,FALSE())),"please select a BUG ID")</f>
        <v>https://bugs.launchpad.net/nova/+bug/1336127
/compute/manager.py</v>
      </c>
      <c r="C834" s="81" t="str">
        <f>IFERROR(VLOOKUP(A834,Internal_lists_bugs!$A$2:$I7981,9,FALSE()),"please select a BUG ID")</f>
        <v>https://review.opendev.org/c/openstack/nova/+/42389</v>
      </c>
      <c r="D834" s="114"/>
      <c r="E834" s="114"/>
      <c r="F834" s="115"/>
      <c r="G834" s="16" t="s">
        <v>1472</v>
      </c>
      <c r="H834" s="16" t="s">
        <v>2446</v>
      </c>
      <c r="I834" s="82"/>
      <c r="J834" s="92"/>
      <c r="K834" s="82"/>
      <c r="M834" s="114" t="str">
        <f>VLOOKUP(A834,'BIC_(C_Variables)'!$A$3:$AS$43,45,FALSE())</f>
        <v/>
      </c>
      <c r="N834" s="1"/>
      <c r="O834" s="1"/>
      <c r="P834" s="81" t="str">
        <f>IFERROR(VLOOKUP(A834,Internal_lists_bugs!$A$2:$G7981,7,FALSE()),"please select a BUG ID")</f>
        <v>https://opendev.org/openstack/nova/commit/2c62e34</v>
      </c>
    </row>
    <row r="835">
      <c r="A835" s="16" t="s">
        <v>53</v>
      </c>
      <c r="B835" s="50" t="str">
        <f>IFERROR(HYPERLINK(VLOOKUP(A835,Internal_lists_bugs!$A$2:$C$73,3,FALSE()), VLOOKUP(A835,Internal_lists_bugs!$A$2:$C$73,3,FALSE())&amp;Char(10) &amp; Char(10) &amp; VLOOKUP(A835,Internal_lists_bugs!$A$2:$Z$73,26,FALSE())),"please select a BUG ID")</f>
        <v>https://bugs.launchpad.net/nova/+bug/1336127
/compute/manager.py</v>
      </c>
      <c r="C835" s="81" t="str">
        <f>IFERROR(VLOOKUP(A835,Internal_lists_bugs!$A$2:$I7981,9,FALSE()),"please select a BUG ID")</f>
        <v>https://review.opendev.org/c/openstack/nova/+/42389</v>
      </c>
      <c r="D835" s="114"/>
      <c r="E835" s="114"/>
      <c r="F835" s="115"/>
      <c r="G835" s="16" t="s">
        <v>1913</v>
      </c>
      <c r="H835" s="16" t="s">
        <v>2447</v>
      </c>
      <c r="I835" s="82"/>
      <c r="J835" s="92"/>
      <c r="K835" s="82"/>
      <c r="M835" s="114" t="str">
        <f>VLOOKUP(A835,'BIC_(C_Variables)'!$A$3:$AS$43,45,FALSE())</f>
        <v/>
      </c>
      <c r="N835" s="1"/>
      <c r="O835" s="1"/>
      <c r="P835" s="81" t="str">
        <f>IFERROR(VLOOKUP(A835,Internal_lists_bugs!$A$2:$G7981,7,FALSE()),"please select a BUG ID")</f>
        <v>https://opendev.org/openstack/nova/commit/2c62e34</v>
      </c>
    </row>
    <row r="836">
      <c r="A836" s="16" t="s">
        <v>53</v>
      </c>
      <c r="B836" s="50" t="str">
        <f>IFERROR(HYPERLINK(VLOOKUP(A836,Internal_lists_bugs!$A$2:$C$73,3,FALSE()), VLOOKUP(A836,Internal_lists_bugs!$A$2:$C$73,3,FALSE())&amp;Char(10) &amp; Char(10) &amp; VLOOKUP(A836,Internal_lists_bugs!$A$2:$Z$73,26,FALSE())),"please select a BUG ID")</f>
        <v>https://bugs.launchpad.net/nova/+bug/1336127
/compute/manager.py</v>
      </c>
      <c r="C836" s="81" t="str">
        <f>IFERROR(VLOOKUP(A836,Internal_lists_bugs!$A$2:$I7981,9,FALSE()),"please select a BUG ID")</f>
        <v>https://review.opendev.org/c/openstack/nova/+/42389</v>
      </c>
      <c r="D836" s="114"/>
      <c r="E836" s="114"/>
      <c r="F836" s="115"/>
      <c r="G836" s="16" t="s">
        <v>1474</v>
      </c>
      <c r="H836" s="16" t="s">
        <v>2448</v>
      </c>
      <c r="I836" s="82"/>
      <c r="J836" s="92"/>
      <c r="K836" s="82"/>
      <c r="M836" s="114" t="str">
        <f>VLOOKUP(A836,'BIC_(C_Variables)'!$A$3:$AS$43,45,FALSE())</f>
        <v/>
      </c>
      <c r="N836" s="1"/>
      <c r="O836" s="1"/>
      <c r="P836" s="81" t="str">
        <f>IFERROR(VLOOKUP(A836,Internal_lists_bugs!$A$2:$G7981,7,FALSE()),"please select a BUG ID")</f>
        <v>https://opendev.org/openstack/nova/commit/2c62e34</v>
      </c>
    </row>
    <row r="837">
      <c r="A837" s="16" t="s">
        <v>53</v>
      </c>
      <c r="B837" s="50" t="str">
        <f>IFERROR(HYPERLINK(VLOOKUP(A837,Internal_lists_bugs!$A$2:$C$73,3,FALSE()), VLOOKUP(A837,Internal_lists_bugs!$A$2:$C$73,3,FALSE())&amp;Char(10) &amp; Char(10) &amp; VLOOKUP(A837,Internal_lists_bugs!$A$2:$Z$73,26,FALSE())),"please select a BUG ID")</f>
        <v>https://bugs.launchpad.net/nova/+bug/1336127
/compute/manager.py</v>
      </c>
      <c r="C837" s="81" t="str">
        <f>IFERROR(VLOOKUP(A837,Internal_lists_bugs!$A$2:$I7981,9,FALSE()),"please select a BUG ID")</f>
        <v>https://review.opendev.org/c/openstack/nova/+/42389</v>
      </c>
      <c r="D837" s="114"/>
      <c r="E837" s="114"/>
      <c r="F837" s="115"/>
      <c r="G837" s="16" t="s">
        <v>1590</v>
      </c>
      <c r="H837" s="16" t="s">
        <v>2449</v>
      </c>
      <c r="I837" s="82"/>
      <c r="J837" s="92"/>
      <c r="K837" s="82"/>
      <c r="M837" s="114" t="str">
        <f>VLOOKUP(A837,'BIC_(C_Variables)'!$A$3:$AS$43,45,FALSE())</f>
        <v/>
      </c>
      <c r="N837" s="1"/>
      <c r="O837" s="1"/>
      <c r="P837" s="81" t="str">
        <f>IFERROR(VLOOKUP(A837,Internal_lists_bugs!$A$2:$G7981,7,FALSE()),"please select a BUG ID")</f>
        <v>https://opendev.org/openstack/nova/commit/2c62e34</v>
      </c>
    </row>
    <row r="838">
      <c r="A838" s="16" t="s">
        <v>53</v>
      </c>
      <c r="B838" s="50" t="str">
        <f>IFERROR(HYPERLINK(VLOOKUP(A838,Internal_lists_bugs!$A$2:$C$73,3,FALSE()), VLOOKUP(A838,Internal_lists_bugs!$A$2:$C$73,3,FALSE())&amp;Char(10) &amp; Char(10) &amp; VLOOKUP(A838,Internal_lists_bugs!$A$2:$Z$73,26,FALSE())),"please select a BUG ID")</f>
        <v>https://bugs.launchpad.net/nova/+bug/1336127
/compute/manager.py</v>
      </c>
      <c r="C838" s="81" t="str">
        <f>IFERROR(VLOOKUP(A838,Internal_lists_bugs!$A$2:$I7981,9,FALSE()),"please select a BUG ID")</f>
        <v>https://review.opendev.org/c/openstack/nova/+/42389</v>
      </c>
      <c r="D838" s="114"/>
      <c r="E838" s="114"/>
      <c r="F838" s="115"/>
      <c r="G838" s="16" t="s">
        <v>1428</v>
      </c>
      <c r="H838" s="16" t="s">
        <v>2450</v>
      </c>
      <c r="I838" s="82"/>
      <c r="J838" s="92"/>
      <c r="K838" s="82"/>
      <c r="M838" s="114" t="str">
        <f>VLOOKUP(A838,'BIC_(C_Variables)'!$A$3:$AS$43,45,FALSE())</f>
        <v/>
      </c>
      <c r="N838" s="1"/>
      <c r="O838" s="1"/>
      <c r="P838" s="81" t="str">
        <f>IFERROR(VLOOKUP(A838,Internal_lists_bugs!$A$2:$G7981,7,FALSE()),"please select a BUG ID")</f>
        <v>https://opendev.org/openstack/nova/commit/2c62e34</v>
      </c>
    </row>
    <row r="839">
      <c r="A839" s="16" t="s">
        <v>53</v>
      </c>
      <c r="B839" s="50" t="str">
        <f>IFERROR(HYPERLINK(VLOOKUP(A839,Internal_lists_bugs!$A$2:$C$73,3,FALSE()), VLOOKUP(A839,Internal_lists_bugs!$A$2:$C$73,3,FALSE())&amp;Char(10) &amp; Char(10) &amp; VLOOKUP(A839,Internal_lists_bugs!$A$2:$Z$73,26,FALSE())),"please select a BUG ID")</f>
        <v>https://bugs.launchpad.net/nova/+bug/1336127
/compute/manager.py</v>
      </c>
      <c r="C839" s="81" t="str">
        <f>IFERROR(VLOOKUP(A839,Internal_lists_bugs!$A$2:$I7981,9,FALSE()),"please select a BUG ID")</f>
        <v>https://review.opendev.org/c/openstack/nova/+/42389</v>
      </c>
      <c r="D839" s="114"/>
      <c r="E839" s="114"/>
      <c r="F839" s="115"/>
      <c r="G839" s="16" t="s">
        <v>2451</v>
      </c>
      <c r="H839" s="16" t="s">
        <v>2452</v>
      </c>
      <c r="I839" s="82"/>
      <c r="J839" s="92"/>
      <c r="K839" s="82"/>
      <c r="M839" s="114" t="str">
        <f>VLOOKUP(A839,'BIC_(C_Variables)'!$A$3:$AS$43,45,FALSE())</f>
        <v/>
      </c>
      <c r="N839" s="1"/>
      <c r="O839" s="1"/>
      <c r="P839" s="81" t="str">
        <f>IFERROR(VLOOKUP(A839,Internal_lists_bugs!$A$2:$G7981,7,FALSE()),"please select a BUG ID")</f>
        <v>https://opendev.org/openstack/nova/commit/2c62e34</v>
      </c>
    </row>
    <row r="840">
      <c r="A840" s="16" t="s">
        <v>53</v>
      </c>
      <c r="B840" s="50" t="str">
        <f>IFERROR(HYPERLINK(VLOOKUP(A840,Internal_lists_bugs!$A$2:$C$73,3,FALSE()), VLOOKUP(A840,Internal_lists_bugs!$A$2:$C$73,3,FALSE())&amp;Char(10) &amp; Char(10) &amp; VLOOKUP(A840,Internal_lists_bugs!$A$2:$Z$73,26,FALSE())),"please select a BUG ID")</f>
        <v>https://bugs.launchpad.net/nova/+bug/1336127
/compute/manager.py</v>
      </c>
      <c r="C840" s="81" t="str">
        <f>IFERROR(VLOOKUP(A840,Internal_lists_bugs!$A$2:$I7981,9,FALSE()),"please select a BUG ID")</f>
        <v>https://review.opendev.org/c/openstack/nova/+/42389</v>
      </c>
      <c r="D840" s="114"/>
      <c r="E840" s="114"/>
      <c r="F840" s="115"/>
      <c r="G840" s="16" t="s">
        <v>1460</v>
      </c>
      <c r="H840" s="16" t="s">
        <v>1997</v>
      </c>
      <c r="I840" s="82"/>
      <c r="J840" s="92"/>
      <c r="K840" s="82"/>
      <c r="M840" s="114" t="str">
        <f>VLOOKUP(A840,'BIC_(C_Variables)'!$A$3:$AS$43,45,FALSE())</f>
        <v/>
      </c>
      <c r="N840" s="1"/>
      <c r="O840" s="1"/>
      <c r="P840" s="81" t="str">
        <f>IFERROR(VLOOKUP(A840,Internal_lists_bugs!$A$2:$G7981,7,FALSE()),"please select a BUG ID")</f>
        <v>https://opendev.org/openstack/nova/commit/2c62e34</v>
      </c>
    </row>
    <row r="841">
      <c r="A841" s="16" t="s">
        <v>53</v>
      </c>
      <c r="B841" s="50" t="str">
        <f>IFERROR(HYPERLINK(VLOOKUP(A841,Internal_lists_bugs!$A$2:$C$73,3,FALSE()), VLOOKUP(A841,Internal_lists_bugs!$A$2:$C$73,3,FALSE())&amp;Char(10) &amp; Char(10) &amp; VLOOKUP(A841,Internal_lists_bugs!$A$2:$Z$73,26,FALSE())),"please select a BUG ID")</f>
        <v>https://bugs.launchpad.net/nova/+bug/1336127
/compute/manager.py</v>
      </c>
      <c r="C841" s="81" t="str">
        <f>IFERROR(VLOOKUP(A841,Internal_lists_bugs!$A$2:$I7981,9,FALSE()),"please select a BUG ID")</f>
        <v>https://review.opendev.org/c/openstack/nova/+/42389</v>
      </c>
      <c r="D841" s="114"/>
      <c r="E841" s="114"/>
      <c r="F841" s="115"/>
      <c r="G841" s="16" t="s">
        <v>1583</v>
      </c>
      <c r="H841" s="16" t="s">
        <v>2453</v>
      </c>
      <c r="I841" s="82"/>
      <c r="J841" s="92"/>
      <c r="K841" s="82"/>
      <c r="M841" s="114" t="str">
        <f>VLOOKUP(A841,'BIC_(C_Variables)'!$A$3:$AS$43,45,FALSE())</f>
        <v/>
      </c>
      <c r="N841" s="1"/>
      <c r="O841" s="1"/>
      <c r="P841" s="81" t="str">
        <f>IFERROR(VLOOKUP(A841,Internal_lists_bugs!$A$2:$G7981,7,FALSE()),"please select a BUG ID")</f>
        <v>https://opendev.org/openstack/nova/commit/2c62e34</v>
      </c>
    </row>
    <row r="842">
      <c r="A842" s="16" t="s">
        <v>53</v>
      </c>
      <c r="B842" s="50" t="str">
        <f>IFERROR(HYPERLINK(VLOOKUP(A842,Internal_lists_bugs!$A$2:$C$73,3,FALSE()), VLOOKUP(A842,Internal_lists_bugs!$A$2:$C$73,3,FALSE())&amp;Char(10) &amp; Char(10) &amp; VLOOKUP(A842,Internal_lists_bugs!$A$2:$Z$73,26,FALSE())),"please select a BUG ID")</f>
        <v>https://bugs.launchpad.net/nova/+bug/1336127
/compute/manager.py</v>
      </c>
      <c r="C842" s="81" t="str">
        <f>IFERROR(VLOOKUP(A842,Internal_lists_bugs!$A$2:$I7981,9,FALSE()),"please select a BUG ID")</f>
        <v>https://review.opendev.org/c/openstack/nova/+/42389</v>
      </c>
      <c r="D842" s="114"/>
      <c r="E842" s="114"/>
      <c r="F842" s="115"/>
      <c r="G842" s="16" t="s">
        <v>1586</v>
      </c>
      <c r="H842" s="16" t="s">
        <v>2454</v>
      </c>
      <c r="I842" s="82"/>
      <c r="J842" s="92"/>
      <c r="K842" s="82"/>
      <c r="M842" s="114" t="str">
        <f>VLOOKUP(A842,'BIC_(C_Variables)'!$A$3:$AS$43,45,FALSE())</f>
        <v/>
      </c>
      <c r="N842" s="1"/>
      <c r="O842" s="1"/>
      <c r="P842" s="81" t="str">
        <f>IFERROR(VLOOKUP(A842,Internal_lists_bugs!$A$2:$G7981,7,FALSE()),"please select a BUG ID")</f>
        <v>https://opendev.org/openstack/nova/commit/2c62e34</v>
      </c>
    </row>
    <row r="843">
      <c r="A843" s="16" t="s">
        <v>53</v>
      </c>
      <c r="B843" s="50" t="str">
        <f>IFERROR(HYPERLINK(VLOOKUP(A843,Internal_lists_bugs!$A$2:$C$73,3,FALSE()), VLOOKUP(A843,Internal_lists_bugs!$A$2:$C$73,3,FALSE())&amp;Char(10) &amp; Char(10) &amp; VLOOKUP(A843,Internal_lists_bugs!$A$2:$Z$73,26,FALSE())),"please select a BUG ID")</f>
        <v>https://bugs.launchpad.net/nova/+bug/1336127
/compute/manager.py</v>
      </c>
      <c r="C843" s="81" t="str">
        <f>IFERROR(VLOOKUP(A843,Internal_lists_bugs!$A$2:$I7981,9,FALSE()),"please select a BUG ID")</f>
        <v>https://review.opendev.org/c/openstack/nova/+/42389</v>
      </c>
      <c r="D843" s="114"/>
      <c r="E843" s="114"/>
      <c r="F843" s="115"/>
      <c r="G843" s="16" t="s">
        <v>1921</v>
      </c>
      <c r="H843" s="14" t="s">
        <v>2455</v>
      </c>
      <c r="I843" s="82"/>
      <c r="J843" s="92"/>
      <c r="K843" s="82"/>
      <c r="M843" s="114" t="str">
        <f>VLOOKUP(A843,'BIC_(C_Variables)'!$A$3:$AS$43,45,FALSE())</f>
        <v/>
      </c>
      <c r="N843" s="1"/>
      <c r="O843" s="1"/>
      <c r="P843" s="81" t="str">
        <f>IFERROR(VLOOKUP(A843,Internal_lists_bugs!$A$2:$G7981,7,FALSE()),"please select a BUG ID")</f>
        <v>https://opendev.org/openstack/nova/commit/2c62e34</v>
      </c>
    </row>
    <row r="844">
      <c r="A844" s="16" t="s">
        <v>53</v>
      </c>
      <c r="B844" s="50" t="str">
        <f>IFERROR(HYPERLINK(VLOOKUP(A844,Internal_lists_bugs!$A$2:$C$73,3,FALSE()), VLOOKUP(A844,Internal_lists_bugs!$A$2:$C$73,3,FALSE())&amp;Char(10) &amp; Char(10) &amp; VLOOKUP(A844,Internal_lists_bugs!$A$2:$Z$73,26,FALSE())),"please select a BUG ID")</f>
        <v>https://bugs.launchpad.net/nova/+bug/1336127
/compute/manager.py</v>
      </c>
      <c r="C844" s="81" t="str">
        <f>IFERROR(VLOOKUP(A844,Internal_lists_bugs!$A$2:$I7981,9,FALSE()),"please select a BUG ID")</f>
        <v>https://review.opendev.org/c/openstack/nova/+/42389</v>
      </c>
      <c r="D844" s="114"/>
      <c r="E844" s="114"/>
      <c r="F844" s="115"/>
      <c r="G844" s="16" t="s">
        <v>1489</v>
      </c>
      <c r="H844" s="16" t="s">
        <v>2306</v>
      </c>
      <c r="I844" s="82"/>
      <c r="J844" s="92"/>
      <c r="K844" s="82"/>
      <c r="M844" s="114" t="str">
        <f>VLOOKUP(A844,'BIC_(C_Variables)'!$A$3:$AS$43,45,FALSE())</f>
        <v/>
      </c>
      <c r="N844" s="1"/>
      <c r="O844" s="1"/>
      <c r="P844" s="81" t="str">
        <f>IFERROR(VLOOKUP(A844,Internal_lists_bugs!$A$2:$G7981,7,FALSE()),"please select a BUG ID")</f>
        <v>https://opendev.org/openstack/nova/commit/2c62e34</v>
      </c>
    </row>
    <row r="845">
      <c r="A845" s="16" t="s">
        <v>53</v>
      </c>
      <c r="B845" s="50" t="str">
        <f>IFERROR(HYPERLINK(VLOOKUP(A845,Internal_lists_bugs!$A$2:$C$73,3,FALSE()), VLOOKUP(A845,Internal_lists_bugs!$A$2:$C$73,3,FALSE())&amp;Char(10) &amp; Char(10) &amp; VLOOKUP(A845,Internal_lists_bugs!$A$2:$Z$73,26,FALSE())),"please select a BUG ID")</f>
        <v>https://bugs.launchpad.net/nova/+bug/1336127
/compute/manager.py</v>
      </c>
      <c r="C845" s="81" t="str">
        <f>IFERROR(VLOOKUP(A845,Internal_lists_bugs!$A$2:$I7981,9,FALSE()),"please select a BUG ID")</f>
        <v>https://review.opendev.org/c/openstack/nova/+/42389</v>
      </c>
      <c r="D845" s="114"/>
      <c r="E845" s="114"/>
      <c r="F845" s="115"/>
      <c r="G845" s="16" t="s">
        <v>1594</v>
      </c>
      <c r="H845" s="16" t="s">
        <v>2456</v>
      </c>
      <c r="I845" s="82"/>
      <c r="J845" s="92"/>
      <c r="K845" s="82"/>
      <c r="M845" s="114" t="str">
        <f>VLOOKUP(A845,'BIC_(C_Variables)'!$A$3:$AS$43,45,FALSE())</f>
        <v/>
      </c>
      <c r="N845" s="1"/>
      <c r="O845" s="1"/>
      <c r="P845" s="81" t="str">
        <f>IFERROR(VLOOKUP(A845,Internal_lists_bugs!$A$2:$G7981,7,FALSE()),"please select a BUG ID")</f>
        <v>https://opendev.org/openstack/nova/commit/2c62e34</v>
      </c>
    </row>
    <row r="846">
      <c r="A846" s="16" t="s">
        <v>53</v>
      </c>
      <c r="B846" s="50" t="str">
        <f>IFERROR(HYPERLINK(VLOOKUP(A846,Internal_lists_bugs!$A$2:$C$73,3,FALSE()), VLOOKUP(A846,Internal_lists_bugs!$A$2:$C$73,3,FALSE())&amp;Char(10) &amp; Char(10) &amp; VLOOKUP(A846,Internal_lists_bugs!$A$2:$Z$73,26,FALSE())),"please select a BUG ID")</f>
        <v>https://bugs.launchpad.net/nova/+bug/1336127
/compute/manager.py</v>
      </c>
      <c r="C846" s="81" t="str">
        <f>IFERROR(VLOOKUP(A846,Internal_lists_bugs!$A$2:$I7981,9,FALSE()),"please select a BUG ID")</f>
        <v>https://review.opendev.org/c/openstack/nova/+/42389</v>
      </c>
      <c r="D846" s="114"/>
      <c r="E846" s="114"/>
      <c r="F846" s="115"/>
      <c r="G846" s="16" t="s">
        <v>2457</v>
      </c>
      <c r="H846" s="16" t="s">
        <v>2458</v>
      </c>
      <c r="I846" s="82"/>
      <c r="J846" s="92"/>
      <c r="K846" s="82"/>
      <c r="M846" s="114" t="str">
        <f>VLOOKUP(A846,'BIC_(C_Variables)'!$A$3:$AS$43,45,FALSE())</f>
        <v/>
      </c>
      <c r="N846" s="1"/>
      <c r="O846" s="1"/>
      <c r="P846" s="81" t="str">
        <f>IFERROR(VLOOKUP(A846,Internal_lists_bugs!$A$2:$G7981,7,FALSE()),"please select a BUG ID")</f>
        <v>https://opendev.org/openstack/nova/commit/2c62e34</v>
      </c>
    </row>
    <row r="847">
      <c r="A847" s="16" t="s">
        <v>53</v>
      </c>
      <c r="B847" s="50" t="str">
        <f>IFERROR(HYPERLINK(VLOOKUP(A847,Internal_lists_bugs!$A$2:$C$73,3,FALSE()), VLOOKUP(A847,Internal_lists_bugs!$A$2:$C$73,3,FALSE())&amp;Char(10) &amp; Char(10) &amp; VLOOKUP(A847,Internal_lists_bugs!$A$2:$Z$73,26,FALSE())),"please select a BUG ID")</f>
        <v>https://bugs.launchpad.net/nova/+bug/1336127
/compute/manager.py</v>
      </c>
      <c r="C847" s="81" t="str">
        <f>IFERROR(VLOOKUP(A847,Internal_lists_bugs!$A$2:$I7981,9,FALSE()),"please select a BUG ID")</f>
        <v>https://review.opendev.org/c/openstack/nova/+/42389</v>
      </c>
      <c r="D847" s="114"/>
      <c r="E847" s="114"/>
      <c r="F847" s="115"/>
      <c r="G847" s="16" t="s">
        <v>1485</v>
      </c>
      <c r="H847" s="16" t="s">
        <v>2459</v>
      </c>
      <c r="I847" s="82"/>
      <c r="J847" s="92"/>
      <c r="K847" s="82"/>
      <c r="M847" s="114" t="str">
        <f>VLOOKUP(A847,'BIC_(C_Variables)'!$A$3:$AS$43,45,FALSE())</f>
        <v/>
      </c>
      <c r="N847" s="1"/>
      <c r="O847" s="1"/>
      <c r="P847" s="81" t="str">
        <f>IFERROR(VLOOKUP(A847,Internal_lists_bugs!$A$2:$G7981,7,FALSE()),"please select a BUG ID")</f>
        <v>https://opendev.org/openstack/nova/commit/2c62e34</v>
      </c>
    </row>
    <row r="848">
      <c r="A848" s="16" t="s">
        <v>53</v>
      </c>
      <c r="B848" s="50" t="str">
        <f>IFERROR(HYPERLINK(VLOOKUP(A848,Internal_lists_bugs!$A$2:$C$73,3,FALSE()), VLOOKUP(A848,Internal_lists_bugs!$A$2:$C$73,3,FALSE())&amp;Char(10) &amp; Char(10) &amp; VLOOKUP(A848,Internal_lists_bugs!$A$2:$Z$73,26,FALSE())),"please select a BUG ID")</f>
        <v>https://bugs.launchpad.net/nova/+bug/1336127
/compute/manager.py</v>
      </c>
      <c r="C848" s="81" t="str">
        <f>IFERROR(VLOOKUP(A848,Internal_lists_bugs!$A$2:$I7981,9,FALSE()),"please select a BUG ID")</f>
        <v>https://review.opendev.org/c/openstack/nova/+/42389</v>
      </c>
      <c r="D848" s="114"/>
      <c r="E848" s="114"/>
      <c r="F848" s="115"/>
      <c r="G848" s="16" t="s">
        <v>2088</v>
      </c>
      <c r="H848" s="16" t="s">
        <v>2460</v>
      </c>
      <c r="I848" s="82"/>
      <c r="J848" s="92"/>
      <c r="K848" s="82"/>
      <c r="M848" s="114" t="str">
        <f>VLOOKUP(A848,'BIC_(C_Variables)'!$A$3:$AS$43,45,FALSE())</f>
        <v/>
      </c>
      <c r="N848" s="1"/>
      <c r="O848" s="1"/>
      <c r="P848" s="81" t="str">
        <f>IFERROR(VLOOKUP(A848,Internal_lists_bugs!$A$2:$G7981,7,FALSE()),"please select a BUG ID")</f>
        <v>https://opendev.org/openstack/nova/commit/2c62e34</v>
      </c>
    </row>
    <row r="849">
      <c r="A849" s="16" t="s">
        <v>53</v>
      </c>
      <c r="B849" s="50" t="str">
        <f>IFERROR(HYPERLINK(VLOOKUP(A849,Internal_lists_bugs!$A$2:$C$73,3,FALSE()), VLOOKUP(A849,Internal_lists_bugs!$A$2:$C$73,3,FALSE())&amp;Char(10) &amp; Char(10) &amp; VLOOKUP(A849,Internal_lists_bugs!$A$2:$Z$73,26,FALSE())),"please select a BUG ID")</f>
        <v>https://bugs.launchpad.net/nova/+bug/1336127
/compute/manager.py</v>
      </c>
      <c r="C849" s="81" t="str">
        <f>IFERROR(VLOOKUP(A849,Internal_lists_bugs!$A$2:$I7981,9,FALSE()),"please select a BUG ID")</f>
        <v>https://review.opendev.org/c/openstack/nova/+/42389</v>
      </c>
      <c r="D849" s="114"/>
      <c r="E849" s="114"/>
      <c r="F849" s="115"/>
      <c r="G849" s="16" t="s">
        <v>1609</v>
      </c>
      <c r="H849" s="16" t="s">
        <v>2461</v>
      </c>
      <c r="I849" s="82"/>
      <c r="J849" s="92"/>
      <c r="K849" s="82"/>
      <c r="M849" s="114"/>
      <c r="N849" s="1"/>
      <c r="O849" s="1"/>
      <c r="P849" s="51"/>
    </row>
    <row r="850">
      <c r="A850" s="16" t="s">
        <v>53</v>
      </c>
      <c r="B850" s="50" t="str">
        <f>IFERROR(HYPERLINK(VLOOKUP(A850,Internal_lists_bugs!$A$2:$C$73,3,FALSE()), VLOOKUP(A850,Internal_lists_bugs!$A$2:$C$73,3,FALSE())&amp;Char(10) &amp; Char(10) &amp; VLOOKUP(A850,Internal_lists_bugs!$A$2:$Z$73,26,FALSE())),"please select a BUG ID")</f>
        <v>https://bugs.launchpad.net/nova/+bug/1336127
/compute/manager.py</v>
      </c>
      <c r="C850" s="81" t="str">
        <f>IFERROR(VLOOKUP(A850,Internal_lists_bugs!$A$2:$I7981,9,FALSE()),"please select a BUG ID")</f>
        <v>https://review.opendev.org/c/openstack/nova/+/42389</v>
      </c>
      <c r="D850" s="114"/>
      <c r="E850" s="114"/>
      <c r="F850" s="115"/>
      <c r="G850" s="16" t="s">
        <v>1649</v>
      </c>
      <c r="H850" s="16" t="s">
        <v>2461</v>
      </c>
      <c r="I850" s="82"/>
      <c r="J850" s="92"/>
      <c r="K850" s="82"/>
      <c r="M850" s="114" t="str">
        <f>VLOOKUP(A850,'BIC_(C_Variables)'!$A$3:$AS$43,45,FALSE())</f>
        <v/>
      </c>
      <c r="N850" s="1"/>
      <c r="O850" s="1"/>
      <c r="P850" s="81" t="str">
        <f>IFERROR(VLOOKUP(A850,Internal_lists_bugs!$A$2:$G7981,7,FALSE()),"please select a BUG ID")</f>
        <v>https://opendev.org/openstack/nova/commit/2c62e34</v>
      </c>
    </row>
    <row r="851">
      <c r="A851" s="16" t="s">
        <v>53</v>
      </c>
      <c r="B851" s="50" t="str">
        <f>IFERROR(HYPERLINK(VLOOKUP(A851,Internal_lists_bugs!$A$2:$C$73,3,FALSE()), VLOOKUP(A851,Internal_lists_bugs!$A$2:$C$73,3,FALSE())&amp;Char(10) &amp; Char(10) &amp; VLOOKUP(A851,Internal_lists_bugs!$A$2:$Z$73,26,FALSE())),"please select a BUG ID")</f>
        <v>https://bugs.launchpad.net/nova/+bug/1336127
/compute/manager.py</v>
      </c>
      <c r="C851" s="81" t="str">
        <f>IFERROR(VLOOKUP(A851,Internal_lists_bugs!$A$2:$I7981,9,FALSE()),"please select a BUG ID")</f>
        <v>https://review.opendev.org/c/openstack/nova/+/42389</v>
      </c>
      <c r="D851" s="114"/>
      <c r="E851" s="114"/>
      <c r="F851" s="115"/>
      <c r="G851" s="16" t="s">
        <v>1590</v>
      </c>
      <c r="H851" s="16" t="s">
        <v>2462</v>
      </c>
      <c r="I851" s="82"/>
      <c r="J851" s="92"/>
      <c r="K851" s="82"/>
      <c r="M851" s="114" t="str">
        <f>VLOOKUP(A851,'BIC_(C_Variables)'!$A$3:$AS$43,45,FALSE())</f>
        <v/>
      </c>
      <c r="N851" s="1"/>
      <c r="O851" s="1"/>
      <c r="P851" s="81" t="str">
        <f>IFERROR(VLOOKUP(A851,Internal_lists_bugs!$A$2:$G7981,7,FALSE()),"please select a BUG ID")</f>
        <v>https://opendev.org/openstack/nova/commit/2c62e34</v>
      </c>
    </row>
    <row r="852">
      <c r="A852" s="16" t="s">
        <v>53</v>
      </c>
      <c r="B852" s="50" t="str">
        <f>IFERROR(HYPERLINK(VLOOKUP(A852,Internal_lists_bugs!$A$2:$C$73,3,FALSE()), VLOOKUP(A852,Internal_lists_bugs!$A$2:$C$73,3,FALSE())&amp;Char(10) &amp; Char(10) &amp; VLOOKUP(A852,Internal_lists_bugs!$A$2:$Z$73,26,FALSE())),"please select a BUG ID")</f>
        <v>https://bugs.launchpad.net/nova/+bug/1336127
/compute/manager.py</v>
      </c>
      <c r="C852" s="81" t="str">
        <f>IFERROR(VLOOKUP(A852,Internal_lists_bugs!$A$2:$I7981,9,FALSE()),"please select a BUG ID")</f>
        <v>https://review.opendev.org/c/openstack/nova/+/42389</v>
      </c>
      <c r="D852" s="114"/>
      <c r="E852" s="114"/>
      <c r="F852" s="115"/>
      <c r="G852" s="16" t="s">
        <v>2335</v>
      </c>
      <c r="H852" s="16" t="s">
        <v>2463</v>
      </c>
      <c r="I852" s="82"/>
      <c r="J852" s="92"/>
      <c r="K852" s="82"/>
      <c r="M852" s="114" t="str">
        <f>VLOOKUP(A852,'BIC_(C_Variables)'!$A$3:$AS$43,45,FALSE())</f>
        <v/>
      </c>
      <c r="N852" s="1"/>
      <c r="O852" s="1"/>
      <c r="P852" s="81" t="str">
        <f>IFERROR(VLOOKUP(A852,Internal_lists_bugs!$A$2:$G7981,7,FALSE()),"please select a BUG ID")</f>
        <v>https://opendev.org/openstack/nova/commit/2c62e34</v>
      </c>
    </row>
    <row r="853">
      <c r="A853" s="16" t="s">
        <v>53</v>
      </c>
      <c r="B853" s="50" t="str">
        <f>IFERROR(HYPERLINK(VLOOKUP(A853,Internal_lists_bugs!$A$2:$C$73,3,FALSE()), VLOOKUP(A853,Internal_lists_bugs!$A$2:$C$73,3,FALSE())&amp;Char(10) &amp; Char(10) &amp; VLOOKUP(A853,Internal_lists_bugs!$A$2:$Z$73,26,FALSE())),"please select a BUG ID")</f>
        <v>https://bugs.launchpad.net/nova/+bug/1336127
/compute/manager.py</v>
      </c>
      <c r="C853" s="81" t="str">
        <f>IFERROR(VLOOKUP(A853,Internal_lists_bugs!$A$2:$I7981,9,FALSE()),"please select a BUG ID")</f>
        <v>https://review.opendev.org/c/openstack/nova/+/42389</v>
      </c>
      <c r="D853" s="114"/>
      <c r="E853" s="114"/>
      <c r="F853" s="115"/>
      <c r="G853" s="16" t="s">
        <v>1478</v>
      </c>
      <c r="H853" s="16" t="s">
        <v>2463</v>
      </c>
      <c r="I853" s="82"/>
      <c r="J853" s="92"/>
      <c r="K853" s="82"/>
      <c r="M853" s="114" t="str">
        <f>VLOOKUP(A853,'BIC_(C_Variables)'!$A$3:$AS$43,45,FALSE())</f>
        <v/>
      </c>
      <c r="N853" s="1"/>
      <c r="O853" s="1"/>
      <c r="P853" s="81" t="str">
        <f>IFERROR(VLOOKUP(A853,Internal_lists_bugs!$A$2:$G7981,7,FALSE()),"please select a BUG ID")</f>
        <v>https://opendev.org/openstack/nova/commit/2c62e34</v>
      </c>
    </row>
    <row r="854">
      <c r="A854" s="16" t="s">
        <v>53</v>
      </c>
      <c r="B854" s="50" t="str">
        <f>IFERROR(HYPERLINK(VLOOKUP(A854,Internal_lists_bugs!$A$2:$C$73,3,FALSE()), VLOOKUP(A854,Internal_lists_bugs!$A$2:$C$73,3,FALSE())&amp;Char(10) &amp; Char(10) &amp; VLOOKUP(A854,Internal_lists_bugs!$A$2:$Z$73,26,FALSE())),"please select a BUG ID")</f>
        <v>https://bugs.launchpad.net/nova/+bug/1336127
/compute/manager.py</v>
      </c>
      <c r="C854" s="81" t="str">
        <f>IFERROR(VLOOKUP(A854,Internal_lists_bugs!$A$2:$I7981,9,FALSE()),"please select a BUG ID")</f>
        <v>https://review.opendev.org/c/openstack/nova/+/42389</v>
      </c>
      <c r="D854" s="114"/>
      <c r="E854" s="114"/>
      <c r="F854" s="115"/>
      <c r="G854" s="16" t="s">
        <v>1597</v>
      </c>
      <c r="H854" s="16" t="s">
        <v>2312</v>
      </c>
      <c r="I854" s="82"/>
      <c r="J854" s="92"/>
      <c r="K854" s="82"/>
      <c r="M854" s="114" t="str">
        <f>VLOOKUP(A854,'BIC_(C_Variables)'!$A$3:$AS$43,45,FALSE())</f>
        <v/>
      </c>
      <c r="N854" s="1"/>
      <c r="O854" s="1"/>
      <c r="P854" s="81" t="str">
        <f>IFERROR(VLOOKUP(A854,Internal_lists_bugs!$A$2:$G7981,7,FALSE()),"please select a BUG ID")</f>
        <v>https://opendev.org/openstack/nova/commit/2c62e34</v>
      </c>
    </row>
    <row r="855">
      <c r="A855" s="16" t="s">
        <v>53</v>
      </c>
      <c r="B855" s="50" t="str">
        <f>IFERROR(HYPERLINK(VLOOKUP(A855,Internal_lists_bugs!$A$2:$C$73,3,FALSE()), VLOOKUP(A855,Internal_lists_bugs!$A$2:$C$73,3,FALSE())&amp;Char(10) &amp; Char(10) &amp; VLOOKUP(A855,Internal_lists_bugs!$A$2:$Z$73,26,FALSE())),"please select a BUG ID")</f>
        <v>https://bugs.launchpad.net/nova/+bug/1336127
/compute/manager.py</v>
      </c>
      <c r="C855" s="81" t="str">
        <f>IFERROR(VLOOKUP(A855,Internal_lists_bugs!$A$2:$I7981,9,FALSE()),"please select a BUG ID")</f>
        <v>https://review.opendev.org/c/openstack/nova/+/42389</v>
      </c>
      <c r="D855" s="114"/>
      <c r="E855" s="114"/>
      <c r="F855" s="115"/>
      <c r="G855" s="16" t="s">
        <v>2464</v>
      </c>
      <c r="H855" s="16" t="s">
        <v>2465</v>
      </c>
      <c r="I855" s="82"/>
      <c r="J855" s="92"/>
      <c r="K855" s="82"/>
      <c r="M855" s="114" t="str">
        <f>VLOOKUP(A855,'BIC_(C_Variables)'!$A$3:$AS$43,45,FALSE())</f>
        <v/>
      </c>
      <c r="N855" s="1"/>
      <c r="O855" s="1"/>
      <c r="P855" s="81" t="str">
        <f>IFERROR(VLOOKUP(A855,Internal_lists_bugs!$A$2:$G7981,7,FALSE()),"please select a BUG ID")</f>
        <v>https://opendev.org/openstack/nova/commit/2c62e34</v>
      </c>
    </row>
    <row r="856">
      <c r="A856" s="16" t="s">
        <v>53</v>
      </c>
      <c r="B856" s="50" t="str">
        <f>IFERROR(HYPERLINK(VLOOKUP(A856,Internal_lists_bugs!$A$2:$C$73,3,FALSE()), VLOOKUP(A856,Internal_lists_bugs!$A$2:$C$73,3,FALSE())&amp;Char(10) &amp; Char(10) &amp; VLOOKUP(A856,Internal_lists_bugs!$A$2:$Z$73,26,FALSE())),"please select a BUG ID")</f>
        <v>https://bugs.launchpad.net/nova/+bug/1336127
/compute/manager.py</v>
      </c>
      <c r="C856" s="81" t="str">
        <f>IFERROR(VLOOKUP(A856,Internal_lists_bugs!$A$2:$I7981,9,FALSE()),"please select a BUG ID")</f>
        <v>https://review.opendev.org/c/openstack/nova/+/42389</v>
      </c>
      <c r="D856" s="114"/>
      <c r="E856" s="114"/>
      <c r="F856" s="115"/>
      <c r="G856" s="16" t="s">
        <v>2384</v>
      </c>
      <c r="H856" s="16" t="s">
        <v>2466</v>
      </c>
      <c r="I856" s="82"/>
      <c r="J856" s="92"/>
      <c r="K856" s="82"/>
      <c r="M856" s="114" t="str">
        <f>VLOOKUP(A856,'BIC_(C_Variables)'!$A$3:$AS$43,45,FALSE())</f>
        <v/>
      </c>
      <c r="N856" s="1"/>
      <c r="O856" s="1"/>
      <c r="P856" s="81" t="str">
        <f>IFERROR(VLOOKUP(A856,Internal_lists_bugs!$A$2:$G7981,7,FALSE()),"please select a BUG ID")</f>
        <v>https://opendev.org/openstack/nova/commit/2c62e34</v>
      </c>
    </row>
    <row r="857">
      <c r="A857" s="16" t="s">
        <v>53</v>
      </c>
      <c r="B857" s="50" t="str">
        <f>IFERROR(HYPERLINK(VLOOKUP(A857,Internal_lists_bugs!$A$2:$C$73,3,FALSE()), VLOOKUP(A857,Internal_lists_bugs!$A$2:$C$73,3,FALSE())&amp;Char(10) &amp; Char(10) &amp; VLOOKUP(A857,Internal_lists_bugs!$A$2:$Z$73,26,FALSE())),"please select a BUG ID")</f>
        <v>https://bugs.launchpad.net/nova/+bug/1336127
/compute/manager.py</v>
      </c>
      <c r="C857" s="81" t="str">
        <f>IFERROR(VLOOKUP(A857,Internal_lists_bugs!$A$2:$I7981,9,FALSE()),"please select a BUG ID")</f>
        <v>https://review.opendev.org/c/openstack/nova/+/42389</v>
      </c>
      <c r="D857" s="114"/>
      <c r="E857" s="114"/>
      <c r="F857" s="115"/>
      <c r="G857" s="16" t="s">
        <v>1758</v>
      </c>
      <c r="H857" s="16" t="s">
        <v>2467</v>
      </c>
      <c r="I857" s="82"/>
      <c r="J857" s="92"/>
      <c r="K857" s="82"/>
      <c r="M857" s="114" t="str">
        <f>VLOOKUP(A857,'BIC_(C_Variables)'!$A$3:$AS$43,45,FALSE())</f>
        <v/>
      </c>
      <c r="N857" s="1"/>
      <c r="O857" s="1"/>
      <c r="P857" s="81" t="str">
        <f>IFERROR(VLOOKUP(A857,Internal_lists_bugs!$A$2:$G7981,7,FALSE()),"please select a BUG ID")</f>
        <v>https://opendev.org/openstack/nova/commit/2c62e34</v>
      </c>
    </row>
    <row r="858">
      <c r="A858" s="16" t="s">
        <v>53</v>
      </c>
      <c r="B858" s="50" t="str">
        <f>IFERROR(HYPERLINK(VLOOKUP(A858,Internal_lists_bugs!$A$2:$C$73,3,FALSE()), VLOOKUP(A858,Internal_lists_bugs!$A$2:$C$73,3,FALSE())&amp;Char(10) &amp; Char(10) &amp; VLOOKUP(A858,Internal_lists_bugs!$A$2:$Z$73,26,FALSE())),"please select a BUG ID")</f>
        <v>https://bugs.launchpad.net/nova/+bug/1336127
/compute/manager.py</v>
      </c>
      <c r="C858" s="81" t="str">
        <f>IFERROR(VLOOKUP(A858,Internal_lists_bugs!$A$2:$I7981,9,FALSE()),"please select a BUG ID")</f>
        <v>https://review.opendev.org/c/openstack/nova/+/42389</v>
      </c>
      <c r="D858" s="114"/>
      <c r="E858" s="114"/>
      <c r="F858" s="115"/>
      <c r="G858" s="16" t="s">
        <v>2468</v>
      </c>
      <c r="H858" s="16" t="s">
        <v>2469</v>
      </c>
      <c r="I858" s="82"/>
      <c r="J858" s="92"/>
      <c r="K858" s="82"/>
      <c r="M858" s="114" t="str">
        <f>VLOOKUP(A858,'BIC_(C_Variables)'!$A$3:$AS$43,45,FALSE())</f>
        <v/>
      </c>
      <c r="N858" s="1"/>
      <c r="O858" s="1"/>
      <c r="P858" s="81" t="str">
        <f>IFERROR(VLOOKUP(A858,Internal_lists_bugs!$A$2:$G7981,7,FALSE()),"please select a BUG ID")</f>
        <v>https://opendev.org/openstack/nova/commit/2c62e34</v>
      </c>
    </row>
    <row r="859">
      <c r="A859" s="16" t="s">
        <v>53</v>
      </c>
      <c r="B859" s="50" t="str">
        <f>IFERROR(HYPERLINK(VLOOKUP(A859,Internal_lists_bugs!$A$2:$C$73,3,FALSE()), VLOOKUP(A859,Internal_lists_bugs!$A$2:$C$73,3,FALSE())&amp;Char(10) &amp; Char(10) &amp; VLOOKUP(A859,Internal_lists_bugs!$A$2:$Z$73,26,FALSE())),"please select a BUG ID")</f>
        <v>https://bugs.launchpad.net/nova/+bug/1336127
/compute/manager.py</v>
      </c>
      <c r="C859" s="81" t="str">
        <f>IFERROR(VLOOKUP(A859,Internal_lists_bugs!$A$2:$I7981,9,FALSE()),"please select a BUG ID")</f>
        <v>https://review.opendev.org/c/openstack/nova/+/42389</v>
      </c>
      <c r="D859" s="114"/>
      <c r="E859" s="114"/>
      <c r="F859" s="115"/>
      <c r="G859" s="16" t="s">
        <v>2470</v>
      </c>
      <c r="H859" s="16" t="s">
        <v>2471</v>
      </c>
      <c r="I859" s="82"/>
      <c r="J859" s="92"/>
      <c r="K859" s="82"/>
      <c r="M859" s="114" t="str">
        <f>VLOOKUP(A859,'BIC_(C_Variables)'!$A$3:$AS$43,45,FALSE())</f>
        <v/>
      </c>
      <c r="N859" s="1"/>
      <c r="O859" s="1"/>
      <c r="P859" s="81" t="str">
        <f>IFERROR(VLOOKUP(A859,Internal_lists_bugs!$A$2:$G7981,7,FALSE()),"please select a BUG ID")</f>
        <v>https://opendev.org/openstack/nova/commit/2c62e34</v>
      </c>
    </row>
    <row r="860">
      <c r="A860" s="16" t="s">
        <v>53</v>
      </c>
      <c r="B860" s="50" t="str">
        <f>IFERROR(HYPERLINK(VLOOKUP(A860,Internal_lists_bugs!$A$2:$C$73,3,FALSE()), VLOOKUP(A860,Internal_lists_bugs!$A$2:$C$73,3,FALSE())&amp;Char(10) &amp; Char(10) &amp; VLOOKUP(A860,Internal_lists_bugs!$A$2:$Z$73,26,FALSE())),"please select a BUG ID")</f>
        <v>https://bugs.launchpad.net/nova/+bug/1336127
/compute/manager.py</v>
      </c>
      <c r="C860" s="81" t="str">
        <f>IFERROR(VLOOKUP(A860,Internal_lists_bugs!$A$2:$I7981,9,FALSE()),"please select a BUG ID")</f>
        <v>https://review.opendev.org/c/openstack/nova/+/42389</v>
      </c>
      <c r="D860" s="114"/>
      <c r="E860" s="114"/>
      <c r="F860" s="115"/>
      <c r="G860" s="16" t="s">
        <v>1860</v>
      </c>
      <c r="H860" s="16" t="s">
        <v>2472</v>
      </c>
      <c r="I860" s="82"/>
      <c r="J860" s="92"/>
      <c r="K860" s="82"/>
      <c r="M860" s="114" t="str">
        <f>VLOOKUP(A860,'BIC_(C_Variables)'!$A$3:$AS$43,45,FALSE())</f>
        <v/>
      </c>
      <c r="N860" s="1"/>
      <c r="O860" s="1"/>
      <c r="P860" s="81" t="str">
        <f>IFERROR(VLOOKUP(A860,Internal_lists_bugs!$A$2:$G7981,7,FALSE()),"please select a BUG ID")</f>
        <v>https://opendev.org/openstack/nova/commit/2c62e34</v>
      </c>
    </row>
    <row r="861">
      <c r="A861" s="16" t="s">
        <v>53</v>
      </c>
      <c r="B861" s="50" t="str">
        <f>IFERROR(HYPERLINK(VLOOKUP(A861,Internal_lists_bugs!$A$2:$C$73,3,FALSE()), VLOOKUP(A861,Internal_lists_bugs!$A$2:$C$73,3,FALSE())&amp;Char(10) &amp; Char(10) &amp; VLOOKUP(A861,Internal_lists_bugs!$A$2:$Z$73,26,FALSE())),"please select a BUG ID")</f>
        <v>https://bugs.launchpad.net/nova/+bug/1336127
/compute/manager.py</v>
      </c>
      <c r="C861" s="81" t="str">
        <f>IFERROR(VLOOKUP(A861,Internal_lists_bugs!$A$2:$I7981,9,FALSE()),"please select a BUG ID")</f>
        <v>https://review.opendev.org/c/openstack/nova/+/42389</v>
      </c>
      <c r="D861" s="114"/>
      <c r="E861" s="114"/>
      <c r="F861" s="115"/>
      <c r="G861" s="16" t="s">
        <v>1779</v>
      </c>
      <c r="H861" s="16" t="s">
        <v>2473</v>
      </c>
      <c r="I861" s="82"/>
      <c r="J861" s="92"/>
      <c r="K861" s="82"/>
      <c r="M861" s="114" t="str">
        <f>VLOOKUP(A861,'BIC_(C_Variables)'!$A$3:$AS$43,45,FALSE())</f>
        <v/>
      </c>
      <c r="N861" s="1"/>
      <c r="O861" s="1"/>
      <c r="P861" s="81" t="str">
        <f>IFERROR(VLOOKUP(A861,Internal_lists_bugs!$A$2:$G7981,7,FALSE()),"please select a BUG ID")</f>
        <v>https://opendev.org/openstack/nova/commit/2c62e34</v>
      </c>
    </row>
    <row r="862">
      <c r="A862" s="16" t="s">
        <v>53</v>
      </c>
      <c r="B862" s="50" t="str">
        <f>IFERROR(HYPERLINK(VLOOKUP(A862,Internal_lists_bugs!$A$2:$C$73,3,FALSE()), VLOOKUP(A862,Internal_lists_bugs!$A$2:$C$73,3,FALSE())&amp;Char(10) &amp; Char(10) &amp; VLOOKUP(A862,Internal_lists_bugs!$A$2:$Z$73,26,FALSE())),"please select a BUG ID")</f>
        <v>https://bugs.launchpad.net/nova/+bug/1336127
/compute/manager.py</v>
      </c>
      <c r="C862" s="81" t="str">
        <f>IFERROR(VLOOKUP(A862,Internal_lists_bugs!$A$2:$I7981,9,FALSE()),"please select a BUG ID")</f>
        <v>https://review.opendev.org/c/openstack/nova/+/42389</v>
      </c>
      <c r="D862" s="114"/>
      <c r="E862" s="114"/>
      <c r="F862" s="115"/>
      <c r="G862" s="16" t="s">
        <v>2474</v>
      </c>
      <c r="H862" s="16" t="s">
        <v>2475</v>
      </c>
      <c r="I862" s="82"/>
      <c r="J862" s="92"/>
      <c r="K862" s="82"/>
      <c r="M862" s="114" t="str">
        <f>VLOOKUP(A862,'BIC_(C_Variables)'!$A$3:$AS$43,45,FALSE())</f>
        <v/>
      </c>
      <c r="N862" s="1"/>
      <c r="O862" s="1"/>
      <c r="P862" s="81" t="str">
        <f>IFERROR(VLOOKUP(A862,Internal_lists_bugs!$A$2:$G7981,7,FALSE()),"please select a BUG ID")</f>
        <v>https://opendev.org/openstack/nova/commit/2c62e34</v>
      </c>
    </row>
    <row r="863">
      <c r="A863" s="16" t="s">
        <v>53</v>
      </c>
      <c r="B863" s="50" t="str">
        <f>IFERROR(HYPERLINK(VLOOKUP(A863,Internal_lists_bugs!$A$2:$C$73,3,FALSE()), VLOOKUP(A863,Internal_lists_bugs!$A$2:$C$73,3,FALSE())&amp;Char(10) &amp; Char(10) &amp; VLOOKUP(A863,Internal_lists_bugs!$A$2:$Z$73,26,FALSE())),"please select a BUG ID")</f>
        <v>https://bugs.launchpad.net/nova/+bug/1336127
/compute/manager.py</v>
      </c>
      <c r="C863" s="81" t="str">
        <f>IFERROR(VLOOKUP(A863,Internal_lists_bugs!$A$2:$I7981,9,FALSE()),"please select a BUG ID")</f>
        <v>https://review.opendev.org/c/openstack/nova/+/42389</v>
      </c>
      <c r="D863" s="114"/>
      <c r="E863" s="114"/>
      <c r="F863" s="115"/>
      <c r="G863" s="16" t="s">
        <v>1761</v>
      </c>
      <c r="H863" s="16" t="s">
        <v>2476</v>
      </c>
      <c r="I863" s="82"/>
      <c r="J863" s="92"/>
      <c r="K863" s="82"/>
      <c r="M863" s="114"/>
      <c r="N863" s="1"/>
      <c r="O863" s="1"/>
      <c r="P863" s="51"/>
    </row>
    <row r="864">
      <c r="A864" s="16" t="s">
        <v>53</v>
      </c>
      <c r="B864" s="50" t="str">
        <f>IFERROR(HYPERLINK(VLOOKUP(A864,Internal_lists_bugs!$A$2:$C$73,3,FALSE()), VLOOKUP(A864,Internal_lists_bugs!$A$2:$C$73,3,FALSE())&amp;Char(10) &amp; Char(10) &amp; VLOOKUP(A864,Internal_lists_bugs!$A$2:$Z$73,26,FALSE())),"please select a BUG ID")</f>
        <v>https://bugs.launchpad.net/nova/+bug/1336127
/compute/manager.py</v>
      </c>
      <c r="C864" s="81" t="str">
        <f>IFERROR(VLOOKUP(A864,Internal_lists_bugs!$A$2:$I7981,9,FALSE()),"please select a BUG ID")</f>
        <v>https://review.opendev.org/c/openstack/nova/+/42389</v>
      </c>
      <c r="D864" s="114"/>
      <c r="E864" s="114"/>
      <c r="F864" s="115"/>
      <c r="G864" s="16" t="s">
        <v>1835</v>
      </c>
      <c r="H864" s="16" t="s">
        <v>2477</v>
      </c>
      <c r="I864" s="82"/>
      <c r="J864" s="92"/>
      <c r="K864" s="82"/>
      <c r="M864" s="114" t="str">
        <f>VLOOKUP(A864,'BIC_(C_Variables)'!$A$3:$AS$43,45,FALSE())</f>
        <v/>
      </c>
      <c r="N864" s="1"/>
      <c r="O864" s="1"/>
      <c r="P864" s="81" t="str">
        <f>IFERROR(VLOOKUP(A864,Internal_lists_bugs!$A$2:$G7981,7,FALSE()),"please select a BUG ID")</f>
        <v>https://opendev.org/openstack/nova/commit/2c62e34</v>
      </c>
    </row>
    <row r="865">
      <c r="A865" s="16" t="s">
        <v>53</v>
      </c>
      <c r="B865" s="50" t="str">
        <f>IFERROR(HYPERLINK(VLOOKUP(A865,Internal_lists_bugs!$A$2:$C$73,3,FALSE()), VLOOKUP(A865,Internal_lists_bugs!$A$2:$C$73,3,FALSE())&amp;Char(10) &amp; Char(10) &amp; VLOOKUP(A865,Internal_lists_bugs!$A$2:$Z$73,26,FALSE())),"please select a BUG ID")</f>
        <v>https://bugs.launchpad.net/nova/+bug/1336127
/compute/manager.py</v>
      </c>
      <c r="C865" s="81" t="str">
        <f>IFERROR(VLOOKUP(A865,Internal_lists_bugs!$A$2:$I7981,9,FALSE()),"please select a BUG ID")</f>
        <v>https://review.opendev.org/c/openstack/nova/+/42389</v>
      </c>
      <c r="D865" s="114"/>
      <c r="E865" s="114"/>
      <c r="F865" s="115"/>
      <c r="G865" s="16" t="s">
        <v>1639</v>
      </c>
      <c r="H865" s="16" t="s">
        <v>2478</v>
      </c>
      <c r="I865" s="82"/>
      <c r="J865" s="92"/>
      <c r="K865" s="82"/>
      <c r="M865" s="114" t="str">
        <f>VLOOKUP(A865,'BIC_(C_Variables)'!$A$3:$AS$43,45,FALSE())</f>
        <v/>
      </c>
      <c r="N865" s="1"/>
      <c r="O865" s="1"/>
      <c r="P865" s="81" t="str">
        <f>IFERROR(VLOOKUP(A865,Internal_lists_bugs!$A$2:$G7981,7,FALSE()),"please select a BUG ID")</f>
        <v>https://opendev.org/openstack/nova/commit/2c62e34</v>
      </c>
    </row>
    <row r="866">
      <c r="A866" s="16" t="s">
        <v>53</v>
      </c>
      <c r="B866" s="50" t="str">
        <f>IFERROR(HYPERLINK(VLOOKUP(A866,Internal_lists_bugs!$A$2:$C$73,3,FALSE()), VLOOKUP(A866,Internal_lists_bugs!$A$2:$C$73,3,FALSE())&amp;Char(10) &amp; Char(10) &amp; VLOOKUP(A866,Internal_lists_bugs!$A$2:$Z$73,26,FALSE())),"please select a BUG ID")</f>
        <v>https://bugs.launchpad.net/nova/+bug/1336127
/compute/manager.py</v>
      </c>
      <c r="C866" s="81" t="str">
        <f>IFERROR(VLOOKUP(A866,Internal_lists_bugs!$A$2:$I7981,9,FALSE()),"please select a BUG ID")</f>
        <v>https://review.opendev.org/c/openstack/nova/+/42389</v>
      </c>
      <c r="D866" s="114"/>
      <c r="E866" s="114"/>
      <c r="F866" s="115"/>
      <c r="G866" s="16" t="s">
        <v>2479</v>
      </c>
      <c r="H866" s="16" t="s">
        <v>2478</v>
      </c>
      <c r="I866" s="82"/>
      <c r="J866" s="92"/>
      <c r="K866" s="82"/>
      <c r="M866" s="114" t="str">
        <f>VLOOKUP(A866,'BIC_(C_Variables)'!$A$3:$AS$43,45,FALSE())</f>
        <v/>
      </c>
      <c r="N866" s="1"/>
      <c r="O866" s="1"/>
      <c r="P866" s="81" t="str">
        <f>IFERROR(VLOOKUP(A866,Internal_lists_bugs!$A$2:$G7981,7,FALSE()),"please select a BUG ID")</f>
        <v>https://opendev.org/openstack/nova/commit/2c62e34</v>
      </c>
    </row>
    <row r="867">
      <c r="A867" s="16" t="s">
        <v>53</v>
      </c>
      <c r="B867" s="50" t="str">
        <f>IFERROR(HYPERLINK(VLOOKUP(A867,Internal_lists_bugs!$A$2:$C$73,3,FALSE()), VLOOKUP(A867,Internal_lists_bugs!$A$2:$C$73,3,FALSE())&amp;Char(10) &amp; Char(10) &amp; VLOOKUP(A867,Internal_lists_bugs!$A$2:$Z$73,26,FALSE())),"please select a BUG ID")</f>
        <v>https://bugs.launchpad.net/nova/+bug/1336127
/compute/manager.py</v>
      </c>
      <c r="C867" s="81" t="str">
        <f>IFERROR(VLOOKUP(A867,Internal_lists_bugs!$A$2:$I7981,9,FALSE()),"please select a BUG ID")</f>
        <v>https://review.opendev.org/c/openstack/nova/+/42389</v>
      </c>
      <c r="D867" s="114"/>
      <c r="E867" s="114"/>
      <c r="F867" s="115"/>
      <c r="G867" s="16" t="s">
        <v>2480</v>
      </c>
      <c r="H867" s="16" t="s">
        <v>2481</v>
      </c>
      <c r="I867" s="82"/>
      <c r="J867" s="92"/>
      <c r="K867" s="82"/>
      <c r="M867" s="114" t="str">
        <f>VLOOKUP(A867,'BIC_(C_Variables)'!$A$3:$AS$43,45,FALSE())</f>
        <v/>
      </c>
      <c r="N867" s="1"/>
      <c r="O867" s="1"/>
      <c r="P867" s="81" t="str">
        <f>IFERROR(VLOOKUP(A867,Internal_lists_bugs!$A$2:$G7981,7,FALSE()),"please select a BUG ID")</f>
        <v>https://opendev.org/openstack/nova/commit/2c62e34</v>
      </c>
    </row>
    <row r="868">
      <c r="A868" s="16" t="s">
        <v>53</v>
      </c>
      <c r="B868" s="50" t="str">
        <f>IFERROR(HYPERLINK(VLOOKUP(A868,Internal_lists_bugs!$A$2:$C$73,3,FALSE()), VLOOKUP(A868,Internal_lists_bugs!$A$2:$C$73,3,FALSE())&amp;Char(10) &amp; Char(10) &amp; VLOOKUP(A868,Internal_lists_bugs!$A$2:$Z$73,26,FALSE())),"please select a BUG ID")</f>
        <v>https://bugs.launchpad.net/nova/+bug/1336127
/compute/manager.py</v>
      </c>
      <c r="C868" s="81" t="str">
        <f>IFERROR(VLOOKUP(A868,Internal_lists_bugs!$A$2:$I7981,9,FALSE()),"please select a BUG ID")</f>
        <v>https://review.opendev.org/c/openstack/nova/+/42389</v>
      </c>
      <c r="D868" s="114"/>
      <c r="E868" s="114"/>
      <c r="F868" s="115"/>
      <c r="G868" s="16" t="s">
        <v>1615</v>
      </c>
      <c r="H868" s="16" t="s">
        <v>2482</v>
      </c>
      <c r="I868" s="82"/>
      <c r="J868" s="92"/>
      <c r="K868" s="82"/>
      <c r="M868" s="114" t="str">
        <f>VLOOKUP(A868,'BIC_(C_Variables)'!$A$3:$AS$43,45,FALSE())</f>
        <v/>
      </c>
      <c r="N868" s="1"/>
      <c r="O868" s="1"/>
      <c r="P868" s="81" t="str">
        <f>IFERROR(VLOOKUP(A868,Internal_lists_bugs!$A$2:$G7981,7,FALSE()),"please select a BUG ID")</f>
        <v>https://opendev.org/openstack/nova/commit/2c62e34</v>
      </c>
    </row>
    <row r="869">
      <c r="A869" s="16" t="s">
        <v>53</v>
      </c>
      <c r="B869" s="50" t="str">
        <f>IFERROR(HYPERLINK(VLOOKUP(A869,Internal_lists_bugs!$A$2:$C$73,3,FALSE()), VLOOKUP(A869,Internal_lists_bugs!$A$2:$C$73,3,FALSE())&amp;Char(10) &amp; Char(10) &amp; VLOOKUP(A869,Internal_lists_bugs!$A$2:$Z$73,26,FALSE())),"please select a BUG ID")</f>
        <v>https://bugs.launchpad.net/nova/+bug/1336127
/compute/manager.py</v>
      </c>
      <c r="C869" s="81" t="str">
        <f>IFERROR(VLOOKUP(A869,Internal_lists_bugs!$A$2:$I7981,9,FALSE()),"please select a BUG ID")</f>
        <v>https://review.opendev.org/c/openstack/nova/+/42389</v>
      </c>
      <c r="D869" s="114"/>
      <c r="E869" s="114"/>
      <c r="F869" s="115"/>
      <c r="G869" s="16" t="s">
        <v>1617</v>
      </c>
      <c r="H869" s="16" t="s">
        <v>2483</v>
      </c>
      <c r="I869" s="82"/>
      <c r="J869" s="92"/>
      <c r="K869" s="82"/>
      <c r="M869" s="114"/>
      <c r="N869" s="1"/>
      <c r="O869" s="1"/>
      <c r="P869" s="51"/>
    </row>
    <row r="870">
      <c r="A870" s="16" t="s">
        <v>53</v>
      </c>
      <c r="B870" s="50" t="str">
        <f>IFERROR(HYPERLINK(VLOOKUP(A870,Internal_lists_bugs!$A$2:$C$73,3,FALSE()), VLOOKUP(A870,Internal_lists_bugs!$A$2:$C$73,3,FALSE())&amp;Char(10) &amp; Char(10) &amp; VLOOKUP(A870,Internal_lists_bugs!$A$2:$Z$73,26,FALSE())),"please select a BUG ID")</f>
        <v>https://bugs.launchpad.net/nova/+bug/1336127
/compute/manager.py</v>
      </c>
      <c r="C870" s="81" t="str">
        <f>IFERROR(VLOOKUP(A870,Internal_lists_bugs!$A$2:$I7981,9,FALSE()),"please select a BUG ID")</f>
        <v>https://review.opendev.org/c/openstack/nova/+/42389</v>
      </c>
      <c r="D870" s="114"/>
      <c r="E870" s="114"/>
      <c r="F870" s="115"/>
      <c r="G870" s="16" t="s">
        <v>2484</v>
      </c>
      <c r="H870" s="16" t="s">
        <v>2483</v>
      </c>
      <c r="I870" s="82"/>
      <c r="J870" s="92"/>
      <c r="K870" s="82"/>
      <c r="M870" s="114" t="str">
        <f>VLOOKUP(A870,'BIC_(C_Variables)'!$A$3:$AS$43,45,FALSE())</f>
        <v/>
      </c>
      <c r="N870" s="1"/>
      <c r="O870" s="1"/>
      <c r="P870" s="81" t="str">
        <f>IFERROR(VLOOKUP(A870,Internal_lists_bugs!$A$2:$G7981,7,FALSE()),"please select a BUG ID")</f>
        <v>https://opendev.org/openstack/nova/commit/2c62e34</v>
      </c>
    </row>
    <row r="871">
      <c r="A871" s="16" t="s">
        <v>53</v>
      </c>
      <c r="B871" s="50" t="str">
        <f>IFERROR(HYPERLINK(VLOOKUP(A871,Internal_lists_bugs!$A$2:$C$73,3,FALSE()), VLOOKUP(A871,Internal_lists_bugs!$A$2:$C$73,3,FALSE())&amp;Char(10) &amp; Char(10) &amp; VLOOKUP(A871,Internal_lists_bugs!$A$2:$Z$73,26,FALSE())),"please select a BUG ID")</f>
        <v>https://bugs.launchpad.net/nova/+bug/1336127
/compute/manager.py</v>
      </c>
      <c r="C871" s="81" t="str">
        <f>IFERROR(VLOOKUP(A871,Internal_lists_bugs!$A$2:$I7981,9,FALSE()),"please select a BUG ID")</f>
        <v>https://review.opendev.org/c/openstack/nova/+/42389</v>
      </c>
      <c r="D871" s="114"/>
      <c r="E871" s="114"/>
      <c r="F871" s="115"/>
      <c r="G871" s="16" t="s">
        <v>1928</v>
      </c>
      <c r="H871" s="16" t="s">
        <v>2485</v>
      </c>
      <c r="I871" s="82"/>
      <c r="J871" s="92"/>
      <c r="K871" s="82"/>
      <c r="M871" s="114" t="str">
        <f>VLOOKUP(A871,'BIC_(C_Variables)'!$A$3:$AS$43,45,FALSE())</f>
        <v/>
      </c>
      <c r="N871" s="1"/>
      <c r="O871" s="1"/>
      <c r="P871" s="81" t="str">
        <f>IFERROR(VLOOKUP(A871,Internal_lists_bugs!$A$2:$G7981,7,FALSE()),"please select a BUG ID")</f>
        <v>https://opendev.org/openstack/nova/commit/2c62e34</v>
      </c>
    </row>
    <row r="872">
      <c r="A872" s="16" t="s">
        <v>53</v>
      </c>
      <c r="B872" s="50" t="str">
        <f>IFERROR(HYPERLINK(VLOOKUP(A872,Internal_lists_bugs!$A$2:$C$73,3,FALSE()), VLOOKUP(A872,Internal_lists_bugs!$A$2:$C$73,3,FALSE())&amp;Char(10) &amp; Char(10) &amp; VLOOKUP(A872,Internal_lists_bugs!$A$2:$Z$73,26,FALSE())),"please select a BUG ID")</f>
        <v>https://bugs.launchpad.net/nova/+bug/1336127
/compute/manager.py</v>
      </c>
      <c r="C872" s="81" t="str">
        <f>IFERROR(VLOOKUP(A872,Internal_lists_bugs!$A$2:$I7981,9,FALSE()),"please select a BUG ID")</f>
        <v>https://review.opendev.org/c/openstack/nova/+/42389</v>
      </c>
      <c r="D872" s="114"/>
      <c r="E872" s="114"/>
      <c r="F872" s="115"/>
      <c r="G872" s="16" t="s">
        <v>1590</v>
      </c>
      <c r="H872" s="16" t="s">
        <v>2486</v>
      </c>
      <c r="I872" s="82"/>
      <c r="J872" s="92"/>
      <c r="K872" s="82"/>
      <c r="M872" s="114" t="str">
        <f>VLOOKUP(A872,'BIC_(C_Variables)'!$A$3:$AS$43,45,FALSE())</f>
        <v/>
      </c>
      <c r="N872" s="1"/>
      <c r="O872" s="1"/>
      <c r="P872" s="81" t="str">
        <f>IFERROR(VLOOKUP(A872,Internal_lists_bugs!$A$2:$G7981,7,FALSE()),"please select a BUG ID")</f>
        <v>https://opendev.org/openstack/nova/commit/2c62e34</v>
      </c>
    </row>
    <row r="873">
      <c r="A873" s="16" t="s">
        <v>53</v>
      </c>
      <c r="B873" s="50" t="str">
        <f>IFERROR(HYPERLINK(VLOOKUP(A873,Internal_lists_bugs!$A$2:$C$73,3,FALSE()), VLOOKUP(A873,Internal_lists_bugs!$A$2:$C$73,3,FALSE())&amp;Char(10) &amp; Char(10) &amp; VLOOKUP(A873,Internal_lists_bugs!$A$2:$Z$73,26,FALSE())),"please select a BUG ID")</f>
        <v>https://bugs.launchpad.net/nova/+bug/1336127
/compute/manager.py</v>
      </c>
      <c r="C873" s="81" t="str">
        <f>IFERROR(VLOOKUP(A873,Internal_lists_bugs!$A$2:$I7981,9,FALSE()),"please select a BUG ID")</f>
        <v>https://review.opendev.org/c/openstack/nova/+/42389</v>
      </c>
      <c r="D873" s="114"/>
      <c r="E873" s="114"/>
      <c r="F873" s="115"/>
      <c r="G873" s="16" t="s">
        <v>1931</v>
      </c>
      <c r="H873" s="16" t="s">
        <v>2487</v>
      </c>
      <c r="I873" s="82"/>
      <c r="J873" s="92"/>
      <c r="K873" s="82"/>
      <c r="M873" s="114" t="str">
        <f>VLOOKUP(A873,'BIC_(C_Variables)'!$A$3:$AS$43,45,FALSE())</f>
        <v/>
      </c>
      <c r="N873" s="1"/>
      <c r="O873" s="1"/>
      <c r="P873" s="81" t="str">
        <f>IFERROR(VLOOKUP(A873,Internal_lists_bugs!$A$2:$G7981,7,FALSE()),"please select a BUG ID")</f>
        <v>https://opendev.org/openstack/nova/commit/2c62e34</v>
      </c>
    </row>
    <row r="874">
      <c r="A874" s="16" t="s">
        <v>53</v>
      </c>
      <c r="B874" s="50" t="str">
        <f>IFERROR(HYPERLINK(VLOOKUP(A874,Internal_lists_bugs!$A$2:$C$73,3,FALSE()), VLOOKUP(A874,Internal_lists_bugs!$A$2:$C$73,3,FALSE())&amp;Char(10) &amp; Char(10) &amp; VLOOKUP(A874,Internal_lists_bugs!$A$2:$Z$73,26,FALSE())),"please select a BUG ID")</f>
        <v>https://bugs.launchpad.net/nova/+bug/1336127
/compute/manager.py</v>
      </c>
      <c r="C874" s="81" t="str">
        <f>IFERROR(VLOOKUP(A874,Internal_lists_bugs!$A$2:$I7981,9,FALSE()),"please select a BUG ID")</f>
        <v>https://review.opendev.org/c/openstack/nova/+/42389</v>
      </c>
      <c r="D874" s="114"/>
      <c r="E874" s="114"/>
      <c r="F874" s="115"/>
      <c r="G874" s="16" t="s">
        <v>1427</v>
      </c>
      <c r="H874" s="16" t="s">
        <v>2487</v>
      </c>
      <c r="I874" s="82"/>
      <c r="J874" s="92"/>
      <c r="K874" s="82"/>
      <c r="M874" s="114" t="str">
        <f>VLOOKUP(A874,'BIC_(C_Variables)'!$A$3:$AS$43,45,FALSE())</f>
        <v/>
      </c>
      <c r="N874" s="1"/>
      <c r="O874" s="1"/>
      <c r="P874" s="81" t="str">
        <f>IFERROR(VLOOKUP(A874,Internal_lists_bugs!$A$2:$G7981,7,FALSE()),"please select a BUG ID")</f>
        <v>https://opendev.org/openstack/nova/commit/2c62e34</v>
      </c>
    </row>
    <row r="875">
      <c r="A875" s="16" t="s">
        <v>53</v>
      </c>
      <c r="B875" s="50" t="str">
        <f>IFERROR(HYPERLINK(VLOOKUP(A875,Internal_lists_bugs!$A$2:$C$73,3,FALSE()), VLOOKUP(A875,Internal_lists_bugs!$A$2:$C$73,3,FALSE())&amp;Char(10) &amp; Char(10) &amp; VLOOKUP(A875,Internal_lists_bugs!$A$2:$Z$73,26,FALSE())),"please select a BUG ID")</f>
        <v>https://bugs.launchpad.net/nova/+bug/1336127
/compute/manager.py</v>
      </c>
      <c r="C875" s="81" t="str">
        <f>IFERROR(VLOOKUP(A875,Internal_lists_bugs!$A$2:$I7981,9,FALSE()),"please select a BUG ID")</f>
        <v>https://review.opendev.org/c/openstack/nova/+/42389</v>
      </c>
      <c r="D875" s="114"/>
      <c r="E875" s="114"/>
      <c r="F875" s="115"/>
      <c r="G875" s="16" t="s">
        <v>2488</v>
      </c>
      <c r="H875" s="16" t="s">
        <v>2489</v>
      </c>
      <c r="I875" s="82"/>
      <c r="J875" s="92"/>
      <c r="K875" s="82"/>
      <c r="M875" s="114" t="str">
        <f>VLOOKUP(A875,'BIC_(C_Variables)'!$A$3:$AS$43,45,FALSE())</f>
        <v/>
      </c>
      <c r="N875" s="1"/>
      <c r="O875" s="1"/>
      <c r="P875" s="81" t="str">
        <f>IFERROR(VLOOKUP(A875,Internal_lists_bugs!$A$2:$G7981,7,FALSE()),"please select a BUG ID")</f>
        <v>https://opendev.org/openstack/nova/commit/2c62e34</v>
      </c>
    </row>
    <row r="876">
      <c r="A876" s="16" t="s">
        <v>53</v>
      </c>
      <c r="B876" s="50" t="str">
        <f>IFERROR(HYPERLINK(VLOOKUP(A876,Internal_lists_bugs!$A$2:$C$73,3,FALSE()), VLOOKUP(A876,Internal_lists_bugs!$A$2:$C$73,3,FALSE())&amp;Char(10) &amp; Char(10) &amp; VLOOKUP(A876,Internal_lists_bugs!$A$2:$Z$73,26,FALSE())),"please select a BUG ID")</f>
        <v>https://bugs.launchpad.net/nova/+bug/1336127
/compute/manager.py</v>
      </c>
      <c r="C876" s="81" t="str">
        <f>IFERROR(VLOOKUP(A876,Internal_lists_bugs!$A$2:$I7981,9,FALSE()),"please select a BUG ID")</f>
        <v>https://review.opendev.org/c/openstack/nova/+/42389</v>
      </c>
      <c r="D876" s="114"/>
      <c r="E876" s="114"/>
      <c r="F876" s="115"/>
      <c r="G876" s="16" t="s">
        <v>2490</v>
      </c>
      <c r="H876" s="16" t="s">
        <v>2491</v>
      </c>
      <c r="I876" s="82"/>
      <c r="J876" s="92"/>
      <c r="K876" s="82"/>
      <c r="M876" s="114"/>
      <c r="N876" s="1"/>
      <c r="O876" s="1"/>
      <c r="P876" s="51"/>
    </row>
    <row r="877">
      <c r="A877" s="16" t="s">
        <v>53</v>
      </c>
      <c r="B877" s="50" t="str">
        <f>IFERROR(HYPERLINK(VLOOKUP(A877,Internal_lists_bugs!$A$2:$C$73,3,FALSE()), VLOOKUP(A877,Internal_lists_bugs!$A$2:$C$73,3,FALSE())&amp;Char(10) &amp; Char(10) &amp; VLOOKUP(A877,Internal_lists_bugs!$A$2:$Z$73,26,FALSE())),"please select a BUG ID")</f>
        <v>https://bugs.launchpad.net/nova/+bug/1336127
/compute/manager.py</v>
      </c>
      <c r="C877" s="81" t="str">
        <f>IFERROR(VLOOKUP(A877,Internal_lists_bugs!$A$2:$I7981,9,FALSE()),"please select a BUG ID")</f>
        <v>https://review.opendev.org/c/openstack/nova/+/42389</v>
      </c>
      <c r="D877" s="114"/>
      <c r="E877" s="114"/>
      <c r="F877" s="115"/>
      <c r="G877" s="16" t="s">
        <v>1654</v>
      </c>
      <c r="H877" s="16" t="s">
        <v>2491</v>
      </c>
      <c r="I877" s="82"/>
      <c r="J877" s="92"/>
      <c r="K877" s="82"/>
      <c r="M877" s="114" t="str">
        <f>VLOOKUP(A877,'BIC_(C_Variables)'!$A$3:$AS$43,45,FALSE())</f>
        <v/>
      </c>
      <c r="N877" s="1"/>
      <c r="O877" s="1"/>
      <c r="P877" s="81" t="str">
        <f>IFERROR(VLOOKUP(A877,Internal_lists_bugs!$A$2:$G7981,7,FALSE()),"please select a BUG ID")</f>
        <v>https://opendev.org/openstack/nova/commit/2c62e34</v>
      </c>
    </row>
    <row r="878">
      <c r="A878" s="16" t="s">
        <v>54</v>
      </c>
      <c r="B878" s="50" t="str">
        <f>IFERROR(HYPERLINK(VLOOKUP(A878,Internal_lists_bugs!$A$2:$C$73,3,FALSE()), VLOOKUP(A878,Internal_lists_bugs!$A$2:$C$73,3,FALSE())&amp;Char(10) &amp; Char(10) &amp; VLOOKUP(A878,Internal_lists_bugs!$A$2:$Z$73,26,FALSE())),"please select a BUG ID")</f>
        <v>https://bugs.launchpad.net/nova/+bug/1307791
/compute/api.py</v>
      </c>
      <c r="C878" s="81" t="str">
        <f>IFERROR(VLOOKUP(A878,Internal_lists_bugs!$A$2:$I7981,9,FALSE()),"please select a BUG ID")</f>
        <v>https://review.opendev.org/c/openstack/nova/+/14805</v>
      </c>
      <c r="D878" s="112" t="s">
        <v>1412</v>
      </c>
      <c r="E878" s="112" t="s">
        <v>1462</v>
      </c>
      <c r="F878" s="113" t="s">
        <v>251</v>
      </c>
      <c r="G878" s="16" t="s">
        <v>1417</v>
      </c>
      <c r="H878" s="16" t="s">
        <v>2492</v>
      </c>
      <c r="I878" s="79" t="s">
        <v>251</v>
      </c>
      <c r="J878" s="93" t="s">
        <v>2493</v>
      </c>
      <c r="K878" s="79" t="s">
        <v>251</v>
      </c>
      <c r="L878" s="16" t="s">
        <v>2494</v>
      </c>
      <c r="M878" s="114" t="str">
        <f>VLOOKUP(A878,'BIC_(C_Variables)'!$A$3:$AS$43,45,FALSE())</f>
        <v/>
      </c>
      <c r="N878" s="1"/>
      <c r="O878" s="1"/>
      <c r="P878" s="81" t="str">
        <f>IFERROR(VLOOKUP(A878,Internal_lists_bugs!$A$2:$G7981,7,FALSE()),"please select a BUG ID")</f>
        <v>https://opendev.org/openstack/nova/commit/3dff4335661</v>
      </c>
    </row>
    <row r="879">
      <c r="A879" s="16" t="s">
        <v>54</v>
      </c>
      <c r="B879" s="50" t="str">
        <f>IFERROR(HYPERLINK(VLOOKUP(A879,Internal_lists_bugs!$A$2:$C$73,3,FALSE()), VLOOKUP(A879,Internal_lists_bugs!$A$2:$C$73,3,FALSE())&amp;Char(10) &amp; Char(10) &amp; VLOOKUP(A879,Internal_lists_bugs!$A$2:$Z$73,26,FALSE())),"please select a BUG ID")</f>
        <v>https://bugs.launchpad.net/nova/+bug/1307791
/compute/api.py</v>
      </c>
      <c r="C879" s="81" t="str">
        <f>IFERROR(VLOOKUP(A879,Internal_lists_bugs!$A$2:$I7981,9,FALSE()),"please select a BUG ID")</f>
        <v>https://review.opendev.org/c/openstack/nova/+/14805</v>
      </c>
      <c r="D879" s="114"/>
      <c r="E879" s="114"/>
      <c r="F879" s="115"/>
      <c r="G879" s="16" t="s">
        <v>1672</v>
      </c>
      <c r="H879" s="16" t="s">
        <v>2495</v>
      </c>
      <c r="I879" s="82"/>
      <c r="J879" s="92"/>
      <c r="K879" s="82"/>
      <c r="M879" s="114" t="str">
        <f>VLOOKUP(A879,'BIC_(C_Variables)'!$A$3:$AS$43,45,FALSE())</f>
        <v/>
      </c>
      <c r="N879" s="1"/>
      <c r="O879" s="1"/>
      <c r="P879" s="81" t="str">
        <f>IFERROR(VLOOKUP(A879,Internal_lists_bugs!$A$2:$G7981,7,FALSE()),"please select a BUG ID")</f>
        <v>https://opendev.org/openstack/nova/commit/3dff4335661</v>
      </c>
    </row>
    <row r="880">
      <c r="A880" s="16" t="s">
        <v>54</v>
      </c>
      <c r="B880" s="50" t="str">
        <f>IFERROR(HYPERLINK(VLOOKUP(A880,Internal_lists_bugs!$A$2:$C$73,3,FALSE()), VLOOKUP(A880,Internal_lists_bugs!$A$2:$C$73,3,FALSE())&amp;Char(10) &amp; Char(10) &amp; VLOOKUP(A880,Internal_lists_bugs!$A$2:$Z$73,26,FALSE())),"please select a BUG ID")</f>
        <v>https://bugs.launchpad.net/nova/+bug/1307791
/compute/api.py</v>
      </c>
      <c r="C880" s="81" t="str">
        <f>IFERROR(VLOOKUP(A880,Internal_lists_bugs!$A$2:$I7981,9,FALSE()),"please select a BUG ID")</f>
        <v>https://review.opendev.org/c/openstack/nova/+/14805</v>
      </c>
      <c r="D880" s="114"/>
      <c r="E880" s="114"/>
      <c r="F880" s="115"/>
      <c r="G880" s="16" t="s">
        <v>1466</v>
      </c>
      <c r="H880" s="16" t="s">
        <v>2496</v>
      </c>
      <c r="I880" s="82"/>
      <c r="J880" s="92"/>
      <c r="K880" s="82"/>
      <c r="M880" s="114" t="str">
        <f>VLOOKUP(A880,'BIC_(C_Variables)'!$A$3:$AS$43,45,FALSE())</f>
        <v/>
      </c>
      <c r="N880" s="1"/>
      <c r="O880" s="1"/>
      <c r="P880" s="81" t="str">
        <f>IFERROR(VLOOKUP(A880,Internal_lists_bugs!$A$2:$G7981,7,FALSE()),"please select a BUG ID")</f>
        <v>https://opendev.org/openstack/nova/commit/3dff4335661</v>
      </c>
    </row>
    <row r="881">
      <c r="A881" s="16" t="s">
        <v>54</v>
      </c>
      <c r="B881" s="50" t="str">
        <f>IFERROR(HYPERLINK(VLOOKUP(A881,Internal_lists_bugs!$A$2:$C$73,3,FALSE()), VLOOKUP(A881,Internal_lists_bugs!$A$2:$C$73,3,FALSE())&amp;Char(10) &amp; Char(10) &amp; VLOOKUP(A881,Internal_lists_bugs!$A$2:$Z$73,26,FALSE())),"please select a BUG ID")</f>
        <v>https://bugs.launchpad.net/nova/+bug/1307791
/compute/api.py</v>
      </c>
      <c r="C881" s="81" t="str">
        <f>IFERROR(VLOOKUP(A881,Internal_lists_bugs!$A$2:$I7981,9,FALSE()),"please select a BUG ID")</f>
        <v>https://review.opendev.org/c/openstack/nova/+/14805</v>
      </c>
      <c r="D881" s="114"/>
      <c r="E881" s="114"/>
      <c r="F881" s="115"/>
      <c r="G881" s="16" t="s">
        <v>1671</v>
      </c>
      <c r="H881" s="16" t="s">
        <v>2497</v>
      </c>
      <c r="I881" s="82"/>
      <c r="J881" s="92"/>
      <c r="K881" s="82"/>
      <c r="M881" s="114" t="str">
        <f>VLOOKUP(A881,'BIC_(C_Variables)'!$A$3:$AS$43,45,FALSE())</f>
        <v/>
      </c>
      <c r="N881" s="1"/>
      <c r="O881" s="1"/>
      <c r="P881" s="81" t="str">
        <f>IFERROR(VLOOKUP(A881,Internal_lists_bugs!$A$2:$G7981,7,FALSE()),"please select a BUG ID")</f>
        <v>https://opendev.org/openstack/nova/commit/3dff4335661</v>
      </c>
    </row>
    <row r="882">
      <c r="A882" s="16" t="s">
        <v>54</v>
      </c>
      <c r="B882" s="50" t="str">
        <f>IFERROR(HYPERLINK(VLOOKUP(A882,Internal_lists_bugs!$A$2:$C$73,3,FALSE()), VLOOKUP(A882,Internal_lists_bugs!$A$2:$C$73,3,FALSE())&amp;Char(10) &amp; Char(10) &amp; VLOOKUP(A882,Internal_lists_bugs!$A$2:$Z$73,26,FALSE())),"please select a BUG ID")</f>
        <v>https://bugs.launchpad.net/nova/+bug/1307791
/compute/api.py</v>
      </c>
      <c r="C882" s="81" t="str">
        <f>IFERROR(VLOOKUP(A882,Internal_lists_bugs!$A$2:$I7981,9,FALSE()),"please select a BUG ID")</f>
        <v>https://review.opendev.org/c/openstack/nova/+/14805</v>
      </c>
      <c r="D882" s="114"/>
      <c r="E882" s="114"/>
      <c r="F882" s="115"/>
      <c r="G882" s="16" t="s">
        <v>1419</v>
      </c>
      <c r="H882" s="16" t="s">
        <v>2498</v>
      </c>
      <c r="I882" s="82"/>
      <c r="J882" s="92"/>
      <c r="K882" s="82"/>
      <c r="M882" s="114" t="str">
        <f>VLOOKUP(A882,'BIC_(C_Variables)'!$A$3:$AS$43,45,FALSE())</f>
        <v/>
      </c>
      <c r="N882" s="1"/>
      <c r="O882" s="1"/>
      <c r="P882" s="81" t="str">
        <f>IFERROR(VLOOKUP(A882,Internal_lists_bugs!$A$2:$G7981,7,FALSE()),"please select a BUG ID")</f>
        <v>https://opendev.org/openstack/nova/commit/3dff4335661</v>
      </c>
    </row>
    <row r="883">
      <c r="A883" s="16" t="s">
        <v>54</v>
      </c>
      <c r="B883" s="50" t="str">
        <f>IFERROR(HYPERLINK(VLOOKUP(A883,Internal_lists_bugs!$A$2:$C$73,3,FALSE()), VLOOKUP(A883,Internal_lists_bugs!$A$2:$C$73,3,FALSE())&amp;Char(10) &amp; Char(10) &amp; VLOOKUP(A883,Internal_lists_bugs!$A$2:$Z$73,26,FALSE())),"please select a BUG ID")</f>
        <v>https://bugs.launchpad.net/nova/+bug/1307791
/compute/api.py</v>
      </c>
      <c r="C883" s="81" t="str">
        <f>IFERROR(VLOOKUP(A883,Internal_lists_bugs!$A$2:$I7981,9,FALSE()),"please select a BUG ID")</f>
        <v>https://review.opendev.org/c/openstack/nova/+/14805</v>
      </c>
      <c r="D883" s="114"/>
      <c r="E883" s="114"/>
      <c r="F883" s="115"/>
      <c r="G883" s="16" t="s">
        <v>1913</v>
      </c>
      <c r="H883" s="16" t="s">
        <v>2499</v>
      </c>
      <c r="I883" s="82"/>
      <c r="J883" s="92"/>
      <c r="K883" s="82"/>
      <c r="M883" s="114" t="str">
        <f>VLOOKUP(A883,'BIC_(C_Variables)'!$A$3:$AS$43,45,FALSE())</f>
        <v/>
      </c>
      <c r="N883" s="1"/>
      <c r="O883" s="1"/>
      <c r="P883" s="81" t="str">
        <f>IFERROR(VLOOKUP(A883,Internal_lists_bugs!$A$2:$G7981,7,FALSE()),"please select a BUG ID")</f>
        <v>https://opendev.org/openstack/nova/commit/3dff4335661</v>
      </c>
    </row>
    <row r="884">
      <c r="A884" s="16" t="s">
        <v>54</v>
      </c>
      <c r="B884" s="50" t="str">
        <f>IFERROR(HYPERLINK(VLOOKUP(A884,Internal_lists_bugs!$A$2:$C$73,3,FALSE()), VLOOKUP(A884,Internal_lists_bugs!$A$2:$C$73,3,FALSE())&amp;Char(10) &amp; Char(10) &amp; VLOOKUP(A884,Internal_lists_bugs!$A$2:$Z$73,26,FALSE())),"please select a BUG ID")</f>
        <v>https://bugs.launchpad.net/nova/+bug/1307791
/compute/api.py</v>
      </c>
      <c r="C884" s="81" t="str">
        <f>IFERROR(VLOOKUP(A884,Internal_lists_bugs!$A$2:$I7981,9,FALSE()),"please select a BUG ID")</f>
        <v>https://review.opendev.org/c/openstack/nova/+/14805</v>
      </c>
      <c r="D884" s="114"/>
      <c r="E884" s="114"/>
      <c r="F884" s="115"/>
      <c r="G884" s="16" t="s">
        <v>1818</v>
      </c>
      <c r="H884" s="16" t="s">
        <v>2500</v>
      </c>
      <c r="I884" s="82"/>
      <c r="J884" s="92"/>
      <c r="K884" s="82"/>
      <c r="M884" s="114" t="str">
        <f>VLOOKUP(A884,'BIC_(C_Variables)'!$A$3:$AS$43,45,FALSE())</f>
        <v/>
      </c>
      <c r="N884" s="1"/>
      <c r="O884" s="1"/>
      <c r="P884" s="81" t="str">
        <f>IFERROR(VLOOKUP(A884,Internal_lists_bugs!$A$2:$G7981,7,FALSE()),"please select a BUG ID")</f>
        <v>https://opendev.org/openstack/nova/commit/3dff4335661</v>
      </c>
    </row>
    <row r="885">
      <c r="A885" s="16" t="s">
        <v>54</v>
      </c>
      <c r="B885" s="50" t="str">
        <f>IFERROR(HYPERLINK(VLOOKUP(A885,Internal_lists_bugs!$A$2:$C$73,3,FALSE()), VLOOKUP(A885,Internal_lists_bugs!$A$2:$C$73,3,FALSE())&amp;Char(10) &amp; Char(10) &amp; VLOOKUP(A885,Internal_lists_bugs!$A$2:$Z$73,26,FALSE())),"please select a BUG ID")</f>
        <v>https://bugs.launchpad.net/nova/+bug/1307791
/compute/api.py</v>
      </c>
      <c r="C885" s="81" t="str">
        <f>IFERROR(VLOOKUP(A885,Internal_lists_bugs!$A$2:$I7981,9,FALSE()),"please select a BUG ID")</f>
        <v>https://review.opendev.org/c/openstack/nova/+/14805</v>
      </c>
      <c r="D885" s="114"/>
      <c r="E885" s="114"/>
      <c r="F885" s="115"/>
      <c r="G885" s="16" t="s">
        <v>1842</v>
      </c>
      <c r="H885" s="16" t="s">
        <v>2501</v>
      </c>
      <c r="I885" s="82"/>
      <c r="J885" s="92"/>
      <c r="K885" s="82"/>
      <c r="M885" s="114" t="str">
        <f>VLOOKUP(A885,'BIC_(C_Variables)'!$A$3:$AS$43,45,FALSE())</f>
        <v/>
      </c>
      <c r="N885" s="1"/>
      <c r="O885" s="1"/>
      <c r="P885" s="81" t="str">
        <f>IFERROR(VLOOKUP(A885,Internal_lists_bugs!$A$2:$G7981,7,FALSE()),"please select a BUG ID")</f>
        <v>https://opendev.org/openstack/nova/commit/3dff4335661</v>
      </c>
    </row>
    <row r="886">
      <c r="A886" s="16" t="s">
        <v>54</v>
      </c>
      <c r="B886" s="50" t="str">
        <f>IFERROR(HYPERLINK(VLOOKUP(A886,Internal_lists_bugs!$A$2:$C$73,3,FALSE()), VLOOKUP(A886,Internal_lists_bugs!$A$2:$C$73,3,FALSE())&amp;Char(10) &amp; Char(10) &amp; VLOOKUP(A886,Internal_lists_bugs!$A$2:$Z$73,26,FALSE())),"please select a BUG ID")</f>
        <v>https://bugs.launchpad.net/nova/+bug/1307791
/compute/api.py</v>
      </c>
      <c r="C886" s="81" t="str">
        <f>IFERROR(VLOOKUP(A886,Internal_lists_bugs!$A$2:$I7981,9,FALSE()),"please select a BUG ID")</f>
        <v>https://review.opendev.org/c/openstack/nova/+/14805</v>
      </c>
      <c r="D886" s="114"/>
      <c r="E886" s="114"/>
      <c r="F886" s="115"/>
      <c r="G886" s="16" t="s">
        <v>2081</v>
      </c>
      <c r="H886" s="16" t="s">
        <v>2502</v>
      </c>
      <c r="I886" s="82"/>
      <c r="J886" s="92"/>
      <c r="K886" s="82"/>
      <c r="M886" s="114" t="str">
        <f>VLOOKUP(A886,'BIC_(C_Variables)'!$A$3:$AS$43,45,FALSE())</f>
        <v/>
      </c>
      <c r="N886" s="1"/>
      <c r="O886" s="1"/>
      <c r="P886" s="81" t="str">
        <f>IFERROR(VLOOKUP(A886,Internal_lists_bugs!$A$2:$G7981,7,FALSE()),"please select a BUG ID")</f>
        <v>https://opendev.org/openstack/nova/commit/3dff4335661</v>
      </c>
    </row>
    <row r="887">
      <c r="A887" s="16" t="s">
        <v>54</v>
      </c>
      <c r="B887" s="50" t="str">
        <f>IFERROR(HYPERLINK(VLOOKUP(A887,Internal_lists_bugs!$A$2:$C$73,3,FALSE()), VLOOKUP(A887,Internal_lists_bugs!$A$2:$C$73,3,FALSE())&amp;Char(10) &amp; Char(10) &amp; VLOOKUP(A887,Internal_lists_bugs!$A$2:$Z$73,26,FALSE())),"please select a BUG ID")</f>
        <v>https://bugs.launchpad.net/nova/+bug/1307791
/compute/api.py</v>
      </c>
      <c r="C887" s="81" t="str">
        <f>IFERROR(VLOOKUP(A887,Internal_lists_bugs!$A$2:$I7981,9,FALSE()),"please select a BUG ID")</f>
        <v>https://review.opendev.org/c/openstack/nova/+/14805</v>
      </c>
      <c r="D887" s="114"/>
      <c r="E887" s="114"/>
      <c r="F887" s="115"/>
      <c r="G887" s="16" t="s">
        <v>1921</v>
      </c>
      <c r="H887" s="16" t="s">
        <v>2503</v>
      </c>
      <c r="I887" s="82"/>
      <c r="J887" s="92"/>
      <c r="K887" s="82"/>
      <c r="M887" s="114" t="str">
        <f>VLOOKUP(A887,'BIC_(C_Variables)'!$A$3:$AS$43,45,FALSE())</f>
        <v/>
      </c>
      <c r="N887" s="1"/>
      <c r="O887" s="1"/>
      <c r="P887" s="81" t="str">
        <f>IFERROR(VLOOKUP(A887,Internal_lists_bugs!$A$2:$G7981,7,FALSE()),"please select a BUG ID")</f>
        <v>https://opendev.org/openstack/nova/commit/3dff4335661</v>
      </c>
    </row>
    <row r="888">
      <c r="A888" s="16" t="s">
        <v>54</v>
      </c>
      <c r="B888" s="50" t="str">
        <f>IFERROR(HYPERLINK(VLOOKUP(A888,Internal_lists_bugs!$A$2:$C$73,3,FALSE()), VLOOKUP(A888,Internal_lists_bugs!$A$2:$C$73,3,FALSE())&amp;Char(10) &amp; Char(10) &amp; VLOOKUP(A888,Internal_lists_bugs!$A$2:$Z$73,26,FALSE())),"please select a BUG ID")</f>
        <v>https://bugs.launchpad.net/nova/+bug/1307791
/compute/api.py</v>
      </c>
      <c r="C888" s="81" t="str">
        <f>IFERROR(VLOOKUP(A888,Internal_lists_bugs!$A$2:$I7981,9,FALSE()),"please select a BUG ID")</f>
        <v>https://review.opendev.org/c/openstack/nova/+/14805</v>
      </c>
      <c r="D888" s="114"/>
      <c r="E888" s="114"/>
      <c r="F888" s="115"/>
      <c r="G888" s="16" t="s">
        <v>2504</v>
      </c>
      <c r="H888" s="16" t="s">
        <v>2505</v>
      </c>
      <c r="I888" s="82"/>
      <c r="J888" s="92"/>
      <c r="K888" s="82"/>
      <c r="M888" s="114" t="str">
        <f>VLOOKUP(A888,'BIC_(C_Variables)'!$A$3:$AS$43,45,FALSE())</f>
        <v/>
      </c>
      <c r="N888" s="1"/>
      <c r="O888" s="1"/>
      <c r="P888" s="81" t="str">
        <f>IFERROR(VLOOKUP(A888,Internal_lists_bugs!$A$2:$G7981,7,FALSE()),"please select a BUG ID")</f>
        <v>https://opendev.org/openstack/nova/commit/3dff4335661</v>
      </c>
    </row>
    <row r="889">
      <c r="A889" s="16" t="s">
        <v>54</v>
      </c>
      <c r="B889" s="50" t="str">
        <f>IFERROR(HYPERLINK(VLOOKUP(A889,Internal_lists_bugs!$A$2:$C$73,3,FALSE()), VLOOKUP(A889,Internal_lists_bugs!$A$2:$C$73,3,FALSE())&amp;Char(10) &amp; Char(10) &amp; VLOOKUP(A889,Internal_lists_bugs!$A$2:$Z$73,26,FALSE())),"please select a BUG ID")</f>
        <v>https://bugs.launchpad.net/nova/+bug/1307791
/compute/api.py</v>
      </c>
      <c r="C889" s="81" t="str">
        <f>IFERROR(VLOOKUP(A889,Internal_lists_bugs!$A$2:$I7981,9,FALSE()),"please select a BUG ID")</f>
        <v>https://review.opendev.org/c/openstack/nova/+/14805</v>
      </c>
      <c r="D889" s="114"/>
      <c r="E889" s="114"/>
      <c r="F889" s="115"/>
      <c r="G889" s="16" t="s">
        <v>1472</v>
      </c>
      <c r="H889" s="16" t="s">
        <v>2506</v>
      </c>
      <c r="I889" s="82"/>
      <c r="J889" s="92"/>
      <c r="K889" s="82"/>
      <c r="M889" s="114" t="str">
        <f>VLOOKUP(A889,'BIC_(C_Variables)'!$A$3:$AS$43,45,FALSE())</f>
        <v/>
      </c>
      <c r="N889" s="1"/>
      <c r="O889" s="1"/>
      <c r="P889" s="81" t="str">
        <f>IFERROR(VLOOKUP(A889,Internal_lists_bugs!$A$2:$G7981,7,FALSE()),"please select a BUG ID")</f>
        <v>https://opendev.org/openstack/nova/commit/3dff4335661</v>
      </c>
    </row>
    <row r="890">
      <c r="A890" s="16" t="s">
        <v>54</v>
      </c>
      <c r="B890" s="50" t="str">
        <f>IFERROR(HYPERLINK(VLOOKUP(A890,Internal_lists_bugs!$A$2:$C$73,3,FALSE()), VLOOKUP(A890,Internal_lists_bugs!$A$2:$C$73,3,FALSE())&amp;Char(10) &amp; Char(10) &amp; VLOOKUP(A890,Internal_lists_bugs!$A$2:$Z$73,26,FALSE())),"please select a BUG ID")</f>
        <v>https://bugs.launchpad.net/nova/+bug/1307791
/compute/api.py</v>
      </c>
      <c r="C890" s="81" t="str">
        <f>IFERROR(VLOOKUP(A890,Internal_lists_bugs!$A$2:$I7981,9,FALSE()),"please select a BUG ID")</f>
        <v>https://review.opendev.org/c/openstack/nova/+/14805</v>
      </c>
      <c r="D890" s="114"/>
      <c r="E890" s="114"/>
      <c r="F890" s="115"/>
      <c r="G890" s="16" t="s">
        <v>1428</v>
      </c>
      <c r="H890" s="16" t="s">
        <v>2506</v>
      </c>
      <c r="I890" s="82"/>
      <c r="J890" s="92"/>
      <c r="K890" s="82"/>
      <c r="M890" s="114" t="str">
        <f>VLOOKUP(A890,'BIC_(C_Variables)'!$A$3:$AS$43,45,FALSE())</f>
        <v/>
      </c>
      <c r="N890" s="1"/>
      <c r="O890" s="1"/>
      <c r="P890" s="81" t="str">
        <f>IFERROR(VLOOKUP(A890,Internal_lists_bugs!$A$2:$G7981,7,FALSE()),"please select a BUG ID")</f>
        <v>https://opendev.org/openstack/nova/commit/3dff4335661</v>
      </c>
    </row>
    <row r="891">
      <c r="A891" s="16" t="s">
        <v>54</v>
      </c>
      <c r="B891" s="50" t="str">
        <f>IFERROR(HYPERLINK(VLOOKUP(A891,Internal_lists_bugs!$A$2:$C$73,3,FALSE()), VLOOKUP(A891,Internal_lists_bugs!$A$2:$C$73,3,FALSE())&amp;Char(10) &amp; Char(10) &amp; VLOOKUP(A891,Internal_lists_bugs!$A$2:$Z$73,26,FALSE())),"please select a BUG ID")</f>
        <v>https://bugs.launchpad.net/nova/+bug/1307791
/compute/api.py</v>
      </c>
      <c r="C891" s="81" t="str">
        <f>IFERROR(VLOOKUP(A891,Internal_lists_bugs!$A$2:$I7981,9,FALSE()),"please select a BUG ID")</f>
        <v>https://review.opendev.org/c/openstack/nova/+/14805</v>
      </c>
      <c r="D891" s="114"/>
      <c r="E891" s="114"/>
      <c r="F891" s="115"/>
      <c r="G891" s="16" t="s">
        <v>2507</v>
      </c>
      <c r="H891" s="16" t="s">
        <v>2508</v>
      </c>
      <c r="I891" s="82"/>
      <c r="J891" s="92"/>
      <c r="K891" s="82"/>
      <c r="M891" s="114" t="str">
        <f>VLOOKUP(A891,'BIC_(C_Variables)'!$A$3:$AS$43,45,FALSE())</f>
        <v/>
      </c>
      <c r="N891" s="1"/>
      <c r="O891" s="1"/>
      <c r="P891" s="81" t="str">
        <f>IFERROR(VLOOKUP(A891,Internal_lists_bugs!$A$2:$G7981,7,FALSE()),"please select a BUG ID")</f>
        <v>https://opendev.org/openstack/nova/commit/3dff4335661</v>
      </c>
    </row>
    <row r="892">
      <c r="A892" s="16" t="s">
        <v>54</v>
      </c>
      <c r="B892" s="50" t="str">
        <f>IFERROR(HYPERLINK(VLOOKUP(A892,Internal_lists_bugs!$A$2:$C$73,3,FALSE()), VLOOKUP(A892,Internal_lists_bugs!$A$2:$C$73,3,FALSE())&amp;Char(10) &amp; Char(10) &amp; VLOOKUP(A892,Internal_lists_bugs!$A$2:$Z$73,26,FALSE())),"please select a BUG ID")</f>
        <v>https://bugs.launchpad.net/nova/+bug/1307791
/compute/api.py</v>
      </c>
      <c r="C892" s="81" t="str">
        <f>IFERROR(VLOOKUP(A892,Internal_lists_bugs!$A$2:$I7981,9,FALSE()),"please select a BUG ID")</f>
        <v>https://review.opendev.org/c/openstack/nova/+/14805</v>
      </c>
      <c r="D892" s="114"/>
      <c r="E892" s="114"/>
      <c r="F892" s="115"/>
      <c r="G892" s="16" t="s">
        <v>1586</v>
      </c>
      <c r="H892" s="16" t="s">
        <v>2509</v>
      </c>
      <c r="I892" s="82"/>
      <c r="J892" s="92"/>
      <c r="K892" s="82"/>
      <c r="M892" s="114" t="str">
        <f>VLOOKUP(A892,'BIC_(C_Variables)'!$A$3:$AS$43,45,FALSE())</f>
        <v/>
      </c>
      <c r="N892" s="1"/>
      <c r="O892" s="1"/>
      <c r="P892" s="81" t="str">
        <f>IFERROR(VLOOKUP(A892,Internal_lists_bugs!$A$2:$G7981,7,FALSE()),"please select a BUG ID")</f>
        <v>https://opendev.org/openstack/nova/commit/3dff4335661</v>
      </c>
    </row>
    <row r="893">
      <c r="A893" s="16" t="s">
        <v>54</v>
      </c>
      <c r="B893" s="50" t="str">
        <f>IFERROR(HYPERLINK(VLOOKUP(A893,Internal_lists_bugs!$A$2:$C$73,3,FALSE()), VLOOKUP(A893,Internal_lists_bugs!$A$2:$C$73,3,FALSE())&amp;Char(10) &amp; Char(10) &amp; VLOOKUP(A893,Internal_lists_bugs!$A$2:$Z$73,26,FALSE())),"please select a BUG ID")</f>
        <v>https://bugs.launchpad.net/nova/+bug/1307791
/compute/api.py</v>
      </c>
      <c r="C893" s="81" t="str">
        <f>IFERROR(VLOOKUP(A893,Internal_lists_bugs!$A$2:$I7981,9,FALSE()),"please select a BUG ID")</f>
        <v>https://review.opendev.org/c/openstack/nova/+/14805</v>
      </c>
      <c r="D893" s="114"/>
      <c r="E893" s="114"/>
      <c r="F893" s="115"/>
      <c r="G893" s="16" t="s">
        <v>2474</v>
      </c>
      <c r="H893" s="16" t="s">
        <v>2510</v>
      </c>
      <c r="I893" s="82"/>
      <c r="J893" s="92"/>
      <c r="K893" s="82"/>
      <c r="M893" s="114" t="str">
        <f>VLOOKUP(A893,'BIC_(C_Variables)'!$A$3:$AS$43,45,FALSE())</f>
        <v/>
      </c>
      <c r="N893" s="1"/>
      <c r="O893" s="1"/>
      <c r="P893" s="81" t="str">
        <f>IFERROR(VLOOKUP(A893,Internal_lists_bugs!$A$2:$G7981,7,FALSE()),"please select a BUG ID")</f>
        <v>https://opendev.org/openstack/nova/commit/3dff4335661</v>
      </c>
    </row>
    <row r="894">
      <c r="A894" s="16" t="s">
        <v>54</v>
      </c>
      <c r="B894" s="50" t="str">
        <f>IFERROR(HYPERLINK(VLOOKUP(A894,Internal_lists_bugs!$A$2:$C$73,3,FALSE()), VLOOKUP(A894,Internal_lists_bugs!$A$2:$C$73,3,FALSE())&amp;Char(10) &amp; Char(10) &amp; VLOOKUP(A894,Internal_lists_bugs!$A$2:$Z$73,26,FALSE())),"please select a BUG ID")</f>
        <v>https://bugs.launchpad.net/nova/+bug/1307791
/compute/api.py</v>
      </c>
      <c r="C894" s="81" t="str">
        <f>IFERROR(VLOOKUP(A894,Internal_lists_bugs!$A$2:$I7981,9,FALSE()),"please select a BUG ID")</f>
        <v>https://review.opendev.org/c/openstack/nova/+/14805</v>
      </c>
      <c r="D894" s="114"/>
      <c r="E894" s="114"/>
      <c r="F894" s="115"/>
      <c r="G894" s="16" t="s">
        <v>2081</v>
      </c>
      <c r="H894" s="16" t="s">
        <v>2511</v>
      </c>
      <c r="I894" s="82"/>
      <c r="J894" s="92"/>
      <c r="K894" s="82"/>
      <c r="M894" s="114" t="str">
        <f>VLOOKUP(A894,'BIC_(C_Variables)'!$A$3:$AS$43,45,FALSE())</f>
        <v/>
      </c>
      <c r="N894" s="1"/>
      <c r="O894" s="1"/>
      <c r="P894" s="81" t="str">
        <f>IFERROR(VLOOKUP(A894,Internal_lists_bugs!$A$2:$G7981,7,FALSE()),"please select a BUG ID")</f>
        <v>https://opendev.org/openstack/nova/commit/3dff4335661</v>
      </c>
    </row>
    <row r="895">
      <c r="A895" s="16" t="s">
        <v>54</v>
      </c>
      <c r="B895" s="50" t="str">
        <f>IFERROR(HYPERLINK(VLOOKUP(A895,Internal_lists_bugs!$A$2:$C$73,3,FALSE()), VLOOKUP(A895,Internal_lists_bugs!$A$2:$C$73,3,FALSE())&amp;Char(10) &amp; Char(10) &amp; VLOOKUP(A895,Internal_lists_bugs!$A$2:$Z$73,26,FALSE())),"please select a BUG ID")</f>
        <v>https://bugs.launchpad.net/nova/+bug/1307791
/compute/api.py</v>
      </c>
      <c r="C895" s="81" t="str">
        <f>IFERROR(VLOOKUP(A895,Internal_lists_bugs!$A$2:$I7981,9,FALSE()),"please select a BUG ID")</f>
        <v>https://review.opendev.org/c/openstack/nova/+/14805</v>
      </c>
      <c r="D895" s="114"/>
      <c r="E895" s="114"/>
      <c r="F895" s="115"/>
      <c r="G895" s="16" t="s">
        <v>2512</v>
      </c>
      <c r="H895" s="16" t="s">
        <v>2513</v>
      </c>
      <c r="I895" s="82"/>
      <c r="J895" s="92"/>
      <c r="K895" s="82"/>
      <c r="M895" s="114" t="str">
        <f>VLOOKUP(A895,'BIC_(C_Variables)'!$A$3:$AS$43,45,FALSE())</f>
        <v/>
      </c>
      <c r="N895" s="1"/>
      <c r="O895" s="1"/>
      <c r="P895" s="81" t="str">
        <f>IFERROR(VLOOKUP(A895,Internal_lists_bugs!$A$2:$G7981,7,FALSE()),"please select a BUG ID")</f>
        <v>https://opendev.org/openstack/nova/commit/3dff4335661</v>
      </c>
    </row>
    <row r="896">
      <c r="A896" s="16" t="s">
        <v>54</v>
      </c>
      <c r="B896" s="50" t="str">
        <f>IFERROR(HYPERLINK(VLOOKUP(A896,Internal_lists_bugs!$A$2:$C$73,3,FALSE()), VLOOKUP(A896,Internal_lists_bugs!$A$2:$C$73,3,FALSE())&amp;Char(10) &amp; Char(10) &amp; VLOOKUP(A896,Internal_lists_bugs!$A$2:$Z$73,26,FALSE())),"please select a BUG ID")</f>
        <v>https://bugs.launchpad.net/nova/+bug/1307791
/compute/api.py</v>
      </c>
      <c r="C896" s="81" t="str">
        <f>IFERROR(VLOOKUP(A896,Internal_lists_bugs!$A$2:$I7981,9,FALSE()),"please select a BUG ID")</f>
        <v>https://review.opendev.org/c/openstack/nova/+/14805</v>
      </c>
      <c r="D896" s="114"/>
      <c r="E896" s="114"/>
      <c r="F896" s="115"/>
      <c r="G896" s="16" t="s">
        <v>1441</v>
      </c>
      <c r="H896" s="16" t="s">
        <v>2514</v>
      </c>
      <c r="I896" s="82"/>
      <c r="J896" s="92"/>
      <c r="K896" s="82"/>
      <c r="M896" s="114" t="str">
        <f>VLOOKUP(A896,'BIC_(C_Variables)'!$A$3:$AS$43,45,FALSE())</f>
        <v/>
      </c>
      <c r="N896" s="1"/>
      <c r="O896" s="1"/>
      <c r="P896" s="81" t="str">
        <f>IFERROR(VLOOKUP(A896,Internal_lists_bugs!$A$2:$G7981,7,FALSE()),"please select a BUG ID")</f>
        <v>https://opendev.org/openstack/nova/commit/3dff4335661</v>
      </c>
    </row>
    <row r="897">
      <c r="A897" s="16" t="s">
        <v>54</v>
      </c>
      <c r="B897" s="50" t="str">
        <f>IFERROR(HYPERLINK(VLOOKUP(A897,Internal_lists_bugs!$A$2:$C$73,3,FALSE()), VLOOKUP(A897,Internal_lists_bugs!$A$2:$C$73,3,FALSE())&amp;Char(10) &amp; Char(10) &amp; VLOOKUP(A897,Internal_lists_bugs!$A$2:$Z$73,26,FALSE())),"please select a BUG ID")</f>
        <v>https://bugs.launchpad.net/nova/+bug/1307791
/compute/api.py</v>
      </c>
      <c r="C897" s="81" t="str">
        <f>IFERROR(VLOOKUP(A897,Internal_lists_bugs!$A$2:$I7981,9,FALSE()),"please select a BUG ID")</f>
        <v>https://review.opendev.org/c/openstack/nova/+/14805</v>
      </c>
      <c r="D897" s="114"/>
      <c r="E897" s="114"/>
      <c r="F897" s="115"/>
      <c r="G897" s="16" t="s">
        <v>1478</v>
      </c>
      <c r="H897" s="16" t="s">
        <v>2514</v>
      </c>
      <c r="I897" s="82"/>
      <c r="J897" s="92"/>
      <c r="K897" s="82"/>
      <c r="M897" s="114"/>
      <c r="N897" s="1"/>
      <c r="O897" s="1"/>
      <c r="P897" s="51"/>
    </row>
    <row r="898">
      <c r="A898" s="16" t="s">
        <v>54</v>
      </c>
      <c r="B898" s="50" t="str">
        <f>IFERROR(HYPERLINK(VLOOKUP(A898,Internal_lists_bugs!$A$2:$C$73,3,FALSE()), VLOOKUP(A898,Internal_lists_bugs!$A$2:$C$73,3,FALSE())&amp;Char(10) &amp; Char(10) &amp; VLOOKUP(A898,Internal_lists_bugs!$A$2:$Z$73,26,FALSE())),"please select a BUG ID")</f>
        <v>https://bugs.launchpad.net/nova/+bug/1307791
/compute/api.py</v>
      </c>
      <c r="C898" s="81" t="str">
        <f>IFERROR(VLOOKUP(A898,Internal_lists_bugs!$A$2:$I7981,9,FALSE()),"please select a BUG ID")</f>
        <v>https://review.opendev.org/c/openstack/nova/+/14805</v>
      </c>
      <c r="D898" s="114"/>
      <c r="E898" s="114"/>
      <c r="F898" s="115"/>
      <c r="G898" s="16" t="s">
        <v>1583</v>
      </c>
      <c r="H898" s="16" t="s">
        <v>2515</v>
      </c>
      <c r="I898" s="82"/>
      <c r="J898" s="92"/>
      <c r="K898" s="82"/>
      <c r="M898" s="114" t="str">
        <f>VLOOKUP(A898,'BIC_(C_Variables)'!$A$3:$AS$43,45,FALSE())</f>
        <v/>
      </c>
      <c r="N898" s="1"/>
      <c r="O898" s="1"/>
      <c r="P898" s="81" t="str">
        <f>IFERROR(VLOOKUP(A898,Internal_lists_bugs!$A$2:$G7981,7,FALSE()),"please select a BUG ID")</f>
        <v>https://opendev.org/openstack/nova/commit/3dff4335661</v>
      </c>
    </row>
    <row r="899">
      <c r="A899" s="16" t="s">
        <v>54</v>
      </c>
      <c r="B899" s="50" t="str">
        <f>IFERROR(HYPERLINK(VLOOKUP(A899,Internal_lists_bugs!$A$2:$C$73,3,FALSE()), VLOOKUP(A899,Internal_lists_bugs!$A$2:$C$73,3,FALSE())&amp;Char(10) &amp; Char(10) &amp; VLOOKUP(A899,Internal_lists_bugs!$A$2:$Z$73,26,FALSE())),"please select a BUG ID")</f>
        <v>https://bugs.launchpad.net/nova/+bug/1307791
/compute/api.py</v>
      </c>
      <c r="C899" s="81" t="str">
        <f>IFERROR(VLOOKUP(A899,Internal_lists_bugs!$A$2:$I7981,9,FALSE()),"please select a BUG ID")</f>
        <v>https://review.opendev.org/c/openstack/nova/+/14805</v>
      </c>
      <c r="D899" s="114"/>
      <c r="E899" s="114"/>
      <c r="F899" s="115"/>
      <c r="G899" s="16" t="s">
        <v>1450</v>
      </c>
      <c r="H899" s="16" t="s">
        <v>2516</v>
      </c>
      <c r="I899" s="82"/>
      <c r="J899" s="92"/>
      <c r="K899" s="82"/>
      <c r="M899" s="114" t="str">
        <f>VLOOKUP(A899,'BIC_(C_Variables)'!$A$3:$AS$43,45,FALSE())</f>
        <v/>
      </c>
      <c r="N899" s="1"/>
      <c r="O899" s="1"/>
      <c r="P899" s="81" t="str">
        <f>IFERROR(VLOOKUP(A899,Internal_lists_bugs!$A$2:$G7981,7,FALSE()),"please select a BUG ID")</f>
        <v>https://opendev.org/openstack/nova/commit/3dff4335661</v>
      </c>
    </row>
    <row r="900">
      <c r="A900" s="16" t="s">
        <v>54</v>
      </c>
      <c r="B900" s="50" t="str">
        <f>IFERROR(HYPERLINK(VLOOKUP(A900,Internal_lists_bugs!$A$2:$C$73,3,FALSE()), VLOOKUP(A900,Internal_lists_bugs!$A$2:$C$73,3,FALSE())&amp;Char(10) &amp; Char(10) &amp; VLOOKUP(A900,Internal_lists_bugs!$A$2:$Z$73,26,FALSE())),"please select a BUG ID")</f>
        <v>https://bugs.launchpad.net/nova/+bug/1307791
/compute/api.py</v>
      </c>
      <c r="C900" s="81" t="str">
        <f>IFERROR(VLOOKUP(A900,Internal_lists_bugs!$A$2:$I7981,9,FALSE()),"please select a BUG ID")</f>
        <v>https://review.opendev.org/c/openstack/nova/+/14805</v>
      </c>
      <c r="D900" s="114"/>
      <c r="E900" s="114"/>
      <c r="F900" s="115"/>
      <c r="G900" s="16" t="s">
        <v>1427</v>
      </c>
      <c r="H900" s="16" t="s">
        <v>2516</v>
      </c>
      <c r="I900" s="82"/>
      <c r="J900" s="92"/>
      <c r="K900" s="82"/>
      <c r="M900" s="114" t="str">
        <f>VLOOKUP(A900,'BIC_(C_Variables)'!$A$3:$AS$43,45,FALSE())</f>
        <v/>
      </c>
      <c r="N900" s="1"/>
      <c r="O900" s="1"/>
      <c r="P900" s="81" t="str">
        <f>IFERROR(VLOOKUP(A900,Internal_lists_bugs!$A$2:$G7981,7,FALSE()),"please select a BUG ID")</f>
        <v>https://opendev.org/openstack/nova/commit/3dff4335661</v>
      </c>
    </row>
    <row r="901">
      <c r="A901" s="16" t="s">
        <v>54</v>
      </c>
      <c r="B901" s="50" t="str">
        <f>IFERROR(HYPERLINK(VLOOKUP(A901,Internal_lists_bugs!$A$2:$C$73,3,FALSE()), VLOOKUP(A901,Internal_lists_bugs!$A$2:$C$73,3,FALSE())&amp;Char(10) &amp; Char(10) &amp; VLOOKUP(A901,Internal_lists_bugs!$A$2:$Z$73,26,FALSE())),"please select a BUG ID")</f>
        <v>https://bugs.launchpad.net/nova/+bug/1307791
/compute/api.py</v>
      </c>
      <c r="C901" s="81" t="str">
        <f>IFERROR(VLOOKUP(A901,Internal_lists_bugs!$A$2:$I7981,9,FALSE()),"please select a BUG ID")</f>
        <v>https://review.opendev.org/c/openstack/nova/+/14805</v>
      </c>
      <c r="D901" s="114"/>
      <c r="E901" s="114"/>
      <c r="F901" s="115"/>
      <c r="G901" s="16" t="s">
        <v>2088</v>
      </c>
      <c r="H901" s="16" t="s">
        <v>2517</v>
      </c>
      <c r="I901" s="82"/>
      <c r="J901" s="92"/>
      <c r="K901" s="82"/>
      <c r="M901" s="114" t="str">
        <f>VLOOKUP(A901,'BIC_(C_Variables)'!$A$3:$AS$43,45,FALSE())</f>
        <v/>
      </c>
      <c r="N901" s="1"/>
      <c r="O901" s="1"/>
      <c r="P901" s="81" t="str">
        <f>IFERROR(VLOOKUP(A901,Internal_lists_bugs!$A$2:$G7981,7,FALSE()),"please select a BUG ID")</f>
        <v>https://opendev.org/openstack/nova/commit/3dff4335661</v>
      </c>
    </row>
    <row r="902">
      <c r="A902" s="16" t="s">
        <v>54</v>
      </c>
      <c r="B902" s="50" t="str">
        <f>IFERROR(HYPERLINK(VLOOKUP(A902,Internal_lists_bugs!$A$2:$C$73,3,FALSE()), VLOOKUP(A902,Internal_lists_bugs!$A$2:$C$73,3,FALSE())&amp;Char(10) &amp; Char(10) &amp; VLOOKUP(A902,Internal_lists_bugs!$A$2:$Z$73,26,FALSE())),"please select a BUG ID")</f>
        <v>https://bugs.launchpad.net/nova/+bug/1307791
/compute/api.py</v>
      </c>
      <c r="C902" s="81" t="str">
        <f>IFERROR(VLOOKUP(A902,Internal_lists_bugs!$A$2:$I7981,9,FALSE()),"please select a BUG ID")</f>
        <v>https://review.opendev.org/c/openstack/nova/+/14805</v>
      </c>
      <c r="D902" s="114"/>
      <c r="E902" s="114"/>
      <c r="F902" s="115"/>
      <c r="G902" s="16" t="s">
        <v>2518</v>
      </c>
      <c r="H902" s="16" t="s">
        <v>2519</v>
      </c>
      <c r="I902" s="82"/>
      <c r="J902" s="92"/>
      <c r="K902" s="82"/>
      <c r="M902" s="114" t="str">
        <f>VLOOKUP(A902,'BIC_(C_Variables)'!$A$3:$AS$43,45,FALSE())</f>
        <v/>
      </c>
      <c r="N902" s="1"/>
      <c r="O902" s="1"/>
      <c r="P902" s="81" t="str">
        <f>IFERROR(VLOOKUP(A902,Internal_lists_bugs!$A$2:$G7981,7,FALSE()),"please select a BUG ID")</f>
        <v>https://opendev.org/openstack/nova/commit/3dff4335661</v>
      </c>
    </row>
    <row r="903">
      <c r="A903" s="16" t="s">
        <v>54</v>
      </c>
      <c r="B903" s="50" t="str">
        <f>IFERROR(HYPERLINK(VLOOKUP(A903,Internal_lists_bugs!$A$2:$C$73,3,FALSE()), VLOOKUP(A903,Internal_lists_bugs!$A$2:$C$73,3,FALSE())&amp;Char(10) &amp; Char(10) &amp; VLOOKUP(A903,Internal_lists_bugs!$A$2:$Z$73,26,FALSE())),"please select a BUG ID")</f>
        <v>https://bugs.launchpad.net/nova/+bug/1307791
/compute/api.py</v>
      </c>
      <c r="C903" s="81" t="str">
        <f>IFERROR(VLOOKUP(A903,Internal_lists_bugs!$A$2:$I7981,9,FALSE()),"please select a BUG ID")</f>
        <v>https://review.opendev.org/c/openstack/nova/+/14805</v>
      </c>
      <c r="D903" s="114"/>
      <c r="E903" s="114"/>
      <c r="F903" s="115"/>
      <c r="G903" s="16" t="s">
        <v>1609</v>
      </c>
      <c r="H903" s="16" t="s">
        <v>2520</v>
      </c>
      <c r="I903" s="82"/>
      <c r="J903" s="92"/>
      <c r="K903" s="82"/>
      <c r="M903" s="114"/>
      <c r="N903" s="1"/>
      <c r="O903" s="1"/>
      <c r="P903" s="51"/>
    </row>
    <row r="904">
      <c r="A904" s="16" t="s">
        <v>54</v>
      </c>
      <c r="B904" s="50" t="str">
        <f>IFERROR(HYPERLINK(VLOOKUP(A904,Internal_lists_bugs!$A$2:$C$73,3,FALSE()), VLOOKUP(A904,Internal_lists_bugs!$A$2:$C$73,3,FALSE())&amp;Char(10) &amp; Char(10) &amp; VLOOKUP(A904,Internal_lists_bugs!$A$2:$Z$73,26,FALSE())),"please select a BUG ID")</f>
        <v>https://bugs.launchpad.net/nova/+bug/1307791
/compute/api.py</v>
      </c>
      <c r="C904" s="81" t="str">
        <f>IFERROR(VLOOKUP(A904,Internal_lists_bugs!$A$2:$I7981,9,FALSE()),"please select a BUG ID")</f>
        <v>https://review.opendev.org/c/openstack/nova/+/14805</v>
      </c>
      <c r="D904" s="114"/>
      <c r="E904" s="114"/>
      <c r="F904" s="115"/>
      <c r="G904" s="16" t="s">
        <v>1654</v>
      </c>
      <c r="H904" s="16" t="s">
        <v>2520</v>
      </c>
      <c r="I904" s="82"/>
      <c r="J904" s="92"/>
      <c r="K904" s="82"/>
      <c r="M904" s="114" t="str">
        <f>VLOOKUP(A904,'BIC_(C_Variables)'!$A$3:$AS$43,45,FALSE())</f>
        <v/>
      </c>
      <c r="N904" s="1"/>
      <c r="O904" s="1"/>
      <c r="P904" s="81" t="str">
        <f>IFERROR(VLOOKUP(A904,Internal_lists_bugs!$A$2:$G7981,7,FALSE()),"please select a BUG ID")</f>
        <v>https://opendev.org/openstack/nova/commit/3dff4335661</v>
      </c>
    </row>
    <row r="905">
      <c r="A905" s="16" t="s">
        <v>54</v>
      </c>
      <c r="B905" s="50" t="str">
        <f>IFERROR(HYPERLINK(VLOOKUP(A905,Internal_lists_bugs!$A$2:$C$73,3,FALSE()), VLOOKUP(A905,Internal_lists_bugs!$A$2:$C$73,3,FALSE())&amp;Char(10) &amp; Char(10) &amp; VLOOKUP(A905,Internal_lists_bugs!$A$2:$Z$73,26,FALSE())),"please select a BUG ID")</f>
        <v>https://bugs.launchpad.net/nova/+bug/1307791
/compute/api.py</v>
      </c>
      <c r="C905" s="81" t="str">
        <f>IFERROR(VLOOKUP(A905,Internal_lists_bugs!$A$2:$I7981,9,FALSE()),"please select a BUG ID")</f>
        <v>https://review.opendev.org/c/openstack/nova/+/14805</v>
      </c>
      <c r="D905" s="114"/>
      <c r="E905" s="114"/>
      <c r="F905" s="115"/>
      <c r="G905" s="16" t="s">
        <v>1460</v>
      </c>
      <c r="H905" s="16" t="s">
        <v>1997</v>
      </c>
      <c r="I905" s="82"/>
      <c r="J905" s="92"/>
      <c r="K905" s="82"/>
      <c r="M905" s="114" t="str">
        <f>VLOOKUP(A905,'BIC_(C_Variables)'!$A$3:$AS$43,45,FALSE())</f>
        <v/>
      </c>
      <c r="N905" s="1"/>
      <c r="O905" s="1"/>
      <c r="P905" s="81" t="str">
        <f>IFERROR(VLOOKUP(A905,Internal_lists_bugs!$A$2:$G7981,7,FALSE()),"please select a BUG ID")</f>
        <v>https://opendev.org/openstack/nova/commit/3dff4335661</v>
      </c>
    </row>
    <row r="906">
      <c r="A906" s="16" t="s">
        <v>55</v>
      </c>
      <c r="B906" s="50" t="str">
        <f>IFERROR(HYPERLINK(VLOOKUP(A906,Internal_lists_bugs!$A$2:$C$73,3,FALSE()), VLOOKUP(A906,Internal_lists_bugs!$A$2:$C$73,3,FALSE())&amp;Char(10) &amp; Char(10) &amp; VLOOKUP(A906,Internal_lists_bugs!$A$2:$Z$73,26,FALSE())),"please select a BUG ID")</f>
        <v>https://bugs.launchpad.net/nova/+bug/1402535
/virt/libvirt/volume.py</v>
      </c>
      <c r="C906" s="81" t="str">
        <f>IFERROR(VLOOKUP(A906,Internal_lists_bugs!$A$2:$I7981,9,FALSE()),"please select a BUG ID")</f>
        <v>https://review.opendev.org/c/openstack/nova/+/17946</v>
      </c>
      <c r="D906" s="112" t="s">
        <v>1412</v>
      </c>
      <c r="E906" s="112" t="s">
        <v>1462</v>
      </c>
      <c r="F906" s="113" t="s">
        <v>251</v>
      </c>
      <c r="G906" s="16" t="s">
        <v>1419</v>
      </c>
      <c r="H906" s="16" t="s">
        <v>2521</v>
      </c>
      <c r="I906" s="79" t="s">
        <v>251</v>
      </c>
      <c r="J906" s="93" t="s">
        <v>2522</v>
      </c>
      <c r="K906" s="79" t="s">
        <v>251</v>
      </c>
      <c r="L906" s="16" t="s">
        <v>2523</v>
      </c>
      <c r="M906" s="114" t="str">
        <f>VLOOKUP(A906,'BIC_(C_Variables)'!$A$3:$AS$43,45,FALSE())</f>
        <v/>
      </c>
      <c r="N906" s="1"/>
      <c r="O906" s="1"/>
      <c r="P906" s="81" t="str">
        <f>IFERROR(VLOOKUP(A906,Internal_lists_bugs!$A$2:$G7981,7,FALSE()),"please select a BUG ID")</f>
        <v>https://opendev.org/openstack/nova/commit/933365a58</v>
      </c>
    </row>
    <row r="907">
      <c r="A907" s="16" t="s">
        <v>55</v>
      </c>
      <c r="B907" s="50" t="str">
        <f>IFERROR(HYPERLINK(VLOOKUP(A907,Internal_lists_bugs!$A$2:$C$73,3,FALSE()), VLOOKUP(A907,Internal_lists_bugs!$A$2:$C$73,3,FALSE())&amp;Char(10) &amp; Char(10) &amp; VLOOKUP(A907,Internal_lists_bugs!$A$2:$Z$73,26,FALSE())),"please select a BUG ID")</f>
        <v>https://bugs.launchpad.net/nova/+bug/1402535
/virt/libvirt/volume.py</v>
      </c>
      <c r="C907" s="81" t="str">
        <f>IFERROR(VLOOKUP(A907,Internal_lists_bugs!$A$2:$I7981,9,FALSE()),"please select a BUG ID")</f>
        <v>https://review.opendev.org/c/openstack/nova/+/17946</v>
      </c>
      <c r="D907" s="114"/>
      <c r="E907" s="114"/>
      <c r="F907" s="115"/>
      <c r="G907" s="16" t="s">
        <v>1466</v>
      </c>
      <c r="H907" s="16" t="s">
        <v>2524</v>
      </c>
      <c r="I907" s="82"/>
      <c r="J907" s="92"/>
      <c r="K907" s="82"/>
      <c r="M907" s="114" t="str">
        <f>VLOOKUP(A907,'BIC_(C_Variables)'!$A$3:$AS$43,45,FALSE())</f>
        <v/>
      </c>
      <c r="N907" s="1"/>
      <c r="O907" s="1"/>
      <c r="P907" s="81" t="str">
        <f>IFERROR(VLOOKUP(A907,Internal_lists_bugs!$A$2:$G7981,7,FALSE()),"please select a BUG ID")</f>
        <v>https://opendev.org/openstack/nova/commit/933365a58</v>
      </c>
    </row>
    <row r="908">
      <c r="A908" s="16" t="s">
        <v>55</v>
      </c>
      <c r="B908" s="50" t="str">
        <f>IFERROR(HYPERLINK(VLOOKUP(A908,Internal_lists_bugs!$A$2:$C$73,3,FALSE()), VLOOKUP(A908,Internal_lists_bugs!$A$2:$C$73,3,FALSE())&amp;Char(10) &amp; Char(10) &amp; VLOOKUP(A908,Internal_lists_bugs!$A$2:$Z$73,26,FALSE())),"please select a BUG ID")</f>
        <v>https://bugs.launchpad.net/nova/+bug/1402535
/virt/libvirt/volume.py</v>
      </c>
      <c r="C908" s="81" t="str">
        <f>IFERROR(VLOOKUP(A908,Internal_lists_bugs!$A$2:$I7981,9,FALSE()),"please select a BUG ID")</f>
        <v>https://review.opendev.org/c/openstack/nova/+/17946</v>
      </c>
      <c r="D908" s="114"/>
      <c r="E908" s="114"/>
      <c r="F908" s="115"/>
      <c r="G908" s="16" t="s">
        <v>1417</v>
      </c>
      <c r="H908" s="16" t="s">
        <v>2525</v>
      </c>
      <c r="I908" s="82"/>
      <c r="J908" s="92"/>
      <c r="K908" s="82"/>
      <c r="M908" s="114" t="str">
        <f>VLOOKUP(A908,'BIC_(C_Variables)'!$A$3:$AS$43,45,FALSE())</f>
        <v/>
      </c>
      <c r="N908" s="1"/>
      <c r="O908" s="1"/>
      <c r="P908" s="81" t="str">
        <f>IFERROR(VLOOKUP(A908,Internal_lists_bugs!$A$2:$G7981,7,FALSE()),"please select a BUG ID")</f>
        <v>https://opendev.org/openstack/nova/commit/933365a58</v>
      </c>
    </row>
    <row r="909">
      <c r="A909" s="16" t="s">
        <v>55</v>
      </c>
      <c r="B909" s="50" t="str">
        <f>IFERROR(HYPERLINK(VLOOKUP(A909,Internal_lists_bugs!$A$2:$C$73,3,FALSE()), VLOOKUP(A909,Internal_lists_bugs!$A$2:$C$73,3,FALSE())&amp;Char(10) &amp; Char(10) &amp; VLOOKUP(A909,Internal_lists_bugs!$A$2:$Z$73,26,FALSE())),"please select a BUG ID")</f>
        <v>https://bugs.launchpad.net/nova/+bug/1402535
/virt/libvirt/volume.py</v>
      </c>
      <c r="C909" s="81" t="str">
        <f>IFERROR(VLOOKUP(A909,Internal_lists_bugs!$A$2:$I7981,9,FALSE()),"please select a BUG ID")</f>
        <v>https://review.opendev.org/c/openstack/nova/+/17946</v>
      </c>
      <c r="D909" s="114"/>
      <c r="E909" s="114"/>
      <c r="F909" s="115"/>
      <c r="G909" s="16" t="s">
        <v>1639</v>
      </c>
      <c r="H909" s="16" t="s">
        <v>2526</v>
      </c>
      <c r="I909" s="82"/>
      <c r="J909" s="92"/>
      <c r="K909" s="82"/>
      <c r="M909" s="114" t="str">
        <f>VLOOKUP(A909,'BIC_(C_Variables)'!$A$3:$AS$43,45,FALSE())</f>
        <v/>
      </c>
      <c r="N909" s="1"/>
      <c r="O909" s="1"/>
      <c r="P909" s="81" t="str">
        <f>IFERROR(VLOOKUP(A909,Internal_lists_bugs!$A$2:$G7981,7,FALSE()),"please select a BUG ID")</f>
        <v>https://opendev.org/openstack/nova/commit/933365a58</v>
      </c>
    </row>
    <row r="910">
      <c r="A910" s="16" t="s">
        <v>55</v>
      </c>
      <c r="B910" s="50" t="str">
        <f>IFERROR(HYPERLINK(VLOOKUP(A910,Internal_lists_bugs!$A$2:$C$73,3,FALSE()), VLOOKUP(A910,Internal_lists_bugs!$A$2:$C$73,3,FALSE())&amp;Char(10) &amp; Char(10) &amp; VLOOKUP(A910,Internal_lists_bugs!$A$2:$Z$73,26,FALSE())),"please select a BUG ID")</f>
        <v>https://bugs.launchpad.net/nova/+bug/1402535
/virt/libvirt/volume.py</v>
      </c>
      <c r="C910" s="81" t="str">
        <f>IFERROR(VLOOKUP(A910,Internal_lists_bugs!$A$2:$I7981,9,FALSE()),"please select a BUG ID")</f>
        <v>https://review.opendev.org/c/openstack/nova/+/17946</v>
      </c>
      <c r="D910" s="114"/>
      <c r="E910" s="114"/>
      <c r="F910" s="115"/>
      <c r="G910" s="16" t="s">
        <v>1641</v>
      </c>
      <c r="H910" s="16" t="s">
        <v>2527</v>
      </c>
      <c r="I910" s="82"/>
      <c r="J910" s="92"/>
      <c r="K910" s="82"/>
      <c r="M910" s="114" t="str">
        <f>VLOOKUP(A910,'BIC_(C_Variables)'!$A$3:$AS$43,45,FALSE())</f>
        <v/>
      </c>
      <c r="N910" s="1"/>
      <c r="O910" s="1"/>
      <c r="P910" s="81" t="str">
        <f>IFERROR(VLOOKUP(A910,Internal_lists_bugs!$A$2:$G7981,7,FALSE()),"please select a BUG ID")</f>
        <v>https://opendev.org/openstack/nova/commit/933365a58</v>
      </c>
    </row>
    <row r="911">
      <c r="A911" s="16" t="s">
        <v>55</v>
      </c>
      <c r="B911" s="50" t="str">
        <f>IFERROR(HYPERLINK(VLOOKUP(A911,Internal_lists_bugs!$A$2:$C$73,3,FALSE()), VLOOKUP(A911,Internal_lists_bugs!$A$2:$C$73,3,FALSE())&amp;Char(10) &amp; Char(10) &amp; VLOOKUP(A911,Internal_lists_bugs!$A$2:$Z$73,26,FALSE())),"please select a BUG ID")</f>
        <v>https://bugs.launchpad.net/nova/+bug/1402535
/virt/libvirt/volume.py</v>
      </c>
      <c r="C911" s="81" t="str">
        <f>IFERROR(VLOOKUP(A911,Internal_lists_bugs!$A$2:$I7981,9,FALSE()),"please select a BUG ID")</f>
        <v>https://review.opendev.org/c/openstack/nova/+/17946</v>
      </c>
      <c r="D911" s="114"/>
      <c r="E911" s="114"/>
      <c r="F911" s="115"/>
      <c r="G911" s="16" t="s">
        <v>2528</v>
      </c>
      <c r="H911" s="16" t="s">
        <v>2529</v>
      </c>
      <c r="I911" s="82"/>
      <c r="J911" s="92"/>
      <c r="K911" s="82"/>
      <c r="M911" s="114" t="str">
        <f>VLOOKUP(A911,'BIC_(C_Variables)'!$A$3:$AS$43,45,FALSE())</f>
        <v/>
      </c>
      <c r="N911" s="1"/>
      <c r="O911" s="1"/>
      <c r="P911" s="81" t="str">
        <f>IFERROR(VLOOKUP(A911,Internal_lists_bugs!$A$2:$G7981,7,FALSE()),"please select a BUG ID")</f>
        <v>https://opendev.org/openstack/nova/commit/933365a58</v>
      </c>
    </row>
    <row r="912">
      <c r="A912" s="16" t="s">
        <v>55</v>
      </c>
      <c r="B912" s="50" t="str">
        <f>IFERROR(HYPERLINK(VLOOKUP(A912,Internal_lists_bugs!$A$2:$C$73,3,FALSE()), VLOOKUP(A912,Internal_lists_bugs!$A$2:$C$73,3,FALSE())&amp;Char(10) &amp; Char(10) &amp; VLOOKUP(A912,Internal_lists_bugs!$A$2:$Z$73,26,FALSE())),"please select a BUG ID")</f>
        <v>https://bugs.launchpad.net/nova/+bug/1402535
/virt/libvirt/volume.py</v>
      </c>
      <c r="C912" s="81" t="str">
        <f>IFERROR(VLOOKUP(A912,Internal_lists_bugs!$A$2:$I7981,9,FALSE()),"please select a BUG ID")</f>
        <v>https://review.opendev.org/c/openstack/nova/+/17946</v>
      </c>
      <c r="D912" s="114"/>
      <c r="E912" s="114"/>
      <c r="F912" s="115"/>
      <c r="G912" s="16" t="s">
        <v>1460</v>
      </c>
      <c r="H912" s="16" t="s">
        <v>1997</v>
      </c>
      <c r="I912" s="82"/>
      <c r="J912" s="92"/>
      <c r="K912" s="82"/>
      <c r="M912" s="114" t="str">
        <f>VLOOKUP(A912,'BIC_(C_Variables)'!$A$3:$AS$43,45,FALSE())</f>
        <v/>
      </c>
      <c r="N912" s="1"/>
      <c r="O912" s="1"/>
      <c r="P912" s="81" t="str">
        <f>IFERROR(VLOOKUP(A912,Internal_lists_bugs!$A$2:$G7981,7,FALSE()),"please select a BUG ID")</f>
        <v>https://opendev.org/openstack/nova/commit/933365a58</v>
      </c>
    </row>
    <row r="913">
      <c r="A913" s="16" t="s">
        <v>55</v>
      </c>
      <c r="B913" s="50" t="str">
        <f>IFERROR(HYPERLINK(VLOOKUP(A913,Internal_lists_bugs!$A$2:$C$73,3,FALSE()), VLOOKUP(A913,Internal_lists_bugs!$A$2:$C$73,3,FALSE())&amp;Char(10) &amp; Char(10) &amp; VLOOKUP(A913,Internal_lists_bugs!$A$2:$Z$73,26,FALSE())),"please select a BUG ID")</f>
        <v>https://bugs.launchpad.net/nova/+bug/1402535
/virt/libvirt/volume.py</v>
      </c>
      <c r="C913" s="81" t="str">
        <f>IFERROR(VLOOKUP(A913,Internal_lists_bugs!$A$2:$I7981,9,FALSE()),"please select a BUG ID")</f>
        <v>https://review.opendev.org/c/openstack/nova/+/17946</v>
      </c>
      <c r="D913" s="114"/>
      <c r="E913" s="114"/>
      <c r="F913" s="115"/>
      <c r="G913" s="16" t="s">
        <v>2474</v>
      </c>
      <c r="H913" s="16" t="s">
        <v>2530</v>
      </c>
      <c r="I913" s="82"/>
      <c r="J913" s="92"/>
      <c r="K913" s="82"/>
      <c r="M913" s="114" t="str">
        <f>VLOOKUP(A913,'BIC_(C_Variables)'!$A$3:$AS$43,45,FALSE())</f>
        <v/>
      </c>
      <c r="N913" s="1"/>
      <c r="O913" s="1"/>
      <c r="P913" s="81" t="str">
        <f>IFERROR(VLOOKUP(A913,Internal_lists_bugs!$A$2:$G7981,7,FALSE()),"please select a BUG ID")</f>
        <v>https://opendev.org/openstack/nova/commit/933365a58</v>
      </c>
    </row>
    <row r="914">
      <c r="A914" s="16" t="s">
        <v>55</v>
      </c>
      <c r="B914" s="50" t="str">
        <f>IFERROR(HYPERLINK(VLOOKUP(A914,Internal_lists_bugs!$A$2:$C$73,3,FALSE()), VLOOKUP(A914,Internal_lists_bugs!$A$2:$C$73,3,FALSE())&amp;Char(10) &amp; Char(10) &amp; VLOOKUP(A914,Internal_lists_bugs!$A$2:$Z$73,26,FALSE())),"please select a BUG ID")</f>
        <v>https://bugs.launchpad.net/nova/+bug/1402535
/virt/libvirt/volume.py</v>
      </c>
      <c r="C914" s="81" t="str">
        <f>IFERROR(VLOOKUP(A914,Internal_lists_bugs!$A$2:$I7981,9,FALSE()),"please select a BUG ID")</f>
        <v>https://review.opendev.org/c/openstack/nova/+/17946</v>
      </c>
      <c r="D914" s="114"/>
      <c r="E914" s="114"/>
      <c r="F914" s="115"/>
      <c r="G914" s="16" t="s">
        <v>2531</v>
      </c>
      <c r="H914" s="16" t="s">
        <v>2532</v>
      </c>
      <c r="I914" s="82"/>
      <c r="J914" s="92"/>
      <c r="K914" s="82"/>
      <c r="M914" s="114" t="str">
        <f>VLOOKUP(A914,'BIC_(C_Variables)'!$A$3:$AS$43,45,FALSE())</f>
        <v/>
      </c>
      <c r="N914" s="1"/>
      <c r="O914" s="1"/>
      <c r="P914" s="81" t="str">
        <f>IFERROR(VLOOKUP(A914,Internal_lists_bugs!$A$2:$G7981,7,FALSE()),"please select a BUG ID")</f>
        <v>https://opendev.org/openstack/nova/commit/933365a58</v>
      </c>
    </row>
    <row r="915">
      <c r="A915" s="16" t="s">
        <v>55</v>
      </c>
      <c r="B915" s="50" t="str">
        <f>IFERROR(HYPERLINK(VLOOKUP(A915,Internal_lists_bugs!$A$2:$C$73,3,FALSE()), VLOOKUP(A915,Internal_lists_bugs!$A$2:$C$73,3,FALSE())&amp;Char(10) &amp; Char(10) &amp; VLOOKUP(A915,Internal_lists_bugs!$A$2:$Z$73,26,FALSE())),"please select a BUG ID")</f>
        <v>https://bugs.launchpad.net/nova/+bug/1402535
/virt/libvirt/volume.py</v>
      </c>
      <c r="C915" s="81" t="str">
        <f>IFERROR(VLOOKUP(A915,Internal_lists_bugs!$A$2:$I7981,9,FALSE()),"please select a BUG ID")</f>
        <v>https://review.opendev.org/c/openstack/nova/+/17946</v>
      </c>
      <c r="D915" s="114"/>
      <c r="E915" s="114"/>
      <c r="F915" s="115"/>
      <c r="G915" s="16" t="s">
        <v>2015</v>
      </c>
      <c r="H915" s="16" t="s">
        <v>2533</v>
      </c>
      <c r="I915" s="82"/>
      <c r="J915" s="92"/>
      <c r="K915" s="82"/>
      <c r="M915" s="114" t="str">
        <f>VLOOKUP(A915,'BIC_(C_Variables)'!$A$3:$AS$43,45,FALSE())</f>
        <v/>
      </c>
      <c r="N915" s="1"/>
      <c r="O915" s="1"/>
      <c r="P915" s="81" t="str">
        <f>IFERROR(VLOOKUP(A915,Internal_lists_bugs!$A$2:$G7981,7,FALSE()),"please select a BUG ID")</f>
        <v>https://opendev.org/openstack/nova/commit/933365a58</v>
      </c>
    </row>
    <row r="916">
      <c r="A916" s="16" t="s">
        <v>55</v>
      </c>
      <c r="B916" s="50" t="str">
        <f>IFERROR(HYPERLINK(VLOOKUP(A916,Internal_lists_bugs!$A$2:$C$73,3,FALSE()), VLOOKUP(A916,Internal_lists_bugs!$A$2:$C$73,3,FALSE())&amp;Char(10) &amp; Char(10) &amp; VLOOKUP(A916,Internal_lists_bugs!$A$2:$Z$73,26,FALSE())),"please select a BUG ID")</f>
        <v>https://bugs.launchpad.net/nova/+bug/1402535
/virt/libvirt/volume.py</v>
      </c>
      <c r="C916" s="81" t="str">
        <f>IFERROR(VLOOKUP(A916,Internal_lists_bugs!$A$2:$I7981,9,FALSE()),"please select a BUG ID")</f>
        <v>https://review.opendev.org/c/openstack/nova/+/17946</v>
      </c>
      <c r="D916" s="114"/>
      <c r="E916" s="114"/>
      <c r="F916" s="115"/>
      <c r="G916" s="16" t="s">
        <v>1639</v>
      </c>
      <c r="H916" s="16" t="s">
        <v>2534</v>
      </c>
      <c r="I916" s="82"/>
      <c r="J916" s="92"/>
      <c r="K916" s="82"/>
      <c r="M916" s="114" t="str">
        <f>VLOOKUP(A916,'BIC_(C_Variables)'!$A$3:$AS$43,45,FALSE())</f>
        <v/>
      </c>
      <c r="N916" s="1"/>
      <c r="O916" s="1"/>
      <c r="P916" s="81" t="str">
        <f>IFERROR(VLOOKUP(A916,Internal_lists_bugs!$A$2:$G7981,7,FALSE()),"please select a BUG ID")</f>
        <v>https://opendev.org/openstack/nova/commit/933365a58</v>
      </c>
    </row>
    <row r="917">
      <c r="A917" s="16" t="s">
        <v>55</v>
      </c>
      <c r="B917" s="50" t="str">
        <f>IFERROR(HYPERLINK(VLOOKUP(A917,Internal_lists_bugs!$A$2:$C$73,3,FALSE()), VLOOKUP(A917,Internal_lists_bugs!$A$2:$C$73,3,FALSE())&amp;Char(10) &amp; Char(10) &amp; VLOOKUP(A917,Internal_lists_bugs!$A$2:$Z$73,26,FALSE())),"please select a BUG ID")</f>
        <v>https://bugs.launchpad.net/nova/+bug/1402535
/virt/libvirt/volume.py</v>
      </c>
      <c r="C917" s="81" t="str">
        <f>IFERROR(VLOOKUP(A917,Internal_lists_bugs!$A$2:$I7981,9,FALSE()),"please select a BUG ID")</f>
        <v>https://review.opendev.org/c/openstack/nova/+/17946</v>
      </c>
      <c r="D917" s="114"/>
      <c r="E917" s="114"/>
      <c r="F917" s="115"/>
      <c r="G917" s="16" t="s">
        <v>2535</v>
      </c>
      <c r="H917" s="16" t="s">
        <v>2536</v>
      </c>
      <c r="I917" s="82"/>
      <c r="J917" s="92"/>
      <c r="K917" s="82"/>
      <c r="M917" s="114" t="str">
        <f>VLOOKUP(A917,'BIC_(C_Variables)'!$A$3:$AS$43,45,FALSE())</f>
        <v/>
      </c>
      <c r="N917" s="1"/>
      <c r="O917" s="1"/>
      <c r="P917" s="81" t="str">
        <f>IFERROR(VLOOKUP(A917,Internal_lists_bugs!$A$2:$G7981,7,FALSE()),"please select a BUG ID")</f>
        <v>https://opendev.org/openstack/nova/commit/933365a58</v>
      </c>
    </row>
    <row r="918">
      <c r="A918" s="16" t="s">
        <v>55</v>
      </c>
      <c r="B918" s="50" t="str">
        <f>IFERROR(HYPERLINK(VLOOKUP(A918,Internal_lists_bugs!$A$2:$C$73,3,FALSE()), VLOOKUP(A918,Internal_lists_bugs!$A$2:$C$73,3,FALSE())&amp;Char(10) &amp; Char(10) &amp; VLOOKUP(A918,Internal_lists_bugs!$A$2:$Z$73,26,FALSE())),"please select a BUG ID")</f>
        <v>https://bugs.launchpad.net/nova/+bug/1402535
/virt/libvirt/volume.py</v>
      </c>
      <c r="C918" s="81" t="str">
        <f>IFERROR(VLOOKUP(A918,Internal_lists_bugs!$A$2:$I7981,9,FALSE()),"please select a BUG ID")</f>
        <v>https://review.opendev.org/c/openstack/nova/+/17946</v>
      </c>
      <c r="D918" s="114"/>
      <c r="E918" s="114"/>
      <c r="F918" s="115"/>
      <c r="G918" s="16" t="s">
        <v>2537</v>
      </c>
      <c r="H918" s="16" t="s">
        <v>2538</v>
      </c>
      <c r="I918" s="82"/>
      <c r="J918" s="92"/>
      <c r="K918" s="82"/>
      <c r="M918" s="114" t="str">
        <f>VLOOKUP(A918,'BIC_(C_Variables)'!$A$3:$AS$43,45,FALSE())</f>
        <v/>
      </c>
      <c r="N918" s="1"/>
      <c r="O918" s="1"/>
      <c r="P918" s="81" t="str">
        <f>IFERROR(VLOOKUP(A918,Internal_lists_bugs!$A$2:$G7981,7,FALSE()),"please select a BUG ID")</f>
        <v>https://opendev.org/openstack/nova/commit/933365a58</v>
      </c>
    </row>
    <row r="919">
      <c r="A919" s="16" t="s">
        <v>55</v>
      </c>
      <c r="B919" s="50" t="str">
        <f>IFERROR(HYPERLINK(VLOOKUP(A919,Internal_lists_bugs!$A$2:$C$73,3,FALSE()), VLOOKUP(A919,Internal_lists_bugs!$A$2:$C$73,3,FALSE())&amp;Char(10) &amp; Char(10) &amp; VLOOKUP(A919,Internal_lists_bugs!$A$2:$Z$73,26,FALSE())),"please select a BUG ID")</f>
        <v>https://bugs.launchpad.net/nova/+bug/1402535
/virt/libvirt/volume.py</v>
      </c>
      <c r="C919" s="81" t="str">
        <f>IFERROR(VLOOKUP(A919,Internal_lists_bugs!$A$2:$I7981,9,FALSE()),"please select a BUG ID")</f>
        <v>https://review.opendev.org/c/openstack/nova/+/17946</v>
      </c>
      <c r="D919" s="114"/>
      <c r="E919" s="114"/>
      <c r="F919" s="115"/>
      <c r="G919" s="16" t="s">
        <v>2539</v>
      </c>
      <c r="H919" s="16" t="s">
        <v>2540</v>
      </c>
      <c r="I919" s="82"/>
      <c r="J919" s="92"/>
      <c r="K919" s="82"/>
      <c r="M919" s="114" t="str">
        <f>VLOOKUP(A919,'BIC_(C_Variables)'!$A$3:$AS$43,45,FALSE())</f>
        <v/>
      </c>
      <c r="N919" s="1"/>
      <c r="O919" s="1"/>
      <c r="P919" s="81" t="str">
        <f>IFERROR(VLOOKUP(A919,Internal_lists_bugs!$A$2:$G7981,7,FALSE()),"please select a BUG ID")</f>
        <v>https://opendev.org/openstack/nova/commit/933365a58</v>
      </c>
    </row>
    <row r="920">
      <c r="A920" s="16" t="s">
        <v>55</v>
      </c>
      <c r="B920" s="50" t="str">
        <f>IFERROR(HYPERLINK(VLOOKUP(A920,Internal_lists_bugs!$A$2:$C$73,3,FALSE()), VLOOKUP(A920,Internal_lists_bugs!$A$2:$C$73,3,FALSE())&amp;Char(10) &amp; Char(10) &amp; VLOOKUP(A920,Internal_lists_bugs!$A$2:$Z$73,26,FALSE())),"please select a BUG ID")</f>
        <v>https://bugs.launchpad.net/nova/+bug/1402535
/virt/libvirt/volume.py</v>
      </c>
      <c r="C920" s="81" t="str">
        <f>IFERROR(VLOOKUP(A920,Internal_lists_bugs!$A$2:$I7981,9,FALSE()),"please select a BUG ID")</f>
        <v>https://review.opendev.org/c/openstack/nova/+/17946</v>
      </c>
      <c r="D920" s="114"/>
      <c r="E920" s="114"/>
      <c r="F920" s="115"/>
      <c r="G920" s="16" t="s">
        <v>1428</v>
      </c>
      <c r="H920" s="16" t="s">
        <v>2541</v>
      </c>
      <c r="I920" s="82"/>
      <c r="J920" s="92"/>
      <c r="K920" s="82"/>
      <c r="M920" s="114" t="str">
        <f>VLOOKUP(A920,'BIC_(C_Variables)'!$A$3:$AS$43,45,FALSE())</f>
        <v/>
      </c>
      <c r="N920" s="1"/>
      <c r="O920" s="1"/>
      <c r="P920" s="81" t="str">
        <f>IFERROR(VLOOKUP(A920,Internal_lists_bugs!$A$2:$G7981,7,FALSE()),"please select a BUG ID")</f>
        <v>https://opendev.org/openstack/nova/commit/933365a58</v>
      </c>
    </row>
    <row r="921">
      <c r="A921" s="16" t="s">
        <v>55</v>
      </c>
      <c r="B921" s="50" t="str">
        <f>IFERROR(HYPERLINK(VLOOKUP(A921,Internal_lists_bugs!$A$2:$C$73,3,FALSE()), VLOOKUP(A921,Internal_lists_bugs!$A$2:$C$73,3,FALSE())&amp;Char(10) &amp; Char(10) &amp; VLOOKUP(A921,Internal_lists_bugs!$A$2:$Z$73,26,FALSE())),"please select a BUG ID")</f>
        <v>https://bugs.launchpad.net/nova/+bug/1402535
/virt/libvirt/volume.py</v>
      </c>
      <c r="C921" s="81" t="str">
        <f>IFERROR(VLOOKUP(A921,Internal_lists_bugs!$A$2:$I7981,9,FALSE()),"please select a BUG ID")</f>
        <v>https://review.opendev.org/c/openstack/nova/+/17946</v>
      </c>
      <c r="D921" s="114"/>
      <c r="E921" s="114"/>
      <c r="F921" s="115"/>
      <c r="G921" s="16" t="s">
        <v>1639</v>
      </c>
      <c r="H921" s="16" t="s">
        <v>2542</v>
      </c>
      <c r="I921" s="82"/>
      <c r="J921" s="92"/>
      <c r="K921" s="82"/>
      <c r="M921" s="114" t="str">
        <f>VLOOKUP(A921,'BIC_(C_Variables)'!$A$3:$AS$43,45,FALSE())</f>
        <v/>
      </c>
      <c r="N921" s="1"/>
      <c r="O921" s="1"/>
      <c r="P921" s="81" t="str">
        <f>IFERROR(VLOOKUP(A921,Internal_lists_bugs!$A$2:$G7981,7,FALSE()),"please select a BUG ID")</f>
        <v>https://opendev.org/openstack/nova/commit/933365a58</v>
      </c>
    </row>
    <row r="922">
      <c r="A922" s="16" t="s">
        <v>55</v>
      </c>
      <c r="B922" s="50" t="str">
        <f>IFERROR(HYPERLINK(VLOOKUP(A922,Internal_lists_bugs!$A$2:$C$73,3,FALSE()), VLOOKUP(A922,Internal_lists_bugs!$A$2:$C$73,3,FALSE())&amp;Char(10) &amp; Char(10) &amp; VLOOKUP(A922,Internal_lists_bugs!$A$2:$Z$73,26,FALSE())),"please select a BUG ID")</f>
        <v>https://bugs.launchpad.net/nova/+bug/1402535
/virt/libvirt/volume.py</v>
      </c>
      <c r="C922" s="81" t="str">
        <f>IFERROR(VLOOKUP(A922,Internal_lists_bugs!$A$2:$I7981,9,FALSE()),"please select a BUG ID")</f>
        <v>https://review.opendev.org/c/openstack/nova/+/17946</v>
      </c>
      <c r="D922" s="114"/>
      <c r="E922" s="114"/>
      <c r="F922" s="115"/>
      <c r="G922" s="16" t="s">
        <v>2042</v>
      </c>
      <c r="H922" s="16" t="s">
        <v>2543</v>
      </c>
      <c r="I922" s="82"/>
      <c r="J922" s="92"/>
      <c r="K922" s="82"/>
      <c r="M922" s="114" t="str">
        <f>VLOOKUP(A922,'BIC_(C_Variables)'!$A$3:$AS$43,45,FALSE())</f>
        <v/>
      </c>
      <c r="N922" s="1"/>
      <c r="O922" s="1"/>
      <c r="P922" s="81" t="str">
        <f>IFERROR(VLOOKUP(A922,Internal_lists_bugs!$A$2:$G7981,7,FALSE()),"please select a BUG ID")</f>
        <v>https://opendev.org/openstack/nova/commit/933365a58</v>
      </c>
    </row>
    <row r="923">
      <c r="A923" s="16" t="s">
        <v>55</v>
      </c>
      <c r="B923" s="50" t="str">
        <f>IFERROR(HYPERLINK(VLOOKUP(A923,Internal_lists_bugs!$A$2:$C$73,3,FALSE()), VLOOKUP(A923,Internal_lists_bugs!$A$2:$C$73,3,FALSE())&amp;Char(10) &amp; Char(10) &amp; VLOOKUP(A923,Internal_lists_bugs!$A$2:$Z$73,26,FALSE())),"please select a BUG ID")</f>
        <v>https://bugs.launchpad.net/nova/+bug/1402535
/virt/libvirt/volume.py</v>
      </c>
      <c r="C923" s="81" t="str">
        <f>IFERROR(VLOOKUP(A923,Internal_lists_bugs!$A$2:$I7981,9,FALSE()),"please select a BUG ID")</f>
        <v>https://review.opendev.org/c/openstack/nova/+/17946</v>
      </c>
      <c r="D923" s="114"/>
      <c r="E923" s="114"/>
      <c r="F923" s="115"/>
      <c r="G923" s="16" t="s">
        <v>1586</v>
      </c>
      <c r="H923" s="16" t="s">
        <v>2544</v>
      </c>
      <c r="I923" s="82"/>
      <c r="J923" s="92"/>
      <c r="K923" s="82"/>
      <c r="M923" s="114" t="str">
        <f>VLOOKUP(A923,'BIC_(C_Variables)'!$A$3:$AS$43,45,FALSE())</f>
        <v/>
      </c>
      <c r="N923" s="1"/>
      <c r="O923" s="1"/>
      <c r="P923" s="81" t="str">
        <f>IFERROR(VLOOKUP(A923,Internal_lists_bugs!$A$2:$G7981,7,FALSE()),"please select a BUG ID")</f>
        <v>https://opendev.org/openstack/nova/commit/933365a58</v>
      </c>
    </row>
    <row r="924">
      <c r="A924" s="16" t="s">
        <v>55</v>
      </c>
      <c r="B924" s="50" t="str">
        <f>IFERROR(HYPERLINK(VLOOKUP(A924,Internal_lists_bugs!$A$2:$C$73,3,FALSE()), VLOOKUP(A924,Internal_lists_bugs!$A$2:$C$73,3,FALSE())&amp;Char(10) &amp; Char(10) &amp; VLOOKUP(A924,Internal_lists_bugs!$A$2:$Z$73,26,FALSE())),"please select a BUG ID")</f>
        <v>https://bugs.launchpad.net/nova/+bug/1402535
/virt/libvirt/volume.py</v>
      </c>
      <c r="C924" s="81" t="str">
        <f>IFERROR(VLOOKUP(A924,Internal_lists_bugs!$A$2:$I7981,9,FALSE()),"please select a BUG ID")</f>
        <v>https://review.opendev.org/c/openstack/nova/+/17946</v>
      </c>
      <c r="D924" s="114"/>
      <c r="E924" s="114"/>
      <c r="F924" s="115"/>
      <c r="G924" s="16" t="s">
        <v>2148</v>
      </c>
      <c r="H924" s="16" t="s">
        <v>2545</v>
      </c>
      <c r="I924" s="82"/>
      <c r="J924" s="92"/>
      <c r="K924" s="82"/>
      <c r="M924" s="114" t="str">
        <f>VLOOKUP(A924,'BIC_(C_Variables)'!$A$3:$AS$43,45,FALSE())</f>
        <v/>
      </c>
      <c r="N924" s="1"/>
      <c r="O924" s="1"/>
      <c r="P924" s="81" t="str">
        <f>IFERROR(VLOOKUP(A924,Internal_lists_bugs!$A$2:$G7981,7,FALSE()),"please select a BUG ID")</f>
        <v>https://opendev.org/openstack/nova/commit/933365a58</v>
      </c>
    </row>
    <row r="925">
      <c r="A925" s="16" t="s">
        <v>55</v>
      </c>
      <c r="B925" s="50" t="str">
        <f>IFERROR(HYPERLINK(VLOOKUP(A925,Internal_lists_bugs!$A$2:$C$73,3,FALSE()), VLOOKUP(A925,Internal_lists_bugs!$A$2:$C$73,3,FALSE())&amp;Char(10) &amp; Char(10) &amp; VLOOKUP(A925,Internal_lists_bugs!$A$2:$Z$73,26,FALSE())),"please select a BUG ID")</f>
        <v>https://bugs.launchpad.net/nova/+bug/1402535
/virt/libvirt/volume.py</v>
      </c>
      <c r="C925" s="81" t="str">
        <f>IFERROR(VLOOKUP(A925,Internal_lists_bugs!$A$2:$I7981,9,FALSE()),"please select a BUG ID")</f>
        <v>https://review.opendev.org/c/openstack/nova/+/17946</v>
      </c>
      <c r="D925" s="114"/>
      <c r="E925" s="114"/>
      <c r="F925" s="115"/>
      <c r="G925" s="16" t="s">
        <v>2218</v>
      </c>
      <c r="H925" s="16" t="s">
        <v>2546</v>
      </c>
      <c r="I925" s="82"/>
      <c r="J925" s="92"/>
      <c r="K925" s="82"/>
      <c r="M925" s="114" t="str">
        <f>VLOOKUP(A925,'BIC_(C_Variables)'!$A$3:$AS$43,45,FALSE())</f>
        <v/>
      </c>
      <c r="N925" s="1"/>
      <c r="O925" s="1"/>
      <c r="P925" s="81" t="str">
        <f>IFERROR(VLOOKUP(A925,Internal_lists_bugs!$A$2:$G7981,7,FALSE()),"please select a BUG ID")</f>
        <v>https://opendev.org/openstack/nova/commit/933365a58</v>
      </c>
    </row>
    <row r="926">
      <c r="A926" s="16" t="s">
        <v>55</v>
      </c>
      <c r="B926" s="50" t="str">
        <f>IFERROR(HYPERLINK(VLOOKUP(A926,Internal_lists_bugs!$A$2:$C$73,3,FALSE()), VLOOKUP(A926,Internal_lists_bugs!$A$2:$C$73,3,FALSE())&amp;Char(10) &amp; Char(10) &amp; VLOOKUP(A926,Internal_lists_bugs!$A$2:$Z$73,26,FALSE())),"please select a BUG ID")</f>
        <v>https://bugs.launchpad.net/nova/+bug/1402535
/virt/libvirt/volume.py</v>
      </c>
      <c r="C926" s="81" t="str">
        <f>IFERROR(VLOOKUP(A926,Internal_lists_bugs!$A$2:$I7981,9,FALSE()),"please select a BUG ID")</f>
        <v>https://review.opendev.org/c/openstack/nova/+/17946</v>
      </c>
      <c r="D926" s="114"/>
      <c r="E926" s="114"/>
      <c r="F926" s="115"/>
      <c r="G926" s="16" t="s">
        <v>2384</v>
      </c>
      <c r="H926" s="16" t="s">
        <v>2547</v>
      </c>
      <c r="I926" s="82"/>
      <c r="J926" s="92"/>
      <c r="K926" s="82"/>
      <c r="M926" s="114" t="str">
        <f>VLOOKUP(A926,'BIC_(C_Variables)'!$A$3:$AS$43,45,FALSE())</f>
        <v/>
      </c>
      <c r="N926" s="1"/>
      <c r="O926" s="1"/>
      <c r="P926" s="81" t="str">
        <f>IFERROR(VLOOKUP(A926,Internal_lists_bugs!$A$2:$G7981,7,FALSE()),"please select a BUG ID")</f>
        <v>https://opendev.org/openstack/nova/commit/933365a58</v>
      </c>
    </row>
    <row r="927">
      <c r="A927" s="16" t="s">
        <v>55</v>
      </c>
      <c r="B927" s="50" t="str">
        <f>IFERROR(HYPERLINK(VLOOKUP(A927,Internal_lists_bugs!$A$2:$C$73,3,FALSE()), VLOOKUP(A927,Internal_lists_bugs!$A$2:$C$73,3,FALSE())&amp;Char(10) &amp; Char(10) &amp; VLOOKUP(A927,Internal_lists_bugs!$A$2:$Z$73,26,FALSE())),"please select a BUG ID")</f>
        <v>https://bugs.launchpad.net/nova/+bug/1402535
/virt/libvirt/volume.py</v>
      </c>
      <c r="C927" s="81" t="str">
        <f>IFERROR(VLOOKUP(A927,Internal_lists_bugs!$A$2:$I7981,9,FALSE()),"please select a BUG ID")</f>
        <v>https://review.opendev.org/c/openstack/nova/+/17946</v>
      </c>
      <c r="D927" s="114"/>
      <c r="E927" s="114"/>
      <c r="F927" s="115"/>
      <c r="G927" s="16" t="s">
        <v>1594</v>
      </c>
      <c r="H927" s="16" t="s">
        <v>2548</v>
      </c>
      <c r="I927" s="82"/>
      <c r="J927" s="92"/>
      <c r="K927" s="82"/>
      <c r="M927" s="114" t="str">
        <f>VLOOKUP(A927,'BIC_(C_Variables)'!$A$3:$AS$43,45,FALSE())</f>
        <v/>
      </c>
      <c r="N927" s="1"/>
      <c r="O927" s="1"/>
      <c r="P927" s="81" t="str">
        <f>IFERROR(VLOOKUP(A927,Internal_lists_bugs!$A$2:$G7981,7,FALSE()),"please select a BUG ID")</f>
        <v>https://opendev.org/openstack/nova/commit/933365a58</v>
      </c>
    </row>
    <row r="928">
      <c r="A928" s="16" t="s">
        <v>55</v>
      </c>
      <c r="B928" s="50" t="str">
        <f>IFERROR(HYPERLINK(VLOOKUP(A928,Internal_lists_bugs!$A$2:$C$73,3,FALSE()), VLOOKUP(A928,Internal_lists_bugs!$A$2:$C$73,3,FALSE())&amp;Char(10) &amp; Char(10) &amp; VLOOKUP(A928,Internal_lists_bugs!$A$2:$Z$73,26,FALSE())),"please select a BUG ID")</f>
        <v>https://bugs.launchpad.net/nova/+bug/1402535
/virt/libvirt/volume.py</v>
      </c>
      <c r="C928" s="81" t="str">
        <f>IFERROR(VLOOKUP(A928,Internal_lists_bugs!$A$2:$I7981,9,FALSE()),"please select a BUG ID")</f>
        <v>https://review.opendev.org/c/openstack/nova/+/17946</v>
      </c>
      <c r="D928" s="114"/>
      <c r="E928" s="114"/>
      <c r="F928" s="115"/>
      <c r="G928" s="16" t="s">
        <v>1964</v>
      </c>
      <c r="H928" s="16" t="s">
        <v>2548</v>
      </c>
      <c r="I928" s="82"/>
      <c r="J928" s="92"/>
      <c r="K928" s="82"/>
      <c r="M928" s="114" t="str">
        <f>VLOOKUP(A928,'BIC_(C_Variables)'!$A$3:$AS$43,45,FALSE())</f>
        <v/>
      </c>
      <c r="N928" s="1"/>
      <c r="O928" s="1"/>
      <c r="P928" s="81" t="str">
        <f>IFERROR(VLOOKUP(A928,Internal_lists_bugs!$A$2:$G7981,7,FALSE()),"please select a BUG ID")</f>
        <v>https://opendev.org/openstack/nova/commit/933365a58</v>
      </c>
    </row>
    <row r="929">
      <c r="A929" s="16" t="s">
        <v>55</v>
      </c>
      <c r="B929" s="50" t="str">
        <f>IFERROR(HYPERLINK(VLOOKUP(A929,Internal_lists_bugs!$A$2:$C$73,3,FALSE()), VLOOKUP(A929,Internal_lists_bugs!$A$2:$C$73,3,FALSE())&amp;Char(10) &amp; Char(10) &amp; VLOOKUP(A929,Internal_lists_bugs!$A$2:$Z$73,26,FALSE())),"please select a BUG ID")</f>
        <v>https://bugs.launchpad.net/nova/+bug/1402535
/virt/libvirt/volume.py</v>
      </c>
      <c r="C929" s="81" t="str">
        <f>IFERROR(VLOOKUP(A929,Internal_lists_bugs!$A$2:$I7981,9,FALSE()),"please select a BUG ID")</f>
        <v>https://review.opendev.org/c/openstack/nova/+/17946</v>
      </c>
      <c r="D929" s="114"/>
      <c r="E929" s="114"/>
      <c r="F929" s="115"/>
      <c r="G929" s="16" t="s">
        <v>1597</v>
      </c>
      <c r="H929" s="16" t="s">
        <v>2549</v>
      </c>
      <c r="I929" s="82"/>
      <c r="J929" s="92"/>
      <c r="K929" s="82"/>
      <c r="M929" s="114" t="str">
        <f>VLOOKUP(A929,'BIC_(C_Variables)'!$A$3:$AS$43,45,FALSE())</f>
        <v/>
      </c>
      <c r="N929" s="1"/>
      <c r="O929" s="1"/>
      <c r="P929" s="81" t="str">
        <f>IFERROR(VLOOKUP(A929,Internal_lists_bugs!$A$2:$G7981,7,FALSE()),"please select a BUG ID")</f>
        <v>https://opendev.org/openstack/nova/commit/933365a58</v>
      </c>
    </row>
    <row r="930">
      <c r="A930" s="16" t="s">
        <v>55</v>
      </c>
      <c r="B930" s="50" t="str">
        <f>IFERROR(HYPERLINK(VLOOKUP(A930,Internal_lists_bugs!$A$2:$C$73,3,FALSE()), VLOOKUP(A930,Internal_lists_bugs!$A$2:$C$73,3,FALSE())&amp;Char(10) &amp; Char(10) &amp; VLOOKUP(A930,Internal_lists_bugs!$A$2:$Z$73,26,FALSE())),"please select a BUG ID")</f>
        <v>https://bugs.launchpad.net/nova/+bug/1402535
/virt/libvirt/volume.py</v>
      </c>
      <c r="C930" s="81" t="str">
        <f>IFERROR(VLOOKUP(A930,Internal_lists_bugs!$A$2:$I7981,9,FALSE()),"please select a BUG ID")</f>
        <v>https://review.opendev.org/c/openstack/nova/+/17946</v>
      </c>
      <c r="D930" s="114"/>
      <c r="E930" s="114"/>
      <c r="F930" s="115"/>
      <c r="G930" s="16" t="s">
        <v>1483</v>
      </c>
      <c r="H930" s="16" t="s">
        <v>2550</v>
      </c>
      <c r="I930" s="82"/>
      <c r="J930" s="92"/>
      <c r="K930" s="82"/>
      <c r="M930" s="114" t="str">
        <f>VLOOKUP(A930,'BIC_(C_Variables)'!$A$3:$AS$43,45,FALSE())</f>
        <v/>
      </c>
      <c r="N930" s="1"/>
      <c r="O930" s="1"/>
      <c r="P930" s="81" t="str">
        <f>IFERROR(VLOOKUP(A930,Internal_lists_bugs!$A$2:$G7981,7,FALSE()),"please select a BUG ID")</f>
        <v>https://opendev.org/openstack/nova/commit/933365a58</v>
      </c>
    </row>
    <row r="931">
      <c r="A931" s="16" t="s">
        <v>55</v>
      </c>
      <c r="B931" s="50" t="str">
        <f>IFERROR(HYPERLINK(VLOOKUP(A931,Internal_lists_bugs!$A$2:$C$73,3,FALSE()), VLOOKUP(A931,Internal_lists_bugs!$A$2:$C$73,3,FALSE())&amp;Char(10) &amp; Char(10) &amp; VLOOKUP(A931,Internal_lists_bugs!$A$2:$Z$73,26,FALSE())),"please select a BUG ID")</f>
        <v>https://bugs.launchpad.net/nova/+bug/1402535
/virt/libvirt/volume.py</v>
      </c>
      <c r="C931" s="81" t="str">
        <f>IFERROR(VLOOKUP(A931,Internal_lists_bugs!$A$2:$I7981,9,FALSE()),"please select a BUG ID")</f>
        <v>https://review.opendev.org/c/openstack/nova/+/17946</v>
      </c>
      <c r="D931" s="114"/>
      <c r="E931" s="114"/>
      <c r="F931" s="115"/>
      <c r="G931" s="16" t="s">
        <v>1758</v>
      </c>
      <c r="H931" s="16" t="s">
        <v>2551</v>
      </c>
      <c r="I931" s="82"/>
      <c r="J931" s="92"/>
      <c r="K931" s="82"/>
      <c r="M931" s="114" t="str">
        <f>VLOOKUP(A931,'BIC_(C_Variables)'!$A$3:$AS$43,45,FALSE())</f>
        <v/>
      </c>
      <c r="N931" s="1"/>
      <c r="O931" s="1"/>
      <c r="P931" s="81" t="str">
        <f>IFERROR(VLOOKUP(A931,Internal_lists_bugs!$A$2:$G7981,7,FALSE()),"please select a BUG ID")</f>
        <v>https://opendev.org/openstack/nova/commit/933365a58</v>
      </c>
    </row>
    <row r="932">
      <c r="A932" s="16" t="s">
        <v>55</v>
      </c>
      <c r="B932" s="50" t="str">
        <f>IFERROR(HYPERLINK(VLOOKUP(A932,Internal_lists_bugs!$A$2:$C$73,3,FALSE()), VLOOKUP(A932,Internal_lists_bugs!$A$2:$C$73,3,FALSE())&amp;Char(10) &amp; Char(10) &amp; VLOOKUP(A932,Internal_lists_bugs!$A$2:$Z$73,26,FALSE())),"please select a BUG ID")</f>
        <v>https://bugs.launchpad.net/nova/+bug/1402535
/virt/libvirt/volume.py</v>
      </c>
      <c r="C932" s="81" t="str">
        <f>IFERROR(VLOOKUP(A932,Internal_lists_bugs!$A$2:$I7981,9,FALSE()),"please select a BUG ID")</f>
        <v>https://review.opendev.org/c/openstack/nova/+/17946</v>
      </c>
      <c r="D932" s="114"/>
      <c r="E932" s="114"/>
      <c r="F932" s="115"/>
      <c r="G932" s="16" t="s">
        <v>1761</v>
      </c>
      <c r="H932" s="16" t="s">
        <v>2552</v>
      </c>
      <c r="I932" s="82"/>
      <c r="J932" s="92"/>
      <c r="K932" s="82"/>
      <c r="M932" s="114" t="str">
        <f>VLOOKUP(A932,'BIC_(C_Variables)'!$A$3:$AS$43,45,FALSE())</f>
        <v/>
      </c>
      <c r="N932" s="1"/>
      <c r="O932" s="1"/>
      <c r="P932" s="81" t="str">
        <f>IFERROR(VLOOKUP(A932,Internal_lists_bugs!$A$2:$G7981,7,FALSE()),"please select a BUG ID")</f>
        <v>https://opendev.org/openstack/nova/commit/933365a58</v>
      </c>
    </row>
    <row r="933">
      <c r="A933" s="16" t="s">
        <v>55</v>
      </c>
      <c r="B933" s="50" t="str">
        <f>IFERROR(HYPERLINK(VLOOKUP(A933,Internal_lists_bugs!$A$2:$C$73,3,FALSE()), VLOOKUP(A933,Internal_lists_bugs!$A$2:$C$73,3,FALSE())&amp;Char(10) &amp; Char(10) &amp; VLOOKUP(A933,Internal_lists_bugs!$A$2:$Z$73,26,FALSE())),"please select a BUG ID")</f>
        <v>https://bugs.launchpad.net/nova/+bug/1402535
/virt/libvirt/volume.py</v>
      </c>
      <c r="C933" s="81" t="str">
        <f>IFERROR(VLOOKUP(A933,Internal_lists_bugs!$A$2:$I7981,9,FALSE()),"please select a BUG ID")</f>
        <v>https://review.opendev.org/c/openstack/nova/+/17946</v>
      </c>
      <c r="D933" s="114"/>
      <c r="E933" s="114"/>
      <c r="F933" s="115"/>
      <c r="G933" s="16" t="s">
        <v>1968</v>
      </c>
      <c r="H933" s="16" t="s">
        <v>2553</v>
      </c>
      <c r="I933" s="82"/>
      <c r="J933" s="92"/>
      <c r="K933" s="82"/>
      <c r="M933" s="114" t="str">
        <f>VLOOKUP(A933,'BIC_(C_Variables)'!$A$3:$AS$43,45,FALSE())</f>
        <v/>
      </c>
      <c r="N933" s="1"/>
      <c r="O933" s="1"/>
      <c r="P933" s="81" t="str">
        <f>IFERROR(VLOOKUP(A933,Internal_lists_bugs!$A$2:$G7981,7,FALSE()),"please select a BUG ID")</f>
        <v>https://opendev.org/openstack/nova/commit/933365a58</v>
      </c>
    </row>
    <row r="934">
      <c r="A934" s="16" t="s">
        <v>55</v>
      </c>
      <c r="B934" s="50" t="str">
        <f>IFERROR(HYPERLINK(VLOOKUP(A934,Internal_lists_bugs!$A$2:$C$73,3,FALSE()), VLOOKUP(A934,Internal_lists_bugs!$A$2:$C$73,3,FALSE())&amp;Char(10) &amp; Char(10) &amp; VLOOKUP(A934,Internal_lists_bugs!$A$2:$Z$73,26,FALSE())),"please select a BUG ID")</f>
        <v>https://bugs.launchpad.net/nova/+bug/1402535
/virt/libvirt/volume.py</v>
      </c>
      <c r="C934" s="81" t="str">
        <f>IFERROR(VLOOKUP(A934,Internal_lists_bugs!$A$2:$I7981,9,FALSE()),"please select a BUG ID")</f>
        <v>https://review.opendev.org/c/openstack/nova/+/17946</v>
      </c>
      <c r="D934" s="114"/>
      <c r="E934" s="114"/>
      <c r="F934" s="115"/>
      <c r="G934" s="16" t="s">
        <v>1835</v>
      </c>
      <c r="H934" s="16" t="s">
        <v>2554</v>
      </c>
      <c r="I934" s="82"/>
      <c r="J934" s="92"/>
      <c r="K934" s="82"/>
      <c r="M934" s="114" t="str">
        <f>VLOOKUP(A934,'BIC_(C_Variables)'!$A$3:$AS$43,45,FALSE())</f>
        <v/>
      </c>
      <c r="N934" s="1"/>
      <c r="O934" s="1"/>
      <c r="P934" s="81" t="str">
        <f>IFERROR(VLOOKUP(A934,Internal_lists_bugs!$A$2:$G7981,7,FALSE()),"please select a BUG ID")</f>
        <v>https://opendev.org/openstack/nova/commit/933365a58</v>
      </c>
    </row>
    <row r="935">
      <c r="A935" s="16" t="s">
        <v>55</v>
      </c>
      <c r="B935" s="50" t="str">
        <f>IFERROR(HYPERLINK(VLOOKUP(A935,Internal_lists_bugs!$A$2:$C$73,3,FALSE()), VLOOKUP(A935,Internal_lists_bugs!$A$2:$C$73,3,FALSE())&amp;Char(10) &amp; Char(10) &amp; VLOOKUP(A935,Internal_lists_bugs!$A$2:$Z$73,26,FALSE())),"please select a BUG ID")</f>
        <v>https://bugs.launchpad.net/nova/+bug/1402535
/virt/libvirt/volume.py</v>
      </c>
      <c r="C935" s="81" t="str">
        <f>IFERROR(VLOOKUP(A935,Internal_lists_bugs!$A$2:$I7981,9,FALSE()),"please select a BUG ID")</f>
        <v>https://review.opendev.org/c/openstack/nova/+/17946</v>
      </c>
      <c r="D935" s="114"/>
      <c r="E935" s="114"/>
      <c r="F935" s="115"/>
      <c r="G935" s="16" t="s">
        <v>2555</v>
      </c>
      <c r="H935" s="16" t="s">
        <v>2287</v>
      </c>
      <c r="I935" s="82"/>
      <c r="J935" s="92"/>
      <c r="K935" s="82"/>
      <c r="M935" s="114" t="str">
        <f>VLOOKUP(A935,'BIC_(C_Variables)'!$A$3:$AS$43,45,FALSE())</f>
        <v/>
      </c>
      <c r="N935" s="1"/>
      <c r="O935" s="1"/>
      <c r="P935" s="81" t="str">
        <f>IFERROR(VLOOKUP(A935,Internal_lists_bugs!$A$2:$G7981,7,FALSE()),"please select a BUG ID")</f>
        <v>https://opendev.org/openstack/nova/commit/933365a58</v>
      </c>
    </row>
    <row r="936">
      <c r="A936" s="16" t="s">
        <v>55</v>
      </c>
      <c r="B936" s="50" t="str">
        <f>IFERROR(HYPERLINK(VLOOKUP(A936,Internal_lists_bugs!$A$2:$C$73,3,FALSE()), VLOOKUP(A936,Internal_lists_bugs!$A$2:$C$73,3,FALSE())&amp;Char(10) &amp; Char(10) &amp; VLOOKUP(A936,Internal_lists_bugs!$A$2:$Z$73,26,FALSE())),"please select a BUG ID")</f>
        <v>https://bugs.launchpad.net/nova/+bug/1402535
/virt/libvirt/volume.py</v>
      </c>
      <c r="C936" s="81" t="str">
        <f>IFERROR(VLOOKUP(A936,Internal_lists_bugs!$A$2:$I7981,9,FALSE()),"please select a BUG ID")</f>
        <v>https://review.opendev.org/c/openstack/nova/+/17946</v>
      </c>
      <c r="D936" s="114"/>
      <c r="E936" s="114"/>
      <c r="F936" s="115"/>
      <c r="G936" s="16" t="s">
        <v>1430</v>
      </c>
      <c r="H936" s="16" t="s">
        <v>2556</v>
      </c>
      <c r="I936" s="82"/>
      <c r="J936" s="92"/>
      <c r="K936" s="82"/>
      <c r="M936" s="114" t="str">
        <f>VLOOKUP(A936,'BIC_(C_Variables)'!$A$3:$AS$43,45,FALSE())</f>
        <v/>
      </c>
      <c r="N936" s="1"/>
      <c r="O936" s="1"/>
      <c r="P936" s="81" t="str">
        <f>IFERROR(VLOOKUP(A936,Internal_lists_bugs!$A$2:$G7981,7,FALSE()),"please select a BUG ID")</f>
        <v>https://opendev.org/openstack/nova/commit/933365a58</v>
      </c>
    </row>
    <row r="937">
      <c r="A937" s="16" t="s">
        <v>55</v>
      </c>
      <c r="B937" s="50" t="str">
        <f>IFERROR(HYPERLINK(VLOOKUP(A937,Internal_lists_bugs!$A$2:$C$73,3,FALSE()), VLOOKUP(A937,Internal_lists_bugs!$A$2:$C$73,3,FALSE())&amp;Char(10) &amp; Char(10) &amp; VLOOKUP(A937,Internal_lists_bugs!$A$2:$Z$73,26,FALSE())),"please select a BUG ID")</f>
        <v>https://bugs.launchpad.net/nova/+bug/1402535
/virt/libvirt/volume.py</v>
      </c>
      <c r="C937" s="81" t="str">
        <f>IFERROR(VLOOKUP(A937,Internal_lists_bugs!$A$2:$I7981,9,FALSE()),"please select a BUG ID")</f>
        <v>https://review.opendev.org/c/openstack/nova/+/17946</v>
      </c>
      <c r="D937" s="114"/>
      <c r="E937" s="114"/>
      <c r="F937" s="115"/>
      <c r="G937" s="16" t="s">
        <v>2557</v>
      </c>
      <c r="H937" s="16" t="s">
        <v>2558</v>
      </c>
      <c r="I937" s="82"/>
      <c r="J937" s="92"/>
      <c r="K937" s="82"/>
      <c r="M937" s="114" t="str">
        <f>VLOOKUP(A937,'BIC_(C_Variables)'!$A$3:$AS$43,45,FALSE())</f>
        <v/>
      </c>
      <c r="N937" s="1"/>
      <c r="O937" s="1"/>
      <c r="P937" s="81" t="str">
        <f>IFERROR(VLOOKUP(A937,Internal_lists_bugs!$A$2:$G7981,7,FALSE()),"please select a BUG ID")</f>
        <v>https://opendev.org/openstack/nova/commit/933365a58</v>
      </c>
    </row>
    <row r="938">
      <c r="A938" s="16" t="s">
        <v>55</v>
      </c>
      <c r="B938" s="50" t="str">
        <f>IFERROR(HYPERLINK(VLOOKUP(A938,Internal_lists_bugs!$A$2:$C$73,3,FALSE()), VLOOKUP(A938,Internal_lists_bugs!$A$2:$C$73,3,FALSE())&amp;Char(10) &amp; Char(10) &amp; VLOOKUP(A938,Internal_lists_bugs!$A$2:$Z$73,26,FALSE())),"please select a BUG ID")</f>
        <v>https://bugs.launchpad.net/nova/+bug/1402535
/virt/libvirt/volume.py</v>
      </c>
      <c r="C938" s="81" t="str">
        <f>IFERROR(VLOOKUP(A938,Internal_lists_bugs!$A$2:$I7981,9,FALSE()),"please select a BUG ID")</f>
        <v>https://review.opendev.org/c/openstack/nova/+/17946</v>
      </c>
      <c r="D938" s="114"/>
      <c r="E938" s="114"/>
      <c r="F938" s="115"/>
      <c r="G938" s="16" t="s">
        <v>1425</v>
      </c>
      <c r="H938" s="16" t="s">
        <v>2407</v>
      </c>
      <c r="I938" s="82"/>
      <c r="J938" s="92"/>
      <c r="K938" s="82"/>
      <c r="M938" s="114" t="str">
        <f>VLOOKUP(A938,'BIC_(C_Variables)'!$A$3:$AS$43,45,FALSE())</f>
        <v/>
      </c>
      <c r="N938" s="1"/>
      <c r="O938" s="1"/>
      <c r="P938" s="81" t="str">
        <f>IFERROR(VLOOKUP(A938,Internal_lists_bugs!$A$2:$G7981,7,FALSE()),"please select a BUG ID")</f>
        <v>https://opendev.org/openstack/nova/commit/933365a58</v>
      </c>
    </row>
    <row r="939">
      <c r="A939" s="16" t="s">
        <v>55</v>
      </c>
      <c r="B939" s="50" t="str">
        <f>IFERROR(HYPERLINK(VLOOKUP(A939,Internal_lists_bugs!$A$2:$C$73,3,FALSE()), VLOOKUP(A939,Internal_lists_bugs!$A$2:$C$73,3,FALSE())&amp;Char(10) &amp; Char(10) &amp; VLOOKUP(A939,Internal_lists_bugs!$A$2:$Z$73,26,FALSE())),"please select a BUG ID")</f>
        <v>https://bugs.launchpad.net/nova/+bug/1402535
/virt/libvirt/volume.py</v>
      </c>
      <c r="C939" s="81" t="str">
        <f>IFERROR(VLOOKUP(A939,Internal_lists_bugs!$A$2:$I7981,9,FALSE()),"please select a BUG ID")</f>
        <v>https://review.opendev.org/c/openstack/nova/+/17946</v>
      </c>
      <c r="D939" s="114"/>
      <c r="E939" s="114"/>
      <c r="F939" s="115"/>
      <c r="G939" s="16" t="s">
        <v>1478</v>
      </c>
      <c r="H939" s="16" t="s">
        <v>2407</v>
      </c>
      <c r="I939" s="82"/>
      <c r="J939" s="92"/>
      <c r="K939" s="82"/>
      <c r="M939" s="114" t="str">
        <f>VLOOKUP(A939,'BIC_(C_Variables)'!$A$3:$AS$43,45,FALSE())</f>
        <v/>
      </c>
      <c r="N939" s="1"/>
      <c r="O939" s="1"/>
      <c r="P939" s="81" t="str">
        <f>IFERROR(VLOOKUP(A939,Internal_lists_bugs!$A$2:$G7981,7,FALSE()),"please select a BUG ID")</f>
        <v>https://opendev.org/openstack/nova/commit/933365a58</v>
      </c>
    </row>
    <row r="940">
      <c r="A940" s="16" t="s">
        <v>55</v>
      </c>
      <c r="B940" s="50" t="str">
        <f>IFERROR(HYPERLINK(VLOOKUP(A940,Internal_lists_bugs!$A$2:$C$73,3,FALSE()), VLOOKUP(A940,Internal_lists_bugs!$A$2:$C$73,3,FALSE())&amp;Char(10) &amp; Char(10) &amp; VLOOKUP(A940,Internal_lists_bugs!$A$2:$Z$73,26,FALSE())),"please select a BUG ID")</f>
        <v>https://bugs.launchpad.net/nova/+bug/1402535
/virt/libvirt/volume.py</v>
      </c>
      <c r="C940" s="81" t="str">
        <f>IFERROR(VLOOKUP(A940,Internal_lists_bugs!$A$2:$I7981,9,FALSE()),"please select a BUG ID")</f>
        <v>https://review.opendev.org/c/openstack/nova/+/17946</v>
      </c>
      <c r="D940" s="114"/>
      <c r="E940" s="114"/>
      <c r="F940" s="115"/>
      <c r="G940" s="16" t="s">
        <v>1882</v>
      </c>
      <c r="H940" s="116" t="s">
        <v>2559</v>
      </c>
      <c r="I940" s="82"/>
      <c r="J940" s="92"/>
      <c r="K940" s="82"/>
      <c r="M940" s="114" t="str">
        <f>VLOOKUP(A940,'BIC_(C_Variables)'!$A$3:$AS$43,45,FALSE())</f>
        <v/>
      </c>
      <c r="N940" s="1"/>
      <c r="O940" s="1"/>
      <c r="P940" s="81" t="str">
        <f>IFERROR(VLOOKUP(A940,Internal_lists_bugs!$A$2:$G7981,7,FALSE()),"please select a BUG ID")</f>
        <v>https://opendev.org/openstack/nova/commit/933365a58</v>
      </c>
    </row>
    <row r="941">
      <c r="A941" s="16" t="s">
        <v>55</v>
      </c>
      <c r="B941" s="50" t="str">
        <f>IFERROR(HYPERLINK(VLOOKUP(A941,Internal_lists_bugs!$A$2:$C$73,3,FALSE()), VLOOKUP(A941,Internal_lists_bugs!$A$2:$C$73,3,FALSE())&amp;Char(10) &amp; Char(10) &amp; VLOOKUP(A941,Internal_lists_bugs!$A$2:$Z$73,26,FALSE())),"please select a BUG ID")</f>
        <v>https://bugs.launchpad.net/nova/+bug/1402535
/virt/libvirt/volume.py</v>
      </c>
      <c r="C941" s="81" t="str">
        <f>IFERROR(VLOOKUP(A941,Internal_lists_bugs!$A$2:$I7981,9,FALSE()),"please select a BUG ID")</f>
        <v>https://review.opendev.org/c/openstack/nova/+/17946</v>
      </c>
      <c r="D941" s="114"/>
      <c r="E941" s="114"/>
      <c r="F941" s="115"/>
      <c r="G941" s="16" t="s">
        <v>1430</v>
      </c>
      <c r="H941" s="116" t="s">
        <v>2560</v>
      </c>
      <c r="I941" s="82"/>
      <c r="J941" s="92"/>
      <c r="K941" s="82"/>
      <c r="M941" s="114" t="str">
        <f>VLOOKUP(A941,'BIC_(C_Variables)'!$A$3:$AS$43,45,FALSE())</f>
        <v/>
      </c>
      <c r="N941" s="1"/>
      <c r="O941" s="1"/>
      <c r="P941" s="81" t="str">
        <f>IFERROR(VLOOKUP(A941,Internal_lists_bugs!$A$2:$G7981,7,FALSE()),"please select a BUG ID")</f>
        <v>https://opendev.org/openstack/nova/commit/933365a58</v>
      </c>
    </row>
    <row r="942">
      <c r="A942" s="16" t="s">
        <v>55</v>
      </c>
      <c r="B942" s="50" t="str">
        <f>IFERROR(HYPERLINK(VLOOKUP(A942,Internal_lists_bugs!$A$2:$C$73,3,FALSE()), VLOOKUP(A942,Internal_lists_bugs!$A$2:$C$73,3,FALSE())&amp;Char(10) &amp; Char(10) &amp; VLOOKUP(A942,Internal_lists_bugs!$A$2:$Z$73,26,FALSE())),"please select a BUG ID")</f>
        <v>https://bugs.launchpad.net/nova/+bug/1402535
/virt/libvirt/volume.py</v>
      </c>
      <c r="C942" s="81" t="str">
        <f>IFERROR(VLOOKUP(A942,Internal_lists_bugs!$A$2:$I7981,9,FALSE()),"please select a BUG ID")</f>
        <v>https://review.opendev.org/c/openstack/nova/+/17946</v>
      </c>
      <c r="D942" s="114"/>
      <c r="E942" s="114"/>
      <c r="F942" s="115"/>
      <c r="G942" s="16" t="s">
        <v>1902</v>
      </c>
      <c r="H942" s="116" t="s">
        <v>2561</v>
      </c>
      <c r="I942" s="82"/>
      <c r="J942" s="92"/>
      <c r="K942" s="82"/>
      <c r="M942" s="114"/>
      <c r="N942" s="1"/>
      <c r="O942" s="1"/>
      <c r="P942" s="51"/>
    </row>
    <row r="943">
      <c r="A943" s="16" t="s">
        <v>55</v>
      </c>
      <c r="B943" s="50" t="str">
        <f>IFERROR(HYPERLINK(VLOOKUP(A943,Internal_lists_bugs!$A$2:$C$73,3,FALSE()), VLOOKUP(A943,Internal_lists_bugs!$A$2:$C$73,3,FALSE())&amp;Char(10) &amp; Char(10) &amp; VLOOKUP(A943,Internal_lists_bugs!$A$2:$Z$73,26,FALSE())),"please select a BUG ID")</f>
        <v>https://bugs.launchpad.net/nova/+bug/1402535
/virt/libvirt/volume.py</v>
      </c>
      <c r="C943" s="81" t="str">
        <f>IFERROR(VLOOKUP(A943,Internal_lists_bugs!$A$2:$I7981,9,FALSE()),"please select a BUG ID")</f>
        <v>https://review.opendev.org/c/openstack/nova/+/17946</v>
      </c>
      <c r="D943" s="114"/>
      <c r="E943" s="114"/>
      <c r="F943" s="115"/>
      <c r="G943" s="16" t="s">
        <v>1474</v>
      </c>
      <c r="H943" s="116" t="s">
        <v>2562</v>
      </c>
      <c r="I943" s="82"/>
      <c r="J943" s="92"/>
      <c r="K943" s="82"/>
      <c r="M943" s="114" t="str">
        <f>VLOOKUP(A943,'BIC_(C_Variables)'!$A$3:$AS$43,45,FALSE())</f>
        <v/>
      </c>
      <c r="N943" s="1"/>
      <c r="O943" s="1"/>
      <c r="P943" s="81" t="str">
        <f>IFERROR(VLOOKUP(A943,Internal_lists_bugs!$A$2:$G7981,7,FALSE()),"please select a BUG ID")</f>
        <v>https://opendev.org/openstack/nova/commit/933365a58</v>
      </c>
    </row>
    <row r="944">
      <c r="A944" s="16" t="s">
        <v>55</v>
      </c>
      <c r="B944" s="50" t="str">
        <f>IFERROR(HYPERLINK(VLOOKUP(A944,Internal_lists_bugs!$A$2:$C$73,3,FALSE()), VLOOKUP(A944,Internal_lists_bugs!$A$2:$C$73,3,FALSE())&amp;Char(10) &amp; Char(10) &amp; VLOOKUP(A944,Internal_lists_bugs!$A$2:$Z$73,26,FALSE())),"please select a BUG ID")</f>
        <v>https://bugs.launchpad.net/nova/+bug/1402535
/virt/libvirt/volume.py</v>
      </c>
      <c r="C944" s="81" t="str">
        <f>IFERROR(VLOOKUP(A944,Internal_lists_bugs!$A$2:$I7981,9,FALSE()),"please select a BUG ID")</f>
        <v>https://review.opendev.org/c/openstack/nova/+/17946</v>
      </c>
      <c r="D944" s="114"/>
      <c r="E944" s="114"/>
      <c r="F944" s="115"/>
      <c r="G944" s="16" t="s">
        <v>1443</v>
      </c>
      <c r="H944" s="116" t="s">
        <v>2563</v>
      </c>
      <c r="I944" s="82"/>
      <c r="J944" s="92"/>
      <c r="K944" s="82"/>
      <c r="M944" s="114" t="str">
        <f>VLOOKUP(A944,'BIC_(C_Variables)'!$A$3:$AS$43,45,FALSE())</f>
        <v/>
      </c>
      <c r="N944" s="1"/>
      <c r="O944" s="1"/>
      <c r="P944" s="81" t="str">
        <f>IFERROR(VLOOKUP(A944,Internal_lists_bugs!$A$2:$G7981,7,FALSE()),"please select a BUG ID")</f>
        <v>https://opendev.org/openstack/nova/commit/933365a58</v>
      </c>
    </row>
    <row r="945">
      <c r="A945" s="16" t="s">
        <v>55</v>
      </c>
      <c r="B945" s="50" t="str">
        <f>IFERROR(HYPERLINK(VLOOKUP(A945,Internal_lists_bugs!$A$2:$C$73,3,FALSE()), VLOOKUP(A945,Internal_lists_bugs!$A$2:$C$73,3,FALSE())&amp;Char(10) &amp; Char(10) &amp; VLOOKUP(A945,Internal_lists_bugs!$A$2:$Z$73,26,FALSE())),"please select a BUG ID")</f>
        <v>https://bugs.launchpad.net/nova/+bug/1402535
/virt/libvirt/volume.py</v>
      </c>
      <c r="C945" s="81" t="str">
        <f>IFERROR(VLOOKUP(A945,Internal_lists_bugs!$A$2:$I7981,9,FALSE()),"please select a BUG ID")</f>
        <v>https://review.opendev.org/c/openstack/nova/+/17946</v>
      </c>
      <c r="D945" s="114"/>
      <c r="E945" s="114"/>
      <c r="F945" s="115"/>
      <c r="G945" s="16" t="s">
        <v>1427</v>
      </c>
      <c r="H945" s="116" t="s">
        <v>2563</v>
      </c>
      <c r="I945" s="82"/>
      <c r="J945" s="92"/>
      <c r="K945" s="82"/>
      <c r="M945" s="114" t="str">
        <f>VLOOKUP(A945,'BIC_(C_Variables)'!$A$3:$AS$43,45,FALSE())</f>
        <v/>
      </c>
      <c r="N945" s="1"/>
      <c r="O945" s="1"/>
      <c r="P945" s="81" t="str">
        <f>IFERROR(VLOOKUP(A945,Internal_lists_bugs!$A$2:$G7981,7,FALSE()),"please select a BUG ID")</f>
        <v>https://opendev.org/openstack/nova/commit/933365a58</v>
      </c>
    </row>
    <row r="946">
      <c r="A946" s="16" t="s">
        <v>55</v>
      </c>
      <c r="B946" s="50" t="str">
        <f>IFERROR(HYPERLINK(VLOOKUP(A946,Internal_lists_bugs!$A$2:$C$73,3,FALSE()), VLOOKUP(A946,Internal_lists_bugs!$A$2:$C$73,3,FALSE())&amp;Char(10) &amp; Char(10) &amp; VLOOKUP(A946,Internal_lists_bugs!$A$2:$Z$73,26,FALSE())),"please select a BUG ID")</f>
        <v>https://bugs.launchpad.net/nova/+bug/1402535
/virt/libvirt/volume.py</v>
      </c>
      <c r="C946" s="81" t="str">
        <f>IFERROR(VLOOKUP(A946,Internal_lists_bugs!$A$2:$I7981,9,FALSE()),"please select a BUG ID")</f>
        <v>https://review.opendev.org/c/openstack/nova/+/17946</v>
      </c>
      <c r="D946" s="114"/>
      <c r="E946" s="114"/>
      <c r="F946" s="115"/>
      <c r="G946" s="16" t="s">
        <v>1489</v>
      </c>
      <c r="H946" s="116" t="s">
        <v>2564</v>
      </c>
      <c r="I946" s="82"/>
      <c r="J946" s="92"/>
      <c r="K946" s="82"/>
      <c r="M946" s="114"/>
      <c r="N946" s="1"/>
      <c r="O946" s="1"/>
      <c r="P946" s="51"/>
    </row>
    <row r="947">
      <c r="A947" s="16" t="s">
        <v>55</v>
      </c>
      <c r="B947" s="50" t="str">
        <f>IFERROR(HYPERLINK(VLOOKUP(A947,Internal_lists_bugs!$A$2:$C$73,3,FALSE()), VLOOKUP(A947,Internal_lists_bugs!$A$2:$C$73,3,FALSE())&amp;Char(10) &amp; Char(10) &amp; VLOOKUP(A947,Internal_lists_bugs!$A$2:$Z$73,26,FALSE())),"please select a BUG ID")</f>
        <v>https://bugs.launchpad.net/nova/+bug/1402535
/virt/libvirt/volume.py</v>
      </c>
      <c r="C947" s="81" t="str">
        <f>IFERROR(VLOOKUP(A947,Internal_lists_bugs!$A$2:$I7981,9,FALSE()),"please select a BUG ID")</f>
        <v>https://review.opendev.org/c/openstack/nova/+/17946</v>
      </c>
      <c r="D947" s="114"/>
      <c r="E947" s="114"/>
      <c r="F947" s="115"/>
      <c r="G947" s="16" t="s">
        <v>2565</v>
      </c>
      <c r="H947" s="116" t="s">
        <v>2564</v>
      </c>
      <c r="I947" s="82"/>
      <c r="J947" s="92"/>
      <c r="K947" s="82"/>
      <c r="M947" s="114" t="str">
        <f>VLOOKUP(A947,'BIC_(C_Variables)'!$A$3:$AS$43,45,FALSE())</f>
        <v/>
      </c>
      <c r="N947" s="1"/>
      <c r="O947" s="1"/>
      <c r="P947" s="81" t="str">
        <f>IFERROR(VLOOKUP(A947,Internal_lists_bugs!$A$2:$G7981,7,FALSE()),"please select a BUG ID")</f>
        <v>https://opendev.org/openstack/nova/commit/933365a58</v>
      </c>
    </row>
    <row r="948">
      <c r="A948" s="16" t="s">
        <v>56</v>
      </c>
      <c r="B948" s="50" t="str">
        <f>IFERROR(HYPERLINK(VLOOKUP(A948,Internal_lists_bugs!$A$2:$C$73,3,FALSE()), VLOOKUP(A948,Internal_lists_bugs!$A$2:$C$73,3,FALSE())&amp;Char(10) &amp; Char(10) &amp; VLOOKUP(A948,Internal_lists_bugs!$A$2:$Z$73,26,FALSE())),"please select a BUG ID")</f>
        <v>https://bugs.launchpad.net/nova/+bug/1371677
/libvirt/driver.py</v>
      </c>
      <c r="C948" s="81" t="str">
        <f>IFERROR(VLOOKUP(A948,Internal_lists_bugs!$A$2:$I7981,9,FALSE()),"please select a BUG ID")</f>
        <v>https://review.opendev.org/c/openstack/nova/+/40467</v>
      </c>
      <c r="D948" s="112" t="s">
        <v>1412</v>
      </c>
      <c r="E948" s="112" t="s">
        <v>1462</v>
      </c>
      <c r="F948" s="121" t="s">
        <v>251</v>
      </c>
      <c r="G948" s="16" t="s">
        <v>1417</v>
      </c>
      <c r="H948" s="116" t="s">
        <v>2566</v>
      </c>
      <c r="I948" s="79" t="s">
        <v>251</v>
      </c>
      <c r="J948" s="93" t="s">
        <v>2567</v>
      </c>
      <c r="K948" s="79" t="s">
        <v>251</v>
      </c>
      <c r="L948" s="16" t="s">
        <v>2568</v>
      </c>
      <c r="M948" s="114" t="str">
        <f>VLOOKUP(A948,'BIC_(C_Variables)'!$A$3:$AS$43,45,FALSE())</f>
        <v/>
      </c>
      <c r="N948" s="1"/>
      <c r="O948" s="1"/>
      <c r="P948" s="81" t="str">
        <f>IFERROR(VLOOKUP(A948,Internal_lists_bugs!$A$2:$G7981,7,FALSE()),"please select a BUG ID")</f>
        <v>https://opendev.org/openstack/nova/commit/5fa74bc</v>
      </c>
    </row>
    <row r="949">
      <c r="A949" s="16" t="s">
        <v>56</v>
      </c>
      <c r="B949" s="50" t="str">
        <f>IFERROR(HYPERLINK(VLOOKUP(A949,Internal_lists_bugs!$A$2:$C$73,3,FALSE()), VLOOKUP(A949,Internal_lists_bugs!$A$2:$C$73,3,FALSE())&amp;Char(10) &amp; Char(10) &amp; VLOOKUP(A949,Internal_lists_bugs!$A$2:$Z$73,26,FALSE())),"please select a BUG ID")</f>
        <v>https://bugs.launchpad.net/nova/+bug/1371677
/libvirt/driver.py</v>
      </c>
      <c r="C949" s="81" t="str">
        <f>IFERROR(VLOOKUP(A949,Internal_lists_bugs!$A$2:$I7981,9,FALSE()),"please select a BUG ID")</f>
        <v>https://review.opendev.org/c/openstack/nova/+/40467</v>
      </c>
      <c r="D949" s="114"/>
      <c r="E949" s="114"/>
      <c r="F949" s="115"/>
      <c r="G949" s="16" t="s">
        <v>2569</v>
      </c>
      <c r="H949" s="116" t="s">
        <v>2570</v>
      </c>
      <c r="I949" s="82"/>
      <c r="J949" s="92"/>
      <c r="K949" s="82"/>
      <c r="M949" s="114" t="str">
        <f>VLOOKUP(A949,'BIC_(C_Variables)'!$A$3:$AS$43,45,FALSE())</f>
        <v/>
      </c>
      <c r="N949" s="1"/>
      <c r="O949" s="1"/>
      <c r="P949" s="81" t="str">
        <f>IFERROR(VLOOKUP(A949,Internal_lists_bugs!$A$2:$G7981,7,FALSE()),"please select a BUG ID")</f>
        <v>https://opendev.org/openstack/nova/commit/5fa74bc</v>
      </c>
    </row>
    <row r="950">
      <c r="A950" s="16" t="s">
        <v>56</v>
      </c>
      <c r="B950" s="50" t="str">
        <f>IFERROR(HYPERLINK(VLOOKUP(A950,Internal_lists_bugs!$A$2:$C$73,3,FALSE()), VLOOKUP(A950,Internal_lists_bugs!$A$2:$C$73,3,FALSE())&amp;Char(10) &amp; Char(10) &amp; VLOOKUP(A950,Internal_lists_bugs!$A$2:$Z$73,26,FALSE())),"please select a BUG ID")</f>
        <v>https://bugs.launchpad.net/nova/+bug/1371677
/libvirt/driver.py</v>
      </c>
      <c r="C950" s="81" t="str">
        <f>IFERROR(VLOOKUP(A950,Internal_lists_bugs!$A$2:$I7981,9,FALSE()),"please select a BUG ID")</f>
        <v>https://review.opendev.org/c/openstack/nova/+/40467</v>
      </c>
      <c r="D950" s="114"/>
      <c r="E950" s="114"/>
      <c r="F950" s="115"/>
      <c r="G950" s="16" t="s">
        <v>1466</v>
      </c>
      <c r="H950" s="116" t="s">
        <v>2571</v>
      </c>
      <c r="I950" s="82"/>
      <c r="J950" s="92"/>
      <c r="K950" s="82"/>
      <c r="M950" s="114" t="str">
        <f>VLOOKUP(A950,'BIC_(C_Variables)'!$A$3:$AS$43,45,FALSE())</f>
        <v/>
      </c>
      <c r="N950" s="1"/>
      <c r="O950" s="1"/>
      <c r="P950" s="81" t="str">
        <f>IFERROR(VLOOKUP(A950,Internal_lists_bugs!$A$2:$G7981,7,FALSE()),"please select a BUG ID")</f>
        <v>https://opendev.org/openstack/nova/commit/5fa74bc</v>
      </c>
    </row>
    <row r="951">
      <c r="A951" s="16" t="s">
        <v>56</v>
      </c>
      <c r="B951" s="50" t="str">
        <f>IFERROR(HYPERLINK(VLOOKUP(A951,Internal_lists_bugs!$A$2:$C$73,3,FALSE()), VLOOKUP(A951,Internal_lists_bugs!$A$2:$C$73,3,FALSE())&amp;Char(10) &amp; Char(10) &amp; VLOOKUP(A951,Internal_lists_bugs!$A$2:$Z$73,26,FALSE())),"please select a BUG ID")</f>
        <v>https://bugs.launchpad.net/nova/+bug/1371677
/libvirt/driver.py</v>
      </c>
      <c r="C951" s="81" t="str">
        <f>IFERROR(VLOOKUP(A951,Internal_lists_bugs!$A$2:$I7981,9,FALSE()),"please select a BUG ID")</f>
        <v>https://review.opendev.org/c/openstack/nova/+/40467</v>
      </c>
      <c r="D951" s="114"/>
      <c r="E951" s="114"/>
      <c r="F951" s="115"/>
      <c r="G951" s="16" t="s">
        <v>1419</v>
      </c>
      <c r="H951" s="116" t="s">
        <v>2572</v>
      </c>
      <c r="I951" s="82"/>
      <c r="J951" s="92"/>
      <c r="K951" s="82"/>
      <c r="M951" s="114" t="str">
        <f>VLOOKUP(A951,'BIC_(C_Variables)'!$A$3:$AS$43,45,FALSE())</f>
        <v/>
      </c>
      <c r="N951" s="1"/>
      <c r="O951" s="1"/>
      <c r="P951" s="81" t="str">
        <f>IFERROR(VLOOKUP(A951,Internal_lists_bugs!$A$2:$G7981,7,FALSE()),"please select a BUG ID")</f>
        <v>https://opendev.org/openstack/nova/commit/5fa74bc</v>
      </c>
    </row>
    <row r="952">
      <c r="A952" s="16" t="s">
        <v>56</v>
      </c>
      <c r="B952" s="50" t="str">
        <f>IFERROR(HYPERLINK(VLOOKUP(A952,Internal_lists_bugs!$A$2:$C$73,3,FALSE()), VLOOKUP(A952,Internal_lists_bugs!$A$2:$C$73,3,FALSE())&amp;Char(10) &amp; Char(10) &amp; VLOOKUP(A952,Internal_lists_bugs!$A$2:$Z$73,26,FALSE())),"please select a BUG ID")</f>
        <v>https://bugs.launchpad.net/nova/+bug/1371677
/libvirt/driver.py</v>
      </c>
      <c r="C952" s="81" t="str">
        <f>IFERROR(VLOOKUP(A952,Internal_lists_bugs!$A$2:$I7981,9,FALSE()),"please select a BUG ID")</f>
        <v>https://review.opendev.org/c/openstack/nova/+/40467</v>
      </c>
      <c r="D952" s="114"/>
      <c r="E952" s="114"/>
      <c r="F952" s="115"/>
      <c r="G952" s="16" t="s">
        <v>1626</v>
      </c>
      <c r="H952" s="116" t="s">
        <v>2105</v>
      </c>
      <c r="I952" s="82"/>
      <c r="J952" s="92"/>
      <c r="K952" s="82"/>
      <c r="M952" s="114" t="str">
        <f>VLOOKUP(A952,'BIC_(C_Variables)'!$A$3:$AS$43,45,FALSE())</f>
        <v/>
      </c>
      <c r="N952" s="1"/>
      <c r="O952" s="1"/>
      <c r="P952" s="81" t="str">
        <f>IFERROR(VLOOKUP(A952,Internal_lists_bugs!$A$2:$G7981,7,FALSE()),"please select a BUG ID")</f>
        <v>https://opendev.org/openstack/nova/commit/5fa74bc</v>
      </c>
    </row>
    <row r="953">
      <c r="A953" s="16" t="s">
        <v>56</v>
      </c>
      <c r="B953" s="50" t="str">
        <f>IFERROR(HYPERLINK(VLOOKUP(A953,Internal_lists_bugs!$A$2:$C$73,3,FALSE()), VLOOKUP(A953,Internal_lists_bugs!$A$2:$C$73,3,FALSE())&amp;Char(10) &amp; Char(10) &amp; VLOOKUP(A953,Internal_lists_bugs!$A$2:$Z$73,26,FALSE())),"please select a BUG ID")</f>
        <v>https://bugs.launchpad.net/nova/+bug/1371677
/libvirt/driver.py</v>
      </c>
      <c r="C953" s="81" t="str">
        <f>IFERROR(VLOOKUP(A953,Internal_lists_bugs!$A$2:$I7981,9,FALSE()),"please select a BUG ID")</f>
        <v>https://review.opendev.org/c/openstack/nova/+/40467</v>
      </c>
      <c r="D953" s="114"/>
      <c r="E953" s="114"/>
      <c r="F953" s="115"/>
      <c r="G953" s="16" t="s">
        <v>2573</v>
      </c>
      <c r="H953" s="116" t="s">
        <v>2574</v>
      </c>
      <c r="I953" s="82"/>
      <c r="J953" s="92"/>
      <c r="K953" s="82"/>
      <c r="M953" s="114" t="str">
        <f>VLOOKUP(A953,'BIC_(C_Variables)'!$A$3:$AS$43,45,FALSE())</f>
        <v/>
      </c>
      <c r="N953" s="1"/>
      <c r="O953" s="1"/>
      <c r="P953" s="81" t="str">
        <f>IFERROR(VLOOKUP(A953,Internal_lists_bugs!$A$2:$G7981,7,FALSE()),"please select a BUG ID")</f>
        <v>https://opendev.org/openstack/nova/commit/5fa74bc</v>
      </c>
    </row>
    <row r="954">
      <c r="A954" s="16" t="s">
        <v>56</v>
      </c>
      <c r="B954" s="50" t="str">
        <f>IFERROR(HYPERLINK(VLOOKUP(A954,Internal_lists_bugs!$A$2:$C$73,3,FALSE()), VLOOKUP(A954,Internal_lists_bugs!$A$2:$C$73,3,FALSE())&amp;Char(10) &amp; Char(10) &amp; VLOOKUP(A954,Internal_lists_bugs!$A$2:$Z$73,26,FALSE())),"please select a BUG ID")</f>
        <v>https://bugs.launchpad.net/nova/+bug/1371677
/libvirt/driver.py</v>
      </c>
      <c r="C954" s="81" t="str">
        <f>IFERROR(VLOOKUP(A954,Internal_lists_bugs!$A$2:$I7981,9,FALSE()),"please select a BUG ID")</f>
        <v>https://review.opendev.org/c/openstack/nova/+/40467</v>
      </c>
      <c r="D954" s="114"/>
      <c r="E954" s="114"/>
      <c r="F954" s="115"/>
      <c r="G954" s="16" t="s">
        <v>1913</v>
      </c>
      <c r="H954" s="116" t="s">
        <v>2575</v>
      </c>
      <c r="I954" s="82"/>
      <c r="J954" s="92"/>
      <c r="K954" s="82"/>
      <c r="M954" s="114" t="str">
        <f>VLOOKUP(A954,'BIC_(C_Variables)'!$A$3:$AS$43,45,FALSE())</f>
        <v/>
      </c>
      <c r="N954" s="1"/>
      <c r="O954" s="1"/>
      <c r="P954" s="81" t="str">
        <f>IFERROR(VLOOKUP(A954,Internal_lists_bugs!$A$2:$G7981,7,FALSE()),"please select a BUG ID")</f>
        <v>https://opendev.org/openstack/nova/commit/5fa74bc</v>
      </c>
    </row>
    <row r="955">
      <c r="A955" s="16" t="s">
        <v>56</v>
      </c>
      <c r="B955" s="50" t="str">
        <f>IFERROR(HYPERLINK(VLOOKUP(A955,Internal_lists_bugs!$A$2:$C$73,3,FALSE()), VLOOKUP(A955,Internal_lists_bugs!$A$2:$C$73,3,FALSE())&amp;Char(10) &amp; Char(10) &amp; VLOOKUP(A955,Internal_lists_bugs!$A$2:$Z$73,26,FALSE())),"please select a BUG ID")</f>
        <v>https://bugs.launchpad.net/nova/+bug/1371677
/libvirt/driver.py</v>
      </c>
      <c r="C955" s="81" t="str">
        <f>IFERROR(VLOOKUP(A955,Internal_lists_bugs!$A$2:$I7981,9,FALSE()),"please select a BUG ID")</f>
        <v>https://review.opendev.org/c/openstack/nova/+/40467</v>
      </c>
      <c r="D955" s="114"/>
      <c r="E955" s="114"/>
      <c r="F955" s="115"/>
      <c r="G955" s="16" t="s">
        <v>1428</v>
      </c>
      <c r="H955" s="16" t="s">
        <v>2576</v>
      </c>
      <c r="I955" s="82"/>
      <c r="J955" s="92"/>
      <c r="K955" s="82"/>
      <c r="M955" s="114" t="str">
        <f>VLOOKUP(A955,'BIC_(C_Variables)'!$A$3:$AS$43,45,FALSE())</f>
        <v/>
      </c>
      <c r="N955" s="1"/>
      <c r="O955" s="1"/>
      <c r="P955" s="81" t="str">
        <f>IFERROR(VLOOKUP(A955,Internal_lists_bugs!$A$2:$G7981,7,FALSE()),"please select a BUG ID")</f>
        <v>https://opendev.org/openstack/nova/commit/5fa74bc</v>
      </c>
    </row>
    <row r="956">
      <c r="A956" s="16" t="s">
        <v>56</v>
      </c>
      <c r="B956" s="50" t="str">
        <f>IFERROR(HYPERLINK(VLOOKUP(A956,Internal_lists_bugs!$A$2:$C$73,3,FALSE()), VLOOKUP(A956,Internal_lists_bugs!$A$2:$C$73,3,FALSE())&amp;Char(10) &amp; Char(10) &amp; VLOOKUP(A956,Internal_lists_bugs!$A$2:$Z$73,26,FALSE())),"please select a BUG ID")</f>
        <v>https://bugs.launchpad.net/nova/+bug/1371677
/libvirt/driver.py</v>
      </c>
      <c r="C956" s="81" t="str">
        <f>IFERROR(VLOOKUP(A956,Internal_lists_bugs!$A$2:$I7981,9,FALSE()),"please select a BUG ID")</f>
        <v>https://review.opendev.org/c/openstack/nova/+/40467</v>
      </c>
      <c r="D956" s="114"/>
      <c r="E956" s="114"/>
      <c r="F956" s="115"/>
      <c r="G956" s="16" t="s">
        <v>2577</v>
      </c>
      <c r="H956" s="16" t="s">
        <v>2578</v>
      </c>
      <c r="I956" s="82"/>
      <c r="J956" s="92"/>
      <c r="K956" s="82"/>
      <c r="M956" s="114" t="str">
        <f>VLOOKUP(A956,'BIC_(C_Variables)'!$A$3:$AS$43,45,FALSE())</f>
        <v/>
      </c>
      <c r="N956" s="1"/>
      <c r="O956" s="1"/>
      <c r="P956" s="81" t="str">
        <f>IFERROR(VLOOKUP(A956,Internal_lists_bugs!$A$2:$G7981,7,FALSE()),"please select a BUG ID")</f>
        <v>https://opendev.org/openstack/nova/commit/5fa74bc</v>
      </c>
    </row>
    <row r="957">
      <c r="A957" s="16" t="s">
        <v>56</v>
      </c>
      <c r="B957" s="50" t="str">
        <f>IFERROR(HYPERLINK(VLOOKUP(A957,Internal_lists_bugs!$A$2:$C$73,3,FALSE()), VLOOKUP(A957,Internal_lists_bugs!$A$2:$C$73,3,FALSE())&amp;Char(10) &amp; Char(10) &amp; VLOOKUP(A957,Internal_lists_bugs!$A$2:$Z$73,26,FALSE())),"please select a BUG ID")</f>
        <v>https://bugs.launchpad.net/nova/+bug/1371677
/libvirt/driver.py</v>
      </c>
      <c r="C957" s="81" t="str">
        <f>IFERROR(VLOOKUP(A957,Internal_lists_bugs!$A$2:$I7981,9,FALSE()),"please select a BUG ID")</f>
        <v>https://review.opendev.org/c/openstack/nova/+/40467</v>
      </c>
      <c r="D957" s="114"/>
      <c r="E957" s="114"/>
      <c r="F957" s="115"/>
      <c r="G957" s="16" t="s">
        <v>1750</v>
      </c>
      <c r="H957" s="16" t="s">
        <v>2579</v>
      </c>
      <c r="I957" s="82"/>
      <c r="J957" s="92"/>
      <c r="K957" s="82"/>
      <c r="M957" s="114" t="str">
        <f>VLOOKUP(A957,'BIC_(C_Variables)'!$A$3:$AS$43,45,FALSE())</f>
        <v/>
      </c>
      <c r="N957" s="1"/>
      <c r="O957" s="1"/>
      <c r="P957" s="81" t="str">
        <f>IFERROR(VLOOKUP(A957,Internal_lists_bugs!$A$2:$G7981,7,FALSE()),"please select a BUG ID")</f>
        <v>https://opendev.org/openstack/nova/commit/5fa74bc</v>
      </c>
    </row>
    <row r="958">
      <c r="A958" s="16" t="s">
        <v>56</v>
      </c>
      <c r="B958" s="50" t="str">
        <f>IFERROR(HYPERLINK(VLOOKUP(A958,Internal_lists_bugs!$A$2:$C$73,3,FALSE()), VLOOKUP(A958,Internal_lists_bugs!$A$2:$C$73,3,FALSE())&amp;Char(10) &amp; Char(10) &amp; VLOOKUP(A958,Internal_lists_bugs!$A$2:$Z$73,26,FALSE())),"please select a BUG ID")</f>
        <v>https://bugs.launchpad.net/nova/+bug/1371677
/libvirt/driver.py</v>
      </c>
      <c r="C958" s="81" t="str">
        <f>IFERROR(VLOOKUP(A958,Internal_lists_bugs!$A$2:$I7981,9,FALSE()),"please select a BUG ID")</f>
        <v>https://review.opendev.org/c/openstack/nova/+/40467</v>
      </c>
      <c r="D958" s="114"/>
      <c r="E958" s="114"/>
      <c r="F958" s="115"/>
      <c r="G958" s="16" t="s">
        <v>1639</v>
      </c>
      <c r="H958" s="16" t="s">
        <v>2580</v>
      </c>
      <c r="I958" s="82"/>
      <c r="J958" s="92"/>
      <c r="K958" s="82"/>
      <c r="M958" s="114" t="str">
        <f>VLOOKUP(A958,'BIC_(C_Variables)'!$A$3:$AS$43,45,FALSE())</f>
        <v/>
      </c>
      <c r="N958" s="1"/>
      <c r="O958" s="1"/>
      <c r="P958" s="81" t="str">
        <f>IFERROR(VLOOKUP(A958,Internal_lists_bugs!$A$2:$G7981,7,FALSE()),"please select a BUG ID")</f>
        <v>https://opendev.org/openstack/nova/commit/5fa74bc</v>
      </c>
    </row>
    <row r="959">
      <c r="A959" s="16" t="s">
        <v>56</v>
      </c>
      <c r="B959" s="50" t="str">
        <f>IFERROR(HYPERLINK(VLOOKUP(A959,Internal_lists_bugs!$A$2:$C$73,3,FALSE()), VLOOKUP(A959,Internal_lists_bugs!$A$2:$C$73,3,FALSE())&amp;Char(10) &amp; Char(10) &amp; VLOOKUP(A959,Internal_lists_bugs!$A$2:$Z$73,26,FALSE())),"please select a BUG ID")</f>
        <v>https://bugs.launchpad.net/nova/+bug/1371677
/libvirt/driver.py</v>
      </c>
      <c r="C959" s="81" t="str">
        <f>IFERROR(VLOOKUP(A959,Internal_lists_bugs!$A$2:$I7981,9,FALSE()),"please select a BUG ID")</f>
        <v>https://review.opendev.org/c/openstack/nova/+/40467</v>
      </c>
      <c r="D959" s="114"/>
      <c r="E959" s="114"/>
      <c r="F959" s="115"/>
      <c r="G959" s="16" t="s">
        <v>2581</v>
      </c>
      <c r="H959" s="16" t="s">
        <v>2582</v>
      </c>
      <c r="I959" s="82"/>
      <c r="J959" s="92"/>
      <c r="K959" s="82"/>
      <c r="M959" s="114" t="str">
        <f>VLOOKUP(A959,'BIC_(C_Variables)'!$A$3:$AS$43,45,FALSE())</f>
        <v/>
      </c>
      <c r="N959" s="1"/>
      <c r="O959" s="1"/>
      <c r="P959" s="81" t="str">
        <f>IFERROR(VLOOKUP(A959,Internal_lists_bugs!$A$2:$G7981,7,FALSE()),"please select a BUG ID")</f>
        <v>https://opendev.org/openstack/nova/commit/5fa74bc</v>
      </c>
    </row>
    <row r="960">
      <c r="A960" s="16" t="s">
        <v>56</v>
      </c>
      <c r="B960" s="50" t="str">
        <f>IFERROR(HYPERLINK(VLOOKUP(A960,Internal_lists_bugs!$A$2:$C$73,3,FALSE()), VLOOKUP(A960,Internal_lists_bugs!$A$2:$C$73,3,FALSE())&amp;Char(10) &amp; Char(10) &amp; VLOOKUP(A960,Internal_lists_bugs!$A$2:$Z$73,26,FALSE())),"please select a BUG ID")</f>
        <v>https://bugs.launchpad.net/nova/+bug/1371677
/libvirt/driver.py</v>
      </c>
      <c r="C960" s="81" t="str">
        <f>IFERROR(VLOOKUP(A960,Internal_lists_bugs!$A$2:$I7981,9,FALSE()),"please select a BUG ID")</f>
        <v>https://review.opendev.org/c/openstack/nova/+/40467</v>
      </c>
      <c r="D960" s="114"/>
      <c r="E960" s="114"/>
      <c r="F960" s="115"/>
      <c r="G960" s="16" t="s">
        <v>2583</v>
      </c>
      <c r="H960" s="16" t="s">
        <v>2584</v>
      </c>
      <c r="I960" s="82"/>
      <c r="J960" s="92"/>
      <c r="K960" s="82"/>
      <c r="M960" s="114" t="str">
        <f>VLOOKUP(A960,'BIC_(C_Variables)'!$A$3:$AS$43,45,FALSE())</f>
        <v/>
      </c>
      <c r="N960" s="1"/>
      <c r="O960" s="1"/>
      <c r="P960" s="81" t="str">
        <f>IFERROR(VLOOKUP(A960,Internal_lists_bugs!$A$2:$G7981,7,FALSE()),"please select a BUG ID")</f>
        <v>https://opendev.org/openstack/nova/commit/5fa74bc</v>
      </c>
    </row>
    <row r="961">
      <c r="A961" s="16" t="s">
        <v>56</v>
      </c>
      <c r="B961" s="50" t="str">
        <f>IFERROR(HYPERLINK(VLOOKUP(A961,Internal_lists_bugs!$A$2:$C$73,3,FALSE()), VLOOKUP(A961,Internal_lists_bugs!$A$2:$C$73,3,FALSE())&amp;Char(10) &amp; Char(10) &amp; VLOOKUP(A961,Internal_lists_bugs!$A$2:$Z$73,26,FALSE())),"please select a BUG ID")</f>
        <v>https://bugs.launchpad.net/nova/+bug/1371677
/libvirt/driver.py</v>
      </c>
      <c r="C961" s="81" t="str">
        <f>IFERROR(VLOOKUP(A961,Internal_lists_bugs!$A$2:$I7981,9,FALSE()),"please select a BUG ID")</f>
        <v>https://review.opendev.org/c/openstack/nova/+/40467</v>
      </c>
      <c r="D961" s="114"/>
      <c r="E961" s="114"/>
      <c r="F961" s="115"/>
      <c r="G961" s="16" t="s">
        <v>1586</v>
      </c>
      <c r="H961" s="16" t="s">
        <v>2585</v>
      </c>
      <c r="I961" s="82"/>
      <c r="J961" s="92"/>
      <c r="K961" s="82"/>
      <c r="M961" s="114" t="str">
        <f>VLOOKUP(A961,'BIC_(C_Variables)'!$A$3:$AS$43,45,FALSE())</f>
        <v/>
      </c>
      <c r="N961" s="1"/>
      <c r="O961" s="1"/>
      <c r="P961" s="81" t="str">
        <f>IFERROR(VLOOKUP(A961,Internal_lists_bugs!$A$2:$G7981,7,FALSE()),"please select a BUG ID")</f>
        <v>https://opendev.org/openstack/nova/commit/5fa74bc</v>
      </c>
    </row>
    <row r="962">
      <c r="A962" s="16" t="s">
        <v>56</v>
      </c>
      <c r="B962" s="50" t="str">
        <f>IFERROR(HYPERLINK(VLOOKUP(A962,Internal_lists_bugs!$A$2:$C$73,3,FALSE()), VLOOKUP(A962,Internal_lists_bugs!$A$2:$C$73,3,FALSE())&amp;Char(10) &amp; Char(10) &amp; VLOOKUP(A962,Internal_lists_bugs!$A$2:$Z$73,26,FALSE())),"please select a BUG ID")</f>
        <v>https://bugs.launchpad.net/nova/+bug/1371677
/libvirt/driver.py</v>
      </c>
      <c r="C962" s="81" t="str">
        <f>IFERROR(VLOOKUP(A962,Internal_lists_bugs!$A$2:$I7981,9,FALSE()),"please select a BUG ID")</f>
        <v>https://review.opendev.org/c/openstack/nova/+/40467</v>
      </c>
      <c r="D962" s="114"/>
      <c r="E962" s="114"/>
      <c r="F962" s="115"/>
      <c r="G962" s="16" t="s">
        <v>2586</v>
      </c>
      <c r="H962" s="16" t="s">
        <v>2587</v>
      </c>
      <c r="I962" s="82"/>
      <c r="J962" s="92"/>
      <c r="K962" s="82"/>
      <c r="M962" s="114" t="str">
        <f>VLOOKUP(A962,'BIC_(C_Variables)'!$A$3:$AS$43,45,FALSE())</f>
        <v/>
      </c>
      <c r="N962" s="1"/>
      <c r="O962" s="1"/>
      <c r="P962" s="81" t="str">
        <f>IFERROR(VLOOKUP(A962,Internal_lists_bugs!$A$2:$G7981,7,FALSE()),"please select a BUG ID")</f>
        <v>https://opendev.org/openstack/nova/commit/5fa74bc</v>
      </c>
    </row>
    <row r="963">
      <c r="A963" s="16" t="s">
        <v>56</v>
      </c>
      <c r="B963" s="50" t="str">
        <f>IFERROR(HYPERLINK(VLOOKUP(A963,Internal_lists_bugs!$A$2:$C$73,3,FALSE()), VLOOKUP(A963,Internal_lists_bugs!$A$2:$C$73,3,FALSE())&amp;Char(10) &amp; Char(10) &amp; VLOOKUP(A963,Internal_lists_bugs!$A$2:$Z$73,26,FALSE())),"please select a BUG ID")</f>
        <v>https://bugs.launchpad.net/nova/+bug/1371677
/libvirt/driver.py</v>
      </c>
      <c r="C963" s="81" t="str">
        <f>IFERROR(VLOOKUP(A963,Internal_lists_bugs!$A$2:$I7981,9,FALSE()),"please select a BUG ID")</f>
        <v>https://review.opendev.org/c/openstack/nova/+/40467</v>
      </c>
      <c r="D963" s="114"/>
      <c r="E963" s="114"/>
      <c r="F963" s="115"/>
      <c r="G963" s="16" t="s">
        <v>2277</v>
      </c>
      <c r="H963" s="16" t="s">
        <v>2588</v>
      </c>
      <c r="I963" s="82"/>
      <c r="J963" s="92"/>
      <c r="K963" s="82"/>
      <c r="M963" s="114" t="str">
        <f>VLOOKUP(A963,'BIC_(C_Variables)'!$A$3:$AS$43,45,FALSE())</f>
        <v/>
      </c>
      <c r="N963" s="1"/>
      <c r="O963" s="1"/>
      <c r="P963" s="81" t="str">
        <f>IFERROR(VLOOKUP(A963,Internal_lists_bugs!$A$2:$G7981,7,FALSE()),"please select a BUG ID")</f>
        <v>https://opendev.org/openstack/nova/commit/5fa74bc</v>
      </c>
    </row>
    <row r="964">
      <c r="A964" s="16" t="s">
        <v>56</v>
      </c>
      <c r="B964" s="50" t="str">
        <f>IFERROR(HYPERLINK(VLOOKUP(A964,Internal_lists_bugs!$A$2:$C$73,3,FALSE()), VLOOKUP(A964,Internal_lists_bugs!$A$2:$C$73,3,FALSE())&amp;Char(10) &amp; Char(10) &amp; VLOOKUP(A964,Internal_lists_bugs!$A$2:$Z$73,26,FALSE())),"please select a BUG ID")</f>
        <v>https://bugs.launchpad.net/nova/+bug/1371677
/libvirt/driver.py</v>
      </c>
      <c r="C964" s="81" t="str">
        <f>IFERROR(VLOOKUP(A964,Internal_lists_bugs!$A$2:$I7981,9,FALSE()),"please select a BUG ID")</f>
        <v>https://review.opendev.org/c/openstack/nova/+/40467</v>
      </c>
      <c r="D964" s="114"/>
      <c r="E964" s="114"/>
      <c r="F964" s="115"/>
      <c r="G964" s="16" t="s">
        <v>1707</v>
      </c>
      <c r="H964" s="16" t="s">
        <v>2589</v>
      </c>
      <c r="I964" s="82"/>
      <c r="J964" s="92"/>
      <c r="K964" s="82"/>
      <c r="M964" s="114" t="str">
        <f>VLOOKUP(A964,'BIC_(C_Variables)'!$A$3:$AS$43,45,FALSE())</f>
        <v/>
      </c>
      <c r="N964" s="1"/>
      <c r="O964" s="1"/>
      <c r="P964" s="81" t="str">
        <f>IFERROR(VLOOKUP(A964,Internal_lists_bugs!$A$2:$G7981,7,FALSE()),"please select a BUG ID")</f>
        <v>https://opendev.org/openstack/nova/commit/5fa74bc</v>
      </c>
    </row>
    <row r="965">
      <c r="A965" s="16" t="s">
        <v>56</v>
      </c>
      <c r="B965" s="50" t="str">
        <f>IFERROR(HYPERLINK(VLOOKUP(A965,Internal_lists_bugs!$A$2:$C$73,3,FALSE()), VLOOKUP(A965,Internal_lists_bugs!$A$2:$C$73,3,FALSE())&amp;Char(10) &amp; Char(10) &amp; VLOOKUP(A965,Internal_lists_bugs!$A$2:$Z$73,26,FALSE())),"please select a BUG ID")</f>
        <v>https://bugs.launchpad.net/nova/+bug/1371677
/libvirt/driver.py</v>
      </c>
      <c r="C965" s="81" t="str">
        <f>IFERROR(VLOOKUP(A965,Internal_lists_bugs!$A$2:$I7981,9,FALSE()),"please select a BUG ID")</f>
        <v>https://review.opendev.org/c/openstack/nova/+/40467</v>
      </c>
      <c r="D965" s="114"/>
      <c r="E965" s="114"/>
      <c r="F965" s="115"/>
      <c r="G965" s="16" t="s">
        <v>2590</v>
      </c>
      <c r="H965" s="16" t="s">
        <v>2591</v>
      </c>
      <c r="I965" s="82"/>
      <c r="J965" s="92"/>
      <c r="K965" s="82"/>
      <c r="M965" s="114" t="str">
        <f>VLOOKUP(A965,'BIC_(C_Variables)'!$A$3:$AS$43,45,FALSE())</f>
        <v/>
      </c>
      <c r="N965" s="1"/>
      <c r="O965" s="1"/>
      <c r="P965" s="81" t="str">
        <f>IFERROR(VLOOKUP(A965,Internal_lists_bugs!$A$2:$G7981,7,FALSE()),"please select a BUG ID")</f>
        <v>https://opendev.org/openstack/nova/commit/5fa74bc</v>
      </c>
    </row>
    <row r="966">
      <c r="A966" s="16" t="s">
        <v>56</v>
      </c>
      <c r="B966" s="50" t="str">
        <f>IFERROR(HYPERLINK(VLOOKUP(A966,Internal_lists_bugs!$A$2:$C$73,3,FALSE()), VLOOKUP(A966,Internal_lists_bugs!$A$2:$C$73,3,FALSE())&amp;Char(10) &amp; Char(10) &amp; VLOOKUP(A966,Internal_lists_bugs!$A$2:$Z$73,26,FALSE())),"please select a BUG ID")</f>
        <v>https://bugs.launchpad.net/nova/+bug/1371677
/libvirt/driver.py</v>
      </c>
      <c r="C966" s="81" t="str">
        <f>IFERROR(VLOOKUP(A966,Internal_lists_bugs!$A$2:$I7981,9,FALSE()),"please select a BUG ID")</f>
        <v>https://review.opendev.org/c/openstack/nova/+/40467</v>
      </c>
      <c r="D966" s="114"/>
      <c r="E966" s="114"/>
      <c r="F966" s="115"/>
      <c r="G966" s="16" t="s">
        <v>2592</v>
      </c>
      <c r="H966" s="16" t="s">
        <v>2591</v>
      </c>
      <c r="I966" s="82"/>
      <c r="J966" s="92"/>
      <c r="K966" s="82"/>
      <c r="M966" s="114" t="str">
        <f>VLOOKUP(A966,'BIC_(C_Variables)'!$A$3:$AS$43,45,FALSE())</f>
        <v/>
      </c>
      <c r="N966" s="1"/>
      <c r="O966" s="1"/>
      <c r="P966" s="81" t="str">
        <f>IFERROR(VLOOKUP(A966,Internal_lists_bugs!$A$2:$G7981,7,FALSE()),"please select a BUG ID")</f>
        <v>https://opendev.org/openstack/nova/commit/5fa74bc</v>
      </c>
    </row>
    <row r="967">
      <c r="A967" s="16" t="s">
        <v>56</v>
      </c>
      <c r="B967" s="50" t="str">
        <f>IFERROR(HYPERLINK(VLOOKUP(A967,Internal_lists_bugs!$A$2:$C$73,3,FALSE()), VLOOKUP(A967,Internal_lists_bugs!$A$2:$C$73,3,FALSE())&amp;Char(10) &amp; Char(10) &amp; VLOOKUP(A967,Internal_lists_bugs!$A$2:$Z$73,26,FALSE())),"please select a BUG ID")</f>
        <v>https://bugs.launchpad.net/nova/+bug/1371677
/libvirt/driver.py</v>
      </c>
      <c r="C967" s="81" t="str">
        <f>IFERROR(VLOOKUP(A967,Internal_lists_bugs!$A$2:$I7981,9,FALSE()),"please select a BUG ID")</f>
        <v>https://review.opendev.org/c/openstack/nova/+/40467</v>
      </c>
      <c r="D967" s="114"/>
      <c r="E967" s="114"/>
      <c r="F967" s="115"/>
      <c r="G967" s="16" t="s">
        <v>2593</v>
      </c>
      <c r="H967" s="16" t="s">
        <v>2594</v>
      </c>
      <c r="I967" s="82"/>
      <c r="J967" s="92"/>
      <c r="K967" s="82"/>
      <c r="M967" s="114" t="str">
        <f>VLOOKUP(A967,'BIC_(C_Variables)'!$A$3:$AS$43,45,FALSE())</f>
        <v/>
      </c>
      <c r="N967" s="1"/>
      <c r="O967" s="1"/>
      <c r="P967" s="81" t="str">
        <f>IFERROR(VLOOKUP(A967,Internal_lists_bugs!$A$2:$G7981,7,FALSE()),"please select a BUG ID")</f>
        <v>https://opendev.org/openstack/nova/commit/5fa74bc</v>
      </c>
    </row>
    <row r="968">
      <c r="A968" s="16" t="s">
        <v>56</v>
      </c>
      <c r="B968" s="50" t="str">
        <f>IFERROR(HYPERLINK(VLOOKUP(A968,Internal_lists_bugs!$A$2:$C$73,3,FALSE()), VLOOKUP(A968,Internal_lists_bugs!$A$2:$C$73,3,FALSE())&amp;Char(10) &amp; Char(10) &amp; VLOOKUP(A968,Internal_lists_bugs!$A$2:$Z$73,26,FALSE())),"please select a BUG ID")</f>
        <v>https://bugs.launchpad.net/nova/+bug/1371677
/libvirt/driver.py</v>
      </c>
      <c r="C968" s="81" t="str">
        <f>IFERROR(VLOOKUP(A968,Internal_lists_bugs!$A$2:$I7981,9,FALSE()),"please select a BUG ID")</f>
        <v>https://review.opendev.org/c/openstack/nova/+/40467</v>
      </c>
      <c r="D968" s="114"/>
      <c r="E968" s="114"/>
      <c r="F968" s="115"/>
      <c r="G968" s="16" t="s">
        <v>1460</v>
      </c>
      <c r="H968" s="16" t="s">
        <v>1997</v>
      </c>
      <c r="I968" s="82"/>
      <c r="J968" s="92"/>
      <c r="K968" s="82"/>
      <c r="M968" s="114" t="str">
        <f>VLOOKUP(A968,'BIC_(C_Variables)'!$A$3:$AS$43,45,FALSE())</f>
        <v/>
      </c>
      <c r="N968" s="1"/>
      <c r="O968" s="1"/>
      <c r="P968" s="81" t="str">
        <f>IFERROR(VLOOKUP(A968,Internal_lists_bugs!$A$2:$G7981,7,FALSE()),"please select a BUG ID")</f>
        <v>https://opendev.org/openstack/nova/commit/5fa74bc</v>
      </c>
    </row>
    <row r="969">
      <c r="A969" s="16" t="s">
        <v>56</v>
      </c>
      <c r="B969" s="50" t="str">
        <f>IFERROR(HYPERLINK(VLOOKUP(A969,Internal_lists_bugs!$A$2:$C$73,3,FALSE()), VLOOKUP(A969,Internal_lists_bugs!$A$2:$C$73,3,FALSE())&amp;Char(10) &amp; Char(10) &amp; VLOOKUP(A969,Internal_lists_bugs!$A$2:$Z$73,26,FALSE())),"please select a BUG ID")</f>
        <v>https://bugs.launchpad.net/nova/+bug/1371677
/libvirt/driver.py</v>
      </c>
      <c r="C969" s="81" t="str">
        <f>IFERROR(VLOOKUP(A969,Internal_lists_bugs!$A$2:$I7981,9,FALSE()),"please select a BUG ID")</f>
        <v>https://review.opendev.org/c/openstack/nova/+/40467</v>
      </c>
      <c r="D969" s="114"/>
      <c r="E969" s="114"/>
      <c r="F969" s="115"/>
      <c r="G969" s="16" t="s">
        <v>2595</v>
      </c>
      <c r="H969" s="16" t="s">
        <v>2596</v>
      </c>
      <c r="I969" s="82"/>
      <c r="J969" s="92"/>
      <c r="K969" s="82"/>
      <c r="M969" s="114" t="str">
        <f>VLOOKUP(A969,'BIC_(C_Variables)'!$A$3:$AS$43,45,FALSE())</f>
        <v/>
      </c>
      <c r="N969" s="1"/>
      <c r="O969" s="1"/>
      <c r="P969" s="81" t="str">
        <f>IFERROR(VLOOKUP(A969,Internal_lists_bugs!$A$2:$G7981,7,FALSE()),"please select a BUG ID")</f>
        <v>https://opendev.org/openstack/nova/commit/5fa74bc</v>
      </c>
    </row>
    <row r="970">
      <c r="A970" s="16" t="s">
        <v>56</v>
      </c>
      <c r="B970" s="50" t="str">
        <f>IFERROR(HYPERLINK(VLOOKUP(A970,Internal_lists_bugs!$A$2:$C$73,3,FALSE()), VLOOKUP(A970,Internal_lists_bugs!$A$2:$C$73,3,FALSE())&amp;Char(10) &amp; Char(10) &amp; VLOOKUP(A970,Internal_lists_bugs!$A$2:$Z$73,26,FALSE())),"please select a BUG ID")</f>
        <v>https://bugs.launchpad.net/nova/+bug/1371677
/libvirt/driver.py</v>
      </c>
      <c r="C970" s="81" t="str">
        <f>IFERROR(VLOOKUP(A970,Internal_lists_bugs!$A$2:$I7981,9,FALSE()),"please select a BUG ID")</f>
        <v>https://review.opendev.org/c/openstack/nova/+/40467</v>
      </c>
      <c r="D970" s="114"/>
      <c r="E970" s="114"/>
      <c r="F970" s="115"/>
      <c r="G970" s="16" t="s">
        <v>1713</v>
      </c>
      <c r="H970" s="16" t="s">
        <v>2597</v>
      </c>
      <c r="I970" s="82"/>
      <c r="J970" s="92"/>
      <c r="K970" s="82"/>
      <c r="M970" s="114" t="str">
        <f>VLOOKUP(A970,'BIC_(C_Variables)'!$A$3:$AS$43,45,FALSE())</f>
        <v/>
      </c>
      <c r="N970" s="1"/>
      <c r="O970" s="1"/>
      <c r="P970" s="81" t="str">
        <f>IFERROR(VLOOKUP(A970,Internal_lists_bugs!$A$2:$G7981,7,FALSE()),"please select a BUG ID")</f>
        <v>https://opendev.org/openstack/nova/commit/5fa74bc</v>
      </c>
    </row>
    <row r="971">
      <c r="A971" s="16" t="s">
        <v>56</v>
      </c>
      <c r="B971" s="50" t="str">
        <f>IFERROR(HYPERLINK(VLOOKUP(A971,Internal_lists_bugs!$A$2:$C$73,3,FALSE()), VLOOKUP(A971,Internal_lists_bugs!$A$2:$C$73,3,FALSE())&amp;Char(10) &amp; Char(10) &amp; VLOOKUP(A971,Internal_lists_bugs!$A$2:$Z$73,26,FALSE())),"please select a BUG ID")</f>
        <v>https://bugs.launchpad.net/nova/+bug/1371677
/libvirt/driver.py</v>
      </c>
      <c r="C971" s="81" t="str">
        <f>IFERROR(VLOOKUP(A971,Internal_lists_bugs!$A$2:$I7981,9,FALSE()),"please select a BUG ID")</f>
        <v>https://review.opendev.org/c/openstack/nova/+/40467</v>
      </c>
      <c r="D971" s="114"/>
      <c r="E971" s="114"/>
      <c r="F971" s="115"/>
      <c r="G971" s="16" t="s">
        <v>2598</v>
      </c>
      <c r="H971" s="16" t="s">
        <v>2599</v>
      </c>
      <c r="I971" s="82"/>
      <c r="J971" s="92"/>
      <c r="K971" s="82"/>
      <c r="M971" s="114" t="str">
        <f>VLOOKUP(A971,'BIC_(C_Variables)'!$A$3:$AS$43,45,FALSE())</f>
        <v/>
      </c>
      <c r="N971" s="1"/>
      <c r="O971" s="1"/>
      <c r="P971" s="81" t="str">
        <f>IFERROR(VLOOKUP(A971,Internal_lists_bugs!$A$2:$G7981,7,FALSE()),"please select a BUG ID")</f>
        <v>https://opendev.org/openstack/nova/commit/5fa74bc</v>
      </c>
    </row>
    <row r="972">
      <c r="A972" s="16" t="s">
        <v>56</v>
      </c>
      <c r="B972" s="50" t="str">
        <f>IFERROR(HYPERLINK(VLOOKUP(A972,Internal_lists_bugs!$A$2:$C$73,3,FALSE()), VLOOKUP(A972,Internal_lists_bugs!$A$2:$C$73,3,FALSE())&amp;Char(10) &amp; Char(10) &amp; VLOOKUP(A972,Internal_lists_bugs!$A$2:$Z$73,26,FALSE())),"please select a BUG ID")</f>
        <v>https://bugs.launchpad.net/nova/+bug/1371677
/libvirt/driver.py</v>
      </c>
      <c r="C972" s="81" t="str">
        <f>IFERROR(VLOOKUP(A972,Internal_lists_bugs!$A$2:$I7981,9,FALSE()),"please select a BUG ID")</f>
        <v>https://review.opendev.org/c/openstack/nova/+/40467</v>
      </c>
      <c r="D972" s="114"/>
      <c r="E972" s="114"/>
      <c r="F972" s="115"/>
      <c r="G972" s="16" t="s">
        <v>2600</v>
      </c>
      <c r="H972" s="16" t="s">
        <v>2601</v>
      </c>
      <c r="I972" s="82"/>
      <c r="J972" s="92"/>
      <c r="K972" s="82"/>
      <c r="M972" s="114" t="str">
        <f>VLOOKUP(A972,'BIC_(C_Variables)'!$A$3:$AS$43,45,FALSE())</f>
        <v/>
      </c>
      <c r="N972" s="1"/>
      <c r="O972" s="1"/>
      <c r="P972" s="81" t="str">
        <f>IFERROR(VLOOKUP(A972,Internal_lists_bugs!$A$2:$G7981,7,FALSE()),"please select a BUG ID")</f>
        <v>https://opendev.org/openstack/nova/commit/5fa74bc</v>
      </c>
    </row>
    <row r="973">
      <c r="A973" s="16" t="s">
        <v>56</v>
      </c>
      <c r="B973" s="50" t="str">
        <f>IFERROR(HYPERLINK(VLOOKUP(A973,Internal_lists_bugs!$A$2:$C$73,3,FALSE()), VLOOKUP(A973,Internal_lists_bugs!$A$2:$C$73,3,FALSE())&amp;Char(10) &amp; Char(10) &amp; VLOOKUP(A973,Internal_lists_bugs!$A$2:$Z$73,26,FALSE())),"please select a BUG ID")</f>
        <v>https://bugs.launchpad.net/nova/+bug/1371677
/libvirt/driver.py</v>
      </c>
      <c r="C973" s="81" t="str">
        <f>IFERROR(VLOOKUP(A973,Internal_lists_bugs!$A$2:$I7981,9,FALSE()),"please select a BUG ID")</f>
        <v>https://review.opendev.org/c/openstack/nova/+/40467</v>
      </c>
      <c r="D973" s="114"/>
      <c r="E973" s="114"/>
      <c r="F973" s="115"/>
      <c r="G973" s="16" t="s">
        <v>2602</v>
      </c>
      <c r="H973" s="16" t="s">
        <v>2603</v>
      </c>
      <c r="I973" s="82"/>
      <c r="J973" s="92"/>
      <c r="K973" s="82"/>
      <c r="M973" s="114" t="str">
        <f>VLOOKUP(A973,'BIC_(C_Variables)'!$A$3:$AS$43,45,FALSE())</f>
        <v/>
      </c>
      <c r="N973" s="1"/>
      <c r="O973" s="1"/>
      <c r="P973" s="81" t="str">
        <f>IFERROR(VLOOKUP(A973,Internal_lists_bugs!$A$2:$G7981,7,FALSE()),"please select a BUG ID")</f>
        <v>https://opendev.org/openstack/nova/commit/5fa74bc</v>
      </c>
    </row>
    <row r="974">
      <c r="A974" s="16" t="s">
        <v>56</v>
      </c>
      <c r="B974" s="50" t="str">
        <f>IFERROR(HYPERLINK(VLOOKUP(A974,Internal_lists_bugs!$A$2:$C$73,3,FALSE()), VLOOKUP(A974,Internal_lists_bugs!$A$2:$C$73,3,FALSE())&amp;Char(10) &amp; Char(10) &amp; VLOOKUP(A974,Internal_lists_bugs!$A$2:$Z$73,26,FALSE())),"please select a BUG ID")</f>
        <v>https://bugs.launchpad.net/nova/+bug/1371677
/libvirt/driver.py</v>
      </c>
      <c r="C974" s="81" t="str">
        <f>IFERROR(VLOOKUP(A974,Internal_lists_bugs!$A$2:$I7981,9,FALSE()),"please select a BUG ID")</f>
        <v>https://review.opendev.org/c/openstack/nova/+/40467</v>
      </c>
      <c r="D974" s="114"/>
      <c r="E974" s="114"/>
      <c r="F974" s="115"/>
      <c r="G974" s="16" t="s">
        <v>2604</v>
      </c>
      <c r="H974" s="16" t="s">
        <v>2605</v>
      </c>
      <c r="I974" s="82"/>
      <c r="J974" s="92"/>
      <c r="K974" s="82"/>
      <c r="M974" s="114" t="str">
        <f>VLOOKUP(A974,'BIC_(C_Variables)'!$A$3:$AS$43,45,FALSE())</f>
        <v/>
      </c>
      <c r="N974" s="1"/>
      <c r="O974" s="1"/>
      <c r="P974" s="81" t="str">
        <f>IFERROR(VLOOKUP(A974,Internal_lists_bugs!$A$2:$G7981,7,FALSE()),"please select a BUG ID")</f>
        <v>https://opendev.org/openstack/nova/commit/5fa74bc</v>
      </c>
    </row>
    <row r="975">
      <c r="A975" s="16" t="s">
        <v>56</v>
      </c>
      <c r="B975" s="50" t="str">
        <f>IFERROR(HYPERLINK(VLOOKUP(A975,Internal_lists_bugs!$A$2:$C$73,3,FALSE()), VLOOKUP(A975,Internal_lists_bugs!$A$2:$C$73,3,FALSE())&amp;Char(10) &amp; Char(10) &amp; VLOOKUP(A975,Internal_lists_bugs!$A$2:$Z$73,26,FALSE())),"please select a BUG ID")</f>
        <v>https://bugs.launchpad.net/nova/+bug/1371677
/libvirt/driver.py</v>
      </c>
      <c r="C975" s="81" t="str">
        <f>IFERROR(VLOOKUP(A975,Internal_lists_bugs!$A$2:$I7981,9,FALSE()),"please select a BUG ID")</f>
        <v>https://review.opendev.org/c/openstack/nova/+/40467</v>
      </c>
      <c r="D975" s="114"/>
      <c r="E975" s="114"/>
      <c r="F975" s="115"/>
      <c r="G975" s="16" t="s">
        <v>2606</v>
      </c>
      <c r="H975" s="16" t="s">
        <v>2607</v>
      </c>
      <c r="I975" s="82"/>
      <c r="J975" s="92"/>
      <c r="K975" s="82"/>
      <c r="M975" s="114" t="str">
        <f>VLOOKUP(A975,'BIC_(C_Variables)'!$A$3:$AS$43,45,FALSE())</f>
        <v/>
      </c>
      <c r="N975" s="1"/>
      <c r="O975" s="1"/>
      <c r="P975" s="81" t="str">
        <f>IFERROR(VLOOKUP(A975,Internal_lists_bugs!$A$2:$G7981,7,FALSE()),"please select a BUG ID")</f>
        <v>https://opendev.org/openstack/nova/commit/5fa74bc</v>
      </c>
    </row>
    <row r="976">
      <c r="A976" s="16" t="s">
        <v>56</v>
      </c>
      <c r="B976" s="50" t="str">
        <f>IFERROR(HYPERLINK(VLOOKUP(A976,Internal_lists_bugs!$A$2:$C$73,3,FALSE()), VLOOKUP(A976,Internal_lists_bugs!$A$2:$C$73,3,FALSE())&amp;Char(10) &amp; Char(10) &amp; VLOOKUP(A976,Internal_lists_bugs!$A$2:$Z$73,26,FALSE())),"please select a BUG ID")</f>
        <v>https://bugs.launchpad.net/nova/+bug/1371677
/libvirt/driver.py</v>
      </c>
      <c r="C976" s="81" t="str">
        <f>IFERROR(VLOOKUP(A976,Internal_lists_bugs!$A$2:$I7981,9,FALSE()),"please select a BUG ID")</f>
        <v>https://review.opendev.org/c/openstack/nova/+/40467</v>
      </c>
      <c r="D976" s="114"/>
      <c r="E976" s="114"/>
      <c r="F976" s="115"/>
      <c r="G976" s="16" t="s">
        <v>2608</v>
      </c>
      <c r="H976" s="16" t="s">
        <v>2609</v>
      </c>
      <c r="I976" s="82"/>
      <c r="J976" s="92"/>
      <c r="K976" s="82"/>
      <c r="M976" s="114" t="str">
        <f>VLOOKUP(A976,'BIC_(C_Variables)'!$A$3:$AS$43,45,FALSE())</f>
        <v/>
      </c>
      <c r="N976" s="1"/>
      <c r="O976" s="1"/>
      <c r="P976" s="81" t="str">
        <f>IFERROR(VLOOKUP(A976,Internal_lists_bugs!$A$2:$G7981,7,FALSE()),"please select a BUG ID")</f>
        <v>https://opendev.org/openstack/nova/commit/5fa74bc</v>
      </c>
    </row>
    <row r="977">
      <c r="A977" s="16" t="s">
        <v>56</v>
      </c>
      <c r="B977" s="50" t="str">
        <f>IFERROR(HYPERLINK(VLOOKUP(A977,Internal_lists_bugs!$A$2:$C$73,3,FALSE()), VLOOKUP(A977,Internal_lists_bugs!$A$2:$C$73,3,FALSE())&amp;Char(10) &amp; Char(10) &amp; VLOOKUP(A977,Internal_lists_bugs!$A$2:$Z$73,26,FALSE())),"please select a BUG ID")</f>
        <v>https://bugs.launchpad.net/nova/+bug/1371677
/libvirt/driver.py</v>
      </c>
      <c r="C977" s="81" t="str">
        <f>IFERROR(VLOOKUP(A977,Internal_lists_bugs!$A$2:$I7981,9,FALSE()),"please select a BUG ID")</f>
        <v>https://review.opendev.org/c/openstack/nova/+/40467</v>
      </c>
      <c r="D977" s="114"/>
      <c r="E977" s="114"/>
      <c r="F977" s="115"/>
      <c r="G977" s="16" t="s">
        <v>1808</v>
      </c>
      <c r="H977" s="16" t="s">
        <v>2610</v>
      </c>
      <c r="I977" s="82"/>
      <c r="J977" s="92"/>
      <c r="K977" s="82"/>
      <c r="M977" s="114" t="str">
        <f>VLOOKUP(A977,'BIC_(C_Variables)'!$A$3:$AS$43,45,FALSE())</f>
        <v/>
      </c>
      <c r="N977" s="1"/>
      <c r="O977" s="1"/>
      <c r="P977" s="81" t="str">
        <f>IFERROR(VLOOKUP(A977,Internal_lists_bugs!$A$2:$G7981,7,FALSE()),"please select a BUG ID")</f>
        <v>https://opendev.org/openstack/nova/commit/5fa74bc</v>
      </c>
    </row>
    <row r="978">
      <c r="A978" s="16" t="s">
        <v>56</v>
      </c>
      <c r="B978" s="50" t="str">
        <f>IFERROR(HYPERLINK(VLOOKUP(A978,Internal_lists_bugs!$A$2:$C$73,3,FALSE()), VLOOKUP(A978,Internal_lists_bugs!$A$2:$C$73,3,FALSE())&amp;Char(10) &amp; Char(10) &amp; VLOOKUP(A978,Internal_lists_bugs!$A$2:$Z$73,26,FALSE())),"please select a BUG ID")</f>
        <v>https://bugs.launchpad.net/nova/+bug/1371677
/libvirt/driver.py</v>
      </c>
      <c r="C978" s="81" t="str">
        <f>IFERROR(VLOOKUP(A978,Internal_lists_bugs!$A$2:$I7981,9,FALSE()),"please select a BUG ID")</f>
        <v>https://review.opendev.org/c/openstack/nova/+/40467</v>
      </c>
      <c r="D978" s="114"/>
      <c r="E978" s="114"/>
      <c r="F978" s="115"/>
      <c r="G978" s="16" t="s">
        <v>2611</v>
      </c>
      <c r="H978" s="16" t="s">
        <v>2612</v>
      </c>
      <c r="I978" s="82"/>
      <c r="J978" s="92"/>
      <c r="K978" s="82"/>
      <c r="M978" s="114" t="str">
        <f>VLOOKUP(A978,'BIC_(C_Variables)'!$A$3:$AS$43,45,FALSE())</f>
        <v/>
      </c>
      <c r="N978" s="1"/>
      <c r="O978" s="1"/>
      <c r="P978" s="81" t="str">
        <f>IFERROR(VLOOKUP(A978,Internal_lists_bugs!$A$2:$G7981,7,FALSE()),"please select a BUG ID")</f>
        <v>https://opendev.org/openstack/nova/commit/5fa74bc</v>
      </c>
    </row>
    <row r="979">
      <c r="A979" s="16" t="s">
        <v>56</v>
      </c>
      <c r="B979" s="50" t="str">
        <f>IFERROR(HYPERLINK(VLOOKUP(A979,Internal_lists_bugs!$A$2:$C$73,3,FALSE()), VLOOKUP(A979,Internal_lists_bugs!$A$2:$C$73,3,FALSE())&amp;Char(10) &amp; Char(10) &amp; VLOOKUP(A979,Internal_lists_bugs!$A$2:$Z$73,26,FALSE())),"please select a BUG ID")</f>
        <v>https://bugs.launchpad.net/nova/+bug/1371677
/libvirt/driver.py</v>
      </c>
      <c r="C979" s="81" t="str">
        <f>IFERROR(VLOOKUP(A979,Internal_lists_bugs!$A$2:$I7981,9,FALSE()),"please select a BUG ID")</f>
        <v>https://review.opendev.org/c/openstack/nova/+/40467</v>
      </c>
      <c r="D979" s="114"/>
      <c r="E979" s="114"/>
      <c r="F979" s="115"/>
      <c r="G979" s="16" t="s">
        <v>1998</v>
      </c>
      <c r="H979" s="16" t="s">
        <v>2613</v>
      </c>
      <c r="I979" s="82"/>
      <c r="J979" s="92"/>
      <c r="K979" s="82"/>
      <c r="M979" s="114" t="str">
        <f>VLOOKUP(A979,'BIC_(C_Variables)'!$A$3:$AS$43,45,FALSE())</f>
        <v/>
      </c>
      <c r="N979" s="1"/>
      <c r="O979" s="1"/>
      <c r="P979" s="81" t="str">
        <f>IFERROR(VLOOKUP(A979,Internal_lists_bugs!$A$2:$G7981,7,FALSE()),"please select a BUG ID")</f>
        <v>https://opendev.org/openstack/nova/commit/5fa74bc</v>
      </c>
    </row>
    <row r="980">
      <c r="A980" s="16" t="s">
        <v>56</v>
      </c>
      <c r="B980" s="50" t="str">
        <f>IFERROR(HYPERLINK(VLOOKUP(A980,Internal_lists_bugs!$A$2:$C$73,3,FALSE()), VLOOKUP(A980,Internal_lists_bugs!$A$2:$C$73,3,FALSE())&amp;Char(10) &amp; Char(10) &amp; VLOOKUP(A980,Internal_lists_bugs!$A$2:$Z$73,26,FALSE())),"please select a BUG ID")</f>
        <v>https://bugs.launchpad.net/nova/+bug/1371677
/libvirt/driver.py</v>
      </c>
      <c r="C980" s="81" t="str">
        <f>IFERROR(VLOOKUP(A980,Internal_lists_bugs!$A$2:$I7981,9,FALSE()),"please select a BUG ID")</f>
        <v>https://review.opendev.org/c/openstack/nova/+/40467</v>
      </c>
      <c r="D980" s="114"/>
      <c r="E980" s="114"/>
      <c r="F980" s="115"/>
      <c r="G980" s="16" t="s">
        <v>2614</v>
      </c>
      <c r="H980" s="16" t="s">
        <v>2615</v>
      </c>
      <c r="I980" s="82"/>
      <c r="J980" s="92"/>
      <c r="K980" s="82"/>
      <c r="M980" s="114" t="str">
        <f>VLOOKUP(A980,'BIC_(C_Variables)'!$A$3:$AS$43,45,FALSE())</f>
        <v/>
      </c>
      <c r="N980" s="1"/>
      <c r="O980" s="1"/>
      <c r="P980" s="81" t="str">
        <f>IFERROR(VLOOKUP(A980,Internal_lists_bugs!$A$2:$G7981,7,FALSE()),"please select a BUG ID")</f>
        <v>https://opendev.org/openstack/nova/commit/5fa74bc</v>
      </c>
    </row>
    <row r="981">
      <c r="A981" s="16" t="s">
        <v>56</v>
      </c>
      <c r="B981" s="50" t="str">
        <f>IFERROR(HYPERLINK(VLOOKUP(A981,Internal_lists_bugs!$A$2:$C$73,3,FALSE()), VLOOKUP(A981,Internal_lists_bugs!$A$2:$C$73,3,FALSE())&amp;Char(10) &amp; Char(10) &amp; VLOOKUP(A981,Internal_lists_bugs!$A$2:$Z$73,26,FALSE())),"please select a BUG ID")</f>
        <v>https://bugs.launchpad.net/nova/+bug/1371677
/libvirt/driver.py</v>
      </c>
      <c r="C981" s="81" t="str">
        <f>IFERROR(VLOOKUP(A981,Internal_lists_bugs!$A$2:$I7981,9,FALSE()),"please select a BUG ID")</f>
        <v>https://review.opendev.org/c/openstack/nova/+/40467</v>
      </c>
      <c r="D981" s="114"/>
      <c r="E981" s="114"/>
      <c r="F981" s="115"/>
      <c r="G981" s="16" t="s">
        <v>2616</v>
      </c>
      <c r="H981" s="16" t="s">
        <v>2617</v>
      </c>
      <c r="I981" s="82"/>
      <c r="J981" s="92"/>
      <c r="K981" s="82"/>
      <c r="M981" s="114" t="str">
        <f>VLOOKUP(A981,'BIC_(C_Variables)'!$A$3:$AS$43,45,FALSE())</f>
        <v/>
      </c>
      <c r="N981" s="1"/>
      <c r="O981" s="1"/>
      <c r="P981" s="81" t="str">
        <f>IFERROR(VLOOKUP(A981,Internal_lists_bugs!$A$2:$G7981,7,FALSE()),"please select a BUG ID")</f>
        <v>https://opendev.org/openstack/nova/commit/5fa74bc</v>
      </c>
    </row>
    <row r="982">
      <c r="A982" s="16" t="s">
        <v>56</v>
      </c>
      <c r="B982" s="50" t="str">
        <f>IFERROR(HYPERLINK(VLOOKUP(A982,Internal_lists_bugs!$A$2:$C$73,3,FALSE()), VLOOKUP(A982,Internal_lists_bugs!$A$2:$C$73,3,FALSE())&amp;Char(10) &amp; Char(10) &amp; VLOOKUP(A982,Internal_lists_bugs!$A$2:$Z$73,26,FALSE())),"please select a BUG ID")</f>
        <v>https://bugs.launchpad.net/nova/+bug/1371677
/libvirt/driver.py</v>
      </c>
      <c r="C982" s="81" t="str">
        <f>IFERROR(VLOOKUP(A982,Internal_lists_bugs!$A$2:$I7981,9,FALSE()),"please select a BUG ID")</f>
        <v>https://review.opendev.org/c/openstack/nova/+/40467</v>
      </c>
      <c r="D982" s="114"/>
      <c r="E982" s="114"/>
      <c r="F982" s="115"/>
      <c r="G982" s="16" t="s">
        <v>1690</v>
      </c>
      <c r="H982" s="16" t="s">
        <v>2618</v>
      </c>
      <c r="I982" s="82"/>
      <c r="J982" s="92"/>
      <c r="K982" s="82"/>
      <c r="M982" s="114" t="str">
        <f>VLOOKUP(A982,'BIC_(C_Variables)'!$A$3:$AS$43,45,FALSE())</f>
        <v/>
      </c>
      <c r="N982" s="1"/>
      <c r="O982" s="1"/>
      <c r="P982" s="81" t="str">
        <f>IFERROR(VLOOKUP(A982,Internal_lists_bugs!$A$2:$G7981,7,FALSE()),"please select a BUG ID")</f>
        <v>https://opendev.org/openstack/nova/commit/5fa74bc</v>
      </c>
    </row>
    <row r="983">
      <c r="A983" s="16" t="s">
        <v>56</v>
      </c>
      <c r="B983" s="50" t="str">
        <f>IFERROR(HYPERLINK(VLOOKUP(A983,Internal_lists_bugs!$A$2:$C$73,3,FALSE()), VLOOKUP(A983,Internal_lists_bugs!$A$2:$C$73,3,FALSE())&amp;Char(10) &amp; Char(10) &amp; VLOOKUP(A983,Internal_lists_bugs!$A$2:$Z$73,26,FALSE())),"please select a BUG ID")</f>
        <v>https://bugs.launchpad.net/nova/+bug/1371677
/libvirt/driver.py</v>
      </c>
      <c r="C983" s="81" t="str">
        <f>IFERROR(VLOOKUP(A983,Internal_lists_bugs!$A$2:$I7981,9,FALSE()),"please select a BUG ID")</f>
        <v>https://review.opendev.org/c/openstack/nova/+/40467</v>
      </c>
      <c r="D983" s="114"/>
      <c r="E983" s="114"/>
      <c r="F983" s="115"/>
      <c r="G983" s="16" t="s">
        <v>1678</v>
      </c>
      <c r="H983" s="16" t="s">
        <v>2619</v>
      </c>
      <c r="I983" s="82"/>
      <c r="J983" s="92"/>
      <c r="K983" s="82"/>
      <c r="M983" s="114" t="str">
        <f>VLOOKUP(A983,'BIC_(C_Variables)'!$A$3:$AS$43,45,FALSE())</f>
        <v/>
      </c>
      <c r="N983" s="1"/>
      <c r="O983" s="1"/>
      <c r="P983" s="81" t="str">
        <f>IFERROR(VLOOKUP(A983,Internal_lists_bugs!$A$2:$G7981,7,FALSE()),"please select a BUG ID")</f>
        <v>https://opendev.org/openstack/nova/commit/5fa74bc</v>
      </c>
    </row>
    <row r="984">
      <c r="A984" s="16" t="s">
        <v>56</v>
      </c>
      <c r="B984" s="50" t="str">
        <f>IFERROR(HYPERLINK(VLOOKUP(A984,Internal_lists_bugs!$A$2:$C$73,3,FALSE()), VLOOKUP(A984,Internal_lists_bugs!$A$2:$C$73,3,FALSE())&amp;Char(10) &amp; Char(10) &amp; VLOOKUP(A984,Internal_lists_bugs!$A$2:$Z$73,26,FALSE())),"please select a BUG ID")</f>
        <v>https://bugs.launchpad.net/nova/+bug/1371677
/libvirt/driver.py</v>
      </c>
      <c r="C984" s="81" t="str">
        <f>IFERROR(VLOOKUP(A984,Internal_lists_bugs!$A$2:$I7981,9,FALSE()),"please select a BUG ID")</f>
        <v>https://review.opendev.org/c/openstack/nova/+/40467</v>
      </c>
      <c r="D984" s="114"/>
      <c r="E984" s="114"/>
      <c r="F984" s="115"/>
      <c r="G984" s="16" t="s">
        <v>1531</v>
      </c>
      <c r="H984" s="16" t="s">
        <v>2620</v>
      </c>
      <c r="I984" s="82"/>
      <c r="J984" s="92"/>
      <c r="K984" s="82"/>
      <c r="M984" s="114" t="str">
        <f>VLOOKUP(A984,'BIC_(C_Variables)'!$A$3:$AS$43,45,FALSE())</f>
        <v/>
      </c>
      <c r="N984" s="1"/>
      <c r="O984" s="1"/>
      <c r="P984" s="81" t="str">
        <f>IFERROR(VLOOKUP(A984,Internal_lists_bugs!$A$2:$G7981,7,FALSE()),"please select a BUG ID")</f>
        <v>https://opendev.org/openstack/nova/commit/5fa74bc</v>
      </c>
    </row>
    <row r="985">
      <c r="A985" s="16" t="s">
        <v>56</v>
      </c>
      <c r="B985" s="50" t="str">
        <f>IFERROR(HYPERLINK(VLOOKUP(A985,Internal_lists_bugs!$A$2:$C$73,3,FALSE()), VLOOKUP(A985,Internal_lists_bugs!$A$2:$C$73,3,FALSE())&amp;Char(10) &amp; Char(10) &amp; VLOOKUP(A985,Internal_lists_bugs!$A$2:$Z$73,26,FALSE())),"please select a BUG ID")</f>
        <v>https://bugs.launchpad.net/nova/+bug/1371677
/libvirt/driver.py</v>
      </c>
      <c r="C985" s="81" t="str">
        <f>IFERROR(VLOOKUP(A985,Internal_lists_bugs!$A$2:$I7981,9,FALSE()),"please select a BUG ID")</f>
        <v>https://review.opendev.org/c/openstack/nova/+/40467</v>
      </c>
      <c r="D985" s="114"/>
      <c r="E985" s="114"/>
      <c r="F985" s="115"/>
      <c r="G985" s="16" t="s">
        <v>1594</v>
      </c>
      <c r="H985" s="16" t="s">
        <v>2621</v>
      </c>
      <c r="I985" s="82"/>
      <c r="J985" s="92"/>
      <c r="K985" s="82"/>
      <c r="M985" s="114" t="str">
        <f>VLOOKUP(A985,'BIC_(C_Variables)'!$A$3:$AS$43,45,FALSE())</f>
        <v/>
      </c>
      <c r="N985" s="1"/>
      <c r="O985" s="1"/>
      <c r="P985" s="81" t="str">
        <f>IFERROR(VLOOKUP(A985,Internal_lists_bugs!$A$2:$G7981,7,FALSE()),"please select a BUG ID")</f>
        <v>https://opendev.org/openstack/nova/commit/5fa74bc</v>
      </c>
    </row>
    <row r="986">
      <c r="A986" s="16" t="s">
        <v>56</v>
      </c>
      <c r="B986" s="50" t="str">
        <f>IFERROR(HYPERLINK(VLOOKUP(A986,Internal_lists_bugs!$A$2:$C$73,3,FALSE()), VLOOKUP(A986,Internal_lists_bugs!$A$2:$C$73,3,FALSE())&amp;Char(10) &amp; Char(10) &amp; VLOOKUP(A986,Internal_lists_bugs!$A$2:$Z$73,26,FALSE())),"please select a BUG ID")</f>
        <v>https://bugs.launchpad.net/nova/+bug/1371677
/libvirt/driver.py</v>
      </c>
      <c r="C986" s="81" t="str">
        <f>IFERROR(VLOOKUP(A986,Internal_lists_bugs!$A$2:$I7981,9,FALSE()),"please select a BUG ID")</f>
        <v>https://review.opendev.org/c/openstack/nova/+/40467</v>
      </c>
      <c r="D986" s="114"/>
      <c r="E986" s="114"/>
      <c r="F986" s="115"/>
      <c r="G986" s="16" t="s">
        <v>2622</v>
      </c>
      <c r="H986" s="16" t="s">
        <v>2623</v>
      </c>
      <c r="I986" s="82"/>
      <c r="J986" s="92"/>
      <c r="K986" s="82"/>
      <c r="M986" s="114" t="str">
        <f>VLOOKUP(A986,'BIC_(C_Variables)'!$A$3:$AS$43,45,FALSE())</f>
        <v/>
      </c>
      <c r="N986" s="1"/>
      <c r="O986" s="1"/>
      <c r="P986" s="81" t="str">
        <f>IFERROR(VLOOKUP(A986,Internal_lists_bugs!$A$2:$G7981,7,FALSE()),"please select a BUG ID")</f>
        <v>https://opendev.org/openstack/nova/commit/5fa74bc</v>
      </c>
    </row>
    <row r="987">
      <c r="A987" s="16" t="s">
        <v>56</v>
      </c>
      <c r="B987" s="50" t="str">
        <f>IFERROR(HYPERLINK(VLOOKUP(A987,Internal_lists_bugs!$A$2:$C$73,3,FALSE()), VLOOKUP(A987,Internal_lists_bugs!$A$2:$C$73,3,FALSE())&amp;Char(10) &amp; Char(10) &amp; VLOOKUP(A987,Internal_lists_bugs!$A$2:$Z$73,26,FALSE())),"please select a BUG ID")</f>
        <v>https://bugs.launchpad.net/nova/+bug/1371677
/libvirt/driver.py</v>
      </c>
      <c r="C987" s="81" t="str">
        <f>IFERROR(VLOOKUP(A987,Internal_lists_bugs!$A$2:$I7981,9,FALSE()),"please select a BUG ID")</f>
        <v>https://review.opendev.org/c/openstack/nova/+/40467</v>
      </c>
      <c r="D987" s="114"/>
      <c r="E987" s="114"/>
      <c r="F987" s="115"/>
      <c r="G987" s="16" t="s">
        <v>2624</v>
      </c>
      <c r="H987" s="16" t="s">
        <v>2625</v>
      </c>
      <c r="I987" s="82"/>
      <c r="J987" s="92"/>
      <c r="K987" s="82"/>
      <c r="M987" s="114" t="str">
        <f>VLOOKUP(A987,'BIC_(C_Variables)'!$A$3:$AS$43,45,FALSE())</f>
        <v/>
      </c>
      <c r="N987" s="1"/>
      <c r="O987" s="1"/>
      <c r="P987" s="81" t="str">
        <f>IFERROR(VLOOKUP(A987,Internal_lists_bugs!$A$2:$G7981,7,FALSE()),"please select a BUG ID")</f>
        <v>https://opendev.org/openstack/nova/commit/5fa74bc</v>
      </c>
    </row>
    <row r="988">
      <c r="A988" s="16" t="s">
        <v>56</v>
      </c>
      <c r="B988" s="50" t="str">
        <f>IFERROR(HYPERLINK(VLOOKUP(A988,Internal_lists_bugs!$A$2:$C$73,3,FALSE()), VLOOKUP(A988,Internal_lists_bugs!$A$2:$C$73,3,FALSE())&amp;Char(10) &amp; Char(10) &amp; VLOOKUP(A988,Internal_lists_bugs!$A$2:$Z$73,26,FALSE())),"please select a BUG ID")</f>
        <v>https://bugs.launchpad.net/nova/+bug/1371677
/libvirt/driver.py</v>
      </c>
      <c r="C988" s="81" t="str">
        <f>IFERROR(VLOOKUP(A988,Internal_lists_bugs!$A$2:$I7981,9,FALSE()),"please select a BUG ID")</f>
        <v>https://review.opendev.org/c/openstack/nova/+/40467</v>
      </c>
      <c r="D988" s="114"/>
      <c r="E988" s="114"/>
      <c r="F988" s="115"/>
      <c r="G988" s="16" t="s">
        <v>2528</v>
      </c>
      <c r="H988" s="16" t="s">
        <v>2626</v>
      </c>
      <c r="I988" s="82"/>
      <c r="J988" s="92"/>
      <c r="K988" s="82"/>
      <c r="M988" s="114" t="str">
        <f>VLOOKUP(A988,'BIC_(C_Variables)'!$A$3:$AS$43,45,FALSE())</f>
        <v/>
      </c>
      <c r="N988" s="1"/>
      <c r="O988" s="1"/>
      <c r="P988" s="81" t="str">
        <f>IFERROR(VLOOKUP(A988,Internal_lists_bugs!$A$2:$G7981,7,FALSE()),"please select a BUG ID")</f>
        <v>https://opendev.org/openstack/nova/commit/5fa74bc</v>
      </c>
    </row>
    <row r="989">
      <c r="A989" s="16" t="s">
        <v>56</v>
      </c>
      <c r="B989" s="50" t="str">
        <f>IFERROR(HYPERLINK(VLOOKUP(A989,Internal_lists_bugs!$A$2:$C$73,3,FALSE()), VLOOKUP(A989,Internal_lists_bugs!$A$2:$C$73,3,FALSE())&amp;Char(10) &amp; Char(10) &amp; VLOOKUP(A989,Internal_lists_bugs!$A$2:$Z$73,26,FALSE())),"please select a BUG ID")</f>
        <v>https://bugs.launchpad.net/nova/+bug/1371677
/libvirt/driver.py</v>
      </c>
      <c r="C989" s="81" t="str">
        <f>IFERROR(VLOOKUP(A989,Internal_lists_bugs!$A$2:$I7981,9,FALSE()),"please select a BUG ID")</f>
        <v>https://review.opendev.org/c/openstack/nova/+/40467</v>
      </c>
      <c r="D989" s="114"/>
      <c r="E989" s="114"/>
      <c r="F989" s="115"/>
      <c r="G989" s="16" t="s">
        <v>2627</v>
      </c>
      <c r="H989" s="16" t="s">
        <v>2628</v>
      </c>
      <c r="I989" s="82"/>
      <c r="J989" s="92"/>
      <c r="K989" s="82"/>
      <c r="M989" s="114" t="str">
        <f>VLOOKUP(A989,'BIC_(C_Variables)'!$A$3:$AS$43,45,FALSE())</f>
        <v/>
      </c>
      <c r="N989" s="1"/>
      <c r="O989" s="1"/>
      <c r="P989" s="81" t="str">
        <f>IFERROR(VLOOKUP(A989,Internal_lists_bugs!$A$2:$G7981,7,FALSE()),"please select a BUG ID")</f>
        <v>https://opendev.org/openstack/nova/commit/5fa74bc</v>
      </c>
    </row>
    <row r="990">
      <c r="A990" s="16" t="s">
        <v>56</v>
      </c>
      <c r="B990" s="50" t="str">
        <f>IFERROR(HYPERLINK(VLOOKUP(A990,Internal_lists_bugs!$A$2:$C$73,3,FALSE()), VLOOKUP(A990,Internal_lists_bugs!$A$2:$C$73,3,FALSE())&amp;Char(10) &amp; Char(10) &amp; VLOOKUP(A990,Internal_lists_bugs!$A$2:$Z$73,26,FALSE())),"please select a BUG ID")</f>
        <v>https://bugs.launchpad.net/nova/+bug/1371677
/libvirt/driver.py</v>
      </c>
      <c r="C990" s="81" t="str">
        <f>IFERROR(VLOOKUP(A990,Internal_lists_bugs!$A$2:$I7981,9,FALSE()),"please select a BUG ID")</f>
        <v>https://review.opendev.org/c/openstack/nova/+/40467</v>
      </c>
      <c r="D990" s="114"/>
      <c r="E990" s="114"/>
      <c r="F990" s="115"/>
      <c r="G990" s="16" t="s">
        <v>1425</v>
      </c>
      <c r="H990" s="16" t="s">
        <v>2629</v>
      </c>
      <c r="I990" s="82"/>
      <c r="J990" s="92"/>
      <c r="K990" s="82"/>
      <c r="M990" s="114" t="str">
        <f>VLOOKUP(A990,'BIC_(C_Variables)'!$A$3:$AS$43,45,FALSE())</f>
        <v/>
      </c>
      <c r="N990" s="1"/>
      <c r="O990" s="1"/>
      <c r="P990" s="81" t="str">
        <f>IFERROR(VLOOKUP(A990,Internal_lists_bugs!$A$2:$G7981,7,FALSE()),"please select a BUG ID")</f>
        <v>https://opendev.org/openstack/nova/commit/5fa74bc</v>
      </c>
    </row>
    <row r="991">
      <c r="A991" s="16" t="s">
        <v>56</v>
      </c>
      <c r="B991" s="50" t="str">
        <f>IFERROR(HYPERLINK(VLOOKUP(A991,Internal_lists_bugs!$A$2:$C$73,3,FALSE()), VLOOKUP(A991,Internal_lists_bugs!$A$2:$C$73,3,FALSE())&amp;Char(10) &amp; Char(10) &amp; VLOOKUP(A991,Internal_lists_bugs!$A$2:$Z$73,26,FALSE())),"please select a BUG ID")</f>
        <v>https://bugs.launchpad.net/nova/+bug/1371677
/libvirt/driver.py</v>
      </c>
      <c r="C991" s="81" t="str">
        <f>IFERROR(VLOOKUP(A991,Internal_lists_bugs!$A$2:$I7981,9,FALSE()),"please select a BUG ID")</f>
        <v>https://review.opendev.org/c/openstack/nova/+/40467</v>
      </c>
      <c r="D991" s="114"/>
      <c r="E991" s="114"/>
      <c r="F991" s="115"/>
      <c r="G991" s="16" t="s">
        <v>1478</v>
      </c>
      <c r="H991" s="16" t="s">
        <v>2629</v>
      </c>
      <c r="I991" s="82"/>
      <c r="J991" s="92"/>
      <c r="K991" s="82"/>
      <c r="M991" s="114" t="str">
        <f>VLOOKUP(A991,'BIC_(C_Variables)'!$A$3:$AS$43,45,FALSE())</f>
        <v/>
      </c>
      <c r="N991" s="1"/>
      <c r="O991" s="1"/>
      <c r="P991" s="81" t="str">
        <f>IFERROR(VLOOKUP(A991,Internal_lists_bugs!$A$2:$G7981,7,FALSE()),"please select a BUG ID")</f>
        <v>https://opendev.org/openstack/nova/commit/5fa74bc</v>
      </c>
    </row>
    <row r="992">
      <c r="A992" s="16" t="s">
        <v>56</v>
      </c>
      <c r="B992" s="50" t="str">
        <f>IFERROR(HYPERLINK(VLOOKUP(A992,Internal_lists_bugs!$A$2:$C$73,3,FALSE()), VLOOKUP(A992,Internal_lists_bugs!$A$2:$C$73,3,FALSE())&amp;Char(10) &amp; Char(10) &amp; VLOOKUP(A992,Internal_lists_bugs!$A$2:$Z$73,26,FALSE())),"please select a BUG ID")</f>
        <v>https://bugs.launchpad.net/nova/+bug/1371677
/libvirt/driver.py</v>
      </c>
      <c r="C992" s="81" t="str">
        <f>IFERROR(VLOOKUP(A992,Internal_lists_bugs!$A$2:$I7981,9,FALSE()),"please select a BUG ID")</f>
        <v>https://review.opendev.org/c/openstack/nova/+/40467</v>
      </c>
      <c r="D992" s="114"/>
      <c r="E992" s="114"/>
      <c r="F992" s="115"/>
      <c r="G992" s="16" t="s">
        <v>1597</v>
      </c>
      <c r="H992" s="16" t="s">
        <v>2630</v>
      </c>
      <c r="I992" s="82"/>
      <c r="J992" s="92"/>
      <c r="K992" s="82"/>
      <c r="M992" s="114" t="str">
        <f>VLOOKUP(A992,'BIC_(C_Variables)'!$A$3:$AS$43,45,FALSE())</f>
        <v/>
      </c>
      <c r="N992" s="1"/>
      <c r="O992" s="1"/>
      <c r="P992" s="81" t="str">
        <f>IFERROR(VLOOKUP(A992,Internal_lists_bugs!$A$2:$G7981,7,FALSE()),"please select a BUG ID")</f>
        <v>https://opendev.org/openstack/nova/commit/5fa74bc</v>
      </c>
    </row>
    <row r="993">
      <c r="A993" s="16" t="s">
        <v>56</v>
      </c>
      <c r="B993" s="50" t="str">
        <f>IFERROR(HYPERLINK(VLOOKUP(A993,Internal_lists_bugs!$A$2:$C$73,3,FALSE()), VLOOKUP(A993,Internal_lists_bugs!$A$2:$C$73,3,FALSE())&amp;Char(10) &amp; Char(10) &amp; VLOOKUP(A993,Internal_lists_bugs!$A$2:$Z$73,26,FALSE())),"please select a BUG ID")</f>
        <v>https://bugs.launchpad.net/nova/+bug/1371677
/libvirt/driver.py</v>
      </c>
      <c r="C993" s="81" t="str">
        <f>IFERROR(VLOOKUP(A993,Internal_lists_bugs!$A$2:$I7981,9,FALSE()),"please select a BUG ID")</f>
        <v>https://review.opendev.org/c/openstack/nova/+/40467</v>
      </c>
      <c r="D993" s="114"/>
      <c r="E993" s="114"/>
      <c r="F993" s="115"/>
      <c r="G993" s="16" t="s">
        <v>2631</v>
      </c>
      <c r="H993" s="16" t="s">
        <v>2632</v>
      </c>
      <c r="I993" s="82"/>
      <c r="J993" s="92"/>
      <c r="K993" s="82"/>
      <c r="M993" s="114" t="str">
        <f>VLOOKUP(A993,'BIC_(C_Variables)'!$A$3:$AS$43,45,FALSE())</f>
        <v/>
      </c>
      <c r="N993" s="1"/>
      <c r="O993" s="1"/>
      <c r="P993" s="81" t="str">
        <f>IFERROR(VLOOKUP(A993,Internal_lists_bugs!$A$2:$G7981,7,FALSE()),"please select a BUG ID")</f>
        <v>https://opendev.org/openstack/nova/commit/5fa74bc</v>
      </c>
    </row>
    <row r="994">
      <c r="A994" s="16" t="s">
        <v>56</v>
      </c>
      <c r="B994" s="50" t="str">
        <f>IFERROR(HYPERLINK(VLOOKUP(A994,Internal_lists_bugs!$A$2:$C$73,3,FALSE()), VLOOKUP(A994,Internal_lists_bugs!$A$2:$C$73,3,FALSE())&amp;Char(10) &amp; Char(10) &amp; VLOOKUP(A994,Internal_lists_bugs!$A$2:$Z$73,26,FALSE())),"please select a BUG ID")</f>
        <v>https://bugs.launchpad.net/nova/+bug/1371677
/libvirt/driver.py</v>
      </c>
      <c r="C994" s="81" t="str">
        <f>IFERROR(VLOOKUP(A994,Internal_lists_bugs!$A$2:$I7981,9,FALSE()),"please select a BUG ID")</f>
        <v>https://review.opendev.org/c/openstack/nova/+/40467</v>
      </c>
      <c r="D994" s="114"/>
      <c r="E994" s="114"/>
      <c r="F994" s="115"/>
      <c r="G994" s="16" t="s">
        <v>2633</v>
      </c>
      <c r="H994" s="16" t="s">
        <v>2634</v>
      </c>
      <c r="I994" s="82"/>
      <c r="J994" s="92"/>
      <c r="K994" s="82"/>
      <c r="M994" s="114" t="str">
        <f>VLOOKUP(A994,'BIC_(C_Variables)'!$A$3:$AS$43,45,FALSE())</f>
        <v/>
      </c>
      <c r="N994" s="1"/>
      <c r="O994" s="1"/>
      <c r="P994" s="81" t="str">
        <f>IFERROR(VLOOKUP(A994,Internal_lists_bugs!$A$2:$G7981,7,FALSE()),"please select a BUG ID")</f>
        <v>https://opendev.org/openstack/nova/commit/5fa74bc</v>
      </c>
    </row>
    <row r="995">
      <c r="A995" s="16" t="s">
        <v>56</v>
      </c>
      <c r="B995" s="50" t="str">
        <f>IFERROR(HYPERLINK(VLOOKUP(A995,Internal_lists_bugs!$A$2:$C$73,3,FALSE()), VLOOKUP(A995,Internal_lists_bugs!$A$2:$C$73,3,FALSE())&amp;Char(10) &amp; Char(10) &amp; VLOOKUP(A995,Internal_lists_bugs!$A$2:$Z$73,26,FALSE())),"please select a BUG ID")</f>
        <v>https://bugs.launchpad.net/nova/+bug/1371677
/libvirt/driver.py</v>
      </c>
      <c r="C995" s="81" t="str">
        <f>IFERROR(VLOOKUP(A995,Internal_lists_bugs!$A$2:$I7981,9,FALSE()),"please select a BUG ID")</f>
        <v>https://review.opendev.org/c/openstack/nova/+/40467</v>
      </c>
      <c r="D995" s="114"/>
      <c r="E995" s="114"/>
      <c r="F995" s="115"/>
      <c r="G995" s="16" t="s">
        <v>2635</v>
      </c>
      <c r="H995" s="16" t="s">
        <v>2636</v>
      </c>
      <c r="I995" s="82"/>
      <c r="J995" s="92"/>
      <c r="K995" s="82"/>
      <c r="M995" s="114" t="str">
        <f>VLOOKUP(A995,'BIC_(C_Variables)'!$A$3:$AS$43,45,FALSE())</f>
        <v/>
      </c>
      <c r="N995" s="1"/>
      <c r="O995" s="1"/>
      <c r="P995" s="81" t="str">
        <f>IFERROR(VLOOKUP(A995,Internal_lists_bugs!$A$2:$G7981,7,FALSE()),"please select a BUG ID")</f>
        <v>https://opendev.org/openstack/nova/commit/5fa74bc</v>
      </c>
    </row>
    <row r="996">
      <c r="A996" s="16" t="s">
        <v>56</v>
      </c>
      <c r="B996" s="50" t="str">
        <f>IFERROR(HYPERLINK(VLOOKUP(A996,Internal_lists_bugs!$A$2:$C$73,3,FALSE()), VLOOKUP(A996,Internal_lists_bugs!$A$2:$C$73,3,FALSE())&amp;Char(10) &amp; Char(10) &amp; VLOOKUP(A996,Internal_lists_bugs!$A$2:$Z$73,26,FALSE())),"please select a BUG ID")</f>
        <v>https://bugs.launchpad.net/nova/+bug/1371677
/libvirt/driver.py</v>
      </c>
      <c r="C996" s="81" t="str">
        <f>IFERROR(VLOOKUP(A996,Internal_lists_bugs!$A$2:$I7981,9,FALSE()),"please select a BUG ID")</f>
        <v>https://review.opendev.org/c/openstack/nova/+/40467</v>
      </c>
      <c r="D996" s="114"/>
      <c r="E996" s="114"/>
      <c r="F996" s="115"/>
      <c r="G996" s="16" t="s">
        <v>1758</v>
      </c>
      <c r="H996" s="16" t="s">
        <v>2630</v>
      </c>
      <c r="I996" s="82"/>
      <c r="J996" s="92"/>
      <c r="K996" s="82"/>
      <c r="M996" s="114" t="str">
        <f>VLOOKUP(A996,'BIC_(C_Variables)'!$A$3:$AS$43,45,FALSE())</f>
        <v/>
      </c>
      <c r="N996" s="1"/>
      <c r="O996" s="1"/>
      <c r="P996" s="81" t="str">
        <f>IFERROR(VLOOKUP(A996,Internal_lists_bugs!$A$2:$G7981,7,FALSE()),"please select a BUG ID")</f>
        <v>https://opendev.org/openstack/nova/commit/5fa74bc</v>
      </c>
    </row>
    <row r="997">
      <c r="A997" s="16" t="s">
        <v>56</v>
      </c>
      <c r="B997" s="50" t="str">
        <f>IFERROR(HYPERLINK(VLOOKUP(A997,Internal_lists_bugs!$A$2:$C$73,3,FALSE()), VLOOKUP(A997,Internal_lists_bugs!$A$2:$C$73,3,FALSE())&amp;Char(10) &amp; Char(10) &amp; VLOOKUP(A997,Internal_lists_bugs!$A$2:$Z$73,26,FALSE())),"please select a BUG ID")</f>
        <v>https://bugs.launchpad.net/nova/+bug/1371677
/libvirt/driver.py</v>
      </c>
      <c r="C997" s="81" t="str">
        <f>IFERROR(VLOOKUP(A997,Internal_lists_bugs!$A$2:$I7981,9,FALSE()),"please select a BUG ID")</f>
        <v>https://review.opendev.org/c/openstack/nova/+/40467</v>
      </c>
      <c r="D997" s="114"/>
      <c r="E997" s="114"/>
      <c r="F997" s="115"/>
      <c r="G997" s="16" t="s">
        <v>2637</v>
      </c>
      <c r="H997" s="16" t="s">
        <v>2638</v>
      </c>
      <c r="I997" s="82"/>
      <c r="J997" s="92"/>
      <c r="K997" s="82"/>
      <c r="M997" s="114" t="str">
        <f>VLOOKUP(A997,'BIC_(C_Variables)'!$A$3:$AS$43,45,FALSE())</f>
        <v/>
      </c>
      <c r="N997" s="1"/>
      <c r="O997" s="1"/>
      <c r="P997" s="81" t="str">
        <f>IFERROR(VLOOKUP(A997,Internal_lists_bugs!$A$2:$G7981,7,FALSE()),"please select a BUG ID")</f>
        <v>https://opendev.org/openstack/nova/commit/5fa74bc</v>
      </c>
    </row>
    <row r="998">
      <c r="A998" s="16" t="s">
        <v>56</v>
      </c>
      <c r="B998" s="50" t="str">
        <f>IFERROR(HYPERLINK(VLOOKUP(A998,Internal_lists_bugs!$A$2:$C$73,3,FALSE()), VLOOKUP(A998,Internal_lists_bugs!$A$2:$C$73,3,FALSE())&amp;Char(10) &amp; Char(10) &amp; VLOOKUP(A998,Internal_lists_bugs!$A$2:$Z$73,26,FALSE())),"please select a BUG ID")</f>
        <v>https://bugs.launchpad.net/nova/+bug/1371677
/libvirt/driver.py</v>
      </c>
      <c r="C998" s="81" t="str">
        <f>IFERROR(VLOOKUP(A998,Internal_lists_bugs!$A$2:$I7981,9,FALSE()),"please select a BUG ID")</f>
        <v>https://review.opendev.org/c/openstack/nova/+/40467</v>
      </c>
      <c r="D998" s="114"/>
      <c r="E998" s="114"/>
      <c r="F998" s="115"/>
      <c r="G998" s="16" t="s">
        <v>2639</v>
      </c>
      <c r="H998" s="16" t="s">
        <v>2640</v>
      </c>
      <c r="I998" s="82"/>
      <c r="J998" s="92"/>
      <c r="K998" s="82"/>
      <c r="M998" s="114" t="str">
        <f>VLOOKUP(A998,'BIC_(C_Variables)'!$A$3:$AS$43,45,FALSE())</f>
        <v/>
      </c>
      <c r="N998" s="1"/>
      <c r="O998" s="1"/>
      <c r="P998" s="81" t="str">
        <f>IFERROR(VLOOKUP(A998,Internal_lists_bugs!$A$2:$G7981,7,FALSE()),"please select a BUG ID")</f>
        <v>https://opendev.org/openstack/nova/commit/5fa74bc</v>
      </c>
    </row>
    <row r="999">
      <c r="A999" s="16" t="s">
        <v>56</v>
      </c>
      <c r="B999" s="50" t="str">
        <f>IFERROR(HYPERLINK(VLOOKUP(A999,Internal_lists_bugs!$A$2:$C$73,3,FALSE()), VLOOKUP(A999,Internal_lists_bugs!$A$2:$C$73,3,FALSE())&amp;Char(10) &amp; Char(10) &amp; VLOOKUP(A999,Internal_lists_bugs!$A$2:$Z$73,26,FALSE())),"please select a BUG ID")</f>
        <v>https://bugs.launchpad.net/nova/+bug/1371677
/libvirt/driver.py</v>
      </c>
      <c r="C999" s="81" t="str">
        <f>IFERROR(VLOOKUP(A999,Internal_lists_bugs!$A$2:$I7981,9,FALSE()),"please select a BUG ID")</f>
        <v>https://review.opendev.org/c/openstack/nova/+/40467</v>
      </c>
      <c r="D999" s="114"/>
      <c r="E999" s="114"/>
      <c r="F999" s="115"/>
      <c r="G999" s="16" t="s">
        <v>1904</v>
      </c>
      <c r="H999" s="16" t="s">
        <v>2641</v>
      </c>
      <c r="I999" s="82"/>
      <c r="J999" s="92"/>
      <c r="K999" s="82"/>
      <c r="M999" s="114" t="str">
        <f>VLOOKUP(A999,'BIC_(C_Variables)'!$A$3:$AS$43,45,FALSE())</f>
        <v/>
      </c>
      <c r="N999" s="1"/>
      <c r="O999" s="1"/>
      <c r="P999" s="81" t="str">
        <f>IFERROR(VLOOKUP(A999,Internal_lists_bugs!$A$2:$G7981,7,FALSE()),"please select a BUG ID")</f>
        <v>https://opendev.org/openstack/nova/commit/5fa74bc</v>
      </c>
    </row>
    <row r="1000">
      <c r="A1000" s="16" t="s">
        <v>56</v>
      </c>
      <c r="B1000" s="50" t="str">
        <f>IFERROR(HYPERLINK(VLOOKUP(A1000,Internal_lists_bugs!$A$2:$C$73,3,FALSE()), VLOOKUP(A1000,Internal_lists_bugs!$A$2:$C$73,3,FALSE())&amp;Char(10) &amp; Char(10) &amp; VLOOKUP(A1000,Internal_lists_bugs!$A$2:$Z$73,26,FALSE())),"please select a BUG ID")</f>
        <v>https://bugs.launchpad.net/nova/+bug/1371677
/libvirt/driver.py</v>
      </c>
      <c r="C1000" s="81" t="str">
        <f>IFERROR(VLOOKUP(A1000,Internal_lists_bugs!$A$2:$I7981,9,FALSE()),"please select a BUG ID")</f>
        <v>https://review.opendev.org/c/openstack/nova/+/40467</v>
      </c>
      <c r="D1000" s="114"/>
      <c r="E1000" s="114"/>
      <c r="F1000" s="115"/>
      <c r="G1000" s="16" t="s">
        <v>2642</v>
      </c>
      <c r="H1000" s="16" t="s">
        <v>2643</v>
      </c>
      <c r="I1000" s="82"/>
      <c r="J1000" s="92"/>
      <c r="K1000" s="82"/>
      <c r="M1000" s="114" t="str">
        <f>VLOOKUP(A1000,'BIC_(C_Variables)'!$A$3:$AS$43,45,FALSE())</f>
        <v/>
      </c>
      <c r="N1000" s="1"/>
      <c r="O1000" s="1"/>
      <c r="P1000" s="81" t="str">
        <f>IFERROR(VLOOKUP(A1000,Internal_lists_bugs!$A$2:$G7981,7,FALSE()),"please select a BUG ID")</f>
        <v>https://opendev.org/openstack/nova/commit/5fa74bc</v>
      </c>
    </row>
    <row r="1001">
      <c r="A1001" s="16" t="s">
        <v>56</v>
      </c>
      <c r="B1001" s="50" t="str">
        <f>IFERROR(HYPERLINK(VLOOKUP(A1001,Internal_lists_bugs!$A$2:$C$73,3,FALSE()), VLOOKUP(A1001,Internal_lists_bugs!$A$2:$C$73,3,FALSE())&amp;Char(10) &amp; Char(10) &amp; VLOOKUP(A1001,Internal_lists_bugs!$A$2:$Z$73,26,FALSE())),"please select a BUG ID")</f>
        <v>https://bugs.launchpad.net/nova/+bug/1371677
/libvirt/driver.py</v>
      </c>
      <c r="C1001" s="81" t="str">
        <f>IFERROR(VLOOKUP(A1001,Internal_lists_bugs!$A$2:$I7981,9,FALSE()),"please select a BUG ID")</f>
        <v>https://review.opendev.org/c/openstack/nova/+/40467</v>
      </c>
      <c r="D1001" s="114"/>
      <c r="E1001" s="114"/>
      <c r="F1001" s="115"/>
      <c r="G1001" s="16" t="s">
        <v>2644</v>
      </c>
      <c r="H1001" s="14" t="s">
        <v>2645</v>
      </c>
      <c r="I1001" s="82"/>
      <c r="J1001" s="92"/>
      <c r="K1001" s="82"/>
      <c r="M1001" s="114" t="str">
        <f>VLOOKUP(A1001,'BIC_(C_Variables)'!$A$3:$AS$43,45,FALSE())</f>
        <v/>
      </c>
      <c r="N1001" s="1"/>
      <c r="O1001" s="1"/>
      <c r="P1001" s="81" t="str">
        <f>IFERROR(VLOOKUP(A1001,Internal_lists_bugs!$A$2:$G7981,7,FALSE()),"please select a BUG ID")</f>
        <v>https://opendev.org/openstack/nova/commit/5fa74bc</v>
      </c>
    </row>
    <row r="1002">
      <c r="A1002" s="16" t="s">
        <v>56</v>
      </c>
      <c r="B1002" s="50" t="str">
        <f>IFERROR(HYPERLINK(VLOOKUP(A1002,Internal_lists_bugs!$A$2:$C$73,3,FALSE()), VLOOKUP(A1002,Internal_lists_bugs!$A$2:$C$73,3,FALSE())&amp;Char(10) &amp; Char(10) &amp; VLOOKUP(A1002,Internal_lists_bugs!$A$2:$Z$73,26,FALSE())),"please select a BUG ID")</f>
        <v>https://bugs.launchpad.net/nova/+bug/1371677
/libvirt/driver.py</v>
      </c>
      <c r="C1002" s="81" t="str">
        <f>IFERROR(VLOOKUP(A1002,Internal_lists_bugs!$A$2:$I7981,9,FALSE()),"please select a BUG ID")</f>
        <v>https://review.opendev.org/c/openstack/nova/+/40467</v>
      </c>
      <c r="D1002" s="114"/>
      <c r="E1002" s="114"/>
      <c r="F1002" s="115"/>
      <c r="G1002" s="16" t="s">
        <v>2646</v>
      </c>
      <c r="H1002" s="14" t="s">
        <v>2647</v>
      </c>
      <c r="I1002" s="82"/>
      <c r="J1002" s="92"/>
      <c r="K1002" s="82"/>
      <c r="M1002" s="114" t="str">
        <f>VLOOKUP(A1002,'BIC_(C_Variables)'!$A$3:$AS$43,45,FALSE())</f>
        <v/>
      </c>
      <c r="N1002" s="1"/>
      <c r="O1002" s="1"/>
      <c r="P1002" s="81" t="str">
        <f>IFERROR(VLOOKUP(A1002,Internal_lists_bugs!$A$2:$G7981,7,FALSE()),"please select a BUG ID")</f>
        <v>https://opendev.org/openstack/nova/commit/5fa74bc</v>
      </c>
    </row>
    <row r="1003">
      <c r="A1003" s="16" t="s">
        <v>56</v>
      </c>
      <c r="B1003" s="50" t="str">
        <f>IFERROR(HYPERLINK(VLOOKUP(A1003,Internal_lists_bugs!$A$2:$C$73,3,FALSE()), VLOOKUP(A1003,Internal_lists_bugs!$A$2:$C$73,3,FALSE())&amp;Char(10) &amp; Char(10) &amp; VLOOKUP(A1003,Internal_lists_bugs!$A$2:$Z$73,26,FALSE())),"please select a BUG ID")</f>
        <v>https://bugs.launchpad.net/nova/+bug/1371677
/libvirt/driver.py</v>
      </c>
      <c r="C1003" s="81" t="str">
        <f>IFERROR(VLOOKUP(A1003,Internal_lists_bugs!$A$2:$I7981,9,FALSE()),"please select a BUG ID")</f>
        <v>https://review.opendev.org/c/openstack/nova/+/40467</v>
      </c>
      <c r="D1003" s="114"/>
      <c r="E1003" s="114"/>
      <c r="F1003" s="115"/>
      <c r="G1003" s="16" t="s">
        <v>1761</v>
      </c>
      <c r="H1003" s="16" t="s">
        <v>2648</v>
      </c>
      <c r="I1003" s="82"/>
      <c r="J1003" s="92"/>
      <c r="K1003" s="82"/>
      <c r="M1003" s="114" t="str">
        <f>VLOOKUP(A1003,'BIC_(C_Variables)'!$A$3:$AS$43,45,FALSE())</f>
        <v/>
      </c>
      <c r="N1003" s="1"/>
      <c r="O1003" s="1"/>
      <c r="P1003" s="81" t="str">
        <f>IFERROR(VLOOKUP(A1003,Internal_lists_bugs!$A$2:$G7981,7,FALSE()),"please select a BUG ID")</f>
        <v>https://opendev.org/openstack/nova/commit/5fa74bc</v>
      </c>
    </row>
    <row r="1004">
      <c r="A1004" s="16" t="s">
        <v>56</v>
      </c>
      <c r="B1004" s="50" t="str">
        <f>IFERROR(HYPERLINK(VLOOKUP(A1004,Internal_lists_bugs!$A$2:$C$73,3,FALSE()), VLOOKUP(A1004,Internal_lists_bugs!$A$2:$C$73,3,FALSE())&amp;Char(10) &amp; Char(10) &amp; VLOOKUP(A1004,Internal_lists_bugs!$A$2:$Z$73,26,FALSE())),"please select a BUG ID")</f>
        <v>https://bugs.launchpad.net/nova/+bug/1371677
/libvirt/driver.py</v>
      </c>
      <c r="C1004" s="81" t="str">
        <f>IFERROR(VLOOKUP(A1004,Internal_lists_bugs!$A$2:$I7981,9,FALSE()),"please select a BUG ID")</f>
        <v>https://review.opendev.org/c/openstack/nova/+/40467</v>
      </c>
      <c r="D1004" s="114"/>
      <c r="E1004" s="114"/>
      <c r="F1004" s="115"/>
      <c r="G1004" s="16" t="s">
        <v>1707</v>
      </c>
      <c r="H1004" s="16" t="s">
        <v>2649</v>
      </c>
      <c r="I1004" s="82"/>
      <c r="J1004" s="92"/>
      <c r="K1004" s="82"/>
      <c r="M1004" s="114" t="str">
        <f>VLOOKUP(A1004,'BIC_(C_Variables)'!$A$3:$AS$43,45,FALSE())</f>
        <v/>
      </c>
      <c r="N1004" s="1"/>
      <c r="O1004" s="1"/>
      <c r="P1004" s="81" t="str">
        <f>IFERROR(VLOOKUP(A1004,Internal_lists_bugs!$A$2:$G7981,7,FALSE()),"please select a BUG ID")</f>
        <v>https://opendev.org/openstack/nova/commit/5fa74bc</v>
      </c>
    </row>
    <row r="1005">
      <c r="A1005" s="16" t="s">
        <v>56</v>
      </c>
      <c r="B1005" s="50" t="str">
        <f>IFERROR(HYPERLINK(VLOOKUP(A1005,Internal_lists_bugs!$A$2:$C$73,3,FALSE()), VLOOKUP(A1005,Internal_lists_bugs!$A$2:$C$73,3,FALSE())&amp;Char(10) &amp; Char(10) &amp; VLOOKUP(A1005,Internal_lists_bugs!$A$2:$Z$73,26,FALSE())),"please select a BUG ID")</f>
        <v>https://bugs.launchpad.net/nova/+bug/1371677
/libvirt/driver.py</v>
      </c>
      <c r="C1005" s="81" t="str">
        <f>IFERROR(VLOOKUP(A1005,Internal_lists_bugs!$A$2:$I7981,9,FALSE()),"please select a BUG ID")</f>
        <v>https://review.opendev.org/c/openstack/nova/+/40467</v>
      </c>
      <c r="D1005" s="114"/>
      <c r="E1005" s="114"/>
      <c r="F1005" s="115"/>
      <c r="G1005" s="16" t="s">
        <v>2650</v>
      </c>
      <c r="H1005" s="16" t="s">
        <v>2651</v>
      </c>
      <c r="I1005" s="82"/>
      <c r="J1005" s="92"/>
      <c r="K1005" s="82"/>
      <c r="M1005" s="114" t="str">
        <f>VLOOKUP(A1005,'BIC_(C_Variables)'!$A$3:$AS$43,45,FALSE())</f>
        <v/>
      </c>
      <c r="N1005" s="1"/>
      <c r="O1005" s="1"/>
      <c r="P1005" s="81" t="str">
        <f>IFERROR(VLOOKUP(A1005,Internal_lists_bugs!$A$2:$G7981,7,FALSE()),"please select a BUG ID")</f>
        <v>https://opendev.org/openstack/nova/commit/5fa74bc</v>
      </c>
    </row>
    <row r="1006">
      <c r="A1006" s="16" t="s">
        <v>56</v>
      </c>
      <c r="B1006" s="50" t="str">
        <f>IFERROR(HYPERLINK(VLOOKUP(A1006,Internal_lists_bugs!$A$2:$C$73,3,FALSE()), VLOOKUP(A1006,Internal_lists_bugs!$A$2:$C$73,3,FALSE())&amp;Char(10) &amp; Char(10) &amp; VLOOKUP(A1006,Internal_lists_bugs!$A$2:$Z$73,26,FALSE())),"please select a BUG ID")</f>
        <v>https://bugs.launchpad.net/nova/+bug/1371677
/libvirt/driver.py</v>
      </c>
      <c r="C1006" s="81" t="str">
        <f>IFERROR(VLOOKUP(A1006,Internal_lists_bugs!$A$2:$I7981,9,FALSE()),"please select a BUG ID")</f>
        <v>https://review.opendev.org/c/openstack/nova/+/40467</v>
      </c>
      <c r="D1006" s="114"/>
      <c r="E1006" s="114"/>
      <c r="F1006" s="115"/>
      <c r="G1006" s="16" t="s">
        <v>2277</v>
      </c>
      <c r="H1006" s="16" t="s">
        <v>2652</v>
      </c>
      <c r="I1006" s="82"/>
      <c r="J1006" s="92"/>
      <c r="K1006" s="82"/>
      <c r="M1006" s="114" t="str">
        <f>VLOOKUP(A1006,'BIC_(C_Variables)'!$A$3:$AS$43,45,FALSE())</f>
        <v/>
      </c>
      <c r="N1006" s="1"/>
      <c r="O1006" s="1"/>
      <c r="P1006" s="81" t="str">
        <f>IFERROR(VLOOKUP(A1006,Internal_lists_bugs!$A$2:$G7981,7,FALSE()),"please select a BUG ID")</f>
        <v>https://opendev.org/openstack/nova/commit/5fa74bc</v>
      </c>
    </row>
    <row r="1007">
      <c r="A1007" s="16" t="s">
        <v>56</v>
      </c>
      <c r="B1007" s="50" t="str">
        <f>IFERROR(HYPERLINK(VLOOKUP(A1007,Internal_lists_bugs!$A$2:$C$73,3,FALSE()), VLOOKUP(A1007,Internal_lists_bugs!$A$2:$C$73,3,FALSE())&amp;Char(10) &amp; Char(10) &amp; VLOOKUP(A1007,Internal_lists_bugs!$A$2:$Z$73,26,FALSE())),"please select a BUG ID")</f>
        <v>https://bugs.launchpad.net/nova/+bug/1371677
/libvirt/driver.py</v>
      </c>
      <c r="C1007" s="81" t="str">
        <f>IFERROR(VLOOKUP(A1007,Internal_lists_bugs!$A$2:$I7981,9,FALSE()),"please select a BUG ID")</f>
        <v>https://review.opendev.org/c/openstack/nova/+/40467</v>
      </c>
      <c r="D1007" s="114"/>
      <c r="E1007" s="114"/>
      <c r="F1007" s="115"/>
      <c r="G1007" s="16" t="s">
        <v>1702</v>
      </c>
      <c r="H1007" s="16" t="s">
        <v>2653</v>
      </c>
      <c r="I1007" s="82"/>
      <c r="J1007" s="92"/>
      <c r="K1007" s="82"/>
      <c r="M1007" s="114" t="str">
        <f>VLOOKUP(A1007,'BIC_(C_Variables)'!$A$3:$AS$43,45,FALSE())</f>
        <v/>
      </c>
      <c r="N1007" s="1"/>
      <c r="O1007" s="1"/>
      <c r="P1007" s="81" t="str">
        <f>IFERROR(VLOOKUP(A1007,Internal_lists_bugs!$A$2:$G7981,7,FALSE()),"please select a BUG ID")</f>
        <v>https://opendev.org/openstack/nova/commit/5fa74bc</v>
      </c>
    </row>
    <row r="1008">
      <c r="A1008" s="16" t="s">
        <v>56</v>
      </c>
      <c r="B1008" s="50" t="str">
        <f>IFERROR(HYPERLINK(VLOOKUP(A1008,Internal_lists_bugs!$A$2:$C$73,3,FALSE()), VLOOKUP(A1008,Internal_lists_bugs!$A$2:$C$73,3,FALSE())&amp;Char(10) &amp; Char(10) &amp; VLOOKUP(A1008,Internal_lists_bugs!$A$2:$Z$73,26,FALSE())),"please select a BUG ID")</f>
        <v>https://bugs.launchpad.net/nova/+bug/1371677
/libvirt/driver.py</v>
      </c>
      <c r="C1008" s="81" t="str">
        <f>IFERROR(VLOOKUP(A1008,Internal_lists_bugs!$A$2:$I7981,9,FALSE()),"please select a BUG ID")</f>
        <v>https://review.opendev.org/c/openstack/nova/+/40467</v>
      </c>
      <c r="D1008" s="114"/>
      <c r="E1008" s="114"/>
      <c r="F1008" s="115"/>
      <c r="G1008" s="16" t="s">
        <v>2654</v>
      </c>
      <c r="H1008" s="16" t="s">
        <v>2655</v>
      </c>
      <c r="I1008" s="82"/>
      <c r="J1008" s="92"/>
      <c r="K1008" s="82"/>
      <c r="M1008" s="114" t="str">
        <f>VLOOKUP(A1008,'BIC_(C_Variables)'!$A$3:$AS$43,45,FALSE())</f>
        <v/>
      </c>
      <c r="N1008" s="1"/>
      <c r="O1008" s="1"/>
      <c r="P1008" s="81" t="str">
        <f>IFERROR(VLOOKUP(A1008,Internal_lists_bugs!$A$2:$G7981,7,FALSE()),"please select a BUG ID")</f>
        <v>https://opendev.org/openstack/nova/commit/5fa74bc</v>
      </c>
    </row>
    <row r="1009">
      <c r="A1009" s="16" t="s">
        <v>56</v>
      </c>
      <c r="B1009" s="50" t="str">
        <f>IFERROR(HYPERLINK(VLOOKUP(A1009,Internal_lists_bugs!$A$2:$C$73,3,FALSE()), VLOOKUP(A1009,Internal_lists_bugs!$A$2:$C$73,3,FALSE())&amp;Char(10) &amp; Char(10) &amp; VLOOKUP(A1009,Internal_lists_bugs!$A$2:$Z$73,26,FALSE())),"please select a BUG ID")</f>
        <v>https://bugs.launchpad.net/nova/+bug/1371677
/libvirt/driver.py</v>
      </c>
      <c r="C1009" s="81" t="str">
        <f>IFERROR(VLOOKUP(A1009,Internal_lists_bugs!$A$2:$I7981,9,FALSE()),"please select a BUG ID")</f>
        <v>https://review.opendev.org/c/openstack/nova/+/40467</v>
      </c>
      <c r="D1009" s="114"/>
      <c r="E1009" s="114"/>
      <c r="F1009" s="115"/>
      <c r="G1009" s="16" t="s">
        <v>2474</v>
      </c>
      <c r="H1009" s="16" t="s">
        <v>2656</v>
      </c>
      <c r="I1009" s="82"/>
      <c r="J1009" s="92"/>
      <c r="K1009" s="82"/>
      <c r="M1009" s="114" t="str">
        <f>VLOOKUP(A1009,'BIC_(C_Variables)'!$A$3:$AS$43,45,FALSE())</f>
        <v/>
      </c>
      <c r="N1009" s="1"/>
      <c r="O1009" s="1"/>
      <c r="P1009" s="81" t="str">
        <f>IFERROR(VLOOKUP(A1009,Internal_lists_bugs!$A$2:$G7981,7,FALSE()),"please select a BUG ID")</f>
        <v>https://opendev.org/openstack/nova/commit/5fa74bc</v>
      </c>
    </row>
    <row r="1010">
      <c r="A1010" s="16" t="s">
        <v>56</v>
      </c>
      <c r="B1010" s="50" t="str">
        <f>IFERROR(HYPERLINK(VLOOKUP(A1010,Internal_lists_bugs!$A$2:$C$73,3,FALSE()), VLOOKUP(A1010,Internal_lists_bugs!$A$2:$C$73,3,FALSE())&amp;Char(10) &amp; Char(10) &amp; VLOOKUP(A1010,Internal_lists_bugs!$A$2:$Z$73,26,FALSE())),"please select a BUG ID")</f>
        <v>https://bugs.launchpad.net/nova/+bug/1371677
/libvirt/driver.py</v>
      </c>
      <c r="C1010" s="81" t="str">
        <f>IFERROR(VLOOKUP(A1010,Internal_lists_bugs!$A$2:$I7981,9,FALSE()),"please select a BUG ID")</f>
        <v>https://review.opendev.org/c/openstack/nova/+/40467</v>
      </c>
      <c r="D1010" s="114"/>
      <c r="E1010" s="114"/>
      <c r="F1010" s="115"/>
      <c r="G1010" s="16" t="s">
        <v>1441</v>
      </c>
      <c r="H1010" s="16" t="s">
        <v>2657</v>
      </c>
      <c r="I1010" s="82"/>
      <c r="J1010" s="92"/>
      <c r="K1010" s="82"/>
      <c r="M1010" s="114" t="str">
        <f>VLOOKUP(A1010,'BIC_(C_Variables)'!$A$3:$AS$43,45,FALSE())</f>
        <v/>
      </c>
      <c r="N1010" s="1"/>
      <c r="O1010" s="1"/>
      <c r="P1010" s="81" t="str">
        <f>IFERROR(VLOOKUP(A1010,Internal_lists_bugs!$A$2:$G7981,7,FALSE()),"please select a BUG ID")</f>
        <v>https://opendev.org/openstack/nova/commit/5fa74bc</v>
      </c>
    </row>
    <row r="1011">
      <c r="A1011" s="16" t="s">
        <v>56</v>
      </c>
      <c r="B1011" s="50" t="str">
        <f>IFERROR(HYPERLINK(VLOOKUP(A1011,Internal_lists_bugs!$A$2:$C$73,3,FALSE()), VLOOKUP(A1011,Internal_lists_bugs!$A$2:$C$73,3,FALSE())&amp;Char(10) &amp; Char(10) &amp; VLOOKUP(A1011,Internal_lists_bugs!$A$2:$Z$73,26,FALSE())),"please select a BUG ID")</f>
        <v>https://bugs.launchpad.net/nova/+bug/1371677
/libvirt/driver.py</v>
      </c>
      <c r="C1011" s="81" t="str">
        <f>IFERROR(VLOOKUP(A1011,Internal_lists_bugs!$A$2:$I7981,9,FALSE()),"please select a BUG ID")</f>
        <v>https://review.opendev.org/c/openstack/nova/+/40467</v>
      </c>
      <c r="D1011" s="114"/>
      <c r="E1011" s="114"/>
      <c r="F1011" s="115"/>
      <c r="G1011" s="16" t="s">
        <v>1427</v>
      </c>
      <c r="H1011" s="16" t="s">
        <v>2657</v>
      </c>
      <c r="I1011" s="82"/>
      <c r="J1011" s="92"/>
      <c r="K1011" s="82"/>
      <c r="M1011" s="114" t="str">
        <f>VLOOKUP(A1011,'BIC_(C_Variables)'!$A$3:$AS$43,45,FALSE())</f>
        <v/>
      </c>
      <c r="N1011" s="1"/>
      <c r="O1011" s="1"/>
      <c r="P1011" s="81" t="str">
        <f>IFERROR(VLOOKUP(A1011,Internal_lists_bugs!$A$2:$G7981,7,FALSE()),"please select a BUG ID")</f>
        <v>https://opendev.org/openstack/nova/commit/5fa74bc</v>
      </c>
    </row>
    <row r="1012">
      <c r="A1012" s="16" t="s">
        <v>56</v>
      </c>
      <c r="B1012" s="50" t="str">
        <f>IFERROR(HYPERLINK(VLOOKUP(A1012,Internal_lists_bugs!$A$2:$C$73,3,FALSE()), VLOOKUP(A1012,Internal_lists_bugs!$A$2:$C$73,3,FALSE())&amp;Char(10) &amp; Char(10) &amp; VLOOKUP(A1012,Internal_lists_bugs!$A$2:$Z$73,26,FALSE())),"please select a BUG ID")</f>
        <v>https://bugs.launchpad.net/nova/+bug/1371677
/libvirt/driver.py</v>
      </c>
      <c r="C1012" s="81" t="str">
        <f>IFERROR(VLOOKUP(A1012,Internal_lists_bugs!$A$2:$I7981,9,FALSE()),"please select a BUG ID")</f>
        <v>https://review.opendev.org/c/openstack/nova/+/40467</v>
      </c>
      <c r="D1012" s="114"/>
      <c r="E1012" s="114"/>
      <c r="F1012" s="115"/>
      <c r="G1012" s="16" t="s">
        <v>1590</v>
      </c>
      <c r="H1012" s="16" t="s">
        <v>2658</v>
      </c>
      <c r="I1012" s="82"/>
      <c r="J1012" s="92"/>
      <c r="K1012" s="82"/>
      <c r="M1012" s="114" t="str">
        <f>VLOOKUP(A1012,'BIC_(C_Variables)'!$A$3:$AS$43,45,FALSE())</f>
        <v/>
      </c>
      <c r="N1012" s="1"/>
      <c r="O1012" s="1"/>
      <c r="P1012" s="81" t="str">
        <f>IFERROR(VLOOKUP(A1012,Internal_lists_bugs!$A$2:$G7981,7,FALSE()),"please select a BUG ID")</f>
        <v>https://opendev.org/openstack/nova/commit/5fa74bc</v>
      </c>
    </row>
    <row r="1013">
      <c r="A1013" s="16" t="s">
        <v>56</v>
      </c>
      <c r="B1013" s="50" t="str">
        <f>IFERROR(HYPERLINK(VLOOKUP(A1013,Internal_lists_bugs!$A$2:$C$73,3,FALSE()), VLOOKUP(A1013,Internal_lists_bugs!$A$2:$C$73,3,FALSE())&amp;Char(10) &amp; Char(10) &amp; VLOOKUP(A1013,Internal_lists_bugs!$A$2:$Z$73,26,FALSE())),"please select a BUG ID")</f>
        <v>https://bugs.launchpad.net/nova/+bug/1371677
/libvirt/driver.py</v>
      </c>
      <c r="C1013" s="81" t="str">
        <f>IFERROR(VLOOKUP(A1013,Internal_lists_bugs!$A$2:$I7981,9,FALSE()),"please select a BUG ID")</f>
        <v>https://review.opendev.org/c/openstack/nova/+/40467</v>
      </c>
      <c r="D1013" s="114"/>
      <c r="E1013" s="114"/>
      <c r="F1013" s="115"/>
      <c r="G1013" s="16" t="s">
        <v>1835</v>
      </c>
      <c r="H1013" s="16" t="s">
        <v>2659</v>
      </c>
      <c r="I1013" s="82"/>
      <c r="J1013" s="92"/>
      <c r="K1013" s="82"/>
      <c r="M1013" s="114" t="str">
        <f>VLOOKUP(A1013,'BIC_(C_Variables)'!$A$3:$AS$43,45,FALSE())</f>
        <v/>
      </c>
      <c r="N1013" s="1"/>
      <c r="O1013" s="1"/>
      <c r="P1013" s="81" t="str">
        <f>IFERROR(VLOOKUP(A1013,Internal_lists_bugs!$A$2:$G7981,7,FALSE()),"please select a BUG ID")</f>
        <v>https://opendev.org/openstack/nova/commit/5fa74bc</v>
      </c>
    </row>
    <row r="1014">
      <c r="A1014" s="16" t="s">
        <v>56</v>
      </c>
      <c r="B1014" s="50" t="str">
        <f>IFERROR(HYPERLINK(VLOOKUP(A1014,Internal_lists_bugs!$A$2:$C$73,3,FALSE()), VLOOKUP(A1014,Internal_lists_bugs!$A$2:$C$73,3,FALSE())&amp;Char(10) &amp; Char(10) &amp; VLOOKUP(A1014,Internal_lists_bugs!$A$2:$Z$73,26,FALSE())),"please select a BUG ID")</f>
        <v>https://bugs.launchpad.net/nova/+bug/1371677
/libvirt/driver.py</v>
      </c>
      <c r="C1014" s="81" t="str">
        <f>IFERROR(VLOOKUP(A1014,Internal_lists_bugs!$A$2:$I7981,9,FALSE()),"please select a BUG ID")</f>
        <v>https://review.opendev.org/c/openstack/nova/+/40467</v>
      </c>
      <c r="D1014" s="114"/>
      <c r="E1014" s="114"/>
      <c r="F1014" s="115"/>
      <c r="G1014" s="16" t="s">
        <v>1497</v>
      </c>
      <c r="H1014" s="16" t="s">
        <v>2660</v>
      </c>
      <c r="I1014" s="82"/>
      <c r="J1014" s="92"/>
      <c r="K1014" s="82"/>
      <c r="M1014" s="114" t="str">
        <f>VLOOKUP(A1014,'BIC_(C_Variables)'!$A$3:$AS$43,45,FALSE())</f>
        <v/>
      </c>
      <c r="N1014" s="1"/>
      <c r="O1014" s="1"/>
      <c r="P1014" s="81" t="str">
        <f>IFERROR(VLOOKUP(A1014,Internal_lists_bugs!$A$2:$G7981,7,FALSE()),"please select a BUG ID")</f>
        <v>https://opendev.org/openstack/nova/commit/5fa74bc</v>
      </c>
    </row>
    <row r="1015">
      <c r="A1015" s="16" t="s">
        <v>56</v>
      </c>
      <c r="B1015" s="50" t="str">
        <f>IFERROR(HYPERLINK(VLOOKUP(A1015,Internal_lists_bugs!$A$2:$C$73,3,FALSE()), VLOOKUP(A1015,Internal_lists_bugs!$A$2:$C$73,3,FALSE())&amp;Char(10) &amp; Char(10) &amp; VLOOKUP(A1015,Internal_lists_bugs!$A$2:$Z$73,26,FALSE())),"please select a BUG ID")</f>
        <v>https://bugs.launchpad.net/nova/+bug/1371677
/libvirt/driver.py</v>
      </c>
      <c r="C1015" s="81" t="str">
        <f>IFERROR(VLOOKUP(A1015,Internal_lists_bugs!$A$2:$I7981,9,FALSE()),"please select a BUG ID")</f>
        <v>https://review.opendev.org/c/openstack/nova/+/40467</v>
      </c>
      <c r="D1015" s="114"/>
      <c r="E1015" s="114"/>
      <c r="F1015" s="115"/>
      <c r="G1015" s="16" t="s">
        <v>2661</v>
      </c>
      <c r="H1015" s="16" t="s">
        <v>2662</v>
      </c>
      <c r="I1015" s="82"/>
      <c r="J1015" s="92"/>
      <c r="K1015" s="82"/>
      <c r="M1015" s="114" t="str">
        <f>VLOOKUP(A1015,'BIC_(C_Variables)'!$A$3:$AS$43,45,FALSE())</f>
        <v/>
      </c>
      <c r="N1015" s="1"/>
      <c r="O1015" s="1"/>
      <c r="P1015" s="81" t="str">
        <f>IFERROR(VLOOKUP(A1015,Internal_lists_bugs!$A$2:$G7981,7,FALSE()),"please select a BUG ID")</f>
        <v>https://opendev.org/openstack/nova/commit/5fa74bc</v>
      </c>
    </row>
    <row r="1016">
      <c r="A1016" s="16" t="s">
        <v>56</v>
      </c>
      <c r="B1016" s="50" t="str">
        <f>IFERROR(HYPERLINK(VLOOKUP(A1016,Internal_lists_bugs!$A$2:$C$73,3,FALSE()), VLOOKUP(A1016,Internal_lists_bugs!$A$2:$C$73,3,FALSE())&amp;Char(10) &amp; Char(10) &amp; VLOOKUP(A1016,Internal_lists_bugs!$A$2:$Z$73,26,FALSE())),"please select a BUG ID")</f>
        <v>https://bugs.launchpad.net/nova/+bug/1371677
/libvirt/driver.py</v>
      </c>
      <c r="C1016" s="81" t="str">
        <f>IFERROR(VLOOKUP(A1016,Internal_lists_bugs!$A$2:$I7981,9,FALSE()),"please select a BUG ID")</f>
        <v>https://review.opendev.org/c/openstack/nova/+/40467</v>
      </c>
      <c r="D1016" s="114"/>
      <c r="E1016" s="114"/>
      <c r="F1016" s="115"/>
      <c r="G1016" s="16" t="s">
        <v>2663</v>
      </c>
      <c r="H1016" s="16" t="s">
        <v>2664</v>
      </c>
      <c r="I1016" s="82"/>
      <c r="J1016" s="92"/>
      <c r="K1016" s="82"/>
      <c r="M1016" s="114" t="str">
        <f>VLOOKUP(A1016,'BIC_(C_Variables)'!$A$3:$AS$43,45,FALSE())</f>
        <v/>
      </c>
      <c r="N1016" s="1"/>
      <c r="O1016" s="1"/>
      <c r="P1016" s="81" t="str">
        <f>IFERROR(VLOOKUP(A1016,Internal_lists_bugs!$A$2:$G7981,7,FALSE()),"please select a BUG ID")</f>
        <v>https://opendev.org/openstack/nova/commit/5fa74bc</v>
      </c>
    </row>
    <row r="1017">
      <c r="A1017" s="16" t="s">
        <v>56</v>
      </c>
      <c r="B1017" s="50" t="str">
        <f>IFERROR(HYPERLINK(VLOOKUP(A1017,Internal_lists_bugs!$A$2:$C$73,3,FALSE()), VLOOKUP(A1017,Internal_lists_bugs!$A$2:$C$73,3,FALSE())&amp;Char(10) &amp; Char(10) &amp; VLOOKUP(A1017,Internal_lists_bugs!$A$2:$Z$73,26,FALSE())),"please select a BUG ID")</f>
        <v>https://bugs.launchpad.net/nova/+bug/1371677
/libvirt/driver.py</v>
      </c>
      <c r="C1017" s="81" t="str">
        <f>IFERROR(VLOOKUP(A1017,Internal_lists_bugs!$A$2:$I7981,9,FALSE()),"please select a BUG ID")</f>
        <v>https://review.opendev.org/c/openstack/nova/+/40467</v>
      </c>
      <c r="D1017" s="114"/>
      <c r="E1017" s="114"/>
      <c r="F1017" s="115"/>
      <c r="G1017" s="16" t="s">
        <v>1882</v>
      </c>
      <c r="H1017" s="16" t="s">
        <v>2665</v>
      </c>
      <c r="I1017" s="82"/>
      <c r="J1017" s="92"/>
      <c r="K1017" s="82"/>
      <c r="M1017" s="114" t="str">
        <f>VLOOKUP(A1017,'BIC_(C_Variables)'!$A$3:$AS$43,45,FALSE())</f>
        <v/>
      </c>
      <c r="N1017" s="1"/>
      <c r="O1017" s="1"/>
      <c r="P1017" s="81" t="str">
        <f>IFERROR(VLOOKUP(A1017,Internal_lists_bugs!$A$2:$G7981,7,FALSE()),"please select a BUG ID")</f>
        <v>https://opendev.org/openstack/nova/commit/5fa74bc</v>
      </c>
    </row>
    <row r="1018">
      <c r="A1018" s="16" t="s">
        <v>56</v>
      </c>
      <c r="B1018" s="50" t="str">
        <f>IFERROR(HYPERLINK(VLOOKUP(A1018,Internal_lists_bugs!$A$2:$C$73,3,FALSE()), VLOOKUP(A1018,Internal_lists_bugs!$A$2:$C$73,3,FALSE())&amp;Char(10) &amp; Char(10) &amp; VLOOKUP(A1018,Internal_lists_bugs!$A$2:$Z$73,26,FALSE())),"please select a BUG ID")</f>
        <v>https://bugs.launchpad.net/nova/+bug/1371677
/libvirt/driver.py</v>
      </c>
      <c r="C1018" s="81" t="str">
        <f>IFERROR(VLOOKUP(A1018,Internal_lists_bugs!$A$2:$I7981,9,FALSE()),"please select a BUG ID")</f>
        <v>https://review.opendev.org/c/openstack/nova/+/40467</v>
      </c>
      <c r="D1018" s="114"/>
      <c r="E1018" s="114"/>
      <c r="F1018" s="115"/>
      <c r="G1018" s="16" t="s">
        <v>2040</v>
      </c>
      <c r="H1018" s="14" t="s">
        <v>2666</v>
      </c>
      <c r="I1018" s="82"/>
      <c r="J1018" s="92"/>
      <c r="K1018" s="82"/>
      <c r="M1018" s="114" t="str">
        <f>VLOOKUP(A1018,'BIC_(C_Variables)'!$A$3:$AS$43,45,FALSE())</f>
        <v/>
      </c>
      <c r="N1018" s="1"/>
      <c r="O1018" s="1"/>
      <c r="P1018" s="81" t="str">
        <f>IFERROR(VLOOKUP(A1018,Internal_lists_bugs!$A$2:$G7981,7,FALSE()),"please select a BUG ID")</f>
        <v>https://opendev.org/openstack/nova/commit/5fa74bc</v>
      </c>
    </row>
    <row r="1019">
      <c r="A1019" s="16" t="s">
        <v>56</v>
      </c>
      <c r="B1019" s="50" t="str">
        <f>IFERROR(HYPERLINK(VLOOKUP(A1019,Internal_lists_bugs!$A$2:$C$73,3,FALSE()), VLOOKUP(A1019,Internal_lists_bugs!$A$2:$C$73,3,FALSE())&amp;Char(10) &amp; Char(10) &amp; VLOOKUP(A1019,Internal_lists_bugs!$A$2:$Z$73,26,FALSE())),"please select a BUG ID")</f>
        <v>https://bugs.launchpad.net/nova/+bug/1371677
/libvirt/driver.py</v>
      </c>
      <c r="C1019" s="81" t="str">
        <f>IFERROR(VLOOKUP(A1019,Internal_lists_bugs!$A$2:$I7981,9,FALSE()),"please select a BUG ID")</f>
        <v>https://review.opendev.org/c/openstack/nova/+/40467</v>
      </c>
      <c r="D1019" s="114"/>
      <c r="E1019" s="114"/>
      <c r="F1019" s="115"/>
      <c r="G1019" s="16" t="s">
        <v>2303</v>
      </c>
      <c r="H1019" s="16" t="s">
        <v>2667</v>
      </c>
      <c r="I1019" s="82"/>
      <c r="J1019" s="92"/>
      <c r="K1019" s="82"/>
      <c r="M1019" s="114" t="str">
        <f>VLOOKUP(A1019,'BIC_(C_Variables)'!$A$3:$AS$43,45,FALSE())</f>
        <v/>
      </c>
      <c r="N1019" s="1"/>
      <c r="O1019" s="1"/>
      <c r="P1019" s="81" t="str">
        <f>IFERROR(VLOOKUP(A1019,Internal_lists_bugs!$A$2:$G7981,7,FALSE()),"please select a BUG ID")</f>
        <v>https://opendev.org/openstack/nova/commit/5fa74bc</v>
      </c>
    </row>
    <row r="1020">
      <c r="A1020" s="16" t="s">
        <v>56</v>
      </c>
      <c r="B1020" s="50" t="str">
        <f>IFERROR(HYPERLINK(VLOOKUP(A1020,Internal_lists_bugs!$A$2:$C$73,3,FALSE()), VLOOKUP(A1020,Internal_lists_bugs!$A$2:$C$73,3,FALSE())&amp;Char(10) &amp; Char(10) &amp; VLOOKUP(A1020,Internal_lists_bugs!$A$2:$Z$73,26,FALSE())),"please select a BUG ID")</f>
        <v>https://bugs.launchpad.net/nova/+bug/1371677
/libvirt/driver.py</v>
      </c>
      <c r="C1020" s="81" t="str">
        <f>IFERROR(VLOOKUP(A1020,Internal_lists_bugs!$A$2:$I7981,9,FALSE()),"please select a BUG ID")</f>
        <v>https://review.opendev.org/c/openstack/nova/+/40467</v>
      </c>
      <c r="D1020" s="114"/>
      <c r="E1020" s="114"/>
      <c r="F1020" s="115"/>
      <c r="G1020" s="16" t="s">
        <v>1443</v>
      </c>
      <c r="H1020" s="16" t="s">
        <v>2668</v>
      </c>
      <c r="I1020" s="82"/>
      <c r="J1020" s="92"/>
      <c r="K1020" s="82"/>
      <c r="M1020" s="114" t="str">
        <f>VLOOKUP(A1020,'BIC_(C_Variables)'!$A$3:$AS$43,45,FALSE())</f>
        <v/>
      </c>
      <c r="N1020" s="1"/>
      <c r="O1020" s="1"/>
      <c r="P1020" s="81" t="str">
        <f>IFERROR(VLOOKUP(A1020,Internal_lists_bugs!$A$2:$G7981,7,FALSE()),"please select a BUG ID")</f>
        <v>https://opendev.org/openstack/nova/commit/5fa74bc</v>
      </c>
    </row>
    <row r="1021">
      <c r="A1021" s="16" t="s">
        <v>56</v>
      </c>
      <c r="B1021" s="50" t="str">
        <f>IFERROR(HYPERLINK(VLOOKUP(A1021,Internal_lists_bugs!$A$2:$C$73,3,FALSE()), VLOOKUP(A1021,Internal_lists_bugs!$A$2:$C$73,3,FALSE())&amp;Char(10) &amp; Char(10) &amp; VLOOKUP(A1021,Internal_lists_bugs!$A$2:$Z$73,26,FALSE())),"please select a BUG ID")</f>
        <v>https://bugs.launchpad.net/nova/+bug/1371677
/libvirt/driver.py</v>
      </c>
      <c r="C1021" s="81" t="str">
        <f>IFERROR(VLOOKUP(A1021,Internal_lists_bugs!$A$2:$I7981,9,FALSE()),"please select a BUG ID")</f>
        <v>https://review.opendev.org/c/openstack/nova/+/40467</v>
      </c>
      <c r="D1021" s="114"/>
      <c r="E1021" s="114"/>
      <c r="F1021" s="115"/>
      <c r="G1021" s="16" t="s">
        <v>1445</v>
      </c>
      <c r="H1021" s="16" t="s">
        <v>2668</v>
      </c>
      <c r="I1021" s="82"/>
      <c r="J1021" s="92"/>
      <c r="K1021" s="82"/>
      <c r="M1021" s="114" t="str">
        <f>VLOOKUP(A1021,'BIC_(C_Variables)'!$A$3:$AS$43,45,FALSE())</f>
        <v/>
      </c>
      <c r="N1021" s="1"/>
      <c r="O1021" s="1"/>
      <c r="P1021" s="81" t="str">
        <f>IFERROR(VLOOKUP(A1021,Internal_lists_bugs!$A$2:$G7981,7,FALSE()),"please select a BUG ID")</f>
        <v>https://opendev.org/openstack/nova/commit/5fa74bc</v>
      </c>
    </row>
    <row r="1022">
      <c r="A1022" s="16" t="s">
        <v>56</v>
      </c>
      <c r="B1022" s="50" t="str">
        <f>IFERROR(HYPERLINK(VLOOKUP(A1022,Internal_lists_bugs!$A$2:$C$73,3,FALSE()), VLOOKUP(A1022,Internal_lists_bugs!$A$2:$C$73,3,FALSE())&amp;Char(10) &amp; Char(10) &amp; VLOOKUP(A1022,Internal_lists_bugs!$A$2:$Z$73,26,FALSE())),"please select a BUG ID")</f>
        <v>https://bugs.launchpad.net/nova/+bug/1371677
/libvirt/driver.py</v>
      </c>
      <c r="C1022" s="81" t="str">
        <f>IFERROR(VLOOKUP(A1022,Internal_lists_bugs!$A$2:$I7981,9,FALSE()),"please select a BUG ID")</f>
        <v>https://review.opendev.org/c/openstack/nova/+/40467</v>
      </c>
      <c r="D1022" s="114"/>
      <c r="E1022" s="114"/>
      <c r="F1022" s="115"/>
      <c r="G1022" s="16" t="s">
        <v>2235</v>
      </c>
      <c r="H1022" s="16" t="s">
        <v>2669</v>
      </c>
      <c r="I1022" s="82"/>
      <c r="J1022" s="92"/>
      <c r="K1022" s="82"/>
      <c r="M1022" s="114" t="str">
        <f>VLOOKUP(A1022,'BIC_(C_Variables)'!$A$3:$AS$43,45,FALSE())</f>
        <v/>
      </c>
      <c r="N1022" s="1"/>
      <c r="O1022" s="1"/>
      <c r="P1022" s="81" t="str">
        <f>IFERROR(VLOOKUP(A1022,Internal_lists_bugs!$A$2:$G7981,7,FALSE()),"please select a BUG ID")</f>
        <v>https://opendev.org/openstack/nova/commit/5fa74bc</v>
      </c>
    </row>
    <row r="1023">
      <c r="A1023" s="16" t="s">
        <v>56</v>
      </c>
      <c r="B1023" s="50" t="str">
        <f>IFERROR(HYPERLINK(VLOOKUP(A1023,Internal_lists_bugs!$A$2:$C$73,3,FALSE()), VLOOKUP(A1023,Internal_lists_bugs!$A$2:$C$73,3,FALSE())&amp;Char(10) &amp; Char(10) &amp; VLOOKUP(A1023,Internal_lists_bugs!$A$2:$Z$73,26,FALSE())),"please select a BUG ID")</f>
        <v>https://bugs.launchpad.net/nova/+bug/1371677
/libvirt/driver.py</v>
      </c>
      <c r="C1023" s="81" t="str">
        <f>IFERROR(VLOOKUP(A1023,Internal_lists_bugs!$A$2:$I7981,9,FALSE()),"please select a BUG ID")</f>
        <v>https://review.opendev.org/c/openstack/nova/+/40467</v>
      </c>
      <c r="D1023" s="114"/>
      <c r="E1023" s="114"/>
      <c r="F1023" s="115"/>
      <c r="G1023" s="16" t="s">
        <v>1902</v>
      </c>
      <c r="H1023" s="16" t="s">
        <v>2670</v>
      </c>
      <c r="I1023" s="82"/>
      <c r="J1023" s="92"/>
      <c r="K1023" s="82"/>
      <c r="M1023" s="114" t="str">
        <f>VLOOKUP(A1023,'BIC_(C_Variables)'!$A$3:$AS$43,45,FALSE())</f>
        <v/>
      </c>
      <c r="N1023" s="1"/>
      <c r="O1023" s="1"/>
      <c r="P1023" s="81" t="str">
        <f>IFERROR(VLOOKUP(A1023,Internal_lists_bugs!$A$2:$G7981,7,FALSE()),"please select a BUG ID")</f>
        <v>https://opendev.org/openstack/nova/commit/5fa74bc</v>
      </c>
    </row>
    <row r="1024">
      <c r="A1024" s="16" t="s">
        <v>56</v>
      </c>
      <c r="B1024" s="50" t="str">
        <f>IFERROR(HYPERLINK(VLOOKUP(A1024,Internal_lists_bugs!$A$2:$C$73,3,FALSE()), VLOOKUP(A1024,Internal_lists_bugs!$A$2:$C$73,3,FALSE())&amp;Char(10) &amp; Char(10) &amp; VLOOKUP(A1024,Internal_lists_bugs!$A$2:$Z$73,26,FALSE())),"please select a BUG ID")</f>
        <v>https://bugs.launchpad.net/nova/+bug/1371677
/libvirt/driver.py</v>
      </c>
      <c r="C1024" s="81" t="str">
        <f>IFERROR(VLOOKUP(A1024,Internal_lists_bugs!$A$2:$I7981,9,FALSE()),"please select a BUG ID")</f>
        <v>https://review.opendev.org/c/openstack/nova/+/40467</v>
      </c>
      <c r="D1024" s="114"/>
      <c r="E1024" s="114"/>
      <c r="F1024" s="115"/>
      <c r="G1024" s="16" t="s">
        <v>1519</v>
      </c>
      <c r="H1024" s="16" t="s">
        <v>2671</v>
      </c>
      <c r="I1024" s="82"/>
      <c r="J1024" s="92"/>
      <c r="K1024" s="82"/>
      <c r="M1024" s="114" t="str">
        <f>VLOOKUP(A1024,'BIC_(C_Variables)'!$A$3:$AS$43,45,FALSE())</f>
        <v/>
      </c>
      <c r="N1024" s="1"/>
      <c r="O1024" s="1"/>
      <c r="P1024" s="81" t="str">
        <f>IFERROR(VLOOKUP(A1024,Internal_lists_bugs!$A$2:$G7981,7,FALSE()),"please select a BUG ID")</f>
        <v>https://opendev.org/openstack/nova/commit/5fa74bc</v>
      </c>
    </row>
    <row r="1025">
      <c r="A1025" s="16" t="s">
        <v>56</v>
      </c>
      <c r="B1025" s="50" t="str">
        <f>IFERROR(HYPERLINK(VLOOKUP(A1025,Internal_lists_bugs!$A$2:$C$73,3,FALSE()), VLOOKUP(A1025,Internal_lists_bugs!$A$2:$C$73,3,FALSE())&amp;Char(10) &amp; Char(10) &amp; VLOOKUP(A1025,Internal_lists_bugs!$A$2:$Z$73,26,FALSE())),"please select a BUG ID")</f>
        <v>https://bugs.launchpad.net/nova/+bug/1371677
/libvirt/driver.py</v>
      </c>
      <c r="C1025" s="81" t="str">
        <f>IFERROR(VLOOKUP(A1025,Internal_lists_bugs!$A$2:$I7981,9,FALSE()),"please select a BUG ID")</f>
        <v>https://review.opendev.org/c/openstack/nova/+/40467</v>
      </c>
      <c r="D1025" s="114"/>
      <c r="E1025" s="114"/>
      <c r="F1025" s="115"/>
      <c r="G1025" s="16" t="s">
        <v>2384</v>
      </c>
      <c r="H1025" s="16" t="s">
        <v>2672</v>
      </c>
      <c r="I1025" s="82"/>
      <c r="J1025" s="92"/>
      <c r="K1025" s="82"/>
      <c r="M1025" s="114" t="str">
        <f>VLOOKUP(A1025,'BIC_(C_Variables)'!$A$3:$AS$43,45,FALSE())</f>
        <v/>
      </c>
      <c r="N1025" s="1"/>
      <c r="O1025" s="1"/>
      <c r="P1025" s="81" t="str">
        <f>IFERROR(VLOOKUP(A1025,Internal_lists_bugs!$A$2:$G7981,7,FALSE()),"please select a BUG ID")</f>
        <v>https://opendev.org/openstack/nova/commit/5fa74bc</v>
      </c>
    </row>
    <row r="1026">
      <c r="A1026" s="16" t="s">
        <v>56</v>
      </c>
      <c r="B1026" s="50" t="str">
        <f>IFERROR(HYPERLINK(VLOOKUP(A1026,Internal_lists_bugs!$A$2:$C$73,3,FALSE()), VLOOKUP(A1026,Internal_lists_bugs!$A$2:$C$73,3,FALSE())&amp;Char(10) &amp; Char(10) &amp; VLOOKUP(A1026,Internal_lists_bugs!$A$2:$Z$73,26,FALSE())),"please select a BUG ID")</f>
        <v>https://bugs.launchpad.net/nova/+bug/1371677
/libvirt/driver.py</v>
      </c>
      <c r="C1026" s="81" t="str">
        <f>IFERROR(VLOOKUP(A1026,Internal_lists_bugs!$A$2:$I7981,9,FALSE()),"please select a BUG ID")</f>
        <v>https://review.opendev.org/c/openstack/nova/+/40467</v>
      </c>
      <c r="D1026" s="114"/>
      <c r="E1026" s="114"/>
      <c r="F1026" s="115"/>
      <c r="G1026" s="16" t="s">
        <v>2673</v>
      </c>
      <c r="H1026" s="16" t="s">
        <v>2674</v>
      </c>
      <c r="I1026" s="82"/>
      <c r="J1026" s="92"/>
      <c r="K1026" s="82"/>
      <c r="M1026" s="114" t="str">
        <f>VLOOKUP(A1026,'BIC_(C_Variables)'!$A$3:$AS$43,45,FALSE())</f>
        <v/>
      </c>
      <c r="N1026" s="1"/>
      <c r="O1026" s="1"/>
      <c r="P1026" s="81" t="str">
        <f>IFERROR(VLOOKUP(A1026,Internal_lists_bugs!$A$2:$G7981,7,FALSE()),"please select a BUG ID")</f>
        <v>https://opendev.org/openstack/nova/commit/5fa74bc</v>
      </c>
    </row>
    <row r="1027">
      <c r="A1027" s="16" t="s">
        <v>56</v>
      </c>
      <c r="B1027" s="50" t="str">
        <f>IFERROR(HYPERLINK(VLOOKUP(A1027,Internal_lists_bugs!$A$2:$C$73,3,FALSE()), VLOOKUP(A1027,Internal_lists_bugs!$A$2:$C$73,3,FALSE())&amp;Char(10) &amp; Char(10) &amp; VLOOKUP(A1027,Internal_lists_bugs!$A$2:$Z$73,26,FALSE())),"please select a BUG ID")</f>
        <v>https://bugs.launchpad.net/nova/+bug/1371677
/libvirt/driver.py</v>
      </c>
      <c r="C1027" s="81" t="str">
        <f>IFERROR(VLOOKUP(A1027,Internal_lists_bugs!$A$2:$I7981,9,FALSE()),"please select a BUG ID")</f>
        <v>https://review.opendev.org/c/openstack/nova/+/40467</v>
      </c>
      <c r="D1027" s="114"/>
      <c r="E1027" s="114"/>
      <c r="F1027" s="115"/>
      <c r="G1027" s="16" t="s">
        <v>2675</v>
      </c>
      <c r="H1027" s="16" t="s">
        <v>2676</v>
      </c>
      <c r="I1027" s="82"/>
      <c r="J1027" s="92"/>
      <c r="K1027" s="82"/>
      <c r="M1027" s="114" t="str">
        <f>VLOOKUP(A1027,'BIC_(C_Variables)'!$A$3:$AS$43,45,FALSE())</f>
        <v/>
      </c>
      <c r="N1027" s="1"/>
      <c r="O1027" s="1"/>
      <c r="P1027" s="81" t="str">
        <f>IFERROR(VLOOKUP(A1027,Internal_lists_bugs!$A$2:$G7981,7,FALSE()),"please select a BUG ID")</f>
        <v>https://opendev.org/openstack/nova/commit/5fa74bc</v>
      </c>
    </row>
    <row r="1028">
      <c r="A1028" s="16" t="s">
        <v>56</v>
      </c>
      <c r="B1028" s="50" t="str">
        <f>IFERROR(HYPERLINK(VLOOKUP(A1028,Internal_lists_bugs!$A$2:$C$73,3,FALSE()), VLOOKUP(A1028,Internal_lists_bugs!$A$2:$C$73,3,FALSE())&amp;Char(10) &amp; Char(10) &amp; VLOOKUP(A1028,Internal_lists_bugs!$A$2:$Z$73,26,FALSE())),"please select a BUG ID")</f>
        <v>https://bugs.launchpad.net/nova/+bug/1371677
/libvirt/driver.py</v>
      </c>
      <c r="C1028" s="81" t="str">
        <f>IFERROR(VLOOKUP(A1028,Internal_lists_bugs!$A$2:$I7981,9,FALSE()),"please select a BUG ID")</f>
        <v>https://review.opendev.org/c/openstack/nova/+/40467</v>
      </c>
      <c r="D1028" s="114"/>
      <c r="E1028" s="114"/>
      <c r="F1028" s="115"/>
      <c r="G1028" s="16" t="s">
        <v>2677</v>
      </c>
      <c r="H1028" s="16" t="s">
        <v>2678</v>
      </c>
      <c r="I1028" s="82"/>
      <c r="J1028" s="92"/>
      <c r="K1028" s="82"/>
      <c r="M1028" s="114" t="str">
        <f>VLOOKUP(A1028,'BIC_(C_Variables)'!$A$3:$AS$43,45,FALSE())</f>
        <v/>
      </c>
      <c r="N1028" s="1"/>
      <c r="O1028" s="1"/>
      <c r="P1028" s="81" t="str">
        <f>IFERROR(VLOOKUP(A1028,Internal_lists_bugs!$A$2:$G7981,7,FALSE()),"please select a BUG ID")</f>
        <v>https://opendev.org/openstack/nova/commit/5fa74bc</v>
      </c>
    </row>
    <row r="1029">
      <c r="A1029" s="16" t="s">
        <v>56</v>
      </c>
      <c r="B1029" s="50" t="str">
        <f>IFERROR(HYPERLINK(VLOOKUP(A1029,Internal_lists_bugs!$A$2:$C$73,3,FALSE()), VLOOKUP(A1029,Internal_lists_bugs!$A$2:$C$73,3,FALSE())&amp;Char(10) &amp; Char(10) &amp; VLOOKUP(A1029,Internal_lists_bugs!$A$2:$Z$73,26,FALSE())),"please select a BUG ID")</f>
        <v>https://bugs.launchpad.net/nova/+bug/1371677
/libvirt/driver.py</v>
      </c>
      <c r="C1029" s="81" t="str">
        <f>IFERROR(VLOOKUP(A1029,Internal_lists_bugs!$A$2:$I7981,9,FALSE()),"please select a BUG ID")</f>
        <v>https://review.opendev.org/c/openstack/nova/+/40467</v>
      </c>
      <c r="D1029" s="114"/>
      <c r="E1029" s="114"/>
      <c r="F1029" s="115"/>
      <c r="G1029" s="16" t="s">
        <v>2679</v>
      </c>
      <c r="H1029" s="16" t="s">
        <v>2680</v>
      </c>
      <c r="I1029" s="82"/>
      <c r="J1029" s="92"/>
      <c r="K1029" s="82"/>
      <c r="M1029" s="114" t="str">
        <f>VLOOKUP(A1029,'BIC_(C_Variables)'!$A$3:$AS$43,45,FALSE())</f>
        <v/>
      </c>
      <c r="N1029" s="1"/>
      <c r="O1029" s="1"/>
      <c r="P1029" s="81" t="str">
        <f>IFERROR(VLOOKUP(A1029,Internal_lists_bugs!$A$2:$G7981,7,FALSE()),"please select a BUG ID")</f>
        <v>https://opendev.org/openstack/nova/commit/5fa74bc</v>
      </c>
    </row>
    <row r="1030">
      <c r="A1030" s="16" t="s">
        <v>56</v>
      </c>
      <c r="B1030" s="50" t="str">
        <f>IFERROR(HYPERLINK(VLOOKUP(A1030,Internal_lists_bugs!$A$2:$C$73,3,FALSE()), VLOOKUP(A1030,Internal_lists_bugs!$A$2:$C$73,3,FALSE())&amp;Char(10) &amp; Char(10) &amp; VLOOKUP(A1030,Internal_lists_bugs!$A$2:$Z$73,26,FALSE())),"please select a BUG ID")</f>
        <v>https://bugs.launchpad.net/nova/+bug/1371677
/libvirt/driver.py</v>
      </c>
      <c r="C1030" s="81" t="str">
        <f>IFERROR(VLOOKUP(A1030,Internal_lists_bugs!$A$2:$I7981,9,FALSE()),"please select a BUG ID")</f>
        <v>https://review.opendev.org/c/openstack/nova/+/40467</v>
      </c>
      <c r="D1030" s="114"/>
      <c r="E1030" s="114"/>
      <c r="F1030" s="115"/>
      <c r="G1030" s="16" t="s">
        <v>2681</v>
      </c>
      <c r="H1030" s="16" t="s">
        <v>2682</v>
      </c>
      <c r="I1030" s="82"/>
      <c r="J1030" s="92"/>
      <c r="K1030" s="82"/>
      <c r="M1030" s="114" t="str">
        <f>VLOOKUP(A1030,'BIC_(C_Variables)'!$A$3:$AS$43,45,FALSE())</f>
        <v/>
      </c>
      <c r="N1030" s="1"/>
      <c r="O1030" s="1"/>
      <c r="P1030" s="81" t="str">
        <f>IFERROR(VLOOKUP(A1030,Internal_lists_bugs!$A$2:$G7981,7,FALSE()),"please select a BUG ID")</f>
        <v>https://opendev.org/openstack/nova/commit/5fa74bc</v>
      </c>
    </row>
    <row r="1031">
      <c r="A1031" s="16" t="s">
        <v>56</v>
      </c>
      <c r="B1031" s="50" t="str">
        <f>IFERROR(HYPERLINK(VLOOKUP(A1031,Internal_lists_bugs!$A$2:$C$73,3,FALSE()), VLOOKUP(A1031,Internal_lists_bugs!$A$2:$C$73,3,FALSE())&amp;Char(10) &amp; Char(10) &amp; VLOOKUP(A1031,Internal_lists_bugs!$A$2:$Z$73,26,FALSE())),"please select a BUG ID")</f>
        <v>https://bugs.launchpad.net/nova/+bug/1371677
/libvirt/driver.py</v>
      </c>
      <c r="C1031" s="81" t="str">
        <f>IFERROR(VLOOKUP(A1031,Internal_lists_bugs!$A$2:$I7981,9,FALSE()),"please select a BUG ID")</f>
        <v>https://review.opendev.org/c/openstack/nova/+/40467</v>
      </c>
      <c r="D1031" s="114"/>
      <c r="E1031" s="114"/>
      <c r="F1031" s="115"/>
      <c r="G1031" s="16" t="s">
        <v>1871</v>
      </c>
      <c r="H1031" s="16" t="s">
        <v>2683</v>
      </c>
      <c r="I1031" s="82"/>
      <c r="J1031" s="92"/>
      <c r="K1031" s="82"/>
      <c r="M1031" s="114" t="str">
        <f>VLOOKUP(A1031,'BIC_(C_Variables)'!$A$3:$AS$43,45,FALSE())</f>
        <v/>
      </c>
      <c r="N1031" s="1"/>
      <c r="O1031" s="1"/>
      <c r="P1031" s="81" t="str">
        <f>IFERROR(VLOOKUP(A1031,Internal_lists_bugs!$A$2:$G7981,7,FALSE()),"please select a BUG ID")</f>
        <v>https://opendev.org/openstack/nova/commit/5fa74bc</v>
      </c>
    </row>
    <row r="1032">
      <c r="A1032" s="16" t="s">
        <v>56</v>
      </c>
      <c r="B1032" s="50" t="str">
        <f>IFERROR(HYPERLINK(VLOOKUP(A1032,Internal_lists_bugs!$A$2:$C$73,3,FALSE()), VLOOKUP(A1032,Internal_lists_bugs!$A$2:$C$73,3,FALSE())&amp;Char(10) &amp; Char(10) &amp; VLOOKUP(A1032,Internal_lists_bugs!$A$2:$Z$73,26,FALSE())),"please select a BUG ID")</f>
        <v>https://bugs.launchpad.net/nova/+bug/1371677
/libvirt/driver.py</v>
      </c>
      <c r="C1032" s="81" t="str">
        <f>IFERROR(VLOOKUP(A1032,Internal_lists_bugs!$A$2:$I7981,9,FALSE()),"please select a BUG ID")</f>
        <v>https://review.opendev.org/c/openstack/nova/+/40467</v>
      </c>
      <c r="D1032" s="114"/>
      <c r="E1032" s="114"/>
      <c r="F1032" s="115"/>
      <c r="G1032" s="16" t="s">
        <v>2684</v>
      </c>
      <c r="H1032" s="16" t="s">
        <v>2685</v>
      </c>
      <c r="I1032" s="82"/>
      <c r="J1032" s="92"/>
      <c r="K1032" s="82"/>
      <c r="M1032" s="114" t="str">
        <f>VLOOKUP(A1032,'BIC_(C_Variables)'!$A$3:$AS$43,45,FALSE())</f>
        <v/>
      </c>
      <c r="N1032" s="1"/>
      <c r="O1032" s="1"/>
      <c r="P1032" s="81" t="str">
        <f>IFERROR(VLOOKUP(A1032,Internal_lists_bugs!$A$2:$G7981,7,FALSE()),"please select a BUG ID")</f>
        <v>https://opendev.org/openstack/nova/commit/5fa74bc</v>
      </c>
    </row>
    <row r="1033">
      <c r="A1033" s="16" t="s">
        <v>56</v>
      </c>
      <c r="B1033" s="50" t="str">
        <f>IFERROR(HYPERLINK(VLOOKUP(A1033,Internal_lists_bugs!$A$2:$C$73,3,FALSE()), VLOOKUP(A1033,Internal_lists_bugs!$A$2:$C$73,3,FALSE())&amp;Char(10) &amp; Char(10) &amp; VLOOKUP(A1033,Internal_lists_bugs!$A$2:$Z$73,26,FALSE())),"please select a BUG ID")</f>
        <v>https://bugs.launchpad.net/nova/+bug/1371677
/libvirt/driver.py</v>
      </c>
      <c r="C1033" s="81" t="str">
        <f>IFERROR(VLOOKUP(A1033,Internal_lists_bugs!$A$2:$I7981,9,FALSE()),"please select a BUG ID")</f>
        <v>https://review.opendev.org/c/openstack/nova/+/40467</v>
      </c>
      <c r="D1033" s="114"/>
      <c r="E1033" s="114"/>
      <c r="F1033" s="115"/>
      <c r="G1033" s="16" t="s">
        <v>1793</v>
      </c>
      <c r="H1033" s="16" t="s">
        <v>2686</v>
      </c>
      <c r="I1033" s="82"/>
      <c r="J1033" s="92"/>
      <c r="K1033" s="82"/>
      <c r="M1033" s="114" t="str">
        <f>VLOOKUP(A1033,'BIC_(C_Variables)'!$A$3:$AS$43,45,FALSE())</f>
        <v/>
      </c>
      <c r="N1033" s="1"/>
      <c r="O1033" s="1"/>
      <c r="P1033" s="81" t="str">
        <f>IFERROR(VLOOKUP(A1033,Internal_lists_bugs!$A$2:$G7981,7,FALSE()),"please select a BUG ID")</f>
        <v>https://opendev.org/openstack/nova/commit/5fa74bc</v>
      </c>
    </row>
    <row r="1034">
      <c r="A1034" s="16" t="s">
        <v>56</v>
      </c>
      <c r="B1034" s="50" t="str">
        <f>IFERROR(HYPERLINK(VLOOKUP(A1034,Internal_lists_bugs!$A$2:$C$73,3,FALSE()), VLOOKUP(A1034,Internal_lists_bugs!$A$2:$C$73,3,FALSE())&amp;Char(10) &amp; Char(10) &amp; VLOOKUP(A1034,Internal_lists_bugs!$A$2:$Z$73,26,FALSE())),"please select a BUG ID")</f>
        <v>https://bugs.launchpad.net/nova/+bug/1371677
/libvirt/driver.py</v>
      </c>
      <c r="C1034" s="81" t="str">
        <f>IFERROR(VLOOKUP(A1034,Internal_lists_bugs!$A$2:$I7981,9,FALSE()),"please select a BUG ID")</f>
        <v>https://review.opendev.org/c/openstack/nova/+/40467</v>
      </c>
      <c r="D1034" s="114"/>
      <c r="E1034" s="114"/>
      <c r="F1034" s="115"/>
      <c r="G1034" s="16" t="s">
        <v>2687</v>
      </c>
      <c r="H1034" s="16" t="s">
        <v>2688</v>
      </c>
      <c r="I1034" s="82"/>
      <c r="J1034" s="92"/>
      <c r="K1034" s="82"/>
      <c r="M1034" s="114" t="str">
        <f>VLOOKUP(A1034,'BIC_(C_Variables)'!$A$3:$AS$43,45,FALSE())</f>
        <v/>
      </c>
      <c r="N1034" s="1"/>
      <c r="O1034" s="1"/>
      <c r="P1034" s="81" t="str">
        <f>IFERROR(VLOOKUP(A1034,Internal_lists_bugs!$A$2:$G7981,7,FALSE()),"please select a BUG ID")</f>
        <v>https://opendev.org/openstack/nova/commit/5fa74bc</v>
      </c>
    </row>
    <row r="1035">
      <c r="A1035" s="16" t="s">
        <v>56</v>
      </c>
      <c r="B1035" s="50" t="str">
        <f>IFERROR(HYPERLINK(VLOOKUP(A1035,Internal_lists_bugs!$A$2:$C$73,3,FALSE()), VLOOKUP(A1035,Internal_lists_bugs!$A$2:$C$73,3,FALSE())&amp;Char(10) &amp; Char(10) &amp; VLOOKUP(A1035,Internal_lists_bugs!$A$2:$Z$73,26,FALSE())),"please select a BUG ID")</f>
        <v>https://bugs.launchpad.net/nova/+bug/1371677
/libvirt/driver.py</v>
      </c>
      <c r="C1035" s="81" t="str">
        <f>IFERROR(VLOOKUP(A1035,Internal_lists_bugs!$A$2:$I7981,9,FALSE()),"please select a BUG ID")</f>
        <v>https://review.opendev.org/c/openstack/nova/+/40467</v>
      </c>
      <c r="D1035" s="114"/>
      <c r="E1035" s="114"/>
      <c r="F1035" s="115"/>
      <c r="G1035" s="16" t="s">
        <v>1750</v>
      </c>
      <c r="H1035" s="16" t="s">
        <v>2689</v>
      </c>
      <c r="I1035" s="82"/>
      <c r="J1035" s="92"/>
      <c r="K1035" s="82"/>
      <c r="M1035" s="114" t="str">
        <f>VLOOKUP(A1035,'BIC_(C_Variables)'!$A$3:$AS$43,45,FALSE())</f>
        <v/>
      </c>
      <c r="N1035" s="1"/>
      <c r="O1035" s="1"/>
      <c r="P1035" s="81" t="str">
        <f>IFERROR(VLOOKUP(A1035,Internal_lists_bugs!$A$2:$G7981,7,FALSE()),"please select a BUG ID")</f>
        <v>https://opendev.org/openstack/nova/commit/5fa74bc</v>
      </c>
    </row>
    <row r="1036">
      <c r="A1036" s="16" t="s">
        <v>56</v>
      </c>
      <c r="B1036" s="50" t="str">
        <f>IFERROR(HYPERLINK(VLOOKUP(A1036,Internal_lists_bugs!$A$2:$C$73,3,FALSE()), VLOOKUP(A1036,Internal_lists_bugs!$A$2:$C$73,3,FALSE())&amp;Char(10) &amp; Char(10) &amp; VLOOKUP(A1036,Internal_lists_bugs!$A$2:$Z$73,26,FALSE())),"please select a BUG ID")</f>
        <v>https://bugs.launchpad.net/nova/+bug/1371677
/libvirt/driver.py</v>
      </c>
      <c r="C1036" s="81" t="str">
        <f>IFERROR(VLOOKUP(A1036,Internal_lists_bugs!$A$2:$I7981,9,FALSE()),"please select a BUG ID")</f>
        <v>https://review.opendev.org/c/openstack/nova/+/40467</v>
      </c>
      <c r="D1036" s="114"/>
      <c r="E1036" s="114"/>
      <c r="F1036" s="115"/>
      <c r="G1036" s="16" t="s">
        <v>2690</v>
      </c>
      <c r="H1036" s="16" t="s">
        <v>2691</v>
      </c>
      <c r="I1036" s="82"/>
      <c r="J1036" s="92"/>
      <c r="K1036" s="82"/>
      <c r="M1036" s="114" t="str">
        <f>VLOOKUP(A1036,'BIC_(C_Variables)'!$A$3:$AS$43,45,FALSE())</f>
        <v/>
      </c>
      <c r="N1036" s="1"/>
      <c r="O1036" s="1"/>
      <c r="P1036" s="81" t="str">
        <f>IFERROR(VLOOKUP(A1036,Internal_lists_bugs!$A$2:$G7981,7,FALSE()),"please select a BUG ID")</f>
        <v>https://opendev.org/openstack/nova/commit/5fa74bc</v>
      </c>
    </row>
    <row r="1037">
      <c r="A1037" s="16" t="s">
        <v>56</v>
      </c>
      <c r="B1037" s="50" t="str">
        <f>IFERROR(HYPERLINK(VLOOKUP(A1037,Internal_lists_bugs!$A$2:$C$73,3,FALSE()), VLOOKUP(A1037,Internal_lists_bugs!$A$2:$C$73,3,FALSE())&amp;Char(10) &amp; Char(10) &amp; VLOOKUP(A1037,Internal_lists_bugs!$A$2:$Z$73,26,FALSE())),"please select a BUG ID")</f>
        <v>https://bugs.launchpad.net/nova/+bug/1371677
/libvirt/driver.py</v>
      </c>
      <c r="C1037" s="81" t="str">
        <f>IFERROR(VLOOKUP(A1037,Internal_lists_bugs!$A$2:$I7981,9,FALSE()),"please select a BUG ID")</f>
        <v>https://review.opendev.org/c/openstack/nova/+/40467</v>
      </c>
      <c r="D1037" s="114"/>
      <c r="E1037" s="114"/>
      <c r="F1037" s="115"/>
      <c r="G1037" s="16" t="s">
        <v>2692</v>
      </c>
      <c r="H1037" s="16" t="s">
        <v>2693</v>
      </c>
      <c r="I1037" s="82"/>
      <c r="J1037" s="92"/>
      <c r="K1037" s="82"/>
      <c r="M1037" s="114" t="str">
        <f>VLOOKUP(A1037,'BIC_(C_Variables)'!$A$3:$AS$43,45,FALSE())</f>
        <v/>
      </c>
      <c r="N1037" s="1"/>
      <c r="O1037" s="1"/>
      <c r="P1037" s="81" t="str">
        <f>IFERROR(VLOOKUP(A1037,Internal_lists_bugs!$A$2:$G7981,7,FALSE()),"please select a BUG ID")</f>
        <v>https://opendev.org/openstack/nova/commit/5fa74bc</v>
      </c>
    </row>
    <row r="1038">
      <c r="A1038" s="16" t="s">
        <v>56</v>
      </c>
      <c r="B1038" s="50" t="str">
        <f>IFERROR(HYPERLINK(VLOOKUP(A1038,Internal_lists_bugs!$A$2:$C$73,3,FALSE()), VLOOKUP(A1038,Internal_lists_bugs!$A$2:$C$73,3,FALSE())&amp;Char(10) &amp; Char(10) &amp; VLOOKUP(A1038,Internal_lists_bugs!$A$2:$Z$73,26,FALSE())),"please select a BUG ID")</f>
        <v>https://bugs.launchpad.net/nova/+bug/1371677
/libvirt/driver.py</v>
      </c>
      <c r="C1038" s="81" t="str">
        <f>IFERROR(VLOOKUP(A1038,Internal_lists_bugs!$A$2:$I7981,9,FALSE()),"please select a BUG ID")</f>
        <v>https://review.opendev.org/c/openstack/nova/+/40467</v>
      </c>
      <c r="D1038" s="114"/>
      <c r="E1038" s="114"/>
      <c r="F1038" s="115"/>
      <c r="G1038" s="16" t="s">
        <v>1918</v>
      </c>
      <c r="H1038" s="16" t="s">
        <v>2694</v>
      </c>
      <c r="I1038" s="82"/>
      <c r="J1038" s="92"/>
      <c r="K1038" s="82"/>
      <c r="M1038" s="114" t="str">
        <f>VLOOKUP(A1038,'BIC_(C_Variables)'!$A$3:$AS$43,45,FALSE())</f>
        <v/>
      </c>
      <c r="N1038" s="1"/>
      <c r="O1038" s="1"/>
      <c r="P1038" s="81" t="str">
        <f>IFERROR(VLOOKUP(A1038,Internal_lists_bugs!$A$2:$G7981,7,FALSE()),"please select a BUG ID")</f>
        <v>https://opendev.org/openstack/nova/commit/5fa74bc</v>
      </c>
    </row>
    <row r="1039">
      <c r="A1039" s="16" t="s">
        <v>56</v>
      </c>
      <c r="B1039" s="50" t="str">
        <f>IFERROR(HYPERLINK(VLOOKUP(A1039,Internal_lists_bugs!$A$2:$C$73,3,FALSE()), VLOOKUP(A1039,Internal_lists_bugs!$A$2:$C$73,3,FALSE())&amp;Char(10) &amp; Char(10) &amp; VLOOKUP(A1039,Internal_lists_bugs!$A$2:$Z$73,26,FALSE())),"please select a BUG ID")</f>
        <v>https://bugs.launchpad.net/nova/+bug/1371677
/libvirt/driver.py</v>
      </c>
      <c r="C1039" s="81" t="str">
        <f>IFERROR(VLOOKUP(A1039,Internal_lists_bugs!$A$2:$I7981,9,FALSE()),"please select a BUG ID")</f>
        <v>https://review.opendev.org/c/openstack/nova/+/40467</v>
      </c>
      <c r="D1039" s="114"/>
      <c r="E1039" s="114"/>
      <c r="F1039" s="115"/>
      <c r="G1039" s="16" t="s">
        <v>2650</v>
      </c>
      <c r="H1039" s="16" t="s">
        <v>2695</v>
      </c>
      <c r="I1039" s="82"/>
      <c r="J1039" s="92"/>
      <c r="K1039" s="82"/>
      <c r="M1039" s="114" t="str">
        <f>VLOOKUP(A1039,'BIC_(C_Variables)'!$A$3:$AS$43,45,FALSE())</f>
        <v/>
      </c>
      <c r="N1039" s="1"/>
      <c r="O1039" s="1"/>
      <c r="P1039" s="81" t="str">
        <f>IFERROR(VLOOKUP(A1039,Internal_lists_bugs!$A$2:$G7981,7,FALSE()),"please select a BUG ID")</f>
        <v>https://opendev.org/openstack/nova/commit/5fa74bc</v>
      </c>
    </row>
    <row r="1040">
      <c r="A1040" s="16" t="s">
        <v>56</v>
      </c>
      <c r="B1040" s="50" t="str">
        <f>IFERROR(HYPERLINK(VLOOKUP(A1040,Internal_lists_bugs!$A$2:$C$73,3,FALSE()), VLOOKUP(A1040,Internal_lists_bugs!$A$2:$C$73,3,FALSE())&amp;Char(10) &amp; Char(10) &amp; VLOOKUP(A1040,Internal_lists_bugs!$A$2:$Z$73,26,FALSE())),"please select a BUG ID")</f>
        <v>https://bugs.launchpad.net/nova/+bug/1371677
/libvirt/driver.py</v>
      </c>
      <c r="C1040" s="81" t="str">
        <f>IFERROR(VLOOKUP(A1040,Internal_lists_bugs!$A$2:$I7981,9,FALSE()),"please select a BUG ID")</f>
        <v>https://review.opendev.org/c/openstack/nova/+/40467</v>
      </c>
      <c r="D1040" s="114"/>
      <c r="E1040" s="114"/>
      <c r="F1040" s="115"/>
      <c r="G1040" s="16" t="s">
        <v>1531</v>
      </c>
      <c r="H1040" s="16" t="s">
        <v>2696</v>
      </c>
      <c r="I1040" s="82"/>
      <c r="J1040" s="92"/>
      <c r="K1040" s="82"/>
      <c r="M1040" s="114" t="str">
        <f>VLOOKUP(A1040,'BIC_(C_Variables)'!$A$3:$AS$43,45,FALSE())</f>
        <v/>
      </c>
      <c r="N1040" s="1"/>
      <c r="O1040" s="1"/>
      <c r="P1040" s="81" t="str">
        <f>IFERROR(VLOOKUP(A1040,Internal_lists_bugs!$A$2:$G7981,7,FALSE()),"please select a BUG ID")</f>
        <v>https://opendev.org/openstack/nova/commit/5fa74bc</v>
      </c>
    </row>
    <row r="1041">
      <c r="A1041" s="16" t="s">
        <v>56</v>
      </c>
      <c r="B1041" s="50" t="str">
        <f>IFERROR(HYPERLINK(VLOOKUP(A1041,Internal_lists_bugs!$A$2:$C$73,3,FALSE()), VLOOKUP(A1041,Internal_lists_bugs!$A$2:$C$73,3,FALSE())&amp;Char(10) &amp; Char(10) &amp; VLOOKUP(A1041,Internal_lists_bugs!$A$2:$Z$73,26,FALSE())),"please select a BUG ID")</f>
        <v>https://bugs.launchpad.net/nova/+bug/1371677
/libvirt/driver.py</v>
      </c>
      <c r="C1041" s="81" t="str">
        <f>IFERROR(VLOOKUP(A1041,Internal_lists_bugs!$A$2:$I7981,9,FALSE()),"please select a BUG ID")</f>
        <v>https://review.opendev.org/c/openstack/nova/+/40467</v>
      </c>
      <c r="D1041" s="114"/>
      <c r="E1041" s="114"/>
      <c r="F1041" s="115"/>
      <c r="G1041" s="16" t="s">
        <v>2697</v>
      </c>
      <c r="H1041" s="16" t="s">
        <v>2698</v>
      </c>
      <c r="I1041" s="82"/>
      <c r="J1041" s="92"/>
      <c r="K1041" s="82"/>
      <c r="M1041" s="114" t="str">
        <f>VLOOKUP(A1041,'BIC_(C_Variables)'!$A$3:$AS$43,45,FALSE())</f>
        <v/>
      </c>
      <c r="N1041" s="1"/>
      <c r="O1041" s="1"/>
      <c r="P1041" s="81" t="str">
        <f>IFERROR(VLOOKUP(A1041,Internal_lists_bugs!$A$2:$G7981,7,FALSE()),"please select a BUG ID")</f>
        <v>https://opendev.org/openstack/nova/commit/5fa74bc</v>
      </c>
    </row>
    <row r="1042">
      <c r="A1042" s="16" t="s">
        <v>56</v>
      </c>
      <c r="B1042" s="50" t="str">
        <f>IFERROR(HYPERLINK(VLOOKUP(A1042,Internal_lists_bugs!$A$2:$C$73,3,FALSE()), VLOOKUP(A1042,Internal_lists_bugs!$A$2:$C$73,3,FALSE())&amp;Char(10) &amp; Char(10) &amp; VLOOKUP(A1042,Internal_lists_bugs!$A$2:$Z$73,26,FALSE())),"please select a BUG ID")</f>
        <v>https://bugs.launchpad.net/nova/+bug/1371677
/libvirt/driver.py</v>
      </c>
      <c r="C1042" s="81" t="str">
        <f>IFERROR(VLOOKUP(A1042,Internal_lists_bugs!$A$2:$I7981,9,FALSE()),"please select a BUG ID")</f>
        <v>https://review.opendev.org/c/openstack/nova/+/40467</v>
      </c>
      <c r="D1042" s="114"/>
      <c r="E1042" s="114"/>
      <c r="F1042" s="115"/>
      <c r="G1042" s="16" t="s">
        <v>2699</v>
      </c>
      <c r="H1042" s="16" t="s">
        <v>2700</v>
      </c>
      <c r="I1042" s="82"/>
      <c r="J1042" s="92"/>
      <c r="K1042" s="82"/>
      <c r="M1042" s="114" t="str">
        <f>VLOOKUP(A1042,'BIC_(C_Variables)'!$A$3:$AS$43,45,FALSE())</f>
        <v/>
      </c>
      <c r="N1042" s="1"/>
      <c r="O1042" s="1"/>
      <c r="P1042" s="81" t="str">
        <f>IFERROR(VLOOKUP(A1042,Internal_lists_bugs!$A$2:$G7981,7,FALSE()),"please select a BUG ID")</f>
        <v>https://opendev.org/openstack/nova/commit/5fa74bc</v>
      </c>
    </row>
    <row r="1043">
      <c r="A1043" s="16" t="s">
        <v>56</v>
      </c>
      <c r="B1043" s="50" t="str">
        <f>IFERROR(HYPERLINK(VLOOKUP(A1043,Internal_lists_bugs!$A$2:$C$73,3,FALSE()), VLOOKUP(A1043,Internal_lists_bugs!$A$2:$C$73,3,FALSE())&amp;Char(10) &amp; Char(10) &amp; VLOOKUP(A1043,Internal_lists_bugs!$A$2:$Z$73,26,FALSE())),"please select a BUG ID")</f>
        <v>https://bugs.launchpad.net/nova/+bug/1371677
/libvirt/driver.py</v>
      </c>
      <c r="C1043" s="81" t="str">
        <f>IFERROR(VLOOKUP(A1043,Internal_lists_bugs!$A$2:$I7981,9,FALSE()),"please select a BUG ID")</f>
        <v>https://review.opendev.org/c/openstack/nova/+/40467</v>
      </c>
      <c r="D1043" s="114"/>
      <c r="E1043" s="114"/>
      <c r="F1043" s="115"/>
      <c r="G1043" s="16" t="s">
        <v>2701</v>
      </c>
      <c r="H1043" s="16" t="s">
        <v>2702</v>
      </c>
      <c r="I1043" s="82"/>
      <c r="J1043" s="92"/>
      <c r="K1043" s="82"/>
      <c r="M1043" s="114" t="str">
        <f>VLOOKUP(A1043,'BIC_(C_Variables)'!$A$3:$AS$43,45,FALSE())</f>
        <v/>
      </c>
      <c r="N1043" s="1"/>
      <c r="O1043" s="1"/>
      <c r="P1043" s="81" t="str">
        <f>IFERROR(VLOOKUP(A1043,Internal_lists_bugs!$A$2:$G7981,7,FALSE()),"please select a BUG ID")</f>
        <v>https://opendev.org/openstack/nova/commit/5fa74bc</v>
      </c>
    </row>
    <row r="1044">
      <c r="A1044" s="16" t="s">
        <v>56</v>
      </c>
      <c r="B1044" s="50" t="str">
        <f>IFERROR(HYPERLINK(VLOOKUP(A1044,Internal_lists_bugs!$A$2:$C$73,3,FALSE()), VLOOKUP(A1044,Internal_lists_bugs!$A$2:$C$73,3,FALSE())&amp;Char(10) &amp; Char(10) &amp; VLOOKUP(A1044,Internal_lists_bugs!$A$2:$Z$73,26,FALSE())),"please select a BUG ID")</f>
        <v>https://bugs.launchpad.net/nova/+bug/1371677
/libvirt/driver.py</v>
      </c>
      <c r="C1044" s="81" t="str">
        <f>IFERROR(VLOOKUP(A1044,Internal_lists_bugs!$A$2:$I7981,9,FALSE()),"please select a BUG ID")</f>
        <v>https://review.opendev.org/c/openstack/nova/+/40467</v>
      </c>
      <c r="D1044" s="114"/>
      <c r="E1044" s="114"/>
      <c r="F1044" s="115"/>
      <c r="G1044" s="16" t="s">
        <v>1818</v>
      </c>
      <c r="H1044" s="16" t="s">
        <v>2703</v>
      </c>
      <c r="I1044" s="82"/>
      <c r="J1044" s="92"/>
      <c r="K1044" s="82"/>
      <c r="M1044" s="114" t="str">
        <f>VLOOKUP(A1044,'BIC_(C_Variables)'!$A$3:$AS$43,45,FALSE())</f>
        <v/>
      </c>
      <c r="N1044" s="1"/>
      <c r="O1044" s="1"/>
      <c r="P1044" s="81" t="str">
        <f>IFERROR(VLOOKUP(A1044,Internal_lists_bugs!$A$2:$G7981,7,FALSE()),"please select a BUG ID")</f>
        <v>https://opendev.org/openstack/nova/commit/5fa74bc</v>
      </c>
    </row>
    <row r="1045">
      <c r="A1045" s="16" t="s">
        <v>56</v>
      </c>
      <c r="B1045" s="50" t="str">
        <f>IFERROR(HYPERLINK(VLOOKUP(A1045,Internal_lists_bugs!$A$2:$C$73,3,FALSE()), VLOOKUP(A1045,Internal_lists_bugs!$A$2:$C$73,3,FALSE())&amp;Char(10) &amp; Char(10) &amp; VLOOKUP(A1045,Internal_lists_bugs!$A$2:$Z$73,26,FALSE())),"please select a BUG ID")</f>
        <v>https://bugs.launchpad.net/nova/+bug/1371677
/libvirt/driver.py</v>
      </c>
      <c r="C1045" s="81" t="str">
        <f>IFERROR(VLOOKUP(A1045,Internal_lists_bugs!$A$2:$I7981,9,FALSE()),"please select a BUG ID")</f>
        <v>https://review.opendev.org/c/openstack/nova/+/40467</v>
      </c>
      <c r="D1045" s="114"/>
      <c r="E1045" s="114"/>
      <c r="F1045" s="115"/>
      <c r="G1045" s="16" t="s">
        <v>1531</v>
      </c>
      <c r="H1045" s="16" t="s">
        <v>2704</v>
      </c>
      <c r="I1045" s="82"/>
      <c r="J1045" s="92"/>
      <c r="K1045" s="82"/>
      <c r="M1045" s="114" t="str">
        <f>VLOOKUP(A1045,'BIC_(C_Variables)'!$A$3:$AS$43,45,FALSE())</f>
        <v/>
      </c>
      <c r="N1045" s="1"/>
      <c r="O1045" s="1"/>
      <c r="P1045" s="81" t="str">
        <f>IFERROR(VLOOKUP(A1045,Internal_lists_bugs!$A$2:$G7981,7,FALSE()),"please select a BUG ID")</f>
        <v>https://opendev.org/openstack/nova/commit/5fa74bc</v>
      </c>
    </row>
    <row r="1046">
      <c r="A1046" s="16" t="s">
        <v>56</v>
      </c>
      <c r="B1046" s="50" t="str">
        <f>IFERROR(HYPERLINK(VLOOKUP(A1046,Internal_lists_bugs!$A$2:$C$73,3,FALSE()), VLOOKUP(A1046,Internal_lists_bugs!$A$2:$C$73,3,FALSE())&amp;Char(10) &amp; Char(10) &amp; VLOOKUP(A1046,Internal_lists_bugs!$A$2:$Z$73,26,FALSE())),"please select a BUG ID")</f>
        <v>https://bugs.launchpad.net/nova/+bug/1371677
/libvirt/driver.py</v>
      </c>
      <c r="C1046" s="81" t="str">
        <f>IFERROR(VLOOKUP(A1046,Internal_lists_bugs!$A$2:$I7981,9,FALSE()),"please select a BUG ID")</f>
        <v>https://review.opendev.org/c/openstack/nova/+/40467</v>
      </c>
      <c r="D1046" s="114"/>
      <c r="E1046" s="114"/>
      <c r="F1046" s="115"/>
      <c r="G1046" s="16" t="s">
        <v>2474</v>
      </c>
      <c r="H1046" s="16" t="s">
        <v>2705</v>
      </c>
      <c r="I1046" s="82"/>
      <c r="J1046" s="92"/>
      <c r="K1046" s="82"/>
      <c r="M1046" s="114" t="str">
        <f>VLOOKUP(A1046,'BIC_(C_Variables)'!$A$3:$AS$43,45,FALSE())</f>
        <v/>
      </c>
      <c r="N1046" s="1"/>
      <c r="O1046" s="1"/>
      <c r="P1046" s="81" t="str">
        <f>IFERROR(VLOOKUP(A1046,Internal_lists_bugs!$A$2:$G7981,7,FALSE()),"please select a BUG ID")</f>
        <v>https://opendev.org/openstack/nova/commit/5fa74bc</v>
      </c>
    </row>
    <row r="1047">
      <c r="A1047" s="16" t="s">
        <v>56</v>
      </c>
      <c r="B1047" s="50" t="str">
        <f>IFERROR(HYPERLINK(VLOOKUP(A1047,Internal_lists_bugs!$A$2:$C$73,3,FALSE()), VLOOKUP(A1047,Internal_lists_bugs!$A$2:$C$73,3,FALSE())&amp;Char(10) &amp; Char(10) &amp; VLOOKUP(A1047,Internal_lists_bugs!$A$2:$Z$73,26,FALSE())),"please select a BUG ID")</f>
        <v>https://bugs.launchpad.net/nova/+bug/1371677
/libvirt/driver.py</v>
      </c>
      <c r="C1047" s="81" t="str">
        <f>IFERROR(VLOOKUP(A1047,Internal_lists_bugs!$A$2:$I7981,9,FALSE()),"please select a BUG ID")</f>
        <v>https://review.opendev.org/c/openstack/nova/+/40467</v>
      </c>
      <c r="D1047" s="114"/>
      <c r="E1047" s="114"/>
      <c r="F1047" s="115"/>
      <c r="G1047" s="16" t="s">
        <v>2706</v>
      </c>
      <c r="H1047" s="16" t="s">
        <v>2707</v>
      </c>
      <c r="I1047" s="82"/>
      <c r="J1047" s="92"/>
      <c r="K1047" s="82"/>
      <c r="M1047" s="114" t="str">
        <f>VLOOKUP(A1047,'BIC_(C_Variables)'!$A$3:$AS$43,45,FALSE())</f>
        <v/>
      </c>
      <c r="N1047" s="1"/>
      <c r="O1047" s="1"/>
      <c r="P1047" s="81" t="str">
        <f>IFERROR(VLOOKUP(A1047,Internal_lists_bugs!$A$2:$G7981,7,FALSE()),"please select a BUG ID")</f>
        <v>https://opendev.org/openstack/nova/commit/5fa74bc</v>
      </c>
    </row>
    <row r="1048">
      <c r="A1048" s="16" t="s">
        <v>56</v>
      </c>
      <c r="B1048" s="50" t="str">
        <f>IFERROR(HYPERLINK(VLOOKUP(A1048,Internal_lists_bugs!$A$2:$C$73,3,FALSE()), VLOOKUP(A1048,Internal_lists_bugs!$A$2:$C$73,3,FALSE())&amp;Char(10) &amp; Char(10) &amp; VLOOKUP(A1048,Internal_lists_bugs!$A$2:$Z$73,26,FALSE())),"please select a BUG ID")</f>
        <v>https://bugs.launchpad.net/nova/+bug/1371677
/libvirt/driver.py</v>
      </c>
      <c r="C1048" s="81" t="str">
        <f>IFERROR(VLOOKUP(A1048,Internal_lists_bugs!$A$2:$I7981,9,FALSE()),"please select a BUG ID")</f>
        <v>https://review.opendev.org/c/openstack/nova/+/40467</v>
      </c>
      <c r="D1048" s="114"/>
      <c r="E1048" s="114"/>
      <c r="F1048" s="115"/>
      <c r="G1048" s="16" t="s">
        <v>2468</v>
      </c>
      <c r="H1048" s="16" t="s">
        <v>2708</v>
      </c>
      <c r="I1048" s="82"/>
      <c r="J1048" s="92"/>
      <c r="K1048" s="82"/>
      <c r="M1048" s="114" t="str">
        <f>VLOOKUP(A1048,'BIC_(C_Variables)'!$A$3:$AS$43,45,FALSE())</f>
        <v/>
      </c>
      <c r="N1048" s="1"/>
      <c r="O1048" s="1"/>
      <c r="P1048" s="81" t="str">
        <f>IFERROR(VLOOKUP(A1048,Internal_lists_bugs!$A$2:$G7981,7,FALSE()),"please select a BUG ID")</f>
        <v>https://opendev.org/openstack/nova/commit/5fa74bc</v>
      </c>
    </row>
    <row r="1049">
      <c r="A1049" s="16" t="s">
        <v>56</v>
      </c>
      <c r="B1049" s="50" t="str">
        <f>IFERROR(HYPERLINK(VLOOKUP(A1049,Internal_lists_bugs!$A$2:$C$73,3,FALSE()), VLOOKUP(A1049,Internal_lists_bugs!$A$2:$C$73,3,FALSE())&amp;Char(10) &amp; Char(10) &amp; VLOOKUP(A1049,Internal_lists_bugs!$A$2:$Z$73,26,FALSE())),"please select a BUG ID")</f>
        <v>https://bugs.launchpad.net/nova/+bug/1371677
/libvirt/driver.py</v>
      </c>
      <c r="C1049" s="81" t="str">
        <f>IFERROR(VLOOKUP(A1049,Internal_lists_bugs!$A$2:$I7981,9,FALSE()),"please select a BUG ID")</f>
        <v>https://review.opendev.org/c/openstack/nova/+/40467</v>
      </c>
      <c r="D1049" s="114"/>
      <c r="E1049" s="114"/>
      <c r="F1049" s="115"/>
      <c r="G1049" s="16" t="s">
        <v>2042</v>
      </c>
      <c r="H1049" s="16" t="s">
        <v>2709</v>
      </c>
      <c r="I1049" s="82"/>
      <c r="J1049" s="92"/>
      <c r="K1049" s="82"/>
      <c r="M1049" s="114" t="str">
        <f>VLOOKUP(A1049,'BIC_(C_Variables)'!$A$3:$AS$43,45,FALSE())</f>
        <v/>
      </c>
      <c r="N1049" s="1"/>
      <c r="O1049" s="1"/>
      <c r="P1049" s="81" t="str">
        <f>IFERROR(VLOOKUP(A1049,Internal_lists_bugs!$A$2:$G7981,7,FALSE()),"please select a BUG ID")</f>
        <v>https://opendev.org/openstack/nova/commit/5fa74bc</v>
      </c>
    </row>
    <row r="1050">
      <c r="A1050" s="16" t="s">
        <v>56</v>
      </c>
      <c r="B1050" s="50" t="str">
        <f>IFERROR(HYPERLINK(VLOOKUP(A1050,Internal_lists_bugs!$A$2:$C$73,3,FALSE()), VLOOKUP(A1050,Internal_lists_bugs!$A$2:$C$73,3,FALSE())&amp;Char(10) &amp; Char(10) &amp; VLOOKUP(A1050,Internal_lists_bugs!$A$2:$Z$73,26,FALSE())),"please select a BUG ID")</f>
        <v>https://bugs.launchpad.net/nova/+bug/1371677
/libvirt/driver.py</v>
      </c>
      <c r="C1050" s="81" t="str">
        <f>IFERROR(VLOOKUP(A1050,Internal_lists_bugs!$A$2:$I7981,9,FALSE()),"please select a BUG ID")</f>
        <v>https://review.opendev.org/c/openstack/nova/+/40467</v>
      </c>
      <c r="D1050" s="114"/>
      <c r="E1050" s="114"/>
      <c r="F1050" s="115"/>
      <c r="G1050" s="16" t="s">
        <v>2044</v>
      </c>
      <c r="H1050" s="16" t="s">
        <v>2710</v>
      </c>
      <c r="I1050" s="82"/>
      <c r="J1050" s="92"/>
      <c r="K1050" s="82"/>
      <c r="M1050" s="114" t="str">
        <f>VLOOKUP(A1050,'BIC_(C_Variables)'!$A$3:$AS$43,45,FALSE())</f>
        <v/>
      </c>
      <c r="N1050" s="1"/>
      <c r="O1050" s="1"/>
      <c r="P1050" s="81" t="str">
        <f>IFERROR(VLOOKUP(A1050,Internal_lists_bugs!$A$2:$G7981,7,FALSE()),"please select a BUG ID")</f>
        <v>https://opendev.org/openstack/nova/commit/5fa74bc</v>
      </c>
    </row>
    <row r="1051">
      <c r="A1051" s="16" t="s">
        <v>56</v>
      </c>
      <c r="B1051" s="50" t="str">
        <f>IFERROR(HYPERLINK(VLOOKUP(A1051,Internal_lists_bugs!$A$2:$C$73,3,FALSE()), VLOOKUP(A1051,Internal_lists_bugs!$A$2:$C$73,3,FALSE())&amp;Char(10) &amp; Char(10) &amp; VLOOKUP(A1051,Internal_lists_bugs!$A$2:$Z$73,26,FALSE())),"please select a BUG ID")</f>
        <v>https://bugs.launchpad.net/nova/+bug/1371677
/libvirt/driver.py</v>
      </c>
      <c r="C1051" s="81" t="str">
        <f>IFERROR(VLOOKUP(A1051,Internal_lists_bugs!$A$2:$I7981,9,FALSE()),"please select a BUG ID")</f>
        <v>https://review.opendev.org/c/openstack/nova/+/40467</v>
      </c>
      <c r="D1051" s="114"/>
      <c r="E1051" s="114"/>
      <c r="F1051" s="115"/>
      <c r="G1051" s="16" t="s">
        <v>1962</v>
      </c>
      <c r="H1051" s="16" t="s">
        <v>2711</v>
      </c>
      <c r="I1051" s="82"/>
      <c r="J1051" s="92"/>
      <c r="K1051" s="82"/>
      <c r="M1051" s="114" t="str">
        <f>VLOOKUP(A1051,'BIC_(C_Variables)'!$A$3:$AS$43,45,FALSE())</f>
        <v/>
      </c>
      <c r="N1051" s="1"/>
      <c r="O1051" s="1"/>
      <c r="P1051" s="81" t="str">
        <f>IFERROR(VLOOKUP(A1051,Internal_lists_bugs!$A$2:$G7981,7,FALSE()),"please select a BUG ID")</f>
        <v>https://opendev.org/openstack/nova/commit/5fa74bc</v>
      </c>
    </row>
    <row r="1052">
      <c r="A1052" s="16" t="s">
        <v>56</v>
      </c>
      <c r="B1052" s="50" t="str">
        <f>IFERROR(HYPERLINK(VLOOKUP(A1052,Internal_lists_bugs!$A$2:$C$73,3,FALSE()), VLOOKUP(A1052,Internal_lists_bugs!$A$2:$C$73,3,FALSE())&amp;Char(10) &amp; Char(10) &amp; VLOOKUP(A1052,Internal_lists_bugs!$A$2:$Z$73,26,FALSE())),"please select a BUG ID")</f>
        <v>https://bugs.launchpad.net/nova/+bug/1371677
/libvirt/driver.py</v>
      </c>
      <c r="C1052" s="81" t="str">
        <f>IFERROR(VLOOKUP(A1052,Internal_lists_bugs!$A$2:$I7981,9,FALSE()),"please select a BUG ID")</f>
        <v>https://review.opendev.org/c/openstack/nova/+/40467</v>
      </c>
      <c r="D1052" s="114"/>
      <c r="E1052" s="114"/>
      <c r="F1052" s="115"/>
      <c r="G1052" s="16" t="s">
        <v>2712</v>
      </c>
      <c r="H1052" s="16" t="s">
        <v>2713</v>
      </c>
      <c r="I1052" s="82"/>
      <c r="J1052" s="92"/>
      <c r="K1052" s="82"/>
      <c r="M1052" s="114" t="str">
        <f>VLOOKUP(A1052,'BIC_(C_Variables)'!$A$3:$AS$43,45,FALSE())</f>
        <v/>
      </c>
      <c r="N1052" s="1"/>
      <c r="O1052" s="1"/>
      <c r="P1052" s="81" t="str">
        <f>IFERROR(VLOOKUP(A1052,Internal_lists_bugs!$A$2:$G7981,7,FALSE()),"please select a BUG ID")</f>
        <v>https://opendev.org/openstack/nova/commit/5fa74bc</v>
      </c>
    </row>
    <row r="1053">
      <c r="A1053" s="16" t="s">
        <v>56</v>
      </c>
      <c r="B1053" s="50" t="str">
        <f>IFERROR(HYPERLINK(VLOOKUP(A1053,Internal_lists_bugs!$A$2:$C$73,3,FALSE()), VLOOKUP(A1053,Internal_lists_bugs!$A$2:$C$73,3,FALSE())&amp;Char(10) &amp; Char(10) &amp; VLOOKUP(A1053,Internal_lists_bugs!$A$2:$Z$73,26,FALSE())),"please select a BUG ID")</f>
        <v>https://bugs.launchpad.net/nova/+bug/1371677
/libvirt/driver.py</v>
      </c>
      <c r="C1053" s="81" t="str">
        <f>IFERROR(VLOOKUP(A1053,Internal_lists_bugs!$A$2:$I7981,9,FALSE()),"please select a BUG ID")</f>
        <v>https://review.opendev.org/c/openstack/nova/+/40467</v>
      </c>
      <c r="D1053" s="114"/>
      <c r="E1053" s="114"/>
      <c r="F1053" s="115"/>
      <c r="G1053" s="16" t="s">
        <v>1590</v>
      </c>
      <c r="H1053" s="16" t="s">
        <v>2714</v>
      </c>
      <c r="I1053" s="82"/>
      <c r="J1053" s="92"/>
      <c r="K1053" s="82"/>
      <c r="M1053" s="114" t="str">
        <f>VLOOKUP(A1053,'BIC_(C_Variables)'!$A$3:$AS$43,45,FALSE())</f>
        <v/>
      </c>
      <c r="N1053" s="1"/>
      <c r="O1053" s="1"/>
      <c r="P1053" s="81" t="str">
        <f>IFERROR(VLOOKUP(A1053,Internal_lists_bugs!$A$2:$G7981,7,FALSE()),"please select a BUG ID")</f>
        <v>https://opendev.org/openstack/nova/commit/5fa74bc</v>
      </c>
    </row>
    <row r="1054">
      <c r="A1054" s="16" t="s">
        <v>56</v>
      </c>
      <c r="B1054" s="50" t="str">
        <f>IFERROR(HYPERLINK(VLOOKUP(A1054,Internal_lists_bugs!$A$2:$C$73,3,FALSE()), VLOOKUP(A1054,Internal_lists_bugs!$A$2:$C$73,3,FALSE())&amp;Char(10) &amp; Char(10) &amp; VLOOKUP(A1054,Internal_lists_bugs!$A$2:$Z$73,26,FALSE())),"please select a BUG ID")</f>
        <v>https://bugs.launchpad.net/nova/+bug/1371677
/libvirt/driver.py</v>
      </c>
      <c r="C1054" s="81" t="str">
        <f>IFERROR(VLOOKUP(A1054,Internal_lists_bugs!$A$2:$I7981,9,FALSE()),"please select a BUG ID")</f>
        <v>https://review.opendev.org/c/openstack/nova/+/40467</v>
      </c>
      <c r="D1054" s="114"/>
      <c r="E1054" s="114"/>
      <c r="F1054" s="115"/>
      <c r="G1054" s="16" t="s">
        <v>1966</v>
      </c>
      <c r="H1054" s="16" t="s">
        <v>2715</v>
      </c>
      <c r="I1054" s="82"/>
      <c r="J1054" s="92"/>
      <c r="K1054" s="82"/>
      <c r="M1054" s="114" t="str">
        <f>VLOOKUP(A1054,'BIC_(C_Variables)'!$A$3:$AS$43,45,FALSE())</f>
        <v/>
      </c>
      <c r="N1054" s="1"/>
      <c r="O1054" s="1"/>
      <c r="P1054" s="81" t="str">
        <f>IFERROR(VLOOKUP(A1054,Internal_lists_bugs!$A$2:$G7981,7,FALSE()),"please select a BUG ID")</f>
        <v>https://opendev.org/openstack/nova/commit/5fa74bc</v>
      </c>
    </row>
    <row r="1055">
      <c r="A1055" s="16" t="s">
        <v>56</v>
      </c>
      <c r="B1055" s="50" t="str">
        <f>IFERROR(HYPERLINK(VLOOKUP(A1055,Internal_lists_bugs!$A$2:$C$73,3,FALSE()), VLOOKUP(A1055,Internal_lists_bugs!$A$2:$C$73,3,FALSE())&amp;Char(10) &amp; Char(10) &amp; VLOOKUP(A1055,Internal_lists_bugs!$A$2:$Z$73,26,FALSE())),"please select a BUG ID")</f>
        <v>https://bugs.launchpad.net/nova/+bug/1371677
/libvirt/driver.py</v>
      </c>
      <c r="C1055" s="81" t="str">
        <f>IFERROR(VLOOKUP(A1055,Internal_lists_bugs!$A$2:$I7981,9,FALSE()),"please select a BUG ID")</f>
        <v>https://review.opendev.org/c/openstack/nova/+/40467</v>
      </c>
      <c r="D1055" s="114"/>
      <c r="E1055" s="114"/>
      <c r="F1055" s="115"/>
      <c r="G1055" s="16" t="s">
        <v>1709</v>
      </c>
      <c r="H1055" s="16" t="s">
        <v>2716</v>
      </c>
      <c r="I1055" s="82"/>
      <c r="J1055" s="92"/>
      <c r="K1055" s="82"/>
      <c r="M1055" s="114" t="str">
        <f>VLOOKUP(A1055,'BIC_(C_Variables)'!$A$3:$AS$43,45,FALSE())</f>
        <v/>
      </c>
      <c r="N1055" s="1"/>
      <c r="O1055" s="1"/>
      <c r="P1055" s="81" t="str">
        <f>IFERROR(VLOOKUP(A1055,Internal_lists_bugs!$A$2:$G7981,7,FALSE()),"please select a BUG ID")</f>
        <v>https://opendev.org/openstack/nova/commit/5fa74bc</v>
      </c>
    </row>
    <row r="1056">
      <c r="A1056" s="16" t="s">
        <v>56</v>
      </c>
      <c r="B1056" s="50" t="str">
        <f>IFERROR(HYPERLINK(VLOOKUP(A1056,Internal_lists_bugs!$A$2:$C$73,3,FALSE()), VLOOKUP(A1056,Internal_lists_bugs!$A$2:$C$73,3,FALSE())&amp;Char(10) &amp; Char(10) &amp; VLOOKUP(A1056,Internal_lists_bugs!$A$2:$Z$73,26,FALSE())),"please select a BUG ID")</f>
        <v>https://bugs.launchpad.net/nova/+bug/1371677
/libvirt/driver.py</v>
      </c>
      <c r="C1056" s="81" t="str">
        <f>IFERROR(VLOOKUP(A1056,Internal_lists_bugs!$A$2:$I7981,9,FALSE()),"please select a BUG ID")</f>
        <v>https://review.opendev.org/c/openstack/nova/+/40467</v>
      </c>
      <c r="D1056" s="114"/>
      <c r="E1056" s="114"/>
      <c r="F1056" s="115"/>
      <c r="G1056" s="16" t="s">
        <v>2717</v>
      </c>
      <c r="H1056" s="16" t="s">
        <v>2718</v>
      </c>
      <c r="I1056" s="82"/>
      <c r="J1056" s="92"/>
      <c r="K1056" s="82"/>
      <c r="M1056" s="114" t="str">
        <f>VLOOKUP(A1056,'BIC_(C_Variables)'!$A$3:$AS$43,45,FALSE())</f>
        <v/>
      </c>
      <c r="N1056" s="1"/>
      <c r="O1056" s="1"/>
      <c r="P1056" s="81" t="str">
        <f>IFERROR(VLOOKUP(A1056,Internal_lists_bugs!$A$2:$G7981,7,FALSE()),"please select a BUG ID")</f>
        <v>https://opendev.org/openstack/nova/commit/5fa74bc</v>
      </c>
    </row>
    <row r="1057">
      <c r="A1057" s="16" t="s">
        <v>56</v>
      </c>
      <c r="B1057" s="50" t="str">
        <f>IFERROR(HYPERLINK(VLOOKUP(A1057,Internal_lists_bugs!$A$2:$C$73,3,FALSE()), VLOOKUP(A1057,Internal_lists_bugs!$A$2:$C$73,3,FALSE())&amp;Char(10) &amp; Char(10) &amp; VLOOKUP(A1057,Internal_lists_bugs!$A$2:$Z$73,26,FALSE())),"please select a BUG ID")</f>
        <v>https://bugs.launchpad.net/nova/+bug/1371677
/libvirt/driver.py</v>
      </c>
      <c r="C1057" s="81" t="str">
        <f>IFERROR(VLOOKUP(A1057,Internal_lists_bugs!$A$2:$I7981,9,FALSE()),"please select a BUG ID")</f>
        <v>https://review.opendev.org/c/openstack/nova/+/40467</v>
      </c>
      <c r="D1057" s="114"/>
      <c r="E1057" s="114"/>
      <c r="F1057" s="115"/>
      <c r="G1057" s="16" t="s">
        <v>2719</v>
      </c>
      <c r="H1057" s="16" t="s">
        <v>2720</v>
      </c>
      <c r="I1057" s="82"/>
      <c r="J1057" s="92"/>
      <c r="K1057" s="82"/>
      <c r="M1057" s="114" t="str">
        <f>VLOOKUP(A1057,'BIC_(C_Variables)'!$A$3:$AS$43,45,FALSE())</f>
        <v/>
      </c>
      <c r="N1057" s="1"/>
      <c r="O1057" s="1"/>
      <c r="P1057" s="81" t="str">
        <f>IFERROR(VLOOKUP(A1057,Internal_lists_bugs!$A$2:$G7981,7,FALSE()),"please select a BUG ID")</f>
        <v>https://opendev.org/openstack/nova/commit/5fa74bc</v>
      </c>
    </row>
    <row r="1058">
      <c r="A1058" s="16" t="s">
        <v>56</v>
      </c>
      <c r="B1058" s="50" t="str">
        <f>IFERROR(HYPERLINK(VLOOKUP(A1058,Internal_lists_bugs!$A$2:$C$73,3,FALSE()), VLOOKUP(A1058,Internal_lists_bugs!$A$2:$C$73,3,FALSE())&amp;Char(10) &amp; Char(10) &amp; VLOOKUP(A1058,Internal_lists_bugs!$A$2:$Z$73,26,FALSE())),"please select a BUG ID")</f>
        <v>https://bugs.launchpad.net/nova/+bug/1371677
/libvirt/driver.py</v>
      </c>
      <c r="C1058" s="81" t="str">
        <f>IFERROR(VLOOKUP(A1058,Internal_lists_bugs!$A$2:$I7981,9,FALSE()),"please select a BUG ID")</f>
        <v>https://review.opendev.org/c/openstack/nova/+/40467</v>
      </c>
      <c r="D1058" s="114"/>
      <c r="E1058" s="114"/>
      <c r="F1058" s="115"/>
      <c r="G1058" s="16" t="s">
        <v>1676</v>
      </c>
      <c r="H1058" s="16" t="s">
        <v>2721</v>
      </c>
      <c r="I1058" s="82"/>
      <c r="J1058" s="92"/>
      <c r="K1058" s="82"/>
      <c r="M1058" s="114" t="str">
        <f>VLOOKUP(A1058,'BIC_(C_Variables)'!$A$3:$AS$43,45,FALSE())</f>
        <v/>
      </c>
      <c r="N1058" s="1"/>
      <c r="O1058" s="1"/>
      <c r="P1058" s="81" t="str">
        <f>IFERROR(VLOOKUP(A1058,Internal_lists_bugs!$A$2:$G7981,7,FALSE()),"please select a BUG ID")</f>
        <v>https://opendev.org/openstack/nova/commit/5fa74bc</v>
      </c>
    </row>
    <row r="1059">
      <c r="A1059" s="16" t="s">
        <v>56</v>
      </c>
      <c r="B1059" s="50" t="str">
        <f>IFERROR(HYPERLINK(VLOOKUP(A1059,Internal_lists_bugs!$A$2:$C$73,3,FALSE()), VLOOKUP(A1059,Internal_lists_bugs!$A$2:$C$73,3,FALSE())&amp;Char(10) &amp; Char(10) &amp; VLOOKUP(A1059,Internal_lists_bugs!$A$2:$Z$73,26,FALSE())),"please select a BUG ID")</f>
        <v>https://bugs.launchpad.net/nova/+bug/1371677
/libvirt/driver.py</v>
      </c>
      <c r="C1059" s="81" t="str">
        <f>IFERROR(VLOOKUP(A1059,Internal_lists_bugs!$A$2:$I7981,9,FALSE()),"please select a BUG ID")</f>
        <v>https://review.opendev.org/c/openstack/nova/+/40467</v>
      </c>
      <c r="D1059" s="114"/>
      <c r="E1059" s="114"/>
      <c r="F1059" s="115"/>
      <c r="G1059" s="16" t="s">
        <v>1676</v>
      </c>
      <c r="H1059" s="16" t="s">
        <v>2722</v>
      </c>
      <c r="I1059" s="82"/>
      <c r="J1059" s="92"/>
      <c r="K1059" s="82"/>
      <c r="M1059" s="114" t="str">
        <f>VLOOKUP(A1059,'BIC_(C_Variables)'!$A$3:$AS$43,45,FALSE())</f>
        <v/>
      </c>
      <c r="N1059" s="1"/>
      <c r="O1059" s="1"/>
      <c r="P1059" s="81" t="str">
        <f>IFERROR(VLOOKUP(A1059,Internal_lists_bugs!$A$2:$G7981,7,FALSE()),"please select a BUG ID")</f>
        <v>https://opendev.org/openstack/nova/commit/5fa74bc</v>
      </c>
    </row>
    <row r="1060">
      <c r="A1060" s="16" t="s">
        <v>56</v>
      </c>
      <c r="B1060" s="50" t="str">
        <f>IFERROR(HYPERLINK(VLOOKUP(A1060,Internal_lists_bugs!$A$2:$C$73,3,FALSE()), VLOOKUP(A1060,Internal_lists_bugs!$A$2:$C$73,3,FALSE())&amp;Char(10) &amp; Char(10) &amp; VLOOKUP(A1060,Internal_lists_bugs!$A$2:$Z$73,26,FALSE())),"please select a BUG ID")</f>
        <v>https://bugs.launchpad.net/nova/+bug/1371677
/libvirt/driver.py</v>
      </c>
      <c r="C1060" s="81" t="str">
        <f>IFERROR(VLOOKUP(A1060,Internal_lists_bugs!$A$2:$I7981,9,FALSE()),"please select a BUG ID")</f>
        <v>https://review.opendev.org/c/openstack/nova/+/40467</v>
      </c>
      <c r="D1060" s="114"/>
      <c r="E1060" s="114"/>
      <c r="F1060" s="115"/>
      <c r="G1060" s="16" t="s">
        <v>1676</v>
      </c>
      <c r="H1060" s="16" t="s">
        <v>2723</v>
      </c>
      <c r="I1060" s="82"/>
      <c r="J1060" s="92"/>
      <c r="K1060" s="82"/>
      <c r="M1060" s="114" t="str">
        <f>VLOOKUP(A1060,'BIC_(C_Variables)'!$A$3:$AS$43,45,FALSE())</f>
        <v/>
      </c>
      <c r="N1060" s="1"/>
      <c r="O1060" s="1"/>
      <c r="P1060" s="81" t="str">
        <f>IFERROR(VLOOKUP(A1060,Internal_lists_bugs!$A$2:$G7981,7,FALSE()),"please select a BUG ID")</f>
        <v>https://opendev.org/openstack/nova/commit/5fa74bc</v>
      </c>
    </row>
    <row r="1061">
      <c r="A1061" s="16" t="s">
        <v>56</v>
      </c>
      <c r="B1061" s="50" t="str">
        <f>IFERROR(HYPERLINK(VLOOKUP(A1061,Internal_lists_bugs!$A$2:$C$73,3,FALSE()), VLOOKUP(A1061,Internal_lists_bugs!$A$2:$C$73,3,FALSE())&amp;Char(10) &amp; Char(10) &amp; VLOOKUP(A1061,Internal_lists_bugs!$A$2:$Z$73,26,FALSE())),"please select a BUG ID")</f>
        <v>https://bugs.launchpad.net/nova/+bug/1371677
/libvirt/driver.py</v>
      </c>
      <c r="C1061" s="81" t="str">
        <f>IFERROR(VLOOKUP(A1061,Internal_lists_bugs!$A$2:$I7981,9,FALSE()),"please select a BUG ID")</f>
        <v>https://review.opendev.org/c/openstack/nova/+/40467</v>
      </c>
      <c r="D1061" s="114"/>
      <c r="E1061" s="114"/>
      <c r="F1061" s="115"/>
      <c r="G1061" s="16" t="s">
        <v>2724</v>
      </c>
      <c r="H1061" s="16" t="s">
        <v>2725</v>
      </c>
      <c r="I1061" s="82"/>
      <c r="J1061" s="92"/>
      <c r="K1061" s="82"/>
      <c r="M1061" s="114" t="str">
        <f>VLOOKUP(A1061,'BIC_(C_Variables)'!$A$3:$AS$43,45,FALSE())</f>
        <v/>
      </c>
      <c r="N1061" s="1"/>
      <c r="O1061" s="1"/>
      <c r="P1061" s="81" t="str">
        <f>IFERROR(VLOOKUP(A1061,Internal_lists_bugs!$A$2:$G7981,7,FALSE()),"please select a BUG ID")</f>
        <v>https://opendev.org/openstack/nova/commit/5fa74bc</v>
      </c>
    </row>
    <row r="1062">
      <c r="A1062" s="16" t="s">
        <v>56</v>
      </c>
      <c r="B1062" s="50" t="str">
        <f>IFERROR(HYPERLINK(VLOOKUP(A1062,Internal_lists_bugs!$A$2:$C$73,3,FALSE()), VLOOKUP(A1062,Internal_lists_bugs!$A$2:$C$73,3,FALSE())&amp;Char(10) &amp; Char(10) &amp; VLOOKUP(A1062,Internal_lists_bugs!$A$2:$Z$73,26,FALSE())),"please select a BUG ID")</f>
        <v>https://bugs.launchpad.net/nova/+bug/1371677
/libvirt/driver.py</v>
      </c>
      <c r="C1062" s="81" t="str">
        <f>IFERROR(VLOOKUP(A1062,Internal_lists_bugs!$A$2:$I7981,9,FALSE()),"please select a BUG ID")</f>
        <v>https://review.opendev.org/c/openstack/nova/+/40467</v>
      </c>
      <c r="D1062" s="114"/>
      <c r="E1062" s="114"/>
      <c r="F1062" s="115"/>
      <c r="G1062" s="16" t="s">
        <v>1531</v>
      </c>
      <c r="H1062" s="16" t="s">
        <v>2726</v>
      </c>
      <c r="I1062" s="82"/>
      <c r="J1062" s="92"/>
      <c r="K1062" s="82"/>
      <c r="M1062" s="114" t="str">
        <f>VLOOKUP(A1062,'BIC_(C_Variables)'!$A$3:$AS$43,45,FALSE())</f>
        <v/>
      </c>
      <c r="N1062" s="1"/>
      <c r="O1062" s="1"/>
      <c r="P1062" s="81" t="str">
        <f>IFERROR(VLOOKUP(A1062,Internal_lists_bugs!$A$2:$G7981,7,FALSE()),"please select a BUG ID")</f>
        <v>https://opendev.org/openstack/nova/commit/5fa74bc</v>
      </c>
    </row>
    <row r="1063">
      <c r="A1063" s="16" t="s">
        <v>56</v>
      </c>
      <c r="B1063" s="50" t="str">
        <f>IFERROR(HYPERLINK(VLOOKUP(A1063,Internal_lists_bugs!$A$2:$C$73,3,FALSE()), VLOOKUP(A1063,Internal_lists_bugs!$A$2:$C$73,3,FALSE())&amp;Char(10) &amp; Char(10) &amp; VLOOKUP(A1063,Internal_lists_bugs!$A$2:$Z$73,26,FALSE())),"please select a BUG ID")</f>
        <v>https://bugs.launchpad.net/nova/+bug/1371677
/libvirt/driver.py</v>
      </c>
      <c r="C1063" s="81" t="str">
        <f>IFERROR(VLOOKUP(A1063,Internal_lists_bugs!$A$2:$I7981,9,FALSE()),"please select a BUG ID")</f>
        <v>https://review.opendev.org/c/openstack/nova/+/40467</v>
      </c>
      <c r="D1063" s="114"/>
      <c r="E1063" s="114"/>
      <c r="F1063" s="115"/>
      <c r="G1063" s="16" t="s">
        <v>2727</v>
      </c>
      <c r="H1063" s="16" t="s">
        <v>2728</v>
      </c>
      <c r="I1063" s="82"/>
      <c r="J1063" s="92"/>
      <c r="K1063" s="82"/>
      <c r="M1063" s="114" t="str">
        <f>VLOOKUP(A1063,'BIC_(C_Variables)'!$A$3:$AS$43,45,FALSE())</f>
        <v/>
      </c>
      <c r="N1063" s="1"/>
      <c r="O1063" s="1"/>
      <c r="P1063" s="81" t="str">
        <f>IFERROR(VLOOKUP(A1063,Internal_lists_bugs!$A$2:$G7981,7,FALSE()),"please select a BUG ID")</f>
        <v>https://opendev.org/openstack/nova/commit/5fa74bc</v>
      </c>
    </row>
    <row r="1064">
      <c r="A1064" s="16" t="s">
        <v>56</v>
      </c>
      <c r="B1064" s="50" t="str">
        <f>IFERROR(HYPERLINK(VLOOKUP(A1064,Internal_lists_bugs!$A$2:$C$73,3,FALSE()), VLOOKUP(A1064,Internal_lists_bugs!$A$2:$C$73,3,FALSE())&amp;Char(10) &amp; Char(10) &amp; VLOOKUP(A1064,Internal_lists_bugs!$A$2:$Z$73,26,FALSE())),"please select a BUG ID")</f>
        <v>https://bugs.launchpad.net/nova/+bug/1371677
/libvirt/driver.py</v>
      </c>
      <c r="C1064" s="81" t="str">
        <f>IFERROR(VLOOKUP(A1064,Internal_lists_bugs!$A$2:$I7981,9,FALSE()),"please select a BUG ID")</f>
        <v>https://review.opendev.org/c/openstack/nova/+/40467</v>
      </c>
      <c r="D1064" s="114"/>
      <c r="E1064" s="114"/>
      <c r="F1064" s="115"/>
      <c r="G1064" s="16" t="s">
        <v>2042</v>
      </c>
      <c r="H1064" s="16" t="s">
        <v>2729</v>
      </c>
      <c r="I1064" s="82"/>
      <c r="J1064" s="92"/>
      <c r="K1064" s="82"/>
      <c r="M1064" s="114" t="str">
        <f>VLOOKUP(A1064,'BIC_(C_Variables)'!$A$3:$AS$43,45,FALSE())</f>
        <v/>
      </c>
      <c r="N1064" s="1"/>
      <c r="O1064" s="1"/>
      <c r="P1064" s="81" t="str">
        <f>IFERROR(VLOOKUP(A1064,Internal_lists_bugs!$A$2:$G7981,7,FALSE()),"please select a BUG ID")</f>
        <v>https://opendev.org/openstack/nova/commit/5fa74bc</v>
      </c>
    </row>
    <row r="1065">
      <c r="A1065" s="16" t="s">
        <v>56</v>
      </c>
      <c r="B1065" s="50" t="str">
        <f>IFERROR(HYPERLINK(VLOOKUP(A1065,Internal_lists_bugs!$A$2:$C$73,3,FALSE()), VLOOKUP(A1065,Internal_lists_bugs!$A$2:$C$73,3,FALSE())&amp;Char(10) &amp; Char(10) &amp; VLOOKUP(A1065,Internal_lists_bugs!$A$2:$Z$73,26,FALSE())),"please select a BUG ID")</f>
        <v>https://bugs.launchpad.net/nova/+bug/1371677
/libvirt/driver.py</v>
      </c>
      <c r="C1065" s="81" t="str">
        <f>IFERROR(VLOOKUP(A1065,Internal_lists_bugs!$A$2:$I7981,9,FALSE()),"please select a BUG ID")</f>
        <v>https://review.opendev.org/c/openstack/nova/+/40467</v>
      </c>
      <c r="D1065" s="114"/>
      <c r="E1065" s="114"/>
      <c r="F1065" s="115"/>
      <c r="G1065" s="16" t="s">
        <v>2044</v>
      </c>
      <c r="H1065" s="16" t="s">
        <v>2730</v>
      </c>
      <c r="I1065" s="82"/>
      <c r="J1065" s="92"/>
      <c r="K1065" s="82"/>
      <c r="M1065" s="114" t="str">
        <f>VLOOKUP(A1065,'BIC_(C_Variables)'!$A$3:$AS$43,45,FALSE())</f>
        <v/>
      </c>
      <c r="N1065" s="1"/>
      <c r="O1065" s="1"/>
      <c r="P1065" s="81" t="str">
        <f>IFERROR(VLOOKUP(A1065,Internal_lists_bugs!$A$2:$G7981,7,FALSE()),"please select a BUG ID")</f>
        <v>https://opendev.org/openstack/nova/commit/5fa74bc</v>
      </c>
    </row>
    <row r="1066">
      <c r="A1066" s="16" t="s">
        <v>56</v>
      </c>
      <c r="B1066" s="50" t="str">
        <f>IFERROR(HYPERLINK(VLOOKUP(A1066,Internal_lists_bugs!$A$2:$C$73,3,FALSE()), VLOOKUP(A1066,Internal_lists_bugs!$A$2:$C$73,3,FALSE())&amp;Char(10) &amp; Char(10) &amp; VLOOKUP(A1066,Internal_lists_bugs!$A$2:$Z$73,26,FALSE())),"please select a BUG ID")</f>
        <v>https://bugs.launchpad.net/nova/+bug/1371677
/libvirt/driver.py</v>
      </c>
      <c r="C1066" s="81" t="str">
        <f>IFERROR(VLOOKUP(A1066,Internal_lists_bugs!$A$2:$I7981,9,FALSE()),"please select a BUG ID")</f>
        <v>https://review.opendev.org/c/openstack/nova/+/40467</v>
      </c>
      <c r="D1066" s="114"/>
      <c r="E1066" s="114"/>
      <c r="F1066" s="115"/>
      <c r="G1066" s="16" t="s">
        <v>2731</v>
      </c>
      <c r="H1066" s="16" t="s">
        <v>2732</v>
      </c>
      <c r="I1066" s="82"/>
      <c r="J1066" s="92"/>
      <c r="K1066" s="82"/>
      <c r="M1066" s="114" t="str">
        <f>VLOOKUP(A1066,'BIC_(C_Variables)'!$A$3:$AS$43,45,FALSE())</f>
        <v/>
      </c>
      <c r="N1066" s="1"/>
      <c r="O1066" s="1"/>
      <c r="P1066" s="81" t="str">
        <f>IFERROR(VLOOKUP(A1066,Internal_lists_bugs!$A$2:$G7981,7,FALSE()),"please select a BUG ID")</f>
        <v>https://opendev.org/openstack/nova/commit/5fa74bc</v>
      </c>
    </row>
    <row r="1067">
      <c r="A1067" s="16" t="s">
        <v>56</v>
      </c>
      <c r="B1067" s="50" t="str">
        <f>IFERROR(HYPERLINK(VLOOKUP(A1067,Internal_lists_bugs!$A$2:$C$73,3,FALSE()), VLOOKUP(A1067,Internal_lists_bugs!$A$2:$C$73,3,FALSE())&amp;Char(10) &amp; Char(10) &amp; VLOOKUP(A1067,Internal_lists_bugs!$A$2:$Z$73,26,FALSE())),"please select a BUG ID")</f>
        <v>https://bugs.launchpad.net/nova/+bug/1371677
/libvirt/driver.py</v>
      </c>
      <c r="C1067" s="81" t="str">
        <f>IFERROR(VLOOKUP(A1067,Internal_lists_bugs!$A$2:$I7981,9,FALSE()),"please select a BUG ID")</f>
        <v>https://review.opendev.org/c/openstack/nova/+/40467</v>
      </c>
      <c r="D1067" s="114"/>
      <c r="E1067" s="114"/>
      <c r="F1067" s="115"/>
      <c r="G1067" s="16" t="s">
        <v>1978</v>
      </c>
      <c r="H1067" s="16" t="s">
        <v>2733</v>
      </c>
      <c r="I1067" s="82"/>
      <c r="J1067" s="92"/>
      <c r="K1067" s="82"/>
      <c r="M1067" s="114" t="str">
        <f>VLOOKUP(A1067,'BIC_(C_Variables)'!$A$3:$AS$43,45,FALSE())</f>
        <v/>
      </c>
      <c r="N1067" s="1"/>
      <c r="O1067" s="1"/>
      <c r="P1067" s="81" t="str">
        <f>IFERROR(VLOOKUP(A1067,Internal_lists_bugs!$A$2:$G7981,7,FALSE()),"please select a BUG ID")</f>
        <v>https://opendev.org/openstack/nova/commit/5fa74bc</v>
      </c>
    </row>
    <row r="1068">
      <c r="A1068" s="16" t="s">
        <v>56</v>
      </c>
      <c r="B1068" s="50" t="str">
        <f>IFERROR(HYPERLINK(VLOOKUP(A1068,Internal_lists_bugs!$A$2:$C$73,3,FALSE()), VLOOKUP(A1068,Internal_lists_bugs!$A$2:$C$73,3,FALSE())&amp;Char(10) &amp; Char(10) &amp; VLOOKUP(A1068,Internal_lists_bugs!$A$2:$Z$73,26,FALSE())),"please select a BUG ID")</f>
        <v>https://bugs.launchpad.net/nova/+bug/1371677
/libvirt/driver.py</v>
      </c>
      <c r="C1068" s="81" t="str">
        <f>IFERROR(VLOOKUP(A1068,Internal_lists_bugs!$A$2:$I7981,9,FALSE()),"please select a BUG ID")</f>
        <v>https://review.opendev.org/c/openstack/nova/+/40467</v>
      </c>
      <c r="D1068" s="114"/>
      <c r="E1068" s="114"/>
      <c r="F1068" s="115"/>
      <c r="G1068" s="16" t="s">
        <v>2581</v>
      </c>
      <c r="H1068" s="16" t="s">
        <v>2734</v>
      </c>
      <c r="I1068" s="82"/>
      <c r="J1068" s="92"/>
      <c r="K1068" s="82"/>
      <c r="M1068" s="114" t="str">
        <f>VLOOKUP(A1068,'BIC_(C_Variables)'!$A$3:$AS$43,45,FALSE())</f>
        <v/>
      </c>
      <c r="N1068" s="1"/>
      <c r="O1068" s="1"/>
      <c r="P1068" s="81" t="str">
        <f>IFERROR(VLOOKUP(A1068,Internal_lists_bugs!$A$2:$G7981,7,FALSE()),"please select a BUG ID")</f>
        <v>https://opendev.org/openstack/nova/commit/5fa74bc</v>
      </c>
    </row>
    <row r="1069">
      <c r="A1069" s="16" t="s">
        <v>56</v>
      </c>
      <c r="B1069" s="50" t="str">
        <f>IFERROR(HYPERLINK(VLOOKUP(A1069,Internal_lists_bugs!$A$2:$C$73,3,FALSE()), VLOOKUP(A1069,Internal_lists_bugs!$A$2:$C$73,3,FALSE())&amp;Char(10) &amp; Char(10) &amp; VLOOKUP(A1069,Internal_lists_bugs!$A$2:$Z$73,26,FALSE())),"please select a BUG ID")</f>
        <v>https://bugs.launchpad.net/nova/+bug/1371677
/libvirt/driver.py</v>
      </c>
      <c r="C1069" s="81" t="str">
        <f>IFERROR(VLOOKUP(A1069,Internal_lists_bugs!$A$2:$I7981,9,FALSE()),"please select a BUG ID")</f>
        <v>https://review.opendev.org/c/openstack/nova/+/40467</v>
      </c>
      <c r="D1069" s="114"/>
      <c r="E1069" s="114"/>
      <c r="F1069" s="115"/>
      <c r="G1069" s="16" t="s">
        <v>2735</v>
      </c>
      <c r="H1069" s="16" t="s">
        <v>2736</v>
      </c>
      <c r="I1069" s="82"/>
      <c r="J1069" s="92"/>
      <c r="K1069" s="82"/>
      <c r="M1069" s="114" t="str">
        <f>VLOOKUP(A1069,'BIC_(C_Variables)'!$A$3:$AS$43,45,FALSE())</f>
        <v/>
      </c>
      <c r="N1069" s="1"/>
      <c r="O1069" s="1"/>
      <c r="P1069" s="81" t="str">
        <f>IFERROR(VLOOKUP(A1069,Internal_lists_bugs!$A$2:$G7981,7,FALSE()),"please select a BUG ID")</f>
        <v>https://opendev.org/openstack/nova/commit/5fa74bc</v>
      </c>
    </row>
    <row r="1070">
      <c r="A1070" s="16" t="s">
        <v>56</v>
      </c>
      <c r="B1070" s="50" t="str">
        <f>IFERROR(HYPERLINK(VLOOKUP(A1070,Internal_lists_bugs!$A$2:$C$73,3,FALSE()), VLOOKUP(A1070,Internal_lists_bugs!$A$2:$C$73,3,FALSE())&amp;Char(10) &amp; Char(10) &amp; VLOOKUP(A1070,Internal_lists_bugs!$A$2:$Z$73,26,FALSE())),"please select a BUG ID")</f>
        <v>https://bugs.launchpad.net/nova/+bug/1371677
/libvirt/driver.py</v>
      </c>
      <c r="C1070" s="81" t="str">
        <f>IFERROR(VLOOKUP(A1070,Internal_lists_bugs!$A$2:$I7981,9,FALSE()),"please select a BUG ID")</f>
        <v>https://review.opendev.org/c/openstack/nova/+/40467</v>
      </c>
      <c r="D1070" s="114"/>
      <c r="E1070" s="114"/>
      <c r="F1070" s="115"/>
      <c r="G1070" s="16" t="s">
        <v>1728</v>
      </c>
      <c r="H1070" s="16" t="s">
        <v>2737</v>
      </c>
      <c r="I1070" s="82"/>
      <c r="J1070" s="92"/>
      <c r="K1070" s="82"/>
      <c r="M1070" s="114" t="str">
        <f>VLOOKUP(A1070,'BIC_(C_Variables)'!$A$3:$AS$43,45,FALSE())</f>
        <v/>
      </c>
      <c r="N1070" s="1"/>
      <c r="O1070" s="1"/>
      <c r="P1070" s="81" t="str">
        <f>IFERROR(VLOOKUP(A1070,Internal_lists_bugs!$A$2:$G7981,7,FALSE()),"please select a BUG ID")</f>
        <v>https://opendev.org/openstack/nova/commit/5fa74bc</v>
      </c>
    </row>
    <row r="1071">
      <c r="A1071" s="16" t="s">
        <v>56</v>
      </c>
      <c r="B1071" s="50" t="str">
        <f>IFERROR(HYPERLINK(VLOOKUP(A1071,Internal_lists_bugs!$A$2:$C$73,3,FALSE()), VLOOKUP(A1071,Internal_lists_bugs!$A$2:$C$73,3,FALSE())&amp;Char(10) &amp; Char(10) &amp; VLOOKUP(A1071,Internal_lists_bugs!$A$2:$Z$73,26,FALSE())),"please select a BUG ID")</f>
        <v>https://bugs.launchpad.net/nova/+bug/1371677
/libvirt/driver.py</v>
      </c>
      <c r="C1071" s="81" t="str">
        <f>IFERROR(VLOOKUP(A1071,Internal_lists_bugs!$A$2:$I7981,9,FALSE()),"please select a BUG ID")</f>
        <v>https://review.opendev.org/c/openstack/nova/+/40467</v>
      </c>
      <c r="D1071" s="114"/>
      <c r="E1071" s="114"/>
      <c r="F1071" s="115"/>
      <c r="G1071" s="16" t="s">
        <v>1750</v>
      </c>
      <c r="H1071" s="16" t="s">
        <v>2738</v>
      </c>
      <c r="I1071" s="82"/>
      <c r="J1071" s="92"/>
      <c r="K1071" s="82"/>
      <c r="M1071" s="114" t="str">
        <f>VLOOKUP(A1071,'BIC_(C_Variables)'!$A$3:$AS$43,45,FALSE())</f>
        <v/>
      </c>
      <c r="N1071" s="1"/>
      <c r="O1071" s="1"/>
      <c r="P1071" s="81" t="str">
        <f>IFERROR(VLOOKUP(A1071,Internal_lists_bugs!$A$2:$G7981,7,FALSE()),"please select a BUG ID")</f>
        <v>https://opendev.org/openstack/nova/commit/5fa74bc</v>
      </c>
    </row>
    <row r="1072">
      <c r="A1072" s="16" t="s">
        <v>56</v>
      </c>
      <c r="B1072" s="50" t="str">
        <f>IFERROR(HYPERLINK(VLOOKUP(A1072,Internal_lists_bugs!$A$2:$C$73,3,FALSE()), VLOOKUP(A1072,Internal_lists_bugs!$A$2:$C$73,3,FALSE())&amp;Char(10) &amp; Char(10) &amp; VLOOKUP(A1072,Internal_lists_bugs!$A$2:$Z$73,26,FALSE())),"please select a BUG ID")</f>
        <v>https://bugs.launchpad.net/nova/+bug/1371677
/libvirt/driver.py</v>
      </c>
      <c r="C1072" s="81" t="str">
        <f>IFERROR(VLOOKUP(A1072,Internal_lists_bugs!$A$2:$I7981,9,FALSE()),"please select a BUG ID")</f>
        <v>https://review.opendev.org/c/openstack/nova/+/40467</v>
      </c>
      <c r="D1072" s="114"/>
      <c r="E1072" s="114"/>
      <c r="F1072" s="115"/>
      <c r="G1072" s="16" t="s">
        <v>2528</v>
      </c>
      <c r="H1072" s="16" t="s">
        <v>2739</v>
      </c>
      <c r="I1072" s="82"/>
      <c r="J1072" s="92"/>
      <c r="K1072" s="82"/>
      <c r="M1072" s="114" t="str">
        <f>VLOOKUP(A1072,'BIC_(C_Variables)'!$A$3:$AS$43,45,FALSE())</f>
        <v/>
      </c>
      <c r="N1072" s="1"/>
      <c r="O1072" s="1"/>
      <c r="P1072" s="81" t="str">
        <f>IFERROR(VLOOKUP(A1072,Internal_lists_bugs!$A$2:$G7981,7,FALSE()),"please select a BUG ID")</f>
        <v>https://opendev.org/openstack/nova/commit/5fa74bc</v>
      </c>
    </row>
    <row r="1073">
      <c r="A1073" s="16" t="s">
        <v>56</v>
      </c>
      <c r="B1073" s="50" t="str">
        <f>IFERROR(HYPERLINK(VLOOKUP(A1073,Internal_lists_bugs!$A$2:$C$73,3,FALSE()), VLOOKUP(A1073,Internal_lists_bugs!$A$2:$C$73,3,FALSE())&amp;Char(10) &amp; Char(10) &amp; VLOOKUP(A1073,Internal_lists_bugs!$A$2:$Z$73,26,FALSE())),"please select a BUG ID")</f>
        <v>https://bugs.launchpad.net/nova/+bug/1371677
/libvirt/driver.py</v>
      </c>
      <c r="C1073" s="81" t="str">
        <f>IFERROR(VLOOKUP(A1073,Internal_lists_bugs!$A$2:$I7981,9,FALSE()),"please select a BUG ID")</f>
        <v>https://review.opendev.org/c/openstack/nova/+/40467</v>
      </c>
      <c r="D1073" s="114"/>
      <c r="E1073" s="114"/>
      <c r="F1073" s="115"/>
      <c r="G1073" s="16" t="s">
        <v>1450</v>
      </c>
      <c r="H1073" s="16" t="s">
        <v>2740</v>
      </c>
      <c r="I1073" s="82"/>
      <c r="J1073" s="92"/>
      <c r="K1073" s="82"/>
      <c r="M1073" s="114" t="str">
        <f>VLOOKUP(A1073,'BIC_(C_Variables)'!$A$3:$AS$43,45,FALSE())</f>
        <v/>
      </c>
      <c r="N1073" s="1"/>
      <c r="O1073" s="1"/>
      <c r="P1073" s="81" t="str">
        <f>IFERROR(VLOOKUP(A1073,Internal_lists_bugs!$A$2:$G7981,7,FALSE()),"please select a BUG ID")</f>
        <v>https://opendev.org/openstack/nova/commit/5fa74bc</v>
      </c>
    </row>
    <row r="1074">
      <c r="A1074" s="16" t="s">
        <v>56</v>
      </c>
      <c r="B1074" s="50" t="str">
        <f>IFERROR(HYPERLINK(VLOOKUP(A1074,Internal_lists_bugs!$A$2:$C$73,3,FALSE()), VLOOKUP(A1074,Internal_lists_bugs!$A$2:$C$73,3,FALSE())&amp;Char(10) &amp; Char(10) &amp; VLOOKUP(A1074,Internal_lists_bugs!$A$2:$Z$73,26,FALSE())),"please select a BUG ID")</f>
        <v>https://bugs.launchpad.net/nova/+bug/1371677
/libvirt/driver.py</v>
      </c>
      <c r="C1074" s="81" t="str">
        <f>IFERROR(VLOOKUP(A1074,Internal_lists_bugs!$A$2:$I7981,9,FALSE()),"please select a BUG ID")</f>
        <v>https://review.opendev.org/c/openstack/nova/+/40467</v>
      </c>
      <c r="D1074" s="114"/>
      <c r="E1074" s="114"/>
      <c r="F1074" s="115"/>
      <c r="G1074" s="16" t="s">
        <v>1452</v>
      </c>
      <c r="H1074" s="16" t="s">
        <v>2740</v>
      </c>
      <c r="I1074" s="82"/>
      <c r="J1074" s="92"/>
      <c r="K1074" s="82"/>
      <c r="M1074" s="114" t="str">
        <f>VLOOKUP(A1074,'BIC_(C_Variables)'!$A$3:$AS$43,45,FALSE())</f>
        <v/>
      </c>
      <c r="N1074" s="1"/>
      <c r="O1074" s="1"/>
      <c r="P1074" s="81" t="str">
        <f>IFERROR(VLOOKUP(A1074,Internal_lists_bugs!$A$2:$G7981,7,FALSE()),"please select a BUG ID")</f>
        <v>https://opendev.org/openstack/nova/commit/5fa74bc</v>
      </c>
    </row>
    <row r="1075">
      <c r="A1075" s="16" t="s">
        <v>56</v>
      </c>
      <c r="B1075" s="50" t="str">
        <f>IFERROR(HYPERLINK(VLOOKUP(A1075,Internal_lists_bugs!$A$2:$C$73,3,FALSE()), VLOOKUP(A1075,Internal_lists_bugs!$A$2:$C$73,3,FALSE())&amp;Char(10) &amp; Char(10) &amp; VLOOKUP(A1075,Internal_lists_bugs!$A$2:$Z$73,26,FALSE())),"please select a BUG ID")</f>
        <v>https://bugs.launchpad.net/nova/+bug/1371677
/libvirt/driver.py</v>
      </c>
      <c r="C1075" s="81" t="str">
        <f>IFERROR(VLOOKUP(A1075,Internal_lists_bugs!$A$2:$I7981,9,FALSE()),"please select a BUG ID")</f>
        <v>https://review.opendev.org/c/openstack/nova/+/40467</v>
      </c>
      <c r="D1075" s="114"/>
      <c r="E1075" s="114"/>
      <c r="F1075" s="115"/>
      <c r="G1075" s="16" t="s">
        <v>1453</v>
      </c>
      <c r="H1075" s="16" t="s">
        <v>2741</v>
      </c>
      <c r="I1075" s="82"/>
      <c r="J1075" s="92"/>
      <c r="K1075" s="82"/>
      <c r="M1075" s="114" t="str">
        <f>VLOOKUP(A1075,'BIC_(C_Variables)'!$A$3:$AS$43,45,FALSE())</f>
        <v/>
      </c>
      <c r="N1075" s="1"/>
      <c r="O1075" s="1"/>
      <c r="P1075" s="81" t="str">
        <f>IFERROR(VLOOKUP(A1075,Internal_lists_bugs!$A$2:$G7981,7,FALSE()),"please select a BUG ID")</f>
        <v>https://opendev.org/openstack/nova/commit/5fa74bc</v>
      </c>
    </row>
    <row r="1076">
      <c r="A1076" s="16" t="s">
        <v>56</v>
      </c>
      <c r="B1076" s="50" t="str">
        <f>IFERROR(HYPERLINK(VLOOKUP(A1076,Internal_lists_bugs!$A$2:$C$73,3,FALSE()), VLOOKUP(A1076,Internal_lists_bugs!$A$2:$C$73,3,FALSE())&amp;Char(10) &amp; Char(10) &amp; VLOOKUP(A1076,Internal_lists_bugs!$A$2:$Z$73,26,FALSE())),"please select a BUG ID")</f>
        <v>https://bugs.launchpad.net/nova/+bug/1371677
/libvirt/driver.py</v>
      </c>
      <c r="C1076" s="81" t="str">
        <f>IFERROR(VLOOKUP(A1076,Internal_lists_bugs!$A$2:$I7981,9,FALSE()),"please select a BUG ID")</f>
        <v>https://review.opendev.org/c/openstack/nova/+/40467</v>
      </c>
      <c r="D1076" s="114"/>
      <c r="E1076" s="114"/>
      <c r="F1076" s="115"/>
      <c r="G1076" s="16" t="s">
        <v>1455</v>
      </c>
      <c r="H1076" s="16" t="s">
        <v>2741</v>
      </c>
      <c r="I1076" s="82"/>
      <c r="J1076" s="92"/>
      <c r="K1076" s="82"/>
      <c r="M1076" s="114" t="str">
        <f>VLOOKUP(A1076,'BIC_(C_Variables)'!$A$3:$AS$43,45,FALSE())</f>
        <v/>
      </c>
      <c r="N1076" s="1"/>
      <c r="O1076" s="1"/>
      <c r="P1076" s="81" t="str">
        <f>IFERROR(VLOOKUP(A1076,Internal_lists_bugs!$A$2:$G7981,7,FALSE()),"please select a BUG ID")</f>
        <v>https://opendev.org/openstack/nova/commit/5fa74bc</v>
      </c>
    </row>
    <row r="1077">
      <c r="A1077" s="16" t="s">
        <v>56</v>
      </c>
      <c r="B1077" s="50" t="str">
        <f>IFERROR(HYPERLINK(VLOOKUP(A1077,Internal_lists_bugs!$A$2:$C$73,3,FALSE()), VLOOKUP(A1077,Internal_lists_bugs!$A$2:$C$73,3,FALSE())&amp;Char(10) &amp; Char(10) &amp; VLOOKUP(A1077,Internal_lists_bugs!$A$2:$Z$73,26,FALSE())),"please select a BUG ID")</f>
        <v>https://bugs.launchpad.net/nova/+bug/1371677
/libvirt/driver.py</v>
      </c>
      <c r="C1077" s="81" t="str">
        <f>IFERROR(VLOOKUP(A1077,Internal_lists_bugs!$A$2:$I7981,9,FALSE()),"please select a BUG ID")</f>
        <v>https://review.opendev.org/c/openstack/nova/+/40467</v>
      </c>
      <c r="D1077" s="114"/>
      <c r="E1077" s="114"/>
      <c r="F1077" s="115"/>
      <c r="G1077" s="16" t="s">
        <v>1860</v>
      </c>
      <c r="H1077" s="16" t="s">
        <v>2742</v>
      </c>
      <c r="I1077" s="82"/>
      <c r="J1077" s="92"/>
      <c r="K1077" s="82"/>
      <c r="M1077" s="114" t="str">
        <f>VLOOKUP(A1077,'BIC_(C_Variables)'!$A$3:$AS$43,45,FALSE())</f>
        <v/>
      </c>
      <c r="N1077" s="1"/>
      <c r="O1077" s="1"/>
      <c r="P1077" s="81" t="str">
        <f>IFERROR(VLOOKUP(A1077,Internal_lists_bugs!$A$2:$G7981,7,FALSE()),"please select a BUG ID")</f>
        <v>https://opendev.org/openstack/nova/commit/5fa74bc</v>
      </c>
    </row>
    <row r="1078">
      <c r="A1078" s="16" t="s">
        <v>56</v>
      </c>
      <c r="B1078" s="50" t="str">
        <f>IFERROR(HYPERLINK(VLOOKUP(A1078,Internal_lists_bugs!$A$2:$C$73,3,FALSE()), VLOOKUP(A1078,Internal_lists_bugs!$A$2:$C$73,3,FALSE())&amp;Char(10) &amp; Char(10) &amp; VLOOKUP(A1078,Internal_lists_bugs!$A$2:$Z$73,26,FALSE())),"please select a BUG ID")</f>
        <v>https://bugs.launchpad.net/nova/+bug/1371677
/libvirt/driver.py</v>
      </c>
      <c r="C1078" s="81" t="str">
        <f>IFERROR(VLOOKUP(A1078,Internal_lists_bugs!$A$2:$I7981,9,FALSE()),"please select a BUG ID")</f>
        <v>https://review.opendev.org/c/openstack/nova/+/40467</v>
      </c>
      <c r="D1078" s="114"/>
      <c r="E1078" s="114"/>
      <c r="F1078" s="115"/>
      <c r="G1078" s="16" t="s">
        <v>1702</v>
      </c>
      <c r="H1078" s="16" t="s">
        <v>2742</v>
      </c>
      <c r="I1078" s="82"/>
      <c r="J1078" s="92"/>
      <c r="K1078" s="82"/>
      <c r="M1078" s="114" t="str">
        <f>VLOOKUP(A1078,'BIC_(C_Variables)'!$A$3:$AS$43,45,FALSE())</f>
        <v/>
      </c>
      <c r="N1078" s="1"/>
      <c r="O1078" s="1"/>
      <c r="P1078" s="81" t="str">
        <f>IFERROR(VLOOKUP(A1078,Internal_lists_bugs!$A$2:$G7981,7,FALSE()),"please select a BUG ID")</f>
        <v>https://opendev.org/openstack/nova/commit/5fa74bc</v>
      </c>
    </row>
    <row r="1079">
      <c r="A1079" s="16" t="s">
        <v>56</v>
      </c>
      <c r="B1079" s="50" t="str">
        <f>IFERROR(HYPERLINK(VLOOKUP(A1079,Internal_lists_bugs!$A$2:$C$73,3,FALSE()), VLOOKUP(A1079,Internal_lists_bugs!$A$2:$C$73,3,FALSE())&amp;Char(10) &amp; Char(10) &amp; VLOOKUP(A1079,Internal_lists_bugs!$A$2:$Z$73,26,FALSE())),"please select a BUG ID")</f>
        <v>https://bugs.launchpad.net/nova/+bug/1371677
/libvirt/driver.py</v>
      </c>
      <c r="C1079" s="81" t="str">
        <f>IFERROR(VLOOKUP(A1079,Internal_lists_bugs!$A$2:$I7981,9,FALSE()),"please select a BUG ID")</f>
        <v>https://review.opendev.org/c/openstack/nova/+/40467</v>
      </c>
      <c r="D1079" s="114"/>
      <c r="E1079" s="114"/>
      <c r="F1079" s="115"/>
      <c r="G1079" s="16" t="s">
        <v>1458</v>
      </c>
      <c r="H1079" s="16" t="s">
        <v>2743</v>
      </c>
      <c r="I1079" s="82"/>
      <c r="J1079" s="92"/>
      <c r="K1079" s="82"/>
      <c r="M1079" s="114" t="str">
        <f>VLOOKUP(A1079,'BIC_(C_Variables)'!$A$3:$AS$43,45,FALSE())</f>
        <v/>
      </c>
      <c r="N1079" s="1"/>
      <c r="O1079" s="1"/>
      <c r="P1079" s="81" t="str">
        <f>IFERROR(VLOOKUP(A1079,Internal_lists_bugs!$A$2:$G7981,7,FALSE()),"please select a BUG ID")</f>
        <v>https://opendev.org/openstack/nova/commit/5fa74bc</v>
      </c>
    </row>
    <row r="1080">
      <c r="A1080" s="16" t="s">
        <v>56</v>
      </c>
      <c r="B1080" s="50" t="str">
        <f>IFERROR(HYPERLINK(VLOOKUP(A1080,Internal_lists_bugs!$A$2:$C$73,3,FALSE()), VLOOKUP(A1080,Internal_lists_bugs!$A$2:$C$73,3,FALSE())&amp;Char(10) &amp; Char(10) &amp; VLOOKUP(A1080,Internal_lists_bugs!$A$2:$Z$73,26,FALSE())),"please select a BUG ID")</f>
        <v>https://bugs.launchpad.net/nova/+bug/1371677
/libvirt/driver.py</v>
      </c>
      <c r="C1080" s="81" t="str">
        <f>IFERROR(VLOOKUP(A1080,Internal_lists_bugs!$A$2:$I7981,9,FALSE()),"please select a BUG ID")</f>
        <v>https://review.opendev.org/c/openstack/nova/+/40467</v>
      </c>
      <c r="D1080" s="114"/>
      <c r="E1080" s="114"/>
      <c r="F1080" s="115"/>
      <c r="G1080" s="16" t="s">
        <v>1900</v>
      </c>
      <c r="H1080" s="16" t="s">
        <v>2743</v>
      </c>
      <c r="I1080" s="82"/>
      <c r="J1080" s="92"/>
      <c r="K1080" s="82"/>
      <c r="M1080" s="114" t="str">
        <f>VLOOKUP(A1080,'BIC_(C_Variables)'!$A$3:$AS$43,45,FALSE())</f>
        <v/>
      </c>
      <c r="N1080" s="1"/>
      <c r="O1080" s="1"/>
      <c r="P1080" s="81" t="str">
        <f>IFERROR(VLOOKUP(A1080,Internal_lists_bugs!$A$2:$G7981,7,FALSE()),"please select a BUG ID")</f>
        <v>https://opendev.org/openstack/nova/commit/5fa74bc</v>
      </c>
    </row>
    <row r="1081">
      <c r="A1081" s="16" t="s">
        <v>56</v>
      </c>
      <c r="B1081" s="50" t="str">
        <f>IFERROR(HYPERLINK(VLOOKUP(A1081,Internal_lists_bugs!$A$2:$C$73,3,FALSE()), VLOOKUP(A1081,Internal_lists_bugs!$A$2:$C$73,3,FALSE())&amp;Char(10) &amp; Char(10) &amp; VLOOKUP(A1081,Internal_lists_bugs!$A$2:$Z$73,26,FALSE())),"please select a BUG ID")</f>
        <v>https://bugs.launchpad.net/nova/+bug/1371677
/libvirt/driver.py</v>
      </c>
      <c r="C1081" s="81" t="str">
        <f>IFERROR(VLOOKUP(A1081,Internal_lists_bugs!$A$2:$I7981,9,FALSE()),"please select a BUG ID")</f>
        <v>https://review.opendev.org/c/openstack/nova/+/40467</v>
      </c>
      <c r="D1081" s="114"/>
      <c r="E1081" s="114"/>
      <c r="F1081" s="115"/>
      <c r="G1081" s="16" t="s">
        <v>2335</v>
      </c>
      <c r="H1081" s="16" t="s">
        <v>2744</v>
      </c>
      <c r="I1081" s="82"/>
      <c r="J1081" s="92"/>
      <c r="K1081" s="82"/>
      <c r="M1081" s="114" t="str">
        <f>VLOOKUP(A1081,'BIC_(C_Variables)'!$A$3:$AS$43,45,FALSE())</f>
        <v/>
      </c>
      <c r="N1081" s="1"/>
      <c r="O1081" s="1"/>
      <c r="P1081" s="81" t="str">
        <f>IFERROR(VLOOKUP(A1081,Internal_lists_bugs!$A$2:$G7981,7,FALSE()),"please select a BUG ID")</f>
        <v>https://opendev.org/openstack/nova/commit/5fa74bc</v>
      </c>
    </row>
    <row r="1082">
      <c r="A1082" s="16" t="s">
        <v>56</v>
      </c>
      <c r="B1082" s="50" t="str">
        <f>IFERROR(HYPERLINK(VLOOKUP(A1082,Internal_lists_bugs!$A$2:$C$73,3,FALSE()), VLOOKUP(A1082,Internal_lists_bugs!$A$2:$C$73,3,FALSE())&amp;Char(10) &amp; Char(10) &amp; VLOOKUP(A1082,Internal_lists_bugs!$A$2:$Z$73,26,FALSE())),"please select a BUG ID")</f>
        <v>https://bugs.launchpad.net/nova/+bug/1371677
/libvirt/driver.py</v>
      </c>
      <c r="C1082" s="81" t="str">
        <f>IFERROR(VLOOKUP(A1082,Internal_lists_bugs!$A$2:$I7981,9,FALSE()),"please select a BUG ID")</f>
        <v>https://review.opendev.org/c/openstack/nova/+/40467</v>
      </c>
      <c r="D1082" s="114"/>
      <c r="E1082" s="114"/>
      <c r="F1082" s="115"/>
      <c r="G1082" s="16" t="s">
        <v>1909</v>
      </c>
      <c r="H1082" s="16" t="s">
        <v>2744</v>
      </c>
      <c r="I1082" s="82"/>
      <c r="J1082" s="92"/>
      <c r="K1082" s="82"/>
      <c r="M1082" s="114" t="str">
        <f>VLOOKUP(A1082,'BIC_(C_Variables)'!$A$3:$AS$43,45,FALSE())</f>
        <v/>
      </c>
      <c r="N1082" s="1"/>
      <c r="O1082" s="1"/>
      <c r="P1082" s="81" t="str">
        <f>IFERROR(VLOOKUP(A1082,Internal_lists_bugs!$A$2:$G7981,7,FALSE()),"please select a BUG ID")</f>
        <v>https://opendev.org/openstack/nova/commit/5fa74bc</v>
      </c>
    </row>
    <row r="1083">
      <c r="A1083" s="16" t="s">
        <v>56</v>
      </c>
      <c r="B1083" s="50" t="str">
        <f>IFERROR(HYPERLINK(VLOOKUP(A1083,Internal_lists_bugs!$A$2:$C$73,3,FALSE()), VLOOKUP(A1083,Internal_lists_bugs!$A$2:$C$73,3,FALSE())&amp;Char(10) &amp; Char(10) &amp; VLOOKUP(A1083,Internal_lists_bugs!$A$2:$Z$73,26,FALSE())),"please select a BUG ID")</f>
        <v>https://bugs.launchpad.net/nova/+bug/1371677
/libvirt/driver.py</v>
      </c>
      <c r="C1083" s="81" t="str">
        <f>IFERROR(VLOOKUP(A1083,Internal_lists_bugs!$A$2:$I7981,9,FALSE()),"please select a BUG ID")</f>
        <v>https://review.opendev.org/c/openstack/nova/+/40467</v>
      </c>
      <c r="D1083" s="114"/>
      <c r="E1083" s="114"/>
      <c r="F1083" s="115"/>
      <c r="G1083" s="16" t="s">
        <v>1590</v>
      </c>
      <c r="H1083" s="116" t="s">
        <v>2745</v>
      </c>
      <c r="I1083" s="82"/>
      <c r="J1083" s="92"/>
      <c r="K1083" s="82"/>
      <c r="M1083" s="114" t="str">
        <f>VLOOKUP(A1083,'BIC_(C_Variables)'!$A$3:$AS$43,45,FALSE())</f>
        <v/>
      </c>
      <c r="N1083" s="1"/>
      <c r="O1083" s="1"/>
      <c r="P1083" s="81" t="str">
        <f>IFERROR(VLOOKUP(A1083,Internal_lists_bugs!$A$2:$G7981,7,FALSE()),"please select a BUG ID")</f>
        <v>https://opendev.org/openstack/nova/commit/5fa74bc</v>
      </c>
    </row>
    <row r="1084">
      <c r="A1084" s="16" t="s">
        <v>56</v>
      </c>
      <c r="B1084" s="50" t="str">
        <f>IFERROR(HYPERLINK(VLOOKUP(A1084,Internal_lists_bugs!$A$2:$C$73,3,FALSE()), VLOOKUP(A1084,Internal_lists_bugs!$A$2:$C$73,3,FALSE())&amp;Char(10) &amp; Char(10) &amp; VLOOKUP(A1084,Internal_lists_bugs!$A$2:$Z$73,26,FALSE())),"please select a BUG ID")</f>
        <v>https://bugs.launchpad.net/nova/+bug/1371677
/libvirt/driver.py</v>
      </c>
      <c r="C1084" s="81" t="str">
        <f>IFERROR(VLOOKUP(A1084,Internal_lists_bugs!$A$2:$I7981,9,FALSE()),"please select a BUG ID")</f>
        <v>https://review.opendev.org/c/openstack/nova/+/40467</v>
      </c>
      <c r="D1084" s="114"/>
      <c r="E1084" s="114"/>
      <c r="F1084" s="115"/>
      <c r="G1084" s="16" t="s">
        <v>1590</v>
      </c>
      <c r="H1084" s="116" t="s">
        <v>2746</v>
      </c>
      <c r="I1084" s="82"/>
      <c r="J1084" s="92"/>
      <c r="K1084" s="82"/>
      <c r="M1084" s="114" t="str">
        <f>VLOOKUP(A1084,'BIC_(C_Variables)'!$A$3:$AS$43,45,FALSE())</f>
        <v/>
      </c>
      <c r="N1084" s="1"/>
      <c r="O1084" s="1"/>
      <c r="P1084" s="81" t="str">
        <f>IFERROR(VLOOKUP(A1084,Internal_lists_bugs!$A$2:$G7981,7,FALSE()),"please select a BUG ID")</f>
        <v>https://opendev.org/openstack/nova/commit/5fa74bc</v>
      </c>
    </row>
    <row r="1085">
      <c r="A1085" s="16" t="s">
        <v>56</v>
      </c>
      <c r="B1085" s="50" t="str">
        <f>IFERROR(HYPERLINK(VLOOKUP(A1085,Internal_lists_bugs!$A$2:$C$73,3,FALSE()), VLOOKUP(A1085,Internal_lists_bugs!$A$2:$C$73,3,FALSE())&amp;Char(10) &amp; Char(10) &amp; VLOOKUP(A1085,Internal_lists_bugs!$A$2:$Z$73,26,FALSE())),"please select a BUG ID")</f>
        <v>https://bugs.launchpad.net/nova/+bug/1371677
/libvirt/driver.py</v>
      </c>
      <c r="C1085" s="81" t="str">
        <f>IFERROR(VLOOKUP(A1085,Internal_lists_bugs!$A$2:$I7981,9,FALSE()),"please select a BUG ID")</f>
        <v>https://review.opendev.org/c/openstack/nova/+/40467</v>
      </c>
      <c r="D1085" s="114"/>
      <c r="E1085" s="114"/>
      <c r="F1085" s="115"/>
      <c r="G1085" s="16" t="s">
        <v>2747</v>
      </c>
      <c r="H1085" s="116" t="s">
        <v>2748</v>
      </c>
      <c r="I1085" s="82"/>
      <c r="J1085" s="92"/>
      <c r="K1085" s="82"/>
      <c r="M1085" s="114" t="str">
        <f>VLOOKUP(A1085,'BIC_(C_Variables)'!$A$3:$AS$43,45,FALSE())</f>
        <v/>
      </c>
      <c r="N1085" s="1"/>
      <c r="O1085" s="1"/>
      <c r="P1085" s="81" t="str">
        <f>IFERROR(VLOOKUP(A1085,Internal_lists_bugs!$A$2:$G7981,7,FALSE()),"please select a BUG ID")</f>
        <v>https://opendev.org/openstack/nova/commit/5fa74bc</v>
      </c>
    </row>
    <row r="1086">
      <c r="A1086" s="16" t="s">
        <v>56</v>
      </c>
      <c r="B1086" s="50" t="str">
        <f>IFERROR(HYPERLINK(VLOOKUP(A1086,Internal_lists_bugs!$A$2:$C$73,3,FALSE()), VLOOKUP(A1086,Internal_lists_bugs!$A$2:$C$73,3,FALSE())&amp;Char(10) &amp; Char(10) &amp; VLOOKUP(A1086,Internal_lists_bugs!$A$2:$Z$73,26,FALSE())),"please select a BUG ID")</f>
        <v>https://bugs.launchpad.net/nova/+bug/1371677
/libvirt/driver.py</v>
      </c>
      <c r="C1086" s="81" t="str">
        <f>IFERROR(VLOOKUP(A1086,Internal_lists_bugs!$A$2:$I7981,9,FALSE()),"please select a BUG ID")</f>
        <v>https://review.opendev.org/c/openstack/nova/+/40467</v>
      </c>
      <c r="D1086" s="114"/>
      <c r="E1086" s="114"/>
      <c r="F1086" s="115"/>
      <c r="G1086" s="16" t="s">
        <v>1531</v>
      </c>
      <c r="H1086" s="116" t="s">
        <v>2749</v>
      </c>
      <c r="I1086" s="82"/>
      <c r="J1086" s="92"/>
      <c r="K1086" s="82"/>
      <c r="M1086" s="114" t="str">
        <f>VLOOKUP(A1086,'BIC_(C_Variables)'!$A$3:$AS$43,45,FALSE())</f>
        <v/>
      </c>
      <c r="N1086" s="1"/>
      <c r="O1086" s="1"/>
      <c r="P1086" s="81" t="str">
        <f>IFERROR(VLOOKUP(A1086,Internal_lists_bugs!$A$2:$G7981,7,FALSE()),"please select a BUG ID")</f>
        <v>https://opendev.org/openstack/nova/commit/5fa74bc</v>
      </c>
    </row>
    <row r="1087">
      <c r="A1087" s="16" t="s">
        <v>56</v>
      </c>
      <c r="B1087" s="50" t="str">
        <f>IFERROR(HYPERLINK(VLOOKUP(A1087,Internal_lists_bugs!$A$2:$C$73,3,FALSE()), VLOOKUP(A1087,Internal_lists_bugs!$A$2:$C$73,3,FALSE())&amp;Char(10) &amp; Char(10) &amp; VLOOKUP(A1087,Internal_lists_bugs!$A$2:$Z$73,26,FALSE())),"please select a BUG ID")</f>
        <v>https://bugs.launchpad.net/nova/+bug/1371677
/libvirt/driver.py</v>
      </c>
      <c r="C1087" s="81" t="str">
        <f>IFERROR(VLOOKUP(A1087,Internal_lists_bugs!$A$2:$I7981,9,FALSE()),"please select a BUG ID")</f>
        <v>https://review.opendev.org/c/openstack/nova/+/40467</v>
      </c>
      <c r="D1087" s="114"/>
      <c r="E1087" s="114"/>
      <c r="F1087" s="115"/>
      <c r="G1087" s="16" t="s">
        <v>2750</v>
      </c>
      <c r="H1087" s="116" t="s">
        <v>2751</v>
      </c>
      <c r="I1087" s="82"/>
      <c r="J1087" s="92"/>
      <c r="K1087" s="82"/>
      <c r="M1087" s="114" t="str">
        <f>VLOOKUP(A1087,'BIC_(C_Variables)'!$A$3:$AS$43,45,FALSE())</f>
        <v/>
      </c>
      <c r="N1087" s="1"/>
      <c r="O1087" s="1"/>
      <c r="P1087" s="81" t="str">
        <f>IFERROR(VLOOKUP(A1087,Internal_lists_bugs!$A$2:$G7981,7,FALSE()),"please select a BUG ID")</f>
        <v>https://opendev.org/openstack/nova/commit/5fa74bc</v>
      </c>
    </row>
    <row r="1088">
      <c r="A1088" s="16" t="s">
        <v>56</v>
      </c>
      <c r="B1088" s="50" t="str">
        <f>IFERROR(HYPERLINK(VLOOKUP(A1088,Internal_lists_bugs!$A$2:$C$73,3,FALSE()), VLOOKUP(A1088,Internal_lists_bugs!$A$2:$C$73,3,FALSE())&amp;Char(10) &amp; Char(10) &amp; VLOOKUP(A1088,Internal_lists_bugs!$A$2:$Z$73,26,FALSE())),"please select a BUG ID")</f>
        <v>https://bugs.launchpad.net/nova/+bug/1371677
/libvirt/driver.py</v>
      </c>
      <c r="C1088" s="81" t="str">
        <f>IFERROR(VLOOKUP(A1088,Internal_lists_bugs!$A$2:$I7981,9,FALSE()),"please select a BUG ID")</f>
        <v>https://review.opendev.org/c/openstack/nova/+/40467</v>
      </c>
      <c r="D1088" s="114"/>
      <c r="E1088" s="114"/>
      <c r="F1088" s="115"/>
      <c r="G1088" s="16" t="s">
        <v>2752</v>
      </c>
      <c r="H1088" s="116" t="s">
        <v>2753</v>
      </c>
      <c r="I1088" s="82"/>
      <c r="J1088" s="92"/>
      <c r="K1088" s="82"/>
      <c r="M1088" s="114" t="str">
        <f>VLOOKUP(A1088,'BIC_(C_Variables)'!$A$3:$AS$43,45,FALSE())</f>
        <v/>
      </c>
      <c r="N1088" s="1"/>
      <c r="O1088" s="1"/>
      <c r="P1088" s="81" t="str">
        <f>IFERROR(VLOOKUP(A1088,Internal_lists_bugs!$A$2:$G7981,7,FALSE()),"please select a BUG ID")</f>
        <v>https://opendev.org/openstack/nova/commit/5fa74bc</v>
      </c>
    </row>
    <row r="1089">
      <c r="A1089" s="16" t="s">
        <v>56</v>
      </c>
      <c r="B1089" s="50" t="str">
        <f>IFERROR(HYPERLINK(VLOOKUP(A1089,Internal_lists_bugs!$A$2:$C$73,3,FALSE()), VLOOKUP(A1089,Internal_lists_bugs!$A$2:$C$73,3,FALSE())&amp;Char(10) &amp; Char(10) &amp; VLOOKUP(A1089,Internal_lists_bugs!$A$2:$Z$73,26,FALSE())),"please select a BUG ID")</f>
        <v>https://bugs.launchpad.net/nova/+bug/1371677
/libvirt/driver.py</v>
      </c>
      <c r="C1089" s="81" t="str">
        <f>IFERROR(VLOOKUP(A1089,Internal_lists_bugs!$A$2:$I7981,9,FALSE()),"please select a BUG ID")</f>
        <v>https://review.opendev.org/c/openstack/nova/+/40467</v>
      </c>
      <c r="D1089" s="114"/>
      <c r="E1089" s="114"/>
      <c r="F1089" s="115"/>
      <c r="G1089" s="16" t="s">
        <v>2235</v>
      </c>
      <c r="H1089" s="116" t="s">
        <v>2754</v>
      </c>
      <c r="I1089" s="82"/>
      <c r="J1089" s="92"/>
      <c r="K1089" s="82"/>
      <c r="M1089" s="114" t="str">
        <f>VLOOKUP(A1089,'BIC_(C_Variables)'!$A$3:$AS$43,45,FALSE())</f>
        <v/>
      </c>
      <c r="N1089" s="1"/>
      <c r="O1089" s="1"/>
      <c r="P1089" s="81" t="str">
        <f>IFERROR(VLOOKUP(A1089,Internal_lists_bugs!$A$2:$G7981,7,FALSE()),"please select a BUG ID")</f>
        <v>https://opendev.org/openstack/nova/commit/5fa74bc</v>
      </c>
    </row>
    <row r="1090">
      <c r="A1090" s="16" t="s">
        <v>56</v>
      </c>
      <c r="B1090" s="50" t="str">
        <f>IFERROR(HYPERLINK(VLOOKUP(A1090,Internal_lists_bugs!$A$2:$C$73,3,FALSE()), VLOOKUP(A1090,Internal_lists_bugs!$A$2:$C$73,3,FALSE())&amp;Char(10) &amp; Char(10) &amp; VLOOKUP(A1090,Internal_lists_bugs!$A$2:$Z$73,26,FALSE())),"please select a BUG ID")</f>
        <v>https://bugs.launchpad.net/nova/+bug/1371677
/libvirt/driver.py</v>
      </c>
      <c r="C1090" s="81" t="str">
        <f>IFERROR(VLOOKUP(A1090,Internal_lists_bugs!$A$2:$I7981,9,FALSE()),"please select a BUG ID")</f>
        <v>https://review.opendev.org/c/openstack/nova/+/40467</v>
      </c>
      <c r="D1090" s="114"/>
      <c r="E1090" s="114"/>
      <c r="F1090" s="115"/>
      <c r="G1090" s="16" t="s">
        <v>1506</v>
      </c>
      <c r="H1090" s="116" t="s">
        <v>2755</v>
      </c>
      <c r="I1090" s="82"/>
      <c r="J1090" s="92"/>
      <c r="K1090" s="82"/>
      <c r="M1090" s="114" t="str">
        <f>VLOOKUP(A1090,'BIC_(C_Variables)'!$A$3:$AS$43,45,FALSE())</f>
        <v/>
      </c>
      <c r="N1090" s="1"/>
      <c r="O1090" s="1"/>
      <c r="P1090" s="81" t="str">
        <f>IFERROR(VLOOKUP(A1090,Internal_lists_bugs!$A$2:$G7981,7,FALSE()),"please select a BUG ID")</f>
        <v>https://opendev.org/openstack/nova/commit/5fa74bc</v>
      </c>
    </row>
    <row r="1091">
      <c r="A1091" s="16" t="s">
        <v>56</v>
      </c>
      <c r="B1091" s="50" t="str">
        <f>IFERROR(HYPERLINK(VLOOKUP(A1091,Internal_lists_bugs!$A$2:$C$73,3,FALSE()), VLOOKUP(A1091,Internal_lists_bugs!$A$2:$C$73,3,FALSE())&amp;Char(10) &amp; Char(10) &amp; VLOOKUP(A1091,Internal_lists_bugs!$A$2:$Z$73,26,FALSE())),"please select a BUG ID")</f>
        <v>https://bugs.launchpad.net/nova/+bug/1371677
/libvirt/driver.py</v>
      </c>
      <c r="C1091" s="81" t="str">
        <f>IFERROR(VLOOKUP(A1091,Internal_lists_bugs!$A$2:$I7981,9,FALSE()),"please select a BUG ID")</f>
        <v>https://review.opendev.org/c/openstack/nova/+/40467</v>
      </c>
      <c r="D1091" s="114"/>
      <c r="E1091" s="114"/>
      <c r="F1091" s="115"/>
      <c r="G1091" s="16" t="s">
        <v>1908</v>
      </c>
      <c r="H1091" s="16" t="s">
        <v>2756</v>
      </c>
      <c r="I1091" s="82"/>
      <c r="J1091" s="92"/>
      <c r="K1091" s="82"/>
      <c r="M1091" s="114" t="str">
        <f>VLOOKUP(A1091,'BIC_(C_Variables)'!$A$3:$AS$43,45,FALSE())</f>
        <v/>
      </c>
      <c r="N1091" s="1"/>
      <c r="O1091" s="1"/>
      <c r="P1091" s="81" t="str">
        <f>IFERROR(VLOOKUP(A1091,Internal_lists_bugs!$A$2:$G7981,7,FALSE()),"please select a BUG ID")</f>
        <v>https://opendev.org/openstack/nova/commit/5fa74bc</v>
      </c>
    </row>
    <row r="1092">
      <c r="A1092" s="16" t="s">
        <v>56</v>
      </c>
      <c r="B1092" s="50" t="str">
        <f>IFERROR(HYPERLINK(VLOOKUP(A1092,Internal_lists_bugs!$A$2:$C$73,3,FALSE()), VLOOKUP(A1092,Internal_lists_bugs!$A$2:$C$73,3,FALSE())&amp;Char(10) &amp; Char(10) &amp; VLOOKUP(A1092,Internal_lists_bugs!$A$2:$Z$73,26,FALSE())),"please select a BUG ID")</f>
        <v>https://bugs.launchpad.net/nova/+bug/1371677
/libvirt/driver.py</v>
      </c>
      <c r="C1092" s="81" t="str">
        <f>IFERROR(VLOOKUP(A1092,Internal_lists_bugs!$A$2:$I7981,9,FALSE()),"please select a BUG ID")</f>
        <v>https://review.opendev.org/c/openstack/nova/+/40467</v>
      </c>
      <c r="D1092" s="114"/>
      <c r="E1092" s="114"/>
      <c r="F1092" s="115"/>
      <c r="G1092" s="16" t="s">
        <v>1917</v>
      </c>
      <c r="H1092" s="16" t="s">
        <v>2756</v>
      </c>
      <c r="I1092" s="82"/>
      <c r="J1092" s="92"/>
      <c r="K1092" s="82"/>
      <c r="M1092" s="114" t="str">
        <f>VLOOKUP(A1092,'BIC_(C_Variables)'!$A$3:$AS$43,45,FALSE())</f>
        <v/>
      </c>
      <c r="N1092" s="1"/>
      <c r="O1092" s="1"/>
      <c r="P1092" s="81" t="str">
        <f>IFERROR(VLOOKUP(A1092,Internal_lists_bugs!$A$2:$G7981,7,FALSE()),"please select a BUG ID")</f>
        <v>https://opendev.org/openstack/nova/commit/5fa74bc</v>
      </c>
    </row>
    <row r="1093">
      <c r="A1093" s="16" t="s">
        <v>56</v>
      </c>
      <c r="B1093" s="50" t="str">
        <f>IFERROR(HYPERLINK(VLOOKUP(A1093,Internal_lists_bugs!$A$2:$C$73,3,FALSE()), VLOOKUP(A1093,Internal_lists_bugs!$A$2:$C$73,3,FALSE())&amp;Char(10) &amp; Char(10) &amp; VLOOKUP(A1093,Internal_lists_bugs!$A$2:$Z$73,26,FALSE())),"please select a BUG ID")</f>
        <v>https://bugs.launchpad.net/nova/+bug/1371677
/libvirt/driver.py</v>
      </c>
      <c r="C1093" s="81" t="str">
        <f>IFERROR(VLOOKUP(A1093,Internal_lists_bugs!$A$2:$I7981,9,FALSE()),"please select a BUG ID")</f>
        <v>https://review.opendev.org/c/openstack/nova/+/40467</v>
      </c>
      <c r="D1093" s="114"/>
      <c r="E1093" s="114"/>
      <c r="F1093" s="115"/>
      <c r="G1093" s="16" t="s">
        <v>1915</v>
      </c>
      <c r="H1093" s="16" t="s">
        <v>2757</v>
      </c>
      <c r="I1093" s="82"/>
      <c r="J1093" s="92"/>
      <c r="K1093" s="82"/>
      <c r="M1093" s="114" t="str">
        <f>VLOOKUP(A1093,'BIC_(C_Variables)'!$A$3:$AS$43,45,FALSE())</f>
        <v/>
      </c>
      <c r="N1093" s="1"/>
      <c r="O1093" s="1"/>
      <c r="P1093" s="81" t="str">
        <f>IFERROR(VLOOKUP(A1093,Internal_lists_bugs!$A$2:$G7981,7,FALSE()),"please select a BUG ID")</f>
        <v>https://opendev.org/openstack/nova/commit/5fa74bc</v>
      </c>
    </row>
    <row r="1094">
      <c r="A1094" s="16" t="s">
        <v>56</v>
      </c>
      <c r="B1094" s="50" t="str">
        <f>IFERROR(HYPERLINK(VLOOKUP(A1094,Internal_lists_bugs!$A$2:$C$73,3,FALSE()), VLOOKUP(A1094,Internal_lists_bugs!$A$2:$C$73,3,FALSE())&amp;Char(10) &amp; Char(10) &amp; VLOOKUP(A1094,Internal_lists_bugs!$A$2:$Z$73,26,FALSE())),"please select a BUG ID")</f>
        <v>https://bugs.launchpad.net/nova/+bug/1371677
/libvirt/driver.py</v>
      </c>
      <c r="C1094" s="81" t="str">
        <f>IFERROR(VLOOKUP(A1094,Internal_lists_bugs!$A$2:$I7981,9,FALSE()),"please select a BUG ID")</f>
        <v>https://review.opendev.org/c/openstack/nova/+/40467</v>
      </c>
      <c r="D1094" s="114"/>
      <c r="E1094" s="114"/>
      <c r="F1094" s="115"/>
      <c r="G1094" s="16" t="s">
        <v>1930</v>
      </c>
      <c r="H1094" s="16" t="s">
        <v>2757</v>
      </c>
      <c r="I1094" s="82"/>
      <c r="J1094" s="92"/>
      <c r="K1094" s="82"/>
      <c r="M1094" s="114" t="str">
        <f>VLOOKUP(A1094,'BIC_(C_Variables)'!$A$3:$AS$43,45,FALSE())</f>
        <v/>
      </c>
      <c r="N1094" s="1"/>
      <c r="O1094" s="1"/>
      <c r="P1094" s="81" t="str">
        <f>IFERROR(VLOOKUP(A1094,Internal_lists_bugs!$A$2:$G7981,7,FALSE()),"please select a BUG ID")</f>
        <v>https://opendev.org/openstack/nova/commit/5fa74bc</v>
      </c>
    </row>
    <row r="1095">
      <c r="A1095" s="16" t="s">
        <v>56</v>
      </c>
      <c r="B1095" s="50" t="str">
        <f>IFERROR(HYPERLINK(VLOOKUP(A1095,Internal_lists_bugs!$A$2:$C$73,3,FALSE()), VLOOKUP(A1095,Internal_lists_bugs!$A$2:$C$73,3,FALSE())&amp;Char(10) &amp; Char(10) &amp; VLOOKUP(A1095,Internal_lists_bugs!$A$2:$Z$73,26,FALSE())),"please select a BUG ID")</f>
        <v>https://bugs.launchpad.net/nova/+bug/1371677
/libvirt/driver.py</v>
      </c>
      <c r="C1095" s="81" t="str">
        <f>IFERROR(VLOOKUP(A1095,Internal_lists_bugs!$A$2:$I7981,9,FALSE()),"please select a BUG ID")</f>
        <v>https://review.opendev.org/c/openstack/nova/+/40467</v>
      </c>
      <c r="D1095" s="114"/>
      <c r="E1095" s="114"/>
      <c r="F1095" s="115"/>
      <c r="G1095" s="16" t="s">
        <v>2277</v>
      </c>
      <c r="H1095" s="116" t="s">
        <v>2758</v>
      </c>
      <c r="I1095" s="82"/>
      <c r="J1095" s="92"/>
      <c r="K1095" s="82"/>
      <c r="M1095" s="114" t="str">
        <f>VLOOKUP(A1095,'BIC_(C_Variables)'!$A$3:$AS$43,45,FALSE())</f>
        <v/>
      </c>
      <c r="N1095" s="1"/>
      <c r="O1095" s="1"/>
      <c r="P1095" s="81" t="str">
        <f>IFERROR(VLOOKUP(A1095,Internal_lists_bugs!$A$2:$G7981,7,FALSE()),"please select a BUG ID")</f>
        <v>https://opendev.org/openstack/nova/commit/5fa74bc</v>
      </c>
    </row>
    <row r="1096">
      <c r="A1096" s="16" t="s">
        <v>56</v>
      </c>
      <c r="B1096" s="50" t="str">
        <f>IFERROR(HYPERLINK(VLOOKUP(A1096,Internal_lists_bugs!$A$2:$C$73,3,FALSE()), VLOOKUP(A1096,Internal_lists_bugs!$A$2:$C$73,3,FALSE())&amp;Char(10) &amp; Char(10) &amp; VLOOKUP(A1096,Internal_lists_bugs!$A$2:$Z$73,26,FALSE())),"please select a BUG ID")</f>
        <v>https://bugs.launchpad.net/nova/+bug/1371677
/libvirt/driver.py</v>
      </c>
      <c r="C1096" s="81" t="str">
        <f>IFERROR(VLOOKUP(A1096,Internal_lists_bugs!$A$2:$I7981,9,FALSE()),"please select a BUG ID")</f>
        <v>https://review.opendev.org/c/openstack/nova/+/40467</v>
      </c>
      <c r="D1096" s="114"/>
      <c r="E1096" s="114"/>
      <c r="F1096" s="115"/>
      <c r="G1096" s="16" t="s">
        <v>2759</v>
      </c>
      <c r="H1096" s="116" t="s">
        <v>2758</v>
      </c>
      <c r="I1096" s="82"/>
      <c r="J1096" s="92"/>
      <c r="K1096" s="82"/>
      <c r="M1096" s="114" t="str">
        <f>VLOOKUP(A1096,'BIC_(C_Variables)'!$A$3:$AS$43,45,FALSE())</f>
        <v/>
      </c>
      <c r="N1096" s="1"/>
      <c r="O1096" s="1"/>
      <c r="P1096" s="81" t="str">
        <f>IFERROR(VLOOKUP(A1096,Internal_lists_bugs!$A$2:$G7981,7,FALSE()),"please select a BUG ID")</f>
        <v>https://opendev.org/openstack/nova/commit/5fa74bc</v>
      </c>
    </row>
    <row r="1097">
      <c r="A1097" s="16" t="s">
        <v>56</v>
      </c>
      <c r="B1097" s="50" t="str">
        <f>IFERROR(HYPERLINK(VLOOKUP(A1097,Internal_lists_bugs!$A$2:$C$73,3,FALSE()), VLOOKUP(A1097,Internal_lists_bugs!$A$2:$C$73,3,FALSE())&amp;Char(10) &amp; Char(10) &amp; VLOOKUP(A1097,Internal_lists_bugs!$A$2:$Z$73,26,FALSE())),"please select a BUG ID")</f>
        <v>https://bugs.launchpad.net/nova/+bug/1371677
/libvirt/driver.py</v>
      </c>
      <c r="C1097" s="81" t="str">
        <f>IFERROR(VLOOKUP(A1097,Internal_lists_bugs!$A$2:$I7981,9,FALSE()),"please select a BUG ID")</f>
        <v>https://review.opendev.org/c/openstack/nova/+/40467</v>
      </c>
      <c r="D1097" s="114"/>
      <c r="E1097" s="114"/>
      <c r="F1097" s="115"/>
      <c r="G1097" s="16" t="s">
        <v>2235</v>
      </c>
      <c r="H1097" s="116" t="s">
        <v>2760</v>
      </c>
      <c r="I1097" s="82"/>
      <c r="J1097" s="92"/>
      <c r="K1097" s="82"/>
      <c r="M1097" s="114" t="str">
        <f>VLOOKUP(A1097,'BIC_(C_Variables)'!$A$3:$AS$43,45,FALSE())</f>
        <v/>
      </c>
      <c r="N1097" s="1"/>
      <c r="O1097" s="1"/>
      <c r="P1097" s="81" t="str">
        <f>IFERROR(VLOOKUP(A1097,Internal_lists_bugs!$A$2:$G7981,7,FALSE()),"please select a BUG ID")</f>
        <v>https://opendev.org/openstack/nova/commit/5fa74bc</v>
      </c>
    </row>
    <row r="1098">
      <c r="A1098" s="16" t="s">
        <v>56</v>
      </c>
      <c r="B1098" s="50" t="str">
        <f>IFERROR(HYPERLINK(VLOOKUP(A1098,Internal_lists_bugs!$A$2:$C$73,3,FALSE()), VLOOKUP(A1098,Internal_lists_bugs!$A$2:$C$73,3,FALSE())&amp;Char(10) &amp; Char(10) &amp; VLOOKUP(A1098,Internal_lists_bugs!$A$2:$Z$73,26,FALSE())),"please select a BUG ID")</f>
        <v>https://bugs.launchpad.net/nova/+bug/1371677
/libvirt/driver.py</v>
      </c>
      <c r="C1098" s="81" t="str">
        <f>IFERROR(VLOOKUP(A1098,Internal_lists_bugs!$A$2:$I7981,9,FALSE()),"please select a BUG ID")</f>
        <v>https://review.opendev.org/c/openstack/nova/+/40467</v>
      </c>
      <c r="D1098" s="114"/>
      <c r="E1098" s="114"/>
      <c r="F1098" s="115"/>
      <c r="G1098" s="16" t="s">
        <v>2761</v>
      </c>
      <c r="H1098" s="116" t="s">
        <v>2762</v>
      </c>
      <c r="I1098" s="82"/>
      <c r="J1098" s="92"/>
      <c r="K1098" s="82"/>
      <c r="M1098" s="114" t="str">
        <f>VLOOKUP(A1098,'BIC_(C_Variables)'!$A$3:$AS$43,45,FALSE())</f>
        <v/>
      </c>
      <c r="N1098" s="1"/>
      <c r="O1098" s="1"/>
      <c r="P1098" s="81" t="str">
        <f>IFERROR(VLOOKUP(A1098,Internal_lists_bugs!$A$2:$G7981,7,FALSE()),"please select a BUG ID")</f>
        <v>https://opendev.org/openstack/nova/commit/5fa74bc</v>
      </c>
    </row>
    <row r="1099">
      <c r="A1099" s="16" t="s">
        <v>56</v>
      </c>
      <c r="B1099" s="50" t="str">
        <f>IFERROR(HYPERLINK(VLOOKUP(A1099,Internal_lists_bugs!$A$2:$C$73,3,FALSE()), VLOOKUP(A1099,Internal_lists_bugs!$A$2:$C$73,3,FALSE())&amp;Char(10) &amp; Char(10) &amp; VLOOKUP(A1099,Internal_lists_bugs!$A$2:$Z$73,26,FALSE())),"please select a BUG ID")</f>
        <v>https://bugs.launchpad.net/nova/+bug/1371677
/libvirt/driver.py</v>
      </c>
      <c r="C1099" s="81" t="str">
        <f>IFERROR(VLOOKUP(A1099,Internal_lists_bugs!$A$2:$I7981,9,FALSE()),"please select a BUG ID")</f>
        <v>https://review.opendev.org/c/openstack/nova/+/40467</v>
      </c>
      <c r="D1099" s="114"/>
      <c r="E1099" s="114"/>
      <c r="F1099" s="115"/>
      <c r="G1099" s="16" t="s">
        <v>2763</v>
      </c>
      <c r="H1099" s="116" t="s">
        <v>2764</v>
      </c>
      <c r="I1099" s="82"/>
      <c r="J1099" s="92"/>
      <c r="K1099" s="82"/>
      <c r="M1099" s="114" t="str">
        <f>VLOOKUP(A1099,'BIC_(C_Variables)'!$A$3:$AS$43,45,FALSE())</f>
        <v/>
      </c>
      <c r="N1099" s="1"/>
      <c r="O1099" s="1"/>
      <c r="P1099" s="81" t="str">
        <f>IFERROR(VLOOKUP(A1099,Internal_lists_bugs!$A$2:$G7981,7,FALSE()),"please select a BUG ID")</f>
        <v>https://opendev.org/openstack/nova/commit/5fa74bc</v>
      </c>
    </row>
    <row r="1100">
      <c r="A1100" s="16" t="s">
        <v>56</v>
      </c>
      <c r="B1100" s="50" t="str">
        <f>IFERROR(HYPERLINK(VLOOKUP(A1100,Internal_lists_bugs!$A$2:$C$73,3,FALSE()), VLOOKUP(A1100,Internal_lists_bugs!$A$2:$C$73,3,FALSE())&amp;Char(10) &amp; Char(10) &amp; VLOOKUP(A1100,Internal_lists_bugs!$A$2:$Z$73,26,FALSE())),"please select a BUG ID")</f>
        <v>https://bugs.launchpad.net/nova/+bug/1371677
/libvirt/driver.py</v>
      </c>
      <c r="C1100" s="81" t="str">
        <f>IFERROR(VLOOKUP(A1100,Internal_lists_bugs!$A$2:$I7981,9,FALSE()),"please select a BUG ID")</f>
        <v>https://review.opendev.org/c/openstack/nova/+/40467</v>
      </c>
      <c r="D1100" s="114"/>
      <c r="E1100" s="114"/>
      <c r="F1100" s="115"/>
      <c r="G1100" s="16" t="s">
        <v>1928</v>
      </c>
      <c r="H1100" s="16" t="s">
        <v>2765</v>
      </c>
      <c r="I1100" s="82"/>
      <c r="J1100" s="92"/>
      <c r="K1100" s="82"/>
      <c r="M1100" s="114" t="str">
        <f>VLOOKUP(A1100,'BIC_(C_Variables)'!$A$3:$AS$43,45,FALSE())</f>
        <v/>
      </c>
      <c r="N1100" s="1"/>
      <c r="O1100" s="1"/>
      <c r="P1100" s="81" t="str">
        <f>IFERROR(VLOOKUP(A1100,Internal_lists_bugs!$A$2:$G7981,7,FALSE()),"please select a BUG ID")</f>
        <v>https://opendev.org/openstack/nova/commit/5fa74bc</v>
      </c>
    </row>
    <row r="1101">
      <c r="A1101" s="16" t="s">
        <v>56</v>
      </c>
      <c r="B1101" s="50" t="str">
        <f>IFERROR(HYPERLINK(VLOOKUP(A1101,Internal_lists_bugs!$A$2:$C$73,3,FALSE()), VLOOKUP(A1101,Internal_lists_bugs!$A$2:$C$73,3,FALSE())&amp;Char(10) &amp; Char(10) &amp; VLOOKUP(A1101,Internal_lists_bugs!$A$2:$Z$73,26,FALSE())),"please select a BUG ID")</f>
        <v>https://bugs.launchpad.net/nova/+bug/1371677
/libvirt/driver.py</v>
      </c>
      <c r="C1101" s="81" t="str">
        <f>IFERROR(VLOOKUP(A1101,Internal_lists_bugs!$A$2:$I7981,9,FALSE()),"please select a BUG ID")</f>
        <v>https://review.opendev.org/c/openstack/nova/+/40467</v>
      </c>
      <c r="D1101" s="114"/>
      <c r="E1101" s="114"/>
      <c r="F1101" s="115"/>
      <c r="G1101" s="16" t="s">
        <v>1933</v>
      </c>
      <c r="H1101" s="16" t="s">
        <v>2765</v>
      </c>
      <c r="I1101" s="82"/>
      <c r="J1101" s="92"/>
      <c r="K1101" s="82"/>
      <c r="M1101" s="114" t="str">
        <f>VLOOKUP(A1101,'BIC_(C_Variables)'!$A$3:$AS$43,45,FALSE())</f>
        <v/>
      </c>
      <c r="N1101" s="1"/>
      <c r="O1101" s="1"/>
      <c r="P1101" s="81" t="str">
        <f>IFERROR(VLOOKUP(A1101,Internal_lists_bugs!$A$2:$G7981,7,FALSE()),"please select a BUG ID")</f>
        <v>https://opendev.org/openstack/nova/commit/5fa74bc</v>
      </c>
    </row>
    <row r="1102">
      <c r="A1102" s="16" t="s">
        <v>56</v>
      </c>
      <c r="B1102" s="50" t="str">
        <f>IFERROR(HYPERLINK(VLOOKUP(A1102,Internal_lists_bugs!$A$2:$C$73,3,FALSE()), VLOOKUP(A1102,Internal_lists_bugs!$A$2:$C$73,3,FALSE())&amp;Char(10) &amp; Char(10) &amp; VLOOKUP(A1102,Internal_lists_bugs!$A$2:$Z$73,26,FALSE())),"please select a BUG ID")</f>
        <v>https://bugs.launchpad.net/nova/+bug/1371677
/libvirt/driver.py</v>
      </c>
      <c r="C1102" s="81" t="str">
        <f>IFERROR(VLOOKUP(A1102,Internal_lists_bugs!$A$2:$I7981,9,FALSE()),"please select a BUG ID")</f>
        <v>https://review.opendev.org/c/openstack/nova/+/40467</v>
      </c>
      <c r="D1102" s="114"/>
      <c r="E1102" s="114"/>
      <c r="F1102" s="115"/>
      <c r="G1102" s="16" t="s">
        <v>1931</v>
      </c>
      <c r="H1102" s="16" t="s">
        <v>2766</v>
      </c>
      <c r="I1102" s="82"/>
      <c r="J1102" s="92"/>
      <c r="K1102" s="82"/>
      <c r="M1102" s="114" t="str">
        <f>VLOOKUP(A1102,'BIC_(C_Variables)'!$A$3:$AS$43,45,FALSE())</f>
        <v/>
      </c>
      <c r="N1102" s="1"/>
      <c r="O1102" s="1"/>
      <c r="P1102" s="81" t="str">
        <f>IFERROR(VLOOKUP(A1102,Internal_lists_bugs!$A$2:$G7981,7,FALSE()),"please select a BUG ID")</f>
        <v>https://opendev.org/openstack/nova/commit/5fa74bc</v>
      </c>
    </row>
    <row r="1103">
      <c r="A1103" s="16" t="s">
        <v>56</v>
      </c>
      <c r="B1103" s="50" t="str">
        <f>IFERROR(HYPERLINK(VLOOKUP(A1103,Internal_lists_bugs!$A$2:$C$73,3,FALSE()), VLOOKUP(A1103,Internal_lists_bugs!$A$2:$C$73,3,FALSE())&amp;Char(10) &amp; Char(10) &amp; VLOOKUP(A1103,Internal_lists_bugs!$A$2:$Z$73,26,FALSE())),"please select a BUG ID")</f>
        <v>https://bugs.launchpad.net/nova/+bug/1371677
/libvirt/driver.py</v>
      </c>
      <c r="C1103" s="81" t="str">
        <f>IFERROR(VLOOKUP(A1103,Internal_lists_bugs!$A$2:$I7981,9,FALSE()),"please select a BUG ID")</f>
        <v>https://review.opendev.org/c/openstack/nova/+/40467</v>
      </c>
      <c r="D1103" s="114"/>
      <c r="E1103" s="114"/>
      <c r="F1103" s="115"/>
      <c r="G1103" s="16" t="s">
        <v>1936</v>
      </c>
      <c r="H1103" s="16" t="s">
        <v>2766</v>
      </c>
      <c r="I1103" s="82"/>
      <c r="J1103" s="92"/>
      <c r="K1103" s="82"/>
      <c r="M1103" s="114" t="str">
        <f>VLOOKUP(A1103,'BIC_(C_Variables)'!$A$3:$AS$43,45,FALSE())</f>
        <v/>
      </c>
      <c r="N1103" s="1"/>
      <c r="O1103" s="1"/>
      <c r="P1103" s="81" t="str">
        <f>IFERROR(VLOOKUP(A1103,Internal_lists_bugs!$A$2:$G7981,7,FALSE()),"please select a BUG ID")</f>
        <v>https://opendev.org/openstack/nova/commit/5fa74bc</v>
      </c>
    </row>
    <row r="1104">
      <c r="A1104" s="16" t="s">
        <v>56</v>
      </c>
      <c r="B1104" s="50" t="str">
        <f>IFERROR(HYPERLINK(VLOOKUP(A1104,Internal_lists_bugs!$A$2:$C$73,3,FALSE()), VLOOKUP(A1104,Internal_lists_bugs!$A$2:$C$73,3,FALSE())&amp;Char(10) &amp; Char(10) &amp; VLOOKUP(A1104,Internal_lists_bugs!$A$2:$Z$73,26,FALSE())),"please select a BUG ID")</f>
        <v>https://bugs.launchpad.net/nova/+bug/1371677
/libvirt/driver.py</v>
      </c>
      <c r="C1104" s="81" t="str">
        <f>IFERROR(VLOOKUP(A1104,Internal_lists_bugs!$A$2:$I7981,9,FALSE()),"please select a BUG ID")</f>
        <v>https://review.opendev.org/c/openstack/nova/+/40467</v>
      </c>
      <c r="D1104" s="114"/>
      <c r="E1104" s="114"/>
      <c r="F1104" s="115"/>
      <c r="G1104" s="16" t="s">
        <v>1934</v>
      </c>
      <c r="H1104" s="16" t="s">
        <v>2767</v>
      </c>
      <c r="I1104" s="82"/>
      <c r="J1104" s="92"/>
      <c r="K1104" s="82"/>
      <c r="M1104" s="114" t="str">
        <f>VLOOKUP(A1104,'BIC_(C_Variables)'!$A$3:$AS$43,45,FALSE())</f>
        <v/>
      </c>
      <c r="N1104" s="1"/>
      <c r="O1104" s="1"/>
      <c r="P1104" s="81" t="str">
        <f>IFERROR(VLOOKUP(A1104,Internal_lists_bugs!$A$2:$G7981,7,FALSE()),"please select a BUG ID")</f>
        <v>https://opendev.org/openstack/nova/commit/5fa74bc</v>
      </c>
    </row>
    <row r="1105">
      <c r="A1105" s="16" t="s">
        <v>56</v>
      </c>
      <c r="B1105" s="50" t="str">
        <f>IFERROR(HYPERLINK(VLOOKUP(A1105,Internal_lists_bugs!$A$2:$C$73,3,FALSE()), VLOOKUP(A1105,Internal_lists_bugs!$A$2:$C$73,3,FALSE())&amp;Char(10) &amp; Char(10) &amp; VLOOKUP(A1105,Internal_lists_bugs!$A$2:$Z$73,26,FALSE())),"please select a BUG ID")</f>
        <v>https://bugs.launchpad.net/nova/+bug/1371677
/libvirt/driver.py</v>
      </c>
      <c r="C1105" s="81" t="str">
        <f>IFERROR(VLOOKUP(A1105,Internal_lists_bugs!$A$2:$I7981,9,FALSE()),"please select a BUG ID")</f>
        <v>https://review.opendev.org/c/openstack/nova/+/40467</v>
      </c>
      <c r="D1105" s="114"/>
      <c r="E1105" s="114"/>
      <c r="F1105" s="115"/>
      <c r="G1105" s="16" t="s">
        <v>1943</v>
      </c>
      <c r="H1105" s="16" t="s">
        <v>2767</v>
      </c>
      <c r="I1105" s="82"/>
      <c r="J1105" s="92"/>
      <c r="K1105" s="82"/>
      <c r="M1105" s="114" t="str">
        <f>VLOOKUP(A1105,'BIC_(C_Variables)'!$A$3:$AS$43,45,FALSE())</f>
        <v/>
      </c>
      <c r="N1105" s="1"/>
      <c r="O1105" s="1"/>
      <c r="P1105" s="81" t="str">
        <f>IFERROR(VLOOKUP(A1105,Internal_lists_bugs!$A$2:$G7981,7,FALSE()),"please select a BUG ID")</f>
        <v>https://opendev.org/openstack/nova/commit/5fa74bc</v>
      </c>
    </row>
    <row r="1106">
      <c r="A1106" s="16" t="s">
        <v>56</v>
      </c>
      <c r="B1106" s="50" t="str">
        <f>IFERROR(HYPERLINK(VLOOKUP(A1106,Internal_lists_bugs!$A$2:$C$73,3,FALSE()), VLOOKUP(A1106,Internal_lists_bugs!$A$2:$C$73,3,FALSE())&amp;Char(10) &amp; Char(10) &amp; VLOOKUP(A1106,Internal_lists_bugs!$A$2:$Z$73,26,FALSE())),"please select a BUG ID")</f>
        <v>https://bugs.launchpad.net/nova/+bug/1371677
/libvirt/driver.py</v>
      </c>
      <c r="C1106" s="81" t="str">
        <f>IFERROR(VLOOKUP(A1106,Internal_lists_bugs!$A$2:$I7981,9,FALSE()),"please select a BUG ID")</f>
        <v>https://review.opendev.org/c/openstack/nova/+/40467</v>
      </c>
      <c r="D1106" s="114"/>
      <c r="E1106" s="114"/>
      <c r="F1106" s="115"/>
      <c r="G1106" s="16" t="s">
        <v>1934</v>
      </c>
      <c r="H1106" s="16" t="s">
        <v>2768</v>
      </c>
      <c r="I1106" s="82"/>
      <c r="J1106" s="92"/>
      <c r="K1106" s="82"/>
      <c r="M1106" s="114" t="str">
        <f>VLOOKUP(A1106,'BIC_(C_Variables)'!$A$3:$AS$43,45,FALSE())</f>
        <v/>
      </c>
      <c r="N1106" s="1"/>
      <c r="O1106" s="1"/>
      <c r="P1106" s="81" t="str">
        <f>IFERROR(VLOOKUP(A1106,Internal_lists_bugs!$A$2:$G7981,7,FALSE()),"please select a BUG ID")</f>
        <v>https://opendev.org/openstack/nova/commit/5fa74bc</v>
      </c>
    </row>
    <row r="1107">
      <c r="A1107" s="16" t="s">
        <v>56</v>
      </c>
      <c r="B1107" s="50" t="str">
        <f>IFERROR(HYPERLINK(VLOOKUP(A1107,Internal_lists_bugs!$A$2:$C$73,3,FALSE()), VLOOKUP(A1107,Internal_lists_bugs!$A$2:$C$73,3,FALSE())&amp;Char(10) &amp; Char(10) &amp; VLOOKUP(A1107,Internal_lists_bugs!$A$2:$Z$73,26,FALSE())),"please select a BUG ID")</f>
        <v>https://bugs.launchpad.net/nova/+bug/1371677
/libvirt/driver.py</v>
      </c>
      <c r="C1107" s="81" t="str">
        <f>IFERROR(VLOOKUP(A1107,Internal_lists_bugs!$A$2:$I7981,9,FALSE()),"please select a BUG ID")</f>
        <v>https://review.opendev.org/c/openstack/nova/+/40467</v>
      </c>
      <c r="D1107" s="114"/>
      <c r="E1107" s="114"/>
      <c r="F1107" s="115"/>
      <c r="G1107" s="16" t="s">
        <v>1943</v>
      </c>
      <c r="H1107" s="16" t="s">
        <v>2768</v>
      </c>
      <c r="I1107" s="82"/>
      <c r="J1107" s="92"/>
      <c r="K1107" s="82"/>
      <c r="M1107" s="114" t="str">
        <f>VLOOKUP(A1107,'BIC_(C_Variables)'!$A$3:$AS$43,45,FALSE())</f>
        <v/>
      </c>
      <c r="N1107" s="1"/>
      <c r="O1107" s="1"/>
      <c r="P1107" s="81" t="str">
        <f>IFERROR(VLOOKUP(A1107,Internal_lists_bugs!$A$2:$G7981,7,FALSE()),"please select a BUG ID")</f>
        <v>https://opendev.org/openstack/nova/commit/5fa74bc</v>
      </c>
    </row>
    <row r="1108">
      <c r="A1108" s="16" t="s">
        <v>56</v>
      </c>
      <c r="B1108" s="50" t="str">
        <f>IFERROR(HYPERLINK(VLOOKUP(A1108,Internal_lists_bugs!$A$2:$C$73,3,FALSE()), VLOOKUP(A1108,Internal_lists_bugs!$A$2:$C$73,3,FALSE())&amp;Char(10) &amp; Char(10) &amp; VLOOKUP(A1108,Internal_lists_bugs!$A$2:$Z$73,26,FALSE())),"please select a BUG ID")</f>
        <v>https://bugs.launchpad.net/nova/+bug/1371677
/libvirt/driver.py</v>
      </c>
      <c r="C1108" s="81" t="str">
        <f>IFERROR(VLOOKUP(A1108,Internal_lists_bugs!$A$2:$I7981,9,FALSE()),"please select a BUG ID")</f>
        <v>https://review.opendev.org/c/openstack/nova/+/40467</v>
      </c>
      <c r="D1108" s="114"/>
      <c r="E1108" s="114"/>
      <c r="F1108" s="115"/>
      <c r="G1108" s="16" t="s">
        <v>1944</v>
      </c>
      <c r="H1108" s="16" t="s">
        <v>2769</v>
      </c>
      <c r="I1108" s="82"/>
      <c r="J1108" s="92"/>
      <c r="K1108" s="82"/>
      <c r="M1108" s="114" t="str">
        <f>VLOOKUP(A1108,'BIC_(C_Variables)'!$A$3:$AS$43,45,FALSE())</f>
        <v/>
      </c>
      <c r="N1108" s="1"/>
      <c r="O1108" s="1"/>
      <c r="P1108" s="81" t="str">
        <f>IFERROR(VLOOKUP(A1108,Internal_lists_bugs!$A$2:$G7981,7,FALSE()),"please select a BUG ID")</f>
        <v>https://opendev.org/openstack/nova/commit/5fa74bc</v>
      </c>
    </row>
    <row r="1109">
      <c r="A1109" s="16" t="s">
        <v>56</v>
      </c>
      <c r="B1109" s="50" t="str">
        <f>IFERROR(HYPERLINK(VLOOKUP(A1109,Internal_lists_bugs!$A$2:$C$73,3,FALSE()), VLOOKUP(A1109,Internal_lists_bugs!$A$2:$C$73,3,FALSE())&amp;Char(10) &amp; Char(10) &amp; VLOOKUP(A1109,Internal_lists_bugs!$A$2:$Z$73,26,FALSE())),"please select a BUG ID")</f>
        <v>https://bugs.launchpad.net/nova/+bug/1371677
/libvirt/driver.py</v>
      </c>
      <c r="C1109" s="81" t="str">
        <f>IFERROR(VLOOKUP(A1109,Internal_lists_bugs!$A$2:$I7981,9,FALSE()),"please select a BUG ID")</f>
        <v>https://review.opendev.org/c/openstack/nova/+/40467</v>
      </c>
      <c r="D1109" s="114"/>
      <c r="E1109" s="114"/>
      <c r="F1109" s="115"/>
      <c r="G1109" s="16" t="s">
        <v>1953</v>
      </c>
      <c r="H1109" s="16" t="s">
        <v>2769</v>
      </c>
      <c r="I1109" s="82"/>
      <c r="J1109" s="92"/>
      <c r="K1109" s="82"/>
      <c r="M1109" s="114" t="str">
        <f>VLOOKUP(A1109,'BIC_(C_Variables)'!$A$3:$AS$43,45,FALSE())</f>
        <v/>
      </c>
      <c r="N1109" s="1"/>
      <c r="O1109" s="1"/>
      <c r="P1109" s="81" t="str">
        <f>IFERROR(VLOOKUP(A1109,Internal_lists_bugs!$A$2:$G7981,7,FALSE()),"please select a BUG ID")</f>
        <v>https://opendev.org/openstack/nova/commit/5fa74bc</v>
      </c>
    </row>
    <row r="1110">
      <c r="A1110" s="16" t="s">
        <v>56</v>
      </c>
      <c r="B1110" s="50" t="str">
        <f>IFERROR(HYPERLINK(VLOOKUP(A1110,Internal_lists_bugs!$A$2:$C$73,3,FALSE()), VLOOKUP(A1110,Internal_lists_bugs!$A$2:$C$73,3,FALSE())&amp;Char(10) &amp; Char(10) &amp; VLOOKUP(A1110,Internal_lists_bugs!$A$2:$Z$73,26,FALSE())),"please select a BUG ID")</f>
        <v>https://bugs.launchpad.net/nova/+bug/1371677
/libvirt/driver.py</v>
      </c>
      <c r="C1110" s="81" t="str">
        <f>IFERROR(VLOOKUP(A1110,Internal_lists_bugs!$A$2:$I7981,9,FALSE()),"please select a BUG ID")</f>
        <v>https://review.opendev.org/c/openstack/nova/+/40467</v>
      </c>
      <c r="D1110" s="114"/>
      <c r="E1110" s="114"/>
      <c r="F1110" s="115"/>
      <c r="G1110" s="16" t="s">
        <v>1947</v>
      </c>
      <c r="H1110" s="16" t="s">
        <v>2770</v>
      </c>
      <c r="I1110" s="82"/>
      <c r="J1110" s="92"/>
      <c r="K1110" s="82"/>
      <c r="M1110" s="114" t="str">
        <f>VLOOKUP(A1110,'BIC_(C_Variables)'!$A$3:$AS$43,45,FALSE())</f>
        <v/>
      </c>
      <c r="N1110" s="1"/>
      <c r="O1110" s="1"/>
      <c r="P1110" s="81" t="str">
        <f>IFERROR(VLOOKUP(A1110,Internal_lists_bugs!$A$2:$G7981,7,FALSE()),"please select a BUG ID")</f>
        <v>https://opendev.org/openstack/nova/commit/5fa74bc</v>
      </c>
    </row>
    <row r="1111">
      <c r="A1111" s="16" t="s">
        <v>56</v>
      </c>
      <c r="B1111" s="50" t="str">
        <f>IFERROR(HYPERLINK(VLOOKUP(A1111,Internal_lists_bugs!$A$2:$C$73,3,FALSE()), VLOOKUP(A1111,Internal_lists_bugs!$A$2:$C$73,3,FALSE())&amp;Char(10) &amp; Char(10) &amp; VLOOKUP(A1111,Internal_lists_bugs!$A$2:$Z$73,26,FALSE())),"please select a BUG ID")</f>
        <v>https://bugs.launchpad.net/nova/+bug/1371677
/libvirt/driver.py</v>
      </c>
      <c r="C1111" s="81" t="str">
        <f>IFERROR(VLOOKUP(A1111,Internal_lists_bugs!$A$2:$I7981,9,FALSE()),"please select a BUG ID")</f>
        <v>https://review.opendev.org/c/openstack/nova/+/40467</v>
      </c>
      <c r="D1111" s="114"/>
      <c r="E1111" s="114"/>
      <c r="F1111" s="115"/>
      <c r="G1111" s="16" t="s">
        <v>2771</v>
      </c>
      <c r="H1111" s="16" t="s">
        <v>2772</v>
      </c>
      <c r="I1111" s="82"/>
      <c r="J1111" s="92"/>
      <c r="K1111" s="82"/>
      <c r="M1111" s="114" t="str">
        <f>VLOOKUP(A1111,'BIC_(C_Variables)'!$A$3:$AS$43,45,FALSE())</f>
        <v/>
      </c>
      <c r="N1111" s="1"/>
      <c r="O1111" s="1"/>
      <c r="P1111" s="81" t="str">
        <f>IFERROR(VLOOKUP(A1111,Internal_lists_bugs!$A$2:$G7981,7,FALSE()),"please select a BUG ID")</f>
        <v>https://opendev.org/openstack/nova/commit/5fa74bc</v>
      </c>
    </row>
    <row r="1112">
      <c r="A1112" s="16" t="s">
        <v>56</v>
      </c>
      <c r="B1112" s="50" t="str">
        <f>IFERROR(HYPERLINK(VLOOKUP(A1112,Internal_lists_bugs!$A$2:$C$73,3,FALSE()), VLOOKUP(A1112,Internal_lists_bugs!$A$2:$C$73,3,FALSE())&amp;Char(10) &amp; Char(10) &amp; VLOOKUP(A1112,Internal_lists_bugs!$A$2:$Z$73,26,FALSE())),"please select a BUG ID")</f>
        <v>https://bugs.launchpad.net/nova/+bug/1371677
/libvirt/driver.py</v>
      </c>
      <c r="C1112" s="81" t="str">
        <f>IFERROR(VLOOKUP(A1112,Internal_lists_bugs!$A$2:$I7981,9,FALSE()),"please select a BUG ID")</f>
        <v>https://review.opendev.org/c/openstack/nova/+/40467</v>
      </c>
      <c r="D1112" s="55"/>
      <c r="E1112" s="114"/>
      <c r="F1112" s="115"/>
      <c r="G1112" s="16" t="s">
        <v>2773</v>
      </c>
      <c r="H1112" s="16" t="s">
        <v>2774</v>
      </c>
      <c r="I1112" s="82"/>
      <c r="J1112" s="92"/>
      <c r="K1112" s="82"/>
      <c r="M1112" s="114" t="str">
        <f>VLOOKUP(A1112,'BIC_(C_Variables)'!$A$3:$AS$43,45,FALSE())</f>
        <v/>
      </c>
      <c r="N1112" s="1"/>
      <c r="O1112" s="1"/>
      <c r="P1112" s="81" t="str">
        <f>IFERROR(VLOOKUP(A1112,Internal_lists_bugs!$A$2:$G7981,7,FALSE()),"please select a BUG ID")</f>
        <v>https://opendev.org/openstack/nova/commit/5fa74bc</v>
      </c>
    </row>
    <row r="1113">
      <c r="A1113" s="16" t="s">
        <v>56</v>
      </c>
      <c r="B1113" s="50" t="str">
        <f>IFERROR(HYPERLINK(VLOOKUP(A1113,Internal_lists_bugs!$A$2:$C$73,3,FALSE()), VLOOKUP(A1113,Internal_lists_bugs!$A$2:$C$73,3,FALSE())&amp;Char(10) &amp; Char(10) &amp; VLOOKUP(A1113,Internal_lists_bugs!$A$2:$Z$73,26,FALSE())),"please select a BUG ID")</f>
        <v>https://bugs.launchpad.net/nova/+bug/1371677
/libvirt/driver.py</v>
      </c>
      <c r="C1113" s="81" t="str">
        <f>IFERROR(VLOOKUP(A1113,Internal_lists_bugs!$A$2:$I7981,9,FALSE()),"please select a BUG ID")</f>
        <v>https://review.opendev.org/c/openstack/nova/+/40467</v>
      </c>
      <c r="D1113" s="55"/>
      <c r="E1113" s="114"/>
      <c r="F1113" s="115"/>
      <c r="G1113" s="79" t="s">
        <v>1430</v>
      </c>
      <c r="H1113" s="16" t="s">
        <v>2775</v>
      </c>
      <c r="I1113" s="82"/>
      <c r="J1113" s="92"/>
      <c r="K1113" s="82"/>
      <c r="M1113" s="114" t="str">
        <f>VLOOKUP(A1113,'BIC_(C_Variables)'!$A$3:$AS$43,45,FALSE())</f>
        <v/>
      </c>
      <c r="N1113" s="1"/>
      <c r="O1113" s="1"/>
      <c r="P1113" s="81" t="str">
        <f>IFERROR(VLOOKUP(A1113,Internal_lists_bugs!$A$2:$G7981,7,FALSE()),"please select a BUG ID")</f>
        <v>https://opendev.org/openstack/nova/commit/5fa74bc</v>
      </c>
    </row>
    <row r="1114">
      <c r="A1114" s="16" t="s">
        <v>56</v>
      </c>
      <c r="B1114" s="50" t="str">
        <f>IFERROR(HYPERLINK(VLOOKUP(A1114,Internal_lists_bugs!$A$2:$C$73,3,FALSE()), VLOOKUP(A1114,Internal_lists_bugs!$A$2:$C$73,3,FALSE())&amp;Char(10) &amp; Char(10) &amp; VLOOKUP(A1114,Internal_lists_bugs!$A$2:$Z$73,26,FALSE())),"please select a BUG ID")</f>
        <v>https://bugs.launchpad.net/nova/+bug/1371677
/libvirt/driver.py</v>
      </c>
      <c r="C1114" s="81" t="str">
        <f>IFERROR(VLOOKUP(A1114,Internal_lists_bugs!$A$2:$I7981,9,FALSE()),"please select a BUG ID")</f>
        <v>https://review.opendev.org/c/openstack/nova/+/40467</v>
      </c>
      <c r="D1114" s="55"/>
      <c r="E1114" s="114"/>
      <c r="F1114" s="115"/>
      <c r="G1114" s="79" t="s">
        <v>1877</v>
      </c>
      <c r="H1114" s="16" t="s">
        <v>2776</v>
      </c>
      <c r="I1114" s="82"/>
      <c r="J1114" s="92"/>
      <c r="K1114" s="82"/>
      <c r="M1114" s="114" t="str">
        <f>VLOOKUP(A1114,'BIC_(C_Variables)'!$A$3:$AS$43,45,FALSE())</f>
        <v/>
      </c>
      <c r="N1114" s="1"/>
      <c r="O1114" s="1"/>
      <c r="P1114" s="81" t="str">
        <f>IFERROR(VLOOKUP(A1114,Internal_lists_bugs!$A$2:$G7981,7,FALSE()),"please select a BUG ID")</f>
        <v>https://opendev.org/openstack/nova/commit/5fa74bc</v>
      </c>
    </row>
    <row r="1115">
      <c r="A1115" s="16" t="s">
        <v>56</v>
      </c>
      <c r="B1115" s="50" t="str">
        <f>IFERROR(HYPERLINK(VLOOKUP(A1115,Internal_lists_bugs!$A$2:$C$73,3,FALSE()), VLOOKUP(A1115,Internal_lists_bugs!$A$2:$C$73,3,FALSE())&amp;Char(10) &amp; Char(10) &amp; VLOOKUP(A1115,Internal_lists_bugs!$A$2:$Z$73,26,FALSE())),"please select a BUG ID")</f>
        <v>https://bugs.launchpad.net/nova/+bug/1371677
/libvirt/driver.py</v>
      </c>
      <c r="C1115" s="81" t="str">
        <f>IFERROR(VLOOKUP(A1115,Internal_lists_bugs!$A$2:$I7981,9,FALSE()),"please select a BUG ID")</f>
        <v>https://review.opendev.org/c/openstack/nova/+/40467</v>
      </c>
      <c r="D1115" s="55"/>
      <c r="E1115" s="114"/>
      <c r="F1115" s="115"/>
      <c r="G1115" s="16" t="s">
        <v>1949</v>
      </c>
      <c r="H1115" s="16" t="s">
        <v>2777</v>
      </c>
      <c r="I1115" s="82"/>
      <c r="J1115" s="92"/>
      <c r="K1115" s="82"/>
      <c r="M1115" s="114" t="str">
        <f>VLOOKUP(A1115,'BIC_(C_Variables)'!$A$3:$AS$43,45,FALSE())</f>
        <v/>
      </c>
      <c r="N1115" s="1"/>
      <c r="O1115" s="1"/>
      <c r="P1115" s="81" t="str">
        <f>IFERROR(VLOOKUP(A1115,Internal_lists_bugs!$A$2:$G7981,7,FALSE()),"please select a BUG ID")</f>
        <v>https://opendev.org/openstack/nova/commit/5fa74bc</v>
      </c>
    </row>
    <row r="1116">
      <c r="A1116" s="16" t="s">
        <v>56</v>
      </c>
      <c r="B1116" s="50" t="str">
        <f>IFERROR(HYPERLINK(VLOOKUP(A1116,Internal_lists_bugs!$A$2:$C$73,3,FALSE()), VLOOKUP(A1116,Internal_lists_bugs!$A$2:$C$73,3,FALSE())&amp;Char(10) &amp; Char(10) &amp; VLOOKUP(A1116,Internal_lists_bugs!$A$2:$Z$73,26,FALSE())),"please select a BUG ID")</f>
        <v>https://bugs.launchpad.net/nova/+bug/1371677
/libvirt/driver.py</v>
      </c>
      <c r="C1116" s="81" t="str">
        <f>IFERROR(VLOOKUP(A1116,Internal_lists_bugs!$A$2:$I7981,9,FALSE()),"please select a BUG ID")</f>
        <v>https://review.opendev.org/c/openstack/nova/+/40467</v>
      </c>
      <c r="D1116" s="55"/>
      <c r="E1116" s="114"/>
      <c r="F1116" s="115"/>
      <c r="G1116" s="16" t="s">
        <v>1951</v>
      </c>
      <c r="H1116" s="16" t="s">
        <v>2778</v>
      </c>
      <c r="I1116" s="82"/>
      <c r="J1116" s="92"/>
      <c r="K1116" s="82"/>
      <c r="M1116" s="114" t="str">
        <f>VLOOKUP(A1116,'BIC_(C_Variables)'!$A$3:$AS$43,45,FALSE())</f>
        <v/>
      </c>
      <c r="N1116" s="1"/>
      <c r="O1116" s="1"/>
      <c r="P1116" s="81" t="str">
        <f>IFERROR(VLOOKUP(A1116,Internal_lists_bugs!$A$2:$G7981,7,FALSE()),"please select a BUG ID")</f>
        <v>https://opendev.org/openstack/nova/commit/5fa74bc</v>
      </c>
    </row>
    <row r="1117">
      <c r="A1117" s="16" t="s">
        <v>56</v>
      </c>
      <c r="B1117" s="50" t="str">
        <f>IFERROR(HYPERLINK(VLOOKUP(A1117,Internal_lists_bugs!$A$2:$C$73,3,FALSE()), VLOOKUP(A1117,Internal_lists_bugs!$A$2:$C$73,3,FALSE())&amp;Char(10) &amp; Char(10) &amp; VLOOKUP(A1117,Internal_lists_bugs!$A$2:$Z$73,26,FALSE())),"please select a BUG ID")</f>
        <v>https://bugs.launchpad.net/nova/+bug/1371677
/libvirt/driver.py</v>
      </c>
      <c r="C1117" s="81" t="str">
        <f>IFERROR(VLOOKUP(A1117,Internal_lists_bugs!$A$2:$I7981,9,FALSE()),"please select a BUG ID")</f>
        <v>https://review.opendev.org/c/openstack/nova/+/40467</v>
      </c>
      <c r="D1117" s="55"/>
      <c r="E1117" s="114"/>
      <c r="F1117" s="115"/>
      <c r="G1117" s="16" t="s">
        <v>1958</v>
      </c>
      <c r="H1117" s="16" t="s">
        <v>2778</v>
      </c>
      <c r="I1117" s="82"/>
      <c r="J1117" s="92"/>
      <c r="K1117" s="82"/>
      <c r="M1117" s="114" t="str">
        <f>VLOOKUP(A1117,'BIC_(C_Variables)'!$A$3:$AS$43,45,FALSE())</f>
        <v/>
      </c>
      <c r="N1117" s="1"/>
      <c r="O1117" s="1"/>
      <c r="P1117" s="81" t="str">
        <f>IFERROR(VLOOKUP(A1117,Internal_lists_bugs!$A$2:$G7981,7,FALSE()),"please select a BUG ID")</f>
        <v>https://opendev.org/openstack/nova/commit/5fa74bc</v>
      </c>
    </row>
    <row r="1118">
      <c r="A1118" s="16" t="s">
        <v>56</v>
      </c>
      <c r="B1118" s="50" t="str">
        <f>IFERROR(HYPERLINK(VLOOKUP(A1118,Internal_lists_bugs!$A$2:$C$73,3,FALSE()), VLOOKUP(A1118,Internal_lists_bugs!$A$2:$C$73,3,FALSE())&amp;Char(10) &amp; Char(10) &amp; VLOOKUP(A1118,Internal_lists_bugs!$A$2:$Z$73,26,FALSE())),"please select a BUG ID")</f>
        <v>https://bugs.launchpad.net/nova/+bug/1371677
/libvirt/driver.py</v>
      </c>
      <c r="C1118" s="81" t="str">
        <f>IFERROR(VLOOKUP(A1118,Internal_lists_bugs!$A$2:$I7981,9,FALSE()),"please select a BUG ID")</f>
        <v>https://review.opendev.org/c/openstack/nova/+/40467</v>
      </c>
      <c r="D1118" s="55"/>
      <c r="E1118" s="114"/>
      <c r="F1118" s="115"/>
      <c r="G1118" s="120" t="s">
        <v>2349</v>
      </c>
      <c r="H1118" s="16" t="s">
        <v>2779</v>
      </c>
      <c r="I1118" s="82"/>
      <c r="J1118" s="92"/>
      <c r="K1118" s="82"/>
      <c r="M1118" s="114" t="str">
        <f>VLOOKUP(A1118,'BIC_(C_Variables)'!$A$3:$AS$43,45,FALSE())</f>
        <v/>
      </c>
      <c r="N1118" s="1"/>
      <c r="O1118" s="1"/>
      <c r="P1118" s="81" t="str">
        <f>IFERROR(VLOOKUP(A1118,Internal_lists_bugs!$A$2:$G7981,7,FALSE()),"please select a BUG ID")</f>
        <v>https://opendev.org/openstack/nova/commit/5fa74bc</v>
      </c>
    </row>
    <row r="1119">
      <c r="A1119" s="16" t="s">
        <v>56</v>
      </c>
      <c r="B1119" s="50" t="str">
        <f>IFERROR(HYPERLINK(VLOOKUP(A1119,Internal_lists_bugs!$A$2:$C$73,3,FALSE()), VLOOKUP(A1119,Internal_lists_bugs!$A$2:$C$73,3,FALSE())&amp;Char(10) &amp; Char(10) &amp; VLOOKUP(A1119,Internal_lists_bugs!$A$2:$Z$73,26,FALSE())),"please select a BUG ID")</f>
        <v>https://bugs.launchpad.net/nova/+bug/1371677
/libvirt/driver.py</v>
      </c>
      <c r="C1119" s="81" t="str">
        <f>IFERROR(VLOOKUP(A1119,Internal_lists_bugs!$A$2:$I7981,9,FALSE()),"please select a BUG ID")</f>
        <v>https://review.opendev.org/c/openstack/nova/+/40467</v>
      </c>
      <c r="D1119" s="55"/>
      <c r="E1119" s="114"/>
      <c r="F1119" s="115"/>
      <c r="G1119" s="120" t="s">
        <v>1960</v>
      </c>
      <c r="H1119" s="16" t="s">
        <v>2779</v>
      </c>
      <c r="I1119" s="82"/>
      <c r="J1119" s="92"/>
      <c r="K1119" s="82"/>
      <c r="M1119" s="114" t="str">
        <f>VLOOKUP(A1119,'BIC_(C_Variables)'!$A$3:$AS$43,45,FALSE())</f>
        <v/>
      </c>
      <c r="N1119" s="1"/>
      <c r="O1119" s="1"/>
      <c r="P1119" s="81" t="str">
        <f>IFERROR(VLOOKUP(A1119,Internal_lists_bugs!$A$2:$G7981,7,FALSE()),"please select a BUG ID")</f>
        <v>https://opendev.org/openstack/nova/commit/5fa74bc</v>
      </c>
    </row>
    <row r="1120">
      <c r="A1120" s="16" t="s">
        <v>56</v>
      </c>
      <c r="B1120" s="50" t="str">
        <f>IFERROR(HYPERLINK(VLOOKUP(A1120,Internal_lists_bugs!$A$2:$C$73,3,FALSE()), VLOOKUP(A1120,Internal_lists_bugs!$A$2:$C$73,3,FALSE())&amp;Char(10) &amp; Char(10) &amp; VLOOKUP(A1120,Internal_lists_bugs!$A$2:$Z$73,26,FALSE())),"please select a BUG ID")</f>
        <v>https://bugs.launchpad.net/nova/+bug/1371677
/libvirt/driver.py</v>
      </c>
      <c r="C1120" s="81" t="str">
        <f>IFERROR(VLOOKUP(A1120,Internal_lists_bugs!$A$2:$I7981,9,FALSE()),"please select a BUG ID")</f>
        <v>https://review.opendev.org/c/openstack/nova/+/40467</v>
      </c>
      <c r="D1120" s="55"/>
      <c r="E1120" s="114"/>
      <c r="F1120" s="115"/>
      <c r="G1120" s="120" t="s">
        <v>1956</v>
      </c>
      <c r="H1120" s="16" t="s">
        <v>2780</v>
      </c>
      <c r="I1120" s="82"/>
      <c r="J1120" s="92"/>
      <c r="K1120" s="82"/>
      <c r="M1120" s="114" t="str">
        <f>VLOOKUP(A1120,'BIC_(C_Variables)'!$A$3:$AS$43,45,FALSE())</f>
        <v/>
      </c>
      <c r="N1120" s="1"/>
      <c r="O1120" s="1"/>
      <c r="P1120" s="81" t="str">
        <f>IFERROR(VLOOKUP(A1120,Internal_lists_bugs!$A$2:$G7981,7,FALSE()),"please select a BUG ID")</f>
        <v>https://opendev.org/openstack/nova/commit/5fa74bc</v>
      </c>
    </row>
    <row r="1121">
      <c r="A1121" s="16" t="s">
        <v>56</v>
      </c>
      <c r="B1121" s="50" t="str">
        <f>IFERROR(HYPERLINK(VLOOKUP(A1121,Internal_lists_bugs!$A$2:$C$73,3,FALSE()), VLOOKUP(A1121,Internal_lists_bugs!$A$2:$C$73,3,FALSE())&amp;Char(10) &amp; Char(10) &amp; VLOOKUP(A1121,Internal_lists_bugs!$A$2:$Z$73,26,FALSE())),"please select a BUG ID")</f>
        <v>https://bugs.launchpad.net/nova/+bug/1371677
/libvirt/driver.py</v>
      </c>
      <c r="C1121" s="81" t="str">
        <f>IFERROR(VLOOKUP(A1121,Internal_lists_bugs!$A$2:$I7981,9,FALSE()),"please select a BUG ID")</f>
        <v>https://review.opendev.org/c/openstack/nova/+/40467</v>
      </c>
      <c r="D1121" s="55"/>
      <c r="E1121" s="114"/>
      <c r="F1121" s="115"/>
      <c r="G1121" s="120" t="s">
        <v>1972</v>
      </c>
      <c r="H1121" s="16" t="s">
        <v>2780</v>
      </c>
      <c r="I1121" s="82"/>
      <c r="J1121" s="92"/>
      <c r="K1121" s="82"/>
      <c r="M1121" s="114" t="str">
        <f>VLOOKUP(A1121,'BIC_(C_Variables)'!$A$3:$AS$43,45,FALSE())</f>
        <v/>
      </c>
      <c r="N1121" s="1"/>
      <c r="O1121" s="1"/>
      <c r="P1121" s="81" t="str">
        <f>IFERROR(VLOOKUP(A1121,Internal_lists_bugs!$A$2:$G7981,7,FALSE()),"please select a BUG ID")</f>
        <v>https://opendev.org/openstack/nova/commit/5fa74bc</v>
      </c>
    </row>
    <row r="1122">
      <c r="A1122" s="16" t="s">
        <v>56</v>
      </c>
      <c r="B1122" s="50" t="str">
        <f>IFERROR(HYPERLINK(VLOOKUP(A1122,Internal_lists_bugs!$A$2:$C$73,3,FALSE()), VLOOKUP(A1122,Internal_lists_bugs!$A$2:$C$73,3,FALSE())&amp;Char(10) &amp; Char(10) &amp; VLOOKUP(A1122,Internal_lists_bugs!$A$2:$Z$73,26,FALSE())),"please select a BUG ID")</f>
        <v>https://bugs.launchpad.net/nova/+bug/1371677
/libvirt/driver.py</v>
      </c>
      <c r="C1122" s="81" t="str">
        <f>IFERROR(VLOOKUP(A1122,Internal_lists_bugs!$A$2:$I7981,9,FALSE()),"please select a BUG ID")</f>
        <v>https://review.opendev.org/c/openstack/nova/+/40467</v>
      </c>
      <c r="D1122" s="55"/>
      <c r="E1122" s="114"/>
      <c r="F1122" s="115"/>
      <c r="G1122" s="16" t="s">
        <v>2354</v>
      </c>
      <c r="H1122" s="16" t="s">
        <v>2781</v>
      </c>
      <c r="I1122" s="82"/>
      <c r="J1122" s="92"/>
      <c r="K1122" s="82"/>
      <c r="M1122" s="114" t="str">
        <f>VLOOKUP(A1122,'BIC_(C_Variables)'!$A$3:$AS$43,45,FALSE())</f>
        <v/>
      </c>
      <c r="N1122" s="1"/>
      <c r="O1122" s="1"/>
      <c r="P1122" s="81" t="str">
        <f>IFERROR(VLOOKUP(A1122,Internal_lists_bugs!$A$2:$G7981,7,FALSE()),"please select a BUG ID")</f>
        <v>https://opendev.org/openstack/nova/commit/5fa74bc</v>
      </c>
    </row>
    <row r="1123">
      <c r="A1123" s="16" t="s">
        <v>56</v>
      </c>
      <c r="B1123" s="50" t="str">
        <f>IFERROR(HYPERLINK(VLOOKUP(A1123,Internal_lists_bugs!$A$2:$C$73,3,FALSE()), VLOOKUP(A1123,Internal_lists_bugs!$A$2:$C$73,3,FALSE())&amp;Char(10) &amp; Char(10) &amp; VLOOKUP(A1123,Internal_lists_bugs!$A$2:$Z$73,26,FALSE())),"please select a BUG ID")</f>
        <v>https://bugs.launchpad.net/nova/+bug/1371677
/libvirt/driver.py</v>
      </c>
      <c r="C1123" s="81" t="str">
        <f>IFERROR(VLOOKUP(A1123,Internal_lists_bugs!$A$2:$I7981,9,FALSE()),"please select a BUG ID")</f>
        <v>https://review.opendev.org/c/openstack/nova/+/40467</v>
      </c>
      <c r="D1123" s="55"/>
      <c r="E1123" s="114"/>
      <c r="F1123" s="115"/>
      <c r="G1123" s="16" t="s">
        <v>1970</v>
      </c>
      <c r="H1123" s="16" t="s">
        <v>2782</v>
      </c>
      <c r="I1123" s="82"/>
      <c r="J1123" s="92"/>
      <c r="K1123" s="82"/>
      <c r="M1123" s="114" t="str">
        <f>VLOOKUP(A1123,'BIC_(C_Variables)'!$A$3:$AS$43,45,FALSE())</f>
        <v/>
      </c>
      <c r="N1123" s="1"/>
      <c r="O1123" s="1"/>
      <c r="P1123" s="81" t="str">
        <f>IFERROR(VLOOKUP(A1123,Internal_lists_bugs!$A$2:$G7981,7,FALSE()),"please select a BUG ID")</f>
        <v>https://opendev.org/openstack/nova/commit/5fa74bc</v>
      </c>
    </row>
    <row r="1124">
      <c r="A1124" s="16" t="s">
        <v>56</v>
      </c>
      <c r="B1124" s="50" t="str">
        <f>IFERROR(HYPERLINK(VLOOKUP(A1124,Internal_lists_bugs!$A$2:$C$73,3,FALSE()), VLOOKUP(A1124,Internal_lists_bugs!$A$2:$C$73,3,FALSE())&amp;Char(10) &amp; Char(10) &amp; VLOOKUP(A1124,Internal_lists_bugs!$A$2:$Z$73,26,FALSE())),"please select a BUG ID")</f>
        <v>https://bugs.launchpad.net/nova/+bug/1371677
/libvirt/driver.py</v>
      </c>
      <c r="C1124" s="81" t="str">
        <f>IFERROR(VLOOKUP(A1124,Internal_lists_bugs!$A$2:$I7981,9,FALSE()),"please select a BUG ID")</f>
        <v>https://review.opendev.org/c/openstack/nova/+/40467</v>
      </c>
      <c r="D1124" s="55"/>
      <c r="E1124" s="114"/>
      <c r="F1124" s="115"/>
      <c r="G1124" s="16" t="s">
        <v>1977</v>
      </c>
      <c r="H1124" s="16" t="s">
        <v>2782</v>
      </c>
      <c r="I1124" s="82"/>
      <c r="J1124" s="92"/>
      <c r="K1124" s="82"/>
      <c r="M1124" s="114" t="str">
        <f>VLOOKUP(A1124,'BIC_(C_Variables)'!$A$3:$AS$43,45,FALSE())</f>
        <v/>
      </c>
      <c r="N1124" s="1"/>
      <c r="O1124" s="1"/>
      <c r="P1124" s="81" t="str">
        <f>IFERROR(VLOOKUP(A1124,Internal_lists_bugs!$A$2:$G7981,7,FALSE()),"please select a BUG ID")</f>
        <v>https://opendev.org/openstack/nova/commit/5fa74bc</v>
      </c>
    </row>
    <row r="1125">
      <c r="A1125" s="16" t="s">
        <v>56</v>
      </c>
      <c r="B1125" s="50" t="str">
        <f>IFERROR(HYPERLINK(VLOOKUP(A1125,Internal_lists_bugs!$A$2:$C$73,3,FALSE()), VLOOKUP(A1125,Internal_lists_bugs!$A$2:$C$73,3,FALSE())&amp;Char(10) &amp; Char(10) &amp; VLOOKUP(A1125,Internal_lists_bugs!$A$2:$Z$73,26,FALSE())),"please select a BUG ID")</f>
        <v>https://bugs.launchpad.net/nova/+bug/1371677
/libvirt/driver.py</v>
      </c>
      <c r="C1125" s="81" t="str">
        <f>IFERROR(VLOOKUP(A1125,Internal_lists_bugs!$A$2:$I7981,9,FALSE()),"please select a BUG ID")</f>
        <v>https://review.opendev.org/c/openstack/nova/+/40467</v>
      </c>
      <c r="D1125" s="55"/>
      <c r="E1125" s="114"/>
      <c r="F1125" s="115"/>
      <c r="G1125" s="120" t="s">
        <v>2358</v>
      </c>
      <c r="H1125" s="16" t="s">
        <v>2783</v>
      </c>
      <c r="I1125" s="82"/>
      <c r="J1125" s="92"/>
      <c r="K1125" s="82"/>
      <c r="M1125" s="114" t="str">
        <f>VLOOKUP(A1125,'BIC_(C_Variables)'!$A$3:$AS$43,45,FALSE())</f>
        <v/>
      </c>
      <c r="N1125" s="1"/>
      <c r="O1125" s="1"/>
      <c r="P1125" s="81" t="str">
        <f>IFERROR(VLOOKUP(A1125,Internal_lists_bugs!$A$2:$G7981,7,FALSE()),"please select a BUG ID")</f>
        <v>https://opendev.org/openstack/nova/commit/5fa74bc</v>
      </c>
    </row>
    <row r="1126">
      <c r="A1126" s="16" t="s">
        <v>56</v>
      </c>
      <c r="B1126" s="50" t="str">
        <f>IFERROR(HYPERLINK(VLOOKUP(A1126,Internal_lists_bugs!$A$2:$C$73,3,FALSE()), VLOOKUP(A1126,Internal_lists_bugs!$A$2:$C$73,3,FALSE())&amp;Char(10) &amp; Char(10) &amp; VLOOKUP(A1126,Internal_lists_bugs!$A$2:$Z$73,26,FALSE())),"please select a BUG ID")</f>
        <v>https://bugs.launchpad.net/nova/+bug/1371677
/libvirt/driver.py</v>
      </c>
      <c r="C1126" s="81" t="str">
        <f>IFERROR(VLOOKUP(A1126,Internal_lists_bugs!$A$2:$I7981,9,FALSE()),"please select a BUG ID")</f>
        <v>https://review.opendev.org/c/openstack/nova/+/40467</v>
      </c>
      <c r="D1126" s="55"/>
      <c r="E1126" s="114"/>
      <c r="F1126" s="115"/>
      <c r="G1126" s="120" t="s">
        <v>1986</v>
      </c>
      <c r="H1126" s="16" t="s">
        <v>2783</v>
      </c>
      <c r="I1126" s="82"/>
      <c r="J1126" s="92"/>
      <c r="K1126" s="82"/>
      <c r="M1126" s="114" t="str">
        <f>VLOOKUP(A1126,'BIC_(C_Variables)'!$A$3:$AS$43,45,FALSE())</f>
        <v/>
      </c>
      <c r="N1126" s="1"/>
      <c r="O1126" s="1"/>
      <c r="P1126" s="81" t="str">
        <f>IFERROR(VLOOKUP(A1126,Internal_lists_bugs!$A$2:$G7981,7,FALSE()),"please select a BUG ID")</f>
        <v>https://opendev.org/openstack/nova/commit/5fa74bc</v>
      </c>
    </row>
    <row r="1127">
      <c r="A1127" s="16" t="s">
        <v>56</v>
      </c>
      <c r="B1127" s="50" t="str">
        <f>IFERROR(HYPERLINK(VLOOKUP(A1127,Internal_lists_bugs!$A$2:$C$73,3,FALSE()), VLOOKUP(A1127,Internal_lists_bugs!$A$2:$C$73,3,FALSE())&amp;Char(10) &amp; Char(10) &amp; VLOOKUP(A1127,Internal_lists_bugs!$A$2:$Z$73,26,FALSE())),"please select a BUG ID")</f>
        <v>https://bugs.launchpad.net/nova/+bug/1371677
/libvirt/driver.py</v>
      </c>
      <c r="C1127" s="81" t="str">
        <f>IFERROR(VLOOKUP(A1127,Internal_lists_bugs!$A$2:$I7981,9,FALSE()),"please select a BUG ID")</f>
        <v>https://review.opendev.org/c/openstack/nova/+/40467</v>
      </c>
      <c r="D1127" s="55"/>
      <c r="E1127" s="114"/>
      <c r="F1127" s="115"/>
      <c r="G1127" s="120" t="s">
        <v>1975</v>
      </c>
      <c r="H1127" s="16" t="s">
        <v>2784</v>
      </c>
      <c r="I1127" s="82"/>
      <c r="J1127" s="92"/>
      <c r="K1127" s="82"/>
      <c r="M1127" s="114" t="str">
        <f>VLOOKUP(A1127,'BIC_(C_Variables)'!$A$3:$AS$43,45,FALSE())</f>
        <v/>
      </c>
      <c r="N1127" s="1"/>
      <c r="O1127" s="1"/>
      <c r="P1127" s="81" t="str">
        <f>IFERROR(VLOOKUP(A1127,Internal_lists_bugs!$A$2:$G7981,7,FALSE()),"please select a BUG ID")</f>
        <v>https://opendev.org/openstack/nova/commit/5fa74bc</v>
      </c>
    </row>
    <row r="1128">
      <c r="A1128" s="16" t="s">
        <v>56</v>
      </c>
      <c r="B1128" s="50" t="str">
        <f>IFERROR(HYPERLINK(VLOOKUP(A1128,Internal_lists_bugs!$A$2:$C$73,3,FALSE()), VLOOKUP(A1128,Internal_lists_bugs!$A$2:$C$73,3,FALSE())&amp;Char(10) &amp; Char(10) &amp; VLOOKUP(A1128,Internal_lists_bugs!$A$2:$Z$73,26,FALSE())),"please select a BUG ID")</f>
        <v>https://bugs.launchpad.net/nova/+bug/1371677
/libvirt/driver.py</v>
      </c>
      <c r="C1128" s="81" t="str">
        <f>IFERROR(VLOOKUP(A1128,Internal_lists_bugs!$A$2:$I7981,9,FALSE()),"please select a BUG ID")</f>
        <v>https://review.opendev.org/c/openstack/nova/+/40467</v>
      </c>
      <c r="D1128" s="55"/>
      <c r="E1128" s="114"/>
      <c r="F1128" s="115"/>
      <c r="G1128" s="120" t="s">
        <v>1989</v>
      </c>
      <c r="H1128" s="16" t="s">
        <v>2784</v>
      </c>
      <c r="I1128" s="82"/>
      <c r="J1128" s="92"/>
      <c r="K1128" s="82"/>
      <c r="M1128" s="114" t="str">
        <f>VLOOKUP(A1128,'BIC_(C_Variables)'!$A$3:$AS$43,45,FALSE())</f>
        <v/>
      </c>
      <c r="N1128" s="1"/>
      <c r="O1128" s="1"/>
      <c r="P1128" s="81" t="str">
        <f>IFERROR(VLOOKUP(A1128,Internal_lists_bugs!$A$2:$G7981,7,FALSE()),"please select a BUG ID")</f>
        <v>https://opendev.org/openstack/nova/commit/5fa74bc</v>
      </c>
    </row>
    <row r="1129">
      <c r="A1129" s="16" t="s">
        <v>56</v>
      </c>
      <c r="B1129" s="50" t="str">
        <f>IFERROR(HYPERLINK(VLOOKUP(A1129,Internal_lists_bugs!$A$2:$C$73,3,FALSE()), VLOOKUP(A1129,Internal_lists_bugs!$A$2:$C$73,3,FALSE())&amp;Char(10) &amp; Char(10) &amp; VLOOKUP(A1129,Internal_lists_bugs!$A$2:$Z$73,26,FALSE())),"please select a BUG ID")</f>
        <v>https://bugs.launchpad.net/nova/+bug/1371677
/libvirt/driver.py</v>
      </c>
      <c r="C1129" s="81" t="str">
        <f>IFERROR(VLOOKUP(A1129,Internal_lists_bugs!$A$2:$I7981,9,FALSE()),"please select a BUG ID")</f>
        <v>https://review.opendev.org/c/openstack/nova/+/40467</v>
      </c>
      <c r="D1129" s="55"/>
      <c r="E1129" s="114"/>
      <c r="F1129" s="115"/>
      <c r="G1129" s="79" t="s">
        <v>1590</v>
      </c>
      <c r="H1129" s="16" t="s">
        <v>2785</v>
      </c>
      <c r="I1129" s="82"/>
      <c r="J1129" s="92"/>
      <c r="K1129" s="82"/>
      <c r="M1129" s="114" t="str">
        <f>VLOOKUP(A1129,'BIC_(C_Variables)'!$A$3:$AS$43,45,FALSE())</f>
        <v/>
      </c>
      <c r="N1129" s="1"/>
      <c r="O1129" s="1"/>
      <c r="P1129" s="81" t="str">
        <f>IFERROR(VLOOKUP(A1129,Internal_lists_bugs!$A$2:$G7981,7,FALSE()),"please select a BUG ID")</f>
        <v>https://opendev.org/openstack/nova/commit/5fa74bc</v>
      </c>
    </row>
    <row r="1130">
      <c r="A1130" s="16" t="s">
        <v>56</v>
      </c>
      <c r="B1130" s="50" t="str">
        <f>IFERROR(HYPERLINK(VLOOKUP(A1130,Internal_lists_bugs!$A$2:$C$73,3,FALSE()), VLOOKUP(A1130,Internal_lists_bugs!$A$2:$C$73,3,FALSE())&amp;Char(10) &amp; Char(10) &amp; VLOOKUP(A1130,Internal_lists_bugs!$A$2:$Z$73,26,FALSE())),"please select a BUG ID")</f>
        <v>https://bugs.launchpad.net/nova/+bug/1371677
/libvirt/driver.py</v>
      </c>
      <c r="C1130" s="81" t="str">
        <f>IFERROR(VLOOKUP(A1130,Internal_lists_bugs!$A$2:$I7981,9,FALSE()),"please select a BUG ID")</f>
        <v>https://review.opendev.org/c/openstack/nova/+/40467</v>
      </c>
      <c r="D1130" s="55"/>
      <c r="E1130" s="114"/>
      <c r="F1130" s="115"/>
      <c r="G1130" s="120" t="s">
        <v>1982</v>
      </c>
      <c r="H1130" s="16" t="s">
        <v>2786</v>
      </c>
      <c r="I1130" s="82"/>
      <c r="J1130" s="92"/>
      <c r="K1130" s="82"/>
      <c r="M1130" s="114" t="str">
        <f>VLOOKUP(A1130,'BIC_(C_Variables)'!$A$3:$AS$43,45,FALSE())</f>
        <v/>
      </c>
      <c r="N1130" s="1"/>
      <c r="O1130" s="1"/>
      <c r="P1130" s="81" t="str">
        <f>IFERROR(VLOOKUP(A1130,Internal_lists_bugs!$A$2:$G7981,7,FALSE()),"please select a BUG ID")</f>
        <v>https://opendev.org/openstack/nova/commit/5fa74bc</v>
      </c>
    </row>
    <row r="1131">
      <c r="A1131" s="16" t="s">
        <v>56</v>
      </c>
      <c r="B1131" s="50" t="str">
        <f>IFERROR(HYPERLINK(VLOOKUP(A1131,Internal_lists_bugs!$A$2:$C$73,3,FALSE()), VLOOKUP(A1131,Internal_lists_bugs!$A$2:$C$73,3,FALSE())&amp;Char(10) &amp; Char(10) &amp; VLOOKUP(A1131,Internal_lists_bugs!$A$2:$Z$73,26,FALSE())),"please select a BUG ID")</f>
        <v>https://bugs.launchpad.net/nova/+bug/1371677
/libvirt/driver.py</v>
      </c>
      <c r="C1131" s="81" t="str">
        <f>IFERROR(VLOOKUP(A1131,Internal_lists_bugs!$A$2:$I7981,9,FALSE()),"please select a BUG ID")</f>
        <v>https://review.opendev.org/c/openstack/nova/+/40467</v>
      </c>
      <c r="D1131" s="52"/>
      <c r="E1131" s="114"/>
      <c r="F1131" s="115"/>
      <c r="G1131" s="79" t="s">
        <v>2787</v>
      </c>
      <c r="H1131" s="16" t="s">
        <v>2788</v>
      </c>
      <c r="I1131" s="82"/>
      <c r="J1131" s="92"/>
      <c r="K1131" s="82"/>
      <c r="M1131" s="114" t="str">
        <f>VLOOKUP(A1131,'BIC_(C_Variables)'!$A$3:$AS$43,45,FALSE())</f>
        <v/>
      </c>
      <c r="N1131" s="1"/>
      <c r="O1131" s="1"/>
      <c r="P1131" s="81" t="str">
        <f>IFERROR(VLOOKUP(A1131,Internal_lists_bugs!$A$2:$G7981,7,FALSE()),"please select a BUG ID")</f>
        <v>https://opendev.org/openstack/nova/commit/5fa74bc</v>
      </c>
    </row>
    <row r="1132">
      <c r="A1132" s="16" t="s">
        <v>56</v>
      </c>
      <c r="B1132" s="50" t="str">
        <f>IFERROR(HYPERLINK(VLOOKUP(A1132,Internal_lists_bugs!$A$2:$C$73,3,FALSE()), VLOOKUP(A1132,Internal_lists_bugs!$A$2:$C$73,3,FALSE())&amp;Char(10) &amp; Char(10) &amp; VLOOKUP(A1132,Internal_lists_bugs!$A$2:$Z$73,26,FALSE())),"please select a BUG ID")</f>
        <v>https://bugs.launchpad.net/nova/+bug/1371677
/libvirt/driver.py</v>
      </c>
      <c r="C1132" s="81" t="str">
        <f>IFERROR(VLOOKUP(A1132,Internal_lists_bugs!$A$2:$I7981,9,FALSE()),"please select a BUG ID")</f>
        <v>https://review.opendev.org/c/openstack/nova/+/40467</v>
      </c>
      <c r="D1132" s="55"/>
      <c r="E1132" s="114"/>
      <c r="F1132" s="115"/>
      <c r="G1132" s="79" t="s">
        <v>2789</v>
      </c>
      <c r="H1132" s="16" t="s">
        <v>2790</v>
      </c>
      <c r="I1132" s="82"/>
      <c r="J1132" s="92"/>
      <c r="K1132" s="82"/>
      <c r="M1132" s="114" t="str">
        <f>VLOOKUP(A1132,'BIC_(C_Variables)'!$A$3:$AS$43,45,FALSE())</f>
        <v/>
      </c>
      <c r="N1132" s="1"/>
      <c r="O1132" s="1"/>
      <c r="P1132" s="81" t="str">
        <f>IFERROR(VLOOKUP(A1132,Internal_lists_bugs!$A$2:$G7981,7,FALSE()),"please select a BUG ID")</f>
        <v>https://opendev.org/openstack/nova/commit/5fa74bc</v>
      </c>
    </row>
    <row r="1133">
      <c r="A1133" s="16" t="s">
        <v>56</v>
      </c>
      <c r="B1133" s="50" t="str">
        <f>IFERROR(HYPERLINK(VLOOKUP(A1133,Internal_lists_bugs!$A$2:$C$73,3,FALSE()), VLOOKUP(A1133,Internal_lists_bugs!$A$2:$C$73,3,FALSE())&amp;Char(10) &amp; Char(10) &amp; VLOOKUP(A1133,Internal_lists_bugs!$A$2:$Z$73,26,FALSE())),"please select a BUG ID")</f>
        <v>https://bugs.launchpad.net/nova/+bug/1371677
/libvirt/driver.py</v>
      </c>
      <c r="C1133" s="81" t="str">
        <f>IFERROR(VLOOKUP(A1133,Internal_lists_bugs!$A$2:$I7981,9,FALSE()),"please select a BUG ID")</f>
        <v>https://review.opendev.org/c/openstack/nova/+/40467</v>
      </c>
      <c r="D1133" s="55"/>
      <c r="E1133" s="114"/>
      <c r="F1133" s="115"/>
      <c r="G1133" s="79" t="s">
        <v>1498</v>
      </c>
      <c r="H1133" s="16" t="s">
        <v>2791</v>
      </c>
      <c r="I1133" s="82"/>
      <c r="J1133" s="92"/>
      <c r="K1133" s="82"/>
      <c r="M1133" s="114" t="str">
        <f>VLOOKUP(A1133,'BIC_(C_Variables)'!$A$3:$AS$43,45,FALSE())</f>
        <v/>
      </c>
      <c r="N1133" s="1"/>
      <c r="O1133" s="1"/>
      <c r="P1133" s="81" t="str">
        <f>IFERROR(VLOOKUP(A1133,Internal_lists_bugs!$A$2:$G7981,7,FALSE()),"please select a BUG ID")</f>
        <v>https://opendev.org/openstack/nova/commit/5fa74bc</v>
      </c>
    </row>
    <row r="1134">
      <c r="A1134" s="16" t="s">
        <v>56</v>
      </c>
      <c r="B1134" s="50" t="str">
        <f>IFERROR(HYPERLINK(VLOOKUP(A1134,Internal_lists_bugs!$A$2:$C$73,3,FALSE()), VLOOKUP(A1134,Internal_lists_bugs!$A$2:$C$73,3,FALSE())&amp;Char(10) &amp; Char(10) &amp; VLOOKUP(A1134,Internal_lists_bugs!$A$2:$Z$73,26,FALSE())),"please select a BUG ID")</f>
        <v>https://bugs.launchpad.net/nova/+bug/1371677
/libvirt/driver.py</v>
      </c>
      <c r="C1134" s="81" t="str">
        <f>IFERROR(VLOOKUP(A1134,Internal_lists_bugs!$A$2:$I7981,9,FALSE()),"please select a BUG ID")</f>
        <v>https://review.opendev.org/c/openstack/nova/+/40467</v>
      </c>
      <c r="D1134" s="55"/>
      <c r="E1134" s="114"/>
      <c r="F1134" s="115"/>
      <c r="G1134" s="79" t="s">
        <v>1590</v>
      </c>
      <c r="H1134" s="16" t="s">
        <v>2792</v>
      </c>
      <c r="I1134" s="82"/>
      <c r="J1134" s="92"/>
      <c r="K1134" s="82"/>
      <c r="M1134" s="114" t="str">
        <f>VLOOKUP(A1134,'BIC_(C_Variables)'!$A$3:$AS$43,45,FALSE())</f>
        <v/>
      </c>
      <c r="N1134" s="1"/>
      <c r="O1134" s="1"/>
      <c r="P1134" s="81" t="str">
        <f>IFERROR(VLOOKUP(A1134,Internal_lists_bugs!$A$2:$G7981,7,FALSE()),"please select a BUG ID")</f>
        <v>https://opendev.org/openstack/nova/commit/5fa74bc</v>
      </c>
    </row>
    <row r="1135">
      <c r="A1135" s="16" t="s">
        <v>56</v>
      </c>
      <c r="B1135" s="50" t="str">
        <f>IFERROR(HYPERLINK(VLOOKUP(A1135,Internal_lists_bugs!$A$2:$C$73,3,FALSE()), VLOOKUP(A1135,Internal_lists_bugs!$A$2:$C$73,3,FALSE())&amp;Char(10) &amp; Char(10) &amp; VLOOKUP(A1135,Internal_lists_bugs!$A$2:$Z$73,26,FALSE())),"please select a BUG ID")</f>
        <v>https://bugs.launchpad.net/nova/+bug/1371677
/libvirt/driver.py</v>
      </c>
      <c r="C1135" s="81" t="str">
        <f>IFERROR(VLOOKUP(A1135,Internal_lists_bugs!$A$2:$I7981,9,FALSE()),"please select a BUG ID")</f>
        <v>https://review.opendev.org/c/openstack/nova/+/40467</v>
      </c>
      <c r="D1135" s="55"/>
      <c r="E1135" s="114"/>
      <c r="F1135" s="115"/>
      <c r="G1135" s="120" t="s">
        <v>2793</v>
      </c>
      <c r="H1135" s="16" t="s">
        <v>2794</v>
      </c>
      <c r="I1135" s="82"/>
      <c r="J1135" s="92"/>
      <c r="K1135" s="82"/>
      <c r="M1135" s="114" t="str">
        <f>VLOOKUP(A1135,'BIC_(C_Variables)'!$A$3:$AS$43,45,FALSE())</f>
        <v/>
      </c>
      <c r="N1135" s="1"/>
      <c r="O1135" s="1"/>
      <c r="P1135" s="81" t="str">
        <f>IFERROR(VLOOKUP(A1135,Internal_lists_bugs!$A$2:$G7981,7,FALSE()),"please select a BUG ID")</f>
        <v>https://opendev.org/openstack/nova/commit/5fa74bc</v>
      </c>
    </row>
    <row r="1136">
      <c r="A1136" s="16" t="s">
        <v>56</v>
      </c>
      <c r="B1136" s="50" t="str">
        <f>IFERROR(HYPERLINK(VLOOKUP(A1136,Internal_lists_bugs!$A$2:$C$73,3,FALSE()), VLOOKUP(A1136,Internal_lists_bugs!$A$2:$C$73,3,FALSE())&amp;Char(10) &amp; Char(10) &amp; VLOOKUP(A1136,Internal_lists_bugs!$A$2:$Z$73,26,FALSE())),"please select a BUG ID")</f>
        <v>https://bugs.launchpad.net/nova/+bug/1371677
/libvirt/driver.py</v>
      </c>
      <c r="C1136" s="81" t="str">
        <f>IFERROR(VLOOKUP(A1136,Internal_lists_bugs!$A$2:$I7981,9,FALSE()),"please select a BUG ID")</f>
        <v>https://review.opendev.org/c/openstack/nova/+/40467</v>
      </c>
      <c r="D1136" s="55"/>
      <c r="E1136" s="114"/>
      <c r="F1136" s="115"/>
      <c r="G1136" s="120" t="s">
        <v>2367</v>
      </c>
      <c r="H1136" s="16" t="s">
        <v>2794</v>
      </c>
      <c r="I1136" s="82"/>
      <c r="J1136" s="92"/>
      <c r="K1136" s="82"/>
      <c r="M1136" s="114" t="str">
        <f>VLOOKUP(A1136,'BIC_(C_Variables)'!$A$3:$AS$43,45,FALSE())</f>
        <v/>
      </c>
      <c r="N1136" s="1"/>
      <c r="O1136" s="1"/>
      <c r="P1136" s="81" t="str">
        <f>IFERROR(VLOOKUP(A1136,Internal_lists_bugs!$A$2:$G7981,7,FALSE()),"please select a BUG ID")</f>
        <v>https://opendev.org/openstack/nova/commit/5fa74bc</v>
      </c>
    </row>
    <row r="1137">
      <c r="A1137" s="16" t="s">
        <v>56</v>
      </c>
      <c r="B1137" s="50" t="str">
        <f>IFERROR(HYPERLINK(VLOOKUP(A1137,Internal_lists_bugs!$A$2:$C$73,3,FALSE()), VLOOKUP(A1137,Internal_lists_bugs!$A$2:$C$73,3,FALSE())&amp;Char(10) &amp; Char(10) &amp; VLOOKUP(A1137,Internal_lists_bugs!$A$2:$Z$73,26,FALSE())),"please select a BUG ID")</f>
        <v>https://bugs.launchpad.net/nova/+bug/1371677
/libvirt/driver.py</v>
      </c>
      <c r="C1137" s="81" t="str">
        <f>IFERROR(VLOOKUP(A1137,Internal_lists_bugs!$A$2:$I7981,9,FALSE()),"please select a BUG ID")</f>
        <v>https://review.opendev.org/c/openstack/nova/+/40467</v>
      </c>
      <c r="D1137" s="55"/>
      <c r="E1137" s="114"/>
      <c r="F1137" s="115"/>
      <c r="G1137" s="120" t="s">
        <v>1984</v>
      </c>
      <c r="H1137" s="16" t="s">
        <v>2795</v>
      </c>
      <c r="I1137" s="82"/>
      <c r="J1137" s="92"/>
      <c r="K1137" s="82"/>
      <c r="M1137" s="114" t="str">
        <f>VLOOKUP(A1137,'BIC_(C_Variables)'!$A$3:$AS$43,45,FALSE())</f>
        <v/>
      </c>
      <c r="N1137" s="1"/>
      <c r="O1137" s="1"/>
      <c r="P1137" s="81" t="str">
        <f>IFERROR(VLOOKUP(A1137,Internal_lists_bugs!$A$2:$G7981,7,FALSE()),"please select a BUG ID")</f>
        <v>https://opendev.org/openstack/nova/commit/5fa74bc</v>
      </c>
    </row>
    <row r="1138">
      <c r="A1138" s="16" t="s">
        <v>56</v>
      </c>
      <c r="B1138" s="50" t="str">
        <f>IFERROR(HYPERLINK(VLOOKUP(A1138,Internal_lists_bugs!$A$2:$C$73,3,FALSE()), VLOOKUP(A1138,Internal_lists_bugs!$A$2:$C$73,3,FALSE())&amp;Char(10) &amp; Char(10) &amp; VLOOKUP(A1138,Internal_lists_bugs!$A$2:$Z$73,26,FALSE())),"please select a BUG ID")</f>
        <v>https://bugs.launchpad.net/nova/+bug/1371677
/libvirt/driver.py</v>
      </c>
      <c r="C1138" s="81" t="str">
        <f>IFERROR(VLOOKUP(A1138,Internal_lists_bugs!$A$2:$I7981,9,FALSE()),"please select a BUG ID")</f>
        <v>https://review.opendev.org/c/openstack/nova/+/40467</v>
      </c>
      <c r="D1138" s="55"/>
      <c r="E1138" s="114"/>
      <c r="F1138" s="115"/>
      <c r="G1138" s="120" t="s">
        <v>2796</v>
      </c>
      <c r="H1138" s="16" t="s">
        <v>2795</v>
      </c>
      <c r="I1138" s="82"/>
      <c r="J1138" s="92"/>
      <c r="K1138" s="82"/>
      <c r="M1138" s="114" t="str">
        <f>VLOOKUP(A1138,'BIC_(C_Variables)'!$A$3:$AS$43,45,FALSE())</f>
        <v/>
      </c>
      <c r="N1138" s="1"/>
      <c r="O1138" s="1"/>
      <c r="P1138" s="81" t="str">
        <f>IFERROR(VLOOKUP(A1138,Internal_lists_bugs!$A$2:$G7981,7,FALSE()),"please select a BUG ID")</f>
        <v>https://opendev.org/openstack/nova/commit/5fa74bc</v>
      </c>
    </row>
    <row r="1139">
      <c r="A1139" s="16" t="s">
        <v>56</v>
      </c>
      <c r="B1139" s="50" t="str">
        <f>IFERROR(HYPERLINK(VLOOKUP(A1139,Internal_lists_bugs!$A$2:$C$73,3,FALSE()), VLOOKUP(A1139,Internal_lists_bugs!$A$2:$C$73,3,FALSE())&amp;Char(10) &amp; Char(10) &amp; VLOOKUP(A1139,Internal_lists_bugs!$A$2:$Z$73,26,FALSE())),"please select a BUG ID")</f>
        <v>https://bugs.launchpad.net/nova/+bug/1371677
/libvirt/driver.py</v>
      </c>
      <c r="C1139" s="81" t="str">
        <f>IFERROR(VLOOKUP(A1139,Internal_lists_bugs!$A$2:$I7981,9,FALSE()),"please select a BUG ID")</f>
        <v>https://review.opendev.org/c/openstack/nova/+/40467</v>
      </c>
      <c r="D1139" s="55"/>
      <c r="E1139" s="114"/>
      <c r="F1139" s="115"/>
      <c r="G1139" s="120" t="s">
        <v>1987</v>
      </c>
      <c r="H1139" s="16" t="s">
        <v>2797</v>
      </c>
      <c r="I1139" s="82"/>
      <c r="J1139" s="92"/>
      <c r="K1139" s="82"/>
      <c r="M1139" s="114" t="str">
        <f>VLOOKUP(A1139,'BIC_(C_Variables)'!$A$3:$AS$43,45,FALSE())</f>
        <v/>
      </c>
      <c r="N1139" s="1"/>
      <c r="O1139" s="1"/>
      <c r="P1139" s="81" t="str">
        <f>IFERROR(VLOOKUP(A1139,Internal_lists_bugs!$A$2:$G7981,7,FALSE()),"please select a BUG ID")</f>
        <v>https://opendev.org/openstack/nova/commit/5fa74bc</v>
      </c>
    </row>
    <row r="1140">
      <c r="A1140" s="16" t="s">
        <v>56</v>
      </c>
      <c r="B1140" s="50" t="str">
        <f>IFERROR(HYPERLINK(VLOOKUP(A1140,Internal_lists_bugs!$A$2:$C$73,3,FALSE()), VLOOKUP(A1140,Internal_lists_bugs!$A$2:$C$73,3,FALSE())&amp;Char(10) &amp; Char(10) &amp; VLOOKUP(A1140,Internal_lists_bugs!$A$2:$Z$73,26,FALSE())),"please select a BUG ID")</f>
        <v>https://bugs.launchpad.net/nova/+bug/1371677
/libvirt/driver.py</v>
      </c>
      <c r="C1140" s="81" t="str">
        <f>IFERROR(VLOOKUP(A1140,Internal_lists_bugs!$A$2:$I7981,9,FALSE()),"please select a BUG ID")</f>
        <v>https://review.opendev.org/c/openstack/nova/+/40467</v>
      </c>
      <c r="D1140" s="55"/>
      <c r="E1140" s="114"/>
      <c r="F1140" s="115"/>
      <c r="G1140" s="120" t="s">
        <v>2798</v>
      </c>
      <c r="H1140" s="16" t="s">
        <v>2797</v>
      </c>
      <c r="I1140" s="82"/>
      <c r="J1140" s="92"/>
      <c r="K1140" s="82"/>
      <c r="M1140" s="114" t="str">
        <f>VLOOKUP(A1140,'BIC_(C_Variables)'!$A$3:$AS$43,45,FALSE())</f>
        <v/>
      </c>
      <c r="N1140" s="1"/>
      <c r="O1140" s="1"/>
      <c r="P1140" s="81" t="str">
        <f>IFERROR(VLOOKUP(A1140,Internal_lists_bugs!$A$2:$G7981,7,FALSE()),"please select a BUG ID")</f>
        <v>https://opendev.org/openstack/nova/commit/5fa74bc</v>
      </c>
    </row>
    <row r="1141">
      <c r="A1141" s="16" t="s">
        <v>56</v>
      </c>
      <c r="B1141" s="50" t="str">
        <f>IFERROR(HYPERLINK(VLOOKUP(A1141,Internal_lists_bugs!$A$2:$C$73,3,FALSE()), VLOOKUP(A1141,Internal_lists_bugs!$A$2:$C$73,3,FALSE())&amp;Char(10) &amp; Char(10) &amp; VLOOKUP(A1141,Internal_lists_bugs!$A$2:$Z$73,26,FALSE())),"please select a BUG ID")</f>
        <v>https://bugs.launchpad.net/nova/+bug/1371677
/libvirt/driver.py</v>
      </c>
      <c r="C1141" s="81" t="str">
        <f>IFERROR(VLOOKUP(A1141,Internal_lists_bugs!$A$2:$I7981,9,FALSE()),"please select a BUG ID")</f>
        <v>https://review.opendev.org/c/openstack/nova/+/40467</v>
      </c>
      <c r="D1141" s="55"/>
      <c r="E1141" s="114"/>
      <c r="F1141" s="115"/>
      <c r="G1141" s="120" t="s">
        <v>2799</v>
      </c>
      <c r="H1141" s="16" t="s">
        <v>2800</v>
      </c>
      <c r="I1141" s="82"/>
      <c r="J1141" s="92"/>
      <c r="K1141" s="82"/>
      <c r="M1141" s="114" t="str">
        <f>VLOOKUP(A1141,'BIC_(C_Variables)'!$A$3:$AS$43,45,FALSE())</f>
        <v/>
      </c>
      <c r="N1141" s="1"/>
      <c r="O1141" s="1"/>
      <c r="P1141" s="81" t="str">
        <f>IFERROR(VLOOKUP(A1141,Internal_lists_bugs!$A$2:$G7981,7,FALSE()),"please select a BUG ID")</f>
        <v>https://opendev.org/openstack/nova/commit/5fa74bc</v>
      </c>
    </row>
    <row r="1142">
      <c r="A1142" s="16" t="s">
        <v>56</v>
      </c>
      <c r="B1142" s="50" t="str">
        <f>IFERROR(HYPERLINK(VLOOKUP(A1142,Internal_lists_bugs!$A$2:$C$73,3,FALSE()), VLOOKUP(A1142,Internal_lists_bugs!$A$2:$C$73,3,FALSE())&amp;Char(10) &amp; Char(10) &amp; VLOOKUP(A1142,Internal_lists_bugs!$A$2:$Z$73,26,FALSE())),"please select a BUG ID")</f>
        <v>https://bugs.launchpad.net/nova/+bug/1371677
/libvirt/driver.py</v>
      </c>
      <c r="C1142" s="81" t="str">
        <f>IFERROR(VLOOKUP(A1142,Internal_lists_bugs!$A$2:$I7981,9,FALSE()),"please select a BUG ID")</f>
        <v>https://review.opendev.org/c/openstack/nova/+/40467</v>
      </c>
      <c r="D1142" s="55"/>
      <c r="E1142" s="114"/>
      <c r="F1142" s="115"/>
      <c r="G1142" s="120" t="s">
        <v>2801</v>
      </c>
      <c r="H1142" s="16" t="s">
        <v>2800</v>
      </c>
      <c r="I1142" s="82"/>
      <c r="J1142" s="92"/>
      <c r="K1142" s="82"/>
      <c r="M1142" s="114" t="str">
        <f>VLOOKUP(A1142,'BIC_(C_Variables)'!$A$3:$AS$43,45,FALSE())</f>
        <v/>
      </c>
      <c r="N1142" s="1"/>
      <c r="O1142" s="1"/>
      <c r="P1142" s="81" t="str">
        <f>IFERROR(VLOOKUP(A1142,Internal_lists_bugs!$A$2:$G7981,7,FALSE()),"please select a BUG ID")</f>
        <v>https://opendev.org/openstack/nova/commit/5fa74bc</v>
      </c>
    </row>
    <row r="1143">
      <c r="A1143" s="16" t="s">
        <v>56</v>
      </c>
      <c r="B1143" s="50" t="str">
        <f>IFERROR(HYPERLINK(VLOOKUP(A1143,Internal_lists_bugs!$A$2:$C$73,3,FALSE()), VLOOKUP(A1143,Internal_lists_bugs!$A$2:$C$73,3,FALSE())&amp;Char(10) &amp; Char(10) &amp; VLOOKUP(A1143,Internal_lists_bugs!$A$2:$Z$73,26,FALSE())),"please select a BUG ID")</f>
        <v>https://bugs.launchpad.net/nova/+bug/1371677
/libvirt/driver.py</v>
      </c>
      <c r="C1143" s="81" t="str">
        <f>IFERROR(VLOOKUP(A1143,Internal_lists_bugs!$A$2:$I7981,9,FALSE()),"please select a BUG ID")</f>
        <v>https://review.opendev.org/c/openstack/nova/+/40467</v>
      </c>
      <c r="D1143" s="55"/>
      <c r="E1143" s="114"/>
      <c r="F1143" s="115"/>
      <c r="G1143" s="120" t="s">
        <v>2802</v>
      </c>
      <c r="H1143" s="16" t="s">
        <v>2803</v>
      </c>
      <c r="I1143" s="82"/>
      <c r="J1143" s="92"/>
      <c r="K1143" s="82"/>
      <c r="M1143" s="114"/>
      <c r="N1143" s="1"/>
      <c r="O1143" s="1"/>
      <c r="P1143" s="51"/>
    </row>
    <row r="1144">
      <c r="A1144" s="16" t="s">
        <v>56</v>
      </c>
      <c r="B1144" s="50" t="str">
        <f>IFERROR(HYPERLINK(VLOOKUP(A1144,Internal_lists_bugs!$A$2:$C$73,3,FALSE()), VLOOKUP(A1144,Internal_lists_bugs!$A$2:$C$73,3,FALSE())&amp;Char(10) &amp; Char(10) &amp; VLOOKUP(A1144,Internal_lists_bugs!$A$2:$Z$73,26,FALSE())),"please select a BUG ID")</f>
        <v>https://bugs.launchpad.net/nova/+bug/1371677
/libvirt/driver.py</v>
      </c>
      <c r="C1144" s="81" t="str">
        <f>IFERROR(VLOOKUP(A1144,Internal_lists_bugs!$A$2:$I7981,9,FALSE()),"please select a BUG ID")</f>
        <v>https://review.opendev.org/c/openstack/nova/+/40467</v>
      </c>
      <c r="D1144" s="55"/>
      <c r="E1144" s="114"/>
      <c r="F1144" s="115"/>
      <c r="G1144" s="120" t="s">
        <v>2804</v>
      </c>
      <c r="H1144" s="16" t="s">
        <v>2803</v>
      </c>
      <c r="I1144" s="82"/>
      <c r="J1144" s="92"/>
      <c r="K1144" s="82"/>
      <c r="M1144" s="114"/>
      <c r="N1144" s="1"/>
      <c r="O1144" s="1"/>
      <c r="P1144" s="51"/>
    </row>
    <row r="1145">
      <c r="A1145" s="16" t="s">
        <v>56</v>
      </c>
      <c r="B1145" s="50" t="str">
        <f>IFERROR(HYPERLINK(VLOOKUP(A1145,Internal_lists_bugs!$A$2:$C$73,3,FALSE()), VLOOKUP(A1145,Internal_lists_bugs!$A$2:$C$73,3,FALSE())&amp;Char(10) &amp; Char(10) &amp; VLOOKUP(A1145,Internal_lists_bugs!$A$2:$Z$73,26,FALSE())),"please select a BUG ID")</f>
        <v>https://bugs.launchpad.net/nova/+bug/1371677
/libvirt/driver.py</v>
      </c>
      <c r="C1145" s="81" t="str">
        <f>IFERROR(VLOOKUP(A1145,Internal_lists_bugs!$A$2:$I7981,9,FALSE()),"please select a BUG ID")</f>
        <v>https://review.opendev.org/c/openstack/nova/+/40467</v>
      </c>
      <c r="D1145" s="55"/>
      <c r="E1145" s="114"/>
      <c r="F1145" s="115"/>
      <c r="G1145" s="79" t="s">
        <v>2805</v>
      </c>
      <c r="H1145" s="16" t="s">
        <v>2806</v>
      </c>
      <c r="I1145" s="82"/>
      <c r="J1145" s="92"/>
      <c r="K1145" s="82"/>
      <c r="M1145" s="114" t="str">
        <f>VLOOKUP(A1145,'BIC_(C_Variables)'!$A$3:$AS$43,45,FALSE())</f>
        <v/>
      </c>
      <c r="N1145" s="1"/>
      <c r="O1145" s="1"/>
      <c r="P1145" s="81" t="str">
        <f>IFERROR(VLOOKUP(A1145,Internal_lists_bugs!$A$2:$G7981,7,FALSE()),"please select a BUG ID")</f>
        <v>https://opendev.org/openstack/nova/commit/5fa74bc</v>
      </c>
    </row>
    <row r="1146">
      <c r="A1146" s="16" t="s">
        <v>56</v>
      </c>
      <c r="B1146" s="50" t="str">
        <f>IFERROR(HYPERLINK(VLOOKUP(A1146,Internal_lists_bugs!$A$2:$C$73,3,FALSE()), VLOOKUP(A1146,Internal_lists_bugs!$A$2:$C$73,3,FALSE())&amp;Char(10) &amp; Char(10) &amp; VLOOKUP(A1146,Internal_lists_bugs!$A$2:$Z$73,26,FALSE())),"please select a BUG ID")</f>
        <v>https://bugs.launchpad.net/nova/+bug/1371677
/libvirt/driver.py</v>
      </c>
      <c r="C1146" s="81" t="str">
        <f>IFERROR(VLOOKUP(A1146,Internal_lists_bugs!$A$2:$I7981,9,FALSE()),"please select a BUG ID")</f>
        <v>https://review.opendev.org/c/openstack/nova/+/40467</v>
      </c>
      <c r="D1146" s="55"/>
      <c r="E1146" s="114"/>
      <c r="F1146" s="115"/>
      <c r="G1146" s="120" t="s">
        <v>2365</v>
      </c>
      <c r="H1146" s="16" t="s">
        <v>2807</v>
      </c>
      <c r="I1146" s="82"/>
      <c r="J1146" s="92"/>
      <c r="K1146" s="82"/>
      <c r="M1146" s="114" t="str">
        <f>VLOOKUP(A1146,'BIC_(C_Variables)'!$A$3:$AS$43,45,FALSE())</f>
        <v/>
      </c>
      <c r="N1146" s="1"/>
      <c r="O1146" s="1"/>
      <c r="P1146" s="81" t="str">
        <f>IFERROR(VLOOKUP(A1146,Internal_lists_bugs!$A$2:$G7981,7,FALSE()),"please select a BUG ID")</f>
        <v>https://opendev.org/openstack/nova/commit/5fa74bc</v>
      </c>
    </row>
    <row r="1147">
      <c r="A1147" s="16" t="s">
        <v>56</v>
      </c>
      <c r="B1147" s="50" t="str">
        <f>IFERROR(HYPERLINK(VLOOKUP(A1147,Internal_lists_bugs!$A$2:$C$73,3,FALSE()), VLOOKUP(A1147,Internal_lists_bugs!$A$2:$C$73,3,FALSE())&amp;Char(10) &amp; Char(10) &amp; VLOOKUP(A1147,Internal_lists_bugs!$A$2:$Z$73,26,FALSE())),"please select a BUG ID")</f>
        <v>https://bugs.launchpad.net/nova/+bug/1371677
/libvirt/driver.py</v>
      </c>
      <c r="C1147" s="81" t="str">
        <f>IFERROR(VLOOKUP(A1147,Internal_lists_bugs!$A$2:$I7981,9,FALSE()),"please select a BUG ID")</f>
        <v>https://review.opendev.org/c/openstack/nova/+/40467</v>
      </c>
      <c r="D1147" s="55"/>
      <c r="E1147" s="114"/>
      <c r="F1147" s="115"/>
      <c r="G1147" s="120" t="s">
        <v>2808</v>
      </c>
      <c r="H1147" s="16" t="s">
        <v>2807</v>
      </c>
      <c r="I1147" s="82"/>
      <c r="J1147" s="92"/>
      <c r="K1147" s="82"/>
      <c r="M1147" s="114" t="str">
        <f>VLOOKUP(A1147,'BIC_(C_Variables)'!$A$3:$AS$43,45,FALSE())</f>
        <v/>
      </c>
      <c r="N1147" s="1"/>
      <c r="O1147" s="1"/>
      <c r="P1147" s="81" t="str">
        <f>IFERROR(VLOOKUP(A1147,Internal_lists_bugs!$A$2:$G7981,7,FALSE()),"please select a BUG ID")</f>
        <v>https://opendev.org/openstack/nova/commit/5fa74bc</v>
      </c>
    </row>
    <row r="1148">
      <c r="A1148" s="16" t="s">
        <v>56</v>
      </c>
      <c r="B1148" s="50" t="str">
        <f>IFERROR(HYPERLINK(VLOOKUP(A1148,Internal_lists_bugs!$A$2:$C$73,3,FALSE()), VLOOKUP(A1148,Internal_lists_bugs!$A$2:$C$73,3,FALSE())&amp;Char(10) &amp; Char(10) &amp; VLOOKUP(A1148,Internal_lists_bugs!$A$2:$Z$73,26,FALSE())),"please select a BUG ID")</f>
        <v>https://bugs.launchpad.net/nova/+bug/1371677
/libvirt/driver.py</v>
      </c>
      <c r="C1148" s="81" t="str">
        <f>IFERROR(VLOOKUP(A1148,Internal_lists_bugs!$A$2:$I7981,9,FALSE()),"please select a BUG ID")</f>
        <v>https://review.opendev.org/c/openstack/nova/+/40467</v>
      </c>
      <c r="D1148" s="55"/>
      <c r="E1148" s="114"/>
      <c r="F1148" s="115"/>
      <c r="G1148" s="120" t="s">
        <v>2372</v>
      </c>
      <c r="H1148" s="16" t="s">
        <v>2809</v>
      </c>
      <c r="I1148" s="82"/>
      <c r="J1148" s="92"/>
      <c r="K1148" s="82"/>
      <c r="M1148" s="114" t="str">
        <f>VLOOKUP(A1148,'BIC_(C_Variables)'!$A$3:$AS$43,45,FALSE())</f>
        <v/>
      </c>
      <c r="N1148" s="1"/>
      <c r="O1148" s="1"/>
      <c r="P1148" s="81" t="str">
        <f>IFERROR(VLOOKUP(A1148,Internal_lists_bugs!$A$2:$G7981,7,FALSE()),"please select a BUG ID")</f>
        <v>https://opendev.org/openstack/nova/commit/5fa74bc</v>
      </c>
    </row>
    <row r="1149">
      <c r="A1149" s="16" t="s">
        <v>56</v>
      </c>
      <c r="B1149" s="50" t="str">
        <f>IFERROR(HYPERLINK(VLOOKUP(A1149,Internal_lists_bugs!$A$2:$C$73,3,FALSE()), VLOOKUP(A1149,Internal_lists_bugs!$A$2:$C$73,3,FALSE())&amp;Char(10) &amp; Char(10) &amp; VLOOKUP(A1149,Internal_lists_bugs!$A$2:$Z$73,26,FALSE())),"please select a BUG ID")</f>
        <v>https://bugs.launchpad.net/nova/+bug/1371677
/libvirt/driver.py</v>
      </c>
      <c r="C1149" s="81" t="str">
        <f>IFERROR(VLOOKUP(A1149,Internal_lists_bugs!$A$2:$I7981,9,FALSE()),"please select a BUG ID")</f>
        <v>https://review.opendev.org/c/openstack/nova/+/40467</v>
      </c>
      <c r="D1149" s="55"/>
      <c r="E1149" s="114"/>
      <c r="F1149" s="115"/>
      <c r="G1149" s="120" t="s">
        <v>2810</v>
      </c>
      <c r="H1149" s="93" t="s">
        <v>2811</v>
      </c>
      <c r="I1149" s="54"/>
      <c r="J1149" s="92"/>
      <c r="K1149" s="82"/>
      <c r="M1149" s="114" t="str">
        <f>VLOOKUP(A1149,'BIC_(C_Variables)'!$A$3:$AS$43,45,FALSE())</f>
        <v/>
      </c>
      <c r="N1149" s="1"/>
      <c r="O1149" s="1"/>
      <c r="P1149" s="81" t="str">
        <f>IFERROR(VLOOKUP(A1149,Internal_lists_bugs!$A$2:$G7981,7,FALSE()),"please select a BUG ID")</f>
        <v>https://opendev.org/openstack/nova/commit/5fa74bc</v>
      </c>
    </row>
    <row r="1150">
      <c r="A1150" s="16" t="s">
        <v>56</v>
      </c>
      <c r="B1150" s="50" t="str">
        <f>IFERROR(HYPERLINK(VLOOKUP(A1150,Internal_lists_bugs!$A$2:$C$73,3,FALSE()), VLOOKUP(A1150,Internal_lists_bugs!$A$2:$C$73,3,FALSE())&amp;Char(10) &amp; Char(10) &amp; VLOOKUP(A1150,Internal_lists_bugs!$A$2:$Z$73,26,FALSE())),"please select a BUG ID")</f>
        <v>https://bugs.launchpad.net/nova/+bug/1371677
/libvirt/driver.py</v>
      </c>
      <c r="C1150" s="81" t="str">
        <f>IFERROR(VLOOKUP(A1150,Internal_lists_bugs!$A$2:$I7981,9,FALSE()),"please select a BUG ID")</f>
        <v>https://review.opendev.org/c/openstack/nova/+/40467</v>
      </c>
      <c r="D1150" s="114"/>
      <c r="E1150" s="114"/>
      <c r="F1150" s="115"/>
      <c r="G1150" s="120" t="s">
        <v>2812</v>
      </c>
      <c r="H1150" s="93" t="s">
        <v>2811</v>
      </c>
      <c r="I1150" s="54"/>
      <c r="K1150" s="54"/>
      <c r="M1150" s="114" t="str">
        <f>VLOOKUP(A1150,'BIC_(C_Variables)'!$A$3:$AS$43,45,FALSE())</f>
        <v/>
      </c>
      <c r="N1150" s="1"/>
      <c r="O1150" s="1"/>
      <c r="P1150" s="81" t="str">
        <f>IFERROR(VLOOKUP(A1150,Internal_lists_bugs!$A$2:$G7981,7,FALSE()),"please select a BUG ID")</f>
        <v>https://opendev.org/openstack/nova/commit/5fa74bc</v>
      </c>
    </row>
    <row r="1151">
      <c r="A1151" s="16" t="s">
        <v>56</v>
      </c>
      <c r="B1151" s="50" t="str">
        <f>IFERROR(HYPERLINK(VLOOKUP(A1151,Internal_lists_bugs!$A$2:$C$73,3,FALSE()), VLOOKUP(A1151,Internal_lists_bugs!$A$2:$C$73,3,FALSE())&amp;Char(10) &amp; Char(10) &amp; VLOOKUP(A1151,Internal_lists_bugs!$A$2:$Z$73,26,FALSE())),"please select a BUG ID")</f>
        <v>https://bugs.launchpad.net/nova/+bug/1371677
/libvirt/driver.py</v>
      </c>
      <c r="C1151" s="81" t="str">
        <f>IFERROR(VLOOKUP(A1151,Internal_lists_bugs!$A$2:$I7981,9,FALSE()),"please select a BUG ID")</f>
        <v>https://review.opendev.org/c/openstack/nova/+/40467</v>
      </c>
      <c r="D1151" s="114"/>
      <c r="E1151" s="114"/>
      <c r="F1151" s="115"/>
      <c r="G1151" s="120" t="s">
        <v>2813</v>
      </c>
      <c r="H1151" s="93" t="s">
        <v>2814</v>
      </c>
      <c r="I1151" s="54"/>
      <c r="K1151" s="54"/>
      <c r="M1151" s="114" t="str">
        <f>VLOOKUP(A1151,'BIC_(C_Variables)'!$A$3:$AS$43,45,FALSE())</f>
        <v/>
      </c>
      <c r="N1151" s="1"/>
      <c r="O1151" s="1"/>
      <c r="P1151" s="81" t="str">
        <f>IFERROR(VLOOKUP(A1151,Internal_lists_bugs!$A$2:$G7981,7,FALSE()),"please select a BUG ID")</f>
        <v>https://opendev.org/openstack/nova/commit/5fa74bc</v>
      </c>
    </row>
    <row r="1152">
      <c r="A1152" s="16" t="s">
        <v>56</v>
      </c>
      <c r="B1152" s="50" t="str">
        <f>IFERROR(HYPERLINK(VLOOKUP(A1152,Internal_lists_bugs!$A$2:$C$73,3,FALSE()), VLOOKUP(A1152,Internal_lists_bugs!$A$2:$C$73,3,FALSE())&amp;Char(10) &amp; Char(10) &amp; VLOOKUP(A1152,Internal_lists_bugs!$A$2:$Z$73,26,FALSE())),"please select a BUG ID")</f>
        <v>https://bugs.launchpad.net/nova/+bug/1371677
/libvirt/driver.py</v>
      </c>
      <c r="C1152" s="81" t="str">
        <f>IFERROR(VLOOKUP(A1152,Internal_lists_bugs!$A$2:$I7981,9,FALSE()),"please select a BUG ID")</f>
        <v>https://review.opendev.org/c/openstack/nova/+/40467</v>
      </c>
      <c r="D1152" s="114"/>
      <c r="E1152" s="114"/>
      <c r="F1152" s="115"/>
      <c r="G1152" s="120" t="s">
        <v>2815</v>
      </c>
      <c r="H1152" s="93" t="s">
        <v>2814</v>
      </c>
      <c r="I1152" s="54"/>
      <c r="K1152" s="54"/>
      <c r="M1152" s="114" t="str">
        <f>VLOOKUP(A1152,'BIC_(C_Variables)'!$A$3:$AS$43,45,FALSE())</f>
        <v/>
      </c>
      <c r="N1152" s="1"/>
      <c r="O1152" s="1"/>
      <c r="P1152" s="81" t="str">
        <f>IFERROR(VLOOKUP(A1152,Internal_lists_bugs!$A$2:$G7981,7,FALSE()),"please select a BUG ID")</f>
        <v>https://opendev.org/openstack/nova/commit/5fa74bc</v>
      </c>
    </row>
    <row r="1153">
      <c r="A1153" s="16" t="s">
        <v>56</v>
      </c>
      <c r="B1153" s="50" t="str">
        <f>IFERROR(HYPERLINK(VLOOKUP(A1153,Internal_lists_bugs!$A$2:$C$73,3,FALSE()), VLOOKUP(A1153,Internal_lists_bugs!$A$2:$C$73,3,FALSE())&amp;Char(10) &amp; Char(10) &amp; VLOOKUP(A1153,Internal_lists_bugs!$A$2:$Z$73,26,FALSE())),"please select a BUG ID")</f>
        <v>https://bugs.launchpad.net/nova/+bug/1371677
/libvirt/driver.py</v>
      </c>
      <c r="C1153" s="81" t="str">
        <f>IFERROR(VLOOKUP(A1153,Internal_lists_bugs!$A$2:$I7981,9,FALSE()),"please select a BUG ID")</f>
        <v>https://review.opendev.org/c/openstack/nova/+/40467</v>
      </c>
      <c r="D1153" s="114"/>
      <c r="E1153" s="114"/>
      <c r="F1153" s="115"/>
      <c r="G1153" s="120" t="s">
        <v>2816</v>
      </c>
      <c r="H1153" s="93" t="s">
        <v>2817</v>
      </c>
      <c r="I1153" s="54"/>
      <c r="K1153" s="54"/>
      <c r="M1153" s="114" t="str">
        <f>VLOOKUP(A1153,'BIC_(C_Variables)'!$A$3:$AS$43,45,FALSE())</f>
        <v/>
      </c>
      <c r="N1153" s="1"/>
      <c r="O1153" s="1"/>
      <c r="P1153" s="81" t="str">
        <f>IFERROR(VLOOKUP(A1153,Internal_lists_bugs!$A$2:$G7981,7,FALSE()),"please select a BUG ID")</f>
        <v>https://opendev.org/openstack/nova/commit/5fa74bc</v>
      </c>
    </row>
    <row r="1154">
      <c r="A1154" s="16" t="s">
        <v>56</v>
      </c>
      <c r="B1154" s="50" t="str">
        <f>IFERROR(HYPERLINK(VLOOKUP(A1154,Internal_lists_bugs!$A$2:$C$73,3,FALSE()), VLOOKUP(A1154,Internal_lists_bugs!$A$2:$C$73,3,FALSE())&amp;Char(10) &amp; Char(10) &amp; VLOOKUP(A1154,Internal_lists_bugs!$A$2:$Z$73,26,FALSE())),"please select a BUG ID")</f>
        <v>https://bugs.launchpad.net/nova/+bug/1371677
/libvirt/driver.py</v>
      </c>
      <c r="C1154" s="81" t="str">
        <f>IFERROR(VLOOKUP(A1154,Internal_lists_bugs!$A$2:$I7981,9,FALSE()),"please select a BUG ID")</f>
        <v>https://review.opendev.org/c/openstack/nova/+/40467</v>
      </c>
      <c r="D1154" s="114"/>
      <c r="E1154" s="114"/>
      <c r="F1154" s="115"/>
      <c r="G1154" s="120" t="s">
        <v>2818</v>
      </c>
      <c r="H1154" s="93" t="s">
        <v>2817</v>
      </c>
      <c r="I1154" s="54"/>
      <c r="K1154" s="54"/>
      <c r="M1154" s="114" t="str">
        <f>VLOOKUP(A1154,'BIC_(C_Variables)'!$A$3:$AS$43,45,FALSE())</f>
        <v/>
      </c>
      <c r="N1154" s="1"/>
      <c r="O1154" s="1"/>
      <c r="P1154" s="81" t="str">
        <f>IFERROR(VLOOKUP(A1154,Internal_lists_bugs!$A$2:$G7981,7,FALSE()),"please select a BUG ID")</f>
        <v>https://opendev.org/openstack/nova/commit/5fa74bc</v>
      </c>
    </row>
    <row r="1155">
      <c r="A1155" s="16" t="s">
        <v>56</v>
      </c>
      <c r="B1155" s="50" t="str">
        <f>IFERROR(HYPERLINK(VLOOKUP(A1155,Internal_lists_bugs!$A$2:$C$73,3,FALSE()), VLOOKUP(A1155,Internal_lists_bugs!$A$2:$C$73,3,FALSE())&amp;Char(10) &amp; Char(10) &amp; VLOOKUP(A1155,Internal_lists_bugs!$A$2:$Z$73,26,FALSE())),"please select a BUG ID")</f>
        <v>https://bugs.launchpad.net/nova/+bug/1371677
/libvirt/driver.py</v>
      </c>
      <c r="C1155" s="81" t="str">
        <f>IFERROR(VLOOKUP(A1155,Internal_lists_bugs!$A$2:$I7981,9,FALSE()),"please select a BUG ID")</f>
        <v>https://review.opendev.org/c/openstack/nova/+/40467</v>
      </c>
      <c r="D1155" s="114"/>
      <c r="E1155" s="114"/>
      <c r="F1155" s="115"/>
      <c r="G1155" s="79" t="s">
        <v>2819</v>
      </c>
      <c r="H1155" s="93" t="s">
        <v>2820</v>
      </c>
      <c r="I1155" s="54"/>
      <c r="K1155" s="54"/>
      <c r="M1155" s="114" t="str">
        <f>VLOOKUP(A1155,'BIC_(C_Variables)'!$A$3:$AS$43,45,FALSE())</f>
        <v/>
      </c>
      <c r="N1155" s="1"/>
      <c r="O1155" s="1"/>
      <c r="P1155" s="81" t="str">
        <f>IFERROR(VLOOKUP(A1155,Internal_lists_bugs!$A$2:$G7981,7,FALSE()),"please select a BUG ID")</f>
        <v>https://opendev.org/openstack/nova/commit/5fa74bc</v>
      </c>
    </row>
    <row r="1156">
      <c r="A1156" s="16" t="s">
        <v>56</v>
      </c>
      <c r="B1156" s="50" t="str">
        <f>IFERROR(HYPERLINK(VLOOKUP(A1156,Internal_lists_bugs!$A$2:$C$73,3,FALSE()), VLOOKUP(A1156,Internal_lists_bugs!$A$2:$C$73,3,FALSE())&amp;Char(10) &amp; Char(10) &amp; VLOOKUP(A1156,Internal_lists_bugs!$A$2:$Z$73,26,FALSE())),"please select a BUG ID")</f>
        <v>https://bugs.launchpad.net/nova/+bug/1371677
/libvirt/driver.py</v>
      </c>
      <c r="C1156" s="81" t="str">
        <f>IFERROR(VLOOKUP(A1156,Internal_lists_bugs!$A$2:$I7981,9,FALSE()),"please select a BUG ID")</f>
        <v>https://review.opendev.org/c/openstack/nova/+/40467</v>
      </c>
      <c r="D1156" s="114"/>
      <c r="E1156" s="114"/>
      <c r="F1156" s="115"/>
      <c r="G1156" s="79" t="s">
        <v>2821</v>
      </c>
      <c r="H1156" s="93" t="s">
        <v>2822</v>
      </c>
      <c r="I1156" s="54"/>
      <c r="K1156" s="54"/>
      <c r="M1156" s="114" t="str">
        <f>VLOOKUP(A1156,'BIC_(C_Variables)'!$A$3:$AS$43,45,FALSE())</f>
        <v/>
      </c>
      <c r="N1156" s="1"/>
      <c r="O1156" s="1"/>
      <c r="P1156" s="81" t="str">
        <f>IFERROR(VLOOKUP(A1156,Internal_lists_bugs!$A$2:$G7981,7,FALSE()),"please select a BUG ID")</f>
        <v>https://opendev.org/openstack/nova/commit/5fa74bc</v>
      </c>
    </row>
    <row r="1157">
      <c r="A1157" s="16" t="s">
        <v>56</v>
      </c>
      <c r="B1157" s="50" t="str">
        <f>IFERROR(HYPERLINK(VLOOKUP(A1157,Internal_lists_bugs!$A$2:$C$73,3,FALSE()), VLOOKUP(A1157,Internal_lists_bugs!$A$2:$C$73,3,FALSE())&amp;Char(10) &amp; Char(10) &amp; VLOOKUP(A1157,Internal_lists_bugs!$A$2:$Z$73,26,FALSE())),"please select a BUG ID")</f>
        <v>https://bugs.launchpad.net/nova/+bug/1371677
/libvirt/driver.py</v>
      </c>
      <c r="C1157" s="81" t="str">
        <f>IFERROR(VLOOKUP(A1157,Internal_lists_bugs!$A$2:$I7981,9,FALSE()),"please select a BUG ID")</f>
        <v>https://review.opendev.org/c/openstack/nova/+/40467</v>
      </c>
      <c r="D1157" s="114"/>
      <c r="E1157" s="114"/>
      <c r="F1157" s="115"/>
      <c r="G1157" s="79" t="s">
        <v>2823</v>
      </c>
      <c r="H1157" s="93" t="s">
        <v>2824</v>
      </c>
      <c r="I1157" s="54"/>
      <c r="K1157" s="54"/>
      <c r="M1157" s="114" t="str">
        <f>VLOOKUP(A1157,'BIC_(C_Variables)'!$A$3:$AS$43,45,FALSE())</f>
        <v/>
      </c>
      <c r="N1157" s="1"/>
      <c r="O1157" s="1"/>
      <c r="P1157" s="81" t="str">
        <f>IFERROR(VLOOKUP(A1157,Internal_lists_bugs!$A$2:$G7981,7,FALSE()),"please select a BUG ID")</f>
        <v>https://opendev.org/openstack/nova/commit/5fa74bc</v>
      </c>
    </row>
    <row r="1158">
      <c r="A1158" s="16" t="s">
        <v>56</v>
      </c>
      <c r="B1158" s="50" t="str">
        <f>IFERROR(HYPERLINK(VLOOKUP(A1158,Internal_lists_bugs!$A$2:$C$73,3,FALSE()), VLOOKUP(A1158,Internal_lists_bugs!$A$2:$C$73,3,FALSE())&amp;Char(10) &amp; Char(10) &amp; VLOOKUP(A1158,Internal_lists_bugs!$A$2:$Z$73,26,FALSE())),"please select a BUG ID")</f>
        <v>https://bugs.launchpad.net/nova/+bug/1371677
/libvirt/driver.py</v>
      </c>
      <c r="C1158" s="81" t="str">
        <f>IFERROR(VLOOKUP(A1158,Internal_lists_bugs!$A$2:$I7981,9,FALSE()),"please select a BUG ID")</f>
        <v>https://review.opendev.org/c/openstack/nova/+/40467</v>
      </c>
      <c r="D1158" s="114"/>
      <c r="E1158" s="114"/>
      <c r="F1158" s="115"/>
      <c r="G1158" s="79" t="s">
        <v>2825</v>
      </c>
      <c r="H1158" s="93" t="s">
        <v>2826</v>
      </c>
      <c r="I1158" s="54"/>
      <c r="K1158" s="54"/>
      <c r="M1158" s="114" t="str">
        <f>VLOOKUP(A1158,'BIC_(C_Variables)'!$A$3:$AS$43,45,FALSE())</f>
        <v/>
      </c>
      <c r="N1158" s="1"/>
      <c r="O1158" s="1"/>
      <c r="P1158" s="81" t="str">
        <f>IFERROR(VLOOKUP(A1158,Internal_lists_bugs!$A$2:$G7981,7,FALSE()),"please select a BUG ID")</f>
        <v>https://opendev.org/openstack/nova/commit/5fa74bc</v>
      </c>
    </row>
    <row r="1159">
      <c r="A1159" s="16" t="s">
        <v>56</v>
      </c>
      <c r="B1159" s="50" t="str">
        <f>IFERROR(HYPERLINK(VLOOKUP(A1159,Internal_lists_bugs!$A$2:$C$73,3,FALSE()), VLOOKUP(A1159,Internal_lists_bugs!$A$2:$C$73,3,FALSE())&amp;Char(10) &amp; Char(10) &amp; VLOOKUP(A1159,Internal_lists_bugs!$A$2:$Z$73,26,FALSE())),"please select a BUG ID")</f>
        <v>https://bugs.launchpad.net/nova/+bug/1371677
/libvirt/driver.py</v>
      </c>
      <c r="C1159" s="81" t="str">
        <f>IFERROR(VLOOKUP(A1159,Internal_lists_bugs!$A$2:$I7981,9,FALSE()),"please select a BUG ID")</f>
        <v>https://review.opendev.org/c/openstack/nova/+/40467</v>
      </c>
      <c r="D1159" s="114"/>
      <c r="E1159" s="114"/>
      <c r="F1159" s="115"/>
      <c r="G1159" s="79" t="s">
        <v>2827</v>
      </c>
      <c r="H1159" s="93" t="s">
        <v>2828</v>
      </c>
      <c r="I1159" s="54"/>
      <c r="K1159" s="54"/>
      <c r="M1159" s="114" t="str">
        <f>VLOOKUP(A1159,'BIC_(C_Variables)'!$A$3:$AS$43,45,FALSE())</f>
        <v/>
      </c>
      <c r="N1159" s="1"/>
      <c r="O1159" s="1"/>
      <c r="P1159" s="81" t="str">
        <f>IFERROR(VLOOKUP(A1159,Internal_lists_bugs!$A$2:$G7981,7,FALSE()),"please select a BUG ID")</f>
        <v>https://opendev.org/openstack/nova/commit/5fa74bc</v>
      </c>
    </row>
    <row r="1160">
      <c r="A1160" s="16" t="s">
        <v>56</v>
      </c>
      <c r="B1160" s="50" t="str">
        <f>IFERROR(HYPERLINK(VLOOKUP(A1160,Internal_lists_bugs!$A$2:$C$73,3,FALSE()), VLOOKUP(A1160,Internal_lists_bugs!$A$2:$C$73,3,FALSE())&amp;Char(10) &amp; Char(10) &amp; VLOOKUP(A1160,Internal_lists_bugs!$A$2:$Z$73,26,FALSE())),"please select a BUG ID")</f>
        <v>https://bugs.launchpad.net/nova/+bug/1371677
/libvirt/driver.py</v>
      </c>
      <c r="C1160" s="81" t="str">
        <f>IFERROR(VLOOKUP(A1160,Internal_lists_bugs!$A$2:$I7981,9,FALSE()),"please select a BUG ID")</f>
        <v>https://review.opendev.org/c/openstack/nova/+/40467</v>
      </c>
      <c r="D1160" s="114"/>
      <c r="E1160" s="114"/>
      <c r="F1160" s="115"/>
      <c r="G1160" s="79" t="s">
        <v>1430</v>
      </c>
      <c r="H1160" s="93" t="s">
        <v>2829</v>
      </c>
      <c r="I1160" s="54"/>
      <c r="K1160" s="54"/>
      <c r="M1160" s="114" t="str">
        <f>VLOOKUP(A1160,'BIC_(C_Variables)'!$A$3:$AS$43,45,FALSE())</f>
        <v/>
      </c>
      <c r="N1160" s="1"/>
      <c r="O1160" s="1"/>
      <c r="P1160" s="81" t="str">
        <f>IFERROR(VLOOKUP(A1160,Internal_lists_bugs!$A$2:$G7981,7,FALSE()),"please select a BUG ID")</f>
        <v>https://opendev.org/openstack/nova/commit/5fa74bc</v>
      </c>
    </row>
    <row r="1161">
      <c r="A1161" s="16" t="s">
        <v>56</v>
      </c>
      <c r="B1161" s="50" t="str">
        <f>IFERROR(HYPERLINK(VLOOKUP(A1161,Internal_lists_bugs!$A$2:$C$73,3,FALSE()), VLOOKUP(A1161,Internal_lists_bugs!$A$2:$C$73,3,FALSE())&amp;Char(10) &amp; Char(10) &amp; VLOOKUP(A1161,Internal_lists_bugs!$A$2:$Z$73,26,FALSE())),"please select a BUG ID")</f>
        <v>https://bugs.launchpad.net/nova/+bug/1371677
/libvirt/driver.py</v>
      </c>
      <c r="C1161" s="81" t="str">
        <f>IFERROR(VLOOKUP(A1161,Internal_lists_bugs!$A$2:$I7981,9,FALSE()),"please select a BUG ID")</f>
        <v>https://review.opendev.org/c/openstack/nova/+/40467</v>
      </c>
      <c r="D1161" s="114"/>
      <c r="E1161" s="114"/>
      <c r="F1161" s="115"/>
      <c r="G1161" s="79" t="s">
        <v>2830</v>
      </c>
      <c r="H1161" s="93" t="s">
        <v>2831</v>
      </c>
      <c r="I1161" s="54"/>
      <c r="K1161" s="54"/>
      <c r="M1161" s="114" t="str">
        <f>VLOOKUP(A1161,'BIC_(C_Variables)'!$A$3:$AS$43,45,FALSE())</f>
        <v/>
      </c>
      <c r="N1161" s="1"/>
      <c r="O1161" s="1"/>
      <c r="P1161" s="81" t="str">
        <f>IFERROR(VLOOKUP(A1161,Internal_lists_bugs!$A$2:$G7981,7,FALSE()),"please select a BUG ID")</f>
        <v>https://opendev.org/openstack/nova/commit/5fa74bc</v>
      </c>
    </row>
    <row r="1162">
      <c r="A1162" s="16" t="s">
        <v>56</v>
      </c>
      <c r="B1162" s="50" t="str">
        <f>IFERROR(HYPERLINK(VLOOKUP(A1162,Internal_lists_bugs!$A$2:$C$73,3,FALSE()), VLOOKUP(A1162,Internal_lists_bugs!$A$2:$C$73,3,FALSE())&amp;Char(10) &amp; Char(10) &amp; VLOOKUP(A1162,Internal_lists_bugs!$A$2:$Z$73,26,FALSE())),"please select a BUG ID")</f>
        <v>https://bugs.launchpad.net/nova/+bug/1371677
/libvirt/driver.py</v>
      </c>
      <c r="C1162" s="81" t="str">
        <f>IFERROR(VLOOKUP(A1162,Internal_lists_bugs!$A$2:$I7981,9,FALSE()),"please select a BUG ID")</f>
        <v>https://review.opendev.org/c/openstack/nova/+/40467</v>
      </c>
      <c r="D1162" s="114"/>
      <c r="E1162" s="114"/>
      <c r="F1162" s="115"/>
      <c r="G1162" s="79" t="s">
        <v>2832</v>
      </c>
      <c r="H1162" s="93" t="s">
        <v>2833</v>
      </c>
      <c r="I1162" s="54"/>
      <c r="K1162" s="54"/>
      <c r="M1162" s="114" t="str">
        <f>VLOOKUP(A1162,'BIC_(C_Variables)'!$A$3:$AS$43,45,FALSE())</f>
        <v/>
      </c>
      <c r="N1162" s="1"/>
      <c r="O1162" s="1"/>
      <c r="P1162" s="81" t="str">
        <f>IFERROR(VLOOKUP(A1162,Internal_lists_bugs!$A$2:$G7981,7,FALSE()),"please select a BUG ID")</f>
        <v>https://opendev.org/openstack/nova/commit/5fa74bc</v>
      </c>
    </row>
    <row r="1163">
      <c r="A1163" s="16" t="s">
        <v>56</v>
      </c>
      <c r="B1163" s="50" t="str">
        <f>IFERROR(HYPERLINK(VLOOKUP(A1163,Internal_lists_bugs!$A$2:$C$73,3,FALSE()), VLOOKUP(A1163,Internal_lists_bugs!$A$2:$C$73,3,FALSE())&amp;Char(10) &amp; Char(10) &amp; VLOOKUP(A1163,Internal_lists_bugs!$A$2:$Z$73,26,FALSE())),"please select a BUG ID")</f>
        <v>https://bugs.launchpad.net/nova/+bug/1371677
/libvirt/driver.py</v>
      </c>
      <c r="C1163" s="81" t="str">
        <f>IFERROR(VLOOKUP(A1163,Internal_lists_bugs!$A$2:$I7981,9,FALSE()),"please select a BUG ID")</f>
        <v>https://review.opendev.org/c/openstack/nova/+/40467</v>
      </c>
      <c r="D1163" s="114"/>
      <c r="E1163" s="114"/>
      <c r="F1163" s="115"/>
      <c r="G1163" s="79" t="s">
        <v>1678</v>
      </c>
      <c r="H1163" s="93" t="s">
        <v>2833</v>
      </c>
      <c r="I1163" s="54"/>
      <c r="K1163" s="54"/>
      <c r="M1163" s="114" t="str">
        <f>VLOOKUP(A1163,'BIC_(C_Variables)'!$A$3:$AS$43,45,FALSE())</f>
        <v/>
      </c>
      <c r="N1163" s="1"/>
      <c r="O1163" s="1"/>
      <c r="P1163" s="81" t="str">
        <f>IFERROR(VLOOKUP(A1163,Internal_lists_bugs!$A$2:$G7981,7,FALSE()),"please select a BUG ID")</f>
        <v>https://opendev.org/openstack/nova/commit/5fa74bc</v>
      </c>
    </row>
    <row r="1164">
      <c r="A1164" s="16" t="s">
        <v>56</v>
      </c>
      <c r="B1164" s="50" t="str">
        <f>IFERROR(HYPERLINK(VLOOKUP(A1164,Internal_lists_bugs!$A$2:$C$73,3,FALSE()), VLOOKUP(A1164,Internal_lists_bugs!$A$2:$C$73,3,FALSE())&amp;Char(10) &amp; Char(10) &amp; VLOOKUP(A1164,Internal_lists_bugs!$A$2:$Z$73,26,FALSE())),"please select a BUG ID")</f>
        <v>https://bugs.launchpad.net/nova/+bug/1371677
/libvirt/driver.py</v>
      </c>
      <c r="C1164" s="81" t="str">
        <f>IFERROR(VLOOKUP(A1164,Internal_lists_bugs!$A$2:$I7981,9,FALSE()),"please select a BUG ID")</f>
        <v>https://review.opendev.org/c/openstack/nova/+/40467</v>
      </c>
      <c r="D1164" s="114"/>
      <c r="E1164" s="114"/>
      <c r="F1164" s="115"/>
      <c r="G1164" s="79" t="s">
        <v>1531</v>
      </c>
      <c r="H1164" s="93" t="s">
        <v>2834</v>
      </c>
      <c r="I1164" s="54"/>
      <c r="K1164" s="54"/>
      <c r="M1164" s="114" t="str">
        <f>VLOOKUP(A1164,'BIC_(C_Variables)'!$A$3:$AS$43,45,FALSE())</f>
        <v/>
      </c>
      <c r="N1164" s="1"/>
      <c r="O1164" s="1"/>
      <c r="P1164" s="81" t="str">
        <f>IFERROR(VLOOKUP(A1164,Internal_lists_bugs!$A$2:$G7981,7,FALSE()),"please select a BUG ID")</f>
        <v>https://opendev.org/openstack/nova/commit/5fa74bc</v>
      </c>
    </row>
    <row r="1165">
      <c r="A1165" s="16" t="s">
        <v>56</v>
      </c>
      <c r="B1165" s="50" t="str">
        <f>IFERROR(HYPERLINK(VLOOKUP(A1165,Internal_lists_bugs!$A$2:$C$73,3,FALSE()), VLOOKUP(A1165,Internal_lists_bugs!$A$2:$C$73,3,FALSE())&amp;Char(10) &amp; Char(10) &amp; VLOOKUP(A1165,Internal_lists_bugs!$A$2:$Z$73,26,FALSE())),"please select a BUG ID")</f>
        <v>https://bugs.launchpad.net/nova/+bug/1371677
/libvirt/driver.py</v>
      </c>
      <c r="C1165" s="81" t="str">
        <f>IFERROR(VLOOKUP(A1165,Internal_lists_bugs!$A$2:$I7981,9,FALSE()),"please select a BUG ID")</f>
        <v>https://review.opendev.org/c/openstack/nova/+/40467</v>
      </c>
      <c r="D1165" s="114"/>
      <c r="E1165" s="114"/>
      <c r="F1165" s="115"/>
      <c r="G1165" s="79" t="s">
        <v>1808</v>
      </c>
      <c r="H1165" s="93" t="s">
        <v>2835</v>
      </c>
      <c r="I1165" s="54"/>
      <c r="K1165" s="54"/>
      <c r="M1165" s="114" t="str">
        <f>VLOOKUP(A1165,'BIC_(C_Variables)'!$A$3:$AS$43,45,FALSE())</f>
        <v/>
      </c>
      <c r="N1165" s="1"/>
      <c r="O1165" s="1"/>
      <c r="P1165" s="81" t="str">
        <f>IFERROR(VLOOKUP(A1165,Internal_lists_bugs!$A$2:$G7981,7,FALSE()),"please select a BUG ID")</f>
        <v>https://opendev.org/openstack/nova/commit/5fa74bc</v>
      </c>
    </row>
    <row r="1166">
      <c r="A1166" s="16" t="s">
        <v>56</v>
      </c>
      <c r="B1166" s="50" t="str">
        <f>IFERROR(HYPERLINK(VLOOKUP(A1166,Internal_lists_bugs!$A$2:$C$73,3,FALSE()), VLOOKUP(A1166,Internal_lists_bugs!$A$2:$C$73,3,FALSE())&amp;Char(10) &amp; Char(10) &amp; VLOOKUP(A1166,Internal_lists_bugs!$A$2:$Z$73,26,FALSE())),"please select a BUG ID")</f>
        <v>https://bugs.launchpad.net/nova/+bug/1371677
/libvirt/driver.py</v>
      </c>
      <c r="C1166" s="81" t="str">
        <f>IFERROR(VLOOKUP(A1166,Internal_lists_bugs!$A$2:$I7981,9,FALSE()),"please select a BUG ID")</f>
        <v>https://review.opendev.org/c/openstack/nova/+/40467</v>
      </c>
      <c r="D1166" s="114"/>
      <c r="E1166" s="114"/>
      <c r="F1166" s="115"/>
      <c r="G1166" s="79" t="s">
        <v>1808</v>
      </c>
      <c r="H1166" s="93" t="s">
        <v>2836</v>
      </c>
      <c r="I1166" s="54"/>
      <c r="K1166" s="54"/>
      <c r="M1166" s="114" t="str">
        <f>VLOOKUP(A1166,'BIC_(C_Variables)'!$A$3:$AS$43,45,FALSE())</f>
        <v/>
      </c>
      <c r="N1166" s="1"/>
      <c r="O1166" s="1"/>
      <c r="P1166" s="81" t="str">
        <f>IFERROR(VLOOKUP(A1166,Internal_lists_bugs!$A$2:$G7981,7,FALSE()),"please select a BUG ID")</f>
        <v>https://opendev.org/openstack/nova/commit/5fa74bc</v>
      </c>
    </row>
    <row r="1167">
      <c r="A1167" s="16" t="s">
        <v>56</v>
      </c>
      <c r="B1167" s="50" t="str">
        <f>IFERROR(HYPERLINK(VLOOKUP(A1167,Internal_lists_bugs!$A$2:$C$73,3,FALSE()), VLOOKUP(A1167,Internal_lists_bugs!$A$2:$C$73,3,FALSE())&amp;Char(10) &amp; Char(10) &amp; VLOOKUP(A1167,Internal_lists_bugs!$A$2:$Z$73,26,FALSE())),"please select a BUG ID")</f>
        <v>https://bugs.launchpad.net/nova/+bug/1371677
/libvirt/driver.py</v>
      </c>
      <c r="C1167" s="81" t="str">
        <f>IFERROR(VLOOKUP(A1167,Internal_lists_bugs!$A$2:$I7981,9,FALSE()),"please select a BUG ID")</f>
        <v>https://review.opendev.org/c/openstack/nova/+/40467</v>
      </c>
      <c r="D1167" s="114"/>
      <c r="E1167" s="114"/>
      <c r="F1167" s="115"/>
      <c r="G1167" s="79" t="s">
        <v>1728</v>
      </c>
      <c r="H1167" s="93" t="s">
        <v>2837</v>
      </c>
      <c r="I1167" s="54"/>
      <c r="K1167" s="54"/>
      <c r="M1167" s="114" t="str">
        <f>VLOOKUP(A1167,'BIC_(C_Variables)'!$A$3:$AS$43,45,FALSE())</f>
        <v/>
      </c>
      <c r="N1167" s="1"/>
      <c r="O1167" s="1"/>
      <c r="P1167" s="81" t="str">
        <f>IFERROR(VLOOKUP(A1167,Internal_lists_bugs!$A$2:$G7981,7,FALSE()),"please select a BUG ID")</f>
        <v>https://opendev.org/openstack/nova/commit/5fa74bc</v>
      </c>
    </row>
    <row r="1168">
      <c r="A1168" s="16" t="s">
        <v>56</v>
      </c>
      <c r="B1168" s="50" t="str">
        <f>IFERROR(HYPERLINK(VLOOKUP(A1168,Internal_lists_bugs!$A$2:$C$73,3,FALSE()), VLOOKUP(A1168,Internal_lists_bugs!$A$2:$C$73,3,FALSE())&amp;Char(10) &amp; Char(10) &amp; VLOOKUP(A1168,Internal_lists_bugs!$A$2:$Z$73,26,FALSE())),"please select a BUG ID")</f>
        <v>https://bugs.launchpad.net/nova/+bug/1371677
/libvirt/driver.py</v>
      </c>
      <c r="C1168" s="81" t="str">
        <f>IFERROR(VLOOKUP(A1168,Internal_lists_bugs!$A$2:$I7981,9,FALSE()),"please select a BUG ID")</f>
        <v>https://review.opendev.org/c/openstack/nova/+/40467</v>
      </c>
      <c r="D1168" s="114"/>
      <c r="E1168" s="114"/>
      <c r="F1168" s="115"/>
      <c r="G1168" s="120" t="s">
        <v>2838</v>
      </c>
      <c r="H1168" s="93" t="s">
        <v>2839</v>
      </c>
      <c r="I1168" s="54"/>
      <c r="K1168" s="54"/>
      <c r="M1168" s="114" t="str">
        <f>VLOOKUP(A1168,'BIC_(C_Variables)'!$A$3:$AS$43,45,FALSE())</f>
        <v/>
      </c>
      <c r="N1168" s="1"/>
      <c r="O1168" s="1"/>
      <c r="P1168" s="81" t="str">
        <f>IFERROR(VLOOKUP(A1168,Internal_lists_bugs!$A$2:$G7981,7,FALSE()),"please select a BUG ID")</f>
        <v>https://opendev.org/openstack/nova/commit/5fa74bc</v>
      </c>
    </row>
    <row r="1169">
      <c r="A1169" s="16" t="s">
        <v>56</v>
      </c>
      <c r="B1169" s="50" t="str">
        <f>IFERROR(HYPERLINK(VLOOKUP(A1169,Internal_lists_bugs!$A$2:$C$73,3,FALSE()), VLOOKUP(A1169,Internal_lists_bugs!$A$2:$C$73,3,FALSE())&amp;Char(10) &amp; Char(10) &amp; VLOOKUP(A1169,Internal_lists_bugs!$A$2:$Z$73,26,FALSE())),"please select a BUG ID")</f>
        <v>https://bugs.launchpad.net/nova/+bug/1371677
/libvirt/driver.py</v>
      </c>
      <c r="C1169" s="81" t="str">
        <f>IFERROR(VLOOKUP(A1169,Internal_lists_bugs!$A$2:$I7981,9,FALSE()),"please select a BUG ID")</f>
        <v>https://review.opendev.org/c/openstack/nova/+/40467</v>
      </c>
      <c r="D1169" s="114"/>
      <c r="E1169" s="114"/>
      <c r="F1169" s="115"/>
      <c r="G1169" s="120" t="s">
        <v>2840</v>
      </c>
      <c r="H1169" s="93" t="s">
        <v>2839</v>
      </c>
      <c r="I1169" s="54"/>
      <c r="K1169" s="54"/>
      <c r="M1169" s="114" t="str">
        <f>VLOOKUP(A1169,'BIC_(C_Variables)'!$A$3:$AS$43,45,FALSE())</f>
        <v/>
      </c>
      <c r="N1169" s="1"/>
      <c r="O1169" s="1"/>
      <c r="P1169" s="81" t="str">
        <f>IFERROR(VLOOKUP(A1169,Internal_lists_bugs!$A$2:$G7981,7,FALSE()),"please select a BUG ID")</f>
        <v>https://opendev.org/openstack/nova/commit/5fa74bc</v>
      </c>
    </row>
    <row r="1170">
      <c r="A1170" s="16" t="s">
        <v>56</v>
      </c>
      <c r="B1170" s="50" t="str">
        <f>IFERROR(HYPERLINK(VLOOKUP(A1170,Internal_lists_bugs!$A$2:$C$73,3,FALSE()), VLOOKUP(A1170,Internal_lists_bugs!$A$2:$C$73,3,FALSE())&amp;Char(10) &amp; Char(10) &amp; VLOOKUP(A1170,Internal_lists_bugs!$A$2:$Z$73,26,FALSE())),"please select a BUG ID")</f>
        <v>https://bugs.launchpad.net/nova/+bug/1371677
/libvirt/driver.py</v>
      </c>
      <c r="C1170" s="81" t="str">
        <f>IFERROR(VLOOKUP(A1170,Internal_lists_bugs!$A$2:$I7981,9,FALSE()),"please select a BUG ID")</f>
        <v>https://review.opendev.org/c/openstack/nova/+/40467</v>
      </c>
      <c r="D1170" s="114"/>
      <c r="E1170" s="114"/>
      <c r="F1170" s="115"/>
      <c r="G1170" s="79" t="s">
        <v>1590</v>
      </c>
      <c r="H1170" s="93" t="s">
        <v>2841</v>
      </c>
      <c r="I1170" s="54"/>
      <c r="K1170" s="54"/>
      <c r="M1170" s="114" t="str">
        <f>VLOOKUP(A1170,'BIC_(C_Variables)'!$A$3:$AS$43,45,FALSE())</f>
        <v/>
      </c>
      <c r="N1170" s="1"/>
      <c r="O1170" s="1"/>
      <c r="P1170" s="81" t="str">
        <f>IFERROR(VLOOKUP(A1170,Internal_lists_bugs!$A$2:$G7981,7,FALSE()),"please select a BUG ID")</f>
        <v>https://opendev.org/openstack/nova/commit/5fa74bc</v>
      </c>
    </row>
    <row r="1171">
      <c r="A1171" s="16" t="s">
        <v>56</v>
      </c>
      <c r="B1171" s="50" t="str">
        <f>IFERROR(HYPERLINK(VLOOKUP(A1171,Internal_lists_bugs!$A$2:$C$73,3,FALSE()), VLOOKUP(A1171,Internal_lists_bugs!$A$2:$C$73,3,FALSE())&amp;Char(10) &amp; Char(10) &amp; VLOOKUP(A1171,Internal_lists_bugs!$A$2:$Z$73,26,FALSE())),"please select a BUG ID")</f>
        <v>https://bugs.launchpad.net/nova/+bug/1371677
/libvirt/driver.py</v>
      </c>
      <c r="C1171" s="81" t="str">
        <f>IFERROR(VLOOKUP(A1171,Internal_lists_bugs!$A$2:$I7981,9,FALSE()),"please select a BUG ID")</f>
        <v>https://review.opendev.org/c/openstack/nova/+/40467</v>
      </c>
      <c r="D1171" s="114"/>
      <c r="E1171" s="114"/>
      <c r="F1171" s="115"/>
      <c r="G1171" s="79" t="s">
        <v>2842</v>
      </c>
      <c r="H1171" s="93" t="s">
        <v>2843</v>
      </c>
      <c r="I1171" s="54"/>
      <c r="K1171" s="54"/>
      <c r="M1171" s="114" t="str">
        <f>VLOOKUP(A1171,'BIC_(C_Variables)'!$A$3:$AS$43,45,FALSE())</f>
        <v/>
      </c>
      <c r="N1171" s="1"/>
      <c r="O1171" s="1"/>
      <c r="P1171" s="81" t="str">
        <f>IFERROR(VLOOKUP(A1171,Internal_lists_bugs!$A$2:$G7981,7,FALSE()),"please select a BUG ID")</f>
        <v>https://opendev.org/openstack/nova/commit/5fa74bc</v>
      </c>
    </row>
    <row r="1172">
      <c r="A1172" s="16" t="s">
        <v>56</v>
      </c>
      <c r="B1172" s="50" t="str">
        <f>IFERROR(HYPERLINK(VLOOKUP(A1172,Internal_lists_bugs!$A$2:$C$73,3,FALSE()), VLOOKUP(A1172,Internal_lists_bugs!$A$2:$C$73,3,FALSE())&amp;Char(10) &amp; Char(10) &amp; VLOOKUP(A1172,Internal_lists_bugs!$A$2:$Z$73,26,FALSE())),"please select a BUG ID")</f>
        <v>https://bugs.launchpad.net/nova/+bug/1371677
/libvirt/driver.py</v>
      </c>
      <c r="C1172" s="81" t="str">
        <f>IFERROR(VLOOKUP(A1172,Internal_lists_bugs!$A$2:$I7981,9,FALSE()),"please select a BUG ID")</f>
        <v>https://review.opendev.org/c/openstack/nova/+/40467</v>
      </c>
      <c r="D1172" s="114"/>
      <c r="E1172" s="114"/>
      <c r="F1172" s="115"/>
      <c r="G1172" s="79" t="s">
        <v>1753</v>
      </c>
      <c r="H1172" s="93" t="s">
        <v>2844</v>
      </c>
      <c r="I1172" s="54"/>
      <c r="K1172" s="54"/>
      <c r="M1172" s="114" t="str">
        <f>VLOOKUP(A1172,'BIC_(C_Variables)'!$A$3:$AS$43,45,FALSE())</f>
        <v/>
      </c>
      <c r="N1172" s="1"/>
      <c r="O1172" s="1"/>
      <c r="P1172" s="81" t="str">
        <f>IFERROR(VLOOKUP(A1172,Internal_lists_bugs!$A$2:$G7981,7,FALSE()),"please select a BUG ID")</f>
        <v>https://opendev.org/openstack/nova/commit/5fa74bc</v>
      </c>
    </row>
    <row r="1173">
      <c r="A1173" s="16" t="s">
        <v>56</v>
      </c>
      <c r="B1173" s="50" t="str">
        <f>IFERROR(HYPERLINK(VLOOKUP(A1173,Internal_lists_bugs!$A$2:$C$73,3,FALSE()), VLOOKUP(A1173,Internal_lists_bugs!$A$2:$C$73,3,FALSE())&amp;Char(10) &amp; Char(10) &amp; VLOOKUP(A1173,Internal_lists_bugs!$A$2:$Z$73,26,FALSE())),"please select a BUG ID")</f>
        <v>https://bugs.launchpad.net/nova/+bug/1371677
/libvirt/driver.py</v>
      </c>
      <c r="C1173" s="81" t="str">
        <f>IFERROR(VLOOKUP(A1173,Internal_lists_bugs!$A$2:$I7981,9,FALSE()),"please select a BUG ID")</f>
        <v>https://review.opendev.org/c/openstack/nova/+/40467</v>
      </c>
      <c r="D1173" s="114"/>
      <c r="E1173" s="114"/>
      <c r="F1173" s="115"/>
      <c r="G1173" s="79" t="s">
        <v>2845</v>
      </c>
      <c r="H1173" s="93" t="s">
        <v>2846</v>
      </c>
      <c r="I1173" s="54"/>
      <c r="K1173" s="54"/>
      <c r="M1173" s="114" t="str">
        <f>VLOOKUP(A1173,'BIC_(C_Variables)'!$A$3:$AS$43,45,FALSE())</f>
        <v/>
      </c>
      <c r="N1173" s="1"/>
      <c r="O1173" s="1"/>
      <c r="P1173" s="81" t="str">
        <f>IFERROR(VLOOKUP(A1173,Internal_lists_bugs!$A$2:$G7981,7,FALSE()),"please select a BUG ID")</f>
        <v>https://opendev.org/openstack/nova/commit/5fa74bc</v>
      </c>
    </row>
    <row r="1174">
      <c r="A1174" s="16" t="s">
        <v>56</v>
      </c>
      <c r="B1174" s="50" t="str">
        <f>IFERROR(HYPERLINK(VLOOKUP(A1174,Internal_lists_bugs!$A$2:$C$73,3,FALSE()), VLOOKUP(A1174,Internal_lists_bugs!$A$2:$C$73,3,FALSE())&amp;Char(10) &amp; Char(10) &amp; VLOOKUP(A1174,Internal_lists_bugs!$A$2:$Z$73,26,FALSE())),"please select a BUG ID")</f>
        <v>https://bugs.launchpad.net/nova/+bug/1371677
/libvirt/driver.py</v>
      </c>
      <c r="C1174" s="81" t="str">
        <f>IFERROR(VLOOKUP(A1174,Internal_lists_bugs!$A$2:$I7981,9,FALSE()),"please select a BUG ID")</f>
        <v>https://review.opendev.org/c/openstack/nova/+/40467</v>
      </c>
      <c r="D1174" s="114"/>
      <c r="E1174" s="114"/>
      <c r="F1174" s="115"/>
      <c r="G1174" s="79" t="s">
        <v>2847</v>
      </c>
      <c r="H1174" s="93" t="s">
        <v>2848</v>
      </c>
      <c r="I1174" s="54"/>
      <c r="K1174" s="54"/>
      <c r="M1174" s="114" t="str">
        <f>VLOOKUP(A1174,'BIC_(C_Variables)'!$A$3:$AS$43,45,FALSE())</f>
        <v/>
      </c>
      <c r="N1174" s="1"/>
      <c r="O1174" s="1"/>
      <c r="P1174" s="81" t="str">
        <f>IFERROR(VLOOKUP(A1174,Internal_lists_bugs!$A$2:$G7981,7,FALSE()),"please select a BUG ID")</f>
        <v>https://opendev.org/openstack/nova/commit/5fa74bc</v>
      </c>
    </row>
    <row r="1175">
      <c r="A1175" s="16" t="s">
        <v>56</v>
      </c>
      <c r="B1175" s="50" t="str">
        <f>IFERROR(HYPERLINK(VLOOKUP(A1175,Internal_lists_bugs!$A$2:$C$73,3,FALSE()), VLOOKUP(A1175,Internal_lists_bugs!$A$2:$C$73,3,FALSE())&amp;Char(10) &amp; Char(10) &amp; VLOOKUP(A1175,Internal_lists_bugs!$A$2:$Z$73,26,FALSE())),"please select a BUG ID")</f>
        <v>https://bugs.launchpad.net/nova/+bug/1371677
/libvirt/driver.py</v>
      </c>
      <c r="C1175" s="81" t="str">
        <f>IFERROR(VLOOKUP(A1175,Internal_lists_bugs!$A$2:$I7981,9,FALSE()),"please select a BUG ID")</f>
        <v>https://review.opendev.org/c/openstack/nova/+/40467</v>
      </c>
      <c r="D1175" s="114"/>
      <c r="E1175" s="114"/>
      <c r="F1175" s="115"/>
      <c r="G1175" s="79" t="s">
        <v>2849</v>
      </c>
      <c r="H1175" s="93" t="s">
        <v>2850</v>
      </c>
      <c r="I1175" s="54"/>
      <c r="K1175" s="54"/>
      <c r="M1175" s="114" t="str">
        <f>VLOOKUP(A1175,'BIC_(C_Variables)'!$A$3:$AS$43,45,FALSE())</f>
        <v/>
      </c>
      <c r="N1175" s="1"/>
      <c r="O1175" s="1"/>
      <c r="P1175" s="81" t="str">
        <f>IFERROR(VLOOKUP(A1175,Internal_lists_bugs!$A$2:$G7981,7,FALSE()),"please select a BUG ID")</f>
        <v>https://opendev.org/openstack/nova/commit/5fa74bc</v>
      </c>
    </row>
    <row r="1176">
      <c r="A1176" s="16" t="s">
        <v>56</v>
      </c>
      <c r="B1176" s="50" t="str">
        <f>IFERROR(HYPERLINK(VLOOKUP(A1176,Internal_lists_bugs!$A$2:$C$73,3,FALSE()), VLOOKUP(A1176,Internal_lists_bugs!$A$2:$C$73,3,FALSE())&amp;Char(10) &amp; Char(10) &amp; VLOOKUP(A1176,Internal_lists_bugs!$A$2:$Z$73,26,FALSE())),"please select a BUG ID")</f>
        <v>https://bugs.launchpad.net/nova/+bug/1371677
/libvirt/driver.py</v>
      </c>
      <c r="C1176" s="81" t="str">
        <f>IFERROR(VLOOKUP(A1176,Internal_lists_bugs!$A$2:$I7981,9,FALSE()),"please select a BUG ID")</f>
        <v>https://review.opendev.org/c/openstack/nova/+/40467</v>
      </c>
      <c r="D1176" s="114"/>
      <c r="E1176" s="114"/>
      <c r="F1176" s="115"/>
      <c r="G1176" s="79" t="s">
        <v>2851</v>
      </c>
      <c r="H1176" s="93" t="s">
        <v>2852</v>
      </c>
      <c r="I1176" s="54"/>
      <c r="K1176" s="54"/>
      <c r="M1176" s="114" t="str">
        <f>VLOOKUP(A1176,'BIC_(C_Variables)'!$A$3:$AS$43,45,FALSE())</f>
        <v/>
      </c>
      <c r="N1176" s="1"/>
      <c r="O1176" s="1"/>
      <c r="P1176" s="81" t="str">
        <f>IFERROR(VLOOKUP(A1176,Internal_lists_bugs!$A$2:$G7981,7,FALSE()),"please select a BUG ID")</f>
        <v>https://opendev.org/openstack/nova/commit/5fa74bc</v>
      </c>
    </row>
    <row r="1177">
      <c r="A1177" s="16" t="s">
        <v>56</v>
      </c>
      <c r="B1177" s="50" t="str">
        <f>IFERROR(HYPERLINK(VLOOKUP(A1177,Internal_lists_bugs!$A$2:$C$73,3,FALSE()), VLOOKUP(A1177,Internal_lists_bugs!$A$2:$C$73,3,FALSE())&amp;Char(10) &amp; Char(10) &amp; VLOOKUP(A1177,Internal_lists_bugs!$A$2:$Z$73,26,FALSE())),"please select a BUG ID")</f>
        <v>https://bugs.launchpad.net/nova/+bug/1371677
/libvirt/driver.py</v>
      </c>
      <c r="C1177" s="81" t="str">
        <f>IFERROR(VLOOKUP(A1177,Internal_lists_bugs!$A$2:$I7981,9,FALSE()),"please select a BUG ID")</f>
        <v>https://review.opendev.org/c/openstack/nova/+/40467</v>
      </c>
      <c r="D1177" s="114"/>
      <c r="E1177" s="114"/>
      <c r="F1177" s="115"/>
      <c r="G1177" s="79" t="s">
        <v>2853</v>
      </c>
      <c r="H1177" s="93" t="s">
        <v>2854</v>
      </c>
      <c r="I1177" s="54"/>
      <c r="K1177" s="54"/>
      <c r="M1177" s="114" t="str">
        <f>VLOOKUP(A1177,'BIC_(C_Variables)'!$A$3:$AS$43,45,FALSE())</f>
        <v/>
      </c>
      <c r="N1177" s="1"/>
      <c r="O1177" s="1"/>
      <c r="P1177" s="81" t="str">
        <f>IFERROR(VLOOKUP(A1177,Internal_lists_bugs!$A$2:$G7981,7,FALSE()),"please select a BUG ID")</f>
        <v>https://opendev.org/openstack/nova/commit/5fa74bc</v>
      </c>
    </row>
    <row r="1178">
      <c r="A1178" s="16" t="s">
        <v>56</v>
      </c>
      <c r="B1178" s="50" t="str">
        <f>IFERROR(HYPERLINK(VLOOKUP(A1178,Internal_lists_bugs!$A$2:$C$73,3,FALSE()), VLOOKUP(A1178,Internal_lists_bugs!$A$2:$C$73,3,FALSE())&amp;Char(10) &amp; Char(10) &amp; VLOOKUP(A1178,Internal_lists_bugs!$A$2:$Z$73,26,FALSE())),"please select a BUG ID")</f>
        <v>https://bugs.launchpad.net/nova/+bug/1371677
/libvirt/driver.py</v>
      </c>
      <c r="C1178" s="81" t="str">
        <f>IFERROR(VLOOKUP(A1178,Internal_lists_bugs!$A$2:$I7981,9,FALSE()),"please select a BUG ID")</f>
        <v>https://review.opendev.org/c/openstack/nova/+/40467</v>
      </c>
      <c r="D1178" s="114"/>
      <c r="E1178" s="114"/>
      <c r="F1178" s="115"/>
      <c r="G1178" s="79" t="s">
        <v>2855</v>
      </c>
      <c r="H1178" s="93" t="s">
        <v>2856</v>
      </c>
      <c r="I1178" s="54"/>
      <c r="K1178" s="54"/>
      <c r="M1178" s="114" t="str">
        <f>VLOOKUP(A1178,'BIC_(C_Variables)'!$A$3:$AS$43,45,FALSE())</f>
        <v/>
      </c>
      <c r="N1178" s="1"/>
      <c r="O1178" s="1"/>
      <c r="P1178" s="81" t="str">
        <f>IFERROR(VLOOKUP(A1178,Internal_lists_bugs!$A$2:$G7981,7,FALSE()),"please select a BUG ID")</f>
        <v>https://opendev.org/openstack/nova/commit/5fa74bc</v>
      </c>
    </row>
    <row r="1179">
      <c r="A1179" s="16" t="s">
        <v>56</v>
      </c>
      <c r="B1179" s="50" t="str">
        <f>IFERROR(HYPERLINK(VLOOKUP(A1179,Internal_lists_bugs!$A$2:$C$73,3,FALSE()), VLOOKUP(A1179,Internal_lists_bugs!$A$2:$C$73,3,FALSE())&amp;Char(10) &amp; Char(10) &amp; VLOOKUP(A1179,Internal_lists_bugs!$A$2:$Z$73,26,FALSE())),"please select a BUG ID")</f>
        <v>https://bugs.launchpad.net/nova/+bug/1371677
/libvirt/driver.py</v>
      </c>
      <c r="C1179" s="81" t="str">
        <f>IFERROR(VLOOKUP(A1179,Internal_lists_bugs!$A$2:$I7981,9,FALSE()),"please select a BUG ID")</f>
        <v>https://review.opendev.org/c/openstack/nova/+/40467</v>
      </c>
      <c r="D1179" s="114"/>
      <c r="E1179" s="114"/>
      <c r="F1179" s="115"/>
      <c r="G1179" s="79" t="s">
        <v>2857</v>
      </c>
      <c r="H1179" s="93" t="s">
        <v>2858</v>
      </c>
      <c r="I1179" s="54"/>
      <c r="K1179" s="54"/>
      <c r="M1179" s="114" t="str">
        <f>VLOOKUP(A1179,'BIC_(C_Variables)'!$A$3:$AS$43,45,FALSE())</f>
        <v/>
      </c>
      <c r="N1179" s="1"/>
      <c r="O1179" s="1"/>
      <c r="P1179" s="81" t="str">
        <f>IFERROR(VLOOKUP(A1179,Internal_lists_bugs!$A$2:$G7981,7,FALSE()),"please select a BUG ID")</f>
        <v>https://opendev.org/openstack/nova/commit/5fa74bc</v>
      </c>
    </row>
    <row r="1180">
      <c r="A1180" s="16" t="s">
        <v>56</v>
      </c>
      <c r="B1180" s="50" t="str">
        <f>IFERROR(HYPERLINK(VLOOKUP(A1180,Internal_lists_bugs!$A$2:$C$73,3,FALSE()), VLOOKUP(A1180,Internal_lists_bugs!$A$2:$C$73,3,FALSE())&amp;Char(10) &amp; Char(10) &amp; VLOOKUP(A1180,Internal_lists_bugs!$A$2:$Z$73,26,FALSE())),"please select a BUG ID")</f>
        <v>https://bugs.launchpad.net/nova/+bug/1371677
/libvirt/driver.py</v>
      </c>
      <c r="C1180" s="81" t="str">
        <f>IFERROR(VLOOKUP(A1180,Internal_lists_bugs!$A$2:$I7981,9,FALSE()),"please select a BUG ID")</f>
        <v>https://review.opendev.org/c/openstack/nova/+/40467</v>
      </c>
      <c r="D1180" s="114"/>
      <c r="E1180" s="114"/>
      <c r="F1180" s="115"/>
      <c r="G1180" s="79" t="s">
        <v>1430</v>
      </c>
      <c r="H1180" s="93" t="s">
        <v>2859</v>
      </c>
      <c r="I1180" s="54"/>
      <c r="K1180" s="54"/>
      <c r="M1180" s="114" t="str">
        <f>VLOOKUP(A1180,'BIC_(C_Variables)'!$A$3:$AS$43,45,FALSE())</f>
        <v/>
      </c>
      <c r="N1180" s="1"/>
      <c r="O1180" s="1"/>
      <c r="P1180" s="81" t="str">
        <f>IFERROR(VLOOKUP(A1180,Internal_lists_bugs!$A$2:$G7981,7,FALSE()),"please select a BUG ID")</f>
        <v>https://opendev.org/openstack/nova/commit/5fa74bc</v>
      </c>
    </row>
    <row r="1181">
      <c r="A1181" s="16" t="s">
        <v>56</v>
      </c>
      <c r="B1181" s="50" t="str">
        <f>IFERROR(HYPERLINK(VLOOKUP(A1181,Internal_lists_bugs!$A$2:$C$73,3,FALSE()), VLOOKUP(A1181,Internal_lists_bugs!$A$2:$C$73,3,FALSE())&amp;Char(10) &amp; Char(10) &amp; VLOOKUP(A1181,Internal_lists_bugs!$A$2:$Z$73,26,FALSE())),"please select a BUG ID")</f>
        <v>https://bugs.launchpad.net/nova/+bug/1371677
/libvirt/driver.py</v>
      </c>
      <c r="C1181" s="81" t="str">
        <f>IFERROR(VLOOKUP(A1181,Internal_lists_bugs!$A$2:$I7981,9,FALSE()),"please select a BUG ID")</f>
        <v>https://review.opendev.org/c/openstack/nova/+/40467</v>
      </c>
      <c r="D1181" s="114"/>
      <c r="E1181" s="114"/>
      <c r="F1181" s="115"/>
      <c r="G1181" s="79" t="s">
        <v>2860</v>
      </c>
      <c r="H1181" s="93" t="s">
        <v>2861</v>
      </c>
      <c r="I1181" s="54"/>
      <c r="K1181" s="54"/>
      <c r="M1181" s="114" t="str">
        <f>VLOOKUP(A1181,'BIC_(C_Variables)'!$A$3:$AS$43,45,FALSE())</f>
        <v/>
      </c>
      <c r="N1181" s="1"/>
      <c r="O1181" s="1"/>
      <c r="P1181" s="81" t="str">
        <f>IFERROR(VLOOKUP(A1181,Internal_lists_bugs!$A$2:$G7981,7,FALSE()),"please select a BUG ID")</f>
        <v>https://opendev.org/openstack/nova/commit/5fa74bc</v>
      </c>
    </row>
    <row r="1182">
      <c r="A1182" s="16" t="s">
        <v>56</v>
      </c>
      <c r="B1182" s="50" t="str">
        <f>IFERROR(HYPERLINK(VLOOKUP(A1182,Internal_lists_bugs!$A$2:$C$73,3,FALSE()), VLOOKUP(A1182,Internal_lists_bugs!$A$2:$C$73,3,FALSE())&amp;Char(10) &amp; Char(10) &amp; VLOOKUP(A1182,Internal_lists_bugs!$A$2:$Z$73,26,FALSE())),"please select a BUG ID")</f>
        <v>https://bugs.launchpad.net/nova/+bug/1371677
/libvirt/driver.py</v>
      </c>
      <c r="C1182" s="81" t="str">
        <f>IFERROR(VLOOKUP(A1182,Internal_lists_bugs!$A$2:$I7981,9,FALSE()),"please select a BUG ID")</f>
        <v>https://review.opendev.org/c/openstack/nova/+/40467</v>
      </c>
      <c r="D1182" s="114"/>
      <c r="E1182" s="114"/>
      <c r="F1182" s="115"/>
      <c r="G1182" s="79" t="s">
        <v>2862</v>
      </c>
      <c r="H1182" s="93" t="s">
        <v>2863</v>
      </c>
      <c r="I1182" s="54"/>
      <c r="K1182" s="54"/>
      <c r="M1182" s="114" t="str">
        <f>VLOOKUP(A1182,'BIC_(C_Variables)'!$A$3:$AS$43,45,FALSE())</f>
        <v/>
      </c>
      <c r="N1182" s="1"/>
      <c r="O1182" s="1"/>
      <c r="P1182" s="81" t="str">
        <f>IFERROR(VLOOKUP(A1182,Internal_lists_bugs!$A$2:$G7981,7,FALSE()),"please select a BUG ID")</f>
        <v>https://opendev.org/openstack/nova/commit/5fa74bc</v>
      </c>
    </row>
    <row r="1183">
      <c r="A1183" s="16" t="s">
        <v>56</v>
      </c>
      <c r="B1183" s="50" t="str">
        <f>IFERROR(HYPERLINK(VLOOKUP(A1183,Internal_lists_bugs!$A$2:$C$73,3,FALSE()), VLOOKUP(A1183,Internal_lists_bugs!$A$2:$C$73,3,FALSE())&amp;Char(10) &amp; Char(10) &amp; VLOOKUP(A1183,Internal_lists_bugs!$A$2:$Z$73,26,FALSE())),"please select a BUG ID")</f>
        <v>https://bugs.launchpad.net/nova/+bug/1371677
/libvirt/driver.py</v>
      </c>
      <c r="C1183" s="81" t="str">
        <f>IFERROR(VLOOKUP(A1183,Internal_lists_bugs!$A$2:$I7981,9,FALSE()),"please select a BUG ID")</f>
        <v>https://review.opendev.org/c/openstack/nova/+/40467</v>
      </c>
      <c r="D1183" s="114"/>
      <c r="E1183" s="114"/>
      <c r="F1183" s="115"/>
      <c r="G1183" s="79" t="s">
        <v>2627</v>
      </c>
      <c r="H1183" s="93" t="s">
        <v>2864</v>
      </c>
      <c r="I1183" s="54"/>
      <c r="K1183" s="54"/>
      <c r="M1183" s="114" t="str">
        <f>VLOOKUP(A1183,'BIC_(C_Variables)'!$A$3:$AS$43,45,FALSE())</f>
        <v/>
      </c>
      <c r="N1183" s="1"/>
      <c r="O1183" s="1"/>
      <c r="P1183" s="81" t="str">
        <f>IFERROR(VLOOKUP(A1183,Internal_lists_bugs!$A$2:$G7981,7,FALSE()),"please select a BUG ID")</f>
        <v>https://opendev.org/openstack/nova/commit/5fa74bc</v>
      </c>
    </row>
    <row r="1184">
      <c r="A1184" s="16" t="s">
        <v>56</v>
      </c>
      <c r="B1184" s="50" t="str">
        <f>IFERROR(HYPERLINK(VLOOKUP(A1184,Internal_lists_bugs!$A$2:$C$73,3,FALSE()), VLOOKUP(A1184,Internal_lists_bugs!$A$2:$C$73,3,FALSE())&amp;Char(10) &amp; Char(10) &amp; VLOOKUP(A1184,Internal_lists_bugs!$A$2:$Z$73,26,FALSE())),"please select a BUG ID")</f>
        <v>https://bugs.launchpad.net/nova/+bug/1371677
/libvirt/driver.py</v>
      </c>
      <c r="C1184" s="81" t="str">
        <f>IFERROR(VLOOKUP(A1184,Internal_lists_bugs!$A$2:$I7981,9,FALSE()),"please select a BUG ID")</f>
        <v>https://review.opendev.org/c/openstack/nova/+/40467</v>
      </c>
      <c r="D1184" s="114"/>
      <c r="E1184" s="114"/>
      <c r="F1184" s="115"/>
      <c r="G1184" s="79" t="s">
        <v>1686</v>
      </c>
      <c r="H1184" s="93" t="s">
        <v>2865</v>
      </c>
      <c r="I1184" s="54"/>
      <c r="K1184" s="54"/>
      <c r="M1184" s="114" t="str">
        <f>VLOOKUP(A1184,'BIC_(C_Variables)'!$A$3:$AS$43,45,FALSE())</f>
        <v/>
      </c>
      <c r="N1184" s="1"/>
      <c r="O1184" s="1"/>
      <c r="P1184" s="81" t="str">
        <f>IFERROR(VLOOKUP(A1184,Internal_lists_bugs!$A$2:$G7981,7,FALSE()),"please select a BUG ID")</f>
        <v>https://opendev.org/openstack/nova/commit/5fa74bc</v>
      </c>
    </row>
    <row r="1185">
      <c r="A1185" s="16" t="s">
        <v>56</v>
      </c>
      <c r="B1185" s="50" t="str">
        <f>IFERROR(HYPERLINK(VLOOKUP(A1185,Internal_lists_bugs!$A$2:$C$73,3,FALSE()), VLOOKUP(A1185,Internal_lists_bugs!$A$2:$C$73,3,FALSE())&amp;Char(10) &amp; Char(10) &amp; VLOOKUP(A1185,Internal_lists_bugs!$A$2:$Z$73,26,FALSE())),"please select a BUG ID")</f>
        <v>https://bugs.launchpad.net/nova/+bug/1371677
/libvirt/driver.py</v>
      </c>
      <c r="C1185" s="81" t="str">
        <f>IFERROR(VLOOKUP(A1185,Internal_lists_bugs!$A$2:$I7981,9,FALSE()),"please select a BUG ID")</f>
        <v>https://review.opendev.org/c/openstack/nova/+/40467</v>
      </c>
      <c r="D1185" s="114"/>
      <c r="E1185" s="114"/>
      <c r="F1185" s="115"/>
      <c r="G1185" s="120" t="s">
        <v>2866</v>
      </c>
      <c r="H1185" s="93" t="s">
        <v>2867</v>
      </c>
      <c r="I1185" s="54"/>
      <c r="K1185" s="54"/>
      <c r="M1185" s="114" t="str">
        <f>VLOOKUP(A1185,'BIC_(C_Variables)'!$A$3:$AS$43,45,FALSE())</f>
        <v/>
      </c>
      <c r="N1185" s="1"/>
      <c r="O1185" s="1"/>
      <c r="P1185" s="81" t="str">
        <f>IFERROR(VLOOKUP(A1185,Internal_lists_bugs!$A$2:$G7981,7,FALSE()),"please select a BUG ID")</f>
        <v>https://opendev.org/openstack/nova/commit/5fa74bc</v>
      </c>
    </row>
    <row r="1186">
      <c r="A1186" s="16" t="s">
        <v>56</v>
      </c>
      <c r="B1186" s="50" t="str">
        <f>IFERROR(HYPERLINK(VLOOKUP(A1186,Internal_lists_bugs!$A$2:$C$73,3,FALSE()), VLOOKUP(A1186,Internal_lists_bugs!$A$2:$C$73,3,FALSE())&amp;Char(10) &amp; Char(10) &amp; VLOOKUP(A1186,Internal_lists_bugs!$A$2:$Z$73,26,FALSE())),"please select a BUG ID")</f>
        <v>https://bugs.launchpad.net/nova/+bug/1371677
/libvirt/driver.py</v>
      </c>
      <c r="C1186" s="81" t="str">
        <f>IFERROR(VLOOKUP(A1186,Internal_lists_bugs!$A$2:$I7981,9,FALSE()),"please select a BUG ID")</f>
        <v>https://review.opendev.org/c/openstack/nova/+/40467</v>
      </c>
      <c r="D1186" s="114"/>
      <c r="E1186" s="114"/>
      <c r="F1186" s="115"/>
      <c r="G1186" s="120" t="s">
        <v>2868</v>
      </c>
      <c r="H1186" s="93" t="s">
        <v>2867</v>
      </c>
      <c r="I1186" s="54"/>
      <c r="K1186" s="54"/>
      <c r="M1186" s="114" t="str">
        <f>VLOOKUP(A1186,'BIC_(C_Variables)'!$A$3:$AS$43,45,FALSE())</f>
        <v/>
      </c>
      <c r="N1186" s="1"/>
      <c r="O1186" s="1"/>
      <c r="P1186" s="81" t="str">
        <f>IFERROR(VLOOKUP(A1186,Internal_lists_bugs!$A$2:$G7981,7,FALSE()),"please select a BUG ID")</f>
        <v>https://opendev.org/openstack/nova/commit/5fa74bc</v>
      </c>
    </row>
    <row r="1187">
      <c r="A1187" s="16" t="s">
        <v>56</v>
      </c>
      <c r="B1187" s="50" t="str">
        <f>IFERROR(HYPERLINK(VLOOKUP(A1187,Internal_lists_bugs!$A$2:$C$73,3,FALSE()), VLOOKUP(A1187,Internal_lists_bugs!$A$2:$C$73,3,FALSE())&amp;Char(10) &amp; Char(10) &amp; VLOOKUP(A1187,Internal_lists_bugs!$A$2:$Z$73,26,FALSE())),"please select a BUG ID")</f>
        <v>https://bugs.launchpad.net/nova/+bug/1371677
/libvirt/driver.py</v>
      </c>
      <c r="C1187" s="81" t="str">
        <f>IFERROR(VLOOKUP(A1187,Internal_lists_bugs!$A$2:$I7981,9,FALSE()),"please select a BUG ID")</f>
        <v>https://review.opendev.org/c/openstack/nova/+/40467</v>
      </c>
      <c r="D1187" s="114"/>
      <c r="E1187" s="114"/>
      <c r="F1187" s="115"/>
      <c r="G1187" s="79" t="s">
        <v>1590</v>
      </c>
      <c r="H1187" s="93" t="s">
        <v>2869</v>
      </c>
      <c r="I1187" s="54"/>
      <c r="K1187" s="54"/>
      <c r="M1187" s="114" t="str">
        <f>VLOOKUP(A1187,'BIC_(C_Variables)'!$A$3:$AS$43,45,FALSE())</f>
        <v/>
      </c>
      <c r="N1187" s="1"/>
      <c r="O1187" s="1"/>
      <c r="P1187" s="81" t="str">
        <f>IFERROR(VLOOKUP(A1187,Internal_lists_bugs!$A$2:$G7981,7,FALSE()),"please select a BUG ID")</f>
        <v>https://opendev.org/openstack/nova/commit/5fa74bc</v>
      </c>
    </row>
    <row r="1188">
      <c r="A1188" s="16" t="s">
        <v>56</v>
      </c>
      <c r="B1188" s="50" t="str">
        <f>IFERROR(HYPERLINK(VLOOKUP(A1188,Internal_lists_bugs!$A$2:$C$73,3,FALSE()), VLOOKUP(A1188,Internal_lists_bugs!$A$2:$C$73,3,FALSE())&amp;Char(10) &amp; Char(10) &amp; VLOOKUP(A1188,Internal_lists_bugs!$A$2:$Z$73,26,FALSE())),"please select a BUG ID")</f>
        <v>https://bugs.launchpad.net/nova/+bug/1371677
/libvirt/driver.py</v>
      </c>
      <c r="C1188" s="81" t="str">
        <f>IFERROR(VLOOKUP(A1188,Internal_lists_bugs!$A$2:$I7981,9,FALSE()),"please select a BUG ID")</f>
        <v>https://review.opendev.org/c/openstack/nova/+/40467</v>
      </c>
      <c r="D1188" s="114"/>
      <c r="E1188" s="114"/>
      <c r="F1188" s="115"/>
      <c r="G1188" s="120" t="s">
        <v>2870</v>
      </c>
      <c r="H1188" s="93" t="s">
        <v>2869</v>
      </c>
      <c r="I1188" s="54"/>
      <c r="K1188" s="54"/>
      <c r="M1188" s="114" t="str">
        <f>VLOOKUP(A1188,'BIC_(C_Variables)'!$A$3:$AS$43,45,FALSE())</f>
        <v/>
      </c>
      <c r="N1188" s="1"/>
      <c r="O1188" s="1"/>
      <c r="P1188" s="81" t="str">
        <f>IFERROR(VLOOKUP(A1188,Internal_lists_bugs!$A$2:$G7981,7,FALSE()),"please select a BUG ID")</f>
        <v>https://opendev.org/openstack/nova/commit/5fa74bc</v>
      </c>
    </row>
    <row r="1189">
      <c r="A1189" s="16" t="s">
        <v>56</v>
      </c>
      <c r="B1189" s="50" t="str">
        <f>IFERROR(HYPERLINK(VLOOKUP(A1189,Internal_lists_bugs!$A$2:$C$73,3,FALSE()), VLOOKUP(A1189,Internal_lists_bugs!$A$2:$C$73,3,FALSE())&amp;Char(10) &amp; Char(10) &amp; VLOOKUP(A1189,Internal_lists_bugs!$A$2:$Z$73,26,FALSE())),"please select a BUG ID")</f>
        <v>https://bugs.launchpad.net/nova/+bug/1371677
/libvirt/driver.py</v>
      </c>
      <c r="C1189" s="81" t="str">
        <f>IFERROR(VLOOKUP(A1189,Internal_lists_bugs!$A$2:$I7981,9,FALSE()),"please select a BUG ID")</f>
        <v>https://review.opendev.org/c/openstack/nova/+/40467</v>
      </c>
      <c r="D1189" s="114"/>
      <c r="E1189" s="114"/>
      <c r="F1189" s="115"/>
      <c r="G1189" s="120" t="s">
        <v>2871</v>
      </c>
      <c r="H1189" s="93" t="s">
        <v>2869</v>
      </c>
      <c r="I1189" s="54"/>
      <c r="K1189" s="54"/>
      <c r="M1189" s="114" t="str">
        <f>VLOOKUP(A1189,'BIC_(C_Variables)'!$A$3:$AS$43,45,FALSE())</f>
        <v/>
      </c>
      <c r="N1189" s="1"/>
      <c r="O1189" s="1"/>
      <c r="P1189" s="81" t="str">
        <f>IFERROR(VLOOKUP(A1189,Internal_lists_bugs!$A$2:$G7981,7,FALSE()),"please select a BUG ID")</f>
        <v>https://opendev.org/openstack/nova/commit/5fa74bc</v>
      </c>
    </row>
    <row r="1190">
      <c r="A1190" s="16" t="s">
        <v>56</v>
      </c>
      <c r="B1190" s="50" t="str">
        <f>IFERROR(HYPERLINK(VLOOKUP(A1190,Internal_lists_bugs!$A$2:$C$73,3,FALSE()), VLOOKUP(A1190,Internal_lists_bugs!$A$2:$C$73,3,FALSE())&amp;Char(10) &amp; Char(10) &amp; VLOOKUP(A1190,Internal_lists_bugs!$A$2:$Z$73,26,FALSE())),"please select a BUG ID")</f>
        <v>https://bugs.launchpad.net/nova/+bug/1371677
/libvirt/driver.py</v>
      </c>
      <c r="C1190" s="81" t="str">
        <f>IFERROR(VLOOKUP(A1190,Internal_lists_bugs!$A$2:$I7981,9,FALSE()),"please select a BUG ID")</f>
        <v>https://review.opendev.org/c/openstack/nova/+/40467</v>
      </c>
      <c r="D1190" s="114"/>
      <c r="E1190" s="114"/>
      <c r="F1190" s="115"/>
      <c r="G1190" s="120" t="s">
        <v>2872</v>
      </c>
      <c r="H1190" s="93" t="s">
        <v>2873</v>
      </c>
      <c r="I1190" s="54"/>
      <c r="K1190" s="54"/>
      <c r="M1190" s="114" t="str">
        <f>VLOOKUP(A1190,'BIC_(C_Variables)'!$A$3:$AS$43,45,FALSE())</f>
        <v/>
      </c>
      <c r="N1190" s="1"/>
      <c r="O1190" s="1"/>
      <c r="P1190" s="81" t="str">
        <f>IFERROR(VLOOKUP(A1190,Internal_lists_bugs!$A$2:$G7981,7,FALSE()),"please select a BUG ID")</f>
        <v>https://opendev.org/openstack/nova/commit/5fa74bc</v>
      </c>
    </row>
    <row r="1191">
      <c r="A1191" s="16" t="s">
        <v>56</v>
      </c>
      <c r="B1191" s="50" t="str">
        <f>IFERROR(HYPERLINK(VLOOKUP(A1191,Internal_lists_bugs!$A$2:$C$73,3,FALSE()), VLOOKUP(A1191,Internal_lists_bugs!$A$2:$C$73,3,FALSE())&amp;Char(10) &amp; Char(10) &amp; VLOOKUP(A1191,Internal_lists_bugs!$A$2:$Z$73,26,FALSE())),"please select a BUG ID")</f>
        <v>https://bugs.launchpad.net/nova/+bug/1371677
/libvirt/driver.py</v>
      </c>
      <c r="C1191" s="81" t="str">
        <f>IFERROR(VLOOKUP(A1191,Internal_lists_bugs!$A$2:$I7981,9,FALSE()),"please select a BUG ID")</f>
        <v>https://review.opendev.org/c/openstack/nova/+/40467</v>
      </c>
      <c r="D1191" s="114"/>
      <c r="E1191" s="114"/>
      <c r="F1191" s="115"/>
      <c r="G1191" s="120" t="s">
        <v>2871</v>
      </c>
      <c r="H1191" s="93" t="s">
        <v>2873</v>
      </c>
      <c r="I1191" s="54"/>
      <c r="K1191" s="54"/>
      <c r="M1191" s="114" t="str">
        <f>VLOOKUP(A1191,'BIC_(C_Variables)'!$A$3:$AS$43,45,FALSE())</f>
        <v/>
      </c>
      <c r="N1191" s="1"/>
      <c r="O1191" s="1"/>
      <c r="P1191" s="81" t="str">
        <f>IFERROR(VLOOKUP(A1191,Internal_lists_bugs!$A$2:$G7981,7,FALSE()),"please select a BUG ID")</f>
        <v>https://opendev.org/openstack/nova/commit/5fa74bc</v>
      </c>
    </row>
    <row r="1192">
      <c r="A1192" s="16" t="s">
        <v>56</v>
      </c>
      <c r="B1192" s="50" t="str">
        <f>IFERROR(HYPERLINK(VLOOKUP(A1192,Internal_lists_bugs!$A$2:$C$73,3,FALSE()), VLOOKUP(A1192,Internal_lists_bugs!$A$2:$C$73,3,FALSE())&amp;Char(10) &amp; Char(10) &amp; VLOOKUP(A1192,Internal_lists_bugs!$A$2:$Z$73,26,FALSE())),"please select a BUG ID")</f>
        <v>https://bugs.launchpad.net/nova/+bug/1371677
/libvirt/driver.py</v>
      </c>
      <c r="C1192" s="81" t="str">
        <f>IFERROR(VLOOKUP(A1192,Internal_lists_bugs!$A$2:$I7981,9,FALSE()),"please select a BUG ID")</f>
        <v>https://review.opendev.org/c/openstack/nova/+/40467</v>
      </c>
      <c r="D1192" s="114"/>
      <c r="E1192" s="114"/>
      <c r="F1192" s="115"/>
      <c r="G1192" s="79" t="s">
        <v>1500</v>
      </c>
      <c r="H1192" s="93" t="s">
        <v>2874</v>
      </c>
      <c r="I1192" s="54"/>
      <c r="K1192" s="54"/>
      <c r="M1192" s="114" t="str">
        <f>VLOOKUP(A1192,'BIC_(C_Variables)'!$A$3:$AS$43,45,FALSE())</f>
        <v/>
      </c>
      <c r="N1192" s="1"/>
      <c r="O1192" s="1"/>
      <c r="P1192" s="81" t="str">
        <f>IFERROR(VLOOKUP(A1192,Internal_lists_bugs!$A$2:$G7981,7,FALSE()),"please select a BUG ID")</f>
        <v>https://opendev.org/openstack/nova/commit/5fa74bc</v>
      </c>
    </row>
    <row r="1193">
      <c r="A1193" s="16" t="s">
        <v>56</v>
      </c>
      <c r="B1193" s="50" t="str">
        <f>IFERROR(HYPERLINK(VLOOKUP(A1193,Internal_lists_bugs!$A$2:$C$73,3,FALSE()), VLOOKUP(A1193,Internal_lists_bugs!$A$2:$C$73,3,FALSE())&amp;Char(10) &amp; Char(10) &amp; VLOOKUP(A1193,Internal_lists_bugs!$A$2:$Z$73,26,FALSE())),"please select a BUG ID")</f>
        <v>https://bugs.launchpad.net/nova/+bug/1371677
/libvirt/driver.py</v>
      </c>
      <c r="C1193" s="81" t="str">
        <f>IFERROR(VLOOKUP(A1193,Internal_lists_bugs!$A$2:$I7981,9,FALSE()),"please select a BUG ID")</f>
        <v>https://review.opendev.org/c/openstack/nova/+/40467</v>
      </c>
      <c r="D1193" s="114"/>
      <c r="E1193" s="114"/>
      <c r="F1193" s="115"/>
      <c r="G1193" s="120" t="s">
        <v>2875</v>
      </c>
      <c r="H1193" s="93" t="s">
        <v>2876</v>
      </c>
      <c r="I1193" s="54"/>
      <c r="K1193" s="54"/>
      <c r="M1193" s="114" t="str">
        <f>VLOOKUP(A1193,'BIC_(C_Variables)'!$A$3:$AS$43,45,FALSE())</f>
        <v/>
      </c>
      <c r="N1193" s="1"/>
      <c r="O1193" s="1"/>
      <c r="P1193" s="81" t="str">
        <f>IFERROR(VLOOKUP(A1193,Internal_lists_bugs!$A$2:$G7981,7,FALSE()),"please select a BUG ID")</f>
        <v>https://opendev.org/openstack/nova/commit/5fa74bc</v>
      </c>
    </row>
    <row r="1194">
      <c r="A1194" s="16" t="s">
        <v>56</v>
      </c>
      <c r="B1194" s="50" t="str">
        <f>IFERROR(HYPERLINK(VLOOKUP(A1194,Internal_lists_bugs!$A$2:$C$73,3,FALSE()), VLOOKUP(A1194,Internal_lists_bugs!$A$2:$C$73,3,FALSE())&amp;Char(10) &amp; Char(10) &amp; VLOOKUP(A1194,Internal_lists_bugs!$A$2:$Z$73,26,FALSE())),"please select a BUG ID")</f>
        <v>https://bugs.launchpad.net/nova/+bug/1371677
/libvirt/driver.py</v>
      </c>
      <c r="C1194" s="81" t="str">
        <f>IFERROR(VLOOKUP(A1194,Internal_lists_bugs!$A$2:$I7981,9,FALSE()),"please select a BUG ID")</f>
        <v>https://review.opendev.org/c/openstack/nova/+/40467</v>
      </c>
      <c r="D1194" s="114"/>
      <c r="E1194" s="114"/>
      <c r="F1194" s="115"/>
      <c r="G1194" s="79" t="s">
        <v>2877</v>
      </c>
      <c r="H1194" s="93" t="s">
        <v>2878</v>
      </c>
      <c r="I1194" s="54"/>
      <c r="K1194" s="54"/>
      <c r="M1194" s="114" t="str">
        <f>VLOOKUP(A1194,'BIC_(C_Variables)'!$A$3:$AS$43,45,FALSE())</f>
        <v/>
      </c>
      <c r="N1194" s="1"/>
      <c r="O1194" s="1"/>
      <c r="P1194" s="81" t="str">
        <f>IFERROR(VLOOKUP(A1194,Internal_lists_bugs!$A$2:$G7981,7,FALSE()),"please select a BUG ID")</f>
        <v>https://opendev.org/openstack/nova/commit/5fa74bc</v>
      </c>
    </row>
    <row r="1195">
      <c r="A1195" s="16" t="s">
        <v>56</v>
      </c>
      <c r="B1195" s="50" t="str">
        <f>IFERROR(HYPERLINK(VLOOKUP(A1195,Internal_lists_bugs!$A$2:$C$73,3,FALSE()), VLOOKUP(A1195,Internal_lists_bugs!$A$2:$C$73,3,FALSE())&amp;Char(10) &amp; Char(10) &amp; VLOOKUP(A1195,Internal_lists_bugs!$A$2:$Z$73,26,FALSE())),"please select a BUG ID")</f>
        <v>https://bugs.launchpad.net/nova/+bug/1371677
/libvirt/driver.py</v>
      </c>
      <c r="C1195" s="81" t="str">
        <f>IFERROR(VLOOKUP(A1195,Internal_lists_bugs!$A$2:$I7981,9,FALSE()),"please select a BUG ID")</f>
        <v>https://review.opendev.org/c/openstack/nova/+/40467</v>
      </c>
      <c r="D1195" s="114"/>
      <c r="E1195" s="114"/>
      <c r="F1195" s="115"/>
      <c r="G1195" s="79" t="s">
        <v>2879</v>
      </c>
      <c r="H1195" s="93" t="s">
        <v>2880</v>
      </c>
      <c r="I1195" s="54"/>
      <c r="K1195" s="54"/>
      <c r="M1195" s="114" t="str">
        <f>VLOOKUP(A1195,'BIC_(C_Variables)'!$A$3:$AS$43,45,FALSE())</f>
        <v/>
      </c>
      <c r="N1195" s="1"/>
      <c r="O1195" s="1"/>
      <c r="P1195" s="81" t="str">
        <f>IFERROR(VLOOKUP(A1195,Internal_lists_bugs!$A$2:$G7981,7,FALSE()),"please select a BUG ID")</f>
        <v>https://opendev.org/openstack/nova/commit/5fa74bc</v>
      </c>
    </row>
    <row r="1196">
      <c r="A1196" s="16" t="s">
        <v>56</v>
      </c>
      <c r="B1196" s="50" t="str">
        <f>IFERROR(HYPERLINK(VLOOKUP(A1196,Internal_lists_bugs!$A$2:$C$73,3,FALSE()), VLOOKUP(A1196,Internal_lists_bugs!$A$2:$C$73,3,FALSE())&amp;Char(10) &amp; Char(10) &amp; VLOOKUP(A1196,Internal_lists_bugs!$A$2:$Z$73,26,FALSE())),"please select a BUG ID")</f>
        <v>https://bugs.launchpad.net/nova/+bug/1371677
/libvirt/driver.py</v>
      </c>
      <c r="C1196" s="81" t="str">
        <f>IFERROR(VLOOKUP(A1196,Internal_lists_bugs!$A$2:$I7981,9,FALSE()),"please select a BUG ID")</f>
        <v>https://review.opendev.org/c/openstack/nova/+/40467</v>
      </c>
      <c r="D1196" s="114"/>
      <c r="E1196" s="114"/>
      <c r="F1196" s="115"/>
      <c r="G1196" s="79" t="s">
        <v>2881</v>
      </c>
      <c r="H1196" s="93" t="s">
        <v>2882</v>
      </c>
      <c r="I1196" s="54"/>
      <c r="K1196" s="54"/>
      <c r="M1196" s="114" t="str">
        <f>VLOOKUP(A1196,'BIC_(C_Variables)'!$A$3:$AS$43,45,FALSE())</f>
        <v/>
      </c>
      <c r="N1196" s="1"/>
      <c r="O1196" s="1"/>
      <c r="P1196" s="81" t="str">
        <f>IFERROR(VLOOKUP(A1196,Internal_lists_bugs!$A$2:$G7981,7,FALSE()),"please select a BUG ID")</f>
        <v>https://opendev.org/openstack/nova/commit/5fa74bc</v>
      </c>
    </row>
    <row r="1197">
      <c r="A1197" s="16" t="s">
        <v>56</v>
      </c>
      <c r="B1197" s="50" t="str">
        <f>IFERROR(HYPERLINK(VLOOKUP(A1197,Internal_lists_bugs!$A$2:$C$73,3,FALSE()), VLOOKUP(A1197,Internal_lists_bugs!$A$2:$C$73,3,FALSE())&amp;Char(10) &amp; Char(10) &amp; VLOOKUP(A1197,Internal_lists_bugs!$A$2:$Z$73,26,FALSE())),"please select a BUG ID")</f>
        <v>https://bugs.launchpad.net/nova/+bug/1371677
/libvirt/driver.py</v>
      </c>
      <c r="C1197" s="81" t="str">
        <f>IFERROR(VLOOKUP(A1197,Internal_lists_bugs!$A$2:$I7981,9,FALSE()),"please select a BUG ID")</f>
        <v>https://review.opendev.org/c/openstack/nova/+/40467</v>
      </c>
      <c r="D1197" s="114"/>
      <c r="E1197" s="114"/>
      <c r="F1197" s="115"/>
      <c r="G1197" s="79" t="s">
        <v>1728</v>
      </c>
      <c r="H1197" s="93" t="s">
        <v>2883</v>
      </c>
      <c r="I1197" s="54"/>
      <c r="K1197" s="54"/>
      <c r="M1197" s="114" t="str">
        <f>VLOOKUP(A1197,'BIC_(C_Variables)'!$A$3:$AS$43,45,FALSE())</f>
        <v/>
      </c>
      <c r="N1197" s="1"/>
      <c r="O1197" s="1"/>
      <c r="P1197" s="81" t="str">
        <f>IFERROR(VLOOKUP(A1197,Internal_lists_bugs!$A$2:$G7981,7,FALSE()),"please select a BUG ID")</f>
        <v>https://opendev.org/openstack/nova/commit/5fa74bc</v>
      </c>
    </row>
    <row r="1198">
      <c r="A1198" s="16" t="s">
        <v>56</v>
      </c>
      <c r="B1198" s="50" t="str">
        <f>IFERROR(HYPERLINK(VLOOKUP(A1198,Internal_lists_bugs!$A$2:$C$73,3,FALSE()), VLOOKUP(A1198,Internal_lists_bugs!$A$2:$C$73,3,FALSE())&amp;Char(10) &amp; Char(10) &amp; VLOOKUP(A1198,Internal_lists_bugs!$A$2:$Z$73,26,FALSE())),"please select a BUG ID")</f>
        <v>https://bugs.launchpad.net/nova/+bug/1371677
/libvirt/driver.py</v>
      </c>
      <c r="C1198" s="81" t="str">
        <f>IFERROR(VLOOKUP(A1198,Internal_lists_bugs!$A$2:$I7981,9,FALSE()),"please select a BUG ID")</f>
        <v>https://review.opendev.org/c/openstack/nova/+/40467</v>
      </c>
      <c r="D1198" s="114"/>
      <c r="E1198" s="114"/>
      <c r="F1198" s="115"/>
      <c r="G1198" s="79" t="s">
        <v>2535</v>
      </c>
      <c r="H1198" s="93" t="s">
        <v>2884</v>
      </c>
      <c r="I1198" s="54"/>
      <c r="K1198" s="54"/>
      <c r="M1198" s="114" t="str">
        <f>VLOOKUP(A1198,'BIC_(C_Variables)'!$A$3:$AS$43,45,FALSE())</f>
        <v/>
      </c>
      <c r="N1198" s="1"/>
      <c r="O1198" s="1"/>
      <c r="P1198" s="81" t="str">
        <f>IFERROR(VLOOKUP(A1198,Internal_lists_bugs!$A$2:$G7981,7,FALSE()),"please select a BUG ID")</f>
        <v>https://opendev.org/openstack/nova/commit/5fa74bc</v>
      </c>
    </row>
    <row r="1199">
      <c r="A1199" s="16" t="s">
        <v>56</v>
      </c>
      <c r="B1199" s="50" t="str">
        <f>IFERROR(HYPERLINK(VLOOKUP(A1199,Internal_lists_bugs!$A$2:$C$73,3,FALSE()), VLOOKUP(A1199,Internal_lists_bugs!$A$2:$C$73,3,FALSE())&amp;Char(10) &amp; Char(10) &amp; VLOOKUP(A1199,Internal_lists_bugs!$A$2:$Z$73,26,FALSE())),"please select a BUG ID")</f>
        <v>https://bugs.launchpad.net/nova/+bug/1371677
/libvirt/driver.py</v>
      </c>
      <c r="C1199" s="81" t="str">
        <f>IFERROR(VLOOKUP(A1199,Internal_lists_bugs!$A$2:$I7981,9,FALSE()),"please select a BUG ID")</f>
        <v>https://review.opendev.org/c/openstack/nova/+/40467</v>
      </c>
      <c r="D1199" s="114"/>
      <c r="E1199" s="114"/>
      <c r="F1199" s="115"/>
      <c r="G1199" s="79" t="s">
        <v>2885</v>
      </c>
      <c r="H1199" s="93" t="s">
        <v>2886</v>
      </c>
      <c r="I1199" s="54"/>
      <c r="K1199" s="54"/>
      <c r="M1199" s="114" t="str">
        <f>VLOOKUP(A1199,'BIC_(C_Variables)'!$A$3:$AS$43,45,FALSE())</f>
        <v/>
      </c>
      <c r="N1199" s="1"/>
      <c r="O1199" s="1"/>
      <c r="P1199" s="81" t="str">
        <f>IFERROR(VLOOKUP(A1199,Internal_lists_bugs!$A$2:$G7981,7,FALSE()),"please select a BUG ID")</f>
        <v>https://opendev.org/openstack/nova/commit/5fa74bc</v>
      </c>
    </row>
    <row r="1200">
      <c r="A1200" s="16" t="s">
        <v>56</v>
      </c>
      <c r="B1200" s="50" t="str">
        <f>IFERROR(HYPERLINK(VLOOKUP(A1200,Internal_lists_bugs!$A$2:$C$73,3,FALSE()), VLOOKUP(A1200,Internal_lists_bugs!$A$2:$C$73,3,FALSE())&amp;Char(10) &amp; Char(10) &amp; VLOOKUP(A1200,Internal_lists_bugs!$A$2:$Z$73,26,FALSE())),"please select a BUG ID")</f>
        <v>https://bugs.launchpad.net/nova/+bug/1371677
/libvirt/driver.py</v>
      </c>
      <c r="C1200" s="81" t="str">
        <f>IFERROR(VLOOKUP(A1200,Internal_lists_bugs!$A$2:$I7981,9,FALSE()),"please select a BUG ID")</f>
        <v>https://review.opendev.org/c/openstack/nova/+/40467</v>
      </c>
      <c r="D1200" s="114"/>
      <c r="E1200" s="114"/>
      <c r="F1200" s="115"/>
      <c r="G1200" s="79" t="s">
        <v>2535</v>
      </c>
      <c r="H1200" s="93" t="s">
        <v>2887</v>
      </c>
      <c r="I1200" s="54"/>
      <c r="K1200" s="54"/>
      <c r="M1200" s="114" t="str">
        <f>VLOOKUP(A1200,'BIC_(C_Variables)'!$A$3:$AS$43,45,FALSE())</f>
        <v/>
      </c>
      <c r="N1200" s="1"/>
      <c r="O1200" s="1"/>
      <c r="P1200" s="81" t="str">
        <f>IFERROR(VLOOKUP(A1200,Internal_lists_bugs!$A$2:$G7981,7,FALSE()),"please select a BUG ID")</f>
        <v>https://opendev.org/openstack/nova/commit/5fa74bc</v>
      </c>
    </row>
    <row r="1201">
      <c r="A1201" s="16" t="s">
        <v>56</v>
      </c>
      <c r="B1201" s="50" t="str">
        <f>IFERROR(HYPERLINK(VLOOKUP(A1201,Internal_lists_bugs!$A$2:$C$73,3,FALSE()), VLOOKUP(A1201,Internal_lists_bugs!$A$2:$C$73,3,FALSE())&amp;Char(10) &amp; Char(10) &amp; VLOOKUP(A1201,Internal_lists_bugs!$A$2:$Z$73,26,FALSE())),"please select a BUG ID")</f>
        <v>https://bugs.launchpad.net/nova/+bug/1371677
/libvirt/driver.py</v>
      </c>
      <c r="C1201" s="81" t="str">
        <f>IFERROR(VLOOKUP(A1201,Internal_lists_bugs!$A$2:$I7981,9,FALSE()),"please select a BUG ID")</f>
        <v>https://review.opendev.org/c/openstack/nova/+/40467</v>
      </c>
      <c r="D1201" s="114"/>
      <c r="E1201" s="114"/>
      <c r="F1201" s="115"/>
      <c r="G1201" s="79" t="s">
        <v>2888</v>
      </c>
      <c r="H1201" s="93" t="s">
        <v>2889</v>
      </c>
      <c r="I1201" s="54"/>
      <c r="K1201" s="54"/>
      <c r="M1201" s="114" t="str">
        <f>VLOOKUP(A1201,'BIC_(C_Variables)'!$A$3:$AS$43,45,FALSE())</f>
        <v/>
      </c>
      <c r="N1201" s="1"/>
      <c r="O1201" s="1"/>
      <c r="P1201" s="81" t="str">
        <f>IFERROR(VLOOKUP(A1201,Internal_lists_bugs!$A$2:$G7981,7,FALSE()),"please select a BUG ID")</f>
        <v>https://opendev.org/openstack/nova/commit/5fa74bc</v>
      </c>
    </row>
    <row r="1202">
      <c r="A1202" s="16" t="s">
        <v>56</v>
      </c>
      <c r="B1202" s="50" t="str">
        <f>IFERROR(HYPERLINK(VLOOKUP(A1202,Internal_lists_bugs!$A$2:$C$73,3,FALSE()), VLOOKUP(A1202,Internal_lists_bugs!$A$2:$C$73,3,FALSE())&amp;Char(10) &amp; Char(10) &amp; VLOOKUP(A1202,Internal_lists_bugs!$A$2:$Z$73,26,FALSE())),"please select a BUG ID")</f>
        <v>https://bugs.launchpad.net/nova/+bug/1371677
/libvirt/driver.py</v>
      </c>
      <c r="C1202" s="81" t="str">
        <f>IFERROR(VLOOKUP(A1202,Internal_lists_bugs!$A$2:$I7981,9,FALSE()),"please select a BUG ID")</f>
        <v>https://review.opendev.org/c/openstack/nova/+/40467</v>
      </c>
      <c r="D1202" s="114"/>
      <c r="E1202" s="114"/>
      <c r="F1202" s="115"/>
      <c r="G1202" s="79" t="s">
        <v>2890</v>
      </c>
      <c r="H1202" s="93" t="s">
        <v>2891</v>
      </c>
      <c r="I1202" s="54"/>
      <c r="K1202" s="54"/>
      <c r="M1202" s="114" t="str">
        <f>VLOOKUP(A1202,'BIC_(C_Variables)'!$A$3:$AS$43,45,FALSE())</f>
        <v/>
      </c>
      <c r="N1202" s="1"/>
      <c r="O1202" s="1"/>
      <c r="P1202" s="81" t="str">
        <f>IFERROR(VLOOKUP(A1202,Internal_lists_bugs!$A$2:$G7981,7,FALSE()),"please select a BUG ID")</f>
        <v>https://opendev.org/openstack/nova/commit/5fa74bc</v>
      </c>
    </row>
    <row r="1203">
      <c r="A1203" s="16" t="s">
        <v>56</v>
      </c>
      <c r="B1203" s="50" t="str">
        <f>IFERROR(HYPERLINK(VLOOKUP(A1203,Internal_lists_bugs!$A$2:$C$73,3,FALSE()), VLOOKUP(A1203,Internal_lists_bugs!$A$2:$C$73,3,FALSE())&amp;Char(10) &amp; Char(10) &amp; VLOOKUP(A1203,Internal_lists_bugs!$A$2:$Z$73,26,FALSE())),"please select a BUG ID")</f>
        <v>https://bugs.launchpad.net/nova/+bug/1371677
/libvirt/driver.py</v>
      </c>
      <c r="C1203" s="81" t="str">
        <f>IFERROR(VLOOKUP(A1203,Internal_lists_bugs!$A$2:$I7981,9,FALSE()),"please select a BUG ID")</f>
        <v>https://review.opendev.org/c/openstack/nova/+/40467</v>
      </c>
      <c r="D1203" s="114"/>
      <c r="E1203" s="114"/>
      <c r="F1203" s="115"/>
      <c r="G1203" s="79" t="s">
        <v>2892</v>
      </c>
      <c r="H1203" s="93" t="s">
        <v>2893</v>
      </c>
      <c r="I1203" s="54"/>
      <c r="K1203" s="54"/>
      <c r="M1203" s="114" t="str">
        <f>VLOOKUP(A1203,'BIC_(C_Variables)'!$A$3:$AS$43,45,FALSE())</f>
        <v/>
      </c>
      <c r="N1203" s="1"/>
      <c r="O1203" s="1"/>
      <c r="P1203" s="81" t="str">
        <f>IFERROR(VLOOKUP(A1203,Internal_lists_bugs!$A$2:$G7981,7,FALSE()),"please select a BUG ID")</f>
        <v>https://opendev.org/openstack/nova/commit/5fa74bc</v>
      </c>
    </row>
    <row r="1204">
      <c r="A1204" s="16" t="s">
        <v>56</v>
      </c>
      <c r="B1204" s="50" t="str">
        <f>IFERROR(HYPERLINK(VLOOKUP(A1204,Internal_lists_bugs!$A$2:$C$73,3,FALSE()), VLOOKUP(A1204,Internal_lists_bugs!$A$2:$C$73,3,FALSE())&amp;Char(10) &amp; Char(10) &amp; VLOOKUP(A1204,Internal_lists_bugs!$A$2:$Z$73,26,FALSE())),"please select a BUG ID")</f>
        <v>https://bugs.launchpad.net/nova/+bug/1371677
/libvirt/driver.py</v>
      </c>
      <c r="C1204" s="81" t="str">
        <f>IFERROR(VLOOKUP(A1204,Internal_lists_bugs!$A$2:$I7981,9,FALSE()),"please select a BUG ID")</f>
        <v>https://review.opendev.org/c/openstack/nova/+/40467</v>
      </c>
      <c r="D1204" s="114"/>
      <c r="E1204" s="114"/>
      <c r="F1204" s="115"/>
      <c r="G1204" s="79" t="s">
        <v>1779</v>
      </c>
      <c r="H1204" s="93" t="s">
        <v>2894</v>
      </c>
      <c r="I1204" s="54"/>
      <c r="K1204" s="54"/>
      <c r="M1204" s="114" t="str">
        <f>VLOOKUP(A1204,'BIC_(C_Variables)'!$A$3:$AS$43,45,FALSE())</f>
        <v/>
      </c>
      <c r="N1204" s="1"/>
      <c r="O1204" s="1"/>
      <c r="P1204" s="81" t="str">
        <f>IFERROR(VLOOKUP(A1204,Internal_lists_bugs!$A$2:$G7981,7,FALSE()),"please select a BUG ID")</f>
        <v>https://opendev.org/openstack/nova/commit/5fa74bc</v>
      </c>
    </row>
    <row r="1205">
      <c r="A1205" s="16" t="s">
        <v>56</v>
      </c>
      <c r="B1205" s="50" t="str">
        <f>IFERROR(HYPERLINK(VLOOKUP(A1205,Internal_lists_bugs!$A$2:$C$73,3,FALSE()), VLOOKUP(A1205,Internal_lists_bugs!$A$2:$C$73,3,FALSE())&amp;Char(10) &amp; Char(10) &amp; VLOOKUP(A1205,Internal_lists_bugs!$A$2:$Z$73,26,FALSE())),"please select a BUG ID")</f>
        <v>https://bugs.launchpad.net/nova/+bug/1371677
/libvirt/driver.py</v>
      </c>
      <c r="C1205" s="81" t="str">
        <f>IFERROR(VLOOKUP(A1205,Internal_lists_bugs!$A$2:$I7981,9,FALSE()),"please select a BUG ID")</f>
        <v>https://review.opendev.org/c/openstack/nova/+/40467</v>
      </c>
      <c r="D1205" s="114"/>
      <c r="E1205" s="114"/>
      <c r="F1205" s="115"/>
      <c r="G1205" s="79" t="s">
        <v>2832</v>
      </c>
      <c r="H1205" s="93" t="s">
        <v>2895</v>
      </c>
      <c r="I1205" s="54"/>
      <c r="K1205" s="54"/>
      <c r="M1205" s="114" t="str">
        <f>VLOOKUP(A1205,'BIC_(C_Variables)'!$A$3:$AS$43,45,FALSE())</f>
        <v/>
      </c>
      <c r="N1205" s="1"/>
      <c r="O1205" s="1"/>
      <c r="P1205" s="81" t="str">
        <f>IFERROR(VLOOKUP(A1205,Internal_lists_bugs!$A$2:$G7981,7,FALSE()),"please select a BUG ID")</f>
        <v>https://opendev.org/openstack/nova/commit/5fa74bc</v>
      </c>
    </row>
    <row r="1206">
      <c r="A1206" s="16" t="s">
        <v>56</v>
      </c>
      <c r="B1206" s="50" t="str">
        <f>IFERROR(HYPERLINK(VLOOKUP(A1206,Internal_lists_bugs!$A$2:$C$73,3,FALSE()), VLOOKUP(A1206,Internal_lists_bugs!$A$2:$C$73,3,FALSE())&amp;Char(10) &amp; Char(10) &amp; VLOOKUP(A1206,Internal_lists_bugs!$A$2:$Z$73,26,FALSE())),"please select a BUG ID")</f>
        <v>https://bugs.launchpad.net/nova/+bug/1371677
/libvirt/driver.py</v>
      </c>
      <c r="C1206" s="81" t="str">
        <f>IFERROR(VLOOKUP(A1206,Internal_lists_bugs!$A$2:$I7981,9,FALSE()),"please select a BUG ID")</f>
        <v>https://review.opendev.org/c/openstack/nova/+/40467</v>
      </c>
      <c r="D1206" s="114"/>
      <c r="E1206" s="114"/>
      <c r="F1206" s="115"/>
      <c r="G1206" s="79" t="s">
        <v>1506</v>
      </c>
      <c r="H1206" s="93" t="s">
        <v>2896</v>
      </c>
      <c r="I1206" s="54"/>
      <c r="K1206" s="54"/>
      <c r="M1206" s="114" t="str">
        <f>VLOOKUP(A1206,'BIC_(C_Variables)'!$A$3:$AS$43,45,FALSE())</f>
        <v/>
      </c>
      <c r="N1206" s="1"/>
      <c r="O1206" s="1"/>
      <c r="P1206" s="81" t="str">
        <f>IFERROR(VLOOKUP(A1206,Internal_lists_bugs!$A$2:$G7981,7,FALSE()),"please select a BUG ID")</f>
        <v>https://opendev.org/openstack/nova/commit/5fa74bc</v>
      </c>
    </row>
    <row r="1207">
      <c r="A1207" s="16" t="s">
        <v>56</v>
      </c>
      <c r="B1207" s="50" t="str">
        <f>IFERROR(HYPERLINK(VLOOKUP(A1207,Internal_lists_bugs!$A$2:$C$73,3,FALSE()), VLOOKUP(A1207,Internal_lists_bugs!$A$2:$C$73,3,FALSE())&amp;Char(10) &amp; Char(10) &amp; VLOOKUP(A1207,Internal_lists_bugs!$A$2:$Z$73,26,FALSE())),"please select a BUG ID")</f>
        <v>https://bugs.launchpad.net/nova/+bug/1371677
/libvirt/driver.py</v>
      </c>
      <c r="C1207" s="81" t="str">
        <f>IFERROR(VLOOKUP(A1207,Internal_lists_bugs!$A$2:$I7981,9,FALSE()),"please select a BUG ID")</f>
        <v>https://review.opendev.org/c/openstack/nova/+/40467</v>
      </c>
      <c r="D1207" s="114"/>
      <c r="E1207" s="114"/>
      <c r="F1207" s="115"/>
      <c r="G1207" s="79" t="s">
        <v>2832</v>
      </c>
      <c r="H1207" s="93" t="s">
        <v>2897</v>
      </c>
      <c r="I1207" s="54"/>
      <c r="K1207" s="54"/>
      <c r="M1207" s="114" t="str">
        <f>VLOOKUP(A1207,'BIC_(C_Variables)'!$A$3:$AS$43,45,FALSE())</f>
        <v/>
      </c>
      <c r="N1207" s="1"/>
      <c r="O1207" s="1"/>
      <c r="P1207" s="81" t="str">
        <f>IFERROR(VLOOKUP(A1207,Internal_lists_bugs!$A$2:$G7981,7,FALSE()),"please select a BUG ID")</f>
        <v>https://opendev.org/openstack/nova/commit/5fa74bc</v>
      </c>
    </row>
    <row r="1208">
      <c r="A1208" s="16" t="s">
        <v>56</v>
      </c>
      <c r="B1208" s="50" t="str">
        <f>IFERROR(HYPERLINK(VLOOKUP(A1208,Internal_lists_bugs!$A$2:$C$73,3,FALSE()), VLOOKUP(A1208,Internal_lists_bugs!$A$2:$C$73,3,FALSE())&amp;Char(10) &amp; Char(10) &amp; VLOOKUP(A1208,Internal_lists_bugs!$A$2:$Z$73,26,FALSE())),"please select a BUG ID")</f>
        <v>https://bugs.launchpad.net/nova/+bug/1371677
/libvirt/driver.py</v>
      </c>
      <c r="C1208" s="81" t="str">
        <f>IFERROR(VLOOKUP(A1208,Internal_lists_bugs!$A$2:$I7981,9,FALSE()),"please select a BUG ID")</f>
        <v>https://review.opendev.org/c/openstack/nova/+/40467</v>
      </c>
      <c r="D1208" s="114"/>
      <c r="E1208" s="114"/>
      <c r="F1208" s="115"/>
      <c r="G1208" s="79" t="s">
        <v>1590</v>
      </c>
      <c r="H1208" s="93" t="s">
        <v>2898</v>
      </c>
      <c r="I1208" s="54"/>
      <c r="K1208" s="54"/>
      <c r="M1208" s="114" t="str">
        <f>VLOOKUP(A1208,'BIC_(C_Variables)'!$A$3:$AS$43,45,FALSE())</f>
        <v/>
      </c>
      <c r="N1208" s="1"/>
      <c r="O1208" s="1"/>
      <c r="P1208" s="81" t="str">
        <f>IFERROR(VLOOKUP(A1208,Internal_lists_bugs!$A$2:$G7981,7,FALSE()),"please select a BUG ID")</f>
        <v>https://opendev.org/openstack/nova/commit/5fa74bc</v>
      </c>
    </row>
    <row r="1209">
      <c r="A1209" s="16" t="s">
        <v>56</v>
      </c>
      <c r="B1209" s="50" t="str">
        <f>IFERROR(HYPERLINK(VLOOKUP(A1209,Internal_lists_bugs!$A$2:$C$73,3,FALSE()), VLOOKUP(A1209,Internal_lists_bugs!$A$2:$C$73,3,FALSE())&amp;Char(10) &amp; Char(10) &amp; VLOOKUP(A1209,Internal_lists_bugs!$A$2:$Z$73,26,FALSE())),"please select a BUG ID")</f>
        <v>https://bugs.launchpad.net/nova/+bug/1371677
/libvirt/driver.py</v>
      </c>
      <c r="C1209" s="81" t="str">
        <f>IFERROR(VLOOKUP(A1209,Internal_lists_bugs!$A$2:$I7981,9,FALSE()),"please select a BUG ID")</f>
        <v>https://review.opendev.org/c/openstack/nova/+/40467</v>
      </c>
      <c r="D1209" s="114"/>
      <c r="E1209" s="114"/>
      <c r="F1209" s="115"/>
      <c r="G1209" s="79" t="s">
        <v>2830</v>
      </c>
      <c r="H1209" s="93" t="s">
        <v>2899</v>
      </c>
      <c r="I1209" s="54"/>
      <c r="K1209" s="54"/>
      <c r="M1209" s="114" t="str">
        <f>VLOOKUP(A1209,'BIC_(C_Variables)'!$A$3:$AS$43,45,FALSE())</f>
        <v/>
      </c>
      <c r="N1209" s="1"/>
      <c r="O1209" s="1"/>
      <c r="P1209" s="81" t="str">
        <f>IFERROR(VLOOKUP(A1209,Internal_lists_bugs!$A$2:$G7981,7,FALSE()),"please select a BUG ID")</f>
        <v>https://opendev.org/openstack/nova/commit/5fa74bc</v>
      </c>
    </row>
    <row r="1210">
      <c r="A1210" s="16" t="s">
        <v>56</v>
      </c>
      <c r="B1210" s="50" t="str">
        <f>IFERROR(HYPERLINK(VLOOKUP(A1210,Internal_lists_bugs!$A$2:$C$73,3,FALSE()), VLOOKUP(A1210,Internal_lists_bugs!$A$2:$C$73,3,FALSE())&amp;Char(10) &amp; Char(10) &amp; VLOOKUP(A1210,Internal_lists_bugs!$A$2:$Z$73,26,FALSE())),"please select a BUG ID")</f>
        <v>https://bugs.launchpad.net/nova/+bug/1371677
/libvirt/driver.py</v>
      </c>
      <c r="C1210" s="81" t="str">
        <f>IFERROR(VLOOKUP(A1210,Internal_lists_bugs!$A$2:$I7981,9,FALSE()),"please select a BUG ID")</f>
        <v>https://review.opendev.org/c/openstack/nova/+/40467</v>
      </c>
      <c r="D1210" s="114"/>
      <c r="E1210" s="114"/>
      <c r="F1210" s="115"/>
      <c r="G1210" s="79" t="s">
        <v>2832</v>
      </c>
      <c r="H1210" s="93" t="s">
        <v>2900</v>
      </c>
      <c r="I1210" s="54"/>
      <c r="K1210" s="54"/>
      <c r="M1210" s="114" t="str">
        <f>VLOOKUP(A1210,'BIC_(C_Variables)'!$A$3:$AS$43,45,FALSE())</f>
        <v/>
      </c>
      <c r="N1210" s="1"/>
      <c r="O1210" s="1"/>
      <c r="P1210" s="81" t="str">
        <f>IFERROR(VLOOKUP(A1210,Internal_lists_bugs!$A$2:$G7981,7,FALSE()),"please select a BUG ID")</f>
        <v>https://opendev.org/openstack/nova/commit/5fa74bc</v>
      </c>
    </row>
    <row r="1211">
      <c r="A1211" s="16" t="s">
        <v>56</v>
      </c>
      <c r="B1211" s="50" t="str">
        <f>IFERROR(HYPERLINK(VLOOKUP(A1211,Internal_lists_bugs!$A$2:$C$73,3,FALSE()), VLOOKUP(A1211,Internal_lists_bugs!$A$2:$C$73,3,FALSE())&amp;Char(10) &amp; Char(10) &amp; VLOOKUP(A1211,Internal_lists_bugs!$A$2:$Z$73,26,FALSE())),"please select a BUG ID")</f>
        <v>https://bugs.launchpad.net/nova/+bug/1371677
/libvirt/driver.py</v>
      </c>
      <c r="C1211" s="81" t="str">
        <f>IFERROR(VLOOKUP(A1211,Internal_lists_bugs!$A$2:$I7981,9,FALSE()),"please select a BUG ID")</f>
        <v>https://review.opendev.org/c/openstack/nova/+/40467</v>
      </c>
      <c r="D1211" s="114"/>
      <c r="E1211" s="114"/>
      <c r="F1211" s="115"/>
      <c r="G1211" s="79" t="s">
        <v>2901</v>
      </c>
      <c r="H1211" s="93" t="s">
        <v>2902</v>
      </c>
      <c r="I1211" s="54"/>
      <c r="K1211" s="54"/>
      <c r="M1211" s="114" t="str">
        <f>VLOOKUP(A1211,'BIC_(C_Variables)'!$A$3:$AS$43,45,FALSE())</f>
        <v/>
      </c>
      <c r="N1211" s="1"/>
      <c r="O1211" s="1"/>
      <c r="P1211" s="81" t="str">
        <f>IFERROR(VLOOKUP(A1211,Internal_lists_bugs!$A$2:$G7981,7,FALSE()),"please select a BUG ID")</f>
        <v>https://opendev.org/openstack/nova/commit/5fa74bc</v>
      </c>
    </row>
    <row r="1212">
      <c r="A1212" s="16" t="s">
        <v>56</v>
      </c>
      <c r="B1212" s="50" t="str">
        <f>IFERROR(HYPERLINK(VLOOKUP(A1212,Internal_lists_bugs!$A$2:$C$73,3,FALSE()), VLOOKUP(A1212,Internal_lists_bugs!$A$2:$C$73,3,FALSE())&amp;Char(10) &amp; Char(10) &amp; VLOOKUP(A1212,Internal_lists_bugs!$A$2:$Z$73,26,FALSE())),"please select a BUG ID")</f>
        <v>https://bugs.launchpad.net/nova/+bug/1371677
/libvirt/driver.py</v>
      </c>
      <c r="C1212" s="81" t="str">
        <f>IFERROR(VLOOKUP(A1212,Internal_lists_bugs!$A$2:$I7981,9,FALSE()),"please select a BUG ID")</f>
        <v>https://review.opendev.org/c/openstack/nova/+/40467</v>
      </c>
      <c r="D1212" s="114"/>
      <c r="E1212" s="114"/>
      <c r="F1212" s="115"/>
      <c r="G1212" s="79" t="s">
        <v>2903</v>
      </c>
      <c r="H1212" s="93" t="s">
        <v>2904</v>
      </c>
      <c r="I1212" s="54"/>
      <c r="K1212" s="54"/>
      <c r="M1212" s="114" t="str">
        <f>VLOOKUP(A1212,'BIC_(C_Variables)'!$A$3:$AS$43,45,FALSE())</f>
        <v/>
      </c>
      <c r="N1212" s="1"/>
      <c r="O1212" s="1"/>
      <c r="P1212" s="81" t="str">
        <f>IFERROR(VLOOKUP(A1212,Internal_lists_bugs!$A$2:$G7981,7,FALSE()),"please select a BUG ID")</f>
        <v>https://opendev.org/openstack/nova/commit/5fa74bc</v>
      </c>
    </row>
    <row r="1213">
      <c r="A1213" s="16" t="s">
        <v>56</v>
      </c>
      <c r="B1213" s="50" t="str">
        <f>IFERROR(HYPERLINK(VLOOKUP(A1213,Internal_lists_bugs!$A$2:$C$73,3,FALSE()), VLOOKUP(A1213,Internal_lists_bugs!$A$2:$C$73,3,FALSE())&amp;Char(10) &amp; Char(10) &amp; VLOOKUP(A1213,Internal_lists_bugs!$A$2:$Z$73,26,FALSE())),"please select a BUG ID")</f>
        <v>https://bugs.launchpad.net/nova/+bug/1371677
/libvirt/driver.py</v>
      </c>
      <c r="C1213" s="81" t="str">
        <f>IFERROR(VLOOKUP(A1213,Internal_lists_bugs!$A$2:$I7981,9,FALSE()),"please select a BUG ID")</f>
        <v>https://review.opendev.org/c/openstack/nova/+/40467</v>
      </c>
      <c r="D1213" s="114"/>
      <c r="E1213" s="114"/>
      <c r="F1213" s="115"/>
      <c r="G1213" s="79" t="s">
        <v>2905</v>
      </c>
      <c r="H1213" s="116" t="s">
        <v>2906</v>
      </c>
      <c r="I1213" s="54"/>
      <c r="K1213" s="54"/>
      <c r="M1213" s="114" t="str">
        <f>VLOOKUP(A1213,'BIC_(C_Variables)'!$A$3:$AS$43,45,FALSE())</f>
        <v/>
      </c>
      <c r="N1213" s="1"/>
      <c r="O1213" s="1"/>
      <c r="P1213" s="81" t="str">
        <f>IFERROR(VLOOKUP(A1213,Internal_lists_bugs!$A$2:$G7981,7,FALSE()),"please select a BUG ID")</f>
        <v>https://opendev.org/openstack/nova/commit/5fa74bc</v>
      </c>
    </row>
    <row r="1214">
      <c r="A1214" s="16" t="s">
        <v>56</v>
      </c>
      <c r="B1214" s="50" t="str">
        <f>IFERROR(HYPERLINK(VLOOKUP(A1214,Internal_lists_bugs!$A$2:$C$73,3,FALSE()), VLOOKUP(A1214,Internal_lists_bugs!$A$2:$C$73,3,FALSE())&amp;Char(10) &amp; Char(10) &amp; VLOOKUP(A1214,Internal_lists_bugs!$A$2:$Z$73,26,FALSE())),"please select a BUG ID")</f>
        <v>https://bugs.launchpad.net/nova/+bug/1371677
/libvirt/driver.py</v>
      </c>
      <c r="C1214" s="81" t="str">
        <f>IFERROR(VLOOKUP(A1214,Internal_lists_bugs!$A$2:$I7981,9,FALSE()),"please select a BUG ID")</f>
        <v>https://review.opendev.org/c/openstack/nova/+/40467</v>
      </c>
      <c r="D1214" s="114"/>
      <c r="E1214" s="114"/>
      <c r="F1214" s="115"/>
      <c r="G1214" s="120" t="s">
        <v>2907</v>
      </c>
      <c r="H1214" s="116" t="s">
        <v>2908</v>
      </c>
      <c r="I1214" s="54"/>
      <c r="K1214" s="54"/>
      <c r="M1214" s="114" t="str">
        <f>VLOOKUP(A1214,'BIC_(C_Variables)'!$A$3:$AS$43,45,FALSE())</f>
        <v/>
      </c>
      <c r="N1214" s="1"/>
      <c r="O1214" s="1"/>
      <c r="P1214" s="81" t="str">
        <f>IFERROR(VLOOKUP(A1214,Internal_lists_bugs!$A$2:$G7981,7,FALSE()),"please select a BUG ID")</f>
        <v>https://opendev.org/openstack/nova/commit/5fa74bc</v>
      </c>
    </row>
    <row r="1215">
      <c r="A1215" s="16" t="s">
        <v>56</v>
      </c>
      <c r="B1215" s="50" t="str">
        <f>IFERROR(HYPERLINK(VLOOKUP(A1215,Internal_lists_bugs!$A$2:$C$73,3,FALSE()), VLOOKUP(A1215,Internal_lists_bugs!$A$2:$C$73,3,FALSE())&amp;Char(10) &amp; Char(10) &amp; VLOOKUP(A1215,Internal_lists_bugs!$A$2:$Z$73,26,FALSE())),"please select a BUG ID")</f>
        <v>https://bugs.launchpad.net/nova/+bug/1371677
/libvirt/driver.py</v>
      </c>
      <c r="C1215" s="81" t="str">
        <f>IFERROR(VLOOKUP(A1215,Internal_lists_bugs!$A$2:$I7981,9,FALSE()),"please select a BUG ID")</f>
        <v>https://review.opendev.org/c/openstack/nova/+/40467</v>
      </c>
      <c r="D1215" s="114"/>
      <c r="E1215" s="114"/>
      <c r="F1215" s="115"/>
      <c r="G1215" s="120" t="s">
        <v>2909</v>
      </c>
      <c r="H1215" s="116" t="s">
        <v>2908</v>
      </c>
      <c r="I1215" s="54"/>
      <c r="K1215" s="54"/>
      <c r="M1215" s="114" t="str">
        <f>VLOOKUP(A1215,'BIC_(C_Variables)'!$A$3:$AS$43,45,FALSE())</f>
        <v/>
      </c>
      <c r="N1215" s="1"/>
      <c r="O1215" s="1"/>
      <c r="P1215" s="81" t="str">
        <f>IFERROR(VLOOKUP(A1215,Internal_lists_bugs!$A$2:$G7981,7,FALSE()),"please select a BUG ID")</f>
        <v>https://opendev.org/openstack/nova/commit/5fa74bc</v>
      </c>
    </row>
    <row r="1216">
      <c r="A1216" s="16" t="s">
        <v>56</v>
      </c>
      <c r="B1216" s="50" t="str">
        <f>IFERROR(HYPERLINK(VLOOKUP(A1216,Internal_lists_bugs!$A$2:$C$73,3,FALSE()), VLOOKUP(A1216,Internal_lists_bugs!$A$2:$C$73,3,FALSE())&amp;Char(10) &amp; Char(10) &amp; VLOOKUP(A1216,Internal_lists_bugs!$A$2:$Z$73,26,FALSE())),"please select a BUG ID")</f>
        <v>https://bugs.launchpad.net/nova/+bug/1371677
/libvirt/driver.py</v>
      </c>
      <c r="C1216" s="81" t="str">
        <f>IFERROR(VLOOKUP(A1216,Internal_lists_bugs!$A$2:$I7981,9,FALSE()),"please select a BUG ID")</f>
        <v>https://review.opendev.org/c/openstack/nova/+/40467</v>
      </c>
      <c r="D1216" s="114"/>
      <c r="E1216" s="114"/>
      <c r="F1216" s="115"/>
      <c r="G1216" s="120" t="s">
        <v>2910</v>
      </c>
      <c r="H1216" s="116" t="s">
        <v>2911</v>
      </c>
      <c r="I1216" s="54"/>
      <c r="K1216" s="54"/>
      <c r="M1216" s="114" t="str">
        <f>VLOOKUP(A1216,'BIC_(C_Variables)'!$A$3:$AS$43,45,FALSE())</f>
        <v/>
      </c>
      <c r="N1216" s="1"/>
      <c r="O1216" s="1"/>
      <c r="P1216" s="81" t="str">
        <f>IFERROR(VLOOKUP(A1216,Internal_lists_bugs!$A$2:$G7981,7,FALSE()),"please select a BUG ID")</f>
        <v>https://opendev.org/openstack/nova/commit/5fa74bc</v>
      </c>
    </row>
    <row r="1217">
      <c r="A1217" s="16" t="s">
        <v>56</v>
      </c>
      <c r="B1217" s="50" t="str">
        <f>IFERROR(HYPERLINK(VLOOKUP(A1217,Internal_lists_bugs!$A$2:$C$73,3,FALSE()), VLOOKUP(A1217,Internal_lists_bugs!$A$2:$C$73,3,FALSE())&amp;Char(10) &amp; Char(10) &amp; VLOOKUP(A1217,Internal_lists_bugs!$A$2:$Z$73,26,FALSE())),"please select a BUG ID")</f>
        <v>https://bugs.launchpad.net/nova/+bug/1371677
/libvirt/driver.py</v>
      </c>
      <c r="C1217" s="81" t="str">
        <f>IFERROR(VLOOKUP(A1217,Internal_lists_bugs!$A$2:$I7981,9,FALSE()),"please select a BUG ID")</f>
        <v>https://review.opendev.org/c/openstack/nova/+/40467</v>
      </c>
      <c r="D1217" s="114"/>
      <c r="E1217" s="114"/>
      <c r="F1217" s="115"/>
      <c r="G1217" s="120" t="s">
        <v>2912</v>
      </c>
      <c r="H1217" s="116" t="s">
        <v>2911</v>
      </c>
      <c r="I1217" s="54"/>
      <c r="K1217" s="54"/>
      <c r="M1217" s="114" t="str">
        <f>VLOOKUP(A1217,'BIC_(C_Variables)'!$A$3:$AS$43,45,FALSE())</f>
        <v/>
      </c>
      <c r="N1217" s="1"/>
      <c r="O1217" s="1"/>
      <c r="P1217" s="81" t="str">
        <f>IFERROR(VLOOKUP(A1217,Internal_lists_bugs!$A$2:$G7981,7,FALSE()),"please select a BUG ID")</f>
        <v>https://opendev.org/openstack/nova/commit/5fa74bc</v>
      </c>
    </row>
    <row r="1218">
      <c r="A1218" s="16" t="s">
        <v>56</v>
      </c>
      <c r="B1218" s="50" t="str">
        <f>IFERROR(HYPERLINK(VLOOKUP(A1218,Internal_lists_bugs!$A$2:$C$73,3,FALSE()), VLOOKUP(A1218,Internal_lists_bugs!$A$2:$C$73,3,FALSE())&amp;Char(10) &amp; Char(10) &amp; VLOOKUP(A1218,Internal_lists_bugs!$A$2:$Z$73,26,FALSE())),"please select a BUG ID")</f>
        <v>https://bugs.launchpad.net/nova/+bug/1371677
/libvirt/driver.py</v>
      </c>
      <c r="C1218" s="81" t="str">
        <f>IFERROR(VLOOKUP(A1218,Internal_lists_bugs!$A$2:$I7981,9,FALSE()),"please select a BUG ID")</f>
        <v>https://review.opendev.org/c/openstack/nova/+/40467</v>
      </c>
      <c r="D1218" s="114"/>
      <c r="E1218" s="114"/>
      <c r="F1218" s="115"/>
      <c r="G1218" s="120" t="s">
        <v>2913</v>
      </c>
      <c r="H1218" s="116" t="s">
        <v>2914</v>
      </c>
      <c r="I1218" s="54"/>
      <c r="K1218" s="54"/>
      <c r="M1218" s="114" t="str">
        <f>VLOOKUP(A1218,'BIC_(C_Variables)'!$A$3:$AS$43,45,FALSE())</f>
        <v/>
      </c>
      <c r="N1218" s="1"/>
      <c r="O1218" s="1"/>
      <c r="P1218" s="81" t="str">
        <f>IFERROR(VLOOKUP(A1218,Internal_lists_bugs!$A$2:$G7981,7,FALSE()),"please select a BUG ID")</f>
        <v>https://opendev.org/openstack/nova/commit/5fa74bc</v>
      </c>
    </row>
    <row r="1219">
      <c r="A1219" s="16" t="s">
        <v>56</v>
      </c>
      <c r="B1219" s="50" t="str">
        <f>IFERROR(HYPERLINK(VLOOKUP(A1219,Internal_lists_bugs!$A$2:$C$73,3,FALSE()), VLOOKUP(A1219,Internal_lists_bugs!$A$2:$C$73,3,FALSE())&amp;Char(10) &amp; Char(10) &amp; VLOOKUP(A1219,Internal_lists_bugs!$A$2:$Z$73,26,FALSE())),"please select a BUG ID")</f>
        <v>https://bugs.launchpad.net/nova/+bug/1371677
/libvirt/driver.py</v>
      </c>
      <c r="C1219" s="81" t="str">
        <f>IFERROR(VLOOKUP(A1219,Internal_lists_bugs!$A$2:$I7981,9,FALSE()),"please select a BUG ID")</f>
        <v>https://review.opendev.org/c/openstack/nova/+/40467</v>
      </c>
      <c r="D1219" s="114"/>
      <c r="E1219" s="114"/>
      <c r="F1219" s="115"/>
      <c r="G1219" s="120" t="s">
        <v>2915</v>
      </c>
      <c r="H1219" s="116" t="s">
        <v>2914</v>
      </c>
      <c r="I1219" s="54"/>
      <c r="K1219" s="54"/>
      <c r="M1219" s="114" t="str">
        <f>VLOOKUP(A1219,'BIC_(C_Variables)'!$A$3:$AS$43,45,FALSE())</f>
        <v/>
      </c>
      <c r="N1219" s="1"/>
      <c r="O1219" s="1"/>
      <c r="P1219" s="81" t="str">
        <f>IFERROR(VLOOKUP(A1219,Internal_lists_bugs!$A$2:$G7981,7,FALSE()),"please select a BUG ID")</f>
        <v>https://opendev.org/openstack/nova/commit/5fa74bc</v>
      </c>
    </row>
    <row r="1220">
      <c r="A1220" s="16" t="s">
        <v>56</v>
      </c>
      <c r="B1220" s="50" t="str">
        <f>IFERROR(HYPERLINK(VLOOKUP(A1220,Internal_lists_bugs!$A$2:$C$73,3,FALSE()), VLOOKUP(A1220,Internal_lists_bugs!$A$2:$C$73,3,FALSE())&amp;Char(10) &amp; Char(10) &amp; VLOOKUP(A1220,Internal_lists_bugs!$A$2:$Z$73,26,FALSE())),"please select a BUG ID")</f>
        <v>https://bugs.launchpad.net/nova/+bug/1371677
/libvirt/driver.py</v>
      </c>
      <c r="C1220" s="81" t="str">
        <f>IFERROR(VLOOKUP(A1220,Internal_lists_bugs!$A$2:$I7981,9,FALSE()),"please select a BUG ID")</f>
        <v>https://review.opendev.org/c/openstack/nova/+/40467</v>
      </c>
      <c r="D1220" s="114"/>
      <c r="E1220" s="114"/>
      <c r="F1220" s="115"/>
      <c r="G1220" s="79" t="s">
        <v>2916</v>
      </c>
      <c r="H1220" s="116" t="s">
        <v>2917</v>
      </c>
      <c r="I1220" s="54"/>
      <c r="K1220" s="54"/>
      <c r="M1220" s="114" t="str">
        <f>VLOOKUP(A1220,'BIC_(C_Variables)'!$A$3:$AS$43,45,FALSE())</f>
        <v/>
      </c>
      <c r="N1220" s="1"/>
      <c r="O1220" s="1"/>
      <c r="P1220" s="81" t="str">
        <f>IFERROR(VLOOKUP(A1220,Internal_lists_bugs!$A$2:$G7981,7,FALSE()),"please select a BUG ID")</f>
        <v>https://opendev.org/openstack/nova/commit/5fa74bc</v>
      </c>
    </row>
    <row r="1221">
      <c r="A1221" s="16" t="s">
        <v>56</v>
      </c>
      <c r="B1221" s="50" t="str">
        <f>IFERROR(HYPERLINK(VLOOKUP(A1221,Internal_lists_bugs!$A$2:$C$73,3,FALSE()), VLOOKUP(A1221,Internal_lists_bugs!$A$2:$C$73,3,FALSE())&amp;Char(10) &amp; Char(10) &amp; VLOOKUP(A1221,Internal_lists_bugs!$A$2:$Z$73,26,FALSE())),"please select a BUG ID")</f>
        <v>https://bugs.launchpad.net/nova/+bug/1371677
/libvirt/driver.py</v>
      </c>
      <c r="C1221" s="81" t="str">
        <f>IFERROR(VLOOKUP(A1221,Internal_lists_bugs!$A$2:$I7981,9,FALSE()),"please select a BUG ID")</f>
        <v>https://review.opendev.org/c/openstack/nova/+/40467</v>
      </c>
      <c r="D1221" s="114"/>
      <c r="E1221" s="114"/>
      <c r="F1221" s="115"/>
      <c r="G1221" s="79" t="s">
        <v>2918</v>
      </c>
      <c r="H1221" s="116" t="s">
        <v>2919</v>
      </c>
      <c r="I1221" s="54"/>
      <c r="K1221" s="54"/>
      <c r="M1221" s="114" t="str">
        <f>VLOOKUP(A1221,'BIC_(C_Variables)'!$A$3:$AS$43,45,FALSE())</f>
        <v/>
      </c>
      <c r="N1221" s="1"/>
      <c r="O1221" s="1"/>
      <c r="P1221" s="81" t="str">
        <f>IFERROR(VLOOKUP(A1221,Internal_lists_bugs!$A$2:$G7981,7,FALSE()),"please select a BUG ID")</f>
        <v>https://opendev.org/openstack/nova/commit/5fa74bc</v>
      </c>
    </row>
    <row r="1222">
      <c r="A1222" s="16" t="s">
        <v>56</v>
      </c>
      <c r="B1222" s="50" t="str">
        <f>IFERROR(HYPERLINK(VLOOKUP(A1222,Internal_lists_bugs!$A$2:$C$73,3,FALSE()), VLOOKUP(A1222,Internal_lists_bugs!$A$2:$C$73,3,FALSE())&amp;Char(10) &amp; Char(10) &amp; VLOOKUP(A1222,Internal_lists_bugs!$A$2:$Z$73,26,FALSE())),"please select a BUG ID")</f>
        <v>https://bugs.launchpad.net/nova/+bug/1371677
/libvirt/driver.py</v>
      </c>
      <c r="C1222" s="81" t="str">
        <f>IFERROR(VLOOKUP(A1222,Internal_lists_bugs!$A$2:$I7981,9,FALSE()),"please select a BUG ID")</f>
        <v>https://review.opendev.org/c/openstack/nova/+/40467</v>
      </c>
      <c r="D1222" s="114"/>
      <c r="E1222" s="114"/>
      <c r="F1222" s="115"/>
      <c r="G1222" s="79" t="s">
        <v>2903</v>
      </c>
      <c r="H1222" s="116" t="s">
        <v>2920</v>
      </c>
      <c r="I1222" s="54"/>
      <c r="K1222" s="54"/>
      <c r="M1222" s="114" t="str">
        <f>VLOOKUP(A1222,'BIC_(C_Variables)'!$A$3:$AS$43,45,FALSE())</f>
        <v/>
      </c>
      <c r="N1222" s="1"/>
      <c r="O1222" s="1"/>
      <c r="P1222" s="81" t="str">
        <f>IFERROR(VLOOKUP(A1222,Internal_lists_bugs!$A$2:$G7981,7,FALSE()),"please select a BUG ID")</f>
        <v>https://opendev.org/openstack/nova/commit/5fa74bc</v>
      </c>
    </row>
    <row r="1223">
      <c r="A1223" s="16" t="s">
        <v>56</v>
      </c>
      <c r="B1223" s="50" t="str">
        <f>IFERROR(HYPERLINK(VLOOKUP(A1223,Internal_lists_bugs!$A$2:$C$73,3,FALSE()), VLOOKUP(A1223,Internal_lists_bugs!$A$2:$C$73,3,FALSE())&amp;Char(10) &amp; Char(10) &amp; VLOOKUP(A1223,Internal_lists_bugs!$A$2:$Z$73,26,FALSE())),"please select a BUG ID")</f>
        <v>https://bugs.launchpad.net/nova/+bug/1371677
/libvirt/driver.py</v>
      </c>
      <c r="C1223" s="81" t="str">
        <f>IFERROR(VLOOKUP(A1223,Internal_lists_bugs!$A$2:$I7981,9,FALSE()),"please select a BUG ID")</f>
        <v>https://review.opendev.org/c/openstack/nova/+/40467</v>
      </c>
      <c r="D1223" s="114"/>
      <c r="E1223" s="114"/>
      <c r="F1223" s="115"/>
      <c r="G1223" s="79" t="s">
        <v>2905</v>
      </c>
      <c r="H1223" s="116" t="s">
        <v>2921</v>
      </c>
      <c r="I1223" s="54"/>
      <c r="K1223" s="54"/>
      <c r="M1223" s="114" t="str">
        <f>VLOOKUP(A1223,'BIC_(C_Variables)'!$A$3:$AS$43,45,FALSE())</f>
        <v/>
      </c>
      <c r="N1223" s="1"/>
      <c r="O1223" s="1"/>
      <c r="P1223" s="81" t="str">
        <f>IFERROR(VLOOKUP(A1223,Internal_lists_bugs!$A$2:$G7981,7,FALSE()),"please select a BUG ID")</f>
        <v>https://opendev.org/openstack/nova/commit/5fa74bc</v>
      </c>
    </row>
    <row r="1224">
      <c r="A1224" s="16" t="s">
        <v>56</v>
      </c>
      <c r="B1224" s="50" t="str">
        <f>IFERROR(HYPERLINK(VLOOKUP(A1224,Internal_lists_bugs!$A$2:$C$73,3,FALSE()), VLOOKUP(A1224,Internal_lists_bugs!$A$2:$C$73,3,FALSE())&amp;Char(10) &amp; Char(10) &amp; VLOOKUP(A1224,Internal_lists_bugs!$A$2:$Z$73,26,FALSE())),"please select a BUG ID")</f>
        <v>https://bugs.launchpad.net/nova/+bug/1371677
/libvirt/driver.py</v>
      </c>
      <c r="C1224" s="81" t="str">
        <f>IFERROR(VLOOKUP(A1224,Internal_lists_bugs!$A$2:$I7981,9,FALSE()),"please select a BUG ID")</f>
        <v>https://review.opendev.org/c/openstack/nova/+/40467</v>
      </c>
      <c r="D1224" s="114"/>
      <c r="E1224" s="114"/>
      <c r="F1224" s="115"/>
      <c r="G1224" s="79" t="s">
        <v>2922</v>
      </c>
      <c r="H1224" s="116" t="s">
        <v>2923</v>
      </c>
      <c r="I1224" s="54"/>
      <c r="K1224" s="54"/>
      <c r="M1224" s="114" t="str">
        <f>VLOOKUP(A1224,'BIC_(C_Variables)'!$A$3:$AS$43,45,FALSE())</f>
        <v/>
      </c>
      <c r="N1224" s="1"/>
      <c r="O1224" s="1"/>
      <c r="P1224" s="81" t="str">
        <f>IFERROR(VLOOKUP(A1224,Internal_lists_bugs!$A$2:$G7981,7,FALSE()),"please select a BUG ID")</f>
        <v>https://opendev.org/openstack/nova/commit/5fa74bc</v>
      </c>
    </row>
    <row r="1225">
      <c r="A1225" s="16" t="s">
        <v>56</v>
      </c>
      <c r="B1225" s="50" t="str">
        <f>IFERROR(HYPERLINK(VLOOKUP(A1225,Internal_lists_bugs!$A$2:$C$73,3,FALSE()), VLOOKUP(A1225,Internal_lists_bugs!$A$2:$C$73,3,FALSE())&amp;Char(10) &amp; Char(10) &amp; VLOOKUP(A1225,Internal_lists_bugs!$A$2:$Z$73,26,FALSE())),"please select a BUG ID")</f>
        <v>https://bugs.launchpad.net/nova/+bug/1371677
/libvirt/driver.py</v>
      </c>
      <c r="C1225" s="81" t="str">
        <f>IFERROR(VLOOKUP(A1225,Internal_lists_bugs!$A$2:$I7981,9,FALSE()),"please select a BUG ID")</f>
        <v>https://review.opendev.org/c/openstack/nova/+/40467</v>
      </c>
      <c r="D1225" s="114"/>
      <c r="E1225" s="114"/>
      <c r="F1225" s="115"/>
      <c r="G1225" s="79" t="s">
        <v>2924</v>
      </c>
      <c r="H1225" s="116" t="s">
        <v>2925</v>
      </c>
      <c r="I1225" s="54"/>
      <c r="K1225" s="54"/>
      <c r="M1225" s="114" t="str">
        <f>VLOOKUP(A1225,'BIC_(C_Variables)'!$A$3:$AS$43,45,FALSE())</f>
        <v/>
      </c>
      <c r="N1225" s="1"/>
      <c r="O1225" s="1"/>
      <c r="P1225" s="81" t="str">
        <f>IFERROR(VLOOKUP(A1225,Internal_lists_bugs!$A$2:$G7981,7,FALSE()),"please select a BUG ID")</f>
        <v>https://opendev.org/openstack/nova/commit/5fa74bc</v>
      </c>
    </row>
    <row r="1226">
      <c r="A1226" s="16" t="s">
        <v>56</v>
      </c>
      <c r="B1226" s="50" t="str">
        <f>IFERROR(HYPERLINK(VLOOKUP(A1226,Internal_lists_bugs!$A$2:$C$73,3,FALSE()), VLOOKUP(A1226,Internal_lists_bugs!$A$2:$C$73,3,FALSE())&amp;Char(10) &amp; Char(10) &amp; VLOOKUP(A1226,Internal_lists_bugs!$A$2:$Z$73,26,FALSE())),"please select a BUG ID")</f>
        <v>https://bugs.launchpad.net/nova/+bug/1371677
/libvirt/driver.py</v>
      </c>
      <c r="C1226" s="81" t="str">
        <f>IFERROR(VLOOKUP(A1226,Internal_lists_bugs!$A$2:$I7981,9,FALSE()),"please select a BUG ID")</f>
        <v>https://review.opendev.org/c/openstack/nova/+/40467</v>
      </c>
      <c r="D1226" s="114"/>
      <c r="E1226" s="114"/>
      <c r="F1226" s="115"/>
      <c r="G1226" s="79" t="s">
        <v>2926</v>
      </c>
      <c r="H1226" s="116" t="s">
        <v>2927</v>
      </c>
      <c r="I1226" s="54"/>
      <c r="K1226" s="54"/>
      <c r="M1226" s="114" t="str">
        <f>VLOOKUP(A1226,'BIC_(C_Variables)'!$A$3:$AS$43,45,FALSE())</f>
        <v/>
      </c>
      <c r="N1226" s="1"/>
      <c r="O1226" s="1"/>
      <c r="P1226" s="81" t="str">
        <f>IFERROR(VLOOKUP(A1226,Internal_lists_bugs!$A$2:$G7981,7,FALSE()),"please select a BUG ID")</f>
        <v>https://opendev.org/openstack/nova/commit/5fa74bc</v>
      </c>
    </row>
    <row r="1227">
      <c r="A1227" s="16" t="s">
        <v>56</v>
      </c>
      <c r="B1227" s="50" t="str">
        <f>IFERROR(HYPERLINK(VLOOKUP(A1227,Internal_lists_bugs!$A$2:$C$73,3,FALSE()), VLOOKUP(A1227,Internal_lists_bugs!$A$2:$C$73,3,FALSE())&amp;Char(10) &amp; Char(10) &amp; VLOOKUP(A1227,Internal_lists_bugs!$A$2:$Z$73,26,FALSE())),"please select a BUG ID")</f>
        <v>https://bugs.launchpad.net/nova/+bug/1371677
/libvirt/driver.py</v>
      </c>
      <c r="C1227" s="81" t="str">
        <f>IFERROR(VLOOKUP(A1227,Internal_lists_bugs!$A$2:$I7981,9,FALSE()),"please select a BUG ID")</f>
        <v>https://review.opendev.org/c/openstack/nova/+/40467</v>
      </c>
      <c r="D1227" s="114"/>
      <c r="E1227" s="114"/>
      <c r="F1227" s="115"/>
      <c r="G1227" s="79" t="s">
        <v>2928</v>
      </c>
      <c r="H1227" s="116" t="s">
        <v>2929</v>
      </c>
      <c r="I1227" s="54"/>
      <c r="K1227" s="54"/>
      <c r="M1227" s="114" t="str">
        <f>VLOOKUP(A1227,'BIC_(C_Variables)'!$A$3:$AS$43,45,FALSE())</f>
        <v/>
      </c>
      <c r="N1227" s="1"/>
      <c r="O1227" s="1"/>
      <c r="P1227" s="81" t="str">
        <f>IFERROR(VLOOKUP(A1227,Internal_lists_bugs!$A$2:$G7981,7,FALSE()),"please select a BUG ID")</f>
        <v>https://opendev.org/openstack/nova/commit/5fa74bc</v>
      </c>
    </row>
    <row r="1228">
      <c r="A1228" s="16" t="s">
        <v>56</v>
      </c>
      <c r="B1228" s="50" t="str">
        <f>IFERROR(HYPERLINK(VLOOKUP(A1228,Internal_lists_bugs!$A$2:$C$73,3,FALSE()), VLOOKUP(A1228,Internal_lists_bugs!$A$2:$C$73,3,FALSE())&amp;Char(10) &amp; Char(10) &amp; VLOOKUP(A1228,Internal_lists_bugs!$A$2:$Z$73,26,FALSE())),"please select a BUG ID")</f>
        <v>https://bugs.launchpad.net/nova/+bug/1371677
/libvirt/driver.py</v>
      </c>
      <c r="C1228" s="81" t="str">
        <f>IFERROR(VLOOKUP(A1228,Internal_lists_bugs!$A$2:$I7981,9,FALSE()),"please select a BUG ID")</f>
        <v>https://review.opendev.org/c/openstack/nova/+/40467</v>
      </c>
      <c r="D1228" s="114"/>
      <c r="E1228" s="114"/>
      <c r="F1228" s="115"/>
      <c r="G1228" s="79" t="s">
        <v>2930</v>
      </c>
      <c r="H1228" s="116" t="s">
        <v>2931</v>
      </c>
      <c r="I1228" s="54"/>
      <c r="K1228" s="54"/>
      <c r="M1228" s="114" t="str">
        <f>VLOOKUP(A1228,'BIC_(C_Variables)'!$A$3:$AS$43,45,FALSE())</f>
        <v/>
      </c>
      <c r="N1228" s="1"/>
      <c r="O1228" s="1"/>
      <c r="P1228" s="81" t="str">
        <f>IFERROR(VLOOKUP(A1228,Internal_lists_bugs!$A$2:$G7981,7,FALSE()),"please select a BUG ID")</f>
        <v>https://opendev.org/openstack/nova/commit/5fa74bc</v>
      </c>
    </row>
    <row r="1229">
      <c r="A1229" s="16" t="s">
        <v>56</v>
      </c>
      <c r="B1229" s="50" t="str">
        <f>IFERROR(HYPERLINK(VLOOKUP(A1229,Internal_lists_bugs!$A$2:$C$73,3,FALSE()), VLOOKUP(A1229,Internal_lists_bugs!$A$2:$C$73,3,FALSE())&amp;Char(10) &amp; Char(10) &amp; VLOOKUP(A1229,Internal_lists_bugs!$A$2:$Z$73,26,FALSE())),"please select a BUG ID")</f>
        <v>https://bugs.launchpad.net/nova/+bug/1371677
/libvirt/driver.py</v>
      </c>
      <c r="C1229" s="81" t="str">
        <f>IFERROR(VLOOKUP(A1229,Internal_lists_bugs!$A$2:$I7981,9,FALSE()),"please select a BUG ID")</f>
        <v>https://review.opendev.org/c/openstack/nova/+/40467</v>
      </c>
      <c r="D1229" s="114"/>
      <c r="E1229" s="114"/>
      <c r="F1229" s="115"/>
      <c r="G1229" s="79" t="s">
        <v>2932</v>
      </c>
      <c r="H1229" s="116" t="s">
        <v>2933</v>
      </c>
      <c r="I1229" s="54"/>
      <c r="K1229" s="54"/>
      <c r="M1229" s="114" t="str">
        <f>VLOOKUP(A1229,'BIC_(C_Variables)'!$A$3:$AS$43,45,FALSE())</f>
        <v/>
      </c>
      <c r="N1229" s="1"/>
      <c r="O1229" s="1"/>
      <c r="P1229" s="81" t="str">
        <f>IFERROR(VLOOKUP(A1229,Internal_lists_bugs!$A$2:$G7981,7,FALSE()),"please select a BUG ID")</f>
        <v>https://opendev.org/openstack/nova/commit/5fa74bc</v>
      </c>
    </row>
    <row r="1230">
      <c r="A1230" s="16" t="s">
        <v>56</v>
      </c>
      <c r="B1230" s="50" t="str">
        <f>IFERROR(HYPERLINK(VLOOKUP(A1230,Internal_lists_bugs!$A$2:$C$73,3,FALSE()), VLOOKUP(A1230,Internal_lists_bugs!$A$2:$C$73,3,FALSE())&amp;Char(10) &amp; Char(10) &amp; VLOOKUP(A1230,Internal_lists_bugs!$A$2:$Z$73,26,FALSE())),"please select a BUG ID")</f>
        <v>https://bugs.launchpad.net/nova/+bug/1371677
/libvirt/driver.py</v>
      </c>
      <c r="C1230" s="81" t="str">
        <f>IFERROR(VLOOKUP(A1230,Internal_lists_bugs!$A$2:$I7981,9,FALSE()),"please select a BUG ID")</f>
        <v>https://review.opendev.org/c/openstack/nova/+/40467</v>
      </c>
      <c r="D1230" s="114"/>
      <c r="E1230" s="114"/>
      <c r="F1230" s="115"/>
      <c r="G1230" s="79" t="s">
        <v>2934</v>
      </c>
      <c r="H1230" s="116" t="s">
        <v>2935</v>
      </c>
      <c r="I1230" s="54"/>
      <c r="K1230" s="54"/>
      <c r="M1230" s="114" t="str">
        <f>VLOOKUP(A1230,'BIC_(C_Variables)'!$A$3:$AS$43,45,FALSE())</f>
        <v/>
      </c>
      <c r="N1230" s="1"/>
      <c r="O1230" s="1"/>
      <c r="P1230" s="81" t="str">
        <f>IFERROR(VLOOKUP(A1230,Internal_lists_bugs!$A$2:$G7981,7,FALSE()),"please select a BUG ID")</f>
        <v>https://opendev.org/openstack/nova/commit/5fa74bc</v>
      </c>
    </row>
    <row r="1231">
      <c r="A1231" s="16" t="s">
        <v>56</v>
      </c>
      <c r="B1231" s="50" t="str">
        <f>IFERROR(HYPERLINK(VLOOKUP(A1231,Internal_lists_bugs!$A$2:$C$73,3,FALSE()), VLOOKUP(A1231,Internal_lists_bugs!$A$2:$C$73,3,FALSE())&amp;Char(10) &amp; Char(10) &amp; VLOOKUP(A1231,Internal_lists_bugs!$A$2:$Z$73,26,FALSE())),"please select a BUG ID")</f>
        <v>https://bugs.launchpad.net/nova/+bug/1371677
/libvirt/driver.py</v>
      </c>
      <c r="C1231" s="81" t="str">
        <f>IFERROR(VLOOKUP(A1231,Internal_lists_bugs!$A$2:$I7981,9,FALSE()),"please select a BUG ID")</f>
        <v>https://review.opendev.org/c/openstack/nova/+/40467</v>
      </c>
      <c r="D1231" s="114"/>
      <c r="E1231" s="114"/>
      <c r="F1231" s="115"/>
      <c r="G1231" s="79" t="s">
        <v>2936</v>
      </c>
      <c r="H1231" s="116" t="s">
        <v>2937</v>
      </c>
      <c r="I1231" s="54"/>
      <c r="K1231" s="54"/>
      <c r="M1231" s="114" t="str">
        <f>VLOOKUP(A1231,'BIC_(C_Variables)'!$A$3:$AS$43,45,FALSE())</f>
        <v/>
      </c>
      <c r="N1231" s="1"/>
      <c r="O1231" s="1"/>
      <c r="P1231" s="81" t="str">
        <f>IFERROR(VLOOKUP(A1231,Internal_lists_bugs!$A$2:$G7981,7,FALSE()),"please select a BUG ID")</f>
        <v>https://opendev.org/openstack/nova/commit/5fa74bc</v>
      </c>
    </row>
    <row r="1232">
      <c r="A1232" s="16" t="s">
        <v>56</v>
      </c>
      <c r="B1232" s="50" t="str">
        <f>IFERROR(HYPERLINK(VLOOKUP(A1232,Internal_lists_bugs!$A$2:$C$73,3,FALSE()), VLOOKUP(A1232,Internal_lists_bugs!$A$2:$C$73,3,FALSE())&amp;Char(10) &amp; Char(10) &amp; VLOOKUP(A1232,Internal_lists_bugs!$A$2:$Z$73,26,FALSE())),"please select a BUG ID")</f>
        <v>https://bugs.launchpad.net/nova/+bug/1371677
/libvirt/driver.py</v>
      </c>
      <c r="C1232" s="81" t="str">
        <f>IFERROR(VLOOKUP(A1232,Internal_lists_bugs!$A$2:$I7981,9,FALSE()),"please select a BUG ID")</f>
        <v>https://review.opendev.org/c/openstack/nova/+/40467</v>
      </c>
      <c r="D1232" s="114"/>
      <c r="E1232" s="114"/>
      <c r="F1232" s="115"/>
      <c r="G1232" s="79" t="s">
        <v>2938</v>
      </c>
      <c r="H1232" s="116" t="s">
        <v>2939</v>
      </c>
      <c r="I1232" s="54"/>
      <c r="K1232" s="54"/>
      <c r="M1232" s="114" t="str">
        <f>VLOOKUP(A1232,'BIC_(C_Variables)'!$A$3:$AS$43,45,FALSE())</f>
        <v/>
      </c>
      <c r="N1232" s="1"/>
      <c r="O1232" s="1"/>
      <c r="P1232" s="81" t="str">
        <f>IFERROR(VLOOKUP(A1232,Internal_lists_bugs!$A$2:$G7981,7,FALSE()),"please select a BUG ID")</f>
        <v>https://opendev.org/openstack/nova/commit/5fa74bc</v>
      </c>
    </row>
    <row r="1233">
      <c r="A1233" s="16" t="s">
        <v>56</v>
      </c>
      <c r="B1233" s="50" t="str">
        <f>IFERROR(HYPERLINK(VLOOKUP(A1233,Internal_lists_bugs!$A$2:$C$73,3,FALSE()), VLOOKUP(A1233,Internal_lists_bugs!$A$2:$C$73,3,FALSE())&amp;Char(10) &amp; Char(10) &amp; VLOOKUP(A1233,Internal_lists_bugs!$A$2:$Z$73,26,FALSE())),"please select a BUG ID")</f>
        <v>https://bugs.launchpad.net/nova/+bug/1371677
/libvirt/driver.py</v>
      </c>
      <c r="C1233" s="81" t="str">
        <f>IFERROR(VLOOKUP(A1233,Internal_lists_bugs!$A$2:$I7981,9,FALSE()),"please select a BUG ID")</f>
        <v>https://review.opendev.org/c/openstack/nova/+/40467</v>
      </c>
      <c r="D1233" s="114"/>
      <c r="E1233" s="114"/>
      <c r="F1233" s="115"/>
      <c r="G1233" s="79" t="s">
        <v>1639</v>
      </c>
      <c r="H1233" s="116" t="s">
        <v>2940</v>
      </c>
      <c r="I1233" s="54"/>
      <c r="K1233" s="54"/>
      <c r="M1233" s="114" t="str">
        <f>VLOOKUP(A1233,'BIC_(C_Variables)'!$A$3:$AS$43,45,FALSE())</f>
        <v/>
      </c>
      <c r="N1233" s="1"/>
      <c r="O1233" s="1"/>
      <c r="P1233" s="81" t="str">
        <f>IFERROR(VLOOKUP(A1233,Internal_lists_bugs!$A$2:$G7981,7,FALSE()),"please select a BUG ID")</f>
        <v>https://opendev.org/openstack/nova/commit/5fa74bc</v>
      </c>
    </row>
    <row r="1234">
      <c r="A1234" s="16" t="s">
        <v>56</v>
      </c>
      <c r="B1234" s="50" t="str">
        <f>IFERROR(HYPERLINK(VLOOKUP(A1234,Internal_lists_bugs!$A$2:$C$73,3,FALSE()), VLOOKUP(A1234,Internal_lists_bugs!$A$2:$C$73,3,FALSE())&amp;Char(10) &amp; Char(10) &amp; VLOOKUP(A1234,Internal_lists_bugs!$A$2:$Z$73,26,FALSE())),"please select a BUG ID")</f>
        <v>https://bugs.launchpad.net/nova/+bug/1371677
/libvirt/driver.py</v>
      </c>
      <c r="C1234" s="81" t="str">
        <f>IFERROR(VLOOKUP(A1234,Internal_lists_bugs!$A$2:$I7981,9,FALSE()),"please select a BUG ID")</f>
        <v>https://review.opendev.org/c/openstack/nova/+/40467</v>
      </c>
      <c r="D1234" s="114"/>
      <c r="E1234" s="114"/>
      <c r="F1234" s="115"/>
      <c r="G1234" s="79" t="s">
        <v>1641</v>
      </c>
      <c r="H1234" s="116" t="s">
        <v>2941</v>
      </c>
      <c r="I1234" s="54"/>
      <c r="K1234" s="54"/>
      <c r="M1234" s="114" t="str">
        <f>VLOOKUP(A1234,'BIC_(C_Variables)'!$A$3:$AS$43,45,FALSE())</f>
        <v/>
      </c>
      <c r="N1234" s="1"/>
      <c r="O1234" s="1"/>
      <c r="P1234" s="81" t="str">
        <f>IFERROR(VLOOKUP(A1234,Internal_lists_bugs!$A$2:$G7981,7,FALSE()),"please select a BUG ID")</f>
        <v>https://opendev.org/openstack/nova/commit/5fa74bc</v>
      </c>
    </row>
    <row r="1235">
      <c r="A1235" s="16" t="s">
        <v>56</v>
      </c>
      <c r="B1235" s="50" t="str">
        <f>IFERROR(HYPERLINK(VLOOKUP(A1235,Internal_lists_bugs!$A$2:$C$73,3,FALSE()), VLOOKUP(A1235,Internal_lists_bugs!$A$2:$C$73,3,FALSE())&amp;Char(10) &amp; Char(10) &amp; VLOOKUP(A1235,Internal_lists_bugs!$A$2:$Z$73,26,FALSE())),"please select a BUG ID")</f>
        <v>https://bugs.launchpad.net/nova/+bug/1371677
/libvirt/driver.py</v>
      </c>
      <c r="C1235" s="81" t="str">
        <f>IFERROR(VLOOKUP(A1235,Internal_lists_bugs!$A$2:$I7981,9,FALSE()),"please select a BUG ID")</f>
        <v>https://review.opendev.org/c/openstack/nova/+/40467</v>
      </c>
      <c r="D1235" s="114"/>
      <c r="E1235" s="114"/>
      <c r="F1235" s="115"/>
      <c r="G1235" s="79" t="s">
        <v>1702</v>
      </c>
      <c r="H1235" s="116" t="s">
        <v>2942</v>
      </c>
      <c r="I1235" s="54"/>
      <c r="K1235" s="54"/>
      <c r="M1235" s="114" t="str">
        <f>VLOOKUP(A1235,'BIC_(C_Variables)'!$A$3:$AS$43,45,FALSE())</f>
        <v/>
      </c>
      <c r="N1235" s="1"/>
      <c r="O1235" s="1"/>
      <c r="P1235" s="81" t="str">
        <f>IFERROR(VLOOKUP(A1235,Internal_lists_bugs!$A$2:$G7981,7,FALSE()),"please select a BUG ID")</f>
        <v>https://opendev.org/openstack/nova/commit/5fa74bc</v>
      </c>
    </row>
    <row r="1236">
      <c r="A1236" s="16" t="s">
        <v>56</v>
      </c>
      <c r="B1236" s="50" t="str">
        <f>IFERROR(HYPERLINK(VLOOKUP(A1236,Internal_lists_bugs!$A$2:$C$73,3,FALSE()), VLOOKUP(A1236,Internal_lists_bugs!$A$2:$C$73,3,FALSE())&amp;Char(10) &amp; Char(10) &amp; VLOOKUP(A1236,Internal_lists_bugs!$A$2:$Z$73,26,FALSE())),"please select a BUG ID")</f>
        <v>https://bugs.launchpad.net/nova/+bug/1371677
/libvirt/driver.py</v>
      </c>
      <c r="C1236" s="81" t="str">
        <f>IFERROR(VLOOKUP(A1236,Internal_lists_bugs!$A$2:$I7981,9,FALSE()),"please select a BUG ID")</f>
        <v>https://review.opendev.org/c/openstack/nova/+/40467</v>
      </c>
      <c r="D1236" s="114"/>
      <c r="E1236" s="114"/>
      <c r="F1236" s="115"/>
      <c r="G1236" s="79" t="s">
        <v>2943</v>
      </c>
      <c r="H1236" s="116" t="s">
        <v>2944</v>
      </c>
      <c r="I1236" s="54"/>
      <c r="K1236" s="54"/>
      <c r="M1236" s="114" t="str">
        <f>VLOOKUP(A1236,'BIC_(C_Variables)'!$A$3:$AS$43,45,FALSE())</f>
        <v/>
      </c>
      <c r="N1236" s="1"/>
      <c r="O1236" s="1"/>
      <c r="P1236" s="81" t="str">
        <f>IFERROR(VLOOKUP(A1236,Internal_lists_bugs!$A$2:$G7981,7,FALSE()),"please select a BUG ID")</f>
        <v>https://opendev.org/openstack/nova/commit/5fa74bc</v>
      </c>
    </row>
    <row r="1237">
      <c r="A1237" s="16" t="s">
        <v>56</v>
      </c>
      <c r="B1237" s="50" t="str">
        <f>IFERROR(HYPERLINK(VLOOKUP(A1237,Internal_lists_bugs!$A$2:$C$73,3,FALSE()), VLOOKUP(A1237,Internal_lists_bugs!$A$2:$C$73,3,FALSE())&amp;Char(10) &amp; Char(10) &amp; VLOOKUP(A1237,Internal_lists_bugs!$A$2:$Z$73,26,FALSE())),"please select a BUG ID")</f>
        <v>https://bugs.launchpad.net/nova/+bug/1371677
/libvirt/driver.py</v>
      </c>
      <c r="C1237" s="81" t="str">
        <f>IFERROR(VLOOKUP(A1237,Internal_lists_bugs!$A$2:$I7981,9,FALSE()),"please select a BUG ID")</f>
        <v>https://review.opendev.org/c/openstack/nova/+/40467</v>
      </c>
      <c r="D1237" s="114"/>
      <c r="E1237" s="114"/>
      <c r="F1237" s="115"/>
      <c r="G1237" s="79" t="s">
        <v>1702</v>
      </c>
      <c r="H1237" s="116" t="s">
        <v>2945</v>
      </c>
      <c r="I1237" s="54"/>
      <c r="K1237" s="54"/>
      <c r="M1237" s="114" t="str">
        <f>VLOOKUP(A1237,'BIC_(C_Variables)'!$A$3:$AS$43,45,FALSE())</f>
        <v/>
      </c>
      <c r="N1237" s="1"/>
      <c r="O1237" s="1"/>
      <c r="P1237" s="81" t="str">
        <f>IFERROR(VLOOKUP(A1237,Internal_lists_bugs!$A$2:$G7981,7,FALSE()),"please select a BUG ID")</f>
        <v>https://opendev.org/openstack/nova/commit/5fa74bc</v>
      </c>
    </row>
    <row r="1238">
      <c r="A1238" s="16" t="s">
        <v>56</v>
      </c>
      <c r="B1238" s="50" t="str">
        <f>IFERROR(HYPERLINK(VLOOKUP(A1238,Internal_lists_bugs!$A$2:$C$73,3,FALSE()), VLOOKUP(A1238,Internal_lists_bugs!$A$2:$C$73,3,FALSE())&amp;Char(10) &amp; Char(10) &amp; VLOOKUP(A1238,Internal_lists_bugs!$A$2:$Z$73,26,FALSE())),"please select a BUG ID")</f>
        <v>https://bugs.launchpad.net/nova/+bug/1371677
/libvirt/driver.py</v>
      </c>
      <c r="C1238" s="81" t="str">
        <f>IFERROR(VLOOKUP(A1238,Internal_lists_bugs!$A$2:$I7981,9,FALSE()),"please select a BUG ID")</f>
        <v>https://review.opendev.org/c/openstack/nova/+/40467</v>
      </c>
      <c r="D1238" s="114"/>
      <c r="E1238" s="114"/>
      <c r="F1238" s="115"/>
      <c r="G1238" s="79" t="s">
        <v>2654</v>
      </c>
      <c r="H1238" s="116" t="s">
        <v>2946</v>
      </c>
      <c r="I1238" s="54"/>
      <c r="K1238" s="54"/>
      <c r="M1238" s="114" t="str">
        <f>VLOOKUP(A1238,'BIC_(C_Variables)'!$A$3:$AS$43,45,FALSE())</f>
        <v/>
      </c>
      <c r="N1238" s="1"/>
      <c r="O1238" s="1"/>
      <c r="P1238" s="81" t="str">
        <f>IFERROR(VLOOKUP(A1238,Internal_lists_bugs!$A$2:$G7981,7,FALSE()),"please select a BUG ID")</f>
        <v>https://opendev.org/openstack/nova/commit/5fa74bc</v>
      </c>
    </row>
    <row r="1239">
      <c r="A1239" s="16" t="s">
        <v>56</v>
      </c>
      <c r="B1239" s="50" t="str">
        <f>IFERROR(HYPERLINK(VLOOKUP(A1239,Internal_lists_bugs!$A$2:$C$73,3,FALSE()), VLOOKUP(A1239,Internal_lists_bugs!$A$2:$C$73,3,FALSE())&amp;Char(10) &amp; Char(10) &amp; VLOOKUP(A1239,Internal_lists_bugs!$A$2:$Z$73,26,FALSE())),"please select a BUG ID")</f>
        <v>https://bugs.launchpad.net/nova/+bug/1371677
/libvirt/driver.py</v>
      </c>
      <c r="C1239" s="81" t="str">
        <f>IFERROR(VLOOKUP(A1239,Internal_lists_bugs!$A$2:$I7981,9,FALSE()),"please select a BUG ID")</f>
        <v>https://review.opendev.org/c/openstack/nova/+/40467</v>
      </c>
      <c r="D1239" s="114"/>
      <c r="E1239" s="114"/>
      <c r="F1239" s="115"/>
      <c r="G1239" s="79" t="s">
        <v>1639</v>
      </c>
      <c r="H1239" s="116" t="s">
        <v>2947</v>
      </c>
      <c r="I1239" s="54"/>
      <c r="K1239" s="54"/>
      <c r="M1239" s="114" t="str">
        <f>VLOOKUP(A1239,'BIC_(C_Variables)'!$A$3:$AS$43,45,FALSE())</f>
        <v/>
      </c>
      <c r="N1239" s="1"/>
      <c r="O1239" s="1"/>
      <c r="P1239" s="81" t="str">
        <f>IFERROR(VLOOKUP(A1239,Internal_lists_bugs!$A$2:$G7981,7,FALSE()),"please select a BUG ID")</f>
        <v>https://opendev.org/openstack/nova/commit/5fa74bc</v>
      </c>
    </row>
    <row r="1240">
      <c r="A1240" s="16" t="s">
        <v>56</v>
      </c>
      <c r="B1240" s="50" t="str">
        <f>IFERROR(HYPERLINK(VLOOKUP(A1240,Internal_lists_bugs!$A$2:$C$73,3,FALSE()), VLOOKUP(A1240,Internal_lists_bugs!$A$2:$C$73,3,FALSE())&amp;Char(10) &amp; Char(10) &amp; VLOOKUP(A1240,Internal_lists_bugs!$A$2:$Z$73,26,FALSE())),"please select a BUG ID")</f>
        <v>https://bugs.launchpad.net/nova/+bug/1371677
/libvirt/driver.py</v>
      </c>
      <c r="C1240" s="81" t="str">
        <f>IFERROR(VLOOKUP(A1240,Internal_lists_bugs!$A$2:$I7981,9,FALSE()),"please select a BUG ID")</f>
        <v>https://review.opendev.org/c/openstack/nova/+/40467</v>
      </c>
      <c r="D1240" s="114"/>
      <c r="E1240" s="114"/>
      <c r="F1240" s="115"/>
      <c r="G1240" s="79" t="s">
        <v>1641</v>
      </c>
      <c r="H1240" s="116" t="s">
        <v>2948</v>
      </c>
      <c r="I1240" s="54"/>
      <c r="K1240" s="54"/>
      <c r="M1240" s="114" t="str">
        <f>VLOOKUP(A1240,'BIC_(C_Variables)'!$A$3:$AS$43,45,FALSE())</f>
        <v/>
      </c>
      <c r="N1240" s="1"/>
      <c r="O1240" s="1"/>
      <c r="P1240" s="81" t="str">
        <f>IFERROR(VLOOKUP(A1240,Internal_lists_bugs!$A$2:$G7981,7,FALSE()),"please select a BUG ID")</f>
        <v>https://opendev.org/openstack/nova/commit/5fa74bc</v>
      </c>
    </row>
    <row r="1241">
      <c r="A1241" s="16" t="s">
        <v>56</v>
      </c>
      <c r="B1241" s="50" t="str">
        <f>IFERROR(HYPERLINK(VLOOKUP(A1241,Internal_lists_bugs!$A$2:$C$73,3,FALSE()), VLOOKUP(A1241,Internal_lists_bugs!$A$2:$C$73,3,FALSE())&amp;Char(10) &amp; Char(10) &amp; VLOOKUP(A1241,Internal_lists_bugs!$A$2:$Z$73,26,FALSE())),"please select a BUG ID")</f>
        <v>https://bugs.launchpad.net/nova/+bug/1371677
/libvirt/driver.py</v>
      </c>
      <c r="C1241" s="81" t="str">
        <f>IFERROR(VLOOKUP(A1241,Internal_lists_bugs!$A$2:$I7981,9,FALSE()),"please select a BUG ID")</f>
        <v>https://review.opendev.org/c/openstack/nova/+/40467</v>
      </c>
      <c r="D1241" s="114"/>
      <c r="E1241" s="114"/>
      <c r="F1241" s="115"/>
      <c r="G1241" s="79" t="s">
        <v>2949</v>
      </c>
      <c r="H1241" s="116" t="s">
        <v>2950</v>
      </c>
      <c r="I1241" s="54"/>
      <c r="K1241" s="54"/>
      <c r="M1241" s="114" t="str">
        <f>VLOOKUP(A1241,'BIC_(C_Variables)'!$A$3:$AS$43,45,FALSE())</f>
        <v/>
      </c>
      <c r="N1241" s="1"/>
      <c r="O1241" s="1"/>
      <c r="P1241" s="81" t="str">
        <f>IFERROR(VLOOKUP(A1241,Internal_lists_bugs!$A$2:$G7981,7,FALSE()),"please select a BUG ID")</f>
        <v>https://opendev.org/openstack/nova/commit/5fa74bc</v>
      </c>
    </row>
    <row r="1242">
      <c r="A1242" s="16" t="s">
        <v>56</v>
      </c>
      <c r="B1242" s="50" t="str">
        <f>IFERROR(HYPERLINK(VLOOKUP(A1242,Internal_lists_bugs!$A$2:$C$73,3,FALSE()), VLOOKUP(A1242,Internal_lists_bugs!$A$2:$C$73,3,FALSE())&amp;Char(10) &amp; Char(10) &amp; VLOOKUP(A1242,Internal_lists_bugs!$A$2:$Z$73,26,FALSE())),"please select a BUG ID")</f>
        <v>https://bugs.launchpad.net/nova/+bug/1371677
/libvirt/driver.py</v>
      </c>
      <c r="C1242" s="81" t="str">
        <f>IFERROR(VLOOKUP(A1242,Internal_lists_bugs!$A$2:$I7981,9,FALSE()),"please select a BUG ID")</f>
        <v>https://review.opendev.org/c/openstack/nova/+/40467</v>
      </c>
      <c r="D1242" s="114"/>
      <c r="E1242" s="114"/>
      <c r="F1242" s="115"/>
      <c r="G1242" s="79" t="s">
        <v>2951</v>
      </c>
      <c r="H1242" s="116" t="s">
        <v>2952</v>
      </c>
      <c r="I1242" s="54"/>
      <c r="K1242" s="54"/>
      <c r="M1242" s="114" t="str">
        <f>VLOOKUP(A1242,'BIC_(C_Variables)'!$A$3:$AS$43,45,FALSE())</f>
        <v/>
      </c>
      <c r="N1242" s="1"/>
      <c r="O1242" s="1"/>
      <c r="P1242" s="81" t="str">
        <f>IFERROR(VLOOKUP(A1242,Internal_lists_bugs!$A$2:$G7981,7,FALSE()),"please select a BUG ID")</f>
        <v>https://opendev.org/openstack/nova/commit/5fa74bc</v>
      </c>
    </row>
    <row r="1243">
      <c r="A1243" s="16" t="s">
        <v>56</v>
      </c>
      <c r="B1243" s="50" t="str">
        <f>IFERROR(HYPERLINK(VLOOKUP(A1243,Internal_lists_bugs!$A$2:$C$73,3,FALSE()), VLOOKUP(A1243,Internal_lists_bugs!$A$2:$C$73,3,FALSE())&amp;Char(10) &amp; Char(10) &amp; VLOOKUP(A1243,Internal_lists_bugs!$A$2:$Z$73,26,FALSE())),"please select a BUG ID")</f>
        <v>https://bugs.launchpad.net/nova/+bug/1371677
/libvirt/driver.py</v>
      </c>
      <c r="C1243" s="81" t="str">
        <f>IFERROR(VLOOKUP(A1243,Internal_lists_bugs!$A$2:$I7981,9,FALSE()),"please select a BUG ID")</f>
        <v>https://review.opendev.org/c/openstack/nova/+/40467</v>
      </c>
      <c r="D1243" s="114"/>
      <c r="E1243" s="114"/>
      <c r="F1243" s="115"/>
      <c r="G1243" s="79" t="s">
        <v>2953</v>
      </c>
      <c r="H1243" s="116" t="s">
        <v>2954</v>
      </c>
      <c r="I1243" s="54"/>
      <c r="K1243" s="54"/>
      <c r="M1243" s="114" t="str">
        <f>VLOOKUP(A1243,'BIC_(C_Variables)'!$A$3:$AS$43,45,FALSE())</f>
        <v/>
      </c>
      <c r="N1243" s="1"/>
      <c r="O1243" s="1"/>
      <c r="P1243" s="81" t="str">
        <f>IFERROR(VLOOKUP(A1243,Internal_lists_bugs!$A$2:$G7981,7,FALSE()),"please select a BUG ID")</f>
        <v>https://opendev.org/openstack/nova/commit/5fa74bc</v>
      </c>
    </row>
    <row r="1244">
      <c r="A1244" s="16" t="s">
        <v>56</v>
      </c>
      <c r="B1244" s="50" t="str">
        <f>IFERROR(HYPERLINK(VLOOKUP(A1244,Internal_lists_bugs!$A$2:$C$73,3,FALSE()), VLOOKUP(A1244,Internal_lists_bugs!$A$2:$C$73,3,FALSE())&amp;Char(10) &amp; Char(10) &amp; VLOOKUP(A1244,Internal_lists_bugs!$A$2:$Z$73,26,FALSE())),"please select a BUG ID")</f>
        <v>https://bugs.launchpad.net/nova/+bug/1371677
/libvirt/driver.py</v>
      </c>
      <c r="C1244" s="81" t="str">
        <f>IFERROR(VLOOKUP(A1244,Internal_lists_bugs!$A$2:$I7981,9,FALSE()),"please select a BUG ID")</f>
        <v>https://review.opendev.org/c/openstack/nova/+/40467</v>
      </c>
      <c r="D1244" s="114"/>
      <c r="E1244" s="114"/>
      <c r="F1244" s="115"/>
      <c r="G1244" s="79" t="s">
        <v>2955</v>
      </c>
      <c r="H1244" s="116" t="s">
        <v>2956</v>
      </c>
      <c r="I1244" s="54"/>
      <c r="K1244" s="54"/>
      <c r="M1244" s="114" t="str">
        <f>VLOOKUP(A1244,'BIC_(C_Variables)'!$A$3:$AS$43,45,FALSE())</f>
        <v/>
      </c>
      <c r="N1244" s="1"/>
      <c r="O1244" s="1"/>
      <c r="P1244" s="81" t="str">
        <f>IFERROR(VLOOKUP(A1244,Internal_lists_bugs!$A$2:$G7981,7,FALSE()),"please select a BUG ID")</f>
        <v>https://opendev.org/openstack/nova/commit/5fa74bc</v>
      </c>
    </row>
    <row r="1245">
      <c r="A1245" s="16" t="s">
        <v>56</v>
      </c>
      <c r="B1245" s="50" t="str">
        <f>IFERROR(HYPERLINK(VLOOKUP(A1245,Internal_lists_bugs!$A$2:$C$73,3,FALSE()), VLOOKUP(A1245,Internal_lists_bugs!$A$2:$C$73,3,FALSE())&amp;Char(10) &amp; Char(10) &amp; VLOOKUP(A1245,Internal_lists_bugs!$A$2:$Z$73,26,FALSE())),"please select a BUG ID")</f>
        <v>https://bugs.launchpad.net/nova/+bug/1371677
/libvirt/driver.py</v>
      </c>
      <c r="C1245" s="81" t="str">
        <f>IFERROR(VLOOKUP(A1245,Internal_lists_bugs!$A$2:$I7981,9,FALSE()),"please select a BUG ID")</f>
        <v>https://review.opendev.org/c/openstack/nova/+/40467</v>
      </c>
      <c r="D1245" s="114"/>
      <c r="E1245" s="114"/>
      <c r="F1245" s="115"/>
      <c r="G1245" s="79" t="s">
        <v>2957</v>
      </c>
      <c r="H1245" s="116" t="s">
        <v>2958</v>
      </c>
      <c r="I1245" s="54"/>
      <c r="K1245" s="54"/>
      <c r="M1245" s="114" t="str">
        <f>VLOOKUP(A1245,'BIC_(C_Variables)'!$A$3:$AS$43,45,FALSE())</f>
        <v/>
      </c>
      <c r="N1245" s="1"/>
      <c r="O1245" s="1"/>
      <c r="P1245" s="81" t="str">
        <f>IFERROR(VLOOKUP(A1245,Internal_lists_bugs!$A$2:$G7981,7,FALSE()),"please select a BUG ID")</f>
        <v>https://opendev.org/openstack/nova/commit/5fa74bc</v>
      </c>
    </row>
    <row r="1246">
      <c r="A1246" s="16" t="s">
        <v>56</v>
      </c>
      <c r="B1246" s="50" t="str">
        <f>IFERROR(HYPERLINK(VLOOKUP(A1246,Internal_lists_bugs!$A$2:$C$73,3,FALSE()), VLOOKUP(A1246,Internal_lists_bugs!$A$2:$C$73,3,FALSE())&amp;Char(10) &amp; Char(10) &amp; VLOOKUP(A1246,Internal_lists_bugs!$A$2:$Z$73,26,FALSE())),"please select a BUG ID")</f>
        <v>https://bugs.launchpad.net/nova/+bug/1371677
/libvirt/driver.py</v>
      </c>
      <c r="C1246" s="81" t="str">
        <f>IFERROR(VLOOKUP(A1246,Internal_lists_bugs!$A$2:$I7981,9,FALSE()),"please select a BUG ID")</f>
        <v>https://review.opendev.org/c/openstack/nova/+/40467</v>
      </c>
      <c r="D1246" s="114"/>
      <c r="E1246" s="114"/>
      <c r="F1246" s="115"/>
      <c r="G1246" s="79" t="s">
        <v>2959</v>
      </c>
      <c r="H1246" s="116" t="s">
        <v>2960</v>
      </c>
      <c r="I1246" s="54"/>
      <c r="K1246" s="54"/>
      <c r="M1246" s="114" t="str">
        <f>VLOOKUP(A1246,'BIC_(C_Variables)'!$A$3:$AS$43,45,FALSE())</f>
        <v/>
      </c>
      <c r="N1246" s="1"/>
      <c r="O1246" s="1"/>
      <c r="P1246" s="81" t="str">
        <f>IFERROR(VLOOKUP(A1246,Internal_lists_bugs!$A$2:$G7981,7,FALSE()),"please select a BUG ID")</f>
        <v>https://opendev.org/openstack/nova/commit/5fa74bc</v>
      </c>
    </row>
    <row r="1247">
      <c r="A1247" s="16" t="s">
        <v>56</v>
      </c>
      <c r="B1247" s="50" t="str">
        <f>IFERROR(HYPERLINK(VLOOKUP(A1247,Internal_lists_bugs!$A$2:$C$73,3,FALSE()), VLOOKUP(A1247,Internal_lists_bugs!$A$2:$C$73,3,FALSE())&amp;Char(10) &amp; Char(10) &amp; VLOOKUP(A1247,Internal_lists_bugs!$A$2:$Z$73,26,FALSE())),"please select a BUG ID")</f>
        <v>https://bugs.launchpad.net/nova/+bug/1371677
/libvirt/driver.py</v>
      </c>
      <c r="C1247" s="81" t="str">
        <f>IFERROR(VLOOKUP(A1247,Internal_lists_bugs!$A$2:$I7981,9,FALSE()),"please select a BUG ID")</f>
        <v>https://review.opendev.org/c/openstack/nova/+/40467</v>
      </c>
      <c r="D1247" s="114"/>
      <c r="E1247" s="114"/>
      <c r="F1247" s="115"/>
      <c r="G1247" s="79" t="s">
        <v>2961</v>
      </c>
      <c r="H1247" s="116" t="s">
        <v>2962</v>
      </c>
      <c r="I1247" s="54"/>
      <c r="K1247" s="54"/>
      <c r="M1247" s="114" t="str">
        <f>VLOOKUP(A1247,'BIC_(C_Variables)'!$A$3:$AS$43,45,FALSE())</f>
        <v/>
      </c>
      <c r="N1247" s="1"/>
      <c r="O1247" s="1"/>
      <c r="P1247" s="81" t="str">
        <f>IFERROR(VLOOKUP(A1247,Internal_lists_bugs!$A$2:$G7981,7,FALSE()),"please select a BUG ID")</f>
        <v>https://opendev.org/openstack/nova/commit/5fa74bc</v>
      </c>
    </row>
    <row r="1248">
      <c r="A1248" s="16" t="s">
        <v>56</v>
      </c>
      <c r="B1248" s="50" t="str">
        <f>IFERROR(HYPERLINK(VLOOKUP(A1248,Internal_lists_bugs!$A$2:$C$73,3,FALSE()), VLOOKUP(A1248,Internal_lists_bugs!$A$2:$C$73,3,FALSE())&amp;Char(10) &amp; Char(10) &amp; VLOOKUP(A1248,Internal_lists_bugs!$A$2:$Z$73,26,FALSE())),"please select a BUG ID")</f>
        <v>https://bugs.launchpad.net/nova/+bug/1371677
/libvirt/driver.py</v>
      </c>
      <c r="C1248" s="81" t="str">
        <f>IFERROR(VLOOKUP(A1248,Internal_lists_bugs!$A$2:$I7981,9,FALSE()),"please select a BUG ID")</f>
        <v>https://review.opendev.org/c/openstack/nova/+/40467</v>
      </c>
      <c r="D1248" s="114"/>
      <c r="E1248" s="114"/>
      <c r="F1248" s="115"/>
      <c r="G1248" s="79" t="s">
        <v>2963</v>
      </c>
      <c r="H1248" s="116" t="s">
        <v>2964</v>
      </c>
      <c r="I1248" s="54"/>
      <c r="K1248" s="54"/>
      <c r="M1248" s="114" t="str">
        <f>VLOOKUP(A1248,'BIC_(C_Variables)'!$A$3:$AS$43,45,FALSE())</f>
        <v/>
      </c>
      <c r="N1248" s="1"/>
      <c r="O1248" s="1"/>
      <c r="P1248" s="81" t="str">
        <f>IFERROR(VLOOKUP(A1248,Internal_lists_bugs!$A$2:$G7981,7,FALSE()),"please select a BUG ID")</f>
        <v>https://opendev.org/openstack/nova/commit/5fa74bc</v>
      </c>
    </row>
    <row r="1249">
      <c r="A1249" s="16" t="s">
        <v>56</v>
      </c>
      <c r="B1249" s="50" t="str">
        <f>IFERROR(HYPERLINK(VLOOKUP(A1249,Internal_lists_bugs!$A$2:$C$73,3,FALSE()), VLOOKUP(A1249,Internal_lists_bugs!$A$2:$C$73,3,FALSE())&amp;Char(10) &amp; Char(10) &amp; VLOOKUP(A1249,Internal_lists_bugs!$A$2:$Z$73,26,FALSE())),"please select a BUG ID")</f>
        <v>https://bugs.launchpad.net/nova/+bug/1371677
/libvirt/driver.py</v>
      </c>
      <c r="C1249" s="81" t="str">
        <f>IFERROR(VLOOKUP(A1249,Internal_lists_bugs!$A$2:$I7981,9,FALSE()),"please select a BUG ID")</f>
        <v>https://review.opendev.org/c/openstack/nova/+/40467</v>
      </c>
      <c r="D1249" s="114"/>
      <c r="E1249" s="114"/>
      <c r="F1249" s="115"/>
      <c r="G1249" s="79" t="s">
        <v>1519</v>
      </c>
      <c r="H1249" s="116" t="s">
        <v>2965</v>
      </c>
      <c r="I1249" s="54"/>
      <c r="K1249" s="54"/>
      <c r="M1249" s="114" t="str">
        <f>VLOOKUP(A1249,'BIC_(C_Variables)'!$A$3:$AS$43,45,FALSE())</f>
        <v/>
      </c>
      <c r="N1249" s="1"/>
      <c r="O1249" s="1"/>
      <c r="P1249" s="81" t="str">
        <f>IFERROR(VLOOKUP(A1249,Internal_lists_bugs!$A$2:$G7981,7,FALSE()),"please select a BUG ID")</f>
        <v>https://opendev.org/openstack/nova/commit/5fa74bc</v>
      </c>
    </row>
    <row r="1250">
      <c r="A1250" s="16" t="s">
        <v>56</v>
      </c>
      <c r="B1250" s="50" t="str">
        <f>IFERROR(HYPERLINK(VLOOKUP(A1250,Internal_lists_bugs!$A$2:$C$73,3,FALSE()), VLOOKUP(A1250,Internal_lists_bugs!$A$2:$C$73,3,FALSE())&amp;Char(10) &amp; Char(10) &amp; VLOOKUP(A1250,Internal_lists_bugs!$A$2:$Z$73,26,FALSE())),"please select a BUG ID")</f>
        <v>https://bugs.launchpad.net/nova/+bug/1371677
/libvirt/driver.py</v>
      </c>
      <c r="C1250" s="81" t="str">
        <f>IFERROR(VLOOKUP(A1250,Internal_lists_bugs!$A$2:$I7981,9,FALSE()),"please select a BUG ID")</f>
        <v>https://review.opendev.org/c/openstack/nova/+/40467</v>
      </c>
      <c r="D1250" s="114"/>
      <c r="E1250" s="114"/>
      <c r="F1250" s="115"/>
      <c r="G1250" s="79" t="s">
        <v>2966</v>
      </c>
      <c r="H1250" s="116" t="s">
        <v>2927</v>
      </c>
      <c r="I1250" s="54"/>
      <c r="K1250" s="54"/>
      <c r="M1250" s="114" t="str">
        <f>VLOOKUP(A1250,'BIC_(C_Variables)'!$A$3:$AS$43,45,FALSE())</f>
        <v/>
      </c>
      <c r="N1250" s="1"/>
      <c r="O1250" s="1"/>
      <c r="P1250" s="81" t="str">
        <f>IFERROR(VLOOKUP(A1250,Internal_lists_bugs!$A$2:$G7981,7,FALSE()),"please select a BUG ID")</f>
        <v>https://opendev.org/openstack/nova/commit/5fa74bc</v>
      </c>
    </row>
    <row r="1251">
      <c r="A1251" s="16" t="s">
        <v>56</v>
      </c>
      <c r="B1251" s="50" t="str">
        <f>IFERROR(HYPERLINK(VLOOKUP(A1251,Internal_lists_bugs!$A$2:$C$73,3,FALSE()), VLOOKUP(A1251,Internal_lists_bugs!$A$2:$C$73,3,FALSE())&amp;Char(10) &amp; Char(10) &amp; VLOOKUP(A1251,Internal_lists_bugs!$A$2:$Z$73,26,FALSE())),"please select a BUG ID")</f>
        <v>https://bugs.launchpad.net/nova/+bug/1371677
/libvirt/driver.py</v>
      </c>
      <c r="C1251" s="81" t="str">
        <f>IFERROR(VLOOKUP(A1251,Internal_lists_bugs!$A$2:$I7981,9,FALSE()),"please select a BUG ID")</f>
        <v>https://review.opendev.org/c/openstack/nova/+/40467</v>
      </c>
      <c r="D1251" s="114"/>
      <c r="E1251" s="114"/>
      <c r="F1251" s="115"/>
      <c r="G1251" s="79" t="s">
        <v>2967</v>
      </c>
      <c r="H1251" s="116" t="s">
        <v>2968</v>
      </c>
      <c r="I1251" s="54"/>
      <c r="K1251" s="54"/>
      <c r="M1251" s="114" t="str">
        <f>VLOOKUP(A1251,'BIC_(C_Variables)'!$A$3:$AS$43,45,FALSE())</f>
        <v/>
      </c>
      <c r="N1251" s="1"/>
      <c r="O1251" s="1"/>
      <c r="P1251" s="81" t="str">
        <f>IFERROR(VLOOKUP(A1251,Internal_lists_bugs!$A$2:$G7981,7,FALSE()),"please select a BUG ID")</f>
        <v>https://opendev.org/openstack/nova/commit/5fa74bc</v>
      </c>
    </row>
    <row r="1252">
      <c r="A1252" s="16" t="s">
        <v>56</v>
      </c>
      <c r="B1252" s="50" t="str">
        <f>IFERROR(HYPERLINK(VLOOKUP(A1252,Internal_lists_bugs!$A$2:$C$73,3,FALSE()), VLOOKUP(A1252,Internal_lists_bugs!$A$2:$C$73,3,FALSE())&amp;Char(10) &amp; Char(10) &amp; VLOOKUP(A1252,Internal_lists_bugs!$A$2:$Z$73,26,FALSE())),"please select a BUG ID")</f>
        <v>https://bugs.launchpad.net/nova/+bug/1371677
/libvirt/driver.py</v>
      </c>
      <c r="C1252" s="81" t="str">
        <f>IFERROR(VLOOKUP(A1252,Internal_lists_bugs!$A$2:$I7981,9,FALSE()),"please select a BUG ID")</f>
        <v>https://review.opendev.org/c/openstack/nova/+/40467</v>
      </c>
      <c r="D1252" s="114"/>
      <c r="E1252" s="114"/>
      <c r="F1252" s="115"/>
      <c r="G1252" s="79" t="s">
        <v>2382</v>
      </c>
      <c r="H1252" s="122" t="s">
        <v>2969</v>
      </c>
      <c r="I1252" s="54"/>
      <c r="K1252" s="54"/>
      <c r="M1252" s="114" t="str">
        <f>VLOOKUP(A1252,'BIC_(C_Variables)'!$A$3:$AS$43,45,FALSE())</f>
        <v/>
      </c>
      <c r="N1252" s="1"/>
      <c r="O1252" s="1"/>
      <c r="P1252" s="81" t="str">
        <f>IFERROR(VLOOKUP(A1252,Internal_lists_bugs!$A$2:$G7981,7,FALSE()),"please select a BUG ID")</f>
        <v>https://opendev.org/openstack/nova/commit/5fa74bc</v>
      </c>
    </row>
    <row r="1253">
      <c r="A1253" s="16" t="s">
        <v>56</v>
      </c>
      <c r="B1253" s="50" t="str">
        <f>IFERROR(HYPERLINK(VLOOKUP(A1253,Internal_lists_bugs!$A$2:$C$73,3,FALSE()), VLOOKUP(A1253,Internal_lists_bugs!$A$2:$C$73,3,FALSE())&amp;Char(10) &amp; Char(10) &amp; VLOOKUP(A1253,Internal_lists_bugs!$A$2:$Z$73,26,FALSE())),"please select a BUG ID")</f>
        <v>https://bugs.launchpad.net/nova/+bug/1371677
/libvirt/driver.py</v>
      </c>
      <c r="C1253" s="81" t="str">
        <f>IFERROR(VLOOKUP(A1253,Internal_lists_bugs!$A$2:$I7981,9,FALSE()),"please select a BUG ID")</f>
        <v>https://review.opendev.org/c/openstack/nova/+/40467</v>
      </c>
      <c r="D1253" s="114"/>
      <c r="E1253" s="114"/>
      <c r="F1253" s="115"/>
      <c r="G1253" s="79" t="s">
        <v>2156</v>
      </c>
      <c r="H1253" s="122" t="s">
        <v>2970</v>
      </c>
      <c r="I1253" s="54"/>
      <c r="K1253" s="54"/>
      <c r="M1253" s="114" t="str">
        <f>VLOOKUP(A1253,'BIC_(C_Variables)'!$A$3:$AS$43,45,FALSE())</f>
        <v/>
      </c>
      <c r="N1253" s="1"/>
      <c r="O1253" s="1"/>
      <c r="P1253" s="81" t="str">
        <f>IFERROR(VLOOKUP(A1253,Internal_lists_bugs!$A$2:$G7981,7,FALSE()),"please select a BUG ID")</f>
        <v>https://opendev.org/openstack/nova/commit/5fa74bc</v>
      </c>
    </row>
    <row r="1254">
      <c r="A1254" s="16" t="s">
        <v>56</v>
      </c>
      <c r="B1254" s="50" t="str">
        <f>IFERROR(HYPERLINK(VLOOKUP(A1254,Internal_lists_bugs!$A$2:$C$73,3,FALSE()), VLOOKUP(A1254,Internal_lists_bugs!$A$2:$C$73,3,FALSE())&amp;Char(10) &amp; Char(10) &amp; VLOOKUP(A1254,Internal_lists_bugs!$A$2:$Z$73,26,FALSE())),"please select a BUG ID")</f>
        <v>https://bugs.launchpad.net/nova/+bug/1371677
/libvirt/driver.py</v>
      </c>
      <c r="C1254" s="81" t="str">
        <f>IFERROR(VLOOKUP(A1254,Internal_lists_bugs!$A$2:$I7981,9,FALSE()),"please select a BUG ID")</f>
        <v>https://review.opendev.org/c/openstack/nova/+/40467</v>
      </c>
      <c r="D1254" s="114"/>
      <c r="E1254" s="114"/>
      <c r="F1254" s="115"/>
      <c r="G1254" s="79" t="s">
        <v>2971</v>
      </c>
      <c r="H1254" s="116" t="s">
        <v>2972</v>
      </c>
      <c r="I1254" s="54"/>
      <c r="K1254" s="54"/>
      <c r="M1254" s="114" t="str">
        <f>VLOOKUP(A1254,'BIC_(C_Variables)'!$A$3:$AS$43,45,FALSE())</f>
        <v/>
      </c>
      <c r="N1254" s="1"/>
      <c r="O1254" s="1"/>
      <c r="P1254" s="81" t="str">
        <f>IFERROR(VLOOKUP(A1254,Internal_lists_bugs!$A$2:$G7981,7,FALSE()),"please select a BUG ID")</f>
        <v>https://opendev.org/openstack/nova/commit/5fa74bc</v>
      </c>
    </row>
    <row r="1255">
      <c r="A1255" s="16" t="s">
        <v>56</v>
      </c>
      <c r="B1255" s="50" t="str">
        <f>IFERROR(HYPERLINK(VLOOKUP(A1255,Internal_lists_bugs!$A$2:$C$73,3,FALSE()), VLOOKUP(A1255,Internal_lists_bugs!$A$2:$C$73,3,FALSE())&amp;Char(10) &amp; Char(10) &amp; VLOOKUP(A1255,Internal_lists_bugs!$A$2:$Z$73,26,FALSE())),"please select a BUG ID")</f>
        <v>https://bugs.launchpad.net/nova/+bug/1371677
/libvirt/driver.py</v>
      </c>
      <c r="C1255" s="81" t="str">
        <f>IFERROR(VLOOKUP(A1255,Internal_lists_bugs!$A$2:$I7981,9,FALSE()),"please select a BUG ID")</f>
        <v>https://review.opendev.org/c/openstack/nova/+/40467</v>
      </c>
      <c r="D1255" s="114"/>
      <c r="E1255" s="114"/>
      <c r="F1255" s="115"/>
      <c r="G1255" s="79" t="s">
        <v>2973</v>
      </c>
      <c r="H1255" s="122" t="s">
        <v>2974</v>
      </c>
      <c r="I1255" s="54"/>
      <c r="K1255" s="54"/>
      <c r="M1255" s="114" t="str">
        <f>VLOOKUP(A1255,'BIC_(C_Variables)'!$A$3:$AS$43,45,FALSE())</f>
        <v/>
      </c>
      <c r="N1255" s="1"/>
      <c r="O1255" s="1"/>
      <c r="P1255" s="81" t="str">
        <f>IFERROR(VLOOKUP(A1255,Internal_lists_bugs!$A$2:$G7981,7,FALSE()),"please select a BUG ID")</f>
        <v>https://opendev.org/openstack/nova/commit/5fa74bc</v>
      </c>
    </row>
    <row r="1256">
      <c r="A1256" s="16" t="s">
        <v>56</v>
      </c>
      <c r="B1256" s="50" t="str">
        <f>IFERROR(HYPERLINK(VLOOKUP(A1256,Internal_lists_bugs!$A$2:$C$73,3,FALSE()), VLOOKUP(A1256,Internal_lists_bugs!$A$2:$C$73,3,FALSE())&amp;Char(10) &amp; Char(10) &amp; VLOOKUP(A1256,Internal_lists_bugs!$A$2:$Z$73,26,FALSE())),"please select a BUG ID")</f>
        <v>https://bugs.launchpad.net/nova/+bug/1371677
/libvirt/driver.py</v>
      </c>
      <c r="C1256" s="81" t="str">
        <f>IFERROR(VLOOKUP(A1256,Internal_lists_bugs!$A$2:$I7981,9,FALSE()),"please select a BUG ID")</f>
        <v>https://review.opendev.org/c/openstack/nova/+/40467</v>
      </c>
      <c r="D1256" s="114"/>
      <c r="E1256" s="114"/>
      <c r="F1256" s="115"/>
      <c r="G1256" s="79" t="s">
        <v>2975</v>
      </c>
      <c r="H1256" s="116" t="s">
        <v>2976</v>
      </c>
      <c r="I1256" s="54"/>
      <c r="K1256" s="54"/>
      <c r="M1256" s="114" t="str">
        <f>VLOOKUP(A1256,'BIC_(C_Variables)'!$A$3:$AS$43,45,FALSE())</f>
        <v/>
      </c>
      <c r="N1256" s="1"/>
      <c r="O1256" s="1"/>
      <c r="P1256" s="81" t="str">
        <f>IFERROR(VLOOKUP(A1256,Internal_lists_bugs!$A$2:$G7981,7,FALSE()),"please select a BUG ID")</f>
        <v>https://opendev.org/openstack/nova/commit/5fa74bc</v>
      </c>
    </row>
    <row r="1257">
      <c r="A1257" s="16" t="s">
        <v>56</v>
      </c>
      <c r="B1257" s="50" t="str">
        <f>IFERROR(HYPERLINK(VLOOKUP(A1257,Internal_lists_bugs!$A$2:$C$73,3,FALSE()), VLOOKUP(A1257,Internal_lists_bugs!$A$2:$C$73,3,FALSE())&amp;Char(10) &amp; Char(10) &amp; VLOOKUP(A1257,Internal_lists_bugs!$A$2:$Z$73,26,FALSE())),"please select a BUG ID")</f>
        <v>https://bugs.launchpad.net/nova/+bug/1371677
/libvirt/driver.py</v>
      </c>
      <c r="C1257" s="81" t="str">
        <f>IFERROR(VLOOKUP(A1257,Internal_lists_bugs!$A$2:$I7981,9,FALSE()),"please select a BUG ID")</f>
        <v>https://review.opendev.org/c/openstack/nova/+/40467</v>
      </c>
      <c r="D1257" s="114"/>
      <c r="E1257" s="114"/>
      <c r="F1257" s="115"/>
      <c r="G1257" s="79" t="s">
        <v>2177</v>
      </c>
      <c r="H1257" s="116" t="s">
        <v>2977</v>
      </c>
      <c r="I1257" s="54"/>
      <c r="K1257" s="54"/>
      <c r="M1257" s="114"/>
      <c r="N1257" s="1"/>
      <c r="O1257" s="1"/>
      <c r="P1257" s="51"/>
    </row>
    <row r="1258">
      <c r="A1258" s="16" t="s">
        <v>56</v>
      </c>
      <c r="B1258" s="50" t="str">
        <f>IFERROR(HYPERLINK(VLOOKUP(A1258,Internal_lists_bugs!$A$2:$C$73,3,FALSE()), VLOOKUP(A1258,Internal_lists_bugs!$A$2:$C$73,3,FALSE())&amp;Char(10) &amp; Char(10) &amp; VLOOKUP(A1258,Internal_lists_bugs!$A$2:$Z$73,26,FALSE())),"please select a BUG ID")</f>
        <v>https://bugs.launchpad.net/nova/+bug/1371677
/libvirt/driver.py</v>
      </c>
      <c r="C1258" s="81" t="str">
        <f>IFERROR(VLOOKUP(A1258,Internal_lists_bugs!$A$2:$I7981,9,FALSE()),"please select a BUG ID")</f>
        <v>https://review.opendev.org/c/openstack/nova/+/40467</v>
      </c>
      <c r="D1258" s="114"/>
      <c r="E1258" s="114"/>
      <c r="F1258" s="115"/>
      <c r="G1258" s="79" t="s">
        <v>2957</v>
      </c>
      <c r="H1258" s="116" t="s">
        <v>2978</v>
      </c>
      <c r="I1258" s="54"/>
      <c r="K1258" s="54"/>
      <c r="M1258" s="114" t="str">
        <f>VLOOKUP(A1258,'BIC_(C_Variables)'!$A$3:$AS$43,45,FALSE())</f>
        <v/>
      </c>
      <c r="N1258" s="1"/>
      <c r="O1258" s="1"/>
      <c r="P1258" s="81" t="str">
        <f>IFERROR(VLOOKUP(A1258,Internal_lists_bugs!$A$2:$G7981,7,FALSE()),"please select a BUG ID")</f>
        <v>https://opendev.org/openstack/nova/commit/5fa74bc</v>
      </c>
    </row>
    <row r="1259">
      <c r="A1259" s="16" t="s">
        <v>56</v>
      </c>
      <c r="B1259" s="50" t="str">
        <f>IFERROR(HYPERLINK(VLOOKUP(A1259,Internal_lists_bugs!$A$2:$C$73,3,FALSE()), VLOOKUP(A1259,Internal_lists_bugs!$A$2:$C$73,3,FALSE())&amp;Char(10) &amp; Char(10) &amp; VLOOKUP(A1259,Internal_lists_bugs!$A$2:$Z$73,26,FALSE())),"please select a BUG ID")</f>
        <v>https://bugs.launchpad.net/nova/+bug/1371677
/libvirt/driver.py</v>
      </c>
      <c r="C1259" s="81" t="str">
        <f>IFERROR(VLOOKUP(A1259,Internal_lists_bugs!$A$2:$I7981,9,FALSE()),"please select a BUG ID")</f>
        <v>https://review.opendev.org/c/openstack/nova/+/40467</v>
      </c>
      <c r="D1259" s="114"/>
      <c r="E1259" s="114"/>
      <c r="F1259" s="115"/>
      <c r="G1259" s="79" t="s">
        <v>2979</v>
      </c>
      <c r="H1259" s="122" t="s">
        <v>2980</v>
      </c>
      <c r="I1259" s="54"/>
      <c r="K1259" s="54"/>
      <c r="M1259" s="114" t="str">
        <f>VLOOKUP(A1259,'BIC_(C_Variables)'!$A$3:$AS$43,45,FALSE())</f>
        <v/>
      </c>
      <c r="N1259" s="1"/>
      <c r="O1259" s="1"/>
      <c r="P1259" s="81" t="str">
        <f>IFERROR(VLOOKUP(A1259,Internal_lists_bugs!$A$2:$G7981,7,FALSE()),"please select a BUG ID")</f>
        <v>https://opendev.org/openstack/nova/commit/5fa74bc</v>
      </c>
    </row>
    <row r="1260">
      <c r="A1260" s="16" t="s">
        <v>56</v>
      </c>
      <c r="B1260" s="50" t="str">
        <f>IFERROR(HYPERLINK(VLOOKUP(A1260,Internal_lists_bugs!$A$2:$C$73,3,FALSE()), VLOOKUP(A1260,Internal_lists_bugs!$A$2:$C$73,3,FALSE())&amp;Char(10) &amp; Char(10) &amp; VLOOKUP(A1260,Internal_lists_bugs!$A$2:$Z$73,26,FALSE())),"please select a BUG ID")</f>
        <v>https://bugs.launchpad.net/nova/+bug/1371677
/libvirt/driver.py</v>
      </c>
      <c r="C1260" s="81" t="str">
        <f>IFERROR(VLOOKUP(A1260,Internal_lists_bugs!$A$2:$I7981,9,FALSE()),"please select a BUG ID")</f>
        <v>https://review.opendev.org/c/openstack/nova/+/40467</v>
      </c>
      <c r="D1260" s="114"/>
      <c r="E1260" s="114"/>
      <c r="F1260" s="115"/>
      <c r="G1260" s="79" t="s">
        <v>2415</v>
      </c>
      <c r="H1260" s="116" t="s">
        <v>2981</v>
      </c>
      <c r="I1260" s="54"/>
      <c r="K1260" s="54"/>
      <c r="M1260" s="114"/>
      <c r="N1260" s="1"/>
      <c r="O1260" s="1"/>
      <c r="P1260" s="51"/>
    </row>
    <row r="1261">
      <c r="A1261" s="16" t="s">
        <v>56</v>
      </c>
      <c r="B1261" s="50" t="str">
        <f>IFERROR(HYPERLINK(VLOOKUP(A1261,Internal_lists_bugs!$A$2:$C$73,3,FALSE()), VLOOKUP(A1261,Internal_lists_bugs!$A$2:$C$73,3,FALSE())&amp;Char(10) &amp; Char(10) &amp; VLOOKUP(A1261,Internal_lists_bugs!$A$2:$Z$73,26,FALSE())),"please select a BUG ID")</f>
        <v>https://bugs.launchpad.net/nova/+bug/1371677
/libvirt/driver.py</v>
      </c>
      <c r="C1261" s="81" t="str">
        <f>IFERROR(VLOOKUP(A1261,Internal_lists_bugs!$A$2:$I7981,9,FALSE()),"please select a BUG ID")</f>
        <v>https://review.opendev.org/c/openstack/nova/+/40467</v>
      </c>
      <c r="D1261" s="114"/>
      <c r="E1261" s="114"/>
      <c r="F1261" s="115"/>
      <c r="G1261" s="79" t="s">
        <v>1495</v>
      </c>
      <c r="H1261" s="116" t="s">
        <v>2982</v>
      </c>
      <c r="I1261" s="54"/>
      <c r="K1261" s="54"/>
      <c r="M1261" s="114"/>
      <c r="N1261" s="1"/>
      <c r="O1261" s="1"/>
      <c r="P1261" s="51"/>
    </row>
    <row r="1262">
      <c r="A1262" s="16" t="s">
        <v>56</v>
      </c>
      <c r="B1262" s="50" t="str">
        <f>IFERROR(HYPERLINK(VLOOKUP(A1262,Internal_lists_bugs!$A$2:$C$73,3,FALSE()), VLOOKUP(A1262,Internal_lists_bugs!$A$2:$C$73,3,FALSE())&amp;Char(10) &amp; Char(10) &amp; VLOOKUP(A1262,Internal_lists_bugs!$A$2:$Z$73,26,FALSE())),"please select a BUG ID")</f>
        <v>https://bugs.launchpad.net/nova/+bug/1371677
/libvirt/driver.py</v>
      </c>
      <c r="C1262" s="81" t="str">
        <f>IFERROR(VLOOKUP(A1262,Internal_lists_bugs!$A$2:$I7981,9,FALSE()),"please select a BUG ID")</f>
        <v>https://review.opendev.org/c/openstack/nova/+/40467</v>
      </c>
      <c r="D1262" s="114"/>
      <c r="E1262" s="114"/>
      <c r="F1262" s="115"/>
      <c r="G1262" s="79" t="s">
        <v>2983</v>
      </c>
      <c r="H1262" s="122" t="s">
        <v>2984</v>
      </c>
      <c r="I1262" s="54"/>
      <c r="K1262" s="54"/>
      <c r="M1262" s="114" t="str">
        <f>VLOOKUP(A1262,'BIC_(C_Variables)'!$A$3:$AS$43,45,FALSE())</f>
        <v/>
      </c>
      <c r="N1262" s="1"/>
      <c r="O1262" s="1"/>
      <c r="P1262" s="81" t="str">
        <f>IFERROR(VLOOKUP(A1262,Internal_lists_bugs!$A$2:$G7981,7,FALSE()),"please select a BUG ID")</f>
        <v>https://opendev.org/openstack/nova/commit/5fa74bc</v>
      </c>
    </row>
    <row r="1263">
      <c r="A1263" s="16" t="s">
        <v>56</v>
      </c>
      <c r="B1263" s="50" t="str">
        <f>IFERROR(HYPERLINK(VLOOKUP(A1263,Internal_lists_bugs!$A$2:$C$73,3,FALSE()), VLOOKUP(A1263,Internal_lists_bugs!$A$2:$C$73,3,FALSE())&amp;Char(10) &amp; Char(10) &amp; VLOOKUP(A1263,Internal_lists_bugs!$A$2:$Z$73,26,FALSE())),"please select a BUG ID")</f>
        <v>https://bugs.launchpad.net/nova/+bug/1371677
/libvirt/driver.py</v>
      </c>
      <c r="C1263" s="81" t="str">
        <f>IFERROR(VLOOKUP(A1263,Internal_lists_bugs!$A$2:$I7981,9,FALSE()),"please select a BUG ID")</f>
        <v>https://review.opendev.org/c/openstack/nova/+/40467</v>
      </c>
      <c r="D1263" s="114"/>
      <c r="E1263" s="114"/>
      <c r="F1263" s="115"/>
      <c r="G1263" s="79" t="s">
        <v>1750</v>
      </c>
      <c r="H1263" s="116" t="s">
        <v>2985</v>
      </c>
      <c r="I1263" s="54"/>
      <c r="K1263" s="54"/>
      <c r="M1263" s="114" t="str">
        <f>VLOOKUP(A1263,'BIC_(C_Variables)'!$A$3:$AS$43,45,FALSE())</f>
        <v/>
      </c>
      <c r="N1263" s="1"/>
      <c r="O1263" s="1"/>
      <c r="P1263" s="81" t="str">
        <f>IFERROR(VLOOKUP(A1263,Internal_lists_bugs!$A$2:$G7981,7,FALSE()),"please select a BUG ID")</f>
        <v>https://opendev.org/openstack/nova/commit/5fa74bc</v>
      </c>
    </row>
    <row r="1264">
      <c r="A1264" s="16" t="s">
        <v>56</v>
      </c>
      <c r="B1264" s="50" t="str">
        <f>IFERROR(HYPERLINK(VLOOKUP(A1264,Internal_lists_bugs!$A$2:$C$73,3,FALSE()), VLOOKUP(A1264,Internal_lists_bugs!$A$2:$C$73,3,FALSE())&amp;Char(10) &amp; Char(10) &amp; VLOOKUP(A1264,Internal_lists_bugs!$A$2:$Z$73,26,FALSE())),"please select a BUG ID")</f>
        <v>https://bugs.launchpad.net/nova/+bug/1371677
/libvirt/driver.py</v>
      </c>
      <c r="C1264" s="81" t="str">
        <f>IFERROR(VLOOKUP(A1264,Internal_lists_bugs!$A$2:$I7981,9,FALSE()),"please select a BUG ID")</f>
        <v>https://review.opendev.org/c/openstack/nova/+/40467</v>
      </c>
      <c r="D1264" s="114"/>
      <c r="E1264" s="114"/>
      <c r="F1264" s="115"/>
      <c r="G1264" s="79" t="s">
        <v>1507</v>
      </c>
      <c r="H1264" s="116" t="s">
        <v>2986</v>
      </c>
      <c r="I1264" s="54"/>
      <c r="K1264" s="54"/>
      <c r="M1264" s="114" t="str">
        <f>VLOOKUP(A1264,'BIC_(C_Variables)'!$A$3:$AS$43,45,FALSE())</f>
        <v/>
      </c>
      <c r="N1264" s="1"/>
      <c r="O1264" s="1"/>
      <c r="P1264" s="81" t="str">
        <f>IFERROR(VLOOKUP(A1264,Internal_lists_bugs!$A$2:$G7981,7,FALSE()),"please select a BUG ID")</f>
        <v>https://opendev.org/openstack/nova/commit/5fa74bc</v>
      </c>
    </row>
    <row r="1265">
      <c r="A1265" s="16" t="s">
        <v>56</v>
      </c>
      <c r="B1265" s="50" t="str">
        <f>IFERROR(HYPERLINK(VLOOKUP(A1265,Internal_lists_bugs!$A$2:$C$73,3,FALSE()), VLOOKUP(A1265,Internal_lists_bugs!$A$2:$C$73,3,FALSE())&amp;Char(10) &amp; Char(10) &amp; VLOOKUP(A1265,Internal_lists_bugs!$A$2:$Z$73,26,FALSE())),"please select a BUG ID")</f>
        <v>https://bugs.launchpad.net/nova/+bug/1371677
/libvirt/driver.py</v>
      </c>
      <c r="C1265" s="81" t="str">
        <f>IFERROR(VLOOKUP(A1265,Internal_lists_bugs!$A$2:$I7981,9,FALSE()),"please select a BUG ID")</f>
        <v>https://review.opendev.org/c/openstack/nova/+/40467</v>
      </c>
      <c r="D1265" s="114"/>
      <c r="E1265" s="114"/>
      <c r="F1265" s="115"/>
      <c r="G1265" s="79" t="s">
        <v>2987</v>
      </c>
      <c r="H1265" s="116" t="s">
        <v>2988</v>
      </c>
      <c r="I1265" s="54"/>
      <c r="K1265" s="54"/>
      <c r="M1265" s="114" t="str">
        <f>VLOOKUP(A1265,'BIC_(C_Variables)'!$A$3:$AS$43,45,FALSE())</f>
        <v/>
      </c>
      <c r="N1265" s="1"/>
      <c r="O1265" s="1"/>
      <c r="P1265" s="81" t="str">
        <f>IFERROR(VLOOKUP(A1265,Internal_lists_bugs!$A$2:$G7981,7,FALSE()),"please select a BUG ID")</f>
        <v>https://opendev.org/openstack/nova/commit/5fa74bc</v>
      </c>
    </row>
    <row r="1266">
      <c r="A1266" s="16" t="s">
        <v>56</v>
      </c>
      <c r="B1266" s="50" t="str">
        <f>IFERROR(HYPERLINK(VLOOKUP(A1266,Internal_lists_bugs!$A$2:$C$73,3,FALSE()), VLOOKUP(A1266,Internal_lists_bugs!$A$2:$C$73,3,FALSE())&amp;Char(10) &amp; Char(10) &amp; VLOOKUP(A1266,Internal_lists_bugs!$A$2:$Z$73,26,FALSE())),"please select a BUG ID")</f>
        <v>https://bugs.launchpad.net/nova/+bug/1371677
/libvirt/driver.py</v>
      </c>
      <c r="C1266" s="81" t="str">
        <f>IFERROR(VLOOKUP(A1266,Internal_lists_bugs!$A$2:$I7981,9,FALSE()),"please select a BUG ID")</f>
        <v>https://review.opendev.org/c/openstack/nova/+/40467</v>
      </c>
      <c r="D1266" s="114"/>
      <c r="E1266" s="114"/>
      <c r="F1266" s="115"/>
      <c r="G1266" s="79" t="s">
        <v>2989</v>
      </c>
      <c r="H1266" s="116" t="s">
        <v>2990</v>
      </c>
      <c r="I1266" s="54"/>
      <c r="K1266" s="54"/>
      <c r="M1266" s="114" t="str">
        <f>VLOOKUP(A1266,'BIC_(C_Variables)'!$A$3:$AS$43,45,FALSE())</f>
        <v/>
      </c>
      <c r="N1266" s="1"/>
      <c r="O1266" s="1"/>
      <c r="P1266" s="81" t="str">
        <f>IFERROR(VLOOKUP(A1266,Internal_lists_bugs!$A$2:$G7981,7,FALSE()),"please select a BUG ID")</f>
        <v>https://opendev.org/openstack/nova/commit/5fa74bc</v>
      </c>
    </row>
    <row r="1267">
      <c r="A1267" s="16" t="s">
        <v>56</v>
      </c>
      <c r="B1267" s="50" t="str">
        <f>IFERROR(HYPERLINK(VLOOKUP(A1267,Internal_lists_bugs!$A$2:$C$73,3,FALSE()), VLOOKUP(A1267,Internal_lists_bugs!$A$2:$C$73,3,FALSE())&amp;Char(10) &amp; Char(10) &amp; VLOOKUP(A1267,Internal_lists_bugs!$A$2:$Z$73,26,FALSE())),"please select a BUG ID")</f>
        <v>https://bugs.launchpad.net/nova/+bug/1371677
/libvirt/driver.py</v>
      </c>
      <c r="C1267" s="81" t="str">
        <f>IFERROR(VLOOKUP(A1267,Internal_lists_bugs!$A$2:$I7981,9,FALSE()),"please select a BUG ID")</f>
        <v>https://review.opendev.org/c/openstack/nova/+/40467</v>
      </c>
      <c r="D1267" s="114"/>
      <c r="E1267" s="114"/>
      <c r="F1267" s="115"/>
      <c r="G1267" s="79" t="s">
        <v>2991</v>
      </c>
      <c r="H1267" s="116" t="s">
        <v>2992</v>
      </c>
      <c r="I1267" s="54"/>
      <c r="K1267" s="54"/>
      <c r="M1267" s="114" t="str">
        <f>VLOOKUP(A1267,'BIC_(C_Variables)'!$A$3:$AS$43,45,FALSE())</f>
        <v/>
      </c>
      <c r="N1267" s="1"/>
      <c r="O1267" s="1"/>
      <c r="P1267" s="81" t="str">
        <f>IFERROR(VLOOKUP(A1267,Internal_lists_bugs!$A$2:$G7981,7,FALSE()),"please select a BUG ID")</f>
        <v>https://opendev.org/openstack/nova/commit/5fa74bc</v>
      </c>
    </row>
    <row r="1268">
      <c r="A1268" s="16" t="s">
        <v>56</v>
      </c>
      <c r="B1268" s="50" t="str">
        <f>IFERROR(HYPERLINK(VLOOKUP(A1268,Internal_lists_bugs!$A$2:$C$73,3,FALSE()), VLOOKUP(A1268,Internal_lists_bugs!$A$2:$C$73,3,FALSE())&amp;Char(10) &amp; Char(10) &amp; VLOOKUP(A1268,Internal_lists_bugs!$A$2:$Z$73,26,FALSE())),"please select a BUG ID")</f>
        <v>https://bugs.launchpad.net/nova/+bug/1371677
/libvirt/driver.py</v>
      </c>
      <c r="C1268" s="81" t="str">
        <f>IFERROR(VLOOKUP(A1268,Internal_lists_bugs!$A$2:$I7981,9,FALSE()),"please select a BUG ID")</f>
        <v>https://review.opendev.org/c/openstack/nova/+/40467</v>
      </c>
      <c r="D1268" s="114"/>
      <c r="E1268" s="114"/>
      <c r="F1268" s="115"/>
      <c r="G1268" s="79" t="s">
        <v>2903</v>
      </c>
      <c r="H1268" s="116" t="s">
        <v>2993</v>
      </c>
      <c r="I1268" s="54"/>
      <c r="K1268" s="54"/>
      <c r="M1268" s="114" t="str">
        <f>VLOOKUP(A1268,'BIC_(C_Variables)'!$A$3:$AS$43,45,FALSE())</f>
        <v/>
      </c>
      <c r="N1268" s="1"/>
      <c r="O1268" s="1"/>
      <c r="P1268" s="81" t="str">
        <f>IFERROR(VLOOKUP(A1268,Internal_lists_bugs!$A$2:$G7981,7,FALSE()),"please select a BUG ID")</f>
        <v>https://opendev.org/openstack/nova/commit/5fa74bc</v>
      </c>
    </row>
    <row r="1269">
      <c r="A1269" s="16" t="s">
        <v>56</v>
      </c>
      <c r="B1269" s="50" t="str">
        <f>IFERROR(HYPERLINK(VLOOKUP(A1269,Internal_lists_bugs!$A$2:$C$73,3,FALSE()), VLOOKUP(A1269,Internal_lists_bugs!$A$2:$C$73,3,FALSE())&amp;Char(10) &amp; Char(10) &amp; VLOOKUP(A1269,Internal_lists_bugs!$A$2:$Z$73,26,FALSE())),"please select a BUG ID")</f>
        <v>https://bugs.launchpad.net/nova/+bug/1371677
/libvirt/driver.py</v>
      </c>
      <c r="C1269" s="81" t="str">
        <f>IFERROR(VLOOKUP(A1269,Internal_lists_bugs!$A$2:$I7981,9,FALSE()),"please select a BUG ID")</f>
        <v>https://review.opendev.org/c/openstack/nova/+/40467</v>
      </c>
      <c r="D1269" s="114"/>
      <c r="E1269" s="114"/>
      <c r="F1269" s="115"/>
      <c r="G1269" s="79" t="s">
        <v>2905</v>
      </c>
      <c r="H1269" s="116" t="s">
        <v>2994</v>
      </c>
      <c r="I1269" s="54"/>
      <c r="K1269" s="54"/>
      <c r="M1269" s="114" t="str">
        <f>VLOOKUP(A1269,'BIC_(C_Variables)'!$A$3:$AS$43,45,FALSE())</f>
        <v/>
      </c>
      <c r="N1269" s="1"/>
      <c r="O1269" s="1"/>
      <c r="P1269" s="81" t="str">
        <f>IFERROR(VLOOKUP(A1269,Internal_lists_bugs!$A$2:$G7981,7,FALSE()),"please select a BUG ID")</f>
        <v>https://opendev.org/openstack/nova/commit/5fa74bc</v>
      </c>
    </row>
    <row r="1270">
      <c r="A1270" s="16" t="s">
        <v>56</v>
      </c>
      <c r="B1270" s="50" t="str">
        <f>IFERROR(HYPERLINK(VLOOKUP(A1270,Internal_lists_bugs!$A$2:$C$73,3,FALSE()), VLOOKUP(A1270,Internal_lists_bugs!$A$2:$C$73,3,FALSE())&amp;Char(10) &amp; Char(10) &amp; VLOOKUP(A1270,Internal_lists_bugs!$A$2:$Z$73,26,FALSE())),"please select a BUG ID")</f>
        <v>https://bugs.launchpad.net/nova/+bug/1371677
/libvirt/driver.py</v>
      </c>
      <c r="C1270" s="81" t="str">
        <f>IFERROR(VLOOKUP(A1270,Internal_lists_bugs!$A$2:$I7981,9,FALSE()),"please select a BUG ID")</f>
        <v>https://review.opendev.org/c/openstack/nova/+/40467</v>
      </c>
      <c r="D1270" s="114"/>
      <c r="E1270" s="114"/>
      <c r="F1270" s="115"/>
      <c r="G1270" s="79" t="s">
        <v>1728</v>
      </c>
      <c r="H1270" s="116" t="s">
        <v>2995</v>
      </c>
      <c r="I1270" s="54"/>
      <c r="K1270" s="54"/>
      <c r="M1270" s="114" t="str">
        <f>VLOOKUP(A1270,'BIC_(C_Variables)'!$A$3:$AS$43,45,FALSE())</f>
        <v/>
      </c>
      <c r="N1270" s="1"/>
      <c r="O1270" s="1"/>
      <c r="P1270" s="81" t="str">
        <f>IFERROR(VLOOKUP(A1270,Internal_lists_bugs!$A$2:$G7981,7,FALSE()),"please select a BUG ID")</f>
        <v>https://opendev.org/openstack/nova/commit/5fa74bc</v>
      </c>
    </row>
    <row r="1271">
      <c r="A1271" s="16" t="s">
        <v>56</v>
      </c>
      <c r="B1271" s="50" t="str">
        <f>IFERROR(HYPERLINK(VLOOKUP(A1271,Internal_lists_bugs!$A$2:$C$73,3,FALSE()), VLOOKUP(A1271,Internal_lists_bugs!$A$2:$C$73,3,FALSE())&amp;Char(10) &amp; Char(10) &amp; VLOOKUP(A1271,Internal_lists_bugs!$A$2:$Z$73,26,FALSE())),"please select a BUG ID")</f>
        <v>https://bugs.launchpad.net/nova/+bug/1371677
/libvirt/driver.py</v>
      </c>
      <c r="C1271" s="81" t="str">
        <f>IFERROR(VLOOKUP(A1271,Internal_lists_bugs!$A$2:$I7981,9,FALSE()),"please select a BUG ID")</f>
        <v>https://review.opendev.org/c/openstack/nova/+/40467</v>
      </c>
      <c r="D1271" s="114"/>
      <c r="E1271" s="114"/>
      <c r="F1271" s="115"/>
      <c r="G1271" s="79" t="s">
        <v>2989</v>
      </c>
      <c r="H1271" s="116" t="s">
        <v>2996</v>
      </c>
      <c r="I1271" s="54"/>
      <c r="K1271" s="54"/>
      <c r="M1271" s="114" t="str">
        <f>VLOOKUP(A1271,'BIC_(C_Variables)'!$A$3:$AS$43,45,FALSE())</f>
        <v/>
      </c>
      <c r="N1271" s="1"/>
      <c r="O1271" s="1"/>
      <c r="P1271" s="81" t="str">
        <f>IFERROR(VLOOKUP(A1271,Internal_lists_bugs!$A$2:$G7981,7,FALSE()),"please select a BUG ID")</f>
        <v>https://opendev.org/openstack/nova/commit/5fa74bc</v>
      </c>
    </row>
    <row r="1272">
      <c r="A1272" s="16" t="s">
        <v>56</v>
      </c>
      <c r="B1272" s="50" t="str">
        <f>IFERROR(HYPERLINK(VLOOKUP(A1272,Internal_lists_bugs!$A$2:$C$73,3,FALSE()), VLOOKUP(A1272,Internal_lists_bugs!$A$2:$C$73,3,FALSE())&amp;Char(10) &amp; Char(10) &amp; VLOOKUP(A1272,Internal_lists_bugs!$A$2:$Z$73,26,FALSE())),"please select a BUG ID")</f>
        <v>https://bugs.launchpad.net/nova/+bug/1371677
/libvirt/driver.py</v>
      </c>
      <c r="C1272" s="81" t="str">
        <f>IFERROR(VLOOKUP(A1272,Internal_lists_bugs!$A$2:$I7981,9,FALSE()),"please select a BUG ID")</f>
        <v>https://review.opendev.org/c/openstack/nova/+/40467</v>
      </c>
      <c r="D1272" s="114"/>
      <c r="E1272" s="114"/>
      <c r="F1272" s="115"/>
      <c r="G1272" s="79" t="s">
        <v>2991</v>
      </c>
      <c r="H1272" s="116" t="s">
        <v>2997</v>
      </c>
      <c r="I1272" s="54"/>
      <c r="K1272" s="54"/>
      <c r="M1272" s="114" t="str">
        <f>VLOOKUP(A1272,'BIC_(C_Variables)'!$A$3:$AS$43,45,FALSE())</f>
        <v/>
      </c>
      <c r="N1272" s="1"/>
      <c r="O1272" s="1"/>
      <c r="P1272" s="81" t="str">
        <f>IFERROR(VLOOKUP(A1272,Internal_lists_bugs!$A$2:$G7981,7,FALSE()),"please select a BUG ID")</f>
        <v>https://opendev.org/openstack/nova/commit/5fa74bc</v>
      </c>
    </row>
    <row r="1273">
      <c r="A1273" s="16" t="s">
        <v>56</v>
      </c>
      <c r="B1273" s="50" t="str">
        <f>IFERROR(HYPERLINK(VLOOKUP(A1273,Internal_lists_bugs!$A$2:$C$73,3,FALSE()), VLOOKUP(A1273,Internal_lists_bugs!$A$2:$C$73,3,FALSE())&amp;Char(10) &amp; Char(10) &amp; VLOOKUP(A1273,Internal_lists_bugs!$A$2:$Z$73,26,FALSE())),"please select a BUG ID")</f>
        <v>https://bugs.launchpad.net/nova/+bug/1371677
/libvirt/driver.py</v>
      </c>
      <c r="C1273" s="81" t="str">
        <f>IFERROR(VLOOKUP(A1273,Internal_lists_bugs!$A$2:$I7981,9,FALSE()),"please select a BUG ID")</f>
        <v>https://review.opendev.org/c/openstack/nova/+/40467</v>
      </c>
      <c r="D1273" s="114"/>
      <c r="E1273" s="114"/>
      <c r="F1273" s="115"/>
      <c r="G1273" s="79" t="s">
        <v>2998</v>
      </c>
      <c r="H1273" s="116" t="s">
        <v>2999</v>
      </c>
      <c r="I1273" s="54"/>
      <c r="K1273" s="54"/>
      <c r="M1273" s="114" t="str">
        <f>VLOOKUP(A1273,'BIC_(C_Variables)'!$A$3:$AS$43,45,FALSE())</f>
        <v/>
      </c>
      <c r="N1273" s="1"/>
      <c r="O1273" s="1"/>
      <c r="P1273" s="81" t="str">
        <f>IFERROR(VLOOKUP(A1273,Internal_lists_bugs!$A$2:$G7981,7,FALSE()),"please select a BUG ID")</f>
        <v>https://opendev.org/openstack/nova/commit/5fa74bc</v>
      </c>
    </row>
    <row r="1274">
      <c r="A1274" s="16" t="s">
        <v>56</v>
      </c>
      <c r="B1274" s="50" t="str">
        <f>IFERROR(HYPERLINK(VLOOKUP(A1274,Internal_lists_bugs!$A$2:$C$73,3,FALSE()), VLOOKUP(A1274,Internal_lists_bugs!$A$2:$C$73,3,FALSE())&amp;Char(10) &amp; Char(10) &amp; VLOOKUP(A1274,Internal_lists_bugs!$A$2:$Z$73,26,FALSE())),"please select a BUG ID")</f>
        <v>https://bugs.launchpad.net/nova/+bug/1371677
/libvirt/driver.py</v>
      </c>
      <c r="C1274" s="81" t="str">
        <f>IFERROR(VLOOKUP(A1274,Internal_lists_bugs!$A$2:$I7981,9,FALSE()),"please select a BUG ID")</f>
        <v>https://review.opendev.org/c/openstack/nova/+/40467</v>
      </c>
      <c r="D1274" s="114"/>
      <c r="E1274" s="114"/>
      <c r="F1274" s="115"/>
      <c r="G1274" s="79" t="s">
        <v>3000</v>
      </c>
      <c r="H1274" s="116" t="s">
        <v>3001</v>
      </c>
      <c r="I1274" s="54"/>
      <c r="K1274" s="54"/>
      <c r="M1274" s="114" t="str">
        <f>VLOOKUP(A1274,'BIC_(C_Variables)'!$A$3:$AS$43,45,FALSE())</f>
        <v/>
      </c>
      <c r="N1274" s="1"/>
      <c r="O1274" s="1"/>
      <c r="P1274" s="81" t="str">
        <f>IFERROR(VLOOKUP(A1274,Internal_lists_bugs!$A$2:$G7981,7,FALSE()),"please select a BUG ID")</f>
        <v>https://opendev.org/openstack/nova/commit/5fa74bc</v>
      </c>
    </row>
    <row r="1275">
      <c r="A1275" s="16" t="s">
        <v>56</v>
      </c>
      <c r="B1275" s="50" t="str">
        <f>IFERROR(HYPERLINK(VLOOKUP(A1275,Internal_lists_bugs!$A$2:$C$73,3,FALSE()), VLOOKUP(A1275,Internal_lists_bugs!$A$2:$C$73,3,FALSE())&amp;Char(10) &amp; Char(10) &amp; VLOOKUP(A1275,Internal_lists_bugs!$A$2:$Z$73,26,FALSE())),"please select a BUG ID")</f>
        <v>https://bugs.launchpad.net/nova/+bug/1371677
/libvirt/driver.py</v>
      </c>
      <c r="C1275" s="81" t="str">
        <f>IFERROR(VLOOKUP(A1275,Internal_lists_bugs!$A$2:$I7981,9,FALSE()),"please select a BUG ID")</f>
        <v>https://review.opendev.org/c/openstack/nova/+/40467</v>
      </c>
      <c r="D1275" s="114"/>
      <c r="E1275" s="114"/>
      <c r="F1275" s="115"/>
      <c r="G1275" s="79" t="s">
        <v>2042</v>
      </c>
      <c r="H1275" s="116" t="s">
        <v>3001</v>
      </c>
      <c r="I1275" s="54"/>
      <c r="K1275" s="54"/>
      <c r="M1275" s="114" t="str">
        <f>VLOOKUP(A1275,'BIC_(C_Variables)'!$A$3:$AS$43,45,FALSE())</f>
        <v/>
      </c>
      <c r="N1275" s="1"/>
      <c r="O1275" s="1"/>
      <c r="P1275" s="81" t="str">
        <f>IFERROR(VLOOKUP(A1275,Internal_lists_bugs!$A$2:$G7981,7,FALSE()),"please select a BUG ID")</f>
        <v>https://opendev.org/openstack/nova/commit/5fa74bc</v>
      </c>
    </row>
    <row r="1276">
      <c r="A1276" s="16" t="s">
        <v>56</v>
      </c>
      <c r="B1276" s="50" t="str">
        <f>IFERROR(HYPERLINK(VLOOKUP(A1276,Internal_lists_bugs!$A$2:$C$73,3,FALSE()), VLOOKUP(A1276,Internal_lists_bugs!$A$2:$C$73,3,FALSE())&amp;Char(10) &amp; Char(10) &amp; VLOOKUP(A1276,Internal_lists_bugs!$A$2:$Z$73,26,FALSE())),"please select a BUG ID")</f>
        <v>https://bugs.launchpad.net/nova/+bug/1371677
/libvirt/driver.py</v>
      </c>
      <c r="C1276" s="81" t="str">
        <f>IFERROR(VLOOKUP(A1276,Internal_lists_bugs!$A$2:$I7981,9,FALSE()),"please select a BUG ID")</f>
        <v>https://review.opendev.org/c/openstack/nova/+/40467</v>
      </c>
      <c r="D1276" s="114"/>
      <c r="E1276" s="114"/>
      <c r="F1276" s="115"/>
      <c r="G1276" s="79" t="s">
        <v>2044</v>
      </c>
      <c r="H1276" s="116" t="s">
        <v>3002</v>
      </c>
      <c r="I1276" s="54"/>
      <c r="K1276" s="54"/>
      <c r="M1276" s="114" t="str">
        <f>VLOOKUP(A1276,'BIC_(C_Variables)'!$A$3:$AS$43,45,FALSE())</f>
        <v/>
      </c>
      <c r="N1276" s="1"/>
      <c r="O1276" s="1"/>
      <c r="P1276" s="81" t="str">
        <f>IFERROR(VLOOKUP(A1276,Internal_lists_bugs!$A$2:$G7981,7,FALSE()),"please select a BUG ID")</f>
        <v>https://opendev.org/openstack/nova/commit/5fa74bc</v>
      </c>
    </row>
    <row r="1277">
      <c r="A1277" s="16" t="s">
        <v>56</v>
      </c>
      <c r="B1277" s="50" t="str">
        <f>IFERROR(HYPERLINK(VLOOKUP(A1277,Internal_lists_bugs!$A$2:$C$73,3,FALSE()), VLOOKUP(A1277,Internal_lists_bugs!$A$2:$C$73,3,FALSE())&amp;Char(10) &amp; Char(10) &amp; VLOOKUP(A1277,Internal_lists_bugs!$A$2:$Z$73,26,FALSE())),"please select a BUG ID")</f>
        <v>https://bugs.launchpad.net/nova/+bug/1371677
/libvirt/driver.py</v>
      </c>
      <c r="C1277" s="81" t="str">
        <f>IFERROR(VLOOKUP(A1277,Internal_lists_bugs!$A$2:$I7981,9,FALSE()),"please select a BUG ID")</f>
        <v>https://review.opendev.org/c/openstack/nova/+/40467</v>
      </c>
      <c r="D1277" s="114"/>
      <c r="E1277" s="114"/>
      <c r="F1277" s="115"/>
      <c r="G1277" s="79" t="s">
        <v>3003</v>
      </c>
      <c r="H1277" s="116" t="s">
        <v>3004</v>
      </c>
      <c r="I1277" s="54"/>
      <c r="K1277" s="54"/>
      <c r="M1277" s="114" t="str">
        <f>VLOOKUP(A1277,'BIC_(C_Variables)'!$A$3:$AS$43,45,FALSE())</f>
        <v/>
      </c>
      <c r="N1277" s="1"/>
      <c r="O1277" s="1"/>
      <c r="P1277" s="81" t="str">
        <f>IFERROR(VLOOKUP(A1277,Internal_lists_bugs!$A$2:$G7981,7,FALSE()),"please select a BUG ID")</f>
        <v>https://opendev.org/openstack/nova/commit/5fa74bc</v>
      </c>
    </row>
    <row r="1278">
      <c r="A1278" s="16" t="s">
        <v>56</v>
      </c>
      <c r="B1278" s="50" t="str">
        <f>IFERROR(HYPERLINK(VLOOKUP(A1278,Internal_lists_bugs!$A$2:$C$73,3,FALSE()), VLOOKUP(A1278,Internal_lists_bugs!$A$2:$C$73,3,FALSE())&amp;Char(10) &amp; Char(10) &amp; VLOOKUP(A1278,Internal_lists_bugs!$A$2:$Z$73,26,FALSE())),"please select a BUG ID")</f>
        <v>https://bugs.launchpad.net/nova/+bug/1371677
/libvirt/driver.py</v>
      </c>
      <c r="C1278" s="81" t="str">
        <f>IFERROR(VLOOKUP(A1278,Internal_lists_bugs!$A$2:$I7981,9,FALSE()),"please select a BUG ID")</f>
        <v>https://review.opendev.org/c/openstack/nova/+/40467</v>
      </c>
      <c r="D1278" s="114"/>
      <c r="E1278" s="114"/>
      <c r="F1278" s="115"/>
      <c r="G1278" s="79" t="s">
        <v>3005</v>
      </c>
      <c r="H1278" s="116" t="s">
        <v>3006</v>
      </c>
      <c r="I1278" s="54"/>
      <c r="K1278" s="54"/>
      <c r="M1278" s="114" t="str">
        <f>VLOOKUP(A1278,'BIC_(C_Variables)'!$A$3:$AS$43,45,FALSE())</f>
        <v/>
      </c>
      <c r="N1278" s="1"/>
      <c r="O1278" s="1"/>
      <c r="P1278" s="81" t="str">
        <f>IFERROR(VLOOKUP(A1278,Internal_lists_bugs!$A$2:$G7981,7,FALSE()),"please select a BUG ID")</f>
        <v>https://opendev.org/openstack/nova/commit/5fa74bc</v>
      </c>
    </row>
    <row r="1279">
      <c r="A1279" s="16" t="s">
        <v>56</v>
      </c>
      <c r="B1279" s="50" t="str">
        <f>IFERROR(HYPERLINK(VLOOKUP(A1279,Internal_lists_bugs!$A$2:$C$73,3,FALSE()), VLOOKUP(A1279,Internal_lists_bugs!$A$2:$C$73,3,FALSE())&amp;Char(10) &amp; Char(10) &amp; VLOOKUP(A1279,Internal_lists_bugs!$A$2:$Z$73,26,FALSE())),"please select a BUG ID")</f>
        <v>https://bugs.launchpad.net/nova/+bug/1371677
/libvirt/driver.py</v>
      </c>
      <c r="C1279" s="81" t="str">
        <f>IFERROR(VLOOKUP(A1279,Internal_lists_bugs!$A$2:$I7981,9,FALSE()),"please select a BUG ID")</f>
        <v>https://review.opendev.org/c/openstack/nova/+/40467</v>
      </c>
      <c r="D1279" s="114"/>
      <c r="E1279" s="114"/>
      <c r="F1279" s="115"/>
      <c r="G1279" s="79" t="s">
        <v>1514</v>
      </c>
      <c r="H1279" s="116" t="s">
        <v>3007</v>
      </c>
      <c r="I1279" s="54"/>
      <c r="K1279" s="54"/>
      <c r="M1279" s="114" t="str">
        <f>VLOOKUP(A1279,'BIC_(C_Variables)'!$A$3:$AS$43,45,FALSE())</f>
        <v/>
      </c>
      <c r="N1279" s="1"/>
      <c r="O1279" s="1"/>
      <c r="P1279" s="81" t="str">
        <f>IFERROR(VLOOKUP(A1279,Internal_lists_bugs!$A$2:$G7981,7,FALSE()),"please select a BUG ID")</f>
        <v>https://opendev.org/openstack/nova/commit/5fa74bc</v>
      </c>
    </row>
    <row r="1280">
      <c r="A1280" s="16" t="s">
        <v>56</v>
      </c>
      <c r="B1280" s="50" t="str">
        <f>IFERROR(HYPERLINK(VLOOKUP(A1280,Internal_lists_bugs!$A$2:$C$73,3,FALSE()), VLOOKUP(A1280,Internal_lists_bugs!$A$2:$C$73,3,FALSE())&amp;Char(10) &amp; Char(10) &amp; VLOOKUP(A1280,Internal_lists_bugs!$A$2:$Z$73,26,FALSE())),"please select a BUG ID")</f>
        <v>https://bugs.launchpad.net/nova/+bug/1371677
/libvirt/driver.py</v>
      </c>
      <c r="C1280" s="81" t="str">
        <f>IFERROR(VLOOKUP(A1280,Internal_lists_bugs!$A$2:$I7981,9,FALSE()),"please select a BUG ID")</f>
        <v>https://review.opendev.org/c/openstack/nova/+/40467</v>
      </c>
      <c r="D1280" s="114"/>
      <c r="E1280" s="114"/>
      <c r="F1280" s="115"/>
      <c r="G1280" s="79" t="s">
        <v>3008</v>
      </c>
      <c r="H1280" s="116" t="s">
        <v>3009</v>
      </c>
      <c r="I1280" s="54"/>
      <c r="K1280" s="54"/>
      <c r="M1280" s="114" t="str">
        <f>VLOOKUP(A1280,'BIC_(C_Variables)'!$A$3:$AS$43,45,FALSE())</f>
        <v/>
      </c>
      <c r="N1280" s="1"/>
      <c r="O1280" s="1"/>
      <c r="P1280" s="81" t="str">
        <f>IFERROR(VLOOKUP(A1280,Internal_lists_bugs!$A$2:$G7981,7,FALSE()),"please select a BUG ID")</f>
        <v>https://opendev.org/openstack/nova/commit/5fa74bc</v>
      </c>
    </row>
    <row r="1281">
      <c r="A1281" s="16" t="s">
        <v>56</v>
      </c>
      <c r="B1281" s="50" t="str">
        <f>IFERROR(HYPERLINK(VLOOKUP(A1281,Internal_lists_bugs!$A$2:$C$73,3,FALSE()), VLOOKUP(A1281,Internal_lists_bugs!$A$2:$C$73,3,FALSE())&amp;Char(10) &amp; Char(10) &amp; VLOOKUP(A1281,Internal_lists_bugs!$A$2:$Z$73,26,FALSE())),"please select a BUG ID")</f>
        <v>https://bugs.launchpad.net/nova/+bug/1371677
/libvirt/driver.py</v>
      </c>
      <c r="C1281" s="81" t="str">
        <f>IFERROR(VLOOKUP(A1281,Internal_lists_bugs!$A$2:$I7981,9,FALSE()),"please select a BUG ID")</f>
        <v>https://review.opendev.org/c/openstack/nova/+/40467</v>
      </c>
      <c r="D1281" s="114"/>
      <c r="E1281" s="114"/>
      <c r="F1281" s="115"/>
      <c r="G1281" s="79" t="s">
        <v>2832</v>
      </c>
      <c r="H1281" s="116" t="s">
        <v>3010</v>
      </c>
      <c r="I1281" s="54"/>
      <c r="K1281" s="54"/>
      <c r="M1281" s="114" t="str">
        <f>VLOOKUP(A1281,'BIC_(C_Variables)'!$A$3:$AS$43,45,FALSE())</f>
        <v/>
      </c>
      <c r="N1281" s="1"/>
      <c r="O1281" s="1"/>
      <c r="P1281" s="81" t="str">
        <f>IFERROR(VLOOKUP(A1281,Internal_lists_bugs!$A$2:$G7981,7,FALSE()),"please select a BUG ID")</f>
        <v>https://opendev.org/openstack/nova/commit/5fa74bc</v>
      </c>
    </row>
    <row r="1282">
      <c r="A1282" s="16" t="s">
        <v>56</v>
      </c>
      <c r="B1282" s="50" t="str">
        <f>IFERROR(HYPERLINK(VLOOKUP(A1282,Internal_lists_bugs!$A$2:$C$73,3,FALSE()), VLOOKUP(A1282,Internal_lists_bugs!$A$2:$C$73,3,FALSE())&amp;Char(10) &amp; Char(10) &amp; VLOOKUP(A1282,Internal_lists_bugs!$A$2:$Z$73,26,FALSE())),"please select a BUG ID")</f>
        <v>https://bugs.launchpad.net/nova/+bug/1371677
/libvirt/driver.py</v>
      </c>
      <c r="C1282" s="81" t="str">
        <f>IFERROR(VLOOKUP(A1282,Internal_lists_bugs!$A$2:$I7981,9,FALSE()),"please select a BUG ID")</f>
        <v>https://review.opendev.org/c/openstack/nova/+/40467</v>
      </c>
      <c r="D1282" s="114"/>
      <c r="E1282" s="114"/>
      <c r="F1282" s="115"/>
      <c r="G1282" s="79" t="s">
        <v>1515</v>
      </c>
      <c r="H1282" s="116" t="s">
        <v>3011</v>
      </c>
      <c r="I1282" s="54"/>
      <c r="K1282" s="54"/>
      <c r="M1282" s="114" t="str">
        <f>VLOOKUP(A1282,'BIC_(C_Variables)'!$A$3:$AS$43,45,FALSE())</f>
        <v/>
      </c>
      <c r="N1282" s="1"/>
      <c r="O1282" s="1"/>
      <c r="P1282" s="81" t="str">
        <f>IFERROR(VLOOKUP(A1282,Internal_lists_bugs!$A$2:$G7981,7,FALSE()),"please select a BUG ID")</f>
        <v>https://opendev.org/openstack/nova/commit/5fa74bc</v>
      </c>
    </row>
    <row r="1283">
      <c r="A1283" s="16" t="s">
        <v>56</v>
      </c>
      <c r="B1283" s="50" t="str">
        <f>IFERROR(HYPERLINK(VLOOKUP(A1283,Internal_lists_bugs!$A$2:$C$73,3,FALSE()), VLOOKUP(A1283,Internal_lists_bugs!$A$2:$C$73,3,FALSE())&amp;Char(10) &amp; Char(10) &amp; VLOOKUP(A1283,Internal_lists_bugs!$A$2:$Z$73,26,FALSE())),"please select a BUG ID")</f>
        <v>https://bugs.launchpad.net/nova/+bug/1371677
/libvirt/driver.py</v>
      </c>
      <c r="C1283" s="81" t="str">
        <f>IFERROR(VLOOKUP(A1283,Internal_lists_bugs!$A$2:$I7981,9,FALSE()),"please select a BUG ID")</f>
        <v>https://review.opendev.org/c/openstack/nova/+/40467</v>
      </c>
      <c r="D1283" s="114"/>
      <c r="E1283" s="114"/>
      <c r="F1283" s="115"/>
      <c r="G1283" s="79" t="s">
        <v>1533</v>
      </c>
      <c r="H1283" s="116" t="s">
        <v>3012</v>
      </c>
      <c r="I1283" s="54"/>
      <c r="K1283" s="54"/>
      <c r="M1283" s="114" t="str">
        <f>VLOOKUP(A1283,'BIC_(C_Variables)'!$A$3:$AS$43,45,FALSE())</f>
        <v/>
      </c>
      <c r="N1283" s="1"/>
      <c r="O1283" s="1"/>
      <c r="P1283" s="81" t="str">
        <f>IFERROR(VLOOKUP(A1283,Internal_lists_bugs!$A$2:$G7981,7,FALSE()),"please select a BUG ID")</f>
        <v>https://opendev.org/openstack/nova/commit/5fa74bc</v>
      </c>
    </row>
    <row r="1284">
      <c r="A1284" s="16" t="s">
        <v>56</v>
      </c>
      <c r="B1284" s="50" t="str">
        <f>IFERROR(HYPERLINK(VLOOKUP(A1284,Internal_lists_bugs!$A$2:$C$73,3,FALSE()), VLOOKUP(A1284,Internal_lists_bugs!$A$2:$C$73,3,FALSE())&amp;Char(10) &amp; Char(10) &amp; VLOOKUP(A1284,Internal_lists_bugs!$A$2:$Z$73,26,FALSE())),"please select a BUG ID")</f>
        <v>https://bugs.launchpad.net/nova/+bug/1371677
/libvirt/driver.py</v>
      </c>
      <c r="C1284" s="81" t="str">
        <f>IFERROR(VLOOKUP(A1284,Internal_lists_bugs!$A$2:$I7981,9,FALSE()),"please select a BUG ID")</f>
        <v>https://review.opendev.org/c/openstack/nova/+/40467</v>
      </c>
      <c r="D1284" s="114"/>
      <c r="E1284" s="114"/>
      <c r="F1284" s="115"/>
      <c r="G1284" s="79" t="s">
        <v>1510</v>
      </c>
      <c r="H1284" s="116" t="s">
        <v>3013</v>
      </c>
      <c r="I1284" s="54"/>
      <c r="K1284" s="54"/>
      <c r="M1284" s="114" t="str">
        <f>VLOOKUP(A1284,'BIC_(C_Variables)'!$A$3:$AS$43,45,FALSE())</f>
        <v/>
      </c>
      <c r="N1284" s="1"/>
      <c r="O1284" s="1"/>
      <c r="P1284" s="81" t="str">
        <f>IFERROR(VLOOKUP(A1284,Internal_lists_bugs!$A$2:$G7981,7,FALSE()),"please select a BUG ID")</f>
        <v>https://opendev.org/openstack/nova/commit/5fa74bc</v>
      </c>
    </row>
    <row r="1285">
      <c r="A1285" s="16" t="s">
        <v>56</v>
      </c>
      <c r="B1285" s="50" t="str">
        <f>IFERROR(HYPERLINK(VLOOKUP(A1285,Internal_lists_bugs!$A$2:$C$73,3,FALSE()), VLOOKUP(A1285,Internal_lists_bugs!$A$2:$C$73,3,FALSE())&amp;Char(10) &amp; Char(10) &amp; VLOOKUP(A1285,Internal_lists_bugs!$A$2:$Z$73,26,FALSE())),"please select a BUG ID")</f>
        <v>https://bugs.launchpad.net/nova/+bug/1371677
/libvirt/driver.py</v>
      </c>
      <c r="C1285" s="81" t="str">
        <f>IFERROR(VLOOKUP(A1285,Internal_lists_bugs!$A$2:$I7981,9,FALSE()),"please select a BUG ID")</f>
        <v>https://review.opendev.org/c/openstack/nova/+/40467</v>
      </c>
      <c r="D1285" s="114"/>
      <c r="E1285" s="114"/>
      <c r="F1285" s="115"/>
      <c r="G1285" s="79" t="s">
        <v>1566</v>
      </c>
      <c r="H1285" s="116" t="s">
        <v>3014</v>
      </c>
      <c r="I1285" s="54"/>
      <c r="K1285" s="54"/>
      <c r="M1285" s="114" t="str">
        <f>VLOOKUP(A1285,'BIC_(C_Variables)'!$A$3:$AS$43,45,FALSE())</f>
        <v/>
      </c>
      <c r="N1285" s="1"/>
      <c r="O1285" s="1"/>
      <c r="P1285" s="81" t="str">
        <f>IFERROR(VLOOKUP(A1285,Internal_lists_bugs!$A$2:$G7981,7,FALSE()),"please select a BUG ID")</f>
        <v>https://opendev.org/openstack/nova/commit/5fa74bc</v>
      </c>
    </row>
    <row r="1286">
      <c r="A1286" s="16" t="s">
        <v>56</v>
      </c>
      <c r="B1286" s="50" t="str">
        <f>IFERROR(HYPERLINK(VLOOKUP(A1286,Internal_lists_bugs!$A$2:$C$73,3,FALSE()), VLOOKUP(A1286,Internal_lists_bugs!$A$2:$C$73,3,FALSE())&amp;Char(10) &amp; Char(10) &amp; VLOOKUP(A1286,Internal_lists_bugs!$A$2:$Z$73,26,FALSE())),"please select a BUG ID")</f>
        <v>https://bugs.launchpad.net/nova/+bug/1371677
/libvirt/driver.py</v>
      </c>
      <c r="C1286" s="81" t="str">
        <f>IFERROR(VLOOKUP(A1286,Internal_lists_bugs!$A$2:$I7981,9,FALSE()),"please select a BUG ID")</f>
        <v>https://review.opendev.org/c/openstack/nova/+/40467</v>
      </c>
      <c r="D1286" s="114"/>
      <c r="E1286" s="114"/>
      <c r="F1286" s="115"/>
      <c r="G1286" s="79" t="s">
        <v>1540</v>
      </c>
      <c r="H1286" s="116" t="s">
        <v>3015</v>
      </c>
      <c r="I1286" s="54"/>
      <c r="K1286" s="54"/>
      <c r="M1286" s="114" t="str">
        <f>VLOOKUP(A1286,'BIC_(C_Variables)'!$A$3:$AS$43,45,FALSE())</f>
        <v/>
      </c>
      <c r="N1286" s="1"/>
      <c r="O1286" s="1"/>
      <c r="P1286" s="81" t="str">
        <f>IFERROR(VLOOKUP(A1286,Internal_lists_bugs!$A$2:$G7981,7,FALSE()),"please select a BUG ID")</f>
        <v>https://opendev.org/openstack/nova/commit/5fa74bc</v>
      </c>
    </row>
    <row r="1287">
      <c r="A1287" s="16" t="s">
        <v>56</v>
      </c>
      <c r="B1287" s="50" t="str">
        <f>IFERROR(HYPERLINK(VLOOKUP(A1287,Internal_lists_bugs!$A$2:$C$73,3,FALSE()), VLOOKUP(A1287,Internal_lists_bugs!$A$2:$C$73,3,FALSE())&amp;Char(10) &amp; Char(10) &amp; VLOOKUP(A1287,Internal_lists_bugs!$A$2:$Z$73,26,FALSE())),"please select a BUG ID")</f>
        <v>https://bugs.launchpad.net/nova/+bug/1371677
/libvirt/driver.py</v>
      </c>
      <c r="C1287" s="81" t="str">
        <f>IFERROR(VLOOKUP(A1287,Internal_lists_bugs!$A$2:$I7981,9,FALSE()),"please select a BUG ID")</f>
        <v>https://review.opendev.org/c/openstack/nova/+/40467</v>
      </c>
      <c r="D1287" s="114"/>
      <c r="E1287" s="114"/>
      <c r="F1287" s="115"/>
      <c r="G1287" s="79" t="s">
        <v>1542</v>
      </c>
      <c r="H1287" s="116" t="s">
        <v>3016</v>
      </c>
      <c r="I1287" s="54"/>
      <c r="K1287" s="54"/>
      <c r="M1287" s="114" t="str">
        <f>VLOOKUP(A1287,'BIC_(C_Variables)'!$A$3:$AS$43,45,FALSE())</f>
        <v/>
      </c>
      <c r="N1287" s="1"/>
      <c r="O1287" s="1"/>
      <c r="P1287" s="81" t="str">
        <f>IFERROR(VLOOKUP(A1287,Internal_lists_bugs!$A$2:$G7981,7,FALSE()),"please select a BUG ID")</f>
        <v>https://opendev.org/openstack/nova/commit/5fa74bc</v>
      </c>
    </row>
    <row r="1288">
      <c r="A1288" s="16" t="s">
        <v>56</v>
      </c>
      <c r="B1288" s="50" t="str">
        <f>IFERROR(HYPERLINK(VLOOKUP(A1288,Internal_lists_bugs!$A$2:$C$73,3,FALSE()), VLOOKUP(A1288,Internal_lists_bugs!$A$2:$C$73,3,FALSE())&amp;Char(10) &amp; Char(10) &amp; VLOOKUP(A1288,Internal_lists_bugs!$A$2:$Z$73,26,FALSE())),"please select a BUG ID")</f>
        <v>https://bugs.launchpad.net/nova/+bug/1371677
/libvirt/driver.py</v>
      </c>
      <c r="C1288" s="81" t="str">
        <f>IFERROR(VLOOKUP(A1288,Internal_lists_bugs!$A$2:$I7981,9,FALSE()),"please select a BUG ID")</f>
        <v>https://review.opendev.org/c/openstack/nova/+/40467</v>
      </c>
      <c r="D1288" s="114"/>
      <c r="E1288" s="114"/>
      <c r="F1288" s="115"/>
      <c r="G1288" s="79" t="s">
        <v>3017</v>
      </c>
      <c r="H1288" s="116" t="s">
        <v>3018</v>
      </c>
      <c r="I1288" s="54"/>
      <c r="K1288" s="54"/>
      <c r="M1288" s="114" t="str">
        <f>VLOOKUP(A1288,'BIC_(C_Variables)'!$A$3:$AS$43,45,FALSE())</f>
        <v/>
      </c>
      <c r="N1288" s="1"/>
      <c r="O1288" s="1"/>
      <c r="P1288" s="81" t="str">
        <f>IFERROR(VLOOKUP(A1288,Internal_lists_bugs!$A$2:$G7981,7,FALSE()),"please select a BUG ID")</f>
        <v>https://opendev.org/openstack/nova/commit/5fa74bc</v>
      </c>
    </row>
    <row r="1289">
      <c r="A1289" s="16" t="s">
        <v>56</v>
      </c>
      <c r="B1289" s="50" t="str">
        <f>IFERROR(HYPERLINK(VLOOKUP(A1289,Internal_lists_bugs!$A$2:$C$73,3,FALSE()), VLOOKUP(A1289,Internal_lists_bugs!$A$2:$C$73,3,FALSE())&amp;Char(10) &amp; Char(10) &amp; VLOOKUP(A1289,Internal_lists_bugs!$A$2:$Z$73,26,FALSE())),"please select a BUG ID")</f>
        <v>https://bugs.launchpad.net/nova/+bug/1371677
/libvirt/driver.py</v>
      </c>
      <c r="C1289" s="81" t="str">
        <f>IFERROR(VLOOKUP(A1289,Internal_lists_bugs!$A$2:$I7981,9,FALSE()),"please select a BUG ID")</f>
        <v>https://review.opendev.org/c/openstack/nova/+/40467</v>
      </c>
      <c r="D1289" s="114"/>
      <c r="E1289" s="114"/>
      <c r="F1289" s="115"/>
      <c r="G1289" s="79" t="s">
        <v>1731</v>
      </c>
      <c r="H1289" s="116" t="s">
        <v>3019</v>
      </c>
      <c r="I1289" s="54"/>
      <c r="K1289" s="54"/>
      <c r="M1289" s="114" t="str">
        <f>VLOOKUP(A1289,'BIC_(C_Variables)'!$A$3:$AS$43,45,FALSE())</f>
        <v/>
      </c>
      <c r="N1289" s="1"/>
      <c r="O1289" s="1"/>
      <c r="P1289" s="81" t="str">
        <f>IFERROR(VLOOKUP(A1289,Internal_lists_bugs!$A$2:$G7981,7,FALSE()),"please select a BUG ID")</f>
        <v>https://opendev.org/openstack/nova/commit/5fa74bc</v>
      </c>
    </row>
    <row r="1290">
      <c r="A1290" s="16" t="s">
        <v>56</v>
      </c>
      <c r="B1290" s="50" t="str">
        <f>IFERROR(HYPERLINK(VLOOKUP(A1290,Internal_lists_bugs!$A$2:$C$73,3,FALSE()), VLOOKUP(A1290,Internal_lists_bugs!$A$2:$C$73,3,FALSE())&amp;Char(10) &amp; Char(10) &amp; VLOOKUP(A1290,Internal_lists_bugs!$A$2:$Z$73,26,FALSE())),"please select a BUG ID")</f>
        <v>https://bugs.launchpad.net/nova/+bug/1371677
/libvirt/driver.py</v>
      </c>
      <c r="C1290" s="81" t="str">
        <f>IFERROR(VLOOKUP(A1290,Internal_lists_bugs!$A$2:$I7981,9,FALSE()),"please select a BUG ID")</f>
        <v>https://review.opendev.org/c/openstack/nova/+/40467</v>
      </c>
      <c r="D1290" s="114"/>
      <c r="E1290" s="114"/>
      <c r="F1290" s="115"/>
      <c r="G1290" s="79" t="s">
        <v>1733</v>
      </c>
      <c r="H1290" s="116" t="s">
        <v>3020</v>
      </c>
      <c r="I1290" s="54"/>
      <c r="K1290" s="54"/>
      <c r="M1290" s="114" t="str">
        <f>VLOOKUP(A1290,'BIC_(C_Variables)'!$A$3:$AS$43,45,FALSE())</f>
        <v/>
      </c>
      <c r="N1290" s="1"/>
      <c r="O1290" s="1"/>
      <c r="P1290" s="81" t="str">
        <f>IFERROR(VLOOKUP(A1290,Internal_lists_bugs!$A$2:$G7981,7,FALSE()),"please select a BUG ID")</f>
        <v>https://opendev.org/openstack/nova/commit/5fa74bc</v>
      </c>
    </row>
    <row r="1291">
      <c r="A1291" s="16" t="s">
        <v>56</v>
      </c>
      <c r="B1291" s="50" t="str">
        <f>IFERROR(HYPERLINK(VLOOKUP(A1291,Internal_lists_bugs!$A$2:$C$73,3,FALSE()), VLOOKUP(A1291,Internal_lists_bugs!$A$2:$C$73,3,FALSE())&amp;Char(10) &amp; Char(10) &amp; VLOOKUP(A1291,Internal_lists_bugs!$A$2:$Z$73,26,FALSE())),"please select a BUG ID")</f>
        <v>https://bugs.launchpad.net/nova/+bug/1371677
/libvirt/driver.py</v>
      </c>
      <c r="C1291" s="81" t="str">
        <f>IFERROR(VLOOKUP(A1291,Internal_lists_bugs!$A$2:$I7981,9,FALSE()),"please select a BUG ID")</f>
        <v>https://review.opendev.org/c/openstack/nova/+/40467</v>
      </c>
      <c r="D1291" s="114"/>
      <c r="E1291" s="114"/>
      <c r="F1291" s="115"/>
      <c r="G1291" s="79" t="s">
        <v>1735</v>
      </c>
      <c r="H1291" s="116" t="s">
        <v>3021</v>
      </c>
      <c r="I1291" s="54"/>
      <c r="K1291" s="54"/>
      <c r="M1291" s="114" t="str">
        <f>VLOOKUP(A1291,'BIC_(C_Variables)'!$A$3:$AS$43,45,FALSE())</f>
        <v/>
      </c>
      <c r="N1291" s="1"/>
      <c r="O1291" s="1"/>
      <c r="P1291" s="81" t="str">
        <f>IFERROR(VLOOKUP(A1291,Internal_lists_bugs!$A$2:$G7981,7,FALSE()),"please select a BUG ID")</f>
        <v>https://opendev.org/openstack/nova/commit/5fa74bc</v>
      </c>
    </row>
    <row r="1292">
      <c r="A1292" s="16" t="s">
        <v>56</v>
      </c>
      <c r="B1292" s="50" t="str">
        <f>IFERROR(HYPERLINK(VLOOKUP(A1292,Internal_lists_bugs!$A$2:$C$73,3,FALSE()), VLOOKUP(A1292,Internal_lists_bugs!$A$2:$C$73,3,FALSE())&amp;Char(10) &amp; Char(10) &amp; VLOOKUP(A1292,Internal_lists_bugs!$A$2:$Z$73,26,FALSE())),"please select a BUG ID")</f>
        <v>https://bugs.launchpad.net/nova/+bug/1371677
/libvirt/driver.py</v>
      </c>
      <c r="C1292" s="81" t="str">
        <f>IFERROR(VLOOKUP(A1292,Internal_lists_bugs!$A$2:$I7981,9,FALSE()),"please select a BUG ID")</f>
        <v>https://review.opendev.org/c/openstack/nova/+/40467</v>
      </c>
      <c r="D1292" s="114"/>
      <c r="E1292" s="114"/>
      <c r="F1292" s="115"/>
      <c r="G1292" s="79" t="s">
        <v>3022</v>
      </c>
      <c r="H1292" s="116" t="s">
        <v>3019</v>
      </c>
      <c r="I1292" s="54"/>
      <c r="K1292" s="54"/>
      <c r="M1292" s="114" t="str">
        <f>VLOOKUP(A1292,'BIC_(C_Variables)'!$A$3:$AS$43,45,FALSE())</f>
        <v/>
      </c>
      <c r="N1292" s="1"/>
      <c r="O1292" s="1"/>
      <c r="P1292" s="81" t="str">
        <f>IFERROR(VLOOKUP(A1292,Internal_lists_bugs!$A$2:$G7981,7,FALSE()),"please select a BUG ID")</f>
        <v>https://opendev.org/openstack/nova/commit/5fa74bc</v>
      </c>
    </row>
    <row r="1293">
      <c r="A1293" s="16" t="s">
        <v>56</v>
      </c>
      <c r="B1293" s="50" t="str">
        <f>IFERROR(HYPERLINK(VLOOKUP(A1293,Internal_lists_bugs!$A$2:$C$73,3,FALSE()), VLOOKUP(A1293,Internal_lists_bugs!$A$2:$C$73,3,FALSE())&amp;Char(10) &amp; Char(10) &amp; VLOOKUP(A1293,Internal_lists_bugs!$A$2:$Z$73,26,FALSE())),"please select a BUG ID")</f>
        <v>https://bugs.launchpad.net/nova/+bug/1371677
/libvirt/driver.py</v>
      </c>
      <c r="C1293" s="81" t="str">
        <f>IFERROR(VLOOKUP(A1293,Internal_lists_bugs!$A$2:$I7981,9,FALSE()),"please select a BUG ID")</f>
        <v>https://review.opendev.org/c/openstack/nova/+/40467</v>
      </c>
      <c r="D1293" s="114"/>
      <c r="E1293" s="114"/>
      <c r="F1293" s="115"/>
      <c r="G1293" s="79" t="s">
        <v>1519</v>
      </c>
      <c r="H1293" s="116" t="s">
        <v>3023</v>
      </c>
      <c r="I1293" s="54"/>
      <c r="K1293" s="54"/>
      <c r="M1293" s="114" t="str">
        <f>VLOOKUP(A1293,'BIC_(C_Variables)'!$A$3:$AS$43,45,FALSE())</f>
        <v/>
      </c>
      <c r="N1293" s="1"/>
      <c r="O1293" s="1"/>
      <c r="P1293" s="81" t="str">
        <f>IFERROR(VLOOKUP(A1293,Internal_lists_bugs!$A$2:$G7981,7,FALSE()),"please select a BUG ID")</f>
        <v>https://opendev.org/openstack/nova/commit/5fa74bc</v>
      </c>
    </row>
    <row r="1294">
      <c r="A1294" s="16" t="s">
        <v>56</v>
      </c>
      <c r="B1294" s="50" t="str">
        <f>IFERROR(HYPERLINK(VLOOKUP(A1294,Internal_lists_bugs!$A$2:$C$73,3,FALSE()), VLOOKUP(A1294,Internal_lists_bugs!$A$2:$C$73,3,FALSE())&amp;Char(10) &amp; Char(10) &amp; VLOOKUP(A1294,Internal_lists_bugs!$A$2:$Z$73,26,FALSE())),"please select a BUG ID")</f>
        <v>https://bugs.launchpad.net/nova/+bug/1371677
/libvirt/driver.py</v>
      </c>
      <c r="C1294" s="81" t="str">
        <f>IFERROR(VLOOKUP(A1294,Internal_lists_bugs!$A$2:$I7981,9,FALSE()),"please select a BUG ID")</f>
        <v>https://review.opendev.org/c/openstack/nova/+/40467</v>
      </c>
      <c r="D1294" s="114"/>
      <c r="E1294" s="114"/>
      <c r="F1294" s="115"/>
      <c r="G1294" s="79" t="s">
        <v>1538</v>
      </c>
      <c r="H1294" s="116" t="s">
        <v>3024</v>
      </c>
      <c r="I1294" s="54"/>
      <c r="K1294" s="54"/>
      <c r="M1294" s="114" t="str">
        <f>VLOOKUP(A1294,'BIC_(C_Variables)'!$A$3:$AS$43,45,FALSE())</f>
        <v/>
      </c>
      <c r="N1294" s="1"/>
      <c r="O1294" s="1"/>
      <c r="P1294" s="81" t="str">
        <f>IFERROR(VLOOKUP(A1294,Internal_lists_bugs!$A$2:$G7981,7,FALSE()),"please select a BUG ID")</f>
        <v>https://opendev.org/openstack/nova/commit/5fa74bc</v>
      </c>
    </row>
    <row r="1295">
      <c r="A1295" s="16" t="s">
        <v>56</v>
      </c>
      <c r="B1295" s="50" t="str">
        <f>IFERROR(HYPERLINK(VLOOKUP(A1295,Internal_lists_bugs!$A$2:$C$73,3,FALSE()), VLOOKUP(A1295,Internal_lists_bugs!$A$2:$C$73,3,FALSE())&amp;Char(10) &amp; Char(10) &amp; VLOOKUP(A1295,Internal_lists_bugs!$A$2:$Z$73,26,FALSE())),"please select a BUG ID")</f>
        <v>https://bugs.launchpad.net/nova/+bug/1371677
/libvirt/driver.py</v>
      </c>
      <c r="C1295" s="81" t="str">
        <f>IFERROR(VLOOKUP(A1295,Internal_lists_bugs!$A$2:$I7981,9,FALSE()),"please select a BUG ID")</f>
        <v>https://review.opendev.org/c/openstack/nova/+/40467</v>
      </c>
      <c r="D1295" s="114"/>
      <c r="E1295" s="114"/>
      <c r="F1295" s="115"/>
      <c r="G1295" s="79" t="s">
        <v>1529</v>
      </c>
      <c r="H1295" s="116" t="s">
        <v>3025</v>
      </c>
      <c r="I1295" s="54"/>
      <c r="K1295" s="54"/>
      <c r="M1295" s="114" t="str">
        <f>VLOOKUP(A1295,'BIC_(C_Variables)'!$A$3:$AS$43,45,FALSE())</f>
        <v/>
      </c>
      <c r="N1295" s="1"/>
      <c r="O1295" s="1"/>
      <c r="P1295" s="81" t="str">
        <f>IFERROR(VLOOKUP(A1295,Internal_lists_bugs!$A$2:$G7981,7,FALSE()),"please select a BUG ID")</f>
        <v>https://opendev.org/openstack/nova/commit/5fa74bc</v>
      </c>
    </row>
    <row r="1296">
      <c r="A1296" s="16" t="s">
        <v>56</v>
      </c>
      <c r="B1296" s="50" t="str">
        <f>IFERROR(HYPERLINK(VLOOKUP(A1296,Internal_lists_bugs!$A$2:$C$73,3,FALSE()), VLOOKUP(A1296,Internal_lists_bugs!$A$2:$C$73,3,FALSE())&amp;Char(10) &amp; Char(10) &amp; VLOOKUP(A1296,Internal_lists_bugs!$A$2:$Z$73,26,FALSE())),"please select a BUG ID")</f>
        <v>https://bugs.launchpad.net/nova/+bug/1371677
/libvirt/driver.py</v>
      </c>
      <c r="C1296" s="81" t="str">
        <f>IFERROR(VLOOKUP(A1296,Internal_lists_bugs!$A$2:$I7981,9,FALSE()),"please select a BUG ID")</f>
        <v>https://review.opendev.org/c/openstack/nova/+/40467</v>
      </c>
      <c r="D1296" s="114"/>
      <c r="E1296" s="114"/>
      <c r="F1296" s="115"/>
      <c r="G1296" s="79" t="s">
        <v>1728</v>
      </c>
      <c r="H1296" s="116" t="s">
        <v>3026</v>
      </c>
      <c r="I1296" s="54"/>
      <c r="K1296" s="54"/>
      <c r="M1296" s="114" t="str">
        <f>VLOOKUP(A1296,'BIC_(C_Variables)'!$A$3:$AS$43,45,FALSE())</f>
        <v/>
      </c>
      <c r="N1296" s="1"/>
      <c r="O1296" s="1"/>
      <c r="P1296" s="81" t="str">
        <f>IFERROR(VLOOKUP(A1296,Internal_lists_bugs!$A$2:$G7981,7,FALSE()),"please select a BUG ID")</f>
        <v>https://opendev.org/openstack/nova/commit/5fa74bc</v>
      </c>
    </row>
    <row r="1297">
      <c r="A1297" s="16" t="s">
        <v>56</v>
      </c>
      <c r="B1297" s="50" t="str">
        <f>IFERROR(HYPERLINK(VLOOKUP(A1297,Internal_lists_bugs!$A$2:$C$73,3,FALSE()), VLOOKUP(A1297,Internal_lists_bugs!$A$2:$C$73,3,FALSE())&amp;Char(10) &amp; Char(10) &amp; VLOOKUP(A1297,Internal_lists_bugs!$A$2:$Z$73,26,FALSE())),"please select a BUG ID")</f>
        <v>https://bugs.launchpad.net/nova/+bug/1371677
/libvirt/driver.py</v>
      </c>
      <c r="C1297" s="81" t="str">
        <f>IFERROR(VLOOKUP(A1297,Internal_lists_bugs!$A$2:$I7981,9,FALSE()),"please select a BUG ID")</f>
        <v>https://review.opendev.org/c/openstack/nova/+/40467</v>
      </c>
      <c r="D1297" s="114"/>
      <c r="E1297" s="114"/>
      <c r="F1297" s="115"/>
      <c r="G1297" s="79" t="s">
        <v>3027</v>
      </c>
      <c r="H1297" s="116" t="s">
        <v>3028</v>
      </c>
      <c r="I1297" s="54"/>
      <c r="K1297" s="54"/>
      <c r="M1297" s="114" t="str">
        <f>VLOOKUP(A1297,'BIC_(C_Variables)'!$A$3:$AS$43,45,FALSE())</f>
        <v/>
      </c>
      <c r="N1297" s="1"/>
      <c r="O1297" s="1"/>
      <c r="P1297" s="81" t="str">
        <f>IFERROR(VLOOKUP(A1297,Internal_lists_bugs!$A$2:$G7981,7,FALSE()),"please select a BUG ID")</f>
        <v>https://opendev.org/openstack/nova/commit/5fa74bc</v>
      </c>
    </row>
    <row r="1298">
      <c r="A1298" s="16" t="s">
        <v>56</v>
      </c>
      <c r="B1298" s="50" t="str">
        <f>IFERROR(HYPERLINK(VLOOKUP(A1298,Internal_lists_bugs!$A$2:$C$73,3,FALSE()), VLOOKUP(A1298,Internal_lists_bugs!$A$2:$C$73,3,FALSE())&amp;Char(10) &amp; Char(10) &amp; VLOOKUP(A1298,Internal_lists_bugs!$A$2:$Z$73,26,FALSE())),"please select a BUG ID")</f>
        <v>https://bugs.launchpad.net/nova/+bug/1371677
/libvirt/driver.py</v>
      </c>
      <c r="C1298" s="81" t="str">
        <f>IFERROR(VLOOKUP(A1298,Internal_lists_bugs!$A$2:$I7981,9,FALSE()),"please select a BUG ID")</f>
        <v>https://review.opendev.org/c/openstack/nova/+/40467</v>
      </c>
      <c r="D1298" s="114"/>
      <c r="E1298" s="114"/>
      <c r="F1298" s="115"/>
      <c r="G1298" s="79" t="s">
        <v>1509</v>
      </c>
      <c r="H1298" s="116" t="s">
        <v>3029</v>
      </c>
      <c r="I1298" s="54"/>
      <c r="K1298" s="54"/>
      <c r="M1298" s="114" t="str">
        <f>VLOOKUP(A1298,'BIC_(C_Variables)'!$A$3:$AS$43,45,FALSE())</f>
        <v/>
      </c>
      <c r="N1298" s="1"/>
      <c r="O1298" s="1"/>
      <c r="P1298" s="81" t="str">
        <f>IFERROR(VLOOKUP(A1298,Internal_lists_bugs!$A$2:$G7981,7,FALSE()),"please select a BUG ID")</f>
        <v>https://opendev.org/openstack/nova/commit/5fa74bc</v>
      </c>
    </row>
    <row r="1299">
      <c r="A1299" s="16" t="s">
        <v>56</v>
      </c>
      <c r="B1299" s="50" t="str">
        <f>IFERROR(HYPERLINK(VLOOKUP(A1299,Internal_lists_bugs!$A$2:$C$73,3,FALSE()), VLOOKUP(A1299,Internal_lists_bugs!$A$2:$C$73,3,FALSE())&amp;Char(10) &amp; Char(10) &amp; VLOOKUP(A1299,Internal_lists_bugs!$A$2:$Z$73,26,FALSE())),"please select a BUG ID")</f>
        <v>https://bugs.launchpad.net/nova/+bug/1371677
/libvirt/driver.py</v>
      </c>
      <c r="C1299" s="81" t="str">
        <f>IFERROR(VLOOKUP(A1299,Internal_lists_bugs!$A$2:$I7981,9,FALSE()),"please select a BUG ID")</f>
        <v>https://review.opendev.org/c/openstack/nova/+/40467</v>
      </c>
      <c r="D1299" s="114"/>
      <c r="E1299" s="114"/>
      <c r="F1299" s="115"/>
      <c r="G1299" s="79" t="s">
        <v>1728</v>
      </c>
      <c r="H1299" s="116" t="s">
        <v>3030</v>
      </c>
      <c r="I1299" s="54"/>
      <c r="K1299" s="54"/>
      <c r="M1299" s="114" t="str">
        <f>VLOOKUP(A1299,'BIC_(C_Variables)'!$A$3:$AS$43,45,FALSE())</f>
        <v/>
      </c>
      <c r="N1299" s="1"/>
      <c r="O1299" s="1"/>
      <c r="P1299" s="81" t="str">
        <f>IFERROR(VLOOKUP(A1299,Internal_lists_bugs!$A$2:$G7981,7,FALSE()),"please select a BUG ID")</f>
        <v>https://opendev.org/openstack/nova/commit/5fa74bc</v>
      </c>
    </row>
    <row r="1300">
      <c r="A1300" s="16" t="s">
        <v>56</v>
      </c>
      <c r="B1300" s="50" t="str">
        <f>IFERROR(HYPERLINK(VLOOKUP(A1300,Internal_lists_bugs!$A$2:$C$73,3,FALSE()), VLOOKUP(A1300,Internal_lists_bugs!$A$2:$C$73,3,FALSE())&amp;Char(10) &amp; Char(10) &amp; VLOOKUP(A1300,Internal_lists_bugs!$A$2:$Z$73,26,FALSE())),"please select a BUG ID")</f>
        <v>https://bugs.launchpad.net/nova/+bug/1371677
/libvirt/driver.py</v>
      </c>
      <c r="C1300" s="81" t="str">
        <f>IFERROR(VLOOKUP(A1300,Internal_lists_bugs!$A$2:$I7981,9,FALSE()),"please select a BUG ID")</f>
        <v>https://review.opendev.org/c/openstack/nova/+/40467</v>
      </c>
      <c r="D1300" s="114"/>
      <c r="E1300" s="114"/>
      <c r="F1300" s="115"/>
      <c r="G1300" s="79" t="s">
        <v>2528</v>
      </c>
      <c r="H1300" s="116" t="s">
        <v>3031</v>
      </c>
      <c r="I1300" s="54"/>
      <c r="K1300" s="54"/>
      <c r="M1300" s="114" t="str">
        <f>VLOOKUP(A1300,'BIC_(C_Variables)'!$A$3:$AS$43,45,FALSE())</f>
        <v/>
      </c>
      <c r="N1300" s="1"/>
      <c r="O1300" s="1"/>
      <c r="P1300" s="81" t="str">
        <f>IFERROR(VLOOKUP(A1300,Internal_lists_bugs!$A$2:$G7981,7,FALSE()),"please select a BUG ID")</f>
        <v>https://opendev.org/openstack/nova/commit/5fa74bc</v>
      </c>
    </row>
    <row r="1301">
      <c r="A1301" s="16" t="s">
        <v>56</v>
      </c>
      <c r="B1301" s="50" t="str">
        <f>IFERROR(HYPERLINK(VLOOKUP(A1301,Internal_lists_bugs!$A$2:$C$73,3,FALSE()), VLOOKUP(A1301,Internal_lists_bugs!$A$2:$C$73,3,FALSE())&amp;Char(10) &amp; Char(10) &amp; VLOOKUP(A1301,Internal_lists_bugs!$A$2:$Z$73,26,FALSE())),"please select a BUG ID")</f>
        <v>https://bugs.launchpad.net/nova/+bug/1371677
/libvirt/driver.py</v>
      </c>
      <c r="C1301" s="81" t="str">
        <f>IFERROR(VLOOKUP(A1301,Internal_lists_bugs!$A$2:$I7981,9,FALSE()),"please select a BUG ID")</f>
        <v>https://review.opendev.org/c/openstack/nova/+/40467</v>
      </c>
      <c r="D1301" s="114"/>
      <c r="E1301" s="114"/>
      <c r="F1301" s="115"/>
      <c r="G1301" s="79" t="s">
        <v>1860</v>
      </c>
      <c r="H1301" s="116" t="s">
        <v>3032</v>
      </c>
      <c r="I1301" s="54"/>
      <c r="K1301" s="54"/>
      <c r="M1301" s="114" t="str">
        <f>VLOOKUP(A1301,'BIC_(C_Variables)'!$A$3:$AS$43,45,FALSE())</f>
        <v/>
      </c>
      <c r="N1301" s="1"/>
      <c r="O1301" s="1"/>
      <c r="P1301" s="81" t="str">
        <f>IFERROR(VLOOKUP(A1301,Internal_lists_bugs!$A$2:$G7981,7,FALSE()),"please select a BUG ID")</f>
        <v>https://opendev.org/openstack/nova/commit/5fa74bc</v>
      </c>
    </row>
    <row r="1302">
      <c r="A1302" s="16" t="s">
        <v>56</v>
      </c>
      <c r="B1302" s="50" t="str">
        <f>IFERROR(HYPERLINK(VLOOKUP(A1302,Internal_lists_bugs!$A$2:$C$73,3,FALSE()), VLOOKUP(A1302,Internal_lists_bugs!$A$2:$C$73,3,FALSE())&amp;Char(10) &amp; Char(10) &amp; VLOOKUP(A1302,Internal_lists_bugs!$A$2:$Z$73,26,FALSE())),"please select a BUG ID")</f>
        <v>https://bugs.launchpad.net/nova/+bug/1371677
/libvirt/driver.py</v>
      </c>
      <c r="C1302" s="81" t="str">
        <f>IFERROR(VLOOKUP(A1302,Internal_lists_bugs!$A$2:$I7981,9,FALSE()),"please select a BUG ID")</f>
        <v>https://review.opendev.org/c/openstack/nova/+/40467</v>
      </c>
      <c r="D1302" s="114"/>
      <c r="E1302" s="114"/>
      <c r="F1302" s="115"/>
      <c r="G1302" s="79" t="s">
        <v>2396</v>
      </c>
      <c r="H1302" s="116" t="s">
        <v>3033</v>
      </c>
      <c r="I1302" s="54"/>
      <c r="K1302" s="54"/>
      <c r="M1302" s="114" t="str">
        <f>VLOOKUP(A1302,'BIC_(C_Variables)'!$A$3:$AS$43,45,FALSE())</f>
        <v/>
      </c>
      <c r="N1302" s="1"/>
      <c r="O1302" s="1"/>
      <c r="P1302" s="81" t="str">
        <f>IFERROR(VLOOKUP(A1302,Internal_lists_bugs!$A$2:$G7981,7,FALSE()),"please select a BUG ID")</f>
        <v>https://opendev.org/openstack/nova/commit/5fa74bc</v>
      </c>
    </row>
    <row r="1303">
      <c r="A1303" s="16" t="s">
        <v>56</v>
      </c>
      <c r="B1303" s="50" t="str">
        <f>IFERROR(HYPERLINK(VLOOKUP(A1303,Internal_lists_bugs!$A$2:$C$73,3,FALSE()), VLOOKUP(A1303,Internal_lists_bugs!$A$2:$C$73,3,FALSE())&amp;Char(10) &amp; Char(10) &amp; VLOOKUP(A1303,Internal_lists_bugs!$A$2:$Z$73,26,FALSE())),"please select a BUG ID")</f>
        <v>https://bugs.launchpad.net/nova/+bug/1371677
/libvirt/driver.py</v>
      </c>
      <c r="C1303" s="81" t="str">
        <f>IFERROR(VLOOKUP(A1303,Internal_lists_bugs!$A$2:$I7981,9,FALSE()),"please select a BUG ID")</f>
        <v>https://review.opendev.org/c/openstack/nova/+/40467</v>
      </c>
      <c r="D1303" s="114"/>
      <c r="E1303" s="114"/>
      <c r="F1303" s="115"/>
      <c r="G1303" s="79" t="s">
        <v>3034</v>
      </c>
      <c r="H1303" s="116" t="s">
        <v>3035</v>
      </c>
      <c r="I1303" s="54"/>
      <c r="K1303" s="54"/>
      <c r="M1303" s="114" t="str">
        <f>VLOOKUP(A1303,'BIC_(C_Variables)'!$A$3:$AS$43,45,FALSE())</f>
        <v/>
      </c>
      <c r="N1303" s="1"/>
      <c r="O1303" s="1"/>
      <c r="P1303" s="81" t="str">
        <f>IFERROR(VLOOKUP(A1303,Internal_lists_bugs!$A$2:$G7981,7,FALSE()),"please select a BUG ID")</f>
        <v>https://opendev.org/openstack/nova/commit/5fa74bc</v>
      </c>
    </row>
    <row r="1304">
      <c r="A1304" s="16" t="s">
        <v>56</v>
      </c>
      <c r="B1304" s="50" t="str">
        <f>IFERROR(HYPERLINK(VLOOKUP(A1304,Internal_lists_bugs!$A$2:$C$73,3,FALSE()), VLOOKUP(A1304,Internal_lists_bugs!$A$2:$C$73,3,FALSE())&amp;Char(10) &amp; Char(10) &amp; VLOOKUP(A1304,Internal_lists_bugs!$A$2:$Z$73,26,FALSE())),"please select a BUG ID")</f>
        <v>https://bugs.launchpad.net/nova/+bug/1371677
/libvirt/driver.py</v>
      </c>
      <c r="C1304" s="81" t="str">
        <f>IFERROR(VLOOKUP(A1304,Internal_lists_bugs!$A$2:$I7981,9,FALSE()),"please select a BUG ID")</f>
        <v>https://review.opendev.org/c/openstack/nova/+/40467</v>
      </c>
      <c r="D1304" s="114"/>
      <c r="E1304" s="114"/>
      <c r="F1304" s="115"/>
      <c r="G1304" s="79" t="s">
        <v>3036</v>
      </c>
      <c r="H1304" s="116" t="s">
        <v>3037</v>
      </c>
      <c r="I1304" s="54"/>
      <c r="K1304" s="54"/>
      <c r="M1304" s="114" t="str">
        <f>VLOOKUP(A1304,'BIC_(C_Variables)'!$A$3:$AS$43,45,FALSE())</f>
        <v/>
      </c>
      <c r="N1304" s="1"/>
      <c r="O1304" s="1"/>
      <c r="P1304" s="81" t="str">
        <f>IFERROR(VLOOKUP(A1304,Internal_lists_bugs!$A$2:$G7981,7,FALSE()),"please select a BUG ID")</f>
        <v>https://opendev.org/openstack/nova/commit/5fa74bc</v>
      </c>
    </row>
    <row r="1305">
      <c r="A1305" s="16" t="s">
        <v>56</v>
      </c>
      <c r="B1305" s="50" t="str">
        <f>IFERROR(HYPERLINK(VLOOKUP(A1305,Internal_lists_bugs!$A$2:$C$73,3,FALSE()), VLOOKUP(A1305,Internal_lists_bugs!$A$2:$C$73,3,FALSE())&amp;Char(10) &amp; Char(10) &amp; VLOOKUP(A1305,Internal_lists_bugs!$A$2:$Z$73,26,FALSE())),"please select a BUG ID")</f>
        <v>https://bugs.launchpad.net/nova/+bug/1371677
/libvirt/driver.py</v>
      </c>
      <c r="C1305" s="81" t="str">
        <f>IFERROR(VLOOKUP(A1305,Internal_lists_bugs!$A$2:$I7981,9,FALSE()),"please select a BUG ID")</f>
        <v>https://review.opendev.org/c/openstack/nova/+/40467</v>
      </c>
      <c r="D1305" s="114"/>
      <c r="E1305" s="114"/>
      <c r="F1305" s="115"/>
      <c r="G1305" s="79" t="s">
        <v>2735</v>
      </c>
      <c r="H1305" s="116" t="s">
        <v>3038</v>
      </c>
      <c r="I1305" s="54"/>
      <c r="K1305" s="54"/>
      <c r="M1305" s="114" t="str">
        <f>VLOOKUP(A1305,'BIC_(C_Variables)'!$A$3:$AS$43,45,FALSE())</f>
        <v/>
      </c>
      <c r="N1305" s="1"/>
      <c r="O1305" s="1"/>
      <c r="P1305" s="81" t="str">
        <f>IFERROR(VLOOKUP(A1305,Internal_lists_bugs!$A$2:$G7981,7,FALSE()),"please select a BUG ID")</f>
        <v>https://opendev.org/openstack/nova/commit/5fa74bc</v>
      </c>
    </row>
    <row r="1306">
      <c r="A1306" s="16" t="s">
        <v>56</v>
      </c>
      <c r="B1306" s="50" t="str">
        <f>IFERROR(HYPERLINK(VLOOKUP(A1306,Internal_lists_bugs!$A$2:$C$73,3,FALSE()), VLOOKUP(A1306,Internal_lists_bugs!$A$2:$C$73,3,FALSE())&amp;Char(10) &amp; Char(10) &amp; VLOOKUP(A1306,Internal_lists_bugs!$A$2:$Z$73,26,FALSE())),"please select a BUG ID")</f>
        <v>https://bugs.launchpad.net/nova/+bug/1371677
/libvirt/driver.py</v>
      </c>
      <c r="C1306" s="81" t="str">
        <f>IFERROR(VLOOKUP(A1306,Internal_lists_bugs!$A$2:$I7981,9,FALSE()),"please select a BUG ID")</f>
        <v>https://review.opendev.org/c/openstack/nova/+/40467</v>
      </c>
      <c r="D1306" s="114"/>
      <c r="E1306" s="114"/>
      <c r="F1306" s="115"/>
      <c r="G1306" s="79" t="s">
        <v>2237</v>
      </c>
      <c r="H1306" s="116" t="s">
        <v>3039</v>
      </c>
      <c r="I1306" s="54"/>
      <c r="K1306" s="54"/>
      <c r="M1306" s="114" t="str">
        <f>VLOOKUP(A1306,'BIC_(C_Variables)'!$A$3:$AS$43,45,FALSE())</f>
        <v/>
      </c>
      <c r="N1306" s="1"/>
      <c r="O1306" s="1"/>
      <c r="P1306" s="81" t="str">
        <f>IFERROR(VLOOKUP(A1306,Internal_lists_bugs!$A$2:$G7981,7,FALSE()),"please select a BUG ID")</f>
        <v>https://opendev.org/openstack/nova/commit/5fa74bc</v>
      </c>
    </row>
    <row r="1307">
      <c r="A1307" s="16" t="s">
        <v>56</v>
      </c>
      <c r="B1307" s="50" t="str">
        <f>IFERROR(HYPERLINK(VLOOKUP(A1307,Internal_lists_bugs!$A$2:$C$73,3,FALSE()), VLOOKUP(A1307,Internal_lists_bugs!$A$2:$C$73,3,FALSE())&amp;Char(10) &amp; Char(10) &amp; VLOOKUP(A1307,Internal_lists_bugs!$A$2:$Z$73,26,FALSE())),"please select a BUG ID")</f>
        <v>https://bugs.launchpad.net/nova/+bug/1371677
/libvirt/driver.py</v>
      </c>
      <c r="C1307" s="81" t="str">
        <f>IFERROR(VLOOKUP(A1307,Internal_lists_bugs!$A$2:$I7981,9,FALSE()),"please select a BUG ID")</f>
        <v>https://review.opendev.org/c/openstack/nova/+/40467</v>
      </c>
      <c r="D1307" s="114"/>
      <c r="E1307" s="114"/>
      <c r="F1307" s="115"/>
      <c r="G1307" s="79" t="s">
        <v>3040</v>
      </c>
      <c r="H1307" s="116" t="s">
        <v>3041</v>
      </c>
      <c r="I1307" s="54"/>
      <c r="K1307" s="54"/>
      <c r="M1307" s="114" t="str">
        <f>VLOOKUP(A1307,'BIC_(C_Variables)'!$A$3:$AS$43,45,FALSE())</f>
        <v/>
      </c>
      <c r="N1307" s="1"/>
      <c r="O1307" s="1"/>
      <c r="P1307" s="81" t="str">
        <f>IFERROR(VLOOKUP(A1307,Internal_lists_bugs!$A$2:$G7981,7,FALSE()),"please select a BUG ID")</f>
        <v>https://opendev.org/openstack/nova/commit/5fa74bc</v>
      </c>
    </row>
    <row r="1308">
      <c r="A1308" s="16" t="s">
        <v>56</v>
      </c>
      <c r="B1308" s="50" t="str">
        <f>IFERROR(HYPERLINK(VLOOKUP(A1308,Internal_lists_bugs!$A$2:$C$73,3,FALSE()), VLOOKUP(A1308,Internal_lists_bugs!$A$2:$C$73,3,FALSE())&amp;Char(10) &amp; Char(10) &amp; VLOOKUP(A1308,Internal_lists_bugs!$A$2:$Z$73,26,FALSE())),"please select a BUG ID")</f>
        <v>https://bugs.launchpad.net/nova/+bug/1371677
/libvirt/driver.py</v>
      </c>
      <c r="C1308" s="81" t="str">
        <f>IFERROR(VLOOKUP(A1308,Internal_lists_bugs!$A$2:$I7981,9,FALSE()),"please select a BUG ID")</f>
        <v>https://review.opendev.org/c/openstack/nova/+/40467</v>
      </c>
      <c r="D1308" s="114"/>
      <c r="E1308" s="114"/>
      <c r="F1308" s="115"/>
      <c r="G1308" s="79" t="s">
        <v>1737</v>
      </c>
      <c r="H1308" s="116" t="s">
        <v>3042</v>
      </c>
      <c r="I1308" s="54"/>
      <c r="K1308" s="54"/>
      <c r="M1308" s="114" t="str">
        <f>VLOOKUP(A1308,'BIC_(C_Variables)'!$A$3:$AS$43,45,FALSE())</f>
        <v/>
      </c>
      <c r="N1308" s="1"/>
      <c r="O1308" s="1"/>
      <c r="P1308" s="81" t="str">
        <f>IFERROR(VLOOKUP(A1308,Internal_lists_bugs!$A$2:$G7981,7,FALSE()),"please select a BUG ID")</f>
        <v>https://opendev.org/openstack/nova/commit/5fa74bc</v>
      </c>
    </row>
    <row r="1309">
      <c r="A1309" s="16" t="s">
        <v>56</v>
      </c>
      <c r="B1309" s="50" t="str">
        <f>IFERROR(HYPERLINK(VLOOKUP(A1309,Internal_lists_bugs!$A$2:$C$73,3,FALSE()), VLOOKUP(A1309,Internal_lists_bugs!$A$2:$C$73,3,FALSE())&amp;Char(10) &amp; Char(10) &amp; VLOOKUP(A1309,Internal_lists_bugs!$A$2:$Z$73,26,FALSE())),"please select a BUG ID")</f>
        <v>https://bugs.launchpad.net/nova/+bug/1371677
/libvirt/driver.py</v>
      </c>
      <c r="C1309" s="81" t="str">
        <f>IFERROR(VLOOKUP(A1309,Internal_lists_bugs!$A$2:$I7981,9,FALSE()),"please select a BUG ID")</f>
        <v>https://review.opendev.org/c/openstack/nova/+/40467</v>
      </c>
      <c r="D1309" s="114"/>
      <c r="E1309" s="114"/>
      <c r="F1309" s="115"/>
      <c r="G1309" s="79" t="s">
        <v>3043</v>
      </c>
      <c r="H1309" s="116" t="s">
        <v>3044</v>
      </c>
      <c r="I1309" s="54"/>
      <c r="K1309" s="54"/>
      <c r="M1309" s="114" t="str">
        <f>VLOOKUP(A1309,'BIC_(C_Variables)'!$A$3:$AS$43,45,FALSE())</f>
        <v/>
      </c>
      <c r="N1309" s="1"/>
      <c r="O1309" s="1"/>
      <c r="P1309" s="81" t="str">
        <f>IFERROR(VLOOKUP(A1309,Internal_lists_bugs!$A$2:$G7981,7,FALSE()),"please select a BUG ID")</f>
        <v>https://opendev.org/openstack/nova/commit/5fa74bc</v>
      </c>
    </row>
    <row r="1310">
      <c r="A1310" s="16" t="s">
        <v>56</v>
      </c>
      <c r="B1310" s="50" t="str">
        <f>IFERROR(HYPERLINK(VLOOKUP(A1310,Internal_lists_bugs!$A$2:$C$73,3,FALSE()), VLOOKUP(A1310,Internal_lists_bugs!$A$2:$C$73,3,FALSE())&amp;Char(10) &amp; Char(10) &amp; VLOOKUP(A1310,Internal_lists_bugs!$A$2:$Z$73,26,FALSE())),"please select a BUG ID")</f>
        <v>https://bugs.launchpad.net/nova/+bug/1371677
/libvirt/driver.py</v>
      </c>
      <c r="C1310" s="81" t="str">
        <f>IFERROR(VLOOKUP(A1310,Internal_lists_bugs!$A$2:$I7981,9,FALSE()),"please select a BUG ID")</f>
        <v>https://review.opendev.org/c/openstack/nova/+/40467</v>
      </c>
      <c r="D1310" s="114"/>
      <c r="E1310" s="114"/>
      <c r="F1310" s="115"/>
      <c r="G1310" s="79" t="s">
        <v>2049</v>
      </c>
      <c r="H1310" s="116" t="s">
        <v>3042</v>
      </c>
      <c r="I1310" s="54"/>
      <c r="K1310" s="54"/>
      <c r="M1310" s="114"/>
      <c r="N1310" s="1"/>
      <c r="O1310" s="1"/>
      <c r="P1310" s="51"/>
    </row>
    <row r="1311">
      <c r="A1311" s="16" t="s">
        <v>56</v>
      </c>
      <c r="B1311" s="50" t="str">
        <f>IFERROR(HYPERLINK(VLOOKUP(A1311,Internal_lists_bugs!$A$2:$C$73,3,FALSE()), VLOOKUP(A1311,Internal_lists_bugs!$A$2:$C$73,3,FALSE())&amp;Char(10) &amp; Char(10) &amp; VLOOKUP(A1311,Internal_lists_bugs!$A$2:$Z$73,26,FALSE())),"please select a BUG ID")</f>
        <v>https://bugs.launchpad.net/nova/+bug/1371677
/libvirt/driver.py</v>
      </c>
      <c r="C1311" s="81" t="str">
        <f>IFERROR(VLOOKUP(A1311,Internal_lists_bugs!$A$2:$I7981,9,FALSE()),"please select a BUG ID")</f>
        <v>https://review.opendev.org/c/openstack/nova/+/40467</v>
      </c>
      <c r="D1311" s="114"/>
      <c r="E1311" s="114"/>
      <c r="F1311" s="115"/>
      <c r="G1311" s="79" t="s">
        <v>2051</v>
      </c>
      <c r="H1311" s="116" t="s">
        <v>3045</v>
      </c>
      <c r="I1311" s="54"/>
      <c r="K1311" s="54"/>
      <c r="M1311" s="114" t="str">
        <f>VLOOKUP(A1311,'BIC_(C_Variables)'!$A$3:$AS$43,45,FALSE())</f>
        <v/>
      </c>
      <c r="N1311" s="1"/>
      <c r="O1311" s="1"/>
      <c r="P1311" s="81" t="str">
        <f>IFERROR(VLOOKUP(A1311,Internal_lists_bugs!$A$2:$G7981,7,FALSE()),"please select a BUG ID")</f>
        <v>https://opendev.org/openstack/nova/commit/5fa74bc</v>
      </c>
    </row>
    <row r="1312">
      <c r="A1312" s="16" t="s">
        <v>56</v>
      </c>
      <c r="B1312" s="50" t="str">
        <f>IFERROR(HYPERLINK(VLOOKUP(A1312,Internal_lists_bugs!$A$2:$C$73,3,FALSE()), VLOOKUP(A1312,Internal_lists_bugs!$A$2:$C$73,3,FALSE())&amp;Char(10) &amp; Char(10) &amp; VLOOKUP(A1312,Internal_lists_bugs!$A$2:$Z$73,26,FALSE())),"please select a BUG ID")</f>
        <v>https://bugs.launchpad.net/nova/+bug/1371677
/libvirt/driver.py</v>
      </c>
      <c r="C1312" s="81" t="str">
        <f>IFERROR(VLOOKUP(A1312,Internal_lists_bugs!$A$2:$I7981,9,FALSE()),"please select a BUG ID")</f>
        <v>https://review.opendev.org/c/openstack/nova/+/40467</v>
      </c>
      <c r="D1312" s="114"/>
      <c r="E1312" s="114"/>
      <c r="F1312" s="115"/>
      <c r="G1312" s="79" t="s">
        <v>3046</v>
      </c>
      <c r="H1312" s="116" t="s">
        <v>3047</v>
      </c>
      <c r="I1312" s="54"/>
      <c r="K1312" s="54"/>
      <c r="M1312" s="114" t="str">
        <f>VLOOKUP(A1312,'BIC_(C_Variables)'!$A$3:$AS$43,45,FALSE())</f>
        <v/>
      </c>
      <c r="N1312" s="1"/>
      <c r="O1312" s="1"/>
      <c r="P1312" s="81" t="str">
        <f>IFERROR(VLOOKUP(A1312,Internal_lists_bugs!$A$2:$G7981,7,FALSE()),"please select a BUG ID")</f>
        <v>https://opendev.org/openstack/nova/commit/5fa74bc</v>
      </c>
    </row>
    <row r="1313">
      <c r="A1313" s="16" t="s">
        <v>56</v>
      </c>
      <c r="B1313" s="50" t="str">
        <f>IFERROR(HYPERLINK(VLOOKUP(A1313,Internal_lists_bugs!$A$2:$C$73,3,FALSE()), VLOOKUP(A1313,Internal_lists_bugs!$A$2:$C$73,3,FALSE())&amp;Char(10) &amp; Char(10) &amp; VLOOKUP(A1313,Internal_lists_bugs!$A$2:$Z$73,26,FALSE())),"please select a BUG ID")</f>
        <v>https://bugs.launchpad.net/nova/+bug/1371677
/libvirt/driver.py</v>
      </c>
      <c r="C1313" s="81" t="str">
        <f>IFERROR(VLOOKUP(A1313,Internal_lists_bugs!$A$2:$I7981,9,FALSE()),"please select a BUG ID")</f>
        <v>https://review.opendev.org/c/openstack/nova/+/40467</v>
      </c>
      <c r="D1313" s="114"/>
      <c r="E1313" s="114"/>
      <c r="F1313" s="115"/>
      <c r="G1313" s="79" t="s">
        <v>2432</v>
      </c>
      <c r="H1313" s="116" t="s">
        <v>3048</v>
      </c>
      <c r="I1313" s="54"/>
      <c r="K1313" s="54"/>
      <c r="M1313" s="114" t="str">
        <f>VLOOKUP(A1313,'BIC_(C_Variables)'!$A$3:$AS$43,45,FALSE())</f>
        <v/>
      </c>
      <c r="N1313" s="1"/>
      <c r="O1313" s="1"/>
      <c r="P1313" s="81" t="str">
        <f>IFERROR(VLOOKUP(A1313,Internal_lists_bugs!$A$2:$G7981,7,FALSE()),"please select a BUG ID")</f>
        <v>https://opendev.org/openstack/nova/commit/5fa74bc</v>
      </c>
    </row>
    <row r="1314">
      <c r="A1314" s="16" t="s">
        <v>56</v>
      </c>
      <c r="B1314" s="50" t="str">
        <f>IFERROR(HYPERLINK(VLOOKUP(A1314,Internal_lists_bugs!$A$2:$C$73,3,FALSE()), VLOOKUP(A1314,Internal_lists_bugs!$A$2:$C$73,3,FALSE())&amp;Char(10) &amp; Char(10) &amp; VLOOKUP(A1314,Internal_lists_bugs!$A$2:$Z$73,26,FALSE())),"please select a BUG ID")</f>
        <v>https://bugs.launchpad.net/nova/+bug/1371677
/libvirt/driver.py</v>
      </c>
      <c r="C1314" s="81" t="str">
        <f>IFERROR(VLOOKUP(A1314,Internal_lists_bugs!$A$2:$I7981,9,FALSE()),"please select a BUG ID")</f>
        <v>https://review.opendev.org/c/openstack/nova/+/40467</v>
      </c>
      <c r="D1314" s="114"/>
      <c r="E1314" s="114"/>
      <c r="F1314" s="115"/>
      <c r="G1314" s="79" t="s">
        <v>2434</v>
      </c>
      <c r="H1314" s="116" t="s">
        <v>3049</v>
      </c>
      <c r="I1314" s="54"/>
      <c r="K1314" s="54"/>
      <c r="M1314" s="114"/>
      <c r="N1314" s="1"/>
      <c r="O1314" s="1"/>
      <c r="P1314" s="51"/>
    </row>
    <row r="1315">
      <c r="A1315" s="16" t="s">
        <v>56</v>
      </c>
      <c r="B1315" s="50" t="str">
        <f>IFERROR(HYPERLINK(VLOOKUP(A1315,Internal_lists_bugs!$A$2:$C$73,3,FALSE()), VLOOKUP(A1315,Internal_lists_bugs!$A$2:$C$73,3,FALSE())&amp;Char(10) &amp; Char(10) &amp; VLOOKUP(A1315,Internal_lists_bugs!$A$2:$Z$73,26,FALSE())),"please select a BUG ID")</f>
        <v>https://bugs.launchpad.net/nova/+bug/1371677
/libvirt/driver.py</v>
      </c>
      <c r="C1315" s="81" t="str">
        <f>IFERROR(VLOOKUP(A1315,Internal_lists_bugs!$A$2:$I7981,9,FALSE()),"please select a BUG ID")</f>
        <v>https://review.opendev.org/c/openstack/nova/+/40467</v>
      </c>
      <c r="D1315" s="114"/>
      <c r="E1315" s="114"/>
      <c r="F1315" s="115"/>
      <c r="G1315" s="79" t="s">
        <v>2053</v>
      </c>
      <c r="H1315" s="116" t="s">
        <v>3050</v>
      </c>
      <c r="I1315" s="54"/>
      <c r="K1315" s="54"/>
      <c r="M1315" s="114" t="str">
        <f>VLOOKUP(A1315,'BIC_(C_Variables)'!$A$3:$AS$43,45,FALSE())</f>
        <v/>
      </c>
      <c r="N1315" s="1"/>
      <c r="O1315" s="1"/>
      <c r="P1315" s="81" t="str">
        <f>IFERROR(VLOOKUP(A1315,Internal_lists_bugs!$A$2:$G7981,7,FALSE()),"please select a BUG ID")</f>
        <v>https://opendev.org/openstack/nova/commit/5fa74bc</v>
      </c>
    </row>
    <row r="1316">
      <c r="A1316" s="16" t="s">
        <v>56</v>
      </c>
      <c r="B1316" s="50" t="str">
        <f>IFERROR(HYPERLINK(VLOOKUP(A1316,Internal_lists_bugs!$A$2:$C$73,3,FALSE()), VLOOKUP(A1316,Internal_lists_bugs!$A$2:$C$73,3,FALSE())&amp;Char(10) &amp; Char(10) &amp; VLOOKUP(A1316,Internal_lists_bugs!$A$2:$Z$73,26,FALSE())),"please select a BUG ID")</f>
        <v>https://bugs.launchpad.net/nova/+bug/1371677
/libvirt/driver.py</v>
      </c>
      <c r="C1316" s="81" t="str">
        <f>IFERROR(VLOOKUP(A1316,Internal_lists_bugs!$A$2:$I7981,9,FALSE()),"please select a BUG ID")</f>
        <v>https://review.opendev.org/c/openstack/nova/+/40467</v>
      </c>
      <c r="D1316" s="114"/>
      <c r="E1316" s="114"/>
      <c r="F1316" s="115"/>
      <c r="G1316" s="79" t="s">
        <v>2279</v>
      </c>
      <c r="H1316" s="116" t="s">
        <v>3051</v>
      </c>
      <c r="I1316" s="54"/>
      <c r="K1316" s="54"/>
      <c r="M1316" s="114"/>
      <c r="N1316" s="1"/>
      <c r="O1316" s="1"/>
      <c r="P1316" s="51"/>
    </row>
    <row r="1317">
      <c r="A1317" s="16" t="s">
        <v>56</v>
      </c>
      <c r="B1317" s="50" t="str">
        <f>IFERROR(HYPERLINK(VLOOKUP(A1317,Internal_lists_bugs!$A$2:$C$73,3,FALSE()), VLOOKUP(A1317,Internal_lists_bugs!$A$2:$C$73,3,FALSE())&amp;Char(10) &amp; Char(10) &amp; VLOOKUP(A1317,Internal_lists_bugs!$A$2:$Z$73,26,FALSE())),"please select a BUG ID")</f>
        <v>https://bugs.launchpad.net/nova/+bug/1371677
/libvirt/driver.py</v>
      </c>
      <c r="C1317" s="81" t="str">
        <f>IFERROR(VLOOKUP(A1317,Internal_lists_bugs!$A$2:$I7981,9,FALSE()),"please select a BUG ID")</f>
        <v>https://review.opendev.org/c/openstack/nova/+/40467</v>
      </c>
      <c r="D1317" s="114"/>
      <c r="E1317" s="114"/>
      <c r="F1317" s="115"/>
      <c r="G1317" s="79" t="s">
        <v>1570</v>
      </c>
      <c r="H1317" s="116" t="s">
        <v>3051</v>
      </c>
      <c r="I1317" s="54"/>
      <c r="K1317" s="54"/>
      <c r="M1317" s="114" t="str">
        <f>VLOOKUP(A1317,'BIC_(C_Variables)'!$A$3:$AS$43,45,FALSE())</f>
        <v/>
      </c>
      <c r="N1317" s="1"/>
      <c r="O1317" s="1"/>
      <c r="P1317" s="81" t="str">
        <f>IFERROR(VLOOKUP(A1317,Internal_lists_bugs!$A$2:$G7981,7,FALSE()),"please select a BUG ID")</f>
        <v>https://opendev.org/openstack/nova/commit/5fa74bc</v>
      </c>
    </row>
    <row r="1318">
      <c r="A1318" s="16" t="s">
        <v>56</v>
      </c>
      <c r="B1318" s="50" t="str">
        <f>IFERROR(HYPERLINK(VLOOKUP(A1318,Internal_lists_bugs!$A$2:$C$73,3,FALSE()), VLOOKUP(A1318,Internal_lists_bugs!$A$2:$C$73,3,FALSE())&amp;Char(10) &amp; Char(10) &amp; VLOOKUP(A1318,Internal_lists_bugs!$A$2:$Z$73,26,FALSE())),"please select a BUG ID")</f>
        <v>https://bugs.launchpad.net/nova/+bug/1371677
/libvirt/driver.py</v>
      </c>
      <c r="C1318" s="81" t="str">
        <f>IFERROR(VLOOKUP(A1318,Internal_lists_bugs!$A$2:$I7981,9,FALSE()),"please select a BUG ID")</f>
        <v>https://review.opendev.org/c/openstack/nova/+/40467</v>
      </c>
      <c r="D1318" s="114"/>
      <c r="E1318" s="114"/>
      <c r="F1318" s="115"/>
      <c r="G1318" s="79" t="s">
        <v>1720</v>
      </c>
      <c r="H1318" s="116" t="s">
        <v>3052</v>
      </c>
      <c r="I1318" s="54"/>
      <c r="K1318" s="54"/>
      <c r="M1318" s="114" t="str">
        <f>VLOOKUP(A1318,'BIC_(C_Variables)'!$A$3:$AS$43,45,FALSE())</f>
        <v/>
      </c>
      <c r="N1318" s="1"/>
      <c r="O1318" s="1"/>
      <c r="P1318" s="81" t="str">
        <f>IFERROR(VLOOKUP(A1318,Internal_lists_bugs!$A$2:$G7981,7,FALSE()),"please select a BUG ID")</f>
        <v>https://opendev.org/openstack/nova/commit/5fa74bc</v>
      </c>
    </row>
    <row r="1319">
      <c r="A1319" s="16" t="s">
        <v>56</v>
      </c>
      <c r="B1319" s="50" t="str">
        <f>IFERROR(HYPERLINK(VLOOKUP(A1319,Internal_lists_bugs!$A$2:$C$73,3,FALSE()), VLOOKUP(A1319,Internal_lists_bugs!$A$2:$C$73,3,FALSE())&amp;Char(10) &amp; Char(10) &amp; VLOOKUP(A1319,Internal_lists_bugs!$A$2:$Z$73,26,FALSE())),"please select a BUG ID")</f>
        <v>https://bugs.launchpad.net/nova/+bug/1371677
/libvirt/driver.py</v>
      </c>
      <c r="C1319" s="81" t="str">
        <f>IFERROR(VLOOKUP(A1319,Internal_lists_bugs!$A$2:$I7981,9,FALSE()),"please select a BUG ID")</f>
        <v>https://review.opendev.org/c/openstack/nova/+/40467</v>
      </c>
      <c r="D1319" s="114"/>
      <c r="E1319" s="114"/>
      <c r="F1319" s="115"/>
      <c r="G1319" s="79" t="s">
        <v>1590</v>
      </c>
      <c r="H1319" s="116" t="s">
        <v>3053</v>
      </c>
      <c r="I1319" s="54"/>
      <c r="K1319" s="54"/>
      <c r="M1319" s="114" t="str">
        <f>VLOOKUP(A1319,'BIC_(C_Variables)'!$A$3:$AS$43,45,FALSE())</f>
        <v/>
      </c>
      <c r="N1319" s="1"/>
      <c r="O1319" s="1"/>
      <c r="P1319" s="81" t="str">
        <f>IFERROR(VLOOKUP(A1319,Internal_lists_bugs!$A$2:$G7981,7,FALSE()),"please select a BUG ID")</f>
        <v>https://opendev.org/openstack/nova/commit/5fa74bc</v>
      </c>
    </row>
    <row r="1320">
      <c r="A1320" s="16" t="s">
        <v>56</v>
      </c>
      <c r="B1320" s="50" t="str">
        <f>IFERROR(HYPERLINK(VLOOKUP(A1320,Internal_lists_bugs!$A$2:$C$73,3,FALSE()), VLOOKUP(A1320,Internal_lists_bugs!$A$2:$C$73,3,FALSE())&amp;Char(10) &amp; Char(10) &amp; VLOOKUP(A1320,Internal_lists_bugs!$A$2:$Z$73,26,FALSE())),"please select a BUG ID")</f>
        <v>https://bugs.launchpad.net/nova/+bug/1371677
/libvirt/driver.py</v>
      </c>
      <c r="C1320" s="81" t="str">
        <f>IFERROR(VLOOKUP(A1320,Internal_lists_bugs!$A$2:$I7981,9,FALSE()),"please select a BUG ID")</f>
        <v>https://review.opendev.org/c/openstack/nova/+/40467</v>
      </c>
      <c r="D1320" s="114"/>
      <c r="E1320" s="114"/>
      <c r="F1320" s="115"/>
      <c r="G1320" s="79" t="s">
        <v>3054</v>
      </c>
      <c r="H1320" s="116" t="s">
        <v>3055</v>
      </c>
      <c r="I1320" s="54"/>
      <c r="K1320" s="54"/>
      <c r="M1320" s="114" t="str">
        <f>VLOOKUP(A1320,'BIC_(C_Variables)'!$A$3:$AS$43,45,FALSE())</f>
        <v/>
      </c>
      <c r="N1320" s="1"/>
      <c r="O1320" s="1"/>
      <c r="P1320" s="81" t="str">
        <f>IFERROR(VLOOKUP(A1320,Internal_lists_bugs!$A$2:$G7981,7,FALSE()),"please select a BUG ID")</f>
        <v>https://opendev.org/openstack/nova/commit/5fa74bc</v>
      </c>
    </row>
    <row r="1321">
      <c r="A1321" s="16" t="s">
        <v>57</v>
      </c>
      <c r="B1321" s="50" t="str">
        <f>IFERROR(HYPERLINK(VLOOKUP(A1321,Internal_lists_bugs!$A$2:$C$73,3,FALSE()), VLOOKUP(A1321,Internal_lists_bugs!$A$2:$C$73,3,FALSE())&amp;Char(10) &amp; Char(10) &amp; VLOOKUP(A1321,Internal_lists_bugs!$A$2:$Z$73,26,FALSE())),"please select a BUG ID")</f>
        <v>https://bugs.launchpad.net/nova/+bug/1481078
/xenapi/vmops.py</v>
      </c>
      <c r="C1321" s="81" t="str">
        <f>IFERROR(VLOOKUP(A1321,Internal_lists_bugs!$A$2:$I7981,9,FALSE()),"please select a BUG ID")</f>
        <v>https://review.opendev.org/c/openstack/nova/+/164940</v>
      </c>
      <c r="D1321" s="112" t="s">
        <v>1412</v>
      </c>
      <c r="E1321" s="112" t="s">
        <v>1462</v>
      </c>
      <c r="F1321" s="113" t="s">
        <v>251</v>
      </c>
      <c r="G1321" s="79" t="s">
        <v>1465</v>
      </c>
      <c r="H1321" s="116" t="s">
        <v>3056</v>
      </c>
      <c r="I1321" s="16" t="s">
        <v>251</v>
      </c>
      <c r="J1321" s="16" t="s">
        <v>3057</v>
      </c>
      <c r="K1321" s="16" t="s">
        <v>251</v>
      </c>
      <c r="L1321" s="16" t="s">
        <v>3058</v>
      </c>
      <c r="M1321" s="114" t="str">
        <f>VLOOKUP(A1321,'BIC_(C_Variables)'!$A$3:$AS$43,45,FALSE())</f>
        <v/>
      </c>
      <c r="N1321" s="1"/>
      <c r="O1321" s="1"/>
      <c r="P1321" s="81" t="str">
        <f>IFERROR(VLOOKUP(A1321,Internal_lists_bugs!$A$2:$G7981,7,FALSE()),"please select a BUG ID")</f>
        <v>https://opendev.org/openstack/nova/commit/31f208423405</v>
      </c>
    </row>
    <row r="1322">
      <c r="A1322" s="16" t="s">
        <v>57</v>
      </c>
      <c r="B1322" s="50" t="str">
        <f>IFERROR(HYPERLINK(VLOOKUP(A1322,Internal_lists_bugs!$A$2:$C$73,3,FALSE()), VLOOKUP(A1322,Internal_lists_bugs!$A$2:$C$73,3,FALSE())&amp;Char(10) &amp; Char(10) &amp; VLOOKUP(A1322,Internal_lists_bugs!$A$2:$Z$73,26,FALSE())),"please select a BUG ID")</f>
        <v>https://bugs.launchpad.net/nova/+bug/1481078
/xenapi/vmops.py</v>
      </c>
      <c r="C1322" s="81" t="str">
        <f>IFERROR(VLOOKUP(A1322,Internal_lists_bugs!$A$2:$I7981,9,FALSE()),"please select a BUG ID")</f>
        <v>https://review.opendev.org/c/openstack/nova/+/164940</v>
      </c>
      <c r="D1322" s="114"/>
      <c r="E1322" s="114"/>
      <c r="F1322" s="115"/>
      <c r="G1322" s="79" t="s">
        <v>1419</v>
      </c>
      <c r="H1322" s="116" t="s">
        <v>3059</v>
      </c>
      <c r="I1322" s="54"/>
      <c r="K1322" s="54"/>
      <c r="M1322" s="114" t="str">
        <f>VLOOKUP(A1322,'BIC_(C_Variables)'!$A$3:$AS$43,45,FALSE())</f>
        <v/>
      </c>
      <c r="N1322" s="1"/>
      <c r="O1322" s="1"/>
      <c r="P1322" s="81" t="str">
        <f>IFERROR(VLOOKUP(A1322,Internal_lists_bugs!$A$2:$G7981,7,FALSE()),"please select a BUG ID")</f>
        <v>https://opendev.org/openstack/nova/commit/31f208423405</v>
      </c>
    </row>
    <row r="1323">
      <c r="A1323" s="16" t="s">
        <v>57</v>
      </c>
      <c r="B1323" s="50" t="str">
        <f>IFERROR(HYPERLINK(VLOOKUP(A1323,Internal_lists_bugs!$A$2:$C$73,3,FALSE()), VLOOKUP(A1323,Internal_lists_bugs!$A$2:$C$73,3,FALSE())&amp;Char(10) &amp; Char(10) &amp; VLOOKUP(A1323,Internal_lists_bugs!$A$2:$Z$73,26,FALSE())),"please select a BUG ID")</f>
        <v>https://bugs.launchpad.net/nova/+bug/1481078
/xenapi/vmops.py</v>
      </c>
      <c r="C1323" s="81" t="str">
        <f>IFERROR(VLOOKUP(A1323,Internal_lists_bugs!$A$2:$I7981,9,FALSE()),"please select a BUG ID")</f>
        <v>https://review.opendev.org/c/openstack/nova/+/164940</v>
      </c>
      <c r="D1323" s="114"/>
      <c r="E1323" s="114"/>
      <c r="F1323" s="115"/>
      <c r="G1323" s="79" t="s">
        <v>1417</v>
      </c>
      <c r="H1323" s="116" t="s">
        <v>3060</v>
      </c>
      <c r="I1323" s="54"/>
      <c r="K1323" s="54"/>
      <c r="M1323" s="114" t="str">
        <f>VLOOKUP(A1323,'BIC_(C_Variables)'!$A$3:$AS$43,45,FALSE())</f>
        <v/>
      </c>
      <c r="N1323" s="1"/>
      <c r="O1323" s="1"/>
      <c r="P1323" s="81" t="str">
        <f>IFERROR(VLOOKUP(A1323,Internal_lists_bugs!$A$2:$G7981,7,FALSE()),"please select a BUG ID")</f>
        <v>https://opendev.org/openstack/nova/commit/31f208423405</v>
      </c>
    </row>
    <row r="1324">
      <c r="A1324" s="16" t="s">
        <v>57</v>
      </c>
      <c r="B1324" s="50" t="str">
        <f>IFERROR(HYPERLINK(VLOOKUP(A1324,Internal_lists_bugs!$A$2:$C$73,3,FALSE()), VLOOKUP(A1324,Internal_lists_bugs!$A$2:$C$73,3,FALSE())&amp;Char(10) &amp; Char(10) &amp; VLOOKUP(A1324,Internal_lists_bugs!$A$2:$Z$73,26,FALSE())),"please select a BUG ID")</f>
        <v>https://bugs.launchpad.net/nova/+bug/1481078
/xenapi/vmops.py</v>
      </c>
      <c r="C1324" s="81" t="str">
        <f>IFERROR(VLOOKUP(A1324,Internal_lists_bugs!$A$2:$I7981,9,FALSE()),"please select a BUG ID")</f>
        <v>https://review.opendev.org/c/openstack/nova/+/164940</v>
      </c>
      <c r="D1324" s="114"/>
      <c r="E1324" s="114"/>
      <c r="F1324" s="115"/>
      <c r="G1324" s="79" t="s">
        <v>1495</v>
      </c>
      <c r="H1324" s="116" t="s">
        <v>3061</v>
      </c>
      <c r="I1324" s="54"/>
      <c r="K1324" s="54"/>
      <c r="M1324" s="114" t="str">
        <f>VLOOKUP(A1324,'BIC_(C_Variables)'!$A$3:$AS$43,45,FALSE())</f>
        <v/>
      </c>
      <c r="N1324" s="1"/>
      <c r="O1324" s="1"/>
      <c r="P1324" s="81" t="str">
        <f>IFERROR(VLOOKUP(A1324,Internal_lists_bugs!$A$2:$G7981,7,FALSE()),"please select a BUG ID")</f>
        <v>https://opendev.org/openstack/nova/commit/31f208423405</v>
      </c>
    </row>
    <row r="1325">
      <c r="A1325" s="16" t="s">
        <v>57</v>
      </c>
      <c r="B1325" s="50" t="str">
        <f>IFERROR(HYPERLINK(VLOOKUP(A1325,Internal_lists_bugs!$A$2:$C$73,3,FALSE()), VLOOKUP(A1325,Internal_lists_bugs!$A$2:$C$73,3,FALSE())&amp;Char(10) &amp; Char(10) &amp; VLOOKUP(A1325,Internal_lists_bugs!$A$2:$Z$73,26,FALSE())),"please select a BUG ID")</f>
        <v>https://bugs.launchpad.net/nova/+bug/1481078
/xenapi/vmops.py</v>
      </c>
      <c r="C1325" s="81" t="str">
        <f>IFERROR(VLOOKUP(A1325,Internal_lists_bugs!$A$2:$I7981,9,FALSE()),"please select a BUG ID")</f>
        <v>https://review.opendev.org/c/openstack/nova/+/164940</v>
      </c>
      <c r="D1325" s="114"/>
      <c r="E1325" s="114"/>
      <c r="F1325" s="115"/>
      <c r="G1325" s="79" t="s">
        <v>3062</v>
      </c>
      <c r="H1325" s="116" t="s">
        <v>3061</v>
      </c>
      <c r="I1325" s="54"/>
      <c r="K1325" s="54"/>
      <c r="M1325" s="114" t="str">
        <f>VLOOKUP(A1325,'BIC_(C_Variables)'!$A$3:$AS$43,45,FALSE())</f>
        <v/>
      </c>
      <c r="N1325" s="1"/>
      <c r="O1325" s="1"/>
      <c r="P1325" s="81" t="str">
        <f>IFERROR(VLOOKUP(A1325,Internal_lists_bugs!$A$2:$G7981,7,FALSE()),"please select a BUG ID")</f>
        <v>https://opendev.org/openstack/nova/commit/31f208423405</v>
      </c>
    </row>
    <row r="1326">
      <c r="A1326" s="16" t="s">
        <v>57</v>
      </c>
      <c r="B1326" s="50" t="str">
        <f>IFERROR(HYPERLINK(VLOOKUP(A1326,Internal_lists_bugs!$A$2:$C$73,3,FALSE()), VLOOKUP(A1326,Internal_lists_bugs!$A$2:$C$73,3,FALSE())&amp;Char(10) &amp; Char(10) &amp; VLOOKUP(A1326,Internal_lists_bugs!$A$2:$Z$73,26,FALSE())),"please select a BUG ID")</f>
        <v>https://bugs.launchpad.net/nova/+bug/1481078
/xenapi/vmops.py</v>
      </c>
      <c r="C1326" s="81" t="str">
        <f>IFERROR(VLOOKUP(A1326,Internal_lists_bugs!$A$2:$I7981,9,FALSE()),"please select a BUG ID")</f>
        <v>https://review.opendev.org/c/openstack/nova/+/164940</v>
      </c>
      <c r="D1326" s="114"/>
      <c r="E1326" s="114"/>
      <c r="F1326" s="115"/>
      <c r="G1326" s="79" t="s">
        <v>1673</v>
      </c>
      <c r="H1326" s="116" t="s">
        <v>3063</v>
      </c>
      <c r="I1326" s="54"/>
      <c r="K1326" s="54"/>
      <c r="M1326" s="114"/>
      <c r="N1326" s="1"/>
      <c r="O1326" s="1"/>
      <c r="P1326" s="51"/>
    </row>
    <row r="1327">
      <c r="A1327" s="16" t="s">
        <v>57</v>
      </c>
      <c r="B1327" s="50" t="str">
        <f>IFERROR(HYPERLINK(VLOOKUP(A1327,Internal_lists_bugs!$A$2:$C$73,3,FALSE()), VLOOKUP(A1327,Internal_lists_bugs!$A$2:$C$73,3,FALSE())&amp;Char(10) &amp; Char(10) &amp; VLOOKUP(A1327,Internal_lists_bugs!$A$2:$Z$73,26,FALSE())),"please select a BUG ID")</f>
        <v>https://bugs.launchpad.net/nova/+bug/1481078
/xenapi/vmops.py</v>
      </c>
      <c r="C1327" s="81" t="str">
        <f>IFERROR(VLOOKUP(A1327,Internal_lists_bugs!$A$2:$I7981,9,FALSE()),"please select a BUG ID")</f>
        <v>https://review.opendev.org/c/openstack/nova/+/164940</v>
      </c>
      <c r="D1327" s="114"/>
      <c r="E1327" s="114"/>
      <c r="F1327" s="115"/>
      <c r="G1327" s="79" t="s">
        <v>1507</v>
      </c>
      <c r="H1327" s="116" t="s">
        <v>3064</v>
      </c>
      <c r="I1327" s="54"/>
      <c r="K1327" s="54"/>
      <c r="M1327" s="114" t="str">
        <f>VLOOKUP(A1327,'BIC_(C_Variables)'!$A$3:$AS$43,45,FALSE())</f>
        <v/>
      </c>
      <c r="N1327" s="1"/>
      <c r="O1327" s="1"/>
      <c r="P1327" s="81" t="str">
        <f>IFERROR(VLOOKUP(A1327,Internal_lists_bugs!$A$2:$G7981,7,FALSE()),"please select a BUG ID")</f>
        <v>https://opendev.org/openstack/nova/commit/31f208423405</v>
      </c>
    </row>
    <row r="1328">
      <c r="A1328" s="16" t="s">
        <v>57</v>
      </c>
      <c r="B1328" s="50" t="str">
        <f>IFERROR(HYPERLINK(VLOOKUP(A1328,Internal_lists_bugs!$A$2:$C$73,3,FALSE()), VLOOKUP(A1328,Internal_lists_bugs!$A$2:$C$73,3,FALSE())&amp;Char(10) &amp; Char(10) &amp; VLOOKUP(A1328,Internal_lists_bugs!$A$2:$Z$73,26,FALSE())),"please select a BUG ID")</f>
        <v>https://bugs.launchpad.net/nova/+bug/1481078
/xenapi/vmops.py</v>
      </c>
      <c r="C1328" s="81" t="str">
        <f>IFERROR(VLOOKUP(A1328,Internal_lists_bugs!$A$2:$I7981,9,FALSE()),"please select a BUG ID")</f>
        <v>https://review.opendev.org/c/openstack/nova/+/164940</v>
      </c>
      <c r="D1328" s="114"/>
      <c r="E1328" s="114"/>
      <c r="F1328" s="115"/>
      <c r="G1328" s="79" t="s">
        <v>2885</v>
      </c>
      <c r="H1328" s="116" t="s">
        <v>3065</v>
      </c>
      <c r="I1328" s="54"/>
      <c r="K1328" s="54"/>
      <c r="M1328" s="114" t="str">
        <f>VLOOKUP(A1328,'BIC_(C_Variables)'!$A$3:$AS$43,45,FALSE())</f>
        <v/>
      </c>
      <c r="N1328" s="1"/>
      <c r="O1328" s="1"/>
      <c r="P1328" s="81" t="str">
        <f>IFERROR(VLOOKUP(A1328,Internal_lists_bugs!$A$2:$G7981,7,FALSE()),"please select a BUG ID")</f>
        <v>https://opendev.org/openstack/nova/commit/31f208423405</v>
      </c>
    </row>
    <row r="1329">
      <c r="A1329" s="16" t="s">
        <v>57</v>
      </c>
      <c r="B1329" s="50" t="str">
        <f>IFERROR(HYPERLINK(VLOOKUP(A1329,Internal_lists_bugs!$A$2:$C$73,3,FALSE()), VLOOKUP(A1329,Internal_lists_bugs!$A$2:$C$73,3,FALSE())&amp;Char(10) &amp; Char(10) &amp; VLOOKUP(A1329,Internal_lists_bugs!$A$2:$Z$73,26,FALSE())),"please select a BUG ID")</f>
        <v>https://bugs.launchpad.net/nova/+bug/1481078
/xenapi/vmops.py</v>
      </c>
      <c r="C1329" s="81" t="str">
        <f>IFERROR(VLOOKUP(A1329,Internal_lists_bugs!$A$2:$I7981,9,FALSE()),"please select a BUG ID")</f>
        <v>https://review.opendev.org/c/openstack/nova/+/164940</v>
      </c>
      <c r="D1329" s="114"/>
      <c r="E1329" s="114"/>
      <c r="F1329" s="115"/>
      <c r="G1329" s="79" t="s">
        <v>2277</v>
      </c>
      <c r="H1329" s="116" t="s">
        <v>3066</v>
      </c>
      <c r="I1329" s="54"/>
      <c r="K1329" s="54"/>
      <c r="M1329" s="114" t="str">
        <f>VLOOKUP(A1329,'BIC_(C_Variables)'!$A$3:$AS$43,45,FALSE())</f>
        <v/>
      </c>
      <c r="N1329" s="1"/>
      <c r="O1329" s="1"/>
      <c r="P1329" s="81" t="str">
        <f>IFERROR(VLOOKUP(A1329,Internal_lists_bugs!$A$2:$G7981,7,FALSE()),"please select a BUG ID")</f>
        <v>https://opendev.org/openstack/nova/commit/31f208423405</v>
      </c>
    </row>
    <row r="1330">
      <c r="A1330" s="16" t="s">
        <v>57</v>
      </c>
      <c r="B1330" s="50" t="str">
        <f>IFERROR(HYPERLINK(VLOOKUP(A1330,Internal_lists_bugs!$A$2:$C$73,3,FALSE()), VLOOKUP(A1330,Internal_lists_bugs!$A$2:$C$73,3,FALSE())&amp;Char(10) &amp; Char(10) &amp; VLOOKUP(A1330,Internal_lists_bugs!$A$2:$Z$73,26,FALSE())),"please select a BUG ID")</f>
        <v>https://bugs.launchpad.net/nova/+bug/1481078
/xenapi/vmops.py</v>
      </c>
      <c r="C1330" s="81" t="str">
        <f>IFERROR(VLOOKUP(A1330,Internal_lists_bugs!$A$2:$I7981,9,FALSE()),"please select a BUG ID")</f>
        <v>https://review.opendev.org/c/openstack/nova/+/164940</v>
      </c>
      <c r="D1330" s="114"/>
      <c r="E1330" s="114"/>
      <c r="F1330" s="115"/>
      <c r="G1330" s="79" t="s">
        <v>1468</v>
      </c>
      <c r="H1330" s="116" t="s">
        <v>3067</v>
      </c>
      <c r="I1330" s="54"/>
      <c r="K1330" s="54"/>
      <c r="M1330" s="114" t="str">
        <f>VLOOKUP(A1330,'BIC_(C_Variables)'!$A$3:$AS$43,45,FALSE())</f>
        <v/>
      </c>
      <c r="N1330" s="1"/>
      <c r="O1330" s="1"/>
      <c r="P1330" s="81" t="str">
        <f>IFERROR(VLOOKUP(A1330,Internal_lists_bugs!$A$2:$G7981,7,FALSE()),"please select a BUG ID")</f>
        <v>https://opendev.org/openstack/nova/commit/31f208423405</v>
      </c>
    </row>
    <row r="1331">
      <c r="A1331" s="16" t="s">
        <v>57</v>
      </c>
      <c r="B1331" s="50" t="str">
        <f>IFERROR(HYPERLINK(VLOOKUP(A1331,Internal_lists_bugs!$A$2:$C$73,3,FALSE()), VLOOKUP(A1331,Internal_lists_bugs!$A$2:$C$73,3,FALSE())&amp;Char(10) &amp; Char(10) &amp; VLOOKUP(A1331,Internal_lists_bugs!$A$2:$Z$73,26,FALSE())),"please select a BUG ID")</f>
        <v>https://bugs.launchpad.net/nova/+bug/1481078
/xenapi/vmops.py</v>
      </c>
      <c r="C1331" s="81" t="str">
        <f>IFERROR(VLOOKUP(A1331,Internal_lists_bugs!$A$2:$I7981,9,FALSE()),"please select a BUG ID")</f>
        <v>https://review.opendev.org/c/openstack/nova/+/164940</v>
      </c>
      <c r="D1331" s="114"/>
      <c r="E1331" s="114"/>
      <c r="F1331" s="115"/>
      <c r="G1331" s="79" t="s">
        <v>2015</v>
      </c>
      <c r="H1331" s="116" t="s">
        <v>3068</v>
      </c>
      <c r="I1331" s="54"/>
      <c r="K1331" s="54"/>
      <c r="M1331" s="114" t="str">
        <f>VLOOKUP(A1331,'BIC_(C_Variables)'!$A$3:$AS$43,45,FALSE())</f>
        <v/>
      </c>
      <c r="N1331" s="1"/>
      <c r="O1331" s="1"/>
      <c r="P1331" s="81" t="str">
        <f>IFERROR(VLOOKUP(A1331,Internal_lists_bugs!$A$2:$G7981,7,FALSE()),"please select a BUG ID")</f>
        <v>https://opendev.org/openstack/nova/commit/31f208423405</v>
      </c>
    </row>
    <row r="1332">
      <c r="A1332" s="16" t="s">
        <v>57</v>
      </c>
      <c r="B1332" s="50" t="str">
        <f>IFERROR(HYPERLINK(VLOOKUP(A1332,Internal_lists_bugs!$A$2:$C$73,3,FALSE()), VLOOKUP(A1332,Internal_lists_bugs!$A$2:$C$73,3,FALSE())&amp;Char(10) &amp; Char(10) &amp; VLOOKUP(A1332,Internal_lists_bugs!$A$2:$Z$73,26,FALSE())),"please select a BUG ID")</f>
        <v>https://bugs.launchpad.net/nova/+bug/1481078
/xenapi/vmops.py</v>
      </c>
      <c r="C1332" s="81" t="str">
        <f>IFERROR(VLOOKUP(A1332,Internal_lists_bugs!$A$2:$I7981,9,FALSE()),"please select a BUG ID")</f>
        <v>https://review.opendev.org/c/openstack/nova/+/164940</v>
      </c>
      <c r="D1332" s="114"/>
      <c r="E1332" s="114"/>
      <c r="F1332" s="115"/>
      <c r="G1332" s="79" t="s">
        <v>1460</v>
      </c>
      <c r="H1332" s="16" t="s">
        <v>1461</v>
      </c>
      <c r="I1332" s="54"/>
      <c r="K1332" s="54"/>
      <c r="M1332" s="114" t="str">
        <f>VLOOKUP(A1332,'BIC_(C_Variables)'!$A$3:$AS$43,45,FALSE())</f>
        <v/>
      </c>
      <c r="N1332" s="1"/>
      <c r="O1332" s="1"/>
      <c r="P1332" s="81" t="str">
        <f>IFERROR(VLOOKUP(A1332,Internal_lists_bugs!$A$2:$G7981,7,FALSE()),"please select a BUG ID")</f>
        <v>https://opendev.org/openstack/nova/commit/31f208423405</v>
      </c>
    </row>
    <row r="1333">
      <c r="A1333" s="16" t="s">
        <v>57</v>
      </c>
      <c r="B1333" s="50" t="str">
        <f>IFERROR(HYPERLINK(VLOOKUP(A1333,Internal_lists_bugs!$A$2:$C$73,3,FALSE()), VLOOKUP(A1333,Internal_lists_bugs!$A$2:$C$73,3,FALSE())&amp;Char(10) &amp; Char(10) &amp; VLOOKUP(A1333,Internal_lists_bugs!$A$2:$Z$73,26,FALSE())),"please select a BUG ID")</f>
        <v>https://bugs.launchpad.net/nova/+bug/1481078
/xenapi/vmops.py</v>
      </c>
      <c r="C1333" s="81" t="str">
        <f>IFERROR(VLOOKUP(A1333,Internal_lists_bugs!$A$2:$I7981,9,FALSE()),"please select a BUG ID")</f>
        <v>https://review.opendev.org/c/openstack/nova/+/164940</v>
      </c>
      <c r="D1333" s="114"/>
      <c r="E1333" s="114"/>
      <c r="F1333" s="115"/>
      <c r="G1333" s="79" t="s">
        <v>1650</v>
      </c>
      <c r="H1333" s="116" t="s">
        <v>3069</v>
      </c>
      <c r="I1333" s="54"/>
      <c r="K1333" s="54"/>
      <c r="M1333" s="114" t="str">
        <f>VLOOKUP(A1333,'BIC_(C_Variables)'!$A$3:$AS$43,45,FALSE())</f>
        <v/>
      </c>
      <c r="N1333" s="1"/>
      <c r="O1333" s="1"/>
      <c r="P1333" s="81" t="str">
        <f>IFERROR(VLOOKUP(A1333,Internal_lists_bugs!$A$2:$G7981,7,FALSE()),"please select a BUG ID")</f>
        <v>https://opendev.org/openstack/nova/commit/31f208423405</v>
      </c>
    </row>
    <row r="1334">
      <c r="A1334" s="16" t="s">
        <v>57</v>
      </c>
      <c r="B1334" s="50" t="str">
        <f>IFERROR(HYPERLINK(VLOOKUP(A1334,Internal_lists_bugs!$A$2:$C$73,3,FALSE()), VLOOKUP(A1334,Internal_lists_bugs!$A$2:$C$73,3,FALSE())&amp;Char(10) &amp; Char(10) &amp; VLOOKUP(A1334,Internal_lists_bugs!$A$2:$Z$73,26,FALSE())),"please select a BUG ID")</f>
        <v>https://bugs.launchpad.net/nova/+bug/1481078
/xenapi/vmops.py</v>
      </c>
      <c r="C1334" s="81" t="str">
        <f>IFERROR(VLOOKUP(A1334,Internal_lists_bugs!$A$2:$I7981,9,FALSE()),"please select a BUG ID")</f>
        <v>https://review.opendev.org/c/openstack/nova/+/164940</v>
      </c>
      <c r="D1334" s="114"/>
      <c r="E1334" s="114"/>
      <c r="F1334" s="115"/>
      <c r="G1334" s="79" t="s">
        <v>2928</v>
      </c>
      <c r="H1334" s="116" t="s">
        <v>3070</v>
      </c>
      <c r="I1334" s="54"/>
      <c r="K1334" s="54"/>
      <c r="M1334" s="114" t="str">
        <f>VLOOKUP(A1334,'BIC_(C_Variables)'!$A$3:$AS$43,45,FALSE())</f>
        <v/>
      </c>
      <c r="N1334" s="1"/>
      <c r="O1334" s="1"/>
      <c r="P1334" s="81" t="str">
        <f>IFERROR(VLOOKUP(A1334,Internal_lists_bugs!$A$2:$G7981,7,FALSE()),"please select a BUG ID")</f>
        <v>https://opendev.org/openstack/nova/commit/31f208423405</v>
      </c>
    </row>
    <row r="1335">
      <c r="A1335" s="16" t="s">
        <v>57</v>
      </c>
      <c r="B1335" s="50" t="str">
        <f>IFERROR(HYPERLINK(VLOOKUP(A1335,Internal_lists_bugs!$A$2:$C$73,3,FALSE()), VLOOKUP(A1335,Internal_lists_bugs!$A$2:$C$73,3,FALSE())&amp;Char(10) &amp; Char(10) &amp; VLOOKUP(A1335,Internal_lists_bugs!$A$2:$Z$73,26,FALSE())),"please select a BUG ID")</f>
        <v>https://bugs.launchpad.net/nova/+bug/1481078
/xenapi/vmops.py</v>
      </c>
      <c r="C1335" s="81" t="str">
        <f>IFERROR(VLOOKUP(A1335,Internal_lists_bugs!$A$2:$I7981,9,FALSE()),"please select a BUG ID")</f>
        <v>https://review.opendev.org/c/openstack/nova/+/164940</v>
      </c>
      <c r="D1335" s="114"/>
      <c r="E1335" s="114"/>
      <c r="F1335" s="115"/>
      <c r="G1335" s="79" t="s">
        <v>3071</v>
      </c>
      <c r="H1335" s="116" t="s">
        <v>3072</v>
      </c>
      <c r="I1335" s="54"/>
      <c r="K1335" s="54"/>
      <c r="M1335" s="114" t="str">
        <f>VLOOKUP(A1335,'BIC_(C_Variables)'!$A$3:$AS$43,45,FALSE())</f>
        <v/>
      </c>
      <c r="N1335" s="1"/>
      <c r="O1335" s="1"/>
      <c r="P1335" s="81" t="str">
        <f>IFERROR(VLOOKUP(A1335,Internal_lists_bugs!$A$2:$G7981,7,FALSE()),"please select a BUG ID")</f>
        <v>https://opendev.org/openstack/nova/commit/31f208423405</v>
      </c>
    </row>
    <row r="1336">
      <c r="A1336" s="16" t="s">
        <v>57</v>
      </c>
      <c r="B1336" s="50" t="str">
        <f>IFERROR(HYPERLINK(VLOOKUP(A1336,Internal_lists_bugs!$A$2:$C$73,3,FALSE()), VLOOKUP(A1336,Internal_lists_bugs!$A$2:$C$73,3,FALSE())&amp;Char(10) &amp; Char(10) &amp; VLOOKUP(A1336,Internal_lists_bugs!$A$2:$Z$73,26,FALSE())),"please select a BUG ID")</f>
        <v>https://bugs.launchpad.net/nova/+bug/1481078
/xenapi/vmops.py</v>
      </c>
      <c r="C1336" s="81" t="str">
        <f>IFERROR(VLOOKUP(A1336,Internal_lists_bugs!$A$2:$I7981,9,FALSE()),"please select a BUG ID")</f>
        <v>https://review.opendev.org/c/openstack/nova/+/164940</v>
      </c>
      <c r="D1336" s="114"/>
      <c r="E1336" s="114"/>
      <c r="F1336" s="115"/>
      <c r="G1336" s="79" t="s">
        <v>3071</v>
      </c>
      <c r="H1336" s="116" t="s">
        <v>3073</v>
      </c>
      <c r="I1336" s="54"/>
      <c r="K1336" s="54"/>
      <c r="M1336" s="114" t="str">
        <f>VLOOKUP(A1336,'BIC_(C_Variables)'!$A$3:$AS$43,45,FALSE())</f>
        <v/>
      </c>
      <c r="N1336" s="1"/>
      <c r="O1336" s="1"/>
      <c r="P1336" s="81" t="str">
        <f>IFERROR(VLOOKUP(A1336,Internal_lists_bugs!$A$2:$G7981,7,FALSE()),"please select a BUG ID")</f>
        <v>https://opendev.org/openstack/nova/commit/31f208423405</v>
      </c>
    </row>
    <row r="1337">
      <c r="A1337" s="16" t="s">
        <v>57</v>
      </c>
      <c r="B1337" s="50" t="str">
        <f>IFERROR(HYPERLINK(VLOOKUP(A1337,Internal_lists_bugs!$A$2:$C$73,3,FALSE()), VLOOKUP(A1337,Internal_lists_bugs!$A$2:$C$73,3,FALSE())&amp;Char(10) &amp; Char(10) &amp; VLOOKUP(A1337,Internal_lists_bugs!$A$2:$Z$73,26,FALSE())),"please select a BUG ID")</f>
        <v>https://bugs.launchpad.net/nova/+bug/1481078
/xenapi/vmops.py</v>
      </c>
      <c r="C1337" s="81" t="str">
        <f>IFERROR(VLOOKUP(A1337,Internal_lists_bugs!$A$2:$I7981,9,FALSE()),"please select a BUG ID")</f>
        <v>https://review.opendev.org/c/openstack/nova/+/164940</v>
      </c>
      <c r="D1337" s="114"/>
      <c r="E1337" s="114"/>
      <c r="F1337" s="115"/>
      <c r="G1337" s="79" t="s">
        <v>1514</v>
      </c>
      <c r="H1337" s="116" t="s">
        <v>3074</v>
      </c>
      <c r="I1337" s="54"/>
      <c r="K1337" s="54"/>
      <c r="M1337" s="114" t="str">
        <f>VLOOKUP(A1337,'BIC_(C_Variables)'!$A$3:$AS$43,45,FALSE())</f>
        <v/>
      </c>
      <c r="N1337" s="1"/>
      <c r="O1337" s="1"/>
      <c r="P1337" s="81" t="str">
        <f>IFERROR(VLOOKUP(A1337,Internal_lists_bugs!$A$2:$G7981,7,FALSE()),"please select a BUG ID")</f>
        <v>https://opendev.org/openstack/nova/commit/31f208423405</v>
      </c>
    </row>
    <row r="1338">
      <c r="A1338" s="16" t="s">
        <v>57</v>
      </c>
      <c r="B1338" s="50" t="str">
        <f>IFERROR(HYPERLINK(VLOOKUP(A1338,Internal_lists_bugs!$A$2:$C$73,3,FALSE()), VLOOKUP(A1338,Internal_lists_bugs!$A$2:$C$73,3,FALSE())&amp;Char(10) &amp; Char(10) &amp; VLOOKUP(A1338,Internal_lists_bugs!$A$2:$Z$73,26,FALSE())),"please select a BUG ID")</f>
        <v>https://bugs.launchpad.net/nova/+bug/1481078
/xenapi/vmops.py</v>
      </c>
      <c r="C1338" s="81" t="str">
        <f>IFERROR(VLOOKUP(A1338,Internal_lists_bugs!$A$2:$I7981,9,FALSE()),"please select a BUG ID")</f>
        <v>https://review.opendev.org/c/openstack/nova/+/164940</v>
      </c>
      <c r="D1338" s="114"/>
      <c r="E1338" s="114"/>
      <c r="F1338" s="115"/>
      <c r="G1338" s="79" t="s">
        <v>1779</v>
      </c>
      <c r="H1338" s="116" t="s">
        <v>3074</v>
      </c>
      <c r="I1338" s="54"/>
      <c r="K1338" s="54"/>
      <c r="M1338" s="114" t="str">
        <f>VLOOKUP(A1338,'BIC_(C_Variables)'!$A$3:$AS$43,45,FALSE())</f>
        <v/>
      </c>
      <c r="N1338" s="1"/>
      <c r="O1338" s="1"/>
      <c r="P1338" s="81" t="str">
        <f>IFERROR(VLOOKUP(A1338,Internal_lists_bugs!$A$2:$G7981,7,FALSE()),"please select a BUG ID")</f>
        <v>https://opendev.org/openstack/nova/commit/31f208423405</v>
      </c>
    </row>
    <row r="1339">
      <c r="A1339" s="16" t="s">
        <v>57</v>
      </c>
      <c r="B1339" s="50" t="str">
        <f>IFERROR(HYPERLINK(VLOOKUP(A1339,Internal_lists_bugs!$A$2:$C$73,3,FALSE()), VLOOKUP(A1339,Internal_lists_bugs!$A$2:$C$73,3,FALSE())&amp;Char(10) &amp; Char(10) &amp; VLOOKUP(A1339,Internal_lists_bugs!$A$2:$Z$73,26,FALSE())),"please select a BUG ID")</f>
        <v>https://bugs.launchpad.net/nova/+bug/1481078
/xenapi/vmops.py</v>
      </c>
      <c r="C1339" s="81" t="str">
        <f>IFERROR(VLOOKUP(A1339,Internal_lists_bugs!$A$2:$I7981,9,FALSE()),"please select a BUG ID")</f>
        <v>https://review.opendev.org/c/openstack/nova/+/164940</v>
      </c>
      <c r="D1339" s="114"/>
      <c r="E1339" s="114"/>
      <c r="F1339" s="115"/>
      <c r="G1339" s="79" t="s">
        <v>1808</v>
      </c>
      <c r="H1339" s="116" t="s">
        <v>3075</v>
      </c>
      <c r="I1339" s="54"/>
      <c r="K1339" s="54"/>
      <c r="M1339" s="114" t="str">
        <f>VLOOKUP(A1339,'BIC_(C_Variables)'!$A$3:$AS$43,45,FALSE())</f>
        <v/>
      </c>
      <c r="N1339" s="1"/>
      <c r="O1339" s="1"/>
      <c r="P1339" s="81" t="str">
        <f>IFERROR(VLOOKUP(A1339,Internal_lists_bugs!$A$2:$G7981,7,FALSE()),"please select a BUG ID")</f>
        <v>https://opendev.org/openstack/nova/commit/31f208423405</v>
      </c>
    </row>
    <row r="1340">
      <c r="A1340" s="16" t="s">
        <v>57</v>
      </c>
      <c r="B1340" s="50" t="str">
        <f>IFERROR(HYPERLINK(VLOOKUP(A1340,Internal_lists_bugs!$A$2:$C$73,3,FALSE()), VLOOKUP(A1340,Internal_lists_bugs!$A$2:$C$73,3,FALSE())&amp;Char(10) &amp; Char(10) &amp; VLOOKUP(A1340,Internal_lists_bugs!$A$2:$Z$73,26,FALSE())),"please select a BUG ID")</f>
        <v>https://bugs.launchpad.net/nova/+bug/1481078
/xenapi/vmops.py</v>
      </c>
      <c r="C1340" s="81" t="str">
        <f>IFERROR(VLOOKUP(A1340,Internal_lists_bugs!$A$2:$I7981,9,FALSE()),"please select a BUG ID")</f>
        <v>https://review.opendev.org/c/openstack/nova/+/164940</v>
      </c>
      <c r="D1340" s="114"/>
      <c r="E1340" s="114"/>
      <c r="F1340" s="115"/>
      <c r="G1340" s="79" t="s">
        <v>1728</v>
      </c>
      <c r="H1340" s="116" t="s">
        <v>3076</v>
      </c>
      <c r="I1340" s="54"/>
      <c r="K1340" s="54"/>
      <c r="M1340" s="114" t="str">
        <f>VLOOKUP(A1340,'BIC_(C_Variables)'!$A$3:$AS$43,45,FALSE())</f>
        <v/>
      </c>
      <c r="N1340" s="1"/>
      <c r="O1340" s="1"/>
      <c r="P1340" s="81" t="str">
        <f>IFERROR(VLOOKUP(A1340,Internal_lists_bugs!$A$2:$G7981,7,FALSE()),"please select a BUG ID")</f>
        <v>https://opendev.org/openstack/nova/commit/31f208423405</v>
      </c>
    </row>
    <row r="1341">
      <c r="A1341" s="16" t="s">
        <v>57</v>
      </c>
      <c r="B1341" s="50" t="str">
        <f>IFERROR(HYPERLINK(VLOOKUP(A1341,Internal_lists_bugs!$A$2:$C$73,3,FALSE()), VLOOKUP(A1341,Internal_lists_bugs!$A$2:$C$73,3,FALSE())&amp;Char(10) &amp; Char(10) &amp; VLOOKUP(A1341,Internal_lists_bugs!$A$2:$Z$73,26,FALSE())),"please select a BUG ID")</f>
        <v>https://bugs.launchpad.net/nova/+bug/1481078
/xenapi/vmops.py</v>
      </c>
      <c r="C1341" s="81" t="str">
        <f>IFERROR(VLOOKUP(A1341,Internal_lists_bugs!$A$2:$I7981,9,FALSE()),"please select a BUG ID")</f>
        <v>https://review.opendev.org/c/openstack/nova/+/164940</v>
      </c>
      <c r="D1341" s="114"/>
      <c r="E1341" s="114"/>
      <c r="F1341" s="115"/>
      <c r="G1341" s="79" t="s">
        <v>1696</v>
      </c>
      <c r="H1341" s="116" t="s">
        <v>3077</v>
      </c>
      <c r="I1341" s="54"/>
      <c r="K1341" s="54"/>
      <c r="M1341" s="114" t="str">
        <f>VLOOKUP(A1341,'BIC_(C_Variables)'!$A$3:$AS$43,45,FALSE())</f>
        <v/>
      </c>
      <c r="N1341" s="1"/>
      <c r="O1341" s="1"/>
      <c r="P1341" s="81" t="str">
        <f>IFERROR(VLOOKUP(A1341,Internal_lists_bugs!$A$2:$G7981,7,FALSE()),"please select a BUG ID")</f>
        <v>https://opendev.org/openstack/nova/commit/31f208423405</v>
      </c>
    </row>
    <row r="1342">
      <c r="A1342" s="16" t="s">
        <v>57</v>
      </c>
      <c r="B1342" s="50" t="str">
        <f>IFERROR(HYPERLINK(VLOOKUP(A1342,Internal_lists_bugs!$A$2:$C$73,3,FALSE()), VLOOKUP(A1342,Internal_lists_bugs!$A$2:$C$73,3,FALSE())&amp;Char(10) &amp; Char(10) &amp; VLOOKUP(A1342,Internal_lists_bugs!$A$2:$Z$73,26,FALSE())),"please select a BUG ID")</f>
        <v>https://bugs.launchpad.net/nova/+bug/1481078
/xenapi/vmops.py</v>
      </c>
      <c r="C1342" s="81" t="str">
        <f>IFERROR(VLOOKUP(A1342,Internal_lists_bugs!$A$2:$I7981,9,FALSE()),"please select a BUG ID")</f>
        <v>https://review.opendev.org/c/openstack/nova/+/164940</v>
      </c>
      <c r="D1342" s="114"/>
      <c r="E1342" s="114"/>
      <c r="F1342" s="115"/>
      <c r="G1342" s="79" t="s">
        <v>3078</v>
      </c>
      <c r="H1342" s="116" t="s">
        <v>3079</v>
      </c>
      <c r="I1342" s="54"/>
      <c r="K1342" s="54"/>
      <c r="M1342" s="114" t="str">
        <f>VLOOKUP(A1342,'BIC_(C_Variables)'!$A$3:$AS$43,45,FALSE())</f>
        <v/>
      </c>
      <c r="N1342" s="1"/>
      <c r="O1342" s="1"/>
      <c r="P1342" s="81" t="str">
        <f>IFERROR(VLOOKUP(A1342,Internal_lists_bugs!$A$2:$G7981,7,FALSE()),"please select a BUG ID")</f>
        <v>https://opendev.org/openstack/nova/commit/31f208423405</v>
      </c>
    </row>
    <row r="1343">
      <c r="A1343" s="16" t="s">
        <v>57</v>
      </c>
      <c r="B1343" s="50" t="str">
        <f>IFERROR(HYPERLINK(VLOOKUP(A1343,Internal_lists_bugs!$A$2:$C$73,3,FALSE()), VLOOKUP(A1343,Internal_lists_bugs!$A$2:$C$73,3,FALSE())&amp;Char(10) &amp; Char(10) &amp; VLOOKUP(A1343,Internal_lists_bugs!$A$2:$Z$73,26,FALSE())),"please select a BUG ID")</f>
        <v>https://bugs.launchpad.net/nova/+bug/1481078
/xenapi/vmops.py</v>
      </c>
      <c r="C1343" s="81" t="str">
        <f>IFERROR(VLOOKUP(A1343,Internal_lists_bugs!$A$2:$I7981,9,FALSE()),"please select a BUG ID")</f>
        <v>https://review.opendev.org/c/openstack/nova/+/164940</v>
      </c>
      <c r="D1343" s="114"/>
      <c r="E1343" s="114"/>
      <c r="F1343" s="115"/>
      <c r="G1343" s="79" t="s">
        <v>1515</v>
      </c>
      <c r="H1343" s="116" t="s">
        <v>2459</v>
      </c>
      <c r="I1343" s="54"/>
      <c r="K1343" s="54"/>
      <c r="M1343" s="114" t="str">
        <f>VLOOKUP(A1343,'BIC_(C_Variables)'!$A$3:$AS$43,45,FALSE())</f>
        <v/>
      </c>
      <c r="N1343" s="1"/>
      <c r="O1343" s="1"/>
      <c r="P1343" s="81" t="str">
        <f>IFERROR(VLOOKUP(A1343,Internal_lists_bugs!$A$2:$G7981,7,FALSE()),"please select a BUG ID")</f>
        <v>https://opendev.org/openstack/nova/commit/31f208423405</v>
      </c>
    </row>
    <row r="1344">
      <c r="A1344" s="16" t="s">
        <v>57</v>
      </c>
      <c r="B1344" s="50" t="str">
        <f>IFERROR(HYPERLINK(VLOOKUP(A1344,Internal_lists_bugs!$A$2:$C$73,3,FALSE()), VLOOKUP(A1344,Internal_lists_bugs!$A$2:$C$73,3,FALSE())&amp;Char(10) &amp; Char(10) &amp; VLOOKUP(A1344,Internal_lists_bugs!$A$2:$Z$73,26,FALSE())),"please select a BUG ID")</f>
        <v>https://bugs.launchpad.net/nova/+bug/1481078
/xenapi/vmops.py</v>
      </c>
      <c r="C1344" s="81" t="str">
        <f>IFERROR(VLOOKUP(A1344,Internal_lists_bugs!$A$2:$I7981,9,FALSE()),"please select a BUG ID")</f>
        <v>https://review.opendev.org/c/openstack/nova/+/164940</v>
      </c>
      <c r="D1344" s="114"/>
      <c r="E1344" s="114"/>
      <c r="F1344" s="115"/>
      <c r="G1344" s="79" t="s">
        <v>1506</v>
      </c>
      <c r="H1344" s="116" t="s">
        <v>3080</v>
      </c>
      <c r="I1344" s="54"/>
      <c r="K1344" s="54"/>
      <c r="M1344" s="114" t="str">
        <f>VLOOKUP(A1344,'BIC_(C_Variables)'!$A$3:$AS$43,45,FALSE())</f>
        <v/>
      </c>
      <c r="N1344" s="1"/>
      <c r="O1344" s="1"/>
      <c r="P1344" s="81" t="str">
        <f>IFERROR(VLOOKUP(A1344,Internal_lists_bugs!$A$2:$G7981,7,FALSE()),"please select a BUG ID")</f>
        <v>https://opendev.org/openstack/nova/commit/31f208423405</v>
      </c>
    </row>
    <row r="1345">
      <c r="A1345" s="16" t="s">
        <v>57</v>
      </c>
      <c r="B1345" s="50" t="str">
        <f>IFERROR(HYPERLINK(VLOOKUP(A1345,Internal_lists_bugs!$A$2:$C$73,3,FALSE()), VLOOKUP(A1345,Internal_lists_bugs!$A$2:$C$73,3,FALSE())&amp;Char(10) &amp; Char(10) &amp; VLOOKUP(A1345,Internal_lists_bugs!$A$2:$Z$73,26,FALSE())),"please select a BUG ID")</f>
        <v>https://bugs.launchpad.net/nova/+bug/1481078
/xenapi/vmops.py</v>
      </c>
      <c r="C1345" s="81" t="str">
        <f>IFERROR(VLOOKUP(A1345,Internal_lists_bugs!$A$2:$I7981,9,FALSE()),"please select a BUG ID")</f>
        <v>https://review.opendev.org/c/openstack/nova/+/164940</v>
      </c>
      <c r="D1345" s="114"/>
      <c r="E1345" s="114"/>
      <c r="F1345" s="115"/>
      <c r="G1345" s="79" t="s">
        <v>1568</v>
      </c>
      <c r="H1345" s="116" t="s">
        <v>3081</v>
      </c>
      <c r="I1345" s="54"/>
      <c r="K1345" s="54"/>
      <c r="M1345" s="114" t="str">
        <f>VLOOKUP(A1345,'BIC_(C_Variables)'!$A$3:$AS$43,45,FALSE())</f>
        <v/>
      </c>
      <c r="N1345" s="1"/>
      <c r="O1345" s="1"/>
      <c r="P1345" s="81" t="str">
        <f>IFERROR(VLOOKUP(A1345,Internal_lists_bugs!$A$2:$G7981,7,FALSE()),"please select a BUG ID")</f>
        <v>https://opendev.org/openstack/nova/commit/31f208423405</v>
      </c>
    </row>
    <row r="1346">
      <c r="A1346" s="16" t="s">
        <v>57</v>
      </c>
      <c r="B1346" s="50" t="str">
        <f>IFERROR(HYPERLINK(VLOOKUP(A1346,Internal_lists_bugs!$A$2:$C$73,3,FALSE()), VLOOKUP(A1346,Internal_lists_bugs!$A$2:$C$73,3,FALSE())&amp;Char(10) &amp; Char(10) &amp; VLOOKUP(A1346,Internal_lists_bugs!$A$2:$Z$73,26,FALSE())),"please select a BUG ID")</f>
        <v>https://bugs.launchpad.net/nova/+bug/1481078
/xenapi/vmops.py</v>
      </c>
      <c r="C1346" s="81" t="str">
        <f>IFERROR(VLOOKUP(A1346,Internal_lists_bugs!$A$2:$I7981,9,FALSE()),"please select a BUG ID")</f>
        <v>https://review.opendev.org/c/openstack/nova/+/164940</v>
      </c>
      <c r="D1346" s="114"/>
      <c r="E1346" s="114"/>
      <c r="F1346" s="115"/>
      <c r="G1346" s="79" t="s">
        <v>3082</v>
      </c>
      <c r="H1346" s="116" t="s">
        <v>3083</v>
      </c>
      <c r="I1346" s="54"/>
      <c r="K1346" s="54"/>
      <c r="M1346" s="114" t="str">
        <f>VLOOKUP(A1346,'BIC_(C_Variables)'!$A$3:$AS$43,45,FALSE())</f>
        <v/>
      </c>
      <c r="N1346" s="1"/>
      <c r="O1346" s="1"/>
      <c r="P1346" s="81" t="str">
        <f>IFERROR(VLOOKUP(A1346,Internal_lists_bugs!$A$2:$G7981,7,FALSE()),"please select a BUG ID")</f>
        <v>https://opendev.org/openstack/nova/commit/31f208423405</v>
      </c>
    </row>
    <row r="1347">
      <c r="A1347" s="16" t="s">
        <v>57</v>
      </c>
      <c r="B1347" s="50" t="str">
        <f>IFERROR(HYPERLINK(VLOOKUP(A1347,Internal_lists_bugs!$A$2:$C$73,3,FALSE()), VLOOKUP(A1347,Internal_lists_bugs!$A$2:$C$73,3,FALSE())&amp;Char(10) &amp; Char(10) &amp; VLOOKUP(A1347,Internal_lists_bugs!$A$2:$Z$73,26,FALSE())),"please select a BUG ID")</f>
        <v>https://bugs.launchpad.net/nova/+bug/1481078
/xenapi/vmops.py</v>
      </c>
      <c r="C1347" s="81" t="str">
        <f>IFERROR(VLOOKUP(A1347,Internal_lists_bugs!$A$2:$I7981,9,FALSE()),"please select a BUG ID")</f>
        <v>https://review.opendev.org/c/openstack/nova/+/164940</v>
      </c>
      <c r="D1347" s="114"/>
      <c r="E1347" s="114"/>
      <c r="F1347" s="115"/>
      <c r="G1347" s="79" t="s">
        <v>3084</v>
      </c>
      <c r="H1347" s="116" t="s">
        <v>3085</v>
      </c>
      <c r="I1347" s="54"/>
      <c r="K1347" s="54"/>
      <c r="M1347" s="114" t="str">
        <f>VLOOKUP(A1347,'BIC_(C_Variables)'!$A$3:$AS$43,45,FALSE())</f>
        <v/>
      </c>
      <c r="N1347" s="1"/>
      <c r="O1347" s="1"/>
      <c r="P1347" s="81" t="str">
        <f>IFERROR(VLOOKUP(A1347,Internal_lists_bugs!$A$2:$G7981,7,FALSE()),"please select a BUG ID")</f>
        <v>https://opendev.org/openstack/nova/commit/31f208423405</v>
      </c>
    </row>
    <row r="1348">
      <c r="A1348" s="16" t="s">
        <v>57</v>
      </c>
      <c r="B1348" s="50" t="str">
        <f>IFERROR(HYPERLINK(VLOOKUP(A1348,Internal_lists_bugs!$A$2:$C$73,3,FALSE()), VLOOKUP(A1348,Internal_lists_bugs!$A$2:$C$73,3,FALSE())&amp;Char(10) &amp; Char(10) &amp; VLOOKUP(A1348,Internal_lists_bugs!$A$2:$Z$73,26,FALSE())),"please select a BUG ID")</f>
        <v>https://bugs.launchpad.net/nova/+bug/1481078
/xenapi/vmops.py</v>
      </c>
      <c r="C1348" s="81" t="str">
        <f>IFERROR(VLOOKUP(A1348,Internal_lists_bugs!$A$2:$I7981,9,FALSE()),"please select a BUG ID")</f>
        <v>https://review.opendev.org/c/openstack/nova/+/164940</v>
      </c>
      <c r="D1348" s="114"/>
      <c r="E1348" s="114"/>
      <c r="F1348" s="115"/>
      <c r="G1348" s="79" t="s">
        <v>2518</v>
      </c>
      <c r="H1348" s="116" t="s">
        <v>3086</v>
      </c>
      <c r="I1348" s="54"/>
      <c r="K1348" s="54"/>
      <c r="M1348" s="114" t="str">
        <f>VLOOKUP(A1348,'BIC_(C_Variables)'!$A$3:$AS$43,45,FALSE())</f>
        <v/>
      </c>
      <c r="N1348" s="1"/>
      <c r="O1348" s="1"/>
      <c r="P1348" s="81" t="str">
        <f>IFERROR(VLOOKUP(A1348,Internal_lists_bugs!$A$2:$G7981,7,FALSE()),"please select a BUG ID")</f>
        <v>https://opendev.org/openstack/nova/commit/31f208423405</v>
      </c>
    </row>
    <row r="1349">
      <c r="A1349" s="16" t="s">
        <v>57</v>
      </c>
      <c r="B1349" s="50" t="str">
        <f>IFERROR(HYPERLINK(VLOOKUP(A1349,Internal_lists_bugs!$A$2:$C$73,3,FALSE()), VLOOKUP(A1349,Internal_lists_bugs!$A$2:$C$73,3,FALSE())&amp;Char(10) &amp; Char(10) &amp; VLOOKUP(A1349,Internal_lists_bugs!$A$2:$Z$73,26,FALSE())),"please select a BUG ID")</f>
        <v>https://bugs.launchpad.net/nova/+bug/1481078
/xenapi/vmops.py</v>
      </c>
      <c r="C1349" s="81" t="str">
        <f>IFERROR(VLOOKUP(A1349,Internal_lists_bugs!$A$2:$I7981,9,FALSE()),"please select a BUG ID")</f>
        <v>https://review.opendev.org/c/openstack/nova/+/164940</v>
      </c>
      <c r="D1349" s="114"/>
      <c r="E1349" s="114"/>
      <c r="F1349" s="115"/>
      <c r="G1349" s="79" t="s">
        <v>1529</v>
      </c>
      <c r="H1349" s="116" t="s">
        <v>3087</v>
      </c>
      <c r="I1349" s="54"/>
      <c r="K1349" s="54"/>
      <c r="M1349" s="114" t="str">
        <f>VLOOKUP(A1349,'BIC_(C_Variables)'!$A$3:$AS$43,45,FALSE())</f>
        <v/>
      </c>
      <c r="N1349" s="1"/>
      <c r="O1349" s="1"/>
      <c r="P1349" s="81" t="str">
        <f>IFERROR(VLOOKUP(A1349,Internal_lists_bugs!$A$2:$G7981,7,FALSE()),"please select a BUG ID")</f>
        <v>https://opendev.org/openstack/nova/commit/31f208423405</v>
      </c>
    </row>
    <row r="1350">
      <c r="A1350" s="16" t="s">
        <v>57</v>
      </c>
      <c r="B1350" s="50" t="str">
        <f>IFERROR(HYPERLINK(VLOOKUP(A1350,Internal_lists_bugs!$A$2:$C$73,3,FALSE()), VLOOKUP(A1350,Internal_lists_bugs!$A$2:$C$73,3,FALSE())&amp;Char(10) &amp; Char(10) &amp; VLOOKUP(A1350,Internal_lists_bugs!$A$2:$Z$73,26,FALSE())),"please select a BUG ID")</f>
        <v>https://bugs.launchpad.net/nova/+bug/1481078
/xenapi/vmops.py</v>
      </c>
      <c r="C1350" s="81" t="str">
        <f>IFERROR(VLOOKUP(A1350,Internal_lists_bugs!$A$2:$I7981,9,FALSE()),"please select a BUG ID")</f>
        <v>https://review.opendev.org/c/openstack/nova/+/164940</v>
      </c>
      <c r="D1350" s="114"/>
      <c r="E1350" s="114"/>
      <c r="F1350" s="115"/>
      <c r="G1350" s="79" t="s">
        <v>2464</v>
      </c>
      <c r="H1350" s="116" t="s">
        <v>3088</v>
      </c>
      <c r="I1350" s="54"/>
      <c r="K1350" s="54"/>
      <c r="M1350" s="114" t="str">
        <f>VLOOKUP(A1350,'BIC_(C_Variables)'!$A$3:$AS$43,45,FALSE())</f>
        <v/>
      </c>
      <c r="N1350" s="1"/>
      <c r="O1350" s="1"/>
      <c r="P1350" s="81" t="str">
        <f>IFERROR(VLOOKUP(A1350,Internal_lists_bugs!$A$2:$G7981,7,FALSE()),"please select a BUG ID")</f>
        <v>https://opendev.org/openstack/nova/commit/31f208423405</v>
      </c>
    </row>
    <row r="1351">
      <c r="A1351" s="16" t="s">
        <v>57</v>
      </c>
      <c r="B1351" s="50" t="str">
        <f>IFERROR(HYPERLINK(VLOOKUP(A1351,Internal_lists_bugs!$A$2:$C$73,3,FALSE()), VLOOKUP(A1351,Internal_lists_bugs!$A$2:$C$73,3,FALSE())&amp;Char(10) &amp; Char(10) &amp; VLOOKUP(A1351,Internal_lists_bugs!$A$2:$Z$73,26,FALSE())),"please select a BUG ID")</f>
        <v>https://bugs.launchpad.net/nova/+bug/1481078
/xenapi/vmops.py</v>
      </c>
      <c r="C1351" s="81" t="str">
        <f>IFERROR(VLOOKUP(A1351,Internal_lists_bugs!$A$2:$I7981,9,FALSE()),"please select a BUG ID")</f>
        <v>https://review.opendev.org/c/openstack/nova/+/164940</v>
      </c>
      <c r="D1351" s="114"/>
      <c r="E1351" s="114"/>
      <c r="F1351" s="115"/>
      <c r="G1351" s="79" t="s">
        <v>1531</v>
      </c>
      <c r="H1351" s="116" t="s">
        <v>3089</v>
      </c>
      <c r="I1351" s="54"/>
      <c r="K1351" s="54"/>
      <c r="M1351" s="114" t="str">
        <f>VLOOKUP(A1351,'BIC_(C_Variables)'!$A$3:$AS$43,45,FALSE())</f>
        <v/>
      </c>
      <c r="N1351" s="1"/>
      <c r="O1351" s="1"/>
      <c r="P1351" s="81" t="str">
        <f>IFERROR(VLOOKUP(A1351,Internal_lists_bugs!$A$2:$G7981,7,FALSE()),"please select a BUG ID")</f>
        <v>https://opendev.org/openstack/nova/commit/31f208423405</v>
      </c>
    </row>
    <row r="1352">
      <c r="A1352" s="16" t="s">
        <v>57</v>
      </c>
      <c r="B1352" s="50" t="str">
        <f>IFERROR(HYPERLINK(VLOOKUP(A1352,Internal_lists_bugs!$A$2:$C$73,3,FALSE()), VLOOKUP(A1352,Internal_lists_bugs!$A$2:$C$73,3,FALSE())&amp;Char(10) &amp; Char(10) &amp; VLOOKUP(A1352,Internal_lists_bugs!$A$2:$Z$73,26,FALSE())),"please select a BUG ID")</f>
        <v>https://bugs.launchpad.net/nova/+bug/1481078
/xenapi/vmops.py</v>
      </c>
      <c r="C1352" s="81" t="str">
        <f>IFERROR(VLOOKUP(A1352,Internal_lists_bugs!$A$2:$I7981,9,FALSE()),"please select a BUG ID")</f>
        <v>https://review.opendev.org/c/openstack/nova/+/164940</v>
      </c>
      <c r="D1352" s="114"/>
      <c r="E1352" s="114"/>
      <c r="F1352" s="115"/>
      <c r="G1352" s="79" t="s">
        <v>3090</v>
      </c>
      <c r="H1352" s="116" t="s">
        <v>3091</v>
      </c>
      <c r="I1352" s="54"/>
      <c r="K1352" s="54"/>
      <c r="M1352" s="114" t="str">
        <f>VLOOKUP(A1352,'BIC_(C_Variables)'!$A$3:$AS$43,45,FALSE())</f>
        <v/>
      </c>
      <c r="N1352" s="1"/>
      <c r="O1352" s="1"/>
      <c r="P1352" s="81" t="str">
        <f>IFERROR(VLOOKUP(A1352,Internal_lists_bugs!$A$2:$G7981,7,FALSE()),"please select a BUG ID")</f>
        <v>https://opendev.org/openstack/nova/commit/31f208423405</v>
      </c>
    </row>
    <row r="1353">
      <c r="A1353" s="16" t="s">
        <v>57</v>
      </c>
      <c r="B1353" s="50" t="str">
        <f>IFERROR(HYPERLINK(VLOOKUP(A1353,Internal_lists_bugs!$A$2:$C$73,3,FALSE()), VLOOKUP(A1353,Internal_lists_bugs!$A$2:$C$73,3,FALSE())&amp;Char(10) &amp; Char(10) &amp; VLOOKUP(A1353,Internal_lists_bugs!$A$2:$Z$73,26,FALSE())),"please select a BUG ID")</f>
        <v>https://bugs.launchpad.net/nova/+bug/1481078
/xenapi/vmops.py</v>
      </c>
      <c r="C1353" s="81" t="str">
        <f>IFERROR(VLOOKUP(A1353,Internal_lists_bugs!$A$2:$I7981,9,FALSE()),"please select a BUG ID")</f>
        <v>https://review.opendev.org/c/openstack/nova/+/164940</v>
      </c>
      <c r="D1353" s="114"/>
      <c r="E1353" s="114"/>
      <c r="F1353" s="115"/>
      <c r="G1353" s="79" t="s">
        <v>1731</v>
      </c>
      <c r="H1353" s="116" t="s">
        <v>3092</v>
      </c>
      <c r="I1353" s="54"/>
      <c r="K1353" s="54"/>
      <c r="M1353" s="114"/>
      <c r="N1353" s="1"/>
      <c r="O1353" s="1"/>
      <c r="P1353" s="51"/>
    </row>
    <row r="1354">
      <c r="A1354" s="16" t="s">
        <v>57</v>
      </c>
      <c r="B1354" s="50" t="str">
        <f>IFERROR(HYPERLINK(VLOOKUP(A1354,Internal_lists_bugs!$A$2:$C$73,3,FALSE()), VLOOKUP(A1354,Internal_lists_bugs!$A$2:$C$73,3,FALSE())&amp;Char(10) &amp; Char(10) &amp; VLOOKUP(A1354,Internal_lists_bugs!$A$2:$Z$73,26,FALSE())),"please select a BUG ID")</f>
        <v>https://bugs.launchpad.net/nova/+bug/1481078
/xenapi/vmops.py</v>
      </c>
      <c r="C1354" s="81" t="str">
        <f>IFERROR(VLOOKUP(A1354,Internal_lists_bugs!$A$2:$I7981,9,FALSE()),"please select a BUG ID")</f>
        <v>https://review.opendev.org/c/openstack/nova/+/164940</v>
      </c>
      <c r="D1354" s="114"/>
      <c r="E1354" s="114"/>
      <c r="F1354" s="115"/>
      <c r="G1354" s="79" t="s">
        <v>2104</v>
      </c>
      <c r="H1354" s="116" t="s">
        <v>3091</v>
      </c>
      <c r="I1354" s="54"/>
      <c r="K1354" s="54"/>
      <c r="M1354" s="114" t="str">
        <f>VLOOKUP(A1354,'BIC_(C_Variables)'!$A$3:$AS$43,45,FALSE())</f>
        <v/>
      </c>
      <c r="N1354" s="1"/>
      <c r="O1354" s="1"/>
      <c r="P1354" s="81" t="str">
        <f>IFERROR(VLOOKUP(A1354,Internal_lists_bugs!$A$2:$G7981,7,FALSE()),"please select a BUG ID")</f>
        <v>https://opendev.org/openstack/nova/commit/31f208423405</v>
      </c>
    </row>
    <row r="1355">
      <c r="A1355" s="16" t="s">
        <v>57</v>
      </c>
      <c r="B1355" s="50" t="str">
        <f>IFERROR(HYPERLINK(VLOOKUP(A1355,Internal_lists_bugs!$A$2:$C$73,3,FALSE()), VLOOKUP(A1355,Internal_lists_bugs!$A$2:$C$73,3,FALSE())&amp;Char(10) &amp; Char(10) &amp; VLOOKUP(A1355,Internal_lists_bugs!$A$2:$Z$73,26,FALSE())),"please select a BUG ID")</f>
        <v>https://bugs.launchpad.net/nova/+bug/1481078
/xenapi/vmops.py</v>
      </c>
      <c r="C1355" s="81" t="str">
        <f>IFERROR(VLOOKUP(A1355,Internal_lists_bugs!$A$2:$I7981,9,FALSE()),"please select a BUG ID")</f>
        <v>https://review.opendev.org/c/openstack/nova/+/164940</v>
      </c>
      <c r="D1355" s="114"/>
      <c r="E1355" s="114"/>
      <c r="F1355" s="115"/>
      <c r="G1355" s="79" t="s">
        <v>2268</v>
      </c>
      <c r="H1355" s="116" t="s">
        <v>3093</v>
      </c>
      <c r="I1355" s="54"/>
      <c r="K1355" s="54"/>
      <c r="M1355" s="114" t="str">
        <f>VLOOKUP(A1355,'BIC_(C_Variables)'!$A$3:$AS$43,45,FALSE())</f>
        <v/>
      </c>
      <c r="N1355" s="1"/>
      <c r="O1355" s="1"/>
      <c r="P1355" s="81" t="str">
        <f>IFERROR(VLOOKUP(A1355,Internal_lists_bugs!$A$2:$G7981,7,FALSE()),"please select a BUG ID")</f>
        <v>https://opendev.org/openstack/nova/commit/31f208423405</v>
      </c>
    </row>
    <row r="1356">
      <c r="A1356" s="16" t="s">
        <v>57</v>
      </c>
      <c r="B1356" s="50" t="str">
        <f>IFERROR(HYPERLINK(VLOOKUP(A1356,Internal_lists_bugs!$A$2:$C$73,3,FALSE()), VLOOKUP(A1356,Internal_lists_bugs!$A$2:$C$73,3,FALSE())&amp;Char(10) &amp; Char(10) &amp; VLOOKUP(A1356,Internal_lists_bugs!$A$2:$Z$73,26,FALSE())),"please select a BUG ID")</f>
        <v>https://bugs.launchpad.net/nova/+bug/1481078
/xenapi/vmops.py</v>
      </c>
      <c r="C1356" s="81" t="str">
        <f>IFERROR(VLOOKUP(A1356,Internal_lists_bugs!$A$2:$I7981,9,FALSE()),"please select a BUG ID")</f>
        <v>https://review.opendev.org/c/openstack/nova/+/164940</v>
      </c>
      <c r="D1356" s="114"/>
      <c r="E1356" s="114"/>
      <c r="F1356" s="115"/>
      <c r="G1356" s="79" t="s">
        <v>2047</v>
      </c>
      <c r="H1356" s="116" t="s">
        <v>3094</v>
      </c>
      <c r="I1356" s="54"/>
      <c r="K1356" s="54"/>
      <c r="M1356" s="114" t="str">
        <f>VLOOKUP(A1356,'BIC_(C_Variables)'!$A$3:$AS$43,45,FALSE())</f>
        <v/>
      </c>
      <c r="N1356" s="1"/>
      <c r="O1356" s="1"/>
      <c r="P1356" s="81" t="str">
        <f>IFERROR(VLOOKUP(A1356,Internal_lists_bugs!$A$2:$G7981,7,FALSE()),"please select a BUG ID")</f>
        <v>https://opendev.org/openstack/nova/commit/31f208423405</v>
      </c>
    </row>
    <row r="1357">
      <c r="A1357" s="16" t="s">
        <v>57</v>
      </c>
      <c r="B1357" s="50" t="str">
        <f>IFERROR(HYPERLINK(VLOOKUP(A1357,Internal_lists_bugs!$A$2:$C$73,3,FALSE()), VLOOKUP(A1357,Internal_lists_bugs!$A$2:$C$73,3,FALSE())&amp;Char(10) &amp; Char(10) &amp; VLOOKUP(A1357,Internal_lists_bugs!$A$2:$Z$73,26,FALSE())),"please select a BUG ID")</f>
        <v>https://bugs.launchpad.net/nova/+bug/1481078
/xenapi/vmops.py</v>
      </c>
      <c r="C1357" s="81" t="str">
        <f>IFERROR(VLOOKUP(A1357,Internal_lists_bugs!$A$2:$I7981,9,FALSE()),"please select a BUG ID")</f>
        <v>https://review.opendev.org/c/openstack/nova/+/164940</v>
      </c>
      <c r="D1357" s="114"/>
      <c r="E1357" s="114"/>
      <c r="F1357" s="115"/>
      <c r="G1357" s="79" t="s">
        <v>2049</v>
      </c>
      <c r="H1357" s="116" t="s">
        <v>2276</v>
      </c>
      <c r="I1357" s="54"/>
      <c r="K1357" s="54"/>
      <c r="M1357" s="114" t="str">
        <f>VLOOKUP(A1357,'BIC_(C_Variables)'!$A$3:$AS$43,45,FALSE())</f>
        <v/>
      </c>
      <c r="N1357" s="1"/>
      <c r="O1357" s="1"/>
      <c r="P1357" s="81" t="str">
        <f>IFERROR(VLOOKUP(A1357,Internal_lists_bugs!$A$2:$G7981,7,FALSE()),"please select a BUG ID")</f>
        <v>https://opendev.org/openstack/nova/commit/31f208423405</v>
      </c>
    </row>
    <row r="1358">
      <c r="A1358" s="16" t="s">
        <v>57</v>
      </c>
      <c r="B1358" s="50" t="str">
        <f>IFERROR(HYPERLINK(VLOOKUP(A1358,Internal_lists_bugs!$A$2:$C$73,3,FALSE()), VLOOKUP(A1358,Internal_lists_bugs!$A$2:$C$73,3,FALSE())&amp;Char(10) &amp; Char(10) &amp; VLOOKUP(A1358,Internal_lists_bugs!$A$2:$Z$73,26,FALSE())),"please select a BUG ID")</f>
        <v>https://bugs.launchpad.net/nova/+bug/1481078
/xenapi/vmops.py</v>
      </c>
      <c r="C1358" s="81" t="str">
        <f>IFERROR(VLOOKUP(A1358,Internal_lists_bugs!$A$2:$I7981,9,FALSE()),"please select a BUG ID")</f>
        <v>https://review.opendev.org/c/openstack/nova/+/164940</v>
      </c>
      <c r="D1358" s="114"/>
      <c r="E1358" s="114"/>
      <c r="F1358" s="115"/>
      <c r="G1358" s="79" t="s">
        <v>3095</v>
      </c>
      <c r="H1358" s="116" t="s">
        <v>3096</v>
      </c>
      <c r="I1358" s="54"/>
      <c r="K1358" s="54"/>
      <c r="M1358" s="114" t="str">
        <f>VLOOKUP(A1358,'BIC_(C_Variables)'!$A$3:$AS$43,45,FALSE())</f>
        <v/>
      </c>
      <c r="N1358" s="1"/>
      <c r="O1358" s="1"/>
      <c r="P1358" s="81" t="str">
        <f>IFERROR(VLOOKUP(A1358,Internal_lists_bugs!$A$2:$G7981,7,FALSE()),"please select a BUG ID")</f>
        <v>https://opendev.org/openstack/nova/commit/31f208423405</v>
      </c>
    </row>
    <row r="1359">
      <c r="A1359" s="16" t="s">
        <v>57</v>
      </c>
      <c r="B1359" s="50" t="str">
        <f>IFERROR(HYPERLINK(VLOOKUP(A1359,Internal_lists_bugs!$A$2:$C$73,3,FALSE()), VLOOKUP(A1359,Internal_lists_bugs!$A$2:$C$73,3,FALSE())&amp;Char(10) &amp; Char(10) &amp; VLOOKUP(A1359,Internal_lists_bugs!$A$2:$Z$73,26,FALSE())),"please select a BUG ID")</f>
        <v>https://bugs.launchpad.net/nova/+bug/1481078
/xenapi/vmops.py</v>
      </c>
      <c r="C1359" s="81" t="str">
        <f>IFERROR(VLOOKUP(A1359,Internal_lists_bugs!$A$2:$I7981,9,FALSE()),"please select a BUG ID")</f>
        <v>https://review.opendev.org/c/openstack/nova/+/164940</v>
      </c>
      <c r="D1359" s="114"/>
      <c r="E1359" s="114"/>
      <c r="F1359" s="115"/>
      <c r="G1359" s="79" t="s">
        <v>1720</v>
      </c>
      <c r="H1359" s="116" t="s">
        <v>3097</v>
      </c>
      <c r="I1359" s="54"/>
      <c r="K1359" s="54"/>
      <c r="M1359" s="114" t="str">
        <f>VLOOKUP(A1359,'BIC_(C_Variables)'!$A$3:$AS$43,45,FALSE())</f>
        <v/>
      </c>
      <c r="N1359" s="1"/>
      <c r="O1359" s="1"/>
      <c r="P1359" s="81" t="str">
        <f>IFERROR(VLOOKUP(A1359,Internal_lists_bugs!$A$2:$G7981,7,FALSE()),"please select a BUG ID")</f>
        <v>https://opendev.org/openstack/nova/commit/31f208423405</v>
      </c>
    </row>
    <row r="1360">
      <c r="A1360" s="16" t="s">
        <v>57</v>
      </c>
      <c r="B1360" s="50" t="str">
        <f>IFERROR(HYPERLINK(VLOOKUP(A1360,Internal_lists_bugs!$A$2:$C$73,3,FALSE()), VLOOKUP(A1360,Internal_lists_bugs!$A$2:$C$73,3,FALSE())&amp;Char(10) &amp; Char(10) &amp; VLOOKUP(A1360,Internal_lists_bugs!$A$2:$Z$73,26,FALSE())),"please select a BUG ID")</f>
        <v>https://bugs.launchpad.net/nova/+bug/1481078
/xenapi/vmops.py</v>
      </c>
      <c r="C1360" s="81" t="str">
        <f>IFERROR(VLOOKUP(A1360,Internal_lists_bugs!$A$2:$I7981,9,FALSE()),"please select a BUG ID")</f>
        <v>https://review.opendev.org/c/openstack/nova/+/164940</v>
      </c>
      <c r="D1360" s="114"/>
      <c r="E1360" s="114"/>
      <c r="F1360" s="115"/>
      <c r="G1360" s="79" t="s">
        <v>2053</v>
      </c>
      <c r="H1360" s="116" t="s">
        <v>3098</v>
      </c>
      <c r="I1360" s="54"/>
      <c r="K1360" s="54"/>
      <c r="M1360" s="114"/>
      <c r="N1360" s="1"/>
      <c r="O1360" s="1"/>
      <c r="P1360" s="51"/>
    </row>
    <row r="1361">
      <c r="A1361" s="16" t="s">
        <v>57</v>
      </c>
      <c r="B1361" s="50" t="str">
        <f>IFERROR(HYPERLINK(VLOOKUP(A1361,Internal_lists_bugs!$A$2:$C$73,3,FALSE()), VLOOKUP(A1361,Internal_lists_bugs!$A$2:$C$73,3,FALSE())&amp;Char(10) &amp; Char(10) &amp; VLOOKUP(A1361,Internal_lists_bugs!$A$2:$Z$73,26,FALSE())),"please select a BUG ID")</f>
        <v>https://bugs.launchpad.net/nova/+bug/1481078
/xenapi/vmops.py</v>
      </c>
      <c r="C1361" s="81" t="str">
        <f>IFERROR(VLOOKUP(A1361,Internal_lists_bugs!$A$2:$I7981,9,FALSE()),"please select a BUG ID")</f>
        <v>https://review.opendev.org/c/openstack/nova/+/164940</v>
      </c>
      <c r="D1361" s="114"/>
      <c r="E1361" s="114"/>
      <c r="F1361" s="115"/>
      <c r="G1361" s="79" t="s">
        <v>1570</v>
      </c>
      <c r="H1361" s="116" t="s">
        <v>3098</v>
      </c>
      <c r="I1361" s="54"/>
      <c r="K1361" s="54"/>
      <c r="M1361" s="114" t="str">
        <f>VLOOKUP(A1361,'BIC_(C_Variables)'!$A$3:$AS$43,45,FALSE())</f>
        <v/>
      </c>
      <c r="N1361" s="1"/>
      <c r="O1361" s="1"/>
      <c r="P1361" s="81" t="str">
        <f>IFERROR(VLOOKUP(A1361,Internal_lists_bugs!$A$2:$G7981,7,FALSE()),"please select a BUG ID")</f>
        <v>https://opendev.org/openstack/nova/commit/31f208423405</v>
      </c>
    </row>
    <row r="1362">
      <c r="A1362" s="16" t="s">
        <v>57</v>
      </c>
      <c r="B1362" s="50" t="str">
        <f>IFERROR(HYPERLINK(VLOOKUP(A1362,Internal_lists_bugs!$A$2:$C$73,3,FALSE()), VLOOKUP(A1362,Internal_lists_bugs!$A$2:$C$73,3,FALSE())&amp;Char(10) &amp; Char(10) &amp; VLOOKUP(A1362,Internal_lists_bugs!$A$2:$Z$73,26,FALSE())),"please select a BUG ID")</f>
        <v>https://bugs.launchpad.net/nova/+bug/1481078
/xenapi/vmops.py</v>
      </c>
      <c r="C1362" s="81" t="str">
        <f>IFERROR(VLOOKUP(A1362,Internal_lists_bugs!$A$2:$I7981,9,FALSE()),"please select a BUG ID")</f>
        <v>https://review.opendev.org/c/openstack/nova/+/164940</v>
      </c>
      <c r="D1362" s="114"/>
      <c r="E1362" s="114"/>
      <c r="F1362" s="115"/>
      <c r="G1362" s="79" t="s">
        <v>3099</v>
      </c>
      <c r="H1362" s="116" t="s">
        <v>3100</v>
      </c>
      <c r="I1362" s="54"/>
      <c r="K1362" s="54"/>
      <c r="M1362" s="114" t="str">
        <f>VLOOKUP(A1362,'BIC_(C_Variables)'!$A$3:$AS$43,45,FALSE())</f>
        <v/>
      </c>
      <c r="N1362" s="1"/>
      <c r="O1362" s="1"/>
      <c r="P1362" s="81" t="str">
        <f>IFERROR(VLOOKUP(A1362,Internal_lists_bugs!$A$2:$G7981,7,FALSE()),"please select a BUG ID")</f>
        <v>https://opendev.org/openstack/nova/commit/31f208423405</v>
      </c>
    </row>
    <row r="1363">
      <c r="A1363" s="16" t="s">
        <v>57</v>
      </c>
      <c r="B1363" s="50" t="str">
        <f>IFERROR(HYPERLINK(VLOOKUP(A1363,Internal_lists_bugs!$A$2:$C$73,3,FALSE()), VLOOKUP(A1363,Internal_lists_bugs!$A$2:$C$73,3,FALSE())&amp;Char(10) &amp; Char(10) &amp; VLOOKUP(A1363,Internal_lists_bugs!$A$2:$Z$73,26,FALSE())),"please select a BUG ID")</f>
        <v>https://bugs.launchpad.net/nova/+bug/1481078
/xenapi/vmops.py</v>
      </c>
      <c r="C1363" s="81" t="str">
        <f>IFERROR(VLOOKUP(A1363,Internal_lists_bugs!$A$2:$I7981,9,FALSE()),"please select a BUG ID")</f>
        <v>https://review.opendev.org/c/openstack/nova/+/164940</v>
      </c>
      <c r="D1363" s="114"/>
      <c r="E1363" s="114"/>
      <c r="F1363" s="115"/>
      <c r="G1363" s="79" t="s">
        <v>3099</v>
      </c>
      <c r="H1363" s="116" t="s">
        <v>3100</v>
      </c>
      <c r="I1363" s="54"/>
      <c r="K1363" s="54"/>
      <c r="M1363" s="114" t="str">
        <f>VLOOKUP(A1363,'BIC_(C_Variables)'!$A$3:$AS$43,45,FALSE())</f>
        <v/>
      </c>
      <c r="N1363" s="1"/>
      <c r="O1363" s="1"/>
      <c r="P1363" s="81" t="str">
        <f>IFERROR(VLOOKUP(A1363,Internal_lists_bugs!$A$2:$G7981,7,FALSE()),"please select a BUG ID")</f>
        <v>https://opendev.org/openstack/nova/commit/31f208423405</v>
      </c>
    </row>
    <row r="1364">
      <c r="A1364" s="16" t="s">
        <v>58</v>
      </c>
      <c r="B1364" s="50" t="str">
        <f>IFERROR(HYPERLINK(VLOOKUP(A1364,Internal_lists_bugs!$A$2:$C$73,3,FALSE()), VLOOKUP(A1364,Internal_lists_bugs!$A$2:$C$73,3,FALSE())&amp;Char(10) &amp; Char(10) &amp; VLOOKUP(A1364,Internal_lists_bugs!$A$2:$Z$73,26,FALSE())),"please select a BUG ID")</f>
        <v>https://bugs.launchpad.net/nova/+bug/1402728
/vmwareapi/vm_util.py
/vmwareapi/vmops.py </v>
      </c>
      <c r="C1364" s="81" t="str">
        <f>IFERROR(VLOOKUP(A1364,Internal_lists_bugs!$A$2:$I7981,9,FALSE()),"please select a BUG ID")</f>
        <v>https://review.opendev.org/c/openstack/nova/+/107009</v>
      </c>
      <c r="D1364" s="112" t="s">
        <v>1412</v>
      </c>
      <c r="E1364" s="112" t="s">
        <v>1462</v>
      </c>
      <c r="F1364" s="113" t="s">
        <v>251</v>
      </c>
      <c r="G1364" s="79" t="s">
        <v>1626</v>
      </c>
      <c r="H1364" s="116" t="s">
        <v>2105</v>
      </c>
      <c r="I1364" s="16" t="s">
        <v>251</v>
      </c>
      <c r="J1364" s="16" t="s">
        <v>3101</v>
      </c>
      <c r="K1364" s="16" t="s">
        <v>251</v>
      </c>
      <c r="L1364" s="16" t="s">
        <v>3102</v>
      </c>
      <c r="M1364" s="114" t="str">
        <f>VLOOKUP(A1364,'BIC_(C_Variables)'!$A$3:$AS$43,45,FALSE())</f>
        <v/>
      </c>
      <c r="N1364" s="1"/>
      <c r="O1364" s="1"/>
      <c r="P1364" s="81" t="str">
        <f>IFERROR(VLOOKUP(A1364,Internal_lists_bugs!$A$2:$G7981,7,FALSE()),"please select a BUG ID")</f>
        <v>https://opendev.org/openstack/nova/commit/2bcda65d512</v>
      </c>
    </row>
    <row r="1365">
      <c r="A1365" s="16" t="s">
        <v>58</v>
      </c>
      <c r="B1365" s="50" t="str">
        <f>IFERROR(HYPERLINK(VLOOKUP(A1365,Internal_lists_bugs!$A$2:$C$73,3,FALSE()), VLOOKUP(A1365,Internal_lists_bugs!$A$2:$C$73,3,FALSE())&amp;Char(10) &amp; Char(10) &amp; VLOOKUP(A1365,Internal_lists_bugs!$A$2:$Z$73,26,FALSE())),"please select a BUG ID")</f>
        <v>https://bugs.launchpad.net/nova/+bug/1402728
/vmwareapi/vm_util.py
/vmwareapi/vmops.py </v>
      </c>
      <c r="C1365" s="81" t="str">
        <f>IFERROR(VLOOKUP(A1365,Internal_lists_bugs!$A$2:$I7981,9,FALSE()),"please select a BUG ID")</f>
        <v>https://review.opendev.org/c/openstack/nova/+/107009</v>
      </c>
      <c r="D1365" s="114"/>
      <c r="E1365" s="114"/>
      <c r="F1365" s="115"/>
      <c r="G1365" s="79" t="s">
        <v>1419</v>
      </c>
      <c r="H1365" s="116" t="s">
        <v>3103</v>
      </c>
      <c r="I1365" s="54"/>
      <c r="K1365" s="54"/>
      <c r="M1365" s="114" t="str">
        <f>VLOOKUP(A1365,'BIC_(C_Variables)'!$A$3:$AS$43,45,FALSE())</f>
        <v/>
      </c>
      <c r="N1365" s="1"/>
      <c r="O1365" s="1"/>
      <c r="P1365" s="81" t="str">
        <f>IFERROR(VLOOKUP(A1365,Internal_lists_bugs!$A$2:$G7981,7,FALSE()),"please select a BUG ID")</f>
        <v>https://opendev.org/openstack/nova/commit/2bcda65d512</v>
      </c>
    </row>
    <row r="1366">
      <c r="A1366" s="16" t="s">
        <v>58</v>
      </c>
      <c r="B1366" s="50" t="str">
        <f>IFERROR(HYPERLINK(VLOOKUP(A1366,Internal_lists_bugs!$A$2:$C$73,3,FALSE()), VLOOKUP(A1366,Internal_lists_bugs!$A$2:$C$73,3,FALSE())&amp;Char(10) &amp; Char(10) &amp; VLOOKUP(A1366,Internal_lists_bugs!$A$2:$Z$73,26,FALSE())),"please select a BUG ID")</f>
        <v>https://bugs.launchpad.net/nova/+bug/1402728
/vmwareapi/vm_util.py
/vmwareapi/vmops.py </v>
      </c>
      <c r="C1366" s="81" t="str">
        <f>IFERROR(VLOOKUP(A1366,Internal_lists_bugs!$A$2:$I7981,9,FALSE()),"please select a BUG ID")</f>
        <v>https://review.opendev.org/c/openstack/nova/+/107009</v>
      </c>
      <c r="D1366" s="114"/>
      <c r="E1366" s="114"/>
      <c r="F1366" s="115"/>
      <c r="G1366" s="79" t="s">
        <v>1417</v>
      </c>
      <c r="H1366" s="116" t="s">
        <v>3104</v>
      </c>
      <c r="I1366" s="54"/>
      <c r="K1366" s="54"/>
      <c r="M1366" s="114" t="str">
        <f>VLOOKUP(A1366,'BIC_(C_Variables)'!$A$3:$AS$43,45,FALSE())</f>
        <v/>
      </c>
      <c r="N1366" s="1"/>
      <c r="O1366" s="1"/>
      <c r="P1366" s="81" t="str">
        <f>IFERROR(VLOOKUP(A1366,Internal_lists_bugs!$A$2:$G7981,7,FALSE()),"please select a BUG ID")</f>
        <v>https://opendev.org/openstack/nova/commit/2bcda65d512</v>
      </c>
    </row>
    <row r="1367">
      <c r="A1367" s="16" t="s">
        <v>58</v>
      </c>
      <c r="B1367" s="50" t="str">
        <f>IFERROR(HYPERLINK(VLOOKUP(A1367,Internal_lists_bugs!$A$2:$C$73,3,FALSE()), VLOOKUP(A1367,Internal_lists_bugs!$A$2:$C$73,3,FALSE())&amp;Char(10) &amp; Char(10) &amp; VLOOKUP(A1367,Internal_lists_bugs!$A$2:$Z$73,26,FALSE())),"please select a BUG ID")</f>
        <v>https://bugs.launchpad.net/nova/+bug/1402728
/vmwareapi/vm_util.py
/vmwareapi/vmops.py </v>
      </c>
      <c r="C1367" s="81" t="str">
        <f>IFERROR(VLOOKUP(A1367,Internal_lists_bugs!$A$2:$I7981,9,FALSE()),"please select a BUG ID")</f>
        <v>https://review.opendev.org/c/openstack/nova/+/107009</v>
      </c>
      <c r="D1367" s="114"/>
      <c r="E1367" s="114"/>
      <c r="F1367" s="115"/>
      <c r="G1367" s="79" t="s">
        <v>1506</v>
      </c>
      <c r="H1367" s="93" t="s">
        <v>3105</v>
      </c>
      <c r="I1367" s="54"/>
      <c r="K1367" s="54"/>
      <c r="M1367" s="114" t="str">
        <f>VLOOKUP(A1367,'BIC_(C_Variables)'!$A$3:$AS$43,45,FALSE())</f>
        <v/>
      </c>
      <c r="N1367" s="1"/>
      <c r="O1367" s="1"/>
      <c r="P1367" s="81" t="str">
        <f>IFERROR(VLOOKUP(A1367,Internal_lists_bugs!$A$2:$G7981,7,FALSE()),"please select a BUG ID")</f>
        <v>https://opendev.org/openstack/nova/commit/2bcda65d512</v>
      </c>
    </row>
    <row r="1368">
      <c r="A1368" s="16" t="s">
        <v>58</v>
      </c>
      <c r="B1368" s="50" t="str">
        <f>IFERROR(HYPERLINK(VLOOKUP(A1368,Internal_lists_bugs!$A$2:$C$73,3,FALSE()), VLOOKUP(A1368,Internal_lists_bugs!$A$2:$C$73,3,FALSE())&amp;Char(10) &amp; Char(10) &amp; VLOOKUP(A1368,Internal_lists_bugs!$A$2:$Z$73,26,FALSE())),"please select a BUG ID")</f>
        <v>https://bugs.launchpad.net/nova/+bug/1402728
/vmwareapi/vm_util.py
/vmwareapi/vmops.py </v>
      </c>
      <c r="C1368" s="81" t="str">
        <f>IFERROR(VLOOKUP(A1368,Internal_lists_bugs!$A$2:$I7981,9,FALSE()),"please select a BUG ID")</f>
        <v>https://review.opendev.org/c/openstack/nova/+/107009</v>
      </c>
      <c r="D1368" s="114"/>
      <c r="E1368" s="114"/>
      <c r="F1368" s="115"/>
      <c r="G1368" s="79" t="s">
        <v>1460</v>
      </c>
      <c r="H1368" s="93" t="s">
        <v>1461</v>
      </c>
      <c r="I1368" s="54"/>
      <c r="K1368" s="54"/>
      <c r="M1368" s="114" t="str">
        <f>VLOOKUP(A1368,'BIC_(C_Variables)'!$A$3:$AS$43,45,FALSE())</f>
        <v/>
      </c>
      <c r="N1368" s="1"/>
      <c r="O1368" s="1"/>
      <c r="P1368" s="81" t="str">
        <f>IFERROR(VLOOKUP(A1368,Internal_lists_bugs!$A$2:$G7981,7,FALSE()),"please select a BUG ID")</f>
        <v>https://opendev.org/openstack/nova/commit/2bcda65d512</v>
      </c>
    </row>
    <row r="1369">
      <c r="A1369" s="16" t="s">
        <v>58</v>
      </c>
      <c r="B1369" s="50" t="str">
        <f>IFERROR(HYPERLINK(VLOOKUP(A1369,Internal_lists_bugs!$A$2:$C$73,3,FALSE()), VLOOKUP(A1369,Internal_lists_bugs!$A$2:$C$73,3,FALSE())&amp;Char(10) &amp; Char(10) &amp; VLOOKUP(A1369,Internal_lists_bugs!$A$2:$Z$73,26,FALSE())),"please select a BUG ID")</f>
        <v>https://bugs.launchpad.net/nova/+bug/1402728
/vmwareapi/vm_util.py
/vmwareapi/vmops.py </v>
      </c>
      <c r="C1369" s="81" t="str">
        <f>IFERROR(VLOOKUP(A1369,Internal_lists_bugs!$A$2:$I7981,9,FALSE()),"please select a BUG ID")</f>
        <v>https://review.opendev.org/c/openstack/nova/+/107009</v>
      </c>
      <c r="D1369" s="114"/>
      <c r="E1369" s="114"/>
      <c r="F1369" s="115"/>
      <c r="G1369" s="79" t="s">
        <v>1495</v>
      </c>
      <c r="H1369" s="93" t="s">
        <v>3106</v>
      </c>
      <c r="I1369" s="54"/>
      <c r="K1369" s="54"/>
      <c r="M1369" s="114" t="str">
        <f>VLOOKUP(A1369,'BIC_(C_Variables)'!$A$3:$AS$43,45,FALSE())</f>
        <v/>
      </c>
      <c r="N1369" s="1"/>
      <c r="O1369" s="1"/>
      <c r="P1369" s="81" t="str">
        <f>IFERROR(VLOOKUP(A1369,Internal_lists_bugs!$A$2:$G7981,7,FALSE()),"please select a BUG ID")</f>
        <v>https://opendev.org/openstack/nova/commit/2bcda65d512</v>
      </c>
    </row>
    <row r="1370">
      <c r="A1370" s="16" t="s">
        <v>58</v>
      </c>
      <c r="B1370" s="50" t="str">
        <f>IFERROR(HYPERLINK(VLOOKUP(A1370,Internal_lists_bugs!$A$2:$C$73,3,FALSE()), VLOOKUP(A1370,Internal_lists_bugs!$A$2:$C$73,3,FALSE())&amp;Char(10) &amp; Char(10) &amp; VLOOKUP(A1370,Internal_lists_bugs!$A$2:$Z$73,26,FALSE())),"please select a BUG ID")</f>
        <v>https://bugs.launchpad.net/nova/+bug/1402728
/vmwareapi/vm_util.py
/vmwareapi/vmops.py </v>
      </c>
      <c r="C1370" s="81" t="str">
        <f>IFERROR(VLOOKUP(A1370,Internal_lists_bugs!$A$2:$I7981,9,FALSE()),"please select a BUG ID")</f>
        <v>https://review.opendev.org/c/openstack/nova/+/107009</v>
      </c>
      <c r="D1370" s="114"/>
      <c r="E1370" s="114"/>
      <c r="F1370" s="115"/>
      <c r="G1370" s="79" t="s">
        <v>2130</v>
      </c>
      <c r="H1370" s="93" t="s">
        <v>3107</v>
      </c>
      <c r="I1370" s="54"/>
      <c r="K1370" s="54"/>
      <c r="M1370" s="114" t="str">
        <f>VLOOKUP(A1370,'BIC_(C_Variables)'!$A$3:$AS$43,45,FALSE())</f>
        <v/>
      </c>
      <c r="N1370" s="1"/>
      <c r="O1370" s="1"/>
      <c r="P1370" s="81" t="str">
        <f>IFERROR(VLOOKUP(A1370,Internal_lists_bugs!$A$2:$G7981,7,FALSE()),"please select a BUG ID")</f>
        <v>https://opendev.org/openstack/nova/commit/2bcda65d512</v>
      </c>
    </row>
    <row r="1371">
      <c r="A1371" s="16" t="s">
        <v>58</v>
      </c>
      <c r="B1371" s="50" t="str">
        <f>IFERROR(HYPERLINK(VLOOKUP(A1371,Internal_lists_bugs!$A$2:$C$73,3,FALSE()), VLOOKUP(A1371,Internal_lists_bugs!$A$2:$C$73,3,FALSE())&amp;Char(10) &amp; Char(10) &amp; VLOOKUP(A1371,Internal_lists_bugs!$A$2:$Z$73,26,FALSE())),"please select a BUG ID")</f>
        <v>https://bugs.launchpad.net/nova/+bug/1402728
/vmwareapi/vm_util.py
/vmwareapi/vmops.py </v>
      </c>
      <c r="C1371" s="81" t="str">
        <f>IFERROR(VLOOKUP(A1371,Internal_lists_bugs!$A$2:$I7981,9,FALSE()),"please select a BUG ID")</f>
        <v>https://review.opendev.org/c/openstack/nova/+/107009</v>
      </c>
      <c r="D1371" s="114"/>
      <c r="E1371" s="114"/>
      <c r="F1371" s="115"/>
      <c r="G1371" s="79" t="s">
        <v>2277</v>
      </c>
      <c r="H1371" s="93" t="s">
        <v>3108</v>
      </c>
      <c r="I1371" s="54"/>
      <c r="K1371" s="54"/>
      <c r="M1371" s="114" t="str">
        <f>VLOOKUP(A1371,'BIC_(C_Variables)'!$A$3:$AS$43,45,FALSE())</f>
        <v/>
      </c>
      <c r="N1371" s="1"/>
      <c r="O1371" s="1"/>
      <c r="P1371" s="81" t="str">
        <f>IFERROR(VLOOKUP(A1371,Internal_lists_bugs!$A$2:$G7981,7,FALSE()),"please select a BUG ID")</f>
        <v>https://opendev.org/openstack/nova/commit/2bcda65d512</v>
      </c>
    </row>
    <row r="1372">
      <c r="A1372" s="16" t="s">
        <v>58</v>
      </c>
      <c r="B1372" s="50" t="str">
        <f>IFERROR(HYPERLINK(VLOOKUP(A1372,Internal_lists_bugs!$A$2:$C$73,3,FALSE()), VLOOKUP(A1372,Internal_lists_bugs!$A$2:$C$73,3,FALSE())&amp;Char(10) &amp; Char(10) &amp; VLOOKUP(A1372,Internal_lists_bugs!$A$2:$Z$73,26,FALSE())),"please select a BUG ID")</f>
        <v>https://bugs.launchpad.net/nova/+bug/1402728
/vmwareapi/vm_util.py
/vmwareapi/vmops.py </v>
      </c>
      <c r="C1372" s="81" t="str">
        <f>IFERROR(VLOOKUP(A1372,Internal_lists_bugs!$A$2:$I7981,9,FALSE()),"please select a BUG ID")</f>
        <v>https://review.opendev.org/c/openstack/nova/+/107009</v>
      </c>
      <c r="D1372" s="114"/>
      <c r="E1372" s="114"/>
      <c r="F1372" s="115"/>
      <c r="G1372" s="79" t="s">
        <v>2512</v>
      </c>
      <c r="H1372" s="93" t="s">
        <v>3109</v>
      </c>
      <c r="I1372" s="54"/>
      <c r="K1372" s="54"/>
      <c r="M1372" s="114" t="str">
        <f>VLOOKUP(A1372,'BIC_(C_Variables)'!$A$3:$AS$43,45,FALSE())</f>
        <v/>
      </c>
      <c r="N1372" s="1"/>
      <c r="O1372" s="1"/>
      <c r="P1372" s="81" t="str">
        <f>IFERROR(VLOOKUP(A1372,Internal_lists_bugs!$A$2:$G7981,7,FALSE()),"please select a BUG ID")</f>
        <v>https://opendev.org/openstack/nova/commit/2bcda65d512</v>
      </c>
    </row>
    <row r="1373">
      <c r="A1373" s="16" t="s">
        <v>58</v>
      </c>
      <c r="B1373" s="50" t="str">
        <f>IFERROR(HYPERLINK(VLOOKUP(A1373,Internal_lists_bugs!$A$2:$C$73,3,FALSE()), VLOOKUP(A1373,Internal_lists_bugs!$A$2:$C$73,3,FALSE())&amp;Char(10) &amp; Char(10) &amp; VLOOKUP(A1373,Internal_lists_bugs!$A$2:$Z$73,26,FALSE())),"please select a BUG ID")</f>
        <v>https://bugs.launchpad.net/nova/+bug/1402728
/vmwareapi/vm_util.py
/vmwareapi/vmops.py </v>
      </c>
      <c r="C1373" s="81" t="str">
        <f>IFERROR(VLOOKUP(A1373,Internal_lists_bugs!$A$2:$I7981,9,FALSE()),"please select a BUG ID")</f>
        <v>https://review.opendev.org/c/openstack/nova/+/107009</v>
      </c>
      <c r="D1373" s="114"/>
      <c r="E1373" s="114"/>
      <c r="F1373" s="115"/>
      <c r="G1373" s="79" t="s">
        <v>2200</v>
      </c>
      <c r="H1373" s="93" t="s">
        <v>3110</v>
      </c>
      <c r="I1373" s="54"/>
      <c r="K1373" s="54"/>
      <c r="M1373" s="114" t="str">
        <f>VLOOKUP(A1373,'BIC_(C_Variables)'!$A$3:$AS$43,45,FALSE())</f>
        <v/>
      </c>
      <c r="N1373" s="1"/>
      <c r="O1373" s="1"/>
      <c r="P1373" s="81" t="str">
        <f>IFERROR(VLOOKUP(A1373,Internal_lists_bugs!$A$2:$G7981,7,FALSE()),"please select a BUG ID")</f>
        <v>https://opendev.org/openstack/nova/commit/2bcda65d512</v>
      </c>
    </row>
    <row r="1374">
      <c r="A1374" s="16" t="s">
        <v>58</v>
      </c>
      <c r="B1374" s="50" t="str">
        <f>IFERROR(HYPERLINK(VLOOKUP(A1374,Internal_lists_bugs!$A$2:$C$73,3,FALSE()), VLOOKUP(A1374,Internal_lists_bugs!$A$2:$C$73,3,FALSE())&amp;Char(10) &amp; Char(10) &amp; VLOOKUP(A1374,Internal_lists_bugs!$A$2:$Z$73,26,FALSE())),"please select a BUG ID")</f>
        <v>https://bugs.launchpad.net/nova/+bug/1402728
/vmwareapi/vm_util.py
/vmwareapi/vmops.py </v>
      </c>
      <c r="C1374" s="81" t="str">
        <f>IFERROR(VLOOKUP(A1374,Internal_lists_bugs!$A$2:$I7981,9,FALSE()),"please select a BUG ID")</f>
        <v>https://review.opendev.org/c/openstack/nova/+/107009</v>
      </c>
      <c r="D1374" s="114"/>
      <c r="E1374" s="114"/>
      <c r="F1374" s="115"/>
      <c r="G1374" s="79" t="s">
        <v>3111</v>
      </c>
      <c r="H1374" s="93" t="s">
        <v>3110</v>
      </c>
      <c r="I1374" s="54"/>
      <c r="K1374" s="54"/>
      <c r="M1374" s="114" t="str">
        <f>VLOOKUP(A1374,'BIC_(C_Variables)'!$A$3:$AS$43,45,FALSE())</f>
        <v/>
      </c>
      <c r="N1374" s="1"/>
      <c r="O1374" s="1"/>
      <c r="P1374" s="81" t="str">
        <f>IFERROR(VLOOKUP(A1374,Internal_lists_bugs!$A$2:$G7981,7,FALSE()),"please select a BUG ID")</f>
        <v>https://opendev.org/openstack/nova/commit/2bcda65d512</v>
      </c>
    </row>
    <row r="1375">
      <c r="A1375" s="16" t="s">
        <v>58</v>
      </c>
      <c r="B1375" s="50" t="str">
        <f>IFERROR(HYPERLINK(VLOOKUP(A1375,Internal_lists_bugs!$A$2:$C$73,3,FALSE()), VLOOKUP(A1375,Internal_lists_bugs!$A$2:$C$73,3,FALSE())&amp;Char(10) &amp; Char(10) &amp; VLOOKUP(A1375,Internal_lists_bugs!$A$2:$Z$73,26,FALSE())),"please select a BUG ID")</f>
        <v>https://bugs.launchpad.net/nova/+bug/1402728
/vmwareapi/vm_util.py
/vmwareapi/vmops.py </v>
      </c>
      <c r="C1375" s="81" t="str">
        <f>IFERROR(VLOOKUP(A1375,Internal_lists_bugs!$A$2:$I7981,9,FALSE()),"please select a BUG ID")</f>
        <v>https://review.opendev.org/c/openstack/nova/+/107009</v>
      </c>
      <c r="D1375" s="114"/>
      <c r="E1375" s="114"/>
      <c r="F1375" s="115"/>
      <c r="G1375" s="79" t="s">
        <v>1702</v>
      </c>
      <c r="H1375" s="93" t="s">
        <v>3112</v>
      </c>
      <c r="I1375" s="54"/>
      <c r="K1375" s="54"/>
      <c r="M1375" s="114" t="str">
        <f>VLOOKUP(A1375,'BIC_(C_Variables)'!$A$3:$AS$43,45,FALSE())</f>
        <v/>
      </c>
      <c r="N1375" s="1"/>
      <c r="O1375" s="1"/>
      <c r="P1375" s="81" t="str">
        <f>IFERROR(VLOOKUP(A1375,Internal_lists_bugs!$A$2:$G7981,7,FALSE()),"please select a BUG ID")</f>
        <v>https://opendev.org/openstack/nova/commit/2bcda65d512</v>
      </c>
    </row>
    <row r="1376">
      <c r="A1376" s="16" t="s">
        <v>58</v>
      </c>
      <c r="B1376" s="50" t="str">
        <f>IFERROR(HYPERLINK(VLOOKUP(A1376,Internal_lists_bugs!$A$2:$C$73,3,FALSE()), VLOOKUP(A1376,Internal_lists_bugs!$A$2:$C$73,3,FALSE())&amp;Char(10) &amp; Char(10) &amp; VLOOKUP(A1376,Internal_lists_bugs!$A$2:$Z$73,26,FALSE())),"please select a BUG ID")</f>
        <v>https://bugs.launchpad.net/nova/+bug/1402728
/vmwareapi/vm_util.py
/vmwareapi/vmops.py </v>
      </c>
      <c r="C1376" s="81" t="str">
        <f>IFERROR(VLOOKUP(A1376,Internal_lists_bugs!$A$2:$I7981,9,FALSE()),"please select a BUG ID")</f>
        <v>https://review.opendev.org/c/openstack/nova/+/107009</v>
      </c>
      <c r="D1376" s="114"/>
      <c r="E1376" s="114"/>
      <c r="F1376" s="115"/>
      <c r="G1376" s="79" t="s">
        <v>1696</v>
      </c>
      <c r="H1376" s="93" t="s">
        <v>3113</v>
      </c>
      <c r="I1376" s="54"/>
      <c r="K1376" s="54"/>
      <c r="M1376" s="114" t="str">
        <f>VLOOKUP(A1376,'BIC_(C_Variables)'!$A$3:$AS$43,45,FALSE())</f>
        <v/>
      </c>
      <c r="N1376" s="1"/>
      <c r="O1376" s="1"/>
      <c r="P1376" s="81" t="str">
        <f>IFERROR(VLOOKUP(A1376,Internal_lists_bugs!$A$2:$G7981,7,FALSE()),"please select a BUG ID")</f>
        <v>https://opendev.org/openstack/nova/commit/2bcda65d512</v>
      </c>
    </row>
    <row r="1377">
      <c r="A1377" s="16" t="s">
        <v>58</v>
      </c>
      <c r="B1377" s="50" t="str">
        <f>IFERROR(HYPERLINK(VLOOKUP(A1377,Internal_lists_bugs!$A$2:$C$73,3,FALSE()), VLOOKUP(A1377,Internal_lists_bugs!$A$2:$C$73,3,FALSE())&amp;Char(10) &amp; Char(10) &amp; VLOOKUP(A1377,Internal_lists_bugs!$A$2:$Z$73,26,FALSE())),"please select a BUG ID")</f>
        <v>https://bugs.launchpad.net/nova/+bug/1402728
/vmwareapi/vm_util.py
/vmwareapi/vmops.py </v>
      </c>
      <c r="C1377" s="81" t="str">
        <f>IFERROR(VLOOKUP(A1377,Internal_lists_bugs!$A$2:$I7981,9,FALSE()),"please select a BUG ID")</f>
        <v>https://review.opendev.org/c/openstack/nova/+/107009</v>
      </c>
      <c r="D1377" s="114"/>
      <c r="E1377" s="114"/>
      <c r="F1377" s="115"/>
      <c r="G1377" s="79" t="s">
        <v>1568</v>
      </c>
      <c r="H1377" s="93" t="s">
        <v>3114</v>
      </c>
      <c r="I1377" s="54"/>
      <c r="K1377" s="54"/>
      <c r="M1377" s="114" t="str">
        <f>VLOOKUP(A1377,'BIC_(C_Variables)'!$A$3:$AS$43,45,FALSE())</f>
        <v/>
      </c>
      <c r="N1377" s="1"/>
      <c r="O1377" s="1"/>
      <c r="P1377" s="81" t="str">
        <f>IFERROR(VLOOKUP(A1377,Internal_lists_bugs!$A$2:$G7981,7,FALSE()),"please select a BUG ID")</f>
        <v>https://opendev.org/openstack/nova/commit/2bcda65d512</v>
      </c>
    </row>
    <row r="1378">
      <c r="A1378" s="16" t="s">
        <v>58</v>
      </c>
      <c r="B1378" s="50" t="str">
        <f>IFERROR(HYPERLINK(VLOOKUP(A1378,Internal_lists_bugs!$A$2:$C$73,3,FALSE()), VLOOKUP(A1378,Internal_lists_bugs!$A$2:$C$73,3,FALSE())&amp;Char(10) &amp; Char(10) &amp; VLOOKUP(A1378,Internal_lists_bugs!$A$2:$Z$73,26,FALSE())),"please select a BUG ID")</f>
        <v>https://bugs.launchpad.net/nova/+bug/1402728
/vmwareapi/vm_util.py
/vmwareapi/vmops.py </v>
      </c>
      <c r="C1378" s="81" t="str">
        <f>IFERROR(VLOOKUP(A1378,Internal_lists_bugs!$A$2:$I7981,9,FALSE()),"please select a BUG ID")</f>
        <v>https://review.opendev.org/c/openstack/nova/+/107009</v>
      </c>
      <c r="D1378" s="114"/>
      <c r="E1378" s="114"/>
      <c r="F1378" s="115"/>
      <c r="G1378" s="79" t="s">
        <v>1507</v>
      </c>
      <c r="H1378" s="93" t="s">
        <v>3114</v>
      </c>
      <c r="I1378" s="54"/>
      <c r="K1378" s="54"/>
      <c r="M1378" s="114" t="str">
        <f>VLOOKUP(A1378,'BIC_(C_Variables)'!$A$3:$AS$43,45,FALSE())</f>
        <v/>
      </c>
      <c r="N1378" s="1"/>
      <c r="O1378" s="1"/>
      <c r="P1378" s="81" t="str">
        <f>IFERROR(VLOOKUP(A1378,Internal_lists_bugs!$A$2:$G7981,7,FALSE()),"please select a BUG ID")</f>
        <v>https://opendev.org/openstack/nova/commit/2bcda65d512</v>
      </c>
    </row>
    <row r="1379">
      <c r="A1379" s="16" t="s">
        <v>58</v>
      </c>
      <c r="B1379" s="50" t="str">
        <f>IFERROR(HYPERLINK(VLOOKUP(A1379,Internal_lists_bugs!$A$2:$C$73,3,FALSE()), VLOOKUP(A1379,Internal_lists_bugs!$A$2:$C$73,3,FALSE())&amp;Char(10) &amp; Char(10) &amp; VLOOKUP(A1379,Internal_lists_bugs!$A$2:$Z$73,26,FALSE())),"please select a BUG ID")</f>
        <v>https://bugs.launchpad.net/nova/+bug/1402728
/vmwareapi/vm_util.py
/vmwareapi/vmops.py </v>
      </c>
      <c r="C1379" s="81" t="str">
        <f>IFERROR(VLOOKUP(A1379,Internal_lists_bugs!$A$2:$I7981,9,FALSE()),"please select a BUG ID")</f>
        <v>https://review.opendev.org/c/openstack/nova/+/107009</v>
      </c>
      <c r="D1379" s="114"/>
      <c r="E1379" s="114"/>
      <c r="F1379" s="115"/>
      <c r="G1379" s="79" t="s">
        <v>3115</v>
      </c>
      <c r="H1379" s="93" t="s">
        <v>3116</v>
      </c>
      <c r="I1379" s="54"/>
      <c r="K1379" s="54"/>
      <c r="M1379" s="114" t="str">
        <f>VLOOKUP(A1379,'BIC_(C_Variables)'!$A$3:$AS$43,45,FALSE())</f>
        <v/>
      </c>
      <c r="N1379" s="1"/>
      <c r="O1379" s="1"/>
      <c r="P1379" s="81" t="str">
        <f>IFERROR(VLOOKUP(A1379,Internal_lists_bugs!$A$2:$G7981,7,FALSE()),"please select a BUG ID")</f>
        <v>https://opendev.org/openstack/nova/commit/2bcda65d512</v>
      </c>
    </row>
    <row r="1380">
      <c r="A1380" s="16" t="s">
        <v>58</v>
      </c>
      <c r="B1380" s="50" t="str">
        <f>IFERROR(HYPERLINK(VLOOKUP(A1380,Internal_lists_bugs!$A$2:$C$73,3,FALSE()), VLOOKUP(A1380,Internal_lists_bugs!$A$2:$C$73,3,FALSE())&amp;Char(10) &amp; Char(10) &amp; VLOOKUP(A1380,Internal_lists_bugs!$A$2:$Z$73,26,FALSE())),"please select a BUG ID")</f>
        <v>https://bugs.launchpad.net/nova/+bug/1402728
/vmwareapi/vm_util.py
/vmwareapi/vmops.py </v>
      </c>
      <c r="C1380" s="81" t="str">
        <f>IFERROR(VLOOKUP(A1380,Internal_lists_bugs!$A$2:$I7981,9,FALSE()),"please select a BUG ID")</f>
        <v>https://review.opendev.org/c/openstack/nova/+/107009</v>
      </c>
      <c r="D1380" s="114"/>
      <c r="E1380" s="114"/>
      <c r="F1380" s="115"/>
      <c r="G1380" s="79" t="s">
        <v>1731</v>
      </c>
      <c r="H1380" s="93" t="s">
        <v>3117</v>
      </c>
      <c r="I1380" s="54"/>
      <c r="K1380" s="54"/>
      <c r="M1380" s="114" t="str">
        <f>VLOOKUP(A1380,'BIC_(C_Variables)'!$A$3:$AS$43,45,FALSE())</f>
        <v/>
      </c>
      <c r="N1380" s="1"/>
      <c r="O1380" s="1"/>
      <c r="P1380" s="81" t="str">
        <f>IFERROR(VLOOKUP(A1380,Internal_lists_bugs!$A$2:$G7981,7,FALSE()),"please select a BUG ID")</f>
        <v>https://opendev.org/openstack/nova/commit/2bcda65d512</v>
      </c>
    </row>
    <row r="1381">
      <c r="A1381" s="16" t="s">
        <v>58</v>
      </c>
      <c r="B1381" s="50" t="str">
        <f>IFERROR(HYPERLINK(VLOOKUP(A1381,Internal_lists_bugs!$A$2:$C$73,3,FALSE()), VLOOKUP(A1381,Internal_lists_bugs!$A$2:$C$73,3,FALSE())&amp;Char(10) &amp; Char(10) &amp; VLOOKUP(A1381,Internal_lists_bugs!$A$2:$Z$73,26,FALSE())),"please select a BUG ID")</f>
        <v>https://bugs.launchpad.net/nova/+bug/1402728
/vmwareapi/vm_util.py
/vmwareapi/vmops.py </v>
      </c>
      <c r="C1381" s="81" t="str">
        <f>IFERROR(VLOOKUP(A1381,Internal_lists_bugs!$A$2:$I7981,9,FALSE()),"please select a BUG ID")</f>
        <v>https://review.opendev.org/c/openstack/nova/+/107009</v>
      </c>
      <c r="D1381" s="114"/>
      <c r="E1381" s="114"/>
      <c r="F1381" s="115"/>
      <c r="G1381" s="79" t="s">
        <v>2001</v>
      </c>
      <c r="H1381" s="93" t="s">
        <v>3118</v>
      </c>
      <c r="I1381" s="54"/>
      <c r="K1381" s="54"/>
      <c r="M1381" s="114" t="str">
        <f>VLOOKUP(A1381,'BIC_(C_Variables)'!$A$3:$AS$43,45,FALSE())</f>
        <v/>
      </c>
      <c r="N1381" s="1"/>
      <c r="O1381" s="1"/>
      <c r="P1381" s="81" t="str">
        <f>IFERROR(VLOOKUP(A1381,Internal_lists_bugs!$A$2:$G7981,7,FALSE()),"please select a BUG ID")</f>
        <v>https://opendev.org/openstack/nova/commit/2bcda65d512</v>
      </c>
    </row>
    <row r="1382">
      <c r="A1382" s="16" t="s">
        <v>58</v>
      </c>
      <c r="B1382" s="50" t="str">
        <f>IFERROR(HYPERLINK(VLOOKUP(A1382,Internal_lists_bugs!$A$2:$C$73,3,FALSE()), VLOOKUP(A1382,Internal_lists_bugs!$A$2:$C$73,3,FALSE())&amp;Char(10) &amp; Char(10) &amp; VLOOKUP(A1382,Internal_lists_bugs!$A$2:$Z$73,26,FALSE())),"please select a BUG ID")</f>
        <v>https://bugs.launchpad.net/nova/+bug/1402728
/vmwareapi/vm_util.py
/vmwareapi/vmops.py </v>
      </c>
      <c r="C1382" s="81" t="str">
        <f>IFERROR(VLOOKUP(A1382,Internal_lists_bugs!$A$2:$I7981,9,FALSE()),"please select a BUG ID")</f>
        <v>https://review.opendev.org/c/openstack/nova/+/107009</v>
      </c>
      <c r="D1382" s="114"/>
      <c r="E1382" s="114"/>
      <c r="F1382" s="115"/>
      <c r="G1382" s="79" t="s">
        <v>1514</v>
      </c>
      <c r="H1382" s="93" t="s">
        <v>3119</v>
      </c>
      <c r="I1382" s="54"/>
      <c r="K1382" s="54"/>
      <c r="M1382" s="114" t="str">
        <f>VLOOKUP(A1382,'BIC_(C_Variables)'!$A$3:$AS$43,45,FALSE())</f>
        <v/>
      </c>
      <c r="N1382" s="1"/>
      <c r="O1382" s="1"/>
      <c r="P1382" s="81" t="str">
        <f>IFERROR(VLOOKUP(A1382,Internal_lists_bugs!$A$2:$G7981,7,FALSE()),"please select a BUG ID")</f>
        <v>https://opendev.org/openstack/nova/commit/2bcda65d512</v>
      </c>
    </row>
    <row r="1383">
      <c r="A1383" s="16" t="s">
        <v>58</v>
      </c>
      <c r="B1383" s="50" t="str">
        <f>IFERROR(HYPERLINK(VLOOKUP(A1383,Internal_lists_bugs!$A$2:$C$73,3,FALSE()), VLOOKUP(A1383,Internal_lists_bugs!$A$2:$C$73,3,FALSE())&amp;Char(10) &amp; Char(10) &amp; VLOOKUP(A1383,Internal_lists_bugs!$A$2:$Z$73,26,FALSE())),"please select a BUG ID")</f>
        <v>https://bugs.launchpad.net/nova/+bug/1402728
/vmwareapi/vm_util.py
/vmwareapi/vmops.py </v>
      </c>
      <c r="C1383" s="81" t="str">
        <f>IFERROR(VLOOKUP(A1383,Internal_lists_bugs!$A$2:$I7981,9,FALSE()),"please select a BUG ID")</f>
        <v>https://review.opendev.org/c/openstack/nova/+/107009</v>
      </c>
      <c r="D1383" s="114"/>
      <c r="E1383" s="114"/>
      <c r="F1383" s="115"/>
      <c r="G1383" s="79" t="s">
        <v>3120</v>
      </c>
      <c r="H1383" s="93" t="s">
        <v>3121</v>
      </c>
      <c r="I1383" s="54"/>
      <c r="K1383" s="54"/>
      <c r="M1383" s="114" t="str">
        <f>VLOOKUP(A1383,'BIC_(C_Variables)'!$A$3:$AS$43,45,FALSE())</f>
        <v/>
      </c>
      <c r="N1383" s="1"/>
      <c r="O1383" s="1"/>
      <c r="P1383" s="81" t="str">
        <f>IFERROR(VLOOKUP(A1383,Internal_lists_bugs!$A$2:$G7981,7,FALSE()),"please select a BUG ID")</f>
        <v>https://opendev.org/openstack/nova/commit/2bcda65d512</v>
      </c>
    </row>
    <row r="1384">
      <c r="A1384" s="16" t="s">
        <v>58</v>
      </c>
      <c r="B1384" s="50" t="str">
        <f>IFERROR(HYPERLINK(VLOOKUP(A1384,Internal_lists_bugs!$A$2:$C$73,3,FALSE()), VLOOKUP(A1384,Internal_lists_bugs!$A$2:$C$73,3,FALSE())&amp;Char(10) &amp; Char(10) &amp; VLOOKUP(A1384,Internal_lists_bugs!$A$2:$Z$73,26,FALSE())),"please select a BUG ID")</f>
        <v>https://bugs.launchpad.net/nova/+bug/1402728
/vmwareapi/vm_util.py
/vmwareapi/vmops.py </v>
      </c>
      <c r="C1384" s="81" t="str">
        <f>IFERROR(VLOOKUP(A1384,Internal_lists_bugs!$A$2:$I7981,9,FALSE()),"please select a BUG ID")</f>
        <v>https://review.opendev.org/c/openstack/nova/+/107009</v>
      </c>
      <c r="D1384" s="114"/>
      <c r="E1384" s="114"/>
      <c r="F1384" s="115"/>
      <c r="G1384" s="79" t="s">
        <v>2396</v>
      </c>
      <c r="H1384" s="93" t="s">
        <v>3121</v>
      </c>
      <c r="I1384" s="54"/>
      <c r="K1384" s="54"/>
      <c r="M1384" s="114" t="str">
        <f>VLOOKUP(A1384,'BIC_(C_Variables)'!$A$3:$AS$43,45,FALSE())</f>
        <v/>
      </c>
      <c r="N1384" s="1"/>
      <c r="O1384" s="1"/>
      <c r="P1384" s="81" t="str">
        <f>IFERROR(VLOOKUP(A1384,Internal_lists_bugs!$A$2:$G7981,7,FALSE()),"please select a BUG ID")</f>
        <v>https://opendev.org/openstack/nova/commit/2bcda65d512</v>
      </c>
    </row>
    <row r="1385">
      <c r="A1385" s="16" t="s">
        <v>58</v>
      </c>
      <c r="B1385" s="50" t="str">
        <f>IFERROR(HYPERLINK(VLOOKUP(A1385,Internal_lists_bugs!$A$2:$C$73,3,FALSE()), VLOOKUP(A1385,Internal_lists_bugs!$A$2:$C$73,3,FALSE())&amp;Char(10) &amp; Char(10) &amp; VLOOKUP(A1385,Internal_lists_bugs!$A$2:$Z$73,26,FALSE())),"please select a BUG ID")</f>
        <v>https://bugs.launchpad.net/nova/+bug/1402728
/vmwareapi/vm_util.py
/vmwareapi/vmops.py </v>
      </c>
      <c r="C1385" s="81" t="str">
        <f>IFERROR(VLOOKUP(A1385,Internal_lists_bugs!$A$2:$I7981,9,FALSE()),"please select a BUG ID")</f>
        <v>https://review.opendev.org/c/openstack/nova/+/107009</v>
      </c>
      <c r="D1385" s="114"/>
      <c r="E1385" s="114"/>
      <c r="F1385" s="115"/>
      <c r="G1385" s="79" t="s">
        <v>3111</v>
      </c>
      <c r="H1385" s="93" t="s">
        <v>3122</v>
      </c>
      <c r="I1385" s="54"/>
      <c r="K1385" s="54"/>
      <c r="M1385" s="114" t="str">
        <f>VLOOKUP(A1385,'BIC_(C_Variables)'!$A$3:$AS$43,45,FALSE())</f>
        <v/>
      </c>
      <c r="N1385" s="1"/>
      <c r="O1385" s="1"/>
      <c r="P1385" s="81" t="str">
        <f>IFERROR(VLOOKUP(A1385,Internal_lists_bugs!$A$2:$G7981,7,FALSE()),"please select a BUG ID")</f>
        <v>https://opendev.org/openstack/nova/commit/2bcda65d512</v>
      </c>
    </row>
    <row r="1386">
      <c r="A1386" s="16" t="s">
        <v>58</v>
      </c>
      <c r="B1386" s="50" t="str">
        <f>IFERROR(HYPERLINK(VLOOKUP(A1386,Internal_lists_bugs!$A$2:$C$73,3,FALSE()), VLOOKUP(A1386,Internal_lists_bugs!$A$2:$C$73,3,FALSE())&amp;Char(10) &amp; Char(10) &amp; VLOOKUP(A1386,Internal_lists_bugs!$A$2:$Z$73,26,FALSE())),"please select a BUG ID")</f>
        <v>https://bugs.launchpad.net/nova/+bug/1402728
/vmwareapi/vm_util.py
/vmwareapi/vmops.py </v>
      </c>
      <c r="C1386" s="81" t="str">
        <f>IFERROR(VLOOKUP(A1386,Internal_lists_bugs!$A$2:$I7981,9,FALSE()),"please select a BUG ID")</f>
        <v>https://review.opendev.org/c/openstack/nova/+/107009</v>
      </c>
      <c r="D1386" s="114"/>
      <c r="E1386" s="114"/>
      <c r="F1386" s="115"/>
      <c r="G1386" s="79" t="s">
        <v>1590</v>
      </c>
      <c r="H1386" s="93" t="s">
        <v>3122</v>
      </c>
      <c r="I1386" s="54"/>
      <c r="K1386" s="54"/>
      <c r="M1386" s="114" t="str">
        <f>VLOOKUP(A1386,'BIC_(C_Variables)'!$A$3:$AS$43,45,FALSE())</f>
        <v/>
      </c>
      <c r="N1386" s="1"/>
      <c r="O1386" s="1"/>
      <c r="P1386" s="81" t="str">
        <f>IFERROR(VLOOKUP(A1386,Internal_lists_bugs!$A$2:$G7981,7,FALSE()),"please select a BUG ID")</f>
        <v>https://opendev.org/openstack/nova/commit/2bcda65d512</v>
      </c>
    </row>
    <row r="1387">
      <c r="A1387" s="16" t="s">
        <v>58</v>
      </c>
      <c r="B1387" s="50" t="str">
        <f>IFERROR(HYPERLINK(VLOOKUP(A1387,Internal_lists_bugs!$A$2:$C$73,3,FALSE()), VLOOKUP(A1387,Internal_lists_bugs!$A$2:$C$73,3,FALSE())&amp;Char(10) &amp; Char(10) &amp; VLOOKUP(A1387,Internal_lists_bugs!$A$2:$Z$73,26,FALSE())),"please select a BUG ID")</f>
        <v>https://bugs.launchpad.net/nova/+bug/1402728
/vmwareapi/vm_util.py
/vmwareapi/vmops.py </v>
      </c>
      <c r="C1387" s="81" t="str">
        <f>IFERROR(VLOOKUP(A1387,Internal_lists_bugs!$A$2:$I7981,9,FALSE()),"please select a BUG ID")</f>
        <v>https://review.opendev.org/c/openstack/nova/+/107009</v>
      </c>
      <c r="D1387" s="114"/>
      <c r="E1387" s="114"/>
      <c r="F1387" s="115"/>
      <c r="G1387" s="79" t="s">
        <v>3123</v>
      </c>
      <c r="H1387" s="93" t="s">
        <v>3124</v>
      </c>
      <c r="I1387" s="54"/>
      <c r="K1387" s="54"/>
      <c r="M1387" s="114" t="str">
        <f>VLOOKUP(A1387,'BIC_(C_Variables)'!$A$3:$AS$43,45,FALSE())</f>
        <v/>
      </c>
      <c r="N1387" s="1"/>
      <c r="O1387" s="1"/>
      <c r="P1387" s="81" t="str">
        <f>IFERROR(VLOOKUP(A1387,Internal_lists_bugs!$A$2:$G7981,7,FALSE()),"please select a BUG ID")</f>
        <v>https://opendev.org/openstack/nova/commit/2bcda65d512</v>
      </c>
    </row>
    <row r="1388">
      <c r="A1388" s="16" t="s">
        <v>58</v>
      </c>
      <c r="B1388" s="50" t="str">
        <f>IFERROR(HYPERLINK(VLOOKUP(A1388,Internal_lists_bugs!$A$2:$C$73,3,FALSE()), VLOOKUP(A1388,Internal_lists_bugs!$A$2:$C$73,3,FALSE())&amp;Char(10) &amp; Char(10) &amp; VLOOKUP(A1388,Internal_lists_bugs!$A$2:$Z$73,26,FALSE())),"please select a BUG ID")</f>
        <v>https://bugs.launchpad.net/nova/+bug/1402728
/vmwareapi/vm_util.py
/vmwareapi/vmops.py </v>
      </c>
      <c r="C1388" s="81" t="str">
        <f>IFERROR(VLOOKUP(A1388,Internal_lists_bugs!$A$2:$I7981,9,FALSE()),"please select a BUG ID")</f>
        <v>https://review.opendev.org/c/openstack/nova/+/107009</v>
      </c>
      <c r="D1388" s="114"/>
      <c r="E1388" s="114"/>
      <c r="F1388" s="115"/>
      <c r="G1388" s="79" t="s">
        <v>3125</v>
      </c>
      <c r="H1388" s="93" t="s">
        <v>3126</v>
      </c>
      <c r="I1388" s="54"/>
      <c r="K1388" s="54"/>
      <c r="M1388" s="114" t="str">
        <f>VLOOKUP(A1388,'BIC_(C_Variables)'!$A$3:$AS$43,45,FALSE())</f>
        <v/>
      </c>
      <c r="N1388" s="1"/>
      <c r="O1388" s="1"/>
      <c r="P1388" s="81" t="str">
        <f>IFERROR(VLOOKUP(A1388,Internal_lists_bugs!$A$2:$G7981,7,FALSE()),"please select a BUG ID")</f>
        <v>https://opendev.org/openstack/nova/commit/2bcda65d512</v>
      </c>
    </row>
    <row r="1389">
      <c r="A1389" s="16" t="s">
        <v>58</v>
      </c>
      <c r="B1389" s="50" t="str">
        <f>IFERROR(HYPERLINK(VLOOKUP(A1389,Internal_lists_bugs!$A$2:$C$73,3,FALSE()), VLOOKUP(A1389,Internal_lists_bugs!$A$2:$C$73,3,FALSE())&amp;Char(10) &amp; Char(10) &amp; VLOOKUP(A1389,Internal_lists_bugs!$A$2:$Z$73,26,FALSE())),"please select a BUG ID")</f>
        <v>https://bugs.launchpad.net/nova/+bug/1402728
/vmwareapi/vm_util.py
/vmwareapi/vmops.py </v>
      </c>
      <c r="C1389" s="81" t="str">
        <f>IFERROR(VLOOKUP(A1389,Internal_lists_bugs!$A$2:$I7981,9,FALSE()),"please select a BUG ID")</f>
        <v>https://review.opendev.org/c/openstack/nova/+/107009</v>
      </c>
      <c r="D1389" s="114"/>
      <c r="E1389" s="114"/>
      <c r="F1389" s="115"/>
      <c r="G1389" s="79" t="s">
        <v>1485</v>
      </c>
      <c r="H1389" s="93" t="s">
        <v>3127</v>
      </c>
      <c r="I1389" s="54"/>
      <c r="K1389" s="54"/>
      <c r="M1389" s="114" t="str">
        <f>VLOOKUP(A1389,'BIC_(C_Variables)'!$A$3:$AS$43,45,FALSE())</f>
        <v/>
      </c>
      <c r="N1389" s="1"/>
      <c r="O1389" s="1"/>
      <c r="P1389" s="81" t="str">
        <f>IFERROR(VLOOKUP(A1389,Internal_lists_bugs!$A$2:$G7981,7,FALSE()),"please select a BUG ID")</f>
        <v>https://opendev.org/openstack/nova/commit/2bcda65d512</v>
      </c>
    </row>
    <row r="1390">
      <c r="A1390" s="16" t="s">
        <v>58</v>
      </c>
      <c r="B1390" s="50" t="str">
        <f>IFERROR(HYPERLINK(VLOOKUP(A1390,Internal_lists_bugs!$A$2:$C$73,3,FALSE()), VLOOKUP(A1390,Internal_lists_bugs!$A$2:$C$73,3,FALSE())&amp;Char(10) &amp; Char(10) &amp; VLOOKUP(A1390,Internal_lists_bugs!$A$2:$Z$73,26,FALSE())),"please select a BUG ID")</f>
        <v>https://bugs.launchpad.net/nova/+bug/1402728
/vmwareapi/vm_util.py
/vmwareapi/vmops.py </v>
      </c>
      <c r="C1390" s="81" t="str">
        <f>IFERROR(VLOOKUP(A1390,Internal_lists_bugs!$A$2:$I7981,9,FALSE()),"please select a BUG ID")</f>
        <v>https://review.opendev.org/c/openstack/nova/+/107009</v>
      </c>
      <c r="D1390" s="114"/>
      <c r="E1390" s="114"/>
      <c r="F1390" s="115"/>
      <c r="G1390" s="79" t="s">
        <v>1487</v>
      </c>
      <c r="H1390" s="93" t="s">
        <v>1659</v>
      </c>
      <c r="I1390" s="54"/>
      <c r="K1390" s="54"/>
      <c r="M1390" s="114" t="str">
        <f>VLOOKUP(A1390,'BIC_(C_Variables)'!$A$3:$AS$43,45,FALSE())</f>
        <v/>
      </c>
      <c r="N1390" s="1"/>
      <c r="O1390" s="1"/>
      <c r="P1390" s="81" t="str">
        <f>IFERROR(VLOOKUP(A1390,Internal_lists_bugs!$A$2:$G7981,7,FALSE()),"please select a BUG ID")</f>
        <v>https://opendev.org/openstack/nova/commit/2bcda65d512</v>
      </c>
    </row>
    <row r="1391">
      <c r="A1391" s="16" t="s">
        <v>58</v>
      </c>
      <c r="B1391" s="50" t="str">
        <f>IFERROR(HYPERLINK(VLOOKUP(A1391,Internal_lists_bugs!$A$2:$C$73,3,FALSE()), VLOOKUP(A1391,Internal_lists_bugs!$A$2:$C$73,3,FALSE())&amp;Char(10) &amp; Char(10) &amp; VLOOKUP(A1391,Internal_lists_bugs!$A$2:$Z$73,26,FALSE())),"please select a BUG ID")</f>
        <v>https://bugs.launchpad.net/nova/+bug/1402728
/vmwareapi/vm_util.py
/vmwareapi/vmops.py </v>
      </c>
      <c r="C1391" s="81" t="str">
        <f>IFERROR(VLOOKUP(A1391,Internal_lists_bugs!$A$2:$I7981,9,FALSE()),"please select a BUG ID")</f>
        <v>https://review.opendev.org/c/openstack/nova/+/107009</v>
      </c>
      <c r="D1391" s="114"/>
      <c r="E1391" s="114"/>
      <c r="F1391" s="115"/>
      <c r="G1391" s="79" t="s">
        <v>2104</v>
      </c>
      <c r="H1391" s="93" t="s">
        <v>2101</v>
      </c>
      <c r="I1391" s="54"/>
      <c r="K1391" s="54"/>
      <c r="M1391" s="114" t="str">
        <f>VLOOKUP(A1391,'BIC_(C_Variables)'!$A$3:$AS$43,45,FALSE())</f>
        <v/>
      </c>
      <c r="N1391" s="1"/>
      <c r="O1391" s="1"/>
      <c r="P1391" s="81" t="str">
        <f>IFERROR(VLOOKUP(A1391,Internal_lists_bugs!$A$2:$G7981,7,FALSE()),"please select a BUG ID")</f>
        <v>https://opendev.org/openstack/nova/commit/2bcda65d512</v>
      </c>
    </row>
    <row r="1392">
      <c r="A1392" s="16" t="s">
        <v>58</v>
      </c>
      <c r="B1392" s="50" t="str">
        <f>IFERROR(HYPERLINK(VLOOKUP(A1392,Internal_lists_bugs!$A$2:$C$73,3,FALSE()), VLOOKUP(A1392,Internal_lists_bugs!$A$2:$C$73,3,FALSE())&amp;Char(10) &amp; Char(10) &amp; VLOOKUP(A1392,Internal_lists_bugs!$A$2:$Z$73,26,FALSE())),"please select a BUG ID")</f>
        <v>https://bugs.launchpad.net/nova/+bug/1402728
/vmwareapi/vm_util.py
/vmwareapi/vmops.py </v>
      </c>
      <c r="C1392" s="81" t="str">
        <f>IFERROR(VLOOKUP(A1392,Internal_lists_bugs!$A$2:$I7981,9,FALSE()),"please select a BUG ID")</f>
        <v>https://review.opendev.org/c/openstack/nova/+/107009</v>
      </c>
      <c r="D1392" s="114"/>
      <c r="E1392" s="114"/>
      <c r="F1392" s="115"/>
      <c r="G1392" s="79" t="s">
        <v>1735</v>
      </c>
      <c r="H1392" s="93" t="s">
        <v>3128</v>
      </c>
      <c r="I1392" s="54"/>
      <c r="K1392" s="54"/>
      <c r="M1392" s="114" t="str">
        <f>VLOOKUP(A1392,'BIC_(C_Variables)'!$A$3:$AS$43,45,FALSE())</f>
        <v/>
      </c>
      <c r="N1392" s="1"/>
      <c r="O1392" s="1"/>
      <c r="P1392" s="81" t="str">
        <f>IFERROR(VLOOKUP(A1392,Internal_lists_bugs!$A$2:$G7981,7,FALSE()),"please select a BUG ID")</f>
        <v>https://opendev.org/openstack/nova/commit/2bcda65d512</v>
      </c>
    </row>
    <row r="1393">
      <c r="A1393" s="16" t="s">
        <v>58</v>
      </c>
      <c r="B1393" s="50" t="str">
        <f>IFERROR(HYPERLINK(VLOOKUP(A1393,Internal_lists_bugs!$A$2:$C$73,3,FALSE()), VLOOKUP(A1393,Internal_lists_bugs!$A$2:$C$73,3,FALSE())&amp;Char(10) &amp; Char(10) &amp; VLOOKUP(A1393,Internal_lists_bugs!$A$2:$Z$73,26,FALSE())),"please select a BUG ID")</f>
        <v>https://bugs.launchpad.net/nova/+bug/1402728
/vmwareapi/vm_util.py
/vmwareapi/vmops.py </v>
      </c>
      <c r="C1393" s="81" t="str">
        <f>IFERROR(VLOOKUP(A1393,Internal_lists_bugs!$A$2:$I7981,9,FALSE()),"please select a BUG ID")</f>
        <v>https://review.opendev.org/c/openstack/nova/+/107009</v>
      </c>
      <c r="D1393" s="114"/>
      <c r="E1393" s="114"/>
      <c r="F1393" s="115"/>
      <c r="G1393" s="79" t="s">
        <v>2051</v>
      </c>
      <c r="H1393" s="93" t="s">
        <v>3128</v>
      </c>
      <c r="I1393" s="54"/>
      <c r="K1393" s="54"/>
      <c r="M1393" s="114" t="str">
        <f>VLOOKUP(A1393,'BIC_(C_Variables)'!$A$3:$AS$43,45,FALSE())</f>
        <v/>
      </c>
      <c r="N1393" s="1"/>
      <c r="O1393" s="1"/>
      <c r="P1393" s="81" t="str">
        <f>IFERROR(VLOOKUP(A1393,Internal_lists_bugs!$A$2:$G7981,7,FALSE()),"please select a BUG ID")</f>
        <v>https://opendev.org/openstack/nova/commit/2bcda65d512</v>
      </c>
    </row>
    <row r="1394">
      <c r="A1394" s="16" t="s">
        <v>58</v>
      </c>
      <c r="B1394" s="50" t="str">
        <f>IFERROR(HYPERLINK(VLOOKUP(A1394,Internal_lists_bugs!$A$2:$C$73,3,FALSE()), VLOOKUP(A1394,Internal_lists_bugs!$A$2:$C$73,3,FALSE())&amp;Char(10) &amp; Char(10) &amp; VLOOKUP(A1394,Internal_lists_bugs!$A$2:$Z$73,26,FALSE())),"please select a BUG ID")</f>
        <v>https://bugs.launchpad.net/nova/+bug/1402728
/vmwareapi/vm_util.py
/vmwareapi/vmops.py </v>
      </c>
      <c r="C1394" s="81" t="str">
        <f>IFERROR(VLOOKUP(A1394,Internal_lists_bugs!$A$2:$I7981,9,FALSE()),"please select a BUG ID")</f>
        <v>https://review.opendev.org/c/openstack/nova/+/107009</v>
      </c>
      <c r="D1394" s="114"/>
      <c r="E1394" s="114"/>
      <c r="F1394" s="115"/>
      <c r="G1394" s="79" t="s">
        <v>1498</v>
      </c>
      <c r="H1394" s="93" t="s">
        <v>3129</v>
      </c>
      <c r="I1394" s="54"/>
      <c r="K1394" s="54"/>
      <c r="M1394" s="114" t="str">
        <f>VLOOKUP(A1394,'BIC_(C_Variables)'!$A$3:$AS$43,45,FALSE())</f>
        <v/>
      </c>
      <c r="N1394" s="1"/>
      <c r="O1394" s="1"/>
      <c r="P1394" s="81" t="str">
        <f>IFERROR(VLOOKUP(A1394,Internal_lists_bugs!$A$2:$G7981,7,FALSE()),"please select a BUG ID")</f>
        <v>https://opendev.org/openstack/nova/commit/2bcda65d512</v>
      </c>
    </row>
    <row r="1395">
      <c r="A1395" s="16" t="s">
        <v>58</v>
      </c>
      <c r="B1395" s="50" t="str">
        <f>IFERROR(HYPERLINK(VLOOKUP(A1395,Internal_lists_bugs!$A$2:$C$73,3,FALSE()), VLOOKUP(A1395,Internal_lists_bugs!$A$2:$C$73,3,FALSE())&amp;Char(10) &amp; Char(10) &amp; VLOOKUP(A1395,Internal_lists_bugs!$A$2:$Z$73,26,FALSE())),"please select a BUG ID")</f>
        <v>https://bugs.launchpad.net/nova/+bug/1402728
/vmwareapi/vm_util.py
/vmwareapi/vmops.py </v>
      </c>
      <c r="C1395" s="81" t="str">
        <f>IFERROR(VLOOKUP(A1395,Internal_lists_bugs!$A$2:$I7981,9,FALSE()),"please select a BUG ID")</f>
        <v>https://review.opendev.org/c/openstack/nova/+/107009</v>
      </c>
      <c r="D1395" s="114"/>
      <c r="E1395" s="114"/>
      <c r="F1395" s="115"/>
      <c r="G1395" s="79" t="s">
        <v>1485</v>
      </c>
      <c r="H1395" s="93" t="s">
        <v>3130</v>
      </c>
      <c r="I1395" s="54"/>
      <c r="K1395" s="54"/>
      <c r="M1395" s="114" t="str">
        <f>VLOOKUP(A1395,'BIC_(C_Variables)'!$A$3:$AS$43,45,FALSE())</f>
        <v/>
      </c>
      <c r="N1395" s="1"/>
      <c r="O1395" s="1"/>
      <c r="P1395" s="81" t="str">
        <f>IFERROR(VLOOKUP(A1395,Internal_lists_bugs!$A$2:$G7981,7,FALSE()),"please select a BUG ID")</f>
        <v>https://opendev.org/openstack/nova/commit/2bcda65d512</v>
      </c>
    </row>
    <row r="1396">
      <c r="A1396" s="16" t="s">
        <v>58</v>
      </c>
      <c r="B1396" s="50" t="str">
        <f>IFERROR(HYPERLINK(VLOOKUP(A1396,Internal_lists_bugs!$A$2:$C$73,3,FALSE()), VLOOKUP(A1396,Internal_lists_bugs!$A$2:$C$73,3,FALSE())&amp;Char(10) &amp; Char(10) &amp; VLOOKUP(A1396,Internal_lists_bugs!$A$2:$Z$73,26,FALSE())),"please select a BUG ID")</f>
        <v>https://bugs.launchpad.net/nova/+bug/1402728
/vmwareapi/vm_util.py
/vmwareapi/vmops.py </v>
      </c>
      <c r="C1396" s="81" t="str">
        <f>IFERROR(VLOOKUP(A1396,Internal_lists_bugs!$A$2:$I7981,9,FALSE()),"please select a BUG ID")</f>
        <v>https://review.opendev.org/c/openstack/nova/+/107009</v>
      </c>
      <c r="D1396" s="114"/>
      <c r="E1396" s="114"/>
      <c r="F1396" s="115"/>
      <c r="G1396" s="79" t="s">
        <v>1737</v>
      </c>
      <c r="H1396" s="93" t="s">
        <v>3128</v>
      </c>
      <c r="I1396" s="54"/>
      <c r="K1396" s="54"/>
      <c r="M1396" s="114" t="str">
        <f>VLOOKUP(A1396,'BIC_(C_Variables)'!$A$3:$AS$43,45,FALSE())</f>
        <v/>
      </c>
      <c r="N1396" s="1"/>
      <c r="O1396" s="1"/>
      <c r="P1396" s="81" t="str">
        <f>IFERROR(VLOOKUP(A1396,Internal_lists_bugs!$A$2:$G7981,7,FALSE()),"please select a BUG ID")</f>
        <v>https://opendev.org/openstack/nova/commit/2bcda65d512</v>
      </c>
    </row>
    <row r="1397">
      <c r="A1397" s="16" t="s">
        <v>58</v>
      </c>
      <c r="B1397" s="50" t="str">
        <f>IFERROR(HYPERLINK(VLOOKUP(A1397,Internal_lists_bugs!$A$2:$C$73,3,FALSE()), VLOOKUP(A1397,Internal_lists_bugs!$A$2:$C$73,3,FALSE())&amp;Char(10) &amp; Char(10) &amp; VLOOKUP(A1397,Internal_lists_bugs!$A$2:$Z$73,26,FALSE())),"please select a BUG ID")</f>
        <v>https://bugs.launchpad.net/nova/+bug/1402728
/vmwareapi/vm_util.py
/vmwareapi/vmops.py </v>
      </c>
      <c r="C1397" s="81" t="str">
        <f>IFERROR(VLOOKUP(A1397,Internal_lists_bugs!$A$2:$I7981,9,FALSE()),"please select a BUG ID")</f>
        <v>https://review.opendev.org/c/openstack/nova/+/107009</v>
      </c>
      <c r="D1397" s="114"/>
      <c r="E1397" s="114"/>
      <c r="F1397" s="115"/>
      <c r="G1397" s="79" t="s">
        <v>1570</v>
      </c>
      <c r="H1397" s="93" t="s">
        <v>3128</v>
      </c>
      <c r="I1397" s="54"/>
      <c r="K1397" s="54"/>
      <c r="M1397" s="114" t="str">
        <f>VLOOKUP(A1397,'BIC_(C_Variables)'!$A$3:$AS$43,45,FALSE())</f>
        <v/>
      </c>
      <c r="N1397" s="1"/>
      <c r="O1397" s="1"/>
      <c r="P1397" s="81" t="str">
        <f>IFERROR(VLOOKUP(A1397,Internal_lists_bugs!$A$2:$G7981,7,FALSE()),"please select a BUG ID")</f>
        <v>https://opendev.org/openstack/nova/commit/2bcda65d512</v>
      </c>
    </row>
    <row r="1398">
      <c r="A1398" s="16" t="s">
        <v>59</v>
      </c>
      <c r="B1398" s="50" t="str">
        <f>IFERROR(HYPERLINK(VLOOKUP(A1398,Internal_lists_bugs!$A$2:$C$73,3,FALSE()), VLOOKUP(A1398,Internal_lists_bugs!$A$2:$C$73,3,FALSE())&amp;Char(10) &amp; Char(10) &amp; VLOOKUP(A1398,Internal_lists_bugs!$A$2:$Z$73,26,FALSE())),"please select a BUG ID")</f>
        <v>https://bugs.launchpad.net/nova/+bug/1441000
/libvirt/driver.py</v>
      </c>
      <c r="C1398" s="81" t="str">
        <f>IFERROR(VLOOKUP(A1398,Internal_lists_bugs!$A$2:$I7981,9,FALSE()),"please select a BUG ID")</f>
        <v>https://review.opendev.org/c/openstack/nova/+/151664</v>
      </c>
      <c r="D1398" s="112" t="s">
        <v>1412</v>
      </c>
      <c r="E1398" s="112" t="s">
        <v>1462</v>
      </c>
      <c r="F1398" s="113" t="s">
        <v>251</v>
      </c>
      <c r="G1398" s="79" t="s">
        <v>1466</v>
      </c>
      <c r="H1398" s="116" t="s">
        <v>3131</v>
      </c>
      <c r="I1398" s="16" t="s">
        <v>251</v>
      </c>
      <c r="J1398" s="16" t="s">
        <v>3132</v>
      </c>
      <c r="K1398" s="16" t="s">
        <v>251</v>
      </c>
      <c r="L1398" s="16" t="s">
        <v>2107</v>
      </c>
      <c r="M1398" s="114" t="str">
        <f>VLOOKUP(A1398,'BIC_(C_Variables)'!$A$3:$AS$43,45,FALSE())</f>
        <v/>
      </c>
      <c r="N1398" s="1"/>
      <c r="O1398" s="1"/>
      <c r="P1398" s="81" t="str">
        <f>IFERROR(VLOOKUP(A1398,Internal_lists_bugs!$A$2:$G7981,7,FALSE()),"please select a BUG ID")</f>
        <v>https://opendev.org/openstack/nova/commit/7dd6a4a</v>
      </c>
    </row>
    <row r="1399">
      <c r="A1399" s="16" t="s">
        <v>59</v>
      </c>
      <c r="B1399" s="50" t="str">
        <f>IFERROR(HYPERLINK(VLOOKUP(A1399,Internal_lists_bugs!$A$2:$C$73,3,FALSE()), VLOOKUP(A1399,Internal_lists_bugs!$A$2:$C$73,3,FALSE())&amp;Char(10) &amp; Char(10) &amp; VLOOKUP(A1399,Internal_lists_bugs!$A$2:$Z$73,26,FALSE())),"please select a BUG ID")</f>
        <v>https://bugs.launchpad.net/nova/+bug/1441000
/libvirt/driver.py</v>
      </c>
      <c r="C1399" s="81" t="str">
        <f>IFERROR(VLOOKUP(A1399,Internal_lists_bugs!$A$2:$I7981,9,FALSE()),"please select a BUG ID")</f>
        <v>https://review.opendev.org/c/openstack/nova/+/151664</v>
      </c>
      <c r="D1399" s="114"/>
      <c r="E1399" s="114"/>
      <c r="F1399" s="115"/>
      <c r="G1399" s="79" t="s">
        <v>1419</v>
      </c>
      <c r="H1399" s="116" t="s">
        <v>3133</v>
      </c>
      <c r="I1399" s="54"/>
      <c r="K1399" s="54"/>
      <c r="M1399" s="114" t="str">
        <f>VLOOKUP(A1399,'BIC_(C_Variables)'!$A$3:$AS$43,45,FALSE())</f>
        <v/>
      </c>
      <c r="N1399" s="1"/>
      <c r="O1399" s="1"/>
      <c r="P1399" s="81" t="str">
        <f>IFERROR(VLOOKUP(A1399,Internal_lists_bugs!$A$2:$G7981,7,FALSE()),"please select a BUG ID")</f>
        <v>https://opendev.org/openstack/nova/commit/7dd6a4a</v>
      </c>
    </row>
    <row r="1400">
      <c r="A1400" s="16" t="s">
        <v>59</v>
      </c>
      <c r="B1400" s="50" t="str">
        <f>IFERROR(HYPERLINK(VLOOKUP(A1400,Internal_lists_bugs!$A$2:$C$73,3,FALSE()), VLOOKUP(A1400,Internal_lists_bugs!$A$2:$C$73,3,FALSE())&amp;Char(10) &amp; Char(10) &amp; VLOOKUP(A1400,Internal_lists_bugs!$A$2:$Z$73,26,FALSE())),"please select a BUG ID")</f>
        <v>https://bugs.launchpad.net/nova/+bug/1441000
/libvirt/driver.py</v>
      </c>
      <c r="C1400" s="81" t="str">
        <f>IFERROR(VLOOKUP(A1400,Internal_lists_bugs!$A$2:$I7981,9,FALSE()),"please select a BUG ID")</f>
        <v>https://review.opendev.org/c/openstack/nova/+/151664</v>
      </c>
      <c r="D1400" s="114"/>
      <c r="E1400" s="114"/>
      <c r="F1400" s="115"/>
      <c r="G1400" s="79" t="s">
        <v>1672</v>
      </c>
      <c r="H1400" s="116" t="s">
        <v>3134</v>
      </c>
      <c r="I1400" s="54"/>
      <c r="K1400" s="54"/>
      <c r="M1400" s="114" t="str">
        <f>VLOOKUP(A1400,'BIC_(C_Variables)'!$A$3:$AS$43,45,FALSE())</f>
        <v/>
      </c>
      <c r="N1400" s="1"/>
      <c r="O1400" s="1"/>
      <c r="P1400" s="81" t="str">
        <f>IFERROR(VLOOKUP(A1400,Internal_lists_bugs!$A$2:$G7981,7,FALSE()),"please select a BUG ID")</f>
        <v>https://opendev.org/openstack/nova/commit/7dd6a4a</v>
      </c>
    </row>
    <row r="1401">
      <c r="A1401" s="16" t="s">
        <v>59</v>
      </c>
      <c r="B1401" s="50" t="str">
        <f>IFERROR(HYPERLINK(VLOOKUP(A1401,Internal_lists_bugs!$A$2:$C$73,3,FALSE()), VLOOKUP(A1401,Internal_lists_bugs!$A$2:$C$73,3,FALSE())&amp;Char(10) &amp; Char(10) &amp; VLOOKUP(A1401,Internal_lists_bugs!$A$2:$Z$73,26,FALSE())),"please select a BUG ID")</f>
        <v>https://bugs.launchpad.net/nova/+bug/1441000
/libvirt/driver.py</v>
      </c>
      <c r="C1401" s="81" t="str">
        <f>IFERROR(VLOOKUP(A1401,Internal_lists_bugs!$A$2:$I7981,9,FALSE()),"please select a BUG ID")</f>
        <v>https://review.opendev.org/c/openstack/nova/+/151664</v>
      </c>
      <c r="D1401" s="114"/>
      <c r="E1401" s="114"/>
      <c r="F1401" s="115"/>
      <c r="G1401" s="79" t="s">
        <v>1417</v>
      </c>
      <c r="H1401" s="116" t="s">
        <v>3135</v>
      </c>
      <c r="I1401" s="54"/>
      <c r="K1401" s="54"/>
      <c r="M1401" s="114" t="str">
        <f>VLOOKUP(A1401,'BIC_(C_Variables)'!$A$3:$AS$43,45,FALSE())</f>
        <v/>
      </c>
      <c r="N1401" s="1"/>
      <c r="O1401" s="1"/>
      <c r="P1401" s="81" t="str">
        <f>IFERROR(VLOOKUP(A1401,Internal_lists_bugs!$A$2:$G7981,7,FALSE()),"please select a BUG ID")</f>
        <v>https://opendev.org/openstack/nova/commit/7dd6a4a</v>
      </c>
    </row>
    <row r="1402">
      <c r="A1402" s="16" t="s">
        <v>59</v>
      </c>
      <c r="B1402" s="50" t="str">
        <f>IFERROR(HYPERLINK(VLOOKUP(A1402,Internal_lists_bugs!$A$2:$C$73,3,FALSE()), VLOOKUP(A1402,Internal_lists_bugs!$A$2:$C$73,3,FALSE())&amp;Char(10) &amp; Char(10) &amp; VLOOKUP(A1402,Internal_lists_bugs!$A$2:$Z$73,26,FALSE())),"please select a BUG ID")</f>
        <v>https://bugs.launchpad.net/nova/+bug/1441000
/libvirt/driver.py</v>
      </c>
      <c r="C1402" s="81" t="str">
        <f>IFERROR(VLOOKUP(A1402,Internal_lists_bugs!$A$2:$I7981,9,FALSE()),"please select a BUG ID")</f>
        <v>https://review.opendev.org/c/openstack/nova/+/151664</v>
      </c>
      <c r="D1402" s="114"/>
      <c r="E1402" s="114"/>
      <c r="F1402" s="115"/>
      <c r="G1402" s="79" t="s">
        <v>1495</v>
      </c>
      <c r="H1402" s="116" t="s">
        <v>3136</v>
      </c>
      <c r="I1402" s="54"/>
      <c r="K1402" s="54"/>
      <c r="M1402" s="114" t="str">
        <f>VLOOKUP(A1402,'BIC_(C_Variables)'!$A$3:$AS$43,45,FALSE())</f>
        <v/>
      </c>
      <c r="N1402" s="1"/>
      <c r="O1402" s="1"/>
      <c r="P1402" s="81" t="str">
        <f>IFERROR(VLOOKUP(A1402,Internal_lists_bugs!$A$2:$G7981,7,FALSE()),"please select a BUG ID")</f>
        <v>https://opendev.org/openstack/nova/commit/7dd6a4a</v>
      </c>
    </row>
    <row r="1403">
      <c r="A1403" s="16" t="s">
        <v>59</v>
      </c>
      <c r="B1403" s="50" t="str">
        <f>IFERROR(HYPERLINK(VLOOKUP(A1403,Internal_lists_bugs!$A$2:$C$73,3,FALSE()), VLOOKUP(A1403,Internal_lists_bugs!$A$2:$C$73,3,FALSE())&amp;Char(10) &amp; Char(10) &amp; VLOOKUP(A1403,Internal_lists_bugs!$A$2:$Z$73,26,FALSE())),"please select a BUG ID")</f>
        <v>https://bugs.launchpad.net/nova/+bug/1441000
/libvirt/driver.py</v>
      </c>
      <c r="C1403" s="81" t="str">
        <f>IFERROR(VLOOKUP(A1403,Internal_lists_bugs!$A$2:$I7981,9,FALSE()),"please select a BUG ID")</f>
        <v>https://review.opendev.org/c/openstack/nova/+/151664</v>
      </c>
      <c r="D1403" s="114"/>
      <c r="E1403" s="114"/>
      <c r="F1403" s="115"/>
      <c r="G1403" s="79" t="s">
        <v>3137</v>
      </c>
      <c r="H1403" s="116" t="s">
        <v>3138</v>
      </c>
      <c r="I1403" s="54"/>
      <c r="K1403" s="54"/>
      <c r="M1403" s="114" t="str">
        <f>VLOOKUP(A1403,'BIC_(C_Variables)'!$A$3:$AS$43,45,FALSE())</f>
        <v/>
      </c>
      <c r="N1403" s="1"/>
      <c r="O1403" s="1"/>
      <c r="P1403" s="81" t="str">
        <f>IFERROR(VLOOKUP(A1403,Internal_lists_bugs!$A$2:$G7981,7,FALSE()),"please select a BUG ID")</f>
        <v>https://opendev.org/openstack/nova/commit/7dd6a4a</v>
      </c>
    </row>
    <row r="1404">
      <c r="A1404" s="16" t="s">
        <v>59</v>
      </c>
      <c r="B1404" s="50" t="str">
        <f>IFERROR(HYPERLINK(VLOOKUP(A1404,Internal_lists_bugs!$A$2:$C$73,3,FALSE()), VLOOKUP(A1404,Internal_lists_bugs!$A$2:$C$73,3,FALSE())&amp;Char(10) &amp; Char(10) &amp; VLOOKUP(A1404,Internal_lists_bugs!$A$2:$Z$73,26,FALSE())),"please select a BUG ID")</f>
        <v>https://bugs.launchpad.net/nova/+bug/1441000
/libvirt/driver.py</v>
      </c>
      <c r="C1404" s="81" t="str">
        <f>IFERROR(VLOOKUP(A1404,Internal_lists_bugs!$A$2:$I7981,9,FALSE()),"please select a BUG ID")</f>
        <v>https://review.opendev.org/c/openstack/nova/+/151664</v>
      </c>
      <c r="D1404" s="114"/>
      <c r="E1404" s="114"/>
      <c r="F1404" s="115"/>
      <c r="G1404" s="79" t="s">
        <v>3139</v>
      </c>
      <c r="H1404" s="116" t="s">
        <v>3140</v>
      </c>
      <c r="I1404" s="54"/>
      <c r="K1404" s="54"/>
      <c r="M1404" s="114" t="str">
        <f>VLOOKUP(A1404,'BIC_(C_Variables)'!$A$3:$AS$43,45,FALSE())</f>
        <v/>
      </c>
      <c r="N1404" s="1"/>
      <c r="O1404" s="1"/>
      <c r="P1404" s="81" t="str">
        <f>IFERROR(VLOOKUP(A1404,Internal_lists_bugs!$A$2:$G7981,7,FALSE()),"please select a BUG ID")</f>
        <v>https://opendev.org/openstack/nova/commit/7dd6a4a</v>
      </c>
    </row>
    <row r="1405">
      <c r="A1405" s="16" t="s">
        <v>59</v>
      </c>
      <c r="B1405" s="50" t="str">
        <f>IFERROR(HYPERLINK(VLOOKUP(A1405,Internal_lists_bugs!$A$2:$C$73,3,FALSE()), VLOOKUP(A1405,Internal_lists_bugs!$A$2:$C$73,3,FALSE())&amp;Char(10) &amp; Char(10) &amp; VLOOKUP(A1405,Internal_lists_bugs!$A$2:$Z$73,26,FALSE())),"please select a BUG ID")</f>
        <v>https://bugs.launchpad.net/nova/+bug/1441000
/libvirt/driver.py</v>
      </c>
      <c r="C1405" s="81" t="str">
        <f>IFERROR(VLOOKUP(A1405,Internal_lists_bugs!$A$2:$I7981,9,FALSE()),"please select a BUG ID")</f>
        <v>https://review.opendev.org/c/openstack/nova/+/151664</v>
      </c>
      <c r="D1405" s="114"/>
      <c r="E1405" s="114"/>
      <c r="F1405" s="115"/>
      <c r="G1405" s="79" t="s">
        <v>3046</v>
      </c>
      <c r="H1405" s="116" t="s">
        <v>3141</v>
      </c>
      <c r="I1405" s="54"/>
      <c r="K1405" s="54"/>
      <c r="M1405" s="114" t="str">
        <f>VLOOKUP(A1405,'BIC_(C_Variables)'!$A$3:$AS$43,45,FALSE())</f>
        <v/>
      </c>
      <c r="N1405" s="1"/>
      <c r="O1405" s="1"/>
      <c r="P1405" s="81" t="str">
        <f>IFERROR(VLOOKUP(A1405,Internal_lists_bugs!$A$2:$G7981,7,FALSE()),"please select a BUG ID")</f>
        <v>https://opendev.org/openstack/nova/commit/7dd6a4a</v>
      </c>
    </row>
    <row r="1406">
      <c r="A1406" s="16" t="s">
        <v>59</v>
      </c>
      <c r="B1406" s="50" t="str">
        <f>IFERROR(HYPERLINK(VLOOKUP(A1406,Internal_lists_bugs!$A$2:$C$73,3,FALSE()), VLOOKUP(A1406,Internal_lists_bugs!$A$2:$C$73,3,FALSE())&amp;Char(10) &amp; Char(10) &amp; VLOOKUP(A1406,Internal_lists_bugs!$A$2:$Z$73,26,FALSE())),"please select a BUG ID")</f>
        <v>https://bugs.launchpad.net/nova/+bug/1441000
/libvirt/driver.py</v>
      </c>
      <c r="C1406" s="81" t="str">
        <f>IFERROR(VLOOKUP(A1406,Internal_lists_bugs!$A$2:$I7981,9,FALSE()),"please select a BUG ID")</f>
        <v>https://review.opendev.org/c/openstack/nova/+/151664</v>
      </c>
      <c r="D1406" s="114"/>
      <c r="E1406" s="114"/>
      <c r="F1406" s="115"/>
      <c r="G1406" s="79" t="s">
        <v>1673</v>
      </c>
      <c r="H1406" s="116" t="s">
        <v>3142</v>
      </c>
      <c r="I1406" s="54"/>
      <c r="K1406" s="54"/>
      <c r="M1406" s="114"/>
      <c r="N1406" s="1"/>
      <c r="O1406" s="1"/>
      <c r="P1406" s="51"/>
    </row>
    <row r="1407">
      <c r="A1407" s="16" t="s">
        <v>59</v>
      </c>
      <c r="B1407" s="50" t="str">
        <f>IFERROR(HYPERLINK(VLOOKUP(A1407,Internal_lists_bugs!$A$2:$C$73,3,FALSE()), VLOOKUP(A1407,Internal_lists_bugs!$A$2:$C$73,3,FALSE())&amp;Char(10) &amp; Char(10) &amp; VLOOKUP(A1407,Internal_lists_bugs!$A$2:$Z$73,26,FALSE())),"please select a BUG ID")</f>
        <v>https://bugs.launchpad.net/nova/+bug/1441000
/libvirt/driver.py</v>
      </c>
      <c r="C1407" s="81" t="str">
        <f>IFERROR(VLOOKUP(A1407,Internal_lists_bugs!$A$2:$I7981,9,FALSE()),"please select a BUG ID")</f>
        <v>https://review.opendev.org/c/openstack/nova/+/151664</v>
      </c>
      <c r="D1407" s="114"/>
      <c r="E1407" s="114"/>
      <c r="F1407" s="115"/>
      <c r="G1407" s="79" t="s">
        <v>1686</v>
      </c>
      <c r="H1407" s="116" t="s">
        <v>3143</v>
      </c>
      <c r="I1407" s="54"/>
      <c r="K1407" s="54"/>
      <c r="M1407" s="114" t="str">
        <f>VLOOKUP(A1407,'BIC_(C_Variables)'!$A$3:$AS$43,45,FALSE())</f>
        <v/>
      </c>
      <c r="N1407" s="1"/>
      <c r="O1407" s="1"/>
      <c r="P1407" s="81" t="str">
        <f>IFERROR(VLOOKUP(A1407,Internal_lists_bugs!$A$2:$G7981,7,FALSE()),"please select a BUG ID")</f>
        <v>https://opendev.org/openstack/nova/commit/7dd6a4a</v>
      </c>
    </row>
    <row r="1408">
      <c r="A1408" s="16" t="s">
        <v>59</v>
      </c>
      <c r="B1408" s="50" t="str">
        <f>IFERROR(HYPERLINK(VLOOKUP(A1408,Internal_lists_bugs!$A$2:$C$73,3,FALSE()), VLOOKUP(A1408,Internal_lists_bugs!$A$2:$C$73,3,FALSE())&amp;Char(10) &amp; Char(10) &amp; VLOOKUP(A1408,Internal_lists_bugs!$A$2:$Z$73,26,FALSE())),"please select a BUG ID")</f>
        <v>https://bugs.launchpad.net/nova/+bug/1441000
/libvirt/driver.py</v>
      </c>
      <c r="C1408" s="81" t="str">
        <f>IFERROR(VLOOKUP(A1408,Internal_lists_bugs!$A$2:$I7981,9,FALSE()),"please select a BUG ID")</f>
        <v>https://review.opendev.org/c/openstack/nova/+/151664</v>
      </c>
      <c r="D1408" s="114"/>
      <c r="E1408" s="114"/>
      <c r="F1408" s="115"/>
      <c r="G1408" s="79" t="s">
        <v>2235</v>
      </c>
      <c r="H1408" s="116" t="s">
        <v>3144</v>
      </c>
      <c r="I1408" s="54"/>
      <c r="K1408" s="54"/>
      <c r="M1408" s="114" t="str">
        <f>VLOOKUP(A1408,'BIC_(C_Variables)'!$A$3:$AS$43,45,FALSE())</f>
        <v/>
      </c>
      <c r="N1408" s="1"/>
      <c r="O1408" s="1"/>
      <c r="P1408" s="81" t="str">
        <f>IFERROR(VLOOKUP(A1408,Internal_lists_bugs!$A$2:$G7981,7,FALSE()),"please select a BUG ID")</f>
        <v>https://opendev.org/openstack/nova/commit/7dd6a4a</v>
      </c>
    </row>
    <row r="1409">
      <c r="A1409" s="16" t="s">
        <v>59</v>
      </c>
      <c r="B1409" s="50" t="str">
        <f>IFERROR(HYPERLINK(VLOOKUP(A1409,Internal_lists_bugs!$A$2:$C$73,3,FALSE()), VLOOKUP(A1409,Internal_lists_bugs!$A$2:$C$73,3,FALSE())&amp;Char(10) &amp; Char(10) &amp; VLOOKUP(A1409,Internal_lists_bugs!$A$2:$Z$73,26,FALSE())),"please select a BUG ID")</f>
        <v>https://bugs.launchpad.net/nova/+bug/1441000
/libvirt/driver.py</v>
      </c>
      <c r="C1409" s="81" t="str">
        <f>IFERROR(VLOOKUP(A1409,Internal_lists_bugs!$A$2:$I7981,9,FALSE()),"please select a BUG ID")</f>
        <v>https://review.opendev.org/c/openstack/nova/+/151664</v>
      </c>
      <c r="D1409" s="114"/>
      <c r="E1409" s="114"/>
      <c r="F1409" s="115"/>
      <c r="G1409" s="79" t="s">
        <v>3145</v>
      </c>
      <c r="H1409" s="122" t="s">
        <v>3146</v>
      </c>
      <c r="I1409" s="54"/>
      <c r="K1409" s="54"/>
      <c r="M1409" s="114" t="str">
        <f>VLOOKUP(A1409,'BIC_(C_Variables)'!$A$3:$AS$43,45,FALSE())</f>
        <v/>
      </c>
      <c r="N1409" s="1"/>
      <c r="O1409" s="1"/>
      <c r="P1409" s="81" t="str">
        <f>IFERROR(VLOOKUP(A1409,Internal_lists_bugs!$A$2:$G7981,7,FALSE()),"please select a BUG ID")</f>
        <v>https://opendev.org/openstack/nova/commit/7dd6a4a</v>
      </c>
    </row>
    <row r="1410">
      <c r="A1410" s="16" t="s">
        <v>59</v>
      </c>
      <c r="B1410" s="50" t="str">
        <f>IFERROR(HYPERLINK(VLOOKUP(A1410,Internal_lists_bugs!$A$2:$C$73,3,FALSE()), VLOOKUP(A1410,Internal_lists_bugs!$A$2:$C$73,3,FALSE())&amp;Char(10) &amp; Char(10) &amp; VLOOKUP(A1410,Internal_lists_bugs!$A$2:$Z$73,26,FALSE())),"please select a BUG ID")</f>
        <v>https://bugs.launchpad.net/nova/+bug/1441000
/libvirt/driver.py</v>
      </c>
      <c r="C1410" s="81" t="str">
        <f>IFERROR(VLOOKUP(A1410,Internal_lists_bugs!$A$2:$I7981,9,FALSE()),"please select a BUG ID")</f>
        <v>https://review.opendev.org/c/openstack/nova/+/151664</v>
      </c>
      <c r="D1410" s="114"/>
      <c r="E1410" s="114"/>
      <c r="F1410" s="115"/>
      <c r="G1410" s="79" t="s">
        <v>1460</v>
      </c>
      <c r="H1410" s="116" t="s">
        <v>1461</v>
      </c>
      <c r="I1410" s="54"/>
      <c r="K1410" s="54"/>
      <c r="M1410" s="114" t="str">
        <f>VLOOKUP(A1410,'BIC_(C_Variables)'!$A$3:$AS$43,45,FALSE())</f>
        <v/>
      </c>
      <c r="N1410" s="1"/>
      <c r="O1410" s="1"/>
      <c r="P1410" s="81" t="str">
        <f>IFERROR(VLOOKUP(A1410,Internal_lists_bugs!$A$2:$G7981,7,FALSE()),"please select a BUG ID")</f>
        <v>https://opendev.org/openstack/nova/commit/7dd6a4a</v>
      </c>
    </row>
    <row r="1411">
      <c r="A1411" s="16" t="s">
        <v>59</v>
      </c>
      <c r="B1411" s="50" t="str">
        <f>IFERROR(HYPERLINK(VLOOKUP(A1411,Internal_lists_bugs!$A$2:$C$73,3,FALSE()), VLOOKUP(A1411,Internal_lists_bugs!$A$2:$C$73,3,FALSE())&amp;Char(10) &amp; Char(10) &amp; VLOOKUP(A1411,Internal_lists_bugs!$A$2:$Z$73,26,FALSE())),"please select a BUG ID")</f>
        <v>https://bugs.launchpad.net/nova/+bug/1441000
/libvirt/driver.py</v>
      </c>
      <c r="C1411" s="81" t="str">
        <f>IFERROR(VLOOKUP(A1411,Internal_lists_bugs!$A$2:$I7981,9,FALSE()),"please select a BUG ID")</f>
        <v>https://review.opendev.org/c/openstack/nova/+/151664</v>
      </c>
      <c r="D1411" s="114"/>
      <c r="E1411" s="114"/>
      <c r="F1411" s="115"/>
      <c r="G1411" s="79" t="s">
        <v>2928</v>
      </c>
      <c r="H1411" s="116" t="s">
        <v>3147</v>
      </c>
      <c r="I1411" s="54"/>
      <c r="K1411" s="54"/>
      <c r="M1411" s="114" t="str">
        <f>VLOOKUP(A1411,'BIC_(C_Variables)'!$A$3:$AS$43,45,FALSE())</f>
        <v/>
      </c>
      <c r="N1411" s="1"/>
      <c r="O1411" s="1"/>
      <c r="P1411" s="81" t="str">
        <f>IFERROR(VLOOKUP(A1411,Internal_lists_bugs!$A$2:$G7981,7,FALSE()),"please select a BUG ID")</f>
        <v>https://opendev.org/openstack/nova/commit/7dd6a4a</v>
      </c>
    </row>
    <row r="1412">
      <c r="A1412" s="16" t="s">
        <v>59</v>
      </c>
      <c r="B1412" s="50" t="str">
        <f>IFERROR(HYPERLINK(VLOOKUP(A1412,Internal_lists_bugs!$A$2:$C$73,3,FALSE()), VLOOKUP(A1412,Internal_lists_bugs!$A$2:$C$73,3,FALSE())&amp;Char(10) &amp; Char(10) &amp; VLOOKUP(A1412,Internal_lists_bugs!$A$2:$Z$73,26,FALSE())),"please select a BUG ID")</f>
        <v>https://bugs.launchpad.net/nova/+bug/1441000
/libvirt/driver.py</v>
      </c>
      <c r="C1412" s="81" t="str">
        <f>IFERROR(VLOOKUP(A1412,Internal_lists_bugs!$A$2:$I7981,9,FALSE()),"please select a BUG ID")</f>
        <v>https://review.opendev.org/c/openstack/nova/+/151664</v>
      </c>
      <c r="D1412" s="114"/>
      <c r="E1412" s="114"/>
      <c r="F1412" s="115"/>
      <c r="G1412" s="79" t="s">
        <v>1509</v>
      </c>
      <c r="H1412" s="116" t="s">
        <v>3148</v>
      </c>
      <c r="I1412" s="54"/>
      <c r="K1412" s="54"/>
      <c r="M1412" s="114" t="str">
        <f>VLOOKUP(A1412,'BIC_(C_Variables)'!$A$3:$AS$43,45,FALSE())</f>
        <v/>
      </c>
      <c r="N1412" s="1"/>
      <c r="O1412" s="1"/>
      <c r="P1412" s="81" t="str">
        <f>IFERROR(VLOOKUP(A1412,Internal_lists_bugs!$A$2:$G7981,7,FALSE()),"please select a BUG ID")</f>
        <v>https://opendev.org/openstack/nova/commit/7dd6a4a</v>
      </c>
    </row>
    <row r="1413">
      <c r="A1413" s="16" t="s">
        <v>59</v>
      </c>
      <c r="B1413" s="50" t="str">
        <f>IFERROR(HYPERLINK(VLOOKUP(A1413,Internal_lists_bugs!$A$2:$C$73,3,FALSE()), VLOOKUP(A1413,Internal_lists_bugs!$A$2:$C$73,3,FALSE())&amp;Char(10) &amp; Char(10) &amp; VLOOKUP(A1413,Internal_lists_bugs!$A$2:$Z$73,26,FALSE())),"please select a BUG ID")</f>
        <v>https://bugs.launchpad.net/nova/+bug/1441000
/libvirt/driver.py</v>
      </c>
      <c r="C1413" s="81" t="str">
        <f>IFERROR(VLOOKUP(A1413,Internal_lists_bugs!$A$2:$I7981,9,FALSE()),"please select a BUG ID")</f>
        <v>https://review.opendev.org/c/openstack/nova/+/151664</v>
      </c>
      <c r="D1413" s="114"/>
      <c r="E1413" s="114"/>
      <c r="F1413" s="115"/>
      <c r="G1413" s="79" t="s">
        <v>2396</v>
      </c>
      <c r="H1413" s="116" t="s">
        <v>3149</v>
      </c>
      <c r="I1413" s="54"/>
      <c r="K1413" s="54"/>
      <c r="M1413" s="114" t="str">
        <f>VLOOKUP(A1413,'BIC_(C_Variables)'!$A$3:$AS$43,45,FALSE())</f>
        <v/>
      </c>
      <c r="N1413" s="1"/>
      <c r="O1413" s="1"/>
      <c r="P1413" s="81" t="str">
        <f>IFERROR(VLOOKUP(A1413,Internal_lists_bugs!$A$2:$G7981,7,FALSE()),"please select a BUG ID")</f>
        <v>https://opendev.org/openstack/nova/commit/7dd6a4a</v>
      </c>
    </row>
    <row r="1414">
      <c r="A1414" s="16" t="s">
        <v>59</v>
      </c>
      <c r="B1414" s="50" t="str">
        <f>IFERROR(HYPERLINK(VLOOKUP(A1414,Internal_lists_bugs!$A$2:$C$73,3,FALSE()), VLOOKUP(A1414,Internal_lists_bugs!$A$2:$C$73,3,FALSE())&amp;Char(10) &amp; Char(10) &amp; VLOOKUP(A1414,Internal_lists_bugs!$A$2:$Z$73,26,FALSE())),"please select a BUG ID")</f>
        <v>https://bugs.launchpad.net/nova/+bug/1441000
/libvirt/driver.py</v>
      </c>
      <c r="C1414" s="81" t="str">
        <f>IFERROR(VLOOKUP(A1414,Internal_lists_bugs!$A$2:$I7981,9,FALSE()),"please select a BUG ID")</f>
        <v>https://review.opendev.org/c/openstack/nova/+/151664</v>
      </c>
      <c r="D1414" s="114"/>
      <c r="E1414" s="114"/>
      <c r="F1414" s="115"/>
      <c r="G1414" s="79" t="s">
        <v>3150</v>
      </c>
      <c r="H1414" s="116" t="s">
        <v>3151</v>
      </c>
      <c r="I1414" s="54"/>
      <c r="K1414" s="54"/>
      <c r="M1414" s="114" t="str">
        <f>VLOOKUP(A1414,'BIC_(C_Variables)'!$A$3:$AS$43,45,FALSE())</f>
        <v/>
      </c>
      <c r="N1414" s="1"/>
      <c r="O1414" s="1"/>
      <c r="P1414" s="81" t="str">
        <f>IFERROR(VLOOKUP(A1414,Internal_lists_bugs!$A$2:$G7981,7,FALSE()),"please select a BUG ID")</f>
        <v>https://opendev.org/openstack/nova/commit/7dd6a4a</v>
      </c>
    </row>
    <row r="1415">
      <c r="A1415" s="16" t="s">
        <v>59</v>
      </c>
      <c r="B1415" s="50" t="str">
        <f>IFERROR(HYPERLINK(VLOOKUP(A1415,Internal_lists_bugs!$A$2:$C$73,3,FALSE()), VLOOKUP(A1415,Internal_lists_bugs!$A$2:$C$73,3,FALSE())&amp;Char(10) &amp; Char(10) &amp; VLOOKUP(A1415,Internal_lists_bugs!$A$2:$Z$73,26,FALSE())),"please select a BUG ID")</f>
        <v>https://bugs.launchpad.net/nova/+bug/1441000
/libvirt/driver.py</v>
      </c>
      <c r="C1415" s="81" t="str">
        <f>IFERROR(VLOOKUP(A1415,Internal_lists_bugs!$A$2:$I7981,9,FALSE()),"please select a BUG ID")</f>
        <v>https://review.opendev.org/c/openstack/nova/+/151664</v>
      </c>
      <c r="D1415" s="114"/>
      <c r="E1415" s="114"/>
      <c r="F1415" s="115"/>
      <c r="G1415" s="79" t="s">
        <v>3152</v>
      </c>
      <c r="H1415" s="116" t="s">
        <v>3153</v>
      </c>
      <c r="I1415" s="54"/>
      <c r="K1415" s="54"/>
      <c r="M1415" s="114" t="str">
        <f>VLOOKUP(A1415,'BIC_(C_Variables)'!$A$3:$AS$43,45,FALSE())</f>
        <v/>
      </c>
      <c r="N1415" s="1"/>
      <c r="O1415" s="1"/>
      <c r="P1415" s="81" t="str">
        <f>IFERROR(VLOOKUP(A1415,Internal_lists_bugs!$A$2:$G7981,7,FALSE()),"please select a BUG ID")</f>
        <v>https://opendev.org/openstack/nova/commit/7dd6a4a</v>
      </c>
    </row>
    <row r="1416">
      <c r="A1416" s="16" t="s">
        <v>59</v>
      </c>
      <c r="B1416" s="50" t="str">
        <f>IFERROR(HYPERLINK(VLOOKUP(A1416,Internal_lists_bugs!$A$2:$C$73,3,FALSE()), VLOOKUP(A1416,Internal_lists_bugs!$A$2:$C$73,3,FALSE())&amp;Char(10) &amp; Char(10) &amp; VLOOKUP(A1416,Internal_lists_bugs!$A$2:$Z$73,26,FALSE())),"please select a BUG ID")</f>
        <v>https://bugs.launchpad.net/nova/+bug/1441000
/libvirt/driver.py</v>
      </c>
      <c r="C1416" s="81" t="str">
        <f>IFERROR(VLOOKUP(A1416,Internal_lists_bugs!$A$2:$I7981,9,FALSE()),"please select a BUG ID")</f>
        <v>https://review.opendev.org/c/openstack/nova/+/151664</v>
      </c>
      <c r="D1416" s="114"/>
      <c r="E1416" s="114"/>
      <c r="F1416" s="115"/>
      <c r="G1416" s="79" t="s">
        <v>1998</v>
      </c>
      <c r="H1416" s="116" t="s">
        <v>3154</v>
      </c>
      <c r="I1416" s="54"/>
      <c r="K1416" s="54"/>
      <c r="M1416" s="114" t="str">
        <f>VLOOKUP(A1416,'BIC_(C_Variables)'!$A$3:$AS$43,45,FALSE())</f>
        <v/>
      </c>
      <c r="N1416" s="1"/>
      <c r="O1416" s="1"/>
      <c r="P1416" s="81" t="str">
        <f>IFERROR(VLOOKUP(A1416,Internal_lists_bugs!$A$2:$G7981,7,FALSE()),"please select a BUG ID")</f>
        <v>https://opendev.org/openstack/nova/commit/7dd6a4a</v>
      </c>
    </row>
    <row r="1417">
      <c r="A1417" s="16" t="s">
        <v>59</v>
      </c>
      <c r="B1417" s="50" t="str">
        <f>IFERROR(HYPERLINK(VLOOKUP(A1417,Internal_lists_bugs!$A$2:$C$73,3,FALSE()), VLOOKUP(A1417,Internal_lists_bugs!$A$2:$C$73,3,FALSE())&amp;Char(10) &amp; Char(10) &amp; VLOOKUP(A1417,Internal_lists_bugs!$A$2:$Z$73,26,FALSE())),"please select a BUG ID")</f>
        <v>https://bugs.launchpad.net/nova/+bug/1441000
/libvirt/driver.py</v>
      </c>
      <c r="C1417" s="81" t="str">
        <f>IFERROR(VLOOKUP(A1417,Internal_lists_bugs!$A$2:$I7981,9,FALSE()),"please select a BUG ID")</f>
        <v>https://review.opendev.org/c/openstack/nova/+/151664</v>
      </c>
      <c r="D1417" s="114"/>
      <c r="E1417" s="114"/>
      <c r="F1417" s="115"/>
      <c r="G1417" s="79" t="s">
        <v>3155</v>
      </c>
      <c r="H1417" s="116" t="s">
        <v>3156</v>
      </c>
      <c r="I1417" s="54"/>
      <c r="K1417" s="54"/>
      <c r="M1417" s="114" t="str">
        <f>VLOOKUP(A1417,'BIC_(C_Variables)'!$A$3:$AS$43,45,FALSE())</f>
        <v/>
      </c>
      <c r="N1417" s="1"/>
      <c r="O1417" s="1"/>
      <c r="P1417" s="81" t="str">
        <f>IFERROR(VLOOKUP(A1417,Internal_lists_bugs!$A$2:$G7981,7,FALSE()),"please select a BUG ID")</f>
        <v>https://opendev.org/openstack/nova/commit/7dd6a4a</v>
      </c>
    </row>
    <row r="1418">
      <c r="A1418" s="16" t="s">
        <v>59</v>
      </c>
      <c r="B1418" s="50" t="str">
        <f>IFERROR(HYPERLINK(VLOOKUP(A1418,Internal_lists_bugs!$A$2:$C$73,3,FALSE()), VLOOKUP(A1418,Internal_lists_bugs!$A$2:$C$73,3,FALSE())&amp;Char(10) &amp; Char(10) &amp; VLOOKUP(A1418,Internal_lists_bugs!$A$2:$Z$73,26,FALSE())),"please select a BUG ID")</f>
        <v>https://bugs.launchpad.net/nova/+bug/1441000
/libvirt/driver.py</v>
      </c>
      <c r="C1418" s="81" t="str">
        <f>IFERROR(VLOOKUP(A1418,Internal_lists_bugs!$A$2:$I7981,9,FALSE()),"please select a BUG ID")</f>
        <v>https://review.opendev.org/c/openstack/nova/+/151664</v>
      </c>
      <c r="D1418" s="114"/>
      <c r="E1418" s="114"/>
      <c r="F1418" s="115"/>
      <c r="G1418" s="79" t="s">
        <v>3157</v>
      </c>
      <c r="H1418" s="116" t="s">
        <v>3158</v>
      </c>
      <c r="I1418" s="54"/>
      <c r="K1418" s="54"/>
      <c r="M1418" s="114" t="str">
        <f>VLOOKUP(A1418,'BIC_(C_Variables)'!$A$3:$AS$43,45,FALSE())</f>
        <v/>
      </c>
      <c r="N1418" s="1"/>
      <c r="O1418" s="1"/>
      <c r="P1418" s="81" t="str">
        <f>IFERROR(VLOOKUP(A1418,Internal_lists_bugs!$A$2:$G7981,7,FALSE()),"please select a BUG ID")</f>
        <v>https://opendev.org/openstack/nova/commit/7dd6a4a</v>
      </c>
    </row>
    <row r="1419">
      <c r="A1419" s="16" t="s">
        <v>59</v>
      </c>
      <c r="B1419" s="50" t="str">
        <f>IFERROR(HYPERLINK(VLOOKUP(A1419,Internal_lists_bugs!$A$2:$C$73,3,FALSE()), VLOOKUP(A1419,Internal_lists_bugs!$A$2:$C$73,3,FALSE())&amp;Char(10) &amp; Char(10) &amp; VLOOKUP(A1419,Internal_lists_bugs!$A$2:$Z$73,26,FALSE())),"please select a BUG ID")</f>
        <v>https://bugs.launchpad.net/nova/+bug/1441000
/libvirt/driver.py</v>
      </c>
      <c r="C1419" s="81" t="str">
        <f>IFERROR(VLOOKUP(A1419,Internal_lists_bugs!$A$2:$I7981,9,FALSE()),"please select a BUG ID")</f>
        <v>https://review.opendev.org/c/openstack/nova/+/151664</v>
      </c>
      <c r="D1419" s="114"/>
      <c r="E1419" s="114"/>
      <c r="F1419" s="115"/>
      <c r="G1419" s="79" t="s">
        <v>1998</v>
      </c>
      <c r="H1419" s="116" t="s">
        <v>3159</v>
      </c>
      <c r="I1419" s="54"/>
      <c r="K1419" s="54"/>
      <c r="M1419" s="114" t="str">
        <f>VLOOKUP(A1419,'BIC_(C_Variables)'!$A$3:$AS$43,45,FALSE())</f>
        <v/>
      </c>
      <c r="N1419" s="1"/>
      <c r="O1419" s="1"/>
      <c r="P1419" s="81" t="str">
        <f>IFERROR(VLOOKUP(A1419,Internal_lists_bugs!$A$2:$G7981,7,FALSE()),"please select a BUG ID")</f>
        <v>https://opendev.org/openstack/nova/commit/7dd6a4a</v>
      </c>
    </row>
    <row r="1420">
      <c r="A1420" s="16" t="s">
        <v>59</v>
      </c>
      <c r="B1420" s="50" t="str">
        <f>IFERROR(HYPERLINK(VLOOKUP(A1420,Internal_lists_bugs!$A$2:$C$73,3,FALSE()), VLOOKUP(A1420,Internal_lists_bugs!$A$2:$C$73,3,FALSE())&amp;Char(10) &amp; Char(10) &amp; VLOOKUP(A1420,Internal_lists_bugs!$A$2:$Z$73,26,FALSE())),"please select a BUG ID")</f>
        <v>https://bugs.launchpad.net/nova/+bug/1441000
/libvirt/driver.py</v>
      </c>
      <c r="C1420" s="81" t="str">
        <f>IFERROR(VLOOKUP(A1420,Internal_lists_bugs!$A$2:$I7981,9,FALSE()),"please select a BUG ID")</f>
        <v>https://review.opendev.org/c/openstack/nova/+/151664</v>
      </c>
      <c r="D1420" s="114"/>
      <c r="E1420" s="114"/>
      <c r="F1420" s="115"/>
      <c r="G1420" s="79" t="s">
        <v>1860</v>
      </c>
      <c r="H1420" s="116" t="s">
        <v>3160</v>
      </c>
      <c r="I1420" s="54"/>
      <c r="K1420" s="54"/>
      <c r="M1420" s="114" t="str">
        <f>VLOOKUP(A1420,'BIC_(C_Variables)'!$A$3:$AS$43,45,FALSE())</f>
        <v/>
      </c>
      <c r="N1420" s="1"/>
      <c r="O1420" s="1"/>
      <c r="P1420" s="81" t="str">
        <f>IFERROR(VLOOKUP(A1420,Internal_lists_bugs!$A$2:$G7981,7,FALSE()),"please select a BUG ID")</f>
        <v>https://opendev.org/openstack/nova/commit/7dd6a4a</v>
      </c>
    </row>
    <row r="1421">
      <c r="A1421" s="16" t="s">
        <v>59</v>
      </c>
      <c r="B1421" s="50" t="str">
        <f>IFERROR(HYPERLINK(VLOOKUP(A1421,Internal_lists_bugs!$A$2:$C$73,3,FALSE()), VLOOKUP(A1421,Internal_lists_bugs!$A$2:$C$73,3,FALSE())&amp;Char(10) &amp; Char(10) &amp; VLOOKUP(A1421,Internal_lists_bugs!$A$2:$Z$73,26,FALSE())),"please select a BUG ID")</f>
        <v>https://bugs.launchpad.net/nova/+bug/1441000
/libvirt/driver.py</v>
      </c>
      <c r="C1421" s="81" t="str">
        <f>IFERROR(VLOOKUP(A1421,Internal_lists_bugs!$A$2:$I7981,9,FALSE()),"please select a BUG ID")</f>
        <v>https://review.opendev.org/c/openstack/nova/+/151664</v>
      </c>
      <c r="D1421" s="114"/>
      <c r="E1421" s="114"/>
      <c r="F1421" s="115"/>
      <c r="G1421" s="79" t="s">
        <v>3161</v>
      </c>
      <c r="H1421" s="116" t="s">
        <v>3162</v>
      </c>
      <c r="I1421" s="54"/>
      <c r="K1421" s="54"/>
      <c r="M1421" s="114" t="str">
        <f>VLOOKUP(A1421,'BIC_(C_Variables)'!$A$3:$AS$43,45,FALSE())</f>
        <v/>
      </c>
      <c r="N1421" s="1"/>
      <c r="O1421" s="1"/>
      <c r="P1421" s="81" t="str">
        <f>IFERROR(VLOOKUP(A1421,Internal_lists_bugs!$A$2:$G7981,7,FALSE()),"please select a BUG ID")</f>
        <v>https://opendev.org/openstack/nova/commit/7dd6a4a</v>
      </c>
    </row>
    <row r="1422">
      <c r="A1422" s="16" t="s">
        <v>59</v>
      </c>
      <c r="B1422" s="50" t="str">
        <f>IFERROR(HYPERLINK(VLOOKUP(A1422,Internal_lists_bugs!$A$2:$C$73,3,FALSE()), VLOOKUP(A1422,Internal_lists_bugs!$A$2:$C$73,3,FALSE())&amp;Char(10) &amp; Char(10) &amp; VLOOKUP(A1422,Internal_lists_bugs!$A$2:$Z$73,26,FALSE())),"please select a BUG ID")</f>
        <v>https://bugs.launchpad.net/nova/+bug/1441000
/libvirt/driver.py</v>
      </c>
      <c r="C1422" s="81" t="str">
        <f>IFERROR(VLOOKUP(A1422,Internal_lists_bugs!$A$2:$I7981,9,FALSE()),"please select a BUG ID")</f>
        <v>https://review.opendev.org/c/openstack/nova/+/151664</v>
      </c>
      <c r="D1422" s="114"/>
      <c r="E1422" s="114"/>
      <c r="F1422" s="115"/>
      <c r="G1422" s="79" t="s">
        <v>3163</v>
      </c>
      <c r="H1422" s="116" t="s">
        <v>3164</v>
      </c>
      <c r="I1422" s="54"/>
      <c r="K1422" s="54"/>
      <c r="M1422" s="114" t="str">
        <f>VLOOKUP(A1422,'BIC_(C_Variables)'!$A$3:$AS$43,45,FALSE())</f>
        <v/>
      </c>
      <c r="N1422" s="1"/>
      <c r="O1422" s="1"/>
      <c r="P1422" s="81" t="str">
        <f>IFERROR(VLOOKUP(A1422,Internal_lists_bugs!$A$2:$G7981,7,FALSE()),"please select a BUG ID")</f>
        <v>https://opendev.org/openstack/nova/commit/7dd6a4a</v>
      </c>
    </row>
    <row r="1423">
      <c r="A1423" s="16" t="s">
        <v>59</v>
      </c>
      <c r="B1423" s="50" t="str">
        <f>IFERROR(HYPERLINK(VLOOKUP(A1423,Internal_lists_bugs!$A$2:$C$73,3,FALSE()), VLOOKUP(A1423,Internal_lists_bugs!$A$2:$C$73,3,FALSE())&amp;Char(10) &amp; Char(10) &amp; VLOOKUP(A1423,Internal_lists_bugs!$A$2:$Z$73,26,FALSE())),"please select a BUG ID")</f>
        <v>https://bugs.launchpad.net/nova/+bug/1441000
/libvirt/driver.py</v>
      </c>
      <c r="C1423" s="81" t="str">
        <f>IFERROR(VLOOKUP(A1423,Internal_lists_bugs!$A$2:$I7981,9,FALSE()),"please select a BUG ID")</f>
        <v>https://review.opendev.org/c/openstack/nova/+/151664</v>
      </c>
      <c r="D1423" s="114"/>
      <c r="E1423" s="114"/>
      <c r="F1423" s="115"/>
      <c r="G1423" s="79" t="s">
        <v>3165</v>
      </c>
      <c r="H1423" s="116" t="s">
        <v>3166</v>
      </c>
      <c r="I1423" s="54"/>
      <c r="K1423" s="54"/>
      <c r="M1423" s="114" t="str">
        <f>VLOOKUP(A1423,'BIC_(C_Variables)'!$A$3:$AS$43,45,FALSE())</f>
        <v/>
      </c>
      <c r="N1423" s="1"/>
      <c r="O1423" s="1"/>
      <c r="P1423" s="81" t="str">
        <f>IFERROR(VLOOKUP(A1423,Internal_lists_bugs!$A$2:$G7981,7,FALSE()),"please select a BUG ID")</f>
        <v>https://opendev.org/openstack/nova/commit/7dd6a4a</v>
      </c>
    </row>
    <row r="1424">
      <c r="A1424" s="16" t="s">
        <v>59</v>
      </c>
      <c r="B1424" s="50" t="str">
        <f>IFERROR(HYPERLINK(VLOOKUP(A1424,Internal_lists_bugs!$A$2:$C$73,3,FALSE()), VLOOKUP(A1424,Internal_lists_bugs!$A$2:$C$73,3,FALSE())&amp;Char(10) &amp; Char(10) &amp; VLOOKUP(A1424,Internal_lists_bugs!$A$2:$Z$73,26,FALSE())),"please select a BUG ID")</f>
        <v>https://bugs.launchpad.net/nova/+bug/1441000
/libvirt/driver.py</v>
      </c>
      <c r="C1424" s="81" t="str">
        <f>IFERROR(VLOOKUP(A1424,Internal_lists_bugs!$A$2:$I7981,9,FALSE()),"please select a BUG ID")</f>
        <v>https://review.opendev.org/c/openstack/nova/+/151664</v>
      </c>
      <c r="D1424" s="114"/>
      <c r="E1424" s="114"/>
      <c r="F1424" s="115"/>
      <c r="G1424" s="79" t="s">
        <v>1507</v>
      </c>
      <c r="H1424" s="116" t="s">
        <v>3167</v>
      </c>
      <c r="I1424" s="54"/>
      <c r="K1424" s="54"/>
      <c r="M1424" s="114" t="str">
        <f>VLOOKUP(A1424,'BIC_(C_Variables)'!$A$3:$AS$43,45,FALSE())</f>
        <v/>
      </c>
      <c r="N1424" s="1"/>
      <c r="O1424" s="1"/>
      <c r="P1424" s="81" t="str">
        <f>IFERROR(VLOOKUP(A1424,Internal_lists_bugs!$A$2:$G7981,7,FALSE()),"please select a BUG ID")</f>
        <v>https://opendev.org/openstack/nova/commit/7dd6a4a</v>
      </c>
    </row>
    <row r="1425">
      <c r="A1425" s="16" t="s">
        <v>59</v>
      </c>
      <c r="B1425" s="50" t="str">
        <f>IFERROR(HYPERLINK(VLOOKUP(A1425,Internal_lists_bugs!$A$2:$C$73,3,FALSE()), VLOOKUP(A1425,Internal_lists_bugs!$A$2:$C$73,3,FALSE())&amp;Char(10) &amp; Char(10) &amp; VLOOKUP(A1425,Internal_lists_bugs!$A$2:$Z$73,26,FALSE())),"please select a BUG ID")</f>
        <v>https://bugs.launchpad.net/nova/+bug/1441000
/libvirt/driver.py</v>
      </c>
      <c r="C1425" s="81" t="str">
        <f>IFERROR(VLOOKUP(A1425,Internal_lists_bugs!$A$2:$I7981,9,FALSE()),"please select a BUG ID")</f>
        <v>https://review.opendev.org/c/openstack/nova/+/151664</v>
      </c>
      <c r="D1425" s="114"/>
      <c r="E1425" s="114"/>
      <c r="F1425" s="115"/>
      <c r="G1425" s="79" t="s">
        <v>1506</v>
      </c>
      <c r="H1425" s="116" t="s">
        <v>3168</v>
      </c>
      <c r="I1425" s="54"/>
      <c r="K1425" s="54"/>
      <c r="M1425" s="114" t="str">
        <f>VLOOKUP(A1425,'BIC_(C_Variables)'!$A$3:$AS$43,45,FALSE())</f>
        <v/>
      </c>
      <c r="N1425" s="1"/>
      <c r="O1425" s="1"/>
      <c r="P1425" s="81" t="str">
        <f>IFERROR(VLOOKUP(A1425,Internal_lists_bugs!$A$2:$G7981,7,FALSE()),"please select a BUG ID")</f>
        <v>https://opendev.org/openstack/nova/commit/7dd6a4a</v>
      </c>
    </row>
    <row r="1426">
      <c r="A1426" s="16" t="s">
        <v>59</v>
      </c>
      <c r="B1426" s="50" t="str">
        <f>IFERROR(HYPERLINK(VLOOKUP(A1426,Internal_lists_bugs!$A$2:$C$73,3,FALSE()), VLOOKUP(A1426,Internal_lists_bugs!$A$2:$C$73,3,FALSE())&amp;Char(10) &amp; Char(10) &amp; VLOOKUP(A1426,Internal_lists_bugs!$A$2:$Z$73,26,FALSE())),"please select a BUG ID")</f>
        <v>https://bugs.launchpad.net/nova/+bug/1441000
/libvirt/driver.py</v>
      </c>
      <c r="C1426" s="81" t="str">
        <f>IFERROR(VLOOKUP(A1426,Internal_lists_bugs!$A$2:$I7981,9,FALSE()),"please select a BUG ID")</f>
        <v>https://review.opendev.org/c/openstack/nova/+/151664</v>
      </c>
      <c r="D1426" s="114"/>
      <c r="E1426" s="114"/>
      <c r="F1426" s="115"/>
      <c r="G1426" s="79" t="s">
        <v>1514</v>
      </c>
      <c r="H1426" s="116" t="s">
        <v>3169</v>
      </c>
      <c r="I1426" s="54"/>
      <c r="K1426" s="54"/>
      <c r="M1426" s="114" t="str">
        <f>VLOOKUP(A1426,'BIC_(C_Variables)'!$A$3:$AS$43,45,FALSE())</f>
        <v/>
      </c>
      <c r="N1426" s="1"/>
      <c r="O1426" s="1"/>
      <c r="P1426" s="81" t="str">
        <f>IFERROR(VLOOKUP(A1426,Internal_lists_bugs!$A$2:$G7981,7,FALSE()),"please select a BUG ID")</f>
        <v>https://opendev.org/openstack/nova/commit/7dd6a4a</v>
      </c>
    </row>
    <row r="1427">
      <c r="A1427" s="16" t="s">
        <v>59</v>
      </c>
      <c r="B1427" s="50" t="str">
        <f>IFERROR(HYPERLINK(VLOOKUP(A1427,Internal_lists_bugs!$A$2:$C$73,3,FALSE()), VLOOKUP(A1427,Internal_lists_bugs!$A$2:$C$73,3,FALSE())&amp;Char(10) &amp; Char(10) &amp; VLOOKUP(A1427,Internal_lists_bugs!$A$2:$Z$73,26,FALSE())),"please select a BUG ID")</f>
        <v>https://bugs.launchpad.net/nova/+bug/1441000
/libvirt/driver.py</v>
      </c>
      <c r="C1427" s="81" t="str">
        <f>IFERROR(VLOOKUP(A1427,Internal_lists_bugs!$A$2:$I7981,9,FALSE()),"please select a BUG ID")</f>
        <v>https://review.opendev.org/c/openstack/nova/+/151664</v>
      </c>
      <c r="D1427" s="114"/>
      <c r="E1427" s="114"/>
      <c r="F1427" s="115"/>
      <c r="G1427" s="79" t="s">
        <v>1515</v>
      </c>
      <c r="H1427" s="116" t="s">
        <v>2234</v>
      </c>
      <c r="I1427" s="54"/>
      <c r="K1427" s="54"/>
      <c r="M1427" s="114" t="str">
        <f>VLOOKUP(A1427,'BIC_(C_Variables)'!$A$3:$AS$43,45,FALSE())</f>
        <v/>
      </c>
      <c r="N1427" s="1"/>
      <c r="O1427" s="1"/>
      <c r="P1427" s="81" t="str">
        <f>IFERROR(VLOOKUP(A1427,Internal_lists_bugs!$A$2:$G7981,7,FALSE()),"please select a BUG ID")</f>
        <v>https://opendev.org/openstack/nova/commit/7dd6a4a</v>
      </c>
    </row>
    <row r="1428">
      <c r="A1428" s="16" t="s">
        <v>59</v>
      </c>
      <c r="B1428" s="50" t="str">
        <f>IFERROR(HYPERLINK(VLOOKUP(A1428,Internal_lists_bugs!$A$2:$C$73,3,FALSE()), VLOOKUP(A1428,Internal_lists_bugs!$A$2:$C$73,3,FALSE())&amp;Char(10) &amp; Char(10) &amp; VLOOKUP(A1428,Internal_lists_bugs!$A$2:$Z$73,26,FALSE())),"please select a BUG ID")</f>
        <v>https://bugs.launchpad.net/nova/+bug/1441000
/libvirt/driver.py</v>
      </c>
      <c r="C1428" s="81" t="str">
        <f>IFERROR(VLOOKUP(A1428,Internal_lists_bugs!$A$2:$I7981,9,FALSE()),"please select a BUG ID")</f>
        <v>https://review.opendev.org/c/openstack/nova/+/151664</v>
      </c>
      <c r="D1428" s="114"/>
      <c r="E1428" s="114"/>
      <c r="F1428" s="115"/>
      <c r="G1428" s="79" t="s">
        <v>1860</v>
      </c>
      <c r="H1428" s="116" t="s">
        <v>3170</v>
      </c>
      <c r="I1428" s="54"/>
      <c r="K1428" s="54"/>
      <c r="M1428" s="114" t="str">
        <f>VLOOKUP(A1428,'BIC_(C_Variables)'!$A$3:$AS$43,45,FALSE())</f>
        <v/>
      </c>
      <c r="N1428" s="1"/>
      <c r="O1428" s="1"/>
      <c r="P1428" s="81" t="str">
        <f>IFERROR(VLOOKUP(A1428,Internal_lists_bugs!$A$2:$G7981,7,FALSE()),"please select a BUG ID")</f>
        <v>https://opendev.org/openstack/nova/commit/7dd6a4a</v>
      </c>
    </row>
    <row r="1429">
      <c r="A1429" s="16" t="s">
        <v>59</v>
      </c>
      <c r="B1429" s="50" t="str">
        <f>IFERROR(HYPERLINK(VLOOKUP(A1429,Internal_lists_bugs!$A$2:$C$73,3,FALSE()), VLOOKUP(A1429,Internal_lists_bugs!$A$2:$C$73,3,FALSE())&amp;Char(10) &amp; Char(10) &amp; VLOOKUP(A1429,Internal_lists_bugs!$A$2:$Z$73,26,FALSE())),"please select a BUG ID")</f>
        <v>https://bugs.launchpad.net/nova/+bug/1441000
/libvirt/driver.py</v>
      </c>
      <c r="C1429" s="81" t="str">
        <f>IFERROR(VLOOKUP(A1429,Internal_lists_bugs!$A$2:$I7981,9,FALSE()),"please select a BUG ID")</f>
        <v>https://review.opendev.org/c/openstack/nova/+/151664</v>
      </c>
      <c r="D1429" s="114"/>
      <c r="E1429" s="114"/>
      <c r="F1429" s="115"/>
      <c r="G1429" s="79" t="s">
        <v>3099</v>
      </c>
      <c r="H1429" s="116" t="s">
        <v>3171</v>
      </c>
      <c r="I1429" s="54"/>
      <c r="K1429" s="54"/>
      <c r="M1429" s="114" t="str">
        <f>VLOOKUP(A1429,'BIC_(C_Variables)'!$A$3:$AS$43,45,FALSE())</f>
        <v/>
      </c>
      <c r="N1429" s="1"/>
      <c r="O1429" s="1"/>
      <c r="P1429" s="81" t="str">
        <f>IFERROR(VLOOKUP(A1429,Internal_lists_bugs!$A$2:$G7981,7,FALSE()),"please select a BUG ID")</f>
        <v>https://opendev.org/openstack/nova/commit/7dd6a4a</v>
      </c>
    </row>
    <row r="1430">
      <c r="A1430" s="16" t="s">
        <v>59</v>
      </c>
      <c r="B1430" s="50" t="str">
        <f>IFERROR(HYPERLINK(VLOOKUP(A1430,Internal_lists_bugs!$A$2:$C$73,3,FALSE()), VLOOKUP(A1430,Internal_lists_bugs!$A$2:$C$73,3,FALSE())&amp;Char(10) &amp; Char(10) &amp; VLOOKUP(A1430,Internal_lists_bugs!$A$2:$Z$73,26,FALSE())),"please select a BUG ID")</f>
        <v>https://bugs.launchpad.net/nova/+bug/1441000
/libvirt/driver.py</v>
      </c>
      <c r="C1430" s="81" t="str">
        <f>IFERROR(VLOOKUP(A1430,Internal_lists_bugs!$A$2:$I7981,9,FALSE()),"please select a BUG ID")</f>
        <v>https://review.opendev.org/c/openstack/nova/+/151664</v>
      </c>
      <c r="D1430" s="114"/>
      <c r="E1430" s="114"/>
      <c r="F1430" s="115"/>
      <c r="G1430" s="79" t="s">
        <v>1696</v>
      </c>
      <c r="H1430" s="116" t="s">
        <v>2097</v>
      </c>
      <c r="I1430" s="54"/>
      <c r="K1430" s="54"/>
      <c r="M1430" s="114" t="str">
        <f>VLOOKUP(A1430,'BIC_(C_Variables)'!$A$3:$AS$43,45,FALSE())</f>
        <v/>
      </c>
      <c r="N1430" s="1"/>
      <c r="O1430" s="1"/>
      <c r="P1430" s="81" t="str">
        <f>IFERROR(VLOOKUP(A1430,Internal_lists_bugs!$A$2:$G7981,7,FALSE()),"please select a BUG ID")</f>
        <v>https://opendev.org/openstack/nova/commit/7dd6a4a</v>
      </c>
    </row>
    <row r="1431">
      <c r="A1431" s="16" t="s">
        <v>59</v>
      </c>
      <c r="B1431" s="50" t="str">
        <f>IFERROR(HYPERLINK(VLOOKUP(A1431,Internal_lists_bugs!$A$2:$C$73,3,FALSE()), VLOOKUP(A1431,Internal_lists_bugs!$A$2:$C$73,3,FALSE())&amp;Char(10) &amp; Char(10) &amp; VLOOKUP(A1431,Internal_lists_bugs!$A$2:$Z$73,26,FALSE())),"please select a BUG ID")</f>
        <v>https://bugs.launchpad.net/nova/+bug/1441000
/libvirt/driver.py</v>
      </c>
      <c r="C1431" s="81" t="str">
        <f>IFERROR(VLOOKUP(A1431,Internal_lists_bugs!$A$2:$I7981,9,FALSE()),"please select a BUG ID")</f>
        <v>https://review.opendev.org/c/openstack/nova/+/151664</v>
      </c>
      <c r="D1431" s="114"/>
      <c r="E1431" s="114"/>
      <c r="F1431" s="115"/>
      <c r="G1431" s="79" t="s">
        <v>2015</v>
      </c>
      <c r="H1431" s="116" t="s">
        <v>3172</v>
      </c>
      <c r="I1431" s="54"/>
      <c r="K1431" s="54"/>
      <c r="M1431" s="114" t="str">
        <f>VLOOKUP(A1431,'BIC_(C_Variables)'!$A$3:$AS$43,45,FALSE())</f>
        <v/>
      </c>
      <c r="N1431" s="1"/>
      <c r="O1431" s="1"/>
      <c r="P1431" s="81" t="str">
        <f>IFERROR(VLOOKUP(A1431,Internal_lists_bugs!$A$2:$G7981,7,FALSE()),"please select a BUG ID")</f>
        <v>https://opendev.org/openstack/nova/commit/7dd6a4a</v>
      </c>
    </row>
    <row r="1432">
      <c r="A1432" s="16" t="s">
        <v>59</v>
      </c>
      <c r="B1432" s="50" t="str">
        <f>IFERROR(HYPERLINK(VLOOKUP(A1432,Internal_lists_bugs!$A$2:$C$73,3,FALSE()), VLOOKUP(A1432,Internal_lists_bugs!$A$2:$C$73,3,FALSE())&amp;Char(10) &amp; Char(10) &amp; VLOOKUP(A1432,Internal_lists_bugs!$A$2:$Z$73,26,FALSE())),"please select a BUG ID")</f>
        <v>https://bugs.launchpad.net/nova/+bug/1441000
/libvirt/driver.py</v>
      </c>
      <c r="C1432" s="81" t="str">
        <f>IFERROR(VLOOKUP(A1432,Internal_lists_bugs!$A$2:$I7981,9,FALSE()),"please select a BUG ID")</f>
        <v>https://review.opendev.org/c/openstack/nova/+/151664</v>
      </c>
      <c r="D1432" s="114"/>
      <c r="E1432" s="114"/>
      <c r="F1432" s="115"/>
      <c r="G1432" s="79" t="s">
        <v>3173</v>
      </c>
      <c r="H1432" s="116" t="s">
        <v>3174</v>
      </c>
      <c r="I1432" s="54"/>
      <c r="K1432" s="54"/>
      <c r="M1432" s="114" t="str">
        <f>VLOOKUP(A1432,'BIC_(C_Variables)'!$A$3:$AS$43,45,FALSE())</f>
        <v/>
      </c>
      <c r="N1432" s="1"/>
      <c r="O1432" s="1"/>
      <c r="P1432" s="81" t="str">
        <f>IFERROR(VLOOKUP(A1432,Internal_lists_bugs!$A$2:$G7981,7,FALSE()),"please select a BUG ID")</f>
        <v>https://opendev.org/openstack/nova/commit/7dd6a4a</v>
      </c>
    </row>
    <row r="1433">
      <c r="A1433" s="16" t="s">
        <v>59</v>
      </c>
      <c r="B1433" s="50" t="str">
        <f>IFERROR(HYPERLINK(VLOOKUP(A1433,Internal_lists_bugs!$A$2:$C$73,3,FALSE()), VLOOKUP(A1433,Internal_lists_bugs!$A$2:$C$73,3,FALSE())&amp;Char(10) &amp; Char(10) &amp; VLOOKUP(A1433,Internal_lists_bugs!$A$2:$Z$73,26,FALSE())),"please select a BUG ID")</f>
        <v>https://bugs.launchpad.net/nova/+bug/1441000
/libvirt/driver.py</v>
      </c>
      <c r="C1433" s="81" t="str">
        <f>IFERROR(VLOOKUP(A1433,Internal_lists_bugs!$A$2:$I7981,9,FALSE()),"please select a BUG ID")</f>
        <v>https://review.opendev.org/c/openstack/nova/+/151664</v>
      </c>
      <c r="D1433" s="114"/>
      <c r="E1433" s="114"/>
      <c r="F1433" s="115"/>
      <c r="G1433" s="79" t="s">
        <v>1728</v>
      </c>
      <c r="H1433" s="116" t="s">
        <v>3175</v>
      </c>
      <c r="I1433" s="54"/>
      <c r="K1433" s="54"/>
      <c r="M1433" s="114" t="str">
        <f>VLOOKUP(A1433,'BIC_(C_Variables)'!$A$3:$AS$43,45,FALSE())</f>
        <v/>
      </c>
      <c r="N1433" s="1"/>
      <c r="O1433" s="1"/>
      <c r="P1433" s="81" t="str">
        <f>IFERROR(VLOOKUP(A1433,Internal_lists_bugs!$A$2:$G7981,7,FALSE()),"please select a BUG ID")</f>
        <v>https://opendev.org/openstack/nova/commit/7dd6a4a</v>
      </c>
    </row>
    <row r="1434">
      <c r="A1434" s="16" t="s">
        <v>59</v>
      </c>
      <c r="B1434" s="50" t="str">
        <f>IFERROR(HYPERLINK(VLOOKUP(A1434,Internal_lists_bugs!$A$2:$C$73,3,FALSE()), VLOOKUP(A1434,Internal_lists_bugs!$A$2:$C$73,3,FALSE())&amp;Char(10) &amp; Char(10) &amp; VLOOKUP(A1434,Internal_lists_bugs!$A$2:$Z$73,26,FALSE())),"please select a BUG ID")</f>
        <v>https://bugs.launchpad.net/nova/+bug/1441000
/libvirt/driver.py</v>
      </c>
      <c r="C1434" s="81" t="str">
        <f>IFERROR(VLOOKUP(A1434,Internal_lists_bugs!$A$2:$I7981,9,FALSE()),"please select a BUG ID")</f>
        <v>https://review.opendev.org/c/openstack/nova/+/151664</v>
      </c>
      <c r="D1434" s="114"/>
      <c r="E1434" s="114"/>
      <c r="F1434" s="115"/>
      <c r="G1434" s="79" t="s">
        <v>1566</v>
      </c>
      <c r="H1434" s="116" t="s">
        <v>3176</v>
      </c>
      <c r="I1434" s="54"/>
      <c r="K1434" s="54"/>
      <c r="M1434" s="114" t="str">
        <f>VLOOKUP(A1434,'BIC_(C_Variables)'!$A$3:$AS$43,45,FALSE())</f>
        <v/>
      </c>
      <c r="N1434" s="1"/>
      <c r="O1434" s="1"/>
      <c r="P1434" s="81" t="str">
        <f>IFERROR(VLOOKUP(A1434,Internal_lists_bugs!$A$2:$G7981,7,FALSE()),"please select a BUG ID")</f>
        <v>https://opendev.org/openstack/nova/commit/7dd6a4a</v>
      </c>
    </row>
    <row r="1435">
      <c r="A1435" s="16" t="s">
        <v>59</v>
      </c>
      <c r="B1435" s="50" t="str">
        <f>IFERROR(HYPERLINK(VLOOKUP(A1435,Internal_lists_bugs!$A$2:$C$73,3,FALSE()), VLOOKUP(A1435,Internal_lists_bugs!$A$2:$C$73,3,FALSE())&amp;Char(10) &amp; Char(10) &amp; VLOOKUP(A1435,Internal_lists_bugs!$A$2:$Z$73,26,FALSE())),"please select a BUG ID")</f>
        <v>https://bugs.launchpad.net/nova/+bug/1441000
/libvirt/driver.py</v>
      </c>
      <c r="C1435" s="81" t="str">
        <f>IFERROR(VLOOKUP(A1435,Internal_lists_bugs!$A$2:$I7981,9,FALSE()),"please select a BUG ID")</f>
        <v>https://review.opendev.org/c/openstack/nova/+/151664</v>
      </c>
      <c r="D1435" s="114"/>
      <c r="E1435" s="114"/>
      <c r="F1435" s="115"/>
      <c r="G1435" s="79" t="s">
        <v>2221</v>
      </c>
      <c r="H1435" s="116" t="s">
        <v>2544</v>
      </c>
      <c r="I1435" s="54"/>
      <c r="K1435" s="54"/>
      <c r="M1435" s="114"/>
      <c r="N1435" s="1"/>
      <c r="O1435" s="1"/>
      <c r="P1435" s="51"/>
    </row>
    <row r="1436">
      <c r="A1436" s="16" t="s">
        <v>59</v>
      </c>
      <c r="B1436" s="50" t="str">
        <f>IFERROR(HYPERLINK(VLOOKUP(A1436,Internal_lists_bugs!$A$2:$C$73,3,FALSE()), VLOOKUP(A1436,Internal_lists_bugs!$A$2:$C$73,3,FALSE())&amp;Char(10) &amp; Char(10) &amp; VLOOKUP(A1436,Internal_lists_bugs!$A$2:$Z$73,26,FALSE())),"please select a BUG ID")</f>
        <v>https://bugs.launchpad.net/nova/+bug/1441000
/libvirt/driver.py</v>
      </c>
      <c r="C1436" s="81" t="str">
        <f>IFERROR(VLOOKUP(A1436,Internal_lists_bugs!$A$2:$I7981,9,FALSE()),"please select a BUG ID")</f>
        <v>https://review.opendev.org/c/openstack/nova/+/151664</v>
      </c>
      <c r="D1436" s="114"/>
      <c r="E1436" s="114"/>
      <c r="F1436" s="115"/>
      <c r="G1436" s="79" t="s">
        <v>2152</v>
      </c>
      <c r="H1436" s="116" t="s">
        <v>3177</v>
      </c>
      <c r="I1436" s="54"/>
      <c r="K1436" s="54"/>
      <c r="M1436" s="114" t="str">
        <f>VLOOKUP(A1436,'BIC_(C_Variables)'!$A$3:$AS$43,45,FALSE())</f>
        <v/>
      </c>
      <c r="N1436" s="1"/>
      <c r="O1436" s="1"/>
      <c r="P1436" s="81" t="str">
        <f>IFERROR(VLOOKUP(A1436,Internal_lists_bugs!$A$2:$G7981,7,FALSE()),"please select a BUG ID")</f>
        <v>https://opendev.org/openstack/nova/commit/7dd6a4a</v>
      </c>
    </row>
    <row r="1437">
      <c r="A1437" s="16" t="s">
        <v>59</v>
      </c>
      <c r="B1437" s="50" t="str">
        <f>IFERROR(HYPERLINK(VLOOKUP(A1437,Internal_lists_bugs!$A$2:$C$73,3,FALSE()), VLOOKUP(A1437,Internal_lists_bugs!$A$2:$C$73,3,FALSE())&amp;Char(10) &amp; Char(10) &amp; VLOOKUP(A1437,Internal_lists_bugs!$A$2:$Z$73,26,FALSE())),"please select a BUG ID")</f>
        <v>https://bugs.launchpad.net/nova/+bug/1441000
/libvirt/driver.py</v>
      </c>
      <c r="C1437" s="81" t="str">
        <f>IFERROR(VLOOKUP(A1437,Internal_lists_bugs!$A$2:$I7981,9,FALSE()),"please select a BUG ID")</f>
        <v>https://review.opendev.org/c/openstack/nova/+/151664</v>
      </c>
      <c r="D1437" s="114"/>
      <c r="E1437" s="114"/>
      <c r="F1437" s="115"/>
      <c r="G1437" s="79" t="s">
        <v>2042</v>
      </c>
      <c r="H1437" s="116" t="s">
        <v>3178</v>
      </c>
      <c r="I1437" s="54"/>
      <c r="K1437" s="54"/>
      <c r="M1437" s="114" t="str">
        <f>VLOOKUP(A1437,'BIC_(C_Variables)'!$A$3:$AS$43,45,FALSE())</f>
        <v/>
      </c>
      <c r="N1437" s="1"/>
      <c r="O1437" s="1"/>
      <c r="P1437" s="81" t="str">
        <f>IFERROR(VLOOKUP(A1437,Internal_lists_bugs!$A$2:$G7981,7,FALSE()),"please select a BUG ID")</f>
        <v>https://opendev.org/openstack/nova/commit/7dd6a4a</v>
      </c>
    </row>
    <row r="1438">
      <c r="A1438" s="16" t="s">
        <v>59</v>
      </c>
      <c r="B1438" s="50" t="str">
        <f>IFERROR(HYPERLINK(VLOOKUP(A1438,Internal_lists_bugs!$A$2:$C$73,3,FALSE()), VLOOKUP(A1438,Internal_lists_bugs!$A$2:$C$73,3,FALSE())&amp;Char(10) &amp; Char(10) &amp; VLOOKUP(A1438,Internal_lists_bugs!$A$2:$Z$73,26,FALSE())),"please select a BUG ID")</f>
        <v>https://bugs.launchpad.net/nova/+bug/1441000
/libvirt/driver.py</v>
      </c>
      <c r="C1438" s="81" t="str">
        <f>IFERROR(VLOOKUP(A1438,Internal_lists_bugs!$A$2:$I7981,9,FALSE()),"please select a BUG ID")</f>
        <v>https://review.opendev.org/c/openstack/nova/+/151664</v>
      </c>
      <c r="D1438" s="114"/>
      <c r="E1438" s="114"/>
      <c r="F1438" s="115"/>
      <c r="G1438" s="79" t="s">
        <v>2044</v>
      </c>
      <c r="H1438" s="116" t="s">
        <v>3179</v>
      </c>
      <c r="I1438" s="54"/>
      <c r="K1438" s="54"/>
      <c r="M1438" s="114" t="str">
        <f>VLOOKUP(A1438,'BIC_(C_Variables)'!$A$3:$AS$43,45,FALSE())</f>
        <v/>
      </c>
      <c r="N1438" s="1"/>
      <c r="O1438" s="1"/>
      <c r="P1438" s="81" t="str">
        <f>IFERROR(VLOOKUP(A1438,Internal_lists_bugs!$A$2:$G7981,7,FALSE()),"please select a BUG ID")</f>
        <v>https://opendev.org/openstack/nova/commit/7dd6a4a</v>
      </c>
    </row>
    <row r="1439">
      <c r="A1439" s="16" t="s">
        <v>59</v>
      </c>
      <c r="B1439" s="50" t="str">
        <f>IFERROR(HYPERLINK(VLOOKUP(A1439,Internal_lists_bugs!$A$2:$C$73,3,FALSE()), VLOOKUP(A1439,Internal_lists_bugs!$A$2:$C$73,3,FALSE())&amp;Char(10) &amp; Char(10) &amp; VLOOKUP(A1439,Internal_lists_bugs!$A$2:$Z$73,26,FALSE())),"please select a BUG ID")</f>
        <v>https://bugs.launchpad.net/nova/+bug/1441000
/libvirt/driver.py</v>
      </c>
      <c r="C1439" s="81" t="str">
        <f>IFERROR(VLOOKUP(A1439,Internal_lists_bugs!$A$2:$I7981,9,FALSE()),"please select a BUG ID")</f>
        <v>https://review.opendev.org/c/openstack/nova/+/151664</v>
      </c>
      <c r="D1439" s="114"/>
      <c r="E1439" s="114"/>
      <c r="F1439" s="115"/>
      <c r="G1439" s="79" t="s">
        <v>1639</v>
      </c>
      <c r="H1439" s="116" t="s">
        <v>3180</v>
      </c>
      <c r="I1439" s="54"/>
      <c r="K1439" s="54"/>
      <c r="M1439" s="114" t="str">
        <f>VLOOKUP(A1439,'BIC_(C_Variables)'!$A$3:$AS$43,45,FALSE())</f>
        <v/>
      </c>
      <c r="N1439" s="1"/>
      <c r="O1439" s="1"/>
      <c r="P1439" s="81" t="str">
        <f>IFERROR(VLOOKUP(A1439,Internal_lists_bugs!$A$2:$G7981,7,FALSE()),"please select a BUG ID")</f>
        <v>https://opendev.org/openstack/nova/commit/7dd6a4a</v>
      </c>
    </row>
    <row r="1440">
      <c r="A1440" s="16" t="s">
        <v>59</v>
      </c>
      <c r="B1440" s="50" t="str">
        <f>IFERROR(HYPERLINK(VLOOKUP(A1440,Internal_lists_bugs!$A$2:$C$73,3,FALSE()), VLOOKUP(A1440,Internal_lists_bugs!$A$2:$C$73,3,FALSE())&amp;Char(10) &amp; Char(10) &amp; VLOOKUP(A1440,Internal_lists_bugs!$A$2:$Z$73,26,FALSE())),"please select a BUG ID")</f>
        <v>https://bugs.launchpad.net/nova/+bug/1441000
/libvirt/driver.py</v>
      </c>
      <c r="C1440" s="81" t="str">
        <f>IFERROR(VLOOKUP(A1440,Internal_lists_bugs!$A$2:$I7981,9,FALSE()),"please select a BUG ID")</f>
        <v>https://review.opendev.org/c/openstack/nova/+/151664</v>
      </c>
      <c r="D1440" s="114"/>
      <c r="E1440" s="114"/>
      <c r="F1440" s="115"/>
      <c r="G1440" s="79" t="s">
        <v>1641</v>
      </c>
      <c r="H1440" s="116" t="s">
        <v>3181</v>
      </c>
      <c r="I1440" s="54"/>
      <c r="K1440" s="54"/>
      <c r="M1440" s="114" t="str">
        <f>VLOOKUP(A1440,'BIC_(C_Variables)'!$A$3:$AS$43,45,FALSE())</f>
        <v/>
      </c>
      <c r="N1440" s="1"/>
      <c r="O1440" s="1"/>
      <c r="P1440" s="81" t="str">
        <f>IFERROR(VLOOKUP(A1440,Internal_lists_bugs!$A$2:$G7981,7,FALSE()),"please select a BUG ID")</f>
        <v>https://opendev.org/openstack/nova/commit/7dd6a4a</v>
      </c>
    </row>
    <row r="1441">
      <c r="A1441" s="16" t="s">
        <v>59</v>
      </c>
      <c r="B1441" s="50" t="str">
        <f>IFERROR(HYPERLINK(VLOOKUP(A1441,Internal_lists_bugs!$A$2:$C$73,3,FALSE()), VLOOKUP(A1441,Internal_lists_bugs!$A$2:$C$73,3,FALSE())&amp;Char(10) &amp; Char(10) &amp; VLOOKUP(A1441,Internal_lists_bugs!$A$2:$Z$73,26,FALSE())),"please select a BUG ID")</f>
        <v>https://bugs.launchpad.net/nova/+bug/1441000
/libvirt/driver.py</v>
      </c>
      <c r="C1441" s="81" t="str">
        <f>IFERROR(VLOOKUP(A1441,Internal_lists_bugs!$A$2:$I7981,9,FALSE()),"please select a BUG ID")</f>
        <v>https://review.opendev.org/c/openstack/nova/+/151664</v>
      </c>
      <c r="D1441" s="114"/>
      <c r="E1441" s="114"/>
      <c r="F1441" s="115"/>
      <c r="G1441" s="79" t="s">
        <v>2583</v>
      </c>
      <c r="H1441" s="116" t="s">
        <v>3182</v>
      </c>
      <c r="I1441" s="54"/>
      <c r="K1441" s="54"/>
      <c r="M1441" s="114" t="str">
        <f>VLOOKUP(A1441,'BIC_(C_Variables)'!$A$3:$AS$43,45,FALSE())</f>
        <v/>
      </c>
      <c r="N1441" s="1"/>
      <c r="O1441" s="1"/>
      <c r="P1441" s="81" t="str">
        <f>IFERROR(VLOOKUP(A1441,Internal_lists_bugs!$A$2:$G7981,7,FALSE()),"please select a BUG ID")</f>
        <v>https://opendev.org/openstack/nova/commit/7dd6a4a</v>
      </c>
    </row>
    <row r="1442">
      <c r="A1442" s="16" t="s">
        <v>59</v>
      </c>
      <c r="B1442" s="50" t="str">
        <f>IFERROR(HYPERLINK(VLOOKUP(A1442,Internal_lists_bugs!$A$2:$C$73,3,FALSE()), VLOOKUP(A1442,Internal_lists_bugs!$A$2:$C$73,3,FALSE())&amp;Char(10) &amp; Char(10) &amp; VLOOKUP(A1442,Internal_lists_bugs!$A$2:$Z$73,26,FALSE())),"please select a BUG ID")</f>
        <v>https://bugs.launchpad.net/nova/+bug/1441000
/libvirt/driver.py</v>
      </c>
      <c r="C1442" s="81" t="str">
        <f>IFERROR(VLOOKUP(A1442,Internal_lists_bugs!$A$2:$I7981,9,FALSE()),"please select a BUG ID")</f>
        <v>https://review.opendev.org/c/openstack/nova/+/151664</v>
      </c>
      <c r="D1442" s="114"/>
      <c r="E1442" s="114"/>
      <c r="F1442" s="115"/>
      <c r="G1442" s="79" t="s">
        <v>1808</v>
      </c>
      <c r="H1442" s="116" t="s">
        <v>3183</v>
      </c>
      <c r="I1442" s="54"/>
      <c r="K1442" s="54"/>
      <c r="M1442" s="114" t="str">
        <f>VLOOKUP(A1442,'BIC_(C_Variables)'!$A$3:$AS$43,45,FALSE())</f>
        <v/>
      </c>
      <c r="N1442" s="1"/>
      <c r="O1442" s="1"/>
      <c r="P1442" s="81" t="str">
        <f>IFERROR(VLOOKUP(A1442,Internal_lists_bugs!$A$2:$G7981,7,FALSE()),"please select a BUG ID")</f>
        <v>https://opendev.org/openstack/nova/commit/7dd6a4a</v>
      </c>
    </row>
    <row r="1443">
      <c r="A1443" s="16" t="s">
        <v>59</v>
      </c>
      <c r="B1443" s="50" t="str">
        <f>IFERROR(HYPERLINK(VLOOKUP(A1443,Internal_lists_bugs!$A$2:$C$73,3,FALSE()), VLOOKUP(A1443,Internal_lists_bugs!$A$2:$C$73,3,FALSE())&amp;Char(10) &amp; Char(10) &amp; VLOOKUP(A1443,Internal_lists_bugs!$A$2:$Z$73,26,FALSE())),"please select a BUG ID")</f>
        <v>https://bugs.launchpad.net/nova/+bug/1441000
/libvirt/driver.py</v>
      </c>
      <c r="C1443" s="81" t="str">
        <f>IFERROR(VLOOKUP(A1443,Internal_lists_bugs!$A$2:$I7981,9,FALSE()),"please select a BUG ID")</f>
        <v>https://review.opendev.org/c/openstack/nova/+/151664</v>
      </c>
      <c r="D1443" s="114"/>
      <c r="E1443" s="114"/>
      <c r="F1443" s="115"/>
      <c r="G1443" s="79" t="s">
        <v>1810</v>
      </c>
      <c r="H1443" s="116" t="s">
        <v>3184</v>
      </c>
      <c r="I1443" s="54"/>
      <c r="K1443" s="54"/>
      <c r="M1443" s="114" t="str">
        <f>VLOOKUP(A1443,'BIC_(C_Variables)'!$A$3:$AS$43,45,FALSE())</f>
        <v/>
      </c>
      <c r="N1443" s="1"/>
      <c r="O1443" s="1"/>
      <c r="P1443" s="81" t="str">
        <f>IFERROR(VLOOKUP(A1443,Internal_lists_bugs!$A$2:$G7981,7,FALSE()),"please select a BUG ID")</f>
        <v>https://opendev.org/openstack/nova/commit/7dd6a4a</v>
      </c>
    </row>
    <row r="1444">
      <c r="A1444" s="16" t="s">
        <v>59</v>
      </c>
      <c r="B1444" s="50" t="str">
        <f>IFERROR(HYPERLINK(VLOOKUP(A1444,Internal_lists_bugs!$A$2:$C$73,3,FALSE()), VLOOKUP(A1444,Internal_lists_bugs!$A$2:$C$73,3,FALSE())&amp;Char(10) &amp; Char(10) &amp; VLOOKUP(A1444,Internal_lists_bugs!$A$2:$Z$73,26,FALSE())),"please select a BUG ID")</f>
        <v>https://bugs.launchpad.net/nova/+bug/1441000
/libvirt/driver.py</v>
      </c>
      <c r="C1444" s="81" t="str">
        <f>IFERROR(VLOOKUP(A1444,Internal_lists_bugs!$A$2:$I7981,9,FALSE()),"please select a BUG ID")</f>
        <v>https://review.opendev.org/c/openstack/nova/+/151664</v>
      </c>
      <c r="D1444" s="114"/>
      <c r="E1444" s="114"/>
      <c r="F1444" s="115"/>
      <c r="G1444" s="79" t="s">
        <v>1731</v>
      </c>
      <c r="H1444" s="116" t="s">
        <v>3185</v>
      </c>
      <c r="I1444" s="54"/>
      <c r="K1444" s="54"/>
      <c r="M1444" s="114" t="str">
        <f>VLOOKUP(A1444,'BIC_(C_Variables)'!$A$3:$AS$43,45,FALSE())</f>
        <v/>
      </c>
      <c r="N1444" s="1"/>
      <c r="O1444" s="1"/>
      <c r="P1444" s="81" t="str">
        <f>IFERROR(VLOOKUP(A1444,Internal_lists_bugs!$A$2:$G7981,7,FALSE()),"please select a BUG ID")</f>
        <v>https://opendev.org/openstack/nova/commit/7dd6a4a</v>
      </c>
    </row>
    <row r="1445">
      <c r="A1445" s="16" t="s">
        <v>59</v>
      </c>
      <c r="B1445" s="50" t="str">
        <f>IFERROR(HYPERLINK(VLOOKUP(A1445,Internal_lists_bugs!$A$2:$C$73,3,FALSE()), VLOOKUP(A1445,Internal_lists_bugs!$A$2:$C$73,3,FALSE())&amp;Char(10) &amp; Char(10) &amp; VLOOKUP(A1445,Internal_lists_bugs!$A$2:$Z$73,26,FALSE())),"please select a BUG ID")</f>
        <v>https://bugs.launchpad.net/nova/+bug/1441000
/libvirt/driver.py</v>
      </c>
      <c r="C1445" s="81" t="str">
        <f>IFERROR(VLOOKUP(A1445,Internal_lists_bugs!$A$2:$I7981,9,FALSE()),"please select a BUG ID")</f>
        <v>https://review.opendev.org/c/openstack/nova/+/151664</v>
      </c>
      <c r="D1445" s="114"/>
      <c r="E1445" s="114"/>
      <c r="F1445" s="115"/>
      <c r="G1445" s="79" t="s">
        <v>3186</v>
      </c>
      <c r="H1445" s="116" t="s">
        <v>3187</v>
      </c>
      <c r="I1445" s="54"/>
      <c r="K1445" s="54"/>
      <c r="M1445" s="114" t="str">
        <f>VLOOKUP(A1445,'BIC_(C_Variables)'!$A$3:$AS$43,45,FALSE())</f>
        <v/>
      </c>
      <c r="N1445" s="1"/>
      <c r="O1445" s="1"/>
      <c r="P1445" s="81" t="str">
        <f>IFERROR(VLOOKUP(A1445,Internal_lists_bugs!$A$2:$G7981,7,FALSE()),"please select a BUG ID")</f>
        <v>https://opendev.org/openstack/nova/commit/7dd6a4a</v>
      </c>
    </row>
    <row r="1446">
      <c r="A1446" s="16" t="s">
        <v>59</v>
      </c>
      <c r="B1446" s="50" t="str">
        <f>IFERROR(HYPERLINK(VLOOKUP(A1446,Internal_lists_bugs!$A$2:$C$73,3,FALSE()), VLOOKUP(A1446,Internal_lists_bugs!$A$2:$C$73,3,FALSE())&amp;Char(10) &amp; Char(10) &amp; VLOOKUP(A1446,Internal_lists_bugs!$A$2:$Z$73,26,FALSE())),"please select a BUG ID")</f>
        <v>https://bugs.launchpad.net/nova/+bug/1441000
/libvirt/driver.py</v>
      </c>
      <c r="C1446" s="81" t="str">
        <f>IFERROR(VLOOKUP(A1446,Internal_lists_bugs!$A$2:$I7981,9,FALSE()),"please select a BUG ID")</f>
        <v>https://review.opendev.org/c/openstack/nova/+/151664</v>
      </c>
      <c r="D1446" s="114"/>
      <c r="E1446" s="114"/>
      <c r="F1446" s="115"/>
      <c r="G1446" s="79" t="s">
        <v>3188</v>
      </c>
      <c r="H1446" s="116" t="s">
        <v>3189</v>
      </c>
      <c r="I1446" s="54"/>
      <c r="K1446" s="54"/>
      <c r="M1446" s="114" t="str">
        <f>VLOOKUP(A1446,'BIC_(C_Variables)'!$A$3:$AS$43,45,FALSE())</f>
        <v/>
      </c>
      <c r="N1446" s="1"/>
      <c r="O1446" s="1"/>
      <c r="P1446" s="81" t="str">
        <f>IFERROR(VLOOKUP(A1446,Internal_lists_bugs!$A$2:$G7981,7,FALSE()),"please select a BUG ID")</f>
        <v>https://opendev.org/openstack/nova/commit/7dd6a4a</v>
      </c>
    </row>
    <row r="1447">
      <c r="A1447" s="16" t="s">
        <v>59</v>
      </c>
      <c r="B1447" s="50" t="str">
        <f>IFERROR(HYPERLINK(VLOOKUP(A1447,Internal_lists_bugs!$A$2:$C$73,3,FALSE()), VLOOKUP(A1447,Internal_lists_bugs!$A$2:$C$73,3,FALSE())&amp;Char(10) &amp; Char(10) &amp; VLOOKUP(A1447,Internal_lists_bugs!$A$2:$Z$73,26,FALSE())),"please select a BUG ID")</f>
        <v>https://bugs.launchpad.net/nova/+bug/1441000
/libvirt/driver.py</v>
      </c>
      <c r="C1447" s="81" t="str">
        <f>IFERROR(VLOOKUP(A1447,Internal_lists_bugs!$A$2:$I7981,9,FALSE()),"please select a BUG ID")</f>
        <v>https://review.opendev.org/c/openstack/nova/+/151664</v>
      </c>
      <c r="D1447" s="114"/>
      <c r="E1447" s="114"/>
      <c r="F1447" s="115"/>
      <c r="G1447" s="79" t="s">
        <v>3190</v>
      </c>
      <c r="H1447" s="116" t="s">
        <v>3191</v>
      </c>
      <c r="I1447" s="54"/>
      <c r="K1447" s="54"/>
      <c r="M1447" s="114" t="str">
        <f>VLOOKUP(A1447,'BIC_(C_Variables)'!$A$3:$AS$43,45,FALSE())</f>
        <v/>
      </c>
      <c r="N1447" s="1"/>
      <c r="O1447" s="1"/>
      <c r="P1447" s="81" t="str">
        <f>IFERROR(VLOOKUP(A1447,Internal_lists_bugs!$A$2:$G7981,7,FALSE()),"please select a BUG ID")</f>
        <v>https://opendev.org/openstack/nova/commit/7dd6a4a</v>
      </c>
    </row>
    <row r="1448">
      <c r="A1448" s="16" t="s">
        <v>59</v>
      </c>
      <c r="B1448" s="50" t="str">
        <f>IFERROR(HYPERLINK(VLOOKUP(A1448,Internal_lists_bugs!$A$2:$C$73,3,FALSE()), VLOOKUP(A1448,Internal_lists_bugs!$A$2:$C$73,3,FALSE())&amp;Char(10) &amp; Char(10) &amp; VLOOKUP(A1448,Internal_lists_bugs!$A$2:$Z$73,26,FALSE())),"please select a BUG ID")</f>
        <v>https://bugs.launchpad.net/nova/+bug/1441000
/libvirt/driver.py</v>
      </c>
      <c r="C1448" s="81" t="str">
        <f>IFERROR(VLOOKUP(A1448,Internal_lists_bugs!$A$2:$I7981,9,FALSE()),"please select a BUG ID")</f>
        <v>https://review.opendev.org/c/openstack/nova/+/151664</v>
      </c>
      <c r="D1448" s="114"/>
      <c r="E1448" s="114"/>
      <c r="F1448" s="115"/>
      <c r="G1448" s="79" t="s">
        <v>2973</v>
      </c>
      <c r="H1448" s="122" t="s">
        <v>3192</v>
      </c>
      <c r="I1448" s="54"/>
      <c r="K1448" s="54"/>
      <c r="M1448" s="114" t="str">
        <f>VLOOKUP(A1448,'BIC_(C_Variables)'!$A$3:$AS$43,45,FALSE())</f>
        <v/>
      </c>
      <c r="N1448" s="1"/>
      <c r="O1448" s="1"/>
      <c r="P1448" s="81" t="str">
        <f>IFERROR(VLOOKUP(A1448,Internal_lists_bugs!$A$2:$G7981,7,FALSE()),"please select a BUG ID")</f>
        <v>https://opendev.org/openstack/nova/commit/7dd6a4a</v>
      </c>
    </row>
    <row r="1449">
      <c r="A1449" s="16" t="s">
        <v>59</v>
      </c>
      <c r="B1449" s="50" t="str">
        <f>IFERROR(HYPERLINK(VLOOKUP(A1449,Internal_lists_bugs!$A$2:$C$73,3,FALSE()), VLOOKUP(A1449,Internal_lists_bugs!$A$2:$C$73,3,FALSE())&amp;Char(10) &amp; Char(10) &amp; VLOOKUP(A1449,Internal_lists_bugs!$A$2:$Z$73,26,FALSE())),"please select a BUG ID")</f>
        <v>https://bugs.launchpad.net/nova/+bug/1441000
/libvirt/driver.py</v>
      </c>
      <c r="C1449" s="81" t="str">
        <f>IFERROR(VLOOKUP(A1449,Internal_lists_bugs!$A$2:$I7981,9,FALSE()),"please select a BUG ID")</f>
        <v>https://review.opendev.org/c/openstack/nova/+/151664</v>
      </c>
      <c r="D1449" s="114"/>
      <c r="E1449" s="114"/>
      <c r="F1449" s="115"/>
      <c r="G1449" s="79" t="s">
        <v>3193</v>
      </c>
      <c r="H1449" s="116" t="s">
        <v>3194</v>
      </c>
      <c r="I1449" s="54"/>
      <c r="K1449" s="54"/>
      <c r="M1449" s="114" t="str">
        <f>VLOOKUP(A1449,'BIC_(C_Variables)'!$A$3:$AS$43,45,FALSE())</f>
        <v/>
      </c>
      <c r="N1449" s="1"/>
      <c r="O1449" s="1"/>
      <c r="P1449" s="81" t="str">
        <f>IFERROR(VLOOKUP(A1449,Internal_lists_bugs!$A$2:$G7981,7,FALSE()),"please select a BUG ID")</f>
        <v>https://opendev.org/openstack/nova/commit/7dd6a4a</v>
      </c>
    </row>
    <row r="1450">
      <c r="A1450" s="16" t="s">
        <v>59</v>
      </c>
      <c r="B1450" s="50" t="str">
        <f>IFERROR(HYPERLINK(VLOOKUP(A1450,Internal_lists_bugs!$A$2:$C$73,3,FALSE()), VLOOKUP(A1450,Internal_lists_bugs!$A$2:$C$73,3,FALSE())&amp;Char(10) &amp; Char(10) &amp; VLOOKUP(A1450,Internal_lists_bugs!$A$2:$Z$73,26,FALSE())),"please select a BUG ID")</f>
        <v>https://bugs.launchpad.net/nova/+bug/1441000
/libvirt/driver.py</v>
      </c>
      <c r="C1450" s="81" t="str">
        <f>IFERROR(VLOOKUP(A1450,Internal_lists_bugs!$A$2:$I7981,9,FALSE()),"please select a BUG ID")</f>
        <v>https://review.opendev.org/c/openstack/nova/+/151664</v>
      </c>
      <c r="D1450" s="114"/>
      <c r="E1450" s="114"/>
      <c r="F1450" s="115"/>
      <c r="G1450" s="79" t="s">
        <v>3195</v>
      </c>
      <c r="H1450" s="116" t="s">
        <v>3196</v>
      </c>
      <c r="I1450" s="54"/>
      <c r="K1450" s="54"/>
      <c r="M1450" s="114" t="str">
        <f>VLOOKUP(A1450,'BIC_(C_Variables)'!$A$3:$AS$43,45,FALSE())</f>
        <v/>
      </c>
      <c r="N1450" s="1"/>
      <c r="O1450" s="1"/>
      <c r="P1450" s="81" t="str">
        <f>IFERROR(VLOOKUP(A1450,Internal_lists_bugs!$A$2:$G7981,7,FALSE()),"please select a BUG ID")</f>
        <v>https://opendev.org/openstack/nova/commit/7dd6a4a</v>
      </c>
    </row>
    <row r="1451">
      <c r="A1451" s="16" t="s">
        <v>59</v>
      </c>
      <c r="B1451" s="50" t="str">
        <f>IFERROR(HYPERLINK(VLOOKUP(A1451,Internal_lists_bugs!$A$2:$C$73,3,FALSE()), VLOOKUP(A1451,Internal_lists_bugs!$A$2:$C$73,3,FALSE())&amp;Char(10) &amp; Char(10) &amp; VLOOKUP(A1451,Internal_lists_bugs!$A$2:$Z$73,26,FALSE())),"please select a BUG ID")</f>
        <v>https://bugs.launchpad.net/nova/+bug/1441000
/libvirt/driver.py</v>
      </c>
      <c r="C1451" s="81" t="str">
        <f>IFERROR(VLOOKUP(A1451,Internal_lists_bugs!$A$2:$I7981,9,FALSE()),"please select a BUG ID")</f>
        <v>https://review.opendev.org/c/openstack/nova/+/151664</v>
      </c>
      <c r="D1451" s="114"/>
      <c r="E1451" s="114"/>
      <c r="F1451" s="115"/>
      <c r="G1451" s="79" t="s">
        <v>1733</v>
      </c>
      <c r="H1451" s="116" t="s">
        <v>3197</v>
      </c>
      <c r="I1451" s="54"/>
      <c r="K1451" s="54"/>
      <c r="M1451" s="114" t="str">
        <f>VLOOKUP(A1451,'BIC_(C_Variables)'!$A$3:$AS$43,45,FALSE())</f>
        <v/>
      </c>
      <c r="N1451" s="1"/>
      <c r="O1451" s="1"/>
      <c r="P1451" s="81" t="str">
        <f>IFERROR(VLOOKUP(A1451,Internal_lists_bugs!$A$2:$G7981,7,FALSE()),"please select a BUG ID")</f>
        <v>https://opendev.org/openstack/nova/commit/7dd6a4a</v>
      </c>
    </row>
    <row r="1452">
      <c r="A1452" s="16" t="s">
        <v>59</v>
      </c>
      <c r="B1452" s="50" t="str">
        <f>IFERROR(HYPERLINK(VLOOKUP(A1452,Internal_lists_bugs!$A$2:$C$73,3,FALSE()), VLOOKUP(A1452,Internal_lists_bugs!$A$2:$C$73,3,FALSE())&amp;Char(10) &amp; Char(10) &amp; VLOOKUP(A1452,Internal_lists_bugs!$A$2:$Z$73,26,FALSE())),"please select a BUG ID")</f>
        <v>https://bugs.launchpad.net/nova/+bug/1441000
/libvirt/driver.py</v>
      </c>
      <c r="C1452" s="81" t="str">
        <f>IFERROR(VLOOKUP(A1452,Internal_lists_bugs!$A$2:$I7981,9,FALSE()),"please select a BUG ID")</f>
        <v>https://review.opendev.org/c/openstack/nova/+/151664</v>
      </c>
      <c r="D1452" s="114"/>
      <c r="E1452" s="114"/>
      <c r="F1452" s="115"/>
      <c r="G1452" s="79" t="s">
        <v>3198</v>
      </c>
      <c r="H1452" s="116" t="s">
        <v>3199</v>
      </c>
      <c r="I1452" s="54"/>
      <c r="K1452" s="54"/>
      <c r="M1452" s="114" t="str">
        <f>VLOOKUP(A1452,'BIC_(C_Variables)'!$A$3:$AS$43,45,FALSE())</f>
        <v/>
      </c>
      <c r="N1452" s="1"/>
      <c r="O1452" s="1"/>
      <c r="P1452" s="81" t="str">
        <f>IFERROR(VLOOKUP(A1452,Internal_lists_bugs!$A$2:$G7981,7,FALSE()),"please select a BUG ID")</f>
        <v>https://opendev.org/openstack/nova/commit/7dd6a4a</v>
      </c>
    </row>
    <row r="1453">
      <c r="A1453" s="16" t="s">
        <v>59</v>
      </c>
      <c r="B1453" s="50" t="str">
        <f>IFERROR(HYPERLINK(VLOOKUP(A1453,Internal_lists_bugs!$A$2:$C$73,3,FALSE()), VLOOKUP(A1453,Internal_lists_bugs!$A$2:$C$73,3,FALSE())&amp;Char(10) &amp; Char(10) &amp; VLOOKUP(A1453,Internal_lists_bugs!$A$2:$Z$73,26,FALSE())),"please select a BUG ID")</f>
        <v>https://bugs.launchpad.net/nova/+bug/1441000
/libvirt/driver.py</v>
      </c>
      <c r="C1453" s="81" t="str">
        <f>IFERROR(VLOOKUP(A1453,Internal_lists_bugs!$A$2:$I7981,9,FALSE()),"please select a BUG ID")</f>
        <v>https://review.opendev.org/c/openstack/nova/+/151664</v>
      </c>
      <c r="D1453" s="114"/>
      <c r="E1453" s="114"/>
      <c r="F1453" s="115"/>
      <c r="G1453" s="79" t="s">
        <v>3200</v>
      </c>
      <c r="H1453" s="116" t="s">
        <v>3201</v>
      </c>
      <c r="I1453" s="54"/>
      <c r="K1453" s="54"/>
      <c r="M1453" s="114" t="str">
        <f>VLOOKUP(A1453,'BIC_(C_Variables)'!$A$3:$AS$43,45,FALSE())</f>
        <v/>
      </c>
      <c r="N1453" s="1"/>
      <c r="O1453" s="1"/>
      <c r="P1453" s="81" t="str">
        <f>IFERROR(VLOOKUP(A1453,Internal_lists_bugs!$A$2:$G7981,7,FALSE()),"please select a BUG ID")</f>
        <v>https://opendev.org/openstack/nova/commit/7dd6a4a</v>
      </c>
    </row>
    <row r="1454">
      <c r="A1454" s="16" t="s">
        <v>59</v>
      </c>
      <c r="B1454" s="50" t="str">
        <f>IFERROR(HYPERLINK(VLOOKUP(A1454,Internal_lists_bugs!$A$2:$C$73,3,FALSE()), VLOOKUP(A1454,Internal_lists_bugs!$A$2:$C$73,3,FALSE())&amp;Char(10) &amp; Char(10) &amp; VLOOKUP(A1454,Internal_lists_bugs!$A$2:$Z$73,26,FALSE())),"please select a BUG ID")</f>
        <v>https://bugs.launchpad.net/nova/+bug/1441000
/libvirt/driver.py</v>
      </c>
      <c r="C1454" s="81" t="str">
        <f>IFERROR(VLOOKUP(A1454,Internal_lists_bugs!$A$2:$I7981,9,FALSE()),"please select a BUG ID")</f>
        <v>https://review.opendev.org/c/openstack/nova/+/151664</v>
      </c>
      <c r="D1454" s="114"/>
      <c r="E1454" s="114"/>
      <c r="F1454" s="115"/>
      <c r="G1454" s="79" t="s">
        <v>3202</v>
      </c>
      <c r="H1454" s="116" t="s">
        <v>3203</v>
      </c>
      <c r="I1454" s="54"/>
      <c r="K1454" s="54"/>
      <c r="M1454" s="114" t="str">
        <f>VLOOKUP(A1454,'BIC_(C_Variables)'!$A$3:$AS$43,45,FALSE())</f>
        <v/>
      </c>
      <c r="N1454" s="1"/>
      <c r="O1454" s="1"/>
      <c r="P1454" s="81" t="str">
        <f>IFERROR(VLOOKUP(A1454,Internal_lists_bugs!$A$2:$G7981,7,FALSE()),"please select a BUG ID")</f>
        <v>https://opendev.org/openstack/nova/commit/7dd6a4a</v>
      </c>
    </row>
    <row r="1455">
      <c r="A1455" s="16" t="s">
        <v>59</v>
      </c>
      <c r="B1455" s="50" t="str">
        <f>IFERROR(HYPERLINK(VLOOKUP(A1455,Internal_lists_bugs!$A$2:$C$73,3,FALSE()), VLOOKUP(A1455,Internal_lists_bugs!$A$2:$C$73,3,FALSE())&amp;Char(10) &amp; Char(10) &amp; VLOOKUP(A1455,Internal_lists_bugs!$A$2:$Z$73,26,FALSE())),"please select a BUG ID")</f>
        <v>https://bugs.launchpad.net/nova/+bug/1441000
/libvirt/driver.py</v>
      </c>
      <c r="C1455" s="81" t="str">
        <f>IFERROR(VLOOKUP(A1455,Internal_lists_bugs!$A$2:$I7981,9,FALSE()),"please select a BUG ID")</f>
        <v>https://review.opendev.org/c/openstack/nova/+/151664</v>
      </c>
      <c r="D1455" s="114"/>
      <c r="E1455" s="114"/>
      <c r="F1455" s="115"/>
      <c r="G1455" s="79" t="s">
        <v>1831</v>
      </c>
      <c r="H1455" s="116" t="s">
        <v>3204</v>
      </c>
      <c r="I1455" s="54"/>
      <c r="K1455" s="54"/>
      <c r="M1455" s="114" t="str">
        <f>VLOOKUP(A1455,'BIC_(C_Variables)'!$A$3:$AS$43,45,FALSE())</f>
        <v/>
      </c>
      <c r="N1455" s="1"/>
      <c r="O1455" s="1"/>
      <c r="P1455" s="81" t="str">
        <f>IFERROR(VLOOKUP(A1455,Internal_lists_bugs!$A$2:$G7981,7,FALSE()),"please select a BUG ID")</f>
        <v>https://opendev.org/openstack/nova/commit/7dd6a4a</v>
      </c>
    </row>
    <row r="1456">
      <c r="A1456" s="16" t="s">
        <v>59</v>
      </c>
      <c r="B1456" s="50" t="str">
        <f>IFERROR(HYPERLINK(VLOOKUP(A1456,Internal_lists_bugs!$A$2:$C$73,3,FALSE()), VLOOKUP(A1456,Internal_lists_bugs!$A$2:$C$73,3,FALSE())&amp;Char(10) &amp; Char(10) &amp; VLOOKUP(A1456,Internal_lists_bugs!$A$2:$Z$73,26,FALSE())),"please select a BUG ID")</f>
        <v>https://bugs.launchpad.net/nova/+bug/1441000
/libvirt/driver.py</v>
      </c>
      <c r="C1456" s="81" t="str">
        <f>IFERROR(VLOOKUP(A1456,Internal_lists_bugs!$A$2:$I7981,9,FALSE()),"please select a BUG ID")</f>
        <v>https://review.opendev.org/c/openstack/nova/+/151664</v>
      </c>
      <c r="D1456" s="114"/>
      <c r="E1456" s="114"/>
      <c r="F1456" s="115"/>
      <c r="G1456" s="79" t="s">
        <v>3205</v>
      </c>
      <c r="H1456" s="116" t="s">
        <v>3206</v>
      </c>
      <c r="I1456" s="54"/>
      <c r="K1456" s="54"/>
      <c r="M1456" s="114" t="str">
        <f>VLOOKUP(A1456,'BIC_(C_Variables)'!$A$3:$AS$43,45,FALSE())</f>
        <v/>
      </c>
      <c r="N1456" s="1"/>
      <c r="O1456" s="1"/>
      <c r="P1456" s="81" t="str">
        <f>IFERROR(VLOOKUP(A1456,Internal_lists_bugs!$A$2:$G7981,7,FALSE()),"please select a BUG ID")</f>
        <v>https://opendev.org/openstack/nova/commit/7dd6a4a</v>
      </c>
    </row>
    <row r="1457">
      <c r="A1457" s="16" t="s">
        <v>59</v>
      </c>
      <c r="B1457" s="50" t="str">
        <f>IFERROR(HYPERLINK(VLOOKUP(A1457,Internal_lists_bugs!$A$2:$C$73,3,FALSE()), VLOOKUP(A1457,Internal_lists_bugs!$A$2:$C$73,3,FALSE())&amp;Char(10) &amp; Char(10) &amp; VLOOKUP(A1457,Internal_lists_bugs!$A$2:$Z$73,26,FALSE())),"please select a BUG ID")</f>
        <v>https://bugs.launchpad.net/nova/+bug/1441000
/libvirt/driver.py</v>
      </c>
      <c r="C1457" s="81" t="str">
        <f>IFERROR(VLOOKUP(A1457,Internal_lists_bugs!$A$2:$I7981,9,FALSE()),"please select a BUG ID")</f>
        <v>https://review.opendev.org/c/openstack/nova/+/151664</v>
      </c>
      <c r="D1457" s="114"/>
      <c r="E1457" s="114"/>
      <c r="F1457" s="115"/>
      <c r="G1457" s="79" t="s">
        <v>2268</v>
      </c>
      <c r="H1457" s="116" t="s">
        <v>3207</v>
      </c>
      <c r="I1457" s="54"/>
      <c r="K1457" s="54"/>
      <c r="M1457" s="114"/>
      <c r="N1457" s="1"/>
      <c r="O1457" s="1"/>
      <c r="P1457" s="51"/>
    </row>
    <row r="1458">
      <c r="A1458" s="16" t="s">
        <v>59</v>
      </c>
      <c r="B1458" s="50" t="str">
        <f>IFERROR(HYPERLINK(VLOOKUP(A1458,Internal_lists_bugs!$A$2:$C$73,3,FALSE()), VLOOKUP(A1458,Internal_lists_bugs!$A$2:$C$73,3,FALSE())&amp;Char(10) &amp; Char(10) &amp; VLOOKUP(A1458,Internal_lists_bugs!$A$2:$Z$73,26,FALSE())),"please select a BUG ID")</f>
        <v>https://bugs.launchpad.net/nova/+bug/1441000
/libvirt/driver.py</v>
      </c>
      <c r="C1458" s="81" t="str">
        <f>IFERROR(VLOOKUP(A1458,Internal_lists_bugs!$A$2:$I7981,9,FALSE()),"please select a BUG ID")</f>
        <v>https://review.opendev.org/c/openstack/nova/+/151664</v>
      </c>
      <c r="D1458" s="114"/>
      <c r="E1458" s="114"/>
      <c r="F1458" s="115"/>
      <c r="G1458" s="79" t="s">
        <v>2047</v>
      </c>
      <c r="H1458" s="116" t="s">
        <v>3208</v>
      </c>
      <c r="I1458" s="54"/>
      <c r="K1458" s="54"/>
      <c r="M1458" s="114" t="str">
        <f>VLOOKUP(A1458,'BIC_(C_Variables)'!$A$3:$AS$43,45,FALSE())</f>
        <v/>
      </c>
      <c r="N1458" s="1"/>
      <c r="O1458" s="1"/>
      <c r="P1458" s="81" t="str">
        <f>IFERROR(VLOOKUP(A1458,Internal_lists_bugs!$A$2:$G7981,7,FALSE()),"please select a BUG ID")</f>
        <v>https://opendev.org/openstack/nova/commit/7dd6a4a</v>
      </c>
    </row>
    <row r="1459">
      <c r="A1459" s="16" t="s">
        <v>59</v>
      </c>
      <c r="B1459" s="50" t="str">
        <f>IFERROR(HYPERLINK(VLOOKUP(A1459,Internal_lists_bugs!$A$2:$C$73,3,FALSE()), VLOOKUP(A1459,Internal_lists_bugs!$A$2:$C$73,3,FALSE())&amp;Char(10) &amp; Char(10) &amp; VLOOKUP(A1459,Internal_lists_bugs!$A$2:$Z$73,26,FALSE())),"please select a BUG ID")</f>
        <v>https://bugs.launchpad.net/nova/+bug/1441000
/libvirt/driver.py</v>
      </c>
      <c r="C1459" s="81" t="str">
        <f>IFERROR(VLOOKUP(A1459,Internal_lists_bugs!$A$2:$I7981,9,FALSE()),"please select a BUG ID")</f>
        <v>https://review.opendev.org/c/openstack/nova/+/151664</v>
      </c>
      <c r="D1459" s="114"/>
      <c r="E1459" s="114"/>
      <c r="F1459" s="115"/>
      <c r="G1459" s="79" t="s">
        <v>2436</v>
      </c>
      <c r="H1459" s="116" t="s">
        <v>3209</v>
      </c>
      <c r="I1459" s="54"/>
      <c r="K1459" s="54"/>
      <c r="M1459" s="114" t="str">
        <f>VLOOKUP(A1459,'BIC_(C_Variables)'!$A$3:$AS$43,45,FALSE())</f>
        <v/>
      </c>
      <c r="N1459" s="1"/>
      <c r="O1459" s="1"/>
      <c r="P1459" s="81" t="str">
        <f>IFERROR(VLOOKUP(A1459,Internal_lists_bugs!$A$2:$G7981,7,FALSE()),"please select a BUG ID")</f>
        <v>https://opendev.org/openstack/nova/commit/7dd6a4a</v>
      </c>
    </row>
    <row r="1460">
      <c r="A1460" s="16" t="s">
        <v>59</v>
      </c>
      <c r="B1460" s="50" t="str">
        <f>IFERROR(HYPERLINK(VLOOKUP(A1460,Internal_lists_bugs!$A$2:$C$73,3,FALSE()), VLOOKUP(A1460,Internal_lists_bugs!$A$2:$C$73,3,FALSE())&amp;Char(10) &amp; Char(10) &amp; VLOOKUP(A1460,Internal_lists_bugs!$A$2:$Z$73,26,FALSE())),"please select a BUG ID")</f>
        <v>https://bugs.launchpad.net/nova/+bug/1441000
/libvirt/driver.py</v>
      </c>
      <c r="C1460" s="81" t="str">
        <f>IFERROR(VLOOKUP(A1460,Internal_lists_bugs!$A$2:$I7981,9,FALSE()),"please select a BUG ID")</f>
        <v>https://review.opendev.org/c/openstack/nova/+/151664</v>
      </c>
      <c r="D1460" s="114"/>
      <c r="E1460" s="114"/>
      <c r="F1460" s="115"/>
      <c r="G1460" s="79" t="s">
        <v>2275</v>
      </c>
      <c r="H1460" s="116" t="s">
        <v>3210</v>
      </c>
      <c r="I1460" s="54"/>
      <c r="K1460" s="54"/>
      <c r="M1460" s="114"/>
      <c r="N1460" s="1"/>
      <c r="O1460" s="1"/>
      <c r="P1460" s="51"/>
    </row>
    <row r="1461">
      <c r="A1461" s="16" t="s">
        <v>59</v>
      </c>
      <c r="B1461" s="50" t="str">
        <f>IFERROR(HYPERLINK(VLOOKUP(A1461,Internal_lists_bugs!$A$2:$C$73,3,FALSE()), VLOOKUP(A1461,Internal_lists_bugs!$A$2:$C$73,3,FALSE())&amp;Char(10) &amp; Char(10) &amp; VLOOKUP(A1461,Internal_lists_bugs!$A$2:$Z$73,26,FALSE())),"please select a BUG ID")</f>
        <v>https://bugs.launchpad.net/nova/+bug/1441000
/libvirt/driver.py</v>
      </c>
      <c r="C1461" s="81" t="str">
        <f>IFERROR(VLOOKUP(A1461,Internal_lists_bugs!$A$2:$I7981,9,FALSE()),"please select a BUG ID")</f>
        <v>https://review.opendev.org/c/openstack/nova/+/151664</v>
      </c>
      <c r="D1461" s="114"/>
      <c r="E1461" s="114"/>
      <c r="F1461" s="115"/>
      <c r="G1461" s="79" t="s">
        <v>1570</v>
      </c>
      <c r="H1461" s="116" t="s">
        <v>3210</v>
      </c>
      <c r="I1461" s="54"/>
      <c r="K1461" s="54"/>
      <c r="M1461" s="114" t="str">
        <f>VLOOKUP(A1461,'BIC_(C_Variables)'!$A$3:$AS$43,45,FALSE())</f>
        <v/>
      </c>
      <c r="N1461" s="1"/>
      <c r="O1461" s="1"/>
      <c r="P1461" s="81" t="str">
        <f>IFERROR(VLOOKUP(A1461,Internal_lists_bugs!$A$2:$G7981,7,FALSE()),"please select a BUG ID")</f>
        <v>https://opendev.org/openstack/nova/commit/7dd6a4a</v>
      </c>
    </row>
    <row r="1462">
      <c r="A1462" s="16" t="s">
        <v>60</v>
      </c>
      <c r="B1462" s="50" t="str">
        <f>IFERROR(HYPERLINK(VLOOKUP(A1462,Internal_lists_bugs!$A$2:$C$73,3,FALSE()), VLOOKUP(A1462,Internal_lists_bugs!$A$2:$C$73,3,FALSE())&amp;Char(10) &amp; Char(10) &amp; VLOOKUP(A1462,Internal_lists_bugs!$A$2:$Z$73,26,FALSE())),"please select a BUG ID")</f>
        <v>https://bugs.launchpad.net/nova/+bug/1505471
/servicegroup/drivers/db.py</v>
      </c>
      <c r="C1462" s="81" t="str">
        <f>IFERROR(VLOOKUP(A1462,Internal_lists_bugs!$A$2:$I7981,9,FALSE()),"please select a BUG ID")</f>
        <v>https://review.opendev.org/c/openstack/nova/+/10903</v>
      </c>
      <c r="D1462" s="112" t="s">
        <v>1412</v>
      </c>
      <c r="E1462" s="112" t="s">
        <v>1462</v>
      </c>
      <c r="F1462" s="113" t="s">
        <v>251</v>
      </c>
      <c r="G1462" s="79" t="s">
        <v>1671</v>
      </c>
      <c r="H1462" s="116" t="s">
        <v>3211</v>
      </c>
      <c r="I1462" s="16" t="s">
        <v>251</v>
      </c>
      <c r="J1462" s="16" t="s">
        <v>3212</v>
      </c>
      <c r="K1462" s="16" t="s">
        <v>251</v>
      </c>
      <c r="L1462" s="16" t="s">
        <v>3213</v>
      </c>
      <c r="M1462" s="114" t="str">
        <f>VLOOKUP(A1462,'BIC_(C_Variables)'!$A$3:$AS$43,45,FALSE())</f>
        <v>x_files buggy identified different name 
db_driver.py</v>
      </c>
      <c r="N1462" s="1"/>
      <c r="O1462" s="1"/>
      <c r="P1462" s="81" t="str">
        <f>IFERROR(VLOOKUP(A1462,Internal_lists_bugs!$A$2:$G7981,7,FALSE()),"please select a BUG ID")</f>
        <v>https://opendev.org/openstack/nova/commit/64e167eb6</v>
      </c>
    </row>
    <row r="1463">
      <c r="A1463" s="16" t="s">
        <v>60</v>
      </c>
      <c r="B1463" s="50" t="str">
        <f>IFERROR(HYPERLINK(VLOOKUP(A1463,Internal_lists_bugs!$A$2:$C$73,3,FALSE()), VLOOKUP(A1463,Internal_lists_bugs!$A$2:$C$73,3,FALSE())&amp;Char(10) &amp; Char(10) &amp; VLOOKUP(A1463,Internal_lists_bugs!$A$2:$Z$73,26,FALSE())),"please select a BUG ID")</f>
        <v>https://bugs.launchpad.net/nova/+bug/1505471
/servicegroup/drivers/db.py</v>
      </c>
      <c r="C1463" s="81" t="str">
        <f>IFERROR(VLOOKUP(A1463,Internal_lists_bugs!$A$2:$I7981,9,FALSE()),"please select a BUG ID")</f>
        <v>https://review.opendev.org/c/openstack/nova/+/10903</v>
      </c>
      <c r="D1463" s="114"/>
      <c r="E1463" s="114"/>
      <c r="F1463" s="115"/>
      <c r="G1463" s="79" t="s">
        <v>1419</v>
      </c>
      <c r="H1463" s="116" t="s">
        <v>3214</v>
      </c>
      <c r="I1463" s="54"/>
      <c r="K1463" s="54"/>
      <c r="M1463" s="114" t="str">
        <f>VLOOKUP(A1463,'BIC_(C_Variables)'!$A$3:$AS$43,45,FALSE())</f>
        <v>x_files buggy identified different name 
db_driver.py</v>
      </c>
      <c r="N1463" s="1"/>
      <c r="O1463" s="1"/>
      <c r="P1463" s="81" t="str">
        <f>IFERROR(VLOOKUP(A1463,Internal_lists_bugs!$A$2:$G7981,7,FALSE()),"please select a BUG ID")</f>
        <v>https://opendev.org/openstack/nova/commit/64e167eb6</v>
      </c>
    </row>
    <row r="1464">
      <c r="A1464" s="16" t="s">
        <v>60</v>
      </c>
      <c r="B1464" s="50" t="str">
        <f>IFERROR(HYPERLINK(VLOOKUP(A1464,Internal_lists_bugs!$A$2:$C$73,3,FALSE()), VLOOKUP(A1464,Internal_lists_bugs!$A$2:$C$73,3,FALSE())&amp;Char(10) &amp; Char(10) &amp; VLOOKUP(A1464,Internal_lists_bugs!$A$2:$Z$73,26,FALSE())),"please select a BUG ID")</f>
        <v>https://bugs.launchpad.net/nova/+bug/1505471
/servicegroup/drivers/db.py</v>
      </c>
      <c r="C1464" s="81" t="str">
        <f>IFERROR(VLOOKUP(A1464,Internal_lists_bugs!$A$2:$I7981,9,FALSE()),"please select a BUG ID")</f>
        <v>https://review.opendev.org/c/openstack/nova/+/10903</v>
      </c>
      <c r="D1464" s="114"/>
      <c r="E1464" s="114"/>
      <c r="F1464" s="115"/>
      <c r="G1464" s="79" t="s">
        <v>1626</v>
      </c>
      <c r="H1464" s="116" t="s">
        <v>3215</v>
      </c>
      <c r="I1464" s="54"/>
      <c r="K1464" s="54"/>
      <c r="M1464" s="114" t="str">
        <f>VLOOKUP(A1464,'BIC_(C_Variables)'!$A$3:$AS$43,45,FALSE())</f>
        <v>x_files buggy identified different name 
db_driver.py</v>
      </c>
      <c r="N1464" s="1"/>
      <c r="O1464" s="1"/>
      <c r="P1464" s="81" t="str">
        <f>IFERROR(VLOOKUP(A1464,Internal_lists_bugs!$A$2:$G7981,7,FALSE()),"please select a BUG ID")</f>
        <v>https://opendev.org/openstack/nova/commit/64e167eb6</v>
      </c>
    </row>
    <row r="1465">
      <c r="A1465" s="16" t="s">
        <v>60</v>
      </c>
      <c r="B1465" s="50" t="str">
        <f>IFERROR(HYPERLINK(VLOOKUP(A1465,Internal_lists_bugs!$A$2:$C$73,3,FALSE()), VLOOKUP(A1465,Internal_lists_bugs!$A$2:$C$73,3,FALSE())&amp;Char(10) &amp; Char(10) &amp; VLOOKUP(A1465,Internal_lists_bugs!$A$2:$Z$73,26,FALSE())),"please select a BUG ID")</f>
        <v>https://bugs.launchpad.net/nova/+bug/1505471
/servicegroup/drivers/db.py</v>
      </c>
      <c r="C1465" s="81" t="str">
        <f>IFERROR(VLOOKUP(A1465,Internal_lists_bugs!$A$2:$I7981,9,FALSE()),"please select a BUG ID")</f>
        <v>https://review.opendev.org/c/openstack/nova/+/10903</v>
      </c>
      <c r="D1465" s="114"/>
      <c r="E1465" s="114"/>
      <c r="F1465" s="115"/>
      <c r="G1465" s="79" t="s">
        <v>1417</v>
      </c>
      <c r="H1465" s="116" t="s">
        <v>3216</v>
      </c>
      <c r="I1465" s="54"/>
      <c r="K1465" s="54"/>
      <c r="M1465" s="114" t="str">
        <f>VLOOKUP(A1465,'BIC_(C_Variables)'!$A$3:$AS$43,45,FALSE())</f>
        <v>x_files buggy identified different name 
db_driver.py</v>
      </c>
      <c r="N1465" s="1"/>
      <c r="O1465" s="1"/>
      <c r="P1465" s="81" t="str">
        <f>IFERROR(VLOOKUP(A1465,Internal_lists_bugs!$A$2:$G7981,7,FALSE()),"please select a BUG ID")</f>
        <v>https://opendev.org/openstack/nova/commit/64e167eb6</v>
      </c>
    </row>
    <row r="1466">
      <c r="A1466" s="16" t="s">
        <v>60</v>
      </c>
      <c r="B1466" s="50" t="str">
        <f>IFERROR(HYPERLINK(VLOOKUP(A1466,Internal_lists_bugs!$A$2:$C$73,3,FALSE()), VLOOKUP(A1466,Internal_lists_bugs!$A$2:$C$73,3,FALSE())&amp;Char(10) &amp; Char(10) &amp; VLOOKUP(A1466,Internal_lists_bugs!$A$2:$Z$73,26,FALSE())),"please select a BUG ID")</f>
        <v>https://bugs.launchpad.net/nova/+bug/1505471
/servicegroup/drivers/db.py</v>
      </c>
      <c r="C1466" s="81" t="str">
        <f>IFERROR(VLOOKUP(A1466,Internal_lists_bugs!$A$2:$I7981,9,FALSE()),"please select a BUG ID")</f>
        <v>https://review.opendev.org/c/openstack/nova/+/10903</v>
      </c>
      <c r="D1466" s="114"/>
      <c r="E1466" s="114"/>
      <c r="F1466" s="115"/>
      <c r="G1466" s="79" t="s">
        <v>3217</v>
      </c>
      <c r="H1466" s="116" t="s">
        <v>3218</v>
      </c>
      <c r="I1466" s="54"/>
      <c r="K1466" s="54"/>
      <c r="M1466" s="114" t="str">
        <f>VLOOKUP(A1466,'BIC_(C_Variables)'!$A$3:$AS$43,45,FALSE())</f>
        <v>x_files buggy identified different name 
db_driver.py</v>
      </c>
      <c r="N1466" s="1"/>
      <c r="O1466" s="1"/>
      <c r="P1466" s="81" t="str">
        <f>IFERROR(VLOOKUP(A1466,Internal_lists_bugs!$A$2:$G7981,7,FALSE()),"please select a BUG ID")</f>
        <v>https://opendev.org/openstack/nova/commit/64e167eb6</v>
      </c>
    </row>
    <row r="1467">
      <c r="A1467" s="16" t="s">
        <v>60</v>
      </c>
      <c r="B1467" s="50" t="str">
        <f>IFERROR(HYPERLINK(VLOOKUP(A1467,Internal_lists_bugs!$A$2:$C$73,3,FALSE()), VLOOKUP(A1467,Internal_lists_bugs!$A$2:$C$73,3,FALSE())&amp;Char(10) &amp; Char(10) &amp; VLOOKUP(A1467,Internal_lists_bugs!$A$2:$Z$73,26,FALSE())),"please select a BUG ID")</f>
        <v>https://bugs.launchpad.net/nova/+bug/1505471
/servicegroup/drivers/db.py</v>
      </c>
      <c r="C1467" s="81" t="str">
        <f>IFERROR(VLOOKUP(A1467,Internal_lists_bugs!$A$2:$I7981,9,FALSE()),"please select a BUG ID")</f>
        <v>https://review.opendev.org/c/openstack/nova/+/10903</v>
      </c>
      <c r="D1467" s="114"/>
      <c r="E1467" s="114"/>
      <c r="F1467" s="115"/>
      <c r="G1467" s="79" t="s">
        <v>3219</v>
      </c>
      <c r="H1467" s="116" t="s">
        <v>3220</v>
      </c>
      <c r="I1467" s="54"/>
      <c r="K1467" s="54"/>
      <c r="M1467" s="114" t="str">
        <f>VLOOKUP(A1467,'BIC_(C_Variables)'!$A$3:$AS$43,45,FALSE())</f>
        <v>x_files buggy identified different name 
db_driver.py</v>
      </c>
      <c r="N1467" s="1"/>
      <c r="O1467" s="1"/>
      <c r="P1467" s="81" t="str">
        <f>IFERROR(VLOOKUP(A1467,Internal_lists_bugs!$A$2:$G7981,7,FALSE()),"please select a BUG ID")</f>
        <v>https://opendev.org/openstack/nova/commit/64e167eb6</v>
      </c>
    </row>
    <row r="1468">
      <c r="A1468" s="16" t="s">
        <v>60</v>
      </c>
      <c r="B1468" s="50" t="str">
        <f>IFERROR(HYPERLINK(VLOOKUP(A1468,Internal_lists_bugs!$A$2:$C$73,3,FALSE()), VLOOKUP(A1468,Internal_lists_bugs!$A$2:$C$73,3,FALSE())&amp;Char(10) &amp; Char(10) &amp; VLOOKUP(A1468,Internal_lists_bugs!$A$2:$Z$73,26,FALSE())),"please select a BUG ID")</f>
        <v>https://bugs.launchpad.net/nova/+bug/1505471
/servicegroup/drivers/db.py</v>
      </c>
      <c r="C1468" s="81" t="str">
        <f>IFERROR(VLOOKUP(A1468,Internal_lists_bugs!$A$2:$I7981,9,FALSE()),"please select a BUG ID")</f>
        <v>https://review.opendev.org/c/openstack/nova/+/10903</v>
      </c>
      <c r="D1468" s="114"/>
      <c r="E1468" s="114"/>
      <c r="F1468" s="115"/>
      <c r="G1468" s="79" t="s">
        <v>3221</v>
      </c>
      <c r="H1468" s="116" t="s">
        <v>3222</v>
      </c>
      <c r="I1468" s="54"/>
      <c r="K1468" s="54"/>
      <c r="M1468" s="114" t="str">
        <f>VLOOKUP(A1468,'BIC_(C_Variables)'!$A$3:$AS$43,45,FALSE())</f>
        <v>x_files buggy identified different name 
db_driver.py</v>
      </c>
      <c r="N1468" s="1"/>
      <c r="O1468" s="1"/>
      <c r="P1468" s="81" t="str">
        <f>IFERROR(VLOOKUP(A1468,Internal_lists_bugs!$A$2:$G7981,7,FALSE()),"please select a BUG ID")</f>
        <v>https://opendev.org/openstack/nova/commit/64e167eb6</v>
      </c>
    </row>
    <row r="1469">
      <c r="A1469" s="16" t="s">
        <v>60</v>
      </c>
      <c r="B1469" s="50" t="str">
        <f>IFERROR(HYPERLINK(VLOOKUP(A1469,Internal_lists_bugs!$A$2:$C$73,3,FALSE()), VLOOKUP(A1469,Internal_lists_bugs!$A$2:$C$73,3,FALSE())&amp;Char(10) &amp; Char(10) &amp; VLOOKUP(A1469,Internal_lists_bugs!$A$2:$Z$73,26,FALSE())),"please select a BUG ID")</f>
        <v>https://bugs.launchpad.net/nova/+bug/1505471
/servicegroup/drivers/db.py</v>
      </c>
      <c r="C1469" s="81" t="str">
        <f>IFERROR(VLOOKUP(A1469,Internal_lists_bugs!$A$2:$I7981,9,FALSE()),"please select a BUG ID")</f>
        <v>https://review.opendev.org/c/openstack/nova/+/10903</v>
      </c>
      <c r="D1469" s="114"/>
      <c r="E1469" s="114"/>
      <c r="F1469" s="115"/>
      <c r="G1469" s="79" t="s">
        <v>1460</v>
      </c>
      <c r="H1469" s="116" t="s">
        <v>1461</v>
      </c>
      <c r="I1469" s="54"/>
      <c r="K1469" s="54"/>
      <c r="M1469" s="114" t="str">
        <f>VLOOKUP(A1469,'BIC_(C_Variables)'!$A$3:$AS$43,45,FALSE())</f>
        <v>x_files buggy identified different name 
db_driver.py</v>
      </c>
      <c r="N1469" s="1"/>
      <c r="O1469" s="1"/>
      <c r="P1469" s="81" t="str">
        <f>IFERROR(VLOOKUP(A1469,Internal_lists_bugs!$A$2:$G7981,7,FALSE()),"please select a BUG ID")</f>
        <v>https://opendev.org/openstack/nova/commit/64e167eb6</v>
      </c>
    </row>
    <row r="1470">
      <c r="A1470" s="16" t="s">
        <v>60</v>
      </c>
      <c r="B1470" s="50" t="str">
        <f>IFERROR(HYPERLINK(VLOOKUP(A1470,Internal_lists_bugs!$A$2:$C$73,3,FALSE()), VLOOKUP(A1470,Internal_lists_bugs!$A$2:$C$73,3,FALSE())&amp;Char(10) &amp; Char(10) &amp; VLOOKUP(A1470,Internal_lists_bugs!$A$2:$Z$73,26,FALSE())),"please select a BUG ID")</f>
        <v>https://bugs.launchpad.net/nova/+bug/1505471
/servicegroup/drivers/db.py</v>
      </c>
      <c r="C1470" s="81" t="str">
        <f>IFERROR(VLOOKUP(A1470,Internal_lists_bugs!$A$2:$I7981,9,FALSE()),"please select a BUG ID")</f>
        <v>https://review.opendev.org/c/openstack/nova/+/10903</v>
      </c>
      <c r="D1470" s="114"/>
      <c r="E1470" s="114"/>
      <c r="F1470" s="115"/>
      <c r="G1470" s="79" t="s">
        <v>1430</v>
      </c>
      <c r="H1470" s="116" t="s">
        <v>3223</v>
      </c>
      <c r="I1470" s="54"/>
      <c r="K1470" s="54"/>
      <c r="M1470" s="114" t="str">
        <f>VLOOKUP(A1470,'BIC_(C_Variables)'!$A$3:$AS$43,45,FALSE())</f>
        <v>x_files buggy identified different name 
db_driver.py</v>
      </c>
      <c r="N1470" s="1"/>
      <c r="O1470" s="1"/>
      <c r="P1470" s="81" t="str">
        <f>IFERROR(VLOOKUP(A1470,Internal_lists_bugs!$A$2:$G7981,7,FALSE()),"please select a BUG ID")</f>
        <v>https://opendev.org/openstack/nova/commit/64e167eb6</v>
      </c>
    </row>
    <row r="1471">
      <c r="A1471" s="16" t="s">
        <v>60</v>
      </c>
      <c r="B1471" s="50" t="str">
        <f>IFERROR(HYPERLINK(VLOOKUP(A1471,Internal_lists_bugs!$A$2:$C$73,3,FALSE()), VLOOKUP(A1471,Internal_lists_bugs!$A$2:$C$73,3,FALSE())&amp;Char(10) &amp; Char(10) &amp; VLOOKUP(A1471,Internal_lists_bugs!$A$2:$Z$73,26,FALSE())),"please select a BUG ID")</f>
        <v>https://bugs.launchpad.net/nova/+bug/1505471
/servicegroup/drivers/db.py</v>
      </c>
      <c r="C1471" s="81" t="str">
        <f>IFERROR(VLOOKUP(A1471,Internal_lists_bugs!$A$2:$I7981,9,FALSE()),"please select a BUG ID")</f>
        <v>https://review.opendev.org/c/openstack/nova/+/10903</v>
      </c>
      <c r="D1471" s="114"/>
      <c r="E1471" s="114"/>
      <c r="F1471" s="115"/>
      <c r="G1471" s="79" t="s">
        <v>1781</v>
      </c>
      <c r="H1471" s="116" t="s">
        <v>3224</v>
      </c>
      <c r="I1471" s="54"/>
      <c r="K1471" s="54"/>
      <c r="M1471" s="114" t="str">
        <f>VLOOKUP(A1471,'BIC_(C_Variables)'!$A$3:$AS$43,45,FALSE())</f>
        <v>x_files buggy identified different name 
db_driver.py</v>
      </c>
      <c r="N1471" s="1"/>
      <c r="O1471" s="1"/>
      <c r="P1471" s="81" t="str">
        <f>IFERROR(VLOOKUP(A1471,Internal_lists_bugs!$A$2:$G7981,7,FALSE()),"please select a BUG ID")</f>
        <v>https://opendev.org/openstack/nova/commit/64e167eb6</v>
      </c>
    </row>
    <row r="1472">
      <c r="A1472" s="16" t="s">
        <v>60</v>
      </c>
      <c r="B1472" s="50" t="str">
        <f>IFERROR(HYPERLINK(VLOOKUP(A1472,Internal_lists_bugs!$A$2:$C$73,3,FALSE()), VLOOKUP(A1472,Internal_lists_bugs!$A$2:$C$73,3,FALSE())&amp;Char(10) &amp; Char(10) &amp; VLOOKUP(A1472,Internal_lists_bugs!$A$2:$Z$73,26,FALSE())),"please select a BUG ID")</f>
        <v>https://bugs.launchpad.net/nova/+bug/1505471
/servicegroup/drivers/db.py</v>
      </c>
      <c r="C1472" s="81" t="str">
        <f>IFERROR(VLOOKUP(A1472,Internal_lists_bugs!$A$2:$I7981,9,FALSE()),"please select a BUG ID")</f>
        <v>https://review.opendev.org/c/openstack/nova/+/10903</v>
      </c>
      <c r="D1472" s="114"/>
      <c r="E1472" s="114"/>
      <c r="F1472" s="115"/>
      <c r="G1472" s="79" t="s">
        <v>3225</v>
      </c>
      <c r="H1472" s="116" t="s">
        <v>3226</v>
      </c>
      <c r="I1472" s="54"/>
      <c r="K1472" s="54"/>
      <c r="M1472" s="114" t="str">
        <f>VLOOKUP(A1472,'BIC_(C_Variables)'!$A$3:$AS$43,45,FALSE())</f>
        <v>x_files buggy identified different name 
db_driver.py</v>
      </c>
      <c r="N1472" s="1"/>
      <c r="O1472" s="1"/>
      <c r="P1472" s="81" t="str">
        <f>IFERROR(VLOOKUP(A1472,Internal_lists_bugs!$A$2:$G7981,7,FALSE()),"please select a BUG ID")</f>
        <v>https://opendev.org/openstack/nova/commit/64e167eb6</v>
      </c>
    </row>
    <row r="1473">
      <c r="A1473" s="16" t="s">
        <v>60</v>
      </c>
      <c r="B1473" s="50" t="str">
        <f>IFERROR(HYPERLINK(VLOOKUP(A1473,Internal_lists_bugs!$A$2:$C$73,3,FALSE()), VLOOKUP(A1473,Internal_lists_bugs!$A$2:$C$73,3,FALSE())&amp;Char(10) &amp; Char(10) &amp; VLOOKUP(A1473,Internal_lists_bugs!$A$2:$Z$73,26,FALSE())),"please select a BUG ID")</f>
        <v>https://bugs.launchpad.net/nova/+bug/1505471
/servicegroup/drivers/db.py</v>
      </c>
      <c r="C1473" s="81" t="str">
        <f>IFERROR(VLOOKUP(A1473,Internal_lists_bugs!$A$2:$I7981,9,FALSE()),"please select a BUG ID")</f>
        <v>https://review.opendev.org/c/openstack/nova/+/10903</v>
      </c>
      <c r="D1473" s="114"/>
      <c r="E1473" s="114"/>
      <c r="F1473" s="115"/>
      <c r="G1473" s="79" t="s">
        <v>1506</v>
      </c>
      <c r="H1473" s="116" t="s">
        <v>3227</v>
      </c>
      <c r="I1473" s="54"/>
      <c r="K1473" s="54"/>
      <c r="M1473" s="114" t="str">
        <f>VLOOKUP(A1473,'BIC_(C_Variables)'!$A$3:$AS$43,45,FALSE())</f>
        <v>x_files buggy identified different name 
db_driver.py</v>
      </c>
      <c r="N1473" s="1"/>
      <c r="O1473" s="1"/>
      <c r="P1473" s="81" t="str">
        <f>IFERROR(VLOOKUP(A1473,Internal_lists_bugs!$A$2:$G7981,7,FALSE()),"please select a BUG ID")</f>
        <v>https://opendev.org/openstack/nova/commit/64e167eb6</v>
      </c>
    </row>
    <row r="1474">
      <c r="A1474" s="16" t="s">
        <v>60</v>
      </c>
      <c r="B1474" s="50" t="str">
        <f>IFERROR(HYPERLINK(VLOOKUP(A1474,Internal_lists_bugs!$A$2:$C$73,3,FALSE()), VLOOKUP(A1474,Internal_lists_bugs!$A$2:$C$73,3,FALSE())&amp;Char(10) &amp; Char(10) &amp; VLOOKUP(A1474,Internal_lists_bugs!$A$2:$Z$73,26,FALSE())),"please select a BUG ID")</f>
        <v>https://bugs.launchpad.net/nova/+bug/1505471
/servicegroup/drivers/db.py</v>
      </c>
      <c r="C1474" s="81" t="str">
        <f>IFERROR(VLOOKUP(A1474,Internal_lists_bugs!$A$2:$I7981,9,FALSE()),"please select a BUG ID")</f>
        <v>https://review.opendev.org/c/openstack/nova/+/10903</v>
      </c>
      <c r="D1474" s="114"/>
      <c r="E1474" s="114"/>
      <c r="F1474" s="115"/>
      <c r="G1474" s="16" t="s">
        <v>1690</v>
      </c>
      <c r="H1474" s="116" t="s">
        <v>3228</v>
      </c>
      <c r="I1474" s="54"/>
      <c r="K1474" s="54"/>
      <c r="M1474" s="114" t="str">
        <f>VLOOKUP(A1474,'BIC_(C_Variables)'!$A$3:$AS$43,45,FALSE())</f>
        <v>x_files buggy identified different name 
db_driver.py</v>
      </c>
      <c r="N1474" s="1"/>
      <c r="O1474" s="1"/>
      <c r="P1474" s="81" t="str">
        <f>IFERROR(VLOOKUP(A1474,Internal_lists_bugs!$A$2:$G7981,7,FALSE()),"please select a BUG ID")</f>
        <v>https://opendev.org/openstack/nova/commit/64e167eb6</v>
      </c>
    </row>
    <row r="1475">
      <c r="A1475" s="16" t="s">
        <v>60</v>
      </c>
      <c r="B1475" s="50" t="str">
        <f>IFERROR(HYPERLINK(VLOOKUP(A1475,Internal_lists_bugs!$A$2:$C$73,3,FALSE()), VLOOKUP(A1475,Internal_lists_bugs!$A$2:$C$73,3,FALSE())&amp;Char(10) &amp; Char(10) &amp; VLOOKUP(A1475,Internal_lists_bugs!$A$2:$Z$73,26,FALSE())),"please select a BUG ID")</f>
        <v>https://bugs.launchpad.net/nova/+bug/1505471
/servicegroup/drivers/db.py</v>
      </c>
      <c r="C1475" s="81" t="str">
        <f>IFERROR(VLOOKUP(A1475,Internal_lists_bugs!$A$2:$I7981,9,FALSE()),"please select a BUG ID")</f>
        <v>https://review.opendev.org/c/openstack/nova/+/10903</v>
      </c>
      <c r="D1475" s="114"/>
      <c r="E1475" s="114"/>
      <c r="F1475" s="115"/>
      <c r="G1475" s="16" t="s">
        <v>1750</v>
      </c>
      <c r="H1475" s="116" t="s">
        <v>3229</v>
      </c>
      <c r="I1475" s="54"/>
      <c r="K1475" s="54"/>
      <c r="M1475" s="114" t="str">
        <f>VLOOKUP(A1475,'BIC_(C_Variables)'!$A$3:$AS$43,45,FALSE())</f>
        <v>x_files buggy identified different name 
db_driver.py</v>
      </c>
      <c r="N1475" s="1"/>
      <c r="O1475" s="1"/>
      <c r="P1475" s="81" t="str">
        <f>IFERROR(VLOOKUP(A1475,Internal_lists_bugs!$A$2:$G7981,7,FALSE()),"please select a BUG ID")</f>
        <v>https://opendev.org/openstack/nova/commit/64e167eb6</v>
      </c>
    </row>
    <row r="1476">
      <c r="A1476" s="16" t="s">
        <v>60</v>
      </c>
      <c r="B1476" s="50" t="str">
        <f>IFERROR(HYPERLINK(VLOOKUP(A1476,Internal_lists_bugs!$A$2:$C$73,3,FALSE()), VLOOKUP(A1476,Internal_lists_bugs!$A$2:$C$73,3,FALSE())&amp;Char(10) &amp; Char(10) &amp; VLOOKUP(A1476,Internal_lists_bugs!$A$2:$Z$73,26,FALSE())),"please select a BUG ID")</f>
        <v>https://bugs.launchpad.net/nova/+bug/1505471
/servicegroup/drivers/db.py</v>
      </c>
      <c r="C1476" s="81" t="str">
        <f>IFERROR(VLOOKUP(A1476,Internal_lists_bugs!$A$2:$I7981,9,FALSE()),"please select a BUG ID")</f>
        <v>https://review.opendev.org/c/openstack/nova/+/10903</v>
      </c>
      <c r="D1476" s="114"/>
      <c r="E1476" s="114"/>
      <c r="F1476" s="115"/>
      <c r="G1476" s="16" t="s">
        <v>3230</v>
      </c>
      <c r="H1476" s="116" t="s">
        <v>3231</v>
      </c>
      <c r="I1476" s="54"/>
      <c r="K1476" s="54"/>
      <c r="M1476" s="114" t="str">
        <f>VLOOKUP(A1476,'BIC_(C_Variables)'!$A$3:$AS$43,45,FALSE())</f>
        <v>x_files buggy identified different name 
db_driver.py</v>
      </c>
      <c r="N1476" s="1"/>
      <c r="O1476" s="1"/>
      <c r="P1476" s="81" t="str">
        <f>IFERROR(VLOOKUP(A1476,Internal_lists_bugs!$A$2:$G7981,7,FALSE()),"please select a BUG ID")</f>
        <v>https://opendev.org/openstack/nova/commit/64e167eb6</v>
      </c>
    </row>
    <row r="1477">
      <c r="A1477" s="16" t="s">
        <v>60</v>
      </c>
      <c r="B1477" s="50" t="str">
        <f>IFERROR(HYPERLINK(VLOOKUP(A1477,Internal_lists_bugs!$A$2:$C$73,3,FALSE()), VLOOKUP(A1477,Internal_lists_bugs!$A$2:$C$73,3,FALSE())&amp;Char(10) &amp; Char(10) &amp; VLOOKUP(A1477,Internal_lists_bugs!$A$2:$Z$73,26,FALSE())),"please select a BUG ID")</f>
        <v>https://bugs.launchpad.net/nova/+bug/1505471
/servicegroup/drivers/db.py</v>
      </c>
      <c r="C1477" s="81" t="str">
        <f>IFERROR(VLOOKUP(A1477,Internal_lists_bugs!$A$2:$I7981,9,FALSE()),"please select a BUG ID")</f>
        <v>https://review.opendev.org/c/openstack/nova/+/10903</v>
      </c>
      <c r="D1477" s="114"/>
      <c r="E1477" s="114"/>
      <c r="F1477" s="115"/>
      <c r="G1477" s="79" t="s">
        <v>3232</v>
      </c>
      <c r="H1477" s="116" t="s">
        <v>3233</v>
      </c>
      <c r="I1477" s="54"/>
      <c r="K1477" s="54"/>
      <c r="M1477" s="114" t="str">
        <f>VLOOKUP(A1477,'BIC_(C_Variables)'!$A$3:$AS$43,45,FALSE())</f>
        <v>x_files buggy identified different name 
db_driver.py</v>
      </c>
      <c r="N1477" s="1"/>
      <c r="O1477" s="1"/>
      <c r="P1477" s="81" t="str">
        <f>IFERROR(VLOOKUP(A1477,Internal_lists_bugs!$A$2:$G7981,7,FALSE()),"please select a BUG ID")</f>
        <v>https://opendev.org/openstack/nova/commit/64e167eb6</v>
      </c>
    </row>
    <row r="1478">
      <c r="A1478" s="16" t="s">
        <v>60</v>
      </c>
      <c r="B1478" s="50" t="str">
        <f>IFERROR(HYPERLINK(VLOOKUP(A1478,Internal_lists_bugs!$A$2:$C$73,3,FALSE()), VLOOKUP(A1478,Internal_lists_bugs!$A$2:$C$73,3,FALSE())&amp;Char(10) &amp; Char(10) &amp; VLOOKUP(A1478,Internal_lists_bugs!$A$2:$Z$73,26,FALSE())),"please select a BUG ID")</f>
        <v>https://bugs.launchpad.net/nova/+bug/1505471
/servicegroup/drivers/db.py</v>
      </c>
      <c r="C1478" s="81" t="str">
        <f>IFERROR(VLOOKUP(A1478,Internal_lists_bugs!$A$2:$I7981,9,FALSE()),"please select a BUG ID")</f>
        <v>https://review.opendev.org/c/openstack/nova/+/10903</v>
      </c>
      <c r="D1478" s="114"/>
      <c r="E1478" s="114"/>
      <c r="F1478" s="115"/>
      <c r="G1478" s="79" t="s">
        <v>1531</v>
      </c>
      <c r="H1478" s="116" t="s">
        <v>3234</v>
      </c>
      <c r="I1478" s="54"/>
      <c r="K1478" s="54"/>
      <c r="M1478" s="114" t="str">
        <f>VLOOKUP(A1478,'BIC_(C_Variables)'!$A$3:$AS$43,45,FALSE())</f>
        <v>x_files buggy identified different name 
db_driver.py</v>
      </c>
      <c r="N1478" s="1"/>
      <c r="O1478" s="1"/>
      <c r="P1478" s="81" t="str">
        <f>IFERROR(VLOOKUP(A1478,Internal_lists_bugs!$A$2:$G7981,7,FALSE()),"please select a BUG ID")</f>
        <v>https://opendev.org/openstack/nova/commit/64e167eb6</v>
      </c>
    </row>
    <row r="1479">
      <c r="A1479" s="16" t="s">
        <v>60</v>
      </c>
      <c r="B1479" s="50" t="str">
        <f>IFERROR(HYPERLINK(VLOOKUP(A1479,Internal_lists_bugs!$A$2:$C$73,3,FALSE()), VLOOKUP(A1479,Internal_lists_bugs!$A$2:$C$73,3,FALSE())&amp;Char(10) &amp; Char(10) &amp; VLOOKUP(A1479,Internal_lists_bugs!$A$2:$Z$73,26,FALSE())),"please select a BUG ID")</f>
        <v>https://bugs.launchpad.net/nova/+bug/1505471
/servicegroup/drivers/db.py</v>
      </c>
      <c r="C1479" s="81" t="str">
        <f>IFERROR(VLOOKUP(A1479,Internal_lists_bugs!$A$2:$I7981,9,FALSE()),"please select a BUG ID")</f>
        <v>https://review.opendev.org/c/openstack/nova/+/10903</v>
      </c>
      <c r="D1479" s="114"/>
      <c r="E1479" s="114"/>
      <c r="F1479" s="115"/>
      <c r="G1479" s="79" t="s">
        <v>1831</v>
      </c>
      <c r="H1479" s="116" t="s">
        <v>3235</v>
      </c>
      <c r="I1479" s="54"/>
      <c r="K1479" s="54"/>
      <c r="M1479" s="114" t="str">
        <f>VLOOKUP(A1479,'BIC_(C_Variables)'!$A$3:$AS$43,45,FALSE())</f>
        <v>x_files buggy identified different name 
db_driver.py</v>
      </c>
      <c r="N1479" s="1"/>
      <c r="O1479" s="1"/>
      <c r="P1479" s="81" t="str">
        <f>IFERROR(VLOOKUP(A1479,Internal_lists_bugs!$A$2:$G7981,7,FALSE()),"please select a BUG ID")</f>
        <v>https://opendev.org/openstack/nova/commit/64e167eb6</v>
      </c>
    </row>
    <row r="1480">
      <c r="A1480" s="16" t="s">
        <v>60</v>
      </c>
      <c r="B1480" s="50" t="str">
        <f>IFERROR(HYPERLINK(VLOOKUP(A1480,Internal_lists_bugs!$A$2:$C$73,3,FALSE()), VLOOKUP(A1480,Internal_lists_bugs!$A$2:$C$73,3,FALSE())&amp;Char(10) &amp; Char(10) &amp; VLOOKUP(A1480,Internal_lists_bugs!$A$2:$Z$73,26,FALSE())),"please select a BUG ID")</f>
        <v>https://bugs.launchpad.net/nova/+bug/1505471
/servicegroup/drivers/db.py</v>
      </c>
      <c r="C1480" s="81" t="str">
        <f>IFERROR(VLOOKUP(A1480,Internal_lists_bugs!$A$2:$I7981,9,FALSE()),"please select a BUG ID")</f>
        <v>https://review.opendev.org/c/openstack/nova/+/10903</v>
      </c>
      <c r="D1480" s="114"/>
      <c r="E1480" s="114"/>
      <c r="F1480" s="115"/>
      <c r="G1480" s="79" t="s">
        <v>1702</v>
      </c>
      <c r="H1480" s="116" t="s">
        <v>3236</v>
      </c>
      <c r="I1480" s="54"/>
      <c r="K1480" s="54"/>
      <c r="M1480" s="114" t="str">
        <f>VLOOKUP(A1480,'BIC_(C_Variables)'!$A$3:$AS$43,45,FALSE())</f>
        <v>x_files buggy identified different name 
db_driver.py</v>
      </c>
      <c r="N1480" s="1"/>
      <c r="O1480" s="1"/>
      <c r="P1480" s="81" t="str">
        <f>IFERROR(VLOOKUP(A1480,Internal_lists_bugs!$A$2:$G7981,7,FALSE()),"please select a BUG ID")</f>
        <v>https://opendev.org/openstack/nova/commit/64e167eb6</v>
      </c>
    </row>
    <row r="1481">
      <c r="A1481" s="16" t="s">
        <v>60</v>
      </c>
      <c r="B1481" s="50" t="str">
        <f>IFERROR(HYPERLINK(VLOOKUP(A1481,Internal_lists_bugs!$A$2:$C$73,3,FALSE()), VLOOKUP(A1481,Internal_lists_bugs!$A$2:$C$73,3,FALSE())&amp;Char(10) &amp; Char(10) &amp; VLOOKUP(A1481,Internal_lists_bugs!$A$2:$Z$73,26,FALSE())),"please select a BUG ID")</f>
        <v>https://bugs.launchpad.net/nova/+bug/1505471
/servicegroup/drivers/db.py</v>
      </c>
      <c r="C1481" s="81" t="str">
        <f>IFERROR(VLOOKUP(A1481,Internal_lists_bugs!$A$2:$I7981,9,FALSE()),"please select a BUG ID")</f>
        <v>https://review.opendev.org/c/openstack/nova/+/10903</v>
      </c>
      <c r="D1481" s="114"/>
      <c r="E1481" s="114"/>
      <c r="F1481" s="115"/>
      <c r="G1481" s="79" t="s">
        <v>1430</v>
      </c>
      <c r="H1481" s="116" t="s">
        <v>3237</v>
      </c>
      <c r="I1481" s="54"/>
      <c r="K1481" s="54"/>
      <c r="M1481" s="114" t="str">
        <f>VLOOKUP(A1481,'BIC_(C_Variables)'!$A$3:$AS$43,45,FALSE())</f>
        <v>x_files buggy identified different name 
db_driver.py</v>
      </c>
      <c r="N1481" s="1"/>
      <c r="O1481" s="1"/>
      <c r="P1481" s="81" t="str">
        <f>IFERROR(VLOOKUP(A1481,Internal_lists_bugs!$A$2:$G7981,7,FALSE()),"please select a BUG ID")</f>
        <v>https://opendev.org/openstack/nova/commit/64e167eb6</v>
      </c>
    </row>
    <row r="1482">
      <c r="A1482" s="16" t="s">
        <v>60</v>
      </c>
      <c r="B1482" s="50" t="str">
        <f>IFERROR(HYPERLINK(VLOOKUP(A1482,Internal_lists_bugs!$A$2:$C$73,3,FALSE()), VLOOKUP(A1482,Internal_lists_bugs!$A$2:$C$73,3,FALSE())&amp;Char(10) &amp; Char(10) &amp; VLOOKUP(A1482,Internal_lists_bugs!$A$2:$Z$73,26,FALSE())),"please select a BUG ID")</f>
        <v>https://bugs.launchpad.net/nova/+bug/1505471
/servicegroup/drivers/db.py</v>
      </c>
      <c r="C1482" s="81" t="str">
        <f>IFERROR(VLOOKUP(A1482,Internal_lists_bugs!$A$2:$I7981,9,FALSE()),"please select a BUG ID")</f>
        <v>https://review.opendev.org/c/openstack/nova/+/10903</v>
      </c>
      <c r="D1482" s="114"/>
      <c r="E1482" s="114"/>
      <c r="F1482" s="115"/>
      <c r="G1482" s="79" t="s">
        <v>2830</v>
      </c>
      <c r="H1482" s="116" t="s">
        <v>3238</v>
      </c>
      <c r="I1482" s="54"/>
      <c r="K1482" s="54"/>
      <c r="M1482" s="114" t="str">
        <f>VLOOKUP(A1482,'BIC_(C_Variables)'!$A$3:$AS$43,45,FALSE())</f>
        <v>x_files buggy identified different name 
db_driver.py</v>
      </c>
      <c r="N1482" s="1"/>
      <c r="O1482" s="1"/>
      <c r="P1482" s="81" t="str">
        <f>IFERROR(VLOOKUP(A1482,Internal_lists_bugs!$A$2:$G7981,7,FALSE()),"please select a BUG ID")</f>
        <v>https://opendev.org/openstack/nova/commit/64e167eb6</v>
      </c>
    </row>
    <row r="1483">
      <c r="A1483" s="16" t="s">
        <v>60</v>
      </c>
      <c r="B1483" s="50" t="str">
        <f>IFERROR(HYPERLINK(VLOOKUP(A1483,Internal_lists_bugs!$A$2:$C$73,3,FALSE()), VLOOKUP(A1483,Internal_lists_bugs!$A$2:$C$73,3,FALSE())&amp;Char(10) &amp; Char(10) &amp; VLOOKUP(A1483,Internal_lists_bugs!$A$2:$Z$73,26,FALSE())),"please select a BUG ID")</f>
        <v>https://bugs.launchpad.net/nova/+bug/1505471
/servicegroup/drivers/db.py</v>
      </c>
      <c r="C1483" s="81" t="str">
        <f>IFERROR(VLOOKUP(A1483,Internal_lists_bugs!$A$2:$I7981,9,FALSE()),"please select a BUG ID")</f>
        <v>https://review.opendev.org/c/openstack/nova/+/10903</v>
      </c>
      <c r="D1483" s="114"/>
      <c r="E1483" s="114"/>
      <c r="F1483" s="115"/>
      <c r="G1483" s="79" t="s">
        <v>2627</v>
      </c>
      <c r="H1483" s="116" t="s">
        <v>3239</v>
      </c>
      <c r="I1483" s="54"/>
      <c r="K1483" s="54"/>
      <c r="M1483" s="114" t="str">
        <f>VLOOKUP(A1483,'BIC_(C_Variables)'!$A$3:$AS$43,45,FALSE())</f>
        <v>x_files buggy identified different name 
db_driver.py</v>
      </c>
      <c r="N1483" s="1"/>
      <c r="O1483" s="1"/>
      <c r="P1483" s="81" t="str">
        <f>IFERROR(VLOOKUP(A1483,Internal_lists_bugs!$A$2:$G7981,7,FALSE()),"please select a BUG ID")</f>
        <v>https://opendev.org/openstack/nova/commit/64e167eb6</v>
      </c>
    </row>
    <row r="1484">
      <c r="A1484" s="16" t="s">
        <v>60</v>
      </c>
      <c r="B1484" s="50" t="str">
        <f>IFERROR(HYPERLINK(VLOOKUP(A1484,Internal_lists_bugs!$A$2:$C$73,3,FALSE()), VLOOKUP(A1484,Internal_lists_bugs!$A$2:$C$73,3,FALSE())&amp;Char(10) &amp; Char(10) &amp; VLOOKUP(A1484,Internal_lists_bugs!$A$2:$Z$73,26,FALSE())),"please select a BUG ID")</f>
        <v>https://bugs.launchpad.net/nova/+bug/1505471
/servicegroup/drivers/db.py</v>
      </c>
      <c r="C1484" s="81" t="str">
        <f>IFERROR(VLOOKUP(A1484,Internal_lists_bugs!$A$2:$I7981,9,FALSE()),"please select a BUG ID")</f>
        <v>https://review.opendev.org/c/openstack/nova/+/10903</v>
      </c>
      <c r="D1484" s="114"/>
      <c r="E1484" s="114"/>
      <c r="F1484" s="115"/>
      <c r="G1484" s="79" t="s">
        <v>1686</v>
      </c>
      <c r="H1484" s="116" t="s">
        <v>3240</v>
      </c>
      <c r="I1484" s="54"/>
      <c r="K1484" s="54"/>
      <c r="M1484" s="114" t="str">
        <f>VLOOKUP(A1484,'BIC_(C_Variables)'!$A$3:$AS$43,45,FALSE())</f>
        <v>x_files buggy identified different name 
db_driver.py</v>
      </c>
      <c r="N1484" s="1"/>
      <c r="O1484" s="1"/>
      <c r="P1484" s="81" t="str">
        <f>IFERROR(VLOOKUP(A1484,Internal_lists_bugs!$A$2:$G7981,7,FALSE()),"please select a BUG ID")</f>
        <v>https://opendev.org/openstack/nova/commit/64e167eb6</v>
      </c>
    </row>
    <row r="1485">
      <c r="A1485" s="16" t="s">
        <v>60</v>
      </c>
      <c r="B1485" s="50" t="str">
        <f>IFERROR(HYPERLINK(VLOOKUP(A1485,Internal_lists_bugs!$A$2:$C$73,3,FALSE()), VLOOKUP(A1485,Internal_lists_bugs!$A$2:$C$73,3,FALSE())&amp;Char(10) &amp; Char(10) &amp; VLOOKUP(A1485,Internal_lists_bugs!$A$2:$Z$73,26,FALSE())),"please select a BUG ID")</f>
        <v>https://bugs.launchpad.net/nova/+bug/1505471
/servicegroup/drivers/db.py</v>
      </c>
      <c r="C1485" s="81" t="str">
        <f>IFERROR(VLOOKUP(A1485,Internal_lists_bugs!$A$2:$I7981,9,FALSE()),"please select a BUG ID")</f>
        <v>https://review.opendev.org/c/openstack/nova/+/10903</v>
      </c>
      <c r="D1485" s="114"/>
      <c r="E1485" s="114"/>
      <c r="F1485" s="115"/>
      <c r="G1485" s="79" t="s">
        <v>1425</v>
      </c>
      <c r="H1485" s="116" t="s">
        <v>3241</v>
      </c>
      <c r="I1485" s="54"/>
      <c r="K1485" s="54"/>
      <c r="M1485" s="114" t="str">
        <f>VLOOKUP(A1485,'BIC_(C_Variables)'!$A$3:$AS$43,45,FALSE())</f>
        <v>x_files buggy identified different name 
db_driver.py</v>
      </c>
      <c r="N1485" s="1"/>
      <c r="O1485" s="1"/>
      <c r="P1485" s="81" t="str">
        <f>IFERROR(VLOOKUP(A1485,Internal_lists_bugs!$A$2:$G7981,7,FALSE()),"please select a BUG ID")</f>
        <v>https://opendev.org/openstack/nova/commit/64e167eb6</v>
      </c>
    </row>
    <row r="1486">
      <c r="A1486" s="16" t="s">
        <v>60</v>
      </c>
      <c r="B1486" s="50" t="str">
        <f>IFERROR(HYPERLINK(VLOOKUP(A1486,Internal_lists_bugs!$A$2:$C$73,3,FALSE()), VLOOKUP(A1486,Internal_lists_bugs!$A$2:$C$73,3,FALSE())&amp;Char(10) &amp; Char(10) &amp; VLOOKUP(A1486,Internal_lists_bugs!$A$2:$Z$73,26,FALSE())),"please select a BUG ID")</f>
        <v>https://bugs.launchpad.net/nova/+bug/1505471
/servicegroup/drivers/db.py</v>
      </c>
      <c r="C1486" s="81" t="str">
        <f>IFERROR(VLOOKUP(A1486,Internal_lists_bugs!$A$2:$I7981,9,FALSE()),"please select a BUG ID")</f>
        <v>https://review.opendev.org/c/openstack/nova/+/10903</v>
      </c>
      <c r="D1486" s="114"/>
      <c r="E1486" s="114"/>
      <c r="F1486" s="115"/>
      <c r="G1486" s="79" t="s">
        <v>1478</v>
      </c>
      <c r="H1486" s="116" t="s">
        <v>3241</v>
      </c>
      <c r="I1486" s="54"/>
      <c r="K1486" s="54"/>
      <c r="M1486" s="114" t="str">
        <f>VLOOKUP(A1486,'BIC_(C_Variables)'!$A$3:$AS$43,45,FALSE())</f>
        <v>x_files buggy identified different name 
db_driver.py</v>
      </c>
      <c r="N1486" s="1"/>
      <c r="O1486" s="1"/>
      <c r="P1486" s="81" t="str">
        <f>IFERROR(VLOOKUP(A1486,Internal_lists_bugs!$A$2:$G7981,7,FALSE()),"please select a BUG ID")</f>
        <v>https://opendev.org/openstack/nova/commit/64e167eb6</v>
      </c>
    </row>
    <row r="1487">
      <c r="A1487" s="16" t="s">
        <v>60</v>
      </c>
      <c r="B1487" s="50" t="str">
        <f>IFERROR(HYPERLINK(VLOOKUP(A1487,Internal_lists_bugs!$A$2:$C$73,3,FALSE()), VLOOKUP(A1487,Internal_lists_bugs!$A$2:$C$73,3,FALSE())&amp;Char(10) &amp; Char(10) &amp; VLOOKUP(A1487,Internal_lists_bugs!$A$2:$Z$73,26,FALSE())),"please select a BUG ID")</f>
        <v>https://bugs.launchpad.net/nova/+bug/1505471
/servicegroup/drivers/db.py</v>
      </c>
      <c r="C1487" s="81" t="str">
        <f>IFERROR(VLOOKUP(A1487,Internal_lists_bugs!$A$2:$I7981,9,FALSE()),"please select a BUG ID")</f>
        <v>https://review.opendev.org/c/openstack/nova/+/10903</v>
      </c>
      <c r="D1487" s="114"/>
      <c r="E1487" s="114"/>
      <c r="F1487" s="115"/>
      <c r="G1487" s="79" t="s">
        <v>1913</v>
      </c>
      <c r="H1487" s="116" t="s">
        <v>3242</v>
      </c>
      <c r="I1487" s="54"/>
      <c r="K1487" s="54"/>
      <c r="M1487" s="114" t="str">
        <f>VLOOKUP(A1487,'BIC_(C_Variables)'!$A$3:$AS$43,45,FALSE())</f>
        <v>x_files buggy identified different name 
db_driver.py</v>
      </c>
      <c r="N1487" s="1"/>
      <c r="O1487" s="1"/>
      <c r="P1487" s="81" t="str">
        <f>IFERROR(VLOOKUP(A1487,Internal_lists_bugs!$A$2:$G7981,7,FALSE()),"please select a BUG ID")</f>
        <v>https://opendev.org/openstack/nova/commit/64e167eb6</v>
      </c>
    </row>
    <row r="1488">
      <c r="A1488" s="16" t="s">
        <v>60</v>
      </c>
      <c r="B1488" s="50" t="str">
        <f>IFERROR(HYPERLINK(VLOOKUP(A1488,Internal_lists_bugs!$A$2:$C$73,3,FALSE()), VLOOKUP(A1488,Internal_lists_bugs!$A$2:$C$73,3,FALSE())&amp;Char(10) &amp; Char(10) &amp; VLOOKUP(A1488,Internal_lists_bugs!$A$2:$Z$73,26,FALSE())),"please select a BUG ID")</f>
        <v>https://bugs.launchpad.net/nova/+bug/1505471
/servicegroup/drivers/db.py</v>
      </c>
      <c r="C1488" s="81" t="str">
        <f>IFERROR(VLOOKUP(A1488,Internal_lists_bugs!$A$2:$I7981,9,FALSE()),"please select a BUG ID")</f>
        <v>https://review.opendev.org/c/openstack/nova/+/10903</v>
      </c>
      <c r="D1488" s="114"/>
      <c r="E1488" s="114"/>
      <c r="F1488" s="115"/>
      <c r="G1488" s="79" t="s">
        <v>1802</v>
      </c>
      <c r="H1488" s="116" t="s">
        <v>3243</v>
      </c>
      <c r="I1488" s="54"/>
      <c r="K1488" s="54"/>
      <c r="M1488" s="114" t="str">
        <f>VLOOKUP(A1488,'BIC_(C_Variables)'!$A$3:$AS$43,45,FALSE())</f>
        <v>x_files buggy identified different name 
db_driver.py</v>
      </c>
      <c r="N1488" s="1"/>
      <c r="O1488" s="1"/>
      <c r="P1488" s="81" t="str">
        <f>IFERROR(VLOOKUP(A1488,Internal_lists_bugs!$A$2:$G7981,7,FALSE()),"please select a BUG ID")</f>
        <v>https://opendev.org/openstack/nova/commit/64e167eb6</v>
      </c>
    </row>
    <row r="1489">
      <c r="A1489" s="16" t="s">
        <v>60</v>
      </c>
      <c r="B1489" s="50" t="str">
        <f>IFERROR(HYPERLINK(VLOOKUP(A1489,Internal_lists_bugs!$A$2:$C$73,3,FALSE()), VLOOKUP(A1489,Internal_lists_bugs!$A$2:$C$73,3,FALSE())&amp;Char(10) &amp; Char(10) &amp; VLOOKUP(A1489,Internal_lists_bugs!$A$2:$Z$73,26,FALSE())),"please select a BUG ID")</f>
        <v>https://bugs.launchpad.net/nova/+bug/1505471
/servicegroup/drivers/db.py</v>
      </c>
      <c r="C1489" s="81" t="str">
        <f>IFERROR(VLOOKUP(A1489,Internal_lists_bugs!$A$2:$I7981,9,FALSE()),"please select a BUG ID")</f>
        <v>https://review.opendev.org/c/openstack/nova/+/10903</v>
      </c>
      <c r="D1489" s="114"/>
      <c r="E1489" s="114"/>
      <c r="F1489" s="115"/>
      <c r="G1489" s="79" t="s">
        <v>3244</v>
      </c>
      <c r="H1489" s="116" t="s">
        <v>3245</v>
      </c>
      <c r="I1489" s="54"/>
      <c r="K1489" s="54"/>
      <c r="M1489" s="114" t="str">
        <f>VLOOKUP(A1489,'BIC_(C_Variables)'!$A$3:$AS$43,45,FALSE())</f>
        <v>x_files buggy identified different name 
db_driver.py</v>
      </c>
      <c r="N1489" s="1"/>
      <c r="O1489" s="1"/>
      <c r="P1489" s="81" t="str">
        <f>IFERROR(VLOOKUP(A1489,Internal_lists_bugs!$A$2:$G7981,7,FALSE()),"please select a BUG ID")</f>
        <v>https://opendev.org/openstack/nova/commit/64e167eb6</v>
      </c>
    </row>
    <row r="1490">
      <c r="A1490" s="16" t="s">
        <v>60</v>
      </c>
      <c r="B1490" s="50" t="str">
        <f>IFERROR(HYPERLINK(VLOOKUP(A1490,Internal_lists_bugs!$A$2:$C$73,3,FALSE()), VLOOKUP(A1490,Internal_lists_bugs!$A$2:$C$73,3,FALSE())&amp;Char(10) &amp; Char(10) &amp; VLOOKUP(A1490,Internal_lists_bugs!$A$2:$Z$73,26,FALSE())),"please select a BUG ID")</f>
        <v>https://bugs.launchpad.net/nova/+bug/1505471
/servicegroup/drivers/db.py</v>
      </c>
      <c r="C1490" s="81" t="str">
        <f>IFERROR(VLOOKUP(A1490,Internal_lists_bugs!$A$2:$I7981,9,FALSE()),"please select a BUG ID")</f>
        <v>https://review.opendev.org/c/openstack/nova/+/10903</v>
      </c>
      <c r="D1490" s="114"/>
      <c r="E1490" s="114"/>
      <c r="F1490" s="115"/>
      <c r="G1490" s="79" t="s">
        <v>2081</v>
      </c>
      <c r="H1490" s="116" t="s">
        <v>3246</v>
      </c>
      <c r="I1490" s="54"/>
      <c r="K1490" s="54"/>
      <c r="M1490" s="114" t="str">
        <f>VLOOKUP(A1490,'BIC_(C_Variables)'!$A$3:$AS$43,45,FALSE())</f>
        <v>x_files buggy identified different name 
db_driver.py</v>
      </c>
      <c r="N1490" s="1"/>
      <c r="O1490" s="1"/>
      <c r="P1490" s="81" t="str">
        <f>IFERROR(VLOOKUP(A1490,Internal_lists_bugs!$A$2:$G7981,7,FALSE()),"please select a BUG ID")</f>
        <v>https://opendev.org/openstack/nova/commit/64e167eb6</v>
      </c>
    </row>
    <row r="1491">
      <c r="A1491" s="16" t="s">
        <v>60</v>
      </c>
      <c r="B1491" s="50" t="str">
        <f>IFERROR(HYPERLINK(VLOOKUP(A1491,Internal_lists_bugs!$A$2:$C$73,3,FALSE()), VLOOKUP(A1491,Internal_lists_bugs!$A$2:$C$73,3,FALSE())&amp;Char(10) &amp; Char(10) &amp; VLOOKUP(A1491,Internal_lists_bugs!$A$2:$Z$73,26,FALSE())),"please select a BUG ID")</f>
        <v>https://bugs.launchpad.net/nova/+bug/1505471
/servicegroup/drivers/db.py</v>
      </c>
      <c r="C1491" s="81" t="str">
        <f>IFERROR(VLOOKUP(A1491,Internal_lists_bugs!$A$2:$I7981,9,FALSE()),"please select a BUG ID")</f>
        <v>https://review.opendev.org/c/openstack/nova/+/10903</v>
      </c>
      <c r="D1491" s="114"/>
      <c r="E1491" s="114"/>
      <c r="F1491" s="115"/>
      <c r="G1491" s="79" t="s">
        <v>2384</v>
      </c>
      <c r="H1491" s="116" t="s">
        <v>3242</v>
      </c>
      <c r="I1491" s="54"/>
      <c r="K1491" s="54"/>
      <c r="M1491" s="114" t="str">
        <f>VLOOKUP(A1491,'BIC_(C_Variables)'!$A$3:$AS$43,45,FALSE())</f>
        <v>x_files buggy identified different name 
db_driver.py</v>
      </c>
      <c r="N1491" s="1"/>
      <c r="O1491" s="1"/>
      <c r="P1491" s="81" t="str">
        <f>IFERROR(VLOOKUP(A1491,Internal_lists_bugs!$A$2:$G7981,7,FALSE()),"please select a BUG ID")</f>
        <v>https://opendev.org/openstack/nova/commit/64e167eb6</v>
      </c>
    </row>
    <row r="1492">
      <c r="A1492" s="16" t="s">
        <v>60</v>
      </c>
      <c r="B1492" s="50" t="str">
        <f>IFERROR(HYPERLINK(VLOOKUP(A1492,Internal_lists_bugs!$A$2:$C$73,3,FALSE()), VLOOKUP(A1492,Internal_lists_bugs!$A$2:$C$73,3,FALSE())&amp;Char(10) &amp; Char(10) &amp; VLOOKUP(A1492,Internal_lists_bugs!$A$2:$Z$73,26,FALSE())),"please select a BUG ID")</f>
        <v>https://bugs.launchpad.net/nova/+bug/1505471
/servicegroup/drivers/db.py</v>
      </c>
      <c r="C1492" s="81" t="str">
        <f>IFERROR(VLOOKUP(A1492,Internal_lists_bugs!$A$2:$I7981,9,FALSE()),"please select a BUG ID")</f>
        <v>https://review.opendev.org/c/openstack/nova/+/10903</v>
      </c>
      <c r="D1492" s="114"/>
      <c r="E1492" s="114"/>
      <c r="F1492" s="115"/>
      <c r="G1492" s="79" t="s">
        <v>1441</v>
      </c>
      <c r="H1492" s="116" t="s">
        <v>3247</v>
      </c>
      <c r="I1492" s="54"/>
      <c r="K1492" s="54"/>
      <c r="M1492" s="114" t="str">
        <f>VLOOKUP(A1492,'BIC_(C_Variables)'!$A$3:$AS$43,45,FALSE())</f>
        <v>x_files buggy identified different name 
db_driver.py</v>
      </c>
      <c r="N1492" s="1"/>
      <c r="O1492" s="1"/>
      <c r="P1492" s="81" t="str">
        <f>IFERROR(VLOOKUP(A1492,Internal_lists_bugs!$A$2:$G7981,7,FALSE()),"please select a BUG ID")</f>
        <v>https://opendev.org/openstack/nova/commit/64e167eb6</v>
      </c>
    </row>
    <row r="1493">
      <c r="A1493" s="16" t="s">
        <v>60</v>
      </c>
      <c r="B1493" s="50" t="str">
        <f>IFERROR(HYPERLINK(VLOOKUP(A1493,Internal_lists_bugs!$A$2:$C$73,3,FALSE()), VLOOKUP(A1493,Internal_lists_bugs!$A$2:$C$73,3,FALSE())&amp;Char(10) &amp; Char(10) &amp; VLOOKUP(A1493,Internal_lists_bugs!$A$2:$Z$73,26,FALSE())),"please select a BUG ID")</f>
        <v>https://bugs.launchpad.net/nova/+bug/1505471
/servicegroup/drivers/db.py</v>
      </c>
      <c r="C1493" s="81" t="str">
        <f>IFERROR(VLOOKUP(A1493,Internal_lists_bugs!$A$2:$I7981,9,FALSE()),"please select a BUG ID")</f>
        <v>https://review.opendev.org/c/openstack/nova/+/10903</v>
      </c>
      <c r="D1493" s="114"/>
      <c r="E1493" s="114"/>
      <c r="F1493" s="115"/>
      <c r="G1493" s="79" t="s">
        <v>1427</v>
      </c>
      <c r="H1493" s="116" t="s">
        <v>3247</v>
      </c>
      <c r="I1493" s="54"/>
      <c r="K1493" s="54"/>
      <c r="M1493" s="114" t="str">
        <f>VLOOKUP(A1493,'BIC_(C_Variables)'!$A$3:$AS$43,45,FALSE())</f>
        <v>x_files buggy identified different name 
db_driver.py</v>
      </c>
      <c r="N1493" s="1"/>
      <c r="O1493" s="1"/>
      <c r="P1493" s="81" t="str">
        <f>IFERROR(VLOOKUP(A1493,Internal_lists_bugs!$A$2:$G7981,7,FALSE()),"please select a BUG ID")</f>
        <v>https://opendev.org/openstack/nova/commit/64e167eb6</v>
      </c>
    </row>
    <row r="1494">
      <c r="A1494" s="16" t="s">
        <v>60</v>
      </c>
      <c r="B1494" s="50" t="str">
        <f>IFERROR(HYPERLINK(VLOOKUP(A1494,Internal_lists_bugs!$A$2:$C$73,3,FALSE()), VLOOKUP(A1494,Internal_lists_bugs!$A$2:$C$73,3,FALSE())&amp;Char(10) &amp; Char(10) &amp; VLOOKUP(A1494,Internal_lists_bugs!$A$2:$Z$73,26,FALSE())),"please select a BUG ID")</f>
        <v>https://bugs.launchpad.net/nova/+bug/1505471
/servicegroup/drivers/db.py</v>
      </c>
      <c r="C1494" s="81" t="str">
        <f>IFERROR(VLOOKUP(A1494,Internal_lists_bugs!$A$2:$I7981,9,FALSE()),"please select a BUG ID")</f>
        <v>https://review.opendev.org/c/openstack/nova/+/10903</v>
      </c>
      <c r="D1494" s="114"/>
      <c r="E1494" s="114"/>
      <c r="F1494" s="115"/>
      <c r="G1494" s="79" t="s">
        <v>2042</v>
      </c>
      <c r="H1494" s="116" t="s">
        <v>3248</v>
      </c>
      <c r="I1494" s="54"/>
      <c r="K1494" s="54"/>
      <c r="M1494" s="114" t="str">
        <f>VLOOKUP(A1494,'BIC_(C_Variables)'!$A$3:$AS$43,45,FALSE())</f>
        <v>x_files buggy identified different name 
db_driver.py</v>
      </c>
      <c r="N1494" s="1"/>
      <c r="O1494" s="1"/>
      <c r="P1494" s="81" t="str">
        <f>IFERROR(VLOOKUP(A1494,Internal_lists_bugs!$A$2:$G7981,7,FALSE()),"please select a BUG ID")</f>
        <v>https://opendev.org/openstack/nova/commit/64e167eb6</v>
      </c>
    </row>
    <row r="1495">
      <c r="A1495" s="16" t="s">
        <v>60</v>
      </c>
      <c r="B1495" s="50" t="str">
        <f>IFERROR(HYPERLINK(VLOOKUP(A1495,Internal_lists_bugs!$A$2:$C$73,3,FALSE()), VLOOKUP(A1495,Internal_lists_bugs!$A$2:$C$73,3,FALSE())&amp;Char(10) &amp; Char(10) &amp; VLOOKUP(A1495,Internal_lists_bugs!$A$2:$Z$73,26,FALSE())),"please select a BUG ID")</f>
        <v>https://bugs.launchpad.net/nova/+bug/1505471
/servicegroup/drivers/db.py</v>
      </c>
      <c r="C1495" s="81" t="str">
        <f>IFERROR(VLOOKUP(A1495,Internal_lists_bugs!$A$2:$I7981,9,FALSE()),"please select a BUG ID")</f>
        <v>https://review.opendev.org/c/openstack/nova/+/10903</v>
      </c>
      <c r="D1495" s="114"/>
      <c r="E1495" s="114"/>
      <c r="F1495" s="115"/>
      <c r="G1495" s="79" t="s">
        <v>2044</v>
      </c>
      <c r="H1495" s="116" t="s">
        <v>3249</v>
      </c>
      <c r="I1495" s="54"/>
      <c r="K1495" s="54"/>
      <c r="M1495" s="114" t="str">
        <f>VLOOKUP(A1495,'BIC_(C_Variables)'!$A$3:$AS$43,45,FALSE())</f>
        <v>x_files buggy identified different name 
db_driver.py</v>
      </c>
      <c r="N1495" s="1"/>
      <c r="O1495" s="1"/>
      <c r="P1495" s="81" t="str">
        <f>IFERROR(VLOOKUP(A1495,Internal_lists_bugs!$A$2:$G7981,7,FALSE()),"please select a BUG ID")</f>
        <v>https://opendev.org/openstack/nova/commit/64e167eb6</v>
      </c>
    </row>
    <row r="1496">
      <c r="A1496" s="16" t="s">
        <v>60</v>
      </c>
      <c r="B1496" s="50" t="str">
        <f>IFERROR(HYPERLINK(VLOOKUP(A1496,Internal_lists_bugs!$A$2:$C$73,3,FALSE()), VLOOKUP(A1496,Internal_lists_bugs!$A$2:$C$73,3,FALSE())&amp;Char(10) &amp; Char(10) &amp; VLOOKUP(A1496,Internal_lists_bugs!$A$2:$Z$73,26,FALSE())),"please select a BUG ID")</f>
        <v>https://bugs.launchpad.net/nova/+bug/1505471
/servicegroup/drivers/db.py</v>
      </c>
      <c r="C1496" s="81" t="str">
        <f>IFERROR(VLOOKUP(A1496,Internal_lists_bugs!$A$2:$I7981,9,FALSE()),"please select a BUG ID")</f>
        <v>https://review.opendev.org/c/openstack/nova/+/10903</v>
      </c>
      <c r="D1496" s="114"/>
      <c r="E1496" s="114"/>
      <c r="F1496" s="115"/>
      <c r="G1496" s="79" t="s">
        <v>1423</v>
      </c>
      <c r="H1496" s="116" t="s">
        <v>3250</v>
      </c>
      <c r="I1496" s="54"/>
      <c r="K1496" s="54"/>
      <c r="M1496" s="114" t="str">
        <f>VLOOKUP(A1496,'BIC_(C_Variables)'!$A$3:$AS$43,45,FALSE())</f>
        <v>x_files buggy identified different name 
db_driver.py</v>
      </c>
      <c r="N1496" s="1"/>
      <c r="O1496" s="1"/>
      <c r="P1496" s="81" t="str">
        <f>IFERROR(VLOOKUP(A1496,Internal_lists_bugs!$A$2:$G7981,7,FALSE()),"please select a BUG ID")</f>
        <v>https://opendev.org/openstack/nova/commit/64e167eb6</v>
      </c>
    </row>
    <row r="1497">
      <c r="A1497" s="16" t="s">
        <v>60</v>
      </c>
      <c r="B1497" s="50" t="str">
        <f>IFERROR(HYPERLINK(VLOOKUP(A1497,Internal_lists_bugs!$A$2:$C$73,3,FALSE()), VLOOKUP(A1497,Internal_lists_bugs!$A$2:$C$73,3,FALSE())&amp;Char(10) &amp; Char(10) &amp; VLOOKUP(A1497,Internal_lists_bugs!$A$2:$Z$73,26,FALSE())),"please select a BUG ID")</f>
        <v>https://bugs.launchpad.net/nova/+bug/1505471
/servicegroup/drivers/db.py</v>
      </c>
      <c r="C1497" s="81" t="str">
        <f>IFERROR(VLOOKUP(A1497,Internal_lists_bugs!$A$2:$I7981,9,FALSE()),"please select a BUG ID")</f>
        <v>https://review.opendev.org/c/openstack/nova/+/10903</v>
      </c>
      <c r="D1497" s="114"/>
      <c r="E1497" s="114"/>
      <c r="F1497" s="115"/>
      <c r="G1497" s="79" t="s">
        <v>1428</v>
      </c>
      <c r="H1497" s="116" t="s">
        <v>2551</v>
      </c>
      <c r="I1497" s="54"/>
      <c r="K1497" s="54"/>
      <c r="M1497" s="114" t="str">
        <f>VLOOKUP(A1497,'BIC_(C_Variables)'!$A$3:$AS$43,45,FALSE())</f>
        <v>x_files buggy identified different name 
db_driver.py</v>
      </c>
      <c r="N1497" s="1"/>
      <c r="O1497" s="1"/>
      <c r="P1497" s="81" t="str">
        <f>IFERROR(VLOOKUP(A1497,Internal_lists_bugs!$A$2:$G7981,7,FALSE()),"please select a BUG ID")</f>
        <v>https://opendev.org/openstack/nova/commit/64e167eb6</v>
      </c>
    </row>
    <row r="1498">
      <c r="A1498" s="16" t="s">
        <v>60</v>
      </c>
      <c r="B1498" s="50" t="str">
        <f>IFERROR(HYPERLINK(VLOOKUP(A1498,Internal_lists_bugs!$A$2:$C$73,3,FALSE()), VLOOKUP(A1498,Internal_lists_bugs!$A$2:$C$73,3,FALSE())&amp;Char(10) &amp; Char(10) &amp; VLOOKUP(A1498,Internal_lists_bugs!$A$2:$Z$73,26,FALSE())),"please select a BUG ID")</f>
        <v>https://bugs.launchpad.net/nova/+bug/1505471
/servicegroup/drivers/db.py</v>
      </c>
      <c r="C1498" s="81" t="str">
        <f>IFERROR(VLOOKUP(A1498,Internal_lists_bugs!$A$2:$I7981,9,FALSE()),"please select a BUG ID")</f>
        <v>https://review.opendev.org/c/openstack/nova/+/10903</v>
      </c>
      <c r="D1498" s="114"/>
      <c r="E1498" s="114"/>
      <c r="F1498" s="115"/>
      <c r="G1498" s="79" t="s">
        <v>1430</v>
      </c>
      <c r="H1498" s="116" t="s">
        <v>3251</v>
      </c>
      <c r="I1498" s="54"/>
      <c r="K1498" s="54"/>
      <c r="M1498" s="114" t="str">
        <f>VLOOKUP(A1498,'BIC_(C_Variables)'!$A$3:$AS$43,45,FALSE())</f>
        <v>x_files buggy identified different name 
db_driver.py</v>
      </c>
      <c r="N1498" s="1"/>
      <c r="O1498" s="1"/>
      <c r="P1498" s="81" t="str">
        <f>IFERROR(VLOOKUP(A1498,Internal_lists_bugs!$A$2:$G7981,7,FALSE()),"please select a BUG ID")</f>
        <v>https://opendev.org/openstack/nova/commit/64e167eb6</v>
      </c>
    </row>
    <row r="1499">
      <c r="A1499" s="16" t="s">
        <v>60</v>
      </c>
      <c r="B1499" s="50" t="str">
        <f>IFERROR(HYPERLINK(VLOOKUP(A1499,Internal_lists_bugs!$A$2:$C$73,3,FALSE()), VLOOKUP(A1499,Internal_lists_bugs!$A$2:$C$73,3,FALSE())&amp;Char(10) &amp; Char(10) &amp; VLOOKUP(A1499,Internal_lists_bugs!$A$2:$Z$73,26,FALSE())),"please select a BUG ID")</f>
        <v>https://bugs.launchpad.net/nova/+bug/1505471
/servicegroup/drivers/db.py</v>
      </c>
      <c r="C1499" s="81" t="str">
        <f>IFERROR(VLOOKUP(A1499,Internal_lists_bugs!$A$2:$I7981,9,FALSE()),"please select a BUG ID")</f>
        <v>https://review.opendev.org/c/openstack/nova/+/10903</v>
      </c>
      <c r="D1499" s="114"/>
      <c r="E1499" s="114"/>
      <c r="F1499" s="115"/>
      <c r="G1499" s="79" t="s">
        <v>1531</v>
      </c>
      <c r="H1499" s="116" t="s">
        <v>3252</v>
      </c>
      <c r="I1499" s="54"/>
      <c r="K1499" s="54"/>
      <c r="M1499" s="114" t="str">
        <f>VLOOKUP(A1499,'BIC_(C_Variables)'!$A$3:$AS$43,45,FALSE())</f>
        <v>x_files buggy identified different name 
db_driver.py</v>
      </c>
      <c r="N1499" s="1"/>
      <c r="O1499" s="1"/>
      <c r="P1499" s="81" t="str">
        <f>IFERROR(VLOOKUP(A1499,Internal_lists_bugs!$A$2:$G7981,7,FALSE()),"please select a BUG ID")</f>
        <v>https://opendev.org/openstack/nova/commit/64e167eb6</v>
      </c>
    </row>
    <row r="1500">
      <c r="A1500" s="16" t="s">
        <v>60</v>
      </c>
      <c r="B1500" s="50" t="str">
        <f>IFERROR(HYPERLINK(VLOOKUP(A1500,Internal_lists_bugs!$A$2:$C$73,3,FALSE()), VLOOKUP(A1500,Internal_lists_bugs!$A$2:$C$73,3,FALSE())&amp;Char(10) &amp; Char(10) &amp; VLOOKUP(A1500,Internal_lists_bugs!$A$2:$Z$73,26,FALSE())),"please select a BUG ID")</f>
        <v>https://bugs.launchpad.net/nova/+bug/1505471
/servicegroup/drivers/db.py</v>
      </c>
      <c r="C1500" s="81" t="str">
        <f>IFERROR(VLOOKUP(A1500,Internal_lists_bugs!$A$2:$I7981,9,FALSE()),"please select a BUG ID")</f>
        <v>https://review.opendev.org/c/openstack/nova/+/10903</v>
      </c>
      <c r="D1500" s="114"/>
      <c r="E1500" s="114"/>
      <c r="F1500" s="115"/>
      <c r="G1500" s="79" t="s">
        <v>1531</v>
      </c>
      <c r="H1500" s="116" t="s">
        <v>3253</v>
      </c>
      <c r="I1500" s="54"/>
      <c r="K1500" s="54"/>
      <c r="M1500" s="114" t="str">
        <f>VLOOKUP(A1500,'BIC_(C_Variables)'!$A$3:$AS$43,45,FALSE())</f>
        <v>x_files buggy identified different name 
db_driver.py</v>
      </c>
      <c r="N1500" s="1"/>
      <c r="O1500" s="1"/>
      <c r="P1500" s="81" t="str">
        <f>IFERROR(VLOOKUP(A1500,Internal_lists_bugs!$A$2:$G7981,7,FALSE()),"please select a BUG ID")</f>
        <v>https://opendev.org/openstack/nova/commit/64e167eb6</v>
      </c>
    </row>
    <row r="1501">
      <c r="A1501" s="16" t="s">
        <v>60</v>
      </c>
      <c r="B1501" s="50" t="str">
        <f>IFERROR(HYPERLINK(VLOOKUP(A1501,Internal_lists_bugs!$A$2:$C$73,3,FALSE()), VLOOKUP(A1501,Internal_lists_bugs!$A$2:$C$73,3,FALSE())&amp;Char(10) &amp; Char(10) &amp; VLOOKUP(A1501,Internal_lists_bugs!$A$2:$Z$73,26,FALSE())),"please select a BUG ID")</f>
        <v>https://bugs.launchpad.net/nova/+bug/1505471
/servicegroup/drivers/db.py</v>
      </c>
      <c r="C1501" s="81" t="str">
        <f>IFERROR(VLOOKUP(A1501,Internal_lists_bugs!$A$2:$I7981,9,FALSE()),"please select a BUG ID")</f>
        <v>https://review.opendev.org/c/openstack/nova/+/10903</v>
      </c>
      <c r="D1501" s="114"/>
      <c r="E1501" s="114"/>
      <c r="F1501" s="115"/>
      <c r="G1501" s="79" t="s">
        <v>1586</v>
      </c>
      <c r="H1501" s="116" t="s">
        <v>3247</v>
      </c>
      <c r="I1501" s="54"/>
      <c r="K1501" s="54"/>
      <c r="M1501" s="114" t="str">
        <f>VLOOKUP(A1501,'BIC_(C_Variables)'!$A$3:$AS$43,45,FALSE())</f>
        <v>x_files buggy identified different name 
db_driver.py</v>
      </c>
      <c r="N1501" s="1"/>
      <c r="O1501" s="1"/>
      <c r="P1501" s="81" t="str">
        <f>IFERROR(VLOOKUP(A1501,Internal_lists_bugs!$A$2:$G7981,7,FALSE()),"please select a BUG ID")</f>
        <v>https://opendev.org/openstack/nova/commit/64e167eb6</v>
      </c>
    </row>
    <row r="1502">
      <c r="A1502" s="16" t="s">
        <v>60</v>
      </c>
      <c r="B1502" s="50" t="str">
        <f>IFERROR(HYPERLINK(VLOOKUP(A1502,Internal_lists_bugs!$A$2:$C$73,3,FALSE()), VLOOKUP(A1502,Internal_lists_bugs!$A$2:$C$73,3,FALSE())&amp;Char(10) &amp; Char(10) &amp; VLOOKUP(A1502,Internal_lists_bugs!$A$2:$Z$73,26,FALSE())),"please select a BUG ID")</f>
        <v>https://bugs.launchpad.net/nova/+bug/1505471
/servicegroup/drivers/db.py</v>
      </c>
      <c r="C1502" s="81" t="str">
        <f>IFERROR(VLOOKUP(A1502,Internal_lists_bugs!$A$2:$I7981,9,FALSE()),"please select a BUG ID")</f>
        <v>https://review.opendev.org/c/openstack/nova/+/10903</v>
      </c>
      <c r="D1502" s="114"/>
      <c r="E1502" s="114"/>
      <c r="F1502" s="115"/>
      <c r="G1502" s="79" t="s">
        <v>3254</v>
      </c>
      <c r="H1502" s="116" t="s">
        <v>3255</v>
      </c>
      <c r="I1502" s="54"/>
      <c r="K1502" s="54"/>
      <c r="M1502" s="114" t="str">
        <f>VLOOKUP(A1502,'BIC_(C_Variables)'!$A$3:$AS$43,45,FALSE())</f>
        <v>x_files buggy identified different name 
db_driver.py</v>
      </c>
      <c r="N1502" s="1"/>
      <c r="O1502" s="1"/>
      <c r="P1502" s="81" t="str">
        <f>IFERROR(VLOOKUP(A1502,Internal_lists_bugs!$A$2:$G7981,7,FALSE()),"please select a BUG ID")</f>
        <v>https://opendev.org/openstack/nova/commit/64e167eb6</v>
      </c>
    </row>
    <row r="1503">
      <c r="A1503" s="16" t="s">
        <v>60</v>
      </c>
      <c r="B1503" s="50" t="str">
        <f>IFERROR(HYPERLINK(VLOOKUP(A1503,Internal_lists_bugs!$A$2:$C$73,3,FALSE()), VLOOKUP(A1503,Internal_lists_bugs!$A$2:$C$73,3,FALSE())&amp;Char(10) &amp; Char(10) &amp; VLOOKUP(A1503,Internal_lists_bugs!$A$2:$Z$73,26,FALSE())),"please select a BUG ID")</f>
        <v>https://bugs.launchpad.net/nova/+bug/1505471
/servicegroup/drivers/db.py</v>
      </c>
      <c r="C1503" s="81" t="str">
        <f>IFERROR(VLOOKUP(A1503,Internal_lists_bugs!$A$2:$I7981,9,FALSE()),"please select a BUG ID")</f>
        <v>https://review.opendev.org/c/openstack/nova/+/10903</v>
      </c>
      <c r="D1503" s="114"/>
      <c r="E1503" s="114"/>
      <c r="F1503" s="115"/>
      <c r="G1503" s="79" t="s">
        <v>3256</v>
      </c>
      <c r="H1503" s="116" t="s">
        <v>3257</v>
      </c>
      <c r="I1503" s="54"/>
      <c r="K1503" s="54"/>
      <c r="M1503" s="114" t="str">
        <f>VLOOKUP(A1503,'BIC_(C_Variables)'!$A$3:$AS$43,45,FALSE())</f>
        <v>x_files buggy identified different name 
db_driver.py</v>
      </c>
      <c r="N1503" s="1"/>
      <c r="O1503" s="1"/>
      <c r="P1503" s="81" t="str">
        <f>IFERROR(VLOOKUP(A1503,Internal_lists_bugs!$A$2:$G7981,7,FALSE()),"please select a BUG ID")</f>
        <v>https://opendev.org/openstack/nova/commit/64e167eb6</v>
      </c>
    </row>
    <row r="1504">
      <c r="A1504" s="16" t="s">
        <v>60</v>
      </c>
      <c r="B1504" s="50" t="str">
        <f>IFERROR(HYPERLINK(VLOOKUP(A1504,Internal_lists_bugs!$A$2:$C$73,3,FALSE()), VLOOKUP(A1504,Internal_lists_bugs!$A$2:$C$73,3,FALSE())&amp;Char(10) &amp; Char(10) &amp; VLOOKUP(A1504,Internal_lists_bugs!$A$2:$Z$73,26,FALSE())),"please select a BUG ID")</f>
        <v>https://bugs.launchpad.net/nova/+bug/1505471
/servicegroup/drivers/db.py</v>
      </c>
      <c r="C1504" s="81" t="str">
        <f>IFERROR(VLOOKUP(A1504,Internal_lists_bugs!$A$2:$I7981,9,FALSE()),"please select a BUG ID")</f>
        <v>https://review.opendev.org/c/openstack/nova/+/10903</v>
      </c>
      <c r="D1504" s="114"/>
      <c r="E1504" s="114"/>
      <c r="F1504" s="115"/>
      <c r="G1504" s="79" t="s">
        <v>2692</v>
      </c>
      <c r="H1504" s="116" t="s">
        <v>3258</v>
      </c>
      <c r="I1504" s="54"/>
      <c r="K1504" s="54"/>
      <c r="M1504" s="114" t="str">
        <f>VLOOKUP(A1504,'BIC_(C_Variables)'!$A$3:$AS$43,45,FALSE())</f>
        <v>x_files buggy identified different name 
db_driver.py</v>
      </c>
      <c r="N1504" s="1"/>
      <c r="O1504" s="1"/>
      <c r="P1504" s="81" t="str">
        <f>IFERROR(VLOOKUP(A1504,Internal_lists_bugs!$A$2:$G7981,7,FALSE()),"please select a BUG ID")</f>
        <v>https://opendev.org/openstack/nova/commit/64e167eb6</v>
      </c>
    </row>
    <row r="1505">
      <c r="A1505" s="16" t="s">
        <v>60</v>
      </c>
      <c r="B1505" s="50" t="str">
        <f>IFERROR(HYPERLINK(VLOOKUP(A1505,Internal_lists_bugs!$A$2:$C$73,3,FALSE()), VLOOKUP(A1505,Internal_lists_bugs!$A$2:$C$73,3,FALSE())&amp;Char(10) &amp; Char(10) &amp; VLOOKUP(A1505,Internal_lists_bugs!$A$2:$Z$73,26,FALSE())),"please select a BUG ID")</f>
        <v>https://bugs.launchpad.net/nova/+bug/1505471
/servicegroup/drivers/db.py</v>
      </c>
      <c r="C1505" s="81" t="str">
        <f>IFERROR(VLOOKUP(A1505,Internal_lists_bugs!$A$2:$I7981,9,FALSE()),"please select a BUG ID")</f>
        <v>https://review.opendev.org/c/openstack/nova/+/10903</v>
      </c>
      <c r="D1505" s="114"/>
      <c r="E1505" s="114"/>
      <c r="F1505" s="115"/>
      <c r="G1505" s="79" t="s">
        <v>1443</v>
      </c>
      <c r="H1505" s="116" t="s">
        <v>2191</v>
      </c>
      <c r="I1505" s="54"/>
      <c r="K1505" s="54"/>
      <c r="M1505" s="114" t="str">
        <f>VLOOKUP(A1505,'BIC_(C_Variables)'!$A$3:$AS$43,45,FALSE())</f>
        <v>x_files buggy identified different name 
db_driver.py</v>
      </c>
      <c r="N1505" s="1"/>
      <c r="O1505" s="1"/>
      <c r="P1505" s="81" t="str">
        <f>IFERROR(VLOOKUP(A1505,Internal_lists_bugs!$A$2:$G7981,7,FALSE()),"please select a BUG ID")</f>
        <v>https://opendev.org/openstack/nova/commit/64e167eb6</v>
      </c>
    </row>
    <row r="1506">
      <c r="A1506" s="16" t="s">
        <v>60</v>
      </c>
      <c r="B1506" s="50" t="str">
        <f>IFERROR(HYPERLINK(VLOOKUP(A1506,Internal_lists_bugs!$A$2:$C$73,3,FALSE()), VLOOKUP(A1506,Internal_lists_bugs!$A$2:$C$73,3,FALSE())&amp;Char(10) &amp; Char(10) &amp; VLOOKUP(A1506,Internal_lists_bugs!$A$2:$Z$73,26,FALSE())),"please select a BUG ID")</f>
        <v>https://bugs.launchpad.net/nova/+bug/1505471
/servicegroup/drivers/db.py</v>
      </c>
      <c r="C1506" s="81" t="str">
        <f>IFERROR(VLOOKUP(A1506,Internal_lists_bugs!$A$2:$I7981,9,FALSE()),"please select a BUG ID")</f>
        <v>https://review.opendev.org/c/openstack/nova/+/10903</v>
      </c>
      <c r="D1506" s="114"/>
      <c r="E1506" s="114"/>
      <c r="F1506" s="115"/>
      <c r="G1506" s="79" t="s">
        <v>1445</v>
      </c>
      <c r="H1506" s="116" t="s">
        <v>2191</v>
      </c>
      <c r="I1506" s="54"/>
      <c r="K1506" s="54"/>
      <c r="M1506" s="114" t="str">
        <f>VLOOKUP(A1506,'BIC_(C_Variables)'!$A$3:$AS$43,45,FALSE())</f>
        <v>x_files buggy identified different name 
db_driver.py</v>
      </c>
      <c r="N1506" s="1"/>
      <c r="O1506" s="1"/>
      <c r="P1506" s="81" t="str">
        <f>IFERROR(VLOOKUP(A1506,Internal_lists_bugs!$A$2:$G7981,7,FALSE()),"please select a BUG ID")</f>
        <v>https://opendev.org/openstack/nova/commit/64e167eb6</v>
      </c>
    </row>
    <row r="1507">
      <c r="A1507" s="16" t="s">
        <v>60</v>
      </c>
      <c r="B1507" s="50" t="str">
        <f>IFERROR(HYPERLINK(VLOOKUP(A1507,Internal_lists_bugs!$A$2:$C$73,3,FALSE()), VLOOKUP(A1507,Internal_lists_bugs!$A$2:$C$73,3,FALSE())&amp;Char(10) &amp; Char(10) &amp; VLOOKUP(A1507,Internal_lists_bugs!$A$2:$Z$73,26,FALSE())),"please select a BUG ID")</f>
        <v>https://bugs.launchpad.net/nova/+bug/1505471
/servicegroup/drivers/db.py</v>
      </c>
      <c r="C1507" s="81" t="str">
        <f>IFERROR(VLOOKUP(A1507,Internal_lists_bugs!$A$2:$I7981,9,FALSE()),"please select a BUG ID")</f>
        <v>https://review.opendev.org/c/openstack/nova/+/10903</v>
      </c>
      <c r="D1507" s="114"/>
      <c r="E1507" s="114"/>
      <c r="F1507" s="115"/>
      <c r="G1507" s="79" t="s">
        <v>1594</v>
      </c>
      <c r="H1507" s="116" t="s">
        <v>3259</v>
      </c>
      <c r="I1507" s="54"/>
      <c r="K1507" s="54"/>
      <c r="M1507" s="114" t="str">
        <f>VLOOKUP(A1507,'BIC_(C_Variables)'!$A$3:$AS$43,45,FALSE())</f>
        <v>x_files buggy identified different name 
db_driver.py</v>
      </c>
      <c r="N1507" s="1"/>
      <c r="O1507" s="1"/>
      <c r="P1507" s="81" t="str">
        <f>IFERROR(VLOOKUP(A1507,Internal_lists_bugs!$A$2:$G7981,7,FALSE()),"please select a BUG ID")</f>
        <v>https://opendev.org/openstack/nova/commit/64e167eb6</v>
      </c>
    </row>
    <row r="1508">
      <c r="A1508" s="16" t="s">
        <v>60</v>
      </c>
      <c r="B1508" s="50" t="str">
        <f>IFERROR(HYPERLINK(VLOOKUP(A1508,Internal_lists_bugs!$A$2:$C$73,3,FALSE()), VLOOKUP(A1508,Internal_lists_bugs!$A$2:$C$73,3,FALSE())&amp;Char(10) &amp; Char(10) &amp; VLOOKUP(A1508,Internal_lists_bugs!$A$2:$Z$73,26,FALSE())),"please select a BUG ID")</f>
        <v>https://bugs.launchpad.net/nova/+bug/1505471
/servicegroup/drivers/db.py</v>
      </c>
      <c r="C1508" s="81" t="str">
        <f>IFERROR(VLOOKUP(A1508,Internal_lists_bugs!$A$2:$I7981,9,FALSE()),"please select a BUG ID")</f>
        <v>https://review.opendev.org/c/openstack/nova/+/10903</v>
      </c>
      <c r="D1508" s="114"/>
      <c r="E1508" s="114"/>
      <c r="F1508" s="115"/>
      <c r="G1508" s="79" t="s">
        <v>3260</v>
      </c>
      <c r="H1508" s="116" t="s">
        <v>3261</v>
      </c>
      <c r="I1508" s="54"/>
      <c r="K1508" s="54"/>
      <c r="M1508" s="114" t="str">
        <f>VLOOKUP(A1508,'BIC_(C_Variables)'!$A$3:$AS$43,45,FALSE())</f>
        <v>x_files buggy identified different name 
db_driver.py</v>
      </c>
      <c r="N1508" s="1"/>
      <c r="O1508" s="1"/>
      <c r="P1508" s="81" t="str">
        <f>IFERROR(VLOOKUP(A1508,Internal_lists_bugs!$A$2:$G7981,7,FALSE()),"please select a BUG ID")</f>
        <v>https://opendev.org/openstack/nova/commit/64e167eb6</v>
      </c>
    </row>
    <row r="1509">
      <c r="A1509" s="16" t="s">
        <v>60</v>
      </c>
      <c r="B1509" s="50" t="str">
        <f>IFERROR(HYPERLINK(VLOOKUP(A1509,Internal_lists_bugs!$A$2:$C$73,3,FALSE()), VLOOKUP(A1509,Internal_lists_bugs!$A$2:$C$73,3,FALSE())&amp;Char(10) &amp; Char(10) &amp; VLOOKUP(A1509,Internal_lists_bugs!$A$2:$Z$73,26,FALSE())),"please select a BUG ID")</f>
        <v>https://bugs.launchpad.net/nova/+bug/1505471
/servicegroup/drivers/db.py</v>
      </c>
      <c r="C1509" s="81" t="str">
        <f>IFERROR(VLOOKUP(A1509,Internal_lists_bugs!$A$2:$I7981,9,FALSE()),"please select a BUG ID")</f>
        <v>https://review.opendev.org/c/openstack/nova/+/10903</v>
      </c>
      <c r="D1509" s="114"/>
      <c r="E1509" s="114"/>
      <c r="F1509" s="115"/>
      <c r="G1509" s="79" t="s">
        <v>3262</v>
      </c>
      <c r="H1509" s="116" t="s">
        <v>3263</v>
      </c>
      <c r="I1509" s="54"/>
      <c r="K1509" s="54"/>
      <c r="M1509" s="114" t="str">
        <f>VLOOKUP(A1509,'BIC_(C_Variables)'!$A$3:$AS$43,45,FALSE())</f>
        <v>x_files buggy identified different name 
db_driver.py</v>
      </c>
      <c r="N1509" s="1"/>
      <c r="O1509" s="1"/>
      <c r="P1509" s="81" t="str">
        <f>IFERROR(VLOOKUP(A1509,Internal_lists_bugs!$A$2:$G7981,7,FALSE()),"please select a BUG ID")</f>
        <v>https://opendev.org/openstack/nova/commit/64e167eb6</v>
      </c>
    </row>
    <row r="1510">
      <c r="A1510" s="16" t="s">
        <v>60</v>
      </c>
      <c r="B1510" s="50" t="str">
        <f>IFERROR(HYPERLINK(VLOOKUP(A1510,Internal_lists_bugs!$A$2:$C$73,3,FALSE()), VLOOKUP(A1510,Internal_lists_bugs!$A$2:$C$73,3,FALSE())&amp;Char(10) &amp; Char(10) &amp; VLOOKUP(A1510,Internal_lists_bugs!$A$2:$Z$73,26,FALSE())),"please select a BUG ID")</f>
        <v>https://bugs.launchpad.net/nova/+bug/1505471
/servicegroup/drivers/db.py</v>
      </c>
      <c r="C1510" s="81" t="str">
        <f>IFERROR(VLOOKUP(A1510,Internal_lists_bugs!$A$2:$I7981,9,FALSE()),"please select a BUG ID")</f>
        <v>https://review.opendev.org/c/openstack/nova/+/10903</v>
      </c>
      <c r="D1510" s="114"/>
      <c r="E1510" s="114"/>
      <c r="F1510" s="115"/>
      <c r="G1510" s="79" t="s">
        <v>3264</v>
      </c>
      <c r="H1510" s="116" t="s">
        <v>3265</v>
      </c>
      <c r="I1510" s="54"/>
      <c r="K1510" s="54"/>
      <c r="M1510" s="114" t="str">
        <f>VLOOKUP(A1510,'BIC_(C_Variables)'!$A$3:$AS$43,45,FALSE())</f>
        <v>x_files buggy identified different name 
db_driver.py</v>
      </c>
      <c r="N1510" s="1"/>
      <c r="O1510" s="1"/>
      <c r="P1510" s="81" t="str">
        <f>IFERROR(VLOOKUP(A1510,Internal_lists_bugs!$A$2:$G7981,7,FALSE()),"please select a BUG ID")</f>
        <v>https://opendev.org/openstack/nova/commit/64e167eb6</v>
      </c>
    </row>
    <row r="1511">
      <c r="A1511" s="16" t="s">
        <v>60</v>
      </c>
      <c r="B1511" s="50" t="str">
        <f>IFERROR(HYPERLINK(VLOOKUP(A1511,Internal_lists_bugs!$A$2:$C$73,3,FALSE()), VLOOKUP(A1511,Internal_lists_bugs!$A$2:$C$73,3,FALSE())&amp;Char(10) &amp; Char(10) &amp; VLOOKUP(A1511,Internal_lists_bugs!$A$2:$Z$73,26,FALSE())),"please select a BUG ID")</f>
        <v>https://bugs.launchpad.net/nova/+bug/1505471
/servicegroup/drivers/db.py</v>
      </c>
      <c r="C1511" s="81" t="str">
        <f>IFERROR(VLOOKUP(A1511,Internal_lists_bugs!$A$2:$I7981,9,FALSE()),"please select a BUG ID")</f>
        <v>https://review.opendev.org/c/openstack/nova/+/10903</v>
      </c>
      <c r="D1511" s="114"/>
      <c r="E1511" s="114"/>
      <c r="F1511" s="115"/>
      <c r="G1511" s="79" t="s">
        <v>3266</v>
      </c>
      <c r="H1511" s="116" t="s">
        <v>3267</v>
      </c>
      <c r="I1511" s="54"/>
      <c r="K1511" s="54"/>
      <c r="M1511" s="114" t="str">
        <f>VLOOKUP(A1511,'BIC_(C_Variables)'!$A$3:$AS$43,45,FALSE())</f>
        <v>x_files buggy identified different name 
db_driver.py</v>
      </c>
      <c r="N1511" s="1"/>
      <c r="O1511" s="1"/>
      <c r="P1511" s="81" t="str">
        <f>IFERROR(VLOOKUP(A1511,Internal_lists_bugs!$A$2:$G7981,7,FALSE()),"please select a BUG ID")</f>
        <v>https://opendev.org/openstack/nova/commit/64e167eb6</v>
      </c>
    </row>
    <row r="1512">
      <c r="A1512" s="16" t="s">
        <v>60</v>
      </c>
      <c r="B1512" s="50" t="str">
        <f>IFERROR(HYPERLINK(VLOOKUP(A1512,Internal_lists_bugs!$A$2:$C$73,3,FALSE()), VLOOKUP(A1512,Internal_lists_bugs!$A$2:$C$73,3,FALSE())&amp;Char(10) &amp; Char(10) &amp; VLOOKUP(A1512,Internal_lists_bugs!$A$2:$Z$73,26,FALSE())),"please select a BUG ID")</f>
        <v>https://bugs.launchpad.net/nova/+bug/1505471
/servicegroup/drivers/db.py</v>
      </c>
      <c r="C1512" s="81" t="str">
        <f>IFERROR(VLOOKUP(A1512,Internal_lists_bugs!$A$2:$I7981,9,FALSE()),"please select a BUG ID")</f>
        <v>https://review.opendev.org/c/openstack/nova/+/10903</v>
      </c>
      <c r="D1512" s="114"/>
      <c r="E1512" s="114"/>
      <c r="F1512" s="115"/>
      <c r="G1512" s="79" t="s">
        <v>3268</v>
      </c>
      <c r="H1512" s="122" t="s">
        <v>3269</v>
      </c>
      <c r="I1512" s="54"/>
      <c r="K1512" s="54"/>
      <c r="M1512" s="114" t="str">
        <f>VLOOKUP(A1512,'BIC_(C_Variables)'!$A$3:$AS$43,45,FALSE())</f>
        <v>x_files buggy identified different name 
db_driver.py</v>
      </c>
      <c r="N1512" s="1"/>
      <c r="O1512" s="1"/>
      <c r="P1512" s="81" t="str">
        <f>IFERROR(VLOOKUP(A1512,Internal_lists_bugs!$A$2:$G7981,7,FALSE()),"please select a BUG ID")</f>
        <v>https://opendev.org/openstack/nova/commit/64e167eb6</v>
      </c>
    </row>
    <row r="1513">
      <c r="A1513" s="16" t="s">
        <v>60</v>
      </c>
      <c r="B1513" s="50" t="str">
        <f>IFERROR(HYPERLINK(VLOOKUP(A1513,Internal_lists_bugs!$A$2:$C$73,3,FALSE()), VLOOKUP(A1513,Internal_lists_bugs!$A$2:$C$73,3,FALSE())&amp;Char(10) &amp; Char(10) &amp; VLOOKUP(A1513,Internal_lists_bugs!$A$2:$Z$73,26,FALSE())),"please select a BUG ID")</f>
        <v>https://bugs.launchpad.net/nova/+bug/1505471
/servicegroup/drivers/db.py</v>
      </c>
      <c r="C1513" s="81" t="str">
        <f>IFERROR(VLOOKUP(A1513,Internal_lists_bugs!$A$2:$I7981,9,FALSE()),"please select a BUG ID")</f>
        <v>https://review.opendev.org/c/openstack/nova/+/10903</v>
      </c>
      <c r="D1513" s="114"/>
      <c r="E1513" s="114"/>
      <c r="F1513" s="115"/>
      <c r="G1513" s="79" t="s">
        <v>3262</v>
      </c>
      <c r="H1513" s="116" t="s">
        <v>3270</v>
      </c>
      <c r="I1513" s="54"/>
      <c r="K1513" s="54"/>
      <c r="M1513" s="114" t="str">
        <f>VLOOKUP(A1513,'BIC_(C_Variables)'!$A$3:$AS$43,45,FALSE())</f>
        <v>x_files buggy identified different name 
db_driver.py</v>
      </c>
      <c r="N1513" s="1"/>
      <c r="O1513" s="1"/>
      <c r="P1513" s="81" t="str">
        <f>IFERROR(VLOOKUP(A1513,Internal_lists_bugs!$A$2:$G7981,7,FALSE()),"please select a BUG ID")</f>
        <v>https://opendev.org/openstack/nova/commit/64e167eb6</v>
      </c>
    </row>
    <row r="1514">
      <c r="A1514" s="16" t="s">
        <v>60</v>
      </c>
      <c r="B1514" s="50" t="str">
        <f>IFERROR(HYPERLINK(VLOOKUP(A1514,Internal_lists_bugs!$A$2:$C$73,3,FALSE()), VLOOKUP(A1514,Internal_lists_bugs!$A$2:$C$73,3,FALSE())&amp;Char(10) &amp; Char(10) &amp; VLOOKUP(A1514,Internal_lists_bugs!$A$2:$Z$73,26,FALSE())),"please select a BUG ID")</f>
        <v>https://bugs.launchpad.net/nova/+bug/1505471
/servicegroup/drivers/db.py</v>
      </c>
      <c r="C1514" s="81" t="str">
        <f>IFERROR(VLOOKUP(A1514,Internal_lists_bugs!$A$2:$I7981,9,FALSE()),"please select a BUG ID")</f>
        <v>https://review.opendev.org/c/openstack/nova/+/10903</v>
      </c>
      <c r="D1514" s="114"/>
      <c r="E1514" s="114"/>
      <c r="F1514" s="115"/>
      <c r="G1514" s="79" t="s">
        <v>3266</v>
      </c>
      <c r="H1514" s="116" t="s">
        <v>3271</v>
      </c>
      <c r="I1514" s="54"/>
      <c r="K1514" s="54"/>
      <c r="M1514" s="114" t="str">
        <f>VLOOKUP(A1514,'BIC_(C_Variables)'!$A$3:$AS$43,45,FALSE())</f>
        <v>x_files buggy identified different name 
db_driver.py</v>
      </c>
      <c r="N1514" s="1"/>
      <c r="O1514" s="1"/>
      <c r="P1514" s="81" t="str">
        <f>IFERROR(VLOOKUP(A1514,Internal_lists_bugs!$A$2:$G7981,7,FALSE()),"please select a BUG ID")</f>
        <v>https://opendev.org/openstack/nova/commit/64e167eb6</v>
      </c>
    </row>
    <row r="1515">
      <c r="A1515" s="16" t="s">
        <v>60</v>
      </c>
      <c r="B1515" s="50" t="str">
        <f>IFERROR(HYPERLINK(VLOOKUP(A1515,Internal_lists_bugs!$A$2:$C$73,3,FALSE()), VLOOKUP(A1515,Internal_lists_bugs!$A$2:$C$73,3,FALSE())&amp;Char(10) &amp; Char(10) &amp; VLOOKUP(A1515,Internal_lists_bugs!$A$2:$Z$73,26,FALSE())),"please select a BUG ID")</f>
        <v>https://bugs.launchpad.net/nova/+bug/1505471
/servicegroup/drivers/db.py</v>
      </c>
      <c r="C1515" s="81" t="str">
        <f>IFERROR(VLOOKUP(A1515,Internal_lists_bugs!$A$2:$I7981,9,FALSE()),"please select a BUG ID")</f>
        <v>https://review.opendev.org/c/openstack/nova/+/10903</v>
      </c>
      <c r="D1515" s="114"/>
      <c r="E1515" s="114"/>
      <c r="F1515" s="115"/>
      <c r="G1515" s="79" t="s">
        <v>3272</v>
      </c>
      <c r="H1515" s="116" t="s">
        <v>3273</v>
      </c>
      <c r="I1515" s="54"/>
      <c r="K1515" s="54"/>
      <c r="M1515" s="114" t="str">
        <f>VLOOKUP(A1515,'BIC_(C_Variables)'!$A$3:$AS$43,45,FALSE())</f>
        <v>x_files buggy identified different name 
db_driver.py</v>
      </c>
      <c r="N1515" s="1"/>
      <c r="O1515" s="1"/>
      <c r="P1515" s="81" t="str">
        <f>IFERROR(VLOOKUP(A1515,Internal_lists_bugs!$A$2:$G7981,7,FALSE()),"please select a BUG ID")</f>
        <v>https://opendev.org/openstack/nova/commit/64e167eb6</v>
      </c>
    </row>
    <row r="1516">
      <c r="A1516" s="16" t="s">
        <v>60</v>
      </c>
      <c r="B1516" s="50" t="str">
        <f>IFERROR(HYPERLINK(VLOOKUP(A1516,Internal_lists_bugs!$A$2:$C$73,3,FALSE()), VLOOKUP(A1516,Internal_lists_bugs!$A$2:$C$73,3,FALSE())&amp;Char(10) &amp; Char(10) &amp; VLOOKUP(A1516,Internal_lists_bugs!$A$2:$Z$73,26,FALSE())),"please select a BUG ID")</f>
        <v>https://bugs.launchpad.net/nova/+bug/1505471
/servicegroup/drivers/db.py</v>
      </c>
      <c r="C1516" s="81" t="str">
        <f>IFERROR(VLOOKUP(A1516,Internal_lists_bugs!$A$2:$I7981,9,FALSE()),"please select a BUG ID")</f>
        <v>https://review.opendev.org/c/openstack/nova/+/10903</v>
      </c>
      <c r="D1516" s="114"/>
      <c r="E1516" s="114"/>
      <c r="F1516" s="115"/>
      <c r="G1516" s="79" t="s">
        <v>3274</v>
      </c>
      <c r="H1516" s="116" t="s">
        <v>3275</v>
      </c>
      <c r="I1516" s="54"/>
      <c r="K1516" s="54"/>
      <c r="M1516" s="114" t="str">
        <f>VLOOKUP(A1516,'BIC_(C_Variables)'!$A$3:$AS$43,45,FALSE())</f>
        <v>x_files buggy identified different name 
db_driver.py</v>
      </c>
      <c r="N1516" s="1"/>
      <c r="O1516" s="1"/>
      <c r="P1516" s="81" t="str">
        <f>IFERROR(VLOOKUP(A1516,Internal_lists_bugs!$A$2:$G7981,7,FALSE()),"please select a BUG ID")</f>
        <v>https://opendev.org/openstack/nova/commit/64e167eb6</v>
      </c>
    </row>
    <row r="1517">
      <c r="A1517" s="16" t="s">
        <v>60</v>
      </c>
      <c r="B1517" s="50" t="str">
        <f>IFERROR(HYPERLINK(VLOOKUP(A1517,Internal_lists_bugs!$A$2:$C$73,3,FALSE()), VLOOKUP(A1517,Internal_lists_bugs!$A$2:$C$73,3,FALSE())&amp;Char(10) &amp; Char(10) &amp; VLOOKUP(A1517,Internal_lists_bugs!$A$2:$Z$73,26,FALSE())),"please select a BUG ID")</f>
        <v>https://bugs.launchpad.net/nova/+bug/1505471
/servicegroup/drivers/db.py</v>
      </c>
      <c r="C1517" s="81" t="str">
        <f>IFERROR(VLOOKUP(A1517,Internal_lists_bugs!$A$2:$I7981,9,FALSE()),"please select a BUG ID")</f>
        <v>https://review.opendev.org/c/openstack/nova/+/10903</v>
      </c>
      <c r="D1517" s="114"/>
      <c r="E1517" s="114"/>
      <c r="F1517" s="115"/>
      <c r="G1517" s="79" t="s">
        <v>3276</v>
      </c>
      <c r="H1517" s="116" t="s">
        <v>3277</v>
      </c>
      <c r="I1517" s="54"/>
      <c r="K1517" s="54"/>
      <c r="M1517" s="114" t="str">
        <f>VLOOKUP(A1517,'BIC_(C_Variables)'!$A$3:$AS$43,45,FALSE())</f>
        <v>x_files buggy identified different name 
db_driver.py</v>
      </c>
      <c r="N1517" s="1"/>
      <c r="O1517" s="1"/>
      <c r="P1517" s="81" t="str">
        <f>IFERROR(VLOOKUP(A1517,Internal_lists_bugs!$A$2:$G7981,7,FALSE()),"please select a BUG ID")</f>
        <v>https://opendev.org/openstack/nova/commit/64e167eb6</v>
      </c>
    </row>
    <row r="1518">
      <c r="A1518" s="16" t="s">
        <v>60</v>
      </c>
      <c r="B1518" s="50" t="str">
        <f>IFERROR(HYPERLINK(VLOOKUP(A1518,Internal_lists_bugs!$A$2:$C$73,3,FALSE()), VLOOKUP(A1518,Internal_lists_bugs!$A$2:$C$73,3,FALSE())&amp;Char(10) &amp; Char(10) &amp; VLOOKUP(A1518,Internal_lists_bugs!$A$2:$Z$73,26,FALSE())),"please select a BUG ID")</f>
        <v>https://bugs.launchpad.net/nova/+bug/1505471
/servicegroup/drivers/db.py</v>
      </c>
      <c r="C1518" s="81" t="str">
        <f>IFERROR(VLOOKUP(A1518,Internal_lists_bugs!$A$2:$I7981,9,FALSE()),"please select a BUG ID")</f>
        <v>https://review.opendev.org/c/openstack/nova/+/10903</v>
      </c>
      <c r="D1518" s="114"/>
      <c r="E1518" s="114"/>
      <c r="F1518" s="115"/>
      <c r="G1518" s="79" t="s">
        <v>1597</v>
      </c>
      <c r="H1518" s="116" t="s">
        <v>3278</v>
      </c>
      <c r="I1518" s="54"/>
      <c r="K1518" s="54"/>
      <c r="M1518" s="114" t="str">
        <f>VLOOKUP(A1518,'BIC_(C_Variables)'!$A$3:$AS$43,45,FALSE())</f>
        <v>x_files buggy identified different name 
db_driver.py</v>
      </c>
      <c r="N1518" s="1"/>
      <c r="O1518" s="1"/>
      <c r="P1518" s="81" t="str">
        <f>IFERROR(VLOOKUP(A1518,Internal_lists_bugs!$A$2:$G7981,7,FALSE()),"please select a BUG ID")</f>
        <v>https://opendev.org/openstack/nova/commit/64e167eb6</v>
      </c>
    </row>
    <row r="1519">
      <c r="A1519" s="16" t="s">
        <v>60</v>
      </c>
      <c r="B1519" s="50" t="str">
        <f>IFERROR(HYPERLINK(VLOOKUP(A1519,Internal_lists_bugs!$A$2:$C$73,3,FALSE()), VLOOKUP(A1519,Internal_lists_bugs!$A$2:$C$73,3,FALSE())&amp;Char(10) &amp; Char(10) &amp; VLOOKUP(A1519,Internal_lists_bugs!$A$2:$Z$73,26,FALSE())),"please select a BUG ID")</f>
        <v>https://bugs.launchpad.net/nova/+bug/1505471
/servicegroup/drivers/db.py</v>
      </c>
      <c r="C1519" s="81" t="str">
        <f>IFERROR(VLOOKUP(A1519,Internal_lists_bugs!$A$2:$I7981,9,FALSE()),"please select a BUG ID")</f>
        <v>https://review.opendev.org/c/openstack/nova/+/10903</v>
      </c>
      <c r="D1519" s="114"/>
      <c r="E1519" s="114"/>
      <c r="F1519" s="115"/>
      <c r="G1519" s="79" t="s">
        <v>2277</v>
      </c>
      <c r="H1519" s="122" t="s">
        <v>3279</v>
      </c>
      <c r="I1519" s="54"/>
      <c r="K1519" s="54"/>
      <c r="M1519" s="114" t="str">
        <f>VLOOKUP(A1519,'BIC_(C_Variables)'!$A$3:$AS$43,45,FALSE())</f>
        <v>x_files buggy identified different name 
db_driver.py</v>
      </c>
      <c r="N1519" s="1"/>
      <c r="O1519" s="1"/>
      <c r="P1519" s="81" t="str">
        <f>IFERROR(VLOOKUP(A1519,Internal_lists_bugs!$A$2:$G7981,7,FALSE()),"please select a BUG ID")</f>
        <v>https://opendev.org/openstack/nova/commit/64e167eb6</v>
      </c>
    </row>
    <row r="1520">
      <c r="A1520" s="16" t="s">
        <v>60</v>
      </c>
      <c r="B1520" s="50" t="str">
        <f>IFERROR(HYPERLINK(VLOOKUP(A1520,Internal_lists_bugs!$A$2:$C$73,3,FALSE()), VLOOKUP(A1520,Internal_lists_bugs!$A$2:$C$73,3,FALSE())&amp;Char(10) &amp; Char(10) &amp; VLOOKUP(A1520,Internal_lists_bugs!$A$2:$Z$73,26,FALSE())),"please select a BUG ID")</f>
        <v>https://bugs.launchpad.net/nova/+bug/1505471
/servicegroup/drivers/db.py</v>
      </c>
      <c r="C1520" s="81" t="str">
        <f>IFERROR(VLOOKUP(A1520,Internal_lists_bugs!$A$2:$I7981,9,FALSE()),"please select a BUG ID")</f>
        <v>https://review.opendev.org/c/openstack/nova/+/10903</v>
      </c>
      <c r="D1520" s="114"/>
      <c r="E1520" s="114"/>
      <c r="F1520" s="115"/>
      <c r="G1520" s="79" t="s">
        <v>2156</v>
      </c>
      <c r="H1520" s="122" t="s">
        <v>3280</v>
      </c>
      <c r="I1520" s="54"/>
      <c r="K1520" s="54"/>
      <c r="M1520" s="114" t="str">
        <f>VLOOKUP(A1520,'BIC_(C_Variables)'!$A$3:$AS$43,45,FALSE())</f>
        <v>x_files buggy identified different name 
db_driver.py</v>
      </c>
      <c r="N1520" s="1"/>
      <c r="O1520" s="1"/>
      <c r="P1520" s="81" t="str">
        <f>IFERROR(VLOOKUP(A1520,Internal_lists_bugs!$A$2:$G7981,7,FALSE()),"please select a BUG ID")</f>
        <v>https://opendev.org/openstack/nova/commit/64e167eb6</v>
      </c>
    </row>
    <row r="1521">
      <c r="A1521" s="16" t="s">
        <v>60</v>
      </c>
      <c r="B1521" s="50" t="str">
        <f>IFERROR(HYPERLINK(VLOOKUP(A1521,Internal_lists_bugs!$A$2:$C$73,3,FALSE()), VLOOKUP(A1521,Internal_lists_bugs!$A$2:$C$73,3,FALSE())&amp;Char(10) &amp; Char(10) &amp; VLOOKUP(A1521,Internal_lists_bugs!$A$2:$Z$73,26,FALSE())),"please select a BUG ID")</f>
        <v>https://bugs.launchpad.net/nova/+bug/1505471
/servicegroup/drivers/db.py</v>
      </c>
      <c r="C1521" s="81" t="str">
        <f>IFERROR(VLOOKUP(A1521,Internal_lists_bugs!$A$2:$I7981,9,FALSE()),"please select a BUG ID")</f>
        <v>https://review.opendev.org/c/openstack/nova/+/10903</v>
      </c>
      <c r="D1521" s="114"/>
      <c r="E1521" s="114"/>
      <c r="F1521" s="115"/>
      <c r="G1521" s="79" t="s">
        <v>2731</v>
      </c>
      <c r="H1521" s="116" t="s">
        <v>3281</v>
      </c>
      <c r="I1521" s="54"/>
      <c r="K1521" s="54"/>
      <c r="M1521" s="114" t="str">
        <f>VLOOKUP(A1521,'BIC_(C_Variables)'!$A$3:$AS$43,45,FALSE())</f>
        <v>x_files buggy identified different name 
db_driver.py</v>
      </c>
      <c r="N1521" s="1"/>
      <c r="O1521" s="1"/>
      <c r="P1521" s="81" t="str">
        <f>IFERROR(VLOOKUP(A1521,Internal_lists_bugs!$A$2:$G7981,7,FALSE()),"please select a BUG ID")</f>
        <v>https://opendev.org/openstack/nova/commit/64e167eb6</v>
      </c>
    </row>
    <row r="1522">
      <c r="A1522" s="16" t="s">
        <v>60</v>
      </c>
      <c r="B1522" s="50" t="str">
        <f>IFERROR(HYPERLINK(VLOOKUP(A1522,Internal_lists_bugs!$A$2:$C$73,3,FALSE()), VLOOKUP(A1522,Internal_lists_bugs!$A$2:$C$73,3,FALSE())&amp;Char(10) &amp; Char(10) &amp; VLOOKUP(A1522,Internal_lists_bugs!$A$2:$Z$73,26,FALSE())),"please select a BUG ID")</f>
        <v>https://bugs.launchpad.net/nova/+bug/1505471
/servicegroup/drivers/db.py</v>
      </c>
      <c r="C1522" s="81" t="str">
        <f>IFERROR(VLOOKUP(A1522,Internal_lists_bugs!$A$2:$I7981,9,FALSE()),"please select a BUG ID")</f>
        <v>https://review.opendev.org/c/openstack/nova/+/10903</v>
      </c>
      <c r="D1522" s="114"/>
      <c r="E1522" s="114"/>
      <c r="F1522" s="115"/>
      <c r="G1522" s="79" t="s">
        <v>1913</v>
      </c>
      <c r="H1522" s="116" t="s">
        <v>3282</v>
      </c>
      <c r="I1522" s="54"/>
      <c r="K1522" s="54"/>
      <c r="M1522" s="114" t="str">
        <f>VLOOKUP(A1522,'BIC_(C_Variables)'!$A$3:$AS$43,45,FALSE())</f>
        <v>x_files buggy identified different name 
db_driver.py</v>
      </c>
      <c r="N1522" s="1"/>
      <c r="O1522" s="1"/>
      <c r="P1522" s="81" t="str">
        <f>IFERROR(VLOOKUP(A1522,Internal_lists_bugs!$A$2:$G7981,7,FALSE()),"please select a BUG ID")</f>
        <v>https://opendev.org/openstack/nova/commit/64e167eb6</v>
      </c>
    </row>
    <row r="1523">
      <c r="A1523" s="16" t="s">
        <v>60</v>
      </c>
      <c r="B1523" s="50" t="str">
        <f>IFERROR(HYPERLINK(VLOOKUP(A1523,Internal_lists_bugs!$A$2:$C$73,3,FALSE()), VLOOKUP(A1523,Internal_lists_bugs!$A$2:$C$73,3,FALSE())&amp;Char(10) &amp; Char(10) &amp; VLOOKUP(A1523,Internal_lists_bugs!$A$2:$Z$73,26,FALSE())),"please select a BUG ID")</f>
        <v>https://bugs.launchpad.net/nova/+bug/1505471
/servicegroup/drivers/db.py</v>
      </c>
      <c r="C1523" s="81" t="str">
        <f>IFERROR(VLOOKUP(A1523,Internal_lists_bugs!$A$2:$I7981,9,FALSE()),"please select a BUG ID")</f>
        <v>https://review.opendev.org/c/openstack/nova/+/10903</v>
      </c>
      <c r="D1523" s="114"/>
      <c r="E1523" s="114"/>
      <c r="F1523" s="115"/>
      <c r="G1523" s="79" t="s">
        <v>1758</v>
      </c>
      <c r="H1523" s="116" t="s">
        <v>3283</v>
      </c>
      <c r="I1523" s="54"/>
      <c r="K1523" s="54"/>
      <c r="M1523" s="114" t="str">
        <f>VLOOKUP(A1523,'BIC_(C_Variables)'!$A$3:$AS$43,45,FALSE())</f>
        <v>x_files buggy identified different name 
db_driver.py</v>
      </c>
      <c r="N1523" s="1"/>
      <c r="O1523" s="1"/>
      <c r="P1523" s="81" t="str">
        <f>IFERROR(VLOOKUP(A1523,Internal_lists_bugs!$A$2:$G7981,7,FALSE()),"please select a BUG ID")</f>
        <v>https://opendev.org/openstack/nova/commit/64e167eb6</v>
      </c>
    </row>
    <row r="1524">
      <c r="A1524" s="16" t="s">
        <v>60</v>
      </c>
      <c r="B1524" s="50" t="str">
        <f>IFERROR(HYPERLINK(VLOOKUP(A1524,Internal_lists_bugs!$A$2:$C$73,3,FALSE()), VLOOKUP(A1524,Internal_lists_bugs!$A$2:$C$73,3,FALSE())&amp;Char(10) &amp; Char(10) &amp; VLOOKUP(A1524,Internal_lists_bugs!$A$2:$Z$73,26,FALSE())),"please select a BUG ID")</f>
        <v>https://bugs.launchpad.net/nova/+bug/1505471
/servicegroup/drivers/db.py</v>
      </c>
      <c r="C1524" s="81" t="str">
        <f>IFERROR(VLOOKUP(A1524,Internal_lists_bugs!$A$2:$I7981,9,FALSE()),"please select a BUG ID")</f>
        <v>https://review.opendev.org/c/openstack/nova/+/10903</v>
      </c>
      <c r="D1524" s="114"/>
      <c r="E1524" s="114"/>
      <c r="F1524" s="115"/>
      <c r="G1524" s="79" t="s">
        <v>3284</v>
      </c>
      <c r="H1524" s="116" t="s">
        <v>3285</v>
      </c>
      <c r="I1524" s="54"/>
      <c r="K1524" s="54"/>
      <c r="M1524" s="114" t="str">
        <f>VLOOKUP(A1524,'BIC_(C_Variables)'!$A$3:$AS$43,45,FALSE())</f>
        <v>x_files buggy identified different name 
db_driver.py</v>
      </c>
      <c r="N1524" s="1"/>
      <c r="O1524" s="1"/>
      <c r="P1524" s="81" t="str">
        <f>IFERROR(VLOOKUP(A1524,Internal_lists_bugs!$A$2:$G7981,7,FALSE()),"please select a BUG ID")</f>
        <v>https://opendev.org/openstack/nova/commit/64e167eb6</v>
      </c>
    </row>
    <row r="1525">
      <c r="A1525" s="16" t="s">
        <v>60</v>
      </c>
      <c r="B1525" s="50" t="str">
        <f>IFERROR(HYPERLINK(VLOOKUP(A1525,Internal_lists_bugs!$A$2:$C$73,3,FALSE()), VLOOKUP(A1525,Internal_lists_bugs!$A$2:$C$73,3,FALSE())&amp;Char(10) &amp; Char(10) &amp; VLOOKUP(A1525,Internal_lists_bugs!$A$2:$Z$73,26,FALSE())),"please select a BUG ID")</f>
        <v>https://bugs.launchpad.net/nova/+bug/1505471
/servicegroup/drivers/db.py</v>
      </c>
      <c r="C1525" s="81" t="str">
        <f>IFERROR(VLOOKUP(A1525,Internal_lists_bugs!$A$2:$I7981,9,FALSE()),"please select a BUG ID")</f>
        <v>https://review.opendev.org/c/openstack/nova/+/10903</v>
      </c>
      <c r="D1525" s="114"/>
      <c r="E1525" s="114"/>
      <c r="F1525" s="115"/>
      <c r="G1525" s="79" t="s">
        <v>3286</v>
      </c>
      <c r="H1525" s="116" t="s">
        <v>3287</v>
      </c>
      <c r="I1525" s="54"/>
      <c r="K1525" s="54"/>
      <c r="M1525" s="114" t="str">
        <f>VLOOKUP(A1525,'BIC_(C_Variables)'!$A$3:$AS$43,45,FALSE())</f>
        <v>x_files buggy identified different name 
db_driver.py</v>
      </c>
      <c r="N1525" s="1"/>
      <c r="O1525" s="1"/>
      <c r="P1525" s="81" t="str">
        <f>IFERROR(VLOOKUP(A1525,Internal_lists_bugs!$A$2:$G7981,7,FALSE()),"please select a BUG ID")</f>
        <v>https://opendev.org/openstack/nova/commit/64e167eb6</v>
      </c>
    </row>
    <row r="1526">
      <c r="A1526" s="16" t="s">
        <v>60</v>
      </c>
      <c r="B1526" s="50" t="str">
        <f>IFERROR(HYPERLINK(VLOOKUP(A1526,Internal_lists_bugs!$A$2:$C$73,3,FALSE()), VLOOKUP(A1526,Internal_lists_bugs!$A$2:$C$73,3,FALSE())&amp;Char(10) &amp; Char(10) &amp; VLOOKUP(A1526,Internal_lists_bugs!$A$2:$Z$73,26,FALSE())),"please select a BUG ID")</f>
        <v>https://bugs.launchpad.net/nova/+bug/1505471
/servicegroup/drivers/db.py</v>
      </c>
      <c r="C1526" s="81" t="str">
        <f>IFERROR(VLOOKUP(A1526,Internal_lists_bugs!$A$2:$I7981,9,FALSE()),"please select a BUG ID")</f>
        <v>https://review.opendev.org/c/openstack/nova/+/10903</v>
      </c>
      <c r="D1526" s="114"/>
      <c r="E1526" s="114"/>
      <c r="F1526" s="115"/>
      <c r="G1526" s="79" t="s">
        <v>1686</v>
      </c>
      <c r="H1526" s="116" t="s">
        <v>3288</v>
      </c>
      <c r="I1526" s="54"/>
      <c r="K1526" s="54"/>
      <c r="M1526" s="114" t="str">
        <f>VLOOKUP(A1526,'BIC_(C_Variables)'!$A$3:$AS$43,45,FALSE())</f>
        <v>x_files buggy identified different name 
db_driver.py</v>
      </c>
      <c r="N1526" s="1"/>
      <c r="O1526" s="1"/>
      <c r="P1526" s="81" t="str">
        <f>IFERROR(VLOOKUP(A1526,Internal_lists_bugs!$A$2:$G7981,7,FALSE()),"please select a BUG ID")</f>
        <v>https://opendev.org/openstack/nova/commit/64e167eb6</v>
      </c>
    </row>
    <row r="1527">
      <c r="A1527" s="16" t="s">
        <v>60</v>
      </c>
      <c r="B1527" s="50" t="str">
        <f>IFERROR(HYPERLINK(VLOOKUP(A1527,Internal_lists_bugs!$A$2:$C$73,3,FALSE()), VLOOKUP(A1527,Internal_lists_bugs!$A$2:$C$73,3,FALSE())&amp;Char(10) &amp; Char(10) &amp; VLOOKUP(A1527,Internal_lists_bugs!$A$2:$Z$73,26,FALSE())),"please select a BUG ID")</f>
        <v>https://bugs.launchpad.net/nova/+bug/1505471
/servicegroup/drivers/db.py</v>
      </c>
      <c r="C1527" s="81" t="str">
        <f>IFERROR(VLOOKUP(A1527,Internal_lists_bugs!$A$2:$I7981,9,FALSE()),"please select a BUG ID")</f>
        <v>https://review.opendev.org/c/openstack/nova/+/10903</v>
      </c>
      <c r="D1527" s="114"/>
      <c r="E1527" s="114"/>
      <c r="F1527" s="115"/>
      <c r="G1527" s="79" t="s">
        <v>1761</v>
      </c>
      <c r="H1527" s="116" t="s">
        <v>3289</v>
      </c>
      <c r="I1527" s="54"/>
      <c r="K1527" s="54"/>
      <c r="M1527" s="114"/>
      <c r="N1527" s="1"/>
      <c r="O1527" s="1"/>
      <c r="P1527" s="51"/>
    </row>
    <row r="1528">
      <c r="A1528" s="16" t="s">
        <v>60</v>
      </c>
      <c r="B1528" s="50" t="str">
        <f>IFERROR(HYPERLINK(VLOOKUP(A1528,Internal_lists_bugs!$A$2:$C$73,3,FALSE()), VLOOKUP(A1528,Internal_lists_bugs!$A$2:$C$73,3,FALSE())&amp;Char(10) &amp; Char(10) &amp; VLOOKUP(A1528,Internal_lists_bugs!$A$2:$Z$73,26,FALSE())),"please select a BUG ID")</f>
        <v>https://bugs.launchpad.net/nova/+bug/1505471
/servicegroup/drivers/db.py</v>
      </c>
      <c r="C1528" s="81" t="str">
        <f>IFERROR(VLOOKUP(A1528,Internal_lists_bugs!$A$2:$I7981,9,FALSE()),"please select a BUG ID")</f>
        <v>https://review.opendev.org/c/openstack/nova/+/10903</v>
      </c>
      <c r="D1528" s="114"/>
      <c r="E1528" s="114"/>
      <c r="F1528" s="115"/>
      <c r="G1528" s="79" t="s">
        <v>1835</v>
      </c>
      <c r="H1528" s="116" t="s">
        <v>3290</v>
      </c>
      <c r="I1528" s="54"/>
      <c r="K1528" s="54"/>
      <c r="M1528" s="114" t="str">
        <f>VLOOKUP(A1528,'BIC_(C_Variables)'!$A$3:$AS$43,45,FALSE())</f>
        <v>x_files buggy identified different name 
db_driver.py</v>
      </c>
      <c r="N1528" s="1"/>
      <c r="O1528" s="1"/>
      <c r="P1528" s="81" t="str">
        <f>IFERROR(VLOOKUP(A1528,Internal_lists_bugs!$A$2:$G7981,7,FALSE()),"please select a BUG ID")</f>
        <v>https://opendev.org/openstack/nova/commit/64e167eb6</v>
      </c>
    </row>
    <row r="1529">
      <c r="A1529" s="16" t="s">
        <v>60</v>
      </c>
      <c r="B1529" s="50" t="str">
        <f>IFERROR(HYPERLINK(VLOOKUP(A1529,Internal_lists_bugs!$A$2:$C$73,3,FALSE()), VLOOKUP(A1529,Internal_lists_bugs!$A$2:$C$73,3,FALSE())&amp;Char(10) &amp; Char(10) &amp; VLOOKUP(A1529,Internal_lists_bugs!$A$2:$Z$73,26,FALSE())),"please select a BUG ID")</f>
        <v>https://bugs.launchpad.net/nova/+bug/1505471
/servicegroup/drivers/db.py</v>
      </c>
      <c r="C1529" s="81" t="str">
        <f>IFERROR(VLOOKUP(A1529,Internal_lists_bugs!$A$2:$I7981,9,FALSE()),"please select a BUG ID")</f>
        <v>https://review.opendev.org/c/openstack/nova/+/10903</v>
      </c>
      <c r="D1529" s="114"/>
      <c r="E1529" s="114"/>
      <c r="F1529" s="115"/>
      <c r="G1529" s="79" t="s">
        <v>1517</v>
      </c>
      <c r="H1529" s="116" t="s">
        <v>3291</v>
      </c>
      <c r="I1529" s="54"/>
      <c r="K1529" s="54"/>
      <c r="M1529" s="114" t="str">
        <f>VLOOKUP(A1529,'BIC_(C_Variables)'!$A$3:$AS$43,45,FALSE())</f>
        <v>x_files buggy identified different name 
db_driver.py</v>
      </c>
      <c r="N1529" s="1"/>
      <c r="O1529" s="1"/>
      <c r="P1529" s="81" t="str">
        <f>IFERROR(VLOOKUP(A1529,Internal_lists_bugs!$A$2:$G7981,7,FALSE()),"please select a BUG ID")</f>
        <v>https://opendev.org/openstack/nova/commit/64e167eb6</v>
      </c>
    </row>
    <row r="1530">
      <c r="A1530" s="16" t="s">
        <v>60</v>
      </c>
      <c r="B1530" s="50" t="str">
        <f>IFERROR(HYPERLINK(VLOOKUP(A1530,Internal_lists_bugs!$A$2:$C$73,3,FALSE()), VLOOKUP(A1530,Internal_lists_bugs!$A$2:$C$73,3,FALSE())&amp;Char(10) &amp; Char(10) &amp; VLOOKUP(A1530,Internal_lists_bugs!$A$2:$Z$73,26,FALSE())),"please select a BUG ID")</f>
        <v>https://bugs.launchpad.net/nova/+bug/1505471
/servicegroup/drivers/db.py</v>
      </c>
      <c r="C1530" s="81" t="str">
        <f>IFERROR(VLOOKUP(A1530,Internal_lists_bugs!$A$2:$I7981,9,FALSE()),"please select a BUG ID")</f>
        <v>https://review.opendev.org/c/openstack/nova/+/10903</v>
      </c>
      <c r="D1530" s="114"/>
      <c r="E1530" s="114"/>
      <c r="F1530" s="115"/>
      <c r="G1530" s="79" t="s">
        <v>3292</v>
      </c>
      <c r="H1530" s="116" t="s">
        <v>3293</v>
      </c>
      <c r="I1530" s="54"/>
      <c r="K1530" s="54"/>
      <c r="M1530" s="114" t="str">
        <f>VLOOKUP(A1530,'BIC_(C_Variables)'!$A$3:$AS$43,45,FALSE())</f>
        <v>x_files buggy identified different name 
db_driver.py</v>
      </c>
      <c r="N1530" s="1"/>
      <c r="O1530" s="1"/>
      <c r="P1530" s="81" t="str">
        <f>IFERROR(VLOOKUP(A1530,Internal_lists_bugs!$A$2:$G7981,7,FALSE()),"please select a BUG ID")</f>
        <v>https://opendev.org/openstack/nova/commit/64e167eb6</v>
      </c>
    </row>
    <row r="1531">
      <c r="A1531" s="16" t="s">
        <v>60</v>
      </c>
      <c r="B1531" s="50" t="str">
        <f>IFERROR(HYPERLINK(VLOOKUP(A1531,Internal_lists_bugs!$A$2:$C$73,3,FALSE()), VLOOKUP(A1531,Internal_lists_bugs!$A$2:$C$73,3,FALSE())&amp;Char(10) &amp; Char(10) &amp; VLOOKUP(A1531,Internal_lists_bugs!$A$2:$Z$73,26,FALSE())),"please select a BUG ID")</f>
        <v>https://bugs.launchpad.net/nova/+bug/1505471
/servicegroup/drivers/db.py</v>
      </c>
      <c r="C1531" s="81" t="str">
        <f>IFERROR(VLOOKUP(A1531,Internal_lists_bugs!$A$2:$I7981,9,FALSE()),"please select a BUG ID")</f>
        <v>https://review.opendev.org/c/openstack/nova/+/10903</v>
      </c>
      <c r="D1531" s="114"/>
      <c r="E1531" s="114"/>
      <c r="F1531" s="115"/>
      <c r="G1531" s="79" t="s">
        <v>1517</v>
      </c>
      <c r="H1531" s="116" t="s">
        <v>3294</v>
      </c>
      <c r="I1531" s="54"/>
      <c r="K1531" s="54"/>
      <c r="M1531" s="114" t="str">
        <f>VLOOKUP(A1531,'BIC_(C_Variables)'!$A$3:$AS$43,45,FALSE())</f>
        <v>x_files buggy identified different name 
db_driver.py</v>
      </c>
      <c r="N1531" s="1"/>
      <c r="O1531" s="1"/>
      <c r="P1531" s="81" t="str">
        <f>IFERROR(VLOOKUP(A1531,Internal_lists_bugs!$A$2:$G7981,7,FALSE()),"please select a BUG ID")</f>
        <v>https://opendev.org/openstack/nova/commit/64e167eb6</v>
      </c>
    </row>
    <row r="1532">
      <c r="A1532" s="16" t="s">
        <v>60</v>
      </c>
      <c r="B1532" s="50" t="str">
        <f>IFERROR(HYPERLINK(VLOOKUP(A1532,Internal_lists_bugs!$A$2:$C$73,3,FALSE()), VLOOKUP(A1532,Internal_lists_bugs!$A$2:$C$73,3,FALSE())&amp;Char(10) &amp; Char(10) &amp; VLOOKUP(A1532,Internal_lists_bugs!$A$2:$Z$73,26,FALSE())),"please select a BUG ID")</f>
        <v>https://bugs.launchpad.net/nova/+bug/1505471
/servicegroup/drivers/db.py</v>
      </c>
      <c r="C1532" s="81" t="str">
        <f>IFERROR(VLOOKUP(A1532,Internal_lists_bugs!$A$2:$I7981,9,FALSE()),"please select a BUG ID")</f>
        <v>https://review.opendev.org/c/openstack/nova/+/10903</v>
      </c>
      <c r="D1532" s="114"/>
      <c r="E1532" s="114"/>
      <c r="F1532" s="115"/>
      <c r="G1532" s="79" t="s">
        <v>1450</v>
      </c>
      <c r="H1532" s="116" t="s">
        <v>3295</v>
      </c>
      <c r="I1532" s="54"/>
      <c r="K1532" s="54"/>
      <c r="M1532" s="114"/>
      <c r="N1532" s="1"/>
      <c r="O1532" s="1"/>
      <c r="P1532" s="51"/>
    </row>
    <row r="1533">
      <c r="A1533" s="16" t="s">
        <v>60</v>
      </c>
      <c r="B1533" s="50" t="str">
        <f>IFERROR(HYPERLINK(VLOOKUP(A1533,Internal_lists_bugs!$A$2:$C$73,3,FALSE()), VLOOKUP(A1533,Internal_lists_bugs!$A$2:$C$73,3,FALSE())&amp;Char(10) &amp; Char(10) &amp; VLOOKUP(A1533,Internal_lists_bugs!$A$2:$Z$73,26,FALSE())),"please select a BUG ID")</f>
        <v>https://bugs.launchpad.net/nova/+bug/1505471
/servicegroup/drivers/db.py</v>
      </c>
      <c r="C1533" s="81" t="str">
        <f>IFERROR(VLOOKUP(A1533,Internal_lists_bugs!$A$2:$I7981,9,FALSE()),"please select a BUG ID")</f>
        <v>https://review.opendev.org/c/openstack/nova/+/10903</v>
      </c>
      <c r="D1533" s="114"/>
      <c r="E1533" s="114"/>
      <c r="F1533" s="115"/>
      <c r="G1533" s="79" t="s">
        <v>2565</v>
      </c>
      <c r="H1533" s="116" t="s">
        <v>3296</v>
      </c>
      <c r="I1533" s="54"/>
      <c r="K1533" s="54"/>
      <c r="M1533" s="114" t="str">
        <f>VLOOKUP(A1533,'BIC_(C_Variables)'!$A$3:$AS$43,45,FALSE())</f>
        <v>x_files buggy identified different name 
db_driver.py</v>
      </c>
      <c r="N1533" s="1"/>
      <c r="O1533" s="1"/>
      <c r="P1533" s="81" t="str">
        <f>IFERROR(VLOOKUP(A1533,Internal_lists_bugs!$A$2:$G7981,7,FALSE()),"please select a BUG ID")</f>
        <v>https://opendev.org/openstack/nova/commit/64e167eb6</v>
      </c>
    </row>
    <row r="1534">
      <c r="A1534" s="16" t="s">
        <v>61</v>
      </c>
      <c r="B1534" s="50" t="str">
        <f>IFERROR(HYPERLINK(VLOOKUP(A1534,Internal_lists_bugs!$A$2:$C$73,3,FALSE()), VLOOKUP(A1534,Internal_lists_bugs!$A$2:$C$73,3,FALSE())&amp;Char(10) &amp; Char(10) &amp; VLOOKUP(A1534,Internal_lists_bugs!$A$2:$Z$73,26,FALSE())),"please select a BUG ID")</f>
        <v>https://bugs.launchpad.net/nova/+bug/1453274
/libvirt/driver.py</v>
      </c>
      <c r="C1534" s="81" t="str">
        <f>IFERROR(VLOOKUP(A1534,Internal_lists_bugs!$A$2:$I7981,9,FALSE()),"please select a BUG ID")</f>
        <v>https://review.opendev.org/c/openstack/nova/+/102324</v>
      </c>
      <c r="D1534" s="112" t="s">
        <v>1412</v>
      </c>
      <c r="E1534" s="112" t="s">
        <v>1462</v>
      </c>
      <c r="F1534" s="113" t="s">
        <v>251</v>
      </c>
      <c r="G1534" s="79" t="s">
        <v>1672</v>
      </c>
      <c r="H1534" s="116" t="s">
        <v>3297</v>
      </c>
      <c r="I1534" s="16" t="s">
        <v>251</v>
      </c>
      <c r="J1534" s="16" t="s">
        <v>3298</v>
      </c>
      <c r="K1534" s="16" t="s">
        <v>251</v>
      </c>
      <c r="L1534" s="16" t="s">
        <v>3058</v>
      </c>
      <c r="M1534" s="114" t="str">
        <f>VLOOKUP(A1534,'BIC_(C_Variables)'!$A$3:$AS$43,45,FALSE())</f>
        <v/>
      </c>
      <c r="N1534" s="1"/>
      <c r="O1534" s="1"/>
      <c r="P1534" s="81" t="str">
        <f>IFERROR(VLOOKUP(A1534,Internal_lists_bugs!$A$2:$G7981,7,FALSE()),"please select a BUG ID")</f>
        <v>https://opendev.org/openstack/nova/commit/60c90f7</v>
      </c>
    </row>
    <row r="1535">
      <c r="A1535" s="16" t="s">
        <v>61</v>
      </c>
      <c r="B1535" s="50" t="str">
        <f>IFERROR(HYPERLINK(VLOOKUP(A1535,Internal_lists_bugs!$A$2:$C$73,3,FALSE()), VLOOKUP(A1535,Internal_lists_bugs!$A$2:$C$73,3,FALSE())&amp;Char(10) &amp; Char(10) &amp; VLOOKUP(A1535,Internal_lists_bugs!$A$2:$Z$73,26,FALSE())),"please select a BUG ID")</f>
        <v>https://bugs.launchpad.net/nova/+bug/1453274
/libvirt/driver.py</v>
      </c>
      <c r="C1535" s="81" t="str">
        <f>IFERROR(VLOOKUP(A1535,Internal_lists_bugs!$A$2:$I7981,9,FALSE()),"please select a BUG ID")</f>
        <v>https://review.opendev.org/c/openstack/nova/+/102324</v>
      </c>
      <c r="D1535" s="114"/>
      <c r="E1535" s="114"/>
      <c r="F1535" s="115"/>
      <c r="G1535" s="79" t="s">
        <v>1417</v>
      </c>
      <c r="H1535" s="116" t="s">
        <v>3299</v>
      </c>
      <c r="I1535" s="54"/>
      <c r="K1535" s="54"/>
      <c r="M1535" s="114" t="str">
        <f>VLOOKUP(A1535,'BIC_(C_Variables)'!$A$3:$AS$43,45,FALSE())</f>
        <v/>
      </c>
      <c r="N1535" s="1"/>
      <c r="O1535" s="1"/>
      <c r="P1535" s="81" t="str">
        <f>IFERROR(VLOOKUP(A1535,Internal_lists_bugs!$A$2:$G7981,7,FALSE()),"please select a BUG ID")</f>
        <v>https://opendev.org/openstack/nova/commit/60c90f7</v>
      </c>
    </row>
    <row r="1536">
      <c r="A1536" s="16" t="s">
        <v>61</v>
      </c>
      <c r="B1536" s="50" t="str">
        <f>IFERROR(HYPERLINK(VLOOKUP(A1536,Internal_lists_bugs!$A$2:$C$73,3,FALSE()), VLOOKUP(A1536,Internal_lists_bugs!$A$2:$C$73,3,FALSE())&amp;Char(10) &amp; Char(10) &amp; VLOOKUP(A1536,Internal_lists_bugs!$A$2:$Z$73,26,FALSE())),"please select a BUG ID")</f>
        <v>https://bugs.launchpad.net/nova/+bug/1453274
/libvirt/driver.py</v>
      </c>
      <c r="C1536" s="81" t="str">
        <f>IFERROR(VLOOKUP(A1536,Internal_lists_bugs!$A$2:$I7981,9,FALSE()),"please select a BUG ID")</f>
        <v>https://review.opendev.org/c/openstack/nova/+/102324</v>
      </c>
      <c r="D1536" s="114"/>
      <c r="E1536" s="114"/>
      <c r="F1536" s="115"/>
      <c r="G1536" s="79" t="s">
        <v>1466</v>
      </c>
      <c r="H1536" s="116" t="s">
        <v>3300</v>
      </c>
      <c r="I1536" s="54"/>
      <c r="K1536" s="54"/>
      <c r="M1536" s="114" t="str">
        <f>VLOOKUP(A1536,'BIC_(C_Variables)'!$A$3:$AS$43,45,FALSE())</f>
        <v/>
      </c>
      <c r="N1536" s="1"/>
      <c r="O1536" s="1"/>
      <c r="P1536" s="81" t="str">
        <f>IFERROR(VLOOKUP(A1536,Internal_lists_bugs!$A$2:$G7981,7,FALSE()),"please select a BUG ID")</f>
        <v>https://opendev.org/openstack/nova/commit/60c90f7</v>
      </c>
    </row>
    <row r="1537">
      <c r="A1537" s="16" t="s">
        <v>61</v>
      </c>
      <c r="B1537" s="50" t="str">
        <f>IFERROR(HYPERLINK(VLOOKUP(A1537,Internal_lists_bugs!$A$2:$C$73,3,FALSE()), VLOOKUP(A1537,Internal_lists_bugs!$A$2:$C$73,3,FALSE())&amp;Char(10) &amp; Char(10) &amp; VLOOKUP(A1537,Internal_lists_bugs!$A$2:$Z$73,26,FALSE())),"please select a BUG ID")</f>
        <v>https://bugs.launchpad.net/nova/+bug/1453274
/libvirt/driver.py</v>
      </c>
      <c r="C1537" s="81" t="str">
        <f>IFERROR(VLOOKUP(A1537,Internal_lists_bugs!$A$2:$I7981,9,FALSE()),"please select a BUG ID")</f>
        <v>https://review.opendev.org/c/openstack/nova/+/102324</v>
      </c>
      <c r="D1537" s="114"/>
      <c r="E1537" s="114"/>
      <c r="F1537" s="115"/>
      <c r="G1537" s="79" t="s">
        <v>1419</v>
      </c>
      <c r="H1537" s="116" t="s">
        <v>3301</v>
      </c>
      <c r="I1537" s="54"/>
      <c r="K1537" s="54"/>
      <c r="M1537" s="114" t="str">
        <f>VLOOKUP(A1537,'BIC_(C_Variables)'!$A$3:$AS$43,45,FALSE())</f>
        <v/>
      </c>
      <c r="N1537" s="1"/>
      <c r="O1537" s="1"/>
      <c r="P1537" s="81" t="str">
        <f>IFERROR(VLOOKUP(A1537,Internal_lists_bugs!$A$2:$G7981,7,FALSE()),"please select a BUG ID")</f>
        <v>https://opendev.org/openstack/nova/commit/60c90f7</v>
      </c>
    </row>
    <row r="1538">
      <c r="A1538" s="16" t="s">
        <v>61</v>
      </c>
      <c r="B1538" s="50" t="str">
        <f>IFERROR(HYPERLINK(VLOOKUP(A1538,Internal_lists_bugs!$A$2:$C$73,3,FALSE()), VLOOKUP(A1538,Internal_lists_bugs!$A$2:$C$73,3,FALSE())&amp;Char(10) &amp; Char(10) &amp; VLOOKUP(A1538,Internal_lists_bugs!$A$2:$Z$73,26,FALSE())),"please select a BUG ID")</f>
        <v>https://bugs.launchpad.net/nova/+bug/1453274
/libvirt/driver.py</v>
      </c>
      <c r="C1538" s="81" t="str">
        <f>IFERROR(VLOOKUP(A1538,Internal_lists_bugs!$A$2:$I7981,9,FALSE()),"please select a BUG ID")</f>
        <v>https://review.opendev.org/c/openstack/nova/+/102324</v>
      </c>
      <c r="D1538" s="114"/>
      <c r="E1538" s="114"/>
      <c r="F1538" s="115"/>
      <c r="G1538" s="79" t="s">
        <v>1460</v>
      </c>
      <c r="H1538" s="116" t="s">
        <v>1461</v>
      </c>
      <c r="I1538" s="54"/>
      <c r="K1538" s="54"/>
      <c r="M1538" s="114" t="str">
        <f>VLOOKUP(A1538,'BIC_(C_Variables)'!$A$3:$AS$43,45,FALSE())</f>
        <v/>
      </c>
      <c r="N1538" s="1"/>
      <c r="O1538" s="1"/>
      <c r="P1538" s="81" t="str">
        <f>IFERROR(VLOOKUP(A1538,Internal_lists_bugs!$A$2:$G7981,7,FALSE()),"please select a BUG ID")</f>
        <v>https://opendev.org/openstack/nova/commit/60c90f7</v>
      </c>
    </row>
    <row r="1539">
      <c r="A1539" s="16" t="s">
        <v>61</v>
      </c>
      <c r="B1539" s="50" t="str">
        <f>IFERROR(HYPERLINK(VLOOKUP(A1539,Internal_lists_bugs!$A$2:$C$73,3,FALSE()), VLOOKUP(A1539,Internal_lists_bugs!$A$2:$C$73,3,FALSE())&amp;Char(10) &amp; Char(10) &amp; VLOOKUP(A1539,Internal_lists_bugs!$A$2:$Z$73,26,FALSE())),"please select a BUG ID")</f>
        <v>https://bugs.launchpad.net/nova/+bug/1453274
/libvirt/driver.py</v>
      </c>
      <c r="C1539" s="81" t="str">
        <f>IFERROR(VLOOKUP(A1539,Internal_lists_bugs!$A$2:$I7981,9,FALSE()),"please select a BUG ID")</f>
        <v>https://review.opendev.org/c/openstack/nova/+/102324</v>
      </c>
      <c r="D1539" s="114"/>
      <c r="E1539" s="114"/>
      <c r="F1539" s="115"/>
      <c r="G1539" s="79" t="s">
        <v>1495</v>
      </c>
      <c r="H1539" s="116" t="s">
        <v>3167</v>
      </c>
      <c r="I1539" s="54"/>
      <c r="K1539" s="54"/>
      <c r="M1539" s="114" t="str">
        <f>VLOOKUP(A1539,'BIC_(C_Variables)'!$A$3:$AS$43,45,FALSE())</f>
        <v/>
      </c>
      <c r="N1539" s="1"/>
      <c r="O1539" s="1"/>
      <c r="P1539" s="81" t="str">
        <f>IFERROR(VLOOKUP(A1539,Internal_lists_bugs!$A$2:$G7981,7,FALSE()),"please select a BUG ID")</f>
        <v>https://opendev.org/openstack/nova/commit/60c90f7</v>
      </c>
    </row>
    <row r="1540">
      <c r="A1540" s="16" t="s">
        <v>61</v>
      </c>
      <c r="B1540" s="50" t="str">
        <f>IFERROR(HYPERLINK(VLOOKUP(A1540,Internal_lists_bugs!$A$2:$C$73,3,FALSE()), VLOOKUP(A1540,Internal_lists_bugs!$A$2:$C$73,3,FALSE())&amp;Char(10) &amp; Char(10) &amp; VLOOKUP(A1540,Internal_lists_bugs!$A$2:$Z$73,26,FALSE())),"please select a BUG ID")</f>
        <v>https://bugs.launchpad.net/nova/+bug/1453274
/libvirt/driver.py</v>
      </c>
      <c r="C1540" s="81" t="str">
        <f>IFERROR(VLOOKUP(A1540,Internal_lists_bugs!$A$2:$I7981,9,FALSE()),"please select a BUG ID")</f>
        <v>https://review.opendev.org/c/openstack/nova/+/102324</v>
      </c>
      <c r="D1540" s="114"/>
      <c r="E1540" s="114"/>
      <c r="F1540" s="115"/>
      <c r="G1540" s="79" t="s">
        <v>3302</v>
      </c>
      <c r="H1540" s="116" t="s">
        <v>3303</v>
      </c>
      <c r="I1540" s="54"/>
      <c r="K1540" s="54"/>
      <c r="M1540" s="114" t="str">
        <f>VLOOKUP(A1540,'BIC_(C_Variables)'!$A$3:$AS$43,45,FALSE())</f>
        <v/>
      </c>
      <c r="N1540" s="1"/>
      <c r="O1540" s="1"/>
      <c r="P1540" s="81" t="str">
        <f>IFERROR(VLOOKUP(A1540,Internal_lists_bugs!$A$2:$G7981,7,FALSE()),"please select a BUG ID")</f>
        <v>https://opendev.org/openstack/nova/commit/60c90f7</v>
      </c>
    </row>
    <row r="1541">
      <c r="A1541" s="16" t="s">
        <v>61</v>
      </c>
      <c r="B1541" s="50" t="str">
        <f>IFERROR(HYPERLINK(VLOOKUP(A1541,Internal_lists_bugs!$A$2:$C$73,3,FALSE()), VLOOKUP(A1541,Internal_lists_bugs!$A$2:$C$73,3,FALSE())&amp;Char(10) &amp; Char(10) &amp; VLOOKUP(A1541,Internal_lists_bugs!$A$2:$Z$73,26,FALSE())),"please select a BUG ID")</f>
        <v>https://bugs.launchpad.net/nova/+bug/1453274
/libvirt/driver.py</v>
      </c>
      <c r="C1541" s="81" t="str">
        <f>IFERROR(VLOOKUP(A1541,Internal_lists_bugs!$A$2:$I7981,9,FALSE()),"please select a BUG ID")</f>
        <v>https://review.opendev.org/c/openstack/nova/+/102324</v>
      </c>
      <c r="D1541" s="114"/>
      <c r="E1541" s="114"/>
      <c r="F1541" s="115"/>
      <c r="G1541" s="79" t="s">
        <v>1590</v>
      </c>
      <c r="H1541" s="116" t="s">
        <v>3304</v>
      </c>
      <c r="I1541" s="54"/>
      <c r="K1541" s="54"/>
      <c r="M1541" s="114" t="str">
        <f>VLOOKUP(A1541,'BIC_(C_Variables)'!$A$3:$AS$43,45,FALSE())</f>
        <v/>
      </c>
      <c r="N1541" s="1"/>
      <c r="O1541" s="1"/>
      <c r="P1541" s="81" t="str">
        <f>IFERROR(VLOOKUP(A1541,Internal_lists_bugs!$A$2:$G7981,7,FALSE()),"please select a BUG ID")</f>
        <v>https://opendev.org/openstack/nova/commit/60c90f7</v>
      </c>
    </row>
    <row r="1542">
      <c r="A1542" s="16" t="s">
        <v>61</v>
      </c>
      <c r="B1542" s="50" t="str">
        <f>IFERROR(HYPERLINK(VLOOKUP(A1542,Internal_lists_bugs!$A$2:$C$73,3,FALSE()), VLOOKUP(A1542,Internal_lists_bugs!$A$2:$C$73,3,FALSE())&amp;Char(10) &amp; Char(10) &amp; VLOOKUP(A1542,Internal_lists_bugs!$A$2:$Z$73,26,FALSE())),"please select a BUG ID")</f>
        <v>https://bugs.launchpad.net/nova/+bug/1453274
/libvirt/driver.py</v>
      </c>
      <c r="C1542" s="81" t="str">
        <f>IFERROR(VLOOKUP(A1542,Internal_lists_bugs!$A$2:$I7981,9,FALSE()),"please select a BUG ID")</f>
        <v>https://review.opendev.org/c/openstack/nova/+/102324</v>
      </c>
      <c r="D1542" s="114"/>
      <c r="E1542" s="114"/>
      <c r="F1542" s="115"/>
      <c r="G1542" s="79" t="s">
        <v>1507</v>
      </c>
      <c r="H1542" s="116" t="s">
        <v>3305</v>
      </c>
      <c r="I1542" s="54"/>
      <c r="K1542" s="54"/>
      <c r="M1542" s="114" t="str">
        <f>VLOOKUP(A1542,'BIC_(C_Variables)'!$A$3:$AS$43,45,FALSE())</f>
        <v/>
      </c>
      <c r="N1542" s="1"/>
      <c r="O1542" s="1"/>
      <c r="P1542" s="81" t="str">
        <f>IFERROR(VLOOKUP(A1542,Internal_lists_bugs!$A$2:$G7981,7,FALSE()),"please select a BUG ID")</f>
        <v>https://opendev.org/openstack/nova/commit/60c90f7</v>
      </c>
    </row>
    <row r="1543">
      <c r="A1543" s="16" t="s">
        <v>61</v>
      </c>
      <c r="B1543" s="50" t="str">
        <f>IFERROR(HYPERLINK(VLOOKUP(A1543,Internal_lists_bugs!$A$2:$C$73,3,FALSE()), VLOOKUP(A1543,Internal_lists_bugs!$A$2:$C$73,3,FALSE())&amp;Char(10) &amp; Char(10) &amp; VLOOKUP(A1543,Internal_lists_bugs!$A$2:$Z$73,26,FALSE())),"please select a BUG ID")</f>
        <v>https://bugs.launchpad.net/nova/+bug/1453274
/libvirt/driver.py</v>
      </c>
      <c r="C1543" s="81" t="str">
        <f>IFERROR(VLOOKUP(A1543,Internal_lists_bugs!$A$2:$I7981,9,FALSE()),"please select a BUG ID")</f>
        <v>https://review.opendev.org/c/openstack/nova/+/102324</v>
      </c>
      <c r="D1543" s="114"/>
      <c r="E1543" s="114"/>
      <c r="F1543" s="115"/>
      <c r="G1543" s="79" t="s">
        <v>1779</v>
      </c>
      <c r="H1543" s="116" t="s">
        <v>3306</v>
      </c>
      <c r="I1543" s="54"/>
      <c r="K1543" s="54"/>
      <c r="M1543" s="114" t="str">
        <f>VLOOKUP(A1543,'BIC_(C_Variables)'!$A$3:$AS$43,45,FALSE())</f>
        <v/>
      </c>
      <c r="N1543" s="1"/>
      <c r="O1543" s="1"/>
      <c r="P1543" s="81" t="str">
        <f>IFERROR(VLOOKUP(A1543,Internal_lists_bugs!$A$2:$G7981,7,FALSE()),"please select a BUG ID")</f>
        <v>https://opendev.org/openstack/nova/commit/60c90f7</v>
      </c>
    </row>
    <row r="1544">
      <c r="A1544" s="16" t="s">
        <v>61</v>
      </c>
      <c r="B1544" s="50" t="str">
        <f>IFERROR(HYPERLINK(VLOOKUP(A1544,Internal_lists_bugs!$A$2:$C$73,3,FALSE()), VLOOKUP(A1544,Internal_lists_bugs!$A$2:$C$73,3,FALSE())&amp;Char(10) &amp; Char(10) &amp; VLOOKUP(A1544,Internal_lists_bugs!$A$2:$Z$73,26,FALSE())),"please select a BUG ID")</f>
        <v>https://bugs.launchpad.net/nova/+bug/1453274
/libvirt/driver.py</v>
      </c>
      <c r="C1544" s="81" t="str">
        <f>IFERROR(VLOOKUP(A1544,Internal_lists_bugs!$A$2:$I7981,9,FALSE()),"please select a BUG ID")</f>
        <v>https://review.opendev.org/c/openstack/nova/+/102324</v>
      </c>
      <c r="D1544" s="114"/>
      <c r="E1544" s="114"/>
      <c r="F1544" s="115"/>
      <c r="G1544" s="79" t="s">
        <v>3307</v>
      </c>
      <c r="H1544" s="116" t="s">
        <v>3308</v>
      </c>
      <c r="I1544" s="54"/>
      <c r="K1544" s="54"/>
      <c r="M1544" s="114" t="str">
        <f>VLOOKUP(A1544,'BIC_(C_Variables)'!$A$3:$AS$43,45,FALSE())</f>
        <v/>
      </c>
      <c r="N1544" s="1"/>
      <c r="O1544" s="1"/>
      <c r="P1544" s="81" t="str">
        <f>IFERROR(VLOOKUP(A1544,Internal_lists_bugs!$A$2:$G7981,7,FALSE()),"please select a BUG ID")</f>
        <v>https://opendev.org/openstack/nova/commit/60c90f7</v>
      </c>
    </row>
    <row r="1545">
      <c r="A1545" s="16" t="s">
        <v>61</v>
      </c>
      <c r="B1545" s="50" t="str">
        <f>IFERROR(HYPERLINK(VLOOKUP(A1545,Internal_lists_bugs!$A$2:$C$73,3,FALSE()), VLOOKUP(A1545,Internal_lists_bugs!$A$2:$C$73,3,FALSE())&amp;Char(10) &amp; Char(10) &amp; VLOOKUP(A1545,Internal_lists_bugs!$A$2:$Z$73,26,FALSE())),"please select a BUG ID")</f>
        <v>https://bugs.launchpad.net/nova/+bug/1453274
/libvirt/driver.py</v>
      </c>
      <c r="C1545" s="81" t="str">
        <f>IFERROR(VLOOKUP(A1545,Internal_lists_bugs!$A$2:$I7981,9,FALSE()),"please select a BUG ID")</f>
        <v>https://review.opendev.org/c/openstack/nova/+/102324</v>
      </c>
      <c r="D1545" s="114"/>
      <c r="E1545" s="114"/>
      <c r="F1545" s="115"/>
      <c r="G1545" s="79" t="s">
        <v>3309</v>
      </c>
      <c r="H1545" s="116" t="s">
        <v>3310</v>
      </c>
      <c r="I1545" s="54"/>
      <c r="K1545" s="54"/>
      <c r="M1545" s="114" t="str">
        <f>VLOOKUP(A1545,'BIC_(C_Variables)'!$A$3:$AS$43,45,FALSE())</f>
        <v/>
      </c>
      <c r="N1545" s="1"/>
      <c r="O1545" s="1"/>
      <c r="P1545" s="81" t="str">
        <f>IFERROR(VLOOKUP(A1545,Internal_lists_bugs!$A$2:$G7981,7,FALSE()),"please select a BUG ID")</f>
        <v>https://opendev.org/openstack/nova/commit/60c90f7</v>
      </c>
    </row>
    <row r="1546">
      <c r="A1546" s="16" t="s">
        <v>61</v>
      </c>
      <c r="B1546" s="50" t="str">
        <f>IFERROR(HYPERLINK(VLOOKUP(A1546,Internal_lists_bugs!$A$2:$C$73,3,FALSE()), VLOOKUP(A1546,Internal_lists_bugs!$A$2:$C$73,3,FALSE())&amp;Char(10) &amp; Char(10) &amp; VLOOKUP(A1546,Internal_lists_bugs!$A$2:$Z$73,26,FALSE())),"please select a BUG ID")</f>
        <v>https://bugs.launchpad.net/nova/+bug/1453274
/libvirt/driver.py</v>
      </c>
      <c r="C1546" s="81" t="str">
        <f>IFERROR(VLOOKUP(A1546,Internal_lists_bugs!$A$2:$I7981,9,FALSE()),"please select a BUG ID")</f>
        <v>https://review.opendev.org/c/openstack/nova/+/102324</v>
      </c>
      <c r="D1546" s="114"/>
      <c r="E1546" s="114"/>
      <c r="F1546" s="115"/>
      <c r="G1546" s="79" t="s">
        <v>1696</v>
      </c>
      <c r="H1546" s="116" t="s">
        <v>3305</v>
      </c>
      <c r="I1546" s="54"/>
      <c r="K1546" s="54"/>
      <c r="M1546" s="114" t="str">
        <f>VLOOKUP(A1546,'BIC_(C_Variables)'!$A$3:$AS$43,45,FALSE())</f>
        <v/>
      </c>
      <c r="N1546" s="1"/>
      <c r="O1546" s="1"/>
      <c r="P1546" s="81" t="str">
        <f>IFERROR(VLOOKUP(A1546,Internal_lists_bugs!$A$2:$G7981,7,FALSE()),"please select a BUG ID")</f>
        <v>https://opendev.org/openstack/nova/commit/60c90f7</v>
      </c>
    </row>
    <row r="1547">
      <c r="A1547" s="16" t="s">
        <v>61</v>
      </c>
      <c r="B1547" s="50" t="str">
        <f>IFERROR(HYPERLINK(VLOOKUP(A1547,Internal_lists_bugs!$A$2:$C$73,3,FALSE()), VLOOKUP(A1547,Internal_lists_bugs!$A$2:$C$73,3,FALSE())&amp;Char(10) &amp; Char(10) &amp; VLOOKUP(A1547,Internal_lists_bugs!$A$2:$Z$73,26,FALSE())),"please select a BUG ID")</f>
        <v>https://bugs.launchpad.net/nova/+bug/1453274
/libvirt/driver.py</v>
      </c>
      <c r="C1547" s="81" t="str">
        <f>IFERROR(VLOOKUP(A1547,Internal_lists_bugs!$A$2:$I7981,9,FALSE()),"please select a BUG ID")</f>
        <v>https://review.opendev.org/c/openstack/nova/+/102324</v>
      </c>
      <c r="D1547" s="114"/>
      <c r="E1547" s="114"/>
      <c r="F1547" s="115"/>
      <c r="G1547" s="79" t="s">
        <v>3115</v>
      </c>
      <c r="H1547" s="116" t="s">
        <v>3311</v>
      </c>
      <c r="I1547" s="54"/>
      <c r="K1547" s="54"/>
      <c r="M1547" s="114" t="str">
        <f>VLOOKUP(A1547,'BIC_(C_Variables)'!$A$3:$AS$43,45,FALSE())</f>
        <v/>
      </c>
      <c r="N1547" s="1"/>
      <c r="O1547" s="1"/>
      <c r="P1547" s="81" t="str">
        <f>IFERROR(VLOOKUP(A1547,Internal_lists_bugs!$A$2:$G7981,7,FALSE()),"please select a BUG ID")</f>
        <v>https://opendev.org/openstack/nova/commit/60c90f7</v>
      </c>
    </row>
    <row r="1548">
      <c r="A1548" s="16" t="s">
        <v>61</v>
      </c>
      <c r="B1548" s="50" t="str">
        <f>IFERROR(HYPERLINK(VLOOKUP(A1548,Internal_lists_bugs!$A$2:$C$73,3,FALSE()), VLOOKUP(A1548,Internal_lists_bugs!$A$2:$C$73,3,FALSE())&amp;Char(10) &amp; Char(10) &amp; VLOOKUP(A1548,Internal_lists_bugs!$A$2:$Z$73,26,FALSE())),"please select a BUG ID")</f>
        <v>https://bugs.launchpad.net/nova/+bug/1453274
/libvirt/driver.py</v>
      </c>
      <c r="C1548" s="81" t="str">
        <f>IFERROR(VLOOKUP(A1548,Internal_lists_bugs!$A$2:$I7981,9,FALSE()),"please select a BUG ID")</f>
        <v>https://review.opendev.org/c/openstack/nova/+/102324</v>
      </c>
      <c r="D1548" s="114"/>
      <c r="E1548" s="114"/>
      <c r="F1548" s="115"/>
      <c r="G1548" s="79" t="s">
        <v>2973</v>
      </c>
      <c r="H1548" s="116" t="s">
        <v>3312</v>
      </c>
      <c r="I1548" s="54"/>
      <c r="K1548" s="54"/>
      <c r="M1548" s="114" t="str">
        <f>VLOOKUP(A1548,'BIC_(C_Variables)'!$A$3:$AS$43,45,FALSE())</f>
        <v/>
      </c>
      <c r="N1548" s="1"/>
      <c r="O1548" s="1"/>
      <c r="P1548" s="81" t="str">
        <f>IFERROR(VLOOKUP(A1548,Internal_lists_bugs!$A$2:$G7981,7,FALSE()),"please select a BUG ID")</f>
        <v>https://opendev.org/openstack/nova/commit/60c90f7</v>
      </c>
    </row>
    <row r="1549">
      <c r="A1549" s="16" t="s">
        <v>61</v>
      </c>
      <c r="B1549" s="50" t="str">
        <f>IFERROR(HYPERLINK(VLOOKUP(A1549,Internal_lists_bugs!$A$2:$C$73,3,FALSE()), VLOOKUP(A1549,Internal_lists_bugs!$A$2:$C$73,3,FALSE())&amp;Char(10) &amp; Char(10) &amp; VLOOKUP(A1549,Internal_lists_bugs!$A$2:$Z$73,26,FALSE())),"please select a BUG ID")</f>
        <v>https://bugs.launchpad.net/nova/+bug/1453274
/libvirt/driver.py</v>
      </c>
      <c r="C1549" s="81" t="str">
        <f>IFERROR(VLOOKUP(A1549,Internal_lists_bugs!$A$2:$I7981,9,FALSE()),"please select a BUG ID")</f>
        <v>https://review.opendev.org/c/openstack/nova/+/102324</v>
      </c>
      <c r="D1549" s="114"/>
      <c r="E1549" s="114"/>
      <c r="F1549" s="115"/>
      <c r="G1549" s="79" t="s">
        <v>3313</v>
      </c>
      <c r="H1549" s="116" t="s">
        <v>3314</v>
      </c>
      <c r="I1549" s="54"/>
      <c r="K1549" s="54"/>
      <c r="M1549" s="114" t="str">
        <f>VLOOKUP(A1549,'BIC_(C_Variables)'!$A$3:$AS$43,45,FALSE())</f>
        <v/>
      </c>
      <c r="N1549" s="1"/>
      <c r="O1549" s="1"/>
      <c r="P1549" s="81" t="str">
        <f>IFERROR(VLOOKUP(A1549,Internal_lists_bugs!$A$2:$G7981,7,FALSE()),"please select a BUG ID")</f>
        <v>https://opendev.org/openstack/nova/commit/60c90f7</v>
      </c>
    </row>
    <row r="1550">
      <c r="A1550" s="16" t="s">
        <v>61</v>
      </c>
      <c r="B1550" s="50" t="str">
        <f>IFERROR(HYPERLINK(VLOOKUP(A1550,Internal_lists_bugs!$A$2:$C$73,3,FALSE()), VLOOKUP(A1550,Internal_lists_bugs!$A$2:$C$73,3,FALSE())&amp;Char(10) &amp; Char(10) &amp; VLOOKUP(A1550,Internal_lists_bugs!$A$2:$Z$73,26,FALSE())),"please select a BUG ID")</f>
        <v>https://bugs.launchpad.net/nova/+bug/1453274
/libvirt/driver.py</v>
      </c>
      <c r="C1550" s="81" t="str">
        <f>IFERROR(VLOOKUP(A1550,Internal_lists_bugs!$A$2:$I7981,9,FALSE()),"please select a BUG ID")</f>
        <v>https://review.opendev.org/c/openstack/nova/+/102324</v>
      </c>
      <c r="D1550" s="114"/>
      <c r="E1550" s="114"/>
      <c r="F1550" s="115"/>
      <c r="G1550" s="79" t="s">
        <v>3315</v>
      </c>
      <c r="H1550" s="116" t="s">
        <v>3314</v>
      </c>
      <c r="I1550" s="54"/>
      <c r="K1550" s="54"/>
      <c r="M1550" s="114" t="str">
        <f>VLOOKUP(A1550,'BIC_(C_Variables)'!$A$3:$AS$43,45,FALSE())</f>
        <v/>
      </c>
      <c r="N1550" s="1"/>
      <c r="O1550" s="1"/>
      <c r="P1550" s="81" t="str">
        <f>IFERROR(VLOOKUP(A1550,Internal_lists_bugs!$A$2:$G7981,7,FALSE()),"please select a BUG ID")</f>
        <v>https://opendev.org/openstack/nova/commit/60c90f7</v>
      </c>
    </row>
    <row r="1551">
      <c r="A1551" s="16" t="s">
        <v>61</v>
      </c>
      <c r="B1551" s="50" t="str">
        <f>IFERROR(HYPERLINK(VLOOKUP(A1551,Internal_lists_bugs!$A$2:$C$73,3,FALSE()), VLOOKUP(A1551,Internal_lists_bugs!$A$2:$C$73,3,FALSE())&amp;Char(10) &amp; Char(10) &amp; VLOOKUP(A1551,Internal_lists_bugs!$A$2:$Z$73,26,FALSE())),"please select a BUG ID")</f>
        <v>https://bugs.launchpad.net/nova/+bug/1453274
/libvirt/driver.py</v>
      </c>
      <c r="C1551" s="81" t="str">
        <f>IFERROR(VLOOKUP(A1551,Internal_lists_bugs!$A$2:$I7981,9,FALSE()),"please select a BUG ID")</f>
        <v>https://review.opendev.org/c/openstack/nova/+/102324</v>
      </c>
      <c r="D1551" s="114"/>
      <c r="E1551" s="114"/>
      <c r="F1551" s="115"/>
      <c r="G1551" s="79" t="s">
        <v>3316</v>
      </c>
      <c r="H1551" s="116" t="s">
        <v>3317</v>
      </c>
      <c r="I1551" s="54"/>
      <c r="K1551" s="54"/>
      <c r="M1551" s="114" t="str">
        <f>VLOOKUP(A1551,'BIC_(C_Variables)'!$A$3:$AS$43,45,FALSE())</f>
        <v/>
      </c>
      <c r="N1551" s="1"/>
      <c r="O1551" s="1"/>
      <c r="P1551" s="81" t="str">
        <f>IFERROR(VLOOKUP(A1551,Internal_lists_bugs!$A$2:$G7981,7,FALSE()),"please select a BUG ID")</f>
        <v>https://opendev.org/openstack/nova/commit/60c90f7</v>
      </c>
    </row>
    <row r="1552">
      <c r="A1552" s="16" t="s">
        <v>61</v>
      </c>
      <c r="B1552" s="50" t="str">
        <f>IFERROR(HYPERLINK(VLOOKUP(A1552,Internal_lists_bugs!$A$2:$C$73,3,FALSE()), VLOOKUP(A1552,Internal_lists_bugs!$A$2:$C$73,3,FALSE())&amp;Char(10) &amp; Char(10) &amp; VLOOKUP(A1552,Internal_lists_bugs!$A$2:$Z$73,26,FALSE())),"please select a BUG ID")</f>
        <v>https://bugs.launchpad.net/nova/+bug/1453274
/libvirt/driver.py</v>
      </c>
      <c r="C1552" s="81" t="str">
        <f>IFERROR(VLOOKUP(A1552,Internal_lists_bugs!$A$2:$I7981,9,FALSE()),"please select a BUG ID")</f>
        <v>https://review.opendev.org/c/openstack/nova/+/102324</v>
      </c>
      <c r="D1552" s="114"/>
      <c r="E1552" s="114"/>
      <c r="F1552" s="115"/>
      <c r="G1552" s="79" t="s">
        <v>1479</v>
      </c>
      <c r="H1552" s="116" t="s">
        <v>3317</v>
      </c>
      <c r="I1552" s="54"/>
      <c r="K1552" s="54"/>
      <c r="M1552" s="114" t="str">
        <f>VLOOKUP(A1552,'BIC_(C_Variables)'!$A$3:$AS$43,45,FALSE())</f>
        <v/>
      </c>
      <c r="N1552" s="1"/>
      <c r="O1552" s="1"/>
      <c r="P1552" s="81" t="str">
        <f>IFERROR(VLOOKUP(A1552,Internal_lists_bugs!$A$2:$G7981,7,FALSE()),"please select a BUG ID")</f>
        <v>https://opendev.org/openstack/nova/commit/60c90f7</v>
      </c>
    </row>
    <row r="1553">
      <c r="A1553" s="16" t="s">
        <v>61</v>
      </c>
      <c r="B1553" s="50" t="str">
        <f>IFERROR(HYPERLINK(VLOOKUP(A1553,Internal_lists_bugs!$A$2:$C$73,3,FALSE()), VLOOKUP(A1553,Internal_lists_bugs!$A$2:$C$73,3,FALSE())&amp;Char(10) &amp; Char(10) &amp; VLOOKUP(A1553,Internal_lists_bugs!$A$2:$Z$73,26,FALSE())),"please select a BUG ID")</f>
        <v>https://bugs.launchpad.net/nova/+bug/1453274
/libvirt/driver.py</v>
      </c>
      <c r="C1553" s="81" t="str">
        <f>IFERROR(VLOOKUP(A1553,Internal_lists_bugs!$A$2:$I7981,9,FALSE()),"please select a BUG ID")</f>
        <v>https://review.opendev.org/c/openstack/nova/+/102324</v>
      </c>
      <c r="D1553" s="114"/>
      <c r="E1553" s="114"/>
      <c r="F1553" s="115"/>
      <c r="G1553" s="79" t="s">
        <v>1590</v>
      </c>
      <c r="H1553" s="116" t="s">
        <v>3318</v>
      </c>
      <c r="I1553" s="54"/>
      <c r="K1553" s="54"/>
      <c r="M1553" s="114" t="str">
        <f>VLOOKUP(A1553,'BIC_(C_Variables)'!$A$3:$AS$43,45,FALSE())</f>
        <v/>
      </c>
      <c r="N1553" s="1"/>
      <c r="O1553" s="1"/>
      <c r="P1553" s="81" t="str">
        <f>IFERROR(VLOOKUP(A1553,Internal_lists_bugs!$A$2:$G7981,7,FALSE()),"please select a BUG ID")</f>
        <v>https://opendev.org/openstack/nova/commit/60c90f7</v>
      </c>
    </row>
    <row r="1554">
      <c r="A1554" s="16" t="s">
        <v>61</v>
      </c>
      <c r="B1554" s="50" t="str">
        <f>IFERROR(HYPERLINK(VLOOKUP(A1554,Internal_lists_bugs!$A$2:$C$73,3,FALSE()), VLOOKUP(A1554,Internal_lists_bugs!$A$2:$C$73,3,FALSE())&amp;Char(10) &amp; Char(10) &amp; VLOOKUP(A1554,Internal_lists_bugs!$A$2:$Z$73,26,FALSE())),"please select a BUG ID")</f>
        <v>https://bugs.launchpad.net/nova/+bug/1453274
/libvirt/driver.py</v>
      </c>
      <c r="C1554" s="81" t="str">
        <f>IFERROR(VLOOKUP(A1554,Internal_lists_bugs!$A$2:$I7981,9,FALSE()),"please select a BUG ID")</f>
        <v>https://review.opendev.org/c/openstack/nova/+/102324</v>
      </c>
      <c r="D1554" s="114"/>
      <c r="E1554" s="114"/>
      <c r="F1554" s="115"/>
      <c r="G1554" s="79" t="s">
        <v>1514</v>
      </c>
      <c r="H1554" s="116" t="s">
        <v>3319</v>
      </c>
      <c r="I1554" s="54"/>
      <c r="K1554" s="54"/>
      <c r="M1554" s="114" t="str">
        <f>VLOOKUP(A1554,'BIC_(C_Variables)'!$A$3:$AS$43,45,FALSE())</f>
        <v/>
      </c>
      <c r="N1554" s="1"/>
      <c r="O1554" s="1"/>
      <c r="P1554" s="81" t="str">
        <f>IFERROR(VLOOKUP(A1554,Internal_lists_bugs!$A$2:$G7981,7,FALSE()),"please select a BUG ID")</f>
        <v>https://opendev.org/openstack/nova/commit/60c90f7</v>
      </c>
    </row>
    <row r="1555">
      <c r="A1555" s="16" t="s">
        <v>61</v>
      </c>
      <c r="B1555" s="50" t="str">
        <f>IFERROR(HYPERLINK(VLOOKUP(A1555,Internal_lists_bugs!$A$2:$C$73,3,FALSE()), VLOOKUP(A1555,Internal_lists_bugs!$A$2:$C$73,3,FALSE())&amp;Char(10) &amp; Char(10) &amp; VLOOKUP(A1555,Internal_lists_bugs!$A$2:$Z$73,26,FALSE())),"please select a BUG ID")</f>
        <v>https://bugs.launchpad.net/nova/+bug/1453274
/libvirt/driver.py</v>
      </c>
      <c r="C1555" s="81" t="str">
        <f>IFERROR(VLOOKUP(A1555,Internal_lists_bugs!$A$2:$I7981,9,FALSE()),"please select a BUG ID")</f>
        <v>https://review.opendev.org/c/openstack/nova/+/102324</v>
      </c>
      <c r="D1555" s="114"/>
      <c r="E1555" s="114"/>
      <c r="F1555" s="115"/>
      <c r="G1555" s="79" t="s">
        <v>1430</v>
      </c>
      <c r="H1555" s="116" t="s">
        <v>3320</v>
      </c>
      <c r="I1555" s="54"/>
      <c r="K1555" s="54"/>
      <c r="M1555" s="114" t="str">
        <f>VLOOKUP(A1555,'BIC_(C_Variables)'!$A$3:$AS$43,45,FALSE())</f>
        <v/>
      </c>
      <c r="N1555" s="1"/>
      <c r="O1555" s="1"/>
      <c r="P1555" s="81" t="str">
        <f>IFERROR(VLOOKUP(A1555,Internal_lists_bugs!$A$2:$G7981,7,FALSE()),"please select a BUG ID")</f>
        <v>https://opendev.org/openstack/nova/commit/60c90f7</v>
      </c>
    </row>
    <row r="1556">
      <c r="A1556" s="16" t="s">
        <v>61</v>
      </c>
      <c r="B1556" s="50" t="str">
        <f>IFERROR(HYPERLINK(VLOOKUP(A1556,Internal_lists_bugs!$A$2:$C$73,3,FALSE()), VLOOKUP(A1556,Internal_lists_bugs!$A$2:$C$73,3,FALSE())&amp;Char(10) &amp; Char(10) &amp; VLOOKUP(A1556,Internal_lists_bugs!$A$2:$Z$73,26,FALSE())),"please select a BUG ID")</f>
        <v>https://bugs.launchpad.net/nova/+bug/1453274
/libvirt/driver.py</v>
      </c>
      <c r="C1556" s="81" t="str">
        <f>IFERROR(VLOOKUP(A1556,Internal_lists_bugs!$A$2:$I7981,9,FALSE()),"please select a BUG ID")</f>
        <v>https://review.opendev.org/c/openstack/nova/+/102324</v>
      </c>
      <c r="D1556" s="114"/>
      <c r="E1556" s="114"/>
      <c r="F1556" s="115"/>
      <c r="G1556" s="79" t="s">
        <v>1808</v>
      </c>
      <c r="H1556" s="116" t="s">
        <v>3321</v>
      </c>
      <c r="I1556" s="54"/>
      <c r="K1556" s="54"/>
      <c r="M1556" s="114" t="str">
        <f>VLOOKUP(A1556,'BIC_(C_Variables)'!$A$3:$AS$43,45,FALSE())</f>
        <v/>
      </c>
      <c r="N1556" s="1"/>
      <c r="O1556" s="1"/>
      <c r="P1556" s="81" t="str">
        <f>IFERROR(VLOOKUP(A1556,Internal_lists_bugs!$A$2:$G7981,7,FALSE()),"please select a BUG ID")</f>
        <v>https://opendev.org/openstack/nova/commit/60c90f7</v>
      </c>
    </row>
    <row r="1557">
      <c r="A1557" s="16" t="s">
        <v>61</v>
      </c>
      <c r="B1557" s="50" t="str">
        <f>IFERROR(HYPERLINK(VLOOKUP(A1557,Internal_lists_bugs!$A$2:$C$73,3,FALSE()), VLOOKUP(A1557,Internal_lists_bugs!$A$2:$C$73,3,FALSE())&amp;Char(10) &amp; Char(10) &amp; VLOOKUP(A1557,Internal_lists_bugs!$A$2:$Z$73,26,FALSE())),"please select a BUG ID")</f>
        <v>https://bugs.launchpad.net/nova/+bug/1453274
/libvirt/driver.py</v>
      </c>
      <c r="C1557" s="81" t="str">
        <f>IFERROR(VLOOKUP(A1557,Internal_lists_bugs!$A$2:$I7981,9,FALSE()),"please select a BUG ID")</f>
        <v>https://review.opendev.org/c/openstack/nova/+/102324</v>
      </c>
      <c r="D1557" s="114"/>
      <c r="E1557" s="114"/>
      <c r="F1557" s="115"/>
      <c r="G1557" s="79" t="s">
        <v>1810</v>
      </c>
      <c r="H1557" s="116" t="s">
        <v>3322</v>
      </c>
      <c r="I1557" s="54"/>
      <c r="K1557" s="54"/>
      <c r="M1557" s="114" t="str">
        <f>VLOOKUP(A1557,'BIC_(C_Variables)'!$A$3:$AS$43,45,FALSE())</f>
        <v/>
      </c>
      <c r="N1557" s="1"/>
      <c r="O1557" s="1"/>
      <c r="P1557" s="81" t="str">
        <f>IFERROR(VLOOKUP(A1557,Internal_lists_bugs!$A$2:$G7981,7,FALSE()),"please select a BUG ID")</f>
        <v>https://opendev.org/openstack/nova/commit/60c90f7</v>
      </c>
    </row>
    <row r="1558">
      <c r="A1558" s="16" t="s">
        <v>61</v>
      </c>
      <c r="B1558" s="50" t="str">
        <f>IFERROR(HYPERLINK(VLOOKUP(A1558,Internal_lists_bugs!$A$2:$C$73,3,FALSE()), VLOOKUP(A1558,Internal_lists_bugs!$A$2:$C$73,3,FALSE())&amp;Char(10) &amp; Char(10) &amp; VLOOKUP(A1558,Internal_lists_bugs!$A$2:$Z$73,26,FALSE())),"please select a BUG ID")</f>
        <v>https://bugs.launchpad.net/nova/+bug/1453274
/libvirt/driver.py</v>
      </c>
      <c r="C1558" s="81" t="str">
        <f>IFERROR(VLOOKUP(A1558,Internal_lists_bugs!$A$2:$I7981,9,FALSE()),"please select a BUG ID")</f>
        <v>https://review.opendev.org/c/openstack/nova/+/102324</v>
      </c>
      <c r="D1558" s="114"/>
      <c r="E1558" s="114"/>
      <c r="F1558" s="115"/>
      <c r="G1558" s="79" t="s">
        <v>3323</v>
      </c>
      <c r="H1558" s="116" t="s">
        <v>3324</v>
      </c>
      <c r="I1558" s="54"/>
      <c r="K1558" s="54"/>
      <c r="M1558" s="114" t="str">
        <f>VLOOKUP(A1558,'BIC_(C_Variables)'!$A$3:$AS$43,45,FALSE())</f>
        <v/>
      </c>
      <c r="N1558" s="1"/>
      <c r="O1558" s="1"/>
      <c r="P1558" s="81" t="str">
        <f>IFERROR(VLOOKUP(A1558,Internal_lists_bugs!$A$2:$G7981,7,FALSE()),"please select a BUG ID")</f>
        <v>https://opendev.org/openstack/nova/commit/60c90f7</v>
      </c>
    </row>
    <row r="1559">
      <c r="A1559" s="16" t="s">
        <v>61</v>
      </c>
      <c r="B1559" s="50" t="str">
        <f>IFERROR(HYPERLINK(VLOOKUP(A1559,Internal_lists_bugs!$A$2:$C$73,3,FALSE()), VLOOKUP(A1559,Internal_lists_bugs!$A$2:$C$73,3,FALSE())&amp;Char(10) &amp; Char(10) &amp; VLOOKUP(A1559,Internal_lists_bugs!$A$2:$Z$73,26,FALSE())),"please select a BUG ID")</f>
        <v>https://bugs.launchpad.net/nova/+bug/1453274
/libvirt/driver.py</v>
      </c>
      <c r="C1559" s="81" t="str">
        <f>IFERROR(VLOOKUP(A1559,Internal_lists_bugs!$A$2:$I7981,9,FALSE()),"please select a BUG ID")</f>
        <v>https://review.opendev.org/c/openstack/nova/+/102324</v>
      </c>
      <c r="D1559" s="114"/>
      <c r="E1559" s="114"/>
      <c r="F1559" s="115"/>
      <c r="G1559" s="79" t="s">
        <v>3325</v>
      </c>
      <c r="H1559" s="116" t="s">
        <v>3326</v>
      </c>
      <c r="I1559" s="54"/>
      <c r="K1559" s="54"/>
      <c r="M1559" s="114" t="str">
        <f>VLOOKUP(A1559,'BIC_(C_Variables)'!$A$3:$AS$43,45,FALSE())</f>
        <v/>
      </c>
      <c r="N1559" s="1"/>
      <c r="O1559" s="1"/>
      <c r="P1559" s="81" t="str">
        <f>IFERROR(VLOOKUP(A1559,Internal_lists_bugs!$A$2:$G7981,7,FALSE()),"please select a BUG ID")</f>
        <v>https://opendev.org/openstack/nova/commit/60c90f7</v>
      </c>
    </row>
    <row r="1560">
      <c r="A1560" s="16" t="s">
        <v>61</v>
      </c>
      <c r="B1560" s="50" t="str">
        <f>IFERROR(HYPERLINK(VLOOKUP(A1560,Internal_lists_bugs!$A$2:$C$73,3,FALSE()), VLOOKUP(A1560,Internal_lists_bugs!$A$2:$C$73,3,FALSE())&amp;Char(10) &amp; Char(10) &amp; VLOOKUP(A1560,Internal_lists_bugs!$A$2:$Z$73,26,FALSE())),"please select a BUG ID")</f>
        <v>https://bugs.launchpad.net/nova/+bug/1453274
/libvirt/driver.py</v>
      </c>
      <c r="C1560" s="81" t="str">
        <f>IFERROR(VLOOKUP(A1560,Internal_lists_bugs!$A$2:$I7981,9,FALSE()),"please select a BUG ID")</f>
        <v>https://review.opendev.org/c/openstack/nova/+/102324</v>
      </c>
      <c r="D1560" s="114"/>
      <c r="E1560" s="114"/>
      <c r="F1560" s="115"/>
      <c r="G1560" s="79" t="s">
        <v>1430</v>
      </c>
      <c r="H1560" s="116" t="s">
        <v>3327</v>
      </c>
      <c r="I1560" s="54"/>
      <c r="K1560" s="54"/>
      <c r="M1560" s="114" t="str">
        <f>VLOOKUP(A1560,'BIC_(C_Variables)'!$A$3:$AS$43,45,FALSE())</f>
        <v/>
      </c>
      <c r="N1560" s="1"/>
      <c r="O1560" s="1"/>
      <c r="P1560" s="81" t="str">
        <f>IFERROR(VLOOKUP(A1560,Internal_lists_bugs!$A$2:$G7981,7,FALSE()),"please select a BUG ID")</f>
        <v>https://opendev.org/openstack/nova/commit/60c90f7</v>
      </c>
    </row>
    <row r="1561">
      <c r="A1561" s="16" t="s">
        <v>61</v>
      </c>
      <c r="B1561" s="50" t="str">
        <f>IFERROR(HYPERLINK(VLOOKUP(A1561,Internal_lists_bugs!$A$2:$C$73,3,FALSE()), VLOOKUP(A1561,Internal_lists_bugs!$A$2:$C$73,3,FALSE())&amp;Char(10) &amp; Char(10) &amp; VLOOKUP(A1561,Internal_lists_bugs!$A$2:$Z$73,26,FALSE())),"please select a BUG ID")</f>
        <v>https://bugs.launchpad.net/nova/+bug/1453274
/libvirt/driver.py</v>
      </c>
      <c r="C1561" s="81" t="str">
        <f>IFERROR(VLOOKUP(A1561,Internal_lists_bugs!$A$2:$I7981,9,FALSE()),"please select a BUG ID")</f>
        <v>https://review.opendev.org/c/openstack/nova/+/102324</v>
      </c>
      <c r="D1561" s="114"/>
      <c r="E1561" s="114"/>
      <c r="F1561" s="115"/>
      <c r="G1561" s="79" t="s">
        <v>1568</v>
      </c>
      <c r="H1561" s="116" t="s">
        <v>3328</v>
      </c>
      <c r="I1561" s="54"/>
      <c r="K1561" s="54"/>
      <c r="M1561" s="114" t="str">
        <f>VLOOKUP(A1561,'BIC_(C_Variables)'!$A$3:$AS$43,45,FALSE())</f>
        <v/>
      </c>
      <c r="N1561" s="1"/>
      <c r="O1561" s="1"/>
      <c r="P1561" s="81" t="str">
        <f>IFERROR(VLOOKUP(A1561,Internal_lists_bugs!$A$2:$G7981,7,FALSE()),"please select a BUG ID")</f>
        <v>https://opendev.org/openstack/nova/commit/60c90f7</v>
      </c>
    </row>
    <row r="1562">
      <c r="A1562" s="16" t="s">
        <v>61</v>
      </c>
      <c r="B1562" s="50" t="str">
        <f>IFERROR(HYPERLINK(VLOOKUP(A1562,Internal_lists_bugs!$A$2:$C$73,3,FALSE()), VLOOKUP(A1562,Internal_lists_bugs!$A$2:$C$73,3,FALSE())&amp;Char(10) &amp; Char(10) &amp; VLOOKUP(A1562,Internal_lists_bugs!$A$2:$Z$73,26,FALSE())),"please select a BUG ID")</f>
        <v>https://bugs.launchpad.net/nova/+bug/1453274
/libvirt/driver.py</v>
      </c>
      <c r="C1562" s="81" t="str">
        <f>IFERROR(VLOOKUP(A1562,Internal_lists_bugs!$A$2:$I7981,9,FALSE()),"please select a BUG ID")</f>
        <v>https://review.opendev.org/c/openstack/nova/+/102324</v>
      </c>
      <c r="D1562" s="114"/>
      <c r="E1562" s="114"/>
      <c r="F1562" s="115"/>
      <c r="G1562" s="79" t="s">
        <v>2099</v>
      </c>
      <c r="H1562" s="116" t="s">
        <v>2544</v>
      </c>
      <c r="I1562" s="54"/>
      <c r="K1562" s="54"/>
      <c r="M1562" s="114" t="str">
        <f>VLOOKUP(A1562,'BIC_(C_Variables)'!$A$3:$AS$43,45,FALSE())</f>
        <v/>
      </c>
      <c r="N1562" s="1"/>
      <c r="O1562" s="1"/>
      <c r="P1562" s="81" t="str">
        <f>IFERROR(VLOOKUP(A1562,Internal_lists_bugs!$A$2:$G7981,7,FALSE()),"please select a BUG ID")</f>
        <v>https://opendev.org/openstack/nova/commit/60c90f7</v>
      </c>
    </row>
    <row r="1563">
      <c r="A1563" s="16" t="s">
        <v>61</v>
      </c>
      <c r="B1563" s="50" t="str">
        <f>IFERROR(HYPERLINK(VLOOKUP(A1563,Internal_lists_bugs!$A$2:$C$73,3,FALSE()), VLOOKUP(A1563,Internal_lists_bugs!$A$2:$C$73,3,FALSE())&amp;Char(10) &amp; Char(10) &amp; VLOOKUP(A1563,Internal_lists_bugs!$A$2:$Z$73,26,FALSE())),"please select a BUG ID")</f>
        <v>https://bugs.launchpad.net/nova/+bug/1453274
/libvirt/driver.py</v>
      </c>
      <c r="C1563" s="81" t="str">
        <f>IFERROR(VLOOKUP(A1563,Internal_lists_bugs!$A$2:$I7981,9,FALSE()),"please select a BUG ID")</f>
        <v>https://review.opendev.org/c/openstack/nova/+/102324</v>
      </c>
      <c r="D1563" s="114"/>
      <c r="E1563" s="114"/>
      <c r="F1563" s="115"/>
      <c r="G1563" s="79" t="s">
        <v>2104</v>
      </c>
      <c r="H1563" s="116" t="s">
        <v>3329</v>
      </c>
      <c r="I1563" s="54"/>
      <c r="K1563" s="54"/>
      <c r="M1563" s="114"/>
      <c r="N1563" s="1"/>
      <c r="O1563" s="1"/>
      <c r="P1563" s="51"/>
    </row>
    <row r="1564">
      <c r="A1564" s="16" t="s">
        <v>61</v>
      </c>
      <c r="B1564" s="50" t="str">
        <f>IFERROR(HYPERLINK(VLOOKUP(A1564,Internal_lists_bugs!$A$2:$C$73,3,FALSE()), VLOOKUP(A1564,Internal_lists_bugs!$A$2:$C$73,3,FALSE())&amp;Char(10) &amp; Char(10) &amp; VLOOKUP(A1564,Internal_lists_bugs!$A$2:$Z$73,26,FALSE())),"please select a BUG ID")</f>
        <v>https://bugs.launchpad.net/nova/+bug/1453274
/libvirt/driver.py</v>
      </c>
      <c r="C1564" s="81" t="str">
        <f>IFERROR(VLOOKUP(A1564,Internal_lists_bugs!$A$2:$I7981,9,FALSE()),"please select a BUG ID")</f>
        <v>https://review.opendev.org/c/openstack/nova/+/102324</v>
      </c>
      <c r="D1564" s="114"/>
      <c r="E1564" s="114"/>
      <c r="F1564" s="115"/>
      <c r="G1564" s="79" t="s">
        <v>1570</v>
      </c>
      <c r="H1564" s="116" t="s">
        <v>3329</v>
      </c>
      <c r="I1564" s="54"/>
      <c r="K1564" s="54"/>
      <c r="M1564" s="114" t="str">
        <f>VLOOKUP(A1564,'BIC_(C_Variables)'!$A$3:$AS$43,45,FALSE())</f>
        <v/>
      </c>
      <c r="N1564" s="1"/>
      <c r="O1564" s="1"/>
      <c r="P1564" s="81" t="str">
        <f>IFERROR(VLOOKUP(A1564,Internal_lists_bugs!$A$2:$G7981,7,FALSE()),"please select a BUG ID")</f>
        <v>https://opendev.org/openstack/nova/commit/60c90f7</v>
      </c>
    </row>
    <row r="1565">
      <c r="A1565" s="16" t="s">
        <v>61</v>
      </c>
      <c r="B1565" s="50" t="str">
        <f>IFERROR(HYPERLINK(VLOOKUP(A1565,Internal_lists_bugs!$A$2:$C$73,3,FALSE()), VLOOKUP(A1565,Internal_lists_bugs!$A$2:$C$73,3,FALSE())&amp;Char(10) &amp; Char(10) &amp; VLOOKUP(A1565,Internal_lists_bugs!$A$2:$Z$73,26,FALSE())),"please select a BUG ID")</f>
        <v>https://bugs.launchpad.net/nova/+bug/1453274
/libvirt/driver.py</v>
      </c>
      <c r="C1565" s="81" t="str">
        <f>IFERROR(VLOOKUP(A1565,Internal_lists_bugs!$A$2:$I7981,9,FALSE()),"please select a BUG ID")</f>
        <v>https://review.opendev.org/c/openstack/nova/+/102324</v>
      </c>
      <c r="D1565" s="114"/>
      <c r="E1565" s="114"/>
      <c r="F1565" s="115"/>
      <c r="G1565" s="79" t="s">
        <v>1498</v>
      </c>
      <c r="H1565" s="116" t="s">
        <v>3330</v>
      </c>
      <c r="I1565" s="54"/>
      <c r="K1565" s="54"/>
      <c r="M1565" s="114" t="str">
        <f>VLOOKUP(A1565,'BIC_(C_Variables)'!$A$3:$AS$43,45,FALSE())</f>
        <v/>
      </c>
      <c r="N1565" s="1"/>
      <c r="O1565" s="1"/>
      <c r="P1565" s="81" t="str">
        <f>IFERROR(VLOOKUP(A1565,Internal_lists_bugs!$A$2:$G7981,7,FALSE()),"please select a BUG ID")</f>
        <v>https://opendev.org/openstack/nova/commit/60c90f7</v>
      </c>
    </row>
    <row r="1566">
      <c r="A1566" s="16" t="s">
        <v>62</v>
      </c>
      <c r="B1566" s="50" t="str">
        <f>IFERROR(HYPERLINK(VLOOKUP(A1566,Internal_lists_bugs!$A$2:$C$73,3,FALSE()), VLOOKUP(A1566,Internal_lists_bugs!$A$2:$C$73,3,FALSE())&amp;Char(10) &amp; Char(10) &amp; VLOOKUP(A1566,Internal_lists_bugs!$A$2:$Z$73,26,FALSE())),"please select a BUG ID")</f>
        <v>https://bugs.launchpad.net/nova/+bug/1424647
/cmd/baseproxy.py
/cmd/novncproxy.py
/cmd/serialproxy.py
/cmd/spicehtml5proxy.py </v>
      </c>
      <c r="C1566" s="81" t="str">
        <f>IFERROR(VLOOKUP(A1566,Internal_lists_bugs!$A$2:$I7981,9,FALSE()),"please select a BUG ID")</f>
        <v>https://review.opendev.org/c/openstack/nova/+/119396</v>
      </c>
      <c r="D1566" s="112" t="s">
        <v>1412</v>
      </c>
      <c r="E1566" s="112" t="s">
        <v>1462</v>
      </c>
      <c r="F1566" s="113" t="s">
        <v>251</v>
      </c>
      <c r="G1566" s="79" t="s">
        <v>1419</v>
      </c>
      <c r="H1566" s="116" t="s">
        <v>3331</v>
      </c>
      <c r="I1566" s="16" t="s">
        <v>251</v>
      </c>
      <c r="J1566" s="16" t="s">
        <v>3332</v>
      </c>
      <c r="K1566" s="16" t="s">
        <v>251</v>
      </c>
      <c r="L1566" s="16" t="s">
        <v>3333</v>
      </c>
      <c r="M1566" s="114" t="str">
        <f>VLOOKUP(A1566,'BIC_(C_Variables)'!$A$3:$AS$43,45,FALSE())</f>
        <v/>
      </c>
      <c r="N1566" s="1"/>
      <c r="O1566" s="1"/>
      <c r="P1566" s="81" t="str">
        <f>IFERROR(VLOOKUP(A1566,Internal_lists_bugs!$A$2:$G7981,7,FALSE()),"please select a BUG ID")</f>
        <v>https://opendev.org/openstack/nova/commit/d2cbb9a</v>
      </c>
    </row>
    <row r="1567">
      <c r="A1567" s="16" t="s">
        <v>62</v>
      </c>
      <c r="B1567" s="50" t="str">
        <f>IFERROR(HYPERLINK(VLOOKUP(A1567,Internal_lists_bugs!$A$2:$C$73,3,FALSE()), VLOOKUP(A1567,Internal_lists_bugs!$A$2:$C$73,3,FALSE())&amp;Char(10) &amp; Char(10) &amp; VLOOKUP(A1567,Internal_lists_bugs!$A$2:$Z$73,26,FALSE())),"please select a BUG ID")</f>
        <v>https://bugs.launchpad.net/nova/+bug/1424647
/cmd/baseproxy.py
/cmd/novncproxy.py
/cmd/serialproxy.py
/cmd/spicehtml5proxy.py </v>
      </c>
      <c r="C1567" s="81" t="str">
        <f>IFERROR(VLOOKUP(A1567,Internal_lists_bugs!$A$2:$I7981,9,FALSE()),"please select a BUG ID")</f>
        <v>https://review.opendev.org/c/openstack/nova/+/119396</v>
      </c>
      <c r="D1567" s="114"/>
      <c r="E1567" s="114"/>
      <c r="F1567" s="115"/>
      <c r="G1567" s="79" t="s">
        <v>1417</v>
      </c>
      <c r="H1567" s="116" t="s">
        <v>3334</v>
      </c>
      <c r="I1567" s="54"/>
      <c r="K1567" s="54"/>
      <c r="M1567" s="114" t="str">
        <f>VLOOKUP(A1567,'BIC_(C_Variables)'!$A$3:$AS$43,45,FALSE())</f>
        <v/>
      </c>
      <c r="N1567" s="1"/>
      <c r="O1567" s="1"/>
      <c r="P1567" s="81" t="str">
        <f>IFERROR(VLOOKUP(A1567,Internal_lists_bugs!$A$2:$G7981,7,FALSE()),"please select a BUG ID")</f>
        <v>https://opendev.org/openstack/nova/commit/d2cbb9a</v>
      </c>
    </row>
    <row r="1568">
      <c r="A1568" s="16" t="s">
        <v>62</v>
      </c>
      <c r="B1568" s="50" t="str">
        <f>IFERROR(HYPERLINK(VLOOKUP(A1568,Internal_lists_bugs!$A$2:$C$73,3,FALSE()), VLOOKUP(A1568,Internal_lists_bugs!$A$2:$C$73,3,FALSE())&amp;Char(10) &amp; Char(10) &amp; VLOOKUP(A1568,Internal_lists_bugs!$A$2:$Z$73,26,FALSE())),"please select a BUG ID")</f>
        <v>https://bugs.launchpad.net/nova/+bug/1424647
/cmd/baseproxy.py
/cmd/novncproxy.py
/cmd/serialproxy.py
/cmd/spicehtml5proxy.py </v>
      </c>
      <c r="C1568" s="81" t="str">
        <f>IFERROR(VLOOKUP(A1568,Internal_lists_bugs!$A$2:$I7981,9,FALSE()),"please select a BUG ID")</f>
        <v>https://review.opendev.org/c/openstack/nova/+/119396</v>
      </c>
      <c r="D1568" s="114"/>
      <c r="E1568" s="114"/>
      <c r="F1568" s="115"/>
      <c r="G1568" s="79" t="s">
        <v>1485</v>
      </c>
      <c r="H1568" s="116" t="s">
        <v>3335</v>
      </c>
      <c r="I1568" s="54"/>
      <c r="K1568" s="54"/>
      <c r="M1568" s="114" t="str">
        <f>VLOOKUP(A1568,'BIC_(C_Variables)'!$A$3:$AS$43,45,FALSE())</f>
        <v/>
      </c>
      <c r="N1568" s="1"/>
      <c r="O1568" s="1"/>
      <c r="P1568" s="81" t="str">
        <f>IFERROR(VLOOKUP(A1568,Internal_lists_bugs!$A$2:$G7981,7,FALSE()),"please select a BUG ID")</f>
        <v>https://opendev.org/openstack/nova/commit/d2cbb9a</v>
      </c>
    </row>
    <row r="1569">
      <c r="A1569" s="16" t="s">
        <v>62</v>
      </c>
      <c r="B1569" s="50" t="str">
        <f>IFERROR(HYPERLINK(VLOOKUP(A1569,Internal_lists_bugs!$A$2:$C$73,3,FALSE()), VLOOKUP(A1569,Internal_lists_bugs!$A$2:$C$73,3,FALSE())&amp;Char(10) &amp; Char(10) &amp; VLOOKUP(A1569,Internal_lists_bugs!$A$2:$Z$73,26,FALSE())),"please select a BUG ID")</f>
        <v>https://bugs.launchpad.net/nova/+bug/1424647
/cmd/baseproxy.py
/cmd/novncproxy.py
/cmd/serialproxy.py
/cmd/spicehtml5proxy.py </v>
      </c>
      <c r="C1569" s="81" t="str">
        <f>IFERROR(VLOOKUP(A1569,Internal_lists_bugs!$A$2:$I7981,9,FALSE()),"please select a BUG ID")</f>
        <v>https://review.opendev.org/c/openstack/nova/+/119396</v>
      </c>
      <c r="D1569" s="114"/>
      <c r="E1569" s="114"/>
      <c r="F1569" s="115"/>
      <c r="G1569" s="79" t="s">
        <v>3336</v>
      </c>
      <c r="H1569" s="116" t="s">
        <v>3337</v>
      </c>
      <c r="I1569" s="54"/>
      <c r="K1569" s="54"/>
      <c r="M1569" s="114" t="str">
        <f>VLOOKUP(A1569,'BIC_(C_Variables)'!$A$3:$AS$43,45,FALSE())</f>
        <v/>
      </c>
      <c r="N1569" s="1"/>
      <c r="O1569" s="1"/>
      <c r="P1569" s="81" t="str">
        <f>IFERROR(VLOOKUP(A1569,Internal_lists_bugs!$A$2:$G7981,7,FALSE()),"please select a BUG ID")</f>
        <v>https://opendev.org/openstack/nova/commit/d2cbb9a</v>
      </c>
    </row>
    <row r="1570">
      <c r="A1570" s="16" t="s">
        <v>62</v>
      </c>
      <c r="B1570" s="50" t="str">
        <f>IFERROR(HYPERLINK(VLOOKUP(A1570,Internal_lists_bugs!$A$2:$C$73,3,FALSE()), VLOOKUP(A1570,Internal_lists_bugs!$A$2:$C$73,3,FALSE())&amp;Char(10) &amp; Char(10) &amp; VLOOKUP(A1570,Internal_lists_bugs!$A$2:$Z$73,26,FALSE())),"please select a BUG ID")</f>
        <v>https://bugs.launchpad.net/nova/+bug/1424647
/cmd/baseproxy.py
/cmd/novncproxy.py
/cmd/serialproxy.py
/cmd/spicehtml5proxy.py </v>
      </c>
      <c r="C1570" s="81" t="str">
        <f>IFERROR(VLOOKUP(A1570,Internal_lists_bugs!$A$2:$I7981,9,FALSE()),"please select a BUG ID")</f>
        <v>https://review.opendev.org/c/openstack/nova/+/119396</v>
      </c>
      <c r="D1570" s="114"/>
      <c r="E1570" s="114"/>
      <c r="F1570" s="115"/>
      <c r="G1570" s="79" t="s">
        <v>1495</v>
      </c>
      <c r="H1570" s="116" t="s">
        <v>3338</v>
      </c>
      <c r="I1570" s="54"/>
      <c r="K1570" s="54"/>
      <c r="M1570" s="114" t="str">
        <f>VLOOKUP(A1570,'BIC_(C_Variables)'!$A$3:$AS$43,45,FALSE())</f>
        <v/>
      </c>
      <c r="N1570" s="1"/>
      <c r="O1570" s="1"/>
      <c r="P1570" s="81" t="str">
        <f>IFERROR(VLOOKUP(A1570,Internal_lists_bugs!$A$2:$G7981,7,FALSE()),"please select a BUG ID")</f>
        <v>https://opendev.org/openstack/nova/commit/d2cbb9a</v>
      </c>
    </row>
    <row r="1571">
      <c r="A1571" s="16" t="s">
        <v>62</v>
      </c>
      <c r="B1571" s="50" t="str">
        <f>IFERROR(HYPERLINK(VLOOKUP(A1571,Internal_lists_bugs!$A$2:$C$73,3,FALSE()), VLOOKUP(A1571,Internal_lists_bugs!$A$2:$C$73,3,FALSE())&amp;Char(10) &amp; Char(10) &amp; VLOOKUP(A1571,Internal_lists_bugs!$A$2:$Z$73,26,FALSE())),"please select a BUG ID")</f>
        <v>https://bugs.launchpad.net/nova/+bug/1424647
/cmd/baseproxy.py
/cmd/novncproxy.py
/cmd/serialproxy.py
/cmd/spicehtml5proxy.py </v>
      </c>
      <c r="C1571" s="81" t="str">
        <f>IFERROR(VLOOKUP(A1571,Internal_lists_bugs!$A$2:$I7981,9,FALSE()),"please select a BUG ID")</f>
        <v>https://review.opendev.org/c/openstack/nova/+/119396</v>
      </c>
      <c r="D1571" s="114"/>
      <c r="E1571" s="114"/>
      <c r="F1571" s="115"/>
      <c r="G1571" s="79" t="s">
        <v>2177</v>
      </c>
      <c r="H1571" s="116" t="s">
        <v>3338</v>
      </c>
      <c r="I1571" s="54"/>
      <c r="K1571" s="54"/>
      <c r="M1571" s="114"/>
      <c r="N1571" s="1"/>
      <c r="O1571" s="1"/>
      <c r="P1571" s="51"/>
    </row>
    <row r="1572">
      <c r="A1572" s="16" t="s">
        <v>62</v>
      </c>
      <c r="B1572" s="50" t="str">
        <f>IFERROR(HYPERLINK(VLOOKUP(A1572,Internal_lists_bugs!$A$2:$C$73,3,FALSE()), VLOOKUP(A1572,Internal_lists_bugs!$A$2:$C$73,3,FALSE())&amp;Char(10) &amp; Char(10) &amp; VLOOKUP(A1572,Internal_lists_bugs!$A$2:$Z$73,26,FALSE())),"please select a BUG ID")</f>
        <v>https://bugs.launchpad.net/nova/+bug/1424647
/cmd/baseproxy.py
/cmd/novncproxy.py
/cmd/serialproxy.py
/cmd/spicehtml5proxy.py </v>
      </c>
      <c r="C1572" s="81" t="str">
        <f>IFERROR(VLOOKUP(A1572,Internal_lists_bugs!$A$2:$I7981,9,FALSE()),"please select a BUG ID")</f>
        <v>https://review.opendev.org/c/openstack/nova/+/119396</v>
      </c>
      <c r="D1572" s="114"/>
      <c r="E1572" s="114"/>
      <c r="F1572" s="115"/>
      <c r="G1572" s="79" t="s">
        <v>1673</v>
      </c>
      <c r="H1572" s="116" t="s">
        <v>3339</v>
      </c>
      <c r="I1572" s="54"/>
      <c r="K1572" s="54"/>
      <c r="M1572" s="114" t="str">
        <f>VLOOKUP(A1572,'BIC_(C_Variables)'!$A$3:$AS$43,45,FALSE())</f>
        <v/>
      </c>
      <c r="N1572" s="1"/>
      <c r="O1572" s="1"/>
      <c r="P1572" s="81" t="str">
        <f>IFERROR(VLOOKUP(A1572,Internal_lists_bugs!$A$2:$G7981,7,FALSE()),"please select a BUG ID")</f>
        <v>https://opendev.org/openstack/nova/commit/d2cbb9a</v>
      </c>
    </row>
    <row r="1573">
      <c r="A1573" s="16" t="s">
        <v>62</v>
      </c>
      <c r="B1573" s="50" t="str">
        <f>IFERROR(HYPERLINK(VLOOKUP(A1573,Internal_lists_bugs!$A$2:$C$73,3,FALSE()), VLOOKUP(A1573,Internal_lists_bugs!$A$2:$C$73,3,FALSE())&amp;Char(10) &amp; Char(10) &amp; VLOOKUP(A1573,Internal_lists_bugs!$A$2:$Z$73,26,FALSE())),"please select a BUG ID")</f>
        <v>https://bugs.launchpad.net/nova/+bug/1424647
/cmd/baseproxy.py
/cmd/novncproxy.py
/cmd/serialproxy.py
/cmd/spicehtml5proxy.py </v>
      </c>
      <c r="C1573" s="81" t="str">
        <f>IFERROR(VLOOKUP(A1573,Internal_lists_bugs!$A$2:$I7981,9,FALSE()),"please select a BUG ID")</f>
        <v>https://review.opendev.org/c/openstack/nova/+/119396</v>
      </c>
      <c r="D1573" s="114"/>
      <c r="E1573" s="114"/>
      <c r="F1573" s="115"/>
      <c r="G1573" s="79" t="s">
        <v>1507</v>
      </c>
      <c r="H1573" s="116" t="s">
        <v>3340</v>
      </c>
      <c r="I1573" s="54"/>
      <c r="K1573" s="54"/>
      <c r="M1573" s="114"/>
      <c r="N1573" s="1"/>
      <c r="O1573" s="1"/>
      <c r="P1573" s="51"/>
    </row>
    <row r="1574">
      <c r="A1574" s="16" t="s">
        <v>62</v>
      </c>
      <c r="B1574" s="50" t="str">
        <f>IFERROR(HYPERLINK(VLOOKUP(A1574,Internal_lists_bugs!$A$2:$C$73,3,FALSE()), VLOOKUP(A1574,Internal_lists_bugs!$A$2:$C$73,3,FALSE())&amp;Char(10) &amp; Char(10) &amp; VLOOKUP(A1574,Internal_lists_bugs!$A$2:$Z$73,26,FALSE())),"please select a BUG ID")</f>
        <v>https://bugs.launchpad.net/nova/+bug/1424647
/cmd/baseproxy.py
/cmd/novncproxy.py
/cmd/serialproxy.py
/cmd/spicehtml5proxy.py </v>
      </c>
      <c r="C1574" s="81" t="str">
        <f>IFERROR(VLOOKUP(A1574,Internal_lists_bugs!$A$2:$I7981,9,FALSE()),"please select a BUG ID")</f>
        <v>https://review.opendev.org/c/openstack/nova/+/119396</v>
      </c>
      <c r="D1574" s="114"/>
      <c r="E1574" s="114"/>
      <c r="F1574" s="115"/>
      <c r="G1574" s="79" t="s">
        <v>1430</v>
      </c>
      <c r="H1574" s="116" t="s">
        <v>3341</v>
      </c>
      <c r="I1574" s="54"/>
      <c r="K1574" s="54"/>
      <c r="M1574" s="114" t="str">
        <f>VLOOKUP(A1574,'BIC_(C_Variables)'!$A$3:$AS$43,45,FALSE())</f>
        <v/>
      </c>
      <c r="N1574" s="1"/>
      <c r="O1574" s="1"/>
      <c r="P1574" s="81" t="str">
        <f>IFERROR(VLOOKUP(A1574,Internal_lists_bugs!$A$2:$G7981,7,FALSE()),"please select a BUG ID")</f>
        <v>https://opendev.org/openstack/nova/commit/d2cbb9a</v>
      </c>
    </row>
    <row r="1575">
      <c r="A1575" s="16" t="s">
        <v>62</v>
      </c>
      <c r="B1575" s="50" t="str">
        <f>IFERROR(HYPERLINK(VLOOKUP(A1575,Internal_lists_bugs!$A$2:$C$73,3,FALSE()), VLOOKUP(A1575,Internal_lists_bugs!$A$2:$C$73,3,FALSE())&amp;Char(10) &amp; Char(10) &amp; VLOOKUP(A1575,Internal_lists_bugs!$A$2:$Z$73,26,FALSE())),"please select a BUG ID")</f>
        <v>https://bugs.launchpad.net/nova/+bug/1424647
/cmd/baseproxy.py
/cmd/novncproxy.py
/cmd/serialproxy.py
/cmd/spicehtml5proxy.py </v>
      </c>
      <c r="C1575" s="81" t="str">
        <f>IFERROR(VLOOKUP(A1575,Internal_lists_bugs!$A$2:$I7981,9,FALSE()),"please select a BUG ID")</f>
        <v>https://review.opendev.org/c/openstack/nova/+/119396</v>
      </c>
      <c r="D1575" s="114"/>
      <c r="E1575" s="114"/>
      <c r="F1575" s="115"/>
      <c r="G1575" s="79" t="s">
        <v>1877</v>
      </c>
      <c r="H1575" s="116" t="s">
        <v>3342</v>
      </c>
      <c r="I1575" s="54"/>
      <c r="K1575" s="54"/>
      <c r="M1575" s="114" t="str">
        <f>VLOOKUP(A1575,'BIC_(C_Variables)'!$A$3:$AS$43,45,FALSE())</f>
        <v/>
      </c>
      <c r="N1575" s="1"/>
      <c r="O1575" s="1"/>
      <c r="P1575" s="81" t="str">
        <f>IFERROR(VLOOKUP(A1575,Internal_lists_bugs!$A$2:$G7981,7,FALSE()),"please select a BUG ID")</f>
        <v>https://opendev.org/openstack/nova/commit/d2cbb9a</v>
      </c>
    </row>
    <row r="1576">
      <c r="A1576" s="16" t="s">
        <v>62</v>
      </c>
      <c r="B1576" s="50" t="str">
        <f>IFERROR(HYPERLINK(VLOOKUP(A1576,Internal_lists_bugs!$A$2:$C$73,3,FALSE()), VLOOKUP(A1576,Internal_lists_bugs!$A$2:$C$73,3,FALSE())&amp;Char(10) &amp; Char(10) &amp; VLOOKUP(A1576,Internal_lists_bugs!$A$2:$Z$73,26,FALSE())),"please select a BUG ID")</f>
        <v>https://bugs.launchpad.net/nova/+bug/1424647
/cmd/baseproxy.py
/cmd/novncproxy.py
/cmd/serialproxy.py
/cmd/spicehtml5proxy.py </v>
      </c>
      <c r="C1576" s="81" t="str">
        <f>IFERROR(VLOOKUP(A1576,Internal_lists_bugs!$A$2:$I7981,9,FALSE()),"please select a BUG ID")</f>
        <v>https://review.opendev.org/c/openstack/nova/+/119396</v>
      </c>
      <c r="D1576" s="114"/>
      <c r="E1576" s="114"/>
      <c r="F1576" s="115"/>
      <c r="G1576" s="79" t="s">
        <v>1779</v>
      </c>
      <c r="H1576" s="116" t="s">
        <v>3343</v>
      </c>
      <c r="I1576" s="54"/>
      <c r="K1576" s="54"/>
      <c r="M1576" s="114" t="str">
        <f>VLOOKUP(A1576,'BIC_(C_Variables)'!$A$3:$AS$43,45,FALSE())</f>
        <v/>
      </c>
      <c r="N1576" s="1"/>
      <c r="O1576" s="1"/>
      <c r="P1576" s="81" t="str">
        <f>IFERROR(VLOOKUP(A1576,Internal_lists_bugs!$A$2:$G7981,7,FALSE()),"please select a BUG ID")</f>
        <v>https://opendev.org/openstack/nova/commit/d2cbb9a</v>
      </c>
    </row>
    <row r="1577">
      <c r="A1577" s="16" t="s">
        <v>62</v>
      </c>
      <c r="B1577" s="50" t="str">
        <f>IFERROR(HYPERLINK(VLOOKUP(A1577,Internal_lists_bugs!$A$2:$C$73,3,FALSE()), VLOOKUP(A1577,Internal_lists_bugs!$A$2:$C$73,3,FALSE())&amp;Char(10) &amp; Char(10) &amp; VLOOKUP(A1577,Internal_lists_bugs!$A$2:$Z$73,26,FALSE())),"please select a BUG ID")</f>
        <v>https://bugs.launchpad.net/nova/+bug/1424647
/cmd/baseproxy.py
/cmd/novncproxy.py
/cmd/serialproxy.py
/cmd/spicehtml5proxy.py </v>
      </c>
      <c r="C1577" s="81" t="str">
        <f>IFERROR(VLOOKUP(A1577,Internal_lists_bugs!$A$2:$I7981,9,FALSE()),"please select a BUG ID")</f>
        <v>https://review.opendev.org/c/openstack/nova/+/119396</v>
      </c>
      <c r="D1577" s="114"/>
      <c r="E1577" s="114"/>
      <c r="F1577" s="115"/>
      <c r="G1577" s="79" t="s">
        <v>1430</v>
      </c>
      <c r="H1577" s="116" t="s">
        <v>3344</v>
      </c>
      <c r="I1577" s="54"/>
      <c r="K1577" s="54"/>
      <c r="M1577" s="114" t="str">
        <f>VLOOKUP(A1577,'BIC_(C_Variables)'!$A$3:$AS$43,45,FALSE())</f>
        <v/>
      </c>
      <c r="N1577" s="1"/>
      <c r="O1577" s="1"/>
      <c r="P1577" s="81" t="str">
        <f>IFERROR(VLOOKUP(A1577,Internal_lists_bugs!$A$2:$G7981,7,FALSE()),"please select a BUG ID")</f>
        <v>https://opendev.org/openstack/nova/commit/d2cbb9a</v>
      </c>
    </row>
    <row r="1578">
      <c r="A1578" s="16" t="s">
        <v>62</v>
      </c>
      <c r="B1578" s="50" t="str">
        <f>IFERROR(HYPERLINK(VLOOKUP(A1578,Internal_lists_bugs!$A$2:$C$73,3,FALSE()), VLOOKUP(A1578,Internal_lists_bugs!$A$2:$C$73,3,FALSE())&amp;Char(10) &amp; Char(10) &amp; VLOOKUP(A1578,Internal_lists_bugs!$A$2:$Z$73,26,FALSE())),"please select a BUG ID")</f>
        <v>https://bugs.launchpad.net/nova/+bug/1424647
/cmd/baseproxy.py
/cmd/novncproxy.py
/cmd/serialproxy.py
/cmd/spicehtml5proxy.py </v>
      </c>
      <c r="C1578" s="81" t="str">
        <f>IFERROR(VLOOKUP(A1578,Internal_lists_bugs!$A$2:$I7981,9,FALSE()),"please select a BUG ID")</f>
        <v>https://review.opendev.org/c/openstack/nova/+/119396</v>
      </c>
      <c r="D1578" s="114"/>
      <c r="E1578" s="114"/>
      <c r="F1578" s="115"/>
      <c r="G1578" s="79" t="s">
        <v>1696</v>
      </c>
      <c r="H1578" s="116" t="s">
        <v>3345</v>
      </c>
      <c r="I1578" s="54"/>
      <c r="K1578" s="54"/>
      <c r="M1578" s="114" t="str">
        <f>VLOOKUP(A1578,'BIC_(C_Variables)'!$A$3:$AS$43,45,FALSE())</f>
        <v/>
      </c>
      <c r="N1578" s="1"/>
      <c r="O1578" s="1"/>
      <c r="P1578" s="81" t="str">
        <f>IFERROR(VLOOKUP(A1578,Internal_lists_bugs!$A$2:$G7981,7,FALSE()),"please select a BUG ID")</f>
        <v>https://opendev.org/openstack/nova/commit/d2cbb9a</v>
      </c>
    </row>
    <row r="1579">
      <c r="A1579" s="16" t="s">
        <v>62</v>
      </c>
      <c r="B1579" s="50" t="str">
        <f>IFERROR(HYPERLINK(VLOOKUP(A1579,Internal_lists_bugs!$A$2:$C$73,3,FALSE()), VLOOKUP(A1579,Internal_lists_bugs!$A$2:$C$73,3,FALSE())&amp;Char(10) &amp; Char(10) &amp; VLOOKUP(A1579,Internal_lists_bugs!$A$2:$Z$73,26,FALSE())),"please select a BUG ID")</f>
        <v>https://bugs.launchpad.net/nova/+bug/1424647
/cmd/baseproxy.py
/cmd/novncproxy.py
/cmd/serialproxy.py
/cmd/spicehtml5proxy.py </v>
      </c>
      <c r="C1579" s="81" t="str">
        <f>IFERROR(VLOOKUP(A1579,Internal_lists_bugs!$A$2:$I7981,9,FALSE()),"please select a BUG ID")</f>
        <v>https://review.opendev.org/c/openstack/nova/+/119396</v>
      </c>
      <c r="D1579" s="114"/>
      <c r="E1579" s="114"/>
      <c r="F1579" s="115"/>
      <c r="G1579" s="79" t="s">
        <v>1485</v>
      </c>
      <c r="H1579" s="116" t="s">
        <v>3346</v>
      </c>
      <c r="I1579" s="54"/>
      <c r="K1579" s="54"/>
      <c r="M1579" s="114" t="str">
        <f>VLOOKUP(A1579,'BIC_(C_Variables)'!$A$3:$AS$43,45,FALSE())</f>
        <v/>
      </c>
      <c r="N1579" s="1"/>
      <c r="O1579" s="1"/>
      <c r="P1579" s="81" t="str">
        <f>IFERROR(VLOOKUP(A1579,Internal_lists_bugs!$A$2:$G7981,7,FALSE()),"please select a BUG ID")</f>
        <v>https://opendev.org/openstack/nova/commit/d2cbb9a</v>
      </c>
    </row>
    <row r="1580">
      <c r="A1580" s="16" t="s">
        <v>62</v>
      </c>
      <c r="B1580" s="50" t="str">
        <f>IFERROR(HYPERLINK(VLOOKUP(A1580,Internal_lists_bugs!$A$2:$C$73,3,FALSE()), VLOOKUP(A1580,Internal_lists_bugs!$A$2:$C$73,3,FALSE())&amp;Char(10) &amp; Char(10) &amp; VLOOKUP(A1580,Internal_lists_bugs!$A$2:$Z$73,26,FALSE())),"please select a BUG ID")</f>
        <v>https://bugs.launchpad.net/nova/+bug/1424647
/cmd/baseproxy.py
/cmd/novncproxy.py
/cmd/serialproxy.py
/cmd/spicehtml5proxy.py </v>
      </c>
      <c r="C1580" s="81" t="str">
        <f>IFERROR(VLOOKUP(A1580,Internal_lists_bugs!$A$2:$I7981,9,FALSE()),"please select a BUG ID")</f>
        <v>https://review.opendev.org/c/openstack/nova/+/119396</v>
      </c>
      <c r="D1580" s="114"/>
      <c r="E1580" s="114"/>
      <c r="F1580" s="115"/>
      <c r="G1580" s="79" t="s">
        <v>1485</v>
      </c>
      <c r="H1580" s="116" t="s">
        <v>3209</v>
      </c>
      <c r="I1580" s="54"/>
      <c r="K1580" s="54"/>
      <c r="M1580" s="114" t="str">
        <f>VLOOKUP(A1580,'BIC_(C_Variables)'!$A$3:$AS$43,45,FALSE())</f>
        <v/>
      </c>
      <c r="N1580" s="1"/>
      <c r="O1580" s="1"/>
      <c r="P1580" s="81" t="str">
        <f>IFERROR(VLOOKUP(A1580,Internal_lists_bugs!$A$2:$G7981,7,FALSE()),"please select a BUG ID")</f>
        <v>https://opendev.org/openstack/nova/commit/d2cbb9a</v>
      </c>
    </row>
    <row r="1581">
      <c r="A1581" s="16" t="s">
        <v>62</v>
      </c>
      <c r="B1581" s="50" t="str">
        <f>IFERROR(HYPERLINK(VLOOKUP(A1581,Internal_lists_bugs!$A$2:$C$73,3,FALSE()), VLOOKUP(A1581,Internal_lists_bugs!$A$2:$C$73,3,FALSE())&amp;Char(10) &amp; Char(10) &amp; VLOOKUP(A1581,Internal_lists_bugs!$A$2:$Z$73,26,FALSE())),"please select a BUG ID")</f>
        <v>https://bugs.launchpad.net/nova/+bug/1424647
/cmd/baseproxy.py
/cmd/novncproxy.py
/cmd/serialproxy.py
/cmd/spicehtml5proxy.py </v>
      </c>
      <c r="C1581" s="81" t="str">
        <f>IFERROR(VLOOKUP(A1581,Internal_lists_bugs!$A$2:$I7981,9,FALSE()),"please select a BUG ID")</f>
        <v>https://review.opendev.org/c/openstack/nova/+/119396</v>
      </c>
      <c r="D1581" s="114"/>
      <c r="E1581" s="114"/>
      <c r="F1581" s="115"/>
      <c r="G1581" s="79" t="s">
        <v>1566</v>
      </c>
      <c r="H1581" s="116" t="s">
        <v>3347</v>
      </c>
      <c r="I1581" s="54"/>
      <c r="K1581" s="54"/>
      <c r="M1581" s="114" t="str">
        <f>VLOOKUP(A1581,'BIC_(C_Variables)'!$A$3:$AS$43,45,FALSE())</f>
        <v/>
      </c>
      <c r="N1581" s="1"/>
      <c r="O1581" s="1"/>
      <c r="P1581" s="81" t="str">
        <f>IFERROR(VLOOKUP(A1581,Internal_lists_bugs!$A$2:$G7981,7,FALSE()),"please select a BUG ID")</f>
        <v>https://opendev.org/openstack/nova/commit/d2cbb9a</v>
      </c>
    </row>
    <row r="1582">
      <c r="A1582" s="16" t="s">
        <v>62</v>
      </c>
      <c r="B1582" s="50" t="str">
        <f>IFERROR(HYPERLINK(VLOOKUP(A1582,Internal_lists_bugs!$A$2:$C$73,3,FALSE()), VLOOKUP(A1582,Internal_lists_bugs!$A$2:$C$73,3,FALSE())&amp;Char(10) &amp; Char(10) &amp; VLOOKUP(A1582,Internal_lists_bugs!$A$2:$Z$73,26,FALSE())),"please select a BUG ID")</f>
        <v>https://bugs.launchpad.net/nova/+bug/1424647
/cmd/baseproxy.py
/cmd/novncproxy.py
/cmd/serialproxy.py
/cmd/spicehtml5proxy.py </v>
      </c>
      <c r="C1582" s="81" t="str">
        <f>IFERROR(VLOOKUP(A1582,Internal_lists_bugs!$A$2:$I7981,9,FALSE()),"please select a BUG ID")</f>
        <v>https://review.opendev.org/c/openstack/nova/+/119396</v>
      </c>
      <c r="D1582" s="114"/>
      <c r="E1582" s="114"/>
      <c r="F1582" s="115"/>
      <c r="G1582" s="79" t="s">
        <v>1731</v>
      </c>
      <c r="H1582" s="116" t="s">
        <v>3348</v>
      </c>
      <c r="I1582" s="54"/>
      <c r="K1582" s="54"/>
      <c r="M1582" s="114" t="str">
        <f>VLOOKUP(A1582,'BIC_(C_Variables)'!$A$3:$AS$43,45,FALSE())</f>
        <v/>
      </c>
      <c r="N1582" s="1"/>
      <c r="O1582" s="1"/>
      <c r="P1582" s="81" t="str">
        <f>IFERROR(VLOOKUP(A1582,Internal_lists_bugs!$A$2:$G7981,7,FALSE()),"please select a BUG ID")</f>
        <v>https://opendev.org/openstack/nova/commit/d2cbb9a</v>
      </c>
    </row>
    <row r="1583">
      <c r="A1583" s="16" t="s">
        <v>62</v>
      </c>
      <c r="B1583" s="50" t="str">
        <f>IFERROR(HYPERLINK(VLOOKUP(A1583,Internal_lists_bugs!$A$2:$C$73,3,FALSE()), VLOOKUP(A1583,Internal_lists_bugs!$A$2:$C$73,3,FALSE())&amp;Char(10) &amp; Char(10) &amp; VLOOKUP(A1583,Internal_lists_bugs!$A$2:$Z$73,26,FALSE())),"please select a BUG ID")</f>
        <v>https://bugs.launchpad.net/nova/+bug/1424647
/cmd/baseproxy.py
/cmd/novncproxy.py
/cmd/serialproxy.py
/cmd/spicehtml5proxy.py </v>
      </c>
      <c r="C1583" s="81" t="str">
        <f>IFERROR(VLOOKUP(A1583,Internal_lists_bugs!$A$2:$I7981,9,FALSE()),"please select a BUG ID")</f>
        <v>https://review.opendev.org/c/openstack/nova/+/119396</v>
      </c>
      <c r="D1583" s="114"/>
      <c r="E1583" s="114"/>
      <c r="F1583" s="115"/>
      <c r="G1583" s="79" t="s">
        <v>1733</v>
      </c>
      <c r="H1583" s="116" t="s">
        <v>3349</v>
      </c>
      <c r="I1583" s="54"/>
      <c r="K1583" s="54"/>
      <c r="M1583" s="114" t="str">
        <f>VLOOKUP(A1583,'BIC_(C_Variables)'!$A$3:$AS$43,45,FALSE())</f>
        <v/>
      </c>
      <c r="N1583" s="1"/>
      <c r="O1583" s="1"/>
      <c r="P1583" s="81" t="str">
        <f>IFERROR(VLOOKUP(A1583,Internal_lists_bugs!$A$2:$G7981,7,FALSE()),"please select a BUG ID")</f>
        <v>https://opendev.org/openstack/nova/commit/d2cbb9a</v>
      </c>
    </row>
    <row r="1584">
      <c r="A1584" s="16" t="s">
        <v>62</v>
      </c>
      <c r="B1584" s="50" t="str">
        <f>IFERROR(HYPERLINK(VLOOKUP(A1584,Internal_lists_bugs!$A$2:$C$73,3,FALSE()), VLOOKUP(A1584,Internal_lists_bugs!$A$2:$C$73,3,FALSE())&amp;Char(10) &amp; Char(10) &amp; VLOOKUP(A1584,Internal_lists_bugs!$A$2:$Z$73,26,FALSE())),"please select a BUG ID")</f>
        <v>https://bugs.launchpad.net/nova/+bug/1424647
/cmd/baseproxy.py
/cmd/novncproxy.py
/cmd/serialproxy.py
/cmd/spicehtml5proxy.py </v>
      </c>
      <c r="C1584" s="81" t="str">
        <f>IFERROR(VLOOKUP(A1584,Internal_lists_bugs!$A$2:$I7981,9,FALSE()),"please select a BUG ID")</f>
        <v>https://review.opendev.org/c/openstack/nova/+/119396</v>
      </c>
      <c r="D1584" s="114"/>
      <c r="E1584" s="114"/>
      <c r="F1584" s="115"/>
      <c r="G1584" s="79" t="s">
        <v>1485</v>
      </c>
      <c r="H1584" s="116" t="s">
        <v>3350</v>
      </c>
      <c r="I1584" s="54"/>
      <c r="K1584" s="54"/>
      <c r="M1584" s="114" t="str">
        <f>VLOOKUP(A1584,'BIC_(C_Variables)'!$A$3:$AS$43,45,FALSE())</f>
        <v/>
      </c>
      <c r="N1584" s="1"/>
      <c r="O1584" s="1"/>
      <c r="P1584" s="81" t="str">
        <f>IFERROR(VLOOKUP(A1584,Internal_lists_bugs!$A$2:$G7981,7,FALSE()),"please select a BUG ID")</f>
        <v>https://opendev.org/openstack/nova/commit/d2cbb9a</v>
      </c>
    </row>
    <row r="1585">
      <c r="A1585" s="16" t="s">
        <v>62</v>
      </c>
      <c r="B1585" s="50" t="str">
        <f>IFERROR(HYPERLINK(VLOOKUP(A1585,Internal_lists_bugs!$A$2:$C$73,3,FALSE()), VLOOKUP(A1585,Internal_lists_bugs!$A$2:$C$73,3,FALSE())&amp;Char(10) &amp; Char(10) &amp; VLOOKUP(A1585,Internal_lists_bugs!$A$2:$Z$73,26,FALSE())),"please select a BUG ID")</f>
        <v>https://bugs.launchpad.net/nova/+bug/1424647
/cmd/baseproxy.py
/cmd/novncproxy.py
/cmd/serialproxy.py
/cmd/spicehtml5proxy.py </v>
      </c>
      <c r="C1585" s="81" t="str">
        <f>IFERROR(VLOOKUP(A1585,Internal_lists_bugs!$A$2:$I7981,9,FALSE()),"please select a BUG ID")</f>
        <v>https://review.opendev.org/c/openstack/nova/+/119396</v>
      </c>
      <c r="D1585" s="114"/>
      <c r="E1585" s="114"/>
      <c r="F1585" s="115"/>
      <c r="G1585" s="79" t="s">
        <v>1686</v>
      </c>
      <c r="H1585" s="116" t="s">
        <v>3351</v>
      </c>
      <c r="I1585" s="54"/>
      <c r="K1585" s="54"/>
      <c r="M1585" s="114" t="str">
        <f>VLOOKUP(A1585,'BIC_(C_Variables)'!$A$3:$AS$43,45,FALSE())</f>
        <v/>
      </c>
      <c r="N1585" s="1"/>
      <c r="O1585" s="1"/>
      <c r="P1585" s="81" t="str">
        <f>IFERROR(VLOOKUP(A1585,Internal_lists_bugs!$A$2:$G7981,7,FALSE()),"please select a BUG ID")</f>
        <v>https://opendev.org/openstack/nova/commit/d2cbb9a</v>
      </c>
    </row>
    <row r="1586">
      <c r="A1586" s="16" t="s">
        <v>62</v>
      </c>
      <c r="B1586" s="50" t="str">
        <f>IFERROR(HYPERLINK(VLOOKUP(A1586,Internal_lists_bugs!$A$2:$C$73,3,FALSE()), VLOOKUP(A1586,Internal_lists_bugs!$A$2:$C$73,3,FALSE())&amp;Char(10) &amp; Char(10) &amp; VLOOKUP(A1586,Internal_lists_bugs!$A$2:$Z$73,26,FALSE())),"please select a BUG ID")</f>
        <v>https://bugs.launchpad.net/nova/+bug/1424647
/cmd/baseproxy.py
/cmd/novncproxy.py
/cmd/serialproxy.py
/cmd/spicehtml5proxy.py </v>
      </c>
      <c r="C1586" s="81" t="str">
        <f>IFERROR(VLOOKUP(A1586,Internal_lists_bugs!$A$2:$I7981,9,FALSE()),"please select a BUG ID")</f>
        <v>https://review.opendev.org/c/openstack/nova/+/119396</v>
      </c>
      <c r="D1586" s="114"/>
      <c r="E1586" s="114"/>
      <c r="F1586" s="115"/>
      <c r="G1586" s="79" t="s">
        <v>1485</v>
      </c>
      <c r="H1586" s="116" t="s">
        <v>3352</v>
      </c>
      <c r="I1586" s="54"/>
      <c r="K1586" s="54"/>
      <c r="M1586" s="114" t="str">
        <f>VLOOKUP(A1586,'BIC_(C_Variables)'!$A$3:$AS$43,45,FALSE())</f>
        <v/>
      </c>
      <c r="N1586" s="1"/>
      <c r="O1586" s="1"/>
      <c r="P1586" s="81" t="str">
        <f>IFERROR(VLOOKUP(A1586,Internal_lists_bugs!$A$2:$G7981,7,FALSE()),"please select a BUG ID")</f>
        <v>https://opendev.org/openstack/nova/commit/d2cbb9a</v>
      </c>
    </row>
    <row r="1587">
      <c r="A1587" s="16" t="s">
        <v>62</v>
      </c>
      <c r="B1587" s="50" t="str">
        <f>IFERROR(HYPERLINK(VLOOKUP(A1587,Internal_lists_bugs!$A$2:$C$73,3,FALSE()), VLOOKUP(A1587,Internal_lists_bugs!$A$2:$C$73,3,FALSE())&amp;Char(10) &amp; Char(10) &amp; VLOOKUP(A1587,Internal_lists_bugs!$A$2:$Z$73,26,FALSE())),"please select a BUG ID")</f>
        <v>https://bugs.launchpad.net/nova/+bug/1424647
/cmd/baseproxy.py
/cmd/novncproxy.py
/cmd/serialproxy.py
/cmd/spicehtml5proxy.py </v>
      </c>
      <c r="C1587" s="81" t="str">
        <f>IFERROR(VLOOKUP(A1587,Internal_lists_bugs!$A$2:$I7981,9,FALSE()),"please select a BUG ID")</f>
        <v>https://review.opendev.org/c/openstack/nova/+/119396</v>
      </c>
      <c r="D1587" s="114"/>
      <c r="E1587" s="114"/>
      <c r="F1587" s="115"/>
      <c r="G1587" s="79" t="s">
        <v>1686</v>
      </c>
      <c r="H1587" s="116" t="s">
        <v>3353</v>
      </c>
      <c r="I1587" s="54"/>
      <c r="K1587" s="54"/>
      <c r="M1587" s="114" t="str">
        <f>VLOOKUP(A1587,'BIC_(C_Variables)'!$A$3:$AS$43,45,FALSE())</f>
        <v/>
      </c>
      <c r="N1587" s="1"/>
      <c r="O1587" s="1"/>
      <c r="P1587" s="81" t="str">
        <f>IFERROR(VLOOKUP(A1587,Internal_lists_bugs!$A$2:$G7981,7,FALSE()),"please select a BUG ID")</f>
        <v>https://opendev.org/openstack/nova/commit/d2cbb9a</v>
      </c>
    </row>
    <row r="1588">
      <c r="A1588" s="16" t="s">
        <v>62</v>
      </c>
      <c r="B1588" s="50" t="str">
        <f>IFERROR(HYPERLINK(VLOOKUP(A1588,Internal_lists_bugs!$A$2:$C$73,3,FALSE()), VLOOKUP(A1588,Internal_lists_bugs!$A$2:$C$73,3,FALSE())&amp;Char(10) &amp; Char(10) &amp; VLOOKUP(A1588,Internal_lists_bugs!$A$2:$Z$73,26,FALSE())),"please select a BUG ID")</f>
        <v>https://bugs.launchpad.net/nova/+bug/1424647
/cmd/baseproxy.py
/cmd/novncproxy.py
/cmd/serialproxy.py
/cmd/spicehtml5proxy.py </v>
      </c>
      <c r="C1588" s="81" t="str">
        <f>IFERROR(VLOOKUP(A1588,Internal_lists_bugs!$A$2:$I7981,9,FALSE()),"please select a BUG ID")</f>
        <v>https://review.opendev.org/c/openstack/nova/+/119396</v>
      </c>
      <c r="D1588" s="114"/>
      <c r="E1588" s="114"/>
      <c r="F1588" s="115"/>
      <c r="G1588" s="79" t="s">
        <v>1514</v>
      </c>
      <c r="H1588" s="116" t="s">
        <v>3354</v>
      </c>
      <c r="I1588" s="54"/>
      <c r="K1588" s="54"/>
      <c r="M1588" s="114" t="str">
        <f>VLOOKUP(A1588,'BIC_(C_Variables)'!$A$3:$AS$43,45,FALSE())</f>
        <v/>
      </c>
      <c r="N1588" s="1"/>
      <c r="O1588" s="1"/>
      <c r="P1588" s="81" t="str">
        <f>IFERROR(VLOOKUP(A1588,Internal_lists_bugs!$A$2:$G7981,7,FALSE()),"please select a BUG ID")</f>
        <v>https://opendev.org/openstack/nova/commit/d2cbb9a</v>
      </c>
    </row>
    <row r="1589">
      <c r="A1589" s="16" t="s">
        <v>62</v>
      </c>
      <c r="B1589" s="50" t="str">
        <f>IFERROR(HYPERLINK(VLOOKUP(A1589,Internal_lists_bugs!$A$2:$C$73,3,FALSE()), VLOOKUP(A1589,Internal_lists_bugs!$A$2:$C$73,3,FALSE())&amp;Char(10) &amp; Char(10) &amp; VLOOKUP(A1589,Internal_lists_bugs!$A$2:$Z$73,26,FALSE())),"please select a BUG ID")</f>
        <v>https://bugs.launchpad.net/nova/+bug/1424647
/cmd/baseproxy.py
/cmd/novncproxy.py
/cmd/serialproxy.py
/cmd/spicehtml5proxy.py </v>
      </c>
      <c r="C1589" s="81" t="str">
        <f>IFERROR(VLOOKUP(A1589,Internal_lists_bugs!$A$2:$I7981,9,FALSE()),"please select a BUG ID")</f>
        <v>https://review.opendev.org/c/openstack/nova/+/119396</v>
      </c>
      <c r="D1589" s="114"/>
      <c r="E1589" s="114"/>
      <c r="F1589" s="115"/>
      <c r="G1589" s="79" t="s">
        <v>2614</v>
      </c>
      <c r="H1589" s="116" t="s">
        <v>3355</v>
      </c>
      <c r="I1589" s="54"/>
      <c r="K1589" s="54"/>
      <c r="M1589" s="114" t="str">
        <f>VLOOKUP(A1589,'BIC_(C_Variables)'!$A$3:$AS$43,45,FALSE())</f>
        <v/>
      </c>
      <c r="N1589" s="1"/>
      <c r="O1589" s="1"/>
      <c r="P1589" s="81" t="str">
        <f>IFERROR(VLOOKUP(A1589,Internal_lists_bugs!$A$2:$G7981,7,FALSE()),"please select a BUG ID")</f>
        <v>https://opendev.org/openstack/nova/commit/d2cbb9a</v>
      </c>
    </row>
    <row r="1590">
      <c r="A1590" s="16" t="s">
        <v>62</v>
      </c>
      <c r="B1590" s="50" t="str">
        <f>IFERROR(HYPERLINK(VLOOKUP(A1590,Internal_lists_bugs!$A$2:$C$73,3,FALSE()), VLOOKUP(A1590,Internal_lists_bugs!$A$2:$C$73,3,FALSE())&amp;Char(10) &amp; Char(10) &amp; VLOOKUP(A1590,Internal_lists_bugs!$A$2:$Z$73,26,FALSE())),"please select a BUG ID")</f>
        <v>https://bugs.launchpad.net/nova/+bug/1424647
/cmd/baseproxy.py
/cmd/novncproxy.py
/cmd/serialproxy.py
/cmd/spicehtml5proxy.py </v>
      </c>
      <c r="C1590" s="81" t="str">
        <f>IFERROR(VLOOKUP(A1590,Internal_lists_bugs!$A$2:$I7981,9,FALSE()),"please select a BUG ID")</f>
        <v>https://review.opendev.org/c/openstack/nova/+/119396</v>
      </c>
      <c r="D1590" s="114"/>
      <c r="E1590" s="114"/>
      <c r="F1590" s="115"/>
      <c r="G1590" s="79" t="s">
        <v>2616</v>
      </c>
      <c r="H1590" s="116" t="s">
        <v>3356</v>
      </c>
      <c r="I1590" s="54"/>
      <c r="K1590" s="54"/>
      <c r="M1590" s="114" t="str">
        <f>VLOOKUP(A1590,'BIC_(C_Variables)'!$A$3:$AS$43,45,FALSE())</f>
        <v/>
      </c>
      <c r="N1590" s="1"/>
      <c r="O1590" s="1"/>
      <c r="P1590" s="81" t="str">
        <f>IFERROR(VLOOKUP(A1590,Internal_lists_bugs!$A$2:$G7981,7,FALSE()),"please select a BUG ID")</f>
        <v>https://opendev.org/openstack/nova/commit/d2cbb9a</v>
      </c>
    </row>
    <row r="1591">
      <c r="A1591" s="16" t="s">
        <v>62</v>
      </c>
      <c r="B1591" s="50" t="str">
        <f>IFERROR(HYPERLINK(VLOOKUP(A1591,Internal_lists_bugs!$A$2:$C$73,3,FALSE()), VLOOKUP(A1591,Internal_lists_bugs!$A$2:$C$73,3,FALSE())&amp;Char(10) &amp; Char(10) &amp; VLOOKUP(A1591,Internal_lists_bugs!$A$2:$Z$73,26,FALSE())),"please select a BUG ID")</f>
        <v>https://bugs.launchpad.net/nova/+bug/1424647
/cmd/baseproxy.py
/cmd/novncproxy.py
/cmd/serialproxy.py
/cmd/spicehtml5proxy.py </v>
      </c>
      <c r="C1591" s="81" t="str">
        <f>IFERROR(VLOOKUP(A1591,Internal_lists_bugs!$A$2:$I7981,9,FALSE()),"please select a BUG ID")</f>
        <v>https://review.opendev.org/c/openstack/nova/+/119396</v>
      </c>
      <c r="D1591" s="114"/>
      <c r="E1591" s="114"/>
      <c r="F1591" s="115"/>
      <c r="G1591" s="79" t="s">
        <v>3357</v>
      </c>
      <c r="H1591" s="116" t="s">
        <v>3358</v>
      </c>
      <c r="I1591" s="54"/>
      <c r="K1591" s="54"/>
      <c r="M1591" s="114" t="str">
        <f>VLOOKUP(A1591,'BIC_(C_Variables)'!$A$3:$AS$43,45,FALSE())</f>
        <v/>
      </c>
      <c r="N1591" s="1"/>
      <c r="O1591" s="1"/>
      <c r="P1591" s="81" t="str">
        <f>IFERROR(VLOOKUP(A1591,Internal_lists_bugs!$A$2:$G7981,7,FALSE()),"please select a BUG ID")</f>
        <v>https://opendev.org/openstack/nova/commit/d2cbb9a</v>
      </c>
    </row>
    <row r="1592">
      <c r="A1592" s="16" t="s">
        <v>62</v>
      </c>
      <c r="B1592" s="50" t="str">
        <f>IFERROR(HYPERLINK(VLOOKUP(A1592,Internal_lists_bugs!$A$2:$C$73,3,FALSE()), VLOOKUP(A1592,Internal_lists_bugs!$A$2:$C$73,3,FALSE())&amp;Char(10) &amp; Char(10) &amp; VLOOKUP(A1592,Internal_lists_bugs!$A$2:$Z$73,26,FALSE())),"please select a BUG ID")</f>
        <v>https://bugs.launchpad.net/nova/+bug/1424647
/cmd/baseproxy.py
/cmd/novncproxy.py
/cmd/serialproxy.py
/cmd/spicehtml5proxy.py </v>
      </c>
      <c r="C1592" s="81" t="str">
        <f>IFERROR(VLOOKUP(A1592,Internal_lists_bugs!$A$2:$I7981,9,FALSE()),"please select a BUG ID")</f>
        <v>https://review.opendev.org/c/openstack/nova/+/119396</v>
      </c>
      <c r="D1592" s="114"/>
      <c r="E1592" s="114"/>
      <c r="F1592" s="115"/>
      <c r="G1592" s="79" t="s">
        <v>3359</v>
      </c>
      <c r="H1592" s="116" t="s">
        <v>3360</v>
      </c>
      <c r="I1592" s="54"/>
      <c r="K1592" s="54"/>
      <c r="M1592" s="114" t="str">
        <f>VLOOKUP(A1592,'BIC_(C_Variables)'!$A$3:$AS$43,45,FALSE())</f>
        <v/>
      </c>
      <c r="N1592" s="1"/>
      <c r="O1592" s="1"/>
      <c r="P1592" s="81" t="str">
        <f>IFERROR(VLOOKUP(A1592,Internal_lists_bugs!$A$2:$G7981,7,FALSE()),"please select a BUG ID")</f>
        <v>https://opendev.org/openstack/nova/commit/d2cbb9a</v>
      </c>
    </row>
    <row r="1593">
      <c r="A1593" s="16" t="s">
        <v>62</v>
      </c>
      <c r="B1593" s="50" t="str">
        <f>IFERROR(HYPERLINK(VLOOKUP(A1593,Internal_lists_bugs!$A$2:$C$73,3,FALSE()), VLOOKUP(A1593,Internal_lists_bugs!$A$2:$C$73,3,FALSE())&amp;Char(10) &amp; Char(10) &amp; VLOOKUP(A1593,Internal_lists_bugs!$A$2:$Z$73,26,FALSE())),"please select a BUG ID")</f>
        <v>https://bugs.launchpad.net/nova/+bug/1424647
/cmd/baseproxy.py
/cmd/novncproxy.py
/cmd/serialproxy.py
/cmd/spicehtml5proxy.py </v>
      </c>
      <c r="C1593" s="81" t="str">
        <f>IFERROR(VLOOKUP(A1593,Internal_lists_bugs!$A$2:$I7981,9,FALSE()),"please select a BUG ID")</f>
        <v>https://review.opendev.org/c/openstack/nova/+/119396</v>
      </c>
      <c r="D1593" s="114"/>
      <c r="E1593" s="114"/>
      <c r="F1593" s="115"/>
      <c r="G1593" s="79" t="s">
        <v>2268</v>
      </c>
      <c r="H1593" s="116" t="s">
        <v>3361</v>
      </c>
      <c r="I1593" s="54"/>
      <c r="K1593" s="54"/>
      <c r="M1593" s="114" t="str">
        <f>VLOOKUP(A1593,'BIC_(C_Variables)'!$A$3:$AS$43,45,FALSE())</f>
        <v/>
      </c>
      <c r="N1593" s="1"/>
      <c r="O1593" s="1"/>
      <c r="P1593" s="81" t="str">
        <f>IFERROR(VLOOKUP(A1593,Internal_lists_bugs!$A$2:$G7981,7,FALSE()),"please select a BUG ID")</f>
        <v>https://opendev.org/openstack/nova/commit/d2cbb9a</v>
      </c>
    </row>
    <row r="1594">
      <c r="A1594" s="16" t="s">
        <v>62</v>
      </c>
      <c r="B1594" s="50" t="str">
        <f>IFERROR(HYPERLINK(VLOOKUP(A1594,Internal_lists_bugs!$A$2:$C$73,3,FALSE()), VLOOKUP(A1594,Internal_lists_bugs!$A$2:$C$73,3,FALSE())&amp;Char(10) &amp; Char(10) &amp; VLOOKUP(A1594,Internal_lists_bugs!$A$2:$Z$73,26,FALSE())),"please select a BUG ID")</f>
        <v>https://bugs.launchpad.net/nova/+bug/1424647
/cmd/baseproxy.py
/cmd/novncproxy.py
/cmd/serialproxy.py
/cmd/spicehtml5proxy.py </v>
      </c>
      <c r="C1594" s="81" t="str">
        <f>IFERROR(VLOOKUP(A1594,Internal_lists_bugs!$A$2:$I7981,9,FALSE()),"please select a BUG ID")</f>
        <v>https://review.opendev.org/c/openstack/nova/+/119396</v>
      </c>
      <c r="D1594" s="114"/>
      <c r="E1594" s="114"/>
      <c r="F1594" s="115"/>
      <c r="G1594" s="79" t="s">
        <v>2047</v>
      </c>
      <c r="H1594" s="116" t="s">
        <v>3362</v>
      </c>
      <c r="I1594" s="54"/>
      <c r="K1594" s="54"/>
      <c r="M1594" s="114" t="str">
        <f>VLOOKUP(A1594,'BIC_(C_Variables)'!$A$3:$AS$43,45,FALSE())</f>
        <v/>
      </c>
      <c r="N1594" s="1"/>
      <c r="O1594" s="1"/>
      <c r="P1594" s="81" t="str">
        <f>IFERROR(VLOOKUP(A1594,Internal_lists_bugs!$A$2:$G7981,7,FALSE()),"please select a BUG ID")</f>
        <v>https://opendev.org/openstack/nova/commit/d2cbb9a</v>
      </c>
    </row>
    <row r="1595">
      <c r="A1595" s="16" t="s">
        <v>62</v>
      </c>
      <c r="B1595" s="50" t="str">
        <f>IFERROR(HYPERLINK(VLOOKUP(A1595,Internal_lists_bugs!$A$2:$C$73,3,FALSE()), VLOOKUP(A1595,Internal_lists_bugs!$A$2:$C$73,3,FALSE())&amp;Char(10) &amp; Char(10) &amp; VLOOKUP(A1595,Internal_lists_bugs!$A$2:$Z$73,26,FALSE())),"please select a BUG ID")</f>
        <v>https://bugs.launchpad.net/nova/+bug/1424647
/cmd/baseproxy.py
/cmd/novncproxy.py
/cmd/serialproxy.py
/cmd/spicehtml5proxy.py </v>
      </c>
      <c r="C1595" s="81" t="str">
        <f>IFERROR(VLOOKUP(A1595,Internal_lists_bugs!$A$2:$I7981,9,FALSE()),"please select a BUG ID")</f>
        <v>https://review.opendev.org/c/openstack/nova/+/119396</v>
      </c>
      <c r="D1595" s="114"/>
      <c r="E1595" s="114"/>
      <c r="F1595" s="115"/>
      <c r="G1595" s="79" t="s">
        <v>2415</v>
      </c>
      <c r="H1595" s="116" t="s">
        <v>3363</v>
      </c>
      <c r="I1595" s="54"/>
      <c r="K1595" s="54"/>
      <c r="M1595" s="114"/>
      <c r="N1595" s="1"/>
      <c r="O1595" s="1"/>
      <c r="P1595" s="51"/>
    </row>
    <row r="1596">
      <c r="A1596" s="16" t="s">
        <v>62</v>
      </c>
      <c r="B1596" s="50" t="str">
        <f>IFERROR(HYPERLINK(VLOOKUP(A1596,Internal_lists_bugs!$A$2:$C$73,3,FALSE()), VLOOKUP(A1596,Internal_lists_bugs!$A$2:$C$73,3,FALSE())&amp;Char(10) &amp; Char(10) &amp; VLOOKUP(A1596,Internal_lists_bugs!$A$2:$Z$73,26,FALSE())),"please select a BUG ID")</f>
        <v>https://bugs.launchpad.net/nova/+bug/1424647
/cmd/baseproxy.py
/cmd/novncproxy.py
/cmd/serialproxy.py
/cmd/spicehtml5proxy.py </v>
      </c>
      <c r="C1596" s="81" t="str">
        <f>IFERROR(VLOOKUP(A1596,Internal_lists_bugs!$A$2:$I7981,9,FALSE()),"please select a BUG ID")</f>
        <v>https://review.opendev.org/c/openstack/nova/+/119396</v>
      </c>
      <c r="D1596" s="114"/>
      <c r="E1596" s="114"/>
      <c r="F1596" s="115"/>
      <c r="G1596" s="79" t="s">
        <v>2436</v>
      </c>
      <c r="H1596" s="116" t="s">
        <v>3364</v>
      </c>
      <c r="I1596" s="54"/>
      <c r="K1596" s="54"/>
      <c r="M1596" s="114" t="str">
        <f>VLOOKUP(A1596,'BIC_(C_Variables)'!$A$3:$AS$43,45,FALSE())</f>
        <v/>
      </c>
      <c r="N1596" s="1"/>
      <c r="O1596" s="1"/>
      <c r="P1596" s="81" t="str">
        <f>IFERROR(VLOOKUP(A1596,Internal_lists_bugs!$A$2:$G7981,7,FALSE()),"please select a BUG ID")</f>
        <v>https://opendev.org/openstack/nova/commit/d2cbb9a</v>
      </c>
    </row>
    <row r="1597">
      <c r="A1597" s="16" t="s">
        <v>62</v>
      </c>
      <c r="B1597" s="50" t="str">
        <f>IFERROR(HYPERLINK(VLOOKUP(A1597,Internal_lists_bugs!$A$2:$C$73,3,FALSE()), VLOOKUP(A1597,Internal_lists_bugs!$A$2:$C$73,3,FALSE())&amp;Char(10) &amp; Char(10) &amp; VLOOKUP(A1597,Internal_lists_bugs!$A$2:$Z$73,26,FALSE())),"please select a BUG ID")</f>
        <v>https://bugs.launchpad.net/nova/+bug/1424647
/cmd/baseproxy.py
/cmd/novncproxy.py
/cmd/serialproxy.py
/cmd/spicehtml5proxy.py </v>
      </c>
      <c r="C1597" s="81" t="str">
        <f>IFERROR(VLOOKUP(A1597,Internal_lists_bugs!$A$2:$I7981,9,FALSE()),"please select a BUG ID")</f>
        <v>https://review.opendev.org/c/openstack/nova/+/119396</v>
      </c>
      <c r="D1597" s="114"/>
      <c r="E1597" s="114"/>
      <c r="F1597" s="115"/>
      <c r="G1597" s="79" t="s">
        <v>2053</v>
      </c>
      <c r="H1597" s="116" t="s">
        <v>2191</v>
      </c>
      <c r="I1597" s="54"/>
      <c r="K1597" s="54"/>
      <c r="M1597" s="114"/>
      <c r="N1597" s="1"/>
      <c r="O1597" s="1"/>
      <c r="P1597" s="51"/>
    </row>
    <row r="1598">
      <c r="A1598" s="16" t="s">
        <v>62</v>
      </c>
      <c r="B1598" s="50" t="str">
        <f>IFERROR(HYPERLINK(VLOOKUP(A1598,Internal_lists_bugs!$A$2:$C$73,3,FALSE()), VLOOKUP(A1598,Internal_lists_bugs!$A$2:$C$73,3,FALSE())&amp;Char(10) &amp; Char(10) &amp; VLOOKUP(A1598,Internal_lists_bugs!$A$2:$Z$73,26,FALSE())),"please select a BUG ID")</f>
        <v>https://bugs.launchpad.net/nova/+bug/1424647
/cmd/baseproxy.py
/cmd/novncproxy.py
/cmd/serialproxy.py
/cmd/spicehtml5proxy.py </v>
      </c>
      <c r="C1598" s="81" t="str">
        <f>IFERROR(VLOOKUP(A1598,Internal_lists_bugs!$A$2:$I7981,9,FALSE()),"please select a BUG ID")</f>
        <v>https://review.opendev.org/c/openstack/nova/+/119396</v>
      </c>
      <c r="D1598" s="114"/>
      <c r="E1598" s="114"/>
      <c r="F1598" s="115"/>
      <c r="G1598" s="79" t="s">
        <v>1570</v>
      </c>
      <c r="H1598" s="116" t="s">
        <v>2191</v>
      </c>
      <c r="I1598" s="54"/>
      <c r="K1598" s="54"/>
      <c r="M1598" s="114" t="str">
        <f>VLOOKUP(A1598,'BIC_(C_Variables)'!$A$3:$AS$43,45,FALSE())</f>
        <v/>
      </c>
      <c r="N1598" s="1"/>
      <c r="O1598" s="1"/>
      <c r="P1598" s="81" t="str">
        <f>IFERROR(VLOOKUP(A1598,Internal_lists_bugs!$A$2:$G7981,7,FALSE()),"please select a BUG ID")</f>
        <v>https://opendev.org/openstack/nova/commit/d2cbb9a</v>
      </c>
    </row>
    <row r="1599">
      <c r="A1599" s="16" t="s">
        <v>63</v>
      </c>
      <c r="B1599" s="50" t="str">
        <f>IFERROR(HYPERLINK(VLOOKUP(A1599,Internal_lists_bugs!$A$2:$C$73,3,FALSE()), VLOOKUP(A1599,Internal_lists_bugs!$A$2:$C$73,3,FALSE())&amp;Char(10) &amp; Char(10) &amp; VLOOKUP(A1599,Internal_lists_bugs!$A$2:$Z$73,26,FALSE())),"please select a BUG ID")</f>
        <v>https://bugs.launchpad.net/nova/+bug/1443970
/network/manager.py</v>
      </c>
      <c r="C1599" s="81" t="str">
        <f>IFERROR(VLOOKUP(A1599,Internal_lists_bugs!$A$2:$I7981,9,FALSE()),"please select a BUG ID")</f>
        <v>https://review.opendev.org/c/openstack/nova/+/93754</v>
      </c>
      <c r="D1599" s="112" t="s">
        <v>1412</v>
      </c>
      <c r="E1599" s="112" t="s">
        <v>1462</v>
      </c>
      <c r="F1599" s="113" t="s">
        <v>251</v>
      </c>
      <c r="G1599" s="79" t="s">
        <v>1419</v>
      </c>
      <c r="H1599" s="116" t="s">
        <v>3365</v>
      </c>
      <c r="I1599" s="16" t="s">
        <v>251</v>
      </c>
      <c r="J1599" s="16" t="s">
        <v>3366</v>
      </c>
      <c r="K1599" s="16" t="s">
        <v>251</v>
      </c>
      <c r="L1599" s="16" t="s">
        <v>3213</v>
      </c>
      <c r="M1599" s="114" t="str">
        <f>VLOOKUP(A1599,'BIC_(C_Variables)'!$A$3:$AS$43,45,FALSE())</f>
        <v/>
      </c>
      <c r="N1599" s="1"/>
      <c r="O1599" s="1"/>
      <c r="P1599" s="81" t="str">
        <f>IFERROR(VLOOKUP(A1599,Internal_lists_bugs!$A$2:$G7981,7,FALSE()),"please select a BUG ID")</f>
        <v>https://opendev.org/openstack/nova/commit/447641972539f1</v>
      </c>
    </row>
    <row r="1600">
      <c r="A1600" s="16" t="s">
        <v>63</v>
      </c>
      <c r="B1600" s="50" t="str">
        <f>IFERROR(HYPERLINK(VLOOKUP(A1600,Internal_lists_bugs!$A$2:$C$73,3,FALSE()), VLOOKUP(A1600,Internal_lists_bugs!$A$2:$C$73,3,FALSE())&amp;Char(10) &amp; Char(10) &amp; VLOOKUP(A1600,Internal_lists_bugs!$A$2:$Z$73,26,FALSE())),"please select a BUG ID")</f>
        <v>https://bugs.launchpad.net/nova/+bug/1443970
/network/manager.py</v>
      </c>
      <c r="C1600" s="81" t="str">
        <f>IFERROR(VLOOKUP(A1600,Internal_lists_bugs!$A$2:$I7981,9,FALSE()),"please select a BUG ID")</f>
        <v>https://review.opendev.org/c/openstack/nova/+/93754</v>
      </c>
      <c r="D1600" s="114"/>
      <c r="E1600" s="114"/>
      <c r="F1600" s="115"/>
      <c r="G1600" s="79" t="s">
        <v>1417</v>
      </c>
      <c r="H1600" s="116" t="s">
        <v>3367</v>
      </c>
      <c r="I1600" s="54"/>
      <c r="K1600" s="54"/>
      <c r="M1600" s="114" t="str">
        <f>VLOOKUP(A1600,'BIC_(C_Variables)'!$A$3:$AS$43,45,FALSE())</f>
        <v/>
      </c>
      <c r="N1600" s="1"/>
      <c r="O1600" s="1"/>
      <c r="P1600" s="81" t="str">
        <f>IFERROR(VLOOKUP(A1600,Internal_lists_bugs!$A$2:$G7981,7,FALSE()),"please select a BUG ID")</f>
        <v>https://opendev.org/openstack/nova/commit/447641972539f1</v>
      </c>
    </row>
    <row r="1601">
      <c r="A1601" s="16" t="s">
        <v>63</v>
      </c>
      <c r="B1601" s="50" t="str">
        <f>IFERROR(HYPERLINK(VLOOKUP(A1601,Internal_lists_bugs!$A$2:$C$73,3,FALSE()), VLOOKUP(A1601,Internal_lists_bugs!$A$2:$C$73,3,FALSE())&amp;Char(10) &amp; Char(10) &amp; VLOOKUP(A1601,Internal_lists_bugs!$A$2:$Z$73,26,FALSE())),"please select a BUG ID")</f>
        <v>https://bugs.launchpad.net/nova/+bug/1443970
/network/manager.py</v>
      </c>
      <c r="C1601" s="81" t="str">
        <f>IFERROR(VLOOKUP(A1601,Internal_lists_bugs!$A$2:$I7981,9,FALSE()),"please select a BUG ID")</f>
        <v>https://review.opendev.org/c/openstack/nova/+/93754</v>
      </c>
      <c r="D1601" s="114"/>
      <c r="E1601" s="114"/>
      <c r="F1601" s="115"/>
      <c r="G1601" s="79" t="s">
        <v>1466</v>
      </c>
      <c r="H1601" s="116" t="s">
        <v>3368</v>
      </c>
      <c r="I1601" s="54"/>
      <c r="K1601" s="54"/>
      <c r="M1601" s="114" t="str">
        <f>VLOOKUP(A1601,'BIC_(C_Variables)'!$A$3:$AS$43,45,FALSE())</f>
        <v/>
      </c>
      <c r="N1601" s="1"/>
      <c r="O1601" s="1"/>
      <c r="P1601" s="81" t="str">
        <f>IFERROR(VLOOKUP(A1601,Internal_lists_bugs!$A$2:$G7981,7,FALSE()),"please select a BUG ID")</f>
        <v>https://opendev.org/openstack/nova/commit/447641972539f1</v>
      </c>
    </row>
    <row r="1602">
      <c r="A1602" s="16" t="s">
        <v>63</v>
      </c>
      <c r="B1602" s="50" t="str">
        <f>IFERROR(HYPERLINK(VLOOKUP(A1602,Internal_lists_bugs!$A$2:$C$73,3,FALSE()), VLOOKUP(A1602,Internal_lists_bugs!$A$2:$C$73,3,FALSE())&amp;Char(10) &amp; Char(10) &amp; VLOOKUP(A1602,Internal_lists_bugs!$A$2:$Z$73,26,FALSE())),"please select a BUG ID")</f>
        <v>https://bugs.launchpad.net/nova/+bug/1443970
/network/manager.py</v>
      </c>
      <c r="C1602" s="81" t="str">
        <f>IFERROR(VLOOKUP(A1602,Internal_lists_bugs!$A$2:$I7981,9,FALSE()),"please select a BUG ID")</f>
        <v>https://review.opendev.org/c/openstack/nova/+/93754</v>
      </c>
      <c r="D1602" s="114"/>
      <c r="E1602" s="114"/>
      <c r="F1602" s="115"/>
      <c r="G1602" s="79" t="s">
        <v>1696</v>
      </c>
      <c r="H1602" s="116" t="s">
        <v>3369</v>
      </c>
      <c r="I1602" s="54"/>
      <c r="K1602" s="54"/>
      <c r="M1602" s="114" t="str">
        <f>VLOOKUP(A1602,'BIC_(C_Variables)'!$A$3:$AS$43,45,FALSE())</f>
        <v/>
      </c>
      <c r="N1602" s="1"/>
      <c r="O1602" s="1"/>
      <c r="P1602" s="81" t="str">
        <f>IFERROR(VLOOKUP(A1602,Internal_lists_bugs!$A$2:$G7981,7,FALSE()),"please select a BUG ID")</f>
        <v>https://opendev.org/openstack/nova/commit/447641972539f1</v>
      </c>
    </row>
    <row r="1603">
      <c r="A1603" s="16" t="s">
        <v>63</v>
      </c>
      <c r="B1603" s="50" t="str">
        <f>IFERROR(HYPERLINK(VLOOKUP(A1603,Internal_lists_bugs!$A$2:$C$73,3,FALSE()), VLOOKUP(A1603,Internal_lists_bugs!$A$2:$C$73,3,FALSE())&amp;Char(10) &amp; Char(10) &amp; VLOOKUP(A1603,Internal_lists_bugs!$A$2:$Z$73,26,FALSE())),"please select a BUG ID")</f>
        <v>https://bugs.launchpad.net/nova/+bug/1443970
/network/manager.py</v>
      </c>
      <c r="C1603" s="81" t="str">
        <f>IFERROR(VLOOKUP(A1603,Internal_lists_bugs!$A$2:$I7981,9,FALSE()),"please select a BUG ID")</f>
        <v>https://review.opendev.org/c/openstack/nova/+/93754</v>
      </c>
      <c r="D1603" s="114"/>
      <c r="E1603" s="114"/>
      <c r="F1603" s="115"/>
      <c r="G1603" s="79" t="s">
        <v>3000</v>
      </c>
      <c r="H1603" s="116" t="s">
        <v>3370</v>
      </c>
      <c r="I1603" s="54"/>
      <c r="K1603" s="54"/>
      <c r="M1603" s="114" t="str">
        <f>VLOOKUP(A1603,'BIC_(C_Variables)'!$A$3:$AS$43,45,FALSE())</f>
        <v/>
      </c>
      <c r="N1603" s="1"/>
      <c r="O1603" s="1"/>
      <c r="P1603" s="81" t="str">
        <f>IFERROR(VLOOKUP(A1603,Internal_lists_bugs!$A$2:$G7981,7,FALSE()),"please select a BUG ID")</f>
        <v>https://opendev.org/openstack/nova/commit/447641972539f1</v>
      </c>
    </row>
    <row r="1604">
      <c r="A1604" s="16" t="s">
        <v>63</v>
      </c>
      <c r="B1604" s="50" t="str">
        <f>IFERROR(HYPERLINK(VLOOKUP(A1604,Internal_lists_bugs!$A$2:$C$73,3,FALSE()), VLOOKUP(A1604,Internal_lists_bugs!$A$2:$C$73,3,FALSE())&amp;Char(10) &amp; Char(10) &amp; VLOOKUP(A1604,Internal_lists_bugs!$A$2:$Z$73,26,FALSE())),"please select a BUG ID")</f>
        <v>https://bugs.launchpad.net/nova/+bug/1443970
/network/manager.py</v>
      </c>
      <c r="C1604" s="81" t="str">
        <f>IFERROR(VLOOKUP(A1604,Internal_lists_bugs!$A$2:$I7981,9,FALSE()),"please select a BUG ID")</f>
        <v>https://review.opendev.org/c/openstack/nova/+/93754</v>
      </c>
      <c r="D1604" s="114"/>
      <c r="E1604" s="114"/>
      <c r="F1604" s="115"/>
      <c r="G1604" s="79" t="s">
        <v>1495</v>
      </c>
      <c r="H1604" s="116" t="s">
        <v>3371</v>
      </c>
      <c r="I1604" s="54"/>
      <c r="K1604" s="54"/>
      <c r="M1604" s="114" t="str">
        <f>VLOOKUP(A1604,'BIC_(C_Variables)'!$A$3:$AS$43,45,FALSE())</f>
        <v/>
      </c>
      <c r="N1604" s="1"/>
      <c r="O1604" s="1"/>
      <c r="P1604" s="81" t="str">
        <f>IFERROR(VLOOKUP(A1604,Internal_lists_bugs!$A$2:$G7981,7,FALSE()),"please select a BUG ID")</f>
        <v>https://opendev.org/openstack/nova/commit/447641972539f1</v>
      </c>
    </row>
    <row r="1605">
      <c r="A1605" s="16" t="s">
        <v>63</v>
      </c>
      <c r="B1605" s="50" t="str">
        <f>IFERROR(HYPERLINK(VLOOKUP(A1605,Internal_lists_bugs!$A$2:$C$73,3,FALSE()), VLOOKUP(A1605,Internal_lists_bugs!$A$2:$C$73,3,FALSE())&amp;Char(10) &amp; Char(10) &amp; VLOOKUP(A1605,Internal_lists_bugs!$A$2:$Z$73,26,FALSE())),"please select a BUG ID")</f>
        <v>https://bugs.launchpad.net/nova/+bug/1443970
/network/manager.py</v>
      </c>
      <c r="C1605" s="81" t="str">
        <f>IFERROR(VLOOKUP(A1605,Internal_lists_bugs!$A$2:$I7981,9,FALSE()),"please select a BUG ID")</f>
        <v>https://review.opendev.org/c/openstack/nova/+/93754</v>
      </c>
      <c r="D1605" s="114"/>
      <c r="E1605" s="114"/>
      <c r="F1605" s="115"/>
      <c r="G1605" s="79" t="s">
        <v>1690</v>
      </c>
      <c r="H1605" s="116" t="s">
        <v>3372</v>
      </c>
      <c r="I1605" s="54"/>
      <c r="K1605" s="54"/>
      <c r="M1605" s="114" t="str">
        <f>VLOOKUP(A1605,'BIC_(C_Variables)'!$A$3:$AS$43,45,FALSE())</f>
        <v/>
      </c>
      <c r="N1605" s="1"/>
      <c r="O1605" s="1"/>
      <c r="P1605" s="81" t="str">
        <f>IFERROR(VLOOKUP(A1605,Internal_lists_bugs!$A$2:$G7981,7,FALSE()),"please select a BUG ID")</f>
        <v>https://opendev.org/openstack/nova/commit/447641972539f1</v>
      </c>
    </row>
    <row r="1606">
      <c r="A1606" s="16" t="s">
        <v>63</v>
      </c>
      <c r="B1606" s="50" t="str">
        <f>IFERROR(HYPERLINK(VLOOKUP(A1606,Internal_lists_bugs!$A$2:$C$73,3,FALSE()), VLOOKUP(A1606,Internal_lists_bugs!$A$2:$C$73,3,FALSE())&amp;Char(10) &amp; Char(10) &amp; VLOOKUP(A1606,Internal_lists_bugs!$A$2:$Z$73,26,FALSE())),"please select a BUG ID")</f>
        <v>https://bugs.launchpad.net/nova/+bug/1443970
/network/manager.py</v>
      </c>
      <c r="C1606" s="81" t="str">
        <f>IFERROR(VLOOKUP(A1606,Internal_lists_bugs!$A$2:$I7981,9,FALSE()),"please select a BUG ID")</f>
        <v>https://review.opendev.org/c/openstack/nova/+/93754</v>
      </c>
      <c r="D1606" s="114"/>
      <c r="E1606" s="114"/>
      <c r="F1606" s="115"/>
      <c r="G1606" s="79" t="s">
        <v>1639</v>
      </c>
      <c r="H1606" s="116" t="s">
        <v>3373</v>
      </c>
      <c r="I1606" s="54"/>
      <c r="K1606" s="54"/>
      <c r="M1606" s="114" t="str">
        <f>VLOOKUP(A1606,'BIC_(C_Variables)'!$A$3:$AS$43,45,FALSE())</f>
        <v/>
      </c>
      <c r="N1606" s="1"/>
      <c r="O1606" s="1"/>
      <c r="P1606" s="81" t="str">
        <f>IFERROR(VLOOKUP(A1606,Internal_lists_bugs!$A$2:$G7981,7,FALSE()),"please select a BUG ID")</f>
        <v>https://opendev.org/openstack/nova/commit/447641972539f1</v>
      </c>
    </row>
    <row r="1607">
      <c r="A1607" s="16" t="s">
        <v>63</v>
      </c>
      <c r="B1607" s="50" t="str">
        <f>IFERROR(HYPERLINK(VLOOKUP(A1607,Internal_lists_bugs!$A$2:$C$73,3,FALSE()), VLOOKUP(A1607,Internal_lists_bugs!$A$2:$C$73,3,FALSE())&amp;Char(10) &amp; Char(10) &amp; VLOOKUP(A1607,Internal_lists_bugs!$A$2:$Z$73,26,FALSE())),"please select a BUG ID")</f>
        <v>https://bugs.launchpad.net/nova/+bug/1443970
/network/manager.py</v>
      </c>
      <c r="C1607" s="81" t="str">
        <f>IFERROR(VLOOKUP(A1607,Internal_lists_bugs!$A$2:$I7981,9,FALSE()),"please select a BUG ID")</f>
        <v>https://review.opendev.org/c/openstack/nova/+/93754</v>
      </c>
      <c r="D1607" s="114"/>
      <c r="E1607" s="114"/>
      <c r="F1607" s="115"/>
      <c r="G1607" s="79" t="s">
        <v>1641</v>
      </c>
      <c r="H1607" s="116" t="s">
        <v>3374</v>
      </c>
      <c r="I1607" s="54"/>
      <c r="K1607" s="54"/>
      <c r="M1607" s="114" t="str">
        <f>VLOOKUP(A1607,'BIC_(C_Variables)'!$A$3:$AS$43,45,FALSE())</f>
        <v/>
      </c>
      <c r="N1607" s="1"/>
      <c r="O1607" s="1"/>
      <c r="P1607" s="81" t="str">
        <f>IFERROR(VLOOKUP(A1607,Internal_lists_bugs!$A$2:$G7981,7,FALSE()),"please select a BUG ID")</f>
        <v>https://opendev.org/openstack/nova/commit/447641972539f1</v>
      </c>
    </row>
    <row r="1608">
      <c r="A1608" s="16" t="s">
        <v>63</v>
      </c>
      <c r="B1608" s="50" t="str">
        <f>IFERROR(HYPERLINK(VLOOKUP(A1608,Internal_lists_bugs!$A$2:$C$73,3,FALSE()), VLOOKUP(A1608,Internal_lists_bugs!$A$2:$C$73,3,FALSE())&amp;Char(10) &amp; Char(10) &amp; VLOOKUP(A1608,Internal_lists_bugs!$A$2:$Z$73,26,FALSE())),"please select a BUG ID")</f>
        <v>https://bugs.launchpad.net/nova/+bug/1443970
/network/manager.py</v>
      </c>
      <c r="C1608" s="81" t="str">
        <f>IFERROR(VLOOKUP(A1608,Internal_lists_bugs!$A$2:$I7981,9,FALSE()),"please select a BUG ID")</f>
        <v>https://review.opendev.org/c/openstack/nova/+/93754</v>
      </c>
      <c r="D1608" s="114"/>
      <c r="E1608" s="114"/>
      <c r="F1608" s="115"/>
      <c r="G1608" s="79" t="s">
        <v>3173</v>
      </c>
      <c r="H1608" s="116" t="s">
        <v>3375</v>
      </c>
      <c r="I1608" s="54"/>
      <c r="K1608" s="54"/>
      <c r="M1608" s="114" t="str">
        <f>VLOOKUP(A1608,'BIC_(C_Variables)'!$A$3:$AS$43,45,FALSE())</f>
        <v/>
      </c>
      <c r="N1608" s="1"/>
      <c r="O1608" s="1"/>
      <c r="P1608" s="81" t="str">
        <f>IFERROR(VLOOKUP(A1608,Internal_lists_bugs!$A$2:$G7981,7,FALSE()),"please select a BUG ID")</f>
        <v>https://opendev.org/openstack/nova/commit/447641972539f1</v>
      </c>
    </row>
    <row r="1609">
      <c r="A1609" s="16" t="s">
        <v>63</v>
      </c>
      <c r="B1609" s="50" t="str">
        <f>IFERROR(HYPERLINK(VLOOKUP(A1609,Internal_lists_bugs!$A$2:$C$73,3,FALSE()), VLOOKUP(A1609,Internal_lists_bugs!$A$2:$C$73,3,FALSE())&amp;Char(10) &amp; Char(10) &amp; VLOOKUP(A1609,Internal_lists_bugs!$A$2:$Z$73,26,FALSE())),"please select a BUG ID")</f>
        <v>https://bugs.launchpad.net/nova/+bug/1443970
/network/manager.py</v>
      </c>
      <c r="C1609" s="81" t="str">
        <f>IFERROR(VLOOKUP(A1609,Internal_lists_bugs!$A$2:$I7981,9,FALSE()),"please select a BUG ID")</f>
        <v>https://review.opendev.org/c/openstack/nova/+/93754</v>
      </c>
      <c r="D1609" s="114"/>
      <c r="E1609" s="114"/>
      <c r="F1609" s="115"/>
      <c r="G1609" s="79" t="s">
        <v>3376</v>
      </c>
      <c r="H1609" s="122" t="s">
        <v>3377</v>
      </c>
      <c r="I1609" s="54"/>
      <c r="K1609" s="54"/>
      <c r="M1609" s="114" t="str">
        <f>VLOOKUP(A1609,'BIC_(C_Variables)'!$A$3:$AS$43,45,FALSE())</f>
        <v/>
      </c>
      <c r="N1609" s="1"/>
      <c r="O1609" s="1"/>
      <c r="P1609" s="81" t="str">
        <f>IFERROR(VLOOKUP(A1609,Internal_lists_bugs!$A$2:$G7981,7,FALSE()),"please select a BUG ID")</f>
        <v>https://opendev.org/openstack/nova/commit/447641972539f1</v>
      </c>
    </row>
    <row r="1610">
      <c r="A1610" s="16" t="s">
        <v>63</v>
      </c>
      <c r="B1610" s="50" t="str">
        <f>IFERROR(HYPERLINK(VLOOKUP(A1610,Internal_lists_bugs!$A$2:$C$73,3,FALSE()), VLOOKUP(A1610,Internal_lists_bugs!$A$2:$C$73,3,FALSE())&amp;Char(10) &amp; Char(10) &amp; VLOOKUP(A1610,Internal_lists_bugs!$A$2:$Z$73,26,FALSE())),"please select a BUG ID")</f>
        <v>https://bugs.launchpad.net/nova/+bug/1443970
/network/manager.py</v>
      </c>
      <c r="C1610" s="81" t="str">
        <f>IFERROR(VLOOKUP(A1610,Internal_lists_bugs!$A$2:$I7981,9,FALSE()),"please select a BUG ID")</f>
        <v>https://review.opendev.org/c/openstack/nova/+/93754</v>
      </c>
      <c r="D1610" s="114"/>
      <c r="E1610" s="114"/>
      <c r="F1610" s="115"/>
      <c r="G1610" s="79" t="s">
        <v>3378</v>
      </c>
      <c r="H1610" s="122" t="s">
        <v>3379</v>
      </c>
      <c r="I1610" s="54"/>
      <c r="K1610" s="54"/>
      <c r="M1610" s="114" t="str">
        <f>VLOOKUP(A1610,'BIC_(C_Variables)'!$A$3:$AS$43,45,FALSE())</f>
        <v/>
      </c>
      <c r="N1610" s="1"/>
      <c r="O1610" s="1"/>
      <c r="P1610" s="81" t="str">
        <f>IFERROR(VLOOKUP(A1610,Internal_lists_bugs!$A$2:$G7981,7,FALSE()),"please select a BUG ID")</f>
        <v>https://opendev.org/openstack/nova/commit/447641972539f1</v>
      </c>
    </row>
    <row r="1611">
      <c r="A1611" s="16" t="s">
        <v>63</v>
      </c>
      <c r="B1611" s="50" t="str">
        <f>IFERROR(HYPERLINK(VLOOKUP(A1611,Internal_lists_bugs!$A$2:$C$73,3,FALSE()), VLOOKUP(A1611,Internal_lists_bugs!$A$2:$C$73,3,FALSE())&amp;Char(10) &amp; Char(10) &amp; VLOOKUP(A1611,Internal_lists_bugs!$A$2:$Z$73,26,FALSE())),"please select a BUG ID")</f>
        <v>https://bugs.launchpad.net/nova/+bug/1443970
/network/manager.py</v>
      </c>
      <c r="C1611" s="81" t="str">
        <f>IFERROR(VLOOKUP(A1611,Internal_lists_bugs!$A$2:$I7981,9,FALSE()),"please select a BUG ID")</f>
        <v>https://review.opendev.org/c/openstack/nova/+/93754</v>
      </c>
      <c r="D1611" s="114"/>
      <c r="E1611" s="114"/>
      <c r="F1611" s="115"/>
      <c r="G1611" s="79" t="s">
        <v>3380</v>
      </c>
      <c r="H1611" s="116" t="s">
        <v>3381</v>
      </c>
      <c r="I1611" s="54"/>
      <c r="K1611" s="54"/>
      <c r="M1611" s="114" t="str">
        <f>VLOOKUP(A1611,'BIC_(C_Variables)'!$A$3:$AS$43,45,FALSE())</f>
        <v/>
      </c>
      <c r="N1611" s="1"/>
      <c r="O1611" s="1"/>
      <c r="P1611" s="81" t="str">
        <f>IFERROR(VLOOKUP(A1611,Internal_lists_bugs!$A$2:$G7981,7,FALSE()),"please select a BUG ID")</f>
        <v>https://opendev.org/openstack/nova/commit/447641972539f1</v>
      </c>
    </row>
    <row r="1612">
      <c r="A1612" s="16" t="s">
        <v>63</v>
      </c>
      <c r="B1612" s="50" t="str">
        <f>IFERROR(HYPERLINK(VLOOKUP(A1612,Internal_lists_bugs!$A$2:$C$73,3,FALSE()), VLOOKUP(A1612,Internal_lists_bugs!$A$2:$C$73,3,FALSE())&amp;Char(10) &amp; Char(10) &amp; VLOOKUP(A1612,Internal_lists_bugs!$A$2:$Z$73,26,FALSE())),"please select a BUG ID")</f>
        <v>https://bugs.launchpad.net/nova/+bug/1443970
/network/manager.py</v>
      </c>
      <c r="C1612" s="81" t="str">
        <f>IFERROR(VLOOKUP(A1612,Internal_lists_bugs!$A$2:$I7981,9,FALSE()),"please select a BUG ID")</f>
        <v>https://review.opendev.org/c/openstack/nova/+/93754</v>
      </c>
      <c r="D1612" s="114"/>
      <c r="E1612" s="114"/>
      <c r="F1612" s="115"/>
      <c r="G1612" s="79" t="s">
        <v>1568</v>
      </c>
      <c r="H1612" s="116" t="s">
        <v>3371</v>
      </c>
      <c r="I1612" s="54"/>
      <c r="K1612" s="54"/>
      <c r="M1612" s="114"/>
      <c r="N1612" s="1"/>
      <c r="O1612" s="1"/>
      <c r="P1612" s="51"/>
    </row>
    <row r="1613">
      <c r="A1613" s="16" t="s">
        <v>63</v>
      </c>
      <c r="B1613" s="50" t="str">
        <f>IFERROR(HYPERLINK(VLOOKUP(A1613,Internal_lists_bugs!$A$2:$C$73,3,FALSE()), VLOOKUP(A1613,Internal_lists_bugs!$A$2:$C$73,3,FALSE())&amp;Char(10) &amp; Char(10) &amp; VLOOKUP(A1613,Internal_lists_bugs!$A$2:$Z$73,26,FALSE())),"please select a BUG ID")</f>
        <v>https://bugs.launchpad.net/nova/+bug/1443970
/network/manager.py</v>
      </c>
      <c r="C1613" s="81" t="str">
        <f>IFERROR(VLOOKUP(A1613,Internal_lists_bugs!$A$2:$I7981,9,FALSE()),"please select a BUG ID")</f>
        <v>https://review.opendev.org/c/openstack/nova/+/93754</v>
      </c>
      <c r="D1613" s="114"/>
      <c r="E1613" s="114"/>
      <c r="F1613" s="115"/>
      <c r="G1613" s="79" t="s">
        <v>2099</v>
      </c>
      <c r="H1613" s="116" t="s">
        <v>3382</v>
      </c>
      <c r="I1613" s="54"/>
      <c r="K1613" s="54"/>
      <c r="M1613" s="114" t="str">
        <f>VLOOKUP(A1613,'BIC_(C_Variables)'!$A$3:$AS$43,45,FALSE())</f>
        <v/>
      </c>
      <c r="N1613" s="1"/>
      <c r="O1613" s="1"/>
      <c r="P1613" s="81" t="str">
        <f>IFERROR(VLOOKUP(A1613,Internal_lists_bugs!$A$2:$G7981,7,FALSE()),"please select a BUG ID")</f>
        <v>https://opendev.org/openstack/nova/commit/447641972539f1</v>
      </c>
    </row>
    <row r="1614">
      <c r="A1614" s="16" t="s">
        <v>63</v>
      </c>
      <c r="B1614" s="50" t="str">
        <f>IFERROR(HYPERLINK(VLOOKUP(A1614,Internal_lists_bugs!$A$2:$C$73,3,FALSE()), VLOOKUP(A1614,Internal_lists_bugs!$A$2:$C$73,3,FALSE())&amp;Char(10) &amp; Char(10) &amp; VLOOKUP(A1614,Internal_lists_bugs!$A$2:$Z$73,26,FALSE())),"please select a BUG ID")</f>
        <v>https://bugs.launchpad.net/nova/+bug/1443970
/network/manager.py</v>
      </c>
      <c r="C1614" s="81" t="str">
        <f>IFERROR(VLOOKUP(A1614,Internal_lists_bugs!$A$2:$I7981,9,FALSE()),"please select a BUG ID")</f>
        <v>https://review.opendev.org/c/openstack/nova/+/93754</v>
      </c>
      <c r="D1614" s="114"/>
      <c r="E1614" s="114"/>
      <c r="F1614" s="115"/>
      <c r="G1614" s="79" t="s">
        <v>1733</v>
      </c>
      <c r="H1614" s="116" t="s">
        <v>3383</v>
      </c>
      <c r="I1614" s="54"/>
      <c r="K1614" s="54"/>
      <c r="M1614" s="114" t="str">
        <f>VLOOKUP(A1614,'BIC_(C_Variables)'!$A$3:$AS$43,45,FALSE())</f>
        <v/>
      </c>
      <c r="N1614" s="1"/>
      <c r="O1614" s="1"/>
      <c r="P1614" s="81" t="str">
        <f>IFERROR(VLOOKUP(A1614,Internal_lists_bugs!$A$2:$G7981,7,FALSE()),"please select a BUG ID")</f>
        <v>https://opendev.org/openstack/nova/commit/447641972539f1</v>
      </c>
    </row>
    <row r="1615">
      <c r="A1615" s="16" t="s">
        <v>63</v>
      </c>
      <c r="B1615" s="50" t="str">
        <f>IFERROR(HYPERLINK(VLOOKUP(A1615,Internal_lists_bugs!$A$2:$C$73,3,FALSE()), VLOOKUP(A1615,Internal_lists_bugs!$A$2:$C$73,3,FALSE())&amp;Char(10) &amp; Char(10) &amp; VLOOKUP(A1615,Internal_lists_bugs!$A$2:$Z$73,26,FALSE())),"please select a BUG ID")</f>
        <v>https://bugs.launchpad.net/nova/+bug/1443970
/network/manager.py</v>
      </c>
      <c r="C1615" s="81" t="str">
        <f>IFERROR(VLOOKUP(A1615,Internal_lists_bugs!$A$2:$I7981,9,FALSE()),"please select a BUG ID")</f>
        <v>https://review.opendev.org/c/openstack/nova/+/93754</v>
      </c>
      <c r="D1615" s="114"/>
      <c r="E1615" s="114"/>
      <c r="F1615" s="115"/>
      <c r="G1615" s="79" t="s">
        <v>2268</v>
      </c>
      <c r="H1615" s="116" t="s">
        <v>3384</v>
      </c>
      <c r="I1615" s="54"/>
      <c r="K1615" s="54"/>
      <c r="M1615" s="114" t="str">
        <f>VLOOKUP(A1615,'BIC_(C_Variables)'!$A$3:$AS$43,45,FALSE())</f>
        <v/>
      </c>
      <c r="N1615" s="1"/>
      <c r="O1615" s="1"/>
      <c r="P1615" s="81" t="str">
        <f>IFERROR(VLOOKUP(A1615,Internal_lists_bugs!$A$2:$G7981,7,FALSE()),"please select a BUG ID")</f>
        <v>https://opendev.org/openstack/nova/commit/447641972539f1</v>
      </c>
    </row>
    <row r="1616">
      <c r="A1616" s="16" t="s">
        <v>63</v>
      </c>
      <c r="B1616" s="50" t="str">
        <f>IFERROR(HYPERLINK(VLOOKUP(A1616,Internal_lists_bugs!$A$2:$C$73,3,FALSE()), VLOOKUP(A1616,Internal_lists_bugs!$A$2:$C$73,3,FALSE())&amp;Char(10) &amp; Char(10) &amp; VLOOKUP(A1616,Internal_lists_bugs!$A$2:$Z$73,26,FALSE())),"please select a BUG ID")</f>
        <v>https://bugs.launchpad.net/nova/+bug/1443970
/network/manager.py</v>
      </c>
      <c r="C1616" s="81" t="str">
        <f>IFERROR(VLOOKUP(A1616,Internal_lists_bugs!$A$2:$I7981,9,FALSE()),"please select a BUG ID")</f>
        <v>https://review.opendev.org/c/openstack/nova/+/93754</v>
      </c>
      <c r="D1616" s="114"/>
      <c r="E1616" s="114"/>
      <c r="F1616" s="115"/>
      <c r="G1616" s="79" t="s">
        <v>1498</v>
      </c>
      <c r="H1616" s="116" t="s">
        <v>3385</v>
      </c>
      <c r="I1616" s="54"/>
      <c r="K1616" s="54"/>
      <c r="M1616" s="114" t="str">
        <f>VLOOKUP(A1616,'BIC_(C_Variables)'!$A$3:$AS$43,45,FALSE())</f>
        <v/>
      </c>
      <c r="N1616" s="1"/>
      <c r="O1616" s="1"/>
      <c r="P1616" s="81" t="str">
        <f>IFERROR(VLOOKUP(A1616,Internal_lists_bugs!$A$2:$G7981,7,FALSE()),"please select a BUG ID")</f>
        <v>https://opendev.org/openstack/nova/commit/447641972539f1</v>
      </c>
    </row>
    <row r="1617">
      <c r="A1617" s="16" t="s">
        <v>63</v>
      </c>
      <c r="B1617" s="50" t="str">
        <f>IFERROR(HYPERLINK(VLOOKUP(A1617,Internal_lists_bugs!$A$2:$C$73,3,FALSE()), VLOOKUP(A1617,Internal_lists_bugs!$A$2:$C$73,3,FALSE())&amp;Char(10) &amp; Char(10) &amp; VLOOKUP(A1617,Internal_lists_bugs!$A$2:$Z$73,26,FALSE())),"please select a BUG ID")</f>
        <v>https://bugs.launchpad.net/nova/+bug/1443970
/network/manager.py</v>
      </c>
      <c r="C1617" s="81" t="str">
        <f>IFERROR(VLOOKUP(A1617,Internal_lists_bugs!$A$2:$I7981,9,FALSE()),"please select a BUG ID")</f>
        <v>https://review.opendev.org/c/openstack/nova/+/93754</v>
      </c>
      <c r="D1617" s="114"/>
      <c r="E1617" s="114"/>
      <c r="F1617" s="115"/>
      <c r="G1617" s="79" t="s">
        <v>1500</v>
      </c>
      <c r="H1617" s="116" t="s">
        <v>3386</v>
      </c>
      <c r="I1617" s="54"/>
      <c r="K1617" s="54"/>
      <c r="M1617" s="114" t="str">
        <f>VLOOKUP(A1617,'BIC_(C_Variables)'!$A$3:$AS$43,45,FALSE())</f>
        <v/>
      </c>
      <c r="N1617" s="1"/>
      <c r="O1617" s="1"/>
      <c r="P1617" s="81" t="str">
        <f>IFERROR(VLOOKUP(A1617,Internal_lists_bugs!$A$2:$G7981,7,FALSE()),"please select a BUG ID")</f>
        <v>https://opendev.org/openstack/nova/commit/447641972539f1</v>
      </c>
    </row>
    <row r="1618">
      <c r="A1618" s="16" t="s">
        <v>63</v>
      </c>
      <c r="B1618" s="50" t="str">
        <f>IFERROR(HYPERLINK(VLOOKUP(A1618,Internal_lists_bugs!$A$2:$C$73,3,FALSE()), VLOOKUP(A1618,Internal_lists_bugs!$A$2:$C$73,3,FALSE())&amp;Char(10) &amp; Char(10) &amp; VLOOKUP(A1618,Internal_lists_bugs!$A$2:$Z$73,26,FALSE())),"please select a BUG ID")</f>
        <v>https://bugs.launchpad.net/nova/+bug/1443970
/network/manager.py</v>
      </c>
      <c r="C1618" s="81" t="str">
        <f>IFERROR(VLOOKUP(A1618,Internal_lists_bugs!$A$2:$I7981,9,FALSE()),"please select a BUG ID")</f>
        <v>https://review.opendev.org/c/openstack/nova/+/93754</v>
      </c>
      <c r="D1618" s="114"/>
      <c r="E1618" s="114"/>
      <c r="F1618" s="115"/>
      <c r="G1618" s="79" t="s">
        <v>2051</v>
      </c>
      <c r="H1618" s="116" t="s">
        <v>2548</v>
      </c>
      <c r="I1618" s="54"/>
      <c r="K1618" s="54"/>
      <c r="M1618" s="114" t="str">
        <f>VLOOKUP(A1618,'BIC_(C_Variables)'!$A$3:$AS$43,45,FALSE())</f>
        <v/>
      </c>
      <c r="N1618" s="1"/>
      <c r="O1618" s="1"/>
      <c r="P1618" s="81" t="str">
        <f>IFERROR(VLOOKUP(A1618,Internal_lists_bugs!$A$2:$G7981,7,FALSE()),"please select a BUG ID")</f>
        <v>https://opendev.org/openstack/nova/commit/447641972539f1</v>
      </c>
    </row>
    <row r="1619">
      <c r="A1619" s="16" t="s">
        <v>63</v>
      </c>
      <c r="B1619" s="50" t="str">
        <f>IFERROR(HYPERLINK(VLOOKUP(A1619,Internal_lists_bugs!$A$2:$C$73,3,FALSE()), VLOOKUP(A1619,Internal_lists_bugs!$A$2:$C$73,3,FALSE())&amp;Char(10) &amp; Char(10) &amp; VLOOKUP(A1619,Internal_lists_bugs!$A$2:$Z$73,26,FALSE())),"please select a BUG ID")</f>
        <v>https://bugs.launchpad.net/nova/+bug/1443970
/network/manager.py</v>
      </c>
      <c r="C1619" s="81" t="str">
        <f>IFERROR(VLOOKUP(A1619,Internal_lists_bugs!$A$2:$I7981,9,FALSE()),"please select a BUG ID")</f>
        <v>https://review.opendev.org/c/openstack/nova/+/93754</v>
      </c>
      <c r="D1619" s="114"/>
      <c r="E1619" s="114"/>
      <c r="F1619" s="115"/>
      <c r="G1619" s="79" t="s">
        <v>2047</v>
      </c>
      <c r="H1619" s="116" t="s">
        <v>3207</v>
      </c>
      <c r="I1619" s="54"/>
      <c r="K1619" s="54"/>
      <c r="M1619" s="114" t="str">
        <f>VLOOKUP(A1619,'BIC_(C_Variables)'!$A$3:$AS$43,45,FALSE())</f>
        <v/>
      </c>
      <c r="N1619" s="1"/>
      <c r="O1619" s="1"/>
      <c r="P1619" s="81" t="str">
        <f>IFERROR(VLOOKUP(A1619,Internal_lists_bugs!$A$2:$G7981,7,FALSE()),"please select a BUG ID")</f>
        <v>https://opendev.org/openstack/nova/commit/447641972539f1</v>
      </c>
    </row>
    <row r="1620">
      <c r="A1620" s="16" t="s">
        <v>63</v>
      </c>
      <c r="B1620" s="50" t="str">
        <f>IFERROR(HYPERLINK(VLOOKUP(A1620,Internal_lists_bugs!$A$2:$C$73,3,FALSE()), VLOOKUP(A1620,Internal_lists_bugs!$A$2:$C$73,3,FALSE())&amp;Char(10) &amp; Char(10) &amp; VLOOKUP(A1620,Internal_lists_bugs!$A$2:$Z$73,26,FALSE())),"please select a BUG ID")</f>
        <v>https://bugs.launchpad.net/nova/+bug/1443970
/network/manager.py</v>
      </c>
      <c r="C1620" s="81" t="str">
        <f>IFERROR(VLOOKUP(A1620,Internal_lists_bugs!$A$2:$I7981,9,FALSE()),"please select a BUG ID")</f>
        <v>https://review.opendev.org/c/openstack/nova/+/93754</v>
      </c>
      <c r="D1620" s="114"/>
      <c r="E1620" s="114"/>
      <c r="F1620" s="115"/>
      <c r="G1620" s="79" t="s">
        <v>1570</v>
      </c>
      <c r="H1620" s="116" t="s">
        <v>2516</v>
      </c>
      <c r="I1620" s="54"/>
      <c r="K1620" s="54"/>
      <c r="M1620" s="114" t="str">
        <f>VLOOKUP(A1620,'BIC_(C_Variables)'!$A$3:$AS$43,45,FALSE())</f>
        <v/>
      </c>
      <c r="N1620" s="1"/>
      <c r="O1620" s="1"/>
      <c r="P1620" s="81" t="str">
        <f>IFERROR(VLOOKUP(A1620,Internal_lists_bugs!$A$2:$G7981,7,FALSE()),"please select a BUG ID")</f>
        <v>https://opendev.org/openstack/nova/commit/447641972539f1</v>
      </c>
    </row>
    <row r="1621">
      <c r="A1621" s="16" t="s">
        <v>63</v>
      </c>
      <c r="B1621" s="50" t="str">
        <f>IFERROR(HYPERLINK(VLOOKUP(A1621,Internal_lists_bugs!$A$2:$C$73,3,FALSE()), VLOOKUP(A1621,Internal_lists_bugs!$A$2:$C$73,3,FALSE())&amp;Char(10) &amp; Char(10) &amp; VLOOKUP(A1621,Internal_lists_bugs!$A$2:$Z$73,26,FALSE())),"please select a BUG ID")</f>
        <v>https://bugs.launchpad.net/nova/+bug/1443970
/network/manager.py</v>
      </c>
      <c r="C1621" s="81" t="str">
        <f>IFERROR(VLOOKUP(A1621,Internal_lists_bugs!$A$2:$I7981,9,FALSE()),"please select a BUG ID")</f>
        <v>https://review.opendev.org/c/openstack/nova/+/93754</v>
      </c>
      <c r="D1621" s="114"/>
      <c r="E1621" s="114"/>
      <c r="F1621" s="115"/>
      <c r="G1621" s="79" t="s">
        <v>1510</v>
      </c>
      <c r="H1621" s="116" t="s">
        <v>3387</v>
      </c>
      <c r="I1621" s="54"/>
      <c r="K1621" s="54"/>
      <c r="M1621" s="114" t="str">
        <f>VLOOKUP(A1621,'BIC_(C_Variables)'!$A$3:$AS$43,45,FALSE())</f>
        <v/>
      </c>
      <c r="N1621" s="1"/>
      <c r="O1621" s="1"/>
      <c r="P1621" s="81" t="str">
        <f>IFERROR(VLOOKUP(A1621,Internal_lists_bugs!$A$2:$G7981,7,FALSE()),"please select a BUG ID")</f>
        <v>https://opendev.org/openstack/nova/commit/447641972539f1</v>
      </c>
    </row>
    <row r="1622">
      <c r="A1622" s="16" t="s">
        <v>63</v>
      </c>
      <c r="B1622" s="50" t="str">
        <f>IFERROR(HYPERLINK(VLOOKUP(A1622,Internal_lists_bugs!$A$2:$C$73,3,FALSE()), VLOOKUP(A1622,Internal_lists_bugs!$A$2:$C$73,3,FALSE())&amp;Char(10) &amp; Char(10) &amp; VLOOKUP(A1622,Internal_lists_bugs!$A$2:$Z$73,26,FALSE())),"please select a BUG ID")</f>
        <v>https://bugs.launchpad.net/nova/+bug/1443970
/network/manager.py</v>
      </c>
      <c r="C1622" s="81" t="str">
        <f>IFERROR(VLOOKUP(A1622,Internal_lists_bugs!$A$2:$I7981,9,FALSE()),"please select a BUG ID")</f>
        <v>https://review.opendev.org/c/openstack/nova/+/93754</v>
      </c>
      <c r="D1622" s="112"/>
      <c r="E1622" s="112"/>
      <c r="F1622" s="113"/>
      <c r="G1622" s="79" t="s">
        <v>1460</v>
      </c>
      <c r="H1622" s="116" t="s">
        <v>1461</v>
      </c>
      <c r="I1622" s="54"/>
      <c r="K1622" s="54"/>
      <c r="M1622" s="114" t="str">
        <f>VLOOKUP(A1622,'BIC_(C_Variables)'!$A$3:$AS$43,45,FALSE())</f>
        <v/>
      </c>
      <c r="N1622" s="1"/>
      <c r="O1622" s="1"/>
      <c r="P1622" s="81" t="str">
        <f>IFERROR(VLOOKUP(A1622,Internal_lists_bugs!$A$2:$G7981,7,FALSE()),"please select a BUG ID")</f>
        <v>https://opendev.org/openstack/nova/commit/447641972539f1</v>
      </c>
    </row>
    <row r="1623">
      <c r="A1623" s="16" t="s">
        <v>64</v>
      </c>
      <c r="B1623" s="50" t="str">
        <f>IFERROR(HYPERLINK(VLOOKUP(A1623,Internal_lists_bugs!$A$2:$C$73,3,FALSE()), VLOOKUP(A1623,Internal_lists_bugs!$A$2:$C$73,3,FALSE())&amp;Char(10) &amp; Char(10) &amp; VLOOKUP(A1623,Internal_lists_bugs!$A$2:$Z$73,26,FALSE())),"please select a BUG ID")</f>
        <v>https://bugs.launchpad.net/nova/+bug/1381468
/filters/trusted_filter.py</v>
      </c>
      <c r="C1623" s="81" t="str">
        <f>IFERROR(VLOOKUP(A1623,Internal_lists_bugs!$A$2:$I7981,9,FALSE()),"please select a BUG ID")</f>
        <v>https://review.opendev.org/c/openstack/nova/+/124714</v>
      </c>
      <c r="D1623" s="112" t="s">
        <v>1412</v>
      </c>
      <c r="E1623" s="112" t="s">
        <v>1462</v>
      </c>
      <c r="F1623" s="113" t="s">
        <v>251</v>
      </c>
      <c r="G1623" s="79" t="s">
        <v>1672</v>
      </c>
      <c r="H1623" s="116" t="s">
        <v>3388</v>
      </c>
      <c r="I1623" s="54"/>
      <c r="K1623" s="54"/>
      <c r="M1623" s="114" t="str">
        <f>VLOOKUP(A1623,'BIC_(C_Variables)'!$A$3:$AS$43,45,FALSE())</f>
        <v/>
      </c>
      <c r="N1623" s="1"/>
      <c r="O1623" s="1"/>
      <c r="P1623" s="81" t="str">
        <f>IFERROR(VLOOKUP(A1623,Internal_lists_bugs!$A$2:$G7981,7,FALSE()),"please select a BUG ID")</f>
        <v>https://opendev.org/openstack/nova/commit/30871e870</v>
      </c>
    </row>
    <row r="1624">
      <c r="A1624" s="16" t="s">
        <v>64</v>
      </c>
      <c r="B1624" s="50" t="str">
        <f>IFERROR(HYPERLINK(VLOOKUP(A1624,Internal_lists_bugs!$A$2:$C$73,3,FALSE()), VLOOKUP(A1624,Internal_lists_bugs!$A$2:$C$73,3,FALSE())&amp;Char(10) &amp; Char(10) &amp; VLOOKUP(A1624,Internal_lists_bugs!$A$2:$Z$73,26,FALSE())),"please select a BUG ID")</f>
        <v>https://bugs.launchpad.net/nova/+bug/1381468
/filters/trusted_filter.py</v>
      </c>
      <c r="C1624" s="81" t="str">
        <f>IFERROR(VLOOKUP(A1624,Internal_lists_bugs!$A$2:$I7981,9,FALSE()),"please select a BUG ID")</f>
        <v>https://review.opendev.org/c/openstack/nova/+/124714</v>
      </c>
      <c r="D1624" s="114"/>
      <c r="E1624" s="114"/>
      <c r="F1624" s="115"/>
      <c r="G1624" s="79" t="s">
        <v>1417</v>
      </c>
      <c r="H1624" s="116" t="s">
        <v>3389</v>
      </c>
      <c r="I1624" s="54"/>
      <c r="K1624" s="54"/>
      <c r="M1624" s="114" t="str">
        <f>VLOOKUP(A1624,'BIC_(C_Variables)'!$A$3:$AS$43,45,FALSE())</f>
        <v/>
      </c>
      <c r="N1624" s="1"/>
      <c r="O1624" s="1"/>
      <c r="P1624" s="81" t="str">
        <f>IFERROR(VLOOKUP(A1624,Internal_lists_bugs!$A$2:$G7981,7,FALSE()),"please select a BUG ID")</f>
        <v>https://opendev.org/openstack/nova/commit/30871e870</v>
      </c>
    </row>
    <row r="1625">
      <c r="A1625" s="16" t="s">
        <v>64</v>
      </c>
      <c r="B1625" s="50" t="str">
        <f>IFERROR(HYPERLINK(VLOOKUP(A1625,Internal_lists_bugs!$A$2:$C$73,3,FALSE()), VLOOKUP(A1625,Internal_lists_bugs!$A$2:$C$73,3,FALSE())&amp;Char(10) &amp; Char(10) &amp; VLOOKUP(A1625,Internal_lists_bugs!$A$2:$Z$73,26,FALSE())),"please select a BUG ID")</f>
        <v>https://bugs.launchpad.net/nova/+bug/1381468
/filters/trusted_filter.py</v>
      </c>
      <c r="C1625" s="81" t="str">
        <f>IFERROR(VLOOKUP(A1625,Internal_lists_bugs!$A$2:$I7981,9,FALSE()),"please select a BUG ID")</f>
        <v>https://review.opendev.org/c/openstack/nova/+/124714</v>
      </c>
      <c r="D1625" s="114"/>
      <c r="E1625" s="114"/>
      <c r="F1625" s="115"/>
      <c r="G1625" s="79" t="s">
        <v>1466</v>
      </c>
      <c r="H1625" s="116" t="s">
        <v>3390</v>
      </c>
      <c r="I1625" s="54"/>
      <c r="K1625" s="54"/>
      <c r="M1625" s="114" t="str">
        <f>VLOOKUP(A1625,'BIC_(C_Variables)'!$A$3:$AS$43,45,FALSE())</f>
        <v/>
      </c>
      <c r="N1625" s="1"/>
      <c r="O1625" s="1"/>
      <c r="P1625" s="81" t="str">
        <f>IFERROR(VLOOKUP(A1625,Internal_lists_bugs!$A$2:$G7981,7,FALSE()),"please select a BUG ID")</f>
        <v>https://opendev.org/openstack/nova/commit/30871e870</v>
      </c>
    </row>
    <row r="1626">
      <c r="A1626" s="16" t="s">
        <v>64</v>
      </c>
      <c r="B1626" s="50" t="str">
        <f>IFERROR(HYPERLINK(VLOOKUP(A1626,Internal_lists_bugs!$A$2:$C$73,3,FALSE()), VLOOKUP(A1626,Internal_lists_bugs!$A$2:$C$73,3,FALSE())&amp;Char(10) &amp; Char(10) &amp; VLOOKUP(A1626,Internal_lists_bugs!$A$2:$Z$73,26,FALSE())),"please select a BUG ID")</f>
        <v>https://bugs.launchpad.net/nova/+bug/1381468
/filters/trusted_filter.py</v>
      </c>
      <c r="C1626" s="81" t="str">
        <f>IFERROR(VLOOKUP(A1626,Internal_lists_bugs!$A$2:$I7981,9,FALSE()),"please select a BUG ID")</f>
        <v>https://review.opendev.org/c/openstack/nova/+/124714</v>
      </c>
      <c r="D1626" s="114"/>
      <c r="E1626" s="114"/>
      <c r="F1626" s="115"/>
      <c r="G1626" s="79" t="s">
        <v>1419</v>
      </c>
      <c r="H1626" s="116" t="s">
        <v>3391</v>
      </c>
      <c r="I1626" s="54"/>
      <c r="K1626" s="54"/>
      <c r="M1626" s="114" t="str">
        <f>VLOOKUP(A1626,'BIC_(C_Variables)'!$A$3:$AS$43,45,FALSE())</f>
        <v/>
      </c>
      <c r="N1626" s="1"/>
      <c r="O1626" s="1"/>
      <c r="P1626" s="81" t="str">
        <f>IFERROR(VLOOKUP(A1626,Internal_lists_bugs!$A$2:$G7981,7,FALSE()),"please select a BUG ID")</f>
        <v>https://opendev.org/openstack/nova/commit/30871e870</v>
      </c>
    </row>
    <row r="1627">
      <c r="A1627" s="16" t="s">
        <v>64</v>
      </c>
      <c r="B1627" s="50" t="str">
        <f>IFERROR(HYPERLINK(VLOOKUP(A1627,Internal_lists_bugs!$A$2:$C$73,3,FALSE()), VLOOKUP(A1627,Internal_lists_bugs!$A$2:$C$73,3,FALSE())&amp;Char(10) &amp; Char(10) &amp; VLOOKUP(A1627,Internal_lists_bugs!$A$2:$Z$73,26,FALSE())),"please select a BUG ID")</f>
        <v>https://bugs.launchpad.net/nova/+bug/1381468
/filters/trusted_filter.py</v>
      </c>
      <c r="C1627" s="81" t="str">
        <f>IFERROR(VLOOKUP(A1627,Internal_lists_bugs!$A$2:$I7981,9,FALSE()),"please select a BUG ID")</f>
        <v>https://review.opendev.org/c/openstack/nova/+/124714</v>
      </c>
      <c r="D1627" s="114"/>
      <c r="E1627" s="114"/>
      <c r="F1627" s="115"/>
      <c r="G1627" s="79" t="s">
        <v>2573</v>
      </c>
      <c r="H1627" s="116" t="s">
        <v>2574</v>
      </c>
      <c r="I1627" s="54"/>
      <c r="K1627" s="54"/>
      <c r="M1627" s="114" t="str">
        <f>VLOOKUP(A1627,'BIC_(C_Variables)'!$A$3:$AS$43,45,FALSE())</f>
        <v/>
      </c>
      <c r="N1627" s="1"/>
      <c r="O1627" s="1"/>
      <c r="P1627" s="81" t="str">
        <f>IFERROR(VLOOKUP(A1627,Internal_lists_bugs!$A$2:$G7981,7,FALSE()),"please select a BUG ID")</f>
        <v>https://opendev.org/openstack/nova/commit/30871e870</v>
      </c>
    </row>
    <row r="1628">
      <c r="A1628" s="16" t="s">
        <v>64</v>
      </c>
      <c r="B1628" s="50" t="str">
        <f>IFERROR(HYPERLINK(VLOOKUP(A1628,Internal_lists_bugs!$A$2:$C$73,3,FALSE()), VLOOKUP(A1628,Internal_lists_bugs!$A$2:$C$73,3,FALSE())&amp;Char(10) &amp; Char(10) &amp; VLOOKUP(A1628,Internal_lists_bugs!$A$2:$Z$73,26,FALSE())),"please select a BUG ID")</f>
        <v>https://bugs.launchpad.net/nova/+bug/1381468
/filters/trusted_filter.py</v>
      </c>
      <c r="C1628" s="81" t="str">
        <f>IFERROR(VLOOKUP(A1628,Internal_lists_bugs!$A$2:$I7981,9,FALSE()),"please select a BUG ID")</f>
        <v>https://review.opendev.org/c/openstack/nova/+/124714</v>
      </c>
      <c r="D1628" s="114"/>
      <c r="E1628" s="114"/>
      <c r="F1628" s="115"/>
      <c r="G1628" s="79" t="s">
        <v>1590</v>
      </c>
      <c r="H1628" s="116" t="s">
        <v>3392</v>
      </c>
      <c r="I1628" s="54"/>
      <c r="K1628" s="54"/>
      <c r="M1628" s="114" t="str">
        <f>VLOOKUP(A1628,'BIC_(C_Variables)'!$A$3:$AS$43,45,FALSE())</f>
        <v/>
      </c>
      <c r="N1628" s="1"/>
      <c r="O1628" s="1"/>
      <c r="P1628" s="81" t="str">
        <f>IFERROR(VLOOKUP(A1628,Internal_lists_bugs!$A$2:$G7981,7,FALSE()),"please select a BUG ID")</f>
        <v>https://opendev.org/openstack/nova/commit/30871e870</v>
      </c>
    </row>
    <row r="1629">
      <c r="A1629" s="16" t="s">
        <v>64</v>
      </c>
      <c r="B1629" s="50" t="str">
        <f>IFERROR(HYPERLINK(VLOOKUP(A1629,Internal_lists_bugs!$A$2:$C$73,3,FALSE()), VLOOKUP(A1629,Internal_lists_bugs!$A$2:$C$73,3,FALSE())&amp;Char(10) &amp; Char(10) &amp; VLOOKUP(A1629,Internal_lists_bugs!$A$2:$Z$73,26,FALSE())),"please select a BUG ID")</f>
        <v>https://bugs.launchpad.net/nova/+bug/1381468
/filters/trusted_filter.py</v>
      </c>
      <c r="C1629" s="81" t="str">
        <f>IFERROR(VLOOKUP(A1629,Internal_lists_bugs!$A$2:$I7981,9,FALSE()),"please select a BUG ID")</f>
        <v>https://review.opendev.org/c/openstack/nova/+/124714</v>
      </c>
      <c r="D1629" s="114"/>
      <c r="E1629" s="114"/>
      <c r="F1629" s="115"/>
      <c r="G1629" s="79" t="s">
        <v>1696</v>
      </c>
      <c r="H1629" s="116" t="s">
        <v>3393</v>
      </c>
      <c r="I1629" s="54"/>
      <c r="K1629" s="54"/>
      <c r="M1629" s="114" t="str">
        <f>VLOOKUP(A1629,'BIC_(C_Variables)'!$A$3:$AS$43,45,FALSE())</f>
        <v/>
      </c>
      <c r="N1629" s="1"/>
      <c r="O1629" s="1"/>
      <c r="P1629" s="81" t="str">
        <f>IFERROR(VLOOKUP(A1629,Internal_lists_bugs!$A$2:$G7981,7,FALSE()),"please select a BUG ID")</f>
        <v>https://opendev.org/openstack/nova/commit/30871e870</v>
      </c>
    </row>
    <row r="1630">
      <c r="A1630" s="16" t="s">
        <v>64</v>
      </c>
      <c r="B1630" s="50" t="str">
        <f>IFERROR(HYPERLINK(VLOOKUP(A1630,Internal_lists_bugs!$A$2:$C$73,3,FALSE()), VLOOKUP(A1630,Internal_lists_bugs!$A$2:$C$73,3,FALSE())&amp;Char(10) &amp; Char(10) &amp; VLOOKUP(A1630,Internal_lists_bugs!$A$2:$Z$73,26,FALSE())),"please select a BUG ID")</f>
        <v>https://bugs.launchpad.net/nova/+bug/1381468
/filters/trusted_filter.py</v>
      </c>
      <c r="C1630" s="81" t="str">
        <f>IFERROR(VLOOKUP(A1630,Internal_lists_bugs!$A$2:$I7981,9,FALSE()),"please select a BUG ID")</f>
        <v>https://review.opendev.org/c/openstack/nova/+/124714</v>
      </c>
      <c r="D1630" s="114"/>
      <c r="E1630" s="114"/>
      <c r="F1630" s="115"/>
      <c r="G1630" s="79" t="s">
        <v>1460</v>
      </c>
      <c r="H1630" s="116" t="s">
        <v>1461</v>
      </c>
      <c r="I1630" s="54"/>
      <c r="K1630" s="54"/>
      <c r="M1630" s="114" t="str">
        <f>VLOOKUP(A1630,'BIC_(C_Variables)'!$A$3:$AS$43,45,FALSE())</f>
        <v/>
      </c>
      <c r="N1630" s="1"/>
      <c r="O1630" s="1"/>
      <c r="P1630" s="81" t="str">
        <f>IFERROR(VLOOKUP(A1630,Internal_lists_bugs!$A$2:$G7981,7,FALSE()),"please select a BUG ID")</f>
        <v>https://opendev.org/openstack/nova/commit/30871e870</v>
      </c>
    </row>
    <row r="1631">
      <c r="A1631" s="16" t="s">
        <v>64</v>
      </c>
      <c r="B1631" s="50" t="str">
        <f>IFERROR(HYPERLINK(VLOOKUP(A1631,Internal_lists_bugs!$A$2:$C$73,3,FALSE()), VLOOKUP(A1631,Internal_lists_bugs!$A$2:$C$73,3,FALSE())&amp;Char(10) &amp; Char(10) &amp; VLOOKUP(A1631,Internal_lists_bugs!$A$2:$Z$73,26,FALSE())),"please select a BUG ID")</f>
        <v>https://bugs.launchpad.net/nova/+bug/1381468
/filters/trusted_filter.py</v>
      </c>
      <c r="C1631" s="81" t="str">
        <f>IFERROR(VLOOKUP(A1631,Internal_lists_bugs!$A$2:$I7981,9,FALSE()),"please select a BUG ID")</f>
        <v>https://review.opendev.org/c/openstack/nova/+/124714</v>
      </c>
      <c r="D1631" s="114"/>
      <c r="E1631" s="114"/>
      <c r="F1631" s="115"/>
      <c r="G1631" s="79" t="s">
        <v>1506</v>
      </c>
      <c r="H1631" s="116" t="s">
        <v>3394</v>
      </c>
      <c r="I1631" s="54"/>
      <c r="K1631" s="54"/>
      <c r="M1631" s="114" t="str">
        <f>VLOOKUP(A1631,'BIC_(C_Variables)'!$A$3:$AS$43,45,FALSE())</f>
        <v/>
      </c>
      <c r="N1631" s="1"/>
      <c r="O1631" s="1"/>
      <c r="P1631" s="81" t="str">
        <f>IFERROR(VLOOKUP(A1631,Internal_lists_bugs!$A$2:$G7981,7,FALSE()),"please select a BUG ID")</f>
        <v>https://opendev.org/openstack/nova/commit/30871e870</v>
      </c>
    </row>
    <row r="1632">
      <c r="A1632" s="16" t="s">
        <v>64</v>
      </c>
      <c r="B1632" s="50" t="str">
        <f>IFERROR(HYPERLINK(VLOOKUP(A1632,Internal_lists_bugs!$A$2:$C$73,3,FALSE()), VLOOKUP(A1632,Internal_lists_bugs!$A$2:$C$73,3,FALSE())&amp;Char(10) &amp; Char(10) &amp; VLOOKUP(A1632,Internal_lists_bugs!$A$2:$Z$73,26,FALSE())),"please select a BUG ID")</f>
        <v>https://bugs.launchpad.net/nova/+bug/1381468
/filters/trusted_filter.py</v>
      </c>
      <c r="C1632" s="81" t="str">
        <f>IFERROR(VLOOKUP(A1632,Internal_lists_bugs!$A$2:$I7981,9,FALSE()),"please select a BUG ID")</f>
        <v>https://review.opendev.org/c/openstack/nova/+/124714</v>
      </c>
      <c r="D1632" s="114"/>
      <c r="E1632" s="114"/>
      <c r="F1632" s="115"/>
      <c r="G1632" s="79" t="s">
        <v>2156</v>
      </c>
      <c r="H1632" s="122" t="s">
        <v>3395</v>
      </c>
      <c r="I1632" s="54"/>
      <c r="K1632" s="54"/>
      <c r="M1632" s="114" t="str">
        <f>VLOOKUP(A1632,'BIC_(C_Variables)'!$A$3:$AS$43,45,FALSE())</f>
        <v/>
      </c>
      <c r="N1632" s="1"/>
      <c r="O1632" s="1"/>
      <c r="P1632" s="81" t="str">
        <f>IFERROR(VLOOKUP(A1632,Internal_lists_bugs!$A$2:$G7981,7,FALSE()),"please select a BUG ID")</f>
        <v>https://opendev.org/openstack/nova/commit/30871e870</v>
      </c>
    </row>
    <row r="1633">
      <c r="A1633" s="16" t="s">
        <v>64</v>
      </c>
      <c r="B1633" s="50" t="str">
        <f>IFERROR(HYPERLINK(VLOOKUP(A1633,Internal_lists_bugs!$A$2:$C$73,3,FALSE()), VLOOKUP(A1633,Internal_lists_bugs!$A$2:$C$73,3,FALSE())&amp;Char(10) &amp; Char(10) &amp; VLOOKUP(A1633,Internal_lists_bugs!$A$2:$Z$73,26,FALSE())),"please select a BUG ID")</f>
        <v>https://bugs.launchpad.net/nova/+bug/1381468
/filters/trusted_filter.py</v>
      </c>
      <c r="C1633" s="81" t="str">
        <f>IFERROR(VLOOKUP(A1633,Internal_lists_bugs!$A$2:$I7981,9,FALSE()),"please select a BUG ID")</f>
        <v>https://review.opendev.org/c/openstack/nova/+/124714</v>
      </c>
      <c r="D1633" s="114"/>
      <c r="E1633" s="114"/>
      <c r="F1633" s="115"/>
      <c r="G1633" s="79" t="s">
        <v>3230</v>
      </c>
      <c r="H1633" s="122" t="s">
        <v>3396</v>
      </c>
      <c r="I1633" s="54"/>
      <c r="K1633" s="54"/>
      <c r="M1633" s="114" t="str">
        <f>VLOOKUP(A1633,'BIC_(C_Variables)'!$A$3:$AS$43,45,FALSE())</f>
        <v/>
      </c>
      <c r="N1633" s="1"/>
      <c r="O1633" s="1"/>
      <c r="P1633" s="81" t="str">
        <f>IFERROR(VLOOKUP(A1633,Internal_lists_bugs!$A$2:$G7981,7,FALSE()),"please select a BUG ID")</f>
        <v>https://opendev.org/openstack/nova/commit/30871e870</v>
      </c>
    </row>
    <row r="1634">
      <c r="A1634" s="16" t="s">
        <v>64</v>
      </c>
      <c r="B1634" s="50" t="str">
        <f>IFERROR(HYPERLINK(VLOOKUP(A1634,Internal_lists_bugs!$A$2:$C$73,3,FALSE()), VLOOKUP(A1634,Internal_lists_bugs!$A$2:$C$73,3,FALSE())&amp;Char(10) &amp; Char(10) &amp; VLOOKUP(A1634,Internal_lists_bugs!$A$2:$Z$73,26,FALSE())),"please select a BUG ID")</f>
        <v>https://bugs.launchpad.net/nova/+bug/1381468
/filters/trusted_filter.py</v>
      </c>
      <c r="C1634" s="81" t="str">
        <f>IFERROR(VLOOKUP(A1634,Internal_lists_bugs!$A$2:$I7981,9,FALSE()),"please select a BUG ID")</f>
        <v>https://review.opendev.org/c/openstack/nova/+/124714</v>
      </c>
      <c r="D1634" s="114"/>
      <c r="E1634" s="114"/>
      <c r="F1634" s="115"/>
      <c r="G1634" s="79" t="s">
        <v>3397</v>
      </c>
      <c r="H1634" s="116" t="s">
        <v>3398</v>
      </c>
      <c r="I1634" s="54"/>
      <c r="K1634" s="54"/>
      <c r="M1634" s="114" t="str">
        <f>VLOOKUP(A1634,'BIC_(C_Variables)'!$A$3:$AS$43,45,FALSE())</f>
        <v/>
      </c>
      <c r="N1634" s="1"/>
      <c r="O1634" s="1"/>
      <c r="P1634" s="81" t="str">
        <f>IFERROR(VLOOKUP(A1634,Internal_lists_bugs!$A$2:$G7981,7,FALSE()),"please select a BUG ID")</f>
        <v>https://opendev.org/openstack/nova/commit/30871e870</v>
      </c>
    </row>
    <row r="1635">
      <c r="A1635" s="16" t="s">
        <v>64</v>
      </c>
      <c r="B1635" s="50" t="str">
        <f>IFERROR(HYPERLINK(VLOOKUP(A1635,Internal_lists_bugs!$A$2:$C$73,3,FALSE()), VLOOKUP(A1635,Internal_lists_bugs!$A$2:$C$73,3,FALSE())&amp;Char(10) &amp; Char(10) &amp; VLOOKUP(A1635,Internal_lists_bugs!$A$2:$Z$73,26,FALSE())),"please select a BUG ID")</f>
        <v>https://bugs.launchpad.net/nova/+bug/1381468
/filters/trusted_filter.py</v>
      </c>
      <c r="C1635" s="81" t="str">
        <f>IFERROR(VLOOKUP(A1635,Internal_lists_bugs!$A$2:$I7981,9,FALSE()),"please select a BUG ID")</f>
        <v>https://review.opendev.org/c/openstack/nova/+/124714</v>
      </c>
      <c r="D1635" s="114"/>
      <c r="E1635" s="114"/>
      <c r="F1635" s="115"/>
      <c r="G1635" s="79" t="s">
        <v>3399</v>
      </c>
      <c r="H1635" s="116" t="s">
        <v>3400</v>
      </c>
      <c r="I1635" s="54"/>
      <c r="K1635" s="54"/>
      <c r="M1635" s="114" t="str">
        <f>VLOOKUP(A1635,'BIC_(C_Variables)'!$A$3:$AS$43,45,FALSE())</f>
        <v/>
      </c>
      <c r="N1635" s="1"/>
      <c r="O1635" s="1"/>
      <c r="P1635" s="81" t="str">
        <f>IFERROR(VLOOKUP(A1635,Internal_lists_bugs!$A$2:$G7981,7,FALSE()),"please select a BUG ID")</f>
        <v>https://opendev.org/openstack/nova/commit/30871e870</v>
      </c>
    </row>
    <row r="1636">
      <c r="A1636" s="16" t="s">
        <v>64</v>
      </c>
      <c r="B1636" s="50" t="str">
        <f>IFERROR(HYPERLINK(VLOOKUP(A1636,Internal_lists_bugs!$A$2:$C$73,3,FALSE()), VLOOKUP(A1636,Internal_lists_bugs!$A$2:$C$73,3,FALSE())&amp;Char(10) &amp; Char(10) &amp; VLOOKUP(A1636,Internal_lists_bugs!$A$2:$Z$73,26,FALSE())),"please select a BUG ID")</f>
        <v>https://bugs.launchpad.net/nova/+bug/1381468
/filters/trusted_filter.py</v>
      </c>
      <c r="C1636" s="81" t="str">
        <f>IFERROR(VLOOKUP(A1636,Internal_lists_bugs!$A$2:$I7981,9,FALSE()),"please select a BUG ID")</f>
        <v>https://review.opendev.org/c/openstack/nova/+/124714</v>
      </c>
      <c r="D1636" s="114"/>
      <c r="E1636" s="114"/>
      <c r="F1636" s="115"/>
      <c r="G1636" s="79" t="s">
        <v>1495</v>
      </c>
      <c r="H1636" s="116" t="s">
        <v>3167</v>
      </c>
      <c r="I1636" s="54"/>
      <c r="K1636" s="54"/>
      <c r="M1636" s="114" t="str">
        <f>VLOOKUP(A1636,'BIC_(C_Variables)'!$A$3:$AS$43,45,FALSE())</f>
        <v/>
      </c>
      <c r="N1636" s="1"/>
      <c r="O1636" s="1"/>
      <c r="P1636" s="81" t="str">
        <f>IFERROR(VLOOKUP(A1636,Internal_lists_bugs!$A$2:$G7981,7,FALSE()),"please select a BUG ID")</f>
        <v>https://opendev.org/openstack/nova/commit/30871e870</v>
      </c>
    </row>
    <row r="1637">
      <c r="A1637" s="16" t="s">
        <v>64</v>
      </c>
      <c r="B1637" s="50" t="str">
        <f>IFERROR(HYPERLINK(VLOOKUP(A1637,Internal_lists_bugs!$A$2:$C$73,3,FALSE()), VLOOKUP(A1637,Internal_lists_bugs!$A$2:$C$73,3,FALSE())&amp;Char(10) &amp; Char(10) &amp; VLOOKUP(A1637,Internal_lists_bugs!$A$2:$Z$73,26,FALSE())),"please select a BUG ID")</f>
        <v>https://bugs.launchpad.net/nova/+bug/1381468
/filters/trusted_filter.py</v>
      </c>
      <c r="C1637" s="81" t="str">
        <f>IFERROR(VLOOKUP(A1637,Internal_lists_bugs!$A$2:$I7981,9,FALSE()),"please select a BUG ID")</f>
        <v>https://review.opendev.org/c/openstack/nova/+/124714</v>
      </c>
      <c r="D1637" s="114"/>
      <c r="E1637" s="114"/>
      <c r="F1637" s="115"/>
      <c r="G1637" s="79" t="s">
        <v>3401</v>
      </c>
      <c r="H1637" s="116" t="s">
        <v>3402</v>
      </c>
      <c r="I1637" s="54"/>
      <c r="K1637" s="54"/>
      <c r="M1637" s="114" t="str">
        <f>VLOOKUP(A1637,'BIC_(C_Variables)'!$A$3:$AS$43,45,FALSE())</f>
        <v/>
      </c>
      <c r="N1637" s="1"/>
      <c r="O1637" s="1"/>
      <c r="P1637" s="81" t="str">
        <f>IFERROR(VLOOKUP(A1637,Internal_lists_bugs!$A$2:$G7981,7,FALSE()),"please select a BUG ID")</f>
        <v>https://opendev.org/openstack/nova/commit/30871e870</v>
      </c>
    </row>
    <row r="1638">
      <c r="A1638" s="16" t="s">
        <v>64</v>
      </c>
      <c r="B1638" s="50" t="str">
        <f>IFERROR(HYPERLINK(VLOOKUP(A1638,Internal_lists_bugs!$A$2:$C$73,3,FALSE()), VLOOKUP(A1638,Internal_lists_bugs!$A$2:$C$73,3,FALSE())&amp;Char(10) &amp; Char(10) &amp; VLOOKUP(A1638,Internal_lists_bugs!$A$2:$Z$73,26,FALSE())),"please select a BUG ID")</f>
        <v>https://bugs.launchpad.net/nova/+bug/1381468
/filters/trusted_filter.py</v>
      </c>
      <c r="C1638" s="81" t="str">
        <f>IFERROR(VLOOKUP(A1638,Internal_lists_bugs!$A$2:$I7981,9,FALSE()),"please select a BUG ID")</f>
        <v>https://review.opendev.org/c/openstack/nova/+/124714</v>
      </c>
      <c r="D1638" s="114"/>
      <c r="E1638" s="114"/>
      <c r="F1638" s="115"/>
      <c r="G1638" s="79" t="s">
        <v>3403</v>
      </c>
      <c r="H1638" s="116" t="s">
        <v>3402</v>
      </c>
      <c r="I1638" s="54"/>
      <c r="K1638" s="54"/>
      <c r="M1638" s="114" t="str">
        <f>VLOOKUP(A1638,'BIC_(C_Variables)'!$A$3:$AS$43,45,FALSE())</f>
        <v/>
      </c>
      <c r="N1638" s="1"/>
      <c r="O1638" s="1"/>
      <c r="P1638" s="81" t="str">
        <f>IFERROR(VLOOKUP(A1638,Internal_lists_bugs!$A$2:$G7981,7,FALSE()),"please select a BUG ID")</f>
        <v>https://opendev.org/openstack/nova/commit/30871e870</v>
      </c>
    </row>
    <row r="1639">
      <c r="A1639" s="16" t="s">
        <v>64</v>
      </c>
      <c r="B1639" s="50" t="str">
        <f>IFERROR(HYPERLINK(VLOOKUP(A1639,Internal_lists_bugs!$A$2:$C$73,3,FALSE()), VLOOKUP(A1639,Internal_lists_bugs!$A$2:$C$73,3,FALSE())&amp;Char(10) &amp; Char(10) &amp; VLOOKUP(A1639,Internal_lists_bugs!$A$2:$Z$73,26,FALSE())),"please select a BUG ID")</f>
        <v>https://bugs.launchpad.net/nova/+bug/1381468
/filters/trusted_filter.py</v>
      </c>
      <c r="C1639" s="81" t="str">
        <f>IFERROR(VLOOKUP(A1639,Internal_lists_bugs!$A$2:$I7981,9,FALSE()),"please select a BUG ID")</f>
        <v>https://review.opendev.org/c/openstack/nova/+/124714</v>
      </c>
      <c r="D1639" s="114"/>
      <c r="E1639" s="114"/>
      <c r="F1639" s="115"/>
      <c r="G1639" s="79" t="s">
        <v>1507</v>
      </c>
      <c r="H1639" s="116" t="s">
        <v>3404</v>
      </c>
      <c r="I1639" s="54"/>
      <c r="K1639" s="54"/>
      <c r="M1639" s="114" t="str">
        <f>VLOOKUP(A1639,'BIC_(C_Variables)'!$A$3:$AS$43,45,FALSE())</f>
        <v/>
      </c>
      <c r="N1639" s="1"/>
      <c r="O1639" s="1"/>
      <c r="P1639" s="81" t="str">
        <f>IFERROR(VLOOKUP(A1639,Internal_lists_bugs!$A$2:$G7981,7,FALSE()),"please select a BUG ID")</f>
        <v>https://opendev.org/openstack/nova/commit/30871e870</v>
      </c>
    </row>
    <row r="1640">
      <c r="A1640" s="16" t="s">
        <v>64</v>
      </c>
      <c r="B1640" s="50" t="str">
        <f>IFERROR(HYPERLINK(VLOOKUP(A1640,Internal_lists_bugs!$A$2:$C$73,3,FALSE()), VLOOKUP(A1640,Internal_lists_bugs!$A$2:$C$73,3,FALSE())&amp;Char(10) &amp; Char(10) &amp; VLOOKUP(A1640,Internal_lists_bugs!$A$2:$Z$73,26,FALSE())),"please select a BUG ID")</f>
        <v>https://bugs.launchpad.net/nova/+bug/1381468
/filters/trusted_filter.py</v>
      </c>
      <c r="C1640" s="81" t="str">
        <f>IFERROR(VLOOKUP(A1640,Internal_lists_bugs!$A$2:$I7981,9,FALSE()),"please select a BUG ID")</f>
        <v>https://review.opendev.org/c/openstack/nova/+/124714</v>
      </c>
      <c r="D1640" s="114"/>
      <c r="E1640" s="114"/>
      <c r="F1640" s="115"/>
      <c r="G1640" s="79" t="s">
        <v>1531</v>
      </c>
      <c r="H1640" s="116" t="s">
        <v>3405</v>
      </c>
      <c r="I1640" s="54"/>
      <c r="K1640" s="54"/>
      <c r="M1640" s="114" t="str">
        <f>VLOOKUP(A1640,'BIC_(C_Variables)'!$A$3:$AS$43,45,FALSE())</f>
        <v/>
      </c>
      <c r="N1640" s="1"/>
      <c r="O1640" s="1"/>
      <c r="P1640" s="81" t="str">
        <f>IFERROR(VLOOKUP(A1640,Internal_lists_bugs!$A$2:$G7981,7,FALSE()),"please select a BUG ID")</f>
        <v>https://opendev.org/openstack/nova/commit/30871e870</v>
      </c>
    </row>
    <row r="1641">
      <c r="A1641" s="16" t="s">
        <v>64</v>
      </c>
      <c r="B1641" s="50" t="str">
        <f>IFERROR(HYPERLINK(VLOOKUP(A1641,Internal_lists_bugs!$A$2:$C$73,3,FALSE()), VLOOKUP(A1641,Internal_lists_bugs!$A$2:$C$73,3,FALSE())&amp;Char(10) &amp; Char(10) &amp; VLOOKUP(A1641,Internal_lists_bugs!$A$2:$Z$73,26,FALSE())),"please select a BUG ID")</f>
        <v>https://bugs.launchpad.net/nova/+bug/1381468
/filters/trusted_filter.py</v>
      </c>
      <c r="C1641" s="81" t="str">
        <f>IFERROR(VLOOKUP(A1641,Internal_lists_bugs!$A$2:$I7981,9,FALSE()),"please select a BUG ID")</f>
        <v>https://review.opendev.org/c/openstack/nova/+/124714</v>
      </c>
      <c r="D1641" s="114"/>
      <c r="E1641" s="114"/>
      <c r="F1641" s="115"/>
      <c r="G1641" s="79" t="s">
        <v>1566</v>
      </c>
      <c r="H1641" s="116" t="s">
        <v>3167</v>
      </c>
      <c r="I1641" s="54"/>
      <c r="K1641" s="54"/>
      <c r="M1641" s="114" t="str">
        <f>VLOOKUP(A1641,'BIC_(C_Variables)'!$A$3:$AS$43,45,FALSE())</f>
        <v/>
      </c>
      <c r="N1641" s="1"/>
      <c r="O1641" s="1"/>
      <c r="P1641" s="81" t="str">
        <f>IFERROR(VLOOKUP(A1641,Internal_lists_bugs!$A$2:$G7981,7,FALSE()),"please select a BUG ID")</f>
        <v>https://opendev.org/openstack/nova/commit/30871e870</v>
      </c>
    </row>
    <row r="1642">
      <c r="A1642" s="16" t="s">
        <v>64</v>
      </c>
      <c r="B1642" s="50" t="str">
        <f>IFERROR(HYPERLINK(VLOOKUP(A1642,Internal_lists_bugs!$A$2:$C$73,3,FALSE()), VLOOKUP(A1642,Internal_lists_bugs!$A$2:$C$73,3,FALSE())&amp;Char(10) &amp; Char(10) &amp; VLOOKUP(A1642,Internal_lists_bugs!$A$2:$Z$73,26,FALSE())),"please select a BUG ID")</f>
        <v>https://bugs.launchpad.net/nova/+bug/1381468
/filters/trusted_filter.py</v>
      </c>
      <c r="C1642" s="81" t="str">
        <f>IFERROR(VLOOKUP(A1642,Internal_lists_bugs!$A$2:$I7981,9,FALSE()),"please select a BUG ID")</f>
        <v>https://review.opendev.org/c/openstack/nova/+/124714</v>
      </c>
      <c r="D1642" s="114"/>
      <c r="E1642" s="114"/>
      <c r="F1642" s="115"/>
      <c r="G1642" s="79" t="s">
        <v>2099</v>
      </c>
      <c r="H1642" s="116" t="s">
        <v>3305</v>
      </c>
      <c r="I1642" s="54"/>
      <c r="K1642" s="54"/>
      <c r="M1642" s="114" t="str">
        <f>VLOOKUP(A1642,'BIC_(C_Variables)'!$A$3:$AS$43,45,FALSE())</f>
        <v/>
      </c>
      <c r="N1642" s="1"/>
      <c r="O1642" s="1"/>
      <c r="P1642" s="81" t="str">
        <f>IFERROR(VLOOKUP(A1642,Internal_lists_bugs!$A$2:$G7981,7,FALSE()),"please select a BUG ID")</f>
        <v>https://opendev.org/openstack/nova/commit/30871e870</v>
      </c>
    </row>
    <row r="1643">
      <c r="A1643" s="16" t="s">
        <v>64</v>
      </c>
      <c r="B1643" s="50" t="str">
        <f>IFERROR(HYPERLINK(VLOOKUP(A1643,Internal_lists_bugs!$A$2:$C$73,3,FALSE()), VLOOKUP(A1643,Internal_lists_bugs!$A$2:$C$73,3,FALSE())&amp;Char(10) &amp; Char(10) &amp; VLOOKUP(A1643,Internal_lists_bugs!$A$2:$Z$73,26,FALSE())),"please select a BUG ID")</f>
        <v>https://bugs.launchpad.net/nova/+bug/1381468
/filters/trusted_filter.py</v>
      </c>
      <c r="C1643" s="81" t="str">
        <f>IFERROR(VLOOKUP(A1643,Internal_lists_bugs!$A$2:$I7981,9,FALSE()),"please select a BUG ID")</f>
        <v>https://review.opendev.org/c/openstack/nova/+/124714</v>
      </c>
      <c r="D1643" s="114"/>
      <c r="E1643" s="114"/>
      <c r="F1643" s="115"/>
      <c r="G1643" s="79" t="s">
        <v>1514</v>
      </c>
      <c r="H1643" s="116" t="s">
        <v>3406</v>
      </c>
      <c r="I1643" s="54"/>
      <c r="K1643" s="54"/>
      <c r="M1643" s="114" t="str">
        <f>VLOOKUP(A1643,'BIC_(C_Variables)'!$A$3:$AS$43,45,FALSE())</f>
        <v/>
      </c>
      <c r="N1643" s="1"/>
      <c r="O1643" s="1"/>
      <c r="P1643" s="81" t="str">
        <f>IFERROR(VLOOKUP(A1643,Internal_lists_bugs!$A$2:$G7981,7,FALSE()),"please select a BUG ID")</f>
        <v>https://opendev.org/openstack/nova/commit/30871e870</v>
      </c>
    </row>
    <row r="1644">
      <c r="A1644" s="16" t="s">
        <v>64</v>
      </c>
      <c r="B1644" s="50" t="str">
        <f>IFERROR(HYPERLINK(VLOOKUP(A1644,Internal_lists_bugs!$A$2:$C$73,3,FALSE()), VLOOKUP(A1644,Internal_lists_bugs!$A$2:$C$73,3,FALSE())&amp;Char(10) &amp; Char(10) &amp; VLOOKUP(A1644,Internal_lists_bugs!$A$2:$Z$73,26,FALSE())),"please select a BUG ID")</f>
        <v>https://bugs.launchpad.net/nova/+bug/1381468
/filters/trusted_filter.py</v>
      </c>
      <c r="C1644" s="81" t="str">
        <f>IFERROR(VLOOKUP(A1644,Internal_lists_bugs!$A$2:$I7981,9,FALSE()),"please select a BUG ID")</f>
        <v>https://review.opendev.org/c/openstack/nova/+/124714</v>
      </c>
      <c r="D1644" s="114"/>
      <c r="E1644" s="114"/>
      <c r="F1644" s="115"/>
      <c r="G1644" s="79" t="s">
        <v>2277</v>
      </c>
      <c r="H1644" s="116" t="s">
        <v>3407</v>
      </c>
      <c r="I1644" s="54"/>
      <c r="K1644" s="54"/>
      <c r="M1644" s="114" t="str">
        <f>VLOOKUP(A1644,'BIC_(C_Variables)'!$A$3:$AS$43,45,FALSE())</f>
        <v/>
      </c>
      <c r="N1644" s="1"/>
      <c r="O1644" s="1"/>
      <c r="P1644" s="81" t="str">
        <f>IFERROR(VLOOKUP(A1644,Internal_lists_bugs!$A$2:$G7981,7,FALSE()),"please select a BUG ID")</f>
        <v>https://opendev.org/openstack/nova/commit/30871e870</v>
      </c>
    </row>
    <row r="1645">
      <c r="A1645" s="16" t="s">
        <v>64</v>
      </c>
      <c r="B1645" s="50" t="str">
        <f>IFERROR(HYPERLINK(VLOOKUP(A1645,Internal_lists_bugs!$A$2:$C$73,3,FALSE()), VLOOKUP(A1645,Internal_lists_bugs!$A$2:$C$73,3,FALSE())&amp;Char(10) &amp; Char(10) &amp; VLOOKUP(A1645,Internal_lists_bugs!$A$2:$Z$73,26,FALSE())),"please select a BUG ID")</f>
        <v>https://bugs.launchpad.net/nova/+bug/1381468
/filters/trusted_filter.py</v>
      </c>
      <c r="C1645" s="81" t="str">
        <f>IFERROR(VLOOKUP(A1645,Internal_lists_bugs!$A$2:$I7981,9,FALSE()),"please select a BUG ID")</f>
        <v>https://review.opendev.org/c/openstack/nova/+/124714</v>
      </c>
      <c r="D1645" s="114"/>
      <c r="E1645" s="114"/>
      <c r="F1645" s="115"/>
      <c r="G1645" s="79" t="s">
        <v>1731</v>
      </c>
      <c r="H1645" s="116" t="s">
        <v>3408</v>
      </c>
      <c r="I1645" s="54"/>
      <c r="K1645" s="54"/>
      <c r="M1645" s="114" t="str">
        <f>VLOOKUP(A1645,'BIC_(C_Variables)'!$A$3:$AS$43,45,FALSE())</f>
        <v/>
      </c>
      <c r="N1645" s="1"/>
      <c r="O1645" s="1"/>
      <c r="P1645" s="81" t="str">
        <f>IFERROR(VLOOKUP(A1645,Internal_lists_bugs!$A$2:$G7981,7,FALSE()),"please select a BUG ID")</f>
        <v>https://opendev.org/openstack/nova/commit/30871e870</v>
      </c>
    </row>
    <row r="1646">
      <c r="A1646" s="16" t="s">
        <v>64</v>
      </c>
      <c r="B1646" s="50" t="str">
        <f>IFERROR(HYPERLINK(VLOOKUP(A1646,Internal_lists_bugs!$A$2:$C$73,3,FALSE()), VLOOKUP(A1646,Internal_lists_bugs!$A$2:$C$73,3,FALSE())&amp;Char(10) &amp; Char(10) &amp; VLOOKUP(A1646,Internal_lists_bugs!$A$2:$Z$73,26,FALSE())),"please select a BUG ID")</f>
        <v>https://bugs.launchpad.net/nova/+bug/1381468
/filters/trusted_filter.py</v>
      </c>
      <c r="C1646" s="81" t="str">
        <f>IFERROR(VLOOKUP(A1646,Internal_lists_bugs!$A$2:$I7981,9,FALSE()),"please select a BUG ID")</f>
        <v>https://review.opendev.org/c/openstack/nova/+/124714</v>
      </c>
      <c r="D1646" s="114"/>
      <c r="E1646" s="114"/>
      <c r="F1646" s="115"/>
      <c r="G1646" s="79" t="s">
        <v>1733</v>
      </c>
      <c r="H1646" s="116" t="s">
        <v>3409</v>
      </c>
      <c r="I1646" s="54"/>
      <c r="K1646" s="54"/>
      <c r="M1646" s="114" t="str">
        <f>VLOOKUP(A1646,'BIC_(C_Variables)'!$A$3:$AS$43,45,FALSE())</f>
        <v/>
      </c>
      <c r="N1646" s="1"/>
      <c r="O1646" s="1"/>
      <c r="P1646" s="81" t="str">
        <f>IFERROR(VLOOKUP(A1646,Internal_lists_bugs!$A$2:$G7981,7,FALSE()),"please select a BUG ID")</f>
        <v>https://opendev.org/openstack/nova/commit/30871e870</v>
      </c>
    </row>
    <row r="1647">
      <c r="A1647" s="16" t="s">
        <v>64</v>
      </c>
      <c r="B1647" s="50" t="str">
        <f>IFERROR(HYPERLINK(VLOOKUP(A1647,Internal_lists_bugs!$A$2:$C$73,3,FALSE()), VLOOKUP(A1647,Internal_lists_bugs!$A$2:$C$73,3,FALSE())&amp;Char(10) &amp; Char(10) &amp; VLOOKUP(A1647,Internal_lists_bugs!$A$2:$Z$73,26,FALSE())),"please select a BUG ID")</f>
        <v>https://bugs.launchpad.net/nova/+bug/1381468
/filters/trusted_filter.py</v>
      </c>
      <c r="C1647" s="81" t="str">
        <f>IFERROR(VLOOKUP(A1647,Internal_lists_bugs!$A$2:$I7981,9,FALSE()),"please select a BUG ID")</f>
        <v>https://review.opendev.org/c/openstack/nova/+/124714</v>
      </c>
      <c r="D1647" s="114"/>
      <c r="E1647" s="114"/>
      <c r="F1647" s="115"/>
      <c r="G1647" s="79" t="s">
        <v>2268</v>
      </c>
      <c r="H1647" s="116" t="s">
        <v>3410</v>
      </c>
      <c r="I1647" s="54"/>
      <c r="K1647" s="54"/>
      <c r="M1647" s="114" t="str">
        <f>VLOOKUP(A1647,'BIC_(C_Variables)'!$A$3:$AS$43,45,FALSE())</f>
        <v/>
      </c>
      <c r="N1647" s="1"/>
      <c r="O1647" s="1"/>
      <c r="P1647" s="81" t="str">
        <f>IFERROR(VLOOKUP(A1647,Internal_lists_bugs!$A$2:$G7981,7,FALSE()),"please select a BUG ID")</f>
        <v>https://opendev.org/openstack/nova/commit/30871e870</v>
      </c>
    </row>
    <row r="1648">
      <c r="A1648" s="16" t="s">
        <v>64</v>
      </c>
      <c r="B1648" s="50" t="str">
        <f>IFERROR(HYPERLINK(VLOOKUP(A1648,Internal_lists_bugs!$A$2:$C$73,3,FALSE()), VLOOKUP(A1648,Internal_lists_bugs!$A$2:$C$73,3,FALSE())&amp;Char(10) &amp; Char(10) &amp; VLOOKUP(A1648,Internal_lists_bugs!$A$2:$Z$73,26,FALSE())),"please select a BUG ID")</f>
        <v>https://bugs.launchpad.net/nova/+bug/1381468
/filters/trusted_filter.py</v>
      </c>
      <c r="C1648" s="81" t="str">
        <f>IFERROR(VLOOKUP(A1648,Internal_lists_bugs!$A$2:$I7981,9,FALSE()),"please select a BUG ID")</f>
        <v>https://review.opendev.org/c/openstack/nova/+/124714</v>
      </c>
      <c r="D1648" s="114"/>
      <c r="E1648" s="114"/>
      <c r="F1648" s="115"/>
      <c r="G1648" s="79" t="s">
        <v>2047</v>
      </c>
      <c r="H1648" s="116" t="s">
        <v>3411</v>
      </c>
      <c r="I1648" s="54"/>
      <c r="K1648" s="54"/>
      <c r="M1648" s="114" t="str">
        <f>VLOOKUP(A1648,'BIC_(C_Variables)'!$A$3:$AS$43,45,FALSE())</f>
        <v/>
      </c>
      <c r="N1648" s="1"/>
      <c r="O1648" s="1"/>
      <c r="P1648" s="81" t="str">
        <f>IFERROR(VLOOKUP(A1648,Internal_lists_bugs!$A$2:$G7981,7,FALSE()),"please select a BUG ID")</f>
        <v>https://opendev.org/openstack/nova/commit/30871e870</v>
      </c>
    </row>
    <row r="1649">
      <c r="A1649" s="16" t="s">
        <v>64</v>
      </c>
      <c r="B1649" s="50" t="str">
        <f>IFERROR(HYPERLINK(VLOOKUP(A1649,Internal_lists_bugs!$A$2:$C$73,3,FALSE()), VLOOKUP(A1649,Internal_lists_bugs!$A$2:$C$73,3,FALSE())&amp;Char(10) &amp; Char(10) &amp; VLOOKUP(A1649,Internal_lists_bugs!$A$2:$Z$73,26,FALSE())),"please select a BUG ID")</f>
        <v>https://bugs.launchpad.net/nova/+bug/1381468
/filters/trusted_filter.py</v>
      </c>
      <c r="C1649" s="81" t="str">
        <f>IFERROR(VLOOKUP(A1649,Internal_lists_bugs!$A$2:$I7981,9,FALSE()),"please select a BUG ID")</f>
        <v>https://review.opendev.org/c/openstack/nova/+/124714</v>
      </c>
      <c r="D1649" s="114"/>
      <c r="E1649" s="114"/>
      <c r="F1649" s="115"/>
      <c r="G1649" s="79" t="s">
        <v>2436</v>
      </c>
      <c r="H1649" s="116" t="s">
        <v>3412</v>
      </c>
      <c r="I1649" s="54"/>
      <c r="K1649" s="54"/>
      <c r="M1649" s="114"/>
      <c r="N1649" s="1"/>
      <c r="O1649" s="1"/>
      <c r="P1649" s="51"/>
    </row>
    <row r="1650">
      <c r="A1650" s="16" t="s">
        <v>64</v>
      </c>
      <c r="B1650" s="50" t="str">
        <f>IFERROR(HYPERLINK(VLOOKUP(A1650,Internal_lists_bugs!$A$2:$C$73,3,FALSE()), VLOOKUP(A1650,Internal_lists_bugs!$A$2:$C$73,3,FALSE())&amp;Char(10) &amp; Char(10) &amp; VLOOKUP(A1650,Internal_lists_bugs!$A$2:$Z$73,26,FALSE())),"please select a BUG ID")</f>
        <v>https://bugs.launchpad.net/nova/+bug/1381468
/filters/trusted_filter.py</v>
      </c>
      <c r="C1650" s="81" t="str">
        <f>IFERROR(VLOOKUP(A1650,Internal_lists_bugs!$A$2:$I7981,9,FALSE()),"please select a BUG ID")</f>
        <v>https://review.opendev.org/c/openstack/nova/+/124714</v>
      </c>
      <c r="D1650" s="114"/>
      <c r="E1650" s="114"/>
      <c r="F1650" s="115"/>
      <c r="G1650" s="79" t="s">
        <v>1570</v>
      </c>
      <c r="H1650" s="116" t="s">
        <v>3412</v>
      </c>
      <c r="I1650" s="54"/>
      <c r="K1650" s="54"/>
      <c r="M1650" s="114" t="str">
        <f>VLOOKUP(A1650,'BIC_(C_Variables)'!$A$3:$AS$43,45,FALSE())</f>
        <v/>
      </c>
      <c r="N1650" s="1"/>
      <c r="O1650" s="1"/>
      <c r="P1650" s="81" t="str">
        <f>IFERROR(VLOOKUP(A1650,Internal_lists_bugs!$A$2:$G7981,7,FALSE()),"please select a BUG ID")</f>
        <v>https://opendev.org/openstack/nova/commit/30871e870</v>
      </c>
    </row>
    <row r="1651">
      <c r="A1651" s="16" t="s">
        <v>65</v>
      </c>
      <c r="B1651" s="50" t="str">
        <f>IFERROR(HYPERLINK(VLOOKUP(A1651,Internal_lists_bugs!$A$2:$C$73,3,FALSE()), VLOOKUP(A1651,Internal_lists_bugs!$A$2:$C$73,3,FALSE())&amp;Char(10) &amp; Char(10) &amp; VLOOKUP(A1651,Internal_lists_bugs!$A$2:$Z$73,26,FALSE())),"please select a BUG ID")</f>
        <v>https://github.com/elastic/elasticsearch/issues/2566
/classic/MapperQueryParser.java</v>
      </c>
      <c r="C1651" s="51" t="str">
        <f>IFERROR(VLOOKUP(A1651,Internal_lists_bugs!$A$2:$I7981,9,FALSE()),"please select a BUG ID")</f>
        <v>No information available</v>
      </c>
      <c r="D1651" s="114"/>
      <c r="E1651" s="114"/>
      <c r="F1651" s="115"/>
      <c r="G1651" s="82"/>
      <c r="H1651" s="123"/>
      <c r="I1651" s="54"/>
      <c r="K1651" s="54"/>
      <c r="M1651" s="114" t="str">
        <f>VLOOKUP(A1651,'BIC_(C_Variables)'!$A$3:$AS$43,45,FALSE())</f>
        <v>#N/A</v>
      </c>
      <c r="N1651" s="1"/>
      <c r="O1651" s="9" t="s">
        <v>124</v>
      </c>
      <c r="P1651" s="81" t="str">
        <f>IFERROR(VLOOKUP(A1651,Internal_lists_bugs!$A$2:$G7981,7,FALSE()),"please select a BUG ID")</f>
        <v>https://github.com/elastic/elasticsearch/commit/2442e1fb</v>
      </c>
    </row>
    <row r="1652">
      <c r="A1652" s="16" t="s">
        <v>66</v>
      </c>
      <c r="B1652" s="50" t="str">
        <f>IFERROR(HYPERLINK(VLOOKUP(A1652,Internal_lists_bugs!$A$2:$C$73,3,FALSE()), VLOOKUP(A1652,Internal_lists_bugs!$A$2:$C$73,3,FALSE())&amp;Char(10) &amp; Char(10) &amp; VLOOKUP(A1652,Internal_lists_bugs!$A$2:$Z$73,26,FALSE())),"please select a BUG ID")</f>
        <v>https://github.com/elastic/elasticsearch/issues/864
/ElasticSearchIllegalArgumentException.java
/alias/RestIndicesAliasesAction.java</v>
      </c>
      <c r="C1652" s="51" t="str">
        <f>IFERROR(VLOOKUP(A1652,Internal_lists_bugs!$A$2:$I7981,9,FALSE()),"please select a BUG ID")</f>
        <v>No information available</v>
      </c>
      <c r="D1652" s="114"/>
      <c r="E1652" s="114"/>
      <c r="F1652" s="115"/>
      <c r="G1652" s="82"/>
      <c r="H1652" s="123"/>
      <c r="I1652" s="54"/>
      <c r="K1652" s="54"/>
      <c r="M1652" s="114" t="str">
        <f>VLOOKUP(A1652,'BIC_(C_Variables)'!$A$3:$AS$43,45,FALSE())</f>
        <v>#N/A</v>
      </c>
      <c r="N1652" s="1"/>
      <c r="O1652" s="9" t="s">
        <v>124</v>
      </c>
      <c r="P1652" s="81" t="str">
        <f>IFERROR(VLOOKUP(A1652,Internal_lists_bugs!$A$2:$G7981,7,FALSE()),"please select a BUG ID")</f>
        <v>https://github.com/elastic/elasticsearch/commit/8f32467</v>
      </c>
    </row>
    <row r="1653">
      <c r="A1653" s="16" t="s">
        <v>67</v>
      </c>
      <c r="B1653" s="50" t="str">
        <f>IFERROR(HYPERLINK(VLOOKUP(A1653,Internal_lists_bugs!$A$2:$C$73,3,FALSE()), VLOOKUP(A1653,Internal_lists_bugs!$A$2:$C$73,3,FALSE())&amp;Char(10) &amp; Char(10) &amp; VLOOKUP(A1653,Internal_lists_bugs!$A$2:$Z$73,26,FALSE())),"please select a BUG ID")</f>
        <v>https://github.com/elastic/elasticsearch/issues/8526
/geo/GeoHashUtils.java</v>
      </c>
      <c r="C1653" s="51" t="str">
        <f>IFERROR(VLOOKUP(A1653,Internal_lists_bugs!$A$2:$I7981,9,FALSE()),"please select a BUG ID")</f>
        <v>No information available</v>
      </c>
      <c r="D1653" s="114"/>
      <c r="E1653" s="114"/>
      <c r="F1653" s="115"/>
      <c r="G1653" s="82"/>
      <c r="H1653" s="123"/>
      <c r="I1653" s="54"/>
      <c r="K1653" s="54"/>
      <c r="M1653" s="114" t="str">
        <f>VLOOKUP(A1653,'BIC_(C_Variables)'!$A$3:$AS$43,45,FALSE())</f>
        <v>#N/A</v>
      </c>
      <c r="N1653" s="1"/>
      <c r="O1653" s="9" t="s">
        <v>124</v>
      </c>
      <c r="P1653" s="81" t="str">
        <f>IFERROR(VLOOKUP(A1653,Internal_lists_bugs!$A$2:$G7981,7,FALSE()),"please select a BUG ID")</f>
        <v>https://github.com/elastic/elasticsearch/commit/5aa0a8438f</v>
      </c>
    </row>
    <row r="1654">
      <c r="A1654" s="16" t="s">
        <v>68</v>
      </c>
      <c r="B1654" s="50" t="str">
        <f>IFERROR(HYPERLINK(VLOOKUP(A1654,Internal_lists_bugs!$A$2:$C$73,3,FALSE()), VLOOKUP(A1654,Internal_lists_bugs!$A$2:$C$73,3,FALSE())&amp;Char(10) &amp; Char(10) &amp; VLOOKUP(A1654,Internal_lists_bugs!$A$2:$Z$73,26,FALSE())),"please select a BUG ID")</f>
        <v>https://github.com/elastic/elasticsearch/issues/5048
/aggregations/AggregatorFactories.java</v>
      </c>
      <c r="C1654" s="51" t="str">
        <f>IFERROR(VLOOKUP(A1654,Internal_lists_bugs!$A$2:$I7981,9,FALSE()),"please select a BUG ID")</f>
        <v>No information available</v>
      </c>
      <c r="D1654" s="114"/>
      <c r="E1654" s="114"/>
      <c r="F1654" s="115"/>
      <c r="G1654" s="82"/>
      <c r="H1654" s="123"/>
      <c r="I1654" s="54"/>
      <c r="K1654" s="54"/>
      <c r="M1654" s="114" t="str">
        <f>VLOOKUP(A1654,'BIC_(C_Variables)'!$A$3:$AS$43,45,FALSE())</f>
        <v>#N/A</v>
      </c>
      <c r="N1654" s="1"/>
      <c r="O1654" s="9" t="s">
        <v>124</v>
      </c>
      <c r="P1654" s="81" t="str">
        <f>IFERROR(VLOOKUP(A1654,Internal_lists_bugs!$A$2:$G7981,7,FALSE()),"please select a BUG ID")</f>
        <v>https://github.com/elastic/elasticsearch/commit/c7f6c52</v>
      </c>
    </row>
    <row r="1655">
      <c r="A1655" s="16" t="s">
        <v>85</v>
      </c>
      <c r="B1655" s="50" t="str">
        <f>IFERROR(HYPERLINK(VLOOKUP(A1655,Internal_lists_bugs!$A$2:$C$73,3,FALSE()), VLOOKUP(A1655,Internal_lists_bugs!$A$2:$C$73,3,FALSE())&amp;Char(10) &amp; Char(10) &amp; VLOOKUP(A1655,Internal_lists_bugs!$A$2:$Z$73,26,FALSE())),"please select a BUG ID")</f>
        <v>https://github.com/elastic/elasticsearch/issues/5021
/terms/StringTerms.java
/terms/StringTerms.java
/terms/StringTermsAggregator.java </v>
      </c>
      <c r="C1655" s="51" t="str">
        <f>IFERROR(VLOOKUP(A1655,Internal_lists_bugs!$A$2:$I7981,9,FALSE()),"please select a BUG ID")</f>
        <v>No information available</v>
      </c>
      <c r="D1655" s="114"/>
      <c r="E1655" s="114"/>
      <c r="F1655" s="115"/>
      <c r="G1655" s="82"/>
      <c r="H1655" s="123"/>
      <c r="I1655" s="54"/>
      <c r="K1655" s="54"/>
      <c r="M1655" s="114" t="str">
        <f>VLOOKUP(A1655,'BIC_(C_Variables)'!$A$3:$AS$43,45,FALSE())</f>
        <v>#N/A</v>
      </c>
      <c r="N1655" s="1"/>
      <c r="O1655" s="9" t="s">
        <v>124</v>
      </c>
      <c r="P1655" s="81" t="str">
        <f>IFERROR(VLOOKUP(A1655,Internal_lists_bugs!$A$2:$G7981,7,FALSE()),"please select a BUG ID")</f>
        <v>https://github.com/elastic/elasticsearch/commit/c7f6c5266</v>
      </c>
    </row>
    <row r="1656">
      <c r="A1656" s="16" t="s">
        <v>69</v>
      </c>
      <c r="B1656" s="50" t="str">
        <f>IFERROR(HYPERLINK(VLOOKUP(A1656,Internal_lists_bugs!$A$2:$C$73,3,FALSE()), VLOOKUP(A1656,Internal_lists_bugs!$A$2:$C$73,3,FALSE())&amp;Char(10) &amp; Char(10) &amp; VLOOKUP(A1656,Internal_lists_bugs!$A$2:$Z$73,26,FALSE())),"please select a BUG ID")</f>
        <v>https://github.com/elastic/elasticsearch/issues/1814
/internal/InternalSearchHit.java</v>
      </c>
      <c r="C1656" s="51" t="str">
        <f>IFERROR(VLOOKUP(A1656,Internal_lists_bugs!$A$2:$I7981,9,FALSE()),"please select a BUG ID")</f>
        <v>No information available</v>
      </c>
      <c r="D1656" s="114"/>
      <c r="E1656" s="114"/>
      <c r="F1656" s="115"/>
      <c r="G1656" s="82"/>
      <c r="H1656" s="123"/>
      <c r="I1656" s="54"/>
      <c r="K1656" s="54"/>
      <c r="M1656" s="114" t="str">
        <f>VLOOKUP(A1656,'BIC_(C_Variables)'!$A$3:$AS$43,45,FALSE())</f>
        <v>#N/A</v>
      </c>
      <c r="N1656" s="1"/>
      <c r="O1656" s="9" t="s">
        <v>124</v>
      </c>
      <c r="P1656" s="81" t="str">
        <f>IFERROR(VLOOKUP(A1656,Internal_lists_bugs!$A$2:$G7981,7,FALSE()),"please select a BUG ID")</f>
        <v>https://github.com/elastic/elasticsearch/commit/14237317fce</v>
      </c>
    </row>
    <row r="1657">
      <c r="A1657" s="16" t="s">
        <v>71</v>
      </c>
      <c r="B1657" s="50" t="str">
        <f>IFERROR(HYPERLINK(VLOOKUP(A1657,Internal_lists_bugs!$A$2:$C$73,3,FALSE()), VLOOKUP(A1657,Internal_lists_bugs!$A$2:$C$73,3,FALSE())&amp;Char(10) &amp; Char(10) &amp; VLOOKUP(A1657,Internal_lists_bugs!$A$2:$Z$73,26,FALSE())),"please select a BUG ID")</f>
        <v>https://github.com/elastic/elasticsearch/issues/764
/xcontent/DynamicTemplate.java</v>
      </c>
      <c r="C1657" s="51" t="str">
        <f>IFERROR(VLOOKUP(A1657,Internal_lists_bugs!$A$2:$I7981,9,FALSE()),"please select a BUG ID")</f>
        <v>No information available</v>
      </c>
      <c r="D1657" s="114"/>
      <c r="E1657" s="114"/>
      <c r="F1657" s="115"/>
      <c r="G1657" s="82"/>
      <c r="H1657" s="123"/>
      <c r="I1657" s="54"/>
      <c r="K1657" s="54"/>
      <c r="M1657" s="114" t="str">
        <f>VLOOKUP(A1657,'BIC_(C_Variables)'!$A$3:$AS$43,45,FALSE())</f>
        <v>#N/A</v>
      </c>
      <c r="N1657" s="1"/>
      <c r="O1657" s="9" t="s">
        <v>124</v>
      </c>
      <c r="P1657" s="81" t="str">
        <f>IFERROR(VLOOKUP(A1657,Internal_lists_bugs!$A$2:$G7981,7,FALSE()),"please select a BUG ID")</f>
        <v>https://github.com/elastic/elasticsearch/commit/4c34840</v>
      </c>
    </row>
    <row r="1658">
      <c r="A1658" s="16" t="s">
        <v>72</v>
      </c>
      <c r="B1658" s="50" t="str">
        <f>IFERROR(HYPERLINK(VLOOKUP(A1658,Internal_lists_bugs!$A$2:$C$73,3,FALSE()), VLOOKUP(A1658,Internal_lists_bugs!$A$2:$C$73,3,FALSE())&amp;Char(10) &amp; Char(10) &amp; VLOOKUP(A1658,Internal_lists_bugs!$A$2:$Z$73,26,FALSE())),"please select a BUG ID")</f>
        <v>https://github.com/elastic/elasticsearch/issues/1134
/network/NetworkService.java</v>
      </c>
      <c r="C1658" s="51" t="str">
        <f>IFERROR(VLOOKUP(A1658,Internal_lists_bugs!$A$2:$I7981,9,FALSE()),"please select a BUG ID")</f>
        <v>No information available</v>
      </c>
      <c r="D1658" s="114"/>
      <c r="E1658" s="114"/>
      <c r="F1658" s="115"/>
      <c r="G1658" s="82"/>
      <c r="H1658" s="123"/>
      <c r="I1658" s="54"/>
      <c r="K1658" s="54"/>
      <c r="M1658" s="114" t="str">
        <f>VLOOKUP(A1658,'BIC_(C_Variables)'!$A$3:$AS$43,45,FALSE())</f>
        <v>#N/A</v>
      </c>
      <c r="N1658" s="1"/>
      <c r="O1658" s="9" t="s">
        <v>124</v>
      </c>
      <c r="P1658" s="81" t="str">
        <f>IFERROR(VLOOKUP(A1658,Internal_lists_bugs!$A$2:$G7981,7,FALSE()),"please select a BUG ID")</f>
        <v>https://github.com/elastic/elasticsearch/commit/61ad8b6</v>
      </c>
    </row>
    <row r="1659">
      <c r="A1659" s="16" t="s">
        <v>73</v>
      </c>
      <c r="B1659" s="50" t="str">
        <f>IFERROR(HYPERLINK(VLOOKUP(A1659,Internal_lists_bugs!$A$2:$C$73,3,FALSE()), VLOOKUP(A1659,Internal_lists_bugs!$A$2:$C$73,3,FALSE())&amp;Char(10) &amp; Char(10) &amp; VLOOKUP(A1659,Internal_lists_bugs!$A$2:$Z$73,26,FALSE())),"please select a BUG ID")</f>
        <v>https://github.com/elastic/elasticsearch/issues/7686
/query/IdsQueryParser.java</v>
      </c>
      <c r="C1659" s="51" t="str">
        <f>IFERROR(VLOOKUP(A1659,Internal_lists_bugs!$A$2:$I7981,9,FALSE()),"please select a BUG ID")</f>
        <v>No information available</v>
      </c>
      <c r="D1659" s="114"/>
      <c r="E1659" s="114"/>
      <c r="F1659" s="115"/>
      <c r="G1659" s="82"/>
      <c r="H1659" s="123"/>
      <c r="I1659" s="54"/>
      <c r="K1659" s="54"/>
      <c r="M1659" s="114" t="str">
        <f>VLOOKUP(A1659,'BIC_(C_Variables)'!$A$3:$AS$43,45,FALSE())</f>
        <v>#N/A</v>
      </c>
      <c r="N1659" s="1"/>
      <c r="O1659" s="9" t="s">
        <v>124</v>
      </c>
      <c r="P1659" s="81" t="str">
        <f>IFERROR(VLOOKUP(A1659,Internal_lists_bugs!$A$2:$G7981,7,FALSE()),"please select a BUG ID")</f>
        <v>https://github.com/elastic/elasticsearch/commit/c3f3c26</v>
      </c>
    </row>
    <row r="1660">
      <c r="A1660" s="16" t="s">
        <v>74</v>
      </c>
      <c r="B1660" s="50" t="str">
        <f>IFERROR(HYPERLINK(VLOOKUP(A1660,Internal_lists_bugs!$A$2:$C$73,3,FALSE()), VLOOKUP(A1660,Internal_lists_bugs!$A$2:$C$73,3,FALSE())&amp;Char(10) &amp; Char(10) &amp; VLOOKUP(A1660,Internal_lists_bugs!$A$2:$Z$73,26,FALSE())),"please select a BUG ID")</f>
        <v>https://github.com/elastic/elasticsearch/issues/1725
/search/DeletionAwareConstantScoreQuery.java
/search/NotDeletedFilter.java </v>
      </c>
      <c r="C1660" s="51" t="str">
        <f>IFERROR(VLOOKUP(A1660,Internal_lists_bugs!$A$2:$I7981,9,FALSE()),"please select a BUG ID")</f>
        <v>No information available</v>
      </c>
      <c r="D1660" s="114"/>
      <c r="E1660" s="114"/>
      <c r="F1660" s="115"/>
      <c r="G1660" s="82"/>
      <c r="H1660" s="123"/>
      <c r="I1660" s="54"/>
      <c r="K1660" s="54"/>
      <c r="M1660" s="114" t="str">
        <f>VLOOKUP(A1660,'BIC_(C_Variables)'!$A$3:$AS$43,45,FALSE())</f>
        <v>#N/A</v>
      </c>
      <c r="N1660" s="1"/>
      <c r="O1660" s="9" t="s">
        <v>124</v>
      </c>
      <c r="P1660" s="81" t="str">
        <f>IFERROR(VLOOKUP(A1660,Internal_lists_bugs!$A$2:$G7981,7,FALSE()),"please select a BUG ID")</f>
        <v>https://github.com/elastic/elasticsearch/commit/bd6b89f7cab39a</v>
      </c>
    </row>
    <row r="1661">
      <c r="A1661" s="16" t="s">
        <v>78</v>
      </c>
      <c r="B1661" s="50" t="str">
        <f>IFERROR(HYPERLINK(VLOOKUP(A1661,Internal_lists_bugs!$A$2:$C$73,3,FALSE()), VLOOKUP(A1661,Internal_lists_bugs!$A$2:$C$73,3,FALSE())&amp;Char(10) &amp; Char(10) &amp; VLOOKUP(A1661,Internal_lists_bugs!$A$2:$Z$73,26,FALSE())),"please select a BUG ID")</f>
        <v>https://github.com/elastic/elasticsearch/issues/200
/zen/ZenDiscovery.java
/MasterFaultDetection.java
/zen/fd/NodesFaultDetection.java </v>
      </c>
      <c r="C1661" s="51" t="str">
        <f>IFERROR(VLOOKUP(A1661,Internal_lists_bugs!$A$2:$I7981,9,FALSE()),"please select a BUG ID")</f>
        <v>No information available</v>
      </c>
      <c r="D1661" s="114"/>
      <c r="E1661" s="114"/>
      <c r="F1661" s="115"/>
      <c r="G1661" s="82"/>
      <c r="H1661" s="123"/>
      <c r="I1661" s="54"/>
      <c r="K1661" s="54"/>
      <c r="M1661" s="114" t="str">
        <f>VLOOKUP(A1661,'BIC_(C_Variables)'!$A$3:$AS$43,45,FALSE())</f>
        <v>#N/A</v>
      </c>
      <c r="N1661" s="1"/>
      <c r="O1661" s="9" t="s">
        <v>124</v>
      </c>
      <c r="P1661" s="81" t="str">
        <f>IFERROR(VLOOKUP(A1661,Internal_lists_bugs!$A$2:$G7981,7,FALSE()),"please select a BUG ID")</f>
        <v>https://github.com/elastic/elasticsearch/commit/cb0d7d4</v>
      </c>
    </row>
    <row r="1662">
      <c r="A1662" s="16" t="s">
        <v>79</v>
      </c>
      <c r="B1662" s="50" t="str">
        <f>IFERROR(HYPERLINK(VLOOKUP(A1662,Internal_lists_bugs!$A$2:$C$73,3,FALSE()), VLOOKUP(A1662,Internal_lists_bugs!$A$2:$C$73,3,FALSE())&amp;Char(10) &amp; Char(10) &amp; VLOOKUP(A1662,Internal_lists_bugs!$A$2:$Z$73,26,FALSE())),"please select a BUG ID")</f>
        <v>https://github.com/elastic/elasticsearch/issues/1960
/metadata/IndexMetaData.java
/metadata/IndexTemplateMetaData.java
/metadata/MetaData.java
/loader/SettingsLoader.java
/loader/YamlSettingsLoader.java</v>
      </c>
      <c r="C1662" s="51" t="str">
        <f>IFERROR(VLOOKUP(A1662,Internal_lists_bugs!$A$2:$I7981,9,FALSE()),"please select a BUG ID")</f>
        <v>No information available</v>
      </c>
      <c r="D1662" s="114"/>
      <c r="E1662" s="114"/>
      <c r="F1662" s="115"/>
      <c r="G1662" s="82"/>
      <c r="H1662" s="123"/>
      <c r="I1662" s="54"/>
      <c r="K1662" s="54"/>
      <c r="M1662" s="114" t="str">
        <f>VLOOKUP(A1662,'BIC_(C_Variables)'!$A$3:$AS$43,45,FALSE())</f>
        <v>#N/A</v>
      </c>
      <c r="N1662" s="1"/>
      <c r="O1662" s="9" t="s">
        <v>124</v>
      </c>
      <c r="P1662" s="81" t="str">
        <f>IFERROR(VLOOKUP(A1662,Internal_lists_bugs!$A$2:$G7981,7,FALSE()),"please select a BUG ID")</f>
        <v>https://github.com/elastic/elasticsearch/commit/ebd6316</v>
      </c>
    </row>
    <row r="1663">
      <c r="A1663" s="16" t="s">
        <v>81</v>
      </c>
      <c r="B1663" s="50" t="str">
        <f>IFERROR(HYPERLINK(VLOOKUP(A1663,Internal_lists_bugs!$A$2:$C$73,3,FALSE()), VLOOKUP(A1663,Internal_lists_bugs!$A$2:$C$73,3,FALSE())&amp;Char(10) &amp; Char(10) &amp; VLOOKUP(A1663,Internal_lists_bugs!$A$2:$Z$73,26,FALSE())),"please select a BUG ID")</f>
        <v>https://github.com/elastic/elasticsearch/issues/1380
/highlight/HighlightPhase.java</v>
      </c>
      <c r="C1663" s="51" t="str">
        <f>IFERROR(VLOOKUP(A1663,Internal_lists_bugs!$A$2:$I7981,9,FALSE()),"please select a BUG ID")</f>
        <v>No information available</v>
      </c>
      <c r="D1663" s="114"/>
      <c r="E1663" s="114"/>
      <c r="F1663" s="115"/>
      <c r="G1663" s="82"/>
      <c r="H1663" s="123"/>
      <c r="I1663" s="54"/>
      <c r="K1663" s="54"/>
      <c r="M1663" s="114" t="str">
        <f>VLOOKUP(A1663,'BIC_(C_Variables)'!$A$3:$AS$43,45,FALSE())</f>
        <v>#N/A</v>
      </c>
      <c r="N1663" s="1"/>
      <c r="O1663" s="9" t="s">
        <v>124</v>
      </c>
      <c r="P1663" s="81" t="str">
        <f>IFERROR(VLOOKUP(A1663,Internal_lists_bugs!$A$2:$G7981,7,FALSE()),"please select a BUG ID")</f>
        <v>https://github.com/elastic/elasticsearch/commit/adc3dc0</v>
      </c>
    </row>
    <row r="1664">
      <c r="A1664" s="16" t="s">
        <v>82</v>
      </c>
      <c r="B1664" s="50" t="str">
        <f>IFERROR(HYPERLINK(VLOOKUP(A1664,Internal_lists_bugs!$A$2:$C$73,3,FALSE()), VLOOKUP(A1664,Internal_lists_bugs!$A$2:$C$73,3,FALSE())&amp;Char(10) &amp; Char(10) &amp; VLOOKUP(A1664,Internal_lists_bugs!$A$2:$Z$73,26,FALSE())),"please select a BUG ID")</f>
        <v>https://github.com/elastic/elasticsearch/issues/1948
/percolator/PercolatorExecutor.java</v>
      </c>
      <c r="C1664" s="51" t="str">
        <f>IFERROR(VLOOKUP(A1664,Internal_lists_bugs!$A$2:$I7981,9,FALSE()),"please select a BUG ID")</f>
        <v>No information available</v>
      </c>
      <c r="D1664" s="114"/>
      <c r="E1664" s="114"/>
      <c r="F1664" s="115"/>
      <c r="G1664" s="82"/>
      <c r="H1664" s="123"/>
      <c r="I1664" s="54"/>
      <c r="K1664" s="54"/>
      <c r="M1664" s="114" t="str">
        <f>VLOOKUP(A1664,'BIC_(C_Variables)'!$A$3:$AS$43,45,FALSE())</f>
        <v>#N/A</v>
      </c>
      <c r="N1664" s="1"/>
      <c r="O1664" s="9" t="s">
        <v>124</v>
      </c>
      <c r="P1664" s="81" t="str">
        <f>IFERROR(VLOOKUP(A1664,Internal_lists_bugs!$A$2:$G7981,7,FALSE()),"please select a BUG ID")</f>
        <v>https://github.com/elastic/elasticsearch/commit/3b967040da2</v>
      </c>
    </row>
    <row r="1665">
      <c r="A1665" s="16" t="s">
        <v>86</v>
      </c>
      <c r="B1665" s="50" t="str">
        <f>IFERROR(HYPERLINK(VLOOKUP(A1665,Internal_lists_bugs!$A$2:$C$73,3,FALSE()), VLOOKUP(A1665,Internal_lists_bugs!$A$2:$C$73,3,FALSE())&amp;Char(10) &amp; Char(10) &amp; VLOOKUP(A1665,Internal_lists_bugs!$A$2:$Z$73,26,FALSE())),"please select a BUG ID")</f>
        <v>https://github.com/elastic/elasticsearch/issues/4581
/internal/AllFieldMapper.java</v>
      </c>
      <c r="C1665" s="51" t="str">
        <f>IFERROR(VLOOKUP(A1665,Internal_lists_bugs!$A$2:$I7981,9,FALSE()),"please select a BUG ID")</f>
        <v>No information available</v>
      </c>
      <c r="D1665" s="114"/>
      <c r="E1665" s="114"/>
      <c r="F1665" s="115"/>
      <c r="G1665" s="82"/>
      <c r="H1665" s="123"/>
      <c r="I1665" s="54"/>
      <c r="K1665" s="54"/>
      <c r="M1665" s="114" t="str">
        <f>VLOOKUP(A1665,'BIC_(C_Variables)'!$A$3:$AS$43,45,FALSE())</f>
        <v>#N/A</v>
      </c>
      <c r="N1665" s="1"/>
      <c r="O1665" s="9" t="s">
        <v>124</v>
      </c>
      <c r="P1665" s="81" t="str">
        <f>IFERROR(VLOOKUP(A1665,Internal_lists_bugs!$A$2:$G7981,7,FALSE()),"please select a BUG ID")</f>
        <v>https://github.com/elastic/elasticsearch/commit/f444ed4</v>
      </c>
    </row>
    <row r="1666">
      <c r="A1666" s="16" t="s">
        <v>88</v>
      </c>
      <c r="B1666" s="50" t="str">
        <f>IFERROR(HYPERLINK(VLOOKUP(A1666,Internal_lists_bugs!$A$2:$C$73,3,FALSE()), VLOOKUP(A1666,Internal_lists_bugs!$A$2:$C$73,3,FALSE())&amp;Char(10) &amp; Char(10) &amp; VLOOKUP(A1666,Internal_lists_bugs!$A$2:$Z$73,26,FALSE())),"please select a BUG ID")</f>
        <v>https://github.com/elastic/elasticsearch/issues/1626
/routing/RoutingNode.java
/routing/RoutingNodes.java
/routing/allocation/AllocationService.java </v>
      </c>
      <c r="C1666" s="51" t="str">
        <f>IFERROR(VLOOKUP(A1666,Internal_lists_bugs!$A$2:$I7981,9,FALSE()),"please select a BUG ID")</f>
        <v>No information available</v>
      </c>
      <c r="D1666" s="114"/>
      <c r="E1666" s="114"/>
      <c r="F1666" s="115"/>
      <c r="G1666" s="82"/>
      <c r="H1666" s="123"/>
      <c r="I1666" s="54"/>
      <c r="K1666" s="54"/>
      <c r="M1666" s="114" t="str">
        <f>VLOOKUP(A1666,'BIC_(C_Variables)'!$A$3:$AS$43,45,FALSE())</f>
        <v>#N/A</v>
      </c>
      <c r="N1666" s="1"/>
      <c r="O1666" s="9" t="s">
        <v>124</v>
      </c>
      <c r="P1666" s="81" t="str">
        <f>IFERROR(VLOOKUP(A1666,Internal_lists_bugs!$A$2:$G7981,7,FALSE()),"please select a BUG ID")</f>
        <v>https://github.com/elastic/elasticsearch/commit/4180a7f7</v>
      </c>
    </row>
    <row r="1667">
      <c r="A1667" s="16" t="s">
        <v>89</v>
      </c>
      <c r="B1667" s="50" t="str">
        <f>IFERROR(HYPERLINK(VLOOKUP(A1667,Internal_lists_bugs!$A$2:$C$73,3,FALSE()), VLOOKUP(A1667,Internal_lists_bugs!$A$2:$C$73,3,FALSE())&amp;Char(10) &amp; Char(10) &amp; VLOOKUP(A1667,Internal_lists_bugs!$A$2:$Z$73,26,FALSE())),"please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1667" s="51" t="str">
        <f>IFERROR(VLOOKUP(A1667,Internal_lists_bugs!$A$2:$I7981,9,FALSE()),"please select a BUG ID")</f>
        <v>No information available</v>
      </c>
      <c r="D1667" s="114"/>
      <c r="E1667" s="114"/>
      <c r="F1667" s="115"/>
      <c r="G1667" s="82"/>
      <c r="H1667" s="123"/>
      <c r="I1667" s="54"/>
      <c r="K1667" s="54"/>
      <c r="M1667" s="114" t="str">
        <f>VLOOKUP(A1667,'BIC_(C_Variables)'!$A$3:$AS$43,45,FALSE())</f>
        <v>#N/A</v>
      </c>
      <c r="N1667" s="1"/>
      <c r="O1667" s="9" t="s">
        <v>124</v>
      </c>
      <c r="P1667" s="81" t="str">
        <f>IFERROR(VLOOKUP(A1667,Internal_lists_bugs!$A$2:$G7981,7,FALSE()),"please select a BUG ID")</f>
        <v>https://github.com/elastic/elasticsearch/commit/575250e</v>
      </c>
    </row>
    <row r="1668">
      <c r="A1668" s="16" t="s">
        <v>91</v>
      </c>
      <c r="B1668" s="50" t="str">
        <f>IFERROR(HYPERLINK(VLOOKUP(A1668,Internal_lists_bugs!$A$2:$C$73,3,FALSE()), VLOOKUP(A1668,Internal_lists_bugs!$A$2:$C$73,3,FALSE())&amp;Char(10) &amp; Char(10) &amp; VLOOKUP(A1668,Internal_lists_bugs!$A$2:$Z$73,26,FALSE())),"please select a BUG ID")</f>
        <v>https://github.com/elastic/elasticsearch/issues/2608
/query/TermsQueryParser.java</v>
      </c>
      <c r="C1668" s="51" t="str">
        <f>IFERROR(VLOOKUP(A1668,Internal_lists_bugs!$A$2:$I7981,9,FALSE()),"please select a BUG ID")</f>
        <v>No information available</v>
      </c>
      <c r="D1668" s="114"/>
      <c r="E1668" s="114"/>
      <c r="F1668" s="115"/>
      <c r="G1668" s="82"/>
      <c r="H1668" s="123"/>
      <c r="I1668" s="54"/>
      <c r="K1668" s="54"/>
      <c r="M1668" s="114" t="str">
        <f>VLOOKUP(A1668,'BIC_(C_Variables)'!$A$3:$AS$43,45,FALSE())</f>
        <v>#N/A</v>
      </c>
      <c r="N1668" s="1"/>
      <c r="O1668" s="9" t="s">
        <v>124</v>
      </c>
      <c r="P1668" s="81" t="str">
        <f>IFERROR(VLOOKUP(A1668,Internal_lists_bugs!$A$2:$G7981,7,FALSE()),"please select a BUG ID")</f>
        <v>https://github.com/elastic/elasticsearch/commit/167d358</v>
      </c>
    </row>
    <row r="1669">
      <c r="A1669" s="16" t="s">
        <v>92</v>
      </c>
      <c r="B1669" s="50" t="str">
        <f>IFERROR(HYPERLINK(VLOOKUP(A1669,Internal_lists_bugs!$A$2:$C$73,3,FALSE()), VLOOKUP(A1669,Internal_lists_bugs!$A$2:$C$73,3,FALSE())&amp;Char(10) &amp; Char(10) &amp; VLOOKUP(A1669,Internal_lists_bugs!$A$2:$Z$73,26,FALSE())),"please select a BUG ID")</f>
        <v>https://github.com/elastic/elasticsearch/issues/12193
core/pom.xml</v>
      </c>
      <c r="C1669" s="51" t="str">
        <f>IFERROR(VLOOKUP(A1669,Internal_lists_bugs!$A$2:$I7981,9,FALSE()),"please select a BUG ID")</f>
        <v>No information available</v>
      </c>
      <c r="D1669" s="114"/>
      <c r="E1669" s="114"/>
      <c r="F1669" s="115"/>
      <c r="G1669" s="82"/>
      <c r="H1669" s="123"/>
      <c r="I1669" s="54"/>
      <c r="K1669" s="54"/>
      <c r="M1669" s="114" t="str">
        <f>VLOOKUP(A1669,'BIC_(C_Variables)'!$A$3:$AS$43,45,FALSE())</f>
        <v>#N/A</v>
      </c>
      <c r="N1669" s="1"/>
      <c r="O1669" s="9" t="s">
        <v>124</v>
      </c>
      <c r="P1669" s="81" t="str">
        <f>IFERROR(VLOOKUP(A1669,Internal_lists_bugs!$A$2:$G7981,7,FALSE()),"please select a BUG ID")</f>
        <v>https://github.com/elastic/elasticsearch/commit/15a62448</v>
      </c>
    </row>
    <row r="1670">
      <c r="A1670" s="16" t="s">
        <v>93</v>
      </c>
      <c r="B1670" s="50" t="str">
        <f>IFERROR(HYPERLINK(VLOOKUP(A1670,Internal_lists_bugs!$A$2:$C$73,3,FALSE()), VLOOKUP(A1670,Internal_lists_bugs!$A$2:$C$73,3,FALSE())&amp;Char(10) &amp; Char(10) &amp; VLOOKUP(A1670,Internal_lists_bugs!$A$2:$Z$73,26,FALSE())),"please select a BUG ID")</f>
        <v>https://github.com/elastic/elasticsearch/issues/15858
/lucene/search/Queries.java</v>
      </c>
      <c r="C1670" s="51" t="str">
        <f>IFERROR(VLOOKUP(A1670,Internal_lists_bugs!$A$2:$I7981,9,FALSE()),"please select a BUG ID")</f>
        <v>No information available</v>
      </c>
      <c r="D1670" s="114"/>
      <c r="E1670" s="114"/>
      <c r="F1670" s="115"/>
      <c r="G1670" s="82"/>
      <c r="H1670" s="123"/>
      <c r="I1670" s="54"/>
      <c r="K1670" s="54"/>
      <c r="M1670" s="114" t="str">
        <f>VLOOKUP(A1670,'BIC_(C_Variables)'!$A$3:$AS$43,45,FALSE())</f>
        <v>#N/A</v>
      </c>
      <c r="N1670" s="1"/>
      <c r="O1670" s="9" t="s">
        <v>124</v>
      </c>
      <c r="P1670" s="81" t="str">
        <f>IFERROR(VLOOKUP(A1670,Internal_lists_bugs!$A$2:$G7981,7,FALSE()),"please select a BUG ID")</f>
        <v>https://github.com/elastic/elasticsearch/commit/0cde90fcb10c9</v>
      </c>
    </row>
    <row r="1671">
      <c r="A1671" s="16" t="s">
        <v>94</v>
      </c>
      <c r="B1671" s="50" t="str">
        <f>IFERROR(HYPERLINK(VLOOKUP(A1671,Internal_lists_bugs!$A$2:$C$73,3,FALSE()), VLOOKUP(A1671,Internal_lists_bugs!$A$2:$C$73,3,FALSE())&amp;Char(10) &amp; Char(10) &amp; VLOOKUP(A1671,Internal_lists_bugs!$A$2:$Z$73,26,FALSE())),"please select a BUG ID")</f>
        <v>https://github.com/elastic/elasticsearch/issues/5165
/search/SearchService.java
/internal/DefaultSearchContext.java</v>
      </c>
      <c r="C1671" s="51" t="str">
        <f>IFERROR(VLOOKUP(A1671,Internal_lists_bugs!$A$2:$I7981,9,FALSE()),"please select a BUG ID")</f>
        <v>No information available</v>
      </c>
      <c r="D1671" s="114"/>
      <c r="E1671" s="114"/>
      <c r="F1671" s="115"/>
      <c r="G1671" s="82"/>
      <c r="H1671" s="123"/>
      <c r="I1671" s="54"/>
      <c r="K1671" s="54"/>
      <c r="M1671" s="114" t="str">
        <f>VLOOKUP(A1671,'BIC_(C_Variables)'!$A$3:$AS$43,45,FALSE())</f>
        <v>#N/A</v>
      </c>
      <c r="N1671" s="1"/>
      <c r="O1671" s="9" t="s">
        <v>124</v>
      </c>
      <c r="P1671" s="81" t="str">
        <f>IFERROR(VLOOKUP(A1671,Internal_lists_bugs!$A$2:$G7981,7,FALSE()),"please select a BUG ID")</f>
        <v>https://github.com/elastic/elasticsearch/commit/3ca0239</v>
      </c>
    </row>
    <row r="1672">
      <c r="A1672" s="16" t="s">
        <v>95</v>
      </c>
      <c r="B1672" s="50" t="str">
        <f>IFERROR(HYPERLINK(VLOOKUP(A1672,Internal_lists_bugs!$A$2:$C$73,3,FALSE()), VLOOKUP(A1672,Internal_lists_bugs!$A$2:$C$73,3,FALSE())&amp;Char(10) &amp; Char(10) &amp; VLOOKUP(A1672,Internal_lists_bugs!$A$2:$Z$73,26,FALSE())),"please select a BUG ID")</f>
        <v>https://github.com/elastic/elasticsearch/issues/1162
/MetaDataUpdateSettingsService.java</v>
      </c>
      <c r="C1672" s="51" t="str">
        <f>IFERROR(VLOOKUP(A1672,Internal_lists_bugs!$A$2:$I7981,9,FALSE()),"please select a BUG ID")</f>
        <v>No information available</v>
      </c>
      <c r="D1672" s="114"/>
      <c r="E1672" s="114"/>
      <c r="F1672" s="115"/>
      <c r="G1672" s="82"/>
      <c r="H1672" s="123"/>
      <c r="I1672" s="54"/>
      <c r="K1672" s="54"/>
      <c r="M1672" s="114" t="str">
        <f>VLOOKUP(A1672,'BIC_(C_Variables)'!$A$3:$AS$43,45,FALSE())</f>
        <v>#N/A</v>
      </c>
      <c r="N1672" s="1"/>
      <c r="O1672" s="9" t="s">
        <v>124</v>
      </c>
      <c r="P1672" s="81" t="str">
        <f>IFERROR(VLOOKUP(A1672,Internal_lists_bugs!$A$2:$G7981,7,FALSE()),"please select a BUG ID")</f>
        <v>https://github.com/elastic/elasticsearch/commit/d4547c629</v>
      </c>
    </row>
    <row r="1673">
      <c r="A1673" s="16" t="s">
        <v>97</v>
      </c>
      <c r="B1673" s="50" t="str">
        <f>IFERROR(HYPERLINK(VLOOKUP(A1673,Internal_lists_bugs!$A$2:$C$73,3,FALSE()), VLOOKUP(A1673,Internal_lists_bugs!$A$2:$C$73,3,FALSE())&amp;Char(10) &amp; Char(10) &amp; VLOOKUP(A1673,Internal_lists_bugs!$A$2:$Z$73,26,FALSE())),"please select a BUG ID")</f>
        <v>https://github.com/elastic/elasticsearch/issues/1154
/RestSearchScrollAction.java 
/search/SearchOperationThreading.java
/search/RestSearchAction.java</v>
      </c>
      <c r="C1673" s="51" t="str">
        <f>IFERROR(VLOOKUP(A1673,Internal_lists_bugs!$A$2:$I7981,9,FALSE()),"please select a BUG ID")</f>
        <v>No information available</v>
      </c>
      <c r="D1673" s="114"/>
      <c r="E1673" s="114"/>
      <c r="F1673" s="115"/>
      <c r="G1673" s="82"/>
      <c r="H1673" s="123"/>
      <c r="I1673" s="54"/>
      <c r="K1673" s="54"/>
      <c r="M1673" s="114" t="str">
        <f>VLOOKUP(A1673,'BIC_(C_Variables)'!$A$3:$AS$43,45,FALSE())</f>
        <v>#N/A</v>
      </c>
      <c r="N1673" s="1"/>
      <c r="O1673" s="9" t="s">
        <v>124</v>
      </c>
      <c r="P1673" s="81" t="str">
        <f>IFERROR(VLOOKUP(A1673,Internal_lists_bugs!$A$2:$G7981,7,FALSE()),"please select a BUG ID")</f>
        <v>https://github.com/elastic/elasticsearch/commit/b3337c3</v>
      </c>
    </row>
    <row r="1674">
      <c r="A1674" s="16" t="s">
        <v>98</v>
      </c>
      <c r="B1674" s="50" t="str">
        <f>IFERROR(HYPERLINK(VLOOKUP(A1674,Internal_lists_bugs!$A$2:$C$73,3,FALSE()), VLOOKUP(A1674,Internal_lists_bugs!$A$2:$C$73,3,FALSE())&amp;Char(10) &amp; Char(10) &amp; VLOOKUP(A1674,Internal_lists_bugs!$A$2:$Z$73,26,FALSE())),"please select a BUG ID")</f>
        <v>https://github.com/elastic/elasticsearch/issues/5948
/cat/RestAllocationAction.java</v>
      </c>
      <c r="C1674" s="51" t="str">
        <f>IFERROR(VLOOKUP(A1674,Internal_lists_bugs!$A$2:$I7981,9,FALSE()),"please select a BUG ID")</f>
        <v>No information available</v>
      </c>
      <c r="D1674" s="114"/>
      <c r="E1674" s="114"/>
      <c r="F1674" s="115"/>
      <c r="G1674" s="82"/>
      <c r="H1674" s="123"/>
      <c r="I1674" s="54"/>
      <c r="K1674" s="54"/>
      <c r="M1674" s="114" t="str">
        <f>VLOOKUP(A1674,'BIC_(C_Variables)'!$A$3:$AS$43,45,FALSE())</f>
        <v>#N/A</v>
      </c>
      <c r="N1674" s="1"/>
      <c r="O1674" s="9" t="s">
        <v>124</v>
      </c>
      <c r="P1674" s="81" t="str">
        <f>IFERROR(VLOOKUP(A1674,Internal_lists_bugs!$A$2:$G7981,7,FALSE()),"please select a BUG ID")</f>
        <v>https://github.com/elastic/elasticsearch/commit/b35ca1a</v>
      </c>
    </row>
    <row r="1675">
      <c r="A1675" s="16" t="s">
        <v>99</v>
      </c>
      <c r="B1675" s="50" t="str">
        <f>IFERROR(HYPERLINK(VLOOKUP(A1675,Internal_lists_bugs!$A$2:$C$73,3,FALSE()), VLOOKUP(A1675,Internal_lists_bugs!$A$2:$C$73,3,FALSE())&amp;Char(10) &amp; Char(10) &amp; VLOOKUP(A1675,Internal_lists_bugs!$A$2:$Z$73,26,FALSE())),"please select a BUG ID")</f>
        <v>https://github.com/elastic/elasticsearch/issues/3560
/settings/TransportClusterUpdateSettingsAction.java</v>
      </c>
      <c r="C1675" s="51" t="str">
        <f>IFERROR(VLOOKUP(A1675,Internal_lists_bugs!$A$2:$I7981,9,FALSE()),"please select a BUG ID")</f>
        <v>No information available</v>
      </c>
      <c r="D1675" s="114"/>
      <c r="E1675" s="114"/>
      <c r="F1675" s="115"/>
      <c r="G1675" s="82"/>
      <c r="H1675" s="123"/>
      <c r="I1675" s="54"/>
      <c r="K1675" s="54"/>
      <c r="M1675" s="114" t="str">
        <f>VLOOKUP(A1675,'BIC_(C_Variables)'!$A$3:$AS$43,45,FALSE())</f>
        <v>#N/A</v>
      </c>
      <c r="N1675" s="1"/>
      <c r="O1675" s="9" t="s">
        <v>124</v>
      </c>
      <c r="P1675" s="81" t="str">
        <f>IFERROR(VLOOKUP(A1675,Internal_lists_bugs!$A$2:$G7981,7,FALSE()),"please select a BUG ID")</f>
        <v>https://github.com/elastic/elasticsearch/commit/4930b93</v>
      </c>
    </row>
    <row r="1676">
      <c r="A1676" s="16" t="s">
        <v>100</v>
      </c>
      <c r="B1676" s="50" t="str">
        <f>IFERROR(HYPERLINK(VLOOKUP(A1676,Internal_lists_bugs!$A$2:$C$73,3,FALSE()), VLOOKUP(A1676,Internal_lists_bugs!$A$2:$C$73,3,FALSE())&amp;Char(10) &amp; Char(10) &amp; VLOOKUP(A1676,Internal_lists_bugs!$A$2:$Z$73,26,FALSE())),"please select a BUG ID")</f>
        <v>https://github.com/elastic/elasticsearch/issues/4814
/bucket/BytesRefHash.java</v>
      </c>
      <c r="C1676" s="51" t="str">
        <f>IFERROR(VLOOKUP(A1676,Internal_lists_bugs!$A$2:$I7981,9,FALSE()),"please select a BUG ID")</f>
        <v>No information available</v>
      </c>
      <c r="D1676" s="114"/>
      <c r="E1676" s="114"/>
      <c r="F1676" s="115"/>
      <c r="G1676" s="82"/>
      <c r="H1676" s="123"/>
      <c r="I1676" s="54"/>
      <c r="K1676" s="54"/>
      <c r="M1676" s="114" t="str">
        <f>VLOOKUP(A1676,'BIC_(C_Variables)'!$A$3:$AS$43,45,FALSE())</f>
        <v>#N/A</v>
      </c>
      <c r="N1676" s="1"/>
      <c r="O1676" s="9" t="s">
        <v>124</v>
      </c>
      <c r="P1676" s="81" t="str">
        <f>IFERROR(VLOOKUP(A1676,Internal_lists_bugs!$A$2:$G7981,7,FALSE()),"please select a BUG ID")</f>
        <v>https://github.com/elastic/elasticsearch/commit/4271d57</v>
      </c>
    </row>
    <row r="1677">
      <c r="A1677" s="16" t="s">
        <v>101</v>
      </c>
      <c r="B1677" s="50" t="str">
        <f>IFERROR(HYPERLINK(VLOOKUP(A1677,Internal_lists_bugs!$A$2:$C$73,3,FALSE()), VLOOKUP(A1677,Internal_lists_bugs!$A$2:$C$73,3,FALSE())&amp;Char(10) &amp; Char(10) &amp; VLOOKUP(A1677,Internal_lists_bugs!$A$2:$Z$73,26,FALSE())),"please select a BUG ID")</f>
        <v>https://github.com/elastic/elasticsearch/issues/2991
/BytesRefOrdValComparator.java </v>
      </c>
      <c r="C1677" s="51" t="str">
        <f>IFERROR(VLOOKUP(A1677,Internal_lists_bugs!$A$2:$I7981,9,FALSE()),"please select a BUG ID")</f>
        <v>No information available</v>
      </c>
      <c r="D1677" s="114"/>
      <c r="E1677" s="114"/>
      <c r="F1677" s="115"/>
      <c r="G1677" s="82"/>
      <c r="H1677" s="123"/>
      <c r="I1677" s="54"/>
      <c r="K1677" s="54"/>
      <c r="M1677" s="114" t="str">
        <f>VLOOKUP(A1677,'BIC_(C_Variables)'!$A$3:$AS$43,45,FALSE())</f>
        <v>#N/A</v>
      </c>
      <c r="N1677" s="1"/>
      <c r="O1677" s="9" t="s">
        <v>124</v>
      </c>
      <c r="P1677" s="81" t="str">
        <f>IFERROR(VLOOKUP(A1677,Internal_lists_bugs!$A$2:$G7981,7,FALSE()),"please select a BUG ID")</f>
        <v>https://github.com/elastic/elasticsearch/commit/7397007</v>
      </c>
    </row>
    <row r="1678">
      <c r="A1678" s="16" t="s">
        <v>102</v>
      </c>
      <c r="B1678" s="50" t="str">
        <f>IFERROR(HYPERLINK(VLOOKUP(A1678,Internal_lists_bugs!$A$2:$C$73,3,FALSE()), VLOOKUP(A1678,Internal_lists_bugs!$A$2:$C$73,3,FALSE())&amp;Char(10) &amp; Char(10) &amp; VLOOKUP(A1678,Internal_lists_bugs!$A$2:$Z$73,26,FALSE())),"please select a BUG ID")</f>
        <v>https://github.com/elastic/elasticsearch/issues/3267
/get/TransportMultiGetAction.java</v>
      </c>
      <c r="C1678" s="51" t="str">
        <f>IFERROR(VLOOKUP(A1678,Internal_lists_bugs!$A$2:$I7981,9,FALSE()),"please select a BUG ID")</f>
        <v>No information available</v>
      </c>
      <c r="D1678" s="114"/>
      <c r="E1678" s="114"/>
      <c r="F1678" s="115"/>
      <c r="G1678" s="82"/>
      <c r="H1678" s="123"/>
      <c r="I1678" s="54"/>
      <c r="K1678" s="54"/>
      <c r="M1678" s="114" t="str">
        <f>VLOOKUP(A1678,'BIC_(C_Variables)'!$A$3:$AS$43,45,FALSE())</f>
        <v>#N/A</v>
      </c>
      <c r="N1678" s="1"/>
      <c r="O1678" s="9" t="s">
        <v>124</v>
      </c>
      <c r="P1678" s="81" t="str">
        <f>IFERROR(VLOOKUP(A1678,Internal_lists_bugs!$A$2:$G7981,7,FALSE()),"please select a BUG ID")</f>
        <v>https://github.com/elastic/elasticsearch/commit/9bf686e</v>
      </c>
    </row>
    <row r="1679">
      <c r="A1679" s="16" t="s">
        <v>70</v>
      </c>
      <c r="B1679" s="50" t="str">
        <f>IFERROR(HYPERLINK(VLOOKUP(A1679,Internal_lists_bugs!$A$2:$C$73,3,FALSE()), VLOOKUP(A1679,Internal_lists_bugs!$A$2:$C$73,3,FALSE())&amp;Char(10) &amp; Char(10) &amp; VLOOKUP(A1679,Internal_lists_bugs!$A$2:$Z$73,26,FALSE())),"please select a BUG ID")</f>
        <v>https://github.com/elastic/elasticsearch/issues/16246
/core/IngestDocument.java</v>
      </c>
      <c r="C1679" s="81" t="str">
        <f>IFERROR(VLOOKUP(A1679,Internal_lists_bugs!$A$2:$I7981,9,FALSE()),"please select a BUG ID")</f>
        <v>https://github.com/elastic/elasticsearch/pull/15283, https://github.com/elastic/elasticsearch/pull/15564, https://github.com/elastic/elasticsearch/pull/16049</v>
      </c>
      <c r="D1679" s="112" t="s">
        <v>3413</v>
      </c>
      <c r="E1679" s="114"/>
      <c r="F1679" s="113" t="s">
        <v>251</v>
      </c>
      <c r="G1679" s="79" t="s">
        <v>1417</v>
      </c>
      <c r="H1679" s="123"/>
      <c r="I1679" s="16" t="s">
        <v>123</v>
      </c>
      <c r="J1679" s="16" t="s">
        <v>3414</v>
      </c>
      <c r="K1679" s="16" t="s">
        <v>123</v>
      </c>
      <c r="L1679" s="16" t="s">
        <v>3414</v>
      </c>
      <c r="M1679" s="114" t="str">
        <f>VLOOKUP(A1679,'BIC_(C_Variables)'!$A$3:$AS$43,45,FALSE())</f>
        <v>#N/A</v>
      </c>
      <c r="N1679" s="9" t="s">
        <v>3415</v>
      </c>
      <c r="O1679" s="9">
        <v>15283.0</v>
      </c>
      <c r="P1679" s="81" t="str">
        <f>IFERROR(VLOOKUP(A1679,Internal_lists_bugs!$A$2:$G7981,7,FALSE()),"please select a BUG ID")</f>
        <v>https://github.com/elastic/elasticsearch/commit/57d6971</v>
      </c>
    </row>
    <row r="1680">
      <c r="A1680" s="16" t="s">
        <v>70</v>
      </c>
      <c r="B1680" s="50" t="str">
        <f>IFERROR(HYPERLINK(VLOOKUP(A1680,Internal_lists_bugs!$A$2:$C$73,3,FALSE()), VLOOKUP(A1680,Internal_lists_bugs!$A$2:$C$73,3,FALSE())&amp;Char(10) &amp; Char(10) &amp; VLOOKUP(A1680,Internal_lists_bugs!$A$2:$Z$73,26,FALSE())),"please select a BUG ID")</f>
        <v>https://github.com/elastic/elasticsearch/issues/16246
/core/IngestDocument.java</v>
      </c>
      <c r="C1680" s="81" t="str">
        <f>IFERROR(VLOOKUP(A1680,Internal_lists_bugs!$A$2:$I7981,9,FALSE()),"please select a BUG ID")</f>
        <v>https://github.com/elastic/elasticsearch/pull/15283, https://github.com/elastic/elasticsearch/pull/15564, https://github.com/elastic/elasticsearch/pull/16049</v>
      </c>
      <c r="D1680" s="112"/>
      <c r="E1680" s="114"/>
      <c r="F1680" s="115"/>
      <c r="G1680" s="79" t="s">
        <v>2479</v>
      </c>
      <c r="H1680" s="116" t="s">
        <v>3416</v>
      </c>
      <c r="I1680" s="54"/>
      <c r="K1680" s="54"/>
      <c r="M1680" s="114" t="str">
        <f>VLOOKUP(A1680,'BIC_(C_Variables)'!$A$3:$AS$43,45,FALSE())</f>
        <v>#N/A</v>
      </c>
      <c r="N1680" s="1"/>
      <c r="O1680" s="9">
        <v>15283.0</v>
      </c>
      <c r="P1680" s="81" t="str">
        <f>IFERROR(VLOOKUP(A1680,Internal_lists_bugs!$A$2:$G7981,7,FALSE()),"please select a BUG ID")</f>
        <v>https://github.com/elastic/elasticsearch/commit/57d6971</v>
      </c>
    </row>
    <row r="1681">
      <c r="A1681" s="16" t="s">
        <v>70</v>
      </c>
      <c r="B1681" s="50" t="str">
        <f>IFERROR(HYPERLINK(VLOOKUP(A1681,Internal_lists_bugs!$A$2:$C$73,3,FALSE()), VLOOKUP(A1681,Internal_lists_bugs!$A$2:$C$73,3,FALSE())&amp;Char(10) &amp; Char(10) &amp; VLOOKUP(A1681,Internal_lists_bugs!$A$2:$Z$73,26,FALSE())),"please select a BUG ID")</f>
        <v>https://github.com/elastic/elasticsearch/issues/16246
/core/IngestDocument.java</v>
      </c>
      <c r="C1681" s="81" t="str">
        <f>IFERROR(VLOOKUP(A1681,Internal_lists_bugs!$A$2:$I7981,9,FALSE()),"please select a BUG ID")</f>
        <v>https://github.com/elastic/elasticsearch/pull/15283, https://github.com/elastic/elasticsearch/pull/15564, https://github.com/elastic/elasticsearch/pull/16049</v>
      </c>
      <c r="D1681" s="112"/>
      <c r="E1681" s="114"/>
      <c r="F1681" s="115"/>
      <c r="G1681" s="79" t="s">
        <v>3417</v>
      </c>
      <c r="H1681" s="116" t="s">
        <v>3418</v>
      </c>
      <c r="I1681" s="54"/>
      <c r="K1681" s="54"/>
      <c r="M1681" s="114" t="str">
        <f>VLOOKUP(A1681,'BIC_(C_Variables)'!$A$3:$AS$43,45,FALSE())</f>
        <v>#N/A</v>
      </c>
      <c r="N1681" s="1"/>
      <c r="O1681" s="9">
        <v>15283.0</v>
      </c>
      <c r="P1681" s="81" t="str">
        <f>IFERROR(VLOOKUP(A1681,Internal_lists_bugs!$A$2:$G7981,7,FALSE()),"please select a BUG ID")</f>
        <v>https://github.com/elastic/elasticsearch/commit/57d6971</v>
      </c>
    </row>
    <row r="1682">
      <c r="A1682" s="16" t="s">
        <v>70</v>
      </c>
      <c r="B1682" s="50" t="str">
        <f>IFERROR(HYPERLINK(VLOOKUP(A1682,Internal_lists_bugs!$A$2:$C$73,3,FALSE()), VLOOKUP(A1682,Internal_lists_bugs!$A$2:$C$73,3,FALSE())&amp;Char(10) &amp; Char(10) &amp; VLOOKUP(A1682,Internal_lists_bugs!$A$2:$Z$73,26,FALSE())),"please select a BUG ID")</f>
        <v>https://github.com/elastic/elasticsearch/issues/16246
/core/IngestDocument.java</v>
      </c>
      <c r="C1682" s="81" t="str">
        <f>IFERROR(VLOOKUP(A1682,Internal_lists_bugs!$A$2:$I7981,9,FALSE()),"please select a BUG ID")</f>
        <v>https://github.com/elastic/elasticsearch/pull/15283, https://github.com/elastic/elasticsearch/pull/15564, https://github.com/elastic/elasticsearch/pull/16049</v>
      </c>
      <c r="D1682" s="112"/>
      <c r="E1682" s="114"/>
      <c r="F1682" s="115"/>
      <c r="G1682" s="79" t="s">
        <v>1460</v>
      </c>
      <c r="H1682" s="116" t="s">
        <v>3419</v>
      </c>
      <c r="I1682" s="54"/>
      <c r="K1682" s="54"/>
      <c r="M1682" s="114" t="str">
        <f>VLOOKUP(A1682,'BIC_(C_Variables)'!$A$3:$AS$43,45,FALSE())</f>
        <v>#N/A</v>
      </c>
      <c r="N1682" s="1"/>
      <c r="O1682" s="9">
        <v>15283.0</v>
      </c>
      <c r="P1682" s="81" t="str">
        <f>IFERROR(VLOOKUP(A1682,Internal_lists_bugs!$A$2:$G7981,7,FALSE()),"please select a BUG ID")</f>
        <v>https://github.com/elastic/elasticsearch/commit/57d6971</v>
      </c>
    </row>
    <row r="1683">
      <c r="A1683" s="16" t="s">
        <v>70</v>
      </c>
      <c r="B1683" s="50" t="str">
        <f>IFERROR(HYPERLINK(VLOOKUP(A1683,Internal_lists_bugs!$A$2:$C$73,3,FALSE()), VLOOKUP(A1683,Internal_lists_bugs!$A$2:$C$73,3,FALSE())&amp;Char(10) &amp; Char(10) &amp; VLOOKUP(A1683,Internal_lists_bugs!$A$2:$Z$73,26,FALSE())),"please select a BUG ID")</f>
        <v>https://github.com/elastic/elasticsearch/issues/16246
/core/IngestDocument.java</v>
      </c>
      <c r="C1683" s="81" t="str">
        <f>IFERROR(VLOOKUP(A1683,Internal_lists_bugs!$A$2:$I7981,9,FALSE()),"please select a BUG ID")</f>
        <v>https://github.com/elastic/elasticsearch/pull/15283, https://github.com/elastic/elasticsearch/pull/15564, https://github.com/elastic/elasticsearch/pull/16049</v>
      </c>
      <c r="D1683" s="112"/>
      <c r="E1683" s="114"/>
      <c r="F1683" s="115"/>
      <c r="G1683" s="79" t="s">
        <v>3420</v>
      </c>
      <c r="H1683" s="116" t="s">
        <v>3421</v>
      </c>
      <c r="I1683" s="54"/>
      <c r="K1683" s="54"/>
      <c r="M1683" s="114" t="str">
        <f>VLOOKUP(A1683,'BIC_(C_Variables)'!$A$3:$AS$43,45,FALSE())</f>
        <v>#N/A</v>
      </c>
      <c r="N1683" s="1"/>
      <c r="O1683" s="9">
        <v>15283.0</v>
      </c>
      <c r="P1683" s="81" t="str">
        <f>IFERROR(VLOOKUP(A1683,Internal_lists_bugs!$A$2:$G7981,7,FALSE()),"please select a BUG ID")</f>
        <v>https://github.com/elastic/elasticsearch/commit/57d6971</v>
      </c>
    </row>
    <row r="1684">
      <c r="A1684" s="16" t="s">
        <v>70</v>
      </c>
      <c r="B1684" s="50" t="str">
        <f>IFERROR(HYPERLINK(VLOOKUP(A1684,Internal_lists_bugs!$A$2:$C$73,3,FALSE()), VLOOKUP(A1684,Internal_lists_bugs!$A$2:$C$73,3,FALSE())&amp;Char(10) &amp; Char(10) &amp; VLOOKUP(A1684,Internal_lists_bugs!$A$2:$Z$73,26,FALSE())),"please select a BUG ID")</f>
        <v>https://github.com/elastic/elasticsearch/issues/16246
/core/IngestDocument.java</v>
      </c>
      <c r="C1684" s="81" t="str">
        <f>IFERROR(VLOOKUP(A1684,Internal_lists_bugs!$A$2:$I7981,9,FALSE()),"please select a BUG ID")</f>
        <v>https://github.com/elastic/elasticsearch/pull/15283, https://github.com/elastic/elasticsearch/pull/15564, https://github.com/elastic/elasticsearch/pull/16049</v>
      </c>
      <c r="D1684" s="112"/>
      <c r="E1684" s="114"/>
      <c r="F1684" s="115"/>
      <c r="G1684" s="79" t="s">
        <v>1465</v>
      </c>
      <c r="H1684" s="116" t="s">
        <v>3422</v>
      </c>
      <c r="I1684" s="54"/>
      <c r="K1684" s="54"/>
      <c r="M1684" s="114" t="str">
        <f>VLOOKUP(A1684,'BIC_(C_Variables)'!$A$3:$AS$43,45,FALSE())</f>
        <v>#N/A</v>
      </c>
      <c r="N1684" s="1"/>
      <c r="O1684" s="9">
        <v>15283.0</v>
      </c>
      <c r="P1684" s="81" t="str">
        <f>IFERROR(VLOOKUP(A1684,Internal_lists_bugs!$A$2:$G7981,7,FALSE()),"please select a BUG ID")</f>
        <v>https://github.com/elastic/elasticsearch/commit/57d6971</v>
      </c>
    </row>
    <row r="1685">
      <c r="A1685" s="16" t="s">
        <v>70</v>
      </c>
      <c r="B1685" s="50" t="str">
        <f>IFERROR(HYPERLINK(VLOOKUP(A1685,Internal_lists_bugs!$A$2:$C$73,3,FALSE()), VLOOKUP(A1685,Internal_lists_bugs!$A$2:$C$73,3,FALSE())&amp;Char(10) &amp; Char(10) &amp; VLOOKUP(A1685,Internal_lists_bugs!$A$2:$Z$73,26,FALSE())),"please select a BUG ID")</f>
        <v>https://github.com/elastic/elasticsearch/issues/16246
/core/IngestDocument.java</v>
      </c>
      <c r="C1685" s="81" t="str">
        <f>IFERROR(VLOOKUP(A1685,Internal_lists_bugs!$A$2:$I7981,9,FALSE()),"please select a BUG ID")</f>
        <v>https://github.com/elastic/elasticsearch/pull/15283, https://github.com/elastic/elasticsearch/pull/15564, https://github.com/elastic/elasticsearch/pull/16049</v>
      </c>
      <c r="D1685" s="112"/>
      <c r="E1685" s="114"/>
      <c r="F1685" s="115"/>
      <c r="G1685" s="79" t="s">
        <v>3423</v>
      </c>
      <c r="H1685" s="116" t="s">
        <v>3424</v>
      </c>
      <c r="I1685" s="54"/>
      <c r="K1685" s="54"/>
      <c r="M1685" s="114" t="str">
        <f>VLOOKUP(A1685,'BIC_(C_Variables)'!$A$3:$AS$43,45,FALSE())</f>
        <v>#N/A</v>
      </c>
      <c r="N1685" s="1"/>
      <c r="O1685" s="9">
        <v>15283.0</v>
      </c>
      <c r="P1685" s="81" t="str">
        <f>IFERROR(VLOOKUP(A1685,Internal_lists_bugs!$A$2:$G7981,7,FALSE()),"please select a BUG ID")</f>
        <v>https://github.com/elastic/elasticsearch/commit/57d6971</v>
      </c>
    </row>
    <row r="1686">
      <c r="A1686" s="16" t="s">
        <v>70</v>
      </c>
      <c r="B1686" s="50" t="str">
        <f>IFERROR(HYPERLINK(VLOOKUP(A1686,Internal_lists_bugs!$A$2:$C$73,3,FALSE()), VLOOKUP(A1686,Internal_lists_bugs!$A$2:$C$73,3,FALSE())&amp;Char(10) &amp; Char(10) &amp; VLOOKUP(A1686,Internal_lists_bugs!$A$2:$Z$73,26,FALSE())),"please select a BUG ID")</f>
        <v>https://github.com/elastic/elasticsearch/issues/16246
/core/IngestDocument.java</v>
      </c>
      <c r="C1686" s="81" t="str">
        <f>IFERROR(VLOOKUP(A1686,Internal_lists_bugs!$A$2:$I7981,9,FALSE()),"please select a BUG ID")</f>
        <v>https://github.com/elastic/elasticsearch/pull/15283, https://github.com/elastic/elasticsearch/pull/15564, https://github.com/elastic/elasticsearch/pull/16049</v>
      </c>
      <c r="D1686" s="112"/>
      <c r="E1686" s="114"/>
      <c r="F1686" s="115"/>
      <c r="G1686" s="79" t="s">
        <v>1460</v>
      </c>
      <c r="H1686" s="116" t="s">
        <v>3425</v>
      </c>
      <c r="I1686" s="54"/>
      <c r="K1686" s="54"/>
      <c r="M1686" s="114" t="str">
        <f>VLOOKUP(A1686,'BIC_(C_Variables)'!$A$3:$AS$43,45,FALSE())</f>
        <v>#N/A</v>
      </c>
      <c r="N1686" s="1"/>
      <c r="O1686" s="9">
        <v>15283.0</v>
      </c>
      <c r="P1686" s="81" t="str">
        <f>IFERROR(VLOOKUP(A1686,Internal_lists_bugs!$A$2:$G7981,7,FALSE()),"please select a BUG ID")</f>
        <v>https://github.com/elastic/elasticsearch/commit/57d6971</v>
      </c>
    </row>
    <row r="1687">
      <c r="A1687" s="16" t="s">
        <v>70</v>
      </c>
      <c r="B1687" s="50" t="str">
        <f>IFERROR(HYPERLINK(VLOOKUP(A1687,Internal_lists_bugs!$A$2:$C$73,3,FALSE()), VLOOKUP(A1687,Internal_lists_bugs!$A$2:$C$73,3,FALSE())&amp;Char(10) &amp; Char(10) &amp; VLOOKUP(A1687,Internal_lists_bugs!$A$2:$Z$73,26,FALSE())),"please select a BUG ID")</f>
        <v>https://github.com/elastic/elasticsearch/issues/16246
/core/IngestDocument.java</v>
      </c>
      <c r="C1687" s="81" t="str">
        <f>IFERROR(VLOOKUP(A1687,Internal_lists_bugs!$A$2:$I7981,9,FALSE()),"please select a BUG ID")</f>
        <v>https://github.com/elastic/elasticsearch/pull/15283, https://github.com/elastic/elasticsearch/pull/15564, https://github.com/elastic/elasticsearch/pull/16049</v>
      </c>
      <c r="D1687" s="112"/>
      <c r="E1687" s="114"/>
      <c r="F1687" s="115"/>
      <c r="G1687" s="79" t="s">
        <v>3426</v>
      </c>
      <c r="H1687" s="116" t="s">
        <v>3427</v>
      </c>
      <c r="I1687" s="54"/>
      <c r="K1687" s="54"/>
      <c r="M1687" s="114" t="str">
        <f>VLOOKUP(A1687,'BIC_(C_Variables)'!$A$3:$AS$43,45,FALSE())</f>
        <v>#N/A</v>
      </c>
      <c r="N1687" s="1"/>
      <c r="O1687" s="9">
        <v>15283.0</v>
      </c>
      <c r="P1687" s="81" t="str">
        <f>IFERROR(VLOOKUP(A1687,Internal_lists_bugs!$A$2:$G7981,7,FALSE()),"please select a BUG ID")</f>
        <v>https://github.com/elastic/elasticsearch/commit/57d6971</v>
      </c>
    </row>
    <row r="1688">
      <c r="A1688" s="16" t="s">
        <v>70</v>
      </c>
      <c r="B1688" s="50" t="str">
        <f>IFERROR(HYPERLINK(VLOOKUP(A1688,Internal_lists_bugs!$A$2:$C$73,3,FALSE()), VLOOKUP(A1688,Internal_lists_bugs!$A$2:$C$73,3,FALSE())&amp;Char(10) &amp; Char(10) &amp; VLOOKUP(A1688,Internal_lists_bugs!$A$2:$Z$73,26,FALSE())),"please select a BUG ID")</f>
        <v>https://github.com/elastic/elasticsearch/issues/16246
/core/IngestDocument.java</v>
      </c>
      <c r="C1688" s="81" t="str">
        <f>IFERROR(VLOOKUP(A1688,Internal_lists_bugs!$A$2:$I7981,9,FALSE()),"please select a BUG ID")</f>
        <v>https://github.com/elastic/elasticsearch/pull/15283, https://github.com/elastic/elasticsearch/pull/15564, https://github.com/elastic/elasticsearch/pull/16049</v>
      </c>
      <c r="D1688" s="112"/>
      <c r="E1688" s="114"/>
      <c r="F1688" s="115"/>
      <c r="G1688" s="79" t="s">
        <v>3428</v>
      </c>
      <c r="H1688" s="116" t="s">
        <v>3429</v>
      </c>
      <c r="I1688" s="54"/>
      <c r="K1688" s="54"/>
      <c r="M1688" s="114" t="str">
        <f>VLOOKUP(A1688,'BIC_(C_Variables)'!$A$3:$AS$43,45,FALSE())</f>
        <v>#N/A</v>
      </c>
      <c r="N1688" s="1"/>
      <c r="O1688" s="9">
        <v>15283.0</v>
      </c>
      <c r="P1688" s="81" t="str">
        <f>IFERROR(VLOOKUP(A1688,Internal_lists_bugs!$A$2:$G7981,7,FALSE()),"please select a BUG ID")</f>
        <v>https://github.com/elastic/elasticsearch/commit/57d6971</v>
      </c>
    </row>
    <row r="1689">
      <c r="A1689" s="16" t="s">
        <v>70</v>
      </c>
      <c r="B1689" s="50" t="str">
        <f>IFERROR(HYPERLINK(VLOOKUP(A1689,Internal_lists_bugs!$A$2:$C$73,3,FALSE()), VLOOKUP(A1689,Internal_lists_bugs!$A$2:$C$73,3,FALSE())&amp;Char(10) &amp; Char(10) &amp; VLOOKUP(A1689,Internal_lists_bugs!$A$2:$Z$73,26,FALSE())),"please select a BUG ID")</f>
        <v>https://github.com/elastic/elasticsearch/issues/16246
/core/IngestDocument.java</v>
      </c>
      <c r="C1689" s="81" t="str">
        <f>IFERROR(VLOOKUP(A1689,Internal_lists_bugs!$A$2:$I7981,9,FALSE()),"please select a BUG ID")</f>
        <v>https://github.com/elastic/elasticsearch/pull/15283, https://github.com/elastic/elasticsearch/pull/15564, https://github.com/elastic/elasticsearch/pull/16049</v>
      </c>
      <c r="D1689" s="114"/>
      <c r="E1689" s="114"/>
      <c r="F1689" s="115"/>
      <c r="G1689" s="79" t="s">
        <v>3430</v>
      </c>
      <c r="H1689" s="116" t="s">
        <v>3431</v>
      </c>
      <c r="I1689" s="54"/>
      <c r="K1689" s="54"/>
      <c r="M1689" s="114" t="str">
        <f>VLOOKUP(A1689,'BIC_(C_Variables)'!$A$3:$AS$43,45,FALSE())</f>
        <v>#N/A</v>
      </c>
      <c r="N1689" s="1"/>
      <c r="O1689" s="9">
        <v>15283.0</v>
      </c>
      <c r="P1689" s="81" t="str">
        <f>IFERROR(VLOOKUP(A1689,Internal_lists_bugs!$A$2:$G7981,7,FALSE()),"please select a BUG ID")</f>
        <v>https://github.com/elastic/elasticsearch/commit/57d6971</v>
      </c>
    </row>
    <row r="1690">
      <c r="A1690" s="16" t="s">
        <v>70</v>
      </c>
      <c r="B1690" s="50" t="str">
        <f>IFERROR(HYPERLINK(VLOOKUP(A1690,Internal_lists_bugs!$A$2:$C$73,3,FALSE()), VLOOKUP(A1690,Internal_lists_bugs!$A$2:$C$73,3,FALSE())&amp;Char(10) &amp; Char(10) &amp; VLOOKUP(A1690,Internal_lists_bugs!$A$2:$Z$73,26,FALSE())),"please select a BUG ID")</f>
        <v>https://github.com/elastic/elasticsearch/issues/16246
/core/IngestDocument.java</v>
      </c>
      <c r="C1690" s="81" t="str">
        <f>IFERROR(VLOOKUP(A1690,Internal_lists_bugs!$A$2:$I7981,9,FALSE()),"please select a BUG ID")</f>
        <v>https://github.com/elastic/elasticsearch/pull/15283, https://github.com/elastic/elasticsearch/pull/15564, https://github.com/elastic/elasticsearch/pull/16049</v>
      </c>
      <c r="D1690" s="114"/>
      <c r="E1690" s="114"/>
      <c r="F1690" s="115"/>
      <c r="G1690" s="79" t="s">
        <v>3432</v>
      </c>
      <c r="H1690" s="116" t="s">
        <v>3433</v>
      </c>
      <c r="I1690" s="54"/>
      <c r="K1690" s="54"/>
      <c r="M1690" s="114" t="str">
        <f>VLOOKUP(A1690,'BIC_(C_Variables)'!$A$3:$AS$43,45,FALSE())</f>
        <v>#N/A</v>
      </c>
      <c r="N1690" s="1"/>
      <c r="O1690" s="9">
        <v>15283.0</v>
      </c>
      <c r="P1690" s="81" t="str">
        <f>IFERROR(VLOOKUP(A1690,Internal_lists_bugs!$A$2:$G7981,7,FALSE()),"please select a BUG ID")</f>
        <v>https://github.com/elastic/elasticsearch/commit/57d6971</v>
      </c>
    </row>
    <row r="1691">
      <c r="A1691" s="16" t="s">
        <v>70</v>
      </c>
      <c r="B1691" s="50" t="str">
        <f>IFERROR(HYPERLINK(VLOOKUP(A1691,Internal_lists_bugs!$A$2:$C$73,3,FALSE()), VLOOKUP(A1691,Internal_lists_bugs!$A$2:$C$73,3,FALSE())&amp;Char(10) &amp; Char(10) &amp; VLOOKUP(A1691,Internal_lists_bugs!$A$2:$Z$73,26,FALSE())),"please select a BUG ID")</f>
        <v>https://github.com/elastic/elasticsearch/issues/16246
/core/IngestDocument.java</v>
      </c>
      <c r="C1691" s="81" t="str">
        <f>IFERROR(VLOOKUP(A1691,Internal_lists_bugs!$A$2:$I7981,9,FALSE()),"please select a BUG ID")</f>
        <v>https://github.com/elastic/elasticsearch/pull/15283, https://github.com/elastic/elasticsearch/pull/15564, https://github.com/elastic/elasticsearch/pull/16049</v>
      </c>
      <c r="D1691" s="114"/>
      <c r="E1691" s="114"/>
      <c r="F1691" s="115"/>
      <c r="G1691" s="79" t="s">
        <v>3434</v>
      </c>
      <c r="H1691" s="116" t="s">
        <v>3435</v>
      </c>
      <c r="I1691" s="54"/>
      <c r="K1691" s="54"/>
      <c r="M1691" s="114" t="str">
        <f>VLOOKUP(A1691,'BIC_(C_Variables)'!$A$3:$AS$43,45,FALSE())</f>
        <v>#N/A</v>
      </c>
      <c r="N1691" s="1"/>
      <c r="O1691" s="9">
        <v>15283.0</v>
      </c>
      <c r="P1691" s="81" t="str">
        <f>IFERROR(VLOOKUP(A1691,Internal_lists_bugs!$A$2:$G7981,7,FALSE()),"please select a BUG ID")</f>
        <v>https://github.com/elastic/elasticsearch/commit/57d6971</v>
      </c>
    </row>
    <row r="1692">
      <c r="A1692" s="16" t="s">
        <v>70</v>
      </c>
      <c r="B1692" s="50" t="str">
        <f>IFERROR(HYPERLINK(VLOOKUP(A1692,Internal_lists_bugs!$A$2:$C$73,3,FALSE()), VLOOKUP(A1692,Internal_lists_bugs!$A$2:$C$73,3,FALSE())&amp;Char(10) &amp; Char(10) &amp; VLOOKUP(A1692,Internal_lists_bugs!$A$2:$Z$73,26,FALSE())),"please select a BUG ID")</f>
        <v>https://github.com/elastic/elasticsearch/issues/16246
/core/IngestDocument.java</v>
      </c>
      <c r="C1692" s="81" t="str">
        <f>IFERROR(VLOOKUP(A1692,Internal_lists_bugs!$A$2:$I7981,9,FALSE()),"please select a BUG ID")</f>
        <v>https://github.com/elastic/elasticsearch/pull/15283, https://github.com/elastic/elasticsearch/pull/15564, https://github.com/elastic/elasticsearch/pull/16049</v>
      </c>
      <c r="D1692" s="114"/>
      <c r="E1692" s="114"/>
      <c r="F1692" s="115"/>
      <c r="G1692" s="79" t="s">
        <v>3173</v>
      </c>
      <c r="H1692" s="116" t="s">
        <v>3435</v>
      </c>
      <c r="I1692" s="54"/>
      <c r="K1692" s="54"/>
      <c r="M1692" s="114" t="str">
        <f>VLOOKUP(A1692,'BIC_(C_Variables)'!$A$3:$AS$43,45,FALSE())</f>
        <v>#N/A</v>
      </c>
      <c r="N1692" s="1"/>
      <c r="O1692" s="9">
        <v>15283.0</v>
      </c>
      <c r="P1692" s="81" t="str">
        <f>IFERROR(VLOOKUP(A1692,Internal_lists_bugs!$A$2:$G7981,7,FALSE()),"please select a BUG ID")</f>
        <v>https://github.com/elastic/elasticsearch/commit/57d6971</v>
      </c>
    </row>
    <row r="1693">
      <c r="A1693" s="16" t="s">
        <v>70</v>
      </c>
      <c r="B1693" s="50" t="str">
        <f>IFERROR(HYPERLINK(VLOOKUP(A1693,Internal_lists_bugs!$A$2:$C$73,3,FALSE()), VLOOKUP(A1693,Internal_lists_bugs!$A$2:$C$73,3,FALSE())&amp;Char(10) &amp; Char(10) &amp; VLOOKUP(A1693,Internal_lists_bugs!$A$2:$Z$73,26,FALSE())),"please select a BUG ID")</f>
        <v>https://github.com/elastic/elasticsearch/issues/16246
/core/IngestDocument.java</v>
      </c>
      <c r="C1693" s="81" t="str">
        <f>IFERROR(VLOOKUP(A1693,Internal_lists_bugs!$A$2:$I7981,9,FALSE()),"please select a BUG ID")</f>
        <v>https://github.com/elastic/elasticsearch/pull/15283, https://github.com/elastic/elasticsearch/pull/15564, https://github.com/elastic/elasticsearch/pull/16049</v>
      </c>
      <c r="D1693" s="114"/>
      <c r="E1693" s="114"/>
      <c r="F1693" s="115"/>
      <c r="G1693" s="79" t="s">
        <v>3423</v>
      </c>
      <c r="H1693" s="116" t="s">
        <v>3436</v>
      </c>
      <c r="I1693" s="54"/>
      <c r="K1693" s="54"/>
      <c r="M1693" s="114" t="str">
        <f>VLOOKUP(A1693,'BIC_(C_Variables)'!$A$3:$AS$43,45,FALSE())</f>
        <v>#N/A</v>
      </c>
      <c r="N1693" s="1"/>
      <c r="O1693" s="9">
        <v>15283.0</v>
      </c>
      <c r="P1693" s="81" t="str">
        <f>IFERROR(VLOOKUP(A1693,Internal_lists_bugs!$A$2:$G7981,7,FALSE()),"please select a BUG ID")</f>
        <v>https://github.com/elastic/elasticsearch/commit/57d6971</v>
      </c>
    </row>
    <row r="1694">
      <c r="A1694" s="16" t="s">
        <v>70</v>
      </c>
      <c r="B1694" s="50" t="str">
        <f>IFERROR(HYPERLINK(VLOOKUP(A1694,Internal_lists_bugs!$A$2:$C$73,3,FALSE()), VLOOKUP(A1694,Internal_lists_bugs!$A$2:$C$73,3,FALSE())&amp;Char(10) &amp; Char(10) &amp; VLOOKUP(A1694,Internal_lists_bugs!$A$2:$Z$73,26,FALSE())),"please select a BUG ID")</f>
        <v>https://github.com/elastic/elasticsearch/issues/16246
/core/IngestDocument.java</v>
      </c>
      <c r="C1694" s="81" t="str">
        <f>IFERROR(VLOOKUP(A1694,Internal_lists_bugs!$A$2:$I7981,9,FALSE()),"please select a BUG ID")</f>
        <v>https://github.com/elastic/elasticsearch/pull/15283, https://github.com/elastic/elasticsearch/pull/15564, https://github.com/elastic/elasticsearch/pull/16049</v>
      </c>
      <c r="D1694" s="114"/>
      <c r="E1694" s="114"/>
      <c r="F1694" s="115"/>
      <c r="G1694" s="79" t="s">
        <v>3437</v>
      </c>
      <c r="H1694" s="116" t="s">
        <v>3438</v>
      </c>
      <c r="I1694" s="54"/>
      <c r="K1694" s="54"/>
      <c r="M1694" s="114" t="str">
        <f>VLOOKUP(A1694,'BIC_(C_Variables)'!$A$3:$AS$43,45,FALSE())</f>
        <v>#N/A</v>
      </c>
      <c r="N1694" s="1"/>
      <c r="O1694" s="9">
        <v>15283.0</v>
      </c>
      <c r="P1694" s="81" t="str">
        <f>IFERROR(VLOOKUP(A1694,Internal_lists_bugs!$A$2:$G7981,7,FALSE()),"please select a BUG ID")</f>
        <v>https://github.com/elastic/elasticsearch/commit/57d6971</v>
      </c>
    </row>
    <row r="1695">
      <c r="A1695" s="16" t="s">
        <v>70</v>
      </c>
      <c r="B1695" s="50" t="str">
        <f>IFERROR(HYPERLINK(VLOOKUP(A1695,Internal_lists_bugs!$A$2:$C$73,3,FALSE()), VLOOKUP(A1695,Internal_lists_bugs!$A$2:$C$73,3,FALSE())&amp;Char(10) &amp; Char(10) &amp; VLOOKUP(A1695,Internal_lists_bugs!$A$2:$Z$73,26,FALSE())),"please select a BUG ID")</f>
        <v>https://github.com/elastic/elasticsearch/issues/16246
/core/IngestDocument.java</v>
      </c>
      <c r="C1695" s="81" t="str">
        <f>IFERROR(VLOOKUP(A1695,Internal_lists_bugs!$A$2:$I7981,9,FALSE()),"please select a BUG ID")</f>
        <v>https://github.com/elastic/elasticsearch/pull/15283, https://github.com/elastic/elasticsearch/pull/15564, https://github.com/elastic/elasticsearch/pull/16049</v>
      </c>
      <c r="D1695" s="114"/>
      <c r="E1695" s="114"/>
      <c r="F1695" s="115"/>
      <c r="G1695" s="79" t="s">
        <v>3439</v>
      </c>
      <c r="H1695" s="116" t="s">
        <v>3440</v>
      </c>
      <c r="I1695" s="54"/>
      <c r="K1695" s="54"/>
      <c r="M1695" s="114" t="str">
        <f>VLOOKUP(A1695,'BIC_(C_Variables)'!$A$3:$AS$43,45,FALSE())</f>
        <v>#N/A</v>
      </c>
      <c r="N1695" s="1"/>
      <c r="O1695" s="9">
        <v>15283.0</v>
      </c>
      <c r="P1695" s="81" t="str">
        <f>IFERROR(VLOOKUP(A1695,Internal_lists_bugs!$A$2:$G7981,7,FALSE()),"please select a BUG ID")</f>
        <v>https://github.com/elastic/elasticsearch/commit/57d6971</v>
      </c>
    </row>
    <row r="1696">
      <c r="A1696" s="16" t="s">
        <v>70</v>
      </c>
      <c r="B1696" s="50" t="str">
        <f>IFERROR(HYPERLINK(VLOOKUP(A1696,Internal_lists_bugs!$A$2:$C$73,3,FALSE()), VLOOKUP(A1696,Internal_lists_bugs!$A$2:$C$73,3,FALSE())&amp;Char(10) &amp; Char(10) &amp; VLOOKUP(A1696,Internal_lists_bugs!$A$2:$Z$73,26,FALSE())),"please select a BUG ID")</f>
        <v>https://github.com/elastic/elasticsearch/issues/16246
/core/IngestDocument.java</v>
      </c>
      <c r="C1696" s="81" t="str">
        <f>IFERROR(VLOOKUP(A1696,Internal_lists_bugs!$A$2:$I7981,9,FALSE()),"please select a BUG ID")</f>
        <v>https://github.com/elastic/elasticsearch/pull/15283, https://github.com/elastic/elasticsearch/pull/15564, https://github.com/elastic/elasticsearch/pull/16049</v>
      </c>
      <c r="D1696" s="114"/>
      <c r="E1696" s="114"/>
      <c r="F1696" s="115"/>
      <c r="G1696" s="79" t="s">
        <v>3441</v>
      </c>
      <c r="H1696" s="116" t="s">
        <v>3442</v>
      </c>
      <c r="I1696" s="54"/>
      <c r="K1696" s="54"/>
      <c r="M1696" s="114" t="str">
        <f>VLOOKUP(A1696,'BIC_(C_Variables)'!$A$3:$AS$43,45,FALSE())</f>
        <v>#N/A</v>
      </c>
      <c r="N1696" s="1"/>
      <c r="O1696" s="9">
        <v>15283.0</v>
      </c>
      <c r="P1696" s="81" t="str">
        <f>IFERROR(VLOOKUP(A1696,Internal_lists_bugs!$A$2:$G7981,7,FALSE()),"please select a BUG ID")</f>
        <v>https://github.com/elastic/elasticsearch/commit/57d6971</v>
      </c>
    </row>
    <row r="1697">
      <c r="A1697" s="16" t="s">
        <v>70</v>
      </c>
      <c r="B1697" s="50" t="str">
        <f>IFERROR(HYPERLINK(VLOOKUP(A1697,Internal_lists_bugs!$A$2:$C$73,3,FALSE()), VLOOKUP(A1697,Internal_lists_bugs!$A$2:$C$73,3,FALSE())&amp;Char(10) &amp; Char(10) &amp; VLOOKUP(A1697,Internal_lists_bugs!$A$2:$Z$73,26,FALSE())),"please select a BUG ID")</f>
        <v>https://github.com/elastic/elasticsearch/issues/16246
/core/IngestDocument.java</v>
      </c>
      <c r="C1697" s="81" t="str">
        <f>IFERROR(VLOOKUP(A1697,Internal_lists_bugs!$A$2:$I7981,9,FALSE()),"please select a BUG ID")</f>
        <v>https://github.com/elastic/elasticsearch/pull/15283, https://github.com/elastic/elasticsearch/pull/15564, https://github.com/elastic/elasticsearch/pull/16049</v>
      </c>
      <c r="D1697" s="114"/>
      <c r="E1697" s="114"/>
      <c r="F1697" s="115"/>
      <c r="G1697" s="79" t="s">
        <v>3443</v>
      </c>
      <c r="H1697" s="116" t="s">
        <v>3444</v>
      </c>
      <c r="I1697" s="54"/>
      <c r="K1697" s="54"/>
      <c r="M1697" s="114" t="str">
        <f>VLOOKUP(A1697,'BIC_(C_Variables)'!$A$3:$AS$43,45,FALSE())</f>
        <v>#N/A</v>
      </c>
      <c r="N1697" s="1"/>
      <c r="O1697" s="9">
        <v>15283.0</v>
      </c>
      <c r="P1697" s="81" t="str">
        <f>IFERROR(VLOOKUP(A1697,Internal_lists_bugs!$A$2:$G7981,7,FALSE()),"please select a BUG ID")</f>
        <v>https://github.com/elastic/elasticsearch/commit/57d6971</v>
      </c>
    </row>
    <row r="1698">
      <c r="A1698" s="16" t="s">
        <v>70</v>
      </c>
      <c r="B1698" s="50" t="str">
        <f>IFERROR(HYPERLINK(VLOOKUP(A1698,Internal_lists_bugs!$A$2:$C$73,3,FALSE()), VLOOKUP(A1698,Internal_lists_bugs!$A$2:$C$73,3,FALSE())&amp;Char(10) &amp; Char(10) &amp; VLOOKUP(A1698,Internal_lists_bugs!$A$2:$Z$73,26,FALSE())),"please select a BUG ID")</f>
        <v>https://github.com/elastic/elasticsearch/issues/16246
/core/IngestDocument.java</v>
      </c>
      <c r="C1698" s="81" t="str">
        <f>IFERROR(VLOOKUP(A1698,Internal_lists_bugs!$A$2:$I7981,9,FALSE()),"please select a BUG ID")</f>
        <v>https://github.com/elastic/elasticsearch/pull/15283, https://github.com/elastic/elasticsearch/pull/15564, https://github.com/elastic/elasticsearch/pull/16049</v>
      </c>
      <c r="D1698" s="112" t="s">
        <v>3413</v>
      </c>
      <c r="E1698" s="114"/>
      <c r="F1698" s="113" t="s">
        <v>123</v>
      </c>
      <c r="G1698" s="79" t="s">
        <v>1417</v>
      </c>
      <c r="H1698" s="116" t="s">
        <v>324</v>
      </c>
      <c r="I1698" s="16" t="s">
        <v>123</v>
      </c>
      <c r="K1698" s="16" t="s">
        <v>123</v>
      </c>
      <c r="M1698" s="114" t="str">
        <f>VLOOKUP(A1698,'BIC_(C_Variables)'!$A$3:$AS$43,45,FALSE())</f>
        <v>#N/A</v>
      </c>
      <c r="N1698" s="9" t="s">
        <v>3445</v>
      </c>
      <c r="O1698" s="9">
        <v>15564.0</v>
      </c>
      <c r="P1698" s="81" t="str">
        <f>IFERROR(VLOOKUP(A1698,Internal_lists_bugs!$A$2:$G7981,7,FALSE()),"please select a BUG ID")</f>
        <v>https://github.com/elastic/elasticsearch/commit/57d6971</v>
      </c>
    </row>
    <row r="1699">
      <c r="A1699" s="16" t="s">
        <v>70</v>
      </c>
      <c r="B1699" s="50" t="str">
        <f>IFERROR(HYPERLINK(VLOOKUP(A1699,Internal_lists_bugs!$A$2:$C$73,3,FALSE()), VLOOKUP(A1699,Internal_lists_bugs!$A$2:$C$73,3,FALSE())&amp;Char(10) &amp; Char(10) &amp; VLOOKUP(A1699,Internal_lists_bugs!$A$2:$Z$73,26,FALSE())),"please select a BUG ID")</f>
        <v>https://github.com/elastic/elasticsearch/issues/16246
/core/IngestDocument.java</v>
      </c>
      <c r="C1699" s="81" t="str">
        <f>IFERROR(VLOOKUP(A1699,Internal_lists_bugs!$A$2:$I7981,9,FALSE()),"please select a BUG ID")</f>
        <v>https://github.com/elastic/elasticsearch/pull/15283, https://github.com/elastic/elasticsearch/pull/15564, https://github.com/elastic/elasticsearch/pull/16049</v>
      </c>
      <c r="D1699" s="112" t="s">
        <v>3413</v>
      </c>
      <c r="E1699" s="114"/>
      <c r="F1699" s="113" t="s">
        <v>123</v>
      </c>
      <c r="G1699" s="79" t="s">
        <v>3446</v>
      </c>
      <c r="H1699" s="116" t="s">
        <v>3447</v>
      </c>
      <c r="I1699" s="16" t="s">
        <v>123</v>
      </c>
      <c r="K1699" s="16" t="s">
        <v>123</v>
      </c>
      <c r="M1699" s="114" t="str">
        <f>VLOOKUP(A1699,'BIC_(C_Variables)'!$A$3:$AS$43,45,FALSE())</f>
        <v>#N/A</v>
      </c>
      <c r="N1699" s="9" t="s">
        <v>3445</v>
      </c>
      <c r="O1699" s="9">
        <v>16049.0</v>
      </c>
      <c r="P1699" s="81" t="str">
        <f>IFERROR(VLOOKUP(A1699,Internal_lists_bugs!$A$2:$G7981,7,FALSE()),"please select a BUG ID")</f>
        <v>https://github.com/elastic/elasticsearch/commit/57d6971</v>
      </c>
    </row>
    <row r="1700">
      <c r="A1700" s="16" t="s">
        <v>70</v>
      </c>
      <c r="B1700" s="50" t="str">
        <f>IFERROR(HYPERLINK(VLOOKUP(A1700,Internal_lists_bugs!$A$2:$C$73,3,FALSE()), VLOOKUP(A1700,Internal_lists_bugs!$A$2:$C$73,3,FALSE())&amp;Char(10) &amp; Char(10) &amp; VLOOKUP(A1700,Internal_lists_bugs!$A$2:$Z$73,26,FALSE())),"please select a BUG ID")</f>
        <v>https://github.com/elastic/elasticsearch/issues/16246
/core/IngestDocument.java</v>
      </c>
      <c r="C1700" s="81" t="str">
        <f>IFERROR(VLOOKUP(A1700,Internal_lists_bugs!$A$2:$I7981,9,FALSE()),"please select a BUG ID")</f>
        <v>https://github.com/elastic/elasticsearch/pull/15283, https://github.com/elastic/elasticsearch/pull/15564, https://github.com/elastic/elasticsearch/pull/16049</v>
      </c>
      <c r="D1700" s="114"/>
      <c r="E1700" s="114"/>
      <c r="F1700" s="115"/>
      <c r="G1700" s="79" t="s">
        <v>1417</v>
      </c>
      <c r="H1700" s="116" t="s">
        <v>324</v>
      </c>
      <c r="I1700" s="54"/>
      <c r="K1700" s="54"/>
      <c r="M1700" s="114" t="str">
        <f>VLOOKUP(A1700,'BIC_(C_Variables)'!$A$3:$AS$43,45,FALSE())</f>
        <v>#N/A</v>
      </c>
      <c r="N1700" s="9"/>
      <c r="O1700" s="9">
        <v>16049.0</v>
      </c>
      <c r="P1700" s="81" t="str">
        <f>IFERROR(VLOOKUP(A1700,Internal_lists_bugs!$A$2:$G7981,7,FALSE()),"please select a BUG ID")</f>
        <v>https://github.com/elastic/elasticsearch/commit/57d6971</v>
      </c>
    </row>
    <row r="1701">
      <c r="A1701" s="16" t="s">
        <v>70</v>
      </c>
      <c r="B1701" s="50" t="str">
        <f>IFERROR(HYPERLINK(VLOOKUP(A1701,Internal_lists_bugs!$A$2:$C$73,3,FALSE()), VLOOKUP(A1701,Internal_lists_bugs!$A$2:$C$73,3,FALSE())&amp;Char(10) &amp; Char(10) &amp; VLOOKUP(A1701,Internal_lists_bugs!$A$2:$Z$73,26,FALSE())),"please select a BUG ID")</f>
        <v>https://github.com/elastic/elasticsearch/issues/16246
/core/IngestDocument.java</v>
      </c>
      <c r="C1701" s="81" t="str">
        <f>IFERROR(VLOOKUP(A1701,Internal_lists_bugs!$A$2:$I7981,9,FALSE()),"please select a BUG ID")</f>
        <v>https://github.com/elastic/elasticsearch/pull/15283, https://github.com/elastic/elasticsearch/pull/15564, https://github.com/elastic/elasticsearch/pull/16049</v>
      </c>
      <c r="D1701" s="114"/>
      <c r="E1701" s="114"/>
      <c r="F1701" s="115"/>
      <c r="G1701" s="79" t="s">
        <v>3448</v>
      </c>
      <c r="H1701" s="116" t="s">
        <v>324</v>
      </c>
      <c r="I1701" s="54"/>
      <c r="K1701" s="54"/>
      <c r="M1701" s="114" t="str">
        <f>VLOOKUP(A1701,'BIC_(C_Variables)'!$A$3:$AS$43,45,FALSE())</f>
        <v>#N/A</v>
      </c>
      <c r="N1701" s="9"/>
      <c r="O1701" s="9">
        <v>16049.0</v>
      </c>
      <c r="P1701" s="81" t="str">
        <f>IFERROR(VLOOKUP(A1701,Internal_lists_bugs!$A$2:$G7981,7,FALSE()),"please select a BUG ID")</f>
        <v>https://github.com/elastic/elasticsearch/commit/57d6971</v>
      </c>
    </row>
    <row r="1702">
      <c r="A1702" s="16" t="s">
        <v>75</v>
      </c>
      <c r="B1702" s="50" t="str">
        <f>IFERROR(HYPERLINK(VLOOKUP(A1702,Internal_lists_bugs!$A$2:$C$73,3,FALSE()), VLOOKUP(A1702,Internal_lists_bugs!$A$2:$C$73,3,FALSE())&amp;Char(10) &amp; Char(10) &amp; VLOOKUP(A1702,Internal_lists_bugs!$A$2:$Z$73,26,FALSE())),"please select a BUG ID")</f>
        <v>https://github.com/elastic/elasticsearch/issues/8438
/filter/FilterParser.java
/filters/FiltersParser.java</v>
      </c>
      <c r="C1702" s="81" t="str">
        <f>IFERROR(VLOOKUP(A1702,Internal_lists_bugs!$A$2:$I7981,9,FALSE()),"please select a BUG ID")</f>
        <v>https://github.com/elastic/elasticsearch/pull/6974</v>
      </c>
      <c r="D1702" s="112" t="s">
        <v>3413</v>
      </c>
      <c r="E1702" s="114"/>
      <c r="F1702" s="113" t="s">
        <v>123</v>
      </c>
      <c r="G1702" s="79" t="s">
        <v>1417</v>
      </c>
      <c r="H1702" s="116" t="s">
        <v>324</v>
      </c>
      <c r="I1702" s="16" t="s">
        <v>123</v>
      </c>
      <c r="K1702" s="16" t="s">
        <v>123</v>
      </c>
      <c r="M1702" s="114" t="str">
        <f>VLOOKUP(A1702,'BIC_(C_Variables)'!$A$3:$AS$43,45,FALSE())</f>
        <v>#N/A</v>
      </c>
      <c r="N1702" s="9" t="s">
        <v>3445</v>
      </c>
      <c r="O1702" s="9">
        <v>6974.0</v>
      </c>
      <c r="P1702" s="81" t="str">
        <f>IFERROR(VLOOKUP(A1702,Internal_lists_bugs!$A$2:$G7981,7,FALSE()),"please select a BUG ID")</f>
        <v>https://github.com/elastic/elasticsearch/commit/3c9c9f33</v>
      </c>
    </row>
    <row r="1703">
      <c r="A1703" s="16" t="s">
        <v>75</v>
      </c>
      <c r="B1703" s="50" t="str">
        <f>IFERROR(HYPERLINK(VLOOKUP(A1703,Internal_lists_bugs!$A$2:$C$73,3,FALSE()), VLOOKUP(A1703,Internal_lists_bugs!$A$2:$C$73,3,FALSE())&amp;Char(10) &amp; Char(10) &amp; VLOOKUP(A1703,Internal_lists_bugs!$A$2:$Z$73,26,FALSE())),"please select a BUG ID")</f>
        <v>https://github.com/elastic/elasticsearch/issues/8438
/filter/FilterParser.java
/filters/FiltersParser.java</v>
      </c>
      <c r="C1703" s="81" t="str">
        <f>IFERROR(VLOOKUP(A1703,Internal_lists_bugs!$A$2:$I7981,9,FALSE()),"please select a BUG ID")</f>
        <v>https://github.com/elastic/elasticsearch/pull/6974</v>
      </c>
      <c r="D1703" s="114"/>
      <c r="E1703" s="114"/>
      <c r="F1703" s="115"/>
      <c r="G1703" s="79" t="s">
        <v>3449</v>
      </c>
      <c r="H1703" s="116" t="s">
        <v>324</v>
      </c>
      <c r="I1703" s="54"/>
      <c r="K1703" s="54"/>
      <c r="M1703" s="114" t="str">
        <f>VLOOKUP(A1703,'BIC_(C_Variables)'!$A$3:$AS$43,45,FALSE())</f>
        <v>#N/A</v>
      </c>
      <c r="N1703" s="9"/>
      <c r="O1703" s="9">
        <v>6974.0</v>
      </c>
      <c r="P1703" s="81" t="str">
        <f>IFERROR(VLOOKUP(A1703,Internal_lists_bugs!$A$2:$G7981,7,FALSE()),"please select a BUG ID")</f>
        <v>https://github.com/elastic/elasticsearch/commit/3c9c9f33</v>
      </c>
    </row>
    <row r="1704">
      <c r="A1704" s="16" t="s">
        <v>75</v>
      </c>
      <c r="B1704" s="50" t="str">
        <f>IFERROR(HYPERLINK(VLOOKUP(A1704,Internal_lists_bugs!$A$2:$C$73,3,FALSE()), VLOOKUP(A1704,Internal_lists_bugs!$A$2:$C$73,3,FALSE())&amp;Char(10) &amp; Char(10) &amp; VLOOKUP(A1704,Internal_lists_bugs!$A$2:$Z$73,26,FALSE())),"please select a BUG ID")</f>
        <v>https://github.com/elastic/elasticsearch/issues/8438
/filter/FilterParser.java
/filters/FiltersParser.java</v>
      </c>
      <c r="C1704" s="81" t="str">
        <f>IFERROR(VLOOKUP(A1704,Internal_lists_bugs!$A$2:$I7981,9,FALSE()),"please select a BUG ID")</f>
        <v>https://github.com/elastic/elasticsearch/pull/6974</v>
      </c>
      <c r="D1704" s="114"/>
      <c r="E1704" s="114"/>
      <c r="F1704" s="115"/>
      <c r="G1704" s="79" t="s">
        <v>3448</v>
      </c>
      <c r="H1704" s="116" t="s">
        <v>324</v>
      </c>
      <c r="I1704" s="54"/>
      <c r="K1704" s="54"/>
      <c r="M1704" s="114" t="str">
        <f>VLOOKUP(A1704,'BIC_(C_Variables)'!$A$3:$AS$43,45,FALSE())</f>
        <v>#N/A</v>
      </c>
      <c r="N1704" s="9"/>
      <c r="O1704" s="9">
        <v>6974.0</v>
      </c>
      <c r="P1704" s="81" t="str">
        <f>IFERROR(VLOOKUP(A1704,Internal_lists_bugs!$A$2:$G7981,7,FALSE()),"please select a BUG ID")</f>
        <v>https://github.com/elastic/elasticsearch/commit/3c9c9f33</v>
      </c>
    </row>
    <row r="1705">
      <c r="A1705" s="16" t="s">
        <v>75</v>
      </c>
      <c r="B1705" s="50" t="str">
        <f>IFERROR(HYPERLINK(VLOOKUP(A1705,Internal_lists_bugs!$A$2:$C$73,3,FALSE()), VLOOKUP(A1705,Internal_lists_bugs!$A$2:$C$73,3,FALSE())&amp;Char(10) &amp; Char(10) &amp; VLOOKUP(A1705,Internal_lists_bugs!$A$2:$Z$73,26,FALSE())),"please select a BUG ID")</f>
        <v>https://github.com/elastic/elasticsearch/issues/8438
/filter/FilterParser.java
/filters/FiltersParser.java</v>
      </c>
      <c r="C1705" s="81" t="str">
        <f>IFERROR(VLOOKUP(A1705,Internal_lists_bugs!$A$2:$I7981,9,FALSE()),"please select a BUG ID")</f>
        <v>https://github.com/elastic/elasticsearch/pull/6974</v>
      </c>
      <c r="D1705" s="114"/>
      <c r="E1705" s="114"/>
      <c r="F1705" s="115"/>
      <c r="G1705" s="79" t="s">
        <v>3450</v>
      </c>
      <c r="H1705" s="116" t="s">
        <v>324</v>
      </c>
      <c r="I1705" s="54"/>
      <c r="K1705" s="54"/>
      <c r="M1705" s="114" t="str">
        <f>VLOOKUP(A1705,'BIC_(C_Variables)'!$A$3:$AS$43,45,FALSE())</f>
        <v>#N/A</v>
      </c>
      <c r="N1705" s="9"/>
      <c r="O1705" s="9">
        <v>6974.0</v>
      </c>
      <c r="P1705" s="81" t="str">
        <f>IFERROR(VLOOKUP(A1705,Internal_lists_bugs!$A$2:$G7981,7,FALSE()),"please select a BUG ID")</f>
        <v>https://github.com/elastic/elasticsearch/commit/3c9c9f33</v>
      </c>
    </row>
    <row r="1706">
      <c r="A1706" s="16" t="s">
        <v>75</v>
      </c>
      <c r="B1706" s="50" t="str">
        <f>IFERROR(HYPERLINK(VLOOKUP(A1706,Internal_lists_bugs!$A$2:$C$73,3,FALSE()), VLOOKUP(A1706,Internal_lists_bugs!$A$2:$C$73,3,FALSE())&amp;Char(10) &amp; Char(10) &amp; VLOOKUP(A1706,Internal_lists_bugs!$A$2:$Z$73,26,FALSE())),"please select a BUG ID")</f>
        <v>https://github.com/elastic/elasticsearch/issues/8438
/filter/FilterParser.java
/filters/FiltersParser.java</v>
      </c>
      <c r="C1706" s="81" t="str">
        <f>IFERROR(VLOOKUP(A1706,Internal_lists_bugs!$A$2:$I7981,9,FALSE()),"please select a BUG ID")</f>
        <v>https://github.com/elastic/elasticsearch/pull/6974</v>
      </c>
      <c r="D1706" s="114"/>
      <c r="E1706" s="114"/>
      <c r="F1706" s="115"/>
      <c r="G1706" s="79" t="s">
        <v>3451</v>
      </c>
      <c r="H1706" s="116" t="s">
        <v>3452</v>
      </c>
      <c r="I1706" s="54"/>
      <c r="K1706" s="54"/>
      <c r="M1706" s="114" t="str">
        <f>VLOOKUP(A1706,'BIC_(C_Variables)'!$A$3:$AS$43,45,FALSE())</f>
        <v>#N/A</v>
      </c>
      <c r="N1706" s="1"/>
      <c r="O1706" s="9">
        <v>6974.0</v>
      </c>
      <c r="P1706" s="81" t="str">
        <f>IFERROR(VLOOKUP(A1706,Internal_lists_bugs!$A$2:$G7981,7,FALSE()),"please select a BUG ID")</f>
        <v>https://github.com/elastic/elasticsearch/commit/3c9c9f33</v>
      </c>
    </row>
    <row r="1707">
      <c r="A1707" s="16" t="s">
        <v>75</v>
      </c>
      <c r="B1707" s="50" t="str">
        <f>IFERROR(HYPERLINK(VLOOKUP(A1707,Internal_lists_bugs!$A$2:$C$73,3,FALSE()), VLOOKUP(A1707,Internal_lists_bugs!$A$2:$C$73,3,FALSE())&amp;Char(10) &amp; Char(10) &amp; VLOOKUP(A1707,Internal_lists_bugs!$A$2:$Z$73,26,FALSE())),"please select a BUG ID")</f>
        <v>https://github.com/elastic/elasticsearch/issues/8438
/filter/FilterParser.java
/filters/FiltersParser.java</v>
      </c>
      <c r="C1707" s="81" t="str">
        <f>IFERROR(VLOOKUP(A1707,Internal_lists_bugs!$A$2:$I7981,9,FALSE()),"please select a BUG ID")</f>
        <v>https://github.com/elastic/elasticsearch/pull/6974</v>
      </c>
      <c r="D1707" s="114"/>
      <c r="E1707" s="114"/>
      <c r="F1707" s="115"/>
      <c r="G1707" s="79" t="s">
        <v>3446</v>
      </c>
      <c r="H1707" s="93" t="s">
        <v>3452</v>
      </c>
      <c r="I1707" s="54"/>
      <c r="K1707" s="54"/>
      <c r="M1707" s="114" t="str">
        <f>VLOOKUP(A1707,'BIC_(C_Variables)'!$A$3:$AS$43,45,FALSE())</f>
        <v>#N/A</v>
      </c>
      <c r="N1707" s="1"/>
      <c r="O1707" s="9">
        <v>6974.0</v>
      </c>
      <c r="P1707" s="81" t="str">
        <f>IFERROR(VLOOKUP(A1707,Internal_lists_bugs!$A$2:$G7981,7,FALSE()),"please select a BUG ID")</f>
        <v>https://github.com/elastic/elasticsearch/commit/3c9c9f33</v>
      </c>
    </row>
    <row r="1708">
      <c r="A1708" s="16" t="s">
        <v>75</v>
      </c>
      <c r="B1708" s="50" t="str">
        <f>IFERROR(HYPERLINK(VLOOKUP(A1708,Internal_lists_bugs!$A$2:$C$73,3,FALSE()), VLOOKUP(A1708,Internal_lists_bugs!$A$2:$C$73,3,FALSE())&amp;Char(10) &amp; Char(10) &amp; VLOOKUP(A1708,Internal_lists_bugs!$A$2:$Z$73,26,FALSE())),"please select a BUG ID")</f>
        <v>https://github.com/elastic/elasticsearch/issues/8438
/filter/FilterParser.java
/filters/FiltersParser.java</v>
      </c>
      <c r="C1708" s="81" t="str">
        <f>IFERROR(VLOOKUP(A1708,Internal_lists_bugs!$A$2:$I7981,9,FALSE()),"please select a BUG ID")</f>
        <v>https://github.com/elastic/elasticsearch/pull/6974</v>
      </c>
      <c r="D1708" s="114"/>
      <c r="E1708" s="114"/>
      <c r="F1708" s="115"/>
      <c r="G1708" s="79" t="s">
        <v>3453</v>
      </c>
      <c r="H1708" s="93" t="s">
        <v>3454</v>
      </c>
      <c r="I1708" s="54"/>
      <c r="K1708" s="54"/>
      <c r="M1708" s="114" t="str">
        <f>VLOOKUP(A1708,'BIC_(C_Variables)'!$A$3:$AS$43,45,FALSE())</f>
        <v>#N/A</v>
      </c>
      <c r="N1708" s="1"/>
      <c r="O1708" s="9">
        <v>6974.0</v>
      </c>
      <c r="P1708" s="81" t="str">
        <f>IFERROR(VLOOKUP(A1708,Internal_lists_bugs!$A$2:$G7981,7,FALSE()),"please select a BUG ID")</f>
        <v>https://github.com/elastic/elasticsearch/commit/3c9c9f33</v>
      </c>
    </row>
    <row r="1709">
      <c r="A1709" s="16" t="s">
        <v>75</v>
      </c>
      <c r="B1709" s="50" t="str">
        <f>IFERROR(HYPERLINK(VLOOKUP(A1709,Internal_lists_bugs!$A$2:$C$73,3,FALSE()), VLOOKUP(A1709,Internal_lists_bugs!$A$2:$C$73,3,FALSE())&amp;Char(10) &amp; Char(10) &amp; VLOOKUP(A1709,Internal_lists_bugs!$A$2:$Z$73,26,FALSE())),"please select a BUG ID")</f>
        <v>https://github.com/elastic/elasticsearch/issues/8438
/filter/FilterParser.java
/filters/FiltersParser.java</v>
      </c>
      <c r="C1709" s="81" t="str">
        <f>IFERROR(VLOOKUP(A1709,Internal_lists_bugs!$A$2:$I7981,9,FALSE()),"please select a BUG ID")</f>
        <v>https://github.com/elastic/elasticsearch/pull/6974</v>
      </c>
      <c r="D1709" s="114"/>
      <c r="E1709" s="114"/>
      <c r="F1709" s="115"/>
      <c r="G1709" s="79" t="s">
        <v>3455</v>
      </c>
      <c r="H1709" s="93" t="s">
        <v>3456</v>
      </c>
      <c r="I1709" s="54"/>
      <c r="K1709" s="54"/>
      <c r="M1709" s="114" t="str">
        <f>VLOOKUP(A1709,'BIC_(C_Variables)'!$A$3:$AS$43,45,FALSE())</f>
        <v>#N/A</v>
      </c>
      <c r="N1709" s="1"/>
      <c r="O1709" s="9">
        <v>6974.0</v>
      </c>
      <c r="P1709" s="81" t="str">
        <f>IFERROR(VLOOKUP(A1709,Internal_lists_bugs!$A$2:$G7981,7,FALSE()),"please select a BUG ID")</f>
        <v>https://github.com/elastic/elasticsearch/commit/3c9c9f33</v>
      </c>
    </row>
    <row r="1710">
      <c r="A1710" s="16" t="s">
        <v>75</v>
      </c>
      <c r="B1710" s="50" t="str">
        <f>IFERROR(HYPERLINK(VLOOKUP(A1710,Internal_lists_bugs!$A$2:$C$73,3,FALSE()), VLOOKUP(A1710,Internal_lists_bugs!$A$2:$C$73,3,FALSE())&amp;Char(10) &amp; Char(10) &amp; VLOOKUP(A1710,Internal_lists_bugs!$A$2:$Z$73,26,FALSE())),"please select a BUG ID")</f>
        <v>https://github.com/elastic/elasticsearch/issues/8438
/filter/FilterParser.java
/filters/FiltersParser.java</v>
      </c>
      <c r="C1710" s="81" t="str">
        <f>IFERROR(VLOOKUP(A1710,Internal_lists_bugs!$A$2:$I7981,9,FALSE()),"please select a BUG ID")</f>
        <v>https://github.com/elastic/elasticsearch/pull/6974</v>
      </c>
      <c r="D1710" s="114"/>
      <c r="E1710" s="114"/>
      <c r="F1710" s="115"/>
      <c r="G1710" s="79" t="s">
        <v>3457</v>
      </c>
      <c r="H1710" s="93" t="s">
        <v>3458</v>
      </c>
      <c r="I1710" s="54"/>
      <c r="K1710" s="54"/>
      <c r="M1710" s="114" t="str">
        <f>VLOOKUP(A1710,'BIC_(C_Variables)'!$A$3:$AS$43,45,FALSE())</f>
        <v>#N/A</v>
      </c>
      <c r="N1710" s="1"/>
      <c r="O1710" s="9">
        <v>6974.0</v>
      </c>
      <c r="P1710" s="81" t="str">
        <f>IFERROR(VLOOKUP(A1710,Internal_lists_bugs!$A$2:$G7981,7,FALSE()),"please select a BUG ID")</f>
        <v>https://github.com/elastic/elasticsearch/commit/3c9c9f33</v>
      </c>
    </row>
    <row r="1711">
      <c r="A1711" s="16" t="s">
        <v>75</v>
      </c>
      <c r="B1711" s="50" t="str">
        <f>IFERROR(HYPERLINK(VLOOKUP(A1711,Internal_lists_bugs!$A$2:$C$73,3,FALSE()), VLOOKUP(A1711,Internal_lists_bugs!$A$2:$C$73,3,FALSE())&amp;Char(10) &amp; Char(10) &amp; VLOOKUP(A1711,Internal_lists_bugs!$A$2:$Z$73,26,FALSE())),"please select a BUG ID")</f>
        <v>https://github.com/elastic/elasticsearch/issues/8438
/filter/FilterParser.java
/filters/FiltersParser.java</v>
      </c>
      <c r="C1711" s="81" t="str">
        <f>IFERROR(VLOOKUP(A1711,Internal_lists_bugs!$A$2:$I7981,9,FALSE()),"please select a BUG ID")</f>
        <v>https://github.com/elastic/elasticsearch/pull/6974</v>
      </c>
      <c r="D1711" s="114"/>
      <c r="E1711" s="114"/>
      <c r="F1711" s="115"/>
      <c r="G1711" s="79" t="s">
        <v>3459</v>
      </c>
      <c r="H1711" s="93" t="s">
        <v>3460</v>
      </c>
      <c r="I1711" s="54"/>
      <c r="K1711" s="54"/>
      <c r="M1711" s="114" t="str">
        <f>VLOOKUP(A1711,'BIC_(C_Variables)'!$A$3:$AS$43,45,FALSE())</f>
        <v>#N/A</v>
      </c>
      <c r="N1711" s="1"/>
      <c r="O1711" s="9">
        <v>6974.0</v>
      </c>
      <c r="P1711" s="81" t="str">
        <f>IFERROR(VLOOKUP(A1711,Internal_lists_bugs!$A$2:$G7981,7,FALSE()),"please select a BUG ID")</f>
        <v>https://github.com/elastic/elasticsearch/commit/3c9c9f33</v>
      </c>
    </row>
    <row r="1712">
      <c r="A1712" s="16" t="s">
        <v>75</v>
      </c>
      <c r="B1712" s="50" t="str">
        <f>IFERROR(HYPERLINK(VLOOKUP(A1712,Internal_lists_bugs!$A$2:$C$73,3,FALSE()), VLOOKUP(A1712,Internal_lists_bugs!$A$2:$C$73,3,FALSE())&amp;Char(10) &amp; Char(10) &amp; VLOOKUP(A1712,Internal_lists_bugs!$A$2:$Z$73,26,FALSE())),"please select a BUG ID")</f>
        <v>https://github.com/elastic/elasticsearch/issues/8438
/filter/FilterParser.java
/filters/FiltersParser.java</v>
      </c>
      <c r="C1712" s="81" t="str">
        <f>IFERROR(VLOOKUP(A1712,Internal_lists_bugs!$A$2:$I7981,9,FALSE()),"please select a BUG ID")</f>
        <v>https://github.com/elastic/elasticsearch/pull/6974</v>
      </c>
      <c r="D1712" s="114"/>
      <c r="E1712" s="114"/>
      <c r="F1712" s="115"/>
      <c r="G1712" s="79" t="s">
        <v>3461</v>
      </c>
      <c r="H1712" s="93" t="s">
        <v>3462</v>
      </c>
      <c r="I1712" s="54"/>
      <c r="K1712" s="54"/>
      <c r="M1712" s="114" t="str">
        <f>VLOOKUP(A1712,'BIC_(C_Variables)'!$A$3:$AS$43,45,FALSE())</f>
        <v>#N/A</v>
      </c>
      <c r="N1712" s="1"/>
      <c r="O1712" s="9">
        <v>6974.0</v>
      </c>
      <c r="P1712" s="81" t="str">
        <f>IFERROR(VLOOKUP(A1712,Internal_lists_bugs!$A$2:$G7981,7,FALSE()),"please select a BUG ID")</f>
        <v>https://github.com/elastic/elasticsearch/commit/3c9c9f33</v>
      </c>
    </row>
    <row r="1713">
      <c r="A1713" s="16" t="s">
        <v>75</v>
      </c>
      <c r="B1713" s="50" t="str">
        <f>IFERROR(HYPERLINK(VLOOKUP(A1713,Internal_lists_bugs!$A$2:$C$73,3,FALSE()), VLOOKUP(A1713,Internal_lists_bugs!$A$2:$C$73,3,FALSE())&amp;Char(10) &amp; Char(10) &amp; VLOOKUP(A1713,Internal_lists_bugs!$A$2:$Z$73,26,FALSE())),"please select a BUG ID")</f>
        <v>https://github.com/elastic/elasticsearch/issues/8438
/filter/FilterParser.java
/filters/FiltersParser.java</v>
      </c>
      <c r="C1713" s="81" t="str">
        <f>IFERROR(VLOOKUP(A1713,Internal_lists_bugs!$A$2:$I7981,9,FALSE()),"please select a BUG ID")</f>
        <v>https://github.com/elastic/elasticsearch/pull/6974</v>
      </c>
      <c r="D1713" s="114"/>
      <c r="E1713" s="114"/>
      <c r="F1713" s="115"/>
      <c r="G1713" s="79" t="s">
        <v>3463</v>
      </c>
      <c r="H1713" s="93" t="s">
        <v>3464</v>
      </c>
      <c r="I1713" s="54"/>
      <c r="K1713" s="54"/>
      <c r="M1713" s="114" t="str">
        <f>VLOOKUP(A1713,'BIC_(C_Variables)'!$A$3:$AS$43,45,FALSE())</f>
        <v>#N/A</v>
      </c>
      <c r="N1713" s="1"/>
      <c r="O1713" s="9">
        <v>6974.0</v>
      </c>
      <c r="P1713" s="81" t="str">
        <f>IFERROR(VLOOKUP(A1713,Internal_lists_bugs!$A$2:$G7981,7,FALSE()),"please select a BUG ID")</f>
        <v>https://github.com/elastic/elasticsearch/commit/3c9c9f33</v>
      </c>
    </row>
    <row r="1714">
      <c r="A1714" s="16" t="s">
        <v>75</v>
      </c>
      <c r="B1714" s="50" t="str">
        <f>IFERROR(HYPERLINK(VLOOKUP(A1714,Internal_lists_bugs!$A$2:$C$73,3,FALSE()), VLOOKUP(A1714,Internal_lists_bugs!$A$2:$C$73,3,FALSE())&amp;Char(10) &amp; Char(10) &amp; VLOOKUP(A1714,Internal_lists_bugs!$A$2:$Z$73,26,FALSE())),"please select a BUG ID")</f>
        <v>https://github.com/elastic/elasticsearch/issues/8438
/filter/FilterParser.java
/filters/FiltersParser.java</v>
      </c>
      <c r="C1714" s="81" t="str">
        <f>IFERROR(VLOOKUP(A1714,Internal_lists_bugs!$A$2:$I7981,9,FALSE()),"please select a BUG ID")</f>
        <v>https://github.com/elastic/elasticsearch/pull/6974</v>
      </c>
      <c r="D1714" s="114"/>
      <c r="E1714" s="114"/>
      <c r="F1714" s="115"/>
      <c r="G1714" s="79" t="s">
        <v>3465</v>
      </c>
      <c r="H1714" s="93" t="s">
        <v>3464</v>
      </c>
      <c r="I1714" s="54"/>
      <c r="K1714" s="54"/>
      <c r="M1714" s="114" t="str">
        <f>VLOOKUP(A1714,'BIC_(C_Variables)'!$A$3:$AS$43,45,FALSE())</f>
        <v>#N/A</v>
      </c>
      <c r="N1714" s="1"/>
      <c r="O1714" s="9">
        <v>6974.0</v>
      </c>
      <c r="P1714" s="81" t="str">
        <f>IFERROR(VLOOKUP(A1714,Internal_lists_bugs!$A$2:$G7981,7,FALSE()),"please select a BUG ID")</f>
        <v>https://github.com/elastic/elasticsearch/commit/3c9c9f33</v>
      </c>
    </row>
    <row r="1715">
      <c r="A1715" s="16" t="s">
        <v>75</v>
      </c>
      <c r="B1715" s="50" t="str">
        <f>IFERROR(HYPERLINK(VLOOKUP(A1715,Internal_lists_bugs!$A$2:$C$73,3,FALSE()), VLOOKUP(A1715,Internal_lists_bugs!$A$2:$C$73,3,FALSE())&amp;Char(10) &amp; Char(10) &amp; VLOOKUP(A1715,Internal_lists_bugs!$A$2:$Z$73,26,FALSE())),"please select a BUG ID")</f>
        <v>https://github.com/elastic/elasticsearch/issues/8438
/filter/FilterParser.java
/filters/FiltersParser.java</v>
      </c>
      <c r="C1715" s="81" t="str">
        <f>IFERROR(VLOOKUP(A1715,Internal_lists_bugs!$A$2:$I7981,9,FALSE()),"please select a BUG ID")</f>
        <v>https://github.com/elastic/elasticsearch/pull/6974</v>
      </c>
      <c r="D1715" s="114"/>
      <c r="E1715" s="114"/>
      <c r="F1715" s="115"/>
      <c r="G1715" s="79" t="s">
        <v>3466</v>
      </c>
      <c r="H1715" s="93" t="s">
        <v>3464</v>
      </c>
      <c r="I1715" s="54"/>
      <c r="K1715" s="54"/>
      <c r="M1715" s="114" t="str">
        <f>VLOOKUP(A1715,'BIC_(C_Variables)'!$A$3:$AS$43,45,FALSE())</f>
        <v>#N/A</v>
      </c>
      <c r="N1715" s="1"/>
      <c r="O1715" s="9">
        <v>6974.0</v>
      </c>
      <c r="P1715" s="81" t="str">
        <f>IFERROR(VLOOKUP(A1715,Internal_lists_bugs!$A$2:$G7981,7,FALSE()),"please select a BUG ID")</f>
        <v>https://github.com/elastic/elasticsearch/commit/3c9c9f33</v>
      </c>
    </row>
    <row r="1716">
      <c r="A1716" s="16" t="s">
        <v>75</v>
      </c>
      <c r="B1716" s="50" t="str">
        <f>IFERROR(HYPERLINK(VLOOKUP(A1716,Internal_lists_bugs!$A$2:$C$73,3,FALSE()), VLOOKUP(A1716,Internal_lists_bugs!$A$2:$C$73,3,FALSE())&amp;Char(10) &amp; Char(10) &amp; VLOOKUP(A1716,Internal_lists_bugs!$A$2:$Z$73,26,FALSE())),"please select a BUG ID")</f>
        <v>https://github.com/elastic/elasticsearch/issues/8438
/filter/FilterParser.java
/filters/FiltersParser.java</v>
      </c>
      <c r="C1716" s="81" t="str">
        <f>IFERROR(VLOOKUP(A1716,Internal_lists_bugs!$A$2:$I7981,9,FALSE()),"please select a BUG ID")</f>
        <v>https://github.com/elastic/elasticsearch/pull/6974</v>
      </c>
      <c r="D1716" s="114"/>
      <c r="E1716" s="114"/>
      <c r="F1716" s="115"/>
      <c r="G1716" s="79" t="s">
        <v>3467</v>
      </c>
      <c r="H1716" s="93" t="s">
        <v>3468</v>
      </c>
      <c r="I1716" s="54"/>
      <c r="K1716" s="54"/>
      <c r="M1716" s="114" t="str">
        <f>VLOOKUP(A1716,'BIC_(C_Variables)'!$A$3:$AS$43,45,FALSE())</f>
        <v>#N/A</v>
      </c>
      <c r="N1716" s="1"/>
      <c r="O1716" s="9">
        <v>6974.0</v>
      </c>
      <c r="P1716" s="81" t="str">
        <f>IFERROR(VLOOKUP(A1716,Internal_lists_bugs!$A$2:$G7981,7,FALSE()),"please select a BUG ID")</f>
        <v>https://github.com/elastic/elasticsearch/commit/3c9c9f33</v>
      </c>
    </row>
    <row r="1717">
      <c r="A1717" s="16" t="s">
        <v>75</v>
      </c>
      <c r="B1717" s="50" t="str">
        <f>IFERROR(HYPERLINK(VLOOKUP(A1717,Internal_lists_bugs!$A$2:$C$73,3,FALSE()), VLOOKUP(A1717,Internal_lists_bugs!$A$2:$C$73,3,FALSE())&amp;Char(10) &amp; Char(10) &amp; VLOOKUP(A1717,Internal_lists_bugs!$A$2:$Z$73,26,FALSE())),"please select a BUG ID")</f>
        <v>https://github.com/elastic/elasticsearch/issues/8438
/filter/FilterParser.java
/filters/FiltersParser.java</v>
      </c>
      <c r="C1717" s="81" t="str">
        <f>IFERROR(VLOOKUP(A1717,Internal_lists_bugs!$A$2:$I7981,9,FALSE()),"please select a BUG ID")</f>
        <v>https://github.com/elastic/elasticsearch/pull/6974</v>
      </c>
      <c r="D1717" s="114"/>
      <c r="E1717" s="114"/>
      <c r="F1717" s="115"/>
      <c r="G1717" s="79" t="s">
        <v>3449</v>
      </c>
      <c r="H1717" s="93" t="s">
        <v>3468</v>
      </c>
      <c r="I1717" s="54"/>
      <c r="K1717" s="54"/>
      <c r="M1717" s="114" t="str">
        <f>VLOOKUP(A1717,'BIC_(C_Variables)'!$A$3:$AS$43,45,FALSE())</f>
        <v>#N/A</v>
      </c>
      <c r="N1717" s="1"/>
      <c r="O1717" s="9">
        <v>6974.0</v>
      </c>
      <c r="P1717" s="81" t="str">
        <f>IFERROR(VLOOKUP(A1717,Internal_lists_bugs!$A$2:$G7981,7,FALSE()),"please select a BUG ID")</f>
        <v>https://github.com/elastic/elasticsearch/commit/3c9c9f33</v>
      </c>
    </row>
    <row r="1718">
      <c r="A1718" s="16" t="s">
        <v>75</v>
      </c>
      <c r="B1718" s="50" t="str">
        <f>IFERROR(HYPERLINK(VLOOKUP(A1718,Internal_lists_bugs!$A$2:$C$73,3,FALSE()), VLOOKUP(A1718,Internal_lists_bugs!$A$2:$C$73,3,FALSE())&amp;Char(10) &amp; Char(10) &amp; VLOOKUP(A1718,Internal_lists_bugs!$A$2:$Z$73,26,FALSE())),"please select a BUG ID")</f>
        <v>https://github.com/elastic/elasticsearch/issues/8438
/filter/FilterParser.java
/filters/FiltersParser.java</v>
      </c>
      <c r="C1718" s="81" t="str">
        <f>IFERROR(VLOOKUP(A1718,Internal_lists_bugs!$A$2:$I7981,9,FALSE()),"please select a BUG ID")</f>
        <v>https://github.com/elastic/elasticsearch/pull/6974</v>
      </c>
      <c r="D1718" s="114"/>
      <c r="E1718" s="114"/>
      <c r="F1718" s="115"/>
      <c r="G1718" s="79" t="s">
        <v>3469</v>
      </c>
      <c r="H1718" s="93" t="s">
        <v>3470</v>
      </c>
      <c r="I1718" s="54"/>
      <c r="K1718" s="54"/>
      <c r="M1718" s="114" t="str">
        <f>VLOOKUP(A1718,'BIC_(C_Variables)'!$A$3:$AS$43,45,FALSE())</f>
        <v>#N/A</v>
      </c>
      <c r="N1718" s="1"/>
      <c r="O1718" s="9">
        <v>6974.0</v>
      </c>
      <c r="P1718" s="81" t="str">
        <f>IFERROR(VLOOKUP(A1718,Internal_lists_bugs!$A$2:$G7981,7,FALSE()),"please select a BUG ID")</f>
        <v>https://github.com/elastic/elasticsearch/commit/3c9c9f33</v>
      </c>
    </row>
    <row r="1719">
      <c r="A1719" s="16" t="s">
        <v>75</v>
      </c>
      <c r="B1719" s="50" t="str">
        <f>IFERROR(HYPERLINK(VLOOKUP(A1719,Internal_lists_bugs!$A$2:$C$73,3,FALSE()), VLOOKUP(A1719,Internal_lists_bugs!$A$2:$C$73,3,FALSE())&amp;Char(10) &amp; Char(10) &amp; VLOOKUP(A1719,Internal_lists_bugs!$A$2:$Z$73,26,FALSE())),"please select a BUG ID")</f>
        <v>https://github.com/elastic/elasticsearch/issues/8438
/filter/FilterParser.java
/filters/FiltersParser.java</v>
      </c>
      <c r="C1719" s="81" t="str">
        <f>IFERROR(VLOOKUP(A1719,Internal_lists_bugs!$A$2:$I7981,9,FALSE()),"please select a BUG ID")</f>
        <v>https://github.com/elastic/elasticsearch/pull/6974</v>
      </c>
      <c r="D1719" s="114"/>
      <c r="E1719" s="114"/>
      <c r="F1719" s="115"/>
      <c r="G1719" s="79" t="s">
        <v>3465</v>
      </c>
      <c r="H1719" s="93" t="s">
        <v>3470</v>
      </c>
      <c r="I1719" s="54"/>
      <c r="K1719" s="54"/>
      <c r="M1719" s="114" t="str">
        <f>VLOOKUP(A1719,'BIC_(C_Variables)'!$A$3:$AS$43,45,FALSE())</f>
        <v>#N/A</v>
      </c>
      <c r="N1719" s="1"/>
      <c r="O1719" s="9">
        <v>6974.0</v>
      </c>
      <c r="P1719" s="81" t="str">
        <f>IFERROR(VLOOKUP(A1719,Internal_lists_bugs!$A$2:$G7981,7,FALSE()),"please select a BUG ID")</f>
        <v>https://github.com/elastic/elasticsearch/commit/3c9c9f33</v>
      </c>
    </row>
    <row r="1720">
      <c r="A1720" s="16" t="s">
        <v>75</v>
      </c>
      <c r="B1720" s="50" t="str">
        <f>IFERROR(HYPERLINK(VLOOKUP(A1720,Internal_lists_bugs!$A$2:$C$73,3,FALSE()), VLOOKUP(A1720,Internal_lists_bugs!$A$2:$C$73,3,FALSE())&amp;Char(10) &amp; Char(10) &amp; VLOOKUP(A1720,Internal_lists_bugs!$A$2:$Z$73,26,FALSE())),"please select a BUG ID")</f>
        <v>https://github.com/elastic/elasticsearch/issues/8438
/filter/FilterParser.java
/filters/FiltersParser.java</v>
      </c>
      <c r="C1720" s="81" t="str">
        <f>IFERROR(VLOOKUP(A1720,Internal_lists_bugs!$A$2:$I7981,9,FALSE()),"please select a BUG ID")</f>
        <v>https://github.com/elastic/elasticsearch/pull/6974</v>
      </c>
      <c r="D1720" s="114"/>
      <c r="E1720" s="114"/>
      <c r="F1720" s="115"/>
      <c r="G1720" s="79" t="s">
        <v>1921</v>
      </c>
      <c r="H1720" s="93" t="s">
        <v>3471</v>
      </c>
      <c r="I1720" s="54"/>
      <c r="K1720" s="54"/>
      <c r="M1720" s="114" t="str">
        <f>VLOOKUP(A1720,'BIC_(C_Variables)'!$A$3:$AS$43,45,FALSE())</f>
        <v>#N/A</v>
      </c>
      <c r="N1720" s="1"/>
      <c r="O1720" s="9">
        <v>6974.0</v>
      </c>
      <c r="P1720" s="81" t="str">
        <f>IFERROR(VLOOKUP(A1720,Internal_lists_bugs!$A$2:$G7981,7,FALSE()),"please select a BUG ID")</f>
        <v>https://github.com/elastic/elasticsearch/commit/3c9c9f33</v>
      </c>
    </row>
    <row r="1721">
      <c r="A1721" s="16" t="s">
        <v>75</v>
      </c>
      <c r="B1721" s="50" t="str">
        <f>IFERROR(HYPERLINK(VLOOKUP(A1721,Internal_lists_bugs!$A$2:$C$73,3,FALSE()), VLOOKUP(A1721,Internal_lists_bugs!$A$2:$C$73,3,FALSE())&amp;Char(10) &amp; Char(10) &amp; VLOOKUP(A1721,Internal_lists_bugs!$A$2:$Z$73,26,FALSE())),"please select a BUG ID")</f>
        <v>https://github.com/elastic/elasticsearch/issues/8438
/filter/FilterParser.java
/filters/FiltersParser.java</v>
      </c>
      <c r="C1721" s="81" t="str">
        <f>IFERROR(VLOOKUP(A1721,Internal_lists_bugs!$A$2:$I7981,9,FALSE()),"please select a BUG ID")</f>
        <v>https://github.com/elastic/elasticsearch/pull/6974</v>
      </c>
      <c r="D1721" s="114"/>
      <c r="E1721" s="114"/>
      <c r="F1721" s="115"/>
      <c r="G1721" s="79" t="s">
        <v>3472</v>
      </c>
      <c r="H1721" s="93" t="s">
        <v>3471</v>
      </c>
      <c r="I1721" s="54"/>
      <c r="K1721" s="54"/>
      <c r="M1721" s="114" t="str">
        <f>VLOOKUP(A1721,'BIC_(C_Variables)'!$A$3:$AS$43,45,FALSE())</f>
        <v>#N/A</v>
      </c>
      <c r="N1721" s="1"/>
      <c r="O1721" s="9">
        <v>6974.0</v>
      </c>
      <c r="P1721" s="81" t="str">
        <f>IFERROR(VLOOKUP(A1721,Internal_lists_bugs!$A$2:$G7981,7,FALSE()),"please select a BUG ID")</f>
        <v>https://github.com/elastic/elasticsearch/commit/3c9c9f33</v>
      </c>
    </row>
    <row r="1722">
      <c r="A1722" s="16" t="s">
        <v>75</v>
      </c>
      <c r="B1722" s="50" t="str">
        <f>IFERROR(HYPERLINK(VLOOKUP(A1722,Internal_lists_bugs!$A$2:$C$73,3,FALSE()), VLOOKUP(A1722,Internal_lists_bugs!$A$2:$C$73,3,FALSE())&amp;Char(10) &amp; Char(10) &amp; VLOOKUP(A1722,Internal_lists_bugs!$A$2:$Z$73,26,FALSE())),"please select a BUG ID")</f>
        <v>https://github.com/elastic/elasticsearch/issues/8438
/filter/FilterParser.java
/filters/FiltersParser.java</v>
      </c>
      <c r="C1722" s="81" t="str">
        <f>IFERROR(VLOOKUP(A1722,Internal_lists_bugs!$A$2:$I7981,9,FALSE()),"please select a BUG ID")</f>
        <v>https://github.com/elastic/elasticsearch/pull/6974</v>
      </c>
      <c r="D1722" s="114"/>
      <c r="E1722" s="114"/>
      <c r="F1722" s="115"/>
      <c r="G1722" s="79" t="s">
        <v>3473</v>
      </c>
      <c r="H1722" s="93" t="s">
        <v>3471</v>
      </c>
      <c r="I1722" s="54"/>
      <c r="K1722" s="54"/>
      <c r="M1722" s="114" t="str">
        <f>VLOOKUP(A1722,'BIC_(C_Variables)'!$A$3:$AS$43,45,FALSE())</f>
        <v>#N/A</v>
      </c>
      <c r="N1722" s="1"/>
      <c r="O1722" s="9">
        <v>6974.0</v>
      </c>
      <c r="P1722" s="81" t="str">
        <f>IFERROR(VLOOKUP(A1722,Internal_lists_bugs!$A$2:$G7981,7,FALSE()),"please select a BUG ID")</f>
        <v>https://github.com/elastic/elasticsearch/commit/3c9c9f33</v>
      </c>
    </row>
    <row r="1723">
      <c r="A1723" s="16" t="s">
        <v>75</v>
      </c>
      <c r="B1723" s="50" t="str">
        <f>IFERROR(HYPERLINK(VLOOKUP(A1723,Internal_lists_bugs!$A$2:$C$73,3,FALSE()), VLOOKUP(A1723,Internal_lists_bugs!$A$2:$C$73,3,FALSE())&amp;Char(10) &amp; Char(10) &amp; VLOOKUP(A1723,Internal_lists_bugs!$A$2:$Z$73,26,FALSE())),"please select a BUG ID")</f>
        <v>https://github.com/elastic/elasticsearch/issues/8438
/filter/FilterParser.java
/filters/FiltersParser.java</v>
      </c>
      <c r="C1723" s="81" t="str">
        <f>IFERROR(VLOOKUP(A1723,Internal_lists_bugs!$A$2:$I7981,9,FALSE()),"please select a BUG ID")</f>
        <v>https://github.com/elastic/elasticsearch/pull/6974</v>
      </c>
      <c r="D1723" s="114"/>
      <c r="E1723" s="114"/>
      <c r="F1723" s="115"/>
      <c r="G1723" s="79" t="s">
        <v>3474</v>
      </c>
      <c r="H1723" s="93" t="s">
        <v>3475</v>
      </c>
      <c r="I1723" s="54"/>
      <c r="K1723" s="54"/>
      <c r="M1723" s="114" t="str">
        <f>VLOOKUP(A1723,'BIC_(C_Variables)'!$A$3:$AS$43,45,FALSE())</f>
        <v>#N/A</v>
      </c>
      <c r="N1723" s="1"/>
      <c r="O1723" s="9">
        <v>6974.0</v>
      </c>
      <c r="P1723" s="81" t="str">
        <f>IFERROR(VLOOKUP(A1723,Internal_lists_bugs!$A$2:$G7981,7,FALSE()),"please select a BUG ID")</f>
        <v>https://github.com/elastic/elasticsearch/commit/3c9c9f33</v>
      </c>
    </row>
    <row r="1724">
      <c r="A1724" s="16" t="s">
        <v>75</v>
      </c>
      <c r="B1724" s="50" t="str">
        <f>IFERROR(HYPERLINK(VLOOKUP(A1724,Internal_lists_bugs!$A$2:$C$73,3,FALSE()), VLOOKUP(A1724,Internal_lists_bugs!$A$2:$C$73,3,FALSE())&amp;Char(10) &amp; Char(10) &amp; VLOOKUP(A1724,Internal_lists_bugs!$A$2:$Z$73,26,FALSE())),"please select a BUG ID")</f>
        <v>https://github.com/elastic/elasticsearch/issues/8438
/filter/FilterParser.java
/filters/FiltersParser.java</v>
      </c>
      <c r="C1724" s="81" t="str">
        <f>IFERROR(VLOOKUP(A1724,Internal_lists_bugs!$A$2:$I7981,9,FALSE()),"please select a BUG ID")</f>
        <v>https://github.com/elastic/elasticsearch/pull/6974</v>
      </c>
      <c r="D1724" s="114"/>
      <c r="E1724" s="114"/>
      <c r="F1724" s="115"/>
      <c r="G1724" s="79" t="s">
        <v>3476</v>
      </c>
      <c r="H1724" s="93" t="s">
        <v>3477</v>
      </c>
      <c r="I1724" s="54"/>
      <c r="K1724" s="54"/>
      <c r="M1724" s="114" t="str">
        <f>VLOOKUP(A1724,'BIC_(C_Variables)'!$A$3:$AS$43,45,FALSE())</f>
        <v>#N/A</v>
      </c>
      <c r="N1724" s="1"/>
      <c r="O1724" s="9">
        <v>6974.0</v>
      </c>
      <c r="P1724" s="81" t="str">
        <f>IFERROR(VLOOKUP(A1724,Internal_lists_bugs!$A$2:$G7981,7,FALSE()),"please select a BUG ID")</f>
        <v>https://github.com/elastic/elasticsearch/commit/3c9c9f33</v>
      </c>
    </row>
    <row r="1725">
      <c r="A1725" s="16" t="s">
        <v>75</v>
      </c>
      <c r="B1725" s="50" t="str">
        <f>IFERROR(HYPERLINK(VLOOKUP(A1725,Internal_lists_bugs!$A$2:$C$73,3,FALSE()), VLOOKUP(A1725,Internal_lists_bugs!$A$2:$C$73,3,FALSE())&amp;Char(10) &amp; Char(10) &amp; VLOOKUP(A1725,Internal_lists_bugs!$A$2:$Z$73,26,FALSE())),"please select a BUG ID")</f>
        <v>https://github.com/elastic/elasticsearch/issues/8438
/filter/FilterParser.java
/filters/FiltersParser.java</v>
      </c>
      <c r="C1725" s="81" t="str">
        <f>IFERROR(VLOOKUP(A1725,Internal_lists_bugs!$A$2:$I7981,9,FALSE()),"please select a BUG ID")</f>
        <v>https://github.com/elastic/elasticsearch/pull/6974</v>
      </c>
      <c r="D1725" s="114"/>
      <c r="E1725" s="114"/>
      <c r="F1725" s="115"/>
      <c r="G1725" s="79" t="s">
        <v>3478</v>
      </c>
      <c r="H1725" s="93" t="s">
        <v>3477</v>
      </c>
      <c r="I1725" s="54"/>
      <c r="K1725" s="54"/>
      <c r="M1725" s="114" t="str">
        <f>VLOOKUP(A1725,'BIC_(C_Variables)'!$A$3:$AS$43,45,FALSE())</f>
        <v>#N/A</v>
      </c>
      <c r="N1725" s="1"/>
      <c r="O1725" s="9">
        <v>6974.0</v>
      </c>
      <c r="P1725" s="81" t="str">
        <f>IFERROR(VLOOKUP(A1725,Internal_lists_bugs!$A$2:$G7981,7,FALSE()),"please select a BUG ID")</f>
        <v>https://github.com/elastic/elasticsearch/commit/3c9c9f33</v>
      </c>
    </row>
    <row r="1726">
      <c r="A1726" s="16" t="s">
        <v>75</v>
      </c>
      <c r="B1726" s="50" t="str">
        <f>IFERROR(HYPERLINK(VLOOKUP(A1726,Internal_lists_bugs!$A$2:$C$73,3,FALSE()), VLOOKUP(A1726,Internal_lists_bugs!$A$2:$C$73,3,FALSE())&amp;Char(10) &amp; Char(10) &amp; VLOOKUP(A1726,Internal_lists_bugs!$A$2:$Z$73,26,FALSE())),"please select a BUG ID")</f>
        <v>https://github.com/elastic/elasticsearch/issues/8438
/filter/FilterParser.java
/filters/FiltersParser.java</v>
      </c>
      <c r="C1726" s="81" t="str">
        <f>IFERROR(VLOOKUP(A1726,Internal_lists_bugs!$A$2:$I7981,9,FALSE()),"please select a BUG ID")</f>
        <v>https://github.com/elastic/elasticsearch/pull/6974</v>
      </c>
      <c r="D1726" s="114"/>
      <c r="E1726" s="114"/>
      <c r="F1726" s="115"/>
      <c r="G1726" s="79" t="s">
        <v>3473</v>
      </c>
      <c r="H1726" s="93" t="s">
        <v>3479</v>
      </c>
      <c r="I1726" s="54"/>
      <c r="K1726" s="54"/>
      <c r="M1726" s="114" t="str">
        <f>VLOOKUP(A1726,'BIC_(C_Variables)'!$A$3:$AS$43,45,FALSE())</f>
        <v>#N/A</v>
      </c>
      <c r="N1726" s="1"/>
      <c r="O1726" s="9">
        <v>6974.0</v>
      </c>
      <c r="P1726" s="81" t="str">
        <f>IFERROR(VLOOKUP(A1726,Internal_lists_bugs!$A$2:$G7981,7,FALSE()),"please select a BUG ID")</f>
        <v>https://github.com/elastic/elasticsearch/commit/3c9c9f33</v>
      </c>
    </row>
    <row r="1727">
      <c r="A1727" s="16" t="s">
        <v>75</v>
      </c>
      <c r="B1727" s="50" t="str">
        <f>IFERROR(HYPERLINK(VLOOKUP(A1727,Internal_lists_bugs!$A$2:$C$73,3,FALSE()), VLOOKUP(A1727,Internal_lists_bugs!$A$2:$C$73,3,FALSE())&amp;Char(10) &amp; Char(10) &amp; VLOOKUP(A1727,Internal_lists_bugs!$A$2:$Z$73,26,FALSE())),"please select a BUG ID")</f>
        <v>https://github.com/elastic/elasticsearch/issues/8438
/filter/FilterParser.java
/filters/FiltersParser.java</v>
      </c>
      <c r="C1727" s="81" t="str">
        <f>IFERROR(VLOOKUP(A1727,Internal_lists_bugs!$A$2:$I7981,9,FALSE()),"please select a BUG ID")</f>
        <v>https://github.com/elastic/elasticsearch/pull/6974</v>
      </c>
      <c r="D1727" s="114"/>
      <c r="E1727" s="114"/>
      <c r="F1727" s="115"/>
      <c r="G1727" s="79" t="s">
        <v>3480</v>
      </c>
      <c r="H1727" s="93" t="s">
        <v>3481</v>
      </c>
      <c r="I1727" s="54"/>
      <c r="K1727" s="54"/>
      <c r="M1727" s="114" t="str">
        <f>VLOOKUP(A1727,'BIC_(C_Variables)'!$A$3:$AS$43,45,FALSE())</f>
        <v>#N/A</v>
      </c>
      <c r="N1727" s="1"/>
      <c r="O1727" s="9">
        <v>6974.0</v>
      </c>
      <c r="P1727" s="81" t="str">
        <f>IFERROR(VLOOKUP(A1727,Internal_lists_bugs!$A$2:$G7981,7,FALSE()),"please select a BUG ID")</f>
        <v>https://github.com/elastic/elasticsearch/commit/3c9c9f33</v>
      </c>
    </row>
    <row r="1728">
      <c r="A1728" s="16" t="s">
        <v>75</v>
      </c>
      <c r="B1728" s="50" t="str">
        <f>IFERROR(HYPERLINK(VLOOKUP(A1728,Internal_lists_bugs!$A$2:$C$73,3,FALSE()), VLOOKUP(A1728,Internal_lists_bugs!$A$2:$C$73,3,FALSE())&amp;Char(10) &amp; Char(10) &amp; VLOOKUP(A1728,Internal_lists_bugs!$A$2:$Z$73,26,FALSE())),"please select a BUG ID")</f>
        <v>https://github.com/elastic/elasticsearch/issues/8438
/filter/FilterParser.java
/filters/FiltersParser.java</v>
      </c>
      <c r="C1728" s="81" t="str">
        <f>IFERROR(VLOOKUP(A1728,Internal_lists_bugs!$A$2:$I7981,9,FALSE()),"please select a BUG ID")</f>
        <v>https://github.com/elastic/elasticsearch/pull/6974</v>
      </c>
      <c r="D1728" s="114"/>
      <c r="E1728" s="114"/>
      <c r="F1728" s="115"/>
      <c r="G1728" s="79" t="s">
        <v>3482</v>
      </c>
      <c r="H1728" s="93" t="s">
        <v>3483</v>
      </c>
      <c r="I1728" s="54"/>
      <c r="K1728" s="54"/>
      <c r="M1728" s="114" t="str">
        <f>VLOOKUP(A1728,'BIC_(C_Variables)'!$A$3:$AS$43,45,FALSE())</f>
        <v>#N/A</v>
      </c>
      <c r="N1728" s="1"/>
      <c r="O1728" s="9">
        <v>6974.0</v>
      </c>
      <c r="P1728" s="81" t="str">
        <f>IFERROR(VLOOKUP(A1728,Internal_lists_bugs!$A$2:$G7981,7,FALSE()),"please select a BUG ID")</f>
        <v>https://github.com/elastic/elasticsearch/commit/3c9c9f33</v>
      </c>
    </row>
    <row r="1729">
      <c r="A1729" s="16" t="s">
        <v>75</v>
      </c>
      <c r="B1729" s="50" t="str">
        <f>IFERROR(HYPERLINK(VLOOKUP(A1729,Internal_lists_bugs!$A$2:$C$73,3,FALSE()), VLOOKUP(A1729,Internal_lists_bugs!$A$2:$C$73,3,FALSE())&amp;Char(10) &amp; Char(10) &amp; VLOOKUP(A1729,Internal_lists_bugs!$A$2:$Z$73,26,FALSE())),"please select a BUG ID")</f>
        <v>https://github.com/elastic/elasticsearch/issues/8438
/filter/FilterParser.java
/filters/FiltersParser.java</v>
      </c>
      <c r="C1729" s="81" t="str">
        <f>IFERROR(VLOOKUP(A1729,Internal_lists_bugs!$A$2:$I7981,9,FALSE()),"please select a BUG ID")</f>
        <v>https://github.com/elastic/elasticsearch/pull/6974</v>
      </c>
      <c r="D1729" s="114"/>
      <c r="E1729" s="114"/>
      <c r="F1729" s="115"/>
      <c r="G1729" s="79" t="s">
        <v>1460</v>
      </c>
      <c r="H1729" s="93" t="s">
        <v>3483</v>
      </c>
      <c r="I1729" s="54"/>
      <c r="K1729" s="54"/>
      <c r="M1729" s="114" t="str">
        <f>VLOOKUP(A1729,'BIC_(C_Variables)'!$A$3:$AS$43,45,FALSE())</f>
        <v>#N/A</v>
      </c>
      <c r="N1729" s="1"/>
      <c r="O1729" s="9">
        <v>6974.0</v>
      </c>
      <c r="P1729" s="81" t="str">
        <f>IFERROR(VLOOKUP(A1729,Internal_lists_bugs!$A$2:$G7981,7,FALSE()),"please select a BUG ID")</f>
        <v>https://github.com/elastic/elasticsearch/commit/3c9c9f33</v>
      </c>
    </row>
    <row r="1730">
      <c r="A1730" s="16" t="s">
        <v>75</v>
      </c>
      <c r="B1730" s="50" t="str">
        <f>IFERROR(HYPERLINK(VLOOKUP(A1730,Internal_lists_bugs!$A$2:$C$73,3,FALSE()), VLOOKUP(A1730,Internal_lists_bugs!$A$2:$C$73,3,FALSE())&amp;Char(10) &amp; Char(10) &amp; VLOOKUP(A1730,Internal_lists_bugs!$A$2:$Z$73,26,FALSE())),"please select a BUG ID")</f>
        <v>https://github.com/elastic/elasticsearch/issues/8438
/filter/FilterParser.java
/filters/FiltersParser.java</v>
      </c>
      <c r="C1730" s="81" t="str">
        <f>IFERROR(VLOOKUP(A1730,Internal_lists_bugs!$A$2:$I7981,9,FALSE()),"please select a BUG ID")</f>
        <v>https://github.com/elastic/elasticsearch/pull/6974</v>
      </c>
      <c r="D1730" s="114"/>
      <c r="E1730" s="114"/>
      <c r="F1730" s="115"/>
      <c r="G1730" s="79" t="s">
        <v>3446</v>
      </c>
      <c r="H1730" s="93" t="s">
        <v>3484</v>
      </c>
      <c r="I1730" s="54"/>
      <c r="K1730" s="54"/>
      <c r="M1730" s="114" t="str">
        <f>VLOOKUP(A1730,'BIC_(C_Variables)'!$A$3:$AS$43,45,FALSE())</f>
        <v>#N/A</v>
      </c>
      <c r="N1730" s="1"/>
      <c r="O1730" s="9">
        <v>6974.0</v>
      </c>
      <c r="P1730" s="81" t="str">
        <f>IFERROR(VLOOKUP(A1730,Internal_lists_bugs!$A$2:$G7981,7,FALSE()),"please select a BUG ID")</f>
        <v>https://github.com/elastic/elasticsearch/commit/3c9c9f33</v>
      </c>
    </row>
    <row r="1731">
      <c r="A1731" s="16" t="s">
        <v>75</v>
      </c>
      <c r="B1731" s="50" t="str">
        <f>IFERROR(HYPERLINK(VLOOKUP(A1731,Internal_lists_bugs!$A$2:$C$73,3,FALSE()), VLOOKUP(A1731,Internal_lists_bugs!$A$2:$C$73,3,FALSE())&amp;Char(10) &amp; Char(10) &amp; VLOOKUP(A1731,Internal_lists_bugs!$A$2:$Z$73,26,FALSE())),"please select a BUG ID")</f>
        <v>https://github.com/elastic/elasticsearch/issues/8438
/filter/FilterParser.java
/filters/FiltersParser.java</v>
      </c>
      <c r="C1731" s="81" t="str">
        <f>IFERROR(VLOOKUP(A1731,Internal_lists_bugs!$A$2:$I7981,9,FALSE()),"please select a BUG ID")</f>
        <v>https://github.com/elastic/elasticsearch/pull/6974</v>
      </c>
      <c r="D1731" s="114"/>
      <c r="E1731" s="114"/>
      <c r="F1731" s="115"/>
      <c r="G1731" s="79" t="s">
        <v>3485</v>
      </c>
      <c r="H1731" s="93" t="s">
        <v>3486</v>
      </c>
      <c r="I1731" s="54"/>
      <c r="K1731" s="54"/>
      <c r="M1731" s="114" t="str">
        <f>VLOOKUP(A1731,'BIC_(C_Variables)'!$A$3:$AS$43,45,FALSE())</f>
        <v>#N/A</v>
      </c>
      <c r="N1731" s="1"/>
      <c r="O1731" s="9">
        <v>6974.0</v>
      </c>
      <c r="P1731" s="81" t="str">
        <f>IFERROR(VLOOKUP(A1731,Internal_lists_bugs!$A$2:$G7981,7,FALSE()),"please select a BUG ID")</f>
        <v>https://github.com/elastic/elasticsearch/commit/3c9c9f33</v>
      </c>
    </row>
    <row r="1732">
      <c r="A1732" s="16" t="s">
        <v>76</v>
      </c>
      <c r="B1732" s="50" t="str">
        <f>IFERROR(HYPERLINK(VLOOKUP(A1732,Internal_lists_bugs!$A$2:$C$73,3,FALSE()), VLOOKUP(A1732,Internal_lists_bugs!$A$2:$C$73,3,FALSE())&amp;Char(10) &amp; Char(10) &amp; VLOOKUP(A1732,Internal_lists_bugs!$A$2:$Z$73,26,FALSE())),"please select a BUG ID")</f>
        <v>https://github.com/elastic/elasticsearch/issues/9317
/nested/NestedAggregator.java</v>
      </c>
      <c r="C1732" s="51" t="str">
        <f>IFERROR(VLOOKUP(A1732,Internal_lists_bugs!$A$2:$I7981,9,FALSE()),"please select a BUG ID")</f>
        <v/>
      </c>
      <c r="D1732" s="114"/>
      <c r="E1732" s="114"/>
      <c r="F1732" s="115"/>
      <c r="G1732" s="82"/>
      <c r="H1732" s="92"/>
      <c r="I1732" s="54"/>
      <c r="K1732" s="54"/>
      <c r="M1732" s="114" t="str">
        <f>VLOOKUP(A1732,'BIC_(C_Variables)'!$A$3:$AS$43,45,FALSE())</f>
        <v>#N/A</v>
      </c>
      <c r="N1732" s="1"/>
      <c r="O1732" s="9" t="s">
        <v>124</v>
      </c>
      <c r="P1732" s="81" t="str">
        <f>IFERROR(VLOOKUP(A1732,Internal_lists_bugs!$A$2:$G7981,7,FALSE()),"please select a BUG ID")</f>
        <v>https://github.com/elastic/elasticsearch/commit/5714b0a</v>
      </c>
    </row>
    <row r="1733">
      <c r="A1733" s="16" t="s">
        <v>77</v>
      </c>
      <c r="B1733" s="50" t="str">
        <f>IFERROR(HYPERLINK(VLOOKUP(A1733,Internal_lists_bugs!$A$2:$C$73,3,FALSE()), VLOOKUP(A1733,Internal_lists_bugs!$A$2:$C$73,3,FALSE())&amp;Char(10) &amp; Char(10) &amp; VLOOKUP(A1733,Internal_lists_bugs!$A$2:$Z$73,26,FALSE())),"please select a BUG ID")</f>
        <v>https://github.com/elastic/elasticsearch/issues/8893
/core/AbstractFieldMapper.java
/internal/TimestampFieldMapper.java</v>
      </c>
      <c r="C1733" s="81" t="str">
        <f>IFERROR(VLOOKUP(A1733,Internal_lists_bugs!$A$2:$I7981,9,FALSE()),"please select a BUG ID")</f>
        <v>https://github.com/elastic/elasticsearch/pull/7036</v>
      </c>
      <c r="D1733" s="112" t="s">
        <v>3413</v>
      </c>
      <c r="E1733" s="114"/>
      <c r="F1733" s="113" t="s">
        <v>251</v>
      </c>
      <c r="G1733" s="79" t="s">
        <v>1417</v>
      </c>
      <c r="H1733" s="93" t="s">
        <v>324</v>
      </c>
      <c r="I1733" s="54"/>
      <c r="K1733" s="54"/>
      <c r="M1733" s="114" t="str">
        <f>VLOOKUP(A1733,'BIC_(C_Variables)'!$A$3:$AS$43,45,FALSE())</f>
        <v>#N/A</v>
      </c>
      <c r="N1733" s="1"/>
      <c r="O1733" s="9">
        <v>7036.0</v>
      </c>
      <c r="P1733" s="81" t="str">
        <f>IFERROR(VLOOKUP(A1733,Internal_lists_bugs!$A$2:$G7981,7,FALSE()),"please select a BUG ID")</f>
        <v>https://github.com/elastic/elasticsearch/commit/85eb0ea</v>
      </c>
    </row>
    <row r="1734">
      <c r="A1734" s="16" t="s">
        <v>77</v>
      </c>
      <c r="B1734" s="50" t="str">
        <f>IFERROR(HYPERLINK(VLOOKUP(A1734,Internal_lists_bugs!$A$2:$C$73,3,FALSE()), VLOOKUP(A1734,Internal_lists_bugs!$A$2:$C$73,3,FALSE())&amp;Char(10) &amp; Char(10) &amp; VLOOKUP(A1734,Internal_lists_bugs!$A$2:$Z$73,26,FALSE())),"please select a BUG ID")</f>
        <v>https://github.com/elastic/elasticsearch/issues/8893
/core/AbstractFieldMapper.java
/internal/TimestampFieldMapper.java</v>
      </c>
      <c r="C1734" s="81" t="str">
        <f>IFERROR(VLOOKUP(A1734,Internal_lists_bugs!$A$2:$I7981,9,FALSE()),"please select a BUG ID")</f>
        <v>https://github.com/elastic/elasticsearch/pull/7036</v>
      </c>
      <c r="D1734" s="114"/>
      <c r="E1734" s="114"/>
      <c r="F1734" s="115"/>
      <c r="G1734" s="79" t="s">
        <v>3448</v>
      </c>
      <c r="H1734" s="93" t="s">
        <v>324</v>
      </c>
      <c r="I1734" s="54"/>
      <c r="K1734" s="54"/>
      <c r="M1734" s="114" t="str">
        <f>VLOOKUP(A1734,'BIC_(C_Variables)'!$A$3:$AS$43,45,FALSE())</f>
        <v>#N/A</v>
      </c>
      <c r="N1734" s="1"/>
      <c r="O1734" s="9">
        <v>7036.0</v>
      </c>
      <c r="P1734" s="81" t="str">
        <f>IFERROR(VLOOKUP(A1734,Internal_lists_bugs!$A$2:$G7981,7,FALSE()),"please select a BUG ID")</f>
        <v>https://github.com/elastic/elasticsearch/commit/85eb0ea</v>
      </c>
    </row>
    <row r="1735">
      <c r="A1735" s="16" t="s">
        <v>77</v>
      </c>
      <c r="B1735" s="50" t="str">
        <f>IFERROR(HYPERLINK(VLOOKUP(A1735,Internal_lists_bugs!$A$2:$C$73,3,FALSE()), VLOOKUP(A1735,Internal_lists_bugs!$A$2:$C$73,3,FALSE())&amp;Char(10) &amp; Char(10) &amp; VLOOKUP(A1735,Internal_lists_bugs!$A$2:$Z$73,26,FALSE())),"please select a BUG ID")</f>
        <v>https://github.com/elastic/elasticsearch/issues/8893
/core/AbstractFieldMapper.java
/internal/TimestampFieldMapper.java</v>
      </c>
      <c r="C1735" s="81" t="str">
        <f>IFERROR(VLOOKUP(A1735,Internal_lists_bugs!$A$2:$I7981,9,FALSE()),"please select a BUG ID")</f>
        <v>https://github.com/elastic/elasticsearch/pull/7036</v>
      </c>
      <c r="D1735" s="114"/>
      <c r="E1735" s="114"/>
      <c r="F1735" s="115"/>
      <c r="G1735" s="79" t="s">
        <v>3487</v>
      </c>
      <c r="H1735" s="93" t="s">
        <v>3488</v>
      </c>
      <c r="I1735" s="54"/>
      <c r="K1735" s="54"/>
      <c r="M1735" s="114" t="str">
        <f>VLOOKUP(A1735,'BIC_(C_Variables)'!$A$3:$AS$43,45,FALSE())</f>
        <v>#N/A</v>
      </c>
      <c r="N1735" s="1"/>
      <c r="O1735" s="9">
        <v>7036.0</v>
      </c>
      <c r="P1735" s="81" t="str">
        <f>IFERROR(VLOOKUP(A1735,Internal_lists_bugs!$A$2:$G7981,7,FALSE()),"please select a BUG ID")</f>
        <v>https://github.com/elastic/elasticsearch/commit/85eb0ea</v>
      </c>
    </row>
    <row r="1736">
      <c r="A1736" s="16" t="s">
        <v>77</v>
      </c>
      <c r="B1736" s="50" t="str">
        <f>IFERROR(HYPERLINK(VLOOKUP(A1736,Internal_lists_bugs!$A$2:$C$73,3,FALSE()), VLOOKUP(A1736,Internal_lists_bugs!$A$2:$C$73,3,FALSE())&amp;Char(10) &amp; Char(10) &amp; VLOOKUP(A1736,Internal_lists_bugs!$A$2:$Z$73,26,FALSE())),"please select a BUG ID")</f>
        <v>https://github.com/elastic/elasticsearch/issues/8893
/core/AbstractFieldMapper.java
/internal/TimestampFieldMapper.java</v>
      </c>
      <c r="C1736" s="81" t="str">
        <f>IFERROR(VLOOKUP(A1736,Internal_lists_bugs!$A$2:$I7981,9,FALSE()),"please select a BUG ID")</f>
        <v>https://github.com/elastic/elasticsearch/pull/7036</v>
      </c>
      <c r="D1736" s="114"/>
      <c r="E1736" s="114"/>
      <c r="F1736" s="115"/>
      <c r="G1736" s="79" t="s">
        <v>3489</v>
      </c>
      <c r="H1736" s="93" t="s">
        <v>3490</v>
      </c>
      <c r="I1736" s="54"/>
      <c r="K1736" s="54"/>
      <c r="M1736" s="114" t="str">
        <f>VLOOKUP(A1736,'BIC_(C_Variables)'!$A$3:$AS$43,45,FALSE())</f>
        <v>#N/A</v>
      </c>
      <c r="N1736" s="1"/>
      <c r="O1736" s="9">
        <v>7036.0</v>
      </c>
      <c r="P1736" s="81" t="str">
        <f>IFERROR(VLOOKUP(A1736,Internal_lists_bugs!$A$2:$G7981,7,FALSE()),"please select a BUG ID")</f>
        <v>https://github.com/elastic/elasticsearch/commit/85eb0ea</v>
      </c>
    </row>
    <row r="1737">
      <c r="A1737" s="16" t="s">
        <v>77</v>
      </c>
      <c r="B1737" s="50" t="str">
        <f>IFERROR(HYPERLINK(VLOOKUP(A1737,Internal_lists_bugs!$A$2:$C$73,3,FALSE()), VLOOKUP(A1737,Internal_lists_bugs!$A$2:$C$73,3,FALSE())&amp;Char(10) &amp; Char(10) &amp; VLOOKUP(A1737,Internal_lists_bugs!$A$2:$Z$73,26,FALSE())),"please select a BUG ID")</f>
        <v>https://github.com/elastic/elasticsearch/issues/8893
/core/AbstractFieldMapper.java
/internal/TimestampFieldMapper.java</v>
      </c>
      <c r="C1737" s="81" t="str">
        <f>IFERROR(VLOOKUP(A1737,Internal_lists_bugs!$A$2:$I7981,9,FALSE()),"please select a BUG ID")</f>
        <v>https://github.com/elastic/elasticsearch/pull/7036</v>
      </c>
      <c r="D1737" s="114"/>
      <c r="E1737" s="114"/>
      <c r="F1737" s="115"/>
      <c r="G1737" s="79" t="s">
        <v>2879</v>
      </c>
      <c r="H1737" s="93" t="s">
        <v>3491</v>
      </c>
      <c r="I1737" s="54"/>
      <c r="K1737" s="54"/>
      <c r="M1737" s="114" t="str">
        <f>VLOOKUP(A1737,'BIC_(C_Variables)'!$A$3:$AS$43,45,FALSE())</f>
        <v>#N/A</v>
      </c>
      <c r="N1737" s="1"/>
      <c r="O1737" s="9">
        <v>7036.0</v>
      </c>
      <c r="P1737" s="81" t="str">
        <f>IFERROR(VLOOKUP(A1737,Internal_lists_bugs!$A$2:$G7981,7,FALSE()),"please select a BUG ID")</f>
        <v>https://github.com/elastic/elasticsearch/commit/85eb0ea</v>
      </c>
    </row>
    <row r="1738">
      <c r="A1738" s="16" t="s">
        <v>77</v>
      </c>
      <c r="B1738" s="50" t="str">
        <f>IFERROR(HYPERLINK(VLOOKUP(A1738,Internal_lists_bugs!$A$2:$C$73,3,FALSE()), VLOOKUP(A1738,Internal_lists_bugs!$A$2:$C$73,3,FALSE())&amp;Char(10) &amp; Char(10) &amp; VLOOKUP(A1738,Internal_lists_bugs!$A$2:$Z$73,26,FALSE())),"please select a BUG ID")</f>
        <v>https://github.com/elastic/elasticsearch/issues/8893
/core/AbstractFieldMapper.java
/internal/TimestampFieldMapper.java</v>
      </c>
      <c r="C1738" s="81" t="str">
        <f>IFERROR(VLOOKUP(A1738,Internal_lists_bugs!$A$2:$I7981,9,FALSE()),"please select a BUG ID")</f>
        <v>https://github.com/elastic/elasticsearch/pull/7036</v>
      </c>
      <c r="D1738" s="114"/>
      <c r="E1738" s="114"/>
      <c r="F1738" s="115"/>
      <c r="G1738" s="79" t="s">
        <v>2881</v>
      </c>
      <c r="H1738" s="93" t="s">
        <v>3492</v>
      </c>
      <c r="I1738" s="54"/>
      <c r="K1738" s="54"/>
      <c r="M1738" s="114" t="str">
        <f>VLOOKUP(A1738,'BIC_(C_Variables)'!$A$3:$AS$43,45,FALSE())</f>
        <v>#N/A</v>
      </c>
      <c r="N1738" s="1"/>
      <c r="O1738" s="9">
        <v>7036.0</v>
      </c>
      <c r="P1738" s="81" t="str">
        <f>IFERROR(VLOOKUP(A1738,Internal_lists_bugs!$A$2:$G7981,7,FALSE()),"please select a BUG ID")</f>
        <v>https://github.com/elastic/elasticsearch/commit/85eb0ea</v>
      </c>
    </row>
    <row r="1739">
      <c r="A1739" s="16" t="s">
        <v>77</v>
      </c>
      <c r="B1739" s="50" t="str">
        <f>IFERROR(HYPERLINK(VLOOKUP(A1739,Internal_lists_bugs!$A$2:$C$73,3,FALSE()), VLOOKUP(A1739,Internal_lists_bugs!$A$2:$C$73,3,FALSE())&amp;Char(10) &amp; Char(10) &amp; VLOOKUP(A1739,Internal_lists_bugs!$A$2:$Z$73,26,FALSE())),"please select a BUG ID")</f>
        <v>https://github.com/elastic/elasticsearch/issues/8893
/core/AbstractFieldMapper.java
/internal/TimestampFieldMapper.java</v>
      </c>
      <c r="C1739" s="81" t="str">
        <f>IFERROR(VLOOKUP(A1739,Internal_lists_bugs!$A$2:$I7981,9,FALSE()),"please select a BUG ID")</f>
        <v>https://github.com/elastic/elasticsearch/pull/7036</v>
      </c>
      <c r="D1739" s="114"/>
      <c r="E1739" s="114"/>
      <c r="F1739" s="115"/>
      <c r="G1739" s="79" t="s">
        <v>2581</v>
      </c>
      <c r="H1739" s="93" t="s">
        <v>3493</v>
      </c>
      <c r="I1739" s="54"/>
      <c r="K1739" s="54"/>
      <c r="M1739" s="114" t="str">
        <f>VLOOKUP(A1739,'BIC_(C_Variables)'!$A$3:$AS$43,45,FALSE())</f>
        <v>#N/A</v>
      </c>
      <c r="N1739" s="1"/>
      <c r="O1739" s="9">
        <v>7036.0</v>
      </c>
      <c r="P1739" s="81" t="str">
        <f>IFERROR(VLOOKUP(A1739,Internal_lists_bugs!$A$2:$G7981,7,FALSE()),"please select a BUG ID")</f>
        <v>https://github.com/elastic/elasticsearch/commit/85eb0ea</v>
      </c>
    </row>
    <row r="1740">
      <c r="A1740" s="16" t="s">
        <v>77</v>
      </c>
      <c r="B1740" s="50" t="str">
        <f>IFERROR(HYPERLINK(VLOOKUP(A1740,Internal_lists_bugs!$A$2:$C$73,3,FALSE()), VLOOKUP(A1740,Internal_lists_bugs!$A$2:$C$73,3,FALSE())&amp;Char(10) &amp; Char(10) &amp; VLOOKUP(A1740,Internal_lists_bugs!$A$2:$Z$73,26,FALSE())),"please select a BUG ID")</f>
        <v>https://github.com/elastic/elasticsearch/issues/8893
/core/AbstractFieldMapper.java
/internal/TimestampFieldMapper.java</v>
      </c>
      <c r="C1740" s="81" t="str">
        <f>IFERROR(VLOOKUP(A1740,Internal_lists_bugs!$A$2:$I7981,9,FALSE()),"please select a BUG ID")</f>
        <v>https://github.com/elastic/elasticsearch/pull/7036</v>
      </c>
      <c r="D1740" s="114"/>
      <c r="E1740" s="114"/>
      <c r="F1740" s="115"/>
      <c r="G1740" s="79" t="s">
        <v>3494</v>
      </c>
      <c r="H1740" s="93" t="s">
        <v>3495</v>
      </c>
      <c r="I1740" s="54"/>
      <c r="K1740" s="54"/>
      <c r="M1740" s="114" t="str">
        <f>VLOOKUP(A1740,'BIC_(C_Variables)'!$A$3:$AS$43,45,FALSE())</f>
        <v>#N/A</v>
      </c>
      <c r="N1740" s="1"/>
      <c r="O1740" s="9">
        <v>7036.0</v>
      </c>
      <c r="P1740" s="81" t="str">
        <f>IFERROR(VLOOKUP(A1740,Internal_lists_bugs!$A$2:$G7981,7,FALSE()),"please select a BUG ID")</f>
        <v>https://github.com/elastic/elasticsearch/commit/85eb0ea</v>
      </c>
    </row>
    <row r="1741">
      <c r="A1741" s="16" t="s">
        <v>77</v>
      </c>
      <c r="B1741" s="50" t="str">
        <f>IFERROR(HYPERLINK(VLOOKUP(A1741,Internal_lists_bugs!$A$2:$C$73,3,FALSE()), VLOOKUP(A1741,Internal_lists_bugs!$A$2:$C$73,3,FALSE())&amp;Char(10) &amp; Char(10) &amp; VLOOKUP(A1741,Internal_lists_bugs!$A$2:$Z$73,26,FALSE())),"please select a BUG ID")</f>
        <v>https://github.com/elastic/elasticsearch/issues/8893
/core/AbstractFieldMapper.java
/internal/TimestampFieldMapper.java</v>
      </c>
      <c r="C1741" s="81" t="str">
        <f>IFERROR(VLOOKUP(A1741,Internal_lists_bugs!$A$2:$I7981,9,FALSE()),"please select a BUG ID")</f>
        <v>https://github.com/elastic/elasticsearch/pull/7036</v>
      </c>
      <c r="D1741" s="114"/>
      <c r="E1741" s="114"/>
      <c r="F1741" s="115"/>
      <c r="G1741" s="79" t="s">
        <v>3480</v>
      </c>
      <c r="H1741" s="93" t="s">
        <v>3496</v>
      </c>
      <c r="I1741" s="54"/>
      <c r="K1741" s="54"/>
      <c r="M1741" s="114" t="str">
        <f>VLOOKUP(A1741,'BIC_(C_Variables)'!$A$3:$AS$43,45,FALSE())</f>
        <v>#N/A</v>
      </c>
      <c r="N1741" s="1"/>
      <c r="O1741" s="9">
        <v>7036.0</v>
      </c>
      <c r="P1741" s="81" t="str">
        <f>IFERROR(VLOOKUP(A1741,Internal_lists_bugs!$A$2:$G7981,7,FALSE()),"please select a BUG ID")</f>
        <v>https://github.com/elastic/elasticsearch/commit/85eb0ea</v>
      </c>
    </row>
    <row r="1742">
      <c r="A1742" s="16" t="s">
        <v>77</v>
      </c>
      <c r="B1742" s="50" t="str">
        <f>IFERROR(HYPERLINK(VLOOKUP(A1742,Internal_lists_bugs!$A$2:$C$73,3,FALSE()), VLOOKUP(A1742,Internal_lists_bugs!$A$2:$C$73,3,FALSE())&amp;Char(10) &amp; Char(10) &amp; VLOOKUP(A1742,Internal_lists_bugs!$A$2:$Z$73,26,FALSE())),"please select a BUG ID")</f>
        <v>https://github.com/elastic/elasticsearch/issues/8893
/core/AbstractFieldMapper.java
/internal/TimestampFieldMapper.java</v>
      </c>
      <c r="C1742" s="81" t="str">
        <f>IFERROR(VLOOKUP(A1742,Internal_lists_bugs!$A$2:$I7981,9,FALSE()),"please select a BUG ID")</f>
        <v>https://github.com/elastic/elasticsearch/pull/7036</v>
      </c>
      <c r="D1742" s="114"/>
      <c r="E1742" s="114"/>
      <c r="F1742" s="115"/>
      <c r="G1742" s="79" t="s">
        <v>3446</v>
      </c>
      <c r="H1742" s="93" t="s">
        <v>3481</v>
      </c>
      <c r="I1742" s="54"/>
      <c r="K1742" s="54"/>
      <c r="M1742" s="114" t="str">
        <f>VLOOKUP(A1742,'BIC_(C_Variables)'!$A$3:$AS$43,45,FALSE())</f>
        <v>#N/A</v>
      </c>
      <c r="N1742" s="1"/>
      <c r="O1742" s="9">
        <v>7036.0</v>
      </c>
      <c r="P1742" s="81" t="str">
        <f>IFERROR(VLOOKUP(A1742,Internal_lists_bugs!$A$2:$G7981,7,FALSE()),"please select a BUG ID")</f>
        <v>https://github.com/elastic/elasticsearch/commit/85eb0ea</v>
      </c>
    </row>
    <row r="1743">
      <c r="A1743" s="16" t="s">
        <v>77</v>
      </c>
      <c r="B1743" s="50" t="str">
        <f>IFERROR(HYPERLINK(VLOOKUP(A1743,Internal_lists_bugs!$A$2:$C$73,3,FALSE()), VLOOKUP(A1743,Internal_lists_bugs!$A$2:$C$73,3,FALSE())&amp;Char(10) &amp; Char(10) &amp; VLOOKUP(A1743,Internal_lists_bugs!$A$2:$Z$73,26,FALSE())),"please select a BUG ID")</f>
        <v>https://github.com/elastic/elasticsearch/issues/8893
/core/AbstractFieldMapper.java
/internal/TimestampFieldMapper.java</v>
      </c>
      <c r="C1743" s="81" t="str">
        <f>IFERROR(VLOOKUP(A1743,Internal_lists_bugs!$A$2:$I7981,9,FALSE()),"please select a BUG ID")</f>
        <v>https://github.com/elastic/elasticsearch/pull/7036</v>
      </c>
      <c r="D1743" s="114"/>
      <c r="E1743" s="114"/>
      <c r="F1743" s="115"/>
      <c r="G1743" s="79" t="s">
        <v>3497</v>
      </c>
      <c r="H1743" s="93" t="s">
        <v>3498</v>
      </c>
      <c r="I1743" s="54"/>
      <c r="K1743" s="54"/>
      <c r="M1743" s="114" t="str">
        <f>VLOOKUP(A1743,'BIC_(C_Variables)'!$A$3:$AS$43,45,FALSE())</f>
        <v>#N/A</v>
      </c>
      <c r="N1743" s="1"/>
      <c r="O1743" s="9">
        <v>7036.0</v>
      </c>
      <c r="P1743" s="81" t="str">
        <f>IFERROR(VLOOKUP(A1743,Internal_lists_bugs!$A$2:$G7981,7,FALSE()),"please select a BUG ID")</f>
        <v>https://github.com/elastic/elasticsearch/commit/85eb0ea</v>
      </c>
    </row>
    <row r="1744">
      <c r="A1744" s="16" t="s">
        <v>80</v>
      </c>
      <c r="B1744" s="50" t="str">
        <f>IFERROR(HYPERLINK(VLOOKUP(A1744,Internal_lists_bugs!$A$2:$C$73,3,FALSE()), VLOOKUP(A1744,Internal_lists_bugs!$A$2:$C$73,3,FALSE())&amp;Char(10) &amp; Char(10) &amp; VLOOKUP(A1744,Internal_lists_bugs!$A$2:$Z$73,26,FALSE())),"please select a BUG ID")</f>
        <v>https://github.com/elastic/elasticsearch/issues/14782
/mapper/MappedFieldType.java</v>
      </c>
      <c r="C1744" s="81" t="str">
        <f>IFERROR(VLOOKUP(A1744,Internal_lists_bugs!$A$2:$I7981,9,FALSE()),"please select a BUG ID")</f>
        <v>https://github.com/elastic/elasticsearch/pull/13788, https://github.com/elastic/elasticsearch/pull/12943, https://github.com/elastic/elasticsearch/pull/12694, https://github.com/elastic/elasticsearch/pull/12527 (II)</v>
      </c>
      <c r="D1744" s="112" t="s">
        <v>3413</v>
      </c>
      <c r="E1744" s="114"/>
      <c r="F1744" s="113" t="s">
        <v>123</v>
      </c>
      <c r="G1744" s="79" t="s">
        <v>1417</v>
      </c>
      <c r="H1744" s="93" t="s">
        <v>324</v>
      </c>
      <c r="I1744" s="16" t="s">
        <v>123</v>
      </c>
      <c r="K1744" s="16" t="s">
        <v>123</v>
      </c>
      <c r="M1744" s="114" t="str">
        <f>VLOOKUP(A1744,'BIC_(C_Variables)'!$A$3:$AS$43,45,FALSE())</f>
        <v>#N/A</v>
      </c>
      <c r="N1744" s="9" t="s">
        <v>3445</v>
      </c>
      <c r="O1744" s="9">
        <v>13788.0</v>
      </c>
      <c r="P1744" s="81" t="str">
        <f>IFERROR(VLOOKUP(A1744,Internal_lists_bugs!$A$2:$G7981,7,FALSE()),"please select a BUG ID")</f>
        <v>https://github.com/elastic/elasticsearch/commit/904cbf534</v>
      </c>
    </row>
    <row r="1745">
      <c r="A1745" s="16" t="s">
        <v>80</v>
      </c>
      <c r="B1745" s="50" t="str">
        <f>IFERROR(HYPERLINK(VLOOKUP(A1745,Internal_lists_bugs!$A$2:$C$73,3,FALSE()), VLOOKUP(A1745,Internal_lists_bugs!$A$2:$C$73,3,FALSE())&amp;Char(10) &amp; Char(10) &amp; VLOOKUP(A1745,Internal_lists_bugs!$A$2:$Z$73,26,FALSE())),"please select a BUG ID")</f>
        <v>https://github.com/elastic/elasticsearch/issues/14782
/mapper/MappedFieldType.java</v>
      </c>
      <c r="C1745" s="81" t="str">
        <f>IFERROR(VLOOKUP(A1745,Internal_lists_bugs!$A$2:$I7981,9,FALSE()),"please select a BUG ID")</f>
        <v>https://github.com/elastic/elasticsearch/pull/13788, https://github.com/elastic/elasticsearch/pull/12943, https://github.com/elastic/elasticsearch/pull/12694, https://github.com/elastic/elasticsearch/pull/12527 (II)</v>
      </c>
      <c r="D1745" s="114"/>
      <c r="E1745" s="114"/>
      <c r="F1745" s="115"/>
      <c r="G1745" s="79" t="s">
        <v>3448</v>
      </c>
      <c r="H1745" s="93" t="s">
        <v>324</v>
      </c>
      <c r="I1745" s="54"/>
      <c r="K1745" s="54"/>
      <c r="M1745" s="114" t="str">
        <f>VLOOKUP(A1745,'BIC_(C_Variables)'!$A$3:$AS$43,45,FALSE())</f>
        <v>#N/A</v>
      </c>
      <c r="N1745" s="1"/>
      <c r="O1745" s="9">
        <v>13788.0</v>
      </c>
      <c r="P1745" s="81" t="str">
        <f>IFERROR(VLOOKUP(A1745,Internal_lists_bugs!$A$2:$G7981,7,FALSE()),"please select a BUG ID")</f>
        <v>https://github.com/elastic/elasticsearch/commit/904cbf534</v>
      </c>
    </row>
    <row r="1746">
      <c r="A1746" s="16" t="s">
        <v>80</v>
      </c>
      <c r="B1746" s="50" t="str">
        <f>IFERROR(HYPERLINK(VLOOKUP(A1746,Internal_lists_bugs!$A$2:$C$73,3,FALSE()), VLOOKUP(A1746,Internal_lists_bugs!$A$2:$C$73,3,FALSE())&amp;Char(10) &amp; Char(10) &amp; VLOOKUP(A1746,Internal_lists_bugs!$A$2:$Z$73,26,FALSE())),"please select a BUG ID")</f>
        <v>https://github.com/elastic/elasticsearch/issues/14782
/mapper/MappedFieldType.java</v>
      </c>
      <c r="C1746" s="81" t="str">
        <f>IFERROR(VLOOKUP(A1746,Internal_lists_bugs!$A$2:$I7981,9,FALSE()),"please select a BUG ID")</f>
        <v>https://github.com/elastic/elasticsearch/pull/13788, https://github.com/elastic/elasticsearch/pull/12943, https://github.com/elastic/elasticsearch/pull/12694, https://github.com/elastic/elasticsearch/pull/12527 (II)</v>
      </c>
      <c r="D1746" s="114"/>
      <c r="E1746" s="114"/>
      <c r="F1746" s="115"/>
      <c r="G1746" s="79" t="s">
        <v>3446</v>
      </c>
      <c r="H1746" s="93" t="s">
        <v>3499</v>
      </c>
      <c r="I1746" s="54"/>
      <c r="K1746" s="54"/>
      <c r="M1746" s="114" t="str">
        <f>VLOOKUP(A1746,'BIC_(C_Variables)'!$A$3:$AS$43,45,FALSE())</f>
        <v>#N/A</v>
      </c>
      <c r="N1746" s="1"/>
      <c r="O1746" s="9">
        <v>13788.0</v>
      </c>
      <c r="P1746" s="81" t="str">
        <f>IFERROR(VLOOKUP(A1746,Internal_lists_bugs!$A$2:$G7981,7,FALSE()),"please select a BUG ID")</f>
        <v>https://github.com/elastic/elasticsearch/commit/904cbf534</v>
      </c>
    </row>
    <row r="1747">
      <c r="A1747" s="16" t="s">
        <v>80</v>
      </c>
      <c r="B1747" s="50" t="str">
        <f>IFERROR(HYPERLINK(VLOOKUP(A1747,Internal_lists_bugs!$A$2:$C$73,3,FALSE()), VLOOKUP(A1747,Internal_lists_bugs!$A$2:$C$73,3,FALSE())&amp;Char(10) &amp; Char(10) &amp; VLOOKUP(A1747,Internal_lists_bugs!$A$2:$Z$73,26,FALSE())),"please select a BUG ID")</f>
        <v>https://github.com/elastic/elasticsearch/issues/14782
/mapper/MappedFieldType.java</v>
      </c>
      <c r="C1747" s="81" t="str">
        <f>IFERROR(VLOOKUP(A1747,Internal_lists_bugs!$A$2:$I7981,9,FALSE()),"please select a BUG ID")</f>
        <v>https://github.com/elastic/elasticsearch/pull/13788, https://github.com/elastic/elasticsearch/pull/12943, https://github.com/elastic/elasticsearch/pull/12694, https://github.com/elastic/elasticsearch/pull/12527 (II)</v>
      </c>
      <c r="D1747" s="114"/>
      <c r="E1747" s="114"/>
      <c r="F1747" s="115"/>
      <c r="G1747" s="79" t="s">
        <v>3500</v>
      </c>
      <c r="H1747" s="93" t="s">
        <v>3501</v>
      </c>
      <c r="I1747" s="54"/>
      <c r="K1747" s="54"/>
      <c r="M1747" s="114" t="str">
        <f>VLOOKUP(A1747,'BIC_(C_Variables)'!$A$3:$AS$43,45,FALSE())</f>
        <v>#N/A</v>
      </c>
      <c r="N1747" s="1"/>
      <c r="O1747" s="9">
        <v>13788.0</v>
      </c>
      <c r="P1747" s="81" t="str">
        <f>IFERROR(VLOOKUP(A1747,Internal_lists_bugs!$A$2:$G7981,7,FALSE()),"please select a BUG ID")</f>
        <v>https://github.com/elastic/elasticsearch/commit/904cbf534</v>
      </c>
    </row>
    <row r="1748">
      <c r="A1748" s="16" t="s">
        <v>80</v>
      </c>
      <c r="B1748" s="50" t="str">
        <f>IFERROR(HYPERLINK(VLOOKUP(A1748,Internal_lists_bugs!$A$2:$C$73,3,FALSE()), VLOOKUP(A1748,Internal_lists_bugs!$A$2:$C$73,3,FALSE())&amp;Char(10) &amp; Char(10) &amp; VLOOKUP(A1748,Internal_lists_bugs!$A$2:$Z$73,26,FALSE())),"please select a BUG ID")</f>
        <v>https://github.com/elastic/elasticsearch/issues/14782
/mapper/MappedFieldType.java</v>
      </c>
      <c r="C1748" s="81" t="str">
        <f>IFERROR(VLOOKUP(A1748,Internal_lists_bugs!$A$2:$I7981,9,FALSE()),"please select a BUG ID")</f>
        <v>https://github.com/elastic/elasticsearch/pull/13788, https://github.com/elastic/elasticsearch/pull/12943, https://github.com/elastic/elasticsearch/pull/12694, https://github.com/elastic/elasticsearch/pull/12527 (II)</v>
      </c>
      <c r="D1748" s="114"/>
      <c r="E1748" s="114"/>
      <c r="F1748" s="115"/>
      <c r="G1748" s="79" t="s">
        <v>3502</v>
      </c>
      <c r="H1748" s="93" t="s">
        <v>3501</v>
      </c>
      <c r="I1748" s="54"/>
      <c r="K1748" s="54"/>
      <c r="M1748" s="114" t="str">
        <f>VLOOKUP(A1748,'BIC_(C_Variables)'!$A$3:$AS$43,45,FALSE())</f>
        <v>#N/A</v>
      </c>
      <c r="N1748" s="1"/>
      <c r="O1748" s="9">
        <v>13788.0</v>
      </c>
      <c r="P1748" s="81" t="str">
        <f>IFERROR(VLOOKUP(A1748,Internal_lists_bugs!$A$2:$G7981,7,FALSE()),"please select a BUG ID")</f>
        <v>https://github.com/elastic/elasticsearch/commit/904cbf534</v>
      </c>
    </row>
    <row r="1749">
      <c r="A1749" s="16" t="s">
        <v>80</v>
      </c>
      <c r="B1749" s="50" t="str">
        <f>IFERROR(HYPERLINK(VLOOKUP(A1749,Internal_lists_bugs!$A$2:$C$73,3,FALSE()), VLOOKUP(A1749,Internal_lists_bugs!$A$2:$C$73,3,FALSE())&amp;Char(10) &amp; Char(10) &amp; VLOOKUP(A1749,Internal_lists_bugs!$A$2:$Z$73,26,FALSE())),"please select a BUG ID")</f>
        <v>https://github.com/elastic/elasticsearch/issues/14782
/mapper/MappedFieldType.java</v>
      </c>
      <c r="C1749" s="81" t="str">
        <f>IFERROR(VLOOKUP(A1749,Internal_lists_bugs!$A$2:$I7981,9,FALSE()),"please select a BUG ID")</f>
        <v>https://github.com/elastic/elasticsearch/pull/13788, https://github.com/elastic/elasticsearch/pull/12943, https://github.com/elastic/elasticsearch/pull/12694, https://github.com/elastic/elasticsearch/pull/12527 (II)</v>
      </c>
      <c r="D1749" s="114"/>
      <c r="E1749" s="114"/>
      <c r="F1749" s="115"/>
      <c r="G1749" s="79" t="s">
        <v>3503</v>
      </c>
      <c r="H1749" s="93" t="s">
        <v>3504</v>
      </c>
      <c r="I1749" s="54"/>
      <c r="K1749" s="54"/>
      <c r="M1749" s="114" t="str">
        <f>VLOOKUP(A1749,'BIC_(C_Variables)'!$A$3:$AS$43,45,FALSE())</f>
        <v>#N/A</v>
      </c>
      <c r="N1749" s="1"/>
      <c r="O1749" s="9">
        <v>13788.0</v>
      </c>
      <c r="P1749" s="81" t="str">
        <f>IFERROR(VLOOKUP(A1749,Internal_lists_bugs!$A$2:$G7981,7,FALSE()),"please select a BUG ID")</f>
        <v>https://github.com/elastic/elasticsearch/commit/904cbf534</v>
      </c>
    </row>
    <row r="1750">
      <c r="A1750" s="16" t="s">
        <v>80</v>
      </c>
      <c r="B1750" s="50" t="str">
        <f>IFERROR(HYPERLINK(VLOOKUP(A1750,Internal_lists_bugs!$A$2:$C$73,3,FALSE()), VLOOKUP(A1750,Internal_lists_bugs!$A$2:$C$73,3,FALSE())&amp;Char(10) &amp; Char(10) &amp; VLOOKUP(A1750,Internal_lists_bugs!$A$2:$Z$73,26,FALSE())),"please select a BUG ID")</f>
        <v>https://github.com/elastic/elasticsearch/issues/14782
/mapper/MappedFieldType.java</v>
      </c>
      <c r="C1750" s="81" t="str">
        <f>IFERROR(VLOOKUP(A1750,Internal_lists_bugs!$A$2:$I7981,9,FALSE()),"please select a BUG ID")</f>
        <v>https://github.com/elastic/elasticsearch/pull/13788, https://github.com/elastic/elasticsearch/pull/12943, https://github.com/elastic/elasticsearch/pull/12694, https://github.com/elastic/elasticsearch/pull/12527 (II)</v>
      </c>
      <c r="D1750" s="112"/>
      <c r="E1750" s="114"/>
      <c r="F1750" s="115"/>
      <c r="G1750" s="79" t="s">
        <v>3505</v>
      </c>
      <c r="H1750" s="93" t="s">
        <v>3506</v>
      </c>
      <c r="I1750" s="54"/>
      <c r="K1750" s="54"/>
      <c r="M1750" s="114" t="str">
        <f>VLOOKUP(A1750,'BIC_(C_Variables)'!$A$3:$AS$43,45,FALSE())</f>
        <v>#N/A</v>
      </c>
      <c r="N1750" s="1"/>
      <c r="O1750" s="9">
        <v>13788.0</v>
      </c>
      <c r="P1750" s="81" t="str">
        <f>IFERROR(VLOOKUP(A1750,Internal_lists_bugs!$A$2:$G7981,7,FALSE()),"please select a BUG ID")</f>
        <v>https://github.com/elastic/elasticsearch/commit/904cbf534</v>
      </c>
    </row>
    <row r="1751">
      <c r="A1751" s="16" t="s">
        <v>80</v>
      </c>
      <c r="B1751" s="50" t="str">
        <f>IFERROR(HYPERLINK(VLOOKUP(A1751,Internal_lists_bugs!$A$2:$C$73,3,FALSE()), VLOOKUP(A1751,Internal_lists_bugs!$A$2:$C$73,3,FALSE())&amp;Char(10) &amp; Char(10) &amp; VLOOKUP(A1751,Internal_lists_bugs!$A$2:$Z$73,26,FALSE())),"please select a BUG ID")</f>
        <v>https://github.com/elastic/elasticsearch/issues/14782
/mapper/MappedFieldType.java</v>
      </c>
      <c r="C1751" s="81" t="str">
        <f>IFERROR(VLOOKUP(A1751,Internal_lists_bugs!$A$2:$I7981,9,FALSE()),"please select a BUG ID")</f>
        <v>https://github.com/elastic/elasticsearch/pull/13788, https://github.com/elastic/elasticsearch/pull/12943, https://github.com/elastic/elasticsearch/pull/12694, https://github.com/elastic/elasticsearch/pull/12527 (II)</v>
      </c>
      <c r="D1751" s="112" t="s">
        <v>3413</v>
      </c>
      <c r="E1751" s="114"/>
      <c r="F1751" s="113" t="s">
        <v>251</v>
      </c>
      <c r="G1751" s="79" t="s">
        <v>1417</v>
      </c>
      <c r="H1751" s="93" t="s">
        <v>324</v>
      </c>
      <c r="I1751" s="16" t="s">
        <v>123</v>
      </c>
      <c r="J1751" s="16" t="s">
        <v>3507</v>
      </c>
      <c r="K1751" s="16" t="s">
        <v>251</v>
      </c>
      <c r="L1751" s="16" t="s">
        <v>3508</v>
      </c>
      <c r="M1751" s="114" t="str">
        <f>VLOOKUP(A1751,'BIC_(C_Variables)'!$A$3:$AS$43,45,FALSE())</f>
        <v>#N/A</v>
      </c>
      <c r="N1751" s="9" t="s">
        <v>3415</v>
      </c>
      <c r="O1751" s="9">
        <v>12943.0</v>
      </c>
      <c r="P1751" s="81" t="str">
        <f>IFERROR(VLOOKUP(A1751,Internal_lists_bugs!$A$2:$G7981,7,FALSE()),"please select a BUG ID")</f>
        <v>https://github.com/elastic/elasticsearch/commit/904cbf534</v>
      </c>
    </row>
    <row r="1752">
      <c r="A1752" s="16" t="s">
        <v>80</v>
      </c>
      <c r="B1752" s="50" t="str">
        <f>IFERROR(HYPERLINK(VLOOKUP(A1752,Internal_lists_bugs!$A$2:$C$73,3,FALSE()), VLOOKUP(A1752,Internal_lists_bugs!$A$2:$C$73,3,FALSE())&amp;Char(10) &amp; Char(10) &amp; VLOOKUP(A1752,Internal_lists_bugs!$A$2:$Z$73,26,FALSE())),"please select a BUG ID")</f>
        <v>https://github.com/elastic/elasticsearch/issues/14782
/mapper/MappedFieldType.java</v>
      </c>
      <c r="C1752" s="81" t="str">
        <f>IFERROR(VLOOKUP(A1752,Internal_lists_bugs!$A$2:$I7981,9,FALSE()),"please select a BUG ID")</f>
        <v>https://github.com/elastic/elasticsearch/pull/13788, https://github.com/elastic/elasticsearch/pull/12943, https://github.com/elastic/elasticsearch/pull/12694, https://github.com/elastic/elasticsearch/pull/12527 (II)</v>
      </c>
      <c r="D1752" s="114"/>
      <c r="E1752" s="114"/>
      <c r="F1752" s="115"/>
      <c r="G1752" s="79" t="s">
        <v>3446</v>
      </c>
      <c r="H1752" s="93" t="s">
        <v>3509</v>
      </c>
      <c r="I1752" s="54"/>
      <c r="K1752" s="54"/>
      <c r="M1752" s="114" t="str">
        <f>VLOOKUP(A1752,'BIC_(C_Variables)'!$A$3:$AS$43,45,FALSE())</f>
        <v>#N/A</v>
      </c>
      <c r="N1752" s="1"/>
      <c r="O1752" s="9">
        <v>12943.0</v>
      </c>
      <c r="P1752" s="81" t="str">
        <f>IFERROR(VLOOKUP(A1752,Internal_lists_bugs!$A$2:$G7981,7,FALSE()),"please select a BUG ID")</f>
        <v>https://github.com/elastic/elasticsearch/commit/904cbf534</v>
      </c>
    </row>
    <row r="1753">
      <c r="A1753" s="16" t="s">
        <v>80</v>
      </c>
      <c r="B1753" s="50" t="str">
        <f>IFERROR(HYPERLINK(VLOOKUP(A1753,Internal_lists_bugs!$A$2:$C$73,3,FALSE()), VLOOKUP(A1753,Internal_lists_bugs!$A$2:$C$73,3,FALSE())&amp;Char(10) &amp; Char(10) &amp; VLOOKUP(A1753,Internal_lists_bugs!$A$2:$Z$73,26,FALSE())),"please select a BUG ID")</f>
        <v>https://github.com/elastic/elasticsearch/issues/14782
/mapper/MappedFieldType.java</v>
      </c>
      <c r="C1753" s="81" t="str">
        <f>IFERROR(VLOOKUP(A1753,Internal_lists_bugs!$A$2:$I7981,9,FALSE()),"please select a BUG ID")</f>
        <v>https://github.com/elastic/elasticsearch/pull/13788, https://github.com/elastic/elasticsearch/pull/12943, https://github.com/elastic/elasticsearch/pull/12694, https://github.com/elastic/elasticsearch/pull/12527 (II)</v>
      </c>
      <c r="D1753" s="114"/>
      <c r="E1753" s="114"/>
      <c r="F1753" s="115"/>
      <c r="G1753" s="79" t="s">
        <v>3510</v>
      </c>
      <c r="H1753" s="93" t="s">
        <v>3511</v>
      </c>
      <c r="I1753" s="54"/>
      <c r="K1753" s="54"/>
      <c r="M1753" s="114" t="str">
        <f>VLOOKUP(A1753,'BIC_(C_Variables)'!$A$3:$AS$43,45,FALSE())</f>
        <v>#N/A</v>
      </c>
      <c r="N1753" s="1"/>
      <c r="O1753" s="9">
        <v>12943.0</v>
      </c>
      <c r="P1753" s="81" t="str">
        <f>IFERROR(VLOOKUP(A1753,Internal_lists_bugs!$A$2:$G7981,7,FALSE()),"please select a BUG ID")</f>
        <v>https://github.com/elastic/elasticsearch/commit/904cbf534</v>
      </c>
    </row>
    <row r="1754">
      <c r="A1754" s="16" t="s">
        <v>80</v>
      </c>
      <c r="B1754" s="50" t="str">
        <f>IFERROR(HYPERLINK(VLOOKUP(A1754,Internal_lists_bugs!$A$2:$C$73,3,FALSE()), VLOOKUP(A1754,Internal_lists_bugs!$A$2:$C$73,3,FALSE())&amp;Char(10) &amp; Char(10) &amp; VLOOKUP(A1754,Internal_lists_bugs!$A$2:$Z$73,26,FALSE())),"please select a BUG ID")</f>
        <v>https://github.com/elastic/elasticsearch/issues/14782
/mapper/MappedFieldType.java</v>
      </c>
      <c r="C1754" s="81" t="str">
        <f>IFERROR(VLOOKUP(A1754,Internal_lists_bugs!$A$2:$I7981,9,FALSE()),"please select a BUG ID")</f>
        <v>https://github.com/elastic/elasticsearch/pull/13788, https://github.com/elastic/elasticsearch/pull/12943, https://github.com/elastic/elasticsearch/pull/12694, https://github.com/elastic/elasticsearch/pull/12527 (II)</v>
      </c>
      <c r="D1754" s="114"/>
      <c r="E1754" s="114"/>
      <c r="F1754" s="115"/>
      <c r="G1754" s="79" t="s">
        <v>3512</v>
      </c>
      <c r="H1754" s="93" t="s">
        <v>3511</v>
      </c>
      <c r="I1754" s="54"/>
      <c r="K1754" s="54"/>
      <c r="M1754" s="114" t="str">
        <f>VLOOKUP(A1754,'BIC_(C_Variables)'!$A$3:$AS$43,45,FALSE())</f>
        <v>#N/A</v>
      </c>
      <c r="N1754" s="1"/>
      <c r="O1754" s="9">
        <v>12943.0</v>
      </c>
      <c r="P1754" s="81" t="str">
        <f>IFERROR(VLOOKUP(A1754,Internal_lists_bugs!$A$2:$G7981,7,FALSE()),"please select a BUG ID")</f>
        <v>https://github.com/elastic/elasticsearch/commit/904cbf534</v>
      </c>
    </row>
    <row r="1755">
      <c r="A1755" s="16" t="s">
        <v>80</v>
      </c>
      <c r="B1755" s="50" t="str">
        <f>IFERROR(HYPERLINK(VLOOKUP(A1755,Internal_lists_bugs!$A$2:$C$73,3,FALSE()), VLOOKUP(A1755,Internal_lists_bugs!$A$2:$C$73,3,FALSE())&amp;Char(10) &amp; Char(10) &amp; VLOOKUP(A1755,Internal_lists_bugs!$A$2:$Z$73,26,FALSE())),"please select a BUG ID")</f>
        <v>https://github.com/elastic/elasticsearch/issues/14782
/mapper/MappedFieldType.java</v>
      </c>
      <c r="C1755" s="81" t="str">
        <f>IFERROR(VLOOKUP(A1755,Internal_lists_bugs!$A$2:$I7981,9,FALSE()),"please select a BUG ID")</f>
        <v>https://github.com/elastic/elasticsearch/pull/13788, https://github.com/elastic/elasticsearch/pull/12943, https://github.com/elastic/elasticsearch/pull/12694, https://github.com/elastic/elasticsearch/pull/12527 (II)</v>
      </c>
      <c r="D1755" s="114"/>
      <c r="E1755" s="114"/>
      <c r="F1755" s="115"/>
      <c r="G1755" s="79" t="s">
        <v>3513</v>
      </c>
      <c r="H1755" s="93" t="s">
        <v>3514</v>
      </c>
      <c r="I1755" s="54"/>
      <c r="K1755" s="54"/>
      <c r="M1755" s="114" t="str">
        <f>VLOOKUP(A1755,'BIC_(C_Variables)'!$A$3:$AS$43,45,FALSE())</f>
        <v>#N/A</v>
      </c>
      <c r="N1755" s="1"/>
      <c r="O1755" s="9">
        <v>12943.0</v>
      </c>
      <c r="P1755" s="81" t="str">
        <f>IFERROR(VLOOKUP(A1755,Internal_lists_bugs!$A$2:$G7981,7,FALSE()),"please select a BUG ID")</f>
        <v>https://github.com/elastic/elasticsearch/commit/904cbf534</v>
      </c>
    </row>
    <row r="1756">
      <c r="A1756" s="16" t="s">
        <v>80</v>
      </c>
      <c r="B1756" s="50" t="str">
        <f>IFERROR(HYPERLINK(VLOOKUP(A1756,Internal_lists_bugs!$A$2:$C$73,3,FALSE()), VLOOKUP(A1756,Internal_lists_bugs!$A$2:$C$73,3,FALSE())&amp;Char(10) &amp; Char(10) &amp; VLOOKUP(A1756,Internal_lists_bugs!$A$2:$Z$73,26,FALSE())),"please select a BUG ID")</f>
        <v>https://github.com/elastic/elasticsearch/issues/14782
/mapper/MappedFieldType.java</v>
      </c>
      <c r="C1756" s="81" t="str">
        <f>IFERROR(VLOOKUP(A1756,Internal_lists_bugs!$A$2:$I7981,9,FALSE()),"please select a BUG ID")</f>
        <v>https://github.com/elastic/elasticsearch/pull/13788, https://github.com/elastic/elasticsearch/pull/12943, https://github.com/elastic/elasticsearch/pull/12694, https://github.com/elastic/elasticsearch/pull/12527 (II)</v>
      </c>
      <c r="D1756" s="114"/>
      <c r="E1756" s="114"/>
      <c r="F1756" s="115"/>
      <c r="G1756" s="79" t="s">
        <v>3515</v>
      </c>
      <c r="H1756" s="93" t="s">
        <v>3509</v>
      </c>
      <c r="I1756" s="54"/>
      <c r="K1756" s="54"/>
      <c r="M1756" s="114" t="str">
        <f>VLOOKUP(A1756,'BIC_(C_Variables)'!$A$3:$AS$43,45,FALSE())</f>
        <v>#N/A</v>
      </c>
      <c r="N1756" s="1"/>
      <c r="O1756" s="9">
        <v>12943.0</v>
      </c>
      <c r="P1756" s="81" t="str">
        <f>IFERROR(VLOOKUP(A1756,Internal_lists_bugs!$A$2:$G7981,7,FALSE()),"please select a BUG ID")</f>
        <v>https://github.com/elastic/elasticsearch/commit/904cbf534</v>
      </c>
    </row>
    <row r="1757">
      <c r="A1757" s="16" t="s">
        <v>80</v>
      </c>
      <c r="B1757" s="50" t="str">
        <f>IFERROR(HYPERLINK(VLOOKUP(A1757,Internal_lists_bugs!$A$2:$C$73,3,FALSE()), VLOOKUP(A1757,Internal_lists_bugs!$A$2:$C$73,3,FALSE())&amp;Char(10) &amp; Char(10) &amp; VLOOKUP(A1757,Internal_lists_bugs!$A$2:$Z$73,26,FALSE())),"please select a BUG ID")</f>
        <v>https://github.com/elastic/elasticsearch/issues/14782
/mapper/MappedFieldType.java</v>
      </c>
      <c r="C1757" s="81" t="str">
        <f>IFERROR(VLOOKUP(A1757,Internal_lists_bugs!$A$2:$I7981,9,FALSE()),"please select a BUG ID")</f>
        <v>https://github.com/elastic/elasticsearch/pull/13788, https://github.com/elastic/elasticsearch/pull/12943, https://github.com/elastic/elasticsearch/pull/12694, https://github.com/elastic/elasticsearch/pull/12527 (II)</v>
      </c>
      <c r="D1757" s="112" t="s">
        <v>3413</v>
      </c>
      <c r="E1757" s="112"/>
      <c r="F1757" s="113" t="s">
        <v>123</v>
      </c>
      <c r="G1757" s="79" t="s">
        <v>1417</v>
      </c>
      <c r="H1757" s="93" t="s">
        <v>324</v>
      </c>
      <c r="I1757" s="16" t="s">
        <v>123</v>
      </c>
      <c r="K1757" s="16" t="s">
        <v>123</v>
      </c>
      <c r="M1757" s="114" t="str">
        <f>VLOOKUP(A1757,'BIC_(C_Variables)'!$A$3:$AS$43,45,FALSE())</f>
        <v>#N/A</v>
      </c>
      <c r="N1757" s="9" t="s">
        <v>3415</v>
      </c>
      <c r="O1757" s="124">
        <v>12694.0</v>
      </c>
      <c r="P1757" s="81" t="str">
        <f>IFERROR(VLOOKUP(A1757,Internal_lists_bugs!$A$2:$G7981,7,FALSE()),"please select a BUG ID")</f>
        <v>https://github.com/elastic/elasticsearch/commit/904cbf534</v>
      </c>
    </row>
    <row r="1758">
      <c r="A1758" s="16" t="s">
        <v>80</v>
      </c>
      <c r="B1758" s="50" t="str">
        <f>IFERROR(HYPERLINK(VLOOKUP(A1758,Internal_lists_bugs!$A$2:$C$73,3,FALSE()), VLOOKUP(A1758,Internal_lists_bugs!$A$2:$C$73,3,FALSE())&amp;Char(10) &amp; Char(10) &amp; VLOOKUP(A1758,Internal_lists_bugs!$A$2:$Z$73,26,FALSE())),"please select a BUG ID")</f>
        <v>https://github.com/elastic/elasticsearch/issues/14782
/mapper/MappedFieldType.java</v>
      </c>
      <c r="C1758" s="81" t="str">
        <f>IFERROR(VLOOKUP(A1758,Internal_lists_bugs!$A$2:$I7981,9,FALSE()),"please select a BUG ID")</f>
        <v>https://github.com/elastic/elasticsearch/pull/13788, https://github.com/elastic/elasticsearch/pull/12943, https://github.com/elastic/elasticsearch/pull/12694, https://github.com/elastic/elasticsearch/pull/12527 (II)</v>
      </c>
      <c r="D1758" s="114"/>
      <c r="E1758" s="114"/>
      <c r="F1758" s="115"/>
      <c r="G1758" s="79" t="s">
        <v>3516</v>
      </c>
      <c r="H1758" s="93" t="s">
        <v>3517</v>
      </c>
      <c r="I1758" s="54"/>
      <c r="K1758" s="54"/>
      <c r="M1758" s="114" t="str">
        <f>VLOOKUP(A1758,'BIC_(C_Variables)'!$A$3:$AS$43,45,FALSE())</f>
        <v>#N/A</v>
      </c>
      <c r="N1758" s="1"/>
      <c r="O1758" s="124">
        <v>12694.0</v>
      </c>
      <c r="P1758" s="81" t="str">
        <f>IFERROR(VLOOKUP(A1758,Internal_lists_bugs!$A$2:$G7981,7,FALSE()),"please select a BUG ID")</f>
        <v>https://github.com/elastic/elasticsearch/commit/904cbf534</v>
      </c>
    </row>
    <row r="1759">
      <c r="A1759" s="16" t="s">
        <v>80</v>
      </c>
      <c r="B1759" s="50" t="str">
        <f>IFERROR(HYPERLINK(VLOOKUP(A1759,Internal_lists_bugs!$A$2:$C$73,3,FALSE()), VLOOKUP(A1759,Internal_lists_bugs!$A$2:$C$73,3,FALSE())&amp;Char(10) &amp; Char(10) &amp; VLOOKUP(A1759,Internal_lists_bugs!$A$2:$Z$73,26,FALSE())),"please select a BUG ID")</f>
        <v>https://github.com/elastic/elasticsearch/issues/14782
/mapper/MappedFieldType.java</v>
      </c>
      <c r="C1759" s="81" t="str">
        <f>IFERROR(VLOOKUP(A1759,Internal_lists_bugs!$A$2:$I7981,9,FALSE()),"please select a BUG ID")</f>
        <v>https://github.com/elastic/elasticsearch/pull/13788, https://github.com/elastic/elasticsearch/pull/12943, https://github.com/elastic/elasticsearch/pull/12694, https://github.com/elastic/elasticsearch/pull/12527 (II)</v>
      </c>
      <c r="D1759" s="114"/>
      <c r="E1759" s="114"/>
      <c r="F1759" s="115"/>
      <c r="G1759" s="79" t="s">
        <v>3518</v>
      </c>
      <c r="H1759" s="93" t="s">
        <v>3519</v>
      </c>
      <c r="I1759" s="54"/>
      <c r="K1759" s="54"/>
      <c r="M1759" s="114" t="str">
        <f>VLOOKUP(A1759,'BIC_(C_Variables)'!$A$3:$AS$43,45,FALSE())</f>
        <v>#N/A</v>
      </c>
      <c r="N1759" s="1"/>
      <c r="O1759" s="124">
        <v>12694.0</v>
      </c>
      <c r="P1759" s="81" t="str">
        <f>IFERROR(VLOOKUP(A1759,Internal_lists_bugs!$A$2:$G7981,7,FALSE()),"please select a BUG ID")</f>
        <v>https://github.com/elastic/elasticsearch/commit/904cbf534</v>
      </c>
    </row>
    <row r="1760">
      <c r="A1760" s="16" t="s">
        <v>80</v>
      </c>
      <c r="B1760" s="50" t="str">
        <f>IFERROR(HYPERLINK(VLOOKUP(A1760,Internal_lists_bugs!$A$2:$C$73,3,FALSE()), VLOOKUP(A1760,Internal_lists_bugs!$A$2:$C$73,3,FALSE())&amp;Char(10) &amp; Char(10) &amp; VLOOKUP(A1760,Internal_lists_bugs!$A$2:$Z$73,26,FALSE())),"please select a BUG ID")</f>
        <v>https://github.com/elastic/elasticsearch/issues/14782
/mapper/MappedFieldType.java</v>
      </c>
      <c r="C1760" s="81" t="str">
        <f>IFERROR(VLOOKUP(A1760,Internal_lists_bugs!$A$2:$I7981,9,FALSE()),"please select a BUG ID")</f>
        <v>https://github.com/elastic/elasticsearch/pull/13788, https://github.com/elastic/elasticsearch/pull/12943, https://github.com/elastic/elasticsearch/pull/12694, https://github.com/elastic/elasticsearch/pull/12527 (II)</v>
      </c>
      <c r="D1760" s="114"/>
      <c r="E1760" s="114"/>
      <c r="F1760" s="115"/>
      <c r="G1760" s="79" t="s">
        <v>3520</v>
      </c>
      <c r="H1760" s="93" t="s">
        <v>3521</v>
      </c>
      <c r="I1760" s="54"/>
      <c r="K1760" s="54"/>
      <c r="M1760" s="114" t="str">
        <f>VLOOKUP(A1760,'BIC_(C_Variables)'!$A$3:$AS$43,45,FALSE())</f>
        <v>#N/A</v>
      </c>
      <c r="N1760" s="1"/>
      <c r="O1760" s="124">
        <v>12694.0</v>
      </c>
      <c r="P1760" s="81" t="str">
        <f>IFERROR(VLOOKUP(A1760,Internal_lists_bugs!$A$2:$G7981,7,FALSE()),"please select a BUG ID")</f>
        <v>https://github.com/elastic/elasticsearch/commit/904cbf534</v>
      </c>
    </row>
    <row r="1761">
      <c r="A1761" s="16" t="s">
        <v>80</v>
      </c>
      <c r="B1761" s="50" t="str">
        <f>IFERROR(HYPERLINK(VLOOKUP(A1761,Internal_lists_bugs!$A$2:$C$73,3,FALSE()), VLOOKUP(A1761,Internal_lists_bugs!$A$2:$C$73,3,FALSE())&amp;Char(10) &amp; Char(10) &amp; VLOOKUP(A1761,Internal_lists_bugs!$A$2:$Z$73,26,FALSE())),"please select a BUG ID")</f>
        <v>https://github.com/elastic/elasticsearch/issues/14782
/mapper/MappedFieldType.java</v>
      </c>
      <c r="C1761" s="81" t="str">
        <f>IFERROR(VLOOKUP(A1761,Internal_lists_bugs!$A$2:$I7981,9,FALSE()),"please select a BUG ID")</f>
        <v>https://github.com/elastic/elasticsearch/pull/13788, https://github.com/elastic/elasticsearch/pull/12943, https://github.com/elastic/elasticsearch/pull/12694, https://github.com/elastic/elasticsearch/pull/12527 (II)</v>
      </c>
      <c r="D1761" s="114"/>
      <c r="E1761" s="114"/>
      <c r="F1761" s="115"/>
      <c r="G1761" s="79" t="s">
        <v>3522</v>
      </c>
      <c r="H1761" s="93" t="s">
        <v>3521</v>
      </c>
      <c r="I1761" s="54"/>
      <c r="K1761" s="54"/>
      <c r="M1761" s="114" t="str">
        <f>VLOOKUP(A1761,'BIC_(C_Variables)'!$A$3:$AS$43,45,FALSE())</f>
        <v>#N/A</v>
      </c>
      <c r="N1761" s="1"/>
      <c r="O1761" s="124">
        <v>12694.0</v>
      </c>
      <c r="P1761" s="81" t="str">
        <f>IFERROR(VLOOKUP(A1761,Internal_lists_bugs!$A$2:$G7981,7,FALSE()),"please select a BUG ID")</f>
        <v>https://github.com/elastic/elasticsearch/commit/904cbf534</v>
      </c>
    </row>
    <row r="1762">
      <c r="A1762" s="16" t="s">
        <v>80</v>
      </c>
      <c r="B1762" s="50" t="str">
        <f>IFERROR(HYPERLINK(VLOOKUP(A1762,Internal_lists_bugs!$A$2:$C$73,3,FALSE()), VLOOKUP(A1762,Internal_lists_bugs!$A$2:$C$73,3,FALSE())&amp;Char(10) &amp; Char(10) &amp; VLOOKUP(A1762,Internal_lists_bugs!$A$2:$Z$73,26,FALSE())),"please select a BUG ID")</f>
        <v>https://github.com/elastic/elasticsearch/issues/14782
/mapper/MappedFieldType.java</v>
      </c>
      <c r="C1762" s="81" t="str">
        <f>IFERROR(VLOOKUP(A1762,Internal_lists_bugs!$A$2:$I7981,9,FALSE()),"please select a BUG ID")</f>
        <v>https://github.com/elastic/elasticsearch/pull/13788, https://github.com/elastic/elasticsearch/pull/12943, https://github.com/elastic/elasticsearch/pull/12694, https://github.com/elastic/elasticsearch/pull/12527 (II)</v>
      </c>
      <c r="D1762" s="114"/>
      <c r="E1762" s="114"/>
      <c r="F1762" s="115"/>
      <c r="G1762" s="79" t="s">
        <v>1506</v>
      </c>
      <c r="H1762" s="93" t="s">
        <v>3523</v>
      </c>
      <c r="I1762" s="54"/>
      <c r="K1762" s="54"/>
      <c r="M1762" s="114" t="str">
        <f>VLOOKUP(A1762,'BIC_(C_Variables)'!$A$3:$AS$43,45,FALSE())</f>
        <v>#N/A</v>
      </c>
      <c r="N1762" s="1"/>
      <c r="O1762" s="124">
        <v>12694.0</v>
      </c>
      <c r="P1762" s="81" t="str">
        <f>IFERROR(VLOOKUP(A1762,Internal_lists_bugs!$A$2:$G7981,7,FALSE()),"please select a BUG ID")</f>
        <v>https://github.com/elastic/elasticsearch/commit/904cbf534</v>
      </c>
    </row>
    <row r="1763">
      <c r="A1763" s="16" t="s">
        <v>80</v>
      </c>
      <c r="B1763" s="50" t="str">
        <f>IFERROR(HYPERLINK(VLOOKUP(A1763,Internal_lists_bugs!$A$2:$C$73,3,FALSE()), VLOOKUP(A1763,Internal_lists_bugs!$A$2:$C$73,3,FALSE())&amp;Char(10) &amp; Char(10) &amp; VLOOKUP(A1763,Internal_lists_bugs!$A$2:$Z$73,26,FALSE())),"please select a BUG ID")</f>
        <v>https://github.com/elastic/elasticsearch/issues/14782
/mapper/MappedFieldType.java</v>
      </c>
      <c r="C1763" s="81" t="str">
        <f>IFERROR(VLOOKUP(A1763,Internal_lists_bugs!$A$2:$I7981,9,FALSE()),"please select a BUG ID")</f>
        <v>https://github.com/elastic/elasticsearch/pull/13788, https://github.com/elastic/elasticsearch/pull/12943, https://github.com/elastic/elasticsearch/pull/12694, https://github.com/elastic/elasticsearch/pull/12527 (II)</v>
      </c>
      <c r="D1763" s="112" t="s">
        <v>3413</v>
      </c>
      <c r="E1763" s="114"/>
      <c r="F1763" s="113" t="s">
        <v>251</v>
      </c>
      <c r="G1763" s="79" t="s">
        <v>1417</v>
      </c>
      <c r="H1763" s="93" t="s">
        <v>324</v>
      </c>
      <c r="I1763" s="16" t="s">
        <v>123</v>
      </c>
      <c r="K1763" s="16" t="s">
        <v>123</v>
      </c>
      <c r="M1763" s="114" t="str">
        <f>VLOOKUP(A1763,'BIC_(C_Variables)'!$A$3:$AS$43,45,FALSE())</f>
        <v>#N/A</v>
      </c>
      <c r="N1763" s="9" t="s">
        <v>3415</v>
      </c>
      <c r="O1763" s="124">
        <v>12527.0</v>
      </c>
      <c r="P1763" s="81" t="str">
        <f>IFERROR(VLOOKUP(A1763,Internal_lists_bugs!$A$2:$G7981,7,FALSE()),"please select a BUG ID")</f>
        <v>https://github.com/elastic/elasticsearch/commit/904cbf534</v>
      </c>
    </row>
    <row r="1764">
      <c r="A1764" s="16" t="s">
        <v>80</v>
      </c>
      <c r="B1764" s="50" t="str">
        <f>IFERROR(HYPERLINK(VLOOKUP(A1764,Internal_lists_bugs!$A$2:$C$73,3,FALSE()), VLOOKUP(A1764,Internal_lists_bugs!$A$2:$C$73,3,FALSE())&amp;Char(10) &amp; Char(10) &amp; VLOOKUP(A1764,Internal_lists_bugs!$A$2:$Z$73,26,FALSE())),"please select a BUG ID")</f>
        <v>https://github.com/elastic/elasticsearch/issues/14782
/mapper/MappedFieldType.java</v>
      </c>
      <c r="C1764" s="81" t="str">
        <f>IFERROR(VLOOKUP(A1764,Internal_lists_bugs!$A$2:$I7981,9,FALSE()),"please select a BUG ID")</f>
        <v>https://github.com/elastic/elasticsearch/pull/13788, https://github.com/elastic/elasticsearch/pull/12943, https://github.com/elastic/elasticsearch/pull/12694, https://github.com/elastic/elasticsearch/pull/12527 (II)</v>
      </c>
      <c r="D1764" s="114"/>
      <c r="E1764" s="114"/>
      <c r="F1764" s="115"/>
      <c r="G1764" s="79" t="s">
        <v>3524</v>
      </c>
      <c r="H1764" s="93" t="s">
        <v>3525</v>
      </c>
      <c r="I1764" s="54"/>
      <c r="K1764" s="54"/>
      <c r="M1764" s="114" t="str">
        <f>VLOOKUP(A1764,'BIC_(C_Variables)'!$A$3:$AS$43,45,FALSE())</f>
        <v>#N/A</v>
      </c>
      <c r="N1764" s="1"/>
      <c r="O1764" s="124">
        <v>12527.0</v>
      </c>
      <c r="P1764" s="81" t="str">
        <f>IFERROR(VLOOKUP(A1764,Internal_lists_bugs!$A$2:$G7981,7,FALSE()),"please select a BUG ID")</f>
        <v>https://github.com/elastic/elasticsearch/commit/904cbf534</v>
      </c>
    </row>
    <row r="1765">
      <c r="A1765" s="16" t="s">
        <v>80</v>
      </c>
      <c r="B1765" s="50" t="str">
        <f>IFERROR(HYPERLINK(VLOOKUP(A1765,Internal_lists_bugs!$A$2:$C$73,3,FALSE()), VLOOKUP(A1765,Internal_lists_bugs!$A$2:$C$73,3,FALSE())&amp;Char(10) &amp; Char(10) &amp; VLOOKUP(A1765,Internal_lists_bugs!$A$2:$Z$73,26,FALSE())),"please select a BUG ID")</f>
        <v>https://github.com/elastic/elasticsearch/issues/14782
/mapper/MappedFieldType.java</v>
      </c>
      <c r="C1765" s="81" t="str">
        <f>IFERROR(VLOOKUP(A1765,Internal_lists_bugs!$A$2:$I7981,9,FALSE()),"please select a BUG ID")</f>
        <v>https://github.com/elastic/elasticsearch/pull/13788, https://github.com/elastic/elasticsearch/pull/12943, https://github.com/elastic/elasticsearch/pull/12694, https://github.com/elastic/elasticsearch/pull/12527 (II)</v>
      </c>
      <c r="D1765" s="114"/>
      <c r="E1765" s="114"/>
      <c r="F1765" s="115"/>
      <c r="G1765" s="79" t="s">
        <v>3526</v>
      </c>
      <c r="H1765" s="93" t="s">
        <v>3527</v>
      </c>
      <c r="I1765" s="54"/>
      <c r="K1765" s="54"/>
      <c r="M1765" s="114" t="str">
        <f>VLOOKUP(A1765,'BIC_(C_Variables)'!$A$3:$AS$43,45,FALSE())</f>
        <v>#N/A</v>
      </c>
      <c r="N1765" s="1"/>
      <c r="O1765" s="124">
        <v>12527.0</v>
      </c>
      <c r="P1765" s="81" t="str">
        <f>IFERROR(VLOOKUP(A1765,Internal_lists_bugs!$A$2:$G7981,7,FALSE()),"please select a BUG ID")</f>
        <v>https://github.com/elastic/elasticsearch/commit/904cbf534</v>
      </c>
    </row>
    <row r="1766">
      <c r="A1766" s="16" t="s">
        <v>80</v>
      </c>
      <c r="B1766" s="50" t="str">
        <f>IFERROR(HYPERLINK(VLOOKUP(A1766,Internal_lists_bugs!$A$2:$C$73,3,FALSE()), VLOOKUP(A1766,Internal_lists_bugs!$A$2:$C$73,3,FALSE())&amp;Char(10) &amp; Char(10) &amp; VLOOKUP(A1766,Internal_lists_bugs!$A$2:$Z$73,26,FALSE())),"please select a BUG ID")</f>
        <v>https://github.com/elastic/elasticsearch/issues/14782
/mapper/MappedFieldType.java</v>
      </c>
      <c r="C1766" s="81" t="str">
        <f>IFERROR(VLOOKUP(A1766,Internal_lists_bugs!$A$2:$I7981,9,FALSE()),"please select a BUG ID")</f>
        <v>https://github.com/elastic/elasticsearch/pull/13788, https://github.com/elastic/elasticsearch/pull/12943, https://github.com/elastic/elasticsearch/pull/12694, https://github.com/elastic/elasticsearch/pull/12527 (II)</v>
      </c>
      <c r="D1766" s="114"/>
      <c r="E1766" s="114"/>
      <c r="F1766" s="115"/>
      <c r="G1766" s="79" t="s">
        <v>3528</v>
      </c>
      <c r="H1766" s="93" t="s">
        <v>3529</v>
      </c>
      <c r="I1766" s="54"/>
      <c r="K1766" s="54"/>
      <c r="M1766" s="114" t="str">
        <f>VLOOKUP(A1766,'BIC_(C_Variables)'!$A$3:$AS$43,45,FALSE())</f>
        <v>#N/A</v>
      </c>
      <c r="N1766" s="1"/>
      <c r="O1766" s="124">
        <v>12527.0</v>
      </c>
      <c r="P1766" s="81" t="str">
        <f>IFERROR(VLOOKUP(A1766,Internal_lists_bugs!$A$2:$G7981,7,FALSE()),"please select a BUG ID")</f>
        <v>https://github.com/elastic/elasticsearch/commit/904cbf534</v>
      </c>
    </row>
    <row r="1767">
      <c r="A1767" s="16" t="s">
        <v>80</v>
      </c>
      <c r="B1767" s="50" t="str">
        <f>IFERROR(HYPERLINK(VLOOKUP(A1767,Internal_lists_bugs!$A$2:$C$73,3,FALSE()), VLOOKUP(A1767,Internal_lists_bugs!$A$2:$C$73,3,FALSE())&amp;Char(10) &amp; Char(10) &amp; VLOOKUP(A1767,Internal_lists_bugs!$A$2:$Z$73,26,FALSE())),"please select a BUG ID")</f>
        <v>https://github.com/elastic/elasticsearch/issues/14782
/mapper/MappedFieldType.java</v>
      </c>
      <c r="C1767" s="81" t="str">
        <f>IFERROR(VLOOKUP(A1767,Internal_lists_bugs!$A$2:$I7981,9,FALSE()),"please select a BUG ID")</f>
        <v>https://github.com/elastic/elasticsearch/pull/13788, https://github.com/elastic/elasticsearch/pull/12943, https://github.com/elastic/elasticsearch/pull/12694, https://github.com/elastic/elasticsearch/pull/12527 (II)</v>
      </c>
      <c r="D1767" s="114"/>
      <c r="E1767" s="114"/>
      <c r="F1767" s="115"/>
      <c r="G1767" s="79" t="s">
        <v>3530</v>
      </c>
      <c r="H1767" s="93" t="s">
        <v>3531</v>
      </c>
      <c r="I1767" s="54"/>
      <c r="K1767" s="54"/>
      <c r="M1767" s="114" t="str">
        <f>VLOOKUP(A1767,'BIC_(C_Variables)'!$A$3:$AS$43,45,FALSE())</f>
        <v>#N/A</v>
      </c>
      <c r="N1767" s="1"/>
      <c r="O1767" s="124">
        <v>12527.0</v>
      </c>
      <c r="P1767" s="81" t="str">
        <f>IFERROR(VLOOKUP(A1767,Internal_lists_bugs!$A$2:$G7981,7,FALSE()),"please select a BUG ID")</f>
        <v>https://github.com/elastic/elasticsearch/commit/904cbf534</v>
      </c>
    </row>
    <row r="1768">
      <c r="A1768" s="16" t="s">
        <v>80</v>
      </c>
      <c r="B1768" s="50" t="str">
        <f>IFERROR(HYPERLINK(VLOOKUP(A1768,Internal_lists_bugs!$A$2:$C$73,3,FALSE()), VLOOKUP(A1768,Internal_lists_bugs!$A$2:$C$73,3,FALSE())&amp;Char(10) &amp; Char(10) &amp; VLOOKUP(A1768,Internal_lists_bugs!$A$2:$Z$73,26,FALSE())),"please select a BUG ID")</f>
        <v>https://github.com/elastic/elasticsearch/issues/14782
/mapper/MappedFieldType.java</v>
      </c>
      <c r="C1768" s="81" t="str">
        <f>IFERROR(VLOOKUP(A1768,Internal_lists_bugs!$A$2:$I7981,9,FALSE()),"please select a BUG ID")</f>
        <v>https://github.com/elastic/elasticsearch/pull/13788, https://github.com/elastic/elasticsearch/pull/12943, https://github.com/elastic/elasticsearch/pull/12694, https://github.com/elastic/elasticsearch/pull/12527 (II)</v>
      </c>
      <c r="D1768" s="114"/>
      <c r="E1768" s="114"/>
      <c r="F1768" s="115"/>
      <c r="G1768" s="79" t="s">
        <v>3532</v>
      </c>
      <c r="H1768" s="93" t="s">
        <v>3533</v>
      </c>
      <c r="I1768" s="54"/>
      <c r="K1768" s="54"/>
      <c r="M1768" s="114" t="str">
        <f>VLOOKUP(A1768,'BIC_(C_Variables)'!$A$3:$AS$43,45,FALSE())</f>
        <v>#N/A</v>
      </c>
      <c r="N1768" s="1"/>
      <c r="O1768" s="124">
        <v>12527.0</v>
      </c>
      <c r="P1768" s="81" t="str">
        <f>IFERROR(VLOOKUP(A1768,Internal_lists_bugs!$A$2:$G7981,7,FALSE()),"please select a BUG ID")</f>
        <v>https://github.com/elastic/elasticsearch/commit/904cbf534</v>
      </c>
    </row>
    <row r="1769">
      <c r="A1769" s="16" t="s">
        <v>80</v>
      </c>
      <c r="B1769" s="50" t="str">
        <f>IFERROR(HYPERLINK(VLOOKUP(A1769,Internal_lists_bugs!$A$2:$C$73,3,FALSE()), VLOOKUP(A1769,Internal_lists_bugs!$A$2:$C$73,3,FALSE())&amp;Char(10) &amp; Char(10) &amp; VLOOKUP(A1769,Internal_lists_bugs!$A$2:$Z$73,26,FALSE())),"please select a BUG ID")</f>
        <v>https://github.com/elastic/elasticsearch/issues/14782
/mapper/MappedFieldType.java</v>
      </c>
      <c r="C1769" s="81" t="str">
        <f>IFERROR(VLOOKUP(A1769,Internal_lists_bugs!$A$2:$I7981,9,FALSE()),"please select a BUG ID")</f>
        <v>https://github.com/elastic/elasticsearch/pull/13788, https://github.com/elastic/elasticsearch/pull/12943, https://github.com/elastic/elasticsearch/pull/12694, https://github.com/elastic/elasticsearch/pull/12527 (II)</v>
      </c>
      <c r="D1769" s="114"/>
      <c r="E1769" s="114"/>
      <c r="F1769" s="115"/>
      <c r="G1769" s="79" t="s">
        <v>3534</v>
      </c>
      <c r="H1769" s="93" t="s">
        <v>3535</v>
      </c>
      <c r="I1769" s="54"/>
      <c r="K1769" s="54"/>
      <c r="M1769" s="114" t="str">
        <f>VLOOKUP(A1769,'BIC_(C_Variables)'!$A$3:$AS$43,45,FALSE())</f>
        <v>#N/A</v>
      </c>
      <c r="N1769" s="1"/>
      <c r="O1769" s="124">
        <v>12527.0</v>
      </c>
      <c r="P1769" s="81" t="str">
        <f>IFERROR(VLOOKUP(A1769,Internal_lists_bugs!$A$2:$G7981,7,FALSE()),"please select a BUG ID")</f>
        <v>https://github.com/elastic/elasticsearch/commit/904cbf534</v>
      </c>
    </row>
    <row r="1770">
      <c r="A1770" s="16" t="s">
        <v>80</v>
      </c>
      <c r="B1770" s="50" t="str">
        <f>IFERROR(HYPERLINK(VLOOKUP(A1770,Internal_lists_bugs!$A$2:$C$73,3,FALSE()), VLOOKUP(A1770,Internal_lists_bugs!$A$2:$C$73,3,FALSE())&amp;Char(10) &amp; Char(10) &amp; VLOOKUP(A1770,Internal_lists_bugs!$A$2:$Z$73,26,FALSE())),"please select a BUG ID")</f>
        <v>https://github.com/elastic/elasticsearch/issues/14782
/mapper/MappedFieldType.java</v>
      </c>
      <c r="C1770" s="81" t="str">
        <f>IFERROR(VLOOKUP(A1770,Internal_lists_bugs!$A$2:$I7981,9,FALSE()),"please select a BUG ID")</f>
        <v>https://github.com/elastic/elasticsearch/pull/13788, https://github.com/elastic/elasticsearch/pull/12943, https://github.com/elastic/elasticsearch/pull/12694, https://github.com/elastic/elasticsearch/pull/12527 (II)</v>
      </c>
      <c r="D1770" s="114"/>
      <c r="E1770" s="114"/>
      <c r="F1770" s="115"/>
      <c r="G1770" s="79" t="s">
        <v>1485</v>
      </c>
      <c r="H1770" s="93" t="s">
        <v>3536</v>
      </c>
      <c r="I1770" s="54"/>
      <c r="K1770" s="54"/>
      <c r="M1770" s="114" t="str">
        <f>VLOOKUP(A1770,'BIC_(C_Variables)'!$A$3:$AS$43,45,FALSE())</f>
        <v>#N/A</v>
      </c>
      <c r="N1770" s="1"/>
      <c r="O1770" s="124">
        <v>12527.0</v>
      </c>
      <c r="P1770" s="81" t="str">
        <f>IFERROR(VLOOKUP(A1770,Internal_lists_bugs!$A$2:$G7981,7,FALSE()),"please select a BUG ID")</f>
        <v>https://github.com/elastic/elasticsearch/commit/904cbf534</v>
      </c>
    </row>
    <row r="1771">
      <c r="A1771" s="16" t="s">
        <v>80</v>
      </c>
      <c r="B1771" s="50" t="str">
        <f>IFERROR(HYPERLINK(VLOOKUP(A1771,Internal_lists_bugs!$A$2:$C$73,3,FALSE()), VLOOKUP(A1771,Internal_lists_bugs!$A$2:$C$73,3,FALSE())&amp;Char(10) &amp; Char(10) &amp; VLOOKUP(A1771,Internal_lists_bugs!$A$2:$Z$73,26,FALSE())),"please select a BUG ID")</f>
        <v>https://github.com/elastic/elasticsearch/issues/14782
/mapper/MappedFieldType.java</v>
      </c>
      <c r="C1771" s="81" t="str">
        <f>IFERROR(VLOOKUP(A1771,Internal_lists_bugs!$A$2:$I7981,9,FALSE()),"please select a BUG ID")</f>
        <v>https://github.com/elastic/elasticsearch/pull/13788, https://github.com/elastic/elasticsearch/pull/12943, https://github.com/elastic/elasticsearch/pull/12694, https://github.com/elastic/elasticsearch/pull/12527 (II)</v>
      </c>
      <c r="D1771" s="114"/>
      <c r="E1771" s="114"/>
      <c r="F1771" s="115"/>
      <c r="G1771" s="79" t="s">
        <v>3423</v>
      </c>
      <c r="H1771" s="93" t="s">
        <v>3537</v>
      </c>
      <c r="I1771" s="54"/>
      <c r="K1771" s="54"/>
      <c r="M1771" s="114" t="str">
        <f>VLOOKUP(A1771,'BIC_(C_Variables)'!$A$3:$AS$43,45,FALSE())</f>
        <v>#N/A</v>
      </c>
      <c r="N1771" s="1"/>
      <c r="O1771" s="124">
        <v>12527.0</v>
      </c>
      <c r="P1771" s="81" t="str">
        <f>IFERROR(VLOOKUP(A1771,Internal_lists_bugs!$A$2:$G7981,7,FALSE()),"please select a BUG ID")</f>
        <v>https://github.com/elastic/elasticsearch/commit/904cbf534</v>
      </c>
    </row>
    <row r="1772">
      <c r="A1772" s="16" t="s">
        <v>80</v>
      </c>
      <c r="B1772" s="50" t="str">
        <f>IFERROR(HYPERLINK(VLOOKUP(A1772,Internal_lists_bugs!$A$2:$C$73,3,FALSE()), VLOOKUP(A1772,Internal_lists_bugs!$A$2:$C$73,3,FALSE())&amp;Char(10) &amp; Char(10) &amp; VLOOKUP(A1772,Internal_lists_bugs!$A$2:$Z$73,26,FALSE())),"please select a BUG ID")</f>
        <v>https://github.com/elastic/elasticsearch/issues/14782
/mapper/MappedFieldType.java</v>
      </c>
      <c r="C1772" s="81" t="str">
        <f>IFERROR(VLOOKUP(A1772,Internal_lists_bugs!$A$2:$I7981,9,FALSE()),"please select a BUG ID")</f>
        <v>https://github.com/elastic/elasticsearch/pull/13788, https://github.com/elastic/elasticsearch/pull/12943, https://github.com/elastic/elasticsearch/pull/12694, https://github.com/elastic/elasticsearch/pull/12527 (II)</v>
      </c>
      <c r="D1772" s="114"/>
      <c r="E1772" s="114"/>
      <c r="F1772" s="115"/>
      <c r="G1772" s="79" t="s">
        <v>3448</v>
      </c>
      <c r="H1772" s="93" t="s">
        <v>3538</v>
      </c>
      <c r="I1772" s="54"/>
      <c r="K1772" s="54"/>
      <c r="M1772" s="114" t="str">
        <f>VLOOKUP(A1772,'BIC_(C_Variables)'!$A$3:$AS$43,45,FALSE())</f>
        <v>#N/A</v>
      </c>
      <c r="N1772" s="1"/>
      <c r="O1772" s="124">
        <v>12527.0</v>
      </c>
      <c r="P1772" s="81" t="str">
        <f>IFERROR(VLOOKUP(A1772,Internal_lists_bugs!$A$2:$G7981,7,FALSE()),"please select a BUG ID")</f>
        <v>https://github.com/elastic/elasticsearch/commit/904cbf534</v>
      </c>
    </row>
    <row r="1773">
      <c r="A1773" s="16" t="s">
        <v>80</v>
      </c>
      <c r="B1773" s="50" t="str">
        <f>IFERROR(HYPERLINK(VLOOKUP(A1773,Internal_lists_bugs!$A$2:$C$73,3,FALSE()), VLOOKUP(A1773,Internal_lists_bugs!$A$2:$C$73,3,FALSE())&amp;Char(10) &amp; Char(10) &amp; VLOOKUP(A1773,Internal_lists_bugs!$A$2:$Z$73,26,FALSE())),"please select a BUG ID")</f>
        <v>https://github.com/elastic/elasticsearch/issues/14782
/mapper/MappedFieldType.java</v>
      </c>
      <c r="C1773" s="81" t="str">
        <f>IFERROR(VLOOKUP(A1773,Internal_lists_bugs!$A$2:$I7981,9,FALSE()),"please select a BUG ID")</f>
        <v>https://github.com/elastic/elasticsearch/pull/13788, https://github.com/elastic/elasticsearch/pull/12943, https://github.com/elastic/elasticsearch/pull/12694, https://github.com/elastic/elasticsearch/pull/12527 (II)</v>
      </c>
      <c r="D1773" s="114"/>
      <c r="E1773" s="114"/>
      <c r="F1773" s="115"/>
      <c r="G1773" s="79" t="s">
        <v>3232</v>
      </c>
      <c r="H1773" s="93" t="s">
        <v>3539</v>
      </c>
      <c r="I1773" s="54"/>
      <c r="K1773" s="54"/>
      <c r="M1773" s="114" t="str">
        <f>VLOOKUP(A1773,'BIC_(C_Variables)'!$A$3:$AS$43,45,FALSE())</f>
        <v>#N/A</v>
      </c>
      <c r="N1773" s="1"/>
      <c r="O1773" s="124">
        <v>12527.0</v>
      </c>
      <c r="P1773" s="81" t="str">
        <f>IFERROR(VLOOKUP(A1773,Internal_lists_bugs!$A$2:$G7981,7,FALSE()),"please select a BUG ID")</f>
        <v>https://github.com/elastic/elasticsearch/commit/904cbf534</v>
      </c>
    </row>
    <row r="1774">
      <c r="A1774" s="16" t="s">
        <v>80</v>
      </c>
      <c r="B1774" s="50" t="str">
        <f>IFERROR(HYPERLINK(VLOOKUP(A1774,Internal_lists_bugs!$A$2:$C$73,3,FALSE()), VLOOKUP(A1774,Internal_lists_bugs!$A$2:$C$73,3,FALSE())&amp;Char(10) &amp; Char(10) &amp; VLOOKUP(A1774,Internal_lists_bugs!$A$2:$Z$73,26,FALSE())),"please select a BUG ID")</f>
        <v>https://github.com/elastic/elasticsearch/issues/14782
/mapper/MappedFieldType.java</v>
      </c>
      <c r="C1774" s="81" t="str">
        <f>IFERROR(VLOOKUP(A1774,Internal_lists_bugs!$A$2:$I7981,9,FALSE()),"please select a BUG ID")</f>
        <v>https://github.com/elastic/elasticsearch/pull/13788, https://github.com/elastic/elasticsearch/pull/12943, https://github.com/elastic/elasticsearch/pull/12694, https://github.com/elastic/elasticsearch/pull/12527 (II)</v>
      </c>
      <c r="D1774" s="114"/>
      <c r="E1774" s="114"/>
      <c r="F1774" s="115"/>
      <c r="G1774" s="79" t="s">
        <v>3000</v>
      </c>
      <c r="H1774" s="93" t="s">
        <v>3540</v>
      </c>
      <c r="I1774" s="54"/>
      <c r="K1774" s="54"/>
      <c r="M1774" s="114" t="str">
        <f>VLOOKUP(A1774,'BIC_(C_Variables)'!$A$3:$AS$43,45,FALSE())</f>
        <v>#N/A</v>
      </c>
      <c r="N1774" s="1"/>
      <c r="O1774" s="124">
        <v>12527.0</v>
      </c>
      <c r="P1774" s="81" t="str">
        <f>IFERROR(VLOOKUP(A1774,Internal_lists_bugs!$A$2:$G7981,7,FALSE()),"please select a BUG ID")</f>
        <v>https://github.com/elastic/elasticsearch/commit/904cbf534</v>
      </c>
    </row>
    <row r="1775">
      <c r="A1775" s="16" t="s">
        <v>80</v>
      </c>
      <c r="B1775" s="50" t="str">
        <f>IFERROR(HYPERLINK(VLOOKUP(A1775,Internal_lists_bugs!$A$2:$C$73,3,FALSE()), VLOOKUP(A1775,Internal_lists_bugs!$A$2:$C$73,3,FALSE())&amp;Char(10) &amp; Char(10) &amp; VLOOKUP(A1775,Internal_lists_bugs!$A$2:$Z$73,26,FALSE())),"please select a BUG ID")</f>
        <v>https://github.com/elastic/elasticsearch/issues/14782
/mapper/MappedFieldType.java</v>
      </c>
      <c r="C1775" s="81" t="str">
        <f>IFERROR(VLOOKUP(A1775,Internal_lists_bugs!$A$2:$I7981,9,FALSE()),"please select a BUG ID")</f>
        <v>https://github.com/elastic/elasticsearch/pull/13788, https://github.com/elastic/elasticsearch/pull/12943, https://github.com/elastic/elasticsearch/pull/12694, https://github.com/elastic/elasticsearch/pull/12527 (II)</v>
      </c>
      <c r="D1775" s="114"/>
      <c r="E1775" s="114"/>
      <c r="F1775" s="115"/>
      <c r="G1775" s="79" t="s">
        <v>2479</v>
      </c>
      <c r="H1775" s="93" t="s">
        <v>3541</v>
      </c>
      <c r="I1775" s="54"/>
      <c r="K1775" s="54"/>
      <c r="M1775" s="114" t="str">
        <f>VLOOKUP(A1775,'BIC_(C_Variables)'!$A$3:$AS$43,45,FALSE())</f>
        <v>#N/A</v>
      </c>
      <c r="N1775" s="1"/>
      <c r="O1775" s="124">
        <v>12527.0</v>
      </c>
      <c r="P1775" s="81" t="str">
        <f>IFERROR(VLOOKUP(A1775,Internal_lists_bugs!$A$2:$G7981,7,FALSE()),"please select a BUG ID")</f>
        <v>https://github.com/elastic/elasticsearch/commit/904cbf534</v>
      </c>
    </row>
    <row r="1776">
      <c r="A1776" s="16" t="s">
        <v>80</v>
      </c>
      <c r="B1776" s="50" t="str">
        <f>IFERROR(HYPERLINK(VLOOKUP(A1776,Internal_lists_bugs!$A$2:$C$73,3,FALSE()), VLOOKUP(A1776,Internal_lists_bugs!$A$2:$C$73,3,FALSE())&amp;Char(10) &amp; Char(10) &amp; VLOOKUP(A1776,Internal_lists_bugs!$A$2:$Z$73,26,FALSE())),"please select a BUG ID")</f>
        <v>https://github.com/elastic/elasticsearch/issues/14782
/mapper/MappedFieldType.java</v>
      </c>
      <c r="C1776" s="81" t="str">
        <f>IFERROR(VLOOKUP(A1776,Internal_lists_bugs!$A$2:$I7981,9,FALSE()),"please select a BUG ID")</f>
        <v>https://github.com/elastic/elasticsearch/pull/13788, https://github.com/elastic/elasticsearch/pull/12943, https://github.com/elastic/elasticsearch/pull/12694, https://github.com/elastic/elasticsearch/pull/12527 (II)</v>
      </c>
      <c r="D1776" s="114"/>
      <c r="E1776" s="114"/>
      <c r="F1776" s="115"/>
      <c r="G1776" s="79" t="s">
        <v>1460</v>
      </c>
      <c r="H1776" s="93" t="s">
        <v>3542</v>
      </c>
      <c r="I1776" s="54"/>
      <c r="K1776" s="54"/>
      <c r="M1776" s="114" t="str">
        <f>VLOOKUP(A1776,'BIC_(C_Variables)'!$A$3:$AS$43,45,FALSE())</f>
        <v>#N/A</v>
      </c>
      <c r="N1776" s="1"/>
      <c r="O1776" s="124">
        <v>12527.0</v>
      </c>
      <c r="P1776" s="81" t="str">
        <f>IFERROR(VLOOKUP(A1776,Internal_lists_bugs!$A$2:$G7981,7,FALSE()),"please select a BUG ID")</f>
        <v>https://github.com/elastic/elasticsearch/commit/904cbf534</v>
      </c>
    </row>
    <row r="1777">
      <c r="A1777" s="16" t="s">
        <v>80</v>
      </c>
      <c r="B1777" s="50" t="str">
        <f>IFERROR(HYPERLINK(VLOOKUP(A1777,Internal_lists_bugs!$A$2:$C$73,3,FALSE()), VLOOKUP(A1777,Internal_lists_bugs!$A$2:$C$73,3,FALSE())&amp;Char(10) &amp; Char(10) &amp; VLOOKUP(A1777,Internal_lists_bugs!$A$2:$Z$73,26,FALSE())),"please select a BUG ID")</f>
        <v>https://github.com/elastic/elasticsearch/issues/14782
/mapper/MappedFieldType.java</v>
      </c>
      <c r="C1777" s="81" t="str">
        <f>IFERROR(VLOOKUP(A1777,Internal_lists_bugs!$A$2:$I7981,9,FALSE()),"please select a BUG ID")</f>
        <v>https://github.com/elastic/elasticsearch/pull/13788, https://github.com/elastic/elasticsearch/pull/12943, https://github.com/elastic/elasticsearch/pull/12694, https://github.com/elastic/elasticsearch/pull/12527 (II)</v>
      </c>
      <c r="D1777" s="114"/>
      <c r="E1777" s="114"/>
      <c r="F1777" s="115"/>
      <c r="G1777" s="79" t="s">
        <v>3446</v>
      </c>
      <c r="H1777" s="93" t="s">
        <v>3543</v>
      </c>
      <c r="I1777" s="54"/>
      <c r="K1777" s="54"/>
      <c r="M1777" s="114" t="str">
        <f>VLOOKUP(A1777,'BIC_(C_Variables)'!$A$3:$AS$43,45,FALSE())</f>
        <v>#N/A</v>
      </c>
      <c r="N1777" s="1"/>
      <c r="O1777" s="124">
        <v>12527.0</v>
      </c>
      <c r="P1777" s="81" t="str">
        <f>IFERROR(VLOOKUP(A1777,Internal_lists_bugs!$A$2:$G7981,7,FALSE()),"please select a BUG ID")</f>
        <v>https://github.com/elastic/elasticsearch/commit/904cbf534</v>
      </c>
    </row>
    <row r="1778">
      <c r="A1778" s="16" t="s">
        <v>80</v>
      </c>
      <c r="B1778" s="50" t="str">
        <f>IFERROR(HYPERLINK(VLOOKUP(A1778,Internal_lists_bugs!$A$2:$C$73,3,FALSE()), VLOOKUP(A1778,Internal_lists_bugs!$A$2:$C$73,3,FALSE())&amp;Char(10) &amp; Char(10) &amp; VLOOKUP(A1778,Internal_lists_bugs!$A$2:$Z$73,26,FALSE())),"please select a BUG ID")</f>
        <v>https://github.com/elastic/elasticsearch/issues/14782
/mapper/MappedFieldType.java</v>
      </c>
      <c r="C1778" s="81" t="str">
        <f>IFERROR(VLOOKUP(A1778,Internal_lists_bugs!$A$2:$I7981,9,FALSE()),"please select a BUG ID")</f>
        <v>https://github.com/elastic/elasticsearch/pull/13788, https://github.com/elastic/elasticsearch/pull/12943, https://github.com/elastic/elasticsearch/pull/12694, https://github.com/elastic/elasticsearch/pull/12527 (II)</v>
      </c>
      <c r="D1778" s="114"/>
      <c r="E1778" s="114"/>
      <c r="F1778" s="115"/>
      <c r="G1778" s="79" t="s">
        <v>3544</v>
      </c>
      <c r="H1778" s="93" t="s">
        <v>3545</v>
      </c>
      <c r="I1778" s="54"/>
      <c r="K1778" s="54"/>
      <c r="M1778" s="114" t="str">
        <f>VLOOKUP(A1778,'BIC_(C_Variables)'!$A$3:$AS$43,45,FALSE())</f>
        <v>#N/A</v>
      </c>
      <c r="N1778" s="1"/>
      <c r="O1778" s="124">
        <v>12527.0</v>
      </c>
      <c r="P1778" s="81" t="str">
        <f>IFERROR(VLOOKUP(A1778,Internal_lists_bugs!$A$2:$G7981,7,FALSE()),"please select a BUG ID")</f>
        <v>https://github.com/elastic/elasticsearch/commit/904cbf534</v>
      </c>
    </row>
    <row r="1779">
      <c r="A1779" s="16" t="s">
        <v>83</v>
      </c>
      <c r="B1779" s="50" t="str">
        <f>IFERROR(HYPERLINK(VLOOKUP(A1779,Internal_lists_bugs!$A$2:$C$73,3,FALSE()), VLOOKUP(A1779,Internal_lists_bugs!$A$2:$C$73,3,FALSE())&amp;Char(10) &amp; Char(10) &amp; VLOOKUP(A1779,Internal_lists_bugs!$A$2:$Z$73,26,FALSE())),"please select a BUG ID")</f>
        <v>https://github.com/elastic/elasticsearch/issues/3242
/shape/ShapeFetchService.java</v>
      </c>
      <c r="C1779" s="81" t="str">
        <f>IFERROR(VLOOKUP(A1779,Internal_lists_bugs!$A$2:$I7981,9,FALSE()),"please select a BUG ID")</f>
        <v>https://github.com/elastic/elasticsearch/pull/1065</v>
      </c>
      <c r="D1779" s="112" t="s">
        <v>3413</v>
      </c>
      <c r="E1779" s="112" t="s">
        <v>3546</v>
      </c>
      <c r="F1779" s="113" t="s">
        <v>251</v>
      </c>
      <c r="G1779" s="79" t="s">
        <v>1417</v>
      </c>
      <c r="H1779" s="93" t="s">
        <v>324</v>
      </c>
      <c r="I1779" s="16" t="s">
        <v>123</v>
      </c>
      <c r="K1779" s="16" t="s">
        <v>251</v>
      </c>
      <c r="L1779" s="16" t="s">
        <v>3547</v>
      </c>
      <c r="M1779" s="114" t="str">
        <f>VLOOKUP(A1779,'BIC_(C_Variables)'!$A$3:$AS$43,45,FALSE())</f>
        <v>#N/A</v>
      </c>
      <c r="N1779" s="9" t="s">
        <v>3445</v>
      </c>
      <c r="O1779" s="9">
        <v>1065.0</v>
      </c>
      <c r="P1779" s="81" t="str">
        <f>IFERROR(VLOOKUP(A1779,Internal_lists_bugs!$A$2:$G7981,7,FALSE()),"please select a BUG ID")</f>
        <v>https://github.com/elastic/elasticsearch/commit/05e0b4d4e</v>
      </c>
    </row>
    <row r="1780">
      <c r="A1780" s="16" t="s">
        <v>83</v>
      </c>
      <c r="B1780" s="50" t="str">
        <f>IFERROR(HYPERLINK(VLOOKUP(A1780,Internal_lists_bugs!$A$2:$C$73,3,FALSE()), VLOOKUP(A1780,Internal_lists_bugs!$A$2:$C$73,3,FALSE())&amp;Char(10) &amp; Char(10) &amp; VLOOKUP(A1780,Internal_lists_bugs!$A$2:$Z$73,26,FALSE())),"please select a BUG ID")</f>
        <v>https://github.com/elastic/elasticsearch/issues/3242
/shape/ShapeFetchService.java</v>
      </c>
      <c r="C1780" s="81" t="str">
        <f>IFERROR(VLOOKUP(A1780,Internal_lists_bugs!$A$2:$I7981,9,FALSE()),"please select a BUG ID")</f>
        <v>https://github.com/elastic/elasticsearch/pull/1065</v>
      </c>
      <c r="D1780" s="114"/>
      <c r="E1780" s="114"/>
      <c r="F1780" s="115"/>
      <c r="G1780" s="79" t="s">
        <v>3548</v>
      </c>
      <c r="H1780" s="93" t="s">
        <v>3549</v>
      </c>
      <c r="I1780" s="54"/>
      <c r="K1780" s="54"/>
      <c r="M1780" s="114" t="str">
        <f>VLOOKUP(A1780,'BIC_(C_Variables)'!$A$3:$AS$43,45,FALSE())</f>
        <v>#N/A</v>
      </c>
      <c r="N1780" s="1"/>
      <c r="O1780" s="9">
        <v>1065.0</v>
      </c>
      <c r="P1780" s="81" t="str">
        <f>IFERROR(VLOOKUP(A1780,Internal_lists_bugs!$A$2:$G7981,7,FALSE()),"please select a BUG ID")</f>
        <v>https://github.com/elastic/elasticsearch/commit/05e0b4d4e</v>
      </c>
    </row>
    <row r="1781">
      <c r="A1781" s="16" t="s">
        <v>83</v>
      </c>
      <c r="B1781" s="50" t="str">
        <f>IFERROR(HYPERLINK(VLOOKUP(A1781,Internal_lists_bugs!$A$2:$C$73,3,FALSE()), VLOOKUP(A1781,Internal_lists_bugs!$A$2:$C$73,3,FALSE())&amp;Char(10) &amp; Char(10) &amp; VLOOKUP(A1781,Internal_lists_bugs!$A$2:$Z$73,26,FALSE())),"please select a BUG ID")</f>
        <v>https://github.com/elastic/elasticsearch/issues/3242
/shape/ShapeFetchService.java</v>
      </c>
      <c r="C1781" s="81" t="str">
        <f>IFERROR(VLOOKUP(A1781,Internal_lists_bugs!$A$2:$I7981,9,FALSE()),"please select a BUG ID")</f>
        <v>https://github.com/elastic/elasticsearch/pull/1065</v>
      </c>
      <c r="D1781" s="114"/>
      <c r="E1781" s="114"/>
      <c r="F1781" s="115"/>
      <c r="G1781" s="79" t="s">
        <v>3550</v>
      </c>
      <c r="H1781" s="93" t="s">
        <v>3551</v>
      </c>
      <c r="I1781" s="54"/>
      <c r="K1781" s="54"/>
      <c r="M1781" s="114" t="str">
        <f>VLOOKUP(A1781,'BIC_(C_Variables)'!$A$3:$AS$43,45,FALSE())</f>
        <v>#N/A</v>
      </c>
      <c r="N1781" s="1"/>
      <c r="O1781" s="9">
        <v>1065.0</v>
      </c>
      <c r="P1781" s="81" t="str">
        <f>IFERROR(VLOOKUP(A1781,Internal_lists_bugs!$A$2:$G7981,7,FALSE()),"please select a BUG ID")</f>
        <v>https://github.com/elastic/elasticsearch/commit/05e0b4d4e</v>
      </c>
    </row>
    <row r="1782">
      <c r="A1782" s="16" t="s">
        <v>83</v>
      </c>
      <c r="B1782" s="50" t="str">
        <f>IFERROR(HYPERLINK(VLOOKUP(A1782,Internal_lists_bugs!$A$2:$C$73,3,FALSE()), VLOOKUP(A1782,Internal_lists_bugs!$A$2:$C$73,3,FALSE())&amp;Char(10) &amp; Char(10) &amp; VLOOKUP(A1782,Internal_lists_bugs!$A$2:$Z$73,26,FALSE())),"please select a BUG ID")</f>
        <v>https://github.com/elastic/elasticsearch/issues/3242
/shape/ShapeFetchService.java</v>
      </c>
      <c r="C1782" s="81" t="str">
        <f>IFERROR(VLOOKUP(A1782,Internal_lists_bugs!$A$2:$I7981,9,FALSE()),"please select a BUG ID")</f>
        <v>https://github.com/elastic/elasticsearch/pull/1065</v>
      </c>
      <c r="D1782" s="114"/>
      <c r="E1782" s="114"/>
      <c r="F1782" s="115"/>
      <c r="G1782" s="79" t="s">
        <v>3552</v>
      </c>
      <c r="H1782" s="93" t="s">
        <v>3553</v>
      </c>
      <c r="I1782" s="54"/>
      <c r="K1782" s="54"/>
      <c r="M1782" s="114" t="str">
        <f>VLOOKUP(A1782,'BIC_(C_Variables)'!$A$3:$AS$43,45,FALSE())</f>
        <v>#N/A</v>
      </c>
      <c r="N1782" s="1"/>
      <c r="O1782" s="9">
        <v>1065.0</v>
      </c>
      <c r="P1782" s="81" t="str">
        <f>IFERROR(VLOOKUP(A1782,Internal_lists_bugs!$A$2:$G7981,7,FALSE()),"please select a BUG ID")</f>
        <v>https://github.com/elastic/elasticsearch/commit/05e0b4d4e</v>
      </c>
    </row>
    <row r="1783">
      <c r="A1783" s="16" t="s">
        <v>83</v>
      </c>
      <c r="B1783" s="50" t="str">
        <f>IFERROR(HYPERLINK(VLOOKUP(A1783,Internal_lists_bugs!$A$2:$C$73,3,FALSE()), VLOOKUP(A1783,Internal_lists_bugs!$A$2:$C$73,3,FALSE())&amp;Char(10) &amp; Char(10) &amp; VLOOKUP(A1783,Internal_lists_bugs!$A$2:$Z$73,26,FALSE())),"please select a BUG ID")</f>
        <v>https://github.com/elastic/elasticsearch/issues/3242
/shape/ShapeFetchService.java</v>
      </c>
      <c r="C1783" s="81" t="str">
        <f>IFERROR(VLOOKUP(A1783,Internal_lists_bugs!$A$2:$I7981,9,FALSE()),"please select a BUG ID")</f>
        <v>https://github.com/elastic/elasticsearch/pull/1065</v>
      </c>
      <c r="D1783" s="114"/>
      <c r="E1783" s="114"/>
      <c r="F1783" s="115"/>
      <c r="G1783" s="79" t="s">
        <v>3459</v>
      </c>
      <c r="H1783" s="93" t="s">
        <v>3554</v>
      </c>
      <c r="I1783" s="54"/>
      <c r="K1783" s="54"/>
      <c r="M1783" s="114" t="str">
        <f>VLOOKUP(A1783,'BIC_(C_Variables)'!$A$3:$AS$43,45,FALSE())</f>
        <v>#N/A</v>
      </c>
      <c r="N1783" s="1"/>
      <c r="O1783" s="9">
        <v>1065.0</v>
      </c>
      <c r="P1783" s="81" t="str">
        <f>IFERROR(VLOOKUP(A1783,Internal_lists_bugs!$A$2:$G7981,7,FALSE()),"please select a BUG ID")</f>
        <v>https://github.com/elastic/elasticsearch/commit/05e0b4d4e</v>
      </c>
    </row>
    <row r="1784">
      <c r="A1784" s="16" t="s">
        <v>83</v>
      </c>
      <c r="B1784" s="50" t="str">
        <f>IFERROR(HYPERLINK(VLOOKUP(A1784,Internal_lists_bugs!$A$2:$C$73,3,FALSE()), VLOOKUP(A1784,Internal_lists_bugs!$A$2:$C$73,3,FALSE())&amp;Char(10) &amp; Char(10) &amp; VLOOKUP(A1784,Internal_lists_bugs!$A$2:$Z$73,26,FALSE())),"please select a BUG ID")</f>
        <v>https://github.com/elastic/elasticsearch/issues/3242
/shape/ShapeFetchService.java</v>
      </c>
      <c r="C1784" s="81" t="str">
        <f>IFERROR(VLOOKUP(A1784,Internal_lists_bugs!$A$2:$I7981,9,FALSE()),"please select a BUG ID")</f>
        <v>https://github.com/elastic/elasticsearch/pull/1065</v>
      </c>
      <c r="D1784" s="114"/>
      <c r="E1784" s="114"/>
      <c r="F1784" s="115"/>
      <c r="G1784" s="79" t="s">
        <v>3423</v>
      </c>
      <c r="H1784" s="93" t="s">
        <v>3555</v>
      </c>
      <c r="I1784" s="54"/>
      <c r="K1784" s="54"/>
      <c r="M1784" s="114" t="str">
        <f>VLOOKUP(A1784,'BIC_(C_Variables)'!$A$3:$AS$43,45,FALSE())</f>
        <v>#N/A</v>
      </c>
      <c r="N1784" s="1"/>
      <c r="O1784" s="9">
        <v>1065.0</v>
      </c>
      <c r="P1784" s="81" t="str">
        <f>IFERROR(VLOOKUP(A1784,Internal_lists_bugs!$A$2:$G7981,7,FALSE()),"please select a BUG ID")</f>
        <v>https://github.com/elastic/elasticsearch/commit/05e0b4d4e</v>
      </c>
    </row>
    <row r="1785">
      <c r="A1785" s="16" t="s">
        <v>83</v>
      </c>
      <c r="B1785" s="50" t="str">
        <f>IFERROR(HYPERLINK(VLOOKUP(A1785,Internal_lists_bugs!$A$2:$C$73,3,FALSE()), VLOOKUP(A1785,Internal_lists_bugs!$A$2:$C$73,3,FALSE())&amp;Char(10) &amp; Char(10) &amp; VLOOKUP(A1785,Internal_lists_bugs!$A$2:$Z$73,26,FALSE())),"please select a BUG ID")</f>
        <v>https://github.com/elastic/elasticsearch/issues/3242
/shape/ShapeFetchService.java</v>
      </c>
      <c r="C1785" s="81" t="str">
        <f>IFERROR(VLOOKUP(A1785,Internal_lists_bugs!$A$2:$I7981,9,FALSE()),"please select a BUG ID")</f>
        <v>https://github.com/elastic/elasticsearch/pull/1065</v>
      </c>
      <c r="D1785" s="114"/>
      <c r="E1785" s="114"/>
      <c r="F1785" s="115"/>
      <c r="G1785" s="79" t="s">
        <v>3548</v>
      </c>
      <c r="H1785" s="93" t="s">
        <v>3556</v>
      </c>
      <c r="I1785" s="54"/>
      <c r="K1785" s="54"/>
      <c r="M1785" s="114" t="str">
        <f>VLOOKUP(A1785,'BIC_(C_Variables)'!$A$3:$AS$43,45,FALSE())</f>
        <v>#N/A</v>
      </c>
      <c r="N1785" s="1"/>
      <c r="O1785" s="9">
        <v>1065.0</v>
      </c>
      <c r="P1785" s="81" t="str">
        <f>IFERROR(VLOOKUP(A1785,Internal_lists_bugs!$A$2:$G7981,7,FALSE()),"please select a BUG ID")</f>
        <v>https://github.com/elastic/elasticsearch/commit/05e0b4d4e</v>
      </c>
    </row>
    <row r="1786">
      <c r="A1786" s="16" t="s">
        <v>83</v>
      </c>
      <c r="B1786" s="50" t="str">
        <f>IFERROR(HYPERLINK(VLOOKUP(A1786,Internal_lists_bugs!$A$2:$C$73,3,FALSE()), VLOOKUP(A1786,Internal_lists_bugs!$A$2:$C$73,3,FALSE())&amp;Char(10) &amp; Char(10) &amp; VLOOKUP(A1786,Internal_lists_bugs!$A$2:$Z$73,26,FALSE())),"please select a BUG ID")</f>
        <v>https://github.com/elastic/elasticsearch/issues/3242
/shape/ShapeFetchService.java</v>
      </c>
      <c r="C1786" s="81" t="str">
        <f>IFERROR(VLOOKUP(A1786,Internal_lists_bugs!$A$2:$I7981,9,FALSE()),"please select a BUG ID")</f>
        <v>https://github.com/elastic/elasticsearch/pull/1065</v>
      </c>
      <c r="D1786" s="114"/>
      <c r="E1786" s="114"/>
      <c r="F1786" s="115"/>
      <c r="G1786" s="79" t="s">
        <v>3557</v>
      </c>
      <c r="H1786" s="93" t="s">
        <v>3558</v>
      </c>
      <c r="I1786" s="54"/>
      <c r="K1786" s="54"/>
      <c r="M1786" s="114" t="str">
        <f>VLOOKUP(A1786,'BIC_(C_Variables)'!$A$3:$AS$43,45,FALSE())</f>
        <v>#N/A</v>
      </c>
      <c r="N1786" s="1"/>
      <c r="O1786" s="9">
        <v>1065.0</v>
      </c>
      <c r="P1786" s="81" t="str">
        <f>IFERROR(VLOOKUP(A1786,Internal_lists_bugs!$A$2:$G7981,7,FALSE()),"please select a BUG ID")</f>
        <v>https://github.com/elastic/elasticsearch/commit/05e0b4d4e</v>
      </c>
    </row>
    <row r="1787">
      <c r="A1787" s="16" t="s">
        <v>83</v>
      </c>
      <c r="B1787" s="50" t="str">
        <f>IFERROR(HYPERLINK(VLOOKUP(A1787,Internal_lists_bugs!$A$2:$C$73,3,FALSE()), VLOOKUP(A1787,Internal_lists_bugs!$A$2:$C$73,3,FALSE())&amp;Char(10) &amp; Char(10) &amp; VLOOKUP(A1787,Internal_lists_bugs!$A$2:$Z$73,26,FALSE())),"please select a BUG ID")</f>
        <v>https://github.com/elastic/elasticsearch/issues/3242
/shape/ShapeFetchService.java</v>
      </c>
      <c r="C1787" s="81" t="str">
        <f>IFERROR(VLOOKUP(A1787,Internal_lists_bugs!$A$2:$I7981,9,FALSE()),"please select a BUG ID")</f>
        <v>https://github.com/elastic/elasticsearch/pull/1065</v>
      </c>
      <c r="D1787" s="114"/>
      <c r="E1787" s="114"/>
      <c r="F1787" s="115"/>
      <c r="G1787" s="79" t="s">
        <v>3559</v>
      </c>
      <c r="H1787" s="93" t="s">
        <v>3560</v>
      </c>
      <c r="I1787" s="54"/>
      <c r="K1787" s="54"/>
      <c r="M1787" s="114" t="str">
        <f>VLOOKUP(A1787,'BIC_(C_Variables)'!$A$3:$AS$43,45,FALSE())</f>
        <v>#N/A</v>
      </c>
      <c r="N1787" s="1"/>
      <c r="O1787" s="9">
        <v>1065.0</v>
      </c>
      <c r="P1787" s="81" t="str">
        <f>IFERROR(VLOOKUP(A1787,Internal_lists_bugs!$A$2:$G7981,7,FALSE()),"please select a BUG ID")</f>
        <v>https://github.com/elastic/elasticsearch/commit/05e0b4d4e</v>
      </c>
    </row>
    <row r="1788">
      <c r="A1788" s="16" t="s">
        <v>87</v>
      </c>
      <c r="B1788" s="50" t="str">
        <f>IFERROR(HYPERLINK(VLOOKUP(A1788,Internal_lists_bugs!$A$2:$C$73,3,FALSE()), VLOOKUP(A1788,Internal_lists_bugs!$A$2:$C$73,3,FALSE())&amp;Char(10) &amp; Char(10) &amp; VLOOKUP(A1788,Internal_lists_bugs!$A$2:$Z$73,26,FALSE())),"please select a BUG ID")</f>
        <v>https://github.com/elastic/elasticsearch/issues/16790
/bin/elasticsearch-plugin
/bin/elasticsearch-plugin.bat </v>
      </c>
      <c r="C1788" s="81" t="str">
        <f>IFERROR(VLOOKUP(A1788,Internal_lists_bugs!$A$2:$I7981,9,FALSE()),"please select a BUG ID")</f>
        <v>https://github.com/elastic/elasticsearch/pull/12801</v>
      </c>
      <c r="D1788" s="112" t="s">
        <v>3413</v>
      </c>
      <c r="E1788" s="112" t="s">
        <v>3561</v>
      </c>
      <c r="F1788" s="113" t="s">
        <v>251</v>
      </c>
      <c r="G1788" s="79" t="s">
        <v>1672</v>
      </c>
      <c r="H1788" s="93" t="s">
        <v>324</v>
      </c>
      <c r="I1788" s="16" t="s">
        <v>123</v>
      </c>
      <c r="J1788" s="16" t="s">
        <v>3562</v>
      </c>
      <c r="K1788" s="16" t="s">
        <v>123</v>
      </c>
      <c r="L1788" s="16" t="s">
        <v>3562</v>
      </c>
      <c r="M1788" s="114" t="str">
        <f>VLOOKUP(A1788,'BIC_(C_Variables)'!$A$3:$AS$43,45,FALSE())</f>
        <v>#N/A</v>
      </c>
      <c r="N1788" s="9" t="s">
        <v>3445</v>
      </c>
      <c r="O1788" s="9">
        <v>12801.0</v>
      </c>
      <c r="P1788" s="81" t="str">
        <f>IFERROR(VLOOKUP(A1788,Internal_lists_bugs!$A$2:$G7981,7,FALSE()),"please select a BUG ID")</f>
        <v>https://github.com/elastic/elasticsearch/commit/1e209e3802</v>
      </c>
    </row>
    <row r="1789">
      <c r="A1789" s="16" t="s">
        <v>87</v>
      </c>
      <c r="B1789" s="50" t="str">
        <f>IFERROR(HYPERLINK(VLOOKUP(A1789,Internal_lists_bugs!$A$2:$C$73,3,FALSE()), VLOOKUP(A1789,Internal_lists_bugs!$A$2:$C$73,3,FALSE())&amp;Char(10) &amp; Char(10) &amp; VLOOKUP(A1789,Internal_lists_bugs!$A$2:$Z$73,26,FALSE())),"please select a BUG ID")</f>
        <v>https://github.com/elastic/elasticsearch/issues/16790
/bin/elasticsearch-plugin
/bin/elasticsearch-plugin.bat </v>
      </c>
      <c r="C1789" s="81" t="str">
        <f>IFERROR(VLOOKUP(A1789,Internal_lists_bugs!$A$2:$I7981,9,FALSE()),"please select a BUG ID")</f>
        <v>https://github.com/elastic/elasticsearch/pull/12801</v>
      </c>
      <c r="D1789" s="114"/>
      <c r="E1789" s="114"/>
      <c r="F1789" s="115"/>
      <c r="G1789" s="79" t="s">
        <v>2518</v>
      </c>
      <c r="H1789" s="93" t="s">
        <v>3563</v>
      </c>
      <c r="I1789" s="54"/>
      <c r="K1789" s="54"/>
      <c r="M1789" s="114" t="str">
        <f>VLOOKUP(A1789,'BIC_(C_Variables)'!$A$3:$AS$43,45,FALSE())</f>
        <v>#N/A</v>
      </c>
      <c r="N1789" s="1"/>
      <c r="O1789" s="9">
        <v>12801.0</v>
      </c>
      <c r="P1789" s="81" t="str">
        <f>IFERROR(VLOOKUP(A1789,Internal_lists_bugs!$A$2:$G7981,7,FALSE()),"please select a BUG ID")</f>
        <v>https://github.com/elastic/elasticsearch/commit/1e209e3802</v>
      </c>
    </row>
    <row r="1790">
      <c r="A1790" s="16" t="s">
        <v>87</v>
      </c>
      <c r="B1790" s="50" t="str">
        <f>IFERROR(HYPERLINK(VLOOKUP(A1790,Internal_lists_bugs!$A$2:$C$73,3,FALSE()), VLOOKUP(A1790,Internal_lists_bugs!$A$2:$C$73,3,FALSE())&amp;Char(10) &amp; Char(10) &amp; VLOOKUP(A1790,Internal_lists_bugs!$A$2:$Z$73,26,FALSE())),"please select a BUG ID")</f>
        <v>https://github.com/elastic/elasticsearch/issues/16790
/bin/elasticsearch-plugin
/bin/elasticsearch-plugin.bat </v>
      </c>
      <c r="C1790" s="81" t="str">
        <f>IFERROR(VLOOKUP(A1790,Internal_lists_bugs!$A$2:$I7981,9,FALSE()),"please select a BUG ID")</f>
        <v>https://github.com/elastic/elasticsearch/pull/12801</v>
      </c>
      <c r="D1790" s="114"/>
      <c r="E1790" s="114"/>
      <c r="F1790" s="115"/>
      <c r="G1790" s="79" t="s">
        <v>3564</v>
      </c>
      <c r="H1790" s="93" t="s">
        <v>3563</v>
      </c>
      <c r="I1790" s="54"/>
      <c r="K1790" s="54"/>
      <c r="M1790" s="114" t="str">
        <f>VLOOKUP(A1790,'BIC_(C_Variables)'!$A$3:$AS$43,45,FALSE())</f>
        <v>#N/A</v>
      </c>
      <c r="N1790" s="1"/>
      <c r="O1790" s="9">
        <v>12801.0</v>
      </c>
      <c r="P1790" s="81" t="str">
        <f>IFERROR(VLOOKUP(A1790,Internal_lists_bugs!$A$2:$G7981,7,FALSE()),"please select a BUG ID")</f>
        <v>https://github.com/elastic/elasticsearch/commit/1e209e3802</v>
      </c>
    </row>
    <row r="1791">
      <c r="A1791" s="16" t="s">
        <v>87</v>
      </c>
      <c r="B1791" s="50" t="str">
        <f>IFERROR(HYPERLINK(VLOOKUP(A1791,Internal_lists_bugs!$A$2:$C$73,3,FALSE()), VLOOKUP(A1791,Internal_lists_bugs!$A$2:$C$73,3,FALSE())&amp;Char(10) &amp; Char(10) &amp; VLOOKUP(A1791,Internal_lists_bugs!$A$2:$Z$73,26,FALSE())),"please select a BUG ID")</f>
        <v>https://github.com/elastic/elasticsearch/issues/16790
/bin/elasticsearch-plugin
/bin/elasticsearch-plugin.bat </v>
      </c>
      <c r="C1791" s="81" t="str">
        <f>IFERROR(VLOOKUP(A1791,Internal_lists_bugs!$A$2:$I7981,9,FALSE()),"please select a BUG ID")</f>
        <v>https://github.com/elastic/elasticsearch/pull/12801</v>
      </c>
      <c r="D1791" s="114"/>
      <c r="E1791" s="114"/>
      <c r="F1791" s="115"/>
      <c r="G1791" s="79" t="s">
        <v>3565</v>
      </c>
      <c r="H1791" s="93" t="s">
        <v>3566</v>
      </c>
      <c r="I1791" s="54"/>
      <c r="K1791" s="54"/>
      <c r="M1791" s="114" t="str">
        <f>VLOOKUP(A1791,'BIC_(C_Variables)'!$A$3:$AS$43,45,FALSE())</f>
        <v>#N/A</v>
      </c>
      <c r="N1791" s="1"/>
      <c r="O1791" s="9">
        <v>12801.0</v>
      </c>
      <c r="P1791" s="81" t="str">
        <f>IFERROR(VLOOKUP(A1791,Internal_lists_bugs!$A$2:$G7981,7,FALSE()),"please select a BUG ID")</f>
        <v>https://github.com/elastic/elasticsearch/commit/1e209e3802</v>
      </c>
    </row>
    <row r="1792">
      <c r="A1792" s="16" t="s">
        <v>87</v>
      </c>
      <c r="B1792" s="50" t="str">
        <f>IFERROR(HYPERLINK(VLOOKUP(A1792,Internal_lists_bugs!$A$2:$C$73,3,FALSE()), VLOOKUP(A1792,Internal_lists_bugs!$A$2:$C$73,3,FALSE())&amp;Char(10) &amp; Char(10) &amp; VLOOKUP(A1792,Internal_lists_bugs!$A$2:$Z$73,26,FALSE())),"please select a BUG ID")</f>
        <v>https://github.com/elastic/elasticsearch/issues/16790
/bin/elasticsearch-plugin
/bin/elasticsearch-plugin.bat </v>
      </c>
      <c r="C1792" s="81" t="str">
        <f>IFERROR(VLOOKUP(A1792,Internal_lists_bugs!$A$2:$I7981,9,FALSE()),"please select a BUG ID")</f>
        <v>https://github.com/elastic/elasticsearch/pull/12801</v>
      </c>
      <c r="D1792" s="114"/>
      <c r="E1792" s="114"/>
      <c r="F1792" s="115"/>
      <c r="G1792" s="79" t="s">
        <v>3082</v>
      </c>
      <c r="H1792" s="93" t="s">
        <v>3567</v>
      </c>
      <c r="I1792" s="54"/>
      <c r="K1792" s="54"/>
      <c r="M1792" s="114" t="str">
        <f>VLOOKUP(A1792,'BIC_(C_Variables)'!$A$3:$AS$43,45,FALSE())</f>
        <v>#N/A</v>
      </c>
      <c r="N1792" s="1"/>
      <c r="O1792" s="9">
        <v>12801.0</v>
      </c>
      <c r="P1792" s="81" t="str">
        <f>IFERROR(VLOOKUP(A1792,Internal_lists_bugs!$A$2:$G7981,7,FALSE()),"please select a BUG ID")</f>
        <v>https://github.com/elastic/elasticsearch/commit/1e209e3802</v>
      </c>
    </row>
    <row r="1793">
      <c r="A1793" s="16" t="s">
        <v>87</v>
      </c>
      <c r="B1793" s="50" t="str">
        <f>IFERROR(HYPERLINK(VLOOKUP(A1793,Internal_lists_bugs!$A$2:$C$73,3,FALSE()), VLOOKUP(A1793,Internal_lists_bugs!$A$2:$C$73,3,FALSE())&amp;Char(10) &amp; Char(10) &amp; VLOOKUP(A1793,Internal_lists_bugs!$A$2:$Z$73,26,FALSE())),"please select a BUG ID")</f>
        <v>https://github.com/elastic/elasticsearch/issues/16790
/bin/elasticsearch-plugin
/bin/elasticsearch-plugin.bat </v>
      </c>
      <c r="C1793" s="81" t="str">
        <f>IFERROR(VLOOKUP(A1793,Internal_lists_bugs!$A$2:$I7981,9,FALSE()),"please select a BUG ID")</f>
        <v>https://github.com/elastic/elasticsearch/pull/12801</v>
      </c>
      <c r="D1793" s="114"/>
      <c r="E1793" s="114"/>
      <c r="F1793" s="115"/>
      <c r="G1793" s="79" t="s">
        <v>3451</v>
      </c>
      <c r="H1793" s="93" t="s">
        <v>3568</v>
      </c>
      <c r="I1793" s="54"/>
      <c r="K1793" s="54"/>
      <c r="M1793" s="114" t="str">
        <f>VLOOKUP(A1793,'BIC_(C_Variables)'!$A$3:$AS$43,45,FALSE())</f>
        <v>#N/A</v>
      </c>
      <c r="N1793" s="1"/>
      <c r="O1793" s="9">
        <v>12801.0</v>
      </c>
      <c r="P1793" s="81" t="str">
        <f>IFERROR(VLOOKUP(A1793,Internal_lists_bugs!$A$2:$G7981,7,FALSE()),"please select a BUG ID")</f>
        <v>https://github.com/elastic/elasticsearch/commit/1e209e3802</v>
      </c>
    </row>
    <row r="1794">
      <c r="A1794" s="16" t="s">
        <v>87</v>
      </c>
      <c r="B1794" s="50" t="str">
        <f>IFERROR(HYPERLINK(VLOOKUP(A1794,Internal_lists_bugs!$A$2:$C$73,3,FALSE()), VLOOKUP(A1794,Internal_lists_bugs!$A$2:$C$73,3,FALSE())&amp;Char(10) &amp; Char(10) &amp; VLOOKUP(A1794,Internal_lists_bugs!$A$2:$Z$73,26,FALSE())),"please select a BUG ID")</f>
        <v>https://github.com/elastic/elasticsearch/issues/16790
/bin/elasticsearch-plugin
/bin/elasticsearch-plugin.bat </v>
      </c>
      <c r="C1794" s="81" t="str">
        <f>IFERROR(VLOOKUP(A1794,Internal_lists_bugs!$A$2:$I7981,9,FALSE()),"please select a BUG ID")</f>
        <v>https://github.com/elastic/elasticsearch/pull/12801</v>
      </c>
      <c r="D1794" s="114"/>
      <c r="E1794" s="114"/>
      <c r="F1794" s="115"/>
      <c r="G1794" s="79" t="s">
        <v>3446</v>
      </c>
      <c r="H1794" s="93" t="s">
        <v>3569</v>
      </c>
      <c r="I1794" s="54"/>
      <c r="K1794" s="54"/>
      <c r="M1794" s="114" t="str">
        <f>VLOOKUP(A1794,'BIC_(C_Variables)'!$A$3:$AS$43,45,FALSE())</f>
        <v>#N/A</v>
      </c>
      <c r="N1794" s="1"/>
      <c r="O1794" s="9">
        <v>12801.0</v>
      </c>
      <c r="P1794" s="81" t="str">
        <f>IFERROR(VLOOKUP(A1794,Internal_lists_bugs!$A$2:$G7981,7,FALSE()),"please select a BUG ID")</f>
        <v>https://github.com/elastic/elasticsearch/commit/1e209e3802</v>
      </c>
    </row>
    <row r="1795">
      <c r="A1795" s="16" t="s">
        <v>87</v>
      </c>
      <c r="B1795" s="50" t="str">
        <f>IFERROR(HYPERLINK(VLOOKUP(A1795,Internal_lists_bugs!$A$2:$C$73,3,FALSE()), VLOOKUP(A1795,Internal_lists_bugs!$A$2:$C$73,3,FALSE())&amp;Char(10) &amp; Char(10) &amp; VLOOKUP(A1795,Internal_lists_bugs!$A$2:$Z$73,26,FALSE())),"please select a BUG ID")</f>
        <v>https://github.com/elastic/elasticsearch/issues/16790
/bin/elasticsearch-plugin
/bin/elasticsearch-plugin.bat </v>
      </c>
      <c r="C1795" s="81" t="str">
        <f>IFERROR(VLOOKUP(A1795,Internal_lists_bugs!$A$2:$I7981,9,FALSE()),"please select a BUG ID")</f>
        <v>https://github.com/elastic/elasticsearch/pull/12801</v>
      </c>
      <c r="D1795" s="114"/>
      <c r="E1795" s="114"/>
      <c r="F1795" s="115"/>
      <c r="G1795" s="79" t="s">
        <v>3448</v>
      </c>
      <c r="H1795" s="93" t="s">
        <v>3570</v>
      </c>
      <c r="I1795" s="54"/>
      <c r="K1795" s="54"/>
      <c r="M1795" s="114" t="str">
        <f>VLOOKUP(A1795,'BIC_(C_Variables)'!$A$3:$AS$43,45,FALSE())</f>
        <v>#N/A</v>
      </c>
      <c r="N1795" s="1"/>
      <c r="O1795" s="9">
        <v>12801.0</v>
      </c>
      <c r="P1795" s="81" t="str">
        <f>IFERROR(VLOOKUP(A1795,Internal_lists_bugs!$A$2:$G7981,7,FALSE()),"please select a BUG ID")</f>
        <v>https://github.com/elastic/elasticsearch/commit/1e209e3802</v>
      </c>
    </row>
    <row r="1796">
      <c r="A1796" s="16" t="s">
        <v>87</v>
      </c>
      <c r="B1796" s="50" t="str">
        <f>IFERROR(HYPERLINK(VLOOKUP(A1796,Internal_lists_bugs!$A$2:$C$73,3,FALSE()), VLOOKUP(A1796,Internal_lists_bugs!$A$2:$C$73,3,FALSE())&amp;Char(10) &amp; Char(10) &amp; VLOOKUP(A1796,Internal_lists_bugs!$A$2:$Z$73,26,FALSE())),"please select a BUG ID")</f>
        <v>https://github.com/elastic/elasticsearch/issues/16790
/bin/elasticsearch-plugin
/bin/elasticsearch-plugin.bat </v>
      </c>
      <c r="C1796" s="81" t="str">
        <f>IFERROR(VLOOKUP(A1796,Internal_lists_bugs!$A$2:$I7981,9,FALSE()),"please select a BUG ID")</f>
        <v>https://github.com/elastic/elasticsearch/pull/12801</v>
      </c>
      <c r="D1796" s="114"/>
      <c r="E1796" s="114"/>
      <c r="F1796" s="115"/>
      <c r="G1796" s="79" t="s">
        <v>3571</v>
      </c>
      <c r="H1796" s="93" t="s">
        <v>3572</v>
      </c>
      <c r="I1796" s="54"/>
      <c r="K1796" s="54"/>
      <c r="M1796" s="114" t="str">
        <f>VLOOKUP(A1796,'BIC_(C_Variables)'!$A$3:$AS$43,45,FALSE())</f>
        <v>#N/A</v>
      </c>
      <c r="N1796" s="1"/>
      <c r="O1796" s="9">
        <v>12801.0</v>
      </c>
      <c r="P1796" s="81" t="str">
        <f>IFERROR(VLOOKUP(A1796,Internal_lists_bugs!$A$2:$G7981,7,FALSE()),"please select a BUG ID")</f>
        <v>https://github.com/elastic/elasticsearch/commit/1e209e3802</v>
      </c>
    </row>
    <row r="1797">
      <c r="A1797" s="16" t="s">
        <v>87</v>
      </c>
      <c r="B1797" s="50" t="str">
        <f>IFERROR(HYPERLINK(VLOOKUP(A1797,Internal_lists_bugs!$A$2:$C$73,3,FALSE()), VLOOKUP(A1797,Internal_lists_bugs!$A$2:$C$73,3,FALSE())&amp;Char(10) &amp; Char(10) &amp; VLOOKUP(A1797,Internal_lists_bugs!$A$2:$Z$73,26,FALSE())),"please select a BUG ID")</f>
        <v>https://github.com/elastic/elasticsearch/issues/16790
/bin/elasticsearch-plugin
/bin/elasticsearch-plugin.bat </v>
      </c>
      <c r="C1797" s="81" t="str">
        <f>IFERROR(VLOOKUP(A1797,Internal_lists_bugs!$A$2:$I7981,9,FALSE()),"please select a BUG ID")</f>
        <v>https://github.com/elastic/elasticsearch/pull/12801</v>
      </c>
      <c r="D1797" s="114"/>
      <c r="E1797" s="114"/>
      <c r="F1797" s="115"/>
      <c r="G1797" s="79" t="s">
        <v>1460</v>
      </c>
      <c r="H1797" s="93" t="s">
        <v>3573</v>
      </c>
      <c r="I1797" s="54"/>
      <c r="K1797" s="54"/>
      <c r="M1797" s="114" t="str">
        <f>VLOOKUP(A1797,'BIC_(C_Variables)'!$A$3:$AS$43,45,FALSE())</f>
        <v>#N/A</v>
      </c>
      <c r="N1797" s="1"/>
      <c r="O1797" s="9">
        <v>12801.0</v>
      </c>
      <c r="P1797" s="81" t="str">
        <f>IFERROR(VLOOKUP(A1797,Internal_lists_bugs!$A$2:$G7981,7,FALSE()),"please select a BUG ID")</f>
        <v>https://github.com/elastic/elasticsearch/commit/1e209e3802</v>
      </c>
    </row>
    <row r="1798">
      <c r="A1798" s="16" t="s">
        <v>87</v>
      </c>
      <c r="B1798" s="50" t="str">
        <f>IFERROR(HYPERLINK(VLOOKUP(A1798,Internal_lists_bugs!$A$2:$C$73,3,FALSE()), VLOOKUP(A1798,Internal_lists_bugs!$A$2:$C$73,3,FALSE())&amp;Char(10) &amp; Char(10) &amp; VLOOKUP(A1798,Internal_lists_bugs!$A$2:$Z$73,26,FALSE())),"please select a BUG ID")</f>
        <v>https://github.com/elastic/elasticsearch/issues/16790
/bin/elasticsearch-plugin
/bin/elasticsearch-plugin.bat </v>
      </c>
      <c r="C1798" s="81" t="str">
        <f>IFERROR(VLOOKUP(A1798,Internal_lists_bugs!$A$2:$I7981,9,FALSE()),"please select a BUG ID")</f>
        <v>https://github.com/elastic/elasticsearch/pull/12801</v>
      </c>
      <c r="D1798" s="114"/>
      <c r="E1798" s="114"/>
      <c r="F1798" s="115"/>
      <c r="G1798" s="79" t="s">
        <v>3082</v>
      </c>
      <c r="H1798" s="93" t="s">
        <v>3574</v>
      </c>
      <c r="I1798" s="54"/>
      <c r="K1798" s="54"/>
      <c r="M1798" s="114" t="str">
        <f>VLOOKUP(A1798,'BIC_(C_Variables)'!$A$3:$AS$43,45,FALSE())</f>
        <v>#N/A</v>
      </c>
      <c r="N1798" s="9"/>
      <c r="O1798" s="9">
        <v>12801.0</v>
      </c>
      <c r="P1798" s="81" t="str">
        <f>IFERROR(VLOOKUP(A1798,Internal_lists_bugs!$A$2:$G7981,7,FALSE()),"please select a BUG ID")</f>
        <v>https://github.com/elastic/elasticsearch/commit/1e209e3802</v>
      </c>
    </row>
    <row r="1799">
      <c r="A1799" s="16" t="s">
        <v>90</v>
      </c>
      <c r="B1799" s="50" t="str">
        <f>IFERROR(HYPERLINK(VLOOKUP(A1799,Internal_lists_bugs!$A$2:$C$73,3,FALSE()), VLOOKUP(A1799,Internal_lists_bugs!$A$2:$C$73,3,FALSE())&amp;Char(10) &amp; Char(10) &amp; VLOOKUP(A1799,Internal_lists_bugs!$A$2:$Z$73,26,FALSE())),"please select a BUG ID")</f>
        <v>https://github.com/elastic/elasticsearch/issues/8125
/bulk/TransportBulkAction.java</v>
      </c>
      <c r="C1799" s="81" t="str">
        <f>IFERROR(VLOOKUP(A1799,Internal_lists_bugs!$A$2:$I7981,9,FALSE()),"please select a BUG ID")</f>
        <v>https://github.com/elastic/elasticsearch/pull/9005</v>
      </c>
      <c r="D1799" s="114"/>
      <c r="E1799" s="114"/>
      <c r="F1799" s="113" t="s">
        <v>123</v>
      </c>
      <c r="G1799" s="82"/>
      <c r="H1799" s="92"/>
      <c r="I1799" s="16" t="s">
        <v>123</v>
      </c>
      <c r="K1799" s="16" t="s">
        <v>123</v>
      </c>
      <c r="M1799" s="114" t="str">
        <f>VLOOKUP(A1799,'BIC_(C_Variables)'!$A$3:$AS$43,45,FALSE())</f>
        <v>#N/A</v>
      </c>
      <c r="N1799" s="9" t="s">
        <v>3415</v>
      </c>
      <c r="O1799" s="9">
        <v>9005.0</v>
      </c>
      <c r="P1799" s="81" t="str">
        <f>IFERROR(VLOOKUP(A1799,Internal_lists_bugs!$A$2:$G7981,7,FALSE()),"please select a BUG ID")</f>
        <v>https://github.com/elastic/elasticsearch/commit/61c21f9</v>
      </c>
    </row>
    <row r="1800">
      <c r="A1800" s="16" t="s">
        <v>84</v>
      </c>
      <c r="B1800" s="50" t="str">
        <f>IFERROR(HYPERLINK(VLOOKUP(A1800,Internal_lists_bugs!$A$2:$C$73,3,FALSE()), VLOOKUP(A1800,Internal_lists_bugs!$A$2:$C$73,3,FALSE())&amp;Char(10) &amp; Char(10) &amp; VLOOKUP(A1800,Internal_lists_bugs!$A$2:$Z$73,26,FALSE())),"please select a BUG ID")</f>
        <v>https://github.com/elastic/elasticsearch/issues/8507
/fielddata/SortingNumericDocValues.java
/geogrid/GeoHashGridParser.java
/support/ValuesSource.java
/values/ScriptLongValues.java</v>
      </c>
      <c r="C1800" s="51" t="str">
        <f>IFERROR(VLOOKUP(A1800,Internal_lists_bugs!$A$2:$I7981,9,FALSE()),"please select a BUG ID")</f>
        <v>II is PR (6908)</v>
      </c>
      <c r="D1800" s="112" t="s">
        <v>3413</v>
      </c>
      <c r="E1800" s="114"/>
      <c r="F1800" s="113" t="s">
        <v>251</v>
      </c>
      <c r="G1800" s="79" t="s">
        <v>1417</v>
      </c>
      <c r="H1800" s="93" t="s">
        <v>324</v>
      </c>
      <c r="I1800" s="16" t="s">
        <v>251</v>
      </c>
      <c r="J1800" s="16" t="s">
        <v>3575</v>
      </c>
      <c r="K1800" s="16" t="s">
        <v>251</v>
      </c>
      <c r="L1800" s="16" t="s">
        <v>3575</v>
      </c>
      <c r="M1800" s="114" t="str">
        <f>VLOOKUP(A1800,'BIC_(C_Variables)'!$A$3:$AS$43,45,FALSE())</f>
        <v>#N/A</v>
      </c>
      <c r="N1800" s="9" t="s">
        <v>3445</v>
      </c>
      <c r="O1800" s="9">
        <v>6908.0</v>
      </c>
      <c r="P1800" s="81" t="str">
        <f>IFERROR(VLOOKUP(A1800,Internal_lists_bugs!$A$2:$G7981,7,FALSE()),"please select a BUG ID")</f>
        <v>https://github.com/elastic/elasticsearch/commit/3c142e5</v>
      </c>
    </row>
    <row r="1801">
      <c r="A1801" s="16" t="s">
        <v>84</v>
      </c>
      <c r="B1801" s="50" t="str">
        <f>IFERROR(HYPERLINK(VLOOKUP(A1801,Internal_lists_bugs!$A$2:$C$73,3,FALSE()), VLOOKUP(A1801,Internal_lists_bugs!$A$2:$C$73,3,FALSE())&amp;Char(10) &amp; Char(10) &amp; VLOOKUP(A1801,Internal_lists_bugs!$A$2:$Z$73,26,FALSE())),"please select a BUG ID")</f>
        <v>https://github.com/elastic/elasticsearch/issues/8507
/fielddata/SortingNumericDocValues.java
/geogrid/GeoHashGridParser.java
/support/ValuesSource.java
/values/ScriptLongValues.java</v>
      </c>
      <c r="C1801" s="51" t="str">
        <f>IFERROR(VLOOKUP(A1801,Internal_lists_bugs!$A$2:$I7981,9,FALSE()),"please select a BUG ID")</f>
        <v>II is PR (6908)</v>
      </c>
      <c r="D1801" s="114"/>
      <c r="E1801" s="114"/>
      <c r="F1801" s="115"/>
      <c r="G1801" s="79" t="s">
        <v>2922</v>
      </c>
      <c r="H1801" s="93" t="s">
        <v>3576</v>
      </c>
      <c r="I1801" s="54"/>
      <c r="K1801" s="54"/>
      <c r="M1801" s="114" t="str">
        <f>VLOOKUP(A1801,'BIC_(C_Variables)'!$A$3:$AS$43,45,FALSE())</f>
        <v>#N/A</v>
      </c>
      <c r="N1801" s="9"/>
      <c r="O1801" s="9">
        <v>6908.0</v>
      </c>
      <c r="P1801" s="81" t="str">
        <f>IFERROR(VLOOKUP(A1801,Internal_lists_bugs!$A$2:$G7981,7,FALSE()),"please select a BUG ID")</f>
        <v>https://github.com/elastic/elasticsearch/commit/3c142e5</v>
      </c>
    </row>
    <row r="1802">
      <c r="A1802" s="16" t="s">
        <v>84</v>
      </c>
      <c r="B1802" s="50" t="str">
        <f>IFERROR(HYPERLINK(VLOOKUP(A1802,Internal_lists_bugs!$A$2:$C$73,3,FALSE()), VLOOKUP(A1802,Internal_lists_bugs!$A$2:$C$73,3,FALSE())&amp;Char(10) &amp; Char(10) &amp; VLOOKUP(A1802,Internal_lists_bugs!$A$2:$Z$73,26,FALSE())),"please select a BUG ID")</f>
        <v>https://github.com/elastic/elasticsearch/issues/8507
/fielddata/SortingNumericDocValues.java
/geogrid/GeoHashGridParser.java
/support/ValuesSource.java
/values/ScriptLongValues.java</v>
      </c>
      <c r="C1802" s="51" t="str">
        <f>IFERROR(VLOOKUP(A1802,Internal_lists_bugs!$A$2:$I7981,9,FALSE()),"please select a BUG ID")</f>
        <v>II is PR (6908)</v>
      </c>
      <c r="D1802" s="114"/>
      <c r="E1802" s="114"/>
      <c r="F1802" s="115"/>
      <c r="G1802" s="79" t="s">
        <v>3446</v>
      </c>
      <c r="H1802" s="93" t="s">
        <v>3577</v>
      </c>
      <c r="I1802" s="54"/>
      <c r="K1802" s="54"/>
      <c r="M1802" s="114" t="str">
        <f>VLOOKUP(A1802,'BIC_(C_Variables)'!$A$3:$AS$43,45,FALSE())</f>
        <v>#N/A</v>
      </c>
      <c r="N1802" s="1"/>
      <c r="O1802" s="9">
        <v>6908.0</v>
      </c>
      <c r="P1802" s="81" t="str">
        <f>IFERROR(VLOOKUP(A1802,Internal_lists_bugs!$A$2:$G7981,7,FALSE()),"please select a BUG ID")</f>
        <v>https://github.com/elastic/elasticsearch/commit/3c142e5</v>
      </c>
    </row>
    <row r="1803">
      <c r="A1803" s="16" t="s">
        <v>84</v>
      </c>
      <c r="B1803" s="50" t="str">
        <f>IFERROR(HYPERLINK(VLOOKUP(A1803,Internal_lists_bugs!$A$2:$C$73,3,FALSE()), VLOOKUP(A1803,Internal_lists_bugs!$A$2:$C$73,3,FALSE())&amp;Char(10) &amp; Char(10) &amp; VLOOKUP(A1803,Internal_lists_bugs!$A$2:$Z$73,26,FALSE())),"please select a BUG ID")</f>
        <v>https://github.com/elastic/elasticsearch/issues/8507
/fielddata/SortingNumericDocValues.java
/geogrid/GeoHashGridParser.java
/support/ValuesSource.java
/values/ScriptLongValues.java</v>
      </c>
      <c r="C1803" s="51" t="str">
        <f>IFERROR(VLOOKUP(A1803,Internal_lists_bugs!$A$2:$I7981,9,FALSE()),"please select a BUG ID")</f>
        <v>II is PR (6908)</v>
      </c>
      <c r="D1803" s="114"/>
      <c r="E1803" s="114"/>
      <c r="F1803" s="115"/>
      <c r="G1803" s="79" t="s">
        <v>3578</v>
      </c>
      <c r="H1803" s="93" t="s">
        <v>3579</v>
      </c>
      <c r="I1803" s="54"/>
      <c r="K1803" s="54"/>
      <c r="M1803" s="114" t="str">
        <f>VLOOKUP(A1803,'BIC_(C_Variables)'!$A$3:$AS$43,45,FALSE())</f>
        <v>#N/A</v>
      </c>
      <c r="N1803" s="1"/>
      <c r="O1803" s="9">
        <v>6908.0</v>
      </c>
      <c r="P1803" s="81" t="str">
        <f>IFERROR(VLOOKUP(A1803,Internal_lists_bugs!$A$2:$G7981,7,FALSE()),"please select a BUG ID")</f>
        <v>https://github.com/elastic/elasticsearch/commit/3c142e5</v>
      </c>
    </row>
    <row r="1804">
      <c r="A1804" s="16" t="s">
        <v>84</v>
      </c>
      <c r="B1804" s="50" t="str">
        <f>IFERROR(HYPERLINK(VLOOKUP(A1804,Internal_lists_bugs!$A$2:$C$73,3,FALSE()), VLOOKUP(A1804,Internal_lists_bugs!$A$2:$C$73,3,FALSE())&amp;Char(10) &amp; Char(10) &amp; VLOOKUP(A1804,Internal_lists_bugs!$A$2:$Z$73,26,FALSE())),"please select a BUG ID")</f>
        <v>https://github.com/elastic/elasticsearch/issues/8507
/fielddata/SortingNumericDocValues.java
/geogrid/GeoHashGridParser.java
/support/ValuesSource.java
/values/ScriptLongValues.java</v>
      </c>
      <c r="C1804" s="51" t="str">
        <f>IFERROR(VLOOKUP(A1804,Internal_lists_bugs!$A$2:$I7981,9,FALSE()),"please select a BUG ID")</f>
        <v>II is PR (6908)</v>
      </c>
      <c r="D1804" s="114"/>
      <c r="E1804" s="114"/>
      <c r="F1804" s="115"/>
      <c r="G1804" s="79" t="s">
        <v>3548</v>
      </c>
      <c r="H1804" s="93" t="s">
        <v>3580</v>
      </c>
      <c r="I1804" s="54"/>
      <c r="K1804" s="54"/>
      <c r="M1804" s="114" t="str">
        <f>VLOOKUP(A1804,'BIC_(C_Variables)'!$A$3:$AS$43,45,FALSE())</f>
        <v>#N/A</v>
      </c>
      <c r="N1804" s="1"/>
      <c r="O1804" s="9">
        <v>6908.0</v>
      </c>
      <c r="P1804" s="81" t="str">
        <f>IFERROR(VLOOKUP(A1804,Internal_lists_bugs!$A$2:$G7981,7,FALSE()),"please select a BUG ID")</f>
        <v>https://github.com/elastic/elasticsearch/commit/3c142e5</v>
      </c>
    </row>
    <row r="1805">
      <c r="A1805" s="16" t="s">
        <v>84</v>
      </c>
      <c r="B1805" s="50" t="str">
        <f>IFERROR(HYPERLINK(VLOOKUP(A1805,Internal_lists_bugs!$A$2:$C$73,3,FALSE()), VLOOKUP(A1805,Internal_lists_bugs!$A$2:$C$73,3,FALSE())&amp;Char(10) &amp; Char(10) &amp; VLOOKUP(A1805,Internal_lists_bugs!$A$2:$Z$73,26,FALSE())),"please select a BUG ID")</f>
        <v>https://github.com/elastic/elasticsearch/issues/8507
/fielddata/SortingNumericDocValues.java
/geogrid/GeoHashGridParser.java
/support/ValuesSource.java
/values/ScriptLongValues.java</v>
      </c>
      <c r="C1805" s="51" t="str">
        <f>IFERROR(VLOOKUP(A1805,Internal_lists_bugs!$A$2:$I7981,9,FALSE()),"please select a BUG ID")</f>
        <v>II is PR (6908)</v>
      </c>
      <c r="D1805" s="114"/>
      <c r="E1805" s="114"/>
      <c r="F1805" s="115"/>
      <c r="G1805" s="79" t="s">
        <v>3581</v>
      </c>
      <c r="H1805" s="93" t="s">
        <v>3582</v>
      </c>
      <c r="I1805" s="54"/>
      <c r="K1805" s="54"/>
      <c r="M1805" s="114" t="str">
        <f>VLOOKUP(A1805,'BIC_(C_Variables)'!$A$3:$AS$43,45,FALSE())</f>
        <v>#N/A</v>
      </c>
      <c r="N1805" s="1"/>
      <c r="O1805" s="9">
        <v>6908.0</v>
      </c>
      <c r="P1805" s="81" t="str">
        <f>IFERROR(VLOOKUP(A1805,Internal_lists_bugs!$A$2:$G7981,7,FALSE()),"please select a BUG ID")</f>
        <v>https://github.com/elastic/elasticsearch/commit/3c142e5</v>
      </c>
    </row>
    <row r="1806">
      <c r="A1806" s="16" t="s">
        <v>84</v>
      </c>
      <c r="B1806" s="50" t="str">
        <f>IFERROR(HYPERLINK(VLOOKUP(A1806,Internal_lists_bugs!$A$2:$C$73,3,FALSE()), VLOOKUP(A1806,Internal_lists_bugs!$A$2:$C$73,3,FALSE())&amp;Char(10) &amp; Char(10) &amp; VLOOKUP(A1806,Internal_lists_bugs!$A$2:$Z$73,26,FALSE())),"please select a BUG ID")</f>
        <v>https://github.com/elastic/elasticsearch/issues/8507
/fielddata/SortingNumericDocValues.java
/geogrid/GeoHashGridParser.java
/support/ValuesSource.java
/values/ScriptLongValues.java</v>
      </c>
      <c r="C1806" s="51" t="str">
        <f>IFERROR(VLOOKUP(A1806,Internal_lists_bugs!$A$2:$I7981,9,FALSE()),"please select a BUG ID")</f>
        <v>II is PR (6908)</v>
      </c>
      <c r="D1806" s="114"/>
      <c r="E1806" s="114"/>
      <c r="F1806" s="115"/>
      <c r="G1806" s="79" t="s">
        <v>3583</v>
      </c>
      <c r="H1806" s="93" t="s">
        <v>3584</v>
      </c>
      <c r="I1806" s="54"/>
      <c r="K1806" s="54"/>
      <c r="M1806" s="114" t="str">
        <f>VLOOKUP(A1806,'BIC_(C_Variables)'!$A$3:$AS$43,45,FALSE())</f>
        <v>#N/A</v>
      </c>
      <c r="N1806" s="1"/>
      <c r="O1806" s="9">
        <v>6908.0</v>
      </c>
      <c r="P1806" s="81" t="str">
        <f>IFERROR(VLOOKUP(A1806,Internal_lists_bugs!$A$2:$G7981,7,FALSE()),"please select a BUG ID")</f>
        <v>https://github.com/elastic/elasticsearch/commit/3c142e5</v>
      </c>
    </row>
    <row r="1807">
      <c r="A1807" s="16" t="s">
        <v>84</v>
      </c>
      <c r="B1807" s="50" t="str">
        <f>IFERROR(HYPERLINK(VLOOKUP(A1807,Internal_lists_bugs!$A$2:$C$73,3,FALSE()), VLOOKUP(A1807,Internal_lists_bugs!$A$2:$C$73,3,FALSE())&amp;Char(10) &amp; Char(10) &amp; VLOOKUP(A1807,Internal_lists_bugs!$A$2:$Z$73,26,FALSE())),"please select a BUG ID")</f>
        <v>https://github.com/elastic/elasticsearch/issues/8507
/fielddata/SortingNumericDocValues.java
/geogrid/GeoHashGridParser.java
/support/ValuesSource.java
/values/ScriptLongValues.java</v>
      </c>
      <c r="C1807" s="51" t="str">
        <f>IFERROR(VLOOKUP(A1807,Internal_lists_bugs!$A$2:$I7981,9,FALSE()),"please select a BUG ID")</f>
        <v>II is PR (6908)</v>
      </c>
      <c r="D1807" s="114"/>
      <c r="E1807" s="114"/>
      <c r="F1807" s="115"/>
      <c r="G1807" s="79" t="s">
        <v>3585</v>
      </c>
      <c r="H1807" s="93" t="s">
        <v>3586</v>
      </c>
      <c r="I1807" s="54"/>
      <c r="K1807" s="54"/>
      <c r="M1807" s="114" t="str">
        <f>VLOOKUP(A1807,'BIC_(C_Variables)'!$A$3:$AS$43,45,FALSE())</f>
        <v>#N/A</v>
      </c>
      <c r="N1807" s="1"/>
      <c r="O1807" s="9">
        <v>6908.0</v>
      </c>
      <c r="P1807" s="81" t="str">
        <f>IFERROR(VLOOKUP(A1807,Internal_lists_bugs!$A$2:$G7981,7,FALSE()),"please select a BUG ID")</f>
        <v>https://github.com/elastic/elasticsearch/commit/3c142e5</v>
      </c>
    </row>
    <row r="1808">
      <c r="A1808" s="16" t="s">
        <v>84</v>
      </c>
      <c r="B1808" s="50" t="str">
        <f>IFERROR(HYPERLINK(VLOOKUP(A1808,Internal_lists_bugs!$A$2:$C$73,3,FALSE()), VLOOKUP(A1808,Internal_lists_bugs!$A$2:$C$73,3,FALSE())&amp;Char(10) &amp; Char(10) &amp; VLOOKUP(A1808,Internal_lists_bugs!$A$2:$Z$73,26,FALSE())),"please select a BUG ID")</f>
        <v>https://github.com/elastic/elasticsearch/issues/8507
/fielddata/SortingNumericDocValues.java
/geogrid/GeoHashGridParser.java
/support/ValuesSource.java
/values/ScriptLongValues.java</v>
      </c>
      <c r="C1808" s="51" t="str">
        <f>IFERROR(VLOOKUP(A1808,Internal_lists_bugs!$A$2:$I7981,9,FALSE()),"please select a BUG ID")</f>
        <v>II is PR (6908)</v>
      </c>
      <c r="D1808" s="114"/>
      <c r="E1808" s="114"/>
      <c r="F1808" s="115"/>
      <c r="G1808" s="79" t="s">
        <v>3587</v>
      </c>
      <c r="H1808" s="93" t="s">
        <v>3588</v>
      </c>
      <c r="I1808" s="54"/>
      <c r="K1808" s="54"/>
      <c r="M1808" s="114" t="str">
        <f>VLOOKUP(A1808,'BIC_(C_Variables)'!$A$3:$AS$43,45,FALSE())</f>
        <v>#N/A</v>
      </c>
      <c r="N1808" s="1"/>
      <c r="O1808" s="9">
        <v>6908.0</v>
      </c>
      <c r="P1808" s="81" t="str">
        <f>IFERROR(VLOOKUP(A1808,Internal_lists_bugs!$A$2:$G7981,7,FALSE()),"please select a BUG ID")</f>
        <v>https://github.com/elastic/elasticsearch/commit/3c142e5</v>
      </c>
    </row>
    <row r="1809">
      <c r="A1809" s="16" t="s">
        <v>84</v>
      </c>
      <c r="B1809" s="50" t="str">
        <f>IFERROR(HYPERLINK(VLOOKUP(A1809,Internal_lists_bugs!$A$2:$C$73,3,FALSE()), VLOOKUP(A1809,Internal_lists_bugs!$A$2:$C$73,3,FALSE())&amp;Char(10) &amp; Char(10) &amp; VLOOKUP(A1809,Internal_lists_bugs!$A$2:$Z$73,26,FALSE())),"please select a BUG ID")</f>
        <v>https://github.com/elastic/elasticsearch/issues/8507
/fielddata/SortingNumericDocValues.java
/geogrid/GeoHashGridParser.java
/support/ValuesSource.java
/values/ScriptLongValues.java</v>
      </c>
      <c r="C1809" s="51" t="str">
        <f>IFERROR(VLOOKUP(A1809,Internal_lists_bugs!$A$2:$I7981,9,FALSE()),"please select a BUG ID")</f>
        <v>II is PR (6908)</v>
      </c>
      <c r="D1809" s="114"/>
      <c r="E1809" s="114"/>
      <c r="F1809" s="115"/>
      <c r="G1809" s="79" t="s">
        <v>3589</v>
      </c>
      <c r="H1809" s="93" t="s">
        <v>3590</v>
      </c>
      <c r="I1809" s="54"/>
      <c r="K1809" s="54"/>
      <c r="M1809" s="114" t="str">
        <f>VLOOKUP(A1809,'BIC_(C_Variables)'!$A$3:$AS$43,45,FALSE())</f>
        <v>#N/A</v>
      </c>
      <c r="N1809" s="1"/>
      <c r="O1809" s="9">
        <v>6908.0</v>
      </c>
      <c r="P1809" s="81" t="str">
        <f>IFERROR(VLOOKUP(A1809,Internal_lists_bugs!$A$2:$G7981,7,FALSE()),"please select a BUG ID")</f>
        <v>https://github.com/elastic/elasticsearch/commit/3c142e5</v>
      </c>
    </row>
    <row r="1810">
      <c r="A1810" s="16" t="s">
        <v>84</v>
      </c>
      <c r="B1810" s="50" t="str">
        <f>IFERROR(HYPERLINK(VLOOKUP(A1810,Internal_lists_bugs!$A$2:$C$73,3,FALSE()), VLOOKUP(A1810,Internal_lists_bugs!$A$2:$C$73,3,FALSE())&amp;Char(10) &amp; Char(10) &amp; VLOOKUP(A1810,Internal_lists_bugs!$A$2:$Z$73,26,FALSE())),"please select a BUG ID")</f>
        <v>https://github.com/elastic/elasticsearch/issues/8507
/fielddata/SortingNumericDocValues.java
/geogrid/GeoHashGridParser.java
/support/ValuesSource.java
/values/ScriptLongValues.java</v>
      </c>
      <c r="C1810" s="51" t="str">
        <f>IFERROR(VLOOKUP(A1810,Internal_lists_bugs!$A$2:$I7981,9,FALSE()),"please select a BUG ID")</f>
        <v>II is PR (6908)</v>
      </c>
      <c r="D1810" s="114"/>
      <c r="E1810" s="114"/>
      <c r="F1810" s="115"/>
      <c r="G1810" s="79" t="s">
        <v>3591</v>
      </c>
      <c r="H1810" s="93" t="s">
        <v>3592</v>
      </c>
      <c r="I1810" s="54"/>
      <c r="K1810" s="54"/>
      <c r="M1810" s="114" t="str">
        <f>VLOOKUP(A1810,'BIC_(C_Variables)'!$A$3:$AS$43,45,FALSE())</f>
        <v>#N/A</v>
      </c>
      <c r="N1810" s="1"/>
      <c r="O1810" s="9">
        <v>6908.0</v>
      </c>
      <c r="P1810" s="81" t="str">
        <f>IFERROR(VLOOKUP(A1810,Internal_lists_bugs!$A$2:$G7981,7,FALSE()),"please select a BUG ID")</f>
        <v>https://github.com/elastic/elasticsearch/commit/3c142e5</v>
      </c>
    </row>
    <row r="1811">
      <c r="A1811" s="16" t="s">
        <v>84</v>
      </c>
      <c r="B1811" s="50" t="str">
        <f>IFERROR(HYPERLINK(VLOOKUP(A1811,Internal_lists_bugs!$A$2:$C$73,3,FALSE()), VLOOKUP(A1811,Internal_lists_bugs!$A$2:$C$73,3,FALSE())&amp;Char(10) &amp; Char(10) &amp; VLOOKUP(A1811,Internal_lists_bugs!$A$2:$Z$73,26,FALSE())),"please select a BUG ID")</f>
        <v>https://github.com/elastic/elasticsearch/issues/8507
/fielddata/SortingNumericDocValues.java
/geogrid/GeoHashGridParser.java
/support/ValuesSource.java
/values/ScriptLongValues.java</v>
      </c>
      <c r="C1811" s="51" t="str">
        <f>IFERROR(VLOOKUP(A1811,Internal_lists_bugs!$A$2:$I7981,9,FALSE()),"please select a BUG ID")</f>
        <v>II is PR (6908)</v>
      </c>
      <c r="D1811" s="114"/>
      <c r="E1811" s="114"/>
      <c r="F1811" s="115"/>
      <c r="G1811" s="79" t="s">
        <v>3548</v>
      </c>
      <c r="H1811" s="93" t="s">
        <v>3593</v>
      </c>
      <c r="I1811" s="54"/>
      <c r="K1811" s="54"/>
      <c r="M1811" s="114" t="str">
        <f>VLOOKUP(A1811,'BIC_(C_Variables)'!$A$3:$AS$43,45,FALSE())</f>
        <v>#N/A</v>
      </c>
      <c r="N1811" s="1"/>
      <c r="O1811" s="9">
        <v>6908.0</v>
      </c>
      <c r="P1811" s="81" t="str">
        <f>IFERROR(VLOOKUP(A1811,Internal_lists_bugs!$A$2:$G7981,7,FALSE()),"please select a BUG ID")</f>
        <v>https://github.com/elastic/elasticsearch/commit/3c142e5</v>
      </c>
    </row>
    <row r="1812">
      <c r="A1812" s="16" t="s">
        <v>84</v>
      </c>
      <c r="B1812" s="50" t="str">
        <f>IFERROR(HYPERLINK(VLOOKUP(A1812,Internal_lists_bugs!$A$2:$C$73,3,FALSE()), VLOOKUP(A1812,Internal_lists_bugs!$A$2:$C$73,3,FALSE())&amp;Char(10) &amp; Char(10) &amp; VLOOKUP(A1812,Internal_lists_bugs!$A$2:$Z$73,26,FALSE())),"please select a BUG ID")</f>
        <v>https://github.com/elastic/elasticsearch/issues/8507
/fielddata/SortingNumericDocValues.java
/geogrid/GeoHashGridParser.java
/support/ValuesSource.java
/values/ScriptLongValues.java</v>
      </c>
      <c r="C1812" s="51" t="str">
        <f>IFERROR(VLOOKUP(A1812,Internal_lists_bugs!$A$2:$I7981,9,FALSE()),"please select a BUG ID")</f>
        <v>II is PR (6908)</v>
      </c>
      <c r="D1812" s="114"/>
      <c r="E1812" s="114"/>
      <c r="F1812" s="115"/>
      <c r="G1812" s="79" t="s">
        <v>3446</v>
      </c>
      <c r="H1812" s="93" t="s">
        <v>3594</v>
      </c>
      <c r="I1812" s="54"/>
      <c r="K1812" s="54"/>
      <c r="M1812" s="114" t="str">
        <f>VLOOKUP(A1812,'BIC_(C_Variables)'!$A$3:$AS$43,45,FALSE())</f>
        <v>#N/A</v>
      </c>
      <c r="N1812" s="1"/>
      <c r="O1812" s="9">
        <v>6908.0</v>
      </c>
      <c r="P1812" s="81" t="str">
        <f>IFERROR(VLOOKUP(A1812,Internal_lists_bugs!$A$2:$G7981,7,FALSE()),"please select a BUG ID")</f>
        <v>https://github.com/elastic/elasticsearch/commit/3c142e5</v>
      </c>
    </row>
    <row r="1813">
      <c r="A1813" s="16" t="s">
        <v>96</v>
      </c>
      <c r="B1813" s="50" t="str">
        <f>IFERROR(HYPERLINK(VLOOKUP(A1813,Internal_lists_bugs!$A$2:$C$73,3,FALSE()), VLOOKUP(A1813,Internal_lists_bugs!$A$2:$C$73,3,FALSE())&amp;Char(10) &amp; Char(10) &amp; VLOOKUP(A1813,Internal_lists_bugs!$A$2:$Z$73,26,FALSE())),"please select a BUG ID")</f>
        <v>https://github.com/elastic/elasticsearch/issues/8580
/index/fielddata/AbstractRandomAccessOrds.java</v>
      </c>
      <c r="C1813" s="51" t="str">
        <f>IFERROR(VLOOKUP(A1813,Internal_lists_bugs!$A$2:$I7981,9,FALSE()),"please select a BUG ID")</f>
        <v>II is PR (6908)</v>
      </c>
      <c r="D1813" s="112" t="s">
        <v>3413</v>
      </c>
      <c r="E1813" s="114"/>
      <c r="F1813" s="113" t="s">
        <v>251</v>
      </c>
      <c r="G1813" s="79" t="s">
        <v>1417</v>
      </c>
      <c r="H1813" s="93" t="s">
        <v>324</v>
      </c>
      <c r="I1813" s="16" t="s">
        <v>251</v>
      </c>
      <c r="J1813" s="16" t="s">
        <v>3575</v>
      </c>
      <c r="K1813" s="16" t="s">
        <v>251</v>
      </c>
      <c r="L1813" s="16" t="s">
        <v>3575</v>
      </c>
      <c r="M1813" s="114" t="str">
        <f>VLOOKUP(A1813,'BIC_(C_Variables)'!$A$3:$AS$43,45,FALSE())</f>
        <v>#N/A</v>
      </c>
      <c r="N1813" s="9" t="s">
        <v>3445</v>
      </c>
      <c r="O1813" s="9">
        <v>6908.0</v>
      </c>
      <c r="P1813" s="81" t="str">
        <f>IFERROR(VLOOKUP(A1813,Internal_lists_bugs!$A$2:$G7981,7,FALSE()),"please select a BUG ID")</f>
        <v>https://github.com/elastic/elasticsearch/commit/3c142e5</v>
      </c>
    </row>
    <row r="1814">
      <c r="A1814" s="16" t="s">
        <v>96</v>
      </c>
      <c r="B1814" s="50" t="str">
        <f>IFERROR(HYPERLINK(VLOOKUP(A1814,Internal_lists_bugs!$A$2:$C$73,3,FALSE()), VLOOKUP(A1814,Internal_lists_bugs!$A$2:$C$73,3,FALSE())&amp;Char(10) &amp; Char(10) &amp; VLOOKUP(A1814,Internal_lists_bugs!$A$2:$Z$73,26,FALSE())),"please select a BUG ID")</f>
        <v>https://github.com/elastic/elasticsearch/issues/8580
/index/fielddata/AbstractRandomAccessOrds.java</v>
      </c>
      <c r="C1814" s="51" t="str">
        <f>IFERROR(VLOOKUP(A1814,Internal_lists_bugs!$A$2:$I7981,9,FALSE()),"please select a BUG ID")</f>
        <v>II is PR (6908)</v>
      </c>
      <c r="D1814" s="114"/>
      <c r="E1814" s="114"/>
      <c r="F1814" s="115"/>
      <c r="G1814" s="79" t="s">
        <v>2922</v>
      </c>
      <c r="H1814" s="93" t="s">
        <v>3576</v>
      </c>
      <c r="I1814" s="54"/>
      <c r="K1814" s="54"/>
      <c r="M1814" s="114" t="str">
        <f>VLOOKUP(A1814,'BIC_(C_Variables)'!$A$3:$AS$43,45,FALSE())</f>
        <v>#N/A</v>
      </c>
      <c r="N1814" s="9"/>
      <c r="O1814" s="9">
        <v>6908.0</v>
      </c>
      <c r="P1814" s="81" t="str">
        <f>IFERROR(VLOOKUP(A1814,Internal_lists_bugs!$A$2:$G7981,7,FALSE()),"please select a BUG ID")</f>
        <v>https://github.com/elastic/elasticsearch/commit/3c142e5</v>
      </c>
    </row>
    <row r="1815">
      <c r="A1815" s="16" t="s">
        <v>96</v>
      </c>
      <c r="B1815" s="50" t="str">
        <f>IFERROR(HYPERLINK(VLOOKUP(A1815,Internal_lists_bugs!$A$2:$C$73,3,FALSE()), VLOOKUP(A1815,Internal_lists_bugs!$A$2:$C$73,3,FALSE())&amp;Char(10) &amp; Char(10) &amp; VLOOKUP(A1815,Internal_lists_bugs!$A$2:$Z$73,26,FALSE())),"please select a BUG ID")</f>
        <v>https://github.com/elastic/elasticsearch/issues/8580
/index/fielddata/AbstractRandomAccessOrds.java</v>
      </c>
      <c r="C1815" s="51" t="str">
        <f>IFERROR(VLOOKUP(A1815,Internal_lists_bugs!$A$2:$I7981,9,FALSE()),"please select a BUG ID")</f>
        <v>II is PR (6908)</v>
      </c>
      <c r="D1815" s="114"/>
      <c r="E1815" s="114"/>
      <c r="F1815" s="115"/>
      <c r="G1815" s="79" t="s">
        <v>3446</v>
      </c>
      <c r="H1815" s="93" t="s">
        <v>3577</v>
      </c>
      <c r="I1815" s="54"/>
      <c r="K1815" s="54"/>
      <c r="M1815" s="114" t="str">
        <f>VLOOKUP(A1815,'BIC_(C_Variables)'!$A$3:$AS$43,45,FALSE())</f>
        <v>#N/A</v>
      </c>
      <c r="N1815" s="1"/>
      <c r="O1815" s="9">
        <v>6908.0</v>
      </c>
      <c r="P1815" s="81" t="str">
        <f>IFERROR(VLOOKUP(A1815,Internal_lists_bugs!$A$2:$G7981,7,FALSE()),"please select a BUG ID")</f>
        <v>https://github.com/elastic/elasticsearch/commit/3c142e5</v>
      </c>
    </row>
    <row r="1816">
      <c r="A1816" s="16" t="s">
        <v>96</v>
      </c>
      <c r="B1816" s="50" t="str">
        <f>IFERROR(HYPERLINK(VLOOKUP(A1816,Internal_lists_bugs!$A$2:$C$73,3,FALSE()), VLOOKUP(A1816,Internal_lists_bugs!$A$2:$C$73,3,FALSE())&amp;Char(10) &amp; Char(10) &amp; VLOOKUP(A1816,Internal_lists_bugs!$A$2:$Z$73,26,FALSE())),"please select a BUG ID")</f>
        <v>https://github.com/elastic/elasticsearch/issues/8580
/index/fielddata/AbstractRandomAccessOrds.java</v>
      </c>
      <c r="C1816" s="51" t="str">
        <f>IFERROR(VLOOKUP(A1816,Internal_lists_bugs!$A$2:$I7981,9,FALSE()),"please select a BUG ID")</f>
        <v>II is PR (6908)</v>
      </c>
      <c r="D1816" s="114"/>
      <c r="E1816" s="114"/>
      <c r="F1816" s="115"/>
      <c r="G1816" s="79" t="s">
        <v>3578</v>
      </c>
      <c r="H1816" s="93" t="s">
        <v>3579</v>
      </c>
      <c r="I1816" s="54"/>
      <c r="K1816" s="54"/>
      <c r="M1816" s="114" t="str">
        <f>VLOOKUP(A1816,'BIC_(C_Variables)'!$A$3:$AS$43,45,FALSE())</f>
        <v>#N/A</v>
      </c>
      <c r="N1816" s="1"/>
      <c r="O1816" s="9">
        <v>6908.0</v>
      </c>
      <c r="P1816" s="81" t="str">
        <f>IFERROR(VLOOKUP(A1816,Internal_lists_bugs!$A$2:$G7981,7,FALSE()),"please select a BUG ID")</f>
        <v>https://github.com/elastic/elasticsearch/commit/3c142e5</v>
      </c>
    </row>
    <row r="1817">
      <c r="A1817" s="16" t="s">
        <v>96</v>
      </c>
      <c r="B1817" s="50" t="str">
        <f>IFERROR(HYPERLINK(VLOOKUP(A1817,Internal_lists_bugs!$A$2:$C$73,3,FALSE()), VLOOKUP(A1817,Internal_lists_bugs!$A$2:$C$73,3,FALSE())&amp;Char(10) &amp; Char(10) &amp; VLOOKUP(A1817,Internal_lists_bugs!$A$2:$Z$73,26,FALSE())),"please select a BUG ID")</f>
        <v>https://github.com/elastic/elasticsearch/issues/8580
/index/fielddata/AbstractRandomAccessOrds.java</v>
      </c>
      <c r="C1817" s="51" t="str">
        <f>IFERROR(VLOOKUP(A1817,Internal_lists_bugs!$A$2:$I7981,9,FALSE()),"please select a BUG ID")</f>
        <v>II is PR (6908)</v>
      </c>
      <c r="D1817" s="114"/>
      <c r="E1817" s="114"/>
      <c r="F1817" s="115"/>
      <c r="G1817" s="79" t="s">
        <v>3548</v>
      </c>
      <c r="H1817" s="93" t="s">
        <v>3580</v>
      </c>
      <c r="I1817" s="54"/>
      <c r="K1817" s="54"/>
      <c r="M1817" s="114" t="str">
        <f>VLOOKUP(A1817,'BIC_(C_Variables)'!$A$3:$AS$43,45,FALSE())</f>
        <v>#N/A</v>
      </c>
      <c r="N1817" s="1"/>
      <c r="O1817" s="9">
        <v>6908.0</v>
      </c>
      <c r="P1817" s="81" t="str">
        <f>IFERROR(VLOOKUP(A1817,Internal_lists_bugs!$A$2:$G7981,7,FALSE()),"please select a BUG ID")</f>
        <v>https://github.com/elastic/elasticsearch/commit/3c142e5</v>
      </c>
    </row>
    <row r="1818">
      <c r="A1818" s="16" t="s">
        <v>96</v>
      </c>
      <c r="B1818" s="50" t="str">
        <f>IFERROR(HYPERLINK(VLOOKUP(A1818,Internal_lists_bugs!$A$2:$C$73,3,FALSE()), VLOOKUP(A1818,Internal_lists_bugs!$A$2:$C$73,3,FALSE())&amp;Char(10) &amp; Char(10) &amp; VLOOKUP(A1818,Internal_lists_bugs!$A$2:$Z$73,26,FALSE())),"please select a BUG ID")</f>
        <v>https://github.com/elastic/elasticsearch/issues/8580
/index/fielddata/AbstractRandomAccessOrds.java</v>
      </c>
      <c r="C1818" s="51" t="str">
        <f>IFERROR(VLOOKUP(A1818,Internal_lists_bugs!$A$2:$I7981,9,FALSE()),"please select a BUG ID")</f>
        <v>II is PR (6908)</v>
      </c>
      <c r="D1818" s="114"/>
      <c r="E1818" s="114"/>
      <c r="F1818" s="115"/>
      <c r="G1818" s="79" t="s">
        <v>3581</v>
      </c>
      <c r="H1818" s="93" t="s">
        <v>3582</v>
      </c>
      <c r="I1818" s="54"/>
      <c r="K1818" s="54"/>
      <c r="M1818" s="114" t="str">
        <f>VLOOKUP(A1818,'BIC_(C_Variables)'!$A$3:$AS$43,45,FALSE())</f>
        <v>#N/A</v>
      </c>
      <c r="N1818" s="1"/>
      <c r="O1818" s="9">
        <v>6908.0</v>
      </c>
      <c r="P1818" s="81" t="str">
        <f>IFERROR(VLOOKUP(A1818,Internal_lists_bugs!$A$2:$G7981,7,FALSE()),"please select a BUG ID")</f>
        <v>https://github.com/elastic/elasticsearch/commit/3c142e5</v>
      </c>
    </row>
    <row r="1819">
      <c r="A1819" s="16" t="s">
        <v>96</v>
      </c>
      <c r="B1819" s="50" t="str">
        <f>IFERROR(HYPERLINK(VLOOKUP(A1819,Internal_lists_bugs!$A$2:$C$73,3,FALSE()), VLOOKUP(A1819,Internal_lists_bugs!$A$2:$C$73,3,FALSE())&amp;Char(10) &amp; Char(10) &amp; VLOOKUP(A1819,Internal_lists_bugs!$A$2:$Z$73,26,FALSE())),"please select a BUG ID")</f>
        <v>https://github.com/elastic/elasticsearch/issues/8580
/index/fielddata/AbstractRandomAccessOrds.java</v>
      </c>
      <c r="C1819" s="51" t="str">
        <f>IFERROR(VLOOKUP(A1819,Internal_lists_bugs!$A$2:$I7981,9,FALSE()),"please select a BUG ID")</f>
        <v>II is PR (6908)</v>
      </c>
      <c r="D1819" s="114"/>
      <c r="E1819" s="114"/>
      <c r="F1819" s="115"/>
      <c r="G1819" s="79" t="s">
        <v>3583</v>
      </c>
      <c r="H1819" s="93" t="s">
        <v>3584</v>
      </c>
      <c r="I1819" s="54"/>
      <c r="K1819" s="54"/>
      <c r="M1819" s="114" t="str">
        <f>VLOOKUP(A1819,'BIC_(C_Variables)'!$A$3:$AS$43,45,FALSE())</f>
        <v>#N/A</v>
      </c>
      <c r="N1819" s="1"/>
      <c r="O1819" s="9">
        <v>6908.0</v>
      </c>
      <c r="P1819" s="81" t="str">
        <f>IFERROR(VLOOKUP(A1819,Internal_lists_bugs!$A$2:$G7981,7,FALSE()),"please select a BUG ID")</f>
        <v>https://github.com/elastic/elasticsearch/commit/3c142e5</v>
      </c>
    </row>
    <row r="1820">
      <c r="A1820" s="16" t="s">
        <v>96</v>
      </c>
      <c r="B1820" s="50" t="str">
        <f>IFERROR(HYPERLINK(VLOOKUP(A1820,Internal_lists_bugs!$A$2:$C$73,3,FALSE()), VLOOKUP(A1820,Internal_lists_bugs!$A$2:$C$73,3,FALSE())&amp;Char(10) &amp; Char(10) &amp; VLOOKUP(A1820,Internal_lists_bugs!$A$2:$Z$73,26,FALSE())),"please select a BUG ID")</f>
        <v>https://github.com/elastic/elasticsearch/issues/8580
/index/fielddata/AbstractRandomAccessOrds.java</v>
      </c>
      <c r="C1820" s="51" t="str">
        <f>IFERROR(VLOOKUP(A1820,Internal_lists_bugs!$A$2:$I7981,9,FALSE()),"please select a BUG ID")</f>
        <v>II is PR (6908)</v>
      </c>
      <c r="D1820" s="114"/>
      <c r="E1820" s="114"/>
      <c r="F1820" s="115"/>
      <c r="G1820" s="79" t="s">
        <v>3585</v>
      </c>
      <c r="H1820" s="93" t="s">
        <v>3586</v>
      </c>
      <c r="I1820" s="54"/>
      <c r="K1820" s="54"/>
      <c r="M1820" s="114" t="str">
        <f>VLOOKUP(A1820,'BIC_(C_Variables)'!$A$3:$AS$43,45,FALSE())</f>
        <v>#N/A</v>
      </c>
      <c r="N1820" s="1"/>
      <c r="O1820" s="9">
        <v>6908.0</v>
      </c>
      <c r="P1820" s="81" t="str">
        <f>IFERROR(VLOOKUP(A1820,Internal_lists_bugs!$A$2:$G7981,7,FALSE()),"please select a BUG ID")</f>
        <v>https://github.com/elastic/elasticsearch/commit/3c142e5</v>
      </c>
    </row>
    <row r="1821">
      <c r="A1821" s="16" t="s">
        <v>96</v>
      </c>
      <c r="B1821" s="50" t="str">
        <f>IFERROR(HYPERLINK(VLOOKUP(A1821,Internal_lists_bugs!$A$2:$C$73,3,FALSE()), VLOOKUP(A1821,Internal_lists_bugs!$A$2:$C$73,3,FALSE())&amp;Char(10) &amp; Char(10) &amp; VLOOKUP(A1821,Internal_lists_bugs!$A$2:$Z$73,26,FALSE())),"please select a BUG ID")</f>
        <v>https://github.com/elastic/elasticsearch/issues/8580
/index/fielddata/AbstractRandomAccessOrds.java</v>
      </c>
      <c r="C1821" s="51" t="str">
        <f>IFERROR(VLOOKUP(A1821,Internal_lists_bugs!$A$2:$I7981,9,FALSE()),"please select a BUG ID")</f>
        <v>II is PR (6908)</v>
      </c>
      <c r="D1821" s="114"/>
      <c r="E1821" s="114"/>
      <c r="F1821" s="115"/>
      <c r="G1821" s="79" t="s">
        <v>3587</v>
      </c>
      <c r="H1821" s="93" t="s">
        <v>3588</v>
      </c>
      <c r="I1821" s="54"/>
      <c r="K1821" s="54"/>
      <c r="M1821" s="114" t="str">
        <f>VLOOKUP(A1821,'BIC_(C_Variables)'!$A$3:$AS$43,45,FALSE())</f>
        <v>#N/A</v>
      </c>
      <c r="N1821" s="1"/>
      <c r="O1821" s="9">
        <v>6908.0</v>
      </c>
      <c r="P1821" s="81" t="str">
        <f>IFERROR(VLOOKUP(A1821,Internal_lists_bugs!$A$2:$G7981,7,FALSE()),"please select a BUG ID")</f>
        <v>https://github.com/elastic/elasticsearch/commit/3c142e5</v>
      </c>
    </row>
    <row r="1822">
      <c r="A1822" s="16" t="s">
        <v>96</v>
      </c>
      <c r="B1822" s="50" t="str">
        <f>IFERROR(HYPERLINK(VLOOKUP(A1822,Internal_lists_bugs!$A$2:$C$73,3,FALSE()), VLOOKUP(A1822,Internal_lists_bugs!$A$2:$C$73,3,FALSE())&amp;Char(10) &amp; Char(10) &amp; VLOOKUP(A1822,Internal_lists_bugs!$A$2:$Z$73,26,FALSE())),"please select a BUG ID")</f>
        <v>https://github.com/elastic/elasticsearch/issues/8580
/index/fielddata/AbstractRandomAccessOrds.java</v>
      </c>
      <c r="C1822" s="51" t="str">
        <f>IFERROR(VLOOKUP(A1822,Internal_lists_bugs!$A$2:$I7981,9,FALSE()),"please select a BUG ID")</f>
        <v>II is PR (6908)</v>
      </c>
      <c r="D1822" s="114"/>
      <c r="E1822" s="114"/>
      <c r="F1822" s="115"/>
      <c r="G1822" s="79" t="s">
        <v>3589</v>
      </c>
      <c r="H1822" s="93" t="s">
        <v>3590</v>
      </c>
      <c r="I1822" s="54"/>
      <c r="K1822" s="54"/>
      <c r="M1822" s="114" t="str">
        <f>VLOOKUP(A1822,'BIC_(C_Variables)'!$A$3:$AS$43,45,FALSE())</f>
        <v>#N/A</v>
      </c>
      <c r="N1822" s="1"/>
      <c r="O1822" s="9">
        <v>6908.0</v>
      </c>
      <c r="P1822" s="81" t="str">
        <f>IFERROR(VLOOKUP(A1822,Internal_lists_bugs!$A$2:$G7981,7,FALSE()),"please select a BUG ID")</f>
        <v>https://github.com/elastic/elasticsearch/commit/3c142e5</v>
      </c>
    </row>
    <row r="1823">
      <c r="A1823" s="16" t="s">
        <v>96</v>
      </c>
      <c r="B1823" s="50" t="str">
        <f>IFERROR(HYPERLINK(VLOOKUP(A1823,Internal_lists_bugs!$A$2:$C$73,3,FALSE()), VLOOKUP(A1823,Internal_lists_bugs!$A$2:$C$73,3,FALSE())&amp;Char(10) &amp; Char(10) &amp; VLOOKUP(A1823,Internal_lists_bugs!$A$2:$Z$73,26,FALSE())),"please select a BUG ID")</f>
        <v>https://github.com/elastic/elasticsearch/issues/8580
/index/fielddata/AbstractRandomAccessOrds.java</v>
      </c>
      <c r="C1823" s="51" t="str">
        <f>IFERROR(VLOOKUP(A1823,Internal_lists_bugs!$A$2:$I7981,9,FALSE()),"please select a BUG ID")</f>
        <v>II is PR (6908)</v>
      </c>
      <c r="D1823" s="114"/>
      <c r="E1823" s="114"/>
      <c r="F1823" s="115"/>
      <c r="G1823" s="79" t="s">
        <v>3591</v>
      </c>
      <c r="H1823" s="93" t="s">
        <v>3592</v>
      </c>
      <c r="I1823" s="54"/>
      <c r="K1823" s="54"/>
      <c r="M1823" s="114" t="str">
        <f>VLOOKUP(A1823,'BIC_(C_Variables)'!$A$3:$AS$43,45,FALSE())</f>
        <v>#N/A</v>
      </c>
      <c r="N1823" s="1"/>
      <c r="O1823" s="9">
        <v>6908.0</v>
      </c>
      <c r="P1823" s="81" t="str">
        <f>IFERROR(VLOOKUP(A1823,Internal_lists_bugs!$A$2:$G7981,7,FALSE()),"please select a BUG ID")</f>
        <v>https://github.com/elastic/elasticsearch/commit/3c142e5</v>
      </c>
    </row>
    <row r="1824">
      <c r="A1824" s="16" t="s">
        <v>96</v>
      </c>
      <c r="B1824" s="50" t="str">
        <f>IFERROR(HYPERLINK(VLOOKUP(A1824,Internal_lists_bugs!$A$2:$C$73,3,FALSE()), VLOOKUP(A1824,Internal_lists_bugs!$A$2:$C$73,3,FALSE())&amp;Char(10) &amp; Char(10) &amp; VLOOKUP(A1824,Internal_lists_bugs!$A$2:$Z$73,26,FALSE())),"please select a BUG ID")</f>
        <v>https://github.com/elastic/elasticsearch/issues/8580
/index/fielddata/AbstractRandomAccessOrds.java</v>
      </c>
      <c r="C1824" s="51" t="str">
        <f>IFERROR(VLOOKUP(A1824,Internal_lists_bugs!$A$2:$I7981,9,FALSE()),"please select a BUG ID")</f>
        <v>II is PR (6908)</v>
      </c>
      <c r="D1824" s="114"/>
      <c r="E1824" s="114"/>
      <c r="F1824" s="115"/>
      <c r="G1824" s="79" t="s">
        <v>3548</v>
      </c>
      <c r="H1824" s="93" t="s">
        <v>3593</v>
      </c>
      <c r="I1824" s="54"/>
      <c r="K1824" s="54"/>
      <c r="M1824" s="114" t="str">
        <f>VLOOKUP(A1824,'BIC_(C_Variables)'!$A$3:$AS$43,45,FALSE())</f>
        <v>#N/A</v>
      </c>
      <c r="N1824" s="1"/>
      <c r="O1824" s="9">
        <v>6908.0</v>
      </c>
      <c r="P1824" s="81" t="str">
        <f>IFERROR(VLOOKUP(A1824,Internal_lists_bugs!$A$2:$G7981,7,FALSE()),"please select a BUG ID")</f>
        <v>https://github.com/elastic/elasticsearch/commit/3c142e5</v>
      </c>
    </row>
    <row r="1825">
      <c r="A1825" s="16" t="s">
        <v>96</v>
      </c>
      <c r="B1825" s="50" t="str">
        <f>IFERROR(HYPERLINK(VLOOKUP(A1825,Internal_lists_bugs!$A$2:$C$73,3,FALSE()), VLOOKUP(A1825,Internal_lists_bugs!$A$2:$C$73,3,FALSE())&amp;Char(10) &amp; Char(10) &amp; VLOOKUP(A1825,Internal_lists_bugs!$A$2:$Z$73,26,FALSE())),"please select a BUG ID")</f>
        <v>https://github.com/elastic/elasticsearch/issues/8580
/index/fielddata/AbstractRandomAccessOrds.java</v>
      </c>
      <c r="C1825" s="51" t="str">
        <f>IFERROR(VLOOKUP(A1825,Internal_lists_bugs!$A$2:$I7981,9,FALSE()),"please select a BUG ID")</f>
        <v>II is PR (6908)</v>
      </c>
      <c r="D1825" s="114"/>
      <c r="E1825" s="114"/>
      <c r="F1825" s="115"/>
      <c r="G1825" s="79" t="s">
        <v>3446</v>
      </c>
      <c r="H1825" s="93" t="s">
        <v>3594</v>
      </c>
      <c r="I1825" s="54"/>
      <c r="K1825" s="54"/>
      <c r="M1825" s="114" t="str">
        <f>VLOOKUP(A1825,'BIC_(C_Variables)'!$A$3:$AS$43,45,FALSE())</f>
        <v>#N/A</v>
      </c>
      <c r="N1825" s="1"/>
      <c r="O1825" s="9">
        <v>6908.0</v>
      </c>
      <c r="P1825" s="81" t="str">
        <f>IFERROR(VLOOKUP(A1825,Internal_lists_bugs!$A$2:$G7981,7,FALSE()),"please select a BUG ID")</f>
        <v>https://github.com/elastic/elasticsearch/commit/3c142e5</v>
      </c>
    </row>
    <row r="1826">
      <c r="A1826" s="54"/>
      <c r="B1826" s="71" t="str">
        <f>IFERROR(HYPERLINK(VLOOKUP(A1826,Internal_lists_bugs!$A$2:$C$73,3,FALSE()), VLOOKUP(A1826,Internal_lists_bugs!$A$2:$C$73,3,FALSE())&amp;Char(10) &amp; Char(10) &amp; VLOOKUP(A1826,Internal_lists_bugs!$A$2:$Z$73,26,FALSE())),"please select a BUG ID")</f>
        <v>please select a BUG ID</v>
      </c>
      <c r="C1826" s="51" t="str">
        <f>IFERROR(VLOOKUP(A1826,Internal_lists_bugs!$A$2:$I7981,9,FALSE()),"please select a BUG ID")</f>
        <v>please select a BUG ID</v>
      </c>
      <c r="D1826" s="114"/>
      <c r="E1826" s="114"/>
      <c r="F1826" s="115"/>
      <c r="G1826" s="82"/>
      <c r="H1826" s="92"/>
      <c r="I1826" s="54"/>
      <c r="K1826" s="54"/>
      <c r="M1826" s="114" t="str">
        <f>VLOOKUP(A1826,'BIC_(C_Variables)'!$A$3:$AS$43,45,FALSE())</f>
        <v>#N/A</v>
      </c>
      <c r="N1826" s="1"/>
      <c r="O1826" s="1"/>
      <c r="P1826" s="51" t="str">
        <f>IFERROR(VLOOKUP(A1826,Internal_lists_bugs!$A$2:$G7981,7,FALSE()),"please select a BUG ID")</f>
        <v>please select a BUG ID</v>
      </c>
    </row>
    <row r="1827">
      <c r="A1827" s="54"/>
      <c r="B1827" s="71" t="str">
        <f>IFERROR(HYPERLINK(VLOOKUP(A1827,Internal_lists_bugs!$A$2:$C$73,3,FALSE()), VLOOKUP(A1827,Internal_lists_bugs!$A$2:$C$73,3,FALSE())&amp;Char(10) &amp; Char(10) &amp; VLOOKUP(A1827,Internal_lists_bugs!$A$2:$Z$73,26,FALSE())),"please select a BUG ID")</f>
        <v>please select a BUG ID</v>
      </c>
      <c r="C1827" s="51" t="str">
        <f>IFERROR(VLOOKUP(A1827,Internal_lists_bugs!$A$2:$I7981,9,FALSE()),"please select a BUG ID")</f>
        <v>please select a BUG ID</v>
      </c>
      <c r="D1827" s="114"/>
      <c r="E1827" s="114"/>
      <c r="F1827" s="115"/>
      <c r="G1827" s="82"/>
      <c r="H1827" s="92"/>
      <c r="I1827" s="54"/>
      <c r="K1827" s="54"/>
      <c r="M1827" s="114" t="str">
        <f>VLOOKUP(A1827,'BIC_(C_Variables)'!$A$3:$AS$43,45,FALSE())</f>
        <v>#N/A</v>
      </c>
      <c r="N1827" s="1"/>
      <c r="O1827" s="1"/>
      <c r="P1827" s="51" t="str">
        <f>IFERROR(VLOOKUP(A1827,Internal_lists_bugs!$A$2:$G7981,7,FALSE()),"please select a BUG ID")</f>
        <v>please select a BUG ID</v>
      </c>
    </row>
    <row r="1828">
      <c r="A1828" s="54"/>
      <c r="B1828" s="71" t="str">
        <f>IFERROR(HYPERLINK(VLOOKUP(A1828,Internal_lists_bugs!$A$2:$C$73,3,FALSE()), VLOOKUP(A1828,Internal_lists_bugs!$A$2:$C$73,3,FALSE())&amp;Char(10) &amp; Char(10) &amp; VLOOKUP(A1828,Internal_lists_bugs!$A$2:$Z$73,26,FALSE())),"please select a BUG ID")</f>
        <v>please select a BUG ID</v>
      </c>
      <c r="C1828" s="51" t="str">
        <f>IFERROR(VLOOKUP(A1828,Internal_lists_bugs!$A$2:$I7981,9,FALSE()),"please select a BUG ID")</f>
        <v>please select a BUG ID</v>
      </c>
      <c r="D1828" s="114"/>
      <c r="E1828" s="114"/>
      <c r="F1828" s="115"/>
      <c r="G1828" s="82"/>
      <c r="H1828" s="92"/>
      <c r="I1828" s="54"/>
      <c r="K1828" s="54"/>
      <c r="M1828" s="114" t="str">
        <f>VLOOKUP(A1828,'BIC_(C_Variables)'!$A$3:$AS$43,45,FALSE())</f>
        <v>#N/A</v>
      </c>
      <c r="N1828" s="1"/>
      <c r="O1828" s="1"/>
      <c r="P1828" s="51" t="str">
        <f>IFERROR(VLOOKUP(A1828,Internal_lists_bugs!$A$2:$G7981,7,FALSE()),"please select a BUG ID")</f>
        <v>please select a BUG ID</v>
      </c>
    </row>
    <row r="1829">
      <c r="A1829" s="54"/>
      <c r="B1829" s="71" t="str">
        <f>IFERROR(HYPERLINK(VLOOKUP(A1829,Internal_lists_bugs!$A$2:$C$73,3,FALSE()), VLOOKUP(A1829,Internal_lists_bugs!$A$2:$C$73,3,FALSE())&amp;Char(10) &amp; Char(10) &amp; VLOOKUP(A1829,Internal_lists_bugs!$A$2:$Z$73,26,FALSE())),"please select a BUG ID")</f>
        <v>please select a BUG ID</v>
      </c>
      <c r="C1829" s="51" t="str">
        <f>IFERROR(VLOOKUP(A1829,Internal_lists_bugs!$A$2:$I7981,9,FALSE()),"please select a BUG ID")</f>
        <v>please select a BUG ID</v>
      </c>
      <c r="D1829" s="114"/>
      <c r="E1829" s="114"/>
      <c r="F1829" s="115"/>
      <c r="G1829" s="82"/>
      <c r="H1829" s="92"/>
      <c r="I1829" s="54"/>
      <c r="K1829" s="54"/>
      <c r="M1829" s="114" t="str">
        <f>VLOOKUP(A1829,'BIC_(C_Variables)'!$A$3:$AS$43,45,FALSE())</f>
        <v>#N/A</v>
      </c>
      <c r="N1829" s="1"/>
      <c r="O1829" s="1"/>
      <c r="P1829" s="51" t="str">
        <f>IFERROR(VLOOKUP(A1829,Internal_lists_bugs!$A$2:$G7981,7,FALSE()),"please select a BUG ID")</f>
        <v>please select a BUG ID</v>
      </c>
    </row>
    <row r="1830">
      <c r="A1830" s="54"/>
      <c r="B1830" s="71" t="str">
        <f>IFERROR(HYPERLINK(VLOOKUP(A1830,Internal_lists_bugs!$A$2:$C$73,3,FALSE()), VLOOKUP(A1830,Internal_lists_bugs!$A$2:$C$73,3,FALSE())&amp;Char(10) &amp; Char(10) &amp; VLOOKUP(A1830,Internal_lists_bugs!$A$2:$Z$73,26,FALSE())),"please select a BUG ID")</f>
        <v>please select a BUG ID</v>
      </c>
      <c r="C1830" s="51" t="str">
        <f>IFERROR(VLOOKUP(A1830,Internal_lists_bugs!$A$2:$I7981,9,FALSE()),"please select a BUG ID")</f>
        <v>please select a BUG ID</v>
      </c>
      <c r="D1830" s="114"/>
      <c r="E1830" s="114"/>
      <c r="F1830" s="115"/>
      <c r="G1830" s="82"/>
      <c r="H1830" s="92"/>
      <c r="I1830" s="54"/>
      <c r="K1830" s="54"/>
      <c r="M1830" s="114" t="str">
        <f>VLOOKUP(A1830,'BIC_(C_Variables)'!$A$3:$AS$43,45,FALSE())</f>
        <v>#N/A</v>
      </c>
      <c r="N1830" s="1"/>
      <c r="O1830" s="1"/>
      <c r="P1830" s="51" t="str">
        <f>IFERROR(VLOOKUP(A1830,Internal_lists_bugs!$A$2:$G7981,7,FALSE()),"please select a BUG ID")</f>
        <v>please select a BUG ID</v>
      </c>
    </row>
    <row r="1831">
      <c r="A1831" s="54"/>
      <c r="B1831" s="71" t="str">
        <f>IFERROR(HYPERLINK(VLOOKUP(A1831,Internal_lists_bugs!$A$2:$C$73,3,FALSE()), VLOOKUP(A1831,Internal_lists_bugs!$A$2:$C$73,3,FALSE())&amp;Char(10) &amp; Char(10) &amp; VLOOKUP(A1831,Internal_lists_bugs!$A$2:$Z$73,26,FALSE())),"please select a BUG ID")</f>
        <v>please select a BUG ID</v>
      </c>
      <c r="C1831" s="51" t="str">
        <f>IFERROR(VLOOKUP(A1831,Internal_lists_bugs!$A$2:$I7981,9,FALSE()),"please select a BUG ID")</f>
        <v>please select a BUG ID</v>
      </c>
      <c r="D1831" s="114"/>
      <c r="E1831" s="114"/>
      <c r="F1831" s="115"/>
      <c r="G1831" s="82"/>
      <c r="H1831" s="92"/>
      <c r="I1831" s="54"/>
      <c r="K1831" s="54"/>
      <c r="M1831" s="114" t="str">
        <f>VLOOKUP(A1831,'BIC_(C_Variables)'!$A$3:$AS$43,45,FALSE())</f>
        <v>#N/A</v>
      </c>
      <c r="N1831" s="1"/>
      <c r="O1831" s="1"/>
      <c r="P1831" s="51" t="str">
        <f>IFERROR(VLOOKUP(A1831,Internal_lists_bugs!$A$2:$G7981,7,FALSE()),"please select a BUG ID")</f>
        <v>please select a BUG ID</v>
      </c>
    </row>
    <row r="1832">
      <c r="A1832" s="54"/>
      <c r="B1832" s="71" t="str">
        <f>IFERROR(HYPERLINK(VLOOKUP(A1832,Internal_lists_bugs!$A$2:$C$73,3,FALSE()), VLOOKUP(A1832,Internal_lists_bugs!$A$2:$C$73,3,FALSE())&amp;Char(10) &amp; Char(10) &amp; VLOOKUP(A1832,Internal_lists_bugs!$A$2:$Z$73,26,FALSE())),"please select a BUG ID")</f>
        <v>please select a BUG ID</v>
      </c>
      <c r="C1832" s="51" t="str">
        <f>IFERROR(VLOOKUP(A1832,Internal_lists_bugs!$A$2:$I7981,9,FALSE()),"please select a BUG ID")</f>
        <v>please select a BUG ID</v>
      </c>
      <c r="D1832" s="114"/>
      <c r="E1832" s="114"/>
      <c r="F1832" s="115"/>
      <c r="G1832" s="82"/>
      <c r="H1832" s="92"/>
      <c r="I1832" s="54"/>
      <c r="K1832" s="54"/>
      <c r="M1832" s="114" t="str">
        <f>VLOOKUP(A1832,'BIC_(C_Variables)'!$A$3:$AS$43,45,FALSE())</f>
        <v>#N/A</v>
      </c>
      <c r="N1832" s="1"/>
      <c r="O1832" s="1"/>
      <c r="P1832" s="51" t="str">
        <f>IFERROR(VLOOKUP(A1832,Internal_lists_bugs!$A$2:$G7981,7,FALSE()),"please select a BUG ID")</f>
        <v>please select a BUG ID</v>
      </c>
    </row>
    <row r="1833">
      <c r="A1833" s="54"/>
      <c r="B1833" s="71" t="str">
        <f>IFERROR(HYPERLINK(VLOOKUP(A1833,Internal_lists_bugs!$A$2:$C$73,3,FALSE()), VLOOKUP(A1833,Internal_lists_bugs!$A$2:$C$73,3,FALSE())&amp;Char(10) &amp; Char(10) &amp; VLOOKUP(A1833,Internal_lists_bugs!$A$2:$Z$73,26,FALSE())),"please select a BUG ID")</f>
        <v>please select a BUG ID</v>
      </c>
      <c r="C1833" s="51" t="str">
        <f>IFERROR(VLOOKUP(A1833,Internal_lists_bugs!$A$2:$I7981,9,FALSE()),"please select a BUG ID")</f>
        <v>please select a BUG ID</v>
      </c>
      <c r="D1833" s="114"/>
      <c r="E1833" s="114"/>
      <c r="F1833" s="115"/>
      <c r="G1833" s="82"/>
      <c r="H1833" s="92"/>
      <c r="I1833" s="54"/>
      <c r="K1833" s="54"/>
      <c r="M1833" s="114" t="str">
        <f>VLOOKUP(A1833,'BIC_(C_Variables)'!$A$3:$AS$43,45,FALSE())</f>
        <v>#N/A</v>
      </c>
      <c r="N1833" s="1"/>
      <c r="O1833" s="1"/>
      <c r="P1833" s="51" t="str">
        <f>IFERROR(VLOOKUP(A1833,Internal_lists_bugs!$A$2:$G7981,7,FALSE()),"please select a BUG ID")</f>
        <v>please select a BUG ID</v>
      </c>
    </row>
    <row r="1834">
      <c r="A1834" s="54"/>
      <c r="B1834" s="71" t="str">
        <f>IFERROR(HYPERLINK(VLOOKUP(A1834,Internal_lists_bugs!$A$2:$C$73,3,FALSE()), VLOOKUP(A1834,Internal_lists_bugs!$A$2:$C$73,3,FALSE())&amp;Char(10) &amp; Char(10) &amp; VLOOKUP(A1834,Internal_lists_bugs!$A$2:$Z$73,26,FALSE())),"please select a BUG ID")</f>
        <v>please select a BUG ID</v>
      </c>
      <c r="C1834" s="51" t="str">
        <f>IFERROR(VLOOKUP(A1834,Internal_lists_bugs!$A$2:$I7981,9,FALSE()),"please select a BUG ID")</f>
        <v>please select a BUG ID</v>
      </c>
      <c r="D1834" s="114"/>
      <c r="E1834" s="114"/>
      <c r="F1834" s="115"/>
      <c r="G1834" s="82"/>
      <c r="H1834" s="92"/>
      <c r="I1834" s="54"/>
      <c r="K1834" s="54"/>
      <c r="M1834" s="114" t="str">
        <f>VLOOKUP(A1834,'BIC_(C_Variables)'!$A$3:$AS$43,45,FALSE())</f>
        <v>#N/A</v>
      </c>
      <c r="N1834" s="1"/>
      <c r="O1834" s="1"/>
      <c r="P1834" s="51" t="str">
        <f>IFERROR(VLOOKUP(A1834,Internal_lists_bugs!$A$2:$G7981,7,FALSE()),"please select a BUG ID")</f>
        <v>please select a BUG ID</v>
      </c>
    </row>
    <row r="1835">
      <c r="A1835" s="54"/>
      <c r="B1835" s="71" t="str">
        <f>IFERROR(HYPERLINK(VLOOKUP(A1835,Internal_lists_bugs!$A$2:$C$73,3,FALSE()), VLOOKUP(A1835,Internal_lists_bugs!$A$2:$C$73,3,FALSE())&amp;Char(10) &amp; Char(10) &amp; VLOOKUP(A1835,Internal_lists_bugs!$A$2:$Z$73,26,FALSE())),"please select a BUG ID")</f>
        <v>please select a BUG ID</v>
      </c>
      <c r="C1835" s="51" t="str">
        <f>IFERROR(VLOOKUP(A1835,Internal_lists_bugs!$A$2:$I7981,9,FALSE()),"please select a BUG ID")</f>
        <v>please select a BUG ID</v>
      </c>
      <c r="D1835" s="114"/>
      <c r="E1835" s="114"/>
      <c r="F1835" s="115"/>
      <c r="G1835" s="82"/>
      <c r="H1835" s="92"/>
      <c r="I1835" s="54"/>
      <c r="K1835" s="54"/>
      <c r="M1835" s="114" t="str">
        <f>VLOOKUP(A1835,'BIC_(C_Variables)'!$A$3:$AS$43,45,FALSE())</f>
        <v>#N/A</v>
      </c>
      <c r="N1835" s="1"/>
      <c r="O1835" s="1"/>
      <c r="P1835" s="51" t="str">
        <f>IFERROR(VLOOKUP(A1835,Internal_lists_bugs!$A$2:$G7981,7,FALSE()),"please select a BUG ID")</f>
        <v>please select a BUG ID</v>
      </c>
    </row>
    <row r="1836">
      <c r="A1836" s="54"/>
      <c r="B1836" s="71" t="str">
        <f>IFERROR(HYPERLINK(VLOOKUP(A1836,Internal_lists_bugs!$A$2:$C$73,3,FALSE()), VLOOKUP(A1836,Internal_lists_bugs!$A$2:$C$73,3,FALSE())&amp;Char(10) &amp; Char(10) &amp; VLOOKUP(A1836,Internal_lists_bugs!$A$2:$Z$73,26,FALSE())),"please select a BUG ID")</f>
        <v>please select a BUG ID</v>
      </c>
      <c r="C1836" s="51" t="str">
        <f>IFERROR(VLOOKUP(A1836,Internal_lists_bugs!$A$2:$I7981,9,FALSE()),"please select a BUG ID")</f>
        <v>please select a BUG ID</v>
      </c>
      <c r="D1836" s="114"/>
      <c r="E1836" s="114"/>
      <c r="F1836" s="115"/>
      <c r="G1836" s="82"/>
      <c r="H1836" s="92"/>
      <c r="I1836" s="54"/>
      <c r="K1836" s="54"/>
      <c r="M1836" s="114" t="str">
        <f>VLOOKUP(A1836,'BIC_(C_Variables)'!$A$3:$AS$43,45,FALSE())</f>
        <v>#N/A</v>
      </c>
      <c r="N1836" s="1"/>
      <c r="O1836" s="1"/>
      <c r="P1836" s="51" t="str">
        <f>IFERROR(VLOOKUP(A1836,Internal_lists_bugs!$A$2:$G7981,7,FALSE()),"please select a BUG ID")</f>
        <v>please select a BUG ID</v>
      </c>
    </row>
    <row r="1837">
      <c r="A1837" s="54"/>
      <c r="B1837" s="71" t="str">
        <f>IFERROR(HYPERLINK(VLOOKUP(A1837,Internal_lists_bugs!$A$2:$C$73,3,FALSE()), VLOOKUP(A1837,Internal_lists_bugs!$A$2:$C$73,3,FALSE())&amp;Char(10) &amp; Char(10) &amp; VLOOKUP(A1837,Internal_lists_bugs!$A$2:$Z$73,26,FALSE())),"please select a BUG ID")</f>
        <v>please select a BUG ID</v>
      </c>
      <c r="C1837" s="51" t="str">
        <f>IFERROR(VLOOKUP(A1837,Internal_lists_bugs!$A$2:$I7981,9,FALSE()),"please select a BUG ID")</f>
        <v>please select a BUG ID</v>
      </c>
      <c r="D1837" s="114"/>
      <c r="E1837" s="114"/>
      <c r="F1837" s="115"/>
      <c r="G1837" s="82"/>
      <c r="H1837" s="92"/>
      <c r="I1837" s="54"/>
      <c r="K1837" s="54"/>
      <c r="M1837" s="114" t="str">
        <f>VLOOKUP(A1837,'BIC_(C_Variables)'!$A$3:$AS$43,45,FALSE())</f>
        <v>#N/A</v>
      </c>
      <c r="N1837" s="1"/>
      <c r="O1837" s="1"/>
      <c r="P1837" s="51" t="str">
        <f>IFERROR(VLOOKUP(A1837,Internal_lists_bugs!$A$2:$G7981,7,FALSE()),"please select a BUG ID")</f>
        <v>please select a BUG ID</v>
      </c>
    </row>
    <row r="1838">
      <c r="A1838" s="54"/>
      <c r="B1838" s="71" t="str">
        <f>IFERROR(HYPERLINK(VLOOKUP(A1838,Internal_lists_bugs!$A$2:$C$73,3,FALSE()), VLOOKUP(A1838,Internal_lists_bugs!$A$2:$C$73,3,FALSE())&amp;Char(10) &amp; Char(10) &amp; VLOOKUP(A1838,Internal_lists_bugs!$A$2:$Z$73,26,FALSE())),"please select a BUG ID")</f>
        <v>please select a BUG ID</v>
      </c>
      <c r="C1838" s="51" t="str">
        <f>IFERROR(VLOOKUP(A1838,Internal_lists_bugs!$A$2:$I7981,9,FALSE()),"please select a BUG ID")</f>
        <v>please select a BUG ID</v>
      </c>
      <c r="D1838" s="114"/>
      <c r="E1838" s="114"/>
      <c r="F1838" s="115"/>
      <c r="G1838" s="82"/>
      <c r="H1838" s="92"/>
      <c r="I1838" s="54"/>
      <c r="K1838" s="54"/>
      <c r="M1838" s="114" t="str">
        <f>VLOOKUP(A1838,'BIC_(C_Variables)'!$A$3:$AS$43,45,FALSE())</f>
        <v>#N/A</v>
      </c>
      <c r="N1838" s="1"/>
      <c r="O1838" s="1"/>
      <c r="P1838" s="51" t="str">
        <f>IFERROR(VLOOKUP(A1838,Internal_lists_bugs!$A$2:$G7981,7,FALSE()),"please select a BUG ID")</f>
        <v>please select a BUG ID</v>
      </c>
    </row>
    <row r="1839">
      <c r="A1839" s="54"/>
      <c r="B1839" s="71" t="str">
        <f>IFERROR(HYPERLINK(VLOOKUP(A1839,Internal_lists_bugs!$A$2:$C$73,3,FALSE()), VLOOKUP(A1839,Internal_lists_bugs!$A$2:$C$73,3,FALSE())&amp;Char(10) &amp; Char(10) &amp; VLOOKUP(A1839,Internal_lists_bugs!$A$2:$Z$73,26,FALSE())),"please select a BUG ID")</f>
        <v>please select a BUG ID</v>
      </c>
      <c r="C1839" s="51" t="str">
        <f>IFERROR(VLOOKUP(A1839,Internal_lists_bugs!$A$2:$I7981,9,FALSE()),"please select a BUG ID")</f>
        <v>please select a BUG ID</v>
      </c>
      <c r="D1839" s="114"/>
      <c r="E1839" s="114"/>
      <c r="F1839" s="115"/>
      <c r="G1839" s="82"/>
      <c r="H1839" s="92"/>
      <c r="I1839" s="54"/>
      <c r="K1839" s="54"/>
      <c r="M1839" s="114" t="str">
        <f>VLOOKUP(A1839,'BIC_(C_Variables)'!$A$3:$AS$43,45,FALSE())</f>
        <v>#N/A</v>
      </c>
      <c r="N1839" s="1"/>
      <c r="O1839" s="1"/>
      <c r="P1839" s="51" t="str">
        <f>IFERROR(VLOOKUP(A1839,Internal_lists_bugs!$A$2:$G7981,7,FALSE()),"please select a BUG ID")</f>
        <v>please select a BUG ID</v>
      </c>
    </row>
    <row r="1840">
      <c r="A1840" s="54"/>
      <c r="B1840" s="71" t="str">
        <f>IFERROR(HYPERLINK(VLOOKUP(A1840,Internal_lists_bugs!$A$2:$C$73,3,FALSE()), VLOOKUP(A1840,Internal_lists_bugs!$A$2:$C$73,3,FALSE())&amp;Char(10) &amp; Char(10) &amp; VLOOKUP(A1840,Internal_lists_bugs!$A$2:$Z$73,26,FALSE())),"please select a BUG ID")</f>
        <v>please select a BUG ID</v>
      </c>
      <c r="C1840" s="51" t="str">
        <f>IFERROR(VLOOKUP(A1840,Internal_lists_bugs!$A$2:$I7981,9,FALSE()),"please select a BUG ID")</f>
        <v>please select a BUG ID</v>
      </c>
      <c r="D1840" s="114"/>
      <c r="E1840" s="114"/>
      <c r="F1840" s="115"/>
      <c r="G1840" s="82"/>
      <c r="H1840" s="92"/>
      <c r="I1840" s="54"/>
      <c r="K1840" s="54"/>
      <c r="M1840" s="114" t="str">
        <f>VLOOKUP(A1840,'BIC_(C_Variables)'!$A$3:$AS$43,45,FALSE())</f>
        <v>#N/A</v>
      </c>
      <c r="N1840" s="1"/>
      <c r="O1840" s="1"/>
      <c r="P1840" s="51" t="str">
        <f>IFERROR(VLOOKUP(A1840,Internal_lists_bugs!$A$2:$G7981,7,FALSE()),"please select a BUG ID")</f>
        <v>please select a BUG ID</v>
      </c>
    </row>
    <row r="1841">
      <c r="A1841" s="54"/>
      <c r="B1841" s="71" t="str">
        <f>IFERROR(HYPERLINK(VLOOKUP(A1841,Internal_lists_bugs!$A$2:$C$73,3,FALSE()), VLOOKUP(A1841,Internal_lists_bugs!$A$2:$C$73,3,FALSE())&amp;Char(10) &amp; Char(10) &amp; VLOOKUP(A1841,Internal_lists_bugs!$A$2:$Z$73,26,FALSE())),"please select a BUG ID")</f>
        <v>please select a BUG ID</v>
      </c>
      <c r="C1841" s="51" t="str">
        <f>IFERROR(VLOOKUP(A1841,Internal_lists_bugs!$A$2:$I7981,9,FALSE()),"please select a BUG ID")</f>
        <v>please select a BUG ID</v>
      </c>
      <c r="D1841" s="114"/>
      <c r="E1841" s="114"/>
      <c r="F1841" s="115"/>
      <c r="G1841" s="82"/>
      <c r="H1841" s="92"/>
      <c r="I1841" s="54"/>
      <c r="K1841" s="54"/>
      <c r="M1841" s="114" t="str">
        <f>VLOOKUP(A1841,'BIC_(C_Variables)'!$A$3:$AS$43,45,FALSE())</f>
        <v>#N/A</v>
      </c>
      <c r="N1841" s="1"/>
      <c r="O1841" s="1"/>
      <c r="P1841" s="51" t="str">
        <f>IFERROR(VLOOKUP(A1841,Internal_lists_bugs!$A$2:$G7981,7,FALSE()),"please select a BUG ID")</f>
        <v>please select a BUG ID</v>
      </c>
    </row>
    <row r="1842">
      <c r="A1842" s="54"/>
      <c r="B1842" s="71" t="str">
        <f>IFERROR(HYPERLINK(VLOOKUP(A1842,Internal_lists_bugs!$A$2:$C$73,3,FALSE()), VLOOKUP(A1842,Internal_lists_bugs!$A$2:$C$73,3,FALSE())&amp;Char(10) &amp; Char(10) &amp; VLOOKUP(A1842,Internal_lists_bugs!$A$2:$Z$73,26,FALSE())),"please select a BUG ID")</f>
        <v>please select a BUG ID</v>
      </c>
      <c r="C1842" s="51" t="str">
        <f>IFERROR(VLOOKUP(A1842,Internal_lists_bugs!$A$2:$I7981,9,FALSE()),"please select a BUG ID")</f>
        <v>please select a BUG ID</v>
      </c>
      <c r="D1842" s="114"/>
      <c r="E1842" s="114"/>
      <c r="F1842" s="115"/>
      <c r="G1842" s="82"/>
      <c r="H1842" s="92"/>
      <c r="I1842" s="54"/>
      <c r="K1842" s="54"/>
      <c r="M1842" s="114" t="str">
        <f>VLOOKUP(A1842,'BIC_(C_Variables)'!$A$3:$AS$43,45,FALSE())</f>
        <v>#N/A</v>
      </c>
      <c r="N1842" s="1"/>
      <c r="O1842" s="1"/>
      <c r="P1842" s="51" t="str">
        <f>IFERROR(VLOOKUP(A1842,Internal_lists_bugs!$A$2:$G7981,7,FALSE()),"please select a BUG ID")</f>
        <v>please select a BUG ID</v>
      </c>
    </row>
    <row r="1843">
      <c r="A1843" s="54"/>
      <c r="B1843" s="71" t="str">
        <f>IFERROR(HYPERLINK(VLOOKUP(A1843,Internal_lists_bugs!$A$2:$C$73,3,FALSE()), VLOOKUP(A1843,Internal_lists_bugs!$A$2:$C$73,3,FALSE())&amp;Char(10) &amp; Char(10) &amp; VLOOKUP(A1843,Internal_lists_bugs!$A$2:$Z$73,26,FALSE())),"please select a BUG ID")</f>
        <v>please select a BUG ID</v>
      </c>
      <c r="C1843" s="51" t="str">
        <f>IFERROR(VLOOKUP(A1843,Internal_lists_bugs!$A$2:$I7981,9,FALSE()),"please select a BUG ID")</f>
        <v>please select a BUG ID</v>
      </c>
      <c r="D1843" s="114"/>
      <c r="E1843" s="114"/>
      <c r="F1843" s="115"/>
      <c r="G1843" s="82"/>
      <c r="H1843" s="92"/>
      <c r="I1843" s="54"/>
      <c r="K1843" s="54"/>
      <c r="M1843" s="114" t="str">
        <f>VLOOKUP(A1843,'BIC_(C_Variables)'!$A$3:$AS$43,45,FALSE())</f>
        <v>#N/A</v>
      </c>
      <c r="N1843" s="1"/>
      <c r="O1843" s="1"/>
      <c r="P1843" s="51" t="str">
        <f>IFERROR(VLOOKUP(A1843,Internal_lists_bugs!$A$2:$G7981,7,FALSE()),"please select a BUG ID")</f>
        <v>please select a BUG ID</v>
      </c>
    </row>
    <row r="1844">
      <c r="A1844" s="54"/>
      <c r="B1844" s="71" t="str">
        <f>IFERROR(HYPERLINK(VLOOKUP(A1844,Internal_lists_bugs!$A$2:$C$73,3,FALSE()), VLOOKUP(A1844,Internal_lists_bugs!$A$2:$C$73,3,FALSE())&amp;Char(10) &amp; Char(10) &amp; VLOOKUP(A1844,Internal_lists_bugs!$A$2:$Z$73,26,FALSE())),"please select a BUG ID")</f>
        <v>please select a BUG ID</v>
      </c>
      <c r="C1844" s="51" t="str">
        <f>IFERROR(VLOOKUP(A1844,Internal_lists_bugs!$A$2:$I7981,9,FALSE()),"please select a BUG ID")</f>
        <v>please select a BUG ID</v>
      </c>
      <c r="D1844" s="114"/>
      <c r="E1844" s="114"/>
      <c r="F1844" s="115"/>
      <c r="G1844" s="82"/>
      <c r="H1844" s="92"/>
      <c r="I1844" s="54"/>
      <c r="K1844" s="54"/>
      <c r="M1844" s="114" t="str">
        <f>VLOOKUP(A1844,'BIC_(C_Variables)'!$A$3:$AS$43,45,FALSE())</f>
        <v>#N/A</v>
      </c>
      <c r="N1844" s="1"/>
      <c r="O1844" s="1"/>
      <c r="P1844" s="51" t="str">
        <f>IFERROR(VLOOKUP(A1844,Internal_lists_bugs!$A$2:$G7981,7,FALSE()),"please select a BUG ID")</f>
        <v>please select a BUG ID</v>
      </c>
    </row>
    <row r="1845">
      <c r="A1845" s="54"/>
      <c r="B1845" s="71" t="str">
        <f>IFERROR(HYPERLINK(VLOOKUP(A1845,Internal_lists_bugs!$A$2:$C$73,3,FALSE()), VLOOKUP(A1845,Internal_lists_bugs!$A$2:$C$73,3,FALSE())&amp;Char(10) &amp; Char(10) &amp; VLOOKUP(A1845,Internal_lists_bugs!$A$2:$Z$73,26,FALSE())),"please select a BUG ID")</f>
        <v>please select a BUG ID</v>
      </c>
      <c r="C1845" s="51" t="str">
        <f>IFERROR(VLOOKUP(A1845,Internal_lists_bugs!$A$2:$I7981,9,FALSE()),"please select a BUG ID")</f>
        <v>please select a BUG ID</v>
      </c>
      <c r="D1845" s="114"/>
      <c r="E1845" s="114"/>
      <c r="F1845" s="115"/>
      <c r="G1845" s="82"/>
      <c r="H1845" s="92"/>
      <c r="I1845" s="54"/>
      <c r="K1845" s="54"/>
      <c r="M1845" s="114" t="str">
        <f>VLOOKUP(A1845,'BIC_(C_Variables)'!$A$3:$AS$43,45,FALSE())</f>
        <v>#N/A</v>
      </c>
      <c r="N1845" s="1"/>
      <c r="O1845" s="1"/>
      <c r="P1845" s="51" t="str">
        <f>IFERROR(VLOOKUP(A1845,Internal_lists_bugs!$A$2:$G7981,7,FALSE()),"please select a BUG ID")</f>
        <v>please select a BUG ID</v>
      </c>
    </row>
    <row r="1846">
      <c r="A1846" s="54"/>
      <c r="B1846" s="71" t="str">
        <f>IFERROR(HYPERLINK(VLOOKUP(A1846,Internal_lists_bugs!$A$2:$C$73,3,FALSE()), VLOOKUP(A1846,Internal_lists_bugs!$A$2:$C$73,3,FALSE())&amp;Char(10) &amp; Char(10) &amp; VLOOKUP(A1846,Internal_lists_bugs!$A$2:$Z$73,26,FALSE())),"please select a BUG ID")</f>
        <v>please select a BUG ID</v>
      </c>
      <c r="C1846" s="51" t="str">
        <f>IFERROR(VLOOKUP(A1846,Internal_lists_bugs!$A$2:$I7981,9,FALSE()),"please select a BUG ID")</f>
        <v>please select a BUG ID</v>
      </c>
      <c r="D1846" s="114"/>
      <c r="E1846" s="114"/>
      <c r="F1846" s="115"/>
      <c r="G1846" s="82"/>
      <c r="H1846" s="92"/>
      <c r="I1846" s="54"/>
      <c r="K1846" s="54"/>
      <c r="M1846" s="114" t="str">
        <f>VLOOKUP(A1846,'BIC_(C_Variables)'!$A$3:$AS$43,45,FALSE())</f>
        <v>#N/A</v>
      </c>
      <c r="N1846" s="1"/>
      <c r="O1846" s="1"/>
      <c r="P1846" s="51" t="str">
        <f>IFERROR(VLOOKUP(A1846,Internal_lists_bugs!$A$2:$G7981,7,FALSE()),"please select a BUG ID")</f>
        <v>please select a BUG ID</v>
      </c>
    </row>
    <row r="1847">
      <c r="A1847" s="54"/>
      <c r="B1847" s="71" t="str">
        <f>IFERROR(HYPERLINK(VLOOKUP(A1847,Internal_lists_bugs!$A$2:$C$73,3,FALSE()), VLOOKUP(A1847,Internal_lists_bugs!$A$2:$C$73,3,FALSE())&amp;Char(10) &amp; Char(10) &amp; VLOOKUP(A1847,Internal_lists_bugs!$A$2:$Z$73,26,FALSE())),"please select a BUG ID")</f>
        <v>please select a BUG ID</v>
      </c>
      <c r="C1847" s="51" t="str">
        <f>IFERROR(VLOOKUP(A1847,Internal_lists_bugs!$A$2:$I7981,9,FALSE()),"please select a BUG ID")</f>
        <v>please select a BUG ID</v>
      </c>
      <c r="D1847" s="114"/>
      <c r="E1847" s="114"/>
      <c r="F1847" s="115"/>
      <c r="G1847" s="82"/>
      <c r="H1847" s="92"/>
      <c r="I1847" s="54"/>
      <c r="K1847" s="54"/>
      <c r="M1847" s="114" t="str">
        <f>VLOOKUP(A1847,'BIC_(C_Variables)'!$A$3:$AS$43,45,FALSE())</f>
        <v>#N/A</v>
      </c>
      <c r="N1847" s="1"/>
      <c r="O1847" s="1"/>
      <c r="P1847" s="51" t="str">
        <f>IFERROR(VLOOKUP(A1847,Internal_lists_bugs!$A$2:$G7981,7,FALSE()),"please select a BUG ID")</f>
        <v>please select a BUG ID</v>
      </c>
    </row>
    <row r="1848">
      <c r="A1848" s="54"/>
      <c r="B1848" s="71" t="str">
        <f>IFERROR(HYPERLINK(VLOOKUP(A1848,Internal_lists_bugs!$A$2:$C$73,3,FALSE()), VLOOKUP(A1848,Internal_lists_bugs!$A$2:$C$73,3,FALSE())&amp;Char(10) &amp; Char(10) &amp; VLOOKUP(A1848,Internal_lists_bugs!$A$2:$Z$73,26,FALSE())),"please select a BUG ID")</f>
        <v>please select a BUG ID</v>
      </c>
      <c r="C1848" s="51" t="str">
        <f>IFERROR(VLOOKUP(A1848,Internal_lists_bugs!$A$2:$I7981,9,FALSE()),"please select a BUG ID")</f>
        <v>please select a BUG ID</v>
      </c>
      <c r="D1848" s="114"/>
      <c r="E1848" s="114"/>
      <c r="F1848" s="115"/>
      <c r="G1848" s="82"/>
      <c r="H1848" s="92"/>
      <c r="I1848" s="54"/>
      <c r="K1848" s="54"/>
      <c r="M1848" s="114" t="str">
        <f>VLOOKUP(A1848,'BIC_(C_Variables)'!$A$3:$AS$43,45,FALSE())</f>
        <v>#N/A</v>
      </c>
      <c r="N1848" s="1"/>
      <c r="O1848" s="1"/>
      <c r="P1848" s="51" t="str">
        <f>IFERROR(VLOOKUP(A1848,Internal_lists_bugs!$A$2:$G7981,7,FALSE()),"please select a BUG ID")</f>
        <v>please select a BUG ID</v>
      </c>
    </row>
    <row r="1849">
      <c r="A1849" s="54"/>
      <c r="B1849" s="71" t="str">
        <f>IFERROR(HYPERLINK(VLOOKUP(A1849,Internal_lists_bugs!$A$2:$C$73,3,FALSE()), VLOOKUP(A1849,Internal_lists_bugs!$A$2:$C$73,3,FALSE())&amp;Char(10) &amp; Char(10) &amp; VLOOKUP(A1849,Internal_lists_bugs!$A$2:$Z$73,26,FALSE())),"please select a BUG ID")</f>
        <v>please select a BUG ID</v>
      </c>
      <c r="C1849" s="51" t="str">
        <f>IFERROR(VLOOKUP(A1849,Internal_lists_bugs!$A$2:$I7981,9,FALSE()),"please select a BUG ID")</f>
        <v>please select a BUG ID</v>
      </c>
      <c r="D1849" s="114"/>
      <c r="E1849" s="114"/>
      <c r="F1849" s="115"/>
      <c r="G1849" s="82"/>
      <c r="H1849" s="92"/>
      <c r="I1849" s="54"/>
      <c r="K1849" s="54"/>
      <c r="M1849" s="114" t="str">
        <f>VLOOKUP(A1849,'BIC_(C_Variables)'!$A$3:$AS$43,45,FALSE())</f>
        <v>#N/A</v>
      </c>
      <c r="N1849" s="1"/>
      <c r="O1849" s="1"/>
      <c r="P1849" s="51" t="str">
        <f>IFERROR(VLOOKUP(A1849,Internal_lists_bugs!$A$2:$G7981,7,FALSE()),"please select a BUG ID")</f>
        <v>please select a BUG ID</v>
      </c>
    </row>
    <row r="1850">
      <c r="A1850" s="54"/>
      <c r="B1850" s="71" t="str">
        <f>IFERROR(HYPERLINK(VLOOKUP(A1850,Internal_lists_bugs!$A$2:$C$73,3,FALSE()), VLOOKUP(A1850,Internal_lists_bugs!$A$2:$C$73,3,FALSE())&amp;Char(10) &amp; Char(10) &amp; VLOOKUP(A1850,Internal_lists_bugs!$A$2:$Z$73,26,FALSE())),"please select a BUG ID")</f>
        <v>please select a BUG ID</v>
      </c>
      <c r="C1850" s="51" t="str">
        <f>IFERROR(VLOOKUP(A1850,Internal_lists_bugs!$A$2:$I7981,9,FALSE()),"please select a BUG ID")</f>
        <v>please select a BUG ID</v>
      </c>
      <c r="D1850" s="114"/>
      <c r="E1850" s="114"/>
      <c r="F1850" s="115"/>
      <c r="G1850" s="82"/>
      <c r="H1850" s="92"/>
      <c r="I1850" s="54"/>
      <c r="K1850" s="54"/>
      <c r="M1850" s="114" t="str">
        <f>VLOOKUP(A1850,'BIC_(C_Variables)'!$A$3:$AS$43,45,FALSE())</f>
        <v>#N/A</v>
      </c>
      <c r="N1850" s="1"/>
      <c r="O1850" s="1"/>
      <c r="P1850" s="51" t="str">
        <f>IFERROR(VLOOKUP(A1850,Internal_lists_bugs!$A$2:$G7981,7,FALSE()),"please select a BUG ID")</f>
        <v>please select a BUG ID</v>
      </c>
    </row>
    <row r="1851">
      <c r="A1851" s="54"/>
      <c r="B1851" s="71" t="str">
        <f>IFERROR(HYPERLINK(VLOOKUP(A1851,Internal_lists_bugs!$A$2:$C$73,3,FALSE()), VLOOKUP(A1851,Internal_lists_bugs!$A$2:$C$73,3,FALSE())&amp;Char(10) &amp; Char(10) &amp; VLOOKUP(A1851,Internal_lists_bugs!$A$2:$Z$73,26,FALSE())),"please select a BUG ID")</f>
        <v>please select a BUG ID</v>
      </c>
      <c r="C1851" s="51" t="str">
        <f>IFERROR(VLOOKUP(A1851,Internal_lists_bugs!$A$2:$I7981,9,FALSE()),"please select a BUG ID")</f>
        <v>please select a BUG ID</v>
      </c>
      <c r="D1851" s="114"/>
      <c r="E1851" s="114"/>
      <c r="F1851" s="115"/>
      <c r="G1851" s="82"/>
      <c r="H1851" s="92"/>
      <c r="I1851" s="54"/>
      <c r="K1851" s="54"/>
      <c r="M1851" s="114" t="str">
        <f>VLOOKUP(A1851,'BIC_(C_Variables)'!$A$3:$AS$43,45,FALSE())</f>
        <v>#N/A</v>
      </c>
      <c r="N1851" s="1"/>
      <c r="O1851" s="1"/>
      <c r="P1851" s="51" t="str">
        <f>IFERROR(VLOOKUP(A1851,Internal_lists_bugs!$A$2:$G7981,7,FALSE()),"please select a BUG ID")</f>
        <v>please select a BUG ID</v>
      </c>
    </row>
    <row r="1852">
      <c r="A1852" s="54"/>
      <c r="B1852" s="71" t="str">
        <f>IFERROR(HYPERLINK(VLOOKUP(A1852,Internal_lists_bugs!$A$2:$C$73,3,FALSE()), VLOOKUP(A1852,Internal_lists_bugs!$A$2:$C$73,3,FALSE())&amp;Char(10) &amp; Char(10) &amp; VLOOKUP(A1852,Internal_lists_bugs!$A$2:$Z$73,26,FALSE())),"please select a BUG ID")</f>
        <v>please select a BUG ID</v>
      </c>
      <c r="C1852" s="51" t="str">
        <f>IFERROR(VLOOKUP(A1852,Internal_lists_bugs!$A$2:$I7981,9,FALSE()),"please select a BUG ID")</f>
        <v>please select a BUG ID</v>
      </c>
      <c r="D1852" s="114"/>
      <c r="E1852" s="114"/>
      <c r="F1852" s="115"/>
      <c r="G1852" s="82"/>
      <c r="H1852" s="92"/>
      <c r="I1852" s="54"/>
      <c r="K1852" s="54"/>
      <c r="M1852" s="114" t="str">
        <f>VLOOKUP(A1852,'BIC_(C_Variables)'!$A$3:$AS$43,45,FALSE())</f>
        <v>#N/A</v>
      </c>
      <c r="N1852" s="1"/>
      <c r="O1852" s="1"/>
      <c r="P1852" s="51" t="str">
        <f>IFERROR(VLOOKUP(A1852,Internal_lists_bugs!$A$2:$G7981,7,FALSE()),"please select a BUG ID")</f>
        <v>please select a BUG ID</v>
      </c>
    </row>
    <row r="1853">
      <c r="A1853" s="54"/>
      <c r="B1853" s="71" t="str">
        <f>IFERROR(HYPERLINK(VLOOKUP(A1853,Internal_lists_bugs!$A$2:$C$73,3,FALSE()), VLOOKUP(A1853,Internal_lists_bugs!$A$2:$C$73,3,FALSE())&amp;Char(10) &amp; Char(10) &amp; VLOOKUP(A1853,Internal_lists_bugs!$A$2:$Z$73,26,FALSE())),"please select a BUG ID")</f>
        <v>please select a BUG ID</v>
      </c>
      <c r="C1853" s="51" t="str">
        <f>IFERROR(VLOOKUP(A1853,Internal_lists_bugs!$A$2:$I7981,9,FALSE()),"please select a BUG ID")</f>
        <v>please select a BUG ID</v>
      </c>
      <c r="D1853" s="114"/>
      <c r="E1853" s="114"/>
      <c r="F1853" s="115"/>
      <c r="G1853" s="82"/>
      <c r="H1853" s="92"/>
      <c r="I1853" s="54"/>
      <c r="K1853" s="54"/>
      <c r="M1853" s="114" t="str">
        <f>VLOOKUP(A1853,'BIC_(C_Variables)'!$A$3:$AS$43,45,FALSE())</f>
        <v>#N/A</v>
      </c>
      <c r="N1853" s="1"/>
      <c r="O1853" s="1"/>
      <c r="P1853" s="51" t="str">
        <f>IFERROR(VLOOKUP(A1853,Internal_lists_bugs!$A$2:$G7981,7,FALSE()),"please select a BUG ID")</f>
        <v>please select a BUG ID</v>
      </c>
    </row>
    <row r="1854">
      <c r="A1854" s="54"/>
      <c r="B1854" s="71" t="str">
        <f>IFERROR(HYPERLINK(VLOOKUP(A1854,Internal_lists_bugs!$A$2:$C$73,3,FALSE()), VLOOKUP(A1854,Internal_lists_bugs!$A$2:$C$73,3,FALSE())&amp;Char(10) &amp; Char(10) &amp; VLOOKUP(A1854,Internal_lists_bugs!$A$2:$Z$73,26,FALSE())),"please select a BUG ID")</f>
        <v>please select a BUG ID</v>
      </c>
      <c r="C1854" s="51" t="str">
        <f>IFERROR(VLOOKUP(A1854,Internal_lists_bugs!$A$2:$I7981,9,FALSE()),"please select a BUG ID")</f>
        <v>please select a BUG ID</v>
      </c>
      <c r="D1854" s="114"/>
      <c r="E1854" s="114"/>
      <c r="F1854" s="115"/>
      <c r="G1854" s="82"/>
      <c r="H1854" s="92"/>
      <c r="I1854" s="54"/>
      <c r="K1854" s="54"/>
      <c r="M1854" s="114" t="str">
        <f>VLOOKUP(A1854,'BIC_(C_Variables)'!$A$3:$AS$43,45,FALSE())</f>
        <v>#N/A</v>
      </c>
      <c r="N1854" s="1"/>
      <c r="O1854" s="1"/>
      <c r="P1854" s="51" t="str">
        <f>IFERROR(VLOOKUP(A1854,Internal_lists_bugs!$A$2:$G7981,7,FALSE()),"please select a BUG ID")</f>
        <v>please select a BUG ID</v>
      </c>
    </row>
    <row r="1855">
      <c r="A1855" s="54"/>
      <c r="B1855" s="71" t="str">
        <f>IFERROR(HYPERLINK(VLOOKUP(A1855,Internal_lists_bugs!$A$2:$C$73,3,FALSE()), VLOOKUP(A1855,Internal_lists_bugs!$A$2:$C$73,3,FALSE())&amp;Char(10) &amp; Char(10) &amp; VLOOKUP(A1855,Internal_lists_bugs!$A$2:$Z$73,26,FALSE())),"please select a BUG ID")</f>
        <v>please select a BUG ID</v>
      </c>
      <c r="C1855" s="51" t="str">
        <f>IFERROR(VLOOKUP(A1855,Internal_lists_bugs!$A$2:$I7981,9,FALSE()),"please select a BUG ID")</f>
        <v>please select a BUG ID</v>
      </c>
      <c r="D1855" s="114"/>
      <c r="E1855" s="114"/>
      <c r="F1855" s="115"/>
      <c r="G1855" s="82"/>
      <c r="H1855" s="92"/>
      <c r="I1855" s="54"/>
      <c r="K1855" s="54"/>
      <c r="M1855" s="114" t="str">
        <f>VLOOKUP(A1855,'BIC_(C_Variables)'!$A$3:$AS$43,45,FALSE())</f>
        <v>#N/A</v>
      </c>
      <c r="N1855" s="1"/>
      <c r="O1855" s="1"/>
      <c r="P1855" s="51" t="str">
        <f>IFERROR(VLOOKUP(A1855,Internal_lists_bugs!$A$2:$G7981,7,FALSE()),"please select a BUG ID")</f>
        <v>please select a BUG ID</v>
      </c>
    </row>
    <row r="1856">
      <c r="A1856" s="54"/>
      <c r="B1856" s="71" t="str">
        <f>IFERROR(HYPERLINK(VLOOKUP(A1856,Internal_lists_bugs!$A$2:$C$73,3,FALSE()), VLOOKUP(A1856,Internal_lists_bugs!$A$2:$C$73,3,FALSE())&amp;Char(10) &amp; Char(10) &amp; VLOOKUP(A1856,Internal_lists_bugs!$A$2:$Z$73,26,FALSE())),"please select a BUG ID")</f>
        <v>please select a BUG ID</v>
      </c>
      <c r="C1856" s="51" t="str">
        <f>IFERROR(VLOOKUP(A1856,Internal_lists_bugs!$A$2:$I7981,9,FALSE()),"please select a BUG ID")</f>
        <v>please select a BUG ID</v>
      </c>
      <c r="D1856" s="114"/>
      <c r="E1856" s="114"/>
      <c r="F1856" s="115"/>
      <c r="G1856" s="82"/>
      <c r="H1856" s="92"/>
      <c r="I1856" s="54"/>
      <c r="K1856" s="54"/>
      <c r="M1856" s="114" t="str">
        <f>VLOOKUP(A1856,'BIC_(C_Variables)'!$A$3:$AS$43,45,FALSE())</f>
        <v>#N/A</v>
      </c>
      <c r="N1856" s="1"/>
      <c r="O1856" s="1"/>
      <c r="P1856" s="51" t="str">
        <f>IFERROR(VLOOKUP(A1856,Internal_lists_bugs!$A$2:$G7981,7,FALSE()),"please select a BUG ID")</f>
        <v>please select a BUG ID</v>
      </c>
    </row>
    <row r="1857">
      <c r="A1857" s="54"/>
      <c r="B1857" s="71" t="str">
        <f>IFERROR(HYPERLINK(VLOOKUP(A1857,Internal_lists_bugs!$A$2:$C$73,3,FALSE()), VLOOKUP(A1857,Internal_lists_bugs!$A$2:$C$73,3,FALSE())&amp;Char(10) &amp; Char(10) &amp; VLOOKUP(A1857,Internal_lists_bugs!$A$2:$Z$73,26,FALSE())),"please select a BUG ID")</f>
        <v>please select a BUG ID</v>
      </c>
      <c r="C1857" s="51" t="str">
        <f>IFERROR(VLOOKUP(A1857,Internal_lists_bugs!$A$2:$I7981,9,FALSE()),"please select a BUG ID")</f>
        <v>please select a BUG ID</v>
      </c>
      <c r="D1857" s="114"/>
      <c r="E1857" s="114"/>
      <c r="F1857" s="115"/>
      <c r="G1857" s="82"/>
      <c r="H1857" s="92"/>
      <c r="I1857" s="54"/>
      <c r="K1857" s="54"/>
      <c r="M1857" s="114" t="str">
        <f>VLOOKUP(A1857,'BIC_(C_Variables)'!$A$3:$AS$43,45,FALSE())</f>
        <v>#N/A</v>
      </c>
      <c r="N1857" s="1"/>
      <c r="O1857" s="1"/>
      <c r="P1857" s="51" t="str">
        <f>IFERROR(VLOOKUP(A1857,Internal_lists_bugs!$A$2:$G7981,7,FALSE()),"please select a BUG ID")</f>
        <v>please select a BUG ID</v>
      </c>
    </row>
    <row r="1858">
      <c r="A1858" s="54"/>
      <c r="B1858" s="71" t="str">
        <f>IFERROR(HYPERLINK(VLOOKUP(A1858,Internal_lists_bugs!$A$2:$C$73,3,FALSE()), VLOOKUP(A1858,Internal_lists_bugs!$A$2:$C$73,3,FALSE())&amp;Char(10) &amp; Char(10) &amp; VLOOKUP(A1858,Internal_lists_bugs!$A$2:$Z$73,26,FALSE())),"please select a BUG ID")</f>
        <v>please select a BUG ID</v>
      </c>
      <c r="C1858" s="51" t="str">
        <f>IFERROR(VLOOKUP(A1858,Internal_lists_bugs!$A$2:$I7981,9,FALSE()),"please select a BUG ID")</f>
        <v>please select a BUG ID</v>
      </c>
      <c r="D1858" s="114"/>
      <c r="E1858" s="114"/>
      <c r="F1858" s="115"/>
      <c r="G1858" s="82"/>
      <c r="H1858" s="92"/>
      <c r="I1858" s="54"/>
      <c r="K1858" s="54"/>
      <c r="M1858" s="114" t="str">
        <f>VLOOKUP(A1858,'BIC_(C_Variables)'!$A$3:$AS$43,45,FALSE())</f>
        <v>#N/A</v>
      </c>
      <c r="N1858" s="1"/>
      <c r="O1858" s="1"/>
      <c r="P1858" s="51" t="str">
        <f>IFERROR(VLOOKUP(A1858,Internal_lists_bugs!$A$2:$G7981,7,FALSE()),"please select a BUG ID")</f>
        <v>please select a BUG ID</v>
      </c>
    </row>
    <row r="1859">
      <c r="A1859" s="54"/>
      <c r="B1859" s="71" t="str">
        <f>IFERROR(HYPERLINK(VLOOKUP(A1859,Internal_lists_bugs!$A$2:$C$73,3,FALSE()), VLOOKUP(A1859,Internal_lists_bugs!$A$2:$C$73,3,FALSE())&amp;Char(10) &amp; Char(10) &amp; VLOOKUP(A1859,Internal_lists_bugs!$A$2:$Z$73,26,FALSE())),"please select a BUG ID")</f>
        <v>please select a BUG ID</v>
      </c>
      <c r="C1859" s="51" t="str">
        <f>IFERROR(VLOOKUP(A1859,Internal_lists_bugs!$A$2:$I7981,9,FALSE()),"please select a BUG ID")</f>
        <v>please select a BUG ID</v>
      </c>
      <c r="D1859" s="114"/>
      <c r="E1859" s="114"/>
      <c r="F1859" s="115"/>
      <c r="G1859" s="82"/>
      <c r="H1859" s="92"/>
      <c r="I1859" s="54"/>
      <c r="K1859" s="54"/>
      <c r="M1859" s="114" t="str">
        <f>VLOOKUP(A1859,'BIC_(C_Variables)'!$A$3:$AS$43,45,FALSE())</f>
        <v>#N/A</v>
      </c>
      <c r="N1859" s="1"/>
      <c r="O1859" s="1"/>
      <c r="P1859" s="51" t="str">
        <f>IFERROR(VLOOKUP(A1859,Internal_lists_bugs!$A$2:$G7981,7,FALSE()),"please select a BUG ID")</f>
        <v>please select a BUG ID</v>
      </c>
    </row>
    <row r="1860">
      <c r="A1860" s="54"/>
      <c r="B1860" s="71" t="str">
        <f>IFERROR(HYPERLINK(VLOOKUP(A1860,Internal_lists_bugs!$A$2:$C$73,3,FALSE()), VLOOKUP(A1860,Internal_lists_bugs!$A$2:$C$73,3,FALSE())&amp;Char(10) &amp; Char(10) &amp; VLOOKUP(A1860,Internal_lists_bugs!$A$2:$Z$73,26,FALSE())),"please select a BUG ID")</f>
        <v>please select a BUG ID</v>
      </c>
      <c r="C1860" s="51" t="str">
        <f>IFERROR(VLOOKUP(A1860,Internal_lists_bugs!$A$2:$I7981,9,FALSE()),"please select a BUG ID")</f>
        <v>please select a BUG ID</v>
      </c>
      <c r="D1860" s="114"/>
      <c r="E1860" s="114"/>
      <c r="F1860" s="115"/>
      <c r="G1860" s="82"/>
      <c r="H1860" s="92"/>
      <c r="I1860" s="54"/>
      <c r="K1860" s="54"/>
      <c r="M1860" s="114" t="str">
        <f>VLOOKUP(A1860,'BIC_(C_Variables)'!$A$3:$AS$43,45,FALSE())</f>
        <v>#N/A</v>
      </c>
      <c r="N1860" s="1"/>
      <c r="O1860" s="1"/>
      <c r="P1860" s="51" t="str">
        <f>IFERROR(VLOOKUP(A1860,Internal_lists_bugs!$A$2:$G7981,7,FALSE()),"please select a BUG ID")</f>
        <v>please select a BUG ID</v>
      </c>
    </row>
    <row r="1861">
      <c r="A1861" s="54"/>
      <c r="B1861" s="71" t="str">
        <f>IFERROR(HYPERLINK(VLOOKUP(A1861,Internal_lists_bugs!$A$2:$C$73,3,FALSE()), VLOOKUP(A1861,Internal_lists_bugs!$A$2:$C$73,3,FALSE())&amp;Char(10) &amp; Char(10) &amp; VLOOKUP(A1861,Internal_lists_bugs!$A$2:$Z$73,26,FALSE())),"please select a BUG ID")</f>
        <v>please select a BUG ID</v>
      </c>
      <c r="C1861" s="51" t="str">
        <f>IFERROR(VLOOKUP(A1861,Internal_lists_bugs!$A$2:$I7981,9,FALSE()),"please select a BUG ID")</f>
        <v>please select a BUG ID</v>
      </c>
      <c r="D1861" s="114"/>
      <c r="E1861" s="114"/>
      <c r="F1861" s="115"/>
      <c r="G1861" s="82"/>
      <c r="H1861" s="92"/>
      <c r="I1861" s="54"/>
      <c r="K1861" s="54"/>
      <c r="M1861" s="114" t="str">
        <f>VLOOKUP(A1861,'BIC_(C_Variables)'!$A$3:$AS$43,45,FALSE())</f>
        <v>#N/A</v>
      </c>
      <c r="N1861" s="1"/>
      <c r="O1861" s="1"/>
      <c r="P1861" s="51" t="str">
        <f>IFERROR(VLOOKUP(A1861,Internal_lists_bugs!$A$2:$G7981,7,FALSE()),"please select a BUG ID")</f>
        <v>please select a BUG ID</v>
      </c>
    </row>
    <row r="1862">
      <c r="A1862" s="54"/>
      <c r="B1862" s="71" t="str">
        <f>IFERROR(HYPERLINK(VLOOKUP(A1862,Internal_lists_bugs!$A$2:$C$73,3,FALSE()), VLOOKUP(A1862,Internal_lists_bugs!$A$2:$C$73,3,FALSE())&amp;Char(10) &amp; Char(10) &amp; VLOOKUP(A1862,Internal_lists_bugs!$A$2:$Z$73,26,FALSE())),"please select a BUG ID")</f>
        <v>please select a BUG ID</v>
      </c>
      <c r="C1862" s="51" t="str">
        <f>IFERROR(VLOOKUP(A1862,Internal_lists_bugs!$A$2:$I7981,9,FALSE()),"please select a BUG ID")</f>
        <v>please select a BUG ID</v>
      </c>
      <c r="D1862" s="114"/>
      <c r="E1862" s="114"/>
      <c r="F1862" s="115"/>
      <c r="G1862" s="82"/>
      <c r="H1862" s="92"/>
      <c r="I1862" s="54"/>
      <c r="K1862" s="54"/>
      <c r="M1862" s="114" t="str">
        <f>VLOOKUP(A1862,'BIC_(C_Variables)'!$A$3:$AS$43,45,FALSE())</f>
        <v>#N/A</v>
      </c>
      <c r="N1862" s="1"/>
      <c r="O1862" s="1"/>
      <c r="P1862" s="51" t="str">
        <f>IFERROR(VLOOKUP(A1862,Internal_lists_bugs!$A$2:$G7981,7,FALSE()),"please select a BUG ID")</f>
        <v>please select a BUG ID</v>
      </c>
    </row>
    <row r="1863">
      <c r="A1863" s="54"/>
      <c r="B1863" s="71" t="str">
        <f>IFERROR(HYPERLINK(VLOOKUP(A1863,Internal_lists_bugs!$A$2:$C$73,3,FALSE()), VLOOKUP(A1863,Internal_lists_bugs!$A$2:$C$73,3,FALSE())&amp;Char(10) &amp; Char(10) &amp; VLOOKUP(A1863,Internal_lists_bugs!$A$2:$Z$73,26,FALSE())),"please select a BUG ID")</f>
        <v>please select a BUG ID</v>
      </c>
      <c r="C1863" s="51" t="str">
        <f>IFERROR(VLOOKUP(A1863,Internal_lists_bugs!$A$2:$I7981,9,FALSE()),"please select a BUG ID")</f>
        <v>please select a BUG ID</v>
      </c>
      <c r="D1863" s="114"/>
      <c r="E1863" s="114"/>
      <c r="F1863" s="115"/>
      <c r="G1863" s="82"/>
      <c r="H1863" s="92"/>
      <c r="I1863" s="54"/>
      <c r="K1863" s="54"/>
      <c r="M1863" s="114" t="str">
        <f>VLOOKUP(A1863,'BIC_(C_Variables)'!$A$3:$AS$43,45,FALSE())</f>
        <v>#N/A</v>
      </c>
      <c r="N1863" s="1"/>
      <c r="O1863" s="1"/>
      <c r="P1863" s="51" t="str">
        <f>IFERROR(VLOOKUP(A1863,Internal_lists_bugs!$A$2:$G7981,7,FALSE()),"please select a BUG ID")</f>
        <v>please select a BUG ID</v>
      </c>
    </row>
    <row r="1864">
      <c r="A1864" s="54"/>
      <c r="B1864" s="71" t="str">
        <f>IFERROR(HYPERLINK(VLOOKUP(A1864,Internal_lists_bugs!$A$2:$C$73,3,FALSE()), VLOOKUP(A1864,Internal_lists_bugs!$A$2:$C$73,3,FALSE())&amp;Char(10) &amp; Char(10) &amp; VLOOKUP(A1864,Internal_lists_bugs!$A$2:$Z$73,26,FALSE())),"please select a BUG ID")</f>
        <v>please select a BUG ID</v>
      </c>
      <c r="C1864" s="51" t="str">
        <f>IFERROR(VLOOKUP(A1864,Internal_lists_bugs!$A$2:$I7981,9,FALSE()),"please select a BUG ID")</f>
        <v>please select a BUG ID</v>
      </c>
      <c r="D1864" s="114"/>
      <c r="E1864" s="114"/>
      <c r="F1864" s="115"/>
      <c r="G1864" s="82"/>
      <c r="H1864" s="92"/>
      <c r="I1864" s="54"/>
      <c r="K1864" s="54"/>
      <c r="M1864" s="114" t="str">
        <f>VLOOKUP(A1864,'BIC_(C_Variables)'!$A$3:$AS$43,45,FALSE())</f>
        <v>#N/A</v>
      </c>
      <c r="N1864" s="1"/>
      <c r="O1864" s="1"/>
      <c r="P1864" s="51" t="str">
        <f>IFERROR(VLOOKUP(A1864,Internal_lists_bugs!$A$2:$G7981,7,FALSE()),"please select a BUG ID")</f>
        <v>please select a BUG ID</v>
      </c>
    </row>
    <row r="1865">
      <c r="A1865" s="54"/>
      <c r="B1865" s="71" t="str">
        <f>IFERROR(HYPERLINK(VLOOKUP(A1865,Internal_lists_bugs!$A$2:$C$73,3,FALSE()), VLOOKUP(A1865,Internal_lists_bugs!$A$2:$C$73,3,FALSE())&amp;Char(10) &amp; Char(10) &amp; VLOOKUP(A1865,Internal_lists_bugs!$A$2:$Z$73,26,FALSE())),"please select a BUG ID")</f>
        <v>please select a BUG ID</v>
      </c>
      <c r="C1865" s="51" t="str">
        <f>IFERROR(VLOOKUP(A1865,Internal_lists_bugs!$A$2:$I7981,9,FALSE()),"please select a BUG ID")</f>
        <v>please select a BUG ID</v>
      </c>
      <c r="D1865" s="114"/>
      <c r="E1865" s="114"/>
      <c r="F1865" s="115"/>
      <c r="G1865" s="82"/>
      <c r="H1865" s="92"/>
      <c r="I1865" s="54"/>
      <c r="K1865" s="54"/>
      <c r="M1865" s="114" t="str">
        <f>VLOOKUP(A1865,'BIC_(C_Variables)'!$A$3:$AS$43,45,FALSE())</f>
        <v>#N/A</v>
      </c>
      <c r="N1865" s="1"/>
      <c r="O1865" s="1"/>
      <c r="P1865" s="51" t="str">
        <f>IFERROR(VLOOKUP(A1865,Internal_lists_bugs!$A$2:$G7981,7,FALSE()),"please select a BUG ID")</f>
        <v>please select a BUG ID</v>
      </c>
    </row>
    <row r="1866">
      <c r="A1866" s="54"/>
      <c r="B1866" s="71" t="str">
        <f>IFERROR(HYPERLINK(VLOOKUP(A1866,Internal_lists_bugs!$A$2:$C$73,3,FALSE()), VLOOKUP(A1866,Internal_lists_bugs!$A$2:$C$73,3,FALSE())&amp;Char(10) &amp; Char(10) &amp; VLOOKUP(A1866,Internal_lists_bugs!$A$2:$Z$73,26,FALSE())),"please select a BUG ID")</f>
        <v>please select a BUG ID</v>
      </c>
      <c r="C1866" s="51" t="str">
        <f>IFERROR(VLOOKUP(A1866,Internal_lists_bugs!$A$2:$I7981,9,FALSE()),"please select a BUG ID")</f>
        <v>please select a BUG ID</v>
      </c>
      <c r="D1866" s="114"/>
      <c r="E1866" s="114"/>
      <c r="F1866" s="115"/>
      <c r="G1866" s="82"/>
      <c r="H1866" s="92"/>
      <c r="I1866" s="54"/>
      <c r="K1866" s="54"/>
      <c r="M1866" s="114" t="str">
        <f>VLOOKUP(A1866,'BIC_(C_Variables)'!$A$3:$AS$43,45,FALSE())</f>
        <v>#N/A</v>
      </c>
      <c r="N1866" s="1"/>
      <c r="O1866" s="1"/>
      <c r="P1866" s="51" t="str">
        <f>IFERROR(VLOOKUP(A1866,Internal_lists_bugs!$A$2:$G7981,7,FALSE()),"please select a BUG ID")</f>
        <v>please select a BUG ID</v>
      </c>
    </row>
    <row r="1867">
      <c r="A1867" s="54"/>
      <c r="B1867" s="71" t="str">
        <f>IFERROR(HYPERLINK(VLOOKUP(A1867,Internal_lists_bugs!$A$2:$C$73,3,FALSE()), VLOOKUP(A1867,Internal_lists_bugs!$A$2:$C$73,3,FALSE())&amp;Char(10) &amp; Char(10) &amp; VLOOKUP(A1867,Internal_lists_bugs!$A$2:$Z$73,26,FALSE())),"please select a BUG ID")</f>
        <v>please select a BUG ID</v>
      </c>
      <c r="C1867" s="51" t="str">
        <f>IFERROR(VLOOKUP(A1867,Internal_lists_bugs!$A$2:$I7981,9,FALSE()),"please select a BUG ID")</f>
        <v>please select a BUG ID</v>
      </c>
      <c r="D1867" s="114"/>
      <c r="E1867" s="114"/>
      <c r="F1867" s="115"/>
      <c r="G1867" s="82"/>
      <c r="H1867" s="92"/>
      <c r="I1867" s="54"/>
      <c r="K1867" s="54"/>
      <c r="M1867" s="114" t="str">
        <f>VLOOKUP(A1867,'BIC_(C_Variables)'!$A$3:$AS$43,45,FALSE())</f>
        <v>#N/A</v>
      </c>
      <c r="N1867" s="1"/>
      <c r="O1867" s="1"/>
      <c r="P1867" s="51" t="str">
        <f>IFERROR(VLOOKUP(A1867,Internal_lists_bugs!$A$2:$G7981,7,FALSE()),"please select a BUG ID")</f>
        <v>please select a BUG ID</v>
      </c>
    </row>
    <row r="1868">
      <c r="A1868" s="54"/>
      <c r="B1868" s="71" t="str">
        <f>IFERROR(HYPERLINK(VLOOKUP(A1868,Internal_lists_bugs!$A$2:$C$73,3,FALSE()), VLOOKUP(A1868,Internal_lists_bugs!$A$2:$C$73,3,FALSE())&amp;Char(10) &amp; Char(10) &amp; VLOOKUP(A1868,Internal_lists_bugs!$A$2:$Z$73,26,FALSE())),"please select a BUG ID")</f>
        <v>please select a BUG ID</v>
      </c>
      <c r="C1868" s="51" t="str">
        <f>IFERROR(VLOOKUP(A1868,Internal_lists_bugs!$A$2:$I7981,9,FALSE()),"please select a BUG ID")</f>
        <v>please select a BUG ID</v>
      </c>
      <c r="D1868" s="114"/>
      <c r="E1868" s="114"/>
      <c r="F1868" s="115"/>
      <c r="G1868" s="82"/>
      <c r="H1868" s="92"/>
      <c r="I1868" s="54"/>
      <c r="K1868" s="54"/>
      <c r="M1868" s="114" t="str">
        <f>VLOOKUP(A1868,'BIC_(C_Variables)'!$A$3:$AS$43,45,FALSE())</f>
        <v>#N/A</v>
      </c>
      <c r="N1868" s="1"/>
      <c r="O1868" s="1"/>
      <c r="P1868" s="51" t="str">
        <f>IFERROR(VLOOKUP(A1868,Internal_lists_bugs!$A$2:$G7981,7,FALSE()),"please select a BUG ID")</f>
        <v>please select a BUG ID</v>
      </c>
    </row>
    <row r="1869">
      <c r="A1869" s="54"/>
      <c r="B1869" s="71" t="str">
        <f>IFERROR(HYPERLINK(VLOOKUP(A1869,Internal_lists_bugs!$A$2:$C$73,3,FALSE()), VLOOKUP(A1869,Internal_lists_bugs!$A$2:$C$73,3,FALSE())&amp;Char(10) &amp; Char(10) &amp; VLOOKUP(A1869,Internal_lists_bugs!$A$2:$Z$73,26,FALSE())),"please select a BUG ID")</f>
        <v>please select a BUG ID</v>
      </c>
      <c r="C1869" s="51" t="str">
        <f>IFERROR(VLOOKUP(A1869,Internal_lists_bugs!$A$2:$I7981,9,FALSE()),"please select a BUG ID")</f>
        <v>please select a BUG ID</v>
      </c>
      <c r="D1869" s="114"/>
      <c r="E1869" s="114"/>
      <c r="F1869" s="115"/>
      <c r="G1869" s="82"/>
      <c r="H1869" s="92"/>
      <c r="I1869" s="54"/>
      <c r="K1869" s="54"/>
      <c r="M1869" s="114" t="str">
        <f>VLOOKUP(A1869,'BIC_(C_Variables)'!$A$3:$AS$43,45,FALSE())</f>
        <v>#N/A</v>
      </c>
      <c r="N1869" s="1"/>
      <c r="O1869" s="1"/>
      <c r="P1869" s="51" t="str">
        <f>IFERROR(VLOOKUP(A1869,Internal_lists_bugs!$A$2:$G7981,7,FALSE()),"please select a BUG ID")</f>
        <v>please select a BUG ID</v>
      </c>
    </row>
    <row r="1870">
      <c r="A1870" s="54"/>
      <c r="B1870" s="71" t="str">
        <f>IFERROR(HYPERLINK(VLOOKUP(A1870,Internal_lists_bugs!$A$2:$C$73,3,FALSE()), VLOOKUP(A1870,Internal_lists_bugs!$A$2:$C$73,3,FALSE())&amp;Char(10) &amp; Char(10) &amp; VLOOKUP(A1870,Internal_lists_bugs!$A$2:$Z$73,26,FALSE())),"please select a BUG ID")</f>
        <v>please select a BUG ID</v>
      </c>
      <c r="C1870" s="51" t="str">
        <f>IFERROR(VLOOKUP(A1870,Internal_lists_bugs!$A$2:$I7981,9,FALSE()),"please select a BUG ID")</f>
        <v>please select a BUG ID</v>
      </c>
      <c r="D1870" s="114"/>
      <c r="E1870" s="114"/>
      <c r="F1870" s="115"/>
      <c r="G1870" s="82"/>
      <c r="H1870" s="92"/>
      <c r="I1870" s="54"/>
      <c r="K1870" s="54"/>
      <c r="M1870" s="114" t="str">
        <f>VLOOKUP(A1870,'BIC_(C_Variables)'!$A$3:$AS$43,45,FALSE())</f>
        <v>#N/A</v>
      </c>
      <c r="N1870" s="1"/>
      <c r="O1870" s="1"/>
      <c r="P1870" s="51" t="str">
        <f>IFERROR(VLOOKUP(A1870,Internal_lists_bugs!$A$2:$G7981,7,FALSE()),"please select a BUG ID")</f>
        <v>please select a BUG ID</v>
      </c>
    </row>
    <row r="1871">
      <c r="A1871" s="54"/>
      <c r="B1871" s="71" t="str">
        <f>IFERROR(HYPERLINK(VLOOKUP(A1871,Internal_lists_bugs!$A$2:$C$73,3,FALSE()), VLOOKUP(A1871,Internal_lists_bugs!$A$2:$C$73,3,FALSE())&amp;Char(10) &amp; Char(10) &amp; VLOOKUP(A1871,Internal_lists_bugs!$A$2:$Z$73,26,FALSE())),"please select a BUG ID")</f>
        <v>please select a BUG ID</v>
      </c>
      <c r="C1871" s="51" t="str">
        <f>IFERROR(VLOOKUP(A1871,Internal_lists_bugs!$A$2:$I7981,9,FALSE()),"please select a BUG ID")</f>
        <v>please select a BUG ID</v>
      </c>
      <c r="D1871" s="114"/>
      <c r="E1871" s="114"/>
      <c r="F1871" s="115"/>
      <c r="G1871" s="82"/>
      <c r="H1871" s="92"/>
      <c r="I1871" s="54"/>
      <c r="K1871" s="54"/>
      <c r="M1871" s="114" t="str">
        <f>VLOOKUP(A1871,'BIC_(C_Variables)'!$A$3:$AS$43,45,FALSE())</f>
        <v>#N/A</v>
      </c>
      <c r="N1871" s="1"/>
      <c r="O1871" s="1"/>
      <c r="P1871" s="51" t="str">
        <f>IFERROR(VLOOKUP(A1871,Internal_lists_bugs!$A$2:$G7981,7,FALSE()),"please select a BUG ID")</f>
        <v>please select a BUG ID</v>
      </c>
    </row>
    <row r="1872">
      <c r="A1872" s="54"/>
      <c r="B1872" s="71" t="str">
        <f>IFERROR(HYPERLINK(VLOOKUP(A1872,Internal_lists_bugs!$A$2:$C$73,3,FALSE()), VLOOKUP(A1872,Internal_lists_bugs!$A$2:$C$73,3,FALSE())&amp;Char(10) &amp; Char(10) &amp; VLOOKUP(A1872,Internal_lists_bugs!$A$2:$Z$73,26,FALSE())),"please select a BUG ID")</f>
        <v>please select a BUG ID</v>
      </c>
      <c r="C1872" s="51" t="str">
        <f>IFERROR(VLOOKUP(A1872,Internal_lists_bugs!$A$2:$I7981,9,FALSE()),"please select a BUG ID")</f>
        <v>please select a BUG ID</v>
      </c>
      <c r="D1872" s="114"/>
      <c r="E1872" s="114"/>
      <c r="F1872" s="115"/>
      <c r="G1872" s="82"/>
      <c r="H1872" s="92"/>
      <c r="I1872" s="54"/>
      <c r="K1872" s="54"/>
      <c r="M1872" s="114" t="str">
        <f>VLOOKUP(A1872,'BIC_(C_Variables)'!$A$3:$AS$43,45,FALSE())</f>
        <v>#N/A</v>
      </c>
      <c r="N1872" s="1"/>
      <c r="O1872" s="1"/>
      <c r="P1872" s="51" t="str">
        <f>IFERROR(VLOOKUP(A1872,Internal_lists_bugs!$A$2:$G7981,7,FALSE()),"please select a BUG ID")</f>
        <v>please select a BUG ID</v>
      </c>
    </row>
    <row r="1873">
      <c r="A1873" s="54"/>
      <c r="B1873" s="71" t="str">
        <f>IFERROR(HYPERLINK(VLOOKUP(A1873,Internal_lists_bugs!$A$2:$C$73,3,FALSE()), VLOOKUP(A1873,Internal_lists_bugs!$A$2:$C$73,3,FALSE())&amp;Char(10) &amp; Char(10) &amp; VLOOKUP(A1873,Internal_lists_bugs!$A$2:$Z$73,26,FALSE())),"please select a BUG ID")</f>
        <v>please select a BUG ID</v>
      </c>
      <c r="C1873" s="51" t="str">
        <f>IFERROR(VLOOKUP(A1873,Internal_lists_bugs!$A$2:$I7981,9,FALSE()),"please select a BUG ID")</f>
        <v>please select a BUG ID</v>
      </c>
      <c r="D1873" s="114"/>
      <c r="E1873" s="114"/>
      <c r="F1873" s="115"/>
      <c r="G1873" s="82"/>
      <c r="H1873" s="92"/>
      <c r="I1873" s="54"/>
      <c r="K1873" s="54"/>
      <c r="M1873" s="114" t="str">
        <f>VLOOKUP(A1873,'BIC_(C_Variables)'!$A$3:$AS$43,45,FALSE())</f>
        <v>#N/A</v>
      </c>
      <c r="N1873" s="1"/>
      <c r="O1873" s="1"/>
      <c r="P1873" s="51" t="str">
        <f>IFERROR(VLOOKUP(A1873,Internal_lists_bugs!$A$2:$G7981,7,FALSE()),"please select a BUG ID")</f>
        <v>please select a BUG ID</v>
      </c>
    </row>
    <row r="1874">
      <c r="A1874" s="54"/>
      <c r="B1874" s="71" t="str">
        <f>IFERROR(HYPERLINK(VLOOKUP(A1874,Internal_lists_bugs!$A$2:$C$73,3,FALSE()), VLOOKUP(A1874,Internal_lists_bugs!$A$2:$C$73,3,FALSE())&amp;Char(10) &amp; Char(10) &amp; VLOOKUP(A1874,Internal_lists_bugs!$A$2:$Z$73,26,FALSE())),"please select a BUG ID")</f>
        <v>please select a BUG ID</v>
      </c>
      <c r="C1874" s="51" t="str">
        <f>IFERROR(VLOOKUP(A1874,Internal_lists_bugs!$A$2:$I7981,9,FALSE()),"please select a BUG ID")</f>
        <v>please select a BUG ID</v>
      </c>
      <c r="D1874" s="114"/>
      <c r="E1874" s="114"/>
      <c r="F1874" s="115"/>
      <c r="G1874" s="82"/>
      <c r="H1874" s="92"/>
      <c r="I1874" s="54"/>
      <c r="K1874" s="54"/>
      <c r="M1874" s="114" t="str">
        <f>VLOOKUP(A1874,'BIC_(C_Variables)'!$A$3:$AS$43,45,FALSE())</f>
        <v>#N/A</v>
      </c>
      <c r="N1874" s="1"/>
      <c r="O1874" s="1"/>
      <c r="P1874" s="51" t="str">
        <f>IFERROR(VLOOKUP(A1874,Internal_lists_bugs!$A$2:$G7981,7,FALSE()),"please select a BUG ID")</f>
        <v>please select a BUG ID</v>
      </c>
    </row>
    <row r="1875">
      <c r="A1875" s="54"/>
      <c r="B1875" s="71" t="str">
        <f>IFERROR(HYPERLINK(VLOOKUP(A1875,Internal_lists_bugs!$A$2:$C$73,3,FALSE()), VLOOKUP(A1875,Internal_lists_bugs!$A$2:$C$73,3,FALSE())&amp;Char(10) &amp; Char(10) &amp; VLOOKUP(A1875,Internal_lists_bugs!$A$2:$Z$73,26,FALSE())),"please select a BUG ID")</f>
        <v>please select a BUG ID</v>
      </c>
      <c r="C1875" s="51" t="str">
        <f>IFERROR(VLOOKUP(A1875,Internal_lists_bugs!$A$2:$I7981,9,FALSE()),"please select a BUG ID")</f>
        <v>please select a BUG ID</v>
      </c>
      <c r="D1875" s="114"/>
      <c r="E1875" s="114"/>
      <c r="F1875" s="115"/>
      <c r="G1875" s="82"/>
      <c r="H1875" s="92"/>
      <c r="I1875" s="54"/>
      <c r="K1875" s="54"/>
      <c r="M1875" s="114" t="str">
        <f>VLOOKUP(A1875,'BIC_(C_Variables)'!$A$3:$AS$43,45,FALSE())</f>
        <v>#N/A</v>
      </c>
      <c r="N1875" s="1"/>
      <c r="O1875" s="1"/>
      <c r="P1875" s="51" t="str">
        <f>IFERROR(VLOOKUP(A1875,Internal_lists_bugs!$A$2:$G7981,7,FALSE()),"please select a BUG ID")</f>
        <v>please select a BUG ID</v>
      </c>
    </row>
    <row r="1876">
      <c r="A1876" s="54"/>
      <c r="B1876" s="71" t="str">
        <f>IFERROR(HYPERLINK(VLOOKUP(A1876,Internal_lists_bugs!$A$2:$C$73,3,FALSE()), VLOOKUP(A1876,Internal_lists_bugs!$A$2:$C$73,3,FALSE())&amp;Char(10) &amp; Char(10) &amp; VLOOKUP(A1876,Internal_lists_bugs!$A$2:$Z$73,26,FALSE())),"please select a BUG ID")</f>
        <v>please select a BUG ID</v>
      </c>
      <c r="C1876" s="51" t="str">
        <f>IFERROR(VLOOKUP(A1876,Internal_lists_bugs!$A$2:$I7981,9,FALSE()),"please select a BUG ID")</f>
        <v>please select a BUG ID</v>
      </c>
      <c r="D1876" s="114"/>
      <c r="E1876" s="114"/>
      <c r="F1876" s="115"/>
      <c r="G1876" s="82"/>
      <c r="H1876" s="92"/>
      <c r="I1876" s="54"/>
      <c r="K1876" s="54"/>
      <c r="M1876" s="114" t="str">
        <f>VLOOKUP(A1876,'BIC_(C_Variables)'!$A$3:$AS$43,45,FALSE())</f>
        <v>#N/A</v>
      </c>
      <c r="N1876" s="1"/>
      <c r="O1876" s="1"/>
      <c r="P1876" s="51" t="str">
        <f>IFERROR(VLOOKUP(A1876,Internal_lists_bugs!$A$2:$G7981,7,FALSE()),"please select a BUG ID")</f>
        <v>please select a BUG ID</v>
      </c>
    </row>
    <row r="1877">
      <c r="A1877" s="54"/>
      <c r="B1877" s="71" t="str">
        <f>IFERROR(HYPERLINK(VLOOKUP(A1877,Internal_lists_bugs!$A$2:$C$73,3,FALSE()), VLOOKUP(A1877,Internal_lists_bugs!$A$2:$C$73,3,FALSE())&amp;Char(10) &amp; Char(10) &amp; VLOOKUP(A1877,Internal_lists_bugs!$A$2:$Z$73,26,FALSE())),"please select a BUG ID")</f>
        <v>please select a BUG ID</v>
      </c>
      <c r="C1877" s="51" t="str">
        <f>IFERROR(VLOOKUP(A1877,Internal_lists_bugs!$A$2:$I7981,9,FALSE()),"please select a BUG ID")</f>
        <v>please select a BUG ID</v>
      </c>
      <c r="D1877" s="114"/>
      <c r="E1877" s="114"/>
      <c r="F1877" s="115"/>
      <c r="G1877" s="82"/>
      <c r="H1877" s="92"/>
      <c r="I1877" s="54"/>
      <c r="K1877" s="54"/>
      <c r="M1877" s="114" t="str">
        <f>VLOOKUP(A1877,'BIC_(C_Variables)'!$A$3:$AS$43,45,FALSE())</f>
        <v>#N/A</v>
      </c>
      <c r="N1877" s="1"/>
      <c r="O1877" s="1"/>
      <c r="P1877" s="51" t="str">
        <f>IFERROR(VLOOKUP(A1877,Internal_lists_bugs!$A$2:$G7981,7,FALSE()),"please select a BUG ID")</f>
        <v>please select a BUG ID</v>
      </c>
    </row>
    <row r="1878">
      <c r="A1878" s="54"/>
      <c r="B1878" s="71" t="str">
        <f>IFERROR(HYPERLINK(VLOOKUP(A1878,Internal_lists_bugs!$A$2:$C$73,3,FALSE()), VLOOKUP(A1878,Internal_lists_bugs!$A$2:$C$73,3,FALSE())&amp;Char(10) &amp; Char(10) &amp; VLOOKUP(A1878,Internal_lists_bugs!$A$2:$Z$73,26,FALSE())),"please select a BUG ID")</f>
        <v>please select a BUG ID</v>
      </c>
      <c r="C1878" s="51" t="str">
        <f>IFERROR(VLOOKUP(A1878,Internal_lists_bugs!$A$2:$I7981,9,FALSE()),"please select a BUG ID")</f>
        <v>please select a BUG ID</v>
      </c>
      <c r="D1878" s="114"/>
      <c r="E1878" s="114"/>
      <c r="F1878" s="115"/>
      <c r="G1878" s="82"/>
      <c r="H1878" s="92"/>
      <c r="I1878" s="54"/>
      <c r="K1878" s="54"/>
      <c r="M1878" s="114" t="str">
        <f>VLOOKUP(A1878,'BIC_(C_Variables)'!$A$3:$AS$43,45,FALSE())</f>
        <v>#N/A</v>
      </c>
      <c r="N1878" s="1"/>
      <c r="O1878" s="1"/>
      <c r="P1878" s="51" t="str">
        <f>IFERROR(VLOOKUP(A1878,Internal_lists_bugs!$A$2:$G7981,7,FALSE()),"please select a BUG ID")</f>
        <v>please select a BUG ID</v>
      </c>
    </row>
    <row r="1879">
      <c r="A1879" s="54"/>
      <c r="B1879" s="71" t="str">
        <f>IFERROR(HYPERLINK(VLOOKUP(A1879,Internal_lists_bugs!$A$2:$C$73,3,FALSE()), VLOOKUP(A1879,Internal_lists_bugs!$A$2:$C$73,3,FALSE())&amp;Char(10) &amp; Char(10) &amp; VLOOKUP(A1879,Internal_lists_bugs!$A$2:$Z$73,26,FALSE())),"please select a BUG ID")</f>
        <v>please select a BUG ID</v>
      </c>
      <c r="C1879" s="51" t="str">
        <f>IFERROR(VLOOKUP(A1879,Internal_lists_bugs!$A$2:$I7981,9,FALSE()),"please select a BUG ID")</f>
        <v>please select a BUG ID</v>
      </c>
      <c r="D1879" s="114"/>
      <c r="E1879" s="114"/>
      <c r="F1879" s="115"/>
      <c r="G1879" s="82"/>
      <c r="H1879" s="92"/>
      <c r="I1879" s="54"/>
      <c r="K1879" s="54"/>
      <c r="M1879" s="114" t="str">
        <f>VLOOKUP(A1879,'BIC_(C_Variables)'!$A$3:$AS$43,45,FALSE())</f>
        <v>#N/A</v>
      </c>
      <c r="N1879" s="1"/>
      <c r="O1879" s="1"/>
      <c r="P1879" s="51" t="str">
        <f>IFERROR(VLOOKUP(A1879,Internal_lists_bugs!$A$2:$G7981,7,FALSE()),"please select a BUG ID")</f>
        <v>please select a BUG ID</v>
      </c>
    </row>
    <row r="1880">
      <c r="A1880" s="54"/>
      <c r="B1880" s="71" t="str">
        <f>IFERROR(HYPERLINK(VLOOKUP(A1880,Internal_lists_bugs!$A$2:$C$73,3,FALSE()), VLOOKUP(A1880,Internal_lists_bugs!$A$2:$C$73,3,FALSE())&amp;Char(10) &amp; Char(10) &amp; VLOOKUP(A1880,Internal_lists_bugs!$A$2:$Z$73,26,FALSE())),"please select a BUG ID")</f>
        <v>please select a BUG ID</v>
      </c>
      <c r="C1880" s="51" t="str">
        <f>IFERROR(VLOOKUP(A1880,Internal_lists_bugs!$A$2:$I7981,9,FALSE()),"please select a BUG ID")</f>
        <v>please select a BUG ID</v>
      </c>
      <c r="D1880" s="114"/>
      <c r="E1880" s="114"/>
      <c r="F1880" s="115"/>
      <c r="G1880" s="82"/>
      <c r="H1880" s="92"/>
      <c r="I1880" s="54"/>
      <c r="K1880" s="54"/>
      <c r="M1880" s="114" t="str">
        <f>VLOOKUP(A1880,'BIC_(C_Variables)'!$A$3:$AS$43,45,FALSE())</f>
        <v>#N/A</v>
      </c>
      <c r="N1880" s="1"/>
      <c r="O1880" s="1"/>
      <c r="P1880" s="51" t="str">
        <f>IFERROR(VLOOKUP(A1880,Internal_lists_bugs!$A$2:$G7981,7,FALSE()),"please select a BUG ID")</f>
        <v>please select a BUG ID</v>
      </c>
    </row>
    <row r="1881">
      <c r="A1881" s="54"/>
      <c r="B1881" s="71" t="str">
        <f>IFERROR(HYPERLINK(VLOOKUP(A1881,Internal_lists_bugs!$A$2:$C$73,3,FALSE()), VLOOKUP(A1881,Internal_lists_bugs!$A$2:$C$73,3,FALSE())&amp;Char(10) &amp; Char(10) &amp; VLOOKUP(A1881,Internal_lists_bugs!$A$2:$Z$73,26,FALSE())),"please select a BUG ID")</f>
        <v>please select a BUG ID</v>
      </c>
      <c r="C1881" s="51" t="str">
        <f>IFERROR(VLOOKUP(A1881,Internal_lists_bugs!$A$2:$I7981,9,FALSE()),"please select a BUG ID")</f>
        <v>please select a BUG ID</v>
      </c>
      <c r="D1881" s="114"/>
      <c r="E1881" s="114"/>
      <c r="F1881" s="115"/>
      <c r="G1881" s="82"/>
      <c r="H1881" s="92"/>
      <c r="I1881" s="54"/>
      <c r="K1881" s="54"/>
      <c r="M1881" s="114" t="str">
        <f>VLOOKUP(A1881,'BIC_(C_Variables)'!$A$3:$AS$43,45,FALSE())</f>
        <v>#N/A</v>
      </c>
      <c r="N1881" s="1"/>
      <c r="O1881" s="1"/>
      <c r="P1881" s="51" t="str">
        <f>IFERROR(VLOOKUP(A1881,Internal_lists_bugs!$A$2:$G7981,7,FALSE()),"please select a BUG ID")</f>
        <v>please select a BUG ID</v>
      </c>
    </row>
    <row r="1882">
      <c r="A1882" s="54"/>
      <c r="B1882" s="71" t="str">
        <f>IFERROR(HYPERLINK(VLOOKUP(A1882,Internal_lists_bugs!$A$2:$C$73,3,FALSE()), VLOOKUP(A1882,Internal_lists_bugs!$A$2:$C$73,3,FALSE())&amp;Char(10) &amp; Char(10) &amp; VLOOKUP(A1882,Internal_lists_bugs!$A$2:$Z$73,26,FALSE())),"please select a BUG ID")</f>
        <v>please select a BUG ID</v>
      </c>
      <c r="C1882" s="51" t="str">
        <f>IFERROR(VLOOKUP(A1882,Internal_lists_bugs!$A$2:$I7981,9,FALSE()),"please select a BUG ID")</f>
        <v>please select a BUG ID</v>
      </c>
      <c r="D1882" s="114"/>
      <c r="E1882" s="114"/>
      <c r="F1882" s="115"/>
      <c r="G1882" s="82"/>
      <c r="H1882" s="92"/>
      <c r="I1882" s="54"/>
      <c r="K1882" s="54"/>
      <c r="M1882" s="114" t="str">
        <f>VLOOKUP(A1882,'BIC_(C_Variables)'!$A$3:$AS$43,45,FALSE())</f>
        <v>#N/A</v>
      </c>
      <c r="N1882" s="1"/>
      <c r="O1882" s="1"/>
      <c r="P1882" s="51" t="str">
        <f>IFERROR(VLOOKUP(A1882,Internal_lists_bugs!$A$2:$G7981,7,FALSE()),"please select a BUG ID")</f>
        <v>please select a BUG ID</v>
      </c>
    </row>
    <row r="1883">
      <c r="A1883" s="54"/>
      <c r="B1883" s="71" t="str">
        <f>IFERROR(HYPERLINK(VLOOKUP(A1883,Internal_lists_bugs!$A$2:$C$73,3,FALSE()), VLOOKUP(A1883,Internal_lists_bugs!$A$2:$C$73,3,FALSE())&amp;Char(10) &amp; Char(10) &amp; VLOOKUP(A1883,Internal_lists_bugs!$A$2:$Z$73,26,FALSE())),"please select a BUG ID")</f>
        <v>please select a BUG ID</v>
      </c>
      <c r="C1883" s="51" t="str">
        <f>IFERROR(VLOOKUP(A1883,Internal_lists_bugs!$A$2:$I7981,9,FALSE()),"please select a BUG ID")</f>
        <v>please select a BUG ID</v>
      </c>
      <c r="D1883" s="114"/>
      <c r="E1883" s="114"/>
      <c r="F1883" s="115"/>
      <c r="G1883" s="82"/>
      <c r="H1883" s="92"/>
      <c r="I1883" s="54"/>
      <c r="K1883" s="54"/>
      <c r="M1883" s="114" t="str">
        <f>VLOOKUP(A1883,'BIC_(C_Variables)'!$A$3:$AS$43,45,FALSE())</f>
        <v>#N/A</v>
      </c>
      <c r="N1883" s="1"/>
      <c r="O1883" s="1"/>
      <c r="P1883" s="51" t="str">
        <f>IFERROR(VLOOKUP(A1883,Internal_lists_bugs!$A$2:$G7981,7,FALSE()),"please select a BUG ID")</f>
        <v>please select a BUG ID</v>
      </c>
    </row>
    <row r="1884">
      <c r="A1884" s="54"/>
      <c r="B1884" s="71" t="str">
        <f>IFERROR(HYPERLINK(VLOOKUP(A1884,Internal_lists_bugs!$A$2:$C$73,3,FALSE()), VLOOKUP(A1884,Internal_lists_bugs!$A$2:$C$73,3,FALSE())&amp;Char(10) &amp; Char(10) &amp; VLOOKUP(A1884,Internal_lists_bugs!$A$2:$Z$73,26,FALSE())),"please select a BUG ID")</f>
        <v>please select a BUG ID</v>
      </c>
      <c r="C1884" s="51" t="str">
        <f>IFERROR(VLOOKUP(A1884,Internal_lists_bugs!$A$2:$I7981,9,FALSE()),"please select a BUG ID")</f>
        <v>please select a BUG ID</v>
      </c>
      <c r="D1884" s="114"/>
      <c r="E1884" s="114"/>
      <c r="F1884" s="115"/>
      <c r="G1884" s="82"/>
      <c r="H1884" s="92"/>
      <c r="I1884" s="54"/>
      <c r="K1884" s="54"/>
      <c r="M1884" s="114" t="str">
        <f>VLOOKUP(A1884,'BIC_(C_Variables)'!$A$3:$AS$43,45,FALSE())</f>
        <v>#N/A</v>
      </c>
      <c r="N1884" s="1"/>
      <c r="O1884" s="1"/>
      <c r="P1884" s="51" t="str">
        <f>IFERROR(VLOOKUP(A1884,Internal_lists_bugs!$A$2:$G7981,7,FALSE()),"please select a BUG ID")</f>
        <v>please select a BUG ID</v>
      </c>
    </row>
    <row r="1885">
      <c r="A1885" s="54"/>
      <c r="B1885" s="71" t="str">
        <f>IFERROR(HYPERLINK(VLOOKUP(A1885,Internal_lists_bugs!$A$2:$C$73,3,FALSE()), VLOOKUP(A1885,Internal_lists_bugs!$A$2:$C$73,3,FALSE())&amp;Char(10) &amp; Char(10) &amp; VLOOKUP(A1885,Internal_lists_bugs!$A$2:$Z$73,26,FALSE())),"please select a BUG ID")</f>
        <v>please select a BUG ID</v>
      </c>
      <c r="C1885" s="51" t="str">
        <f>IFERROR(VLOOKUP(A1885,Internal_lists_bugs!$A$2:$I7981,9,FALSE()),"please select a BUG ID")</f>
        <v>please select a BUG ID</v>
      </c>
      <c r="D1885" s="114"/>
      <c r="E1885" s="114"/>
      <c r="F1885" s="115"/>
      <c r="G1885" s="82"/>
      <c r="H1885" s="92"/>
      <c r="I1885" s="54"/>
      <c r="K1885" s="54"/>
      <c r="M1885" s="114" t="str">
        <f>VLOOKUP(A1885,'BIC_(C_Variables)'!$A$3:$AS$43,45,FALSE())</f>
        <v>#N/A</v>
      </c>
      <c r="N1885" s="1"/>
      <c r="O1885" s="1"/>
      <c r="P1885" s="51" t="str">
        <f>IFERROR(VLOOKUP(A1885,Internal_lists_bugs!$A$2:$G7981,7,FALSE()),"please select a BUG ID")</f>
        <v>please select a BUG ID</v>
      </c>
    </row>
    <row r="1886">
      <c r="A1886" s="54"/>
      <c r="B1886" s="71" t="str">
        <f>IFERROR(HYPERLINK(VLOOKUP(A1886,Internal_lists_bugs!$A$2:$C$73,3,FALSE()), VLOOKUP(A1886,Internal_lists_bugs!$A$2:$C$73,3,FALSE())&amp;Char(10) &amp; Char(10) &amp; VLOOKUP(A1886,Internal_lists_bugs!$A$2:$Z$73,26,FALSE())),"please select a BUG ID")</f>
        <v>please select a BUG ID</v>
      </c>
      <c r="C1886" s="51" t="str">
        <f>IFERROR(VLOOKUP(A1886,Internal_lists_bugs!$A$2:$I7981,9,FALSE()),"please select a BUG ID")</f>
        <v>please select a BUG ID</v>
      </c>
      <c r="D1886" s="114"/>
      <c r="E1886" s="114"/>
      <c r="F1886" s="115"/>
      <c r="G1886" s="82"/>
      <c r="H1886" s="92"/>
      <c r="I1886" s="54"/>
      <c r="K1886" s="54"/>
      <c r="M1886" s="114" t="str">
        <f>VLOOKUP(A1886,'BIC_(C_Variables)'!$A$3:$AS$43,45,FALSE())</f>
        <v>#N/A</v>
      </c>
      <c r="N1886" s="1"/>
      <c r="O1886" s="1"/>
      <c r="P1886" s="51" t="str">
        <f>IFERROR(VLOOKUP(A1886,Internal_lists_bugs!$A$2:$G7981,7,FALSE()),"please select a BUG ID")</f>
        <v>please select a BUG ID</v>
      </c>
    </row>
    <row r="1887">
      <c r="A1887" s="54"/>
      <c r="B1887" s="71" t="str">
        <f>IFERROR(HYPERLINK(VLOOKUP(A1887,Internal_lists_bugs!$A$2:$C$73,3,FALSE()), VLOOKUP(A1887,Internal_lists_bugs!$A$2:$C$73,3,FALSE())&amp;Char(10) &amp; Char(10) &amp; VLOOKUP(A1887,Internal_lists_bugs!$A$2:$Z$73,26,FALSE())),"please select a BUG ID")</f>
        <v>please select a BUG ID</v>
      </c>
      <c r="C1887" s="51" t="str">
        <f>IFERROR(VLOOKUP(A1887,Internal_lists_bugs!$A$2:$I7981,9,FALSE()),"please select a BUG ID")</f>
        <v>please select a BUG ID</v>
      </c>
      <c r="D1887" s="114"/>
      <c r="E1887" s="114"/>
      <c r="F1887" s="115"/>
      <c r="G1887" s="82"/>
      <c r="H1887" s="92"/>
      <c r="I1887" s="54"/>
      <c r="K1887" s="54"/>
      <c r="M1887" s="114" t="str">
        <f>VLOOKUP(A1887,'BIC_(C_Variables)'!$A$3:$AS$43,45,FALSE())</f>
        <v>#N/A</v>
      </c>
      <c r="N1887" s="1"/>
      <c r="O1887" s="1"/>
      <c r="P1887" s="51" t="str">
        <f>IFERROR(VLOOKUP(A1887,Internal_lists_bugs!$A$2:$G7981,7,FALSE()),"please select a BUG ID")</f>
        <v>please select a BUG ID</v>
      </c>
    </row>
    <row r="1888">
      <c r="A1888" s="54"/>
      <c r="B1888" s="71" t="str">
        <f>IFERROR(HYPERLINK(VLOOKUP(A1888,Internal_lists_bugs!$A$2:$C$73,3,FALSE()), VLOOKUP(A1888,Internal_lists_bugs!$A$2:$C$73,3,FALSE())&amp;Char(10) &amp; Char(10) &amp; VLOOKUP(A1888,Internal_lists_bugs!$A$2:$Z$73,26,FALSE())),"please select a BUG ID")</f>
        <v>please select a BUG ID</v>
      </c>
      <c r="C1888" s="51" t="str">
        <f>IFERROR(VLOOKUP(A1888,Internal_lists_bugs!$A$2:$I7981,9,FALSE()),"please select a BUG ID")</f>
        <v>please select a BUG ID</v>
      </c>
      <c r="D1888" s="114"/>
      <c r="E1888" s="114"/>
      <c r="F1888" s="115"/>
      <c r="G1888" s="82"/>
      <c r="H1888" s="92"/>
      <c r="I1888" s="54"/>
      <c r="K1888" s="54"/>
      <c r="M1888" s="114" t="str">
        <f>VLOOKUP(A1888,'BIC_(C_Variables)'!$A$3:$AS$43,45,FALSE())</f>
        <v>#N/A</v>
      </c>
      <c r="N1888" s="1"/>
      <c r="O1888" s="1"/>
      <c r="P1888" s="51" t="str">
        <f>IFERROR(VLOOKUP(A1888,Internal_lists_bugs!$A$2:$G7981,7,FALSE()),"please select a BUG ID")</f>
        <v>please select a BUG ID</v>
      </c>
    </row>
    <row r="1889">
      <c r="A1889" s="54"/>
      <c r="B1889" s="71" t="str">
        <f>IFERROR(HYPERLINK(VLOOKUP(A1889,Internal_lists_bugs!$A$2:$C$73,3,FALSE()), VLOOKUP(A1889,Internal_lists_bugs!$A$2:$C$73,3,FALSE())&amp;Char(10) &amp; Char(10) &amp; VLOOKUP(A1889,Internal_lists_bugs!$A$2:$Z$73,26,FALSE())),"please select a BUG ID")</f>
        <v>please select a BUG ID</v>
      </c>
      <c r="C1889" s="51" t="str">
        <f>IFERROR(VLOOKUP(A1889,Internal_lists_bugs!$A$2:$I7981,9,FALSE()),"please select a BUG ID")</f>
        <v>please select a BUG ID</v>
      </c>
      <c r="D1889" s="114"/>
      <c r="E1889" s="114"/>
      <c r="F1889" s="115"/>
      <c r="G1889" s="82"/>
      <c r="H1889" s="92"/>
      <c r="I1889" s="54"/>
      <c r="K1889" s="54"/>
      <c r="M1889" s="114" t="str">
        <f>VLOOKUP(A1889,'BIC_(C_Variables)'!$A$3:$AS$43,45,FALSE())</f>
        <v>#N/A</v>
      </c>
      <c r="N1889" s="1"/>
      <c r="O1889" s="1"/>
      <c r="P1889" s="51" t="str">
        <f>IFERROR(VLOOKUP(A1889,Internal_lists_bugs!$A$2:$G7981,7,FALSE()),"please select a BUG ID")</f>
        <v>please select a BUG ID</v>
      </c>
    </row>
    <row r="1890">
      <c r="A1890" s="54"/>
      <c r="B1890" s="71" t="str">
        <f>IFERROR(HYPERLINK(VLOOKUP(A1890,Internal_lists_bugs!$A$2:$C$73,3,FALSE()), VLOOKUP(A1890,Internal_lists_bugs!$A$2:$C$73,3,FALSE())&amp;Char(10) &amp; Char(10) &amp; VLOOKUP(A1890,Internal_lists_bugs!$A$2:$Z$73,26,FALSE())),"please select a BUG ID")</f>
        <v>please select a BUG ID</v>
      </c>
      <c r="C1890" s="51" t="str">
        <f>IFERROR(VLOOKUP(A1890,Internal_lists_bugs!$A$2:$I7981,9,FALSE()),"please select a BUG ID")</f>
        <v>please select a BUG ID</v>
      </c>
      <c r="D1890" s="114"/>
      <c r="E1890" s="114"/>
      <c r="F1890" s="115"/>
      <c r="G1890" s="82"/>
      <c r="H1890" s="92"/>
      <c r="I1890" s="54"/>
      <c r="K1890" s="54"/>
      <c r="M1890" s="114" t="str">
        <f>VLOOKUP(A1890,'BIC_(C_Variables)'!$A$3:$AS$43,45,FALSE())</f>
        <v>#N/A</v>
      </c>
      <c r="N1890" s="1"/>
      <c r="O1890" s="1"/>
      <c r="P1890" s="51" t="str">
        <f>IFERROR(VLOOKUP(A1890,Internal_lists_bugs!$A$2:$G7981,7,FALSE()),"please select a BUG ID")</f>
        <v>please select a BUG ID</v>
      </c>
    </row>
    <row r="1891">
      <c r="A1891" s="54"/>
      <c r="B1891" s="71" t="str">
        <f>IFERROR(HYPERLINK(VLOOKUP(A1891,Internal_lists_bugs!$A$2:$C$73,3,FALSE()), VLOOKUP(A1891,Internal_lists_bugs!$A$2:$C$73,3,FALSE())&amp;Char(10) &amp; Char(10) &amp; VLOOKUP(A1891,Internal_lists_bugs!$A$2:$Z$73,26,FALSE())),"please select a BUG ID")</f>
        <v>please select a BUG ID</v>
      </c>
      <c r="C1891" s="51" t="str">
        <f>IFERROR(VLOOKUP(A1891,Internal_lists_bugs!$A$2:$I7981,9,FALSE()),"please select a BUG ID")</f>
        <v>please select a BUG ID</v>
      </c>
      <c r="D1891" s="114"/>
      <c r="E1891" s="114"/>
      <c r="F1891" s="115"/>
      <c r="G1891" s="82"/>
      <c r="H1891" s="92"/>
      <c r="I1891" s="54"/>
      <c r="K1891" s="54"/>
      <c r="M1891" s="114" t="str">
        <f>VLOOKUP(A1891,'BIC_(C_Variables)'!$A$3:$AS$43,45,FALSE())</f>
        <v>#N/A</v>
      </c>
      <c r="N1891" s="1"/>
      <c r="O1891" s="1"/>
      <c r="P1891" s="51" t="str">
        <f>IFERROR(VLOOKUP(A1891,Internal_lists_bugs!$A$2:$G7981,7,FALSE()),"please select a BUG ID")</f>
        <v>please select a BUG ID</v>
      </c>
    </row>
    <row r="1892">
      <c r="A1892" s="54"/>
      <c r="B1892" s="71" t="str">
        <f>IFERROR(HYPERLINK(VLOOKUP(A1892,Internal_lists_bugs!$A$2:$C$73,3,FALSE()), VLOOKUP(A1892,Internal_lists_bugs!$A$2:$C$73,3,FALSE())&amp;Char(10) &amp; Char(10) &amp; VLOOKUP(A1892,Internal_lists_bugs!$A$2:$Z$73,26,FALSE())),"please select a BUG ID")</f>
        <v>please select a BUG ID</v>
      </c>
      <c r="C1892" s="51" t="str">
        <f>IFERROR(VLOOKUP(A1892,Internal_lists_bugs!$A$2:$I7981,9,FALSE()),"please select a BUG ID")</f>
        <v>please select a BUG ID</v>
      </c>
      <c r="D1892" s="114"/>
      <c r="E1892" s="114"/>
      <c r="F1892" s="115"/>
      <c r="G1892" s="82"/>
      <c r="H1892" s="92"/>
      <c r="I1892" s="54"/>
      <c r="K1892" s="54"/>
      <c r="M1892" s="114" t="str">
        <f>VLOOKUP(A1892,'BIC_(C_Variables)'!$A$3:$AS$43,45,FALSE())</f>
        <v>#N/A</v>
      </c>
      <c r="N1892" s="1"/>
      <c r="O1892" s="1"/>
      <c r="P1892" s="51" t="str">
        <f>IFERROR(VLOOKUP(A1892,Internal_lists_bugs!$A$2:$G7981,7,FALSE()),"please select a BUG ID")</f>
        <v>please select a BUG ID</v>
      </c>
    </row>
    <row r="1893">
      <c r="A1893" s="54"/>
      <c r="B1893" s="71" t="str">
        <f>IFERROR(HYPERLINK(VLOOKUP(A1893,Internal_lists_bugs!$A$2:$C$73,3,FALSE()), VLOOKUP(A1893,Internal_lists_bugs!$A$2:$C$73,3,FALSE())&amp;Char(10) &amp; Char(10) &amp; VLOOKUP(A1893,Internal_lists_bugs!$A$2:$Z$73,26,FALSE())),"please select a BUG ID")</f>
        <v>please select a BUG ID</v>
      </c>
      <c r="C1893" s="51" t="str">
        <f>IFERROR(VLOOKUP(A1893,Internal_lists_bugs!$A$2:$I7981,9,FALSE()),"please select a BUG ID")</f>
        <v>please select a BUG ID</v>
      </c>
      <c r="D1893" s="114"/>
      <c r="E1893" s="114"/>
      <c r="F1893" s="115"/>
      <c r="G1893" s="82"/>
      <c r="H1893" s="92"/>
      <c r="I1893" s="54"/>
      <c r="K1893" s="54"/>
      <c r="M1893" s="114" t="str">
        <f>VLOOKUP(A1893,'BIC_(C_Variables)'!$A$3:$AS$43,45,FALSE())</f>
        <v>#N/A</v>
      </c>
      <c r="N1893" s="1"/>
      <c r="O1893" s="1"/>
      <c r="P1893" s="51" t="str">
        <f>IFERROR(VLOOKUP(A1893,Internal_lists_bugs!$A$2:$G7981,7,FALSE()),"please select a BUG ID")</f>
        <v>please select a BUG ID</v>
      </c>
    </row>
    <row r="1894">
      <c r="A1894" s="54"/>
      <c r="B1894" s="71" t="str">
        <f>IFERROR(HYPERLINK(VLOOKUP(A1894,Internal_lists_bugs!$A$2:$C$73,3,FALSE()), VLOOKUP(A1894,Internal_lists_bugs!$A$2:$C$73,3,FALSE())&amp;Char(10) &amp; Char(10) &amp; VLOOKUP(A1894,Internal_lists_bugs!$A$2:$Z$73,26,FALSE())),"please select a BUG ID")</f>
        <v>please select a BUG ID</v>
      </c>
      <c r="C1894" s="51" t="str">
        <f>IFERROR(VLOOKUP(A1894,Internal_lists_bugs!$A$2:$I7981,9,FALSE()),"please select a BUG ID")</f>
        <v>please select a BUG ID</v>
      </c>
      <c r="D1894" s="114"/>
      <c r="E1894" s="114"/>
      <c r="F1894" s="115"/>
      <c r="G1894" s="82"/>
      <c r="H1894" s="92"/>
      <c r="I1894" s="54"/>
      <c r="K1894" s="54"/>
      <c r="M1894" s="114" t="str">
        <f>VLOOKUP(A1894,'BIC_(C_Variables)'!$A$3:$AS$43,45,FALSE())</f>
        <v>#N/A</v>
      </c>
      <c r="N1894" s="1"/>
      <c r="O1894" s="1"/>
      <c r="P1894" s="51" t="str">
        <f>IFERROR(VLOOKUP(A1894,Internal_lists_bugs!$A$2:$G7981,7,FALSE()),"please select a BUG ID")</f>
        <v>please select a BUG ID</v>
      </c>
    </row>
    <row r="1895">
      <c r="A1895" s="54"/>
      <c r="B1895" s="71" t="str">
        <f>IFERROR(HYPERLINK(VLOOKUP(A1895,Internal_lists_bugs!$A$2:$C$73,3,FALSE()), VLOOKUP(A1895,Internal_lists_bugs!$A$2:$C$73,3,FALSE())&amp;Char(10) &amp; Char(10) &amp; VLOOKUP(A1895,Internal_lists_bugs!$A$2:$Z$73,26,FALSE())),"please select a BUG ID")</f>
        <v>please select a BUG ID</v>
      </c>
      <c r="C1895" s="51" t="str">
        <f>IFERROR(VLOOKUP(A1895,Internal_lists_bugs!$A$2:$I7981,9,FALSE()),"please select a BUG ID")</f>
        <v>please select a BUG ID</v>
      </c>
      <c r="D1895" s="114"/>
      <c r="E1895" s="114"/>
      <c r="F1895" s="115"/>
      <c r="G1895" s="82"/>
      <c r="H1895" s="92"/>
      <c r="I1895" s="54"/>
      <c r="K1895" s="54"/>
      <c r="M1895" s="114" t="str">
        <f>VLOOKUP(A1895,'BIC_(C_Variables)'!$A$3:$AS$43,45,FALSE())</f>
        <v>#N/A</v>
      </c>
      <c r="N1895" s="1"/>
      <c r="O1895" s="1"/>
      <c r="P1895" s="51" t="str">
        <f>IFERROR(VLOOKUP(A1895,Internal_lists_bugs!$A$2:$G7981,7,FALSE()),"please select a BUG ID")</f>
        <v>please select a BUG ID</v>
      </c>
    </row>
    <row r="1896">
      <c r="A1896" s="54"/>
      <c r="B1896" s="71" t="str">
        <f>IFERROR(HYPERLINK(VLOOKUP(A1896,Internal_lists_bugs!$A$2:$C$73,3,FALSE()), VLOOKUP(A1896,Internal_lists_bugs!$A$2:$C$73,3,FALSE())&amp;Char(10) &amp; Char(10) &amp; VLOOKUP(A1896,Internal_lists_bugs!$A$2:$Z$73,26,FALSE())),"please select a BUG ID")</f>
        <v>please select a BUG ID</v>
      </c>
      <c r="C1896" s="51" t="str">
        <f>IFERROR(VLOOKUP(A1896,Internal_lists_bugs!$A$2:$I7981,9,FALSE()),"please select a BUG ID")</f>
        <v>please select a BUG ID</v>
      </c>
      <c r="D1896" s="114"/>
      <c r="E1896" s="114"/>
      <c r="F1896" s="115"/>
      <c r="G1896" s="82"/>
      <c r="H1896" s="92"/>
      <c r="I1896" s="54"/>
      <c r="K1896" s="54"/>
      <c r="M1896" s="114" t="str">
        <f>VLOOKUP(A1896,'BIC_(C_Variables)'!$A$3:$AS$43,45,FALSE())</f>
        <v>#N/A</v>
      </c>
      <c r="N1896" s="1"/>
      <c r="O1896" s="1"/>
      <c r="P1896" s="51" t="str">
        <f>IFERROR(VLOOKUP(A1896,Internal_lists_bugs!$A$2:$G7981,7,FALSE()),"please select a BUG ID")</f>
        <v>please select a BUG ID</v>
      </c>
    </row>
    <row r="1897">
      <c r="A1897" s="54"/>
      <c r="B1897" s="71" t="str">
        <f>IFERROR(HYPERLINK(VLOOKUP(A1897,Internal_lists_bugs!$A$2:$C$73,3,FALSE()), VLOOKUP(A1897,Internal_lists_bugs!$A$2:$C$73,3,FALSE())&amp;Char(10) &amp; Char(10) &amp; VLOOKUP(A1897,Internal_lists_bugs!$A$2:$Z$73,26,FALSE())),"please select a BUG ID")</f>
        <v>please select a BUG ID</v>
      </c>
      <c r="C1897" s="51" t="str">
        <f>IFERROR(VLOOKUP(A1897,Internal_lists_bugs!$A$2:$I7981,9,FALSE()),"please select a BUG ID")</f>
        <v>please select a BUG ID</v>
      </c>
      <c r="D1897" s="114"/>
      <c r="E1897" s="114"/>
      <c r="F1897" s="115"/>
      <c r="G1897" s="82"/>
      <c r="H1897" s="92"/>
      <c r="I1897" s="54"/>
      <c r="K1897" s="54"/>
      <c r="M1897" s="114" t="str">
        <f>VLOOKUP(A1897,'BIC_(C_Variables)'!$A$3:$AS$43,45,FALSE())</f>
        <v>#N/A</v>
      </c>
      <c r="N1897" s="1"/>
      <c r="O1897" s="1"/>
      <c r="P1897" s="51" t="str">
        <f>IFERROR(VLOOKUP(A1897,Internal_lists_bugs!$A$2:$G7981,7,FALSE()),"please select a BUG ID")</f>
        <v>please select a BUG ID</v>
      </c>
    </row>
    <row r="1898">
      <c r="A1898" s="54"/>
      <c r="B1898" s="71" t="str">
        <f>IFERROR(HYPERLINK(VLOOKUP(A1898,Internal_lists_bugs!$A$2:$C$73,3,FALSE()), VLOOKUP(A1898,Internal_lists_bugs!$A$2:$C$73,3,FALSE())&amp;Char(10) &amp; Char(10) &amp; VLOOKUP(A1898,Internal_lists_bugs!$A$2:$Z$73,26,FALSE())),"please select a BUG ID")</f>
        <v>please select a BUG ID</v>
      </c>
      <c r="C1898" s="51" t="str">
        <f>IFERROR(VLOOKUP(A1898,Internal_lists_bugs!$A$2:$I7981,9,FALSE()),"please select a BUG ID")</f>
        <v>please select a BUG ID</v>
      </c>
      <c r="D1898" s="114"/>
      <c r="E1898" s="114"/>
      <c r="F1898" s="115"/>
      <c r="G1898" s="82"/>
      <c r="H1898" s="92"/>
      <c r="I1898" s="54"/>
      <c r="K1898" s="54"/>
      <c r="M1898" s="114" t="str">
        <f>VLOOKUP(A1898,'BIC_(C_Variables)'!$A$3:$AS$43,45,FALSE())</f>
        <v>#N/A</v>
      </c>
      <c r="N1898" s="1"/>
      <c r="O1898" s="1"/>
      <c r="P1898" s="51" t="str">
        <f>IFERROR(VLOOKUP(A1898,Internal_lists_bugs!$A$2:$G7981,7,FALSE()),"please select a BUG ID")</f>
        <v>please select a BUG ID</v>
      </c>
    </row>
    <row r="1899">
      <c r="A1899" s="54"/>
      <c r="B1899" s="71" t="str">
        <f>IFERROR(HYPERLINK(VLOOKUP(A1899,Internal_lists_bugs!$A$2:$C$73,3,FALSE()), VLOOKUP(A1899,Internal_lists_bugs!$A$2:$C$73,3,FALSE())&amp;Char(10) &amp; Char(10) &amp; VLOOKUP(A1899,Internal_lists_bugs!$A$2:$Z$73,26,FALSE())),"please select a BUG ID")</f>
        <v>please select a BUG ID</v>
      </c>
      <c r="C1899" s="51" t="str">
        <f>IFERROR(VLOOKUP(A1899,Internal_lists_bugs!$A$2:$I7981,9,FALSE()),"please select a BUG ID")</f>
        <v>please select a BUG ID</v>
      </c>
      <c r="D1899" s="114"/>
      <c r="E1899" s="114"/>
      <c r="F1899" s="115"/>
      <c r="G1899" s="82"/>
      <c r="H1899" s="92"/>
      <c r="I1899" s="54"/>
      <c r="K1899" s="54"/>
      <c r="M1899" s="114" t="str">
        <f>VLOOKUP(A1899,'BIC_(C_Variables)'!$A$3:$AS$43,45,FALSE())</f>
        <v>#N/A</v>
      </c>
      <c r="N1899" s="1"/>
      <c r="O1899" s="1"/>
      <c r="P1899" s="51" t="str">
        <f>IFERROR(VLOOKUP(A1899,Internal_lists_bugs!$A$2:$G7981,7,FALSE()),"please select a BUG ID")</f>
        <v>please select a BUG ID</v>
      </c>
    </row>
    <row r="1900">
      <c r="A1900" s="54"/>
      <c r="B1900" s="71" t="str">
        <f>IFERROR(HYPERLINK(VLOOKUP(A1900,Internal_lists_bugs!$A$2:$C$73,3,FALSE()), VLOOKUP(A1900,Internal_lists_bugs!$A$2:$C$73,3,FALSE())&amp;Char(10) &amp; Char(10) &amp; VLOOKUP(A1900,Internal_lists_bugs!$A$2:$Z$73,26,FALSE())),"please select a BUG ID")</f>
        <v>please select a BUG ID</v>
      </c>
      <c r="C1900" s="51" t="str">
        <f>IFERROR(VLOOKUP(A1900,Internal_lists_bugs!$A$2:$I7981,9,FALSE()),"please select a BUG ID")</f>
        <v>please select a BUG ID</v>
      </c>
      <c r="D1900" s="114"/>
      <c r="E1900" s="114"/>
      <c r="F1900" s="115"/>
      <c r="G1900" s="82"/>
      <c r="H1900" s="92"/>
      <c r="I1900" s="54"/>
      <c r="K1900" s="54"/>
      <c r="M1900" s="114" t="str">
        <f>VLOOKUP(A1900,'BIC_(C_Variables)'!$A$3:$AS$43,45,FALSE())</f>
        <v>#N/A</v>
      </c>
      <c r="N1900" s="1"/>
      <c r="O1900" s="1"/>
      <c r="P1900" s="51" t="str">
        <f>IFERROR(VLOOKUP(A1900,Internal_lists_bugs!$A$2:$G7981,7,FALSE()),"please select a BUG ID")</f>
        <v>please select a BUG ID</v>
      </c>
    </row>
    <row r="1901">
      <c r="A1901" s="54"/>
      <c r="B1901" s="71" t="str">
        <f>IFERROR(HYPERLINK(VLOOKUP(A1901,Internal_lists_bugs!$A$2:$C$73,3,FALSE()), VLOOKUP(A1901,Internal_lists_bugs!$A$2:$C$73,3,FALSE())&amp;Char(10) &amp; Char(10) &amp; VLOOKUP(A1901,Internal_lists_bugs!$A$2:$Z$73,26,FALSE())),"please select a BUG ID")</f>
        <v>please select a BUG ID</v>
      </c>
      <c r="C1901" s="51" t="str">
        <f>IFERROR(VLOOKUP(A1901,Internal_lists_bugs!$A$2:$I7981,9,FALSE()),"please select a BUG ID")</f>
        <v>please select a BUG ID</v>
      </c>
      <c r="D1901" s="114"/>
      <c r="E1901" s="114"/>
      <c r="F1901" s="115"/>
      <c r="G1901" s="82"/>
      <c r="H1901" s="92"/>
      <c r="I1901" s="54"/>
      <c r="K1901" s="54"/>
      <c r="M1901" s="114" t="str">
        <f>VLOOKUP(A1901,'BIC_(C_Variables)'!$A$3:$AS$43,45,FALSE())</f>
        <v>#N/A</v>
      </c>
      <c r="N1901" s="1"/>
      <c r="O1901" s="1"/>
      <c r="P1901" s="51" t="str">
        <f>IFERROR(VLOOKUP(A1901,Internal_lists_bugs!$A$2:$G7981,7,FALSE()),"please select a BUG ID")</f>
        <v>please select a BUG ID</v>
      </c>
    </row>
    <row r="1902">
      <c r="A1902" s="54"/>
      <c r="B1902" s="71" t="str">
        <f>IFERROR(HYPERLINK(VLOOKUP(A1902,Internal_lists_bugs!$A$2:$C$73,3,FALSE()), VLOOKUP(A1902,Internal_lists_bugs!$A$2:$C$73,3,FALSE())&amp;Char(10) &amp; Char(10) &amp; VLOOKUP(A1902,Internal_lists_bugs!$A$2:$Z$73,26,FALSE())),"please select a BUG ID")</f>
        <v>please select a BUG ID</v>
      </c>
      <c r="C1902" s="51" t="str">
        <f>IFERROR(VLOOKUP(A1902,Internal_lists_bugs!$A$2:$I7981,9,FALSE()),"please select a BUG ID")</f>
        <v>please select a BUG ID</v>
      </c>
      <c r="D1902" s="114"/>
      <c r="E1902" s="114"/>
      <c r="F1902" s="115"/>
      <c r="G1902" s="82"/>
      <c r="H1902" s="92"/>
      <c r="I1902" s="54"/>
      <c r="K1902" s="54"/>
      <c r="M1902" s="114" t="str">
        <f>VLOOKUP(A1902,'BIC_(C_Variables)'!$A$3:$AS$43,45,FALSE())</f>
        <v>#N/A</v>
      </c>
      <c r="N1902" s="1"/>
      <c r="O1902" s="1"/>
      <c r="P1902" s="51" t="str">
        <f>IFERROR(VLOOKUP(A1902,Internal_lists_bugs!$A$2:$G7981,7,FALSE()),"please select a BUG ID")</f>
        <v>please select a BUG ID</v>
      </c>
    </row>
    <row r="1903">
      <c r="A1903" s="54"/>
      <c r="B1903" s="71" t="str">
        <f>IFERROR(HYPERLINK(VLOOKUP(A1903,Internal_lists_bugs!$A$2:$C$73,3,FALSE()), VLOOKUP(A1903,Internal_lists_bugs!$A$2:$C$73,3,FALSE())&amp;Char(10) &amp; Char(10) &amp; VLOOKUP(A1903,Internal_lists_bugs!$A$2:$Z$73,26,FALSE())),"please select a BUG ID")</f>
        <v>please select a BUG ID</v>
      </c>
      <c r="C1903" s="51" t="str">
        <f>IFERROR(VLOOKUP(A1903,Internal_lists_bugs!$A$2:$I7981,9,FALSE()),"please select a BUG ID")</f>
        <v>please select a BUG ID</v>
      </c>
      <c r="D1903" s="114"/>
      <c r="E1903" s="114"/>
      <c r="F1903" s="115"/>
      <c r="G1903" s="82"/>
      <c r="H1903" s="92"/>
      <c r="I1903" s="54"/>
      <c r="K1903" s="54"/>
      <c r="M1903" s="114" t="str">
        <f>VLOOKUP(A1903,'BIC_(C_Variables)'!$A$3:$AS$43,45,FALSE())</f>
        <v>#N/A</v>
      </c>
      <c r="N1903" s="1"/>
      <c r="O1903" s="1"/>
      <c r="P1903" s="51" t="str">
        <f>IFERROR(VLOOKUP(A1903,Internal_lists_bugs!$A$2:$G7981,7,FALSE()),"please select a BUG ID")</f>
        <v>please select a BUG ID</v>
      </c>
    </row>
    <row r="1904">
      <c r="A1904" s="54"/>
      <c r="B1904" s="71" t="str">
        <f>IFERROR(HYPERLINK(VLOOKUP(A1904,Internal_lists_bugs!$A$2:$C$73,3,FALSE()), VLOOKUP(A1904,Internal_lists_bugs!$A$2:$C$73,3,FALSE())&amp;Char(10) &amp; Char(10) &amp; VLOOKUP(A1904,Internal_lists_bugs!$A$2:$Z$73,26,FALSE())),"please select a BUG ID")</f>
        <v>please select a BUG ID</v>
      </c>
      <c r="C1904" s="51" t="str">
        <f>IFERROR(VLOOKUP(A1904,Internal_lists_bugs!$A$2:$I7981,9,FALSE()),"please select a BUG ID")</f>
        <v>please select a BUG ID</v>
      </c>
      <c r="D1904" s="114"/>
      <c r="E1904" s="114"/>
      <c r="F1904" s="115"/>
      <c r="G1904" s="82"/>
      <c r="H1904" s="92"/>
      <c r="I1904" s="54"/>
      <c r="K1904" s="54"/>
      <c r="M1904" s="114" t="str">
        <f>VLOOKUP(A1904,'BIC_(C_Variables)'!$A$3:$AS$43,45,FALSE())</f>
        <v>#N/A</v>
      </c>
      <c r="N1904" s="1"/>
      <c r="O1904" s="1"/>
      <c r="P1904" s="51" t="str">
        <f>IFERROR(VLOOKUP(A1904,Internal_lists_bugs!$A$2:$G7981,7,FALSE()),"please select a BUG ID")</f>
        <v>please select a BUG ID</v>
      </c>
    </row>
    <row r="1905">
      <c r="A1905" s="54"/>
      <c r="B1905" s="71" t="str">
        <f>IFERROR(HYPERLINK(VLOOKUP(A1905,Internal_lists_bugs!$A$2:$C$73,3,FALSE()), VLOOKUP(A1905,Internal_lists_bugs!$A$2:$C$73,3,FALSE())&amp;Char(10) &amp; Char(10) &amp; VLOOKUP(A1905,Internal_lists_bugs!$A$2:$Z$73,26,FALSE())),"please select a BUG ID")</f>
        <v>please select a BUG ID</v>
      </c>
      <c r="C1905" s="51" t="str">
        <f>IFERROR(VLOOKUP(A1905,Internal_lists_bugs!$A$2:$I7981,9,FALSE()),"please select a BUG ID")</f>
        <v>please select a BUG ID</v>
      </c>
      <c r="D1905" s="114"/>
      <c r="E1905" s="114"/>
      <c r="F1905" s="115"/>
      <c r="G1905" s="82"/>
      <c r="H1905" s="92"/>
      <c r="I1905" s="54"/>
      <c r="K1905" s="54"/>
      <c r="M1905" s="114" t="str">
        <f>VLOOKUP(A1905,'BIC_(C_Variables)'!$A$3:$AS$43,45,FALSE())</f>
        <v>#N/A</v>
      </c>
      <c r="N1905" s="1"/>
      <c r="O1905" s="1"/>
      <c r="P1905" s="51" t="str">
        <f>IFERROR(VLOOKUP(A1905,Internal_lists_bugs!$A$2:$G7981,7,FALSE()),"please select a BUG ID")</f>
        <v>please select a BUG ID</v>
      </c>
    </row>
    <row r="1906">
      <c r="A1906" s="54"/>
      <c r="B1906" s="71" t="str">
        <f>IFERROR(HYPERLINK(VLOOKUP(A1906,Internal_lists_bugs!$A$2:$C$73,3,FALSE()), VLOOKUP(A1906,Internal_lists_bugs!$A$2:$C$73,3,FALSE())&amp;Char(10) &amp; Char(10) &amp; VLOOKUP(A1906,Internal_lists_bugs!$A$2:$Z$73,26,FALSE())),"please select a BUG ID")</f>
        <v>please select a BUG ID</v>
      </c>
      <c r="C1906" s="51" t="str">
        <f>IFERROR(VLOOKUP(A1906,Internal_lists_bugs!$A$2:$I7981,9,FALSE()),"please select a BUG ID")</f>
        <v>please select a BUG ID</v>
      </c>
      <c r="D1906" s="114"/>
      <c r="E1906" s="114"/>
      <c r="F1906" s="115"/>
      <c r="G1906" s="82"/>
      <c r="H1906" s="92"/>
      <c r="I1906" s="54"/>
      <c r="K1906" s="54"/>
      <c r="M1906" s="114" t="str">
        <f>VLOOKUP(A1906,'BIC_(C_Variables)'!$A$3:$AS$43,45,FALSE())</f>
        <v>#N/A</v>
      </c>
      <c r="N1906" s="1"/>
      <c r="O1906" s="1"/>
      <c r="P1906" s="51" t="str">
        <f>IFERROR(VLOOKUP(A1906,Internal_lists_bugs!$A$2:$G7981,7,FALSE()),"please select a BUG ID")</f>
        <v>please select a BUG ID</v>
      </c>
    </row>
    <row r="1907">
      <c r="A1907" s="54"/>
      <c r="B1907" s="71" t="str">
        <f>IFERROR(HYPERLINK(VLOOKUP(A1907,Internal_lists_bugs!$A$2:$C$73,3,FALSE()), VLOOKUP(A1907,Internal_lists_bugs!$A$2:$C$73,3,FALSE())&amp;Char(10) &amp; Char(10) &amp; VLOOKUP(A1907,Internal_lists_bugs!$A$2:$Z$73,26,FALSE())),"please select a BUG ID")</f>
        <v>please select a BUG ID</v>
      </c>
      <c r="C1907" s="51" t="str">
        <f>IFERROR(VLOOKUP(A1907,Internal_lists_bugs!$A$2:$I7981,9,FALSE()),"please select a BUG ID")</f>
        <v>please select a BUG ID</v>
      </c>
      <c r="D1907" s="114"/>
      <c r="E1907" s="114"/>
      <c r="F1907" s="115"/>
      <c r="G1907" s="82"/>
      <c r="H1907" s="92"/>
      <c r="I1907" s="54"/>
      <c r="K1907" s="54"/>
      <c r="M1907" s="114" t="str">
        <f>VLOOKUP(A1907,'BIC_(C_Variables)'!$A$3:$AS$43,45,FALSE())</f>
        <v>#N/A</v>
      </c>
      <c r="N1907" s="1"/>
      <c r="O1907" s="1"/>
      <c r="P1907" s="51" t="str">
        <f>IFERROR(VLOOKUP(A1907,Internal_lists_bugs!$A$2:$G7981,7,FALSE()),"please select a BUG ID")</f>
        <v>please select a BUG ID</v>
      </c>
    </row>
    <row r="1908">
      <c r="A1908" s="54"/>
      <c r="B1908" s="71" t="str">
        <f>IFERROR(HYPERLINK(VLOOKUP(A1908,Internal_lists_bugs!$A$2:$C$73,3,FALSE()), VLOOKUP(A1908,Internal_lists_bugs!$A$2:$C$73,3,FALSE())&amp;Char(10) &amp; Char(10) &amp; VLOOKUP(A1908,Internal_lists_bugs!$A$2:$Z$73,26,FALSE())),"please select a BUG ID")</f>
        <v>please select a BUG ID</v>
      </c>
      <c r="C1908" s="51" t="str">
        <f>IFERROR(VLOOKUP(A1908,Internal_lists_bugs!$A$2:$I7981,9,FALSE()),"please select a BUG ID")</f>
        <v>please select a BUG ID</v>
      </c>
      <c r="D1908" s="114"/>
      <c r="E1908" s="114"/>
      <c r="F1908" s="115"/>
      <c r="G1908" s="82"/>
      <c r="H1908" s="92"/>
      <c r="I1908" s="54"/>
      <c r="K1908" s="54"/>
      <c r="M1908" s="114" t="str">
        <f>VLOOKUP(A1908,'BIC_(C_Variables)'!$A$3:$AS$43,45,FALSE())</f>
        <v>#N/A</v>
      </c>
      <c r="N1908" s="1"/>
      <c r="O1908" s="1"/>
      <c r="P1908" s="51" t="str">
        <f>IFERROR(VLOOKUP(A1908,Internal_lists_bugs!$A$2:$G7981,7,FALSE()),"please select a BUG ID")</f>
        <v>please select a BUG ID</v>
      </c>
    </row>
    <row r="1909">
      <c r="A1909" s="54"/>
      <c r="B1909" s="71" t="str">
        <f>IFERROR(HYPERLINK(VLOOKUP(A1909,Internal_lists_bugs!$A$2:$C$73,3,FALSE()), VLOOKUP(A1909,Internal_lists_bugs!$A$2:$C$73,3,FALSE())&amp;Char(10) &amp; Char(10) &amp; VLOOKUP(A1909,Internal_lists_bugs!$A$2:$Z$73,26,FALSE())),"please select a BUG ID")</f>
        <v>please select a BUG ID</v>
      </c>
      <c r="C1909" s="51" t="str">
        <f>IFERROR(VLOOKUP(A1909,Internal_lists_bugs!$A$2:$I7981,9,FALSE()),"please select a BUG ID")</f>
        <v>please select a BUG ID</v>
      </c>
      <c r="D1909" s="114"/>
      <c r="E1909" s="114"/>
      <c r="F1909" s="115"/>
      <c r="G1909" s="82"/>
      <c r="H1909" s="92"/>
      <c r="I1909" s="54"/>
      <c r="K1909" s="54"/>
      <c r="M1909" s="114" t="str">
        <f>VLOOKUP(A1909,'BIC_(C_Variables)'!$A$3:$AS$43,45,FALSE())</f>
        <v>#N/A</v>
      </c>
      <c r="N1909" s="1"/>
      <c r="O1909" s="1"/>
      <c r="P1909" s="51" t="str">
        <f>IFERROR(VLOOKUP(A1909,Internal_lists_bugs!$A$2:$G7981,7,FALSE()),"please select a BUG ID")</f>
        <v>please select a BUG ID</v>
      </c>
    </row>
    <row r="1910">
      <c r="A1910" s="54"/>
      <c r="B1910" s="71" t="str">
        <f>IFERROR(HYPERLINK(VLOOKUP(A1910,Internal_lists_bugs!$A$2:$C$73,3,FALSE()), VLOOKUP(A1910,Internal_lists_bugs!$A$2:$C$73,3,FALSE())&amp;Char(10) &amp; Char(10) &amp; VLOOKUP(A1910,Internal_lists_bugs!$A$2:$Z$73,26,FALSE())),"please select a BUG ID")</f>
        <v>please select a BUG ID</v>
      </c>
      <c r="C1910" s="51" t="str">
        <f>IFERROR(VLOOKUP(A1910,Internal_lists_bugs!$A$2:$I7981,9,FALSE()),"please select a BUG ID")</f>
        <v>please select a BUG ID</v>
      </c>
      <c r="D1910" s="114"/>
      <c r="E1910" s="114"/>
      <c r="F1910" s="115"/>
      <c r="G1910" s="82"/>
      <c r="H1910" s="92"/>
      <c r="I1910" s="54"/>
      <c r="K1910" s="54"/>
      <c r="M1910" s="114" t="str">
        <f>VLOOKUP(A1910,'BIC_(C_Variables)'!$A$3:$AS$43,45,FALSE())</f>
        <v>#N/A</v>
      </c>
      <c r="N1910" s="1"/>
      <c r="O1910" s="1"/>
      <c r="P1910" s="51" t="str">
        <f>IFERROR(VLOOKUP(A1910,Internal_lists_bugs!$A$2:$G7981,7,FALSE()),"please select a BUG ID")</f>
        <v>please select a BUG ID</v>
      </c>
    </row>
    <row r="1911">
      <c r="A1911" s="54"/>
      <c r="B1911" s="71" t="str">
        <f>IFERROR(HYPERLINK(VLOOKUP(A1911,Internal_lists_bugs!$A$2:$C$73,3,FALSE()), VLOOKUP(A1911,Internal_lists_bugs!$A$2:$C$73,3,FALSE())&amp;Char(10) &amp; Char(10) &amp; VLOOKUP(A1911,Internal_lists_bugs!$A$2:$Z$73,26,FALSE())),"please select a BUG ID")</f>
        <v>please select a BUG ID</v>
      </c>
      <c r="C1911" s="51" t="str">
        <f>IFERROR(VLOOKUP(A1911,Internal_lists_bugs!$A$2:$I7981,9,FALSE()),"please select a BUG ID")</f>
        <v>please select a BUG ID</v>
      </c>
      <c r="D1911" s="114"/>
      <c r="E1911" s="114"/>
      <c r="F1911" s="115"/>
      <c r="G1911" s="82"/>
      <c r="H1911" s="92"/>
      <c r="I1911" s="54"/>
      <c r="K1911" s="54"/>
      <c r="M1911" s="114" t="str">
        <f>VLOOKUP(A1911,'BIC_(C_Variables)'!$A$3:$AS$43,45,FALSE())</f>
        <v>#N/A</v>
      </c>
      <c r="N1911" s="1"/>
      <c r="O1911" s="1"/>
      <c r="P1911" s="51" t="str">
        <f>IFERROR(VLOOKUP(A1911,Internal_lists_bugs!$A$2:$G7981,7,FALSE()),"please select a BUG ID")</f>
        <v>please select a BUG ID</v>
      </c>
    </row>
    <row r="1912">
      <c r="A1912" s="54"/>
      <c r="B1912" s="71" t="str">
        <f>IFERROR(HYPERLINK(VLOOKUP(A1912,Internal_lists_bugs!$A$2:$C$73,3,FALSE()), VLOOKUP(A1912,Internal_lists_bugs!$A$2:$C$73,3,FALSE())&amp;Char(10) &amp; Char(10) &amp; VLOOKUP(A1912,Internal_lists_bugs!$A$2:$Z$73,26,FALSE())),"please select a BUG ID")</f>
        <v>please select a BUG ID</v>
      </c>
      <c r="C1912" s="51" t="str">
        <f>IFERROR(VLOOKUP(A1912,Internal_lists_bugs!$A$2:$I7981,9,FALSE()),"please select a BUG ID")</f>
        <v>please select a BUG ID</v>
      </c>
      <c r="D1912" s="114"/>
      <c r="E1912" s="114"/>
      <c r="F1912" s="115"/>
      <c r="G1912" s="82"/>
      <c r="H1912" s="92"/>
      <c r="I1912" s="54"/>
      <c r="K1912" s="54"/>
      <c r="M1912" s="114" t="str">
        <f>VLOOKUP(A1912,'BIC_(C_Variables)'!$A$3:$AS$43,45,FALSE())</f>
        <v>#N/A</v>
      </c>
      <c r="N1912" s="1"/>
      <c r="O1912" s="1"/>
      <c r="P1912" s="51" t="str">
        <f>IFERROR(VLOOKUP(A1912,Internal_lists_bugs!$A$2:$G7981,7,FALSE()),"please select a BUG ID")</f>
        <v>please select a BUG ID</v>
      </c>
    </row>
    <row r="1913">
      <c r="A1913" s="54"/>
      <c r="B1913" s="71" t="str">
        <f>IFERROR(HYPERLINK(VLOOKUP(A1913,Internal_lists_bugs!$A$2:$C$73,3,FALSE()), VLOOKUP(A1913,Internal_lists_bugs!$A$2:$C$73,3,FALSE())&amp;Char(10) &amp; Char(10) &amp; VLOOKUP(A1913,Internal_lists_bugs!$A$2:$Z$73,26,FALSE())),"please select a BUG ID")</f>
        <v>please select a BUG ID</v>
      </c>
      <c r="C1913" s="51" t="str">
        <f>IFERROR(VLOOKUP(A1913,Internal_lists_bugs!$A$2:$I7981,9,FALSE()),"please select a BUG ID")</f>
        <v>please select a BUG ID</v>
      </c>
      <c r="D1913" s="114"/>
      <c r="E1913" s="114"/>
      <c r="F1913" s="115"/>
      <c r="G1913" s="82"/>
      <c r="H1913" s="92"/>
      <c r="I1913" s="54"/>
      <c r="K1913" s="54"/>
      <c r="M1913" s="114" t="str">
        <f>VLOOKUP(A1913,'BIC_(C_Variables)'!$A$3:$AS$43,45,FALSE())</f>
        <v>#N/A</v>
      </c>
      <c r="N1913" s="1"/>
      <c r="O1913" s="1"/>
      <c r="P1913" s="51" t="str">
        <f>IFERROR(VLOOKUP(A1913,Internal_lists_bugs!$A$2:$G7981,7,FALSE()),"please select a BUG ID")</f>
        <v>please select a BUG ID</v>
      </c>
    </row>
    <row r="1914">
      <c r="A1914" s="54"/>
      <c r="B1914" s="71" t="str">
        <f>IFERROR(HYPERLINK(VLOOKUP(A1914,Internal_lists_bugs!$A$2:$C$73,3,FALSE()), VLOOKUP(A1914,Internal_lists_bugs!$A$2:$C$73,3,FALSE())&amp;Char(10) &amp; Char(10) &amp; VLOOKUP(A1914,Internal_lists_bugs!$A$2:$Z$73,26,FALSE())),"please select a BUG ID")</f>
        <v>please select a BUG ID</v>
      </c>
      <c r="C1914" s="51" t="str">
        <f>IFERROR(VLOOKUP(A1914,Internal_lists_bugs!$A$2:$I7981,9,FALSE()),"please select a BUG ID")</f>
        <v>please select a BUG ID</v>
      </c>
      <c r="D1914" s="114"/>
      <c r="E1914" s="114"/>
      <c r="F1914" s="115"/>
      <c r="G1914" s="82"/>
      <c r="H1914" s="92"/>
      <c r="I1914" s="54"/>
      <c r="K1914" s="54"/>
      <c r="M1914" s="114" t="str">
        <f>VLOOKUP(A1914,'BIC_(C_Variables)'!$A$3:$AS$43,45,FALSE())</f>
        <v>#N/A</v>
      </c>
      <c r="N1914" s="1"/>
      <c r="O1914" s="1"/>
      <c r="P1914" s="51" t="str">
        <f>IFERROR(VLOOKUP(A1914,Internal_lists_bugs!$A$2:$G7981,7,FALSE()),"please select a BUG ID")</f>
        <v>please select a BUG ID</v>
      </c>
    </row>
    <row r="1915">
      <c r="A1915" s="54"/>
      <c r="B1915" s="71" t="str">
        <f>IFERROR(HYPERLINK(VLOOKUP(A1915,Internal_lists_bugs!$A$2:$C$73,3,FALSE()), VLOOKUP(A1915,Internal_lists_bugs!$A$2:$C$73,3,FALSE())&amp;Char(10) &amp; Char(10) &amp; VLOOKUP(A1915,Internal_lists_bugs!$A$2:$Z$73,26,FALSE())),"please select a BUG ID")</f>
        <v>please select a BUG ID</v>
      </c>
      <c r="C1915" s="51" t="str">
        <f>IFERROR(VLOOKUP(A1915,Internal_lists_bugs!$A$2:$I7981,9,FALSE()),"please select a BUG ID")</f>
        <v>please select a BUG ID</v>
      </c>
      <c r="D1915" s="114"/>
      <c r="E1915" s="114"/>
      <c r="F1915" s="115"/>
      <c r="G1915" s="82"/>
      <c r="H1915" s="92"/>
      <c r="I1915" s="54"/>
      <c r="K1915" s="54"/>
      <c r="M1915" s="114" t="str">
        <f>VLOOKUP(A1915,'BIC_(C_Variables)'!$A$3:$AS$43,45,FALSE())</f>
        <v>#N/A</v>
      </c>
      <c r="N1915" s="1"/>
      <c r="O1915" s="1"/>
      <c r="P1915" s="51" t="str">
        <f>IFERROR(VLOOKUP(A1915,Internal_lists_bugs!$A$2:$G7981,7,FALSE()),"please select a BUG ID")</f>
        <v>please select a BUG ID</v>
      </c>
    </row>
    <row r="1916">
      <c r="A1916" s="54"/>
      <c r="B1916" s="71" t="str">
        <f>IFERROR(HYPERLINK(VLOOKUP(A1916,Internal_lists_bugs!$A$2:$C$73,3,FALSE()), VLOOKUP(A1916,Internal_lists_bugs!$A$2:$C$73,3,FALSE())&amp;Char(10) &amp; Char(10) &amp; VLOOKUP(A1916,Internal_lists_bugs!$A$2:$Z$73,26,FALSE())),"please select a BUG ID")</f>
        <v>please select a BUG ID</v>
      </c>
      <c r="C1916" s="51" t="str">
        <f>IFERROR(VLOOKUP(A1916,Internal_lists_bugs!$A$2:$I7981,9,FALSE()),"please select a BUG ID")</f>
        <v>please select a BUG ID</v>
      </c>
      <c r="D1916" s="114"/>
      <c r="E1916" s="114"/>
      <c r="F1916" s="115"/>
      <c r="G1916" s="82"/>
      <c r="H1916" s="92"/>
      <c r="I1916" s="54"/>
      <c r="K1916" s="54"/>
      <c r="M1916" s="114" t="str">
        <f>VLOOKUP(A1916,'BIC_(C_Variables)'!$A$3:$AS$43,45,FALSE())</f>
        <v>#N/A</v>
      </c>
      <c r="N1916" s="1"/>
      <c r="O1916" s="1"/>
      <c r="P1916" s="51" t="str">
        <f>IFERROR(VLOOKUP(A1916,Internal_lists_bugs!$A$2:$G7981,7,FALSE()),"please select a BUG ID")</f>
        <v>please select a BUG ID</v>
      </c>
    </row>
    <row r="1917">
      <c r="A1917" s="54"/>
      <c r="B1917" s="71" t="str">
        <f>IFERROR(HYPERLINK(VLOOKUP(A1917,Internal_lists_bugs!$A$2:$C$73,3,FALSE()), VLOOKUP(A1917,Internal_lists_bugs!$A$2:$C$73,3,FALSE())&amp;Char(10) &amp; Char(10) &amp; VLOOKUP(A1917,Internal_lists_bugs!$A$2:$Z$73,26,FALSE())),"please select a BUG ID")</f>
        <v>please select a BUG ID</v>
      </c>
      <c r="C1917" s="51" t="str">
        <f>IFERROR(VLOOKUP(A1917,Internal_lists_bugs!$A$2:$I7981,9,FALSE()),"please select a BUG ID")</f>
        <v>please select a BUG ID</v>
      </c>
      <c r="D1917" s="114"/>
      <c r="E1917" s="114"/>
      <c r="F1917" s="115"/>
      <c r="G1917" s="82"/>
      <c r="H1917" s="92"/>
      <c r="I1917" s="54"/>
      <c r="K1917" s="54"/>
      <c r="M1917" s="114" t="str">
        <f>VLOOKUP(A1917,'BIC_(C_Variables)'!$A$3:$AS$43,45,FALSE())</f>
        <v>#N/A</v>
      </c>
      <c r="N1917" s="1"/>
      <c r="O1917" s="1"/>
      <c r="P1917" s="51" t="str">
        <f>IFERROR(VLOOKUP(A1917,Internal_lists_bugs!$A$2:$G7981,7,FALSE()),"please select a BUG ID")</f>
        <v>please select a BUG ID</v>
      </c>
    </row>
    <row r="1918">
      <c r="A1918" s="54"/>
      <c r="B1918" s="71" t="str">
        <f>IFERROR(HYPERLINK(VLOOKUP(A1918,Internal_lists_bugs!$A$2:$C$73,3,FALSE()), VLOOKUP(A1918,Internal_lists_bugs!$A$2:$C$73,3,FALSE())&amp;Char(10) &amp; Char(10) &amp; VLOOKUP(A1918,Internal_lists_bugs!$A$2:$Z$73,26,FALSE())),"please select a BUG ID")</f>
        <v>please select a BUG ID</v>
      </c>
      <c r="C1918" s="51" t="str">
        <f>IFERROR(VLOOKUP(A1918,Internal_lists_bugs!$A$2:$I7981,9,FALSE()),"please select a BUG ID")</f>
        <v>please select a BUG ID</v>
      </c>
      <c r="D1918" s="114"/>
      <c r="E1918" s="114"/>
      <c r="F1918" s="115"/>
      <c r="G1918" s="82"/>
      <c r="H1918" s="92"/>
      <c r="I1918" s="54"/>
      <c r="K1918" s="54"/>
      <c r="M1918" s="114" t="str">
        <f>VLOOKUP(A1918,'BIC_(C_Variables)'!$A$3:$AS$43,45,FALSE())</f>
        <v>#N/A</v>
      </c>
      <c r="N1918" s="1"/>
      <c r="O1918" s="1"/>
      <c r="P1918" s="51" t="str">
        <f>IFERROR(VLOOKUP(A1918,Internal_lists_bugs!$A$2:$G7981,7,FALSE()),"please select a BUG ID")</f>
        <v>please select a BUG ID</v>
      </c>
    </row>
    <row r="1919">
      <c r="A1919" s="54"/>
      <c r="B1919" s="71" t="str">
        <f>IFERROR(HYPERLINK(VLOOKUP(A1919,Internal_lists_bugs!$A$2:$C$73,3,FALSE()), VLOOKUP(A1919,Internal_lists_bugs!$A$2:$C$73,3,FALSE())&amp;Char(10) &amp; Char(10) &amp; VLOOKUP(A1919,Internal_lists_bugs!$A$2:$Z$73,26,FALSE())),"please select a BUG ID")</f>
        <v>please select a BUG ID</v>
      </c>
      <c r="C1919" s="51" t="str">
        <f>IFERROR(VLOOKUP(A1919,Internal_lists_bugs!$A$2:$I7981,9,FALSE()),"please select a BUG ID")</f>
        <v>please select a BUG ID</v>
      </c>
      <c r="D1919" s="114"/>
      <c r="E1919" s="114"/>
      <c r="F1919" s="115"/>
      <c r="G1919" s="82"/>
      <c r="H1919" s="92"/>
      <c r="I1919" s="54"/>
      <c r="K1919" s="54"/>
      <c r="M1919" s="114" t="str">
        <f>VLOOKUP(A1919,'BIC_(C_Variables)'!$A$3:$AS$43,45,FALSE())</f>
        <v>#N/A</v>
      </c>
      <c r="N1919" s="1"/>
      <c r="O1919" s="1"/>
      <c r="P1919" s="51" t="str">
        <f>IFERROR(VLOOKUP(A1919,Internal_lists_bugs!$A$2:$G7981,7,FALSE()),"please select a BUG ID")</f>
        <v>please select a BUG ID</v>
      </c>
    </row>
    <row r="1920">
      <c r="A1920" s="54"/>
      <c r="B1920" s="71" t="str">
        <f>IFERROR(HYPERLINK(VLOOKUP(A1920,Internal_lists_bugs!$A$2:$C$73,3,FALSE()), VLOOKUP(A1920,Internal_lists_bugs!$A$2:$C$73,3,FALSE())&amp;Char(10) &amp; Char(10) &amp; VLOOKUP(A1920,Internal_lists_bugs!$A$2:$Z$73,26,FALSE())),"please select a BUG ID")</f>
        <v>please select a BUG ID</v>
      </c>
      <c r="C1920" s="51" t="str">
        <f>IFERROR(VLOOKUP(A1920,Internal_lists_bugs!$A$2:$I7981,9,FALSE()),"please select a BUG ID")</f>
        <v>please select a BUG ID</v>
      </c>
      <c r="D1920" s="114"/>
      <c r="E1920" s="114"/>
      <c r="F1920" s="115"/>
      <c r="G1920" s="82"/>
      <c r="H1920" s="92"/>
      <c r="I1920" s="54"/>
      <c r="K1920" s="54"/>
      <c r="M1920" s="114" t="str">
        <f>VLOOKUP(A1920,'BIC_(C_Variables)'!$A$3:$AS$43,45,FALSE())</f>
        <v>#N/A</v>
      </c>
      <c r="N1920" s="1"/>
      <c r="O1920" s="1"/>
      <c r="P1920" s="51" t="str">
        <f>IFERROR(VLOOKUP(A1920,Internal_lists_bugs!$A$2:$G7981,7,FALSE()),"please select a BUG ID")</f>
        <v>please select a BUG ID</v>
      </c>
    </row>
    <row r="1921">
      <c r="A1921" s="54"/>
      <c r="B1921" s="71" t="str">
        <f>IFERROR(HYPERLINK(VLOOKUP(A1921,Internal_lists_bugs!$A$2:$C$73,3,FALSE()), VLOOKUP(A1921,Internal_lists_bugs!$A$2:$C$73,3,FALSE())&amp;Char(10) &amp; Char(10) &amp; VLOOKUP(A1921,Internal_lists_bugs!$A$2:$Z$73,26,FALSE())),"please select a BUG ID")</f>
        <v>please select a BUG ID</v>
      </c>
      <c r="C1921" s="51" t="str">
        <f>IFERROR(VLOOKUP(A1921,Internal_lists_bugs!$A$2:$I7981,9,FALSE()),"please select a BUG ID")</f>
        <v>please select a BUG ID</v>
      </c>
      <c r="D1921" s="114"/>
      <c r="E1921" s="114"/>
      <c r="F1921" s="115"/>
      <c r="G1921" s="82"/>
      <c r="H1921" s="92"/>
      <c r="I1921" s="54"/>
      <c r="K1921" s="54"/>
      <c r="M1921" s="114" t="str">
        <f>VLOOKUP(A1921,'BIC_(C_Variables)'!$A$3:$AS$43,45,FALSE())</f>
        <v>#N/A</v>
      </c>
      <c r="N1921" s="1"/>
      <c r="O1921" s="1"/>
      <c r="P1921" s="51" t="str">
        <f>IFERROR(VLOOKUP(A1921,Internal_lists_bugs!$A$2:$G7981,7,FALSE()),"please select a BUG ID")</f>
        <v>please select a BUG ID</v>
      </c>
    </row>
    <row r="1922">
      <c r="A1922" s="54"/>
      <c r="B1922" s="71" t="str">
        <f>IFERROR(HYPERLINK(VLOOKUP(A1922,Internal_lists_bugs!$A$2:$C$73,3,FALSE()), VLOOKUP(A1922,Internal_lists_bugs!$A$2:$C$73,3,FALSE())&amp;Char(10) &amp; Char(10) &amp; VLOOKUP(A1922,Internal_lists_bugs!$A$2:$Z$73,26,FALSE())),"please select a BUG ID")</f>
        <v>please select a BUG ID</v>
      </c>
      <c r="C1922" s="51" t="str">
        <f>IFERROR(VLOOKUP(A1922,Internal_lists_bugs!$A$2:$I7981,9,FALSE()),"please select a BUG ID")</f>
        <v>please select a BUG ID</v>
      </c>
      <c r="D1922" s="114"/>
      <c r="E1922" s="114"/>
      <c r="F1922" s="115"/>
      <c r="G1922" s="82"/>
      <c r="H1922" s="92"/>
      <c r="I1922" s="54"/>
      <c r="K1922" s="54"/>
      <c r="M1922" s="114" t="str">
        <f>VLOOKUP(A1922,'BIC_(C_Variables)'!$A$3:$AS$43,45,FALSE())</f>
        <v>#N/A</v>
      </c>
      <c r="N1922" s="1"/>
      <c r="O1922" s="1"/>
      <c r="P1922" s="51" t="str">
        <f>IFERROR(VLOOKUP(A1922,Internal_lists_bugs!$A$2:$G7981,7,FALSE()),"please select a BUG ID")</f>
        <v>please select a BUG ID</v>
      </c>
    </row>
    <row r="1923">
      <c r="A1923" s="54"/>
      <c r="B1923" s="71" t="str">
        <f>IFERROR(HYPERLINK(VLOOKUP(A1923,Internal_lists_bugs!$A$2:$C$73,3,FALSE()), VLOOKUP(A1923,Internal_lists_bugs!$A$2:$C$73,3,FALSE())&amp;Char(10) &amp; Char(10) &amp; VLOOKUP(A1923,Internal_lists_bugs!$A$2:$Z$73,26,FALSE())),"please select a BUG ID")</f>
        <v>please select a BUG ID</v>
      </c>
      <c r="C1923" s="51" t="str">
        <f>IFERROR(VLOOKUP(A1923,Internal_lists_bugs!$A$2:$I7981,9,FALSE()),"please select a BUG ID")</f>
        <v>please select a BUG ID</v>
      </c>
      <c r="D1923" s="114"/>
      <c r="E1923" s="114"/>
      <c r="F1923" s="115"/>
      <c r="G1923" s="82"/>
      <c r="H1923" s="92"/>
      <c r="I1923" s="54"/>
      <c r="K1923" s="54"/>
      <c r="M1923" s="114" t="str">
        <f>VLOOKUP(A1923,'BIC_(C_Variables)'!$A$3:$AS$43,45,FALSE())</f>
        <v>#N/A</v>
      </c>
      <c r="N1923" s="1"/>
      <c r="O1923" s="1"/>
      <c r="P1923" s="51" t="str">
        <f>IFERROR(VLOOKUP(A1923,Internal_lists_bugs!$A$2:$G7981,7,FALSE()),"please select a BUG ID")</f>
        <v>please select a BUG ID</v>
      </c>
    </row>
    <row r="1924">
      <c r="A1924" s="54"/>
      <c r="B1924" s="71" t="str">
        <f>IFERROR(HYPERLINK(VLOOKUP(A1924,Internal_lists_bugs!$A$2:$C$73,3,FALSE()), VLOOKUP(A1924,Internal_lists_bugs!$A$2:$C$73,3,FALSE())&amp;Char(10) &amp; Char(10) &amp; VLOOKUP(A1924,Internal_lists_bugs!$A$2:$Z$73,26,FALSE())),"please select a BUG ID")</f>
        <v>please select a BUG ID</v>
      </c>
      <c r="C1924" s="51" t="str">
        <f>IFERROR(VLOOKUP(A1924,Internal_lists_bugs!$A$2:$I7981,9,FALSE()),"please select a BUG ID")</f>
        <v>please select a BUG ID</v>
      </c>
      <c r="D1924" s="114"/>
      <c r="E1924" s="114"/>
      <c r="F1924" s="115"/>
      <c r="G1924" s="82"/>
      <c r="H1924" s="92"/>
      <c r="I1924" s="54"/>
      <c r="K1924" s="54"/>
      <c r="M1924" s="114" t="str">
        <f>VLOOKUP(A1924,'BIC_(C_Variables)'!$A$3:$AS$43,45,FALSE())</f>
        <v>#N/A</v>
      </c>
      <c r="N1924" s="1"/>
      <c r="O1924" s="1"/>
      <c r="P1924" s="51" t="str">
        <f>IFERROR(VLOOKUP(A1924,Internal_lists_bugs!$A$2:$G7981,7,FALSE()),"please select a BUG ID")</f>
        <v>please select a BUG ID</v>
      </c>
    </row>
    <row r="1925">
      <c r="A1925" s="54"/>
      <c r="B1925" s="71" t="str">
        <f>IFERROR(HYPERLINK(VLOOKUP(A1925,Internal_lists_bugs!$A$2:$C$73,3,FALSE()), VLOOKUP(A1925,Internal_lists_bugs!$A$2:$C$73,3,FALSE())&amp;Char(10) &amp; Char(10) &amp; VLOOKUP(A1925,Internal_lists_bugs!$A$2:$Z$73,26,FALSE())),"please select a BUG ID")</f>
        <v>please select a BUG ID</v>
      </c>
      <c r="C1925" s="51" t="str">
        <f>IFERROR(VLOOKUP(A1925,Internal_lists_bugs!$A$2:$I7981,9,FALSE()),"please select a BUG ID")</f>
        <v>please select a BUG ID</v>
      </c>
      <c r="D1925" s="114"/>
      <c r="E1925" s="114"/>
      <c r="F1925" s="115"/>
      <c r="G1925" s="82"/>
      <c r="H1925" s="92"/>
      <c r="I1925" s="54"/>
      <c r="K1925" s="54"/>
      <c r="M1925" s="114" t="str">
        <f>VLOOKUP(A1925,'BIC_(C_Variables)'!$A$3:$AS$43,45,FALSE())</f>
        <v>#N/A</v>
      </c>
      <c r="N1925" s="1"/>
      <c r="O1925" s="1"/>
      <c r="P1925" s="51" t="str">
        <f>IFERROR(VLOOKUP(A1925,Internal_lists_bugs!$A$2:$G7981,7,FALSE()),"please select a BUG ID")</f>
        <v>please select a BUG ID</v>
      </c>
    </row>
    <row r="1926">
      <c r="A1926" s="54"/>
      <c r="B1926" s="71" t="str">
        <f>IFERROR(HYPERLINK(VLOOKUP(A1926,Internal_lists_bugs!$A$2:$C$73,3,FALSE()), VLOOKUP(A1926,Internal_lists_bugs!$A$2:$C$73,3,FALSE())&amp;Char(10) &amp; Char(10) &amp; VLOOKUP(A1926,Internal_lists_bugs!$A$2:$Z$73,26,FALSE())),"please select a BUG ID")</f>
        <v>please select a BUG ID</v>
      </c>
      <c r="C1926" s="51" t="str">
        <f>IFERROR(VLOOKUP(A1926,Internal_lists_bugs!$A$2:$I7981,9,FALSE()),"please select a BUG ID")</f>
        <v>please select a BUG ID</v>
      </c>
      <c r="D1926" s="114"/>
      <c r="E1926" s="114"/>
      <c r="F1926" s="115"/>
      <c r="G1926" s="82"/>
      <c r="H1926" s="92"/>
      <c r="I1926" s="54"/>
      <c r="K1926" s="54"/>
      <c r="M1926" s="114" t="str">
        <f>VLOOKUP(A1926,'BIC_(C_Variables)'!$A$3:$AS$43,45,FALSE())</f>
        <v>#N/A</v>
      </c>
      <c r="N1926" s="1"/>
      <c r="O1926" s="1"/>
      <c r="P1926" s="51" t="str">
        <f>IFERROR(VLOOKUP(A1926,Internal_lists_bugs!$A$2:$G7981,7,FALSE()),"please select a BUG ID")</f>
        <v>please select a BUG ID</v>
      </c>
    </row>
    <row r="1927">
      <c r="A1927" s="54"/>
      <c r="B1927" s="71" t="str">
        <f>IFERROR(HYPERLINK(VLOOKUP(A1927,Internal_lists_bugs!$A$2:$C$73,3,FALSE()), VLOOKUP(A1927,Internal_lists_bugs!$A$2:$C$73,3,FALSE())&amp;Char(10) &amp; Char(10) &amp; VLOOKUP(A1927,Internal_lists_bugs!$A$2:$Z$73,26,FALSE())),"please select a BUG ID")</f>
        <v>please select a BUG ID</v>
      </c>
      <c r="C1927" s="51" t="str">
        <f>IFERROR(VLOOKUP(A1927,Internal_lists_bugs!$A$2:$I7981,9,FALSE()),"please select a BUG ID")</f>
        <v>please select a BUG ID</v>
      </c>
      <c r="D1927" s="114"/>
      <c r="E1927" s="114"/>
      <c r="F1927" s="115"/>
      <c r="G1927" s="82"/>
      <c r="H1927" s="92"/>
      <c r="I1927" s="54"/>
      <c r="K1927" s="54"/>
      <c r="M1927" s="114" t="str">
        <f>VLOOKUP(A1927,'BIC_(C_Variables)'!$A$3:$AS$43,45,FALSE())</f>
        <v>#N/A</v>
      </c>
      <c r="N1927" s="1"/>
      <c r="O1927" s="1"/>
      <c r="P1927" s="51" t="str">
        <f>IFERROR(VLOOKUP(A1927,Internal_lists_bugs!$A$2:$G7981,7,FALSE()),"please select a BUG ID")</f>
        <v>please select a BUG ID</v>
      </c>
    </row>
    <row r="1928">
      <c r="A1928" s="54"/>
      <c r="B1928" s="71" t="str">
        <f>IFERROR(HYPERLINK(VLOOKUP(A1928,Internal_lists_bugs!$A$2:$C$73,3,FALSE()), VLOOKUP(A1928,Internal_lists_bugs!$A$2:$C$73,3,FALSE())&amp;Char(10) &amp; Char(10) &amp; VLOOKUP(A1928,Internal_lists_bugs!$A$2:$Z$73,26,FALSE())),"please select a BUG ID")</f>
        <v>please select a BUG ID</v>
      </c>
      <c r="C1928" s="51" t="str">
        <f>IFERROR(VLOOKUP(A1928,Internal_lists_bugs!$A$2:$I7981,9,FALSE()),"please select a BUG ID")</f>
        <v>please select a BUG ID</v>
      </c>
      <c r="D1928" s="114"/>
      <c r="E1928" s="114"/>
      <c r="F1928" s="115"/>
      <c r="G1928" s="82"/>
      <c r="H1928" s="92"/>
      <c r="I1928" s="54"/>
      <c r="K1928" s="54"/>
      <c r="M1928" s="114" t="str">
        <f>VLOOKUP(A1928,'BIC_(C_Variables)'!$A$3:$AS$43,45,FALSE())</f>
        <v>#N/A</v>
      </c>
      <c r="N1928" s="1"/>
      <c r="O1928" s="1"/>
      <c r="P1928" s="51" t="str">
        <f>IFERROR(VLOOKUP(A1928,Internal_lists_bugs!$A$2:$G7981,7,FALSE()),"please select a BUG ID")</f>
        <v>please select a BUG ID</v>
      </c>
    </row>
    <row r="1929">
      <c r="A1929" s="54"/>
      <c r="B1929" s="71" t="str">
        <f>IFERROR(HYPERLINK(VLOOKUP(A1929,Internal_lists_bugs!$A$2:$C$73,3,FALSE()), VLOOKUP(A1929,Internal_lists_bugs!$A$2:$C$73,3,FALSE())&amp;Char(10) &amp; Char(10) &amp; VLOOKUP(A1929,Internal_lists_bugs!$A$2:$Z$73,26,FALSE())),"please select a BUG ID")</f>
        <v>please select a BUG ID</v>
      </c>
      <c r="C1929" s="51" t="str">
        <f>IFERROR(VLOOKUP(A1929,Internal_lists_bugs!$A$2:$I7981,9,FALSE()),"please select a BUG ID")</f>
        <v>please select a BUG ID</v>
      </c>
      <c r="D1929" s="114"/>
      <c r="E1929" s="114"/>
      <c r="F1929" s="115"/>
      <c r="G1929" s="82"/>
      <c r="H1929" s="92"/>
      <c r="I1929" s="54"/>
      <c r="K1929" s="54"/>
      <c r="M1929" s="114" t="str">
        <f>VLOOKUP(A1929,'BIC_(C_Variables)'!$A$3:$AS$43,45,FALSE())</f>
        <v>#N/A</v>
      </c>
      <c r="N1929" s="1"/>
      <c r="O1929" s="1"/>
      <c r="P1929" s="51" t="str">
        <f>IFERROR(VLOOKUP(A1929,Internal_lists_bugs!$A$2:$G7981,7,FALSE()),"please select a BUG ID")</f>
        <v>please select a BUG ID</v>
      </c>
    </row>
    <row r="1930">
      <c r="A1930" s="54"/>
      <c r="B1930" s="71" t="str">
        <f>IFERROR(HYPERLINK(VLOOKUP(A1930,Internal_lists_bugs!$A$2:$C$73,3,FALSE()), VLOOKUP(A1930,Internal_lists_bugs!$A$2:$C$73,3,FALSE())&amp;Char(10) &amp; Char(10) &amp; VLOOKUP(A1930,Internal_lists_bugs!$A$2:$Z$73,26,FALSE())),"please select a BUG ID")</f>
        <v>please select a BUG ID</v>
      </c>
      <c r="C1930" s="51" t="str">
        <f>IFERROR(VLOOKUP(A1930,Internal_lists_bugs!$A$2:$I7981,9,FALSE()),"please select a BUG ID")</f>
        <v>please select a BUG ID</v>
      </c>
      <c r="D1930" s="114"/>
      <c r="E1930" s="114"/>
      <c r="F1930" s="115"/>
      <c r="G1930" s="82"/>
      <c r="H1930" s="92"/>
      <c r="I1930" s="54"/>
      <c r="K1930" s="54"/>
      <c r="M1930" s="114" t="str">
        <f>VLOOKUP(A1930,'BIC_(C_Variables)'!$A$3:$AS$43,45,FALSE())</f>
        <v>#N/A</v>
      </c>
      <c r="N1930" s="1"/>
      <c r="O1930" s="1"/>
      <c r="P1930" s="51" t="str">
        <f>IFERROR(VLOOKUP(A1930,Internal_lists_bugs!$A$2:$G7981,7,FALSE()),"please select a BUG ID")</f>
        <v>please select a BUG ID</v>
      </c>
    </row>
    <row r="1931">
      <c r="A1931" s="54"/>
      <c r="B1931" s="71" t="str">
        <f>IFERROR(HYPERLINK(VLOOKUP(A1931,Internal_lists_bugs!$A$2:$C$73,3,FALSE()), VLOOKUP(A1931,Internal_lists_bugs!$A$2:$C$73,3,FALSE())&amp;Char(10) &amp; Char(10) &amp; VLOOKUP(A1931,Internal_lists_bugs!$A$2:$Z$73,26,FALSE())),"please select a BUG ID")</f>
        <v>please select a BUG ID</v>
      </c>
      <c r="C1931" s="51" t="str">
        <f>IFERROR(VLOOKUP(A1931,Internal_lists_bugs!$A$2:$I7981,9,FALSE()),"please select a BUG ID")</f>
        <v>please select a BUG ID</v>
      </c>
      <c r="D1931" s="114"/>
      <c r="E1931" s="114"/>
      <c r="F1931" s="115"/>
      <c r="G1931" s="82"/>
      <c r="H1931" s="92"/>
      <c r="I1931" s="54"/>
      <c r="K1931" s="54"/>
      <c r="M1931" s="114" t="str">
        <f>VLOOKUP(A1931,'BIC_(C_Variables)'!$A$3:$AS$43,45,FALSE())</f>
        <v>#N/A</v>
      </c>
      <c r="N1931" s="1"/>
      <c r="O1931" s="1"/>
      <c r="P1931" s="51" t="str">
        <f>IFERROR(VLOOKUP(A1931,Internal_lists_bugs!$A$2:$G7981,7,FALSE()),"please select a BUG ID")</f>
        <v>please select a BUG ID</v>
      </c>
    </row>
    <row r="1932">
      <c r="A1932" s="54"/>
      <c r="B1932" s="71" t="str">
        <f>IFERROR(HYPERLINK(VLOOKUP(A1932,Internal_lists_bugs!$A$2:$C$73,3,FALSE()), VLOOKUP(A1932,Internal_lists_bugs!$A$2:$C$73,3,FALSE())&amp;Char(10) &amp; Char(10) &amp; VLOOKUP(A1932,Internal_lists_bugs!$A$2:$Z$73,26,FALSE())),"please select a BUG ID")</f>
        <v>please select a BUG ID</v>
      </c>
      <c r="C1932" s="51" t="str">
        <f>IFERROR(VLOOKUP(A1932,Internal_lists_bugs!$A$2:$I7981,9,FALSE()),"please select a BUG ID")</f>
        <v>please select a BUG ID</v>
      </c>
      <c r="D1932" s="114"/>
      <c r="E1932" s="114"/>
      <c r="F1932" s="115"/>
      <c r="G1932" s="82"/>
      <c r="H1932" s="92"/>
      <c r="I1932" s="54"/>
      <c r="K1932" s="54"/>
      <c r="M1932" s="114" t="str">
        <f>VLOOKUP(A1932,'BIC_(C_Variables)'!$A$3:$AS$43,45,FALSE())</f>
        <v>#N/A</v>
      </c>
      <c r="N1932" s="1"/>
      <c r="O1932" s="1"/>
      <c r="P1932" s="51" t="str">
        <f>IFERROR(VLOOKUP(A1932,Internal_lists_bugs!$A$2:$G7981,7,FALSE()),"please select a BUG ID")</f>
        <v>please select a BUG ID</v>
      </c>
    </row>
    <row r="1933">
      <c r="A1933" s="54"/>
      <c r="B1933" s="71" t="str">
        <f>IFERROR(HYPERLINK(VLOOKUP(A1933,Internal_lists_bugs!$A$2:$C$73,3,FALSE()), VLOOKUP(A1933,Internal_lists_bugs!$A$2:$C$73,3,FALSE())&amp;Char(10) &amp; Char(10) &amp; VLOOKUP(A1933,Internal_lists_bugs!$A$2:$Z$73,26,FALSE())),"please select a BUG ID")</f>
        <v>please select a BUG ID</v>
      </c>
      <c r="C1933" s="51" t="str">
        <f>IFERROR(VLOOKUP(A1933,Internal_lists_bugs!$A$2:$I7981,9,FALSE()),"please select a BUG ID")</f>
        <v>please select a BUG ID</v>
      </c>
      <c r="D1933" s="114"/>
      <c r="E1933" s="114"/>
      <c r="F1933" s="115"/>
      <c r="G1933" s="82"/>
      <c r="H1933" s="92"/>
      <c r="I1933" s="54"/>
      <c r="K1933" s="54"/>
      <c r="M1933" s="114" t="str">
        <f>VLOOKUP(A1933,'BIC_(C_Variables)'!$A$3:$AS$43,45,FALSE())</f>
        <v>#N/A</v>
      </c>
      <c r="N1933" s="1"/>
      <c r="O1933" s="1"/>
      <c r="P1933" s="51" t="str">
        <f>IFERROR(VLOOKUP(A1933,Internal_lists_bugs!$A$2:$G7981,7,FALSE()),"please select a BUG ID")</f>
        <v>please select a BUG ID</v>
      </c>
    </row>
    <row r="1934">
      <c r="A1934" s="54"/>
      <c r="B1934" s="71" t="str">
        <f>IFERROR(HYPERLINK(VLOOKUP(A1934,Internal_lists_bugs!$A$2:$C$73,3,FALSE()), VLOOKUP(A1934,Internal_lists_bugs!$A$2:$C$73,3,FALSE())&amp;Char(10) &amp; Char(10) &amp; VLOOKUP(A1934,Internal_lists_bugs!$A$2:$Z$73,26,FALSE())),"please select a BUG ID")</f>
        <v>please select a BUG ID</v>
      </c>
      <c r="C1934" s="51" t="str">
        <f>IFERROR(VLOOKUP(A1934,Internal_lists_bugs!$A$2:$I7981,9,FALSE()),"please select a BUG ID")</f>
        <v>please select a BUG ID</v>
      </c>
      <c r="D1934" s="114"/>
      <c r="E1934" s="114"/>
      <c r="F1934" s="115"/>
      <c r="G1934" s="82"/>
      <c r="H1934" s="92"/>
      <c r="I1934" s="54"/>
      <c r="K1934" s="54"/>
      <c r="M1934" s="114" t="str">
        <f>VLOOKUP(A1934,'BIC_(C_Variables)'!$A$3:$AS$43,45,FALSE())</f>
        <v>#N/A</v>
      </c>
      <c r="N1934" s="1"/>
      <c r="O1934" s="1"/>
      <c r="P1934" s="51" t="str">
        <f>IFERROR(VLOOKUP(A1934,Internal_lists_bugs!$A$2:$G7981,7,FALSE()),"please select a BUG ID")</f>
        <v>please select a BUG ID</v>
      </c>
    </row>
    <row r="1935">
      <c r="A1935" s="54"/>
      <c r="B1935" s="71" t="str">
        <f>IFERROR(HYPERLINK(VLOOKUP(A1935,Internal_lists_bugs!$A$2:$C$73,3,FALSE()), VLOOKUP(A1935,Internal_lists_bugs!$A$2:$C$73,3,FALSE())&amp;Char(10) &amp; Char(10) &amp; VLOOKUP(A1935,Internal_lists_bugs!$A$2:$Z$73,26,FALSE())),"please select a BUG ID")</f>
        <v>please select a BUG ID</v>
      </c>
      <c r="C1935" s="51" t="str">
        <f>IFERROR(VLOOKUP(A1935,Internal_lists_bugs!$A$2:$I7981,9,FALSE()),"please select a BUG ID")</f>
        <v>please select a BUG ID</v>
      </c>
      <c r="D1935" s="114"/>
      <c r="E1935" s="114"/>
      <c r="F1935" s="115"/>
      <c r="G1935" s="82"/>
      <c r="H1935" s="92"/>
      <c r="I1935" s="54"/>
      <c r="K1935" s="54"/>
      <c r="M1935" s="114" t="str">
        <f>VLOOKUP(A1935,'BIC_(C_Variables)'!$A$3:$AS$43,45,FALSE())</f>
        <v>#N/A</v>
      </c>
      <c r="N1935" s="1"/>
      <c r="O1935" s="1"/>
      <c r="P1935" s="51" t="str">
        <f>IFERROR(VLOOKUP(A1935,Internal_lists_bugs!$A$2:$G7981,7,FALSE()),"please select a BUG ID")</f>
        <v>please select a BUG ID</v>
      </c>
    </row>
    <row r="1936">
      <c r="A1936" s="54"/>
      <c r="B1936" s="71" t="str">
        <f>IFERROR(HYPERLINK(VLOOKUP(A1936,Internal_lists_bugs!$A$2:$C$73,3,FALSE()), VLOOKUP(A1936,Internal_lists_bugs!$A$2:$C$73,3,FALSE())&amp;Char(10) &amp; Char(10) &amp; VLOOKUP(A1936,Internal_lists_bugs!$A$2:$Z$73,26,FALSE())),"please select a BUG ID")</f>
        <v>please select a BUG ID</v>
      </c>
      <c r="C1936" s="51" t="str">
        <f>IFERROR(VLOOKUP(A1936,Internal_lists_bugs!$A$2:$I7981,9,FALSE()),"please select a BUG ID")</f>
        <v>please select a BUG ID</v>
      </c>
      <c r="D1936" s="114"/>
      <c r="E1936" s="114"/>
      <c r="F1936" s="115"/>
      <c r="G1936" s="82"/>
      <c r="H1936" s="92"/>
      <c r="I1936" s="54"/>
      <c r="K1936" s="54"/>
      <c r="M1936" s="114" t="str">
        <f>VLOOKUP(A1936,'BIC_(C_Variables)'!$A$3:$AS$43,45,FALSE())</f>
        <v>#N/A</v>
      </c>
      <c r="N1936" s="1"/>
      <c r="O1936" s="1"/>
      <c r="P1936" s="51" t="str">
        <f>IFERROR(VLOOKUP(A1936,Internal_lists_bugs!$A$2:$G7981,7,FALSE()),"please select a BUG ID")</f>
        <v>please select a BUG ID</v>
      </c>
    </row>
    <row r="1937">
      <c r="A1937" s="54"/>
      <c r="B1937" s="71" t="str">
        <f>IFERROR(HYPERLINK(VLOOKUP(A1937,Internal_lists_bugs!$A$2:$C$73,3,FALSE()), VLOOKUP(A1937,Internal_lists_bugs!$A$2:$C$73,3,FALSE())&amp;Char(10) &amp; Char(10) &amp; VLOOKUP(A1937,Internal_lists_bugs!$A$2:$Z$73,26,FALSE())),"please select a BUG ID")</f>
        <v>please select a BUG ID</v>
      </c>
      <c r="C1937" s="51" t="str">
        <f>IFERROR(VLOOKUP(A1937,Internal_lists_bugs!$A$2:$I7981,9,FALSE()),"please select a BUG ID")</f>
        <v>please select a BUG ID</v>
      </c>
      <c r="D1937" s="114"/>
      <c r="E1937" s="114"/>
      <c r="F1937" s="115"/>
      <c r="G1937" s="82"/>
      <c r="H1937" s="92"/>
      <c r="I1937" s="54"/>
      <c r="K1937" s="54"/>
      <c r="M1937" s="114" t="str">
        <f>VLOOKUP(A1937,'BIC_(C_Variables)'!$A$3:$AS$43,45,FALSE())</f>
        <v>#N/A</v>
      </c>
      <c r="N1937" s="1"/>
      <c r="O1937" s="1"/>
      <c r="P1937" s="51" t="str">
        <f>IFERROR(VLOOKUP(A1937,Internal_lists_bugs!$A$2:$G7981,7,FALSE()),"please select a BUG ID")</f>
        <v>please select a BUG ID</v>
      </c>
    </row>
    <row r="1938">
      <c r="A1938" s="54"/>
      <c r="B1938" s="71" t="str">
        <f>IFERROR(HYPERLINK(VLOOKUP(A1938,Internal_lists_bugs!$A$2:$C$73,3,FALSE()), VLOOKUP(A1938,Internal_lists_bugs!$A$2:$C$73,3,FALSE())&amp;Char(10) &amp; Char(10) &amp; VLOOKUP(A1938,Internal_lists_bugs!$A$2:$Z$73,26,FALSE())),"please select a BUG ID")</f>
        <v>please select a BUG ID</v>
      </c>
      <c r="C1938" s="51" t="str">
        <f>IFERROR(VLOOKUP(A1938,Internal_lists_bugs!$A$2:$I7981,9,FALSE()),"please select a BUG ID")</f>
        <v>please select a BUG ID</v>
      </c>
      <c r="D1938" s="114"/>
      <c r="E1938" s="114"/>
      <c r="F1938" s="115"/>
      <c r="G1938" s="82"/>
      <c r="H1938" s="92"/>
      <c r="I1938" s="54"/>
      <c r="K1938" s="54"/>
      <c r="M1938" s="114" t="str">
        <f>VLOOKUP(A1938,'BIC_(C_Variables)'!$A$3:$AS$43,45,FALSE())</f>
        <v>#N/A</v>
      </c>
      <c r="N1938" s="1"/>
      <c r="O1938" s="1"/>
      <c r="P1938" s="51" t="str">
        <f>IFERROR(VLOOKUP(A1938,Internal_lists_bugs!$A$2:$G7981,7,FALSE()),"please select a BUG ID")</f>
        <v>please select a BUG ID</v>
      </c>
    </row>
    <row r="1939">
      <c r="A1939" s="54"/>
      <c r="B1939" s="71" t="str">
        <f>IFERROR(HYPERLINK(VLOOKUP(A1939,Internal_lists_bugs!$A$2:$C$73,3,FALSE()), VLOOKUP(A1939,Internal_lists_bugs!$A$2:$C$73,3,FALSE())&amp;Char(10) &amp; Char(10) &amp; VLOOKUP(A1939,Internal_lists_bugs!$A$2:$Z$73,26,FALSE())),"please select a BUG ID")</f>
        <v>please select a BUG ID</v>
      </c>
      <c r="C1939" s="51" t="str">
        <f>IFERROR(VLOOKUP(A1939,Internal_lists_bugs!$A$2:$I7981,9,FALSE()),"please select a BUG ID")</f>
        <v>please select a BUG ID</v>
      </c>
      <c r="D1939" s="114"/>
      <c r="E1939" s="114"/>
      <c r="F1939" s="115"/>
      <c r="G1939" s="82"/>
      <c r="H1939" s="92"/>
      <c r="I1939" s="54"/>
      <c r="K1939" s="54"/>
      <c r="M1939" s="114" t="str">
        <f>VLOOKUP(A1939,'BIC_(C_Variables)'!$A$3:$AS$43,45,FALSE())</f>
        <v>#N/A</v>
      </c>
      <c r="N1939" s="1"/>
      <c r="O1939" s="1"/>
      <c r="P1939" s="51" t="str">
        <f>IFERROR(VLOOKUP(A1939,Internal_lists_bugs!$A$2:$G7981,7,FALSE()),"please select a BUG ID")</f>
        <v>please select a BUG ID</v>
      </c>
    </row>
    <row r="1940">
      <c r="A1940" s="54"/>
      <c r="B1940" s="71" t="str">
        <f>IFERROR(HYPERLINK(VLOOKUP(A1940,Internal_lists_bugs!$A$2:$C$73,3,FALSE()), VLOOKUP(A1940,Internal_lists_bugs!$A$2:$C$73,3,FALSE())&amp;Char(10) &amp; Char(10) &amp; VLOOKUP(A1940,Internal_lists_bugs!$A$2:$Z$73,26,FALSE())),"please select a BUG ID")</f>
        <v>please select a BUG ID</v>
      </c>
      <c r="C1940" s="51" t="str">
        <f>IFERROR(VLOOKUP(A1940,Internal_lists_bugs!$A$2:$I7981,9,FALSE()),"please select a BUG ID")</f>
        <v>please select a BUG ID</v>
      </c>
      <c r="D1940" s="114"/>
      <c r="E1940" s="114"/>
      <c r="F1940" s="115"/>
      <c r="G1940" s="82"/>
      <c r="H1940" s="92"/>
      <c r="I1940" s="54"/>
      <c r="K1940" s="54"/>
      <c r="M1940" s="114" t="str">
        <f>VLOOKUP(A1940,'BIC_(C_Variables)'!$A$3:$AS$43,45,FALSE())</f>
        <v>#N/A</v>
      </c>
      <c r="N1940" s="1"/>
      <c r="O1940" s="1"/>
      <c r="P1940" s="51" t="str">
        <f>IFERROR(VLOOKUP(A1940,Internal_lists_bugs!$A$2:$G7981,7,FALSE()),"please select a BUG ID")</f>
        <v>please select a BUG ID</v>
      </c>
    </row>
    <row r="1941">
      <c r="A1941" s="54"/>
      <c r="B1941" s="71" t="str">
        <f>IFERROR(HYPERLINK(VLOOKUP(A1941,Internal_lists_bugs!$A$2:$C$73,3,FALSE()), VLOOKUP(A1941,Internal_lists_bugs!$A$2:$C$73,3,FALSE())&amp;Char(10) &amp; Char(10) &amp; VLOOKUP(A1941,Internal_lists_bugs!$A$2:$Z$73,26,FALSE())),"please select a BUG ID")</f>
        <v>please select a BUG ID</v>
      </c>
      <c r="C1941" s="51" t="str">
        <f>IFERROR(VLOOKUP(A1941,Internal_lists_bugs!$A$2:$I7981,9,FALSE()),"please select a BUG ID")</f>
        <v>please select a BUG ID</v>
      </c>
      <c r="D1941" s="114"/>
      <c r="E1941" s="114"/>
      <c r="F1941" s="115"/>
      <c r="G1941" s="82"/>
      <c r="H1941" s="92"/>
      <c r="I1941" s="54"/>
      <c r="K1941" s="54"/>
      <c r="M1941" s="114" t="str">
        <f>VLOOKUP(A1941,'BIC_(C_Variables)'!$A$3:$AS$43,45,FALSE())</f>
        <v>#N/A</v>
      </c>
      <c r="N1941" s="1"/>
      <c r="O1941" s="1"/>
      <c r="P1941" s="51" t="str">
        <f>IFERROR(VLOOKUP(A1941,Internal_lists_bugs!$A$2:$G7981,7,FALSE()),"please select a BUG ID")</f>
        <v>please select a BUG ID</v>
      </c>
    </row>
    <row r="1942">
      <c r="A1942" s="54"/>
      <c r="B1942" s="71" t="str">
        <f>IFERROR(HYPERLINK(VLOOKUP(A1942,Internal_lists_bugs!$A$2:$C$73,3,FALSE()), VLOOKUP(A1942,Internal_lists_bugs!$A$2:$C$73,3,FALSE())&amp;Char(10) &amp; Char(10) &amp; VLOOKUP(A1942,Internal_lists_bugs!$A$2:$Z$73,26,FALSE())),"please select a BUG ID")</f>
        <v>please select a BUG ID</v>
      </c>
      <c r="C1942" s="51" t="str">
        <f>IFERROR(VLOOKUP(A1942,Internal_lists_bugs!$A$2:$I7981,9,FALSE()),"please select a BUG ID")</f>
        <v>please select a BUG ID</v>
      </c>
      <c r="D1942" s="114"/>
      <c r="E1942" s="114"/>
      <c r="F1942" s="115"/>
      <c r="G1942" s="82"/>
      <c r="H1942" s="92"/>
      <c r="I1942" s="54"/>
      <c r="K1942" s="54"/>
      <c r="M1942" s="114" t="str">
        <f>VLOOKUP(A1942,'BIC_(C_Variables)'!$A$3:$AS$43,45,FALSE())</f>
        <v>#N/A</v>
      </c>
      <c r="N1942" s="1"/>
      <c r="O1942" s="1"/>
      <c r="P1942" s="51" t="str">
        <f>IFERROR(VLOOKUP(A1942,Internal_lists_bugs!$A$2:$G7981,7,FALSE()),"please select a BUG ID")</f>
        <v>please select a BUG ID</v>
      </c>
    </row>
    <row r="1943">
      <c r="A1943" s="54"/>
      <c r="B1943" s="71" t="str">
        <f>IFERROR(HYPERLINK(VLOOKUP(A1943,Internal_lists_bugs!$A$2:$C$73,3,FALSE()), VLOOKUP(A1943,Internal_lists_bugs!$A$2:$C$73,3,FALSE())&amp;Char(10) &amp; Char(10) &amp; VLOOKUP(A1943,Internal_lists_bugs!$A$2:$Z$73,26,FALSE())),"please select a BUG ID")</f>
        <v>please select a BUG ID</v>
      </c>
      <c r="C1943" s="51" t="str">
        <f>IFERROR(VLOOKUP(A1943,Internal_lists_bugs!$A$2:$I7981,9,FALSE()),"please select a BUG ID")</f>
        <v>please select a BUG ID</v>
      </c>
      <c r="D1943" s="114"/>
      <c r="E1943" s="114"/>
      <c r="F1943" s="115"/>
      <c r="G1943" s="82"/>
      <c r="H1943" s="92"/>
      <c r="I1943" s="54"/>
      <c r="K1943" s="54"/>
      <c r="M1943" s="114" t="str">
        <f>VLOOKUP(A1943,'BIC_(C_Variables)'!$A$3:$AS$43,45,FALSE())</f>
        <v>#N/A</v>
      </c>
      <c r="N1943" s="1"/>
      <c r="O1943" s="1"/>
      <c r="P1943" s="51" t="str">
        <f>IFERROR(VLOOKUP(A1943,Internal_lists_bugs!$A$2:$G7981,7,FALSE()),"please select a BUG ID")</f>
        <v>please select a BUG ID</v>
      </c>
    </row>
    <row r="1944">
      <c r="A1944" s="54"/>
      <c r="B1944" s="71" t="str">
        <f>IFERROR(HYPERLINK(VLOOKUP(A1944,Internal_lists_bugs!$A$2:$C$73,3,FALSE()), VLOOKUP(A1944,Internal_lists_bugs!$A$2:$C$73,3,FALSE())&amp;Char(10) &amp; Char(10) &amp; VLOOKUP(A1944,Internal_lists_bugs!$A$2:$Z$73,26,FALSE())),"please select a BUG ID")</f>
        <v>please select a BUG ID</v>
      </c>
      <c r="C1944" s="51" t="str">
        <f>IFERROR(VLOOKUP(A1944,Internal_lists_bugs!$A$2:$I7981,9,FALSE()),"please select a BUG ID")</f>
        <v>please select a BUG ID</v>
      </c>
      <c r="D1944" s="114"/>
      <c r="E1944" s="114"/>
      <c r="F1944" s="115"/>
      <c r="G1944" s="82"/>
      <c r="H1944" s="92"/>
      <c r="I1944" s="54"/>
      <c r="K1944" s="54"/>
      <c r="M1944" s="114" t="str">
        <f>VLOOKUP(A1944,'BIC_(C_Variables)'!$A$3:$AS$43,45,FALSE())</f>
        <v>#N/A</v>
      </c>
      <c r="N1944" s="1"/>
      <c r="O1944" s="1"/>
      <c r="P1944" s="51" t="str">
        <f>IFERROR(VLOOKUP(A1944,Internal_lists_bugs!$A$2:$G7981,7,FALSE()),"please select a BUG ID")</f>
        <v>please select a BUG ID</v>
      </c>
    </row>
    <row r="1945">
      <c r="A1945" s="54"/>
      <c r="B1945" s="71" t="str">
        <f>IFERROR(HYPERLINK(VLOOKUP(A1945,Internal_lists_bugs!$A$2:$C$73,3,FALSE()), VLOOKUP(A1945,Internal_lists_bugs!$A$2:$C$73,3,FALSE())&amp;Char(10) &amp; Char(10) &amp; VLOOKUP(A1945,Internal_lists_bugs!$A$2:$Z$73,26,FALSE())),"please select a BUG ID")</f>
        <v>please select a BUG ID</v>
      </c>
      <c r="C1945" s="51" t="str">
        <f>IFERROR(VLOOKUP(A1945,Internal_lists_bugs!$A$2:$I7981,9,FALSE()),"please select a BUG ID")</f>
        <v>please select a BUG ID</v>
      </c>
      <c r="D1945" s="114"/>
      <c r="E1945" s="114"/>
      <c r="F1945" s="115"/>
      <c r="G1945" s="82"/>
      <c r="H1945" s="92"/>
      <c r="I1945" s="54"/>
      <c r="K1945" s="54"/>
      <c r="M1945" s="114" t="str">
        <f>VLOOKUP(A1945,'BIC_(C_Variables)'!$A$3:$AS$43,45,FALSE())</f>
        <v>#N/A</v>
      </c>
      <c r="N1945" s="1"/>
      <c r="O1945" s="1"/>
      <c r="P1945" s="51" t="str">
        <f>IFERROR(VLOOKUP(A1945,Internal_lists_bugs!$A$2:$G7981,7,FALSE()),"please select a BUG ID")</f>
        <v>please select a BUG ID</v>
      </c>
    </row>
    <row r="1946">
      <c r="A1946" s="54"/>
      <c r="B1946" s="71" t="str">
        <f>IFERROR(HYPERLINK(VLOOKUP(A1946,Internal_lists_bugs!$A$2:$C$73,3,FALSE()), VLOOKUP(A1946,Internal_lists_bugs!$A$2:$C$73,3,FALSE())&amp;Char(10) &amp; Char(10) &amp; VLOOKUP(A1946,Internal_lists_bugs!$A$2:$Z$73,26,FALSE())),"please select a BUG ID")</f>
        <v>please select a BUG ID</v>
      </c>
      <c r="C1946" s="51" t="str">
        <f>IFERROR(VLOOKUP(A1946,Internal_lists_bugs!$A$2:$I7981,9,FALSE()),"please select a BUG ID")</f>
        <v>please select a BUG ID</v>
      </c>
      <c r="D1946" s="114"/>
      <c r="E1946" s="114"/>
      <c r="F1946" s="115"/>
      <c r="G1946" s="82"/>
      <c r="H1946" s="92"/>
      <c r="I1946" s="54"/>
      <c r="K1946" s="54"/>
      <c r="M1946" s="114" t="str">
        <f>VLOOKUP(A1946,'BIC_(C_Variables)'!$A$3:$AS$43,45,FALSE())</f>
        <v>#N/A</v>
      </c>
      <c r="N1946" s="1"/>
      <c r="O1946" s="1"/>
      <c r="P1946" s="51" t="str">
        <f>IFERROR(VLOOKUP(A1946,Internal_lists_bugs!$A$2:$G7981,7,FALSE()),"please select a BUG ID")</f>
        <v>please select a BUG ID</v>
      </c>
    </row>
    <row r="1947">
      <c r="A1947" s="54"/>
      <c r="B1947" s="71" t="str">
        <f>IFERROR(HYPERLINK(VLOOKUP(A1947,Internal_lists_bugs!$A$2:$C$73,3,FALSE()), VLOOKUP(A1947,Internal_lists_bugs!$A$2:$C$73,3,FALSE())&amp;Char(10) &amp; Char(10) &amp; VLOOKUP(A1947,Internal_lists_bugs!$A$2:$Z$73,26,FALSE())),"please select a BUG ID")</f>
        <v>please select a BUG ID</v>
      </c>
      <c r="C1947" s="51" t="str">
        <f>IFERROR(VLOOKUP(A1947,Internal_lists_bugs!$A$2:$I7981,9,FALSE()),"please select a BUG ID")</f>
        <v>please select a BUG ID</v>
      </c>
      <c r="D1947" s="114"/>
      <c r="E1947" s="114"/>
      <c r="F1947" s="115"/>
      <c r="G1947" s="82"/>
      <c r="H1947" s="92"/>
      <c r="I1947" s="54"/>
      <c r="K1947" s="54"/>
      <c r="M1947" s="114" t="str">
        <f>VLOOKUP(A1947,'BIC_(C_Variables)'!$A$3:$AS$43,45,FALSE())</f>
        <v>#N/A</v>
      </c>
      <c r="N1947" s="1"/>
      <c r="O1947" s="1"/>
      <c r="P1947" s="51" t="str">
        <f>IFERROR(VLOOKUP(A1947,Internal_lists_bugs!$A$2:$G7981,7,FALSE()),"please select a BUG ID")</f>
        <v>please select a BUG ID</v>
      </c>
    </row>
    <row r="1948">
      <c r="A1948" s="54"/>
      <c r="B1948" s="71" t="str">
        <f>IFERROR(HYPERLINK(VLOOKUP(A1948,Internal_lists_bugs!$A$2:$C$73,3,FALSE()), VLOOKUP(A1948,Internal_lists_bugs!$A$2:$C$73,3,FALSE())&amp;Char(10) &amp; Char(10) &amp; VLOOKUP(A1948,Internal_lists_bugs!$A$2:$Z$73,26,FALSE())),"please select a BUG ID")</f>
        <v>please select a BUG ID</v>
      </c>
      <c r="C1948" s="51" t="str">
        <f>IFERROR(VLOOKUP(A1948,Internal_lists_bugs!$A$2:$I7981,9,FALSE()),"please select a BUG ID")</f>
        <v>please select a BUG ID</v>
      </c>
      <c r="D1948" s="114"/>
      <c r="E1948" s="114"/>
      <c r="F1948" s="115"/>
      <c r="G1948" s="82"/>
      <c r="H1948" s="92"/>
      <c r="I1948" s="54"/>
      <c r="K1948" s="54"/>
      <c r="M1948" s="114" t="str">
        <f>VLOOKUP(A1948,'BIC_(C_Variables)'!$A$3:$AS$43,45,FALSE())</f>
        <v>#N/A</v>
      </c>
      <c r="N1948" s="1"/>
      <c r="O1948" s="1"/>
      <c r="P1948" s="51" t="str">
        <f>IFERROR(VLOOKUP(A1948,Internal_lists_bugs!$A$2:$G7981,7,FALSE()),"please select a BUG ID")</f>
        <v>please select a BUG ID</v>
      </c>
    </row>
    <row r="1949">
      <c r="A1949" s="54"/>
      <c r="B1949" s="71" t="str">
        <f>IFERROR(HYPERLINK(VLOOKUP(A1949,Internal_lists_bugs!$A$2:$C$73,3,FALSE()), VLOOKUP(A1949,Internal_lists_bugs!$A$2:$C$73,3,FALSE())&amp;Char(10) &amp; Char(10) &amp; VLOOKUP(A1949,Internal_lists_bugs!$A$2:$Z$73,26,FALSE())),"please select a BUG ID")</f>
        <v>please select a BUG ID</v>
      </c>
      <c r="C1949" s="51" t="str">
        <f>IFERROR(VLOOKUP(A1949,Internal_lists_bugs!$A$2:$I7981,9,FALSE()),"please select a BUG ID")</f>
        <v>please select a BUG ID</v>
      </c>
      <c r="D1949" s="114"/>
      <c r="E1949" s="114"/>
      <c r="F1949" s="115"/>
      <c r="G1949" s="82"/>
      <c r="H1949" s="92"/>
      <c r="I1949" s="54"/>
      <c r="K1949" s="54"/>
      <c r="M1949" s="114" t="str">
        <f>VLOOKUP(A1949,'BIC_(C_Variables)'!$A$3:$AS$43,45,FALSE())</f>
        <v>#N/A</v>
      </c>
      <c r="N1949" s="1"/>
      <c r="O1949" s="1"/>
      <c r="P1949" s="51" t="str">
        <f>IFERROR(VLOOKUP(A1949,Internal_lists_bugs!$A$2:$G7981,7,FALSE()),"please select a BUG ID")</f>
        <v>please select a BUG ID</v>
      </c>
    </row>
    <row r="1950">
      <c r="A1950" s="54"/>
      <c r="B1950" s="71" t="str">
        <f>IFERROR(HYPERLINK(VLOOKUP(A1950,Internal_lists_bugs!$A$2:$C$73,3,FALSE()), VLOOKUP(A1950,Internal_lists_bugs!$A$2:$C$73,3,FALSE())&amp;Char(10) &amp; Char(10) &amp; VLOOKUP(A1950,Internal_lists_bugs!$A$2:$Z$73,26,FALSE())),"please select a BUG ID")</f>
        <v>please select a BUG ID</v>
      </c>
      <c r="C1950" s="51" t="str">
        <f>IFERROR(VLOOKUP(A1950,Internal_lists_bugs!$A$2:$I7981,9,FALSE()),"please select a BUG ID")</f>
        <v>please select a BUG ID</v>
      </c>
      <c r="D1950" s="114"/>
      <c r="E1950" s="114"/>
      <c r="F1950" s="115"/>
      <c r="G1950" s="82"/>
      <c r="H1950" s="92"/>
      <c r="I1950" s="54"/>
      <c r="K1950" s="54"/>
      <c r="M1950" s="114" t="str">
        <f>VLOOKUP(A1950,'BIC_(C_Variables)'!$A$3:$AS$43,45,FALSE())</f>
        <v>#N/A</v>
      </c>
      <c r="N1950" s="1"/>
      <c r="O1950" s="1"/>
      <c r="P1950" s="51" t="str">
        <f>IFERROR(VLOOKUP(A1950,Internal_lists_bugs!$A$2:$G7981,7,FALSE()),"please select a BUG ID")</f>
        <v>please select a BUG ID</v>
      </c>
    </row>
    <row r="1951">
      <c r="A1951" s="54"/>
      <c r="B1951" s="71" t="str">
        <f>IFERROR(HYPERLINK(VLOOKUP(A1951,Internal_lists_bugs!$A$2:$C$73,3,FALSE()), VLOOKUP(A1951,Internal_lists_bugs!$A$2:$C$73,3,FALSE())&amp;Char(10) &amp; Char(10) &amp; VLOOKUP(A1951,Internal_lists_bugs!$A$2:$Z$73,26,FALSE())),"please select a BUG ID")</f>
        <v>please select a BUG ID</v>
      </c>
      <c r="C1951" s="51" t="str">
        <f>IFERROR(VLOOKUP(A1951,Internal_lists_bugs!$A$2:$I7981,9,FALSE()),"please select a BUG ID")</f>
        <v>please select a BUG ID</v>
      </c>
      <c r="D1951" s="114"/>
      <c r="E1951" s="114"/>
      <c r="F1951" s="115"/>
      <c r="G1951" s="82"/>
      <c r="H1951" s="92"/>
      <c r="I1951" s="54"/>
      <c r="K1951" s="54"/>
      <c r="M1951" s="114" t="str">
        <f>VLOOKUP(A1951,'BIC_(C_Variables)'!$A$3:$AS$43,45,FALSE())</f>
        <v>#N/A</v>
      </c>
      <c r="N1951" s="1"/>
      <c r="O1951" s="1"/>
      <c r="P1951" s="51" t="str">
        <f>IFERROR(VLOOKUP(A1951,Internal_lists_bugs!$A$2:$G7981,7,FALSE()),"please select a BUG ID")</f>
        <v>please select a BUG ID</v>
      </c>
    </row>
    <row r="1952">
      <c r="A1952" s="54"/>
      <c r="B1952" s="71" t="str">
        <f>IFERROR(HYPERLINK(VLOOKUP(A1952,Internal_lists_bugs!$A$2:$C$73,3,FALSE()), VLOOKUP(A1952,Internal_lists_bugs!$A$2:$C$73,3,FALSE())&amp;Char(10) &amp; Char(10) &amp; VLOOKUP(A1952,Internal_lists_bugs!$A$2:$Z$73,26,FALSE())),"please select a BUG ID")</f>
        <v>please select a BUG ID</v>
      </c>
      <c r="C1952" s="51" t="str">
        <f>IFERROR(VLOOKUP(A1952,Internal_lists_bugs!$A$2:$I7981,9,FALSE()),"please select a BUG ID")</f>
        <v>please select a BUG ID</v>
      </c>
      <c r="D1952" s="114"/>
      <c r="E1952" s="114"/>
      <c r="F1952" s="115"/>
      <c r="G1952" s="82"/>
      <c r="H1952" s="92"/>
      <c r="I1952" s="54"/>
      <c r="K1952" s="54"/>
      <c r="M1952" s="114" t="str">
        <f>VLOOKUP(A1952,'BIC_(C_Variables)'!$A$3:$AS$43,45,FALSE())</f>
        <v>#N/A</v>
      </c>
      <c r="N1952" s="1"/>
      <c r="O1952" s="1"/>
      <c r="P1952" s="51" t="str">
        <f>IFERROR(VLOOKUP(A1952,Internal_lists_bugs!$A$2:$G7981,7,FALSE()),"please select a BUG ID")</f>
        <v>please select a BUG ID</v>
      </c>
    </row>
    <row r="1953">
      <c r="A1953" s="54"/>
      <c r="B1953" s="71" t="str">
        <f>IFERROR(HYPERLINK(VLOOKUP(A1953,Internal_lists_bugs!$A$2:$C$73,3,FALSE()), VLOOKUP(A1953,Internal_lists_bugs!$A$2:$C$73,3,FALSE())&amp;Char(10) &amp; Char(10) &amp; VLOOKUP(A1953,Internal_lists_bugs!$A$2:$Z$73,26,FALSE())),"please select a BUG ID")</f>
        <v>please select a BUG ID</v>
      </c>
      <c r="C1953" s="51" t="str">
        <f>IFERROR(VLOOKUP(A1953,Internal_lists_bugs!$A$2:$I7981,9,FALSE()),"please select a BUG ID")</f>
        <v>please select a BUG ID</v>
      </c>
      <c r="D1953" s="114"/>
      <c r="E1953" s="114"/>
      <c r="F1953" s="115"/>
      <c r="G1953" s="82"/>
      <c r="H1953" s="92"/>
      <c r="I1953" s="54"/>
      <c r="K1953" s="54"/>
      <c r="M1953" s="114" t="str">
        <f>VLOOKUP(A1953,'BIC_(C_Variables)'!$A$3:$AS$43,45,FALSE())</f>
        <v>#N/A</v>
      </c>
      <c r="N1953" s="1"/>
      <c r="O1953" s="1"/>
      <c r="P1953" s="51" t="str">
        <f>IFERROR(VLOOKUP(A1953,Internal_lists_bugs!$A$2:$G7981,7,FALSE()),"please select a BUG ID")</f>
        <v>please select a BUG ID</v>
      </c>
    </row>
    <row r="1954">
      <c r="A1954" s="54"/>
      <c r="B1954" s="71" t="str">
        <f>IFERROR(HYPERLINK(VLOOKUP(A1954,Internal_lists_bugs!$A$2:$C$73,3,FALSE()), VLOOKUP(A1954,Internal_lists_bugs!$A$2:$C$73,3,FALSE())&amp;Char(10) &amp; Char(10) &amp; VLOOKUP(A1954,Internal_lists_bugs!$A$2:$Z$73,26,FALSE())),"please select a BUG ID")</f>
        <v>please select a BUG ID</v>
      </c>
      <c r="C1954" s="51" t="str">
        <f>IFERROR(VLOOKUP(A1954,Internal_lists_bugs!$A$2:$I7981,9,FALSE()),"please select a BUG ID")</f>
        <v>please select a BUG ID</v>
      </c>
      <c r="D1954" s="114"/>
      <c r="E1954" s="114"/>
      <c r="F1954" s="115"/>
      <c r="G1954" s="82"/>
      <c r="H1954" s="92"/>
      <c r="I1954" s="54"/>
      <c r="K1954" s="54"/>
      <c r="M1954" s="114" t="str">
        <f>VLOOKUP(A1954,'BIC_(C_Variables)'!$A$3:$AS$43,45,FALSE())</f>
        <v>#N/A</v>
      </c>
      <c r="N1954" s="1"/>
      <c r="O1954" s="1"/>
      <c r="P1954" s="51" t="str">
        <f>IFERROR(VLOOKUP(A1954,Internal_lists_bugs!$A$2:$G7981,7,FALSE()),"please select a BUG ID")</f>
        <v>please select a BUG ID</v>
      </c>
    </row>
    <row r="1955">
      <c r="A1955" s="54"/>
      <c r="B1955" s="71" t="str">
        <f>IFERROR(HYPERLINK(VLOOKUP(A1955,Internal_lists_bugs!$A$2:$C$73,3,FALSE()), VLOOKUP(A1955,Internal_lists_bugs!$A$2:$C$73,3,FALSE())&amp;Char(10) &amp; Char(10) &amp; VLOOKUP(A1955,Internal_lists_bugs!$A$2:$Z$73,26,FALSE())),"please select a BUG ID")</f>
        <v>please select a BUG ID</v>
      </c>
      <c r="C1955" s="51" t="str">
        <f>IFERROR(VLOOKUP(A1955,Internal_lists_bugs!$A$2:$I7981,9,FALSE()),"please select a BUG ID")</f>
        <v>please select a BUG ID</v>
      </c>
      <c r="D1955" s="114"/>
      <c r="E1955" s="114"/>
      <c r="F1955" s="115"/>
      <c r="G1955" s="82"/>
      <c r="H1955" s="92"/>
      <c r="I1955" s="54"/>
      <c r="K1955" s="54"/>
      <c r="M1955" s="114" t="str">
        <f>VLOOKUP(A1955,'BIC_(C_Variables)'!$A$3:$AS$43,45,FALSE())</f>
        <v>#N/A</v>
      </c>
      <c r="N1955" s="1"/>
      <c r="O1955" s="1"/>
      <c r="P1955" s="51" t="str">
        <f>IFERROR(VLOOKUP(A1955,Internal_lists_bugs!$A$2:$G7981,7,FALSE()),"please select a BUG ID")</f>
        <v>please select a BUG ID</v>
      </c>
    </row>
    <row r="1956">
      <c r="A1956" s="54"/>
      <c r="B1956" s="71" t="str">
        <f>IFERROR(HYPERLINK(VLOOKUP(A1956,Internal_lists_bugs!$A$2:$C$73,3,FALSE()), VLOOKUP(A1956,Internal_lists_bugs!$A$2:$C$73,3,FALSE())&amp;Char(10) &amp; Char(10) &amp; VLOOKUP(A1956,Internal_lists_bugs!$A$2:$Z$73,26,FALSE())),"please select a BUG ID")</f>
        <v>please select a BUG ID</v>
      </c>
      <c r="C1956" s="51" t="str">
        <f>IFERROR(VLOOKUP(A1956,Internal_lists_bugs!$A$2:$I7981,9,FALSE()),"please select a BUG ID")</f>
        <v>please select a BUG ID</v>
      </c>
      <c r="D1956" s="114"/>
      <c r="E1956" s="114"/>
      <c r="F1956" s="115"/>
      <c r="G1956" s="82"/>
      <c r="H1956" s="92"/>
      <c r="I1956" s="54"/>
      <c r="K1956" s="54"/>
      <c r="M1956" s="114" t="str">
        <f>VLOOKUP(A1956,'BIC_(C_Variables)'!$A$3:$AS$43,45,FALSE())</f>
        <v>#N/A</v>
      </c>
      <c r="N1956" s="1"/>
      <c r="O1956" s="15"/>
      <c r="P1956" s="51" t="str">
        <f>IFERROR(VLOOKUP(A1956,Internal_lists_bugs!$A$2:$G7981,7,FALSE()),"please select a BUG ID")</f>
        <v>please select a BUG ID</v>
      </c>
    </row>
    <row r="1957">
      <c r="A1957" s="54"/>
      <c r="B1957" s="71" t="str">
        <f>IFERROR(HYPERLINK(VLOOKUP(A1957,Internal_lists_bugs!$A$2:$C$73,3,FALSE()), VLOOKUP(A1957,Internal_lists_bugs!$A$2:$C$73,3,FALSE())&amp;Char(10) &amp; Char(10) &amp; VLOOKUP(A1957,Internal_lists_bugs!$A$2:$Z$73,26,FALSE())),"please select a BUG ID")</f>
        <v>please select a BUG ID</v>
      </c>
      <c r="C1957" s="51" t="str">
        <f>IFERROR(VLOOKUP(A1957,Internal_lists_bugs!$A$2:$I7981,9,FALSE()),"please select a BUG ID")</f>
        <v>please select a BUG ID</v>
      </c>
      <c r="D1957" s="114"/>
      <c r="E1957" s="114"/>
      <c r="F1957" s="115"/>
      <c r="G1957" s="82"/>
      <c r="H1957" s="92"/>
      <c r="I1957" s="54"/>
      <c r="K1957" s="54"/>
      <c r="M1957" s="114" t="str">
        <f>VLOOKUP(A1957,'BIC_(C_Variables)'!$A$3:$AS$43,45,FALSE())</f>
        <v>#N/A</v>
      </c>
      <c r="N1957" s="1"/>
      <c r="O1957" s="1"/>
      <c r="P1957" s="51" t="str">
        <f>IFERROR(VLOOKUP(A1957,Internal_lists_bugs!$A$2:$G7981,7,FALSE()),"please select a BUG ID")</f>
        <v>please select a BUG ID</v>
      </c>
    </row>
    <row r="1958">
      <c r="A1958" s="54"/>
      <c r="B1958" s="71" t="str">
        <f>IFERROR(HYPERLINK(VLOOKUP(A1958,Internal_lists_bugs!$A$2:$C$73,3,FALSE()), VLOOKUP(A1958,Internal_lists_bugs!$A$2:$C$73,3,FALSE())&amp;Char(10) &amp; Char(10) &amp; VLOOKUP(A1958,Internal_lists_bugs!$A$2:$Z$73,26,FALSE())),"please select a BUG ID")</f>
        <v>please select a BUG ID</v>
      </c>
      <c r="C1958" s="51" t="str">
        <f>IFERROR(VLOOKUP(A1958,Internal_lists_bugs!$A$2:$I7981,9,FALSE()),"please select a BUG ID")</f>
        <v>please select a BUG ID</v>
      </c>
      <c r="D1958" s="114"/>
      <c r="E1958" s="114"/>
      <c r="F1958" s="115"/>
      <c r="G1958" s="82"/>
      <c r="H1958" s="92"/>
      <c r="I1958" s="54"/>
      <c r="K1958" s="54"/>
      <c r="M1958" s="114" t="str">
        <f>VLOOKUP(A1958,'BIC_(C_Variables)'!$A$3:$AS$43,45,FALSE())</f>
        <v>#N/A</v>
      </c>
      <c r="N1958" s="1"/>
      <c r="O1958" s="1"/>
      <c r="P1958" s="51" t="str">
        <f>IFERROR(VLOOKUP(A1958,Internal_lists_bugs!$A$2:$G7981,7,FALSE()),"please select a BUG ID")</f>
        <v>please select a BUG ID</v>
      </c>
    </row>
    <row r="1959">
      <c r="A1959" s="54"/>
      <c r="B1959" s="71" t="str">
        <f>IFERROR(HYPERLINK(VLOOKUP(A1959,Internal_lists_bugs!$A$2:$C$73,3,FALSE()), VLOOKUP(A1959,Internal_lists_bugs!$A$2:$C$73,3,FALSE())&amp;Char(10) &amp; Char(10) &amp; VLOOKUP(A1959,Internal_lists_bugs!$A$2:$Z$73,26,FALSE())),"please select a BUG ID")</f>
        <v>please select a BUG ID</v>
      </c>
      <c r="C1959" s="51" t="str">
        <f>IFERROR(VLOOKUP(A1959,Internal_lists_bugs!$A$2:$I7981,9,FALSE()),"please select a BUG ID")</f>
        <v>please select a BUG ID</v>
      </c>
      <c r="D1959" s="114"/>
      <c r="E1959" s="114"/>
      <c r="F1959" s="115"/>
      <c r="G1959" s="82"/>
      <c r="H1959" s="92"/>
      <c r="I1959" s="54"/>
      <c r="K1959" s="54"/>
      <c r="M1959" s="114" t="str">
        <f>VLOOKUP(A1959,'BIC_(C_Variables)'!$A$3:$AS$43,45,FALSE())</f>
        <v>#N/A</v>
      </c>
      <c r="N1959" s="1"/>
      <c r="O1959" s="1"/>
      <c r="P1959" s="51" t="str">
        <f>IFERROR(VLOOKUP(A1959,Internal_lists_bugs!$A$2:$G7981,7,FALSE()),"please select a BUG ID")</f>
        <v>please select a BUG ID</v>
      </c>
    </row>
    <row r="1960">
      <c r="A1960" s="54"/>
      <c r="B1960" s="71" t="str">
        <f>IFERROR(HYPERLINK(VLOOKUP(A1960,Internal_lists_bugs!$A$2:$C$73,3,FALSE()), VLOOKUP(A1960,Internal_lists_bugs!$A$2:$C$73,3,FALSE())&amp;Char(10) &amp; Char(10) &amp; VLOOKUP(A1960,Internal_lists_bugs!$A$2:$Z$73,26,FALSE())),"please select a BUG ID")</f>
        <v>please select a BUG ID</v>
      </c>
      <c r="C1960" s="51" t="str">
        <f>IFERROR(VLOOKUP(A1960,Internal_lists_bugs!$A$2:$I7981,9,FALSE()),"please select a BUG ID")</f>
        <v>please select a BUG ID</v>
      </c>
      <c r="D1960" s="114"/>
      <c r="E1960" s="114"/>
      <c r="F1960" s="115"/>
      <c r="G1960" s="82"/>
      <c r="H1960" s="92"/>
      <c r="I1960" s="54"/>
      <c r="K1960" s="54"/>
      <c r="M1960" s="114" t="str">
        <f>VLOOKUP(A1960,'BIC_(C_Variables)'!$A$3:$AS$43,45,FALSE())</f>
        <v>#N/A</v>
      </c>
      <c r="N1960" s="1"/>
      <c r="O1960" s="1"/>
      <c r="P1960" s="51" t="str">
        <f>IFERROR(VLOOKUP(A1960,Internal_lists_bugs!$A$2:$G7981,7,FALSE()),"please select a BUG ID")</f>
        <v>please select a BUG ID</v>
      </c>
    </row>
    <row r="1961">
      <c r="A1961" s="54"/>
      <c r="B1961" s="71" t="str">
        <f>IFERROR(HYPERLINK(VLOOKUP(A1961,Internal_lists_bugs!$A$2:$C$73,3,FALSE()), VLOOKUP(A1961,Internal_lists_bugs!$A$2:$C$73,3,FALSE())&amp;Char(10) &amp; Char(10) &amp; VLOOKUP(A1961,Internal_lists_bugs!$A$2:$Z$73,26,FALSE())),"please select a BUG ID")</f>
        <v>please select a BUG ID</v>
      </c>
      <c r="C1961" s="51" t="str">
        <f>IFERROR(VLOOKUP(A1961,Internal_lists_bugs!$A$2:$I7981,9,FALSE()),"please select a BUG ID")</f>
        <v>please select a BUG ID</v>
      </c>
      <c r="D1961" s="114"/>
      <c r="E1961" s="114"/>
      <c r="F1961" s="115"/>
      <c r="G1961" s="82"/>
      <c r="H1961" s="92"/>
      <c r="I1961" s="54"/>
      <c r="K1961" s="54"/>
      <c r="M1961" s="114" t="str">
        <f>VLOOKUP(A1961,'BIC_(C_Variables)'!$A$3:$AS$43,45,FALSE())</f>
        <v>#N/A</v>
      </c>
      <c r="N1961" s="1"/>
      <c r="O1961" s="1"/>
      <c r="P1961" s="51" t="str">
        <f>IFERROR(VLOOKUP(A1961,Internal_lists_bugs!$A$2:$G7981,7,FALSE()),"please select a BUG ID")</f>
        <v>please select a BUG ID</v>
      </c>
    </row>
    <row r="1962">
      <c r="A1962" s="54"/>
      <c r="B1962" s="71" t="str">
        <f>IFERROR(HYPERLINK(VLOOKUP(A1962,Internal_lists_bugs!$A$2:$C$73,3,FALSE()), VLOOKUP(A1962,Internal_lists_bugs!$A$2:$C$73,3,FALSE())&amp;Char(10) &amp; Char(10) &amp; VLOOKUP(A1962,Internal_lists_bugs!$A$2:$Z$73,26,FALSE())),"please select a BUG ID")</f>
        <v>please select a BUG ID</v>
      </c>
      <c r="C1962" s="51" t="str">
        <f>IFERROR(VLOOKUP(A1962,Internal_lists_bugs!$A$2:$I7981,9,FALSE()),"please select a BUG ID")</f>
        <v>please select a BUG ID</v>
      </c>
      <c r="D1962" s="114"/>
      <c r="E1962" s="114"/>
      <c r="F1962" s="115"/>
      <c r="G1962" s="82"/>
      <c r="H1962" s="92"/>
      <c r="I1962" s="54"/>
      <c r="K1962" s="54"/>
      <c r="M1962" s="114" t="str">
        <f>VLOOKUP(A1962,'BIC_(C_Variables)'!$A$3:$AS$43,45,FALSE())</f>
        <v>#N/A</v>
      </c>
      <c r="N1962" s="1"/>
      <c r="O1962" s="1"/>
      <c r="P1962" s="51" t="str">
        <f>IFERROR(VLOOKUP(A1962,Internal_lists_bugs!$A$2:$G7981,7,FALSE()),"please select a BUG ID")</f>
        <v>please select a BUG ID</v>
      </c>
    </row>
    <row r="1963">
      <c r="A1963" s="54"/>
      <c r="B1963" s="71" t="str">
        <f>IFERROR(HYPERLINK(VLOOKUP(A1963,Internal_lists_bugs!$A$2:$C$73,3,FALSE()), VLOOKUP(A1963,Internal_lists_bugs!$A$2:$C$73,3,FALSE())&amp;Char(10) &amp; Char(10) &amp; VLOOKUP(A1963,Internal_lists_bugs!$A$2:$Z$73,26,FALSE())),"please select a BUG ID")</f>
        <v>please select a BUG ID</v>
      </c>
      <c r="C1963" s="51" t="str">
        <f>IFERROR(VLOOKUP(A1963,Internal_lists_bugs!$A$2:$I7981,9,FALSE()),"please select a BUG ID")</f>
        <v>please select a BUG ID</v>
      </c>
      <c r="D1963" s="114"/>
      <c r="E1963" s="114"/>
      <c r="F1963" s="115"/>
      <c r="G1963" s="82"/>
      <c r="H1963" s="92"/>
      <c r="I1963" s="54"/>
      <c r="K1963" s="54"/>
      <c r="M1963" s="114" t="str">
        <f>VLOOKUP(A1963,'BIC_(C_Variables)'!$A$3:$AS$43,45,FALSE())</f>
        <v>#N/A</v>
      </c>
      <c r="N1963" s="1"/>
      <c r="O1963" s="1"/>
      <c r="P1963" s="51" t="str">
        <f>IFERROR(VLOOKUP(A1963,Internal_lists_bugs!$A$2:$G7981,7,FALSE()),"please select a BUG ID")</f>
        <v>please select a BUG ID</v>
      </c>
    </row>
    <row r="1964">
      <c r="A1964" s="54"/>
      <c r="B1964" s="71" t="str">
        <f>IFERROR(HYPERLINK(VLOOKUP(A1964,Internal_lists_bugs!$A$2:$C$73,3,FALSE()), VLOOKUP(A1964,Internal_lists_bugs!$A$2:$C$73,3,FALSE())&amp;Char(10) &amp; Char(10) &amp; VLOOKUP(A1964,Internal_lists_bugs!$A$2:$Z$73,26,FALSE())),"please select a BUG ID")</f>
        <v>please select a BUG ID</v>
      </c>
      <c r="C1964" s="51" t="str">
        <f>IFERROR(VLOOKUP(A1964,Internal_lists_bugs!$A$2:$I7981,9,FALSE()),"please select a BUG ID")</f>
        <v>please select a BUG ID</v>
      </c>
      <c r="D1964" s="114"/>
      <c r="E1964" s="114"/>
      <c r="F1964" s="115"/>
      <c r="G1964" s="82"/>
      <c r="H1964" s="92"/>
      <c r="I1964" s="54"/>
      <c r="K1964" s="54"/>
      <c r="M1964" s="114" t="str">
        <f>VLOOKUP(A1964,'BIC_(C_Variables)'!$A$3:$AS$43,45,FALSE())</f>
        <v>#N/A</v>
      </c>
      <c r="N1964" s="1"/>
      <c r="O1964" s="1"/>
      <c r="P1964" s="51" t="str">
        <f>IFERROR(VLOOKUP(A1964,Internal_lists_bugs!$A$2:$G7981,7,FALSE()),"please select a BUG ID")</f>
        <v>please select a BUG ID</v>
      </c>
    </row>
    <row r="1965">
      <c r="A1965" s="54"/>
      <c r="B1965" s="71" t="str">
        <f>IFERROR(HYPERLINK(VLOOKUP(A1965,Internal_lists_bugs!$A$2:$C$73,3,FALSE()), VLOOKUP(A1965,Internal_lists_bugs!$A$2:$C$73,3,FALSE())&amp;Char(10) &amp; Char(10) &amp; VLOOKUP(A1965,Internal_lists_bugs!$A$2:$Z$73,26,FALSE())),"please select a BUG ID")</f>
        <v>please select a BUG ID</v>
      </c>
      <c r="C1965" s="51" t="str">
        <f>IFERROR(VLOOKUP(A1965,Internal_lists_bugs!$A$2:$I7981,9,FALSE()),"please select a BUG ID")</f>
        <v>please select a BUG ID</v>
      </c>
      <c r="D1965" s="114"/>
      <c r="E1965" s="114"/>
      <c r="F1965" s="115"/>
      <c r="G1965" s="82"/>
      <c r="H1965" s="92"/>
      <c r="I1965" s="54"/>
      <c r="K1965" s="54"/>
      <c r="M1965" s="114" t="str">
        <f>VLOOKUP(A1965,'BIC_(C_Variables)'!$A$3:$AS$43,45,FALSE())</f>
        <v>#N/A</v>
      </c>
      <c r="N1965" s="1"/>
      <c r="O1965" s="1"/>
      <c r="P1965" s="51" t="str">
        <f>IFERROR(VLOOKUP(A1965,Internal_lists_bugs!$A$2:$G7981,7,FALSE()),"please select a BUG ID")</f>
        <v>please select a BUG ID</v>
      </c>
    </row>
    <row r="1966">
      <c r="A1966" s="54"/>
      <c r="B1966" s="71" t="str">
        <f>IFERROR(HYPERLINK(VLOOKUP(A1966,Internal_lists_bugs!$A$2:$C$73,3,FALSE()), VLOOKUP(A1966,Internal_lists_bugs!$A$2:$C$73,3,FALSE())&amp;Char(10) &amp; Char(10) &amp; VLOOKUP(A1966,Internal_lists_bugs!$A$2:$Z$73,26,FALSE())),"please select a BUG ID")</f>
        <v>please select a BUG ID</v>
      </c>
      <c r="C1966" s="51" t="str">
        <f>IFERROR(VLOOKUP(A1966,Internal_lists_bugs!$A$2:$I7981,9,FALSE()),"please select a BUG ID")</f>
        <v>please select a BUG ID</v>
      </c>
      <c r="D1966" s="114"/>
      <c r="E1966" s="114"/>
      <c r="F1966" s="115"/>
      <c r="G1966" s="82"/>
      <c r="H1966" s="92"/>
      <c r="I1966" s="54"/>
      <c r="K1966" s="54"/>
      <c r="M1966" s="114" t="str">
        <f>VLOOKUP(A1966,'BIC_(C_Variables)'!$A$3:$AS$43,45,FALSE())</f>
        <v>#N/A</v>
      </c>
      <c r="N1966" s="1"/>
      <c r="O1966" s="1"/>
      <c r="P1966" s="51" t="str">
        <f>IFERROR(VLOOKUP(A1966,Internal_lists_bugs!$A$2:$G7981,7,FALSE()),"please select a BUG ID")</f>
        <v>please select a BUG ID</v>
      </c>
    </row>
    <row r="1967">
      <c r="A1967" s="54"/>
      <c r="B1967" s="71" t="str">
        <f>IFERROR(HYPERLINK(VLOOKUP(A1967,Internal_lists_bugs!$A$2:$C$73,3,FALSE()), VLOOKUP(A1967,Internal_lists_bugs!$A$2:$C$73,3,FALSE())&amp;Char(10) &amp; Char(10) &amp; VLOOKUP(A1967,Internal_lists_bugs!$A$2:$Z$73,26,FALSE())),"please select a BUG ID")</f>
        <v>please select a BUG ID</v>
      </c>
      <c r="C1967" s="51" t="str">
        <f>IFERROR(VLOOKUP(A1967,Internal_lists_bugs!$A$2:$I7981,9,FALSE()),"please select a BUG ID")</f>
        <v>please select a BUG ID</v>
      </c>
      <c r="D1967" s="114"/>
      <c r="E1967" s="114"/>
      <c r="F1967" s="115"/>
      <c r="G1967" s="82"/>
      <c r="H1967" s="92"/>
      <c r="I1967" s="54"/>
      <c r="K1967" s="54"/>
      <c r="M1967" s="114" t="str">
        <f>VLOOKUP(A1967,'BIC_(C_Variables)'!$A$3:$AS$43,45,FALSE())</f>
        <v>#N/A</v>
      </c>
      <c r="N1967" s="1"/>
      <c r="O1967" s="1"/>
      <c r="P1967" s="51" t="str">
        <f>IFERROR(VLOOKUP(A1967,Internal_lists_bugs!$A$2:$G7981,7,FALSE()),"please select a BUG ID")</f>
        <v>please select a BUG ID</v>
      </c>
    </row>
    <row r="1968">
      <c r="A1968" s="54"/>
      <c r="B1968" s="71" t="str">
        <f>IFERROR(HYPERLINK(VLOOKUP(A1968,Internal_lists_bugs!$A$2:$C$73,3,FALSE()), VLOOKUP(A1968,Internal_lists_bugs!$A$2:$C$73,3,FALSE())&amp;Char(10) &amp; Char(10) &amp; VLOOKUP(A1968,Internal_lists_bugs!$A$2:$Z$73,26,FALSE())),"please select a BUG ID")</f>
        <v>please select a BUG ID</v>
      </c>
      <c r="C1968" s="51" t="str">
        <f>IFERROR(VLOOKUP(A1968,Internal_lists_bugs!$A$2:$I7981,9,FALSE()),"please select a BUG ID")</f>
        <v>please select a BUG ID</v>
      </c>
      <c r="D1968" s="114"/>
      <c r="E1968" s="114"/>
      <c r="F1968" s="115"/>
      <c r="G1968" s="82"/>
      <c r="H1968" s="92"/>
      <c r="I1968" s="54"/>
      <c r="K1968" s="54"/>
      <c r="M1968" s="114" t="str">
        <f>VLOOKUP(A1968,'BIC_(C_Variables)'!$A$3:$AS$43,45,FALSE())</f>
        <v>#N/A</v>
      </c>
      <c r="N1968" s="1"/>
      <c r="O1968" s="1"/>
      <c r="P1968" s="51" t="str">
        <f>IFERROR(VLOOKUP(A1968,Internal_lists_bugs!$A$2:$G7981,7,FALSE()),"please select a BUG ID")</f>
        <v>please select a BUG ID</v>
      </c>
    </row>
    <row r="1969">
      <c r="A1969" s="54"/>
      <c r="B1969" s="71" t="str">
        <f>IFERROR(HYPERLINK(VLOOKUP(A1969,Internal_lists_bugs!$A$2:$C$73,3,FALSE()), VLOOKUP(A1969,Internal_lists_bugs!$A$2:$C$73,3,FALSE())&amp;Char(10) &amp; Char(10) &amp; VLOOKUP(A1969,Internal_lists_bugs!$A$2:$Z$73,26,FALSE())),"please select a BUG ID")</f>
        <v>please select a BUG ID</v>
      </c>
      <c r="C1969" s="51" t="str">
        <f>IFERROR(VLOOKUP(A1969,Internal_lists_bugs!$A$2:$I7981,9,FALSE()),"please select a BUG ID")</f>
        <v>please select a BUG ID</v>
      </c>
      <c r="D1969" s="114"/>
      <c r="E1969" s="114"/>
      <c r="F1969" s="115"/>
      <c r="G1969" s="82"/>
      <c r="H1969" s="92"/>
      <c r="I1969" s="54"/>
      <c r="K1969" s="54"/>
      <c r="M1969" s="114" t="str">
        <f>VLOOKUP(A1969,'BIC_(C_Variables)'!$A$3:$AS$43,45,FALSE())</f>
        <v>#N/A</v>
      </c>
      <c r="N1969" s="1"/>
      <c r="O1969" s="1"/>
      <c r="P1969" s="51" t="str">
        <f>IFERROR(VLOOKUP(A1969,Internal_lists_bugs!$A$2:$G7981,7,FALSE()),"please select a BUG ID")</f>
        <v>please select a BUG ID</v>
      </c>
    </row>
    <row r="1970">
      <c r="A1970" s="54"/>
      <c r="B1970" s="71" t="str">
        <f>IFERROR(HYPERLINK(VLOOKUP(A1970,Internal_lists_bugs!$A$2:$C$73,3,FALSE()), VLOOKUP(A1970,Internal_lists_bugs!$A$2:$C$73,3,FALSE())&amp;Char(10) &amp; Char(10) &amp; VLOOKUP(A1970,Internal_lists_bugs!$A$2:$Z$73,26,FALSE())),"please select a BUG ID")</f>
        <v>please select a BUG ID</v>
      </c>
      <c r="C1970" s="51" t="str">
        <f>IFERROR(VLOOKUP(A1970,Internal_lists_bugs!$A$2:$I7981,9,FALSE()),"please select a BUG ID")</f>
        <v>please select a BUG ID</v>
      </c>
      <c r="D1970" s="114"/>
      <c r="E1970" s="114"/>
      <c r="F1970" s="115"/>
      <c r="G1970" s="82"/>
      <c r="H1970" s="92"/>
      <c r="I1970" s="54"/>
      <c r="K1970" s="54"/>
      <c r="M1970" s="114" t="str">
        <f>VLOOKUP(A1970,'BIC_(C_Variables)'!$A$3:$AS$43,45,FALSE())</f>
        <v>#N/A</v>
      </c>
      <c r="N1970" s="1"/>
      <c r="O1970" s="124"/>
      <c r="P1970" s="51" t="str">
        <f>IFERROR(VLOOKUP(A1970,Internal_lists_bugs!$A$2:$G7981,7,FALSE()),"please select a BUG ID")</f>
        <v>please select a BUG ID</v>
      </c>
    </row>
    <row r="1971">
      <c r="A1971" s="54"/>
      <c r="B1971" s="71" t="str">
        <f>IFERROR(HYPERLINK(VLOOKUP(A1971,Internal_lists_bugs!$A$2:$C$73,3,FALSE()), VLOOKUP(A1971,Internal_lists_bugs!$A$2:$C$73,3,FALSE())&amp;Char(10) &amp; Char(10) &amp; VLOOKUP(A1971,Internal_lists_bugs!$A$2:$Z$73,26,FALSE())),"please select a BUG ID")</f>
        <v>please select a BUG ID</v>
      </c>
      <c r="C1971" s="51" t="str">
        <f>IFERROR(VLOOKUP(A1971,Internal_lists_bugs!$A$2:$I7981,9,FALSE()),"please select a BUG ID")</f>
        <v>please select a BUG ID</v>
      </c>
      <c r="D1971" s="114"/>
      <c r="E1971" s="114"/>
      <c r="F1971" s="115"/>
      <c r="G1971" s="82"/>
      <c r="H1971" s="92"/>
      <c r="I1971" s="54"/>
      <c r="K1971" s="54"/>
      <c r="M1971" s="114" t="str">
        <f>VLOOKUP(A1971,'BIC_(C_Variables)'!$A$3:$AS$43,45,FALSE())</f>
        <v>#N/A</v>
      </c>
      <c r="N1971" s="1"/>
      <c r="O1971" s="1"/>
      <c r="P1971" s="51" t="str">
        <f>IFERROR(VLOOKUP(A1971,Internal_lists_bugs!$A$2:$G7981,7,FALSE()),"please select a BUG ID")</f>
        <v>please select a BUG ID</v>
      </c>
    </row>
    <row r="1972">
      <c r="A1972" s="54"/>
      <c r="B1972" s="71" t="str">
        <f>IFERROR(HYPERLINK(VLOOKUP(A1972,Internal_lists_bugs!$A$2:$C$73,3,FALSE()), VLOOKUP(A1972,Internal_lists_bugs!$A$2:$C$73,3,FALSE())&amp;Char(10) &amp; Char(10) &amp; VLOOKUP(A1972,Internal_lists_bugs!$A$2:$Z$73,26,FALSE())),"please select a BUG ID")</f>
        <v>please select a BUG ID</v>
      </c>
      <c r="C1972" s="51" t="str">
        <f>IFERROR(VLOOKUP(A1972,Internal_lists_bugs!$A$2:$I7981,9,FALSE()),"please select a BUG ID")</f>
        <v>please select a BUG ID</v>
      </c>
      <c r="D1972" s="114"/>
      <c r="E1972" s="114"/>
      <c r="F1972" s="115"/>
      <c r="G1972" s="82"/>
      <c r="H1972" s="92"/>
      <c r="I1972" s="54"/>
      <c r="K1972" s="54"/>
      <c r="M1972" s="114" t="str">
        <f>VLOOKUP(A1972,'BIC_(C_Variables)'!$A$3:$AS$43,45,FALSE())</f>
        <v>#N/A</v>
      </c>
      <c r="N1972" s="1"/>
      <c r="O1972" s="1"/>
      <c r="P1972" s="51" t="str">
        <f>IFERROR(VLOOKUP(A1972,Internal_lists_bugs!$A$2:$G7981,7,FALSE()),"please select a BUG ID")</f>
        <v>please select a BUG ID</v>
      </c>
    </row>
    <row r="1973">
      <c r="A1973" s="54"/>
      <c r="B1973" s="71" t="str">
        <f>IFERROR(HYPERLINK(VLOOKUP(A1973,Internal_lists_bugs!$A$2:$C$73,3,FALSE()), VLOOKUP(A1973,Internal_lists_bugs!$A$2:$C$73,3,FALSE())&amp;Char(10) &amp; Char(10) &amp; VLOOKUP(A1973,Internal_lists_bugs!$A$2:$Z$73,26,FALSE())),"please select a BUG ID")</f>
        <v>please select a BUG ID</v>
      </c>
      <c r="C1973" s="51" t="str">
        <f>IFERROR(VLOOKUP(A1973,Internal_lists_bugs!$A$2:$I7981,9,FALSE()),"please select a BUG ID")</f>
        <v>please select a BUG ID</v>
      </c>
      <c r="D1973" s="114"/>
      <c r="E1973" s="114"/>
      <c r="F1973" s="115"/>
      <c r="G1973" s="82"/>
      <c r="H1973" s="92"/>
      <c r="I1973" s="54"/>
      <c r="K1973" s="54"/>
      <c r="M1973" s="114" t="str">
        <f>VLOOKUP(A1973,'BIC_(C_Variables)'!$A$3:$AS$43,45,FALSE())</f>
        <v>#N/A</v>
      </c>
      <c r="N1973" s="1"/>
      <c r="O1973" s="1"/>
      <c r="P1973" s="51" t="str">
        <f>IFERROR(VLOOKUP(A1973,Internal_lists_bugs!$A$2:$G7981,7,FALSE()),"please select a BUG ID")</f>
        <v>please select a BUG ID</v>
      </c>
    </row>
    <row r="1974">
      <c r="A1974" s="54"/>
      <c r="B1974" s="71" t="str">
        <f>IFERROR(HYPERLINK(VLOOKUP(A1974,Internal_lists_bugs!$A$2:$C$73,3,FALSE()), VLOOKUP(A1974,Internal_lists_bugs!$A$2:$C$73,3,FALSE())&amp;Char(10) &amp; Char(10) &amp; VLOOKUP(A1974,Internal_lists_bugs!$A$2:$Z$73,26,FALSE())),"please select a BUG ID")</f>
        <v>please select a BUG ID</v>
      </c>
      <c r="C1974" s="51" t="str">
        <f>IFERROR(VLOOKUP(A1974,Internal_lists_bugs!$A$2:$I7981,9,FALSE()),"please select a BUG ID")</f>
        <v>please select a BUG ID</v>
      </c>
      <c r="D1974" s="114"/>
      <c r="E1974" s="114"/>
      <c r="F1974" s="115"/>
      <c r="G1974" s="82"/>
      <c r="H1974" s="92"/>
      <c r="I1974" s="54"/>
      <c r="K1974" s="54"/>
      <c r="M1974" s="114" t="str">
        <f>VLOOKUP(A1974,'BIC_(C_Variables)'!$A$3:$AS$43,45,FALSE())</f>
        <v>#N/A</v>
      </c>
      <c r="N1974" s="1"/>
      <c r="O1974" s="1"/>
      <c r="P1974" s="51" t="str">
        <f>IFERROR(VLOOKUP(A1974,Internal_lists_bugs!$A$2:$G7981,7,FALSE()),"please select a BUG ID")</f>
        <v>please select a BUG ID</v>
      </c>
    </row>
    <row r="1975">
      <c r="A1975" s="54"/>
      <c r="B1975" s="71" t="str">
        <f>IFERROR(HYPERLINK(VLOOKUP(A1975,Internal_lists_bugs!$A$2:$C$73,3,FALSE()), VLOOKUP(A1975,Internal_lists_bugs!$A$2:$C$73,3,FALSE())&amp;Char(10) &amp; Char(10) &amp; VLOOKUP(A1975,Internal_lists_bugs!$A$2:$Z$73,26,FALSE())),"please select a BUG ID")</f>
        <v>please select a BUG ID</v>
      </c>
      <c r="C1975" s="51" t="str">
        <f>IFERROR(VLOOKUP(A1975,Internal_lists_bugs!$A$2:$I7981,9,FALSE()),"please select a BUG ID")</f>
        <v>please select a BUG ID</v>
      </c>
      <c r="D1975" s="114"/>
      <c r="E1975" s="114"/>
      <c r="F1975" s="115"/>
      <c r="G1975" s="82"/>
      <c r="H1975" s="92"/>
      <c r="I1975" s="54"/>
      <c r="K1975" s="54"/>
      <c r="M1975" s="114" t="str">
        <f>VLOOKUP(A1975,'BIC_(C_Variables)'!$A$3:$AS$43,45,FALSE())</f>
        <v>#N/A</v>
      </c>
      <c r="N1975" s="1"/>
      <c r="O1975" s="1"/>
      <c r="P1975" s="51" t="str">
        <f>IFERROR(VLOOKUP(A1975,Internal_lists_bugs!$A$2:$G7981,7,FALSE()),"please select a BUG ID")</f>
        <v>please select a BUG ID</v>
      </c>
    </row>
    <row r="1976">
      <c r="A1976" s="54"/>
      <c r="B1976" s="71" t="str">
        <f>IFERROR(HYPERLINK(VLOOKUP(A1976,Internal_lists_bugs!$A$2:$C$73,3,FALSE()), VLOOKUP(A1976,Internal_lists_bugs!$A$2:$C$73,3,FALSE())&amp;Char(10) &amp; Char(10) &amp; VLOOKUP(A1976,Internal_lists_bugs!$A$2:$Z$73,26,FALSE())),"please select a BUG ID")</f>
        <v>please select a BUG ID</v>
      </c>
      <c r="C1976" s="51" t="str">
        <f>IFERROR(VLOOKUP(A1976,Internal_lists_bugs!$A$2:$I7981,9,FALSE()),"please select a BUG ID")</f>
        <v>please select a BUG ID</v>
      </c>
      <c r="D1976" s="114"/>
      <c r="E1976" s="114"/>
      <c r="F1976" s="115"/>
      <c r="G1976" s="82"/>
      <c r="H1976" s="92"/>
      <c r="I1976" s="54"/>
      <c r="K1976" s="54"/>
      <c r="M1976" s="114" t="str">
        <f>VLOOKUP(A1976,'BIC_(C_Variables)'!$A$3:$AS$43,45,FALSE())</f>
        <v>#N/A</v>
      </c>
      <c r="N1976" s="1"/>
      <c r="O1976" s="1"/>
      <c r="P1976" s="51" t="str">
        <f>IFERROR(VLOOKUP(A1976,Internal_lists_bugs!$A$2:$G7981,7,FALSE()),"please select a BUG ID")</f>
        <v>please select a BUG ID</v>
      </c>
    </row>
    <row r="1977">
      <c r="A1977" s="54"/>
      <c r="B1977" s="71" t="str">
        <f>IFERROR(HYPERLINK(VLOOKUP(A1977,Internal_lists_bugs!$A$2:$C$73,3,FALSE()), VLOOKUP(A1977,Internal_lists_bugs!$A$2:$C$73,3,FALSE())&amp;Char(10) &amp; Char(10) &amp; VLOOKUP(A1977,Internal_lists_bugs!$A$2:$Z$73,26,FALSE())),"please select a BUG ID")</f>
        <v>please select a BUG ID</v>
      </c>
      <c r="C1977" s="51" t="str">
        <f>IFERROR(VLOOKUP(A1977,Internal_lists_bugs!$A$2:$I7981,9,FALSE()),"please select a BUG ID")</f>
        <v>please select a BUG ID</v>
      </c>
      <c r="D1977" s="114"/>
      <c r="E1977" s="114"/>
      <c r="F1977" s="115"/>
      <c r="G1977" s="82"/>
      <c r="H1977" s="92"/>
      <c r="I1977" s="54"/>
      <c r="K1977" s="54"/>
      <c r="M1977" s="114" t="str">
        <f>VLOOKUP(A1977,'BIC_(C_Variables)'!$A$3:$AS$43,45,FALSE())</f>
        <v>#N/A</v>
      </c>
      <c r="N1977" s="1"/>
      <c r="O1977" s="1"/>
      <c r="P1977" s="51" t="str">
        <f>IFERROR(VLOOKUP(A1977,Internal_lists_bugs!$A$2:$G7981,7,FALSE()),"please select a BUG ID")</f>
        <v>please select a BUG ID</v>
      </c>
    </row>
    <row r="1978">
      <c r="A1978" s="54"/>
      <c r="B1978" s="71" t="str">
        <f>IFERROR(HYPERLINK(VLOOKUP(A1978,Internal_lists_bugs!$A$2:$C$73,3,FALSE()), VLOOKUP(A1978,Internal_lists_bugs!$A$2:$C$73,3,FALSE())&amp;Char(10) &amp; Char(10) &amp; VLOOKUP(A1978,Internal_lists_bugs!$A$2:$Z$73,26,FALSE())),"please select a BUG ID")</f>
        <v>please select a BUG ID</v>
      </c>
      <c r="C1978" s="51" t="str">
        <f>IFERROR(VLOOKUP(A1978,Internal_lists_bugs!$A$2:$I7981,9,FALSE()),"please select a BUG ID")</f>
        <v>please select a BUG ID</v>
      </c>
      <c r="D1978" s="114"/>
      <c r="E1978" s="114"/>
      <c r="F1978" s="115"/>
      <c r="G1978" s="82"/>
      <c r="H1978" s="92"/>
      <c r="I1978" s="54"/>
      <c r="K1978" s="54"/>
      <c r="M1978" s="114" t="str">
        <f>VLOOKUP(A1978,'BIC_(C_Variables)'!$A$3:$AS$43,45,FALSE())</f>
        <v>#N/A</v>
      </c>
      <c r="N1978" s="1"/>
      <c r="O1978" s="1"/>
      <c r="P1978" s="51" t="str">
        <f>IFERROR(VLOOKUP(A1978,Internal_lists_bugs!$A$2:$G7981,7,FALSE()),"please select a BUG ID")</f>
        <v>please select a BUG ID</v>
      </c>
    </row>
    <row r="1979">
      <c r="A1979" s="54"/>
      <c r="B1979" s="71" t="str">
        <f>IFERROR(HYPERLINK(VLOOKUP(A1979,Internal_lists_bugs!$A$2:$C$73,3,FALSE()), VLOOKUP(A1979,Internal_lists_bugs!$A$2:$C$73,3,FALSE())&amp;Char(10) &amp; Char(10) &amp; VLOOKUP(A1979,Internal_lists_bugs!$A$2:$Z$73,26,FALSE())),"please select a BUG ID")</f>
        <v>please select a BUG ID</v>
      </c>
      <c r="C1979" s="51" t="str">
        <f>IFERROR(VLOOKUP(A1979,Internal_lists_bugs!$A$2:$I7981,9,FALSE()),"please select a BUG ID")</f>
        <v>please select a BUG ID</v>
      </c>
      <c r="D1979" s="114"/>
      <c r="E1979" s="114"/>
      <c r="F1979" s="115"/>
      <c r="G1979" s="82"/>
      <c r="H1979" s="92"/>
      <c r="I1979" s="54"/>
      <c r="K1979" s="54"/>
      <c r="M1979" s="114" t="str">
        <f>VLOOKUP(A1979,'BIC_(C_Variables)'!$A$3:$AS$43,45,FALSE())</f>
        <v>#N/A</v>
      </c>
      <c r="N1979" s="1"/>
      <c r="O1979" s="1"/>
      <c r="P1979" s="51" t="str">
        <f>IFERROR(VLOOKUP(A1979,Internal_lists_bugs!$A$2:$G7981,7,FALSE()),"please select a BUG ID")</f>
        <v>please select a BUG ID</v>
      </c>
    </row>
    <row r="1980">
      <c r="A1980" s="54"/>
      <c r="B1980" s="71" t="str">
        <f>IFERROR(HYPERLINK(VLOOKUP(A1980,Internal_lists_bugs!$A$2:$C$73,3,FALSE()), VLOOKUP(A1980,Internal_lists_bugs!$A$2:$C$73,3,FALSE())&amp;Char(10) &amp; Char(10) &amp; VLOOKUP(A1980,Internal_lists_bugs!$A$2:$Z$73,26,FALSE())),"please select a BUG ID")</f>
        <v>please select a BUG ID</v>
      </c>
      <c r="C1980" s="51" t="str">
        <f>IFERROR(VLOOKUP(A1980,Internal_lists_bugs!$A$2:$I7981,9,FALSE()),"please select a BUG ID")</f>
        <v>please select a BUG ID</v>
      </c>
      <c r="D1980" s="114"/>
      <c r="E1980" s="114"/>
      <c r="F1980" s="115"/>
      <c r="G1980" s="82"/>
      <c r="H1980" s="92"/>
      <c r="I1980" s="54"/>
      <c r="K1980" s="54"/>
      <c r="M1980" s="114" t="str">
        <f>VLOOKUP(A1980,'BIC_(C_Variables)'!$A$3:$AS$43,45,FALSE())</f>
        <v>#N/A</v>
      </c>
      <c r="N1980" s="1"/>
      <c r="O1980" s="1"/>
      <c r="P1980" s="51" t="str">
        <f>IFERROR(VLOOKUP(A1980,Internal_lists_bugs!$A$2:$G7981,7,FALSE()),"please select a BUG ID")</f>
        <v>please select a BUG ID</v>
      </c>
    </row>
    <row r="1981">
      <c r="A1981" s="54"/>
      <c r="B1981" s="71" t="str">
        <f>IFERROR(HYPERLINK(VLOOKUP(A1981,Internal_lists_bugs!$A$2:$C$73,3,FALSE()), VLOOKUP(A1981,Internal_lists_bugs!$A$2:$C$73,3,FALSE())&amp;Char(10) &amp; Char(10) &amp; VLOOKUP(A1981,Internal_lists_bugs!$A$2:$Z$73,26,FALSE())),"please select a BUG ID")</f>
        <v>please select a BUG ID</v>
      </c>
      <c r="C1981" s="51" t="str">
        <f>IFERROR(VLOOKUP(A1981,Internal_lists_bugs!$A$2:$I7981,9,FALSE()),"please select a BUG ID")</f>
        <v>please select a BUG ID</v>
      </c>
      <c r="D1981" s="114"/>
      <c r="E1981" s="114"/>
      <c r="F1981" s="115"/>
      <c r="G1981" s="82"/>
      <c r="H1981" s="92"/>
      <c r="I1981" s="54"/>
      <c r="K1981" s="54"/>
      <c r="M1981" s="114" t="str">
        <f>VLOOKUP(A1981,'BIC_(C_Variables)'!$A$3:$AS$43,45,FALSE())</f>
        <v>#N/A</v>
      </c>
      <c r="N1981" s="1"/>
      <c r="O1981" s="1"/>
      <c r="P1981" s="51" t="str">
        <f>IFERROR(VLOOKUP(A1981,Internal_lists_bugs!$A$2:$G7981,7,FALSE()),"please select a BUG ID")</f>
        <v>please select a BUG ID</v>
      </c>
    </row>
    <row r="1982">
      <c r="A1982" s="54"/>
      <c r="B1982" s="71" t="str">
        <f>IFERROR(HYPERLINK(VLOOKUP(A1982,Internal_lists_bugs!$A$2:$C$73,3,FALSE()), VLOOKUP(A1982,Internal_lists_bugs!$A$2:$C$73,3,FALSE())&amp;Char(10) &amp; Char(10) &amp; VLOOKUP(A1982,Internal_lists_bugs!$A$2:$Z$73,26,FALSE())),"please select a BUG ID")</f>
        <v>please select a BUG ID</v>
      </c>
      <c r="C1982" s="51" t="str">
        <f>IFERROR(VLOOKUP(A1982,Internal_lists_bugs!$A$2:$I7981,9,FALSE()),"please select a BUG ID")</f>
        <v>please select a BUG ID</v>
      </c>
      <c r="D1982" s="114"/>
      <c r="E1982" s="114"/>
      <c r="F1982" s="115"/>
      <c r="G1982" s="82"/>
      <c r="H1982" s="92"/>
      <c r="I1982" s="54"/>
      <c r="K1982" s="54"/>
      <c r="M1982" s="114" t="str">
        <f>VLOOKUP(A1982,'BIC_(C_Variables)'!$A$3:$AS$43,45,FALSE())</f>
        <v>#N/A</v>
      </c>
      <c r="N1982" s="1"/>
      <c r="O1982" s="1"/>
      <c r="P1982" s="51" t="str">
        <f>IFERROR(VLOOKUP(A1982,Internal_lists_bugs!$A$2:$G7981,7,FALSE()),"please select a BUG ID")</f>
        <v>please select a BUG ID</v>
      </c>
    </row>
    <row r="1983">
      <c r="A1983" s="54"/>
      <c r="B1983" s="71" t="str">
        <f>IFERROR(HYPERLINK(VLOOKUP(A1983,Internal_lists_bugs!$A$2:$C$73,3,FALSE()), VLOOKUP(A1983,Internal_lists_bugs!$A$2:$C$73,3,FALSE())&amp;Char(10) &amp; Char(10) &amp; VLOOKUP(A1983,Internal_lists_bugs!$A$2:$Z$73,26,FALSE())),"please select a BUG ID")</f>
        <v>please select a BUG ID</v>
      </c>
      <c r="C1983" s="51" t="str">
        <f>IFERROR(VLOOKUP(A1983,Internal_lists_bugs!$A$2:$I7981,9,FALSE()),"please select a BUG ID")</f>
        <v>please select a BUG ID</v>
      </c>
      <c r="D1983" s="114"/>
      <c r="E1983" s="114"/>
      <c r="F1983" s="115"/>
      <c r="G1983" s="82"/>
      <c r="H1983" s="92"/>
      <c r="I1983" s="54"/>
      <c r="K1983" s="54"/>
      <c r="M1983" s="114" t="str">
        <f>VLOOKUP(A1983,'BIC_(C_Variables)'!$A$3:$AS$43,45,FALSE())</f>
        <v>#N/A</v>
      </c>
      <c r="N1983" s="1"/>
      <c r="O1983" s="1"/>
      <c r="P1983" s="51" t="str">
        <f>IFERROR(VLOOKUP(A1983,Internal_lists_bugs!$A$2:$G7981,7,FALSE()),"please select a BUG ID")</f>
        <v>please select a BUG ID</v>
      </c>
    </row>
    <row r="1984">
      <c r="A1984" s="54"/>
      <c r="B1984" s="71" t="str">
        <f>IFERROR(HYPERLINK(VLOOKUP(A1984,Internal_lists_bugs!$A$2:$C$73,3,FALSE()), VLOOKUP(A1984,Internal_lists_bugs!$A$2:$C$73,3,FALSE())&amp;Char(10) &amp; Char(10) &amp; VLOOKUP(A1984,Internal_lists_bugs!$A$2:$Z$73,26,FALSE())),"please select a BUG ID")</f>
        <v>please select a BUG ID</v>
      </c>
      <c r="C1984" s="51" t="str">
        <f>IFERROR(VLOOKUP(A1984,Internal_lists_bugs!$A$2:$I7981,9,FALSE()),"please select a BUG ID")</f>
        <v>please select a BUG ID</v>
      </c>
      <c r="D1984" s="114"/>
      <c r="E1984" s="114"/>
      <c r="F1984" s="115"/>
      <c r="G1984" s="82"/>
      <c r="H1984" s="92"/>
      <c r="I1984" s="54"/>
      <c r="K1984" s="54"/>
      <c r="M1984" s="114" t="str">
        <f>VLOOKUP(A1984,'BIC_(C_Variables)'!$A$3:$AS$43,45,FALSE())</f>
        <v>#N/A</v>
      </c>
      <c r="N1984" s="1"/>
      <c r="O1984" s="15"/>
      <c r="P1984" s="51" t="str">
        <f>IFERROR(VLOOKUP(A1984,Internal_lists_bugs!$A$2:$G7981,7,FALSE()),"please select a BUG ID")</f>
        <v>please select a BUG ID</v>
      </c>
    </row>
    <row r="1985">
      <c r="A1985" s="54"/>
      <c r="B1985" s="71" t="str">
        <f>IFERROR(HYPERLINK(VLOOKUP(A1985,Internal_lists_bugs!$A$2:$C$73,3,FALSE()), VLOOKUP(A1985,Internal_lists_bugs!$A$2:$C$73,3,FALSE())&amp;Char(10) &amp; Char(10) &amp; VLOOKUP(A1985,Internal_lists_bugs!$A$2:$Z$73,26,FALSE())),"please select a BUG ID")</f>
        <v>please select a BUG ID</v>
      </c>
      <c r="C1985" s="51" t="str">
        <f>IFERROR(VLOOKUP(A1985,Internal_lists_bugs!$A$2:$I7981,9,FALSE()),"please select a BUG ID")</f>
        <v>please select a BUG ID</v>
      </c>
      <c r="D1985" s="114"/>
      <c r="E1985" s="114"/>
      <c r="F1985" s="115"/>
      <c r="G1985" s="82"/>
      <c r="H1985" s="92"/>
      <c r="I1985" s="54"/>
      <c r="K1985" s="54"/>
      <c r="M1985" s="114" t="str">
        <f>VLOOKUP(A1985,'BIC_(C_Variables)'!$A$3:$AS$43,45,FALSE())</f>
        <v>#N/A</v>
      </c>
      <c r="N1985" s="1"/>
      <c r="O1985" s="1"/>
      <c r="P1985" s="51" t="str">
        <f>IFERROR(VLOOKUP(A1985,Internal_lists_bugs!$A$2:$G7981,7,FALSE()),"please select a BUG ID")</f>
        <v>please select a BUG ID</v>
      </c>
    </row>
    <row r="1986">
      <c r="A1986" s="54"/>
      <c r="B1986" s="71" t="str">
        <f>IFERROR(HYPERLINK(VLOOKUP(A1986,Internal_lists_bugs!$A$2:$C$73,3,FALSE()), VLOOKUP(A1986,Internal_lists_bugs!$A$2:$C$73,3,FALSE())&amp;Char(10) &amp; Char(10) &amp; VLOOKUP(A1986,Internal_lists_bugs!$A$2:$Z$73,26,FALSE())),"please select a BUG ID")</f>
        <v>please select a BUG ID</v>
      </c>
      <c r="C1986" s="51" t="str">
        <f>IFERROR(VLOOKUP(A1986,Internal_lists_bugs!$A$2:$I7981,9,FALSE()),"please select a BUG ID")</f>
        <v>please select a BUG ID</v>
      </c>
      <c r="D1986" s="114"/>
      <c r="E1986" s="114"/>
      <c r="F1986" s="115"/>
      <c r="G1986" s="82"/>
      <c r="H1986" s="92"/>
      <c r="I1986" s="54"/>
      <c r="K1986" s="54"/>
      <c r="M1986" s="114" t="str">
        <f>VLOOKUP(A1986,'BIC_(C_Variables)'!$A$3:$AS$43,45,FALSE())</f>
        <v>#N/A</v>
      </c>
      <c r="N1986" s="1"/>
      <c r="O1986" s="1"/>
      <c r="P1986" s="51" t="str">
        <f>IFERROR(VLOOKUP(A1986,Internal_lists_bugs!$A$2:$G7981,7,FALSE()),"please select a BUG ID")</f>
        <v>please select a BUG ID</v>
      </c>
    </row>
    <row r="1987">
      <c r="A1987" s="54"/>
      <c r="B1987" s="71" t="str">
        <f>IFERROR(HYPERLINK(VLOOKUP(A1987,Internal_lists_bugs!$A$2:$C$73,3,FALSE()), VLOOKUP(A1987,Internal_lists_bugs!$A$2:$C$73,3,FALSE())&amp;Char(10) &amp; Char(10) &amp; VLOOKUP(A1987,Internal_lists_bugs!$A$2:$Z$73,26,FALSE())),"please select a BUG ID")</f>
        <v>please select a BUG ID</v>
      </c>
      <c r="C1987" s="51" t="str">
        <f>IFERROR(VLOOKUP(A1987,Internal_lists_bugs!$A$2:$I7981,9,FALSE()),"please select a BUG ID")</f>
        <v>please select a BUG ID</v>
      </c>
      <c r="D1987" s="114"/>
      <c r="E1987" s="114"/>
      <c r="F1987" s="115"/>
      <c r="G1987" s="82"/>
      <c r="H1987" s="92"/>
      <c r="I1987" s="54"/>
      <c r="K1987" s="54"/>
      <c r="M1987" s="114" t="str">
        <f>VLOOKUP(A1987,'BIC_(C_Variables)'!$A$3:$AS$43,45,FALSE())</f>
        <v>#N/A</v>
      </c>
      <c r="N1987" s="1"/>
      <c r="O1987" s="1"/>
      <c r="P1987" s="51" t="str">
        <f>IFERROR(VLOOKUP(A1987,Internal_lists_bugs!$A$2:$G7981,7,FALSE()),"please select a BUG ID")</f>
        <v>please select a BUG ID</v>
      </c>
    </row>
    <row r="1988">
      <c r="A1988" s="54"/>
      <c r="B1988" s="71" t="str">
        <f>IFERROR(HYPERLINK(VLOOKUP(A1988,Internal_lists_bugs!$A$2:$C$73,3,FALSE()), VLOOKUP(A1988,Internal_lists_bugs!$A$2:$C$73,3,FALSE())&amp;Char(10) &amp; Char(10) &amp; VLOOKUP(A1988,Internal_lists_bugs!$A$2:$Z$73,26,FALSE())),"please select a BUG ID")</f>
        <v>please select a BUG ID</v>
      </c>
      <c r="C1988" s="51" t="str">
        <f>IFERROR(VLOOKUP(A1988,Internal_lists_bugs!$A$2:$I7981,9,FALSE()),"please select a BUG ID")</f>
        <v>please select a BUG ID</v>
      </c>
      <c r="D1988" s="114"/>
      <c r="E1988" s="114"/>
      <c r="F1988" s="115"/>
      <c r="G1988" s="82"/>
      <c r="H1988" s="92"/>
      <c r="I1988" s="54"/>
      <c r="K1988" s="54"/>
      <c r="M1988" s="114" t="str">
        <f>VLOOKUP(A1988,'BIC_(C_Variables)'!$A$3:$AS$43,45,FALSE())</f>
        <v>#N/A</v>
      </c>
      <c r="N1988" s="1"/>
      <c r="O1988" s="1"/>
      <c r="P1988" s="51" t="str">
        <f>IFERROR(VLOOKUP(A1988,Internal_lists_bugs!$A$2:$G7981,7,FALSE()),"please select a BUG ID")</f>
        <v>please select a BUG ID</v>
      </c>
    </row>
    <row r="1989">
      <c r="A1989" s="54"/>
      <c r="B1989" s="71" t="str">
        <f>IFERROR(HYPERLINK(VLOOKUP(A1989,Internal_lists_bugs!$A$2:$C$73,3,FALSE()), VLOOKUP(A1989,Internal_lists_bugs!$A$2:$C$73,3,FALSE())&amp;Char(10) &amp; Char(10) &amp; VLOOKUP(A1989,Internal_lists_bugs!$A$2:$Z$73,26,FALSE())),"please select a BUG ID")</f>
        <v>please select a BUG ID</v>
      </c>
      <c r="C1989" s="51" t="str">
        <f>IFERROR(VLOOKUP(A1989,Internal_lists_bugs!$A$2:$I7981,9,FALSE()),"please select a BUG ID")</f>
        <v>please select a BUG ID</v>
      </c>
      <c r="D1989" s="114"/>
      <c r="E1989" s="114"/>
      <c r="F1989" s="115"/>
      <c r="G1989" s="82"/>
      <c r="H1989" s="92"/>
      <c r="I1989" s="54"/>
      <c r="K1989" s="54"/>
      <c r="M1989" s="114" t="str">
        <f>VLOOKUP(A1989,'BIC_(C_Variables)'!$A$3:$AS$43,45,FALSE())</f>
        <v>#N/A</v>
      </c>
      <c r="N1989" s="1"/>
      <c r="O1989" s="15"/>
      <c r="P1989" s="51" t="str">
        <f>IFERROR(VLOOKUP(A1989,Internal_lists_bugs!$A$2:$G7981,7,FALSE()),"please select a BUG ID")</f>
        <v>please select a BUG ID</v>
      </c>
    </row>
    <row r="1990">
      <c r="A1990" s="54"/>
      <c r="B1990" s="71" t="str">
        <f>IFERROR(HYPERLINK(VLOOKUP(A1990,Internal_lists_bugs!$A$2:$C$73,3,FALSE()), VLOOKUP(A1990,Internal_lists_bugs!$A$2:$C$73,3,FALSE())&amp;Char(10) &amp; Char(10) &amp; VLOOKUP(A1990,Internal_lists_bugs!$A$2:$Z$73,26,FALSE())),"please select a BUG ID")</f>
        <v>please select a BUG ID</v>
      </c>
      <c r="C1990" s="51" t="str">
        <f>IFERROR(VLOOKUP(A1990,Internal_lists_bugs!$A$2:$I7981,9,FALSE()),"please select a BUG ID")</f>
        <v>please select a BUG ID</v>
      </c>
      <c r="D1990" s="114"/>
      <c r="E1990" s="114"/>
      <c r="F1990" s="115"/>
      <c r="G1990" s="82"/>
      <c r="H1990" s="92"/>
      <c r="I1990" s="54"/>
      <c r="K1990" s="54"/>
      <c r="M1990" s="114" t="str">
        <f>VLOOKUP(A1990,'BIC_(C_Variables)'!$A$3:$AS$43,45,FALSE())</f>
        <v>#N/A</v>
      </c>
      <c r="N1990" s="1"/>
      <c r="O1990" s="1"/>
      <c r="P1990" s="51" t="str">
        <f>IFERROR(VLOOKUP(A1990,Internal_lists_bugs!$A$2:$G7981,7,FALSE()),"please select a BUG ID")</f>
        <v>please select a BUG ID</v>
      </c>
    </row>
    <row r="1991">
      <c r="A1991" s="54"/>
      <c r="B1991" s="71" t="str">
        <f>IFERROR(HYPERLINK(VLOOKUP(A1991,Internal_lists_bugs!$A$2:$C$73,3,FALSE()), VLOOKUP(A1991,Internal_lists_bugs!$A$2:$C$73,3,FALSE())&amp;Char(10) &amp; Char(10) &amp; VLOOKUP(A1991,Internal_lists_bugs!$A$2:$Z$73,26,FALSE())),"please select a BUG ID")</f>
        <v>please select a BUG ID</v>
      </c>
      <c r="C1991" s="51" t="str">
        <f>IFERROR(VLOOKUP(A1991,Internal_lists_bugs!$A$2:$I7981,9,FALSE()),"please select a BUG ID")</f>
        <v>please select a BUG ID</v>
      </c>
      <c r="D1991" s="114"/>
      <c r="E1991" s="114"/>
      <c r="F1991" s="115"/>
      <c r="G1991" s="82"/>
      <c r="H1991" s="92"/>
      <c r="I1991" s="54"/>
      <c r="K1991" s="54"/>
      <c r="M1991" s="114" t="str">
        <f>VLOOKUP(A1991,'BIC_(C_Variables)'!$A$3:$AS$43,45,FALSE())</f>
        <v>#N/A</v>
      </c>
      <c r="N1991" s="1"/>
      <c r="O1991" s="1"/>
      <c r="P1991" s="51" t="str">
        <f>IFERROR(VLOOKUP(A1991,Internal_lists_bugs!$A$2:$G7981,7,FALSE()),"please select a BUG ID")</f>
        <v>please select a BUG ID</v>
      </c>
    </row>
    <row r="1992">
      <c r="A1992" s="54"/>
      <c r="B1992" s="71" t="str">
        <f>IFERROR(HYPERLINK(VLOOKUP(A1992,Internal_lists_bugs!$A$2:$C$73,3,FALSE()), VLOOKUP(A1992,Internal_lists_bugs!$A$2:$C$73,3,FALSE())&amp;Char(10) &amp; Char(10) &amp; VLOOKUP(A1992,Internal_lists_bugs!$A$2:$Z$73,26,FALSE())),"please select a BUG ID")</f>
        <v>please select a BUG ID</v>
      </c>
      <c r="C1992" s="51" t="str">
        <f>IFERROR(VLOOKUP(A1992,Internal_lists_bugs!$A$2:$I7981,9,FALSE()),"please select a BUG ID")</f>
        <v>please select a BUG ID</v>
      </c>
      <c r="D1992" s="114"/>
      <c r="E1992" s="114"/>
      <c r="F1992" s="115"/>
      <c r="G1992" s="82"/>
      <c r="H1992" s="92"/>
      <c r="I1992" s="54"/>
      <c r="K1992" s="54"/>
      <c r="M1992" s="114" t="str">
        <f>VLOOKUP(A1992,'BIC_(C_Variables)'!$A$3:$AS$43,45,FALSE())</f>
        <v>#N/A</v>
      </c>
      <c r="N1992" s="1"/>
      <c r="O1992" s="1"/>
      <c r="P1992" s="51" t="str">
        <f>IFERROR(VLOOKUP(A1992,Internal_lists_bugs!$A$2:$G7981,7,FALSE()),"please select a BUG ID")</f>
        <v>please select a BUG ID</v>
      </c>
    </row>
    <row r="1993">
      <c r="A1993" s="54"/>
      <c r="B1993" s="71" t="str">
        <f>IFERROR(HYPERLINK(VLOOKUP(A1993,Internal_lists_bugs!$A$2:$C$73,3,FALSE()), VLOOKUP(A1993,Internal_lists_bugs!$A$2:$C$73,3,FALSE())&amp;Char(10) &amp; Char(10) &amp; VLOOKUP(A1993,Internal_lists_bugs!$A$2:$Z$73,26,FALSE())),"please select a BUG ID")</f>
        <v>please select a BUG ID</v>
      </c>
      <c r="C1993" s="51" t="str">
        <f>IFERROR(VLOOKUP(A1993,Internal_lists_bugs!$A$2:$I7981,9,FALSE()),"please select a BUG ID")</f>
        <v>please select a BUG ID</v>
      </c>
      <c r="D1993" s="114"/>
      <c r="E1993" s="114"/>
      <c r="F1993" s="115"/>
      <c r="G1993" s="82"/>
      <c r="H1993" s="92"/>
      <c r="I1993" s="54"/>
      <c r="K1993" s="54"/>
      <c r="M1993" s="114" t="str">
        <f>VLOOKUP(A1993,'BIC_(C_Variables)'!$A$3:$AS$43,45,FALSE())</f>
        <v>#N/A</v>
      </c>
      <c r="N1993" s="1"/>
      <c r="O1993" s="1"/>
      <c r="P1993" s="51" t="str">
        <f>IFERROR(VLOOKUP(A1993,Internal_lists_bugs!$A$2:$G7981,7,FALSE()),"please select a BUG ID")</f>
        <v>please select a BUG ID</v>
      </c>
    </row>
    <row r="1994">
      <c r="A1994" s="54"/>
      <c r="B1994" s="71" t="str">
        <f>IFERROR(HYPERLINK(VLOOKUP(A1994,Internal_lists_bugs!$A$2:$C$73,3,FALSE()), VLOOKUP(A1994,Internal_lists_bugs!$A$2:$C$73,3,FALSE())&amp;Char(10) &amp; Char(10) &amp; VLOOKUP(A1994,Internal_lists_bugs!$A$2:$Z$73,26,FALSE())),"please select a BUG ID")</f>
        <v>please select a BUG ID</v>
      </c>
      <c r="C1994" s="51" t="str">
        <f>IFERROR(VLOOKUP(A1994,Internal_lists_bugs!$A$2:$I7981,9,FALSE()),"please select a BUG ID")</f>
        <v>please select a BUG ID</v>
      </c>
      <c r="D1994" s="114"/>
      <c r="E1994" s="114"/>
      <c r="F1994" s="115"/>
      <c r="G1994" s="82"/>
      <c r="H1994" s="92"/>
      <c r="I1994" s="54"/>
      <c r="K1994" s="54"/>
      <c r="M1994" s="114" t="str">
        <f>VLOOKUP(A1994,'BIC_(C_Variables)'!$A$3:$AS$43,45,FALSE())</f>
        <v>#N/A</v>
      </c>
      <c r="N1994" s="1"/>
      <c r="O1994" s="1"/>
      <c r="P1994" s="51" t="str">
        <f>IFERROR(VLOOKUP(A1994,Internal_lists_bugs!$A$2:$G7981,7,FALSE()),"please select a BUG ID")</f>
        <v>please select a BUG ID</v>
      </c>
    </row>
    <row r="1995">
      <c r="A1995" s="54"/>
      <c r="B1995" s="71" t="str">
        <f>IFERROR(HYPERLINK(VLOOKUP(A1995,Internal_lists_bugs!$A$2:$C$73,3,FALSE()), VLOOKUP(A1995,Internal_lists_bugs!$A$2:$C$73,3,FALSE())&amp;Char(10) &amp; Char(10) &amp; VLOOKUP(A1995,Internal_lists_bugs!$A$2:$Z$73,26,FALSE())),"please select a BUG ID")</f>
        <v>please select a BUG ID</v>
      </c>
      <c r="C1995" s="51" t="str">
        <f>IFERROR(VLOOKUP(A1995,Internal_lists_bugs!$A$2:$I7981,9,FALSE()),"please select a BUG ID")</f>
        <v>please select a BUG ID</v>
      </c>
      <c r="D1995" s="114"/>
      <c r="E1995" s="114"/>
      <c r="F1995" s="115"/>
      <c r="G1995" s="82"/>
      <c r="H1995" s="92"/>
      <c r="I1995" s="54"/>
      <c r="K1995" s="54"/>
      <c r="M1995" s="114" t="str">
        <f>VLOOKUP(A1995,'BIC_(C_Variables)'!$A$3:$AS$43,45,FALSE())</f>
        <v>#N/A</v>
      </c>
      <c r="N1995" s="1"/>
      <c r="O1995" s="1"/>
      <c r="P1995" s="51" t="str">
        <f>IFERROR(VLOOKUP(A1995,Internal_lists_bugs!$A$2:$G7981,7,FALSE()),"please select a BUG ID")</f>
        <v>please select a BUG ID</v>
      </c>
    </row>
    <row r="1996">
      <c r="A1996" s="54"/>
      <c r="B1996" s="71" t="str">
        <f>IFERROR(HYPERLINK(VLOOKUP(A1996,Internal_lists_bugs!$A$2:$C$73,3,FALSE()), VLOOKUP(A1996,Internal_lists_bugs!$A$2:$C$73,3,FALSE())&amp;Char(10) &amp; Char(10) &amp; VLOOKUP(A1996,Internal_lists_bugs!$A$2:$Z$73,26,FALSE())),"please select a BUG ID")</f>
        <v>please select a BUG ID</v>
      </c>
      <c r="C1996" s="51" t="str">
        <f>IFERROR(VLOOKUP(A1996,Internal_lists_bugs!$A$2:$I7981,9,FALSE()),"please select a BUG ID")</f>
        <v>please select a BUG ID</v>
      </c>
      <c r="D1996" s="114"/>
      <c r="E1996" s="114"/>
      <c r="F1996" s="115"/>
      <c r="G1996" s="82"/>
      <c r="H1996" s="92"/>
      <c r="I1996" s="54"/>
      <c r="K1996" s="54"/>
      <c r="M1996" s="114" t="str">
        <f>VLOOKUP(A1996,'BIC_(C_Variables)'!$A$3:$AS$43,45,FALSE())</f>
        <v>#N/A</v>
      </c>
      <c r="N1996" s="1"/>
      <c r="O1996" s="1"/>
      <c r="P1996" s="51" t="str">
        <f>IFERROR(VLOOKUP(A1996,Internal_lists_bugs!$A$2:$G7981,7,FALSE()),"please select a BUG ID")</f>
        <v>please select a BUG ID</v>
      </c>
    </row>
    <row r="1997">
      <c r="A1997" s="54"/>
      <c r="B1997" s="71" t="str">
        <f>IFERROR(HYPERLINK(VLOOKUP(A1997,Internal_lists_bugs!$A$2:$C$73,3,FALSE()), VLOOKUP(A1997,Internal_lists_bugs!$A$2:$C$73,3,FALSE())&amp;Char(10) &amp; Char(10) &amp; VLOOKUP(A1997,Internal_lists_bugs!$A$2:$Z$73,26,FALSE())),"please select a BUG ID")</f>
        <v>please select a BUG ID</v>
      </c>
      <c r="C1997" s="51" t="str">
        <f>IFERROR(VLOOKUP(A1997,Internal_lists_bugs!$A$2:$I7981,9,FALSE()),"please select a BUG ID")</f>
        <v>please select a BUG ID</v>
      </c>
      <c r="D1997" s="114"/>
      <c r="E1997" s="114"/>
      <c r="F1997" s="115"/>
      <c r="G1997" s="82"/>
      <c r="H1997" s="92"/>
      <c r="I1997" s="54"/>
      <c r="K1997" s="54"/>
      <c r="M1997" s="114" t="str">
        <f>VLOOKUP(A1997,'BIC_(C_Variables)'!$A$3:$AS$43,45,FALSE())</f>
        <v>#N/A</v>
      </c>
      <c r="N1997" s="1"/>
      <c r="O1997" s="1"/>
      <c r="P1997" s="51" t="str">
        <f>IFERROR(VLOOKUP(A1997,Internal_lists_bugs!$A$2:$G7981,7,FALSE()),"please select a BUG ID")</f>
        <v>please select a BUG ID</v>
      </c>
    </row>
    <row r="1998">
      <c r="A1998" s="54"/>
      <c r="B1998" s="71" t="str">
        <f>IFERROR(HYPERLINK(VLOOKUP(A1998,Internal_lists_bugs!$A$2:$C$73,3,FALSE()), VLOOKUP(A1998,Internal_lists_bugs!$A$2:$C$73,3,FALSE())&amp;Char(10) &amp; Char(10) &amp; VLOOKUP(A1998,Internal_lists_bugs!$A$2:$Z$73,26,FALSE())),"please select a BUG ID")</f>
        <v>please select a BUG ID</v>
      </c>
      <c r="C1998" s="51" t="str">
        <f>IFERROR(VLOOKUP(A1998,Internal_lists_bugs!$A$2:$I7981,9,FALSE()),"please select a BUG ID")</f>
        <v>please select a BUG ID</v>
      </c>
      <c r="D1998" s="114"/>
      <c r="E1998" s="114"/>
      <c r="F1998" s="115"/>
      <c r="G1998" s="82"/>
      <c r="H1998" s="92"/>
      <c r="I1998" s="54"/>
      <c r="K1998" s="54"/>
      <c r="M1998" s="114" t="str">
        <f>VLOOKUP(A1998,'BIC_(C_Variables)'!$A$3:$AS$43,45,FALSE())</f>
        <v>#N/A</v>
      </c>
      <c r="N1998" s="1"/>
      <c r="O1998" s="1"/>
      <c r="P1998" s="51" t="str">
        <f>IFERROR(VLOOKUP(A1998,Internal_lists_bugs!$A$2:$G7981,7,FALSE()),"please select a BUG ID")</f>
        <v>please select a BUG ID</v>
      </c>
    </row>
    <row r="1999">
      <c r="A1999" s="54"/>
      <c r="B1999" s="71" t="str">
        <f>IFERROR(HYPERLINK(VLOOKUP(A1999,Internal_lists_bugs!$A$2:$C$73,3,FALSE()), VLOOKUP(A1999,Internal_lists_bugs!$A$2:$C$73,3,FALSE())&amp;Char(10) &amp; Char(10) &amp; VLOOKUP(A1999,Internal_lists_bugs!$A$2:$Z$73,26,FALSE())),"please select a BUG ID")</f>
        <v>please select a BUG ID</v>
      </c>
      <c r="C1999" s="51" t="str">
        <f>IFERROR(VLOOKUP(A1999,Internal_lists_bugs!$A$2:$I7981,9,FALSE()),"please select a BUG ID")</f>
        <v>please select a BUG ID</v>
      </c>
      <c r="D1999" s="114"/>
      <c r="E1999" s="114"/>
      <c r="F1999" s="115"/>
      <c r="G1999" s="82"/>
      <c r="H1999" s="92"/>
      <c r="I1999" s="54"/>
      <c r="K1999" s="54"/>
      <c r="M1999" s="114" t="str">
        <f>VLOOKUP(A1999,'BIC_(C_Variables)'!$A$3:$AS$43,45,FALSE())</f>
        <v>#N/A</v>
      </c>
      <c r="N1999" s="1"/>
      <c r="O1999" s="1"/>
      <c r="P1999" s="51" t="str">
        <f>IFERROR(VLOOKUP(A1999,Internal_lists_bugs!$A$2:$G7981,7,FALSE()),"please select a BUG ID")</f>
        <v>please select a BUG ID</v>
      </c>
    </row>
    <row r="2000">
      <c r="A2000" s="54"/>
      <c r="B2000" s="71" t="str">
        <f>IFERROR(HYPERLINK(VLOOKUP(A2000,Internal_lists_bugs!$A$2:$C$73,3,FALSE()), VLOOKUP(A2000,Internal_lists_bugs!$A$2:$C$73,3,FALSE())&amp;Char(10) &amp; Char(10) &amp; VLOOKUP(A2000,Internal_lists_bugs!$A$2:$Z$73,26,FALSE())),"please select a BUG ID")</f>
        <v>please select a BUG ID</v>
      </c>
      <c r="C2000" s="51" t="str">
        <f>IFERROR(VLOOKUP(A2000,Internal_lists_bugs!$A$2:$I7981,9,FALSE()),"please select a BUG ID")</f>
        <v>please select a BUG ID</v>
      </c>
      <c r="D2000" s="114"/>
      <c r="E2000" s="114"/>
      <c r="F2000" s="115"/>
      <c r="G2000" s="82"/>
      <c r="H2000" s="92"/>
      <c r="I2000" s="54"/>
      <c r="K2000" s="54"/>
      <c r="M2000" s="114" t="str">
        <f>VLOOKUP(A2000,'BIC_(C_Variables)'!$A$3:$AS$43,45,FALSE())</f>
        <v>#N/A</v>
      </c>
      <c r="N2000" s="1"/>
      <c r="O2000" s="1"/>
      <c r="P2000" s="51" t="str">
        <f>IFERROR(VLOOKUP(A2000,Internal_lists_bugs!$A$2:$G7981,7,FALSE()),"please select a BUG ID")</f>
        <v>please select a BUG ID</v>
      </c>
    </row>
    <row r="2001">
      <c r="A2001" s="54"/>
      <c r="B2001" s="71" t="str">
        <f>IFERROR(HYPERLINK(VLOOKUP(A2001,Internal_lists_bugs!$A$2:$C$73,3,FALSE()), VLOOKUP(A2001,Internal_lists_bugs!$A$2:$C$73,3,FALSE())&amp;Char(10) &amp; Char(10) &amp; VLOOKUP(A2001,Internal_lists_bugs!$A$2:$Z$73,26,FALSE())),"please select a BUG ID")</f>
        <v>please select a BUG ID</v>
      </c>
      <c r="C2001" s="51" t="str">
        <f>IFERROR(VLOOKUP(A2001,Internal_lists_bugs!$A$2:$I7981,9,FALSE()),"please select a BUG ID")</f>
        <v>please select a BUG ID</v>
      </c>
      <c r="D2001" s="114"/>
      <c r="E2001" s="114"/>
      <c r="F2001" s="115"/>
      <c r="G2001" s="82"/>
      <c r="H2001" s="92"/>
      <c r="I2001" s="54"/>
      <c r="K2001" s="54"/>
      <c r="M2001" s="114" t="str">
        <f>VLOOKUP(A2001,'BIC_(C_Variables)'!$A$3:$AS$43,45,FALSE())</f>
        <v>#N/A</v>
      </c>
      <c r="N2001" s="1"/>
      <c r="O2001" s="1"/>
      <c r="P2001" s="51" t="str">
        <f>IFERROR(VLOOKUP(A2001,Internal_lists_bugs!$A$2:$G7981,7,FALSE()),"please select a BUG ID")</f>
        <v>please select a BUG ID</v>
      </c>
    </row>
    <row r="2002">
      <c r="A2002" s="54"/>
      <c r="B2002" s="71" t="str">
        <f>IFERROR(HYPERLINK(VLOOKUP(A2002,Internal_lists_bugs!$A$2:$C$73,3,FALSE()), VLOOKUP(A2002,Internal_lists_bugs!$A$2:$C$73,3,FALSE())&amp;Char(10) &amp; Char(10) &amp; VLOOKUP(A2002,Internal_lists_bugs!$A$2:$Z$73,26,FALSE())),"please select a BUG ID")</f>
        <v>please select a BUG ID</v>
      </c>
      <c r="C2002" s="51" t="str">
        <f>IFERROR(VLOOKUP(A2002,Internal_lists_bugs!$A$2:$I7981,9,FALSE()),"please select a BUG ID")</f>
        <v>please select a BUG ID</v>
      </c>
      <c r="D2002" s="114"/>
      <c r="E2002" s="114"/>
      <c r="F2002" s="115"/>
      <c r="G2002" s="82"/>
      <c r="H2002" s="92"/>
      <c r="I2002" s="54"/>
      <c r="K2002" s="54"/>
      <c r="M2002" s="114" t="str">
        <f>VLOOKUP(A2002,'BIC_(C_Variables)'!$A$3:$AS$43,45,FALSE())</f>
        <v>#N/A</v>
      </c>
      <c r="N2002" s="1"/>
      <c r="O2002" s="1"/>
      <c r="P2002" s="51" t="str">
        <f>IFERROR(VLOOKUP(A2002,Internal_lists_bugs!$A$2:$G7981,7,FALSE()),"please select a BUG ID")</f>
        <v>please select a BUG ID</v>
      </c>
    </row>
    <row r="2003">
      <c r="A2003" s="54"/>
      <c r="B2003" s="71" t="str">
        <f>IFERROR(HYPERLINK(VLOOKUP(A2003,Internal_lists_bugs!$A$2:$C$73,3,FALSE()), VLOOKUP(A2003,Internal_lists_bugs!$A$2:$C$73,3,FALSE())&amp;Char(10) &amp; Char(10) &amp; VLOOKUP(A2003,Internal_lists_bugs!$A$2:$Z$73,26,FALSE())),"please select a BUG ID")</f>
        <v>please select a BUG ID</v>
      </c>
      <c r="C2003" s="51" t="str">
        <f>IFERROR(VLOOKUP(A2003,Internal_lists_bugs!$A$2:$I7981,9,FALSE()),"please select a BUG ID")</f>
        <v>please select a BUG ID</v>
      </c>
      <c r="D2003" s="114"/>
      <c r="E2003" s="114"/>
      <c r="F2003" s="115"/>
      <c r="G2003" s="82"/>
      <c r="H2003" s="92"/>
      <c r="I2003" s="54"/>
      <c r="K2003" s="54"/>
      <c r="M2003" s="114" t="str">
        <f>VLOOKUP(A2003,'BIC_(C_Variables)'!$A$3:$AS$43,45,FALSE())</f>
        <v>#N/A</v>
      </c>
      <c r="N2003" s="1"/>
      <c r="O2003" s="1"/>
      <c r="P2003" s="51" t="str">
        <f>IFERROR(VLOOKUP(A2003,Internal_lists_bugs!$A$2:$G7981,7,FALSE()),"please select a BUG ID")</f>
        <v>please select a BUG ID</v>
      </c>
    </row>
    <row r="2004">
      <c r="A2004" s="54"/>
      <c r="B2004" s="71" t="str">
        <f>IFERROR(HYPERLINK(VLOOKUP(A2004,Internal_lists_bugs!$A$2:$C$73,3,FALSE()), VLOOKUP(A2004,Internal_lists_bugs!$A$2:$C$73,3,FALSE())&amp;Char(10) &amp; Char(10) &amp; VLOOKUP(A2004,Internal_lists_bugs!$A$2:$Z$73,26,FALSE())),"please select a BUG ID")</f>
        <v>please select a BUG ID</v>
      </c>
      <c r="C2004" s="51" t="str">
        <f>IFERROR(VLOOKUP(A2004,Internal_lists_bugs!$A$2:$I7981,9,FALSE()),"please select a BUG ID")</f>
        <v>please select a BUG ID</v>
      </c>
      <c r="D2004" s="114"/>
      <c r="E2004" s="114"/>
      <c r="F2004" s="115"/>
      <c r="G2004" s="82"/>
      <c r="H2004" s="92"/>
      <c r="I2004" s="54"/>
      <c r="K2004" s="54"/>
      <c r="M2004" s="114" t="str">
        <f>VLOOKUP(A2004,'BIC_(C_Variables)'!$A$3:$AS$43,45,FALSE())</f>
        <v>#N/A</v>
      </c>
      <c r="N2004" s="1"/>
      <c r="O2004" s="1"/>
      <c r="P2004" s="51" t="str">
        <f>IFERROR(VLOOKUP(A2004,Internal_lists_bugs!$A$2:$G7981,7,FALSE()),"please select a BUG ID")</f>
        <v>please select a BUG ID</v>
      </c>
    </row>
    <row r="2005">
      <c r="A2005" s="54"/>
      <c r="B2005" s="71" t="str">
        <f>IFERROR(HYPERLINK(VLOOKUP(A2005,Internal_lists_bugs!$A$2:$C$73,3,FALSE()), VLOOKUP(A2005,Internal_lists_bugs!$A$2:$C$73,3,FALSE())&amp;Char(10) &amp; Char(10) &amp; VLOOKUP(A2005,Internal_lists_bugs!$A$2:$Z$73,26,FALSE())),"please select a BUG ID")</f>
        <v>please select a BUG ID</v>
      </c>
      <c r="C2005" s="51" t="str">
        <f>IFERROR(VLOOKUP(A2005,Internal_lists_bugs!$A$2:$I7981,9,FALSE()),"please select a BUG ID")</f>
        <v>please select a BUG ID</v>
      </c>
      <c r="D2005" s="114"/>
      <c r="E2005" s="114"/>
      <c r="F2005" s="115"/>
      <c r="G2005" s="82"/>
      <c r="H2005" s="92"/>
      <c r="I2005" s="54"/>
      <c r="K2005" s="54"/>
      <c r="M2005" s="114" t="str">
        <f>VLOOKUP(A2005,'BIC_(C_Variables)'!$A$3:$AS$43,45,FALSE())</f>
        <v>#N/A</v>
      </c>
      <c r="N2005" s="1"/>
      <c r="O2005" s="1"/>
      <c r="P2005" s="51" t="str">
        <f>IFERROR(VLOOKUP(A2005,Internal_lists_bugs!$A$2:$G7981,7,FALSE()),"please select a BUG ID")</f>
        <v>please select a BUG ID</v>
      </c>
    </row>
    <row r="2006">
      <c r="A2006" s="54"/>
      <c r="B2006" s="71" t="str">
        <f>IFERROR(HYPERLINK(VLOOKUP(A2006,Internal_lists_bugs!$A$2:$C$73,3,FALSE()), VLOOKUP(A2006,Internal_lists_bugs!$A$2:$C$73,3,FALSE())&amp;Char(10) &amp; Char(10) &amp; VLOOKUP(A2006,Internal_lists_bugs!$A$2:$Z$73,26,FALSE())),"please select a BUG ID")</f>
        <v>please select a BUG ID</v>
      </c>
      <c r="C2006" s="51" t="str">
        <f>IFERROR(VLOOKUP(A2006,Internal_lists_bugs!$A$2:$I7981,9,FALSE()),"please select a BUG ID")</f>
        <v>please select a BUG ID</v>
      </c>
      <c r="D2006" s="114"/>
      <c r="E2006" s="114"/>
      <c r="F2006" s="115"/>
      <c r="G2006" s="82"/>
      <c r="H2006" s="92"/>
      <c r="I2006" s="54"/>
      <c r="K2006" s="54"/>
      <c r="M2006" s="114" t="str">
        <f>VLOOKUP(A2006,'BIC_(C_Variables)'!$A$3:$AS$43,45,FALSE())</f>
        <v>#N/A</v>
      </c>
      <c r="N2006" s="1"/>
      <c r="O2006" s="1"/>
      <c r="P2006" s="51" t="str">
        <f>IFERROR(VLOOKUP(A2006,Internal_lists_bugs!$A$2:$G7981,7,FALSE()),"please select a BUG ID")</f>
        <v>please select a BUG ID</v>
      </c>
    </row>
    <row r="2007">
      <c r="A2007" s="54"/>
      <c r="B2007" s="71" t="str">
        <f>IFERROR(HYPERLINK(VLOOKUP(A2007,Internal_lists_bugs!$A$2:$C$73,3,FALSE()), VLOOKUP(A2007,Internal_lists_bugs!$A$2:$C$73,3,FALSE())&amp;Char(10) &amp; Char(10) &amp; VLOOKUP(A2007,Internal_lists_bugs!$A$2:$Z$73,26,FALSE())),"please select a BUG ID")</f>
        <v>please select a BUG ID</v>
      </c>
      <c r="C2007" s="51" t="str">
        <f>IFERROR(VLOOKUP(A2007,Internal_lists_bugs!$A$2:$I7981,9,FALSE()),"please select a BUG ID")</f>
        <v>please select a BUG ID</v>
      </c>
      <c r="D2007" s="114"/>
      <c r="E2007" s="114"/>
      <c r="F2007" s="115"/>
      <c r="G2007" s="82"/>
      <c r="H2007" s="92"/>
      <c r="I2007" s="54"/>
      <c r="K2007" s="54"/>
      <c r="M2007" s="114" t="str">
        <f>VLOOKUP(A2007,'BIC_(C_Variables)'!$A$3:$AS$43,45,FALSE())</f>
        <v>#N/A</v>
      </c>
      <c r="N2007" s="1"/>
      <c r="O2007" s="1"/>
      <c r="P2007" s="51" t="str">
        <f>IFERROR(VLOOKUP(A2007,Internal_lists_bugs!$A$2:$G7981,7,FALSE()),"please select a BUG ID")</f>
        <v>please select a BUG ID</v>
      </c>
    </row>
    <row r="2008">
      <c r="A2008" s="54"/>
      <c r="B2008" s="71" t="str">
        <f>IFERROR(HYPERLINK(VLOOKUP(A2008,Internal_lists_bugs!$A$2:$C$73,3,FALSE()), VLOOKUP(A2008,Internal_lists_bugs!$A$2:$C$73,3,FALSE())&amp;Char(10) &amp; Char(10) &amp; VLOOKUP(A2008,Internal_lists_bugs!$A$2:$Z$73,26,FALSE())),"please select a BUG ID")</f>
        <v>please select a BUG ID</v>
      </c>
      <c r="C2008" s="51" t="str">
        <f>IFERROR(VLOOKUP(A2008,Internal_lists_bugs!$A$2:$I7981,9,FALSE()),"please select a BUG ID")</f>
        <v>please select a BUG ID</v>
      </c>
      <c r="D2008" s="114"/>
      <c r="E2008" s="114"/>
      <c r="F2008" s="115"/>
      <c r="G2008" s="82"/>
      <c r="H2008" s="92"/>
      <c r="I2008" s="54"/>
      <c r="K2008" s="54"/>
      <c r="M2008" s="114" t="str">
        <f>VLOOKUP(A2008,'BIC_(C_Variables)'!$A$3:$AS$43,45,FALSE())</f>
        <v>#N/A</v>
      </c>
      <c r="N2008" s="1"/>
      <c r="O2008" s="1"/>
      <c r="P2008" s="51" t="str">
        <f>IFERROR(VLOOKUP(A2008,Internal_lists_bugs!$A$2:$G7981,7,FALSE()),"please select a BUG ID")</f>
        <v>please select a BUG ID</v>
      </c>
    </row>
    <row r="2009">
      <c r="A2009" s="54"/>
      <c r="B2009" s="71" t="str">
        <f>IFERROR(HYPERLINK(VLOOKUP(A2009,Internal_lists_bugs!$A$2:$C$73,3,FALSE()), VLOOKUP(A2009,Internal_lists_bugs!$A$2:$C$73,3,FALSE())&amp;Char(10) &amp; Char(10) &amp; VLOOKUP(A2009,Internal_lists_bugs!$A$2:$Z$73,26,FALSE())),"please select a BUG ID")</f>
        <v>please select a BUG ID</v>
      </c>
      <c r="C2009" s="51" t="str">
        <f>IFERROR(VLOOKUP(A2009,Internal_lists_bugs!$A$2:$I7981,9,FALSE()),"please select a BUG ID")</f>
        <v>please select a BUG ID</v>
      </c>
      <c r="D2009" s="114"/>
      <c r="E2009" s="114"/>
      <c r="F2009" s="115"/>
      <c r="G2009" s="82"/>
      <c r="H2009" s="92"/>
      <c r="I2009" s="54"/>
      <c r="K2009" s="54"/>
      <c r="M2009" s="114" t="str">
        <f>VLOOKUP(A2009,'BIC_(C_Variables)'!$A$3:$AS$43,45,FALSE())</f>
        <v>#N/A</v>
      </c>
      <c r="N2009" s="1"/>
      <c r="O2009" s="1"/>
      <c r="P2009" s="51" t="str">
        <f>IFERROR(VLOOKUP(A2009,Internal_lists_bugs!$A$2:$G7981,7,FALSE()),"please select a BUG ID")</f>
        <v>please select a BUG ID</v>
      </c>
    </row>
    <row r="2010">
      <c r="A2010" s="54"/>
      <c r="B2010" s="71" t="str">
        <f>IFERROR(HYPERLINK(VLOOKUP(A2010,Internal_lists_bugs!$A$2:$C$73,3,FALSE()), VLOOKUP(A2010,Internal_lists_bugs!$A$2:$C$73,3,FALSE())&amp;Char(10) &amp; Char(10) &amp; VLOOKUP(A2010,Internal_lists_bugs!$A$2:$Z$73,26,FALSE())),"please select a BUG ID")</f>
        <v>please select a BUG ID</v>
      </c>
      <c r="C2010" s="51" t="str">
        <f>IFERROR(VLOOKUP(A2010,Internal_lists_bugs!$A$2:$I7981,9,FALSE()),"please select a BUG ID")</f>
        <v>please select a BUG ID</v>
      </c>
      <c r="D2010" s="114"/>
      <c r="E2010" s="114"/>
      <c r="F2010" s="115"/>
      <c r="G2010" s="82"/>
      <c r="H2010" s="92"/>
      <c r="I2010" s="54"/>
      <c r="K2010" s="54"/>
      <c r="M2010" s="114" t="str">
        <f>VLOOKUP(A2010,'BIC_(C_Variables)'!$A$3:$AS$43,45,FALSE())</f>
        <v>#N/A</v>
      </c>
      <c r="N2010" s="1" t="s">
        <v>3445</v>
      </c>
      <c r="O2010" s="15">
        <v>7036.0</v>
      </c>
      <c r="P2010" s="51" t="str">
        <f>IFERROR(VLOOKUP(A2010,Internal_lists_bugs!$A$2:$G7981,7,FALSE()),"please select a BUG ID")</f>
        <v>please select a BUG ID</v>
      </c>
    </row>
    <row r="2011">
      <c r="A2011" s="54"/>
      <c r="B2011" s="71" t="str">
        <f>IFERROR(HYPERLINK(VLOOKUP(A2011,Internal_lists_bugs!$A$2:$C$73,3,FALSE()), VLOOKUP(A2011,Internal_lists_bugs!$A$2:$C$73,3,FALSE())&amp;Char(10) &amp; Char(10) &amp; VLOOKUP(A2011,Internal_lists_bugs!$A$2:$Z$73,26,FALSE())),"please select a BUG ID")</f>
        <v>please select a BUG ID</v>
      </c>
      <c r="C2011" s="51" t="str">
        <f>IFERROR(VLOOKUP(A2011,Internal_lists_bugs!$A$2:$I7981,9,FALSE()),"please select a BUG ID")</f>
        <v>please select a BUG ID</v>
      </c>
      <c r="D2011" s="114"/>
      <c r="E2011" s="114"/>
      <c r="F2011" s="115"/>
      <c r="G2011" s="82"/>
      <c r="H2011" s="92"/>
      <c r="I2011" s="54"/>
      <c r="K2011" s="54"/>
      <c r="M2011" s="114" t="str">
        <f>VLOOKUP(A2011,'BIC_(C_Variables)'!$A$3:$AS$43,45,FALSE())</f>
        <v>#N/A</v>
      </c>
      <c r="N2011" s="1"/>
      <c r="O2011" s="1"/>
      <c r="P2011" s="51" t="str">
        <f>IFERROR(VLOOKUP(A2011,Internal_lists_bugs!$A$2:$G7981,7,FALSE()),"please select a BUG ID")</f>
        <v>please select a BUG ID</v>
      </c>
    </row>
    <row r="2012">
      <c r="A2012" s="54"/>
      <c r="B2012" s="71" t="str">
        <f>IFERROR(HYPERLINK(VLOOKUP(A2012,Internal_lists_bugs!$A$2:$C$73,3,FALSE()), VLOOKUP(A2012,Internal_lists_bugs!$A$2:$C$73,3,FALSE())&amp;Char(10) &amp; Char(10) &amp; VLOOKUP(A2012,Internal_lists_bugs!$A$2:$Z$73,26,FALSE())),"please select a BUG ID")</f>
        <v>please select a BUG ID</v>
      </c>
      <c r="C2012" s="51" t="str">
        <f>IFERROR(VLOOKUP(A2012,Internal_lists_bugs!$A$2:$I7981,9,FALSE()),"please select a BUG ID")</f>
        <v>please select a BUG ID</v>
      </c>
      <c r="D2012" s="114"/>
      <c r="E2012" s="114"/>
      <c r="F2012" s="115"/>
      <c r="G2012" s="82"/>
      <c r="H2012" s="92"/>
      <c r="I2012" s="54"/>
      <c r="K2012" s="54"/>
      <c r="M2012" s="114" t="str">
        <f>VLOOKUP(A2012,'BIC_(C_Variables)'!$A$3:$AS$43,45,FALSE())</f>
        <v>#N/A</v>
      </c>
      <c r="N2012" s="1"/>
      <c r="O2012" s="1"/>
      <c r="P2012" s="51" t="str">
        <f>IFERROR(VLOOKUP(A2012,Internal_lists_bugs!$A$2:$G7981,7,FALSE()),"please select a BUG ID")</f>
        <v>please select a BUG ID</v>
      </c>
    </row>
    <row r="2013">
      <c r="A2013" s="54"/>
      <c r="B2013" s="71" t="str">
        <f>IFERROR(HYPERLINK(VLOOKUP(A2013,Internal_lists_bugs!$A$2:$C$73,3,FALSE()), VLOOKUP(A2013,Internal_lists_bugs!$A$2:$C$73,3,FALSE())&amp;Char(10) &amp; Char(10) &amp; VLOOKUP(A2013,Internal_lists_bugs!$A$2:$Z$73,26,FALSE())),"please select a BUG ID")</f>
        <v>please select a BUG ID</v>
      </c>
      <c r="C2013" s="51" t="str">
        <f>IFERROR(VLOOKUP(A2013,Internal_lists_bugs!$A$2:$I7981,9,FALSE()),"please select a BUG ID")</f>
        <v>please select a BUG ID</v>
      </c>
      <c r="D2013" s="114"/>
      <c r="E2013" s="114"/>
      <c r="F2013" s="115"/>
      <c r="G2013" s="82"/>
      <c r="H2013" s="92"/>
      <c r="I2013" s="54"/>
      <c r="K2013" s="54"/>
      <c r="M2013" s="114" t="str">
        <f>VLOOKUP(A2013,'BIC_(C_Variables)'!$A$3:$AS$43,45,FALSE())</f>
        <v>#N/A</v>
      </c>
      <c r="N2013" s="1"/>
      <c r="O2013" s="1"/>
      <c r="P2013" s="51" t="str">
        <f>IFERROR(VLOOKUP(A2013,Internal_lists_bugs!$A$2:$G7981,7,FALSE()),"please select a BUG ID")</f>
        <v>please select a BUG ID</v>
      </c>
    </row>
    <row r="2014">
      <c r="A2014" s="54"/>
      <c r="B2014" s="71" t="str">
        <f>IFERROR(HYPERLINK(VLOOKUP(A2014,Internal_lists_bugs!$A$2:$C$73,3,FALSE()), VLOOKUP(A2014,Internal_lists_bugs!$A$2:$C$73,3,FALSE())&amp;Char(10) &amp; Char(10) &amp; VLOOKUP(A2014,Internal_lists_bugs!$A$2:$Z$73,26,FALSE())),"please select a BUG ID")</f>
        <v>please select a BUG ID</v>
      </c>
      <c r="C2014" s="51" t="str">
        <f>IFERROR(VLOOKUP(A2014,Internal_lists_bugs!$A$2:$I7981,9,FALSE()),"please select a BUG ID")</f>
        <v>please select a BUG ID</v>
      </c>
      <c r="D2014" s="114"/>
      <c r="E2014" s="114"/>
      <c r="F2014" s="115"/>
      <c r="G2014" s="82"/>
      <c r="H2014" s="92"/>
      <c r="I2014" s="54"/>
      <c r="K2014" s="54"/>
      <c r="M2014" s="114" t="str">
        <f>VLOOKUP(A2014,'BIC_(C_Variables)'!$A$3:$AS$43,45,FALSE())</f>
        <v>#N/A</v>
      </c>
      <c r="N2014" s="1"/>
      <c r="O2014" s="1"/>
      <c r="P2014" s="51" t="str">
        <f>IFERROR(VLOOKUP(A2014,Internal_lists_bugs!$A$2:$G7981,7,FALSE()),"please select a BUG ID")</f>
        <v>please select a BUG ID</v>
      </c>
    </row>
    <row r="2015">
      <c r="A2015" s="54"/>
      <c r="B2015" s="71" t="str">
        <f>IFERROR(HYPERLINK(VLOOKUP(A2015,Internal_lists_bugs!$A$2:$C$73,3,FALSE()), VLOOKUP(A2015,Internal_lists_bugs!$A$2:$C$73,3,FALSE())&amp;Char(10) &amp; Char(10) &amp; VLOOKUP(A2015,Internal_lists_bugs!$A$2:$Z$73,26,FALSE())),"please select a BUG ID")</f>
        <v>please select a BUG ID</v>
      </c>
      <c r="C2015" s="51" t="str">
        <f>IFERROR(VLOOKUP(A2015,Internal_lists_bugs!$A$2:$I7981,9,FALSE()),"please select a BUG ID")</f>
        <v>please select a BUG ID</v>
      </c>
      <c r="D2015" s="114"/>
      <c r="E2015" s="114"/>
      <c r="F2015" s="115"/>
      <c r="G2015" s="82"/>
      <c r="H2015" s="92"/>
      <c r="I2015" s="54"/>
      <c r="K2015" s="54"/>
      <c r="M2015" s="114" t="str">
        <f>VLOOKUP(A2015,'BIC_(C_Variables)'!$A$3:$AS$43,45,FALSE())</f>
        <v>#N/A</v>
      </c>
      <c r="N2015" s="1"/>
      <c r="O2015" s="1"/>
      <c r="P2015" s="51" t="str">
        <f>IFERROR(VLOOKUP(A2015,Internal_lists_bugs!$A$2:$G7981,7,FALSE()),"please select a BUG ID")</f>
        <v>please select a BUG ID</v>
      </c>
    </row>
    <row r="2016">
      <c r="A2016" s="54"/>
      <c r="B2016" s="71" t="str">
        <f>IFERROR(HYPERLINK(VLOOKUP(A2016,Internal_lists_bugs!$A$2:$C$73,3,FALSE()), VLOOKUP(A2016,Internal_lists_bugs!$A$2:$C$73,3,FALSE())&amp;Char(10) &amp; Char(10) &amp; VLOOKUP(A2016,Internal_lists_bugs!$A$2:$Z$73,26,FALSE())),"please select a BUG ID")</f>
        <v>please select a BUG ID</v>
      </c>
      <c r="C2016" s="51" t="str">
        <f>IFERROR(VLOOKUP(A2016,Internal_lists_bugs!$A$2:$I7981,9,FALSE()),"please select a BUG ID")</f>
        <v>please select a BUG ID</v>
      </c>
      <c r="D2016" s="114"/>
      <c r="E2016" s="114"/>
      <c r="F2016" s="115"/>
      <c r="G2016" s="82"/>
      <c r="H2016" s="92"/>
      <c r="I2016" s="54"/>
      <c r="K2016" s="54"/>
      <c r="M2016" s="114" t="str">
        <f>VLOOKUP(A2016,'BIC_(C_Variables)'!$A$3:$AS$43,45,FALSE())</f>
        <v>#N/A</v>
      </c>
      <c r="N2016" s="1"/>
      <c r="O2016" s="1"/>
      <c r="P2016" s="51" t="str">
        <f>IFERROR(VLOOKUP(A2016,Internal_lists_bugs!$A$2:$G7981,7,FALSE()),"please select a BUG ID")</f>
        <v>please select a BUG ID</v>
      </c>
    </row>
    <row r="2017">
      <c r="A2017" s="54"/>
      <c r="B2017" s="71" t="str">
        <f>IFERROR(HYPERLINK(VLOOKUP(A2017,Internal_lists_bugs!$A$2:$C$73,3,FALSE()), VLOOKUP(A2017,Internal_lists_bugs!$A$2:$C$73,3,FALSE())&amp;Char(10) &amp; Char(10) &amp; VLOOKUP(A2017,Internal_lists_bugs!$A$2:$Z$73,26,FALSE())),"please select a BUG ID")</f>
        <v>please select a BUG ID</v>
      </c>
      <c r="C2017" s="51" t="str">
        <f>IFERROR(VLOOKUP(A2017,Internal_lists_bugs!$A$2:$I7981,9,FALSE()),"please select a BUG ID")</f>
        <v>please select a BUG ID</v>
      </c>
      <c r="D2017" s="114"/>
      <c r="E2017" s="114"/>
      <c r="F2017" s="115"/>
      <c r="G2017" s="82"/>
      <c r="H2017" s="92"/>
      <c r="I2017" s="54"/>
      <c r="K2017" s="54"/>
      <c r="M2017" s="114" t="str">
        <f>VLOOKUP(A2017,'BIC_(C_Variables)'!$A$3:$AS$43,45,FALSE())</f>
        <v>#N/A</v>
      </c>
      <c r="N2017" s="1"/>
      <c r="O2017" s="1"/>
      <c r="P2017" s="51" t="str">
        <f>IFERROR(VLOOKUP(A2017,Internal_lists_bugs!$A$2:$G7981,7,FALSE()),"please select a BUG ID")</f>
        <v>please select a BUG ID</v>
      </c>
    </row>
    <row r="2018">
      <c r="A2018" s="54"/>
      <c r="B2018" s="71" t="str">
        <f>IFERROR(HYPERLINK(VLOOKUP(A2018,Internal_lists_bugs!$A$2:$C$73,3,FALSE()), VLOOKUP(A2018,Internal_lists_bugs!$A$2:$C$73,3,FALSE())&amp;Char(10) &amp; Char(10) &amp; VLOOKUP(A2018,Internal_lists_bugs!$A$2:$Z$73,26,FALSE())),"please select a BUG ID")</f>
        <v>please select a BUG ID</v>
      </c>
      <c r="C2018" s="51" t="str">
        <f>IFERROR(VLOOKUP(A2018,Internal_lists_bugs!$A$2:$I7981,9,FALSE()),"please select a BUG ID")</f>
        <v>please select a BUG ID</v>
      </c>
      <c r="D2018" s="114"/>
      <c r="E2018" s="114"/>
      <c r="F2018" s="115"/>
      <c r="G2018" s="82"/>
      <c r="H2018" s="92"/>
      <c r="I2018" s="54"/>
      <c r="K2018" s="54"/>
      <c r="M2018" s="114" t="str">
        <f>VLOOKUP(A2018,'BIC_(C_Variables)'!$A$3:$AS$43,45,FALSE())</f>
        <v>#N/A</v>
      </c>
      <c r="N2018" s="1"/>
      <c r="O2018" s="1"/>
      <c r="P2018" s="51" t="str">
        <f>IFERROR(VLOOKUP(A2018,Internal_lists_bugs!$A$2:$G7981,7,FALSE()),"please select a BUG ID")</f>
        <v>please select a BUG ID</v>
      </c>
    </row>
    <row r="2019">
      <c r="A2019" s="54"/>
      <c r="B2019" s="71" t="str">
        <f>IFERROR(HYPERLINK(VLOOKUP(A2019,Internal_lists_bugs!$A$2:$C$73,3,FALSE()), VLOOKUP(A2019,Internal_lists_bugs!$A$2:$C$73,3,FALSE())&amp;Char(10) &amp; Char(10) &amp; VLOOKUP(A2019,Internal_lists_bugs!$A$2:$Z$73,26,FALSE())),"please select a BUG ID")</f>
        <v>please select a BUG ID</v>
      </c>
      <c r="C2019" s="51" t="str">
        <f>IFERROR(VLOOKUP(A2019,Internal_lists_bugs!$A$2:$I7981,9,FALSE()),"please select a BUG ID")</f>
        <v>please select a BUG ID</v>
      </c>
      <c r="D2019" s="114"/>
      <c r="E2019" s="114"/>
      <c r="F2019" s="115"/>
      <c r="G2019" s="82"/>
      <c r="H2019" s="92"/>
      <c r="I2019" s="54"/>
      <c r="K2019" s="54"/>
      <c r="M2019" s="114" t="str">
        <f>VLOOKUP(A2019,'BIC_(C_Variables)'!$A$3:$AS$43,45,FALSE())</f>
        <v>#N/A</v>
      </c>
      <c r="N2019" s="1"/>
      <c r="O2019" s="1"/>
      <c r="P2019" s="51" t="str">
        <f>IFERROR(VLOOKUP(A2019,Internal_lists_bugs!$A$2:$G7981,7,FALSE()),"please select a BUG ID")</f>
        <v>please select a BUG ID</v>
      </c>
    </row>
    <row r="2020">
      <c r="A2020" s="54"/>
      <c r="B2020" s="71" t="str">
        <f>IFERROR(HYPERLINK(VLOOKUP(A2020,Internal_lists_bugs!$A$2:$C$73,3,FALSE()), VLOOKUP(A2020,Internal_lists_bugs!$A$2:$C$73,3,FALSE())&amp;Char(10) &amp; Char(10) &amp; VLOOKUP(A2020,Internal_lists_bugs!$A$2:$Z$73,26,FALSE())),"please select a BUG ID")</f>
        <v>please select a BUG ID</v>
      </c>
      <c r="C2020" s="51" t="str">
        <f>IFERROR(VLOOKUP(A2020,Internal_lists_bugs!$A$2:$I7981,9,FALSE()),"please select a BUG ID")</f>
        <v>please select a BUG ID</v>
      </c>
      <c r="D2020" s="114"/>
      <c r="E2020" s="114"/>
      <c r="F2020" s="115"/>
      <c r="G2020" s="82"/>
      <c r="H2020" s="92"/>
      <c r="I2020" s="54"/>
      <c r="K2020" s="54"/>
      <c r="M2020" s="114" t="str">
        <f>VLOOKUP(A2020,'BIC_(C_Variables)'!$A$3:$AS$43,45,FALSE())</f>
        <v>#N/A</v>
      </c>
      <c r="N2020" s="1"/>
      <c r="O2020" s="1"/>
      <c r="P2020" s="51" t="str">
        <f>IFERROR(VLOOKUP(A2020,Internal_lists_bugs!$A$2:$G7981,7,FALSE()),"please select a BUG ID")</f>
        <v>please select a BUG ID</v>
      </c>
    </row>
    <row r="2021">
      <c r="A2021" s="54"/>
      <c r="B2021" s="71" t="str">
        <f>IFERROR(HYPERLINK(VLOOKUP(A2021,Internal_lists_bugs!$A$2:$C$73,3,FALSE()), VLOOKUP(A2021,Internal_lists_bugs!$A$2:$C$73,3,FALSE())&amp;Char(10) &amp; Char(10) &amp; VLOOKUP(A2021,Internal_lists_bugs!$A$2:$Z$73,26,FALSE())),"please select a BUG ID")</f>
        <v>please select a BUG ID</v>
      </c>
      <c r="C2021" s="51" t="str">
        <f>IFERROR(VLOOKUP(A2021,Internal_lists_bugs!$A$2:$I7981,9,FALSE()),"please select a BUG ID")</f>
        <v>please select a BUG ID</v>
      </c>
      <c r="D2021" s="114"/>
      <c r="E2021" s="114"/>
      <c r="F2021" s="115"/>
      <c r="G2021" s="82"/>
      <c r="H2021" s="92"/>
      <c r="I2021" s="54"/>
      <c r="K2021" s="54"/>
      <c r="M2021" s="114" t="str">
        <f>VLOOKUP(A2021,'BIC_(C_Variables)'!$A$3:$AS$43,45,FALSE())</f>
        <v>#N/A</v>
      </c>
      <c r="N2021" s="1"/>
      <c r="O2021" s="1"/>
      <c r="P2021" s="51" t="str">
        <f>IFERROR(VLOOKUP(A2021,Internal_lists_bugs!$A$2:$G7981,7,FALSE()),"please select a BUG ID")</f>
        <v>please select a BUG ID</v>
      </c>
    </row>
    <row r="2022">
      <c r="A2022" s="54"/>
      <c r="B2022" s="71" t="str">
        <f>IFERROR(HYPERLINK(VLOOKUP(A2022,Internal_lists_bugs!$A$2:$C$73,3,FALSE()), VLOOKUP(A2022,Internal_lists_bugs!$A$2:$C$73,3,FALSE())&amp;Char(10) &amp; Char(10) &amp; VLOOKUP(A2022,Internal_lists_bugs!$A$2:$Z$73,26,FALSE())),"please select a BUG ID")</f>
        <v>please select a BUG ID</v>
      </c>
      <c r="C2022" s="51" t="str">
        <f>IFERROR(VLOOKUP(A2022,Internal_lists_bugs!$A$2:$I7981,9,FALSE()),"please select a BUG ID")</f>
        <v>please select a BUG ID</v>
      </c>
      <c r="D2022" s="114"/>
      <c r="E2022" s="114"/>
      <c r="F2022" s="115"/>
      <c r="G2022" s="82"/>
      <c r="H2022" s="92"/>
      <c r="I2022" s="54"/>
      <c r="K2022" s="54"/>
      <c r="M2022" s="114" t="str">
        <f>VLOOKUP(A2022,'BIC_(C_Variables)'!$A$3:$AS$43,45,FALSE())</f>
        <v>#N/A</v>
      </c>
      <c r="N2022" s="1" t="s">
        <v>3445</v>
      </c>
      <c r="O2022" s="15">
        <v>13788.0</v>
      </c>
      <c r="P2022" s="51" t="str">
        <f>IFERROR(VLOOKUP(A2022,Internal_lists_bugs!$A$2:$G7981,7,FALSE()),"please select a BUG ID")</f>
        <v>please select a BUG ID</v>
      </c>
    </row>
    <row r="2023">
      <c r="A2023" s="54"/>
      <c r="B2023" s="71" t="str">
        <f>IFERROR(HYPERLINK(VLOOKUP(A2023,Internal_lists_bugs!$A$2:$C$73,3,FALSE()), VLOOKUP(A2023,Internal_lists_bugs!$A$2:$C$73,3,FALSE())&amp;Char(10) &amp; Char(10) &amp; VLOOKUP(A2023,Internal_lists_bugs!$A$2:$Z$73,26,FALSE())),"please select a BUG ID")</f>
        <v>please select a BUG ID</v>
      </c>
      <c r="C2023" s="51" t="str">
        <f>IFERROR(VLOOKUP(A2023,Internal_lists_bugs!$A$2:$I7981,9,FALSE()),"please select a BUG ID")</f>
        <v>please select a BUG ID</v>
      </c>
      <c r="D2023" s="114"/>
      <c r="E2023" s="114"/>
      <c r="F2023" s="115"/>
      <c r="G2023" s="82"/>
      <c r="H2023" s="92"/>
      <c r="I2023" s="54"/>
      <c r="K2023" s="54"/>
      <c r="M2023" s="114" t="str">
        <f>VLOOKUP(A2023,'BIC_(C_Variables)'!$A$3:$AS$43,45,FALSE())</f>
        <v>#N/A</v>
      </c>
      <c r="N2023" s="1"/>
      <c r="O2023" s="1"/>
      <c r="P2023" s="51" t="str">
        <f>IFERROR(VLOOKUP(A2023,Internal_lists_bugs!$A$2:$G7981,7,FALSE()),"please select a BUG ID")</f>
        <v>please select a BUG ID</v>
      </c>
    </row>
    <row r="2024">
      <c r="A2024" s="54"/>
      <c r="B2024" s="71" t="str">
        <f>IFERROR(HYPERLINK(VLOOKUP(A2024,Internal_lists_bugs!$A$2:$C$73,3,FALSE()), VLOOKUP(A2024,Internal_lists_bugs!$A$2:$C$73,3,FALSE())&amp;Char(10) &amp; Char(10) &amp; VLOOKUP(A2024,Internal_lists_bugs!$A$2:$Z$73,26,FALSE())),"please select a BUG ID")</f>
        <v>please select a BUG ID</v>
      </c>
      <c r="C2024" s="51" t="str">
        <f>IFERROR(VLOOKUP(A2024,Internal_lists_bugs!$A$2:$I7981,9,FALSE()),"please select a BUG ID")</f>
        <v>please select a BUG ID</v>
      </c>
      <c r="D2024" s="114"/>
      <c r="E2024" s="114"/>
      <c r="F2024" s="115"/>
      <c r="G2024" s="82"/>
      <c r="H2024" s="92"/>
      <c r="I2024" s="54"/>
      <c r="K2024" s="54"/>
      <c r="M2024" s="114" t="str">
        <f>VLOOKUP(A2024,'BIC_(C_Variables)'!$A$3:$AS$43,45,FALSE())</f>
        <v>#N/A</v>
      </c>
      <c r="N2024" s="1"/>
      <c r="O2024" s="1"/>
      <c r="P2024" s="51" t="str">
        <f>IFERROR(VLOOKUP(A2024,Internal_lists_bugs!$A$2:$G7981,7,FALSE()),"please select a BUG ID")</f>
        <v>please select a BUG ID</v>
      </c>
    </row>
    <row r="2025">
      <c r="A2025" s="54"/>
      <c r="B2025" s="71" t="str">
        <f>IFERROR(HYPERLINK(VLOOKUP(A2025,Internal_lists_bugs!$A$2:$C$73,3,FALSE()), VLOOKUP(A2025,Internal_lists_bugs!$A$2:$C$73,3,FALSE())&amp;Char(10) &amp; Char(10) &amp; VLOOKUP(A2025,Internal_lists_bugs!$A$2:$Z$73,26,FALSE())),"please select a BUG ID")</f>
        <v>please select a BUG ID</v>
      </c>
      <c r="C2025" s="51" t="str">
        <f>IFERROR(VLOOKUP(A2025,Internal_lists_bugs!$A$2:$I7981,9,FALSE()),"please select a BUG ID")</f>
        <v>please select a BUG ID</v>
      </c>
      <c r="D2025" s="114"/>
      <c r="E2025" s="114"/>
      <c r="F2025" s="115"/>
      <c r="G2025" s="82"/>
      <c r="H2025" s="92"/>
      <c r="I2025" s="54"/>
      <c r="K2025" s="54"/>
      <c r="M2025" s="114" t="str">
        <f>VLOOKUP(A2025,'BIC_(C_Variables)'!$A$3:$AS$43,45,FALSE())</f>
        <v>#N/A</v>
      </c>
      <c r="N2025" s="1"/>
      <c r="O2025" s="1"/>
      <c r="P2025" s="51" t="str">
        <f>IFERROR(VLOOKUP(A2025,Internal_lists_bugs!$A$2:$G7981,7,FALSE()),"please select a BUG ID")</f>
        <v>please select a BUG ID</v>
      </c>
    </row>
    <row r="2026">
      <c r="A2026" s="54"/>
      <c r="B2026" s="71" t="str">
        <f>IFERROR(HYPERLINK(VLOOKUP(A2026,Internal_lists_bugs!$A$2:$C$73,3,FALSE()), VLOOKUP(A2026,Internal_lists_bugs!$A$2:$C$73,3,FALSE())&amp;Char(10) &amp; Char(10) &amp; VLOOKUP(A2026,Internal_lists_bugs!$A$2:$Z$73,26,FALSE())),"please select a BUG ID")</f>
        <v>please select a BUG ID</v>
      </c>
      <c r="C2026" s="51" t="str">
        <f>IFERROR(VLOOKUP(A2026,Internal_lists_bugs!$A$2:$I7981,9,FALSE()),"please select a BUG ID")</f>
        <v>please select a BUG ID</v>
      </c>
      <c r="D2026" s="114"/>
      <c r="E2026" s="114"/>
      <c r="F2026" s="115"/>
      <c r="G2026" s="82"/>
      <c r="H2026" s="92"/>
      <c r="I2026" s="54"/>
      <c r="K2026" s="54"/>
      <c r="M2026" s="114" t="str">
        <f>VLOOKUP(A2026,'BIC_(C_Variables)'!$A$3:$AS$43,45,FALSE())</f>
        <v>#N/A</v>
      </c>
      <c r="N2026" s="1"/>
      <c r="O2026" s="1"/>
      <c r="P2026" s="51" t="str">
        <f>IFERROR(VLOOKUP(A2026,Internal_lists_bugs!$A$2:$G7981,7,FALSE()),"please select a BUG ID")</f>
        <v>please select a BUG ID</v>
      </c>
    </row>
    <row r="2027">
      <c r="A2027" s="54"/>
      <c r="B2027" s="71" t="str">
        <f>IFERROR(HYPERLINK(VLOOKUP(A2027,Internal_lists_bugs!$A$2:$C$73,3,FALSE()), VLOOKUP(A2027,Internal_lists_bugs!$A$2:$C$73,3,FALSE())&amp;Char(10) &amp; Char(10) &amp; VLOOKUP(A2027,Internal_lists_bugs!$A$2:$Z$73,26,FALSE())),"please select a BUG ID")</f>
        <v>please select a BUG ID</v>
      </c>
      <c r="C2027" s="51" t="str">
        <f>IFERROR(VLOOKUP(A2027,Internal_lists_bugs!$A$2:$I7981,9,FALSE()),"please select a BUG ID")</f>
        <v>please select a BUG ID</v>
      </c>
      <c r="D2027" s="114"/>
      <c r="E2027" s="114"/>
      <c r="F2027" s="115"/>
      <c r="G2027" s="82"/>
      <c r="H2027" s="92"/>
      <c r="I2027" s="54"/>
      <c r="K2027" s="54"/>
      <c r="M2027" s="114" t="str">
        <f>VLOOKUP(A2027,'BIC_(C_Variables)'!$A$3:$AS$43,45,FALSE())</f>
        <v>#N/A</v>
      </c>
      <c r="N2027" s="1"/>
      <c r="O2027" s="1"/>
      <c r="P2027" s="51" t="str">
        <f>IFERROR(VLOOKUP(A2027,Internal_lists_bugs!$A$2:$G7981,7,FALSE()),"please select a BUG ID")</f>
        <v>please select a BUG ID</v>
      </c>
    </row>
    <row r="2028">
      <c r="A2028" s="54"/>
      <c r="B2028" s="71" t="str">
        <f>IFERROR(HYPERLINK(VLOOKUP(A2028,Internal_lists_bugs!$A$2:$C$73,3,FALSE()), VLOOKUP(A2028,Internal_lists_bugs!$A$2:$C$73,3,FALSE())&amp;Char(10) &amp; Char(10) &amp; VLOOKUP(A2028,Internal_lists_bugs!$A$2:$Z$73,26,FALSE())),"please select a BUG ID")</f>
        <v>please select a BUG ID</v>
      </c>
      <c r="C2028" s="51" t="str">
        <f>IFERROR(VLOOKUP(A2028,Internal_lists_bugs!$A$2:$I7981,9,FALSE()),"please select a BUG ID")</f>
        <v>please select a BUG ID</v>
      </c>
      <c r="D2028" s="114"/>
      <c r="E2028" s="114"/>
      <c r="F2028" s="115"/>
      <c r="G2028" s="82"/>
      <c r="H2028" s="92"/>
      <c r="I2028" s="54"/>
      <c r="K2028" s="54"/>
      <c r="M2028" s="114" t="str">
        <f>VLOOKUP(A2028,'BIC_(C_Variables)'!$A$3:$AS$43,45,FALSE())</f>
        <v>#N/A</v>
      </c>
      <c r="N2028" s="1" t="s">
        <v>3415</v>
      </c>
      <c r="O2028" s="15">
        <v>12943.0</v>
      </c>
      <c r="P2028" s="51" t="str">
        <f>IFERROR(VLOOKUP(A2028,Internal_lists_bugs!$A$2:$G7981,7,FALSE()),"please select a BUG ID")</f>
        <v>please select a BUG ID</v>
      </c>
    </row>
    <row r="2029">
      <c r="A2029" s="54"/>
      <c r="B2029" s="71" t="str">
        <f>IFERROR(HYPERLINK(VLOOKUP(A2029,Internal_lists_bugs!$A$2:$C$73,3,FALSE()), VLOOKUP(A2029,Internal_lists_bugs!$A$2:$C$73,3,FALSE())&amp;Char(10) &amp; Char(10) &amp; VLOOKUP(A2029,Internal_lists_bugs!$A$2:$Z$73,26,FALSE())),"please select a BUG ID")</f>
        <v>please select a BUG ID</v>
      </c>
      <c r="C2029" s="51" t="str">
        <f>IFERROR(VLOOKUP(A2029,Internal_lists_bugs!$A$2:$I7981,9,FALSE()),"please select a BUG ID")</f>
        <v>please select a BUG ID</v>
      </c>
      <c r="D2029" s="114"/>
      <c r="E2029" s="114"/>
      <c r="F2029" s="115"/>
      <c r="G2029" s="82"/>
      <c r="H2029" s="92"/>
      <c r="I2029" s="54"/>
      <c r="K2029" s="54"/>
      <c r="M2029" s="114" t="str">
        <f>VLOOKUP(A2029,'BIC_(C_Variables)'!$A$3:$AS$43,45,FALSE())</f>
        <v>#N/A</v>
      </c>
      <c r="N2029" s="1"/>
      <c r="O2029" s="1"/>
      <c r="P2029" s="51" t="str">
        <f>IFERROR(VLOOKUP(A2029,Internal_lists_bugs!$A$2:$G7981,7,FALSE()),"please select a BUG ID")</f>
        <v>please select a BUG ID</v>
      </c>
    </row>
    <row r="2030">
      <c r="A2030" s="54"/>
      <c r="B2030" s="71" t="str">
        <f>IFERROR(HYPERLINK(VLOOKUP(A2030,Internal_lists_bugs!$A$2:$C$73,3,FALSE()), VLOOKUP(A2030,Internal_lists_bugs!$A$2:$C$73,3,FALSE())&amp;Char(10) &amp; Char(10) &amp; VLOOKUP(A2030,Internal_lists_bugs!$A$2:$Z$73,26,FALSE())),"please select a BUG ID")</f>
        <v>please select a BUG ID</v>
      </c>
      <c r="C2030" s="51" t="str">
        <f>IFERROR(VLOOKUP(A2030,Internal_lists_bugs!$A$2:$I7981,9,FALSE()),"please select a BUG ID")</f>
        <v>please select a BUG ID</v>
      </c>
      <c r="D2030" s="114"/>
      <c r="E2030" s="114"/>
      <c r="F2030" s="115"/>
      <c r="G2030" s="82"/>
      <c r="H2030" s="92"/>
      <c r="I2030" s="54"/>
      <c r="K2030" s="54"/>
      <c r="M2030" s="114" t="str">
        <f>VLOOKUP(A2030,'BIC_(C_Variables)'!$A$3:$AS$43,45,FALSE())</f>
        <v>#N/A</v>
      </c>
      <c r="N2030" s="1"/>
      <c r="O2030" s="1"/>
      <c r="P2030" s="51" t="str">
        <f>IFERROR(VLOOKUP(A2030,Internal_lists_bugs!$A$2:$G7981,7,FALSE()),"please select a BUG ID")</f>
        <v>please select a BUG ID</v>
      </c>
    </row>
    <row r="2031">
      <c r="A2031" s="54"/>
      <c r="B2031" s="71" t="str">
        <f>IFERROR(HYPERLINK(VLOOKUP(A2031,Internal_lists_bugs!$A$2:$C$73,3,FALSE()), VLOOKUP(A2031,Internal_lists_bugs!$A$2:$C$73,3,FALSE())&amp;Char(10) &amp; Char(10) &amp; VLOOKUP(A2031,Internal_lists_bugs!$A$2:$Z$73,26,FALSE())),"please select a BUG ID")</f>
        <v>please select a BUG ID</v>
      </c>
      <c r="C2031" s="51" t="str">
        <f>IFERROR(VLOOKUP(A2031,Internal_lists_bugs!$A$2:$I7981,9,FALSE()),"please select a BUG ID")</f>
        <v>please select a BUG ID</v>
      </c>
      <c r="D2031" s="114"/>
      <c r="E2031" s="114"/>
      <c r="F2031" s="115"/>
      <c r="G2031" s="82"/>
      <c r="H2031" s="92"/>
      <c r="I2031" s="54"/>
      <c r="K2031" s="54"/>
      <c r="M2031" s="114" t="str">
        <f>VLOOKUP(A2031,'BIC_(C_Variables)'!$A$3:$AS$43,45,FALSE())</f>
        <v>#N/A</v>
      </c>
      <c r="N2031" s="1"/>
      <c r="O2031" s="1"/>
      <c r="P2031" s="51" t="str">
        <f>IFERROR(VLOOKUP(A2031,Internal_lists_bugs!$A$2:$G7981,7,FALSE()),"please select a BUG ID")</f>
        <v>please select a BUG ID</v>
      </c>
    </row>
    <row r="2032">
      <c r="A2032" s="54"/>
      <c r="B2032" s="71" t="str">
        <f>IFERROR(HYPERLINK(VLOOKUP(A2032,Internal_lists_bugs!$A$2:$C$73,3,FALSE()), VLOOKUP(A2032,Internal_lists_bugs!$A$2:$C$73,3,FALSE())&amp;Char(10) &amp; Char(10) &amp; VLOOKUP(A2032,Internal_lists_bugs!$A$2:$Z$73,26,FALSE())),"please select a BUG ID")</f>
        <v>please select a BUG ID</v>
      </c>
      <c r="C2032" s="51" t="str">
        <f>IFERROR(VLOOKUP(A2032,Internal_lists_bugs!$A$2:$I7981,9,FALSE()),"please select a BUG ID")</f>
        <v>please select a BUG ID</v>
      </c>
      <c r="D2032" s="114"/>
      <c r="E2032" s="114"/>
      <c r="F2032" s="115"/>
      <c r="G2032" s="82"/>
      <c r="H2032" s="92"/>
      <c r="I2032" s="54"/>
      <c r="K2032" s="54"/>
      <c r="M2032" s="114" t="str">
        <f>VLOOKUP(A2032,'BIC_(C_Variables)'!$A$3:$AS$43,45,FALSE())</f>
        <v>#N/A</v>
      </c>
      <c r="N2032" s="1"/>
      <c r="O2032" s="1"/>
      <c r="P2032" s="51" t="str">
        <f>IFERROR(VLOOKUP(A2032,Internal_lists_bugs!$A$2:$G7981,7,FALSE()),"please select a BUG ID")</f>
        <v>please select a BUG ID</v>
      </c>
    </row>
    <row r="2033">
      <c r="A2033" s="54"/>
      <c r="B2033" s="71" t="str">
        <f>IFERROR(HYPERLINK(VLOOKUP(A2033,Internal_lists_bugs!$A$2:$C$73,3,FALSE()), VLOOKUP(A2033,Internal_lists_bugs!$A$2:$C$73,3,FALSE())&amp;Char(10) &amp; Char(10) &amp; VLOOKUP(A2033,Internal_lists_bugs!$A$2:$Z$73,26,FALSE())),"please select a BUG ID")</f>
        <v>please select a BUG ID</v>
      </c>
      <c r="C2033" s="51" t="str">
        <f>IFERROR(VLOOKUP(A2033,Internal_lists_bugs!$A$2:$I7981,9,FALSE()),"please select a BUG ID")</f>
        <v>please select a BUG ID</v>
      </c>
      <c r="D2033" s="114"/>
      <c r="E2033" s="114"/>
      <c r="F2033" s="115"/>
      <c r="G2033" s="82"/>
      <c r="H2033" s="92"/>
      <c r="I2033" s="54"/>
      <c r="K2033" s="54"/>
      <c r="M2033" s="114" t="str">
        <f>VLOOKUP(A2033,'BIC_(C_Variables)'!$A$3:$AS$43,45,FALSE())</f>
        <v>#N/A</v>
      </c>
      <c r="N2033" s="1" t="s">
        <v>3415</v>
      </c>
      <c r="O2033" s="15">
        <v>12694.0</v>
      </c>
      <c r="P2033" s="51" t="str">
        <f>IFERROR(VLOOKUP(A2033,Internal_lists_bugs!$A$2:$G7981,7,FALSE()),"please select a BUG ID")</f>
        <v>please select a BUG ID</v>
      </c>
    </row>
    <row r="2034">
      <c r="A2034" s="54"/>
      <c r="B2034" s="71" t="str">
        <f>IFERROR(HYPERLINK(VLOOKUP(A2034,Internal_lists_bugs!$A$2:$C$73,3,FALSE()), VLOOKUP(A2034,Internal_lists_bugs!$A$2:$C$73,3,FALSE())&amp;Char(10) &amp; Char(10) &amp; VLOOKUP(A2034,Internal_lists_bugs!$A$2:$Z$73,26,FALSE())),"please select a BUG ID")</f>
        <v>please select a BUG ID</v>
      </c>
      <c r="C2034" s="51" t="str">
        <f>IFERROR(VLOOKUP(A2034,Internal_lists_bugs!$A$2:$I7981,9,FALSE()),"please select a BUG ID")</f>
        <v>please select a BUG ID</v>
      </c>
      <c r="D2034" s="114"/>
      <c r="E2034" s="114"/>
      <c r="F2034" s="115"/>
      <c r="G2034" s="82"/>
      <c r="H2034" s="92"/>
      <c r="I2034" s="54"/>
      <c r="K2034" s="54"/>
      <c r="M2034" s="114" t="str">
        <f>VLOOKUP(A2034,'BIC_(C_Variables)'!$A$3:$AS$43,45,FALSE())</f>
        <v>#N/A</v>
      </c>
      <c r="N2034" s="1"/>
      <c r="O2034" s="1"/>
      <c r="P2034" s="51" t="str">
        <f>IFERROR(VLOOKUP(A2034,Internal_lists_bugs!$A$2:$G7981,7,FALSE()),"please select a BUG ID")</f>
        <v>please select a BUG ID</v>
      </c>
    </row>
    <row r="2035">
      <c r="A2035" s="54"/>
      <c r="B2035" s="71" t="str">
        <f>IFERROR(HYPERLINK(VLOOKUP(A2035,Internal_lists_bugs!$A$2:$C$73,3,FALSE()), VLOOKUP(A2035,Internal_lists_bugs!$A$2:$C$73,3,FALSE())&amp;Char(10) &amp; Char(10) &amp; VLOOKUP(A2035,Internal_lists_bugs!$A$2:$Z$73,26,FALSE())),"please select a BUG ID")</f>
        <v>please select a BUG ID</v>
      </c>
      <c r="C2035" s="51" t="str">
        <f>IFERROR(VLOOKUP(A2035,Internal_lists_bugs!$A$2:$I7981,9,FALSE()),"please select a BUG ID")</f>
        <v>please select a BUG ID</v>
      </c>
      <c r="D2035" s="114"/>
      <c r="E2035" s="114"/>
      <c r="F2035" s="115"/>
      <c r="G2035" s="82"/>
      <c r="H2035" s="92"/>
      <c r="I2035" s="54"/>
      <c r="K2035" s="54"/>
      <c r="M2035" s="114" t="str">
        <f>VLOOKUP(A2035,'BIC_(C_Variables)'!$A$3:$AS$43,45,FALSE())</f>
        <v>#N/A</v>
      </c>
      <c r="N2035" s="1"/>
      <c r="O2035" s="1"/>
      <c r="P2035" s="51" t="str">
        <f>IFERROR(VLOOKUP(A2035,Internal_lists_bugs!$A$2:$G7981,7,FALSE()),"please select a BUG ID")</f>
        <v>please select a BUG ID</v>
      </c>
    </row>
    <row r="2036">
      <c r="A2036" s="54"/>
      <c r="B2036" s="71" t="str">
        <f>IFERROR(HYPERLINK(VLOOKUP(A2036,Internal_lists_bugs!$A$2:$C$73,3,FALSE()), VLOOKUP(A2036,Internal_lists_bugs!$A$2:$C$73,3,FALSE())&amp;Char(10) &amp; Char(10) &amp; VLOOKUP(A2036,Internal_lists_bugs!$A$2:$Z$73,26,FALSE())),"please select a BUG ID")</f>
        <v>please select a BUG ID</v>
      </c>
      <c r="C2036" s="51" t="str">
        <f>IFERROR(VLOOKUP(A2036,Internal_lists_bugs!$A$2:$I7981,9,FALSE()),"please select a BUG ID")</f>
        <v>please select a BUG ID</v>
      </c>
      <c r="D2036" s="114"/>
      <c r="E2036" s="114"/>
      <c r="F2036" s="115"/>
      <c r="G2036" s="82"/>
      <c r="H2036" s="92"/>
      <c r="I2036" s="54"/>
      <c r="K2036" s="54"/>
      <c r="M2036" s="114" t="str">
        <f>VLOOKUP(A2036,'BIC_(C_Variables)'!$A$3:$AS$43,45,FALSE())</f>
        <v>#N/A</v>
      </c>
      <c r="N2036" s="1"/>
      <c r="O2036" s="1"/>
      <c r="P2036" s="51" t="str">
        <f>IFERROR(VLOOKUP(A2036,Internal_lists_bugs!$A$2:$G7981,7,FALSE()),"please select a BUG ID")</f>
        <v>please select a BUG ID</v>
      </c>
    </row>
    <row r="2037">
      <c r="A2037" s="54"/>
      <c r="B2037" s="71" t="str">
        <f>IFERROR(HYPERLINK(VLOOKUP(A2037,Internal_lists_bugs!$A$2:$C$73,3,FALSE()), VLOOKUP(A2037,Internal_lists_bugs!$A$2:$C$73,3,FALSE())&amp;Char(10) &amp; Char(10) &amp; VLOOKUP(A2037,Internal_lists_bugs!$A$2:$Z$73,26,FALSE())),"please select a BUG ID")</f>
        <v>please select a BUG ID</v>
      </c>
      <c r="C2037" s="51" t="str">
        <f>IFERROR(VLOOKUP(A2037,Internal_lists_bugs!$A$2:$I7981,9,FALSE()),"please select a BUG ID")</f>
        <v>please select a BUG ID</v>
      </c>
      <c r="D2037" s="114"/>
      <c r="E2037" s="114"/>
      <c r="F2037" s="115"/>
      <c r="G2037" s="82"/>
      <c r="H2037" s="92"/>
      <c r="I2037" s="54"/>
      <c r="K2037" s="54"/>
      <c r="M2037" s="114" t="str">
        <f>VLOOKUP(A2037,'BIC_(C_Variables)'!$A$3:$AS$43,45,FALSE())</f>
        <v>#N/A</v>
      </c>
      <c r="N2037" s="1"/>
      <c r="O2037" s="1"/>
      <c r="P2037" s="51" t="str">
        <f>IFERROR(VLOOKUP(A2037,Internal_lists_bugs!$A$2:$G7981,7,FALSE()),"please select a BUG ID")</f>
        <v>please select a BUG ID</v>
      </c>
    </row>
    <row r="2038">
      <c r="A2038" s="54"/>
      <c r="B2038" s="71" t="str">
        <f>IFERROR(HYPERLINK(VLOOKUP(A2038,Internal_lists_bugs!$A$2:$C$73,3,FALSE()), VLOOKUP(A2038,Internal_lists_bugs!$A$2:$C$73,3,FALSE())&amp;Char(10) &amp; Char(10) &amp; VLOOKUP(A2038,Internal_lists_bugs!$A$2:$Z$73,26,FALSE())),"please select a BUG ID")</f>
        <v>please select a BUG ID</v>
      </c>
      <c r="C2038" s="51" t="str">
        <f>IFERROR(VLOOKUP(A2038,Internal_lists_bugs!$A$2:$I7981,9,FALSE()),"please select a BUG ID")</f>
        <v>please select a BUG ID</v>
      </c>
      <c r="D2038" s="114"/>
      <c r="E2038" s="114"/>
      <c r="F2038" s="115"/>
      <c r="G2038" s="82"/>
      <c r="H2038" s="92"/>
      <c r="I2038" s="54"/>
      <c r="K2038" s="54"/>
      <c r="M2038" s="114" t="str">
        <f>VLOOKUP(A2038,'BIC_(C_Variables)'!$A$3:$AS$43,45,FALSE())</f>
        <v>#N/A</v>
      </c>
      <c r="N2038" s="1" t="s">
        <v>3445</v>
      </c>
      <c r="O2038" s="15">
        <v>6974.0</v>
      </c>
      <c r="P2038" s="51" t="str">
        <f>IFERROR(VLOOKUP(A2038,Internal_lists_bugs!$A$2:$G7981,7,FALSE()),"please select a BUG ID")</f>
        <v>please select a BUG ID</v>
      </c>
    </row>
    <row r="2039">
      <c r="A2039" s="54"/>
      <c r="B2039" s="71" t="str">
        <f>IFERROR(HYPERLINK(VLOOKUP(A2039,Internal_lists_bugs!$A$2:$C$73,3,FALSE()), VLOOKUP(A2039,Internal_lists_bugs!$A$2:$C$73,3,FALSE())&amp;Char(10) &amp; Char(10) &amp; VLOOKUP(A2039,Internal_lists_bugs!$A$2:$Z$73,26,FALSE())),"please select a BUG ID")</f>
        <v>please select a BUG ID</v>
      </c>
      <c r="C2039" s="51" t="str">
        <f>IFERROR(VLOOKUP(A2039,Internal_lists_bugs!$A$2:$I7981,9,FALSE()),"please select a BUG ID")</f>
        <v>please select a BUG ID</v>
      </c>
      <c r="D2039" s="114"/>
      <c r="E2039" s="114"/>
      <c r="F2039" s="115"/>
      <c r="G2039" s="82"/>
      <c r="H2039" s="92"/>
      <c r="I2039" s="54"/>
      <c r="K2039" s="54"/>
      <c r="M2039" s="114" t="str">
        <f>VLOOKUP(A2039,'BIC_(C_Variables)'!$A$3:$AS$43,45,FALSE())</f>
        <v>#N/A</v>
      </c>
      <c r="N2039" s="1"/>
      <c r="O2039" s="1"/>
      <c r="P2039" s="51" t="str">
        <f>IFERROR(VLOOKUP(A2039,Internal_lists_bugs!$A$2:$G7981,7,FALSE()),"please select a BUG ID")</f>
        <v>please select a BUG ID</v>
      </c>
    </row>
    <row r="2040">
      <c r="A2040" s="54"/>
      <c r="B2040" s="71" t="str">
        <f>IFERROR(HYPERLINK(VLOOKUP(A2040,Internal_lists_bugs!$A$2:$C$73,3,FALSE()), VLOOKUP(A2040,Internal_lists_bugs!$A$2:$C$73,3,FALSE())&amp;Char(10) &amp; Char(10) &amp; VLOOKUP(A2040,Internal_lists_bugs!$A$2:$Z$73,26,FALSE())),"please select a BUG ID")</f>
        <v>please select a BUG ID</v>
      </c>
      <c r="C2040" s="51" t="str">
        <f>IFERROR(VLOOKUP(A2040,Internal_lists_bugs!$A$2:$I7981,9,FALSE()),"please select a BUG ID")</f>
        <v>please select a BUG ID</v>
      </c>
      <c r="D2040" s="114"/>
      <c r="E2040" s="114"/>
      <c r="F2040" s="115"/>
      <c r="G2040" s="82"/>
      <c r="H2040" s="92"/>
      <c r="I2040" s="54"/>
      <c r="K2040" s="54"/>
      <c r="M2040" s="114" t="str">
        <f>VLOOKUP(A2040,'BIC_(C_Variables)'!$A$3:$AS$43,45,FALSE())</f>
        <v>#N/A</v>
      </c>
      <c r="N2040" s="1"/>
      <c r="O2040" s="1"/>
      <c r="P2040" s="51" t="str">
        <f>IFERROR(VLOOKUP(A2040,Internal_lists_bugs!$A$2:$G7981,7,FALSE()),"please select a BUG ID")</f>
        <v>please select a BUG ID</v>
      </c>
    </row>
    <row r="2041">
      <c r="A2041" s="54"/>
      <c r="B2041" s="71" t="str">
        <f>IFERROR(HYPERLINK(VLOOKUP(A2041,Internal_lists_bugs!$A$2:$C$73,3,FALSE()), VLOOKUP(A2041,Internal_lists_bugs!$A$2:$C$73,3,FALSE())&amp;Char(10) &amp; Char(10) &amp; VLOOKUP(A2041,Internal_lists_bugs!$A$2:$Z$73,26,FALSE())),"please select a BUG ID")</f>
        <v>please select a BUG ID</v>
      </c>
      <c r="C2041" s="51" t="str">
        <f>IFERROR(VLOOKUP(A2041,Internal_lists_bugs!$A$2:$I7981,9,FALSE()),"please select a BUG ID")</f>
        <v>please select a BUG ID</v>
      </c>
      <c r="D2041" s="114"/>
      <c r="E2041" s="114"/>
      <c r="F2041" s="115"/>
      <c r="G2041" s="82"/>
      <c r="H2041" s="92"/>
      <c r="I2041" s="54"/>
      <c r="K2041" s="54"/>
      <c r="M2041" s="114" t="str">
        <f>VLOOKUP(A2041,'BIC_(C_Variables)'!$A$3:$AS$43,45,FALSE())</f>
        <v>#N/A</v>
      </c>
      <c r="N2041" s="1"/>
      <c r="O2041" s="1"/>
      <c r="P2041" s="51" t="str">
        <f>IFERROR(VLOOKUP(A2041,Internal_lists_bugs!$A$2:$G7981,7,FALSE()),"please select a BUG ID")</f>
        <v>please select a BUG ID</v>
      </c>
    </row>
    <row r="2042">
      <c r="A2042" s="54"/>
      <c r="B2042" s="71" t="str">
        <f>IFERROR(HYPERLINK(VLOOKUP(A2042,Internal_lists_bugs!$A$2:$C$73,3,FALSE()), VLOOKUP(A2042,Internal_lists_bugs!$A$2:$C$73,3,FALSE())&amp;Char(10) &amp; Char(10) &amp; VLOOKUP(A2042,Internal_lists_bugs!$A$2:$Z$73,26,FALSE())),"please select a BUG ID")</f>
        <v>please select a BUG ID</v>
      </c>
      <c r="C2042" s="51" t="str">
        <f>IFERROR(VLOOKUP(A2042,Internal_lists_bugs!$A$2:$I7981,9,FALSE()),"please select a BUG ID")</f>
        <v>please select a BUG ID</v>
      </c>
      <c r="D2042" s="114"/>
      <c r="E2042" s="114"/>
      <c r="F2042" s="115"/>
      <c r="G2042" s="82"/>
      <c r="H2042" s="92"/>
      <c r="I2042" s="54"/>
      <c r="K2042" s="54"/>
      <c r="M2042" s="114" t="str">
        <f>VLOOKUP(A2042,'BIC_(C_Variables)'!$A$3:$AS$43,45,FALSE())</f>
        <v>#N/A</v>
      </c>
      <c r="N2042" s="1"/>
      <c r="O2042" s="1"/>
      <c r="P2042" s="51" t="str">
        <f>IFERROR(VLOOKUP(A2042,Internal_lists_bugs!$A$2:$G7981,7,FALSE()),"please select a BUG ID")</f>
        <v>please select a BUG ID</v>
      </c>
    </row>
    <row r="2043">
      <c r="A2043" s="54"/>
      <c r="B2043" s="71" t="str">
        <f>IFERROR(HYPERLINK(VLOOKUP(A2043,Internal_lists_bugs!$A$2:$C$73,3,FALSE()), VLOOKUP(A2043,Internal_lists_bugs!$A$2:$C$73,3,FALSE())&amp;Char(10) &amp; Char(10) &amp; VLOOKUP(A2043,Internal_lists_bugs!$A$2:$Z$73,26,FALSE())),"please select a BUG ID")</f>
        <v>please select a BUG ID</v>
      </c>
      <c r="C2043" s="51" t="str">
        <f>IFERROR(VLOOKUP(A2043,Internal_lists_bugs!$A$2:$I7981,9,FALSE()),"please select a BUG ID")</f>
        <v>please select a BUG ID</v>
      </c>
      <c r="D2043" s="114"/>
      <c r="E2043" s="114"/>
      <c r="F2043" s="115"/>
      <c r="G2043" s="82"/>
      <c r="H2043" s="92"/>
      <c r="I2043" s="54"/>
      <c r="K2043" s="54"/>
      <c r="M2043" s="114" t="str">
        <f>VLOOKUP(A2043,'BIC_(C_Variables)'!$A$3:$AS$43,45,FALSE())</f>
        <v>#N/A</v>
      </c>
      <c r="N2043" s="1"/>
      <c r="O2043" s="1"/>
      <c r="P2043" s="51" t="str">
        <f>IFERROR(VLOOKUP(A2043,Internal_lists_bugs!$A$2:$G7981,7,FALSE()),"please select a BUG ID")</f>
        <v>please select a BUG ID</v>
      </c>
    </row>
    <row r="2044">
      <c r="A2044" s="54"/>
      <c r="B2044" s="71" t="str">
        <f>IFERROR(HYPERLINK(VLOOKUP(A2044,Internal_lists_bugs!$A$2:$C$73,3,FALSE()), VLOOKUP(A2044,Internal_lists_bugs!$A$2:$C$73,3,FALSE())&amp;Char(10) &amp; Char(10) &amp; VLOOKUP(A2044,Internal_lists_bugs!$A$2:$Z$73,26,FALSE())),"please select a BUG ID")</f>
        <v>please select a BUG ID</v>
      </c>
      <c r="C2044" s="51" t="str">
        <f>IFERROR(VLOOKUP(A2044,Internal_lists_bugs!$A$2:$I7981,9,FALSE()),"please select a BUG ID")</f>
        <v>please select a BUG ID</v>
      </c>
      <c r="D2044" s="114"/>
      <c r="E2044" s="114"/>
      <c r="F2044" s="115"/>
      <c r="G2044" s="82"/>
      <c r="H2044" s="92"/>
      <c r="I2044" s="54"/>
      <c r="K2044" s="54"/>
      <c r="M2044" s="114" t="str">
        <f>VLOOKUP(A2044,'BIC_(C_Variables)'!$A$3:$AS$43,45,FALSE())</f>
        <v>#N/A</v>
      </c>
      <c r="N2044" s="1"/>
      <c r="O2044" s="1"/>
      <c r="P2044" s="51" t="str">
        <f>IFERROR(VLOOKUP(A2044,Internal_lists_bugs!$A$2:$G7981,7,FALSE()),"please select a BUG ID")</f>
        <v>please select a BUG ID</v>
      </c>
    </row>
    <row r="2045">
      <c r="A2045" s="54"/>
      <c r="B2045" s="71" t="str">
        <f>IFERROR(HYPERLINK(VLOOKUP(A2045,Internal_lists_bugs!$A$2:$C$73,3,FALSE()), VLOOKUP(A2045,Internal_lists_bugs!$A$2:$C$73,3,FALSE())&amp;Char(10) &amp; Char(10) &amp; VLOOKUP(A2045,Internal_lists_bugs!$A$2:$Z$73,26,FALSE())),"please select a BUG ID")</f>
        <v>please select a BUG ID</v>
      </c>
      <c r="C2045" s="51" t="str">
        <f>IFERROR(VLOOKUP(A2045,Internal_lists_bugs!$A$2:$I7981,9,FALSE()),"please select a BUG ID")</f>
        <v>please select a BUG ID</v>
      </c>
      <c r="D2045" s="114"/>
      <c r="E2045" s="114"/>
      <c r="F2045" s="115"/>
      <c r="G2045" s="82"/>
      <c r="H2045" s="92"/>
      <c r="I2045" s="54"/>
      <c r="K2045" s="54"/>
      <c r="M2045" s="114" t="str">
        <f>VLOOKUP(A2045,'BIC_(C_Variables)'!$A$3:$AS$43,45,FALSE())</f>
        <v>#N/A</v>
      </c>
      <c r="N2045" s="1"/>
      <c r="O2045" s="1"/>
      <c r="P2045" s="51" t="str">
        <f>IFERROR(VLOOKUP(A2045,Internal_lists_bugs!$A$2:$G7981,7,FALSE()),"please select a BUG ID")</f>
        <v>please select a BUG ID</v>
      </c>
    </row>
    <row r="2046">
      <c r="A2046" s="54"/>
      <c r="B2046" s="71" t="str">
        <f>IFERROR(HYPERLINK(VLOOKUP(A2046,Internal_lists_bugs!$A$2:$C$73,3,FALSE()), VLOOKUP(A2046,Internal_lists_bugs!$A$2:$C$73,3,FALSE())&amp;Char(10) &amp; Char(10) &amp; VLOOKUP(A2046,Internal_lists_bugs!$A$2:$Z$73,26,FALSE())),"please select a BUG ID")</f>
        <v>please select a BUG ID</v>
      </c>
      <c r="C2046" s="51" t="str">
        <f>IFERROR(VLOOKUP(A2046,Internal_lists_bugs!$A$2:$I7981,9,FALSE()),"please select a BUG ID")</f>
        <v>please select a BUG ID</v>
      </c>
      <c r="D2046" s="114"/>
      <c r="E2046" s="114"/>
      <c r="F2046" s="115"/>
      <c r="G2046" s="82"/>
      <c r="H2046" s="92"/>
      <c r="I2046" s="54"/>
      <c r="K2046" s="54"/>
      <c r="M2046" s="114" t="str">
        <f>VLOOKUP(A2046,'BIC_(C_Variables)'!$A$3:$AS$43,45,FALSE())</f>
        <v>#N/A</v>
      </c>
      <c r="N2046" s="1"/>
      <c r="O2046" s="1"/>
      <c r="P2046" s="51" t="str">
        <f>IFERROR(VLOOKUP(A2046,Internal_lists_bugs!$A$2:$G7981,7,FALSE()),"please select a BUG ID")</f>
        <v>please select a BUG ID</v>
      </c>
    </row>
    <row r="2047">
      <c r="A2047" s="54"/>
      <c r="B2047" s="71" t="str">
        <f>IFERROR(HYPERLINK(VLOOKUP(A2047,Internal_lists_bugs!$A$2:$C$73,3,FALSE()), VLOOKUP(A2047,Internal_lists_bugs!$A$2:$C$73,3,FALSE())&amp;Char(10) &amp; Char(10) &amp; VLOOKUP(A2047,Internal_lists_bugs!$A$2:$Z$73,26,FALSE())),"please select a BUG ID")</f>
        <v>please select a BUG ID</v>
      </c>
      <c r="C2047" s="51" t="str">
        <f>IFERROR(VLOOKUP(A2047,Internal_lists_bugs!$A$2:$I7981,9,FALSE()),"please select a BUG ID")</f>
        <v>please select a BUG ID</v>
      </c>
      <c r="D2047" s="114"/>
      <c r="E2047" s="114"/>
      <c r="F2047" s="115"/>
      <c r="G2047" s="82"/>
      <c r="H2047" s="92"/>
      <c r="I2047" s="54"/>
      <c r="K2047" s="54"/>
      <c r="M2047" s="114" t="str">
        <f>VLOOKUP(A2047,'BIC_(C_Variables)'!$A$3:$AS$43,45,FALSE())</f>
        <v>#N/A</v>
      </c>
      <c r="N2047" s="1"/>
      <c r="O2047" s="1"/>
      <c r="P2047" s="51" t="str">
        <f>IFERROR(VLOOKUP(A2047,Internal_lists_bugs!$A$2:$G7981,7,FALSE()),"please select a BUG ID")</f>
        <v>please select a BUG ID</v>
      </c>
    </row>
    <row r="2048">
      <c r="A2048" s="54"/>
      <c r="B2048" s="71" t="str">
        <f>IFERROR(HYPERLINK(VLOOKUP(A2048,Internal_lists_bugs!$A$2:$C$73,3,FALSE()), VLOOKUP(A2048,Internal_lists_bugs!$A$2:$C$73,3,FALSE())&amp;Char(10) &amp; Char(10) &amp; VLOOKUP(A2048,Internal_lists_bugs!$A$2:$Z$73,26,FALSE())),"please select a BUG ID")</f>
        <v>please select a BUG ID</v>
      </c>
      <c r="C2048" s="51" t="str">
        <f>IFERROR(VLOOKUP(A2048,Internal_lists_bugs!$A$2:$I7981,9,FALSE()),"please select a BUG ID")</f>
        <v>please select a BUG ID</v>
      </c>
      <c r="D2048" s="114"/>
      <c r="E2048" s="114"/>
      <c r="F2048" s="115"/>
      <c r="G2048" s="82"/>
      <c r="H2048" s="92"/>
      <c r="I2048" s="54"/>
      <c r="K2048" s="54"/>
      <c r="M2048" s="114" t="str">
        <f>VLOOKUP(A2048,'BIC_(C_Variables)'!$A$3:$AS$43,45,FALSE())</f>
        <v>#N/A</v>
      </c>
      <c r="N2048" s="1"/>
      <c r="O2048" s="1"/>
      <c r="P2048" s="51" t="str">
        <f>IFERROR(VLOOKUP(A2048,Internal_lists_bugs!$A$2:$G7981,7,FALSE()),"please select a BUG ID")</f>
        <v>please select a BUG ID</v>
      </c>
    </row>
    <row r="2049">
      <c r="A2049" s="54"/>
      <c r="B2049" s="71" t="str">
        <f>IFERROR(HYPERLINK(VLOOKUP(A2049,Internal_lists_bugs!$A$2:$C$73,3,FALSE()), VLOOKUP(A2049,Internal_lists_bugs!$A$2:$C$73,3,FALSE())&amp;Char(10) &amp; Char(10) &amp; VLOOKUP(A2049,Internal_lists_bugs!$A$2:$Z$73,26,FALSE())),"please select a BUG ID")</f>
        <v>please select a BUG ID</v>
      </c>
      <c r="C2049" s="51" t="str">
        <f>IFERROR(VLOOKUP(A2049,Internal_lists_bugs!$A$2:$I7981,9,FALSE()),"please select a BUG ID")</f>
        <v>please select a BUG ID</v>
      </c>
      <c r="D2049" s="114"/>
      <c r="E2049" s="114"/>
      <c r="F2049" s="115"/>
      <c r="G2049" s="82"/>
      <c r="H2049" s="92"/>
      <c r="I2049" s="54"/>
      <c r="K2049" s="54"/>
      <c r="M2049" s="114" t="str">
        <f>VLOOKUP(A2049,'BIC_(C_Variables)'!$A$3:$AS$43,45,FALSE())</f>
        <v>#N/A</v>
      </c>
      <c r="N2049" s="1"/>
      <c r="O2049" s="1"/>
      <c r="P2049" s="51" t="str">
        <f>IFERROR(VLOOKUP(A2049,Internal_lists_bugs!$A$2:$G7981,7,FALSE()),"please select a BUG ID")</f>
        <v>please select a BUG ID</v>
      </c>
    </row>
    <row r="2050">
      <c r="A2050" s="54"/>
      <c r="B2050" s="71" t="str">
        <f>IFERROR(HYPERLINK(VLOOKUP(A2050,Internal_lists_bugs!$A$2:$C$73,3,FALSE()), VLOOKUP(A2050,Internal_lists_bugs!$A$2:$C$73,3,FALSE())&amp;Char(10) &amp; Char(10) &amp; VLOOKUP(A2050,Internal_lists_bugs!$A$2:$Z$73,26,FALSE())),"please select a BUG ID")</f>
        <v>please select a BUG ID</v>
      </c>
      <c r="C2050" s="51" t="str">
        <f>IFERROR(VLOOKUP(A2050,Internal_lists_bugs!$A$2:$I7981,9,FALSE()),"please select a BUG ID")</f>
        <v>please select a BUG ID</v>
      </c>
      <c r="D2050" s="114"/>
      <c r="E2050" s="114"/>
      <c r="F2050" s="115"/>
      <c r="G2050" s="82"/>
      <c r="H2050" s="92"/>
      <c r="I2050" s="54"/>
      <c r="K2050" s="54"/>
      <c r="M2050" s="114" t="str">
        <f>VLOOKUP(A2050,'BIC_(C_Variables)'!$A$3:$AS$43,45,FALSE())</f>
        <v>#N/A</v>
      </c>
      <c r="N2050" s="1"/>
      <c r="O2050" s="1"/>
      <c r="P2050" s="51" t="str">
        <f>IFERROR(VLOOKUP(A2050,Internal_lists_bugs!$A$2:$G7981,7,FALSE()),"please select a BUG ID")</f>
        <v>please select a BUG ID</v>
      </c>
    </row>
    <row r="2051">
      <c r="A2051" s="54"/>
      <c r="B2051" s="71" t="str">
        <f>IFERROR(HYPERLINK(VLOOKUP(A2051,Internal_lists_bugs!$A$2:$C$73,3,FALSE()), VLOOKUP(A2051,Internal_lists_bugs!$A$2:$C$73,3,FALSE())&amp;Char(10) &amp; Char(10) &amp; VLOOKUP(A2051,Internal_lists_bugs!$A$2:$Z$73,26,FALSE())),"please select a BUG ID")</f>
        <v>please select a BUG ID</v>
      </c>
      <c r="C2051" s="51" t="str">
        <f>IFERROR(VLOOKUP(A2051,Internal_lists_bugs!$A$2:$I7981,9,FALSE()),"please select a BUG ID")</f>
        <v>please select a BUG ID</v>
      </c>
      <c r="D2051" s="114"/>
      <c r="E2051" s="114"/>
      <c r="F2051" s="115"/>
      <c r="G2051" s="82"/>
      <c r="H2051" s="92"/>
      <c r="I2051" s="54"/>
      <c r="K2051" s="54"/>
      <c r="M2051" s="114" t="str">
        <f>VLOOKUP(A2051,'BIC_(C_Variables)'!$A$3:$AS$43,45,FALSE())</f>
        <v>#N/A</v>
      </c>
      <c r="N2051" s="1"/>
      <c r="O2051" s="1"/>
      <c r="P2051" s="51" t="str">
        <f>IFERROR(VLOOKUP(A2051,Internal_lists_bugs!$A$2:$G7981,7,FALSE()),"please select a BUG ID")</f>
        <v>please select a BUG ID</v>
      </c>
    </row>
    <row r="2052">
      <c r="A2052" s="54"/>
      <c r="B2052" s="71" t="str">
        <f>IFERROR(HYPERLINK(VLOOKUP(A2052,Internal_lists_bugs!$A$2:$C$73,3,FALSE()), VLOOKUP(A2052,Internal_lists_bugs!$A$2:$C$73,3,FALSE())&amp;Char(10) &amp; Char(10) &amp; VLOOKUP(A2052,Internal_lists_bugs!$A$2:$Z$73,26,FALSE())),"please select a BUG ID")</f>
        <v>please select a BUG ID</v>
      </c>
      <c r="C2052" s="51" t="str">
        <f>IFERROR(VLOOKUP(A2052,Internal_lists_bugs!$A$2:$I7981,9,FALSE()),"please select a BUG ID")</f>
        <v>please select a BUG ID</v>
      </c>
      <c r="D2052" s="114"/>
      <c r="E2052" s="114"/>
      <c r="F2052" s="115"/>
      <c r="G2052" s="82"/>
      <c r="H2052" s="92"/>
      <c r="I2052" s="54"/>
      <c r="K2052" s="54"/>
      <c r="M2052" s="114" t="str">
        <f>VLOOKUP(A2052,'BIC_(C_Variables)'!$A$3:$AS$43,45,FALSE())</f>
        <v>#N/A</v>
      </c>
      <c r="N2052" s="1"/>
      <c r="O2052" s="1"/>
      <c r="P2052" s="51" t="str">
        <f>IFERROR(VLOOKUP(A2052,Internal_lists_bugs!$A$2:$G7981,7,FALSE()),"please select a BUG ID")</f>
        <v>please select a BUG ID</v>
      </c>
    </row>
    <row r="2053">
      <c r="A2053" s="54"/>
      <c r="B2053" s="71" t="str">
        <f>IFERROR(HYPERLINK(VLOOKUP(A2053,Internal_lists_bugs!$A$2:$C$73,3,FALSE()), VLOOKUP(A2053,Internal_lists_bugs!$A$2:$C$73,3,FALSE())&amp;Char(10) &amp; Char(10) &amp; VLOOKUP(A2053,Internal_lists_bugs!$A$2:$Z$73,26,FALSE())),"please select a BUG ID")</f>
        <v>please select a BUG ID</v>
      </c>
      <c r="C2053" s="51" t="str">
        <f>IFERROR(VLOOKUP(A2053,Internal_lists_bugs!$A$2:$I7981,9,FALSE()),"please select a BUG ID")</f>
        <v>please select a BUG ID</v>
      </c>
      <c r="D2053" s="114"/>
      <c r="E2053" s="114"/>
      <c r="F2053" s="115"/>
      <c r="G2053" s="82"/>
      <c r="H2053" s="92"/>
      <c r="I2053" s="54"/>
      <c r="K2053" s="54"/>
      <c r="M2053" s="114" t="str">
        <f>VLOOKUP(A2053,'BIC_(C_Variables)'!$A$3:$AS$43,45,FALSE())</f>
        <v>#N/A</v>
      </c>
      <c r="N2053" s="1"/>
      <c r="O2053" s="1"/>
      <c r="P2053" s="51" t="str">
        <f>IFERROR(VLOOKUP(A2053,Internal_lists_bugs!$A$2:$G7981,7,FALSE()),"please select a BUG ID")</f>
        <v>please select a BUG ID</v>
      </c>
    </row>
    <row r="2054">
      <c r="A2054" s="54"/>
      <c r="B2054" s="71" t="str">
        <f>IFERROR(HYPERLINK(VLOOKUP(A2054,Internal_lists_bugs!$A$2:$C$73,3,FALSE()), VLOOKUP(A2054,Internal_lists_bugs!$A$2:$C$73,3,FALSE())&amp;Char(10) &amp; Char(10) &amp; VLOOKUP(A2054,Internal_lists_bugs!$A$2:$Z$73,26,FALSE())),"please select a BUG ID")</f>
        <v>please select a BUG ID</v>
      </c>
      <c r="C2054" s="51" t="str">
        <f>IFERROR(VLOOKUP(A2054,Internal_lists_bugs!$A$2:$I7981,9,FALSE()),"please select a BUG ID")</f>
        <v>please select a BUG ID</v>
      </c>
      <c r="D2054" s="114"/>
      <c r="E2054" s="114"/>
      <c r="F2054" s="115"/>
      <c r="G2054" s="82"/>
      <c r="H2054" s="92"/>
      <c r="I2054" s="54"/>
      <c r="K2054" s="54"/>
      <c r="M2054" s="114" t="str">
        <f>VLOOKUP(A2054,'BIC_(C_Variables)'!$A$3:$AS$43,45,FALSE())</f>
        <v>#N/A</v>
      </c>
      <c r="N2054" s="1"/>
      <c r="O2054" s="1"/>
      <c r="P2054" s="51" t="str">
        <f>IFERROR(VLOOKUP(A2054,Internal_lists_bugs!$A$2:$G7981,7,FALSE()),"please select a BUG ID")</f>
        <v>please select a BUG ID</v>
      </c>
    </row>
    <row r="2055">
      <c r="A2055" s="54"/>
      <c r="B2055" s="71" t="str">
        <f>IFERROR(HYPERLINK(VLOOKUP(A2055,Internal_lists_bugs!$A$2:$C$73,3,FALSE()), VLOOKUP(A2055,Internal_lists_bugs!$A$2:$C$73,3,FALSE())&amp;Char(10) &amp; Char(10) &amp; VLOOKUP(A2055,Internal_lists_bugs!$A$2:$Z$73,26,FALSE())),"please select a BUG ID")</f>
        <v>please select a BUG ID</v>
      </c>
      <c r="C2055" s="51" t="str">
        <f>IFERROR(VLOOKUP(A2055,Internal_lists_bugs!$A$2:$I7981,9,FALSE()),"please select a BUG ID")</f>
        <v>please select a BUG ID</v>
      </c>
      <c r="D2055" s="114"/>
      <c r="E2055" s="114"/>
      <c r="F2055" s="115"/>
      <c r="G2055" s="82"/>
      <c r="H2055" s="92"/>
      <c r="I2055" s="54"/>
      <c r="K2055" s="54"/>
      <c r="M2055" s="114" t="str">
        <f>VLOOKUP(A2055,'BIC_(C_Variables)'!$A$3:$AS$43,45,FALSE())</f>
        <v>#N/A</v>
      </c>
      <c r="N2055" s="1"/>
      <c r="O2055" s="1"/>
      <c r="P2055" s="51" t="str">
        <f>IFERROR(VLOOKUP(A2055,Internal_lists_bugs!$A$2:$G7981,7,FALSE()),"please select a BUG ID")</f>
        <v>please select a BUG ID</v>
      </c>
    </row>
    <row r="2056">
      <c r="A2056" s="54"/>
      <c r="B2056" s="71" t="str">
        <f>IFERROR(HYPERLINK(VLOOKUP(A2056,Internal_lists_bugs!$A$2:$C$73,3,FALSE()), VLOOKUP(A2056,Internal_lists_bugs!$A$2:$C$73,3,FALSE())&amp;Char(10) &amp; Char(10) &amp; VLOOKUP(A2056,Internal_lists_bugs!$A$2:$Z$73,26,FALSE())),"please select a BUG ID")</f>
        <v>please select a BUG ID</v>
      </c>
      <c r="C2056" s="51" t="str">
        <f>IFERROR(VLOOKUP(A2056,Internal_lists_bugs!$A$2:$I7981,9,FALSE()),"please select a BUG ID")</f>
        <v>please select a BUG ID</v>
      </c>
      <c r="D2056" s="114"/>
      <c r="E2056" s="114"/>
      <c r="F2056" s="115"/>
      <c r="G2056" s="82"/>
      <c r="H2056" s="92"/>
      <c r="I2056" s="54"/>
      <c r="K2056" s="54"/>
      <c r="M2056" s="114" t="str">
        <f>VLOOKUP(A2056,'BIC_(C_Variables)'!$A$3:$AS$43,45,FALSE())</f>
        <v>#N/A</v>
      </c>
      <c r="N2056" s="1"/>
      <c r="O2056" s="1"/>
      <c r="P2056" s="51" t="str">
        <f>IFERROR(VLOOKUP(A2056,Internal_lists_bugs!$A$2:$G7981,7,FALSE()),"please select a BUG ID")</f>
        <v>please select a BUG ID</v>
      </c>
    </row>
    <row r="2057">
      <c r="A2057" s="54"/>
      <c r="B2057" s="71" t="str">
        <f>IFERROR(HYPERLINK(VLOOKUP(A2057,Internal_lists_bugs!$A$2:$C$73,3,FALSE()), VLOOKUP(A2057,Internal_lists_bugs!$A$2:$C$73,3,FALSE())&amp;Char(10) &amp; Char(10) &amp; VLOOKUP(A2057,Internal_lists_bugs!$A$2:$Z$73,26,FALSE())),"please select a BUG ID")</f>
        <v>please select a BUG ID</v>
      </c>
      <c r="C2057" s="51" t="str">
        <f>IFERROR(VLOOKUP(A2057,Internal_lists_bugs!$A$2:$I7981,9,FALSE()),"please select a BUG ID")</f>
        <v>please select a BUG ID</v>
      </c>
      <c r="D2057" s="114"/>
      <c r="E2057" s="114"/>
      <c r="F2057" s="115"/>
      <c r="G2057" s="82"/>
      <c r="H2057" s="92"/>
      <c r="I2057" s="54"/>
      <c r="K2057" s="54"/>
      <c r="M2057" s="114" t="str">
        <f>VLOOKUP(A2057,'BIC_(C_Variables)'!$A$3:$AS$43,45,FALSE())</f>
        <v>#N/A</v>
      </c>
      <c r="N2057" s="1"/>
      <c r="O2057" s="1"/>
      <c r="P2057" s="51" t="str">
        <f>IFERROR(VLOOKUP(A2057,Internal_lists_bugs!$A$2:$G7981,7,FALSE()),"please select a BUG ID")</f>
        <v>please select a BUG ID</v>
      </c>
    </row>
    <row r="2058">
      <c r="A2058" s="54"/>
      <c r="B2058" s="71" t="str">
        <f>IFERROR(HYPERLINK(VLOOKUP(A2058,Internal_lists_bugs!$A$2:$C$73,3,FALSE()), VLOOKUP(A2058,Internal_lists_bugs!$A$2:$C$73,3,FALSE())&amp;Char(10) &amp; Char(10) &amp; VLOOKUP(A2058,Internal_lists_bugs!$A$2:$Z$73,26,FALSE())),"please select a BUG ID")</f>
        <v>please select a BUG ID</v>
      </c>
      <c r="C2058" s="51" t="str">
        <f>IFERROR(VLOOKUP(A2058,Internal_lists_bugs!$A$2:$I7981,9,FALSE()),"please select a BUG ID")</f>
        <v>please select a BUG ID</v>
      </c>
      <c r="D2058" s="114"/>
      <c r="E2058" s="114"/>
      <c r="F2058" s="115"/>
      <c r="G2058" s="82"/>
      <c r="H2058" s="92"/>
      <c r="I2058" s="54"/>
      <c r="K2058" s="54"/>
      <c r="M2058" s="114" t="str">
        <f>VLOOKUP(A2058,'BIC_(C_Variables)'!$A$3:$AS$43,45,FALSE())</f>
        <v>#N/A</v>
      </c>
      <c r="N2058" s="1"/>
      <c r="O2058" s="1"/>
      <c r="P2058" s="51" t="str">
        <f>IFERROR(VLOOKUP(A2058,Internal_lists_bugs!$A$2:$G7981,7,FALSE()),"please select a BUG ID")</f>
        <v>please select a BUG ID</v>
      </c>
    </row>
    <row r="2059">
      <c r="A2059" s="54"/>
      <c r="B2059" s="71" t="str">
        <f>IFERROR(HYPERLINK(VLOOKUP(A2059,Internal_lists_bugs!$A$2:$C$73,3,FALSE()), VLOOKUP(A2059,Internal_lists_bugs!$A$2:$C$73,3,FALSE())&amp;Char(10) &amp; Char(10) &amp; VLOOKUP(A2059,Internal_lists_bugs!$A$2:$Z$73,26,FALSE())),"please select a BUG ID")</f>
        <v>please select a BUG ID</v>
      </c>
      <c r="C2059" s="51" t="str">
        <f>IFERROR(VLOOKUP(A2059,Internal_lists_bugs!$A$2:$I7981,9,FALSE()),"please select a BUG ID")</f>
        <v>please select a BUG ID</v>
      </c>
      <c r="D2059" s="114"/>
      <c r="E2059" s="114"/>
      <c r="F2059" s="115"/>
      <c r="G2059" s="82"/>
      <c r="H2059" s="92"/>
      <c r="I2059" s="54"/>
      <c r="K2059" s="54"/>
      <c r="M2059" s="114" t="str">
        <f>VLOOKUP(A2059,'BIC_(C_Variables)'!$A$3:$AS$43,45,FALSE())</f>
        <v>#N/A</v>
      </c>
      <c r="N2059" s="1"/>
      <c r="O2059" s="1"/>
      <c r="P2059" s="51" t="str">
        <f>IFERROR(VLOOKUP(A2059,Internal_lists_bugs!$A$2:$G7981,7,FALSE()),"please select a BUG ID")</f>
        <v>please select a BUG ID</v>
      </c>
    </row>
    <row r="2060">
      <c r="A2060" s="54"/>
      <c r="B2060" s="71" t="str">
        <f>IFERROR(HYPERLINK(VLOOKUP(A2060,Internal_lists_bugs!$A$2:$C$73,3,FALSE()), VLOOKUP(A2060,Internal_lists_bugs!$A$2:$C$73,3,FALSE())&amp;Char(10) &amp; Char(10) &amp; VLOOKUP(A2060,Internal_lists_bugs!$A$2:$Z$73,26,FALSE())),"please select a BUG ID")</f>
        <v>please select a BUG ID</v>
      </c>
      <c r="C2060" s="51" t="str">
        <f>IFERROR(VLOOKUP(A2060,Internal_lists_bugs!$A$2:$I7981,9,FALSE()),"please select a BUG ID")</f>
        <v>please select a BUG ID</v>
      </c>
      <c r="D2060" s="114"/>
      <c r="E2060" s="114"/>
      <c r="F2060" s="115"/>
      <c r="G2060" s="82"/>
      <c r="H2060" s="92"/>
      <c r="I2060" s="54"/>
      <c r="K2060" s="54"/>
      <c r="M2060" s="114" t="str">
        <f>VLOOKUP(A2060,'BIC_(C_Variables)'!$A$3:$AS$43,45,FALSE())</f>
        <v>#N/A</v>
      </c>
      <c r="N2060" s="1"/>
      <c r="O2060" s="1"/>
      <c r="P2060" s="51" t="str">
        <f>IFERROR(VLOOKUP(A2060,Internal_lists_bugs!$A$2:$G7981,7,FALSE()),"please select a BUG ID")</f>
        <v>please select a BUG ID</v>
      </c>
    </row>
    <row r="2061">
      <c r="A2061" s="54"/>
      <c r="B2061" s="71" t="str">
        <f>IFERROR(HYPERLINK(VLOOKUP(A2061,Internal_lists_bugs!$A$2:$C$73,3,FALSE()), VLOOKUP(A2061,Internal_lists_bugs!$A$2:$C$73,3,FALSE())&amp;Char(10) &amp; Char(10) &amp; VLOOKUP(A2061,Internal_lists_bugs!$A$2:$Z$73,26,FALSE())),"please select a BUG ID")</f>
        <v>please select a BUG ID</v>
      </c>
      <c r="C2061" s="51" t="str">
        <f>IFERROR(VLOOKUP(A2061,Internal_lists_bugs!$A$2:$I7981,9,FALSE()),"please select a BUG ID")</f>
        <v>please select a BUG ID</v>
      </c>
      <c r="D2061" s="114"/>
      <c r="E2061" s="114"/>
      <c r="F2061" s="115"/>
      <c r="G2061" s="82"/>
      <c r="H2061" s="92"/>
      <c r="I2061" s="54"/>
      <c r="K2061" s="54"/>
      <c r="M2061" s="114" t="str">
        <f>VLOOKUP(A2061,'BIC_(C_Variables)'!$A$3:$AS$43,45,FALSE())</f>
        <v>#N/A</v>
      </c>
      <c r="N2061" s="1"/>
      <c r="O2061" s="1"/>
      <c r="P2061" s="51" t="str">
        <f>IFERROR(VLOOKUP(A2061,Internal_lists_bugs!$A$2:$G7981,7,FALSE()),"please select a BUG ID")</f>
        <v>please select a BUG ID</v>
      </c>
    </row>
    <row r="2062">
      <c r="A2062" s="54"/>
      <c r="B2062" s="71" t="str">
        <f>IFERROR(HYPERLINK(VLOOKUP(A2062,Internal_lists_bugs!$A$2:$C$73,3,FALSE()), VLOOKUP(A2062,Internal_lists_bugs!$A$2:$C$73,3,FALSE())&amp;Char(10) &amp; Char(10) &amp; VLOOKUP(A2062,Internal_lists_bugs!$A$2:$Z$73,26,FALSE())),"please select a BUG ID")</f>
        <v>please select a BUG ID</v>
      </c>
      <c r="C2062" s="51" t="str">
        <f>IFERROR(VLOOKUP(A2062,Internal_lists_bugs!$A$2:$I7981,9,FALSE()),"please select a BUG ID")</f>
        <v>please select a BUG ID</v>
      </c>
      <c r="D2062" s="114"/>
      <c r="E2062" s="114"/>
      <c r="F2062" s="115"/>
      <c r="G2062" s="82"/>
      <c r="H2062" s="92"/>
      <c r="I2062" s="54"/>
      <c r="K2062" s="54"/>
      <c r="M2062" s="114" t="str">
        <f>VLOOKUP(A2062,'BIC_(C_Variables)'!$A$3:$AS$43,45,FALSE())</f>
        <v>#N/A</v>
      </c>
      <c r="N2062" s="1"/>
      <c r="O2062" s="1"/>
      <c r="P2062" s="51" t="str">
        <f>IFERROR(VLOOKUP(A2062,Internal_lists_bugs!$A$2:$G7981,7,FALSE()),"please select a BUG ID")</f>
        <v>please select a BUG ID</v>
      </c>
    </row>
    <row r="2063">
      <c r="A2063" s="54"/>
      <c r="B2063" s="71" t="str">
        <f>IFERROR(HYPERLINK(VLOOKUP(A2063,Internal_lists_bugs!$A$2:$C$73,3,FALSE()), VLOOKUP(A2063,Internal_lists_bugs!$A$2:$C$73,3,FALSE())&amp;Char(10) &amp; Char(10) &amp; VLOOKUP(A2063,Internal_lists_bugs!$A$2:$Z$73,26,FALSE())),"please select a BUG ID")</f>
        <v>please select a BUG ID</v>
      </c>
      <c r="C2063" s="51" t="str">
        <f>IFERROR(VLOOKUP(A2063,Internal_lists_bugs!$A$2:$I7981,9,FALSE()),"please select a BUG ID")</f>
        <v>please select a BUG ID</v>
      </c>
      <c r="D2063" s="114"/>
      <c r="E2063" s="114"/>
      <c r="F2063" s="115"/>
      <c r="G2063" s="82"/>
      <c r="H2063" s="92"/>
      <c r="I2063" s="54"/>
      <c r="K2063" s="54"/>
      <c r="M2063" s="114" t="str">
        <f>VLOOKUP(A2063,'BIC_(C_Variables)'!$A$3:$AS$43,45,FALSE())</f>
        <v>#N/A</v>
      </c>
      <c r="N2063" s="1"/>
      <c r="O2063" s="1"/>
      <c r="P2063" s="51" t="str">
        <f>IFERROR(VLOOKUP(A2063,Internal_lists_bugs!$A$2:$G7981,7,FALSE()),"please select a BUG ID")</f>
        <v>please select a BUG ID</v>
      </c>
    </row>
    <row r="2064">
      <c r="A2064" s="54"/>
      <c r="B2064" s="71" t="str">
        <f>IFERROR(HYPERLINK(VLOOKUP(A2064,Internal_lists_bugs!$A$2:$C$73,3,FALSE()), VLOOKUP(A2064,Internal_lists_bugs!$A$2:$C$73,3,FALSE())&amp;Char(10) &amp; Char(10) &amp; VLOOKUP(A2064,Internal_lists_bugs!$A$2:$Z$73,26,FALSE())),"please select a BUG ID")</f>
        <v>please select a BUG ID</v>
      </c>
      <c r="C2064" s="51" t="str">
        <f>IFERROR(VLOOKUP(A2064,Internal_lists_bugs!$A$2:$I7981,9,FALSE()),"please select a BUG ID")</f>
        <v>please select a BUG ID</v>
      </c>
      <c r="D2064" s="114"/>
      <c r="E2064" s="114"/>
      <c r="F2064" s="115"/>
      <c r="G2064" s="82"/>
      <c r="H2064" s="92"/>
      <c r="I2064" s="54"/>
      <c r="K2064" s="54"/>
      <c r="M2064" s="114" t="str">
        <f>VLOOKUP(A2064,'BIC_(C_Variables)'!$A$3:$AS$43,45,FALSE())</f>
        <v>#N/A</v>
      </c>
      <c r="N2064" s="1" t="s">
        <v>3445</v>
      </c>
      <c r="O2064" s="1"/>
      <c r="P2064" s="51" t="str">
        <f>IFERROR(VLOOKUP(A2064,Internal_lists_bugs!$A$2:$G7981,7,FALSE()),"please select a BUG ID")</f>
        <v>please select a BUG ID</v>
      </c>
    </row>
    <row r="2065">
      <c r="A2065" s="54"/>
      <c r="B2065" s="71" t="str">
        <f>IFERROR(HYPERLINK(VLOOKUP(A2065,Internal_lists_bugs!$A$2:$C$73,3,FALSE()), VLOOKUP(A2065,Internal_lists_bugs!$A$2:$C$73,3,FALSE())&amp;Char(10) &amp; Char(10) &amp; VLOOKUP(A2065,Internal_lists_bugs!$A$2:$Z$73,26,FALSE())),"please select a BUG ID")</f>
        <v>please select a BUG ID</v>
      </c>
      <c r="C2065" s="51" t="str">
        <f>IFERROR(VLOOKUP(A2065,Internal_lists_bugs!$A$2:$I7981,9,FALSE()),"please select a BUG ID")</f>
        <v>please select a BUG ID</v>
      </c>
      <c r="D2065" s="114"/>
      <c r="E2065" s="114"/>
      <c r="F2065" s="115"/>
      <c r="G2065" s="82"/>
      <c r="H2065" s="92"/>
      <c r="I2065" s="54"/>
      <c r="K2065" s="54"/>
      <c r="M2065" s="114" t="str">
        <f>VLOOKUP(A2065,'BIC_(C_Variables)'!$A$3:$AS$43,45,FALSE())</f>
        <v>#N/A</v>
      </c>
      <c r="N2065" s="1"/>
      <c r="O2065" s="1"/>
      <c r="P2065" s="51" t="str">
        <f>IFERROR(VLOOKUP(A2065,Internal_lists_bugs!$A$2:$G7981,7,FALSE()),"please select a BUG ID")</f>
        <v>please select a BUG ID</v>
      </c>
    </row>
    <row r="2066">
      <c r="A2066" s="54"/>
      <c r="B2066" s="71" t="str">
        <f>IFERROR(HYPERLINK(VLOOKUP(A2066,Internal_lists_bugs!$A$2:$C$73,3,FALSE()), VLOOKUP(A2066,Internal_lists_bugs!$A$2:$C$73,3,FALSE())&amp;Char(10) &amp; Char(10) &amp; VLOOKUP(A2066,Internal_lists_bugs!$A$2:$Z$73,26,FALSE())),"please select a BUG ID")</f>
        <v>please select a BUG ID</v>
      </c>
      <c r="C2066" s="51" t="str">
        <f>IFERROR(VLOOKUP(A2066,Internal_lists_bugs!$A$2:$I7981,9,FALSE()),"please select a BUG ID")</f>
        <v>please select a BUG ID</v>
      </c>
      <c r="D2066" s="114"/>
      <c r="E2066" s="114"/>
      <c r="F2066" s="115"/>
      <c r="G2066" s="82"/>
      <c r="H2066" s="92"/>
      <c r="I2066" s="54"/>
      <c r="K2066" s="54"/>
      <c r="M2066" s="114" t="str">
        <f>VLOOKUP(A2066,'BIC_(C_Variables)'!$A$3:$AS$43,45,FALSE())</f>
        <v>#N/A</v>
      </c>
      <c r="N2066" s="1"/>
      <c r="O2066" s="1"/>
      <c r="P2066" s="51" t="str">
        <f>IFERROR(VLOOKUP(A2066,Internal_lists_bugs!$A$2:$G7981,7,FALSE()),"please select a BUG ID")</f>
        <v>please select a BUG ID</v>
      </c>
    </row>
    <row r="2067">
      <c r="A2067" s="54"/>
      <c r="B2067" s="71" t="str">
        <f>IFERROR(HYPERLINK(VLOOKUP(A2067,Internal_lists_bugs!$A$2:$C$73,3,FALSE()), VLOOKUP(A2067,Internal_lists_bugs!$A$2:$C$73,3,FALSE())&amp;Char(10) &amp; Char(10) &amp; VLOOKUP(A2067,Internal_lists_bugs!$A$2:$Z$73,26,FALSE())),"please select a BUG ID")</f>
        <v>please select a BUG ID</v>
      </c>
      <c r="C2067" s="51" t="str">
        <f>IFERROR(VLOOKUP(A2067,Internal_lists_bugs!$A$2:$I7981,9,FALSE()),"please select a BUG ID")</f>
        <v>please select a BUG ID</v>
      </c>
      <c r="D2067" s="114"/>
      <c r="E2067" s="114"/>
      <c r="F2067" s="115"/>
      <c r="G2067" s="82"/>
      <c r="H2067" s="92"/>
      <c r="I2067" s="54"/>
      <c r="K2067" s="54"/>
      <c r="M2067" s="114" t="str">
        <f>VLOOKUP(A2067,'BIC_(C_Variables)'!$A$3:$AS$43,45,FALSE())</f>
        <v>#N/A</v>
      </c>
      <c r="N2067" s="1"/>
      <c r="O2067" s="1"/>
      <c r="P2067" s="51" t="str">
        <f>IFERROR(VLOOKUP(A2067,Internal_lists_bugs!$A$2:$G7981,7,FALSE()),"please select a BUG ID")</f>
        <v>please select a BUG ID</v>
      </c>
    </row>
    <row r="2068">
      <c r="A2068" s="54"/>
      <c r="B2068" s="71" t="str">
        <f>IFERROR(HYPERLINK(VLOOKUP(A2068,Internal_lists_bugs!$A$2:$C$73,3,FALSE()), VLOOKUP(A2068,Internal_lists_bugs!$A$2:$C$73,3,FALSE())&amp;Char(10) &amp; Char(10) &amp; VLOOKUP(A2068,Internal_lists_bugs!$A$2:$Z$73,26,FALSE())),"please select a BUG ID")</f>
        <v>please select a BUG ID</v>
      </c>
      <c r="C2068" s="51" t="str">
        <f>IFERROR(VLOOKUP(A2068,Internal_lists_bugs!$A$2:$I7981,9,FALSE()),"please select a BUG ID")</f>
        <v>please select a BUG ID</v>
      </c>
      <c r="D2068" s="114"/>
      <c r="E2068" s="114"/>
      <c r="F2068" s="115"/>
      <c r="G2068" s="82"/>
      <c r="H2068" s="92"/>
      <c r="I2068" s="54"/>
      <c r="K2068" s="54"/>
      <c r="M2068" s="114" t="str">
        <f>VLOOKUP(A2068,'BIC_(C_Variables)'!$A$3:$AS$43,45,FALSE())</f>
        <v>#N/A</v>
      </c>
      <c r="N2068" s="1"/>
      <c r="O2068" s="1"/>
      <c r="P2068" s="51" t="str">
        <f>IFERROR(VLOOKUP(A2068,Internal_lists_bugs!$A$2:$G7981,7,FALSE()),"please select a BUG ID")</f>
        <v>please select a BUG ID</v>
      </c>
    </row>
    <row r="2069">
      <c r="A2069" s="54"/>
      <c r="B2069" s="71" t="str">
        <f>IFERROR(HYPERLINK(VLOOKUP(A2069,Internal_lists_bugs!$A$2:$C$73,3,FALSE()), VLOOKUP(A2069,Internal_lists_bugs!$A$2:$C$73,3,FALSE())&amp;Char(10) &amp; Char(10) &amp; VLOOKUP(A2069,Internal_lists_bugs!$A$2:$Z$73,26,FALSE())),"please select a BUG ID")</f>
        <v>please select a BUG ID</v>
      </c>
      <c r="C2069" s="51" t="str">
        <f>IFERROR(VLOOKUP(A2069,Internal_lists_bugs!$A$2:$I7981,9,FALSE()),"please select a BUG ID")</f>
        <v>please select a BUG ID</v>
      </c>
      <c r="D2069" s="114"/>
      <c r="E2069" s="114"/>
      <c r="F2069" s="115"/>
      <c r="G2069" s="82"/>
      <c r="H2069" s="92"/>
      <c r="I2069" s="54"/>
      <c r="K2069" s="54"/>
      <c r="M2069" s="114" t="str">
        <f>VLOOKUP(A2069,'BIC_(C_Variables)'!$A$3:$AS$43,45,FALSE())</f>
        <v>#N/A</v>
      </c>
      <c r="N2069" s="1"/>
      <c r="O2069" s="1"/>
      <c r="P2069" s="51" t="str">
        <f>IFERROR(VLOOKUP(A2069,Internal_lists_bugs!$A$2:$G7981,7,FALSE()),"please select a BUG ID")</f>
        <v>please select a BUG ID</v>
      </c>
    </row>
    <row r="2070">
      <c r="A2070" s="54"/>
      <c r="B2070" s="71" t="str">
        <f>IFERROR(HYPERLINK(VLOOKUP(A2070,Internal_lists_bugs!$A$2:$C$73,3,FALSE()), VLOOKUP(A2070,Internal_lists_bugs!$A$2:$C$73,3,FALSE())&amp;Char(10) &amp; Char(10) &amp; VLOOKUP(A2070,Internal_lists_bugs!$A$2:$Z$73,26,FALSE())),"please select a BUG ID")</f>
        <v>please select a BUG ID</v>
      </c>
      <c r="C2070" s="51" t="str">
        <f>IFERROR(VLOOKUP(A2070,Internal_lists_bugs!$A$2:$I7981,9,FALSE()),"please select a BUG ID")</f>
        <v>please select a BUG ID</v>
      </c>
      <c r="D2070" s="114"/>
      <c r="E2070" s="114"/>
      <c r="F2070" s="115"/>
      <c r="G2070" s="82"/>
      <c r="H2070" s="92"/>
      <c r="I2070" s="54"/>
      <c r="K2070" s="54"/>
      <c r="M2070" s="114" t="str">
        <f>VLOOKUP(A2070,'BIC_(C_Variables)'!$A$3:$AS$43,45,FALSE())</f>
        <v>#N/A</v>
      </c>
      <c r="N2070" s="1"/>
      <c r="O2070" s="1"/>
      <c r="P2070" s="51" t="str">
        <f>IFERROR(VLOOKUP(A2070,Internal_lists_bugs!$A$2:$G7981,7,FALSE()),"please select a BUG ID")</f>
        <v>please select a BUG ID</v>
      </c>
    </row>
    <row r="2071">
      <c r="A2071" s="54"/>
      <c r="B2071" s="71" t="str">
        <f>IFERROR(HYPERLINK(VLOOKUP(A2071,Internal_lists_bugs!$A$2:$C$73,3,FALSE()), VLOOKUP(A2071,Internal_lists_bugs!$A$2:$C$73,3,FALSE())&amp;Char(10) &amp; Char(10) &amp; VLOOKUP(A2071,Internal_lists_bugs!$A$2:$Z$73,26,FALSE())),"please select a BUG ID")</f>
        <v>please select a BUG ID</v>
      </c>
      <c r="C2071" s="51" t="str">
        <f>IFERROR(VLOOKUP(A2071,Internal_lists_bugs!$A$2:$I7981,9,FALSE()),"please select a BUG ID")</f>
        <v>please select a BUG ID</v>
      </c>
      <c r="D2071" s="114"/>
      <c r="E2071" s="114"/>
      <c r="F2071" s="115"/>
      <c r="G2071" s="82"/>
      <c r="H2071" s="92"/>
      <c r="I2071" s="54"/>
      <c r="K2071" s="54"/>
      <c r="M2071" s="114" t="str">
        <f>VLOOKUP(A2071,'BIC_(C_Variables)'!$A$3:$AS$43,45,FALSE())</f>
        <v>#N/A</v>
      </c>
      <c r="N2071" s="1"/>
      <c r="O2071" s="1"/>
      <c r="P2071" s="51" t="str">
        <f>IFERROR(VLOOKUP(A2071,Internal_lists_bugs!$A$2:$G7981,7,FALSE()),"please select a BUG ID")</f>
        <v>please select a BUG ID</v>
      </c>
    </row>
    <row r="2072">
      <c r="A2072" s="54"/>
      <c r="B2072" s="71" t="str">
        <f>IFERROR(HYPERLINK(VLOOKUP(A2072,Internal_lists_bugs!$A$2:$C$73,3,FALSE()), VLOOKUP(A2072,Internal_lists_bugs!$A$2:$C$73,3,FALSE())&amp;Char(10) &amp; Char(10) &amp; VLOOKUP(A2072,Internal_lists_bugs!$A$2:$Z$73,26,FALSE())),"please select a BUG ID")</f>
        <v>please select a BUG ID</v>
      </c>
      <c r="C2072" s="51" t="str">
        <f>IFERROR(VLOOKUP(A2072,Internal_lists_bugs!$A$2:$I7981,9,FALSE()),"please select a BUG ID")</f>
        <v>please select a BUG ID</v>
      </c>
      <c r="D2072" s="114"/>
      <c r="E2072" s="114"/>
      <c r="F2072" s="115"/>
      <c r="G2072" s="82"/>
      <c r="H2072" s="92"/>
      <c r="I2072" s="54"/>
      <c r="K2072" s="54"/>
      <c r="M2072" s="114" t="str">
        <f>VLOOKUP(A2072,'BIC_(C_Variables)'!$A$3:$AS$43,45,FALSE())</f>
        <v>#N/A</v>
      </c>
      <c r="N2072" s="1"/>
      <c r="O2072" s="1"/>
      <c r="P2072" s="51" t="str">
        <f>IFERROR(VLOOKUP(A2072,Internal_lists_bugs!$A$2:$G7981,7,FALSE()),"please select a BUG ID")</f>
        <v>please select a BUG ID</v>
      </c>
    </row>
    <row r="2073">
      <c r="A2073" s="54"/>
      <c r="B2073" s="71" t="str">
        <f>IFERROR(HYPERLINK(VLOOKUP(A2073,Internal_lists_bugs!$A$2:$C$73,3,FALSE()), VLOOKUP(A2073,Internal_lists_bugs!$A$2:$C$73,3,FALSE())&amp;Char(10) &amp; Char(10) &amp; VLOOKUP(A2073,Internal_lists_bugs!$A$2:$Z$73,26,FALSE())),"please select a BUG ID")</f>
        <v>please select a BUG ID</v>
      </c>
      <c r="C2073" s="51" t="str">
        <f>IFERROR(VLOOKUP(A2073,Internal_lists_bugs!$A$2:$I7981,9,FALSE()),"please select a BUG ID")</f>
        <v>please select a BUG ID</v>
      </c>
      <c r="D2073" s="114"/>
      <c r="E2073" s="114"/>
      <c r="F2073" s="115"/>
      <c r="G2073" s="82"/>
      <c r="H2073" s="92"/>
      <c r="I2073" s="54"/>
      <c r="K2073" s="54"/>
      <c r="M2073" s="114" t="str">
        <f>VLOOKUP(A2073,'BIC_(C_Variables)'!$A$3:$AS$43,45,FALSE())</f>
        <v>#N/A</v>
      </c>
      <c r="N2073" s="1"/>
      <c r="O2073" s="1"/>
      <c r="P2073" s="51" t="str">
        <f>IFERROR(VLOOKUP(A2073,Internal_lists_bugs!$A$2:$G7981,7,FALSE()),"please select a BUG ID")</f>
        <v>please select a BUG ID</v>
      </c>
    </row>
    <row r="2074">
      <c r="A2074" s="54"/>
      <c r="B2074" s="71" t="str">
        <f>IFERROR(HYPERLINK(VLOOKUP(A2074,Internal_lists_bugs!$A$2:$C$73,3,FALSE()), VLOOKUP(A2074,Internal_lists_bugs!$A$2:$C$73,3,FALSE())&amp;Char(10) &amp; Char(10) &amp; VLOOKUP(A2074,Internal_lists_bugs!$A$2:$Z$73,26,FALSE())),"please select a BUG ID")</f>
        <v>please select a BUG ID</v>
      </c>
      <c r="C2074" s="51" t="str">
        <f>IFERROR(VLOOKUP(A2074,Internal_lists_bugs!$A$2:$I7981,9,FALSE()),"please select a BUG ID")</f>
        <v>please select a BUG ID</v>
      </c>
      <c r="D2074" s="114"/>
      <c r="E2074" s="114"/>
      <c r="F2074" s="115"/>
      <c r="G2074" s="82"/>
      <c r="H2074" s="92"/>
      <c r="I2074" s="54"/>
      <c r="K2074" s="54"/>
      <c r="M2074" s="114" t="str">
        <f>VLOOKUP(A2074,'BIC_(C_Variables)'!$A$3:$AS$43,45,FALSE())</f>
        <v>#N/A</v>
      </c>
      <c r="N2074" s="1"/>
      <c r="O2074" s="1"/>
      <c r="P2074" s="51" t="str">
        <f>IFERROR(VLOOKUP(A2074,Internal_lists_bugs!$A$2:$G7981,7,FALSE()),"please select a BUG ID")</f>
        <v>please select a BUG ID</v>
      </c>
    </row>
    <row r="2075">
      <c r="A2075" s="54"/>
      <c r="B2075" s="71" t="str">
        <f>IFERROR(HYPERLINK(VLOOKUP(A2075,Internal_lists_bugs!$A$2:$C$73,3,FALSE()), VLOOKUP(A2075,Internal_lists_bugs!$A$2:$C$73,3,FALSE())&amp;Char(10) &amp; Char(10) &amp; VLOOKUP(A2075,Internal_lists_bugs!$A$2:$Z$73,26,FALSE())),"please select a BUG ID")</f>
        <v>please select a BUG ID</v>
      </c>
      <c r="C2075" s="51" t="str">
        <f>IFERROR(VLOOKUP(A2075,Internal_lists_bugs!$A$2:$I7981,9,FALSE()),"please select a BUG ID")</f>
        <v>please select a BUG ID</v>
      </c>
      <c r="D2075" s="114"/>
      <c r="E2075" s="114"/>
      <c r="F2075" s="115"/>
      <c r="G2075" s="82"/>
      <c r="H2075" s="92"/>
      <c r="I2075" s="54"/>
      <c r="K2075" s="54"/>
      <c r="M2075" s="114" t="str">
        <f>VLOOKUP(A2075,'BIC_(C_Variables)'!$A$3:$AS$43,45,FALSE())</f>
        <v>#N/A</v>
      </c>
      <c r="N2075" s="1"/>
      <c r="O2075" s="1"/>
      <c r="P2075" s="51" t="str">
        <f>IFERROR(VLOOKUP(A2075,Internal_lists_bugs!$A$2:$G7981,7,FALSE()),"please select a BUG ID")</f>
        <v>please select a BUG ID</v>
      </c>
    </row>
    <row r="2076">
      <c r="A2076" s="54"/>
      <c r="B2076" s="71" t="str">
        <f>IFERROR(HYPERLINK(VLOOKUP(A2076,Internal_lists_bugs!$A$2:$C$73,3,FALSE()), VLOOKUP(A2076,Internal_lists_bugs!$A$2:$C$73,3,FALSE())&amp;Char(10) &amp; Char(10) &amp; VLOOKUP(A2076,Internal_lists_bugs!$A$2:$Z$73,26,FALSE())),"please select a BUG ID")</f>
        <v>please select a BUG ID</v>
      </c>
      <c r="C2076" s="51" t="str">
        <f>IFERROR(VLOOKUP(A2076,Internal_lists_bugs!$A$2:$I7981,9,FALSE()),"please select a BUG ID")</f>
        <v>please select a BUG ID</v>
      </c>
      <c r="D2076" s="114"/>
      <c r="E2076" s="114"/>
      <c r="F2076" s="115"/>
      <c r="G2076" s="82"/>
      <c r="H2076" s="92"/>
      <c r="I2076" s="54"/>
      <c r="K2076" s="54"/>
      <c r="M2076" s="114" t="str">
        <f>VLOOKUP(A2076,'BIC_(C_Variables)'!$A$3:$AS$43,45,FALSE())</f>
        <v>#N/A</v>
      </c>
      <c r="N2076" s="1"/>
      <c r="O2076" s="1"/>
      <c r="P2076" s="51" t="str">
        <f>IFERROR(VLOOKUP(A2076,Internal_lists_bugs!$A$2:$G7981,7,FALSE()),"please select a BUG ID")</f>
        <v>please select a BUG ID</v>
      </c>
    </row>
    <row r="2077">
      <c r="A2077" s="54"/>
      <c r="B2077" s="71" t="str">
        <f>IFERROR(HYPERLINK(VLOOKUP(A2077,Internal_lists_bugs!$A$2:$C$73,3,FALSE()), VLOOKUP(A2077,Internal_lists_bugs!$A$2:$C$73,3,FALSE())&amp;Char(10) &amp; Char(10) &amp; VLOOKUP(A2077,Internal_lists_bugs!$A$2:$Z$73,26,FALSE())),"please select a BUG ID")</f>
        <v>please select a BUG ID</v>
      </c>
      <c r="C2077" s="51" t="str">
        <f>IFERROR(VLOOKUP(A2077,Internal_lists_bugs!$A$2:$I7981,9,FALSE()),"please select a BUG ID")</f>
        <v>please select a BUG ID</v>
      </c>
      <c r="D2077" s="114"/>
      <c r="E2077" s="114"/>
      <c r="F2077" s="115"/>
      <c r="G2077" s="82"/>
      <c r="H2077" s="92"/>
      <c r="I2077" s="54"/>
      <c r="K2077" s="54"/>
      <c r="M2077" s="114" t="str">
        <f>VLOOKUP(A2077,'BIC_(C_Variables)'!$A$3:$AS$43,45,FALSE())</f>
        <v>#N/A</v>
      </c>
      <c r="N2077" s="1"/>
      <c r="O2077" s="1"/>
      <c r="P2077" s="51" t="str">
        <f>IFERROR(VLOOKUP(A2077,Internal_lists_bugs!$A$2:$G7981,7,FALSE()),"please select a BUG ID")</f>
        <v>please select a BUG ID</v>
      </c>
    </row>
    <row r="2078">
      <c r="A2078" s="54"/>
      <c r="B2078" s="71" t="str">
        <f>IFERROR(HYPERLINK(VLOOKUP(A2078,Internal_lists_bugs!$A$2:$C$73,3,FALSE()), VLOOKUP(A2078,Internal_lists_bugs!$A$2:$C$73,3,FALSE())&amp;Char(10) &amp; Char(10) &amp; VLOOKUP(A2078,Internal_lists_bugs!$A$2:$Z$73,26,FALSE())),"please select a BUG ID")</f>
        <v>please select a BUG ID</v>
      </c>
      <c r="C2078" s="51" t="str">
        <f>IFERROR(VLOOKUP(A2078,Internal_lists_bugs!$A$2:$I7981,9,FALSE()),"please select a BUG ID")</f>
        <v>please select a BUG ID</v>
      </c>
      <c r="D2078" s="114"/>
      <c r="E2078" s="114"/>
      <c r="F2078" s="115"/>
      <c r="G2078" s="82"/>
      <c r="H2078" s="92"/>
      <c r="I2078" s="54"/>
      <c r="K2078" s="54"/>
      <c r="M2078" s="114" t="str">
        <f>VLOOKUP(A2078,'BIC_(C_Variables)'!$A$3:$AS$43,45,FALSE())</f>
        <v>#N/A</v>
      </c>
      <c r="N2078" s="1"/>
      <c r="O2078" s="1"/>
      <c r="P2078" s="51" t="str">
        <f>IFERROR(VLOOKUP(A2078,Internal_lists_bugs!$A$2:$G7981,7,FALSE()),"please select a BUG ID")</f>
        <v>please select a BUG ID</v>
      </c>
    </row>
    <row r="2079">
      <c r="A2079" s="54"/>
      <c r="B2079" s="71" t="str">
        <f>IFERROR(HYPERLINK(VLOOKUP(A2079,Internal_lists_bugs!$A$2:$C$73,3,FALSE()), VLOOKUP(A2079,Internal_lists_bugs!$A$2:$C$73,3,FALSE())&amp;Char(10) &amp; Char(10) &amp; VLOOKUP(A2079,Internal_lists_bugs!$A$2:$Z$73,26,FALSE())),"please select a BUG ID")</f>
        <v>please select a BUG ID</v>
      </c>
      <c r="C2079" s="51" t="str">
        <f>IFERROR(VLOOKUP(A2079,Internal_lists_bugs!$A$2:$I7981,9,FALSE()),"please select a BUG ID")</f>
        <v>please select a BUG ID</v>
      </c>
      <c r="D2079" s="114"/>
      <c r="E2079" s="114"/>
      <c r="F2079" s="115"/>
      <c r="G2079" s="82"/>
      <c r="H2079" s="92"/>
      <c r="I2079" s="54"/>
      <c r="K2079" s="54"/>
      <c r="M2079" s="114" t="str">
        <f>VLOOKUP(A2079,'BIC_(C_Variables)'!$A$3:$AS$43,45,FALSE())</f>
        <v>#N/A</v>
      </c>
      <c r="N2079" s="1"/>
      <c r="O2079" s="1"/>
      <c r="P2079" s="51" t="str">
        <f>IFERROR(VLOOKUP(A2079,Internal_lists_bugs!$A$2:$G7981,7,FALSE()),"please select a BUG ID")</f>
        <v>please select a BUG ID</v>
      </c>
    </row>
    <row r="2080">
      <c r="A2080" s="54"/>
      <c r="B2080" s="71" t="str">
        <f>IFERROR(HYPERLINK(VLOOKUP(A2080,Internal_lists_bugs!$A$2:$C$73,3,FALSE()), VLOOKUP(A2080,Internal_lists_bugs!$A$2:$C$73,3,FALSE())&amp;Char(10) &amp; Char(10) &amp; VLOOKUP(A2080,Internal_lists_bugs!$A$2:$Z$73,26,FALSE())),"please select a BUG ID")</f>
        <v>please select a BUG ID</v>
      </c>
      <c r="C2080" s="51" t="str">
        <f>IFERROR(VLOOKUP(A2080,Internal_lists_bugs!$A$2:$I7981,9,FALSE()),"please select a BUG ID")</f>
        <v>please select a BUG ID</v>
      </c>
      <c r="D2080" s="114"/>
      <c r="E2080" s="114"/>
      <c r="F2080" s="115"/>
      <c r="G2080" s="82"/>
      <c r="H2080" s="92"/>
      <c r="I2080" s="54"/>
      <c r="K2080" s="54"/>
      <c r="M2080" s="114" t="str">
        <f>VLOOKUP(A2080,'BIC_(C_Variables)'!$A$3:$AS$43,45,FALSE())</f>
        <v>#N/A</v>
      </c>
      <c r="N2080" s="1"/>
      <c r="O2080" s="1"/>
      <c r="P2080" s="51" t="str">
        <f>IFERROR(VLOOKUP(A2080,Internal_lists_bugs!$A$2:$G7981,7,FALSE()),"please select a BUG ID")</f>
        <v>please select a BUG ID</v>
      </c>
    </row>
    <row r="2081">
      <c r="A2081" s="54"/>
      <c r="B2081" s="71" t="str">
        <f>IFERROR(HYPERLINK(VLOOKUP(A2081,Internal_lists_bugs!$A$2:$C$73,3,FALSE()), VLOOKUP(A2081,Internal_lists_bugs!$A$2:$C$73,3,FALSE())&amp;Char(10) &amp; Char(10) &amp; VLOOKUP(A2081,Internal_lists_bugs!$A$2:$Z$73,26,FALSE())),"please select a BUG ID")</f>
        <v>please select a BUG ID</v>
      </c>
      <c r="C2081" s="51" t="str">
        <f>IFERROR(VLOOKUP(A2081,Internal_lists_bugs!$A$2:$I7981,9,FALSE()),"please select a BUG ID")</f>
        <v>please select a BUG ID</v>
      </c>
      <c r="D2081" s="114"/>
      <c r="E2081" s="114"/>
      <c r="F2081" s="115"/>
      <c r="G2081" s="82"/>
      <c r="H2081" s="92"/>
      <c r="I2081" s="54"/>
      <c r="K2081" s="54"/>
      <c r="M2081" s="114" t="str">
        <f>VLOOKUP(A2081,'BIC_(C_Variables)'!$A$3:$AS$43,45,FALSE())</f>
        <v>#N/A</v>
      </c>
      <c r="N2081" s="1"/>
      <c r="O2081" s="1"/>
      <c r="P2081" s="51" t="str">
        <f>IFERROR(VLOOKUP(A2081,Internal_lists_bugs!$A$2:$G7981,7,FALSE()),"please select a BUG ID")</f>
        <v>please select a BUG ID</v>
      </c>
    </row>
    <row r="2082">
      <c r="A2082" s="54"/>
      <c r="B2082" s="71" t="str">
        <f>IFERROR(HYPERLINK(VLOOKUP(A2082,Internal_lists_bugs!$A$2:$C$73,3,FALSE()), VLOOKUP(A2082,Internal_lists_bugs!$A$2:$C$73,3,FALSE())&amp;Char(10) &amp; Char(10) &amp; VLOOKUP(A2082,Internal_lists_bugs!$A$2:$Z$73,26,FALSE())),"please select a BUG ID")</f>
        <v>please select a BUG ID</v>
      </c>
      <c r="C2082" s="51" t="str">
        <f>IFERROR(VLOOKUP(A2082,Internal_lists_bugs!$A$2:$I7981,9,FALSE()),"please select a BUG ID")</f>
        <v>please select a BUG ID</v>
      </c>
      <c r="D2082" s="114"/>
      <c r="E2082" s="114"/>
      <c r="F2082" s="115"/>
      <c r="G2082" s="82"/>
      <c r="H2082" s="92"/>
      <c r="I2082" s="54"/>
      <c r="K2082" s="54"/>
      <c r="M2082" s="114" t="str">
        <f>VLOOKUP(A2082,'BIC_(C_Variables)'!$A$3:$AS$43,45,FALSE())</f>
        <v>#N/A</v>
      </c>
      <c r="N2082" s="1" t="s">
        <v>3415</v>
      </c>
      <c r="O2082" s="1"/>
      <c r="P2082" s="51" t="str">
        <f>IFERROR(VLOOKUP(A2082,Internal_lists_bugs!$A$2:$G7981,7,FALSE()),"please select a BUG ID")</f>
        <v>please select a BUG ID</v>
      </c>
    </row>
    <row r="2083">
      <c r="A2083" s="54"/>
      <c r="B2083" s="71" t="str">
        <f>IFERROR(HYPERLINK(VLOOKUP(A2083,Internal_lists_bugs!$A$2:$C$73,3,FALSE()), VLOOKUP(A2083,Internal_lists_bugs!$A$2:$C$73,3,FALSE())&amp;Char(10) &amp; Char(10) &amp; VLOOKUP(A2083,Internal_lists_bugs!$A$2:$Z$73,26,FALSE())),"please select a BUG ID")</f>
        <v>please select a BUG ID</v>
      </c>
      <c r="C2083" s="51" t="str">
        <f>IFERROR(VLOOKUP(A2083,Internal_lists_bugs!$A$2:$I7981,9,FALSE()),"please select a BUG ID")</f>
        <v>please select a BUG ID</v>
      </c>
      <c r="D2083" s="114"/>
      <c r="E2083" s="114"/>
      <c r="F2083" s="115"/>
      <c r="G2083" s="82"/>
      <c r="H2083" s="92"/>
      <c r="I2083" s="54"/>
      <c r="K2083" s="54"/>
      <c r="M2083" s="114" t="str">
        <f>VLOOKUP(A2083,'BIC_(C_Variables)'!$A$3:$AS$43,45,FALSE())</f>
        <v>#N/A</v>
      </c>
      <c r="N2083" s="1"/>
      <c r="O2083" s="1"/>
      <c r="P2083" s="51" t="str">
        <f>IFERROR(VLOOKUP(A2083,Internal_lists_bugs!$A$2:$G7981,7,FALSE()),"please select a BUG ID")</f>
        <v>please select a BUG ID</v>
      </c>
    </row>
    <row r="2084">
      <c r="A2084" s="54"/>
      <c r="B2084" s="71" t="str">
        <f>IFERROR(HYPERLINK(VLOOKUP(A2084,Internal_lists_bugs!$A$2:$C$73,3,FALSE()), VLOOKUP(A2084,Internal_lists_bugs!$A$2:$C$73,3,FALSE())&amp;Char(10) &amp; Char(10) &amp; VLOOKUP(A2084,Internal_lists_bugs!$A$2:$Z$73,26,FALSE())),"please select a BUG ID")</f>
        <v>please select a BUG ID</v>
      </c>
      <c r="C2084" s="51" t="str">
        <f>IFERROR(VLOOKUP(A2084,Internal_lists_bugs!$A$2:$I7981,9,FALSE()),"please select a BUG ID")</f>
        <v>please select a BUG ID</v>
      </c>
      <c r="D2084" s="114"/>
      <c r="E2084" s="114"/>
      <c r="F2084" s="115"/>
      <c r="G2084" s="82"/>
      <c r="H2084" s="92"/>
      <c r="I2084" s="54"/>
      <c r="K2084" s="54"/>
      <c r="M2084" s="114" t="str">
        <f>VLOOKUP(A2084,'BIC_(C_Variables)'!$A$3:$AS$43,45,FALSE())</f>
        <v>#N/A</v>
      </c>
      <c r="N2084" s="1"/>
      <c r="O2084" s="1"/>
      <c r="P2084" s="51" t="str">
        <f>IFERROR(VLOOKUP(A2084,Internal_lists_bugs!$A$2:$G7981,7,FALSE()),"please select a BUG ID")</f>
        <v>please select a BUG ID</v>
      </c>
    </row>
    <row r="2085">
      <c r="A2085" s="54"/>
      <c r="B2085" s="71" t="str">
        <f>IFERROR(HYPERLINK(VLOOKUP(A2085,Internal_lists_bugs!$A$2:$C$73,3,FALSE()), VLOOKUP(A2085,Internal_lists_bugs!$A$2:$C$73,3,FALSE())&amp;Char(10) &amp; Char(10) &amp; VLOOKUP(A2085,Internal_lists_bugs!$A$2:$Z$73,26,FALSE())),"please select a BUG ID")</f>
        <v>please select a BUG ID</v>
      </c>
      <c r="C2085" s="51" t="str">
        <f>IFERROR(VLOOKUP(A2085,Internal_lists_bugs!$A$2:$I7981,9,FALSE()),"please select a BUG ID")</f>
        <v>please select a BUG ID</v>
      </c>
      <c r="D2085" s="114"/>
      <c r="E2085" s="114"/>
      <c r="F2085" s="115"/>
      <c r="G2085" s="82"/>
      <c r="H2085" s="92"/>
      <c r="I2085" s="54"/>
      <c r="K2085" s="54"/>
      <c r="M2085" s="114" t="str">
        <f>VLOOKUP(A2085,'BIC_(C_Variables)'!$A$3:$AS$43,45,FALSE())</f>
        <v>#N/A</v>
      </c>
      <c r="N2085" s="1"/>
      <c r="O2085" s="1"/>
      <c r="P2085" s="51" t="str">
        <f>IFERROR(VLOOKUP(A2085,Internal_lists_bugs!$A$2:$G7981,7,FALSE()),"please select a BUG ID")</f>
        <v>please select a BUG ID</v>
      </c>
    </row>
    <row r="2086">
      <c r="A2086" s="54"/>
      <c r="B2086" s="71" t="str">
        <f>IFERROR(HYPERLINK(VLOOKUP(A2086,Internal_lists_bugs!$A$2:$C$73,3,FALSE()), VLOOKUP(A2086,Internal_lists_bugs!$A$2:$C$73,3,FALSE())&amp;Char(10) &amp; Char(10) &amp; VLOOKUP(A2086,Internal_lists_bugs!$A$2:$Z$73,26,FALSE())),"please select a BUG ID")</f>
        <v>please select a BUG ID</v>
      </c>
      <c r="C2086" s="51" t="str">
        <f>IFERROR(VLOOKUP(A2086,Internal_lists_bugs!$A$2:$I7981,9,FALSE()),"please select a BUG ID")</f>
        <v>please select a BUG ID</v>
      </c>
      <c r="D2086" s="114"/>
      <c r="E2086" s="114"/>
      <c r="F2086" s="115"/>
      <c r="G2086" s="82"/>
      <c r="H2086" s="92"/>
      <c r="I2086" s="54"/>
      <c r="K2086" s="54"/>
      <c r="M2086" s="114" t="str">
        <f>VLOOKUP(A2086,'BIC_(C_Variables)'!$A$3:$AS$43,45,FALSE())</f>
        <v>#N/A</v>
      </c>
      <c r="N2086" s="1"/>
      <c r="O2086" s="1"/>
      <c r="P2086" s="51" t="str">
        <f>IFERROR(VLOOKUP(A2086,Internal_lists_bugs!$A$2:$G7981,7,FALSE()),"please select a BUG ID")</f>
        <v>please select a BUG ID</v>
      </c>
    </row>
    <row r="2087">
      <c r="A2087" s="54"/>
      <c r="B2087" s="71" t="str">
        <f>IFERROR(HYPERLINK(VLOOKUP(A2087,Internal_lists_bugs!$A$2:$C$73,3,FALSE()), VLOOKUP(A2087,Internal_lists_bugs!$A$2:$C$73,3,FALSE())&amp;Char(10) &amp; Char(10) &amp; VLOOKUP(A2087,Internal_lists_bugs!$A$2:$Z$73,26,FALSE())),"please select a BUG ID")</f>
        <v>please select a BUG ID</v>
      </c>
      <c r="C2087" s="51" t="str">
        <f>IFERROR(VLOOKUP(A2087,Internal_lists_bugs!$A$2:$I7981,9,FALSE()),"please select a BUG ID")</f>
        <v>please select a BUG ID</v>
      </c>
      <c r="D2087" s="114"/>
      <c r="E2087" s="114"/>
      <c r="F2087" s="115"/>
      <c r="G2087" s="82"/>
      <c r="H2087" s="92"/>
      <c r="I2087" s="54"/>
      <c r="K2087" s="54"/>
      <c r="M2087" s="114" t="str">
        <f>VLOOKUP(A2087,'BIC_(C_Variables)'!$A$3:$AS$43,45,FALSE())</f>
        <v>#N/A</v>
      </c>
      <c r="N2087" s="1"/>
      <c r="O2087" s="1"/>
      <c r="P2087" s="51" t="str">
        <f>IFERROR(VLOOKUP(A2087,Internal_lists_bugs!$A$2:$G7981,7,FALSE()),"please select a BUG ID")</f>
        <v>please select a BUG ID</v>
      </c>
    </row>
    <row r="2088">
      <c r="A2088" s="54"/>
      <c r="B2088" s="71" t="str">
        <f>IFERROR(HYPERLINK(VLOOKUP(A2088,Internal_lists_bugs!$A$2:$C$73,3,FALSE()), VLOOKUP(A2088,Internal_lists_bugs!$A$2:$C$73,3,FALSE())&amp;Char(10) &amp; Char(10) &amp; VLOOKUP(A2088,Internal_lists_bugs!$A$2:$Z$73,26,FALSE())),"please select a BUG ID")</f>
        <v>please select a BUG ID</v>
      </c>
      <c r="C2088" s="51" t="str">
        <f>IFERROR(VLOOKUP(A2088,Internal_lists_bugs!$A$2:$I7981,9,FALSE()),"please select a BUG ID")</f>
        <v>please select a BUG ID</v>
      </c>
      <c r="D2088" s="114"/>
      <c r="E2088" s="114"/>
      <c r="F2088" s="115"/>
      <c r="G2088" s="82"/>
      <c r="H2088" s="92"/>
      <c r="I2088" s="54"/>
      <c r="K2088" s="54"/>
      <c r="M2088" s="114" t="str">
        <f>VLOOKUP(A2088,'BIC_(C_Variables)'!$A$3:$AS$43,45,FALSE())</f>
        <v>#N/A</v>
      </c>
      <c r="N2088" s="1"/>
      <c r="O2088" s="1"/>
      <c r="P2088" s="51" t="str">
        <f>IFERROR(VLOOKUP(A2088,Internal_lists_bugs!$A$2:$G7981,7,FALSE()),"please select a BUG ID")</f>
        <v>please select a BUG ID</v>
      </c>
    </row>
    <row r="2089">
      <c r="A2089" s="54"/>
      <c r="B2089" s="71" t="str">
        <f>IFERROR(HYPERLINK(VLOOKUP(A2089,Internal_lists_bugs!$A$2:$C$73,3,FALSE()), VLOOKUP(A2089,Internal_lists_bugs!$A$2:$C$73,3,FALSE())&amp;Char(10) &amp; Char(10) &amp; VLOOKUP(A2089,Internal_lists_bugs!$A$2:$Z$73,26,FALSE())),"please select a BUG ID")</f>
        <v>please select a BUG ID</v>
      </c>
      <c r="C2089" s="51" t="str">
        <f>IFERROR(VLOOKUP(A2089,Internal_lists_bugs!$A$2:$I7981,9,FALSE()),"please select a BUG ID")</f>
        <v>please select a BUG ID</v>
      </c>
      <c r="D2089" s="114"/>
      <c r="E2089" s="114"/>
      <c r="F2089" s="115"/>
      <c r="G2089" s="82"/>
      <c r="H2089" s="92"/>
      <c r="I2089" s="54"/>
      <c r="K2089" s="54"/>
      <c r="M2089" s="114" t="str">
        <f>VLOOKUP(A2089,'BIC_(C_Variables)'!$A$3:$AS$43,45,FALSE())</f>
        <v>#N/A</v>
      </c>
      <c r="N2089" s="1"/>
      <c r="O2089" s="1"/>
      <c r="P2089" s="51" t="str">
        <f>IFERROR(VLOOKUP(A2089,Internal_lists_bugs!$A$2:$G7981,7,FALSE()),"please select a BUG ID")</f>
        <v>please select a BUG ID</v>
      </c>
    </row>
    <row r="2090">
      <c r="A2090" s="54"/>
      <c r="B2090" s="71" t="str">
        <f>IFERROR(HYPERLINK(VLOOKUP(A2090,Internal_lists_bugs!$A$2:$C$73,3,FALSE()), VLOOKUP(A2090,Internal_lists_bugs!$A$2:$C$73,3,FALSE())&amp;Char(10) &amp; Char(10) &amp; VLOOKUP(A2090,Internal_lists_bugs!$A$2:$Z$73,26,FALSE())),"please select a BUG ID")</f>
        <v>please select a BUG ID</v>
      </c>
      <c r="C2090" s="51" t="str">
        <f>IFERROR(VLOOKUP(A2090,Internal_lists_bugs!$A$2:$I7981,9,FALSE()),"please select a BUG ID")</f>
        <v>please select a BUG ID</v>
      </c>
      <c r="D2090" s="114"/>
      <c r="E2090" s="114"/>
      <c r="F2090" s="115"/>
      <c r="G2090" s="82"/>
      <c r="H2090" s="92"/>
      <c r="I2090" s="54"/>
      <c r="K2090" s="54"/>
      <c r="M2090" s="114" t="str">
        <f>VLOOKUP(A2090,'BIC_(C_Variables)'!$A$3:$AS$43,45,FALSE())</f>
        <v>#N/A</v>
      </c>
      <c r="N2090" s="1" t="s">
        <v>3415</v>
      </c>
      <c r="O2090" s="15">
        <v>15283.0</v>
      </c>
      <c r="P2090" s="51" t="str">
        <f>IFERROR(VLOOKUP(A2090,Internal_lists_bugs!$A$2:$G7981,7,FALSE()),"please select a BUG ID")</f>
        <v>please select a BUG ID</v>
      </c>
    </row>
    <row r="2091">
      <c r="A2091" s="54"/>
      <c r="B2091" s="71" t="str">
        <f>IFERROR(HYPERLINK(VLOOKUP(A2091,Internal_lists_bugs!$A$2:$C$73,3,FALSE()), VLOOKUP(A2091,Internal_lists_bugs!$A$2:$C$73,3,FALSE())&amp;Char(10) &amp; Char(10) &amp; VLOOKUP(A2091,Internal_lists_bugs!$A$2:$Z$73,26,FALSE())),"please select a BUG ID")</f>
        <v>please select a BUG ID</v>
      </c>
      <c r="C2091" s="51" t="str">
        <f>IFERROR(VLOOKUP(A2091,Internal_lists_bugs!$A$2:$I7981,9,FALSE()),"please select a BUG ID")</f>
        <v>please select a BUG ID</v>
      </c>
      <c r="D2091" s="114"/>
      <c r="E2091" s="114"/>
      <c r="F2091" s="115"/>
      <c r="G2091" s="82"/>
      <c r="H2091" s="92"/>
      <c r="I2091" s="54"/>
      <c r="K2091" s="54"/>
      <c r="M2091" s="114" t="str">
        <f>VLOOKUP(A2091,'BIC_(C_Variables)'!$A$3:$AS$43,45,FALSE())</f>
        <v>#N/A</v>
      </c>
      <c r="N2091" s="1"/>
      <c r="O2091" s="1"/>
      <c r="P2091" s="51" t="str">
        <f>IFERROR(VLOOKUP(A2091,Internal_lists_bugs!$A$2:$G7981,7,FALSE()),"please select a BUG ID")</f>
        <v>please select a BUG ID</v>
      </c>
    </row>
    <row r="2092">
      <c r="A2092" s="54"/>
      <c r="B2092" s="71" t="str">
        <f>IFERROR(HYPERLINK(VLOOKUP(A2092,Internal_lists_bugs!$A$2:$C$73,3,FALSE()), VLOOKUP(A2092,Internal_lists_bugs!$A$2:$C$73,3,FALSE())&amp;Char(10) &amp; Char(10) &amp; VLOOKUP(A2092,Internal_lists_bugs!$A$2:$Z$73,26,FALSE())),"please select a BUG ID")</f>
        <v>please select a BUG ID</v>
      </c>
      <c r="C2092" s="51" t="str">
        <f>IFERROR(VLOOKUP(A2092,Internal_lists_bugs!$A$2:$I7981,9,FALSE()),"please select a BUG ID")</f>
        <v>please select a BUG ID</v>
      </c>
      <c r="D2092" s="114"/>
      <c r="E2092" s="114"/>
      <c r="F2092" s="115"/>
      <c r="G2092" s="82"/>
      <c r="H2092" s="92"/>
      <c r="I2092" s="54"/>
      <c r="K2092" s="54"/>
      <c r="M2092" s="114" t="str">
        <f>VLOOKUP(A2092,'BIC_(C_Variables)'!$A$3:$AS$43,45,FALSE())</f>
        <v>#N/A</v>
      </c>
      <c r="N2092" s="1"/>
      <c r="O2092" s="1"/>
      <c r="P2092" s="51" t="str">
        <f>IFERROR(VLOOKUP(A2092,Internal_lists_bugs!$A$2:$G7981,7,FALSE()),"please select a BUG ID")</f>
        <v>please select a BUG ID</v>
      </c>
    </row>
    <row r="2093">
      <c r="A2093" s="54"/>
      <c r="B2093" s="71" t="str">
        <f>IFERROR(HYPERLINK(VLOOKUP(A2093,Internal_lists_bugs!$A$2:$C$73,3,FALSE()), VLOOKUP(A2093,Internal_lists_bugs!$A$2:$C$73,3,FALSE())&amp;Char(10) &amp; Char(10) &amp; VLOOKUP(A2093,Internal_lists_bugs!$A$2:$Z$73,26,FALSE())),"please select a BUG ID")</f>
        <v>please select a BUG ID</v>
      </c>
      <c r="C2093" s="51" t="str">
        <f>IFERROR(VLOOKUP(A2093,Internal_lists_bugs!$A$2:$I7981,9,FALSE()),"please select a BUG ID")</f>
        <v>please select a BUG ID</v>
      </c>
      <c r="D2093" s="114"/>
      <c r="E2093" s="114"/>
      <c r="F2093" s="115"/>
      <c r="G2093" s="82"/>
      <c r="H2093" s="92"/>
      <c r="I2093" s="54"/>
      <c r="K2093" s="54"/>
      <c r="M2093" s="114" t="str">
        <f>VLOOKUP(A2093,'BIC_(C_Variables)'!$A$3:$AS$43,45,FALSE())</f>
        <v>#N/A</v>
      </c>
      <c r="N2093" s="1"/>
      <c r="O2093" s="1"/>
      <c r="P2093" s="51" t="str">
        <f>IFERROR(VLOOKUP(A2093,Internal_lists_bugs!$A$2:$G7981,7,FALSE()),"please select a BUG ID")</f>
        <v>please select a BUG ID</v>
      </c>
    </row>
    <row r="2094">
      <c r="A2094" s="54"/>
      <c r="B2094" s="71" t="str">
        <f>IFERROR(HYPERLINK(VLOOKUP(A2094,Internal_lists_bugs!$A$2:$C$73,3,FALSE()), VLOOKUP(A2094,Internal_lists_bugs!$A$2:$C$73,3,FALSE())&amp;Char(10) &amp; Char(10) &amp; VLOOKUP(A2094,Internal_lists_bugs!$A$2:$Z$73,26,FALSE())),"please select a BUG ID")</f>
        <v>please select a BUG ID</v>
      </c>
      <c r="C2094" s="51" t="str">
        <f>IFERROR(VLOOKUP(A2094,Internal_lists_bugs!$A$2:$I7981,9,FALSE()),"please select a BUG ID")</f>
        <v>please select a BUG ID</v>
      </c>
      <c r="D2094" s="114"/>
      <c r="E2094" s="114"/>
      <c r="F2094" s="115"/>
      <c r="G2094" s="82"/>
      <c r="H2094" s="92"/>
      <c r="I2094" s="54"/>
      <c r="K2094" s="54"/>
      <c r="M2094" s="114" t="str">
        <f>VLOOKUP(A2094,'BIC_(C_Variables)'!$A$3:$AS$43,45,FALSE())</f>
        <v>#N/A</v>
      </c>
      <c r="N2094" s="1"/>
      <c r="O2094" s="1"/>
      <c r="P2094" s="51" t="str">
        <f>IFERROR(VLOOKUP(A2094,Internal_lists_bugs!$A$2:$G7981,7,FALSE()),"please select a BUG ID")</f>
        <v>please select a BUG ID</v>
      </c>
    </row>
    <row r="2095">
      <c r="A2095" s="54"/>
      <c r="B2095" s="71" t="str">
        <f>IFERROR(HYPERLINK(VLOOKUP(A2095,Internal_lists_bugs!$A$2:$C$73,3,FALSE()), VLOOKUP(A2095,Internal_lists_bugs!$A$2:$C$73,3,FALSE())&amp;Char(10) &amp; Char(10) &amp; VLOOKUP(A2095,Internal_lists_bugs!$A$2:$Z$73,26,FALSE())),"please select a BUG ID")</f>
        <v>please select a BUG ID</v>
      </c>
      <c r="C2095" s="51" t="str">
        <f>IFERROR(VLOOKUP(A2095,Internal_lists_bugs!$A$2:$I7981,9,FALSE()),"please select a BUG ID")</f>
        <v>please select a BUG ID</v>
      </c>
      <c r="D2095" s="114"/>
      <c r="E2095" s="114"/>
      <c r="F2095" s="115"/>
      <c r="G2095" s="82"/>
      <c r="H2095" s="92"/>
      <c r="I2095" s="54"/>
      <c r="K2095" s="54"/>
      <c r="M2095" s="114" t="str">
        <f>VLOOKUP(A2095,'BIC_(C_Variables)'!$A$3:$AS$43,45,FALSE())</f>
        <v>#N/A</v>
      </c>
      <c r="N2095" s="1"/>
      <c r="O2095" s="1"/>
      <c r="P2095" s="51" t="str">
        <f>IFERROR(VLOOKUP(A2095,Internal_lists_bugs!$A$2:$G7981,7,FALSE()),"please select a BUG ID")</f>
        <v>please select a BUG ID</v>
      </c>
    </row>
    <row r="2096">
      <c r="A2096" s="54"/>
      <c r="B2096" s="71" t="str">
        <f>IFERROR(HYPERLINK(VLOOKUP(A2096,Internal_lists_bugs!$A$2:$C$73,3,FALSE()), VLOOKUP(A2096,Internal_lists_bugs!$A$2:$C$73,3,FALSE())&amp;Char(10) &amp; Char(10) &amp; VLOOKUP(A2096,Internal_lists_bugs!$A$2:$Z$73,26,FALSE())),"please select a BUG ID")</f>
        <v>please select a BUG ID</v>
      </c>
      <c r="C2096" s="51" t="str">
        <f>IFERROR(VLOOKUP(A2096,Internal_lists_bugs!$A$2:$I7981,9,FALSE()),"please select a BUG ID")</f>
        <v>please select a BUG ID</v>
      </c>
      <c r="D2096" s="114"/>
      <c r="E2096" s="114"/>
      <c r="F2096" s="115"/>
      <c r="G2096" s="82"/>
      <c r="H2096" s="92"/>
      <c r="I2096" s="54"/>
      <c r="K2096" s="54"/>
      <c r="M2096" s="114" t="str">
        <f>VLOOKUP(A2096,'BIC_(C_Variables)'!$A$3:$AS$43,45,FALSE())</f>
        <v>#N/A</v>
      </c>
      <c r="N2096" s="1"/>
      <c r="O2096" s="1"/>
      <c r="P2096" s="51" t="str">
        <f>IFERROR(VLOOKUP(A2096,Internal_lists_bugs!$A$2:$G7981,7,FALSE()),"please select a BUG ID")</f>
        <v>please select a BUG ID</v>
      </c>
    </row>
    <row r="2097">
      <c r="A2097" s="54"/>
      <c r="B2097" s="71" t="str">
        <f>IFERROR(HYPERLINK(VLOOKUP(A2097,Internal_lists_bugs!$A$2:$C$73,3,FALSE()), VLOOKUP(A2097,Internal_lists_bugs!$A$2:$C$73,3,FALSE())&amp;Char(10) &amp; Char(10) &amp; VLOOKUP(A2097,Internal_lists_bugs!$A$2:$Z$73,26,FALSE())),"please select a BUG ID")</f>
        <v>please select a BUG ID</v>
      </c>
      <c r="C2097" s="51" t="str">
        <f>IFERROR(VLOOKUP(A2097,Internal_lists_bugs!$A$2:$I7981,9,FALSE()),"please select a BUG ID")</f>
        <v>please select a BUG ID</v>
      </c>
      <c r="D2097" s="114"/>
      <c r="E2097" s="114"/>
      <c r="F2097" s="115"/>
      <c r="G2097" s="82"/>
      <c r="H2097" s="92"/>
      <c r="I2097" s="54"/>
      <c r="K2097" s="54"/>
      <c r="M2097" s="114" t="str">
        <f>VLOOKUP(A2097,'BIC_(C_Variables)'!$A$3:$AS$43,45,FALSE())</f>
        <v>#N/A</v>
      </c>
      <c r="N2097" s="1"/>
      <c r="O2097" s="1"/>
      <c r="P2097" s="51" t="str">
        <f>IFERROR(VLOOKUP(A2097,Internal_lists_bugs!$A$2:$G7981,7,FALSE()),"please select a BUG ID")</f>
        <v>please select a BUG ID</v>
      </c>
    </row>
    <row r="2098">
      <c r="A2098" s="54"/>
      <c r="B2098" s="71" t="str">
        <f>IFERROR(HYPERLINK(VLOOKUP(A2098,Internal_lists_bugs!$A$2:$C$73,3,FALSE()), VLOOKUP(A2098,Internal_lists_bugs!$A$2:$C$73,3,FALSE())&amp;Char(10) &amp; Char(10) &amp; VLOOKUP(A2098,Internal_lists_bugs!$A$2:$Z$73,26,FALSE())),"please select a BUG ID")</f>
        <v>please select a BUG ID</v>
      </c>
      <c r="C2098" s="51" t="str">
        <f>IFERROR(VLOOKUP(A2098,Internal_lists_bugs!$A$2:$I7981,9,FALSE()),"please select a BUG ID")</f>
        <v>please select a BUG ID</v>
      </c>
      <c r="D2098" s="114"/>
      <c r="E2098" s="114"/>
      <c r="F2098" s="115"/>
      <c r="G2098" s="82"/>
      <c r="H2098" s="92"/>
      <c r="I2098" s="54"/>
      <c r="K2098" s="54"/>
      <c r="M2098" s="114" t="str">
        <f>VLOOKUP(A2098,'BIC_(C_Variables)'!$A$3:$AS$43,45,FALSE())</f>
        <v>#N/A</v>
      </c>
      <c r="N2098" s="1"/>
      <c r="O2098" s="1"/>
      <c r="P2098" s="51" t="str">
        <f>IFERROR(VLOOKUP(A2098,Internal_lists_bugs!$A$2:$G7981,7,FALSE()),"please select a BUG ID")</f>
        <v>please select a BUG ID</v>
      </c>
    </row>
    <row r="2099">
      <c r="A2099" s="54"/>
      <c r="B2099" s="71" t="str">
        <f>IFERROR(HYPERLINK(VLOOKUP(A2099,Internal_lists_bugs!$A$2:$C$73,3,FALSE()), VLOOKUP(A2099,Internal_lists_bugs!$A$2:$C$73,3,FALSE())&amp;Char(10) &amp; Char(10) &amp; VLOOKUP(A2099,Internal_lists_bugs!$A$2:$Z$73,26,FALSE())),"please select a BUG ID")</f>
        <v>please select a BUG ID</v>
      </c>
      <c r="C2099" s="51" t="str">
        <f>IFERROR(VLOOKUP(A2099,Internal_lists_bugs!$A$2:$I7981,9,FALSE()),"please select a BUG ID")</f>
        <v>please select a BUG ID</v>
      </c>
      <c r="D2099" s="114"/>
      <c r="E2099" s="114"/>
      <c r="F2099" s="115"/>
      <c r="G2099" s="82"/>
      <c r="H2099" s="92"/>
      <c r="I2099" s="54"/>
      <c r="K2099" s="54"/>
      <c r="M2099" s="114" t="str">
        <f>VLOOKUP(A2099,'BIC_(C_Variables)'!$A$3:$AS$43,45,FALSE())</f>
        <v>#N/A</v>
      </c>
      <c r="N2099" s="1"/>
      <c r="O2099" s="1"/>
      <c r="P2099" s="51" t="str">
        <f>IFERROR(VLOOKUP(A2099,Internal_lists_bugs!$A$2:$G7981,7,FALSE()),"please select a BUG ID")</f>
        <v>please select a BUG ID</v>
      </c>
    </row>
    <row r="2100">
      <c r="A2100" s="54"/>
      <c r="B2100" s="71" t="str">
        <f>IFERROR(HYPERLINK(VLOOKUP(A2100,Internal_lists_bugs!$A$2:$C$73,3,FALSE()), VLOOKUP(A2100,Internal_lists_bugs!$A$2:$C$73,3,FALSE())&amp;Char(10) &amp; Char(10) &amp; VLOOKUP(A2100,Internal_lists_bugs!$A$2:$Z$73,26,FALSE())),"please select a BUG ID")</f>
        <v>please select a BUG ID</v>
      </c>
      <c r="C2100" s="51" t="str">
        <f>IFERROR(VLOOKUP(A2100,Internal_lists_bugs!$A$2:$I7981,9,FALSE()),"please select a BUG ID")</f>
        <v>please select a BUG ID</v>
      </c>
      <c r="D2100" s="114"/>
      <c r="E2100" s="114"/>
      <c r="F2100" s="115"/>
      <c r="G2100" s="82"/>
      <c r="H2100" s="92"/>
      <c r="I2100" s="54"/>
      <c r="K2100" s="54"/>
      <c r="M2100" s="114" t="str">
        <f>VLOOKUP(A2100,'BIC_(C_Variables)'!$A$3:$AS$43,45,FALSE())</f>
        <v>#N/A</v>
      </c>
      <c r="N2100" s="1"/>
      <c r="O2100" s="1"/>
      <c r="P2100" s="51" t="str">
        <f>IFERROR(VLOOKUP(A2100,Internal_lists_bugs!$A$2:$G7981,7,FALSE()),"please select a BUG ID")</f>
        <v>please select a BUG ID</v>
      </c>
    </row>
    <row r="2101">
      <c r="A2101" s="54"/>
      <c r="B2101" s="71" t="str">
        <f>IFERROR(HYPERLINK(VLOOKUP(A2101,Internal_lists_bugs!$A$2:$C$73,3,FALSE()), VLOOKUP(A2101,Internal_lists_bugs!$A$2:$C$73,3,FALSE())&amp;Char(10) &amp; Char(10) &amp; VLOOKUP(A2101,Internal_lists_bugs!$A$2:$Z$73,26,FALSE())),"please select a BUG ID")</f>
        <v>please select a BUG ID</v>
      </c>
      <c r="C2101" s="51" t="str">
        <f>IFERROR(VLOOKUP(A2101,Internal_lists_bugs!$A$2:$I7981,9,FALSE()),"please select a BUG ID")</f>
        <v>please select a BUG ID</v>
      </c>
      <c r="D2101" s="114"/>
      <c r="E2101" s="114"/>
      <c r="F2101" s="115"/>
      <c r="G2101" s="82"/>
      <c r="H2101" s="92"/>
      <c r="I2101" s="54"/>
      <c r="K2101" s="54"/>
      <c r="M2101" s="114" t="str">
        <f>VLOOKUP(A2101,'BIC_(C_Variables)'!$A$3:$AS$43,45,FALSE())</f>
        <v>#N/A</v>
      </c>
      <c r="N2101" s="1"/>
      <c r="O2101" s="1"/>
      <c r="P2101" s="51" t="str">
        <f>IFERROR(VLOOKUP(A2101,Internal_lists_bugs!$A$2:$G7981,7,FALSE()),"please select a BUG ID")</f>
        <v>please select a BUG ID</v>
      </c>
    </row>
    <row r="2102">
      <c r="A2102" s="54"/>
      <c r="B2102" s="71" t="str">
        <f>IFERROR(HYPERLINK(VLOOKUP(A2102,Internal_lists_bugs!$A$2:$C$73,3,FALSE()), VLOOKUP(A2102,Internal_lists_bugs!$A$2:$C$73,3,FALSE())&amp;Char(10) &amp; Char(10) &amp; VLOOKUP(A2102,Internal_lists_bugs!$A$2:$Z$73,26,FALSE())),"please select a BUG ID")</f>
        <v>please select a BUG ID</v>
      </c>
      <c r="C2102" s="51" t="str">
        <f>IFERROR(VLOOKUP(A2102,Internal_lists_bugs!$A$2:$I7981,9,FALSE()),"please select a BUG ID")</f>
        <v>please select a BUG ID</v>
      </c>
      <c r="D2102" s="114"/>
      <c r="E2102" s="114"/>
      <c r="F2102" s="115"/>
      <c r="G2102" s="82"/>
      <c r="H2102" s="92"/>
      <c r="I2102" s="54"/>
      <c r="K2102" s="54"/>
      <c r="M2102" s="114" t="str">
        <f>VLOOKUP(A2102,'BIC_(C_Variables)'!$A$3:$AS$43,45,FALSE())</f>
        <v>#N/A</v>
      </c>
      <c r="N2102" s="1"/>
      <c r="O2102" s="1"/>
      <c r="P2102" s="51" t="str">
        <f>IFERROR(VLOOKUP(A2102,Internal_lists_bugs!$A$2:$G7981,7,FALSE()),"please select a BUG ID")</f>
        <v>please select a BUG ID</v>
      </c>
    </row>
    <row r="2103">
      <c r="A2103" s="54"/>
      <c r="B2103" s="71" t="str">
        <f>IFERROR(HYPERLINK(VLOOKUP(A2103,Internal_lists_bugs!$A$2:$C$73,3,FALSE()), VLOOKUP(A2103,Internal_lists_bugs!$A$2:$C$73,3,FALSE())&amp;Char(10) &amp; Char(10) &amp; VLOOKUP(A2103,Internal_lists_bugs!$A$2:$Z$73,26,FALSE())),"please select a BUG ID")</f>
        <v>please select a BUG ID</v>
      </c>
      <c r="C2103" s="51" t="str">
        <f>IFERROR(VLOOKUP(A2103,Internal_lists_bugs!$A$2:$I7981,9,FALSE()),"please select a BUG ID")</f>
        <v>please select a BUG ID</v>
      </c>
      <c r="D2103" s="114"/>
      <c r="E2103" s="114"/>
      <c r="F2103" s="115"/>
      <c r="G2103" s="82"/>
      <c r="H2103" s="92"/>
      <c r="I2103" s="54"/>
      <c r="K2103" s="54"/>
      <c r="M2103" s="114" t="str">
        <f>VLOOKUP(A2103,'BIC_(C_Variables)'!$A$3:$AS$43,45,FALSE())</f>
        <v>#N/A</v>
      </c>
      <c r="N2103" s="1"/>
      <c r="O2103" s="1"/>
      <c r="P2103" s="51" t="str">
        <f>IFERROR(VLOOKUP(A2103,Internal_lists_bugs!$A$2:$G7981,7,FALSE()),"please select a BUG ID")</f>
        <v>please select a BUG ID</v>
      </c>
    </row>
    <row r="2104">
      <c r="A2104" s="54"/>
      <c r="B2104" s="71" t="str">
        <f>IFERROR(HYPERLINK(VLOOKUP(A2104,Internal_lists_bugs!$A$2:$C$73,3,FALSE()), VLOOKUP(A2104,Internal_lists_bugs!$A$2:$C$73,3,FALSE())&amp;Char(10) &amp; Char(10) &amp; VLOOKUP(A2104,Internal_lists_bugs!$A$2:$Z$73,26,FALSE())),"please select a BUG ID")</f>
        <v>please select a BUG ID</v>
      </c>
      <c r="C2104" s="51" t="str">
        <f>IFERROR(VLOOKUP(A2104,Internal_lists_bugs!$A$2:$I7981,9,FALSE()),"please select a BUG ID")</f>
        <v>please select a BUG ID</v>
      </c>
      <c r="D2104" s="114"/>
      <c r="E2104" s="114"/>
      <c r="F2104" s="115"/>
      <c r="G2104" s="82"/>
      <c r="H2104" s="92"/>
      <c r="I2104" s="54"/>
      <c r="K2104" s="54"/>
      <c r="M2104" s="114" t="str">
        <f>VLOOKUP(A2104,'BIC_(C_Variables)'!$A$3:$AS$43,45,FALSE())</f>
        <v>#N/A</v>
      </c>
      <c r="N2104" s="1"/>
      <c r="O2104" s="1"/>
      <c r="P2104" s="51" t="str">
        <f>IFERROR(VLOOKUP(A2104,Internal_lists_bugs!$A$2:$G7981,7,FALSE()),"please select a BUG ID")</f>
        <v>please select a BUG ID</v>
      </c>
    </row>
    <row r="2105">
      <c r="A2105" s="54"/>
      <c r="B2105" s="71" t="str">
        <f>IFERROR(HYPERLINK(VLOOKUP(A2105,Internal_lists_bugs!$A$2:$C$73,3,FALSE()), VLOOKUP(A2105,Internal_lists_bugs!$A$2:$C$73,3,FALSE())&amp;Char(10) &amp; Char(10) &amp; VLOOKUP(A2105,Internal_lists_bugs!$A$2:$Z$73,26,FALSE())),"please select a BUG ID")</f>
        <v>please select a BUG ID</v>
      </c>
      <c r="C2105" s="51" t="str">
        <f>IFERROR(VLOOKUP(A2105,Internal_lists_bugs!$A$2:$I7981,9,FALSE()),"please select a BUG ID")</f>
        <v>please select a BUG ID</v>
      </c>
      <c r="D2105" s="114"/>
      <c r="E2105" s="114"/>
      <c r="F2105" s="115"/>
      <c r="G2105" s="82"/>
      <c r="H2105" s="92"/>
      <c r="I2105" s="54"/>
      <c r="K2105" s="54"/>
      <c r="M2105" s="114" t="str">
        <f>VLOOKUP(A2105,'BIC_(C_Variables)'!$A$3:$AS$43,45,FALSE())</f>
        <v>#N/A</v>
      </c>
      <c r="N2105" s="1"/>
      <c r="O2105" s="1"/>
      <c r="P2105" s="51" t="str">
        <f>IFERROR(VLOOKUP(A2105,Internal_lists_bugs!$A$2:$G7981,7,FALSE()),"please select a BUG ID")</f>
        <v>please select a BUG ID</v>
      </c>
    </row>
    <row r="2106">
      <c r="A2106" s="54"/>
      <c r="B2106" s="71" t="str">
        <f>IFERROR(HYPERLINK(VLOOKUP(A2106,Internal_lists_bugs!$A$2:$C$73,3,FALSE()), VLOOKUP(A2106,Internal_lists_bugs!$A$2:$C$73,3,FALSE())&amp;Char(10) &amp; Char(10) &amp; VLOOKUP(A2106,Internal_lists_bugs!$A$2:$Z$73,26,FALSE())),"please select a BUG ID")</f>
        <v>please select a BUG ID</v>
      </c>
      <c r="C2106" s="51" t="str">
        <f>IFERROR(VLOOKUP(A2106,Internal_lists_bugs!$A$2:$I7981,9,FALSE()),"please select a BUG ID")</f>
        <v>please select a BUG ID</v>
      </c>
      <c r="D2106" s="114"/>
      <c r="E2106" s="114"/>
      <c r="F2106" s="115"/>
      <c r="G2106" s="82"/>
      <c r="H2106" s="92"/>
      <c r="I2106" s="54"/>
      <c r="K2106" s="54"/>
      <c r="M2106" s="114" t="str">
        <f>VLOOKUP(A2106,'BIC_(C_Variables)'!$A$3:$AS$43,45,FALSE())</f>
        <v>#N/A</v>
      </c>
      <c r="N2106" s="1" t="s">
        <v>3445</v>
      </c>
      <c r="O2106" s="15">
        <v>15564.0</v>
      </c>
      <c r="P2106" s="51" t="str">
        <f>IFERROR(VLOOKUP(A2106,Internal_lists_bugs!$A$2:$G7981,7,FALSE()),"please select a BUG ID")</f>
        <v>please select a BUG ID</v>
      </c>
    </row>
    <row r="2107">
      <c r="A2107" s="54"/>
      <c r="B2107" s="71" t="str">
        <f>IFERROR(HYPERLINK(VLOOKUP(A2107,Internal_lists_bugs!$A$2:$C$73,3,FALSE()), VLOOKUP(A2107,Internal_lists_bugs!$A$2:$C$73,3,FALSE())&amp;Char(10) &amp; Char(10) &amp; VLOOKUP(A2107,Internal_lists_bugs!$A$2:$Z$73,26,FALSE())),"please select a BUG ID")</f>
        <v>please select a BUG ID</v>
      </c>
      <c r="C2107" s="51" t="str">
        <f>IFERROR(VLOOKUP(A2107,Internal_lists_bugs!$A$2:$I7981,9,FALSE()),"please select a BUG ID")</f>
        <v>please select a BUG ID</v>
      </c>
      <c r="D2107" s="114"/>
      <c r="E2107" s="114"/>
      <c r="F2107" s="115"/>
      <c r="G2107" s="82"/>
      <c r="H2107" s="92"/>
      <c r="I2107" s="54"/>
      <c r="K2107" s="54"/>
      <c r="M2107" s="114" t="str">
        <f>VLOOKUP(A2107,'BIC_(C_Variables)'!$A$3:$AS$43,45,FALSE())</f>
        <v>#N/A</v>
      </c>
      <c r="N2107" s="1" t="s">
        <v>3445</v>
      </c>
      <c r="O2107" s="15">
        <v>16049.0</v>
      </c>
      <c r="P2107" s="51" t="str">
        <f>IFERROR(VLOOKUP(A2107,Internal_lists_bugs!$A$2:$G7981,7,FALSE()),"please select a BUG ID")</f>
        <v>please select a BUG ID</v>
      </c>
    </row>
    <row r="2108">
      <c r="A2108" s="54"/>
      <c r="B2108" s="71" t="str">
        <f>IFERROR(HYPERLINK(VLOOKUP(A2108,Internal_lists_bugs!$A$2:$C$73,3,FALSE()), VLOOKUP(A2108,Internal_lists_bugs!$A$2:$C$73,3,FALSE())&amp;Char(10) &amp; Char(10) &amp; VLOOKUP(A2108,Internal_lists_bugs!$A$2:$Z$73,26,FALSE())),"please select a BUG ID")</f>
        <v>please select a BUG ID</v>
      </c>
      <c r="C2108" s="51" t="str">
        <f>IFERROR(VLOOKUP(A2108,Internal_lists_bugs!$A$2:$I7981,9,FALSE()),"please select a BUG ID")</f>
        <v>please select a BUG ID</v>
      </c>
      <c r="D2108" s="114"/>
      <c r="E2108" s="114"/>
      <c r="F2108" s="115"/>
      <c r="G2108" s="82"/>
      <c r="H2108" s="92"/>
      <c r="I2108" s="54"/>
      <c r="K2108" s="54"/>
      <c r="M2108" s="114" t="str">
        <f>VLOOKUP(A2108,'BIC_(C_Variables)'!$A$3:$AS$43,45,FALSE())</f>
        <v>#N/A</v>
      </c>
      <c r="N2108" s="1"/>
      <c r="O2108" s="1"/>
      <c r="P2108" s="51" t="str">
        <f>IFERROR(VLOOKUP(A2108,Internal_lists_bugs!$A$2:$G7981,7,FALSE()),"please select a BUG ID")</f>
        <v>please select a BUG ID</v>
      </c>
    </row>
    <row r="2109">
      <c r="A2109" s="54"/>
      <c r="B2109" s="71" t="str">
        <f>IFERROR(HYPERLINK(VLOOKUP(A2109,Internal_lists_bugs!$A$2:$C$73,3,FALSE()), VLOOKUP(A2109,Internal_lists_bugs!$A$2:$C$73,3,FALSE())&amp;Char(10) &amp; Char(10) &amp; VLOOKUP(A2109,Internal_lists_bugs!$A$2:$Z$73,26,FALSE())),"please select a BUG ID")</f>
        <v>please select a BUG ID</v>
      </c>
      <c r="C2109" s="51" t="str">
        <f>IFERROR(VLOOKUP(A2109,Internal_lists_bugs!$A$2:$I7981,9,FALSE()),"please select a BUG ID")</f>
        <v>please select a BUG ID</v>
      </c>
      <c r="D2109" s="114"/>
      <c r="E2109" s="114"/>
      <c r="F2109" s="115"/>
      <c r="G2109" s="82"/>
      <c r="H2109" s="92"/>
      <c r="I2109" s="54"/>
      <c r="K2109" s="54"/>
      <c r="M2109" s="114" t="str">
        <f>VLOOKUP(A2109,'BIC_(C_Variables)'!$A$3:$AS$43,45,FALSE())</f>
        <v>#N/A</v>
      </c>
      <c r="N2109" s="1"/>
      <c r="O2109" s="1"/>
      <c r="P2109" s="51" t="str">
        <f>IFERROR(VLOOKUP(A2109,Internal_lists_bugs!$A$2:$G7981,7,FALSE()),"please select a BUG ID")</f>
        <v>please select a BUG ID</v>
      </c>
    </row>
    <row r="2110">
      <c r="A2110" s="54"/>
      <c r="B2110" s="71" t="str">
        <f>IFERROR(HYPERLINK(VLOOKUP(A2110,Internal_lists_bugs!$A$2:$C$73,3,FALSE()), VLOOKUP(A2110,Internal_lists_bugs!$A$2:$C$73,3,FALSE())&amp;Char(10) &amp; Char(10) &amp; VLOOKUP(A2110,Internal_lists_bugs!$A$2:$Z$73,26,FALSE())),"please select a BUG ID")</f>
        <v>please select a BUG ID</v>
      </c>
      <c r="C2110" s="51" t="str">
        <f>IFERROR(VLOOKUP(A2110,Internal_lists_bugs!$A$2:$I7981,9,FALSE()),"please select a BUG ID")</f>
        <v>please select a BUG ID</v>
      </c>
      <c r="D2110" s="114"/>
      <c r="E2110" s="114"/>
      <c r="F2110" s="115"/>
      <c r="G2110" s="82"/>
      <c r="H2110" s="92"/>
      <c r="I2110" s="54"/>
      <c r="K2110" s="54"/>
      <c r="M2110" s="114" t="str">
        <f>VLOOKUP(A2110,'BIC_(C_Variables)'!$A$3:$AS$43,45,FALSE())</f>
        <v>#N/A</v>
      </c>
      <c r="N2110" s="1"/>
      <c r="O2110" s="1"/>
      <c r="P2110" s="51" t="str">
        <f>IFERROR(VLOOKUP(A2110,Internal_lists_bugs!$A$2:$G7981,7,FALSE()),"please select a BUG ID")</f>
        <v>please select a BUG ID</v>
      </c>
    </row>
    <row r="2111">
      <c r="A2111" s="54"/>
      <c r="B2111" s="71" t="str">
        <f>IFERROR(HYPERLINK(VLOOKUP(A2111,Internal_lists_bugs!$A$2:$C$73,3,FALSE()), VLOOKUP(A2111,Internal_lists_bugs!$A$2:$C$73,3,FALSE())&amp;Char(10) &amp; Char(10) &amp; VLOOKUP(A2111,Internal_lists_bugs!$A$2:$Z$73,26,FALSE())),"please select a BUG ID")</f>
        <v>please select a BUG ID</v>
      </c>
      <c r="C2111" s="51" t="str">
        <f>IFERROR(VLOOKUP(A2111,Internal_lists_bugs!$A$2:$I7981,9,FALSE()),"please select a BUG ID")</f>
        <v>please select a BUG ID</v>
      </c>
      <c r="D2111" s="114"/>
      <c r="E2111" s="114"/>
      <c r="F2111" s="115"/>
      <c r="G2111" s="82"/>
      <c r="H2111" s="92"/>
      <c r="I2111" s="54"/>
      <c r="K2111" s="54"/>
      <c r="M2111" s="114" t="str">
        <f>VLOOKUP(A2111,'BIC_(C_Variables)'!$A$3:$AS$43,45,FALSE())</f>
        <v>#N/A</v>
      </c>
      <c r="N2111" s="1"/>
      <c r="O2111" s="1"/>
      <c r="P2111" s="51" t="str">
        <f>IFERROR(VLOOKUP(A2111,Internal_lists_bugs!$A$2:$G7981,7,FALSE()),"please select a BUG ID")</f>
        <v>please select a BUG ID</v>
      </c>
    </row>
    <row r="2112">
      <c r="A2112" s="54"/>
      <c r="B2112" s="71" t="str">
        <f>IFERROR(HYPERLINK(VLOOKUP(A2112,Internal_lists_bugs!$A$2:$C$73,3,FALSE()), VLOOKUP(A2112,Internal_lists_bugs!$A$2:$C$73,3,FALSE())&amp;Char(10) &amp; Char(10) &amp; VLOOKUP(A2112,Internal_lists_bugs!$A$2:$Z$73,26,FALSE())),"please select a BUG ID")</f>
        <v>please select a BUG ID</v>
      </c>
      <c r="C2112" s="51" t="str">
        <f>IFERROR(VLOOKUP(A2112,Internal_lists_bugs!$A$2:$I7981,9,FALSE()),"please select a BUG ID")</f>
        <v>please select a BUG ID</v>
      </c>
      <c r="D2112" s="114"/>
      <c r="E2112" s="114"/>
      <c r="F2112" s="115"/>
      <c r="G2112" s="82"/>
      <c r="H2112" s="92"/>
      <c r="I2112" s="54"/>
      <c r="K2112" s="54"/>
      <c r="M2112" s="114" t="str">
        <f>VLOOKUP(A2112,'BIC_(C_Variables)'!$A$3:$AS$43,45,FALSE())</f>
        <v>#N/A</v>
      </c>
      <c r="N2112" s="1"/>
      <c r="O2112" s="1"/>
      <c r="P2112" s="51" t="str">
        <f>IFERROR(VLOOKUP(A2112,Internal_lists_bugs!$A$2:$G7981,7,FALSE()),"please select a BUG ID")</f>
        <v>please select a BUG ID</v>
      </c>
    </row>
    <row r="2113">
      <c r="A2113" s="54"/>
      <c r="B2113" s="71" t="str">
        <f>IFERROR(HYPERLINK(VLOOKUP(A2113,Internal_lists_bugs!$A$2:$C$73,3,FALSE()), VLOOKUP(A2113,Internal_lists_bugs!$A$2:$C$73,3,FALSE())&amp;Char(10) &amp; Char(10) &amp; VLOOKUP(A2113,Internal_lists_bugs!$A$2:$Z$73,26,FALSE())),"please select a BUG ID")</f>
        <v>please select a BUG ID</v>
      </c>
      <c r="C2113" s="51" t="str">
        <f>IFERROR(VLOOKUP(A2113,Internal_lists_bugs!$A$2:$I7981,9,FALSE()),"please select a BUG ID")</f>
        <v>please select a BUG ID</v>
      </c>
      <c r="D2113" s="114"/>
      <c r="E2113" s="114"/>
      <c r="F2113" s="115"/>
      <c r="G2113" s="82"/>
      <c r="H2113" s="92"/>
      <c r="I2113" s="54"/>
      <c r="K2113" s="54"/>
      <c r="M2113" s="114" t="str">
        <f>VLOOKUP(A2113,'BIC_(C_Variables)'!$A$3:$AS$43,45,FALSE())</f>
        <v>#N/A</v>
      </c>
      <c r="N2113" s="1"/>
      <c r="O2113" s="1"/>
      <c r="P2113" s="51" t="str">
        <f>IFERROR(VLOOKUP(A2113,Internal_lists_bugs!$A$2:$G7981,7,FALSE()),"please select a BUG ID")</f>
        <v>please select a BUG ID</v>
      </c>
    </row>
    <row r="2114">
      <c r="A2114" s="54"/>
      <c r="B2114" s="71" t="str">
        <f>IFERROR(HYPERLINK(VLOOKUP(A2114,Internal_lists_bugs!$A$2:$C$73,3,FALSE()), VLOOKUP(A2114,Internal_lists_bugs!$A$2:$C$73,3,FALSE())&amp;Char(10) &amp; Char(10) &amp; VLOOKUP(A2114,Internal_lists_bugs!$A$2:$Z$73,26,FALSE())),"please select a BUG ID")</f>
        <v>please select a BUG ID</v>
      </c>
      <c r="C2114" s="51" t="str">
        <f>IFERROR(VLOOKUP(A2114,Internal_lists_bugs!$A$2:$I7981,9,FALSE()),"please select a BUG ID")</f>
        <v>please select a BUG ID</v>
      </c>
      <c r="D2114" s="114"/>
      <c r="E2114" s="114"/>
      <c r="F2114" s="115"/>
      <c r="G2114" s="82"/>
      <c r="H2114" s="92"/>
      <c r="I2114" s="54"/>
      <c r="K2114" s="54"/>
      <c r="M2114" s="114" t="str">
        <f>VLOOKUP(A2114,'BIC_(C_Variables)'!$A$3:$AS$43,45,FALSE())</f>
        <v>#N/A</v>
      </c>
      <c r="N2114" s="1"/>
      <c r="O2114" s="1"/>
      <c r="P2114" s="51" t="str">
        <f>IFERROR(VLOOKUP(A2114,Internal_lists_bugs!$A$2:$G7981,7,FALSE()),"please select a BUG ID")</f>
        <v>please select a BUG ID</v>
      </c>
    </row>
    <row r="2115">
      <c r="A2115" s="54"/>
      <c r="B2115" s="71" t="str">
        <f>IFERROR(HYPERLINK(VLOOKUP(A2115,Internal_lists_bugs!$A$2:$C$73,3,FALSE()), VLOOKUP(A2115,Internal_lists_bugs!$A$2:$C$73,3,FALSE())&amp;Char(10) &amp; Char(10) &amp; VLOOKUP(A2115,Internal_lists_bugs!$A$2:$Z$73,26,FALSE())),"please select a BUG ID")</f>
        <v>please select a BUG ID</v>
      </c>
      <c r="C2115" s="51" t="str">
        <f>IFERROR(VLOOKUP(A2115,Internal_lists_bugs!$A$2:$I7981,9,FALSE()),"please select a BUG ID")</f>
        <v>please select a BUG ID</v>
      </c>
      <c r="D2115" s="114"/>
      <c r="E2115" s="114"/>
      <c r="F2115" s="115"/>
      <c r="G2115" s="82"/>
      <c r="H2115" s="92"/>
      <c r="I2115" s="54"/>
      <c r="K2115" s="54"/>
      <c r="M2115" s="114" t="str">
        <f>VLOOKUP(A2115,'BIC_(C_Variables)'!$A$3:$AS$43,45,FALSE())</f>
        <v>#N/A</v>
      </c>
      <c r="N2115" s="1"/>
      <c r="O2115" s="1"/>
      <c r="P2115" s="51" t="str">
        <f>IFERROR(VLOOKUP(A2115,Internal_lists_bugs!$A$2:$G7981,7,FALSE()),"please select a BUG ID")</f>
        <v>please select a BUG ID</v>
      </c>
    </row>
    <row r="2116">
      <c r="A2116" s="54"/>
      <c r="B2116" s="71" t="str">
        <f>IFERROR(HYPERLINK(VLOOKUP(A2116,Internal_lists_bugs!$A$2:$C$73,3,FALSE()), VLOOKUP(A2116,Internal_lists_bugs!$A$2:$C$73,3,FALSE())&amp;Char(10) &amp; Char(10) &amp; VLOOKUP(A2116,Internal_lists_bugs!$A$2:$Z$73,26,FALSE())),"please select a BUG ID")</f>
        <v>please select a BUG ID</v>
      </c>
      <c r="C2116" s="51" t="str">
        <f>IFERROR(VLOOKUP(A2116,Internal_lists_bugs!$A$2:$I7981,9,FALSE()),"please select a BUG ID")</f>
        <v>please select a BUG ID</v>
      </c>
      <c r="D2116" s="114"/>
      <c r="E2116" s="114"/>
      <c r="F2116" s="115"/>
      <c r="G2116" s="82"/>
      <c r="H2116" s="92"/>
      <c r="I2116" s="54"/>
      <c r="K2116" s="54"/>
      <c r="M2116" s="114" t="str">
        <f>VLOOKUP(A2116,'BIC_(C_Variables)'!$A$3:$AS$43,45,FALSE())</f>
        <v>#N/A</v>
      </c>
      <c r="N2116" s="1"/>
      <c r="O2116" s="1"/>
      <c r="P2116" s="51" t="str">
        <f>IFERROR(VLOOKUP(A2116,Internal_lists_bugs!$A$2:$G7981,7,FALSE()),"please select a BUG ID")</f>
        <v>please select a BUG ID</v>
      </c>
    </row>
    <row r="2117">
      <c r="A2117" s="54"/>
      <c r="B2117" s="71" t="str">
        <f>IFERROR(HYPERLINK(VLOOKUP(A2117,Internal_lists_bugs!$A$2:$C$73,3,FALSE()), VLOOKUP(A2117,Internal_lists_bugs!$A$2:$C$73,3,FALSE())&amp;Char(10) &amp; Char(10) &amp; VLOOKUP(A2117,Internal_lists_bugs!$A$2:$Z$73,26,FALSE())),"please select a BUG ID")</f>
        <v>please select a BUG ID</v>
      </c>
      <c r="C2117" s="51" t="str">
        <f>IFERROR(VLOOKUP(A2117,Internal_lists_bugs!$A$2:$I7981,9,FALSE()),"please select a BUG ID")</f>
        <v>please select a BUG ID</v>
      </c>
      <c r="D2117" s="114"/>
      <c r="E2117" s="114"/>
      <c r="F2117" s="115"/>
      <c r="G2117" s="82"/>
      <c r="H2117" s="92"/>
      <c r="I2117" s="54"/>
      <c r="K2117" s="54"/>
      <c r="M2117" s="114" t="str">
        <f>VLOOKUP(A2117,'BIC_(C_Variables)'!$A$3:$AS$43,45,FALSE())</f>
        <v>#N/A</v>
      </c>
      <c r="N2117" s="1"/>
      <c r="O2117" s="1"/>
      <c r="P2117" s="51" t="str">
        <f>IFERROR(VLOOKUP(A2117,Internal_lists_bugs!$A$2:$G7981,7,FALSE()),"please select a BUG ID")</f>
        <v>please select a BUG ID</v>
      </c>
    </row>
    <row r="2118">
      <c r="A2118" s="54"/>
      <c r="B2118" s="71" t="str">
        <f>IFERROR(HYPERLINK(VLOOKUP(A2118,Internal_lists_bugs!$A$2:$C$73,3,FALSE()), VLOOKUP(A2118,Internal_lists_bugs!$A$2:$C$73,3,FALSE())&amp;Char(10) &amp; Char(10) &amp; VLOOKUP(A2118,Internal_lists_bugs!$A$2:$Z$73,26,FALSE())),"please select a BUG ID")</f>
        <v>please select a BUG ID</v>
      </c>
      <c r="C2118" s="51" t="str">
        <f>IFERROR(VLOOKUP(A2118,Internal_lists_bugs!$A$2:$I7981,9,FALSE()),"please select a BUG ID")</f>
        <v>please select a BUG ID</v>
      </c>
      <c r="D2118" s="114"/>
      <c r="E2118" s="114"/>
      <c r="F2118" s="115"/>
      <c r="G2118" s="82"/>
      <c r="H2118" s="92"/>
      <c r="I2118" s="54"/>
      <c r="K2118" s="54"/>
      <c r="M2118" s="114" t="str">
        <f>VLOOKUP(A2118,'BIC_(C_Variables)'!$A$3:$AS$43,45,FALSE())</f>
        <v>#N/A</v>
      </c>
      <c r="N2118" s="1"/>
      <c r="O2118" s="1"/>
      <c r="P2118" s="51" t="str">
        <f>IFERROR(VLOOKUP(A2118,Internal_lists_bugs!$A$2:$G7981,7,FALSE()),"please select a BUG ID")</f>
        <v>please select a BUG ID</v>
      </c>
    </row>
    <row r="2119">
      <c r="A2119" s="54"/>
      <c r="B2119" s="71" t="str">
        <f>IFERROR(HYPERLINK(VLOOKUP(A2119,Internal_lists_bugs!$A$2:$C$73,3,FALSE()), VLOOKUP(A2119,Internal_lists_bugs!$A$2:$C$73,3,FALSE())&amp;Char(10) &amp; Char(10) &amp; VLOOKUP(A2119,Internal_lists_bugs!$A$2:$Z$73,26,FALSE())),"please select a BUG ID")</f>
        <v>please select a BUG ID</v>
      </c>
      <c r="C2119" s="51" t="str">
        <f>IFERROR(VLOOKUP(A2119,Internal_lists_bugs!$A$2:$I7981,9,FALSE()),"please select a BUG ID")</f>
        <v>please select a BUG ID</v>
      </c>
      <c r="D2119" s="114"/>
      <c r="E2119" s="114"/>
      <c r="F2119" s="115"/>
      <c r="G2119" s="82"/>
      <c r="H2119" s="92"/>
      <c r="I2119" s="54"/>
      <c r="K2119" s="54"/>
      <c r="M2119" s="114" t="str">
        <f>VLOOKUP(A2119,'BIC_(C_Variables)'!$A$3:$AS$43,45,FALSE())</f>
        <v>#N/A</v>
      </c>
      <c r="N2119" s="1"/>
      <c r="O2119" s="1"/>
      <c r="P2119" s="51" t="str">
        <f>IFERROR(VLOOKUP(A2119,Internal_lists_bugs!$A$2:$G7981,7,FALSE()),"please select a BUG ID")</f>
        <v>please select a BUG ID</v>
      </c>
    </row>
    <row r="2120">
      <c r="A2120" s="54"/>
      <c r="B2120" s="71" t="str">
        <f>IFERROR(HYPERLINK(VLOOKUP(A2120,Internal_lists_bugs!$A$2:$C$73,3,FALSE()), VLOOKUP(A2120,Internal_lists_bugs!$A$2:$C$73,3,FALSE())&amp;Char(10) &amp; Char(10) &amp; VLOOKUP(A2120,Internal_lists_bugs!$A$2:$Z$73,26,FALSE())),"please select a BUG ID")</f>
        <v>please select a BUG ID</v>
      </c>
      <c r="C2120" s="51" t="str">
        <f>IFERROR(VLOOKUP(A2120,Internal_lists_bugs!$A$2:$I7981,9,FALSE()),"please select a BUG ID")</f>
        <v>please select a BUG ID</v>
      </c>
      <c r="D2120" s="114"/>
      <c r="E2120" s="114"/>
      <c r="F2120" s="115"/>
      <c r="G2120" s="82"/>
      <c r="H2120" s="92"/>
      <c r="I2120" s="54"/>
      <c r="K2120" s="54"/>
      <c r="M2120" s="114" t="str">
        <f>VLOOKUP(A2120,'BIC_(C_Variables)'!$A$3:$AS$43,45,FALSE())</f>
        <v>#N/A</v>
      </c>
      <c r="N2120" s="1"/>
      <c r="O2120" s="1"/>
      <c r="P2120" s="51" t="str">
        <f>IFERROR(VLOOKUP(A2120,Internal_lists_bugs!$A$2:$G7981,7,FALSE()),"please select a BUG ID")</f>
        <v>please select a BUG ID</v>
      </c>
    </row>
    <row r="2121">
      <c r="A2121" s="54"/>
      <c r="B2121" s="71" t="str">
        <f>IFERROR(HYPERLINK(VLOOKUP(A2121,Internal_lists_bugs!$A$2:$C$73,3,FALSE()), VLOOKUP(A2121,Internal_lists_bugs!$A$2:$C$73,3,FALSE())&amp;Char(10) &amp; Char(10) &amp; VLOOKUP(A2121,Internal_lists_bugs!$A$2:$Z$73,26,FALSE())),"please select a BUG ID")</f>
        <v>please select a BUG ID</v>
      </c>
      <c r="C2121" s="51" t="str">
        <f>IFERROR(VLOOKUP(A2121,Internal_lists_bugs!$A$2:$I7981,9,FALSE()),"please select a BUG ID")</f>
        <v>please select a BUG ID</v>
      </c>
      <c r="D2121" s="114"/>
      <c r="E2121" s="114"/>
      <c r="F2121" s="115"/>
      <c r="G2121" s="82"/>
      <c r="H2121" s="92"/>
      <c r="I2121" s="54"/>
      <c r="K2121" s="54"/>
      <c r="M2121" s="114" t="str">
        <f>VLOOKUP(A2121,'BIC_(C_Variables)'!$A$3:$AS$43,45,FALSE())</f>
        <v>#N/A</v>
      </c>
      <c r="N2121" s="1"/>
      <c r="O2121" s="1"/>
      <c r="P2121" s="51" t="str">
        <f>IFERROR(VLOOKUP(A2121,Internal_lists_bugs!$A$2:$G7981,7,FALSE()),"please select a BUG ID")</f>
        <v>please select a BUG ID</v>
      </c>
    </row>
    <row r="2122">
      <c r="A2122" s="54"/>
      <c r="B2122" s="71" t="str">
        <f>IFERROR(HYPERLINK(VLOOKUP(A2122,Internal_lists_bugs!$A$2:$C$73,3,FALSE()), VLOOKUP(A2122,Internal_lists_bugs!$A$2:$C$73,3,FALSE())&amp;Char(10) &amp; Char(10) &amp; VLOOKUP(A2122,Internal_lists_bugs!$A$2:$Z$73,26,FALSE())),"please select a BUG ID")</f>
        <v>please select a BUG ID</v>
      </c>
      <c r="C2122" s="51" t="str">
        <f>IFERROR(VLOOKUP(A2122,Internal_lists_bugs!$A$2:$I7981,9,FALSE()),"please select a BUG ID")</f>
        <v>please select a BUG ID</v>
      </c>
      <c r="D2122" s="114"/>
      <c r="E2122" s="114"/>
      <c r="F2122" s="115"/>
      <c r="G2122" s="82"/>
      <c r="H2122" s="92"/>
      <c r="I2122" s="54"/>
      <c r="K2122" s="54"/>
      <c r="M2122" s="114" t="str">
        <f>VLOOKUP(A2122,'BIC_(C_Variables)'!$A$3:$AS$43,45,FALSE())</f>
        <v>#N/A</v>
      </c>
      <c r="N2122" s="1"/>
      <c r="O2122" s="1"/>
      <c r="P2122" s="51" t="str">
        <f>IFERROR(VLOOKUP(A2122,Internal_lists_bugs!$A$2:$G7981,7,FALSE()),"please select a BUG ID")</f>
        <v>please select a BUG ID</v>
      </c>
    </row>
    <row r="2123">
      <c r="A2123" s="54"/>
      <c r="B2123" s="71" t="str">
        <f>IFERROR(HYPERLINK(VLOOKUP(A2123,Internal_lists_bugs!$A$2:$C$73,3,FALSE()), VLOOKUP(A2123,Internal_lists_bugs!$A$2:$C$73,3,FALSE())&amp;Char(10) &amp; Char(10) &amp; VLOOKUP(A2123,Internal_lists_bugs!$A$2:$Z$73,26,FALSE())),"please select a BUG ID")</f>
        <v>please select a BUG ID</v>
      </c>
      <c r="C2123" s="51" t="str">
        <f>IFERROR(VLOOKUP(A2123,Internal_lists_bugs!$A$2:$I7981,9,FALSE()),"please select a BUG ID")</f>
        <v>please select a BUG ID</v>
      </c>
      <c r="D2123" s="114"/>
      <c r="E2123" s="114"/>
      <c r="F2123" s="115"/>
      <c r="G2123" s="82"/>
      <c r="H2123" s="92"/>
      <c r="I2123" s="54"/>
      <c r="K2123" s="54"/>
      <c r="M2123" s="114" t="str">
        <f>VLOOKUP(A2123,'BIC_(C_Variables)'!$A$3:$AS$43,45,FALSE())</f>
        <v>#N/A</v>
      </c>
      <c r="N2123" s="1"/>
      <c r="O2123" s="1"/>
      <c r="P2123" s="51" t="str">
        <f>IFERROR(VLOOKUP(A2123,Internal_lists_bugs!$A$2:$G7981,7,FALSE()),"please select a BUG ID")</f>
        <v>please select a BUG ID</v>
      </c>
    </row>
    <row r="2124">
      <c r="A2124" s="54"/>
      <c r="B2124" s="71" t="str">
        <f>IFERROR(HYPERLINK(VLOOKUP(A2124,Internal_lists_bugs!$A$2:$C$73,3,FALSE()), VLOOKUP(A2124,Internal_lists_bugs!$A$2:$C$73,3,FALSE())&amp;Char(10) &amp; Char(10) &amp; VLOOKUP(A2124,Internal_lists_bugs!$A$2:$Z$73,26,FALSE())),"please select a BUG ID")</f>
        <v>please select a BUG ID</v>
      </c>
      <c r="C2124" s="51" t="str">
        <f>IFERROR(VLOOKUP(A2124,Internal_lists_bugs!$A$2:$I7981,9,FALSE()),"please select a BUG ID")</f>
        <v>please select a BUG ID</v>
      </c>
      <c r="D2124" s="114"/>
      <c r="E2124" s="114"/>
      <c r="F2124" s="115"/>
      <c r="G2124" s="82"/>
      <c r="H2124" s="92"/>
      <c r="I2124" s="54"/>
      <c r="K2124" s="54"/>
      <c r="M2124" s="114" t="str">
        <f>VLOOKUP(A2124,'BIC_(C_Variables)'!$A$3:$AS$43,45,FALSE())</f>
        <v>#N/A</v>
      </c>
      <c r="N2124" s="1"/>
      <c r="O2124" s="1"/>
      <c r="P2124" s="51" t="str">
        <f>IFERROR(VLOOKUP(A2124,Internal_lists_bugs!$A$2:$G7981,7,FALSE()),"please select a BUG ID")</f>
        <v>please select a BUG ID</v>
      </c>
    </row>
    <row r="2125">
      <c r="A2125" s="54"/>
      <c r="B2125" s="71" t="str">
        <f>IFERROR(HYPERLINK(VLOOKUP(A2125,Internal_lists_bugs!$A$2:$C$73,3,FALSE()), VLOOKUP(A2125,Internal_lists_bugs!$A$2:$C$73,3,FALSE())&amp;Char(10) &amp; Char(10) &amp; VLOOKUP(A2125,Internal_lists_bugs!$A$2:$Z$73,26,FALSE())),"please select a BUG ID")</f>
        <v>please select a BUG ID</v>
      </c>
      <c r="C2125" s="51" t="str">
        <f>IFERROR(VLOOKUP(A2125,Internal_lists_bugs!$A$2:$I7981,9,FALSE()),"please select a BUG ID")</f>
        <v>please select a BUG ID</v>
      </c>
      <c r="D2125" s="114"/>
      <c r="E2125" s="114"/>
      <c r="F2125" s="115"/>
      <c r="G2125" s="82"/>
      <c r="H2125" s="92"/>
      <c r="I2125" s="54"/>
      <c r="K2125" s="54"/>
      <c r="M2125" s="114" t="str">
        <f>VLOOKUP(A2125,'BIC_(C_Variables)'!$A$3:$AS$43,45,FALSE())</f>
        <v>#N/A</v>
      </c>
      <c r="N2125" s="1"/>
      <c r="O2125" s="1"/>
      <c r="P2125" s="51" t="str">
        <f>IFERROR(VLOOKUP(A2125,Internal_lists_bugs!$A$2:$G7981,7,FALSE()),"please select a BUG ID")</f>
        <v>please select a BUG ID</v>
      </c>
    </row>
    <row r="2126">
      <c r="A2126" s="54"/>
      <c r="B2126" s="71" t="str">
        <f>IFERROR(HYPERLINK(VLOOKUP(A2126,Internal_lists_bugs!$A$2:$C$73,3,FALSE()), VLOOKUP(A2126,Internal_lists_bugs!$A$2:$C$73,3,FALSE())&amp;Char(10) &amp; Char(10) &amp; VLOOKUP(A2126,Internal_lists_bugs!$A$2:$Z$73,26,FALSE())),"please select a BUG ID")</f>
        <v>please select a BUG ID</v>
      </c>
      <c r="C2126" s="51" t="str">
        <f>IFERROR(VLOOKUP(A2126,Internal_lists_bugs!$A$2:$I7981,9,FALSE()),"please select a BUG ID")</f>
        <v>please select a BUG ID</v>
      </c>
      <c r="D2126" s="114"/>
      <c r="E2126" s="114"/>
      <c r="F2126" s="115"/>
      <c r="G2126" s="82"/>
      <c r="H2126" s="92"/>
      <c r="I2126" s="54"/>
      <c r="K2126" s="54"/>
      <c r="M2126" s="114" t="str">
        <f>VLOOKUP(A2126,'BIC_(C_Variables)'!$A$3:$AS$43,45,FALSE())</f>
        <v>#N/A</v>
      </c>
      <c r="N2126" s="1"/>
      <c r="O2126" s="1"/>
      <c r="P2126" s="51" t="str">
        <f>IFERROR(VLOOKUP(A2126,Internal_lists_bugs!$A$2:$G7981,7,FALSE()),"please select a BUG ID")</f>
        <v>please select a BUG ID</v>
      </c>
    </row>
    <row r="2127">
      <c r="A2127" s="54"/>
      <c r="B2127" s="71" t="str">
        <f>IFERROR(HYPERLINK(VLOOKUP(A2127,Internal_lists_bugs!$A$2:$C$73,3,FALSE()), VLOOKUP(A2127,Internal_lists_bugs!$A$2:$C$73,3,FALSE())&amp;Char(10) &amp; Char(10) &amp; VLOOKUP(A2127,Internal_lists_bugs!$A$2:$Z$73,26,FALSE())),"please select a BUG ID")</f>
        <v>please select a BUG ID</v>
      </c>
      <c r="C2127" s="51" t="str">
        <f>IFERROR(VLOOKUP(A2127,Internal_lists_bugs!$A$2:$I7981,9,FALSE()),"please select a BUG ID")</f>
        <v>please select a BUG ID</v>
      </c>
      <c r="D2127" s="114"/>
      <c r="E2127" s="114"/>
      <c r="F2127" s="115"/>
      <c r="G2127" s="82"/>
      <c r="H2127" s="92"/>
      <c r="I2127" s="54"/>
      <c r="K2127" s="54"/>
      <c r="M2127" s="114" t="str">
        <f>VLOOKUP(A2127,'BIC_(C_Variables)'!$A$3:$AS$43,45,FALSE())</f>
        <v>#N/A</v>
      </c>
      <c r="N2127" s="1"/>
      <c r="O2127" s="1"/>
      <c r="P2127" s="51" t="str">
        <f>IFERROR(VLOOKUP(A2127,Internal_lists_bugs!$A$2:$G7981,7,FALSE()),"please select a BUG ID")</f>
        <v>please select a BUG ID</v>
      </c>
    </row>
    <row r="2128">
      <c r="A2128" s="54"/>
      <c r="B2128" s="71" t="str">
        <f>IFERROR(HYPERLINK(VLOOKUP(A2128,Internal_lists_bugs!$A$2:$C$73,3,FALSE()), VLOOKUP(A2128,Internal_lists_bugs!$A$2:$C$73,3,FALSE())&amp;Char(10) &amp; Char(10) &amp; VLOOKUP(A2128,Internal_lists_bugs!$A$2:$Z$73,26,FALSE())),"please select a BUG ID")</f>
        <v>please select a BUG ID</v>
      </c>
      <c r="C2128" s="51" t="str">
        <f>IFERROR(VLOOKUP(A2128,Internal_lists_bugs!$A$2:$I7981,9,FALSE()),"please select a BUG ID")</f>
        <v>please select a BUG ID</v>
      </c>
      <c r="D2128" s="114"/>
      <c r="E2128" s="114"/>
      <c r="F2128" s="115"/>
      <c r="G2128" s="82"/>
      <c r="H2128" s="92"/>
      <c r="I2128" s="54"/>
      <c r="K2128" s="54"/>
      <c r="M2128" s="114" t="str">
        <f>VLOOKUP(A2128,'BIC_(C_Variables)'!$A$3:$AS$43,45,FALSE())</f>
        <v>#N/A</v>
      </c>
      <c r="N2128" s="1"/>
      <c r="O2128" s="1"/>
      <c r="P2128" s="51" t="str">
        <f>IFERROR(VLOOKUP(A2128,Internal_lists_bugs!$A$2:$G7981,7,FALSE()),"please select a BUG ID")</f>
        <v>please select a BUG ID</v>
      </c>
    </row>
    <row r="2129">
      <c r="A2129" s="54"/>
      <c r="B2129" s="71" t="str">
        <f>IFERROR(HYPERLINK(VLOOKUP(A2129,Internal_lists_bugs!$A$2:$C$73,3,FALSE()), VLOOKUP(A2129,Internal_lists_bugs!$A$2:$C$73,3,FALSE())&amp;Char(10) &amp; Char(10) &amp; VLOOKUP(A2129,Internal_lists_bugs!$A$2:$Z$73,26,FALSE())),"please select a BUG ID")</f>
        <v>please select a BUG ID</v>
      </c>
      <c r="C2129" s="51" t="str">
        <f>IFERROR(VLOOKUP(A2129,Internal_lists_bugs!$A$2:$I7981,9,FALSE()),"please select a BUG ID")</f>
        <v>please select a BUG ID</v>
      </c>
      <c r="D2129" s="114"/>
      <c r="E2129" s="114"/>
      <c r="F2129" s="115"/>
      <c r="G2129" s="82"/>
      <c r="H2129" s="92"/>
      <c r="I2129" s="54"/>
      <c r="K2129" s="54"/>
      <c r="M2129" s="114" t="str">
        <f>VLOOKUP(A2129,'BIC_(C_Variables)'!$A$3:$AS$43,45,FALSE())</f>
        <v>#N/A</v>
      </c>
      <c r="N2129" s="1"/>
      <c r="O2129" s="1"/>
      <c r="P2129" s="51" t="str">
        <f>IFERROR(VLOOKUP(A2129,Internal_lists_bugs!$A$2:$G7981,7,FALSE()),"please select a BUG ID")</f>
        <v>please select a BUG ID</v>
      </c>
    </row>
    <row r="2130">
      <c r="A2130" s="54"/>
      <c r="B2130" s="71" t="str">
        <f>IFERROR(HYPERLINK(VLOOKUP(A2130,Internal_lists_bugs!$A$2:$C$73,3,FALSE()), VLOOKUP(A2130,Internal_lists_bugs!$A$2:$C$73,3,FALSE())&amp;Char(10) &amp; Char(10) &amp; VLOOKUP(A2130,Internal_lists_bugs!$A$2:$Z$73,26,FALSE())),"please select a BUG ID")</f>
        <v>please select a BUG ID</v>
      </c>
      <c r="C2130" s="51" t="str">
        <f>IFERROR(VLOOKUP(A2130,Internal_lists_bugs!$A$2:$I7981,9,FALSE()),"please select a BUG ID")</f>
        <v>please select a BUG ID</v>
      </c>
      <c r="D2130" s="114"/>
      <c r="E2130" s="114"/>
      <c r="F2130" s="115"/>
      <c r="G2130" s="82"/>
      <c r="H2130" s="92"/>
      <c r="I2130" s="54"/>
      <c r="K2130" s="54"/>
      <c r="M2130" s="114" t="str">
        <f>VLOOKUP(A2130,'BIC_(C_Variables)'!$A$3:$AS$43,45,FALSE())</f>
        <v>#N/A</v>
      </c>
      <c r="N2130" s="1"/>
      <c r="O2130" s="1"/>
      <c r="P2130" s="51" t="str">
        <f>IFERROR(VLOOKUP(A2130,Internal_lists_bugs!$A$2:$G7981,7,FALSE()),"please select a BUG ID")</f>
        <v>please select a BUG ID</v>
      </c>
    </row>
    <row r="2131">
      <c r="A2131" s="54"/>
      <c r="B2131" s="71" t="str">
        <f>IFERROR(HYPERLINK(VLOOKUP(A2131,Internal_lists_bugs!$A$2:$C$73,3,FALSE()), VLOOKUP(A2131,Internal_lists_bugs!$A$2:$C$73,3,FALSE())&amp;Char(10) &amp; Char(10) &amp; VLOOKUP(A2131,Internal_lists_bugs!$A$2:$Z$73,26,FALSE())),"please select a BUG ID")</f>
        <v>please select a BUG ID</v>
      </c>
      <c r="C2131" s="51" t="str">
        <f>IFERROR(VLOOKUP(A2131,Internal_lists_bugs!$A$2:$I7981,9,FALSE()),"please select a BUG ID")</f>
        <v>please select a BUG ID</v>
      </c>
      <c r="D2131" s="114"/>
      <c r="E2131" s="114"/>
      <c r="F2131" s="115"/>
      <c r="G2131" s="82"/>
      <c r="H2131" s="92"/>
      <c r="I2131" s="54"/>
      <c r="K2131" s="54"/>
      <c r="M2131" s="114" t="str">
        <f>VLOOKUP(A2131,'BIC_(C_Variables)'!$A$3:$AS$43,45,FALSE())</f>
        <v>#N/A</v>
      </c>
      <c r="N2131" s="1"/>
      <c r="O2131" s="1"/>
      <c r="P2131" s="51" t="str">
        <f>IFERROR(VLOOKUP(A2131,Internal_lists_bugs!$A$2:$G7981,7,FALSE()),"please select a BUG ID")</f>
        <v>please select a BUG ID</v>
      </c>
    </row>
    <row r="2132">
      <c r="A2132" s="54"/>
      <c r="B2132" s="71" t="str">
        <f>IFERROR(HYPERLINK(VLOOKUP(A2132,Internal_lists_bugs!$A$2:$C$73,3,FALSE()), VLOOKUP(A2132,Internal_lists_bugs!$A$2:$C$73,3,FALSE())&amp;Char(10) &amp; Char(10) &amp; VLOOKUP(A2132,Internal_lists_bugs!$A$2:$Z$73,26,FALSE())),"please select a BUG ID")</f>
        <v>please select a BUG ID</v>
      </c>
      <c r="C2132" s="51" t="str">
        <f>IFERROR(VLOOKUP(A2132,Internal_lists_bugs!$A$2:$I7981,9,FALSE()),"please select a BUG ID")</f>
        <v>please select a BUG ID</v>
      </c>
      <c r="D2132" s="114"/>
      <c r="E2132" s="114"/>
      <c r="F2132" s="115"/>
      <c r="G2132" s="82"/>
      <c r="H2132" s="92"/>
      <c r="I2132" s="54"/>
      <c r="K2132" s="54"/>
      <c r="M2132" s="114" t="str">
        <f>VLOOKUP(A2132,'BIC_(C_Variables)'!$A$3:$AS$43,45,FALSE())</f>
        <v>#N/A</v>
      </c>
      <c r="N2132" s="1"/>
      <c r="O2132" s="1"/>
      <c r="P2132" s="51" t="str">
        <f>IFERROR(VLOOKUP(A2132,Internal_lists_bugs!$A$2:$G7981,7,FALSE()),"please select a BUG ID")</f>
        <v>please select a BUG ID</v>
      </c>
    </row>
    <row r="2133">
      <c r="A2133" s="54"/>
      <c r="B2133" s="71" t="str">
        <f>IFERROR(HYPERLINK(VLOOKUP(A2133,Internal_lists_bugs!$A$2:$C$73,3,FALSE()), VLOOKUP(A2133,Internal_lists_bugs!$A$2:$C$73,3,FALSE())&amp;Char(10) &amp; Char(10) &amp; VLOOKUP(A2133,Internal_lists_bugs!$A$2:$Z$73,26,FALSE())),"please select a BUG ID")</f>
        <v>please select a BUG ID</v>
      </c>
      <c r="C2133" s="51" t="str">
        <f>IFERROR(VLOOKUP(A2133,Internal_lists_bugs!$A$2:$I7981,9,FALSE()),"please select a BUG ID")</f>
        <v>please select a BUG ID</v>
      </c>
      <c r="D2133" s="114"/>
      <c r="E2133" s="114"/>
      <c r="F2133" s="115"/>
      <c r="G2133" s="82"/>
      <c r="H2133" s="92"/>
      <c r="I2133" s="54"/>
      <c r="K2133" s="54"/>
      <c r="M2133" s="114" t="str">
        <f>VLOOKUP(A2133,'BIC_(C_Variables)'!$A$3:$AS$43,45,FALSE())</f>
        <v>#N/A</v>
      </c>
      <c r="N2133" s="1"/>
      <c r="O2133" s="1"/>
      <c r="P2133" s="51" t="str">
        <f>IFERROR(VLOOKUP(A2133,Internal_lists_bugs!$A$2:$G7981,7,FALSE()),"please select a BUG ID")</f>
        <v>please select a BUG ID</v>
      </c>
    </row>
    <row r="2134">
      <c r="A2134" s="54"/>
      <c r="B2134" s="71" t="str">
        <f>IFERROR(HYPERLINK(VLOOKUP(A2134,Internal_lists_bugs!$A$2:$C$73,3,FALSE()), VLOOKUP(A2134,Internal_lists_bugs!$A$2:$C$73,3,FALSE())&amp;Char(10) &amp; Char(10) &amp; VLOOKUP(A2134,Internal_lists_bugs!$A$2:$Z$73,26,FALSE())),"please select a BUG ID")</f>
        <v>please select a BUG ID</v>
      </c>
      <c r="C2134" s="51" t="str">
        <f>IFERROR(VLOOKUP(A2134,Internal_lists_bugs!$A$2:$I7981,9,FALSE()),"please select a BUG ID")</f>
        <v>please select a BUG ID</v>
      </c>
      <c r="D2134" s="114"/>
      <c r="E2134" s="114"/>
      <c r="F2134" s="115"/>
      <c r="G2134" s="82"/>
      <c r="H2134" s="92"/>
      <c r="I2134" s="54"/>
      <c r="K2134" s="54"/>
      <c r="M2134" s="114" t="str">
        <f>VLOOKUP(A2134,'BIC_(C_Variables)'!$A$3:$AS$43,45,FALSE())</f>
        <v>#N/A</v>
      </c>
      <c r="N2134" s="1"/>
      <c r="O2134" s="1"/>
      <c r="P2134" s="51" t="str">
        <f>IFERROR(VLOOKUP(A2134,Internal_lists_bugs!$A$2:$G7981,7,FALSE()),"please select a BUG ID")</f>
        <v>please select a BUG ID</v>
      </c>
    </row>
    <row r="2135">
      <c r="A2135" s="54"/>
      <c r="B2135" s="71" t="str">
        <f>IFERROR(HYPERLINK(VLOOKUP(A2135,Internal_lists_bugs!$A$2:$C$73,3,FALSE()), VLOOKUP(A2135,Internal_lists_bugs!$A$2:$C$73,3,FALSE())&amp;Char(10) &amp; Char(10) &amp; VLOOKUP(A2135,Internal_lists_bugs!$A$2:$Z$73,26,FALSE())),"please select a BUG ID")</f>
        <v>please select a BUG ID</v>
      </c>
      <c r="C2135" s="51" t="str">
        <f>IFERROR(VLOOKUP(A2135,Internal_lists_bugs!$A$2:$I7981,9,FALSE()),"please select a BUG ID")</f>
        <v>please select a BUG ID</v>
      </c>
      <c r="D2135" s="114"/>
      <c r="E2135" s="114"/>
      <c r="F2135" s="115"/>
      <c r="G2135" s="82"/>
      <c r="H2135" s="92"/>
      <c r="I2135" s="54"/>
      <c r="K2135" s="54"/>
      <c r="M2135" s="114" t="str">
        <f>VLOOKUP(A2135,'BIC_(C_Variables)'!$A$3:$AS$43,45,FALSE())</f>
        <v>#N/A</v>
      </c>
      <c r="N2135" s="1"/>
      <c r="O2135" s="1"/>
      <c r="P2135" s="51" t="str">
        <f>IFERROR(VLOOKUP(A2135,Internal_lists_bugs!$A$2:$G7981,7,FALSE()),"please select a BUG ID")</f>
        <v>please select a BUG ID</v>
      </c>
    </row>
    <row r="2136">
      <c r="A2136" s="54"/>
      <c r="B2136" s="71" t="str">
        <f>IFERROR(HYPERLINK(VLOOKUP(A2136,Internal_lists_bugs!$A$2:$C$73,3,FALSE()), VLOOKUP(A2136,Internal_lists_bugs!$A$2:$C$73,3,FALSE())&amp;Char(10) &amp; Char(10) &amp; VLOOKUP(A2136,Internal_lists_bugs!$A$2:$Z$73,26,FALSE())),"please select a BUG ID")</f>
        <v>please select a BUG ID</v>
      </c>
      <c r="C2136" s="51" t="str">
        <f>IFERROR(VLOOKUP(A2136,Internal_lists_bugs!$A$2:$I7981,9,FALSE()),"please select a BUG ID")</f>
        <v>please select a BUG ID</v>
      </c>
      <c r="D2136" s="114"/>
      <c r="E2136" s="114"/>
      <c r="F2136" s="115"/>
      <c r="G2136" s="82"/>
      <c r="H2136" s="92"/>
      <c r="I2136" s="54"/>
      <c r="K2136" s="54"/>
      <c r="M2136" s="114" t="str">
        <f>VLOOKUP(A2136,'BIC_(C_Variables)'!$A$3:$AS$43,45,FALSE())</f>
        <v>#N/A</v>
      </c>
      <c r="N2136" s="1"/>
      <c r="O2136" s="1"/>
      <c r="P2136" s="51" t="str">
        <f>IFERROR(VLOOKUP(A2136,Internal_lists_bugs!$A$2:$G7981,7,FALSE()),"please select a BUG ID")</f>
        <v>please select a BUG ID</v>
      </c>
    </row>
    <row r="2137">
      <c r="A2137" s="54"/>
      <c r="B2137" s="71" t="str">
        <f>IFERROR(HYPERLINK(VLOOKUP(A2137,Internal_lists_bugs!$A$2:$C$73,3,FALSE()), VLOOKUP(A2137,Internal_lists_bugs!$A$2:$C$73,3,FALSE())&amp;Char(10) &amp; Char(10) &amp; VLOOKUP(A2137,Internal_lists_bugs!$A$2:$Z$73,26,FALSE())),"please select a BUG ID")</f>
        <v>please select a BUG ID</v>
      </c>
      <c r="C2137" s="51" t="str">
        <f>IFERROR(VLOOKUP(A2137,Internal_lists_bugs!$A$2:$I7981,9,FALSE()),"please select a BUG ID")</f>
        <v>please select a BUG ID</v>
      </c>
      <c r="D2137" s="114"/>
      <c r="E2137" s="114"/>
      <c r="F2137" s="115"/>
      <c r="G2137" s="82"/>
      <c r="H2137" s="92"/>
      <c r="I2137" s="54"/>
      <c r="K2137" s="54"/>
      <c r="M2137" s="114" t="str">
        <f>VLOOKUP(A2137,'BIC_(C_Variables)'!$A$3:$AS$43,45,FALSE())</f>
        <v>#N/A</v>
      </c>
      <c r="N2137" s="1"/>
      <c r="O2137" s="1"/>
      <c r="P2137" s="51" t="str">
        <f>IFERROR(VLOOKUP(A2137,Internal_lists_bugs!$A$2:$G7981,7,FALSE()),"please select a BUG ID")</f>
        <v>please select a BUG ID</v>
      </c>
    </row>
    <row r="2138">
      <c r="A2138" s="54"/>
      <c r="B2138" s="71" t="str">
        <f>IFERROR(HYPERLINK(VLOOKUP(A2138,Internal_lists_bugs!$A$2:$C$73,3,FALSE()), VLOOKUP(A2138,Internal_lists_bugs!$A$2:$C$73,3,FALSE())&amp;Char(10) &amp; Char(10) &amp; VLOOKUP(A2138,Internal_lists_bugs!$A$2:$Z$73,26,FALSE())),"please select a BUG ID")</f>
        <v>please select a BUG ID</v>
      </c>
      <c r="C2138" s="51" t="str">
        <f>IFERROR(VLOOKUP(A2138,Internal_lists_bugs!$A$2:$I7981,9,FALSE()),"please select a BUG ID")</f>
        <v>please select a BUG ID</v>
      </c>
      <c r="D2138" s="114"/>
      <c r="E2138" s="114"/>
      <c r="F2138" s="115"/>
      <c r="G2138" s="82"/>
      <c r="H2138" s="92"/>
      <c r="I2138" s="54"/>
      <c r="K2138" s="54"/>
      <c r="M2138" s="114" t="str">
        <f>VLOOKUP(A2138,'BIC_(C_Variables)'!$A$3:$AS$43,45,FALSE())</f>
        <v>#N/A</v>
      </c>
      <c r="N2138" s="1"/>
      <c r="O2138" s="1"/>
      <c r="P2138" s="51" t="str">
        <f>IFERROR(VLOOKUP(A2138,Internal_lists_bugs!$A$2:$G7981,7,FALSE()),"please select a BUG ID")</f>
        <v>please select a BUG ID</v>
      </c>
    </row>
    <row r="2139">
      <c r="A2139" s="54"/>
      <c r="B2139" s="71" t="str">
        <f>IFERROR(HYPERLINK(VLOOKUP(A2139,Internal_lists_bugs!$A$2:$C$73,3,FALSE()), VLOOKUP(A2139,Internal_lists_bugs!$A$2:$C$73,3,FALSE())&amp;Char(10) &amp; Char(10) &amp; VLOOKUP(A2139,Internal_lists_bugs!$A$2:$Z$73,26,FALSE())),"please select a BUG ID")</f>
        <v>please select a BUG ID</v>
      </c>
      <c r="C2139" s="51" t="str">
        <f>IFERROR(VLOOKUP(A2139,Internal_lists_bugs!$A$2:$I7981,9,FALSE()),"please select a BUG ID")</f>
        <v>please select a BUG ID</v>
      </c>
      <c r="D2139" s="114"/>
      <c r="E2139" s="114"/>
      <c r="F2139" s="115"/>
      <c r="G2139" s="82"/>
      <c r="H2139" s="92"/>
      <c r="I2139" s="54"/>
      <c r="K2139" s="54"/>
      <c r="M2139" s="114" t="str">
        <f>VLOOKUP(A2139,'BIC_(C_Variables)'!$A$3:$AS$43,45,FALSE())</f>
        <v>#N/A</v>
      </c>
      <c r="N2139" s="1"/>
      <c r="O2139" s="1"/>
      <c r="P2139" s="51" t="str">
        <f>IFERROR(VLOOKUP(A2139,Internal_lists_bugs!$A$2:$G7981,7,FALSE()),"please select a BUG ID")</f>
        <v>please select a BUG ID</v>
      </c>
    </row>
    <row r="2140">
      <c r="A2140" s="54"/>
      <c r="B2140" s="71" t="str">
        <f>IFERROR(HYPERLINK(VLOOKUP(A2140,Internal_lists_bugs!$A$2:$C$73,3,FALSE()), VLOOKUP(A2140,Internal_lists_bugs!$A$2:$C$73,3,FALSE())&amp;Char(10) &amp; Char(10) &amp; VLOOKUP(A2140,Internal_lists_bugs!$A$2:$Z$73,26,FALSE())),"please select a BUG ID")</f>
        <v>please select a BUG ID</v>
      </c>
      <c r="C2140" s="51" t="str">
        <f>IFERROR(VLOOKUP(A2140,Internal_lists_bugs!$A$2:$I7981,9,FALSE()),"please select a BUG ID")</f>
        <v>please select a BUG ID</v>
      </c>
      <c r="D2140" s="114"/>
      <c r="E2140" s="114"/>
      <c r="F2140" s="115"/>
      <c r="G2140" s="82"/>
      <c r="H2140" s="92"/>
      <c r="I2140" s="54"/>
      <c r="K2140" s="54"/>
      <c r="M2140" s="114" t="str">
        <f>VLOOKUP(A2140,'BIC_(C_Variables)'!$A$3:$AS$43,45,FALSE())</f>
        <v>#N/A</v>
      </c>
      <c r="N2140" s="1"/>
      <c r="O2140" s="1"/>
      <c r="P2140" s="51" t="str">
        <f>IFERROR(VLOOKUP(A2140,Internal_lists_bugs!$A$2:$G7981,7,FALSE()),"please select a BUG ID")</f>
        <v>please select a BUG ID</v>
      </c>
    </row>
    <row r="2141">
      <c r="A2141" s="54"/>
      <c r="B2141" s="71" t="str">
        <f>IFERROR(HYPERLINK(VLOOKUP(A2141,Internal_lists_bugs!$A$2:$C$73,3,FALSE()), VLOOKUP(A2141,Internal_lists_bugs!$A$2:$C$73,3,FALSE())&amp;Char(10) &amp; Char(10) &amp; VLOOKUP(A2141,Internal_lists_bugs!$A$2:$Z$73,26,FALSE())),"please select a BUG ID")</f>
        <v>please select a BUG ID</v>
      </c>
      <c r="C2141" s="51" t="str">
        <f>IFERROR(VLOOKUP(A2141,Internal_lists_bugs!$A$2:$I7981,9,FALSE()),"please select a BUG ID")</f>
        <v>please select a BUG ID</v>
      </c>
      <c r="D2141" s="114"/>
      <c r="E2141" s="114"/>
      <c r="F2141" s="115"/>
      <c r="G2141" s="82"/>
      <c r="H2141" s="92"/>
      <c r="I2141" s="54"/>
      <c r="K2141" s="54"/>
      <c r="M2141" s="114" t="str">
        <f>VLOOKUP(A2141,'BIC_(C_Variables)'!$A$3:$AS$43,45,FALSE())</f>
        <v>#N/A</v>
      </c>
      <c r="N2141" s="1"/>
      <c r="O2141" s="1"/>
      <c r="P2141" s="51" t="str">
        <f>IFERROR(VLOOKUP(A2141,Internal_lists_bugs!$A$2:$G7981,7,FALSE()),"please select a BUG ID")</f>
        <v>please select a BUG ID</v>
      </c>
    </row>
    <row r="2142">
      <c r="A2142" s="54"/>
      <c r="B2142" s="71" t="str">
        <f>IFERROR(HYPERLINK(VLOOKUP(A2142,Internal_lists_bugs!$A$2:$C$73,3,FALSE()), VLOOKUP(A2142,Internal_lists_bugs!$A$2:$C$73,3,FALSE())&amp;Char(10) &amp; Char(10) &amp; VLOOKUP(A2142,Internal_lists_bugs!$A$2:$Z$73,26,FALSE())),"please select a BUG ID")</f>
        <v>please select a BUG ID</v>
      </c>
      <c r="C2142" s="51" t="str">
        <f>IFERROR(VLOOKUP(A2142,Internal_lists_bugs!$A$2:$I7981,9,FALSE()),"please select a BUG ID")</f>
        <v>please select a BUG ID</v>
      </c>
      <c r="D2142" s="114"/>
      <c r="E2142" s="114"/>
      <c r="F2142" s="115"/>
      <c r="G2142" s="82"/>
      <c r="H2142" s="92"/>
      <c r="I2142" s="54"/>
      <c r="K2142" s="54"/>
      <c r="M2142" s="114" t="str">
        <f>VLOOKUP(A2142,'BIC_(C_Variables)'!$A$3:$AS$43,45,FALSE())</f>
        <v>#N/A</v>
      </c>
      <c r="N2142" s="1"/>
      <c r="O2142" s="1"/>
      <c r="P2142" s="51" t="str">
        <f>IFERROR(VLOOKUP(A2142,Internal_lists_bugs!$A$2:$G7981,7,FALSE()),"please select a BUG ID")</f>
        <v>please select a BUG ID</v>
      </c>
    </row>
    <row r="2143">
      <c r="A2143" s="54"/>
      <c r="B2143" s="71" t="str">
        <f>IFERROR(HYPERLINK(VLOOKUP(A2143,Internal_lists_bugs!$A$2:$C$73,3,FALSE()), VLOOKUP(A2143,Internal_lists_bugs!$A$2:$C$73,3,FALSE())&amp;Char(10) &amp; Char(10) &amp; VLOOKUP(A2143,Internal_lists_bugs!$A$2:$Z$73,26,FALSE())),"please select a BUG ID")</f>
        <v>please select a BUG ID</v>
      </c>
      <c r="C2143" s="51" t="str">
        <f>IFERROR(VLOOKUP(A2143,Internal_lists_bugs!$A$2:$I7981,9,FALSE()),"please select a BUG ID")</f>
        <v>please select a BUG ID</v>
      </c>
      <c r="D2143" s="114"/>
      <c r="E2143" s="114"/>
      <c r="F2143" s="115"/>
      <c r="G2143" s="82"/>
      <c r="H2143" s="92"/>
      <c r="I2143" s="54"/>
      <c r="K2143" s="54"/>
      <c r="M2143" s="114" t="str">
        <f>VLOOKUP(A2143,'BIC_(C_Variables)'!$A$3:$AS$43,45,FALSE())</f>
        <v>#N/A</v>
      </c>
      <c r="N2143" s="1"/>
      <c r="O2143" s="1"/>
      <c r="P2143" s="51" t="str">
        <f>IFERROR(VLOOKUP(A2143,Internal_lists_bugs!$A$2:$G7981,7,FALSE()),"please select a BUG ID")</f>
        <v>please select a BUG ID</v>
      </c>
    </row>
    <row r="2144">
      <c r="A2144" s="54"/>
      <c r="B2144" s="71" t="str">
        <f>IFERROR(HYPERLINK(VLOOKUP(A2144,Internal_lists_bugs!$A$2:$C$73,3,FALSE()), VLOOKUP(A2144,Internal_lists_bugs!$A$2:$C$73,3,FALSE())&amp;Char(10) &amp; Char(10) &amp; VLOOKUP(A2144,Internal_lists_bugs!$A$2:$Z$73,26,FALSE())),"please select a BUG ID")</f>
        <v>please select a BUG ID</v>
      </c>
      <c r="C2144" s="51" t="str">
        <f>IFERROR(VLOOKUP(A2144,Internal_lists_bugs!$A$2:$I7981,9,FALSE()),"please select a BUG ID")</f>
        <v>please select a BUG ID</v>
      </c>
      <c r="D2144" s="114"/>
      <c r="E2144" s="114"/>
      <c r="F2144" s="115"/>
      <c r="G2144" s="82"/>
      <c r="H2144" s="92"/>
      <c r="I2144" s="54"/>
      <c r="K2144" s="54"/>
      <c r="M2144" s="114" t="str">
        <f>VLOOKUP(A2144,'BIC_(C_Variables)'!$A$3:$AS$43,45,FALSE())</f>
        <v>#N/A</v>
      </c>
      <c r="N2144" s="1"/>
      <c r="O2144" s="1"/>
      <c r="P2144" s="51" t="str">
        <f>IFERROR(VLOOKUP(A2144,Internal_lists_bugs!$A$2:$G7981,7,FALSE()),"please select a BUG ID")</f>
        <v>please select a BUG ID</v>
      </c>
    </row>
    <row r="2145">
      <c r="A2145" s="54"/>
      <c r="B2145" s="71" t="str">
        <f>IFERROR(HYPERLINK(VLOOKUP(A2145,Internal_lists_bugs!$A$2:$C$73,3,FALSE()), VLOOKUP(A2145,Internal_lists_bugs!$A$2:$C$73,3,FALSE())&amp;Char(10) &amp; Char(10) &amp; VLOOKUP(A2145,Internal_lists_bugs!$A$2:$Z$73,26,FALSE())),"please select a BUG ID")</f>
        <v>please select a BUG ID</v>
      </c>
      <c r="C2145" s="51" t="str">
        <f>IFERROR(VLOOKUP(A2145,Internal_lists_bugs!$A$2:$I7981,9,FALSE()),"please select a BUG ID")</f>
        <v>please select a BUG ID</v>
      </c>
      <c r="D2145" s="114"/>
      <c r="E2145" s="114"/>
      <c r="F2145" s="115"/>
      <c r="G2145" s="82"/>
      <c r="H2145" s="92"/>
      <c r="I2145" s="54"/>
      <c r="K2145" s="54"/>
      <c r="M2145" s="114" t="str">
        <f>VLOOKUP(A2145,'BIC_(C_Variables)'!$A$3:$AS$43,45,FALSE())</f>
        <v>#N/A</v>
      </c>
      <c r="N2145" s="1"/>
      <c r="O2145" s="1"/>
      <c r="P2145" s="51" t="str">
        <f>IFERROR(VLOOKUP(A2145,Internal_lists_bugs!$A$2:$G7981,7,FALSE()),"please select a BUG ID")</f>
        <v>please select a BUG ID</v>
      </c>
    </row>
    <row r="2146">
      <c r="A2146" s="54"/>
      <c r="B2146" s="71" t="str">
        <f>IFERROR(HYPERLINK(VLOOKUP(A2146,Internal_lists_bugs!$A$2:$C$73,3,FALSE()), VLOOKUP(A2146,Internal_lists_bugs!$A$2:$C$73,3,FALSE())&amp;Char(10) &amp; Char(10) &amp; VLOOKUP(A2146,Internal_lists_bugs!$A$2:$Z$73,26,FALSE())),"please select a BUG ID")</f>
        <v>please select a BUG ID</v>
      </c>
      <c r="C2146" s="51" t="str">
        <f>IFERROR(VLOOKUP(A2146,Internal_lists_bugs!$A$2:$I7981,9,FALSE()),"please select a BUG ID")</f>
        <v>please select a BUG ID</v>
      </c>
      <c r="D2146" s="114"/>
      <c r="E2146" s="114"/>
      <c r="F2146" s="115"/>
      <c r="G2146" s="82"/>
      <c r="H2146" s="92"/>
      <c r="I2146" s="54"/>
      <c r="K2146" s="54"/>
      <c r="M2146" s="114" t="str">
        <f>VLOOKUP(A2146,'BIC_(C_Variables)'!$A$3:$AS$43,45,FALSE())</f>
        <v>#N/A</v>
      </c>
      <c r="N2146" s="1"/>
      <c r="O2146" s="1"/>
      <c r="P2146" s="51" t="str">
        <f>IFERROR(VLOOKUP(A2146,Internal_lists_bugs!$A$2:$G7981,7,FALSE()),"please select a BUG ID")</f>
        <v>please select a BUG ID</v>
      </c>
    </row>
    <row r="2147">
      <c r="A2147" s="54"/>
      <c r="B2147" s="71" t="str">
        <f>IFERROR(HYPERLINK(VLOOKUP(A2147,Internal_lists_bugs!$A$2:$C$73,3,FALSE()), VLOOKUP(A2147,Internal_lists_bugs!$A$2:$C$73,3,FALSE())&amp;Char(10) &amp; Char(10) &amp; VLOOKUP(A2147,Internal_lists_bugs!$A$2:$Z$73,26,FALSE())),"please select a BUG ID")</f>
        <v>please select a BUG ID</v>
      </c>
      <c r="C2147" s="51" t="str">
        <f>IFERROR(VLOOKUP(A2147,Internal_lists_bugs!$A$2:$I7981,9,FALSE()),"please select a BUG ID")</f>
        <v>please select a BUG ID</v>
      </c>
      <c r="D2147" s="114"/>
      <c r="E2147" s="114"/>
      <c r="F2147" s="115"/>
      <c r="G2147" s="82"/>
      <c r="H2147" s="92"/>
      <c r="I2147" s="54"/>
      <c r="K2147" s="54"/>
      <c r="M2147" s="114" t="str">
        <f>VLOOKUP(A2147,'BIC_(C_Variables)'!$A$3:$AS$43,45,FALSE())</f>
        <v>#N/A</v>
      </c>
      <c r="N2147" s="1"/>
      <c r="O2147" s="1"/>
      <c r="P2147" s="51" t="str">
        <f>IFERROR(VLOOKUP(A2147,Internal_lists_bugs!$A$2:$G7981,7,FALSE()),"please select a BUG ID")</f>
        <v>please select a BUG ID</v>
      </c>
    </row>
    <row r="2148">
      <c r="A2148" s="54"/>
      <c r="B2148" s="71" t="str">
        <f>IFERROR(HYPERLINK(VLOOKUP(A2148,Internal_lists_bugs!$A$2:$C$73,3,FALSE()), VLOOKUP(A2148,Internal_lists_bugs!$A$2:$C$73,3,FALSE())&amp;Char(10) &amp; Char(10) &amp; VLOOKUP(A2148,Internal_lists_bugs!$A$2:$Z$73,26,FALSE())),"please select a BUG ID")</f>
        <v>please select a BUG ID</v>
      </c>
      <c r="C2148" s="51" t="str">
        <f>IFERROR(VLOOKUP(A2148,Internal_lists_bugs!$A$2:$I7981,9,FALSE()),"please select a BUG ID")</f>
        <v>please select a BUG ID</v>
      </c>
      <c r="D2148" s="114"/>
      <c r="E2148" s="114"/>
      <c r="F2148" s="115"/>
      <c r="G2148" s="82"/>
      <c r="H2148" s="92"/>
      <c r="I2148" s="54"/>
      <c r="K2148" s="54"/>
      <c r="M2148" s="114" t="str">
        <f>VLOOKUP(A2148,'BIC_(C_Variables)'!$A$3:$AS$43,45,FALSE())</f>
        <v>#N/A</v>
      </c>
      <c r="N2148" s="1"/>
      <c r="O2148" s="1"/>
      <c r="P2148" s="51" t="str">
        <f>IFERROR(VLOOKUP(A2148,Internal_lists_bugs!$A$2:$G7981,7,FALSE()),"please select a BUG ID")</f>
        <v>please select a BUG ID</v>
      </c>
    </row>
    <row r="2149">
      <c r="A2149" s="54"/>
      <c r="B2149" s="71" t="str">
        <f>IFERROR(HYPERLINK(VLOOKUP(A2149,Internal_lists_bugs!$A$2:$C$73,3,FALSE()), VLOOKUP(A2149,Internal_lists_bugs!$A$2:$C$73,3,FALSE())&amp;Char(10) &amp; Char(10) &amp; VLOOKUP(A2149,Internal_lists_bugs!$A$2:$Z$73,26,FALSE())),"please select a BUG ID")</f>
        <v>please select a BUG ID</v>
      </c>
      <c r="C2149" s="51" t="str">
        <f>IFERROR(VLOOKUP(A2149,Internal_lists_bugs!$A$2:$I7981,9,FALSE()),"please select a BUG ID")</f>
        <v>please select a BUG ID</v>
      </c>
      <c r="D2149" s="114"/>
      <c r="E2149" s="114"/>
      <c r="F2149" s="115"/>
      <c r="G2149" s="82"/>
      <c r="H2149" s="92"/>
      <c r="I2149" s="54"/>
      <c r="K2149" s="54"/>
      <c r="M2149" s="114" t="str">
        <f>VLOOKUP(A2149,'BIC_(C_Variables)'!$A$3:$AS$43,45,FALSE())</f>
        <v>#N/A</v>
      </c>
      <c r="N2149" s="1"/>
      <c r="O2149" s="1"/>
      <c r="P2149" s="51" t="str">
        <f>IFERROR(VLOOKUP(A2149,Internal_lists_bugs!$A$2:$G7981,7,FALSE()),"please select a BUG ID")</f>
        <v>please select a BUG ID</v>
      </c>
    </row>
    <row r="2150">
      <c r="A2150" s="54"/>
      <c r="B2150" s="71" t="str">
        <f>IFERROR(HYPERLINK(VLOOKUP(A2150,Internal_lists_bugs!$A$2:$C$73,3,FALSE()), VLOOKUP(A2150,Internal_lists_bugs!$A$2:$C$73,3,FALSE())&amp;Char(10) &amp; Char(10) &amp; VLOOKUP(A2150,Internal_lists_bugs!$A$2:$Z$73,26,FALSE())),"please select a BUG ID")</f>
        <v>please select a BUG ID</v>
      </c>
      <c r="C2150" s="51" t="str">
        <f>IFERROR(VLOOKUP(A2150,Internal_lists_bugs!$A$2:$I7981,9,FALSE()),"please select a BUG ID")</f>
        <v>please select a BUG ID</v>
      </c>
      <c r="D2150" s="114"/>
      <c r="E2150" s="114"/>
      <c r="F2150" s="115"/>
      <c r="G2150" s="82"/>
      <c r="H2150" s="92"/>
      <c r="I2150" s="54"/>
      <c r="K2150" s="54"/>
      <c r="M2150" s="114" t="str">
        <f>VLOOKUP(A2150,'BIC_(C_Variables)'!$A$3:$AS$43,45,FALSE())</f>
        <v>#N/A</v>
      </c>
      <c r="N2150" s="1"/>
      <c r="O2150" s="1"/>
      <c r="P2150" s="51" t="str">
        <f>IFERROR(VLOOKUP(A2150,Internal_lists_bugs!$A$2:$G7981,7,FALSE()),"please select a BUG ID")</f>
        <v>please select a BUG ID</v>
      </c>
    </row>
    <row r="2151">
      <c r="A2151" s="54"/>
      <c r="B2151" s="71" t="str">
        <f>IFERROR(HYPERLINK(VLOOKUP(A2151,Internal_lists_bugs!$A$2:$C$73,3,FALSE()), VLOOKUP(A2151,Internal_lists_bugs!$A$2:$C$73,3,FALSE())&amp;Char(10) &amp; Char(10) &amp; VLOOKUP(A2151,Internal_lists_bugs!$A$2:$Z$73,26,FALSE())),"please select a BUG ID")</f>
        <v>please select a BUG ID</v>
      </c>
      <c r="C2151" s="51" t="str">
        <f>IFERROR(VLOOKUP(A2151,Internal_lists_bugs!$A$2:$I7981,9,FALSE()),"please select a BUG ID")</f>
        <v>please select a BUG ID</v>
      </c>
      <c r="D2151" s="114"/>
      <c r="E2151" s="114"/>
      <c r="F2151" s="125"/>
      <c r="G2151" s="126"/>
      <c r="H2151" s="127"/>
      <c r="I2151" s="54"/>
      <c r="K2151" s="54"/>
      <c r="M2151" s="114" t="str">
        <f>VLOOKUP(A2151,'BIC_(C_Variables)'!$A$3:$AS$43,45,FALSE())</f>
        <v>#N/A</v>
      </c>
      <c r="N2151" s="1"/>
      <c r="O2151" s="1"/>
      <c r="P2151" s="51" t="str">
        <f>IFERROR(VLOOKUP(A2151,Internal_lists_bugs!$A$2:$G7981,7,FALSE()),"please select a BUG ID")</f>
        <v>please select a BUG ID</v>
      </c>
    </row>
    <row r="2152">
      <c r="A2152" s="54"/>
      <c r="B2152" s="71"/>
      <c r="C2152" s="51"/>
      <c r="D2152" s="114"/>
      <c r="E2152" s="114"/>
      <c r="F2152" s="54"/>
      <c r="G2152" s="54"/>
      <c r="I2152" s="54"/>
      <c r="K2152" s="54"/>
      <c r="M2152" s="114"/>
      <c r="N2152" s="1"/>
      <c r="O2152" s="1"/>
      <c r="P2152" s="51"/>
    </row>
    <row r="2153">
      <c r="A2153" s="54"/>
      <c r="B2153" s="71"/>
      <c r="C2153" s="51"/>
      <c r="D2153" s="114"/>
      <c r="E2153" s="114"/>
      <c r="F2153" s="54"/>
      <c r="G2153" s="54"/>
      <c r="I2153" s="54"/>
      <c r="K2153" s="54"/>
      <c r="M2153" s="114"/>
      <c r="N2153" s="1"/>
      <c r="O2153" s="1"/>
      <c r="P2153" s="51"/>
    </row>
    <row r="2154">
      <c r="A2154" s="54"/>
      <c r="B2154" s="71"/>
      <c r="C2154" s="51"/>
      <c r="D2154" s="114"/>
      <c r="E2154" s="114"/>
      <c r="F2154" s="54"/>
      <c r="G2154" s="54"/>
      <c r="I2154" s="54"/>
      <c r="K2154" s="54"/>
      <c r="M2154" s="114"/>
      <c r="N2154" s="1"/>
      <c r="O2154" s="1"/>
      <c r="P2154" s="51"/>
    </row>
    <row r="2155">
      <c r="A2155" s="54"/>
      <c r="B2155" s="71"/>
      <c r="C2155" s="51"/>
      <c r="D2155" s="114"/>
      <c r="E2155" s="114"/>
      <c r="F2155" s="54"/>
      <c r="G2155" s="54"/>
      <c r="I2155" s="54"/>
      <c r="K2155" s="54"/>
      <c r="M2155" s="114"/>
      <c r="N2155" s="1"/>
      <c r="O2155" s="1"/>
      <c r="P2155" s="51"/>
    </row>
    <row r="2156">
      <c r="A2156" s="54"/>
      <c r="B2156" s="71"/>
      <c r="C2156" s="51"/>
      <c r="D2156" s="114"/>
      <c r="E2156" s="114"/>
      <c r="F2156" s="54"/>
      <c r="G2156" s="54"/>
      <c r="I2156" s="54"/>
      <c r="K2156" s="54"/>
      <c r="M2156" s="114"/>
      <c r="N2156" s="1"/>
      <c r="O2156" s="1"/>
      <c r="P2156" s="51"/>
    </row>
    <row r="2157">
      <c r="A2157" s="54"/>
      <c r="B2157" s="71"/>
      <c r="C2157" s="51"/>
      <c r="D2157" s="114"/>
      <c r="E2157" s="114"/>
      <c r="F2157" s="54"/>
      <c r="G2157" s="54"/>
      <c r="I2157" s="54"/>
      <c r="K2157" s="54"/>
      <c r="M2157" s="114"/>
      <c r="N2157" s="1"/>
      <c r="O2157" s="1"/>
      <c r="P2157" s="51"/>
    </row>
    <row r="2158">
      <c r="A2158" s="54"/>
      <c r="B2158" s="71"/>
      <c r="C2158" s="51"/>
      <c r="D2158" s="114"/>
      <c r="E2158" s="114"/>
      <c r="F2158" s="54"/>
      <c r="G2158" s="54"/>
      <c r="I2158" s="54"/>
      <c r="K2158" s="54"/>
      <c r="M2158" s="114"/>
      <c r="N2158" s="1"/>
      <c r="O2158" s="1"/>
      <c r="P2158" s="51"/>
    </row>
    <row r="2159">
      <c r="A2159" s="54"/>
      <c r="B2159" s="71"/>
      <c r="C2159" s="51"/>
      <c r="D2159" s="114"/>
      <c r="E2159" s="114"/>
      <c r="F2159" s="54"/>
      <c r="G2159" s="54"/>
      <c r="I2159" s="54"/>
      <c r="K2159" s="54"/>
      <c r="M2159" s="114"/>
      <c r="N2159" s="1"/>
      <c r="O2159" s="1"/>
      <c r="P2159" s="51"/>
    </row>
    <row r="2160">
      <c r="A2160" s="54"/>
      <c r="B2160" s="71"/>
      <c r="C2160" s="51"/>
      <c r="D2160" s="114"/>
      <c r="E2160" s="114"/>
      <c r="F2160" s="54"/>
      <c r="G2160" s="54"/>
      <c r="I2160" s="54"/>
      <c r="K2160" s="54"/>
      <c r="M2160" s="114"/>
      <c r="N2160" s="1"/>
      <c r="O2160" s="1"/>
      <c r="P2160" s="51"/>
    </row>
    <row r="2161">
      <c r="A2161" s="54"/>
      <c r="B2161" s="71"/>
      <c r="C2161" s="51"/>
      <c r="D2161" s="114"/>
      <c r="E2161" s="114"/>
      <c r="F2161" s="54"/>
      <c r="G2161" s="54"/>
      <c r="I2161" s="54"/>
      <c r="K2161" s="54"/>
      <c r="M2161" s="114"/>
      <c r="N2161" s="1"/>
      <c r="O2161" s="1"/>
      <c r="P2161" s="51"/>
    </row>
    <row r="2162">
      <c r="A2162" s="54"/>
      <c r="B2162" s="71"/>
      <c r="C2162" s="51"/>
      <c r="D2162" s="114"/>
      <c r="E2162" s="114"/>
      <c r="F2162" s="54"/>
      <c r="G2162" s="54"/>
      <c r="I2162" s="54"/>
      <c r="K2162" s="54"/>
      <c r="M2162" s="114"/>
      <c r="N2162" s="1"/>
      <c r="O2162" s="1"/>
      <c r="P2162" s="51"/>
    </row>
    <row r="2163">
      <c r="A2163" s="54"/>
      <c r="B2163" s="71"/>
      <c r="C2163" s="51"/>
      <c r="D2163" s="114"/>
      <c r="E2163" s="114"/>
      <c r="F2163" s="54"/>
      <c r="G2163" s="54"/>
      <c r="I2163" s="54"/>
      <c r="K2163" s="54"/>
      <c r="M2163" s="114"/>
      <c r="N2163" s="1"/>
      <c r="O2163" s="1"/>
      <c r="P2163" s="51"/>
    </row>
    <row r="2164">
      <c r="A2164" s="54"/>
      <c r="B2164" s="71"/>
      <c r="C2164" s="51"/>
      <c r="D2164" s="114"/>
      <c r="E2164" s="114"/>
      <c r="F2164" s="54"/>
      <c r="G2164" s="54"/>
      <c r="I2164" s="54"/>
      <c r="K2164" s="54"/>
      <c r="M2164" s="114"/>
      <c r="N2164" s="1"/>
      <c r="O2164" s="1"/>
      <c r="P2164" s="51"/>
    </row>
    <row r="2165">
      <c r="A2165" s="54"/>
      <c r="B2165" s="71"/>
      <c r="C2165" s="51"/>
      <c r="D2165" s="114"/>
      <c r="E2165" s="114"/>
      <c r="F2165" s="54"/>
      <c r="G2165" s="54"/>
      <c r="I2165" s="54"/>
      <c r="K2165" s="54"/>
      <c r="M2165" s="114"/>
      <c r="N2165" s="1"/>
      <c r="O2165" s="1"/>
      <c r="P2165" s="51"/>
    </row>
    <row r="2166">
      <c r="A2166" s="54"/>
      <c r="B2166" s="71"/>
      <c r="C2166" s="51"/>
      <c r="D2166" s="114"/>
      <c r="E2166" s="114"/>
      <c r="F2166" s="54"/>
      <c r="G2166" s="54"/>
      <c r="I2166" s="54"/>
      <c r="K2166" s="54"/>
      <c r="M2166" s="114"/>
      <c r="N2166" s="1"/>
      <c r="O2166" s="1"/>
      <c r="P2166" s="51"/>
    </row>
    <row r="2167">
      <c r="A2167" s="54"/>
      <c r="B2167" s="71"/>
      <c r="C2167" s="51"/>
      <c r="D2167" s="114"/>
      <c r="E2167" s="114"/>
      <c r="F2167" s="54"/>
      <c r="G2167" s="54"/>
      <c r="I2167" s="54"/>
      <c r="K2167" s="54"/>
      <c r="M2167" s="114"/>
      <c r="N2167" s="1"/>
      <c r="O2167" s="1"/>
      <c r="P2167" s="51"/>
    </row>
    <row r="2168">
      <c r="A2168" s="54"/>
      <c r="B2168" s="71"/>
      <c r="C2168" s="51"/>
      <c r="D2168" s="114"/>
      <c r="E2168" s="114"/>
      <c r="F2168" s="54"/>
      <c r="G2168" s="54"/>
      <c r="I2168" s="54"/>
      <c r="K2168" s="54"/>
      <c r="M2168" s="114"/>
      <c r="N2168" s="1"/>
      <c r="O2168" s="1"/>
      <c r="P2168" s="51"/>
    </row>
    <row r="2169">
      <c r="A2169" s="54"/>
      <c r="B2169" s="71"/>
      <c r="C2169" s="51"/>
      <c r="D2169" s="114"/>
      <c r="E2169" s="114"/>
      <c r="F2169" s="54"/>
      <c r="G2169" s="54"/>
      <c r="I2169" s="54"/>
      <c r="K2169" s="54"/>
      <c r="M2169" s="114"/>
      <c r="N2169" s="1"/>
      <c r="O2169" s="1"/>
      <c r="P2169" s="51"/>
    </row>
    <row r="2170">
      <c r="A2170" s="54"/>
      <c r="B2170" s="71"/>
      <c r="C2170" s="51"/>
      <c r="D2170" s="114"/>
      <c r="E2170" s="114"/>
      <c r="F2170" s="54"/>
      <c r="G2170" s="54"/>
      <c r="I2170" s="54"/>
      <c r="K2170" s="54"/>
      <c r="M2170" s="114"/>
      <c r="N2170" s="1"/>
      <c r="O2170" s="1"/>
      <c r="P2170" s="51"/>
    </row>
    <row r="2171">
      <c r="A2171" s="54"/>
      <c r="B2171" s="71"/>
      <c r="C2171" s="51"/>
      <c r="D2171" s="114"/>
      <c r="E2171" s="114"/>
      <c r="F2171" s="54"/>
      <c r="G2171" s="54"/>
      <c r="I2171" s="54"/>
      <c r="K2171" s="54"/>
      <c r="M2171" s="114"/>
      <c r="N2171" s="1"/>
      <c r="O2171" s="1"/>
      <c r="P2171" s="51"/>
    </row>
    <row r="2172">
      <c r="A2172" s="54"/>
      <c r="B2172" s="71"/>
      <c r="C2172" s="51"/>
      <c r="D2172" s="114"/>
      <c r="E2172" s="114"/>
      <c r="F2172" s="54"/>
      <c r="G2172" s="54"/>
      <c r="I2172" s="54"/>
      <c r="K2172" s="54"/>
      <c r="M2172" s="114"/>
      <c r="N2172" s="1"/>
      <c r="O2172" s="1"/>
      <c r="P2172" s="51"/>
    </row>
    <row r="2173">
      <c r="A2173" s="54"/>
      <c r="B2173" s="71"/>
      <c r="C2173" s="51"/>
      <c r="D2173" s="114"/>
      <c r="E2173" s="114"/>
      <c r="F2173" s="54"/>
      <c r="G2173" s="54"/>
      <c r="I2173" s="54"/>
      <c r="K2173" s="54"/>
      <c r="M2173" s="114"/>
      <c r="N2173" s="1"/>
      <c r="O2173" s="1"/>
      <c r="P2173" s="51"/>
    </row>
    <row r="2174">
      <c r="A2174" s="54"/>
      <c r="B2174" s="71"/>
      <c r="C2174" s="51"/>
      <c r="D2174" s="114"/>
      <c r="E2174" s="114"/>
      <c r="F2174" s="54"/>
      <c r="G2174" s="54"/>
      <c r="I2174" s="54"/>
      <c r="K2174" s="54"/>
      <c r="M2174" s="114"/>
      <c r="N2174" s="1"/>
      <c r="O2174" s="1"/>
      <c r="P2174" s="51"/>
    </row>
    <row r="2175">
      <c r="A2175" s="54"/>
      <c r="B2175" s="71"/>
      <c r="C2175" s="51"/>
      <c r="D2175" s="114"/>
      <c r="E2175" s="114"/>
      <c r="F2175" s="54"/>
      <c r="G2175" s="54"/>
      <c r="I2175" s="54"/>
      <c r="K2175" s="54"/>
      <c r="M2175" s="114"/>
      <c r="N2175" s="1"/>
      <c r="O2175" s="1"/>
      <c r="P2175" s="51"/>
    </row>
    <row r="2176">
      <c r="A2176" s="54"/>
      <c r="B2176" s="71"/>
      <c r="C2176" s="51"/>
      <c r="D2176" s="114"/>
      <c r="E2176" s="114"/>
      <c r="F2176" s="54"/>
      <c r="G2176" s="54"/>
      <c r="I2176" s="54"/>
      <c r="K2176" s="54"/>
      <c r="M2176" s="114"/>
      <c r="N2176" s="1"/>
      <c r="O2176" s="1"/>
      <c r="P2176" s="51"/>
    </row>
    <row r="2177">
      <c r="A2177" s="54"/>
      <c r="B2177" s="71"/>
      <c r="C2177" s="51"/>
      <c r="D2177" s="114"/>
      <c r="E2177" s="114"/>
      <c r="F2177" s="54"/>
      <c r="G2177" s="54"/>
      <c r="I2177" s="54"/>
      <c r="K2177" s="54"/>
      <c r="M2177" s="114"/>
      <c r="N2177" s="1"/>
      <c r="O2177" s="1"/>
      <c r="P2177" s="51"/>
    </row>
    <row r="2178">
      <c r="A2178" s="54"/>
      <c r="B2178" s="71"/>
      <c r="C2178" s="51"/>
      <c r="D2178" s="114"/>
      <c r="E2178" s="114"/>
      <c r="F2178" s="54"/>
      <c r="G2178" s="54"/>
      <c r="I2178" s="54"/>
      <c r="K2178" s="54"/>
      <c r="M2178" s="114"/>
      <c r="N2178" s="1"/>
      <c r="O2178" s="1"/>
      <c r="P2178" s="51"/>
    </row>
    <row r="2179">
      <c r="A2179" s="54"/>
      <c r="B2179" s="71"/>
      <c r="C2179" s="51"/>
      <c r="D2179" s="114"/>
      <c r="E2179" s="114"/>
      <c r="F2179" s="54"/>
      <c r="G2179" s="54"/>
      <c r="I2179" s="54"/>
      <c r="K2179" s="54"/>
      <c r="M2179" s="114"/>
      <c r="N2179" s="1"/>
      <c r="O2179" s="1"/>
      <c r="P2179" s="51"/>
    </row>
    <row r="2180">
      <c r="A2180" s="54"/>
      <c r="B2180" s="71"/>
      <c r="C2180" s="51"/>
      <c r="D2180" s="114"/>
      <c r="E2180" s="114"/>
      <c r="F2180" s="54"/>
      <c r="G2180" s="54"/>
      <c r="I2180" s="54"/>
      <c r="K2180" s="54"/>
      <c r="M2180" s="114"/>
      <c r="N2180" s="1"/>
      <c r="O2180" s="1"/>
      <c r="P2180" s="51"/>
    </row>
    <row r="2181">
      <c r="A2181" s="54"/>
      <c r="B2181" s="71"/>
      <c r="C2181" s="51"/>
      <c r="D2181" s="114"/>
      <c r="E2181" s="114"/>
      <c r="F2181" s="54"/>
      <c r="G2181" s="54"/>
      <c r="I2181" s="54"/>
      <c r="K2181" s="54"/>
      <c r="M2181" s="114"/>
      <c r="N2181" s="1"/>
      <c r="O2181" s="1"/>
      <c r="P2181" s="51"/>
    </row>
    <row r="2182">
      <c r="A2182" s="54"/>
      <c r="B2182" s="71"/>
      <c r="C2182" s="51"/>
      <c r="D2182" s="114"/>
      <c r="E2182" s="114"/>
      <c r="F2182" s="54"/>
      <c r="G2182" s="54"/>
      <c r="I2182" s="54"/>
      <c r="K2182" s="54"/>
      <c r="M2182" s="114"/>
      <c r="N2182" s="1"/>
      <c r="O2182" s="1"/>
      <c r="P2182" s="51"/>
    </row>
    <row r="2183">
      <c r="A2183" s="54"/>
      <c r="B2183" s="71"/>
      <c r="C2183" s="51"/>
      <c r="D2183" s="114"/>
      <c r="E2183" s="114"/>
      <c r="F2183" s="54"/>
      <c r="G2183" s="54"/>
      <c r="I2183" s="54"/>
      <c r="K2183" s="54"/>
      <c r="M2183" s="114"/>
      <c r="N2183" s="1"/>
      <c r="O2183" s="1"/>
      <c r="P2183" s="51"/>
    </row>
    <row r="2184">
      <c r="A2184" s="54"/>
      <c r="B2184" s="71"/>
      <c r="C2184" s="51"/>
      <c r="D2184" s="114"/>
      <c r="E2184" s="114"/>
      <c r="F2184" s="54"/>
      <c r="G2184" s="54"/>
      <c r="I2184" s="54"/>
      <c r="K2184" s="54"/>
      <c r="M2184" s="114"/>
      <c r="N2184" s="1"/>
      <c r="O2184" s="1"/>
      <c r="P2184" s="51"/>
    </row>
    <row r="2185">
      <c r="A2185" s="54"/>
      <c r="B2185" s="71"/>
      <c r="C2185" s="51"/>
      <c r="D2185" s="114"/>
      <c r="E2185" s="114"/>
      <c r="F2185" s="54"/>
      <c r="G2185" s="54"/>
      <c r="I2185" s="54"/>
      <c r="K2185" s="54"/>
      <c r="M2185" s="114"/>
      <c r="N2185" s="1"/>
      <c r="O2185" s="1"/>
      <c r="P2185" s="51"/>
    </row>
    <row r="2186">
      <c r="A2186" s="54"/>
      <c r="B2186" s="71"/>
      <c r="C2186" s="51"/>
      <c r="D2186" s="114"/>
      <c r="E2186" s="114"/>
      <c r="F2186" s="54"/>
      <c r="G2186" s="54"/>
      <c r="I2186" s="54"/>
      <c r="K2186" s="54"/>
      <c r="M2186" s="114"/>
      <c r="N2186" s="1"/>
      <c r="O2186" s="1"/>
      <c r="P2186" s="51"/>
    </row>
    <row r="2187">
      <c r="A2187" s="54"/>
      <c r="B2187" s="71"/>
      <c r="C2187" s="51"/>
      <c r="D2187" s="114"/>
      <c r="E2187" s="114"/>
      <c r="F2187" s="54"/>
      <c r="G2187" s="54"/>
      <c r="I2187" s="54"/>
      <c r="K2187" s="54"/>
      <c r="M2187" s="114"/>
      <c r="N2187" s="1"/>
      <c r="O2187" s="1"/>
      <c r="P2187" s="51"/>
    </row>
    <row r="2188">
      <c r="A2188" s="54"/>
      <c r="B2188" s="71"/>
      <c r="C2188" s="51"/>
      <c r="D2188" s="114"/>
      <c r="E2188" s="114"/>
      <c r="F2188" s="54"/>
      <c r="G2188" s="54"/>
      <c r="I2188" s="54"/>
      <c r="K2188" s="54"/>
      <c r="M2188" s="114"/>
      <c r="N2188" s="1"/>
      <c r="O2188" s="1"/>
      <c r="P2188" s="51"/>
    </row>
    <row r="2189">
      <c r="A2189" s="54"/>
      <c r="B2189" s="71"/>
      <c r="C2189" s="51"/>
      <c r="D2189" s="114"/>
      <c r="E2189" s="114"/>
      <c r="F2189" s="54"/>
      <c r="G2189" s="54"/>
      <c r="I2189" s="54"/>
      <c r="K2189" s="54"/>
      <c r="M2189" s="114"/>
      <c r="N2189" s="1"/>
      <c r="O2189" s="1"/>
      <c r="P2189" s="51"/>
    </row>
    <row r="2190">
      <c r="A2190" s="54"/>
      <c r="B2190" s="71"/>
      <c r="C2190" s="51"/>
      <c r="D2190" s="114"/>
      <c r="E2190" s="114"/>
      <c r="F2190" s="54"/>
      <c r="G2190" s="54"/>
      <c r="I2190" s="54"/>
      <c r="K2190" s="54"/>
      <c r="M2190" s="114"/>
      <c r="N2190" s="1"/>
      <c r="O2190" s="1"/>
      <c r="P2190" s="51"/>
    </row>
    <row r="2191">
      <c r="A2191" s="54"/>
      <c r="B2191" s="71"/>
      <c r="C2191" s="51"/>
      <c r="D2191" s="114"/>
      <c r="E2191" s="114"/>
      <c r="F2191" s="54"/>
      <c r="G2191" s="54"/>
      <c r="I2191" s="54"/>
      <c r="K2191" s="54"/>
      <c r="M2191" s="114"/>
      <c r="N2191" s="1"/>
      <c r="O2191" s="1"/>
      <c r="P2191" s="51"/>
    </row>
    <row r="2192">
      <c r="A2192" s="54"/>
      <c r="B2192" s="71"/>
      <c r="C2192" s="51"/>
      <c r="D2192" s="114"/>
      <c r="E2192" s="114"/>
      <c r="F2192" s="54"/>
      <c r="G2192" s="54"/>
      <c r="I2192" s="54"/>
      <c r="K2192" s="54"/>
      <c r="M2192" s="114"/>
      <c r="N2192" s="1"/>
      <c r="O2192" s="1"/>
      <c r="P2192" s="51"/>
    </row>
    <row r="2193">
      <c r="A2193" s="54"/>
      <c r="B2193" s="71"/>
      <c r="C2193" s="51"/>
      <c r="D2193" s="114"/>
      <c r="E2193" s="114"/>
      <c r="F2193" s="54"/>
      <c r="G2193" s="54"/>
      <c r="I2193" s="54"/>
      <c r="K2193" s="54"/>
      <c r="M2193" s="114"/>
      <c r="N2193" s="1"/>
      <c r="O2193" s="1"/>
      <c r="P2193" s="51"/>
    </row>
    <row r="2194">
      <c r="A2194" s="54"/>
      <c r="B2194" s="71"/>
      <c r="C2194" s="51"/>
      <c r="D2194" s="114"/>
      <c r="E2194" s="114"/>
      <c r="F2194" s="54"/>
      <c r="G2194" s="54"/>
      <c r="I2194" s="54"/>
      <c r="K2194" s="54"/>
      <c r="M2194" s="114"/>
      <c r="N2194" s="1"/>
      <c r="O2194" s="1"/>
      <c r="P2194" s="51"/>
    </row>
    <row r="2195">
      <c r="A2195" s="54"/>
      <c r="B2195" s="71"/>
      <c r="C2195" s="51"/>
      <c r="D2195" s="114"/>
      <c r="E2195" s="114"/>
      <c r="F2195" s="54"/>
      <c r="G2195" s="54"/>
      <c r="I2195" s="54"/>
      <c r="K2195" s="54"/>
      <c r="M2195" s="114"/>
      <c r="N2195" s="1"/>
      <c r="O2195" s="1"/>
      <c r="P2195" s="51"/>
    </row>
    <row r="2196">
      <c r="A2196" s="54"/>
      <c r="B2196" s="71"/>
      <c r="C2196" s="51"/>
      <c r="D2196" s="114"/>
      <c r="E2196" s="114"/>
      <c r="F2196" s="54"/>
      <c r="G2196" s="54"/>
      <c r="I2196" s="54"/>
      <c r="K2196" s="54"/>
      <c r="M2196" s="114"/>
      <c r="N2196" s="1"/>
      <c r="O2196" s="1"/>
      <c r="P2196" s="51"/>
    </row>
    <row r="2197">
      <c r="A2197" s="54"/>
      <c r="B2197" s="71"/>
      <c r="C2197" s="51"/>
      <c r="D2197" s="114"/>
      <c r="E2197" s="114"/>
      <c r="F2197" s="54"/>
      <c r="G2197" s="54"/>
      <c r="I2197" s="54"/>
      <c r="K2197" s="54"/>
      <c r="M2197" s="114"/>
      <c r="N2197" s="1"/>
      <c r="O2197" s="1"/>
      <c r="P2197" s="51"/>
    </row>
    <row r="2198">
      <c r="A2198" s="54"/>
      <c r="B2198" s="71"/>
      <c r="C2198" s="51"/>
      <c r="D2198" s="114"/>
      <c r="E2198" s="114"/>
      <c r="F2198" s="54"/>
      <c r="G2198" s="54"/>
      <c r="I2198" s="54"/>
      <c r="K2198" s="54"/>
      <c r="M2198" s="114"/>
      <c r="N2198" s="1"/>
      <c r="O2198" s="1"/>
      <c r="P2198" s="51"/>
    </row>
    <row r="2199">
      <c r="A2199" s="54"/>
      <c r="B2199" s="71"/>
      <c r="C2199" s="51"/>
      <c r="D2199" s="114"/>
      <c r="E2199" s="114"/>
      <c r="F2199" s="54"/>
      <c r="G2199" s="54"/>
      <c r="I2199" s="54"/>
      <c r="K2199" s="54"/>
      <c r="M2199" s="114"/>
      <c r="N2199" s="1"/>
      <c r="O2199" s="1"/>
      <c r="P2199" s="51"/>
    </row>
    <row r="2200">
      <c r="A2200" s="54"/>
      <c r="B2200" s="71"/>
      <c r="C2200" s="51"/>
      <c r="D2200" s="114"/>
      <c r="E2200" s="114"/>
      <c r="F2200" s="54"/>
      <c r="G2200" s="54"/>
      <c r="I2200" s="54"/>
      <c r="K2200" s="54"/>
      <c r="M2200" s="114"/>
      <c r="N2200" s="1"/>
      <c r="O2200" s="1"/>
      <c r="P2200" s="51"/>
    </row>
    <row r="2201">
      <c r="A2201" s="54"/>
      <c r="B2201" s="71"/>
      <c r="C2201" s="51"/>
      <c r="D2201" s="114"/>
      <c r="E2201" s="114"/>
      <c r="F2201" s="54"/>
      <c r="G2201" s="54"/>
      <c r="I2201" s="54"/>
      <c r="K2201" s="54"/>
      <c r="M2201" s="114"/>
      <c r="N2201" s="1"/>
      <c r="O2201" s="1"/>
      <c r="P2201" s="51"/>
    </row>
    <row r="2202">
      <c r="A2202" s="54"/>
      <c r="B2202" s="71"/>
      <c r="C2202" s="51"/>
      <c r="D2202" s="114"/>
      <c r="E2202" s="114"/>
      <c r="F2202" s="54"/>
      <c r="G2202" s="54"/>
      <c r="I2202" s="54"/>
      <c r="K2202" s="54"/>
      <c r="M2202" s="114"/>
      <c r="N2202" s="1"/>
      <c r="O2202" s="1"/>
      <c r="P2202" s="51"/>
    </row>
    <row r="2203">
      <c r="A2203" s="54"/>
      <c r="B2203" s="71"/>
      <c r="C2203" s="51"/>
      <c r="D2203" s="114"/>
      <c r="E2203" s="114"/>
      <c r="F2203" s="54"/>
      <c r="G2203" s="54"/>
      <c r="I2203" s="54"/>
      <c r="K2203" s="54"/>
      <c r="M2203" s="114"/>
      <c r="N2203" s="1"/>
      <c r="O2203" s="1"/>
      <c r="P2203" s="51"/>
    </row>
    <row r="2204">
      <c r="A2204" s="54"/>
      <c r="B2204" s="71"/>
      <c r="C2204" s="51"/>
      <c r="D2204" s="114"/>
      <c r="E2204" s="114"/>
      <c r="F2204" s="54"/>
      <c r="G2204" s="54"/>
      <c r="I2204" s="54"/>
      <c r="K2204" s="54"/>
      <c r="M2204" s="114"/>
      <c r="N2204" s="1"/>
      <c r="O2204" s="1"/>
      <c r="P2204" s="51"/>
    </row>
    <row r="2205">
      <c r="A2205" s="54"/>
      <c r="B2205" s="71"/>
      <c r="C2205" s="51"/>
      <c r="D2205" s="114"/>
      <c r="E2205" s="114"/>
      <c r="F2205" s="54"/>
      <c r="G2205" s="54"/>
      <c r="I2205" s="54"/>
      <c r="K2205" s="54"/>
      <c r="M2205" s="114"/>
      <c r="N2205" s="1"/>
      <c r="O2205" s="1"/>
      <c r="P2205" s="51"/>
    </row>
    <row r="2206">
      <c r="A2206" s="54"/>
      <c r="B2206" s="71"/>
      <c r="C2206" s="51"/>
      <c r="D2206" s="114"/>
      <c r="E2206" s="114"/>
      <c r="F2206" s="54"/>
      <c r="G2206" s="54"/>
      <c r="I2206" s="54"/>
      <c r="K2206" s="54"/>
      <c r="M2206" s="114"/>
      <c r="N2206" s="1"/>
      <c r="O2206" s="1"/>
      <c r="P2206" s="51"/>
    </row>
    <row r="2207">
      <c r="A2207" s="54"/>
      <c r="B2207" s="71"/>
      <c r="C2207" s="51"/>
      <c r="D2207" s="114"/>
      <c r="E2207" s="114"/>
      <c r="F2207" s="54"/>
      <c r="G2207" s="54"/>
      <c r="I2207" s="54"/>
      <c r="K2207" s="54"/>
      <c r="M2207" s="114"/>
      <c r="N2207" s="1"/>
      <c r="O2207" s="1"/>
      <c r="P2207" s="51"/>
    </row>
    <row r="2208">
      <c r="A2208" s="54"/>
      <c r="B2208" s="71"/>
      <c r="C2208" s="51"/>
      <c r="D2208" s="114"/>
      <c r="E2208" s="114"/>
      <c r="F2208" s="54"/>
      <c r="G2208" s="54"/>
      <c r="I2208" s="54"/>
      <c r="K2208" s="54"/>
      <c r="M2208" s="114"/>
      <c r="N2208" s="1"/>
      <c r="O2208" s="1"/>
      <c r="P2208" s="51"/>
    </row>
    <row r="2209">
      <c r="A2209" s="54"/>
      <c r="B2209" s="71"/>
      <c r="C2209" s="51"/>
      <c r="D2209" s="114"/>
      <c r="E2209" s="114"/>
      <c r="F2209" s="54"/>
      <c r="G2209" s="54"/>
      <c r="I2209" s="54"/>
      <c r="K2209" s="54"/>
      <c r="M2209" s="114"/>
      <c r="N2209" s="1"/>
      <c r="O2209" s="1"/>
      <c r="P2209" s="51"/>
    </row>
    <row r="2210">
      <c r="A2210" s="54"/>
      <c r="B2210" s="71"/>
      <c r="C2210" s="51"/>
      <c r="D2210" s="114"/>
      <c r="E2210" s="114"/>
      <c r="F2210" s="54"/>
      <c r="G2210" s="54"/>
      <c r="I2210" s="54"/>
      <c r="K2210" s="54"/>
      <c r="M2210" s="114"/>
      <c r="N2210" s="1"/>
      <c r="O2210" s="1"/>
      <c r="P2210" s="51"/>
    </row>
    <row r="2211">
      <c r="A2211" s="54"/>
      <c r="B2211" s="71"/>
      <c r="C2211" s="51"/>
      <c r="D2211" s="114"/>
      <c r="E2211" s="114"/>
      <c r="F2211" s="54"/>
      <c r="G2211" s="54"/>
      <c r="I2211" s="54"/>
      <c r="K2211" s="54"/>
      <c r="M2211" s="114"/>
      <c r="N2211" s="1"/>
      <c r="O2211" s="1"/>
      <c r="P2211" s="51"/>
    </row>
    <row r="2212">
      <c r="A2212" s="54"/>
      <c r="B2212" s="71"/>
      <c r="C2212" s="51"/>
      <c r="D2212" s="114"/>
      <c r="E2212" s="114"/>
      <c r="F2212" s="54"/>
      <c r="G2212" s="54"/>
      <c r="I2212" s="54"/>
      <c r="K2212" s="54"/>
      <c r="M2212" s="114"/>
      <c r="N2212" s="1"/>
      <c r="O2212" s="1"/>
      <c r="P2212" s="51"/>
    </row>
    <row r="2213">
      <c r="A2213" s="54"/>
      <c r="B2213" s="71"/>
      <c r="C2213" s="51"/>
      <c r="D2213" s="114"/>
      <c r="E2213" s="114"/>
      <c r="F2213" s="54"/>
      <c r="G2213" s="54"/>
      <c r="I2213" s="54"/>
      <c r="K2213" s="54"/>
      <c r="M2213" s="114"/>
      <c r="N2213" s="1"/>
      <c r="O2213" s="1"/>
      <c r="P2213" s="51"/>
    </row>
    <row r="2214">
      <c r="A2214" s="54"/>
      <c r="B2214" s="71"/>
      <c r="C2214" s="51"/>
      <c r="D2214" s="114"/>
      <c r="E2214" s="114"/>
      <c r="F2214" s="54"/>
      <c r="G2214" s="54"/>
      <c r="I2214" s="54"/>
      <c r="K2214" s="54"/>
      <c r="M2214" s="114"/>
      <c r="N2214" s="1"/>
      <c r="O2214" s="1"/>
      <c r="P2214" s="51"/>
    </row>
    <row r="2215">
      <c r="A2215" s="54"/>
      <c r="B2215" s="71"/>
      <c r="C2215" s="51"/>
      <c r="D2215" s="114"/>
      <c r="E2215" s="114"/>
      <c r="F2215" s="54"/>
      <c r="G2215" s="54"/>
      <c r="I2215" s="54"/>
      <c r="K2215" s="54"/>
      <c r="M2215" s="114"/>
      <c r="N2215" s="1"/>
      <c r="O2215" s="1"/>
      <c r="P2215" s="51"/>
    </row>
    <row r="2216">
      <c r="A2216" s="54"/>
      <c r="B2216" s="71"/>
      <c r="C2216" s="51"/>
      <c r="D2216" s="114"/>
      <c r="E2216" s="114"/>
      <c r="F2216" s="54"/>
      <c r="G2216" s="54"/>
      <c r="I2216" s="54"/>
      <c r="K2216" s="54"/>
      <c r="M2216" s="114"/>
      <c r="N2216" s="1"/>
      <c r="O2216" s="1"/>
      <c r="P2216" s="51"/>
    </row>
    <row r="2217">
      <c r="A2217" s="54"/>
      <c r="B2217" s="71"/>
      <c r="C2217" s="51"/>
      <c r="D2217" s="114"/>
      <c r="E2217" s="114"/>
      <c r="F2217" s="54"/>
      <c r="G2217" s="54"/>
      <c r="I2217" s="54"/>
      <c r="K2217" s="54"/>
      <c r="M2217" s="114"/>
      <c r="N2217" s="1"/>
      <c r="O2217" s="1"/>
      <c r="P2217" s="51"/>
    </row>
    <row r="2218">
      <c r="A2218" s="54"/>
      <c r="B2218" s="71"/>
      <c r="C2218" s="51"/>
      <c r="D2218" s="114"/>
      <c r="E2218" s="114"/>
      <c r="F2218" s="54"/>
      <c r="G2218" s="54"/>
      <c r="I2218" s="54"/>
      <c r="K2218" s="54"/>
      <c r="M2218" s="114"/>
      <c r="N2218" s="1"/>
      <c r="O2218" s="1"/>
      <c r="P2218" s="51"/>
    </row>
    <row r="2219">
      <c r="A2219" s="54"/>
      <c r="B2219" s="71"/>
      <c r="C2219" s="51"/>
      <c r="D2219" s="114"/>
      <c r="E2219" s="114"/>
      <c r="F2219" s="54"/>
      <c r="G2219" s="54"/>
      <c r="I2219" s="54"/>
      <c r="K2219" s="54"/>
      <c r="M2219" s="114"/>
      <c r="N2219" s="1"/>
      <c r="O2219" s="1"/>
      <c r="P2219" s="51"/>
    </row>
    <row r="2220">
      <c r="A2220" s="54"/>
      <c r="B2220" s="71"/>
      <c r="C2220" s="51"/>
      <c r="D2220" s="114"/>
      <c r="E2220" s="114"/>
      <c r="F2220" s="54"/>
      <c r="G2220" s="54"/>
      <c r="I2220" s="54"/>
      <c r="K2220" s="54"/>
      <c r="M2220" s="114"/>
      <c r="N2220" s="1"/>
      <c r="O2220" s="1"/>
      <c r="P2220" s="51"/>
    </row>
    <row r="2221">
      <c r="A2221" s="54"/>
      <c r="B2221" s="71"/>
      <c r="C2221" s="51"/>
      <c r="D2221" s="114"/>
      <c r="E2221" s="114"/>
      <c r="F2221" s="54"/>
      <c r="G2221" s="54"/>
      <c r="I2221" s="54"/>
      <c r="K2221" s="54"/>
      <c r="M2221" s="114"/>
      <c r="N2221" s="1"/>
      <c r="O2221" s="1"/>
      <c r="P2221" s="51"/>
    </row>
    <row r="2222">
      <c r="A2222" s="54"/>
      <c r="B2222" s="71"/>
      <c r="C2222" s="51"/>
      <c r="D2222" s="114"/>
      <c r="E2222" s="114"/>
      <c r="F2222" s="54"/>
      <c r="G2222" s="54"/>
      <c r="I2222" s="54"/>
      <c r="K2222" s="54"/>
      <c r="M2222" s="114"/>
      <c r="N2222" s="1"/>
      <c r="O2222" s="1"/>
      <c r="P2222" s="51"/>
    </row>
    <row r="2223">
      <c r="A2223" s="54"/>
      <c r="B2223" s="71"/>
      <c r="C2223" s="51"/>
      <c r="D2223" s="114"/>
      <c r="E2223" s="114"/>
      <c r="F2223" s="54"/>
      <c r="G2223" s="54"/>
      <c r="I2223" s="54"/>
      <c r="K2223" s="54"/>
      <c r="M2223" s="114"/>
      <c r="N2223" s="1"/>
      <c r="O2223" s="1"/>
      <c r="P2223" s="51"/>
    </row>
    <row r="2224">
      <c r="A2224" s="54"/>
      <c r="B2224" s="71"/>
      <c r="C2224" s="51"/>
      <c r="D2224" s="114"/>
      <c r="E2224" s="114"/>
      <c r="F2224" s="54"/>
      <c r="G2224" s="54"/>
      <c r="I2224" s="54"/>
      <c r="K2224" s="54"/>
      <c r="M2224" s="114"/>
      <c r="N2224" s="1"/>
      <c r="O2224" s="1"/>
      <c r="P2224" s="51"/>
    </row>
    <row r="2225">
      <c r="A2225" s="54"/>
      <c r="B2225" s="71"/>
      <c r="C2225" s="51"/>
      <c r="D2225" s="114"/>
      <c r="E2225" s="114"/>
      <c r="F2225" s="54"/>
      <c r="G2225" s="54"/>
      <c r="I2225" s="54"/>
      <c r="K2225" s="54"/>
      <c r="M2225" s="114"/>
      <c r="N2225" s="1"/>
      <c r="O2225" s="1"/>
      <c r="P2225" s="51"/>
    </row>
    <row r="2226">
      <c r="A2226" s="54"/>
      <c r="B2226" s="71"/>
      <c r="C2226" s="51"/>
      <c r="D2226" s="114"/>
      <c r="E2226" s="114"/>
      <c r="F2226" s="54"/>
      <c r="G2226" s="54"/>
      <c r="I2226" s="54"/>
      <c r="K2226" s="54"/>
      <c r="M2226" s="114"/>
      <c r="N2226" s="1"/>
      <c r="O2226" s="1"/>
      <c r="P2226" s="51"/>
    </row>
    <row r="2227">
      <c r="A2227" s="54"/>
      <c r="B2227" s="71"/>
      <c r="C2227" s="51"/>
      <c r="D2227" s="114"/>
      <c r="E2227" s="114"/>
      <c r="F2227" s="54"/>
      <c r="G2227" s="54"/>
      <c r="I2227" s="54"/>
      <c r="K2227" s="54"/>
      <c r="M2227" s="114"/>
      <c r="N2227" s="1"/>
      <c r="O2227" s="1"/>
      <c r="P2227" s="51"/>
    </row>
    <row r="2228">
      <c r="A2228" s="54"/>
      <c r="B2228" s="71"/>
      <c r="C2228" s="51"/>
      <c r="D2228" s="114"/>
      <c r="E2228" s="114"/>
      <c r="F2228" s="54"/>
      <c r="G2228" s="54"/>
      <c r="I2228" s="54"/>
      <c r="K2228" s="54"/>
      <c r="M2228" s="114"/>
      <c r="N2228" s="1"/>
      <c r="O2228" s="1"/>
      <c r="P2228" s="51"/>
    </row>
    <row r="2229">
      <c r="A2229" s="54"/>
      <c r="B2229" s="71"/>
      <c r="C2229" s="51"/>
      <c r="D2229" s="114"/>
      <c r="E2229" s="114"/>
      <c r="F2229" s="54"/>
      <c r="G2229" s="54"/>
      <c r="I2229" s="54"/>
      <c r="K2229" s="54"/>
      <c r="M2229" s="114"/>
      <c r="N2229" s="1"/>
      <c r="O2229" s="1"/>
      <c r="P2229" s="51"/>
    </row>
    <row r="2230">
      <c r="A2230" s="54"/>
      <c r="B2230" s="71"/>
      <c r="C2230" s="51"/>
      <c r="D2230" s="114"/>
      <c r="E2230" s="114"/>
      <c r="F2230" s="54"/>
      <c r="G2230" s="54"/>
      <c r="I2230" s="54"/>
      <c r="K2230" s="54"/>
      <c r="M2230" s="114"/>
      <c r="N2230" s="1"/>
      <c r="O2230" s="1"/>
      <c r="P2230" s="51"/>
    </row>
    <row r="2231">
      <c r="A2231" s="54"/>
      <c r="B2231" s="71"/>
      <c r="C2231" s="51"/>
      <c r="D2231" s="114"/>
      <c r="E2231" s="114"/>
      <c r="F2231" s="54"/>
      <c r="G2231" s="54"/>
      <c r="I2231" s="54"/>
      <c r="K2231" s="54"/>
      <c r="M2231" s="114"/>
      <c r="N2231" s="1"/>
      <c r="O2231" s="1"/>
      <c r="P2231" s="51"/>
    </row>
    <row r="2232">
      <c r="A2232" s="54"/>
      <c r="B2232" s="71"/>
      <c r="C2232" s="51"/>
      <c r="D2232" s="114"/>
      <c r="E2232" s="114"/>
      <c r="F2232" s="54"/>
      <c r="G2232" s="54"/>
      <c r="I2232" s="54"/>
      <c r="K2232" s="54"/>
      <c r="M2232" s="114"/>
      <c r="N2232" s="1"/>
      <c r="O2232" s="1"/>
      <c r="P2232" s="51"/>
    </row>
    <row r="2233">
      <c r="A2233" s="54"/>
      <c r="B2233" s="71"/>
      <c r="C2233" s="51"/>
      <c r="D2233" s="114"/>
      <c r="E2233" s="114"/>
      <c r="F2233" s="54"/>
      <c r="G2233" s="54"/>
      <c r="I2233" s="54"/>
      <c r="K2233" s="54"/>
      <c r="M2233" s="114"/>
      <c r="N2233" s="1"/>
      <c r="O2233" s="1"/>
      <c r="P2233" s="51"/>
    </row>
    <row r="2234">
      <c r="A2234" s="54"/>
      <c r="B2234" s="71"/>
      <c r="C2234" s="51"/>
      <c r="D2234" s="114"/>
      <c r="E2234" s="114"/>
      <c r="F2234" s="54"/>
      <c r="G2234" s="54"/>
      <c r="I2234" s="54"/>
      <c r="K2234" s="54"/>
      <c r="M2234" s="114"/>
      <c r="N2234" s="1"/>
      <c r="O2234" s="1"/>
      <c r="P2234" s="51"/>
    </row>
    <row r="2235">
      <c r="A2235" s="54"/>
      <c r="B2235" s="71"/>
      <c r="C2235" s="51"/>
      <c r="D2235" s="114"/>
      <c r="E2235" s="114"/>
      <c r="F2235" s="54"/>
      <c r="G2235" s="54"/>
      <c r="I2235" s="54"/>
      <c r="K2235" s="54"/>
      <c r="M2235" s="114"/>
      <c r="N2235" s="1"/>
      <c r="O2235" s="1"/>
      <c r="P2235" s="51"/>
    </row>
    <row r="2236">
      <c r="A2236" s="54"/>
      <c r="B2236" s="71"/>
      <c r="C2236" s="51"/>
      <c r="D2236" s="114"/>
      <c r="E2236" s="114"/>
      <c r="F2236" s="54"/>
      <c r="G2236" s="54"/>
      <c r="I2236" s="54"/>
      <c r="K2236" s="54"/>
      <c r="M2236" s="114"/>
      <c r="N2236" s="1"/>
      <c r="O2236" s="1"/>
      <c r="P2236" s="51"/>
    </row>
    <row r="2237">
      <c r="A2237" s="54"/>
      <c r="B2237" s="71"/>
      <c r="C2237" s="51"/>
      <c r="D2237" s="114"/>
      <c r="E2237" s="114"/>
      <c r="F2237" s="54"/>
      <c r="G2237" s="54"/>
      <c r="I2237" s="54"/>
      <c r="K2237" s="54"/>
      <c r="M2237" s="114"/>
      <c r="N2237" s="1"/>
      <c r="O2237" s="1"/>
      <c r="P2237" s="51"/>
    </row>
    <row r="2238">
      <c r="A2238" s="54"/>
      <c r="B2238" s="71"/>
      <c r="C2238" s="51"/>
      <c r="D2238" s="114"/>
      <c r="E2238" s="114"/>
      <c r="F2238" s="54"/>
      <c r="G2238" s="54"/>
      <c r="I2238" s="54"/>
      <c r="K2238" s="54"/>
      <c r="M2238" s="114"/>
      <c r="N2238" s="1"/>
      <c r="O2238" s="1"/>
      <c r="P2238" s="51"/>
    </row>
    <row r="2239">
      <c r="A2239" s="54"/>
      <c r="B2239" s="71"/>
      <c r="C2239" s="51"/>
      <c r="D2239" s="114"/>
      <c r="E2239" s="114"/>
      <c r="F2239" s="54"/>
      <c r="G2239" s="54"/>
      <c r="I2239" s="54"/>
      <c r="K2239" s="54"/>
      <c r="M2239" s="114"/>
      <c r="N2239" s="1"/>
      <c r="O2239" s="1"/>
      <c r="P2239" s="51"/>
    </row>
    <row r="2240">
      <c r="A2240" s="54"/>
      <c r="B2240" s="71"/>
      <c r="C2240" s="51"/>
      <c r="D2240" s="114"/>
      <c r="E2240" s="114"/>
      <c r="F2240" s="54"/>
      <c r="G2240" s="54"/>
      <c r="I2240" s="54"/>
      <c r="K2240" s="54"/>
      <c r="M2240" s="114"/>
      <c r="N2240" s="1"/>
      <c r="O2240" s="1"/>
      <c r="P2240" s="51"/>
    </row>
    <row r="2241">
      <c r="A2241" s="54"/>
      <c r="B2241" s="71"/>
      <c r="C2241" s="51"/>
      <c r="D2241" s="114"/>
      <c r="E2241" s="114"/>
      <c r="F2241" s="54"/>
      <c r="G2241" s="54"/>
      <c r="I2241" s="54"/>
      <c r="K2241" s="54"/>
      <c r="M2241" s="114"/>
      <c r="N2241" s="1"/>
      <c r="O2241" s="1"/>
      <c r="P2241" s="51"/>
    </row>
    <row r="2242">
      <c r="A2242" s="54"/>
      <c r="B2242" s="71"/>
      <c r="C2242" s="51"/>
      <c r="D2242" s="114"/>
      <c r="E2242" s="114"/>
      <c r="F2242" s="54"/>
      <c r="G2242" s="54"/>
      <c r="I2242" s="54"/>
      <c r="K2242" s="54"/>
      <c r="M2242" s="114"/>
      <c r="N2242" s="1"/>
      <c r="O2242" s="1"/>
      <c r="P2242" s="51"/>
    </row>
    <row r="2243">
      <c r="A2243" s="54"/>
      <c r="B2243" s="71"/>
      <c r="C2243" s="51"/>
      <c r="D2243" s="114"/>
      <c r="E2243" s="114"/>
      <c r="F2243" s="54"/>
      <c r="G2243" s="54"/>
      <c r="I2243" s="54"/>
      <c r="K2243" s="54"/>
      <c r="M2243" s="114"/>
      <c r="N2243" s="1"/>
      <c r="O2243" s="1"/>
      <c r="P2243" s="51"/>
    </row>
    <row r="2244">
      <c r="A2244" s="54"/>
      <c r="B2244" s="71"/>
      <c r="C2244" s="51"/>
      <c r="D2244" s="114"/>
      <c r="E2244" s="114"/>
      <c r="F2244" s="54"/>
      <c r="G2244" s="54"/>
      <c r="I2244" s="54"/>
      <c r="K2244" s="54"/>
      <c r="M2244" s="114"/>
      <c r="N2244" s="1"/>
      <c r="O2244" s="1"/>
      <c r="P2244" s="51"/>
    </row>
    <row r="2245">
      <c r="A2245" s="54"/>
      <c r="B2245" s="71"/>
      <c r="C2245" s="51"/>
      <c r="D2245" s="114"/>
      <c r="E2245" s="114"/>
      <c r="F2245" s="54"/>
      <c r="G2245" s="54"/>
      <c r="I2245" s="54"/>
      <c r="K2245" s="54"/>
      <c r="M2245" s="114"/>
      <c r="N2245" s="1"/>
      <c r="O2245" s="1"/>
      <c r="P2245" s="51"/>
    </row>
    <row r="2246">
      <c r="A2246" s="54"/>
      <c r="B2246" s="71"/>
      <c r="C2246" s="51"/>
      <c r="D2246" s="114"/>
      <c r="E2246" s="114"/>
      <c r="F2246" s="54"/>
      <c r="G2246" s="54"/>
      <c r="I2246" s="54"/>
      <c r="K2246" s="54"/>
      <c r="M2246" s="114"/>
      <c r="N2246" s="1"/>
      <c r="O2246" s="1"/>
      <c r="P2246" s="51"/>
    </row>
    <row r="2247">
      <c r="A2247" s="54"/>
      <c r="B2247" s="71"/>
      <c r="C2247" s="51"/>
      <c r="D2247" s="114"/>
      <c r="E2247" s="114"/>
      <c r="F2247" s="54"/>
      <c r="G2247" s="54"/>
      <c r="I2247" s="54"/>
      <c r="K2247" s="54"/>
      <c r="M2247" s="114"/>
      <c r="N2247" s="1"/>
      <c r="O2247" s="1"/>
      <c r="P2247" s="51"/>
    </row>
    <row r="2248">
      <c r="A2248" s="54"/>
      <c r="B2248" s="71"/>
      <c r="C2248" s="51"/>
      <c r="D2248" s="114"/>
      <c r="E2248" s="114"/>
      <c r="F2248" s="54"/>
      <c r="G2248" s="54"/>
      <c r="I2248" s="54"/>
      <c r="K2248" s="54"/>
      <c r="M2248" s="114"/>
      <c r="N2248" s="1"/>
      <c r="O2248" s="1"/>
      <c r="P2248" s="51"/>
    </row>
    <row r="2249">
      <c r="A2249" s="54"/>
      <c r="B2249" s="71"/>
      <c r="C2249" s="51"/>
      <c r="D2249" s="114"/>
      <c r="E2249" s="114"/>
      <c r="F2249" s="54"/>
      <c r="G2249" s="54"/>
      <c r="I2249" s="54"/>
      <c r="K2249" s="54"/>
      <c r="M2249" s="114"/>
      <c r="N2249" s="1"/>
      <c r="O2249" s="1"/>
      <c r="P2249" s="51"/>
    </row>
    <row r="2250">
      <c r="A2250" s="54"/>
      <c r="B2250" s="71"/>
      <c r="C2250" s="51"/>
      <c r="D2250" s="114"/>
      <c r="E2250" s="114"/>
      <c r="F2250" s="54"/>
      <c r="G2250" s="54"/>
      <c r="I2250" s="54"/>
      <c r="K2250" s="54"/>
      <c r="M2250" s="114"/>
      <c r="N2250" s="1"/>
      <c r="O2250" s="1"/>
      <c r="P2250" s="51"/>
    </row>
    <row r="2251">
      <c r="A2251" s="54"/>
      <c r="B2251" s="71"/>
      <c r="C2251" s="51"/>
      <c r="D2251" s="114"/>
      <c r="E2251" s="114"/>
      <c r="F2251" s="54"/>
      <c r="G2251" s="54"/>
      <c r="I2251" s="54"/>
      <c r="K2251" s="54"/>
      <c r="M2251" s="114"/>
      <c r="N2251" s="1"/>
      <c r="O2251" s="1"/>
      <c r="P2251" s="51"/>
    </row>
    <row r="2252">
      <c r="A2252" s="54"/>
      <c r="B2252" s="71"/>
      <c r="C2252" s="51"/>
      <c r="D2252" s="114"/>
      <c r="E2252" s="114"/>
      <c r="F2252" s="54"/>
      <c r="G2252" s="54"/>
      <c r="I2252" s="54"/>
      <c r="K2252" s="54"/>
      <c r="M2252" s="114"/>
      <c r="N2252" s="1"/>
      <c r="O2252" s="1"/>
      <c r="P2252" s="51"/>
    </row>
    <row r="2253">
      <c r="A2253" s="54"/>
      <c r="B2253" s="71"/>
      <c r="C2253" s="51"/>
      <c r="D2253" s="114"/>
      <c r="E2253" s="114"/>
      <c r="F2253" s="54"/>
      <c r="G2253" s="54"/>
      <c r="I2253" s="54"/>
      <c r="K2253" s="54"/>
      <c r="M2253" s="114"/>
      <c r="N2253" s="1"/>
      <c r="O2253" s="1"/>
      <c r="P2253" s="51"/>
    </row>
    <row r="2254">
      <c r="A2254" s="54"/>
      <c r="B2254" s="71"/>
      <c r="C2254" s="51"/>
      <c r="D2254" s="114"/>
      <c r="E2254" s="114"/>
      <c r="F2254" s="54"/>
      <c r="G2254" s="54"/>
      <c r="I2254" s="54"/>
      <c r="K2254" s="54"/>
      <c r="M2254" s="114"/>
      <c r="N2254" s="1"/>
      <c r="O2254" s="1"/>
      <c r="P2254" s="51"/>
    </row>
    <row r="2255">
      <c r="A2255" s="54"/>
      <c r="B2255" s="71"/>
      <c r="C2255" s="51"/>
      <c r="D2255" s="114"/>
      <c r="E2255" s="114"/>
      <c r="F2255" s="54"/>
      <c r="G2255" s="54"/>
      <c r="I2255" s="54"/>
      <c r="K2255" s="54"/>
      <c r="M2255" s="114"/>
      <c r="N2255" s="1"/>
      <c r="O2255" s="1"/>
      <c r="P2255" s="51"/>
    </row>
    <row r="2256">
      <c r="A2256" s="54"/>
      <c r="B2256" s="71"/>
      <c r="C2256" s="51"/>
      <c r="D2256" s="114"/>
      <c r="E2256" s="114"/>
      <c r="F2256" s="54"/>
      <c r="G2256" s="54"/>
      <c r="I2256" s="54"/>
      <c r="K2256" s="54"/>
      <c r="M2256" s="114"/>
      <c r="N2256" s="1"/>
      <c r="O2256" s="1"/>
      <c r="P2256" s="51"/>
    </row>
    <row r="2257">
      <c r="A2257" s="54"/>
      <c r="B2257" s="71"/>
      <c r="C2257" s="51"/>
      <c r="D2257" s="114"/>
      <c r="E2257" s="114"/>
      <c r="F2257" s="54"/>
      <c r="G2257" s="54"/>
      <c r="I2257" s="54"/>
      <c r="K2257" s="54"/>
      <c r="M2257" s="114"/>
      <c r="N2257" s="1"/>
      <c r="O2257" s="1"/>
      <c r="P2257" s="51"/>
    </row>
    <row r="2258">
      <c r="A2258" s="54"/>
      <c r="B2258" s="71"/>
      <c r="C2258" s="51"/>
      <c r="D2258" s="114"/>
      <c r="E2258" s="114"/>
      <c r="F2258" s="54"/>
      <c r="G2258" s="54"/>
      <c r="I2258" s="54"/>
      <c r="K2258" s="54"/>
      <c r="M2258" s="114"/>
      <c r="N2258" s="1"/>
      <c r="O2258" s="1"/>
      <c r="P2258" s="51"/>
    </row>
    <row r="2259">
      <c r="A2259" s="54"/>
      <c r="B2259" s="71"/>
      <c r="C2259" s="51"/>
      <c r="D2259" s="114"/>
      <c r="E2259" s="114"/>
      <c r="F2259" s="54"/>
      <c r="G2259" s="54"/>
      <c r="I2259" s="54"/>
      <c r="K2259" s="54"/>
      <c r="M2259" s="114"/>
      <c r="N2259" s="1"/>
      <c r="O2259" s="1"/>
      <c r="P2259" s="51"/>
    </row>
    <row r="2260">
      <c r="A2260" s="54"/>
      <c r="B2260" s="71"/>
      <c r="C2260" s="51"/>
      <c r="D2260" s="114"/>
      <c r="E2260" s="114"/>
      <c r="F2260" s="54"/>
      <c r="G2260" s="54"/>
      <c r="I2260" s="54"/>
      <c r="K2260" s="54"/>
      <c r="M2260" s="114"/>
      <c r="N2260" s="1"/>
      <c r="O2260" s="1"/>
      <c r="P2260" s="51"/>
    </row>
    <row r="2261">
      <c r="A2261" s="54"/>
      <c r="B2261" s="71"/>
      <c r="C2261" s="51"/>
      <c r="D2261" s="114"/>
      <c r="E2261" s="114"/>
      <c r="F2261" s="54"/>
      <c r="G2261" s="54"/>
      <c r="I2261" s="54"/>
      <c r="K2261" s="54"/>
      <c r="M2261" s="114"/>
      <c r="N2261" s="1"/>
      <c r="O2261" s="1"/>
      <c r="P2261" s="51"/>
    </row>
    <row r="2262">
      <c r="A2262" s="54"/>
      <c r="B2262" s="71"/>
      <c r="C2262" s="51"/>
      <c r="D2262" s="114"/>
      <c r="E2262" s="114"/>
      <c r="F2262" s="54"/>
      <c r="G2262" s="54"/>
      <c r="I2262" s="54"/>
      <c r="K2262" s="54"/>
      <c r="M2262" s="114"/>
      <c r="N2262" s="1"/>
      <c r="O2262" s="1"/>
      <c r="P2262" s="51"/>
    </row>
    <row r="2263">
      <c r="A2263" s="54"/>
      <c r="B2263" s="71"/>
      <c r="C2263" s="51"/>
      <c r="D2263" s="114"/>
      <c r="E2263" s="114"/>
      <c r="F2263" s="54"/>
      <c r="G2263" s="54"/>
      <c r="I2263" s="54"/>
      <c r="K2263" s="54"/>
      <c r="M2263" s="114"/>
      <c r="N2263" s="1"/>
      <c r="O2263" s="1"/>
      <c r="P2263" s="51"/>
    </row>
    <row r="2264">
      <c r="A2264" s="54"/>
      <c r="B2264" s="71"/>
      <c r="C2264" s="51"/>
      <c r="D2264" s="114"/>
      <c r="E2264" s="114"/>
      <c r="F2264" s="54"/>
      <c r="G2264" s="54"/>
      <c r="I2264" s="54"/>
      <c r="K2264" s="54"/>
      <c r="M2264" s="114"/>
      <c r="N2264" s="1"/>
      <c r="O2264" s="1"/>
      <c r="P2264" s="51"/>
    </row>
    <row r="2265">
      <c r="A2265" s="54"/>
      <c r="B2265" s="71"/>
      <c r="C2265" s="51"/>
      <c r="D2265" s="114"/>
      <c r="E2265" s="114"/>
      <c r="F2265" s="54"/>
      <c r="G2265" s="54"/>
      <c r="I2265" s="54"/>
      <c r="K2265" s="54"/>
      <c r="M2265" s="114"/>
      <c r="N2265" s="1"/>
      <c r="O2265" s="1"/>
      <c r="P2265" s="51"/>
    </row>
    <row r="2266">
      <c r="A2266" s="54"/>
      <c r="B2266" s="71"/>
      <c r="C2266" s="51"/>
      <c r="D2266" s="114"/>
      <c r="E2266" s="114"/>
      <c r="F2266" s="54"/>
      <c r="G2266" s="54"/>
      <c r="I2266" s="54"/>
      <c r="K2266" s="54"/>
      <c r="M2266" s="114"/>
      <c r="N2266" s="1"/>
      <c r="O2266" s="1"/>
      <c r="P2266" s="51"/>
    </row>
    <row r="2267">
      <c r="A2267" s="54"/>
      <c r="B2267" s="71"/>
      <c r="C2267" s="51"/>
      <c r="D2267" s="114"/>
      <c r="E2267" s="114"/>
      <c r="F2267" s="54"/>
      <c r="G2267" s="54"/>
      <c r="I2267" s="54"/>
      <c r="K2267" s="54"/>
      <c r="M2267" s="114"/>
      <c r="N2267" s="1"/>
      <c r="O2267" s="1"/>
      <c r="P2267" s="51"/>
    </row>
    <row r="2268">
      <c r="A2268" s="54"/>
      <c r="B2268" s="71"/>
      <c r="C2268" s="51"/>
      <c r="D2268" s="114"/>
      <c r="E2268" s="114"/>
      <c r="F2268" s="54"/>
      <c r="G2268" s="54"/>
      <c r="I2268" s="54"/>
      <c r="K2268" s="54"/>
      <c r="M2268" s="114"/>
      <c r="N2268" s="1"/>
      <c r="O2268" s="1"/>
      <c r="P2268" s="51"/>
    </row>
    <row r="2269">
      <c r="A2269" s="54"/>
      <c r="B2269" s="71"/>
      <c r="C2269" s="51"/>
      <c r="D2269" s="114"/>
      <c r="E2269" s="114"/>
      <c r="F2269" s="54"/>
      <c r="G2269" s="54"/>
      <c r="I2269" s="54"/>
      <c r="K2269" s="54"/>
      <c r="M2269" s="114"/>
      <c r="N2269" s="1"/>
      <c r="O2269" s="1"/>
      <c r="P2269" s="51"/>
    </row>
    <row r="2270">
      <c r="A2270" s="54"/>
      <c r="B2270" s="71"/>
      <c r="C2270" s="51"/>
      <c r="D2270" s="114"/>
      <c r="E2270" s="114"/>
      <c r="F2270" s="54"/>
      <c r="G2270" s="54"/>
      <c r="I2270" s="54"/>
      <c r="K2270" s="54"/>
      <c r="M2270" s="114"/>
      <c r="N2270" s="1"/>
      <c r="O2270" s="1"/>
      <c r="P2270" s="51"/>
    </row>
    <row r="2271">
      <c r="A2271" s="54"/>
      <c r="B2271" s="71"/>
      <c r="C2271" s="51"/>
      <c r="D2271" s="114"/>
      <c r="E2271" s="114"/>
      <c r="F2271" s="54"/>
      <c r="G2271" s="54"/>
      <c r="I2271" s="54"/>
      <c r="K2271" s="54"/>
      <c r="M2271" s="114"/>
      <c r="N2271" s="1"/>
      <c r="O2271" s="1"/>
      <c r="P2271" s="51"/>
    </row>
    <row r="2272">
      <c r="A2272" s="54"/>
      <c r="B2272" s="71"/>
      <c r="C2272" s="51"/>
      <c r="D2272" s="114"/>
      <c r="E2272" s="114"/>
      <c r="F2272" s="54"/>
      <c r="G2272" s="54"/>
      <c r="I2272" s="54"/>
      <c r="K2272" s="54"/>
      <c r="M2272" s="114"/>
      <c r="N2272" s="1"/>
      <c r="O2272" s="1"/>
      <c r="P2272" s="51"/>
    </row>
    <row r="2273">
      <c r="A2273" s="54"/>
      <c r="B2273" s="71"/>
      <c r="C2273" s="51"/>
      <c r="D2273" s="114"/>
      <c r="E2273" s="114"/>
      <c r="F2273" s="54"/>
      <c r="G2273" s="54"/>
      <c r="I2273" s="54"/>
      <c r="K2273" s="54"/>
      <c r="M2273" s="114"/>
      <c r="N2273" s="1"/>
      <c r="O2273" s="1"/>
      <c r="P2273" s="51"/>
    </row>
    <row r="2274">
      <c r="A2274" s="54"/>
      <c r="B2274" s="71"/>
      <c r="C2274" s="51"/>
      <c r="D2274" s="114"/>
      <c r="E2274" s="114"/>
      <c r="F2274" s="54"/>
      <c r="G2274" s="54"/>
      <c r="I2274" s="54"/>
      <c r="K2274" s="54"/>
      <c r="M2274" s="114"/>
      <c r="N2274" s="1"/>
      <c r="O2274" s="1"/>
      <c r="P2274" s="51"/>
    </row>
    <row r="2275">
      <c r="A2275" s="54"/>
      <c r="B2275" s="71"/>
      <c r="C2275" s="51"/>
      <c r="D2275" s="114"/>
      <c r="E2275" s="114"/>
      <c r="F2275" s="54"/>
      <c r="G2275" s="54"/>
      <c r="I2275" s="54"/>
      <c r="K2275" s="54"/>
      <c r="M2275" s="114"/>
      <c r="N2275" s="1"/>
      <c r="O2275" s="1"/>
      <c r="P2275" s="51"/>
    </row>
    <row r="2276">
      <c r="A2276" s="54"/>
      <c r="B2276" s="71"/>
      <c r="C2276" s="51"/>
      <c r="D2276" s="114"/>
      <c r="E2276" s="114"/>
      <c r="F2276" s="54"/>
      <c r="G2276" s="54"/>
      <c r="I2276" s="54"/>
      <c r="K2276" s="54"/>
      <c r="M2276" s="114"/>
      <c r="N2276" s="1"/>
      <c r="O2276" s="1"/>
      <c r="P2276" s="51"/>
    </row>
    <row r="2277">
      <c r="A2277" s="54"/>
      <c r="B2277" s="71"/>
      <c r="C2277" s="51"/>
      <c r="D2277" s="114"/>
      <c r="E2277" s="114"/>
      <c r="F2277" s="54"/>
      <c r="G2277" s="54"/>
      <c r="I2277" s="54"/>
      <c r="K2277" s="54"/>
      <c r="M2277" s="114"/>
      <c r="N2277" s="1"/>
      <c r="O2277" s="1"/>
      <c r="P2277" s="51"/>
    </row>
    <row r="2278">
      <c r="A2278" s="54"/>
      <c r="B2278" s="71"/>
      <c r="C2278" s="51"/>
      <c r="D2278" s="114"/>
      <c r="E2278" s="114"/>
      <c r="F2278" s="54"/>
      <c r="G2278" s="54"/>
      <c r="I2278" s="54"/>
      <c r="K2278" s="54"/>
      <c r="M2278" s="114"/>
      <c r="N2278" s="1"/>
      <c r="O2278" s="1"/>
      <c r="P2278" s="51"/>
    </row>
    <row r="2279">
      <c r="A2279" s="54"/>
      <c r="B2279" s="71"/>
      <c r="C2279" s="51"/>
      <c r="D2279" s="114"/>
      <c r="E2279" s="114"/>
      <c r="F2279" s="54"/>
      <c r="G2279" s="54"/>
      <c r="I2279" s="54"/>
      <c r="K2279" s="54"/>
      <c r="M2279" s="114"/>
      <c r="N2279" s="1"/>
      <c r="O2279" s="1"/>
      <c r="P2279" s="51"/>
    </row>
    <row r="2280">
      <c r="A2280" s="54"/>
      <c r="B2280" s="71"/>
      <c r="C2280" s="51"/>
      <c r="D2280" s="114"/>
      <c r="E2280" s="114"/>
      <c r="F2280" s="54"/>
      <c r="G2280" s="54"/>
      <c r="I2280" s="54"/>
      <c r="K2280" s="54"/>
      <c r="M2280" s="114"/>
      <c r="N2280" s="1"/>
      <c r="O2280" s="1"/>
      <c r="P2280" s="51"/>
    </row>
    <row r="2281">
      <c r="A2281" s="54"/>
      <c r="B2281" s="71"/>
      <c r="C2281" s="51"/>
      <c r="D2281" s="114"/>
      <c r="E2281" s="114"/>
      <c r="F2281" s="54"/>
      <c r="G2281" s="54"/>
      <c r="I2281" s="54"/>
      <c r="K2281" s="54"/>
      <c r="M2281" s="114"/>
      <c r="N2281" s="1"/>
      <c r="O2281" s="1"/>
      <c r="P2281" s="51"/>
    </row>
    <row r="2282">
      <c r="A2282" s="54"/>
      <c r="B2282" s="71"/>
      <c r="C2282" s="51"/>
      <c r="D2282" s="114"/>
      <c r="E2282" s="114"/>
      <c r="F2282" s="54"/>
      <c r="G2282" s="54"/>
      <c r="I2282" s="54"/>
      <c r="K2282" s="54"/>
      <c r="M2282" s="114"/>
      <c r="N2282" s="1"/>
      <c r="O2282" s="1"/>
      <c r="P2282" s="51"/>
    </row>
    <row r="2283">
      <c r="A2283" s="54"/>
      <c r="B2283" s="71"/>
      <c r="C2283" s="51"/>
      <c r="D2283" s="114"/>
      <c r="E2283" s="114"/>
      <c r="F2283" s="54"/>
      <c r="G2283" s="54"/>
      <c r="I2283" s="54"/>
      <c r="K2283" s="54"/>
      <c r="M2283" s="114"/>
      <c r="N2283" s="1"/>
      <c r="O2283" s="1"/>
      <c r="P2283" s="51"/>
    </row>
    <row r="2284">
      <c r="A2284" s="54"/>
      <c r="B2284" s="71"/>
      <c r="C2284" s="51"/>
      <c r="D2284" s="114"/>
      <c r="E2284" s="114"/>
      <c r="F2284" s="54"/>
      <c r="G2284" s="54"/>
      <c r="I2284" s="54"/>
      <c r="K2284" s="54"/>
      <c r="M2284" s="114"/>
      <c r="N2284" s="1"/>
      <c r="O2284" s="1"/>
      <c r="P2284" s="51"/>
    </row>
    <row r="2285">
      <c r="A2285" s="54"/>
      <c r="B2285" s="71"/>
      <c r="C2285" s="51"/>
      <c r="D2285" s="114"/>
      <c r="E2285" s="114"/>
      <c r="F2285" s="54"/>
      <c r="G2285" s="54"/>
      <c r="I2285" s="54"/>
      <c r="K2285" s="54"/>
      <c r="M2285" s="114"/>
      <c r="N2285" s="1"/>
      <c r="O2285" s="1"/>
      <c r="P2285" s="51"/>
    </row>
    <row r="2286">
      <c r="A2286" s="54"/>
      <c r="B2286" s="71"/>
      <c r="C2286" s="51"/>
      <c r="D2286" s="114"/>
      <c r="E2286" s="114"/>
      <c r="F2286" s="54"/>
      <c r="G2286" s="54"/>
      <c r="I2286" s="54"/>
      <c r="K2286" s="54"/>
      <c r="M2286" s="114"/>
      <c r="N2286" s="1"/>
      <c r="O2286" s="1"/>
      <c r="P2286" s="51"/>
    </row>
    <row r="2287">
      <c r="A2287" s="54"/>
      <c r="B2287" s="71"/>
      <c r="C2287" s="51"/>
      <c r="D2287" s="114"/>
      <c r="E2287" s="114"/>
      <c r="F2287" s="54"/>
      <c r="G2287" s="54"/>
      <c r="I2287" s="54"/>
      <c r="K2287" s="54"/>
      <c r="M2287" s="114"/>
      <c r="N2287" s="1"/>
      <c r="O2287" s="1"/>
      <c r="P2287" s="51"/>
    </row>
    <row r="2288">
      <c r="A2288" s="54"/>
      <c r="B2288" s="71"/>
      <c r="C2288" s="51"/>
      <c r="D2288" s="114"/>
      <c r="E2288" s="114"/>
      <c r="F2288" s="54"/>
      <c r="G2288" s="54"/>
      <c r="I2288" s="54"/>
      <c r="K2288" s="54"/>
      <c r="M2288" s="114"/>
      <c r="N2288" s="1"/>
      <c r="O2288" s="1"/>
      <c r="P2288" s="51"/>
    </row>
    <row r="2289">
      <c r="A2289" s="54"/>
      <c r="B2289" s="71"/>
      <c r="C2289" s="51"/>
      <c r="D2289" s="114"/>
      <c r="E2289" s="114"/>
      <c r="F2289" s="54"/>
      <c r="G2289" s="54"/>
      <c r="I2289" s="54"/>
      <c r="K2289" s="54"/>
      <c r="M2289" s="114"/>
      <c r="N2289" s="1"/>
      <c r="O2289" s="1"/>
      <c r="P2289" s="51"/>
    </row>
    <row r="2290">
      <c r="A2290" s="54"/>
      <c r="B2290" s="71"/>
      <c r="C2290" s="51"/>
      <c r="D2290" s="114"/>
      <c r="E2290" s="114"/>
      <c r="F2290" s="54"/>
      <c r="G2290" s="54"/>
      <c r="I2290" s="54"/>
      <c r="K2290" s="54"/>
      <c r="M2290" s="114"/>
      <c r="N2290" s="1"/>
      <c r="O2290" s="1"/>
      <c r="P2290" s="51"/>
    </row>
    <row r="2291">
      <c r="A2291" s="54"/>
      <c r="B2291" s="71"/>
      <c r="C2291" s="51"/>
      <c r="D2291" s="114"/>
      <c r="E2291" s="114"/>
      <c r="F2291" s="54"/>
      <c r="G2291" s="54"/>
      <c r="I2291" s="54"/>
      <c r="K2291" s="54"/>
      <c r="M2291" s="114"/>
      <c r="N2291" s="1"/>
      <c r="O2291" s="1"/>
      <c r="P2291" s="51"/>
    </row>
    <row r="2292">
      <c r="A2292" s="54"/>
      <c r="B2292" s="71"/>
      <c r="C2292" s="51"/>
      <c r="D2292" s="114"/>
      <c r="E2292" s="114"/>
      <c r="F2292" s="54"/>
      <c r="G2292" s="54"/>
      <c r="I2292" s="54"/>
      <c r="K2292" s="54"/>
      <c r="M2292" s="114"/>
      <c r="N2292" s="1"/>
      <c r="O2292" s="1"/>
      <c r="P2292" s="51"/>
    </row>
    <row r="2293">
      <c r="A2293" s="54"/>
      <c r="B2293" s="71"/>
      <c r="C2293" s="51"/>
      <c r="D2293" s="114"/>
      <c r="E2293" s="114"/>
      <c r="F2293" s="54"/>
      <c r="G2293" s="54"/>
      <c r="I2293" s="54"/>
      <c r="K2293" s="54"/>
      <c r="M2293" s="114"/>
      <c r="N2293" s="1"/>
      <c r="O2293" s="1"/>
      <c r="P2293" s="51"/>
    </row>
    <row r="2294">
      <c r="A2294" s="54"/>
      <c r="B2294" s="71"/>
      <c r="C2294" s="51"/>
      <c r="D2294" s="114"/>
      <c r="E2294" s="114"/>
      <c r="F2294" s="54"/>
      <c r="G2294" s="54"/>
      <c r="I2294" s="54"/>
      <c r="K2294" s="54"/>
      <c r="M2294" s="114"/>
      <c r="N2294" s="1"/>
      <c r="O2294" s="1"/>
      <c r="P2294" s="51"/>
    </row>
    <row r="2295">
      <c r="A2295" s="54"/>
      <c r="B2295" s="71"/>
      <c r="C2295" s="51"/>
      <c r="D2295" s="114"/>
      <c r="E2295" s="114"/>
      <c r="F2295" s="54"/>
      <c r="G2295" s="54"/>
      <c r="I2295" s="54"/>
      <c r="K2295" s="54"/>
      <c r="M2295" s="114"/>
      <c r="N2295" s="1"/>
      <c r="O2295" s="1"/>
      <c r="P2295" s="51"/>
    </row>
    <row r="2296">
      <c r="A2296" s="54"/>
      <c r="B2296" s="71"/>
      <c r="C2296" s="51"/>
      <c r="D2296" s="114"/>
      <c r="E2296" s="114"/>
      <c r="F2296" s="54"/>
      <c r="G2296" s="54"/>
      <c r="I2296" s="54"/>
      <c r="K2296" s="54"/>
      <c r="M2296" s="114"/>
      <c r="N2296" s="1"/>
      <c r="O2296" s="1"/>
      <c r="P2296" s="51"/>
    </row>
    <row r="2297">
      <c r="A2297" s="54"/>
      <c r="B2297" s="71"/>
      <c r="C2297" s="51"/>
      <c r="D2297" s="114"/>
      <c r="E2297" s="114"/>
      <c r="F2297" s="54"/>
      <c r="G2297" s="54"/>
      <c r="I2297" s="54"/>
      <c r="K2297" s="54"/>
      <c r="M2297" s="114"/>
      <c r="N2297" s="1"/>
      <c r="O2297" s="1"/>
      <c r="P2297" s="51"/>
    </row>
    <row r="2298">
      <c r="A2298" s="54"/>
      <c r="B2298" s="71"/>
      <c r="C2298" s="51"/>
      <c r="D2298" s="114"/>
      <c r="E2298" s="114"/>
      <c r="F2298" s="54"/>
      <c r="G2298" s="54"/>
      <c r="I2298" s="54"/>
      <c r="K2298" s="54"/>
      <c r="M2298" s="114"/>
      <c r="N2298" s="1"/>
      <c r="O2298" s="1"/>
      <c r="P2298" s="51"/>
    </row>
    <row r="2299">
      <c r="A2299" s="54"/>
      <c r="B2299" s="71"/>
      <c r="C2299" s="51"/>
      <c r="D2299" s="114"/>
      <c r="E2299" s="114"/>
      <c r="F2299" s="54"/>
      <c r="G2299" s="54"/>
      <c r="I2299" s="54"/>
      <c r="K2299" s="54"/>
      <c r="M2299" s="114"/>
      <c r="N2299" s="1"/>
      <c r="O2299" s="1"/>
      <c r="P2299" s="51"/>
    </row>
    <row r="2300">
      <c r="A2300" s="54"/>
      <c r="B2300" s="71"/>
      <c r="C2300" s="51"/>
      <c r="D2300" s="114"/>
      <c r="E2300" s="114"/>
      <c r="F2300" s="54"/>
      <c r="G2300" s="54"/>
      <c r="I2300" s="54"/>
      <c r="K2300" s="54"/>
      <c r="M2300" s="114"/>
      <c r="N2300" s="1"/>
      <c r="O2300" s="1"/>
      <c r="P2300" s="51"/>
    </row>
    <row r="2301">
      <c r="A2301" s="54"/>
      <c r="B2301" s="71"/>
      <c r="C2301" s="51"/>
      <c r="D2301" s="114"/>
      <c r="E2301" s="114"/>
      <c r="F2301" s="54"/>
      <c r="G2301" s="54"/>
      <c r="I2301" s="54"/>
      <c r="K2301" s="54"/>
      <c r="M2301" s="114"/>
      <c r="N2301" s="1"/>
      <c r="O2301" s="1"/>
      <c r="P2301" s="51"/>
    </row>
    <row r="2302">
      <c r="A2302" s="54"/>
      <c r="B2302" s="71"/>
      <c r="C2302" s="51"/>
      <c r="D2302" s="114"/>
      <c r="E2302" s="114"/>
      <c r="F2302" s="54"/>
      <c r="G2302" s="54"/>
      <c r="I2302" s="54"/>
      <c r="K2302" s="54"/>
      <c r="M2302" s="114"/>
      <c r="N2302" s="1"/>
      <c r="O2302" s="1"/>
      <c r="P2302" s="51"/>
    </row>
    <row r="2303">
      <c r="A2303" s="54"/>
      <c r="B2303" s="71"/>
      <c r="C2303" s="51"/>
      <c r="D2303" s="114"/>
      <c r="E2303" s="114"/>
      <c r="F2303" s="54"/>
      <c r="G2303" s="54"/>
      <c r="I2303" s="54"/>
      <c r="K2303" s="54"/>
      <c r="M2303" s="114"/>
      <c r="N2303" s="1"/>
      <c r="O2303" s="1"/>
      <c r="P2303" s="51"/>
    </row>
    <row r="2304">
      <c r="A2304" s="54"/>
      <c r="B2304" s="71"/>
      <c r="C2304" s="51"/>
      <c r="D2304" s="114"/>
      <c r="E2304" s="114"/>
      <c r="F2304" s="54"/>
      <c r="G2304" s="54"/>
      <c r="I2304" s="54"/>
      <c r="K2304" s="54"/>
      <c r="M2304" s="114"/>
      <c r="N2304" s="1"/>
      <c r="O2304" s="1"/>
      <c r="P2304" s="51"/>
    </row>
    <row r="2305">
      <c r="A2305" s="54"/>
      <c r="B2305" s="71"/>
      <c r="C2305" s="51"/>
      <c r="D2305" s="114"/>
      <c r="E2305" s="114"/>
      <c r="F2305" s="54"/>
      <c r="G2305" s="54"/>
      <c r="I2305" s="54"/>
      <c r="K2305" s="54"/>
      <c r="M2305" s="114"/>
      <c r="N2305" s="1"/>
      <c r="O2305" s="1"/>
      <c r="P2305" s="51"/>
    </row>
    <row r="2306">
      <c r="A2306" s="54"/>
      <c r="B2306" s="71"/>
      <c r="C2306" s="51"/>
      <c r="D2306" s="114"/>
      <c r="E2306" s="114"/>
      <c r="F2306" s="54"/>
      <c r="G2306" s="54"/>
      <c r="I2306" s="54"/>
      <c r="K2306" s="54"/>
      <c r="M2306" s="114"/>
      <c r="N2306" s="1"/>
      <c r="O2306" s="1"/>
      <c r="P2306" s="51"/>
    </row>
    <row r="2307">
      <c r="A2307" s="54"/>
      <c r="B2307" s="71"/>
      <c r="C2307" s="51"/>
      <c r="D2307" s="114"/>
      <c r="E2307" s="114"/>
      <c r="F2307" s="54"/>
      <c r="G2307" s="54"/>
      <c r="I2307" s="54"/>
      <c r="K2307" s="54"/>
      <c r="M2307" s="114"/>
      <c r="N2307" s="1"/>
      <c r="O2307" s="1"/>
      <c r="P2307" s="51"/>
    </row>
    <row r="2308">
      <c r="A2308" s="54"/>
      <c r="B2308" s="71"/>
      <c r="C2308" s="51"/>
      <c r="D2308" s="114"/>
      <c r="E2308" s="114"/>
      <c r="F2308" s="54"/>
      <c r="G2308" s="54"/>
      <c r="I2308" s="54"/>
      <c r="K2308" s="54"/>
      <c r="M2308" s="114"/>
      <c r="N2308" s="1"/>
      <c r="O2308" s="1"/>
      <c r="P2308" s="51"/>
    </row>
    <row r="2309">
      <c r="A2309" s="54"/>
      <c r="B2309" s="71"/>
      <c r="C2309" s="51"/>
      <c r="D2309" s="114"/>
      <c r="E2309" s="114"/>
      <c r="F2309" s="54"/>
      <c r="G2309" s="54"/>
      <c r="I2309" s="54"/>
      <c r="K2309" s="54"/>
      <c r="M2309" s="114"/>
      <c r="N2309" s="1"/>
      <c r="O2309" s="1"/>
      <c r="P2309" s="51"/>
    </row>
    <row r="2310">
      <c r="A2310" s="54"/>
      <c r="B2310" s="71"/>
      <c r="C2310" s="51"/>
      <c r="D2310" s="114"/>
      <c r="E2310" s="114"/>
      <c r="F2310" s="54"/>
      <c r="G2310" s="54"/>
      <c r="I2310" s="54"/>
      <c r="K2310" s="54"/>
      <c r="M2310" s="114"/>
      <c r="N2310" s="1"/>
      <c r="O2310" s="1"/>
      <c r="P2310" s="51"/>
    </row>
    <row r="2311">
      <c r="A2311" s="54"/>
      <c r="B2311" s="71"/>
      <c r="C2311" s="51"/>
      <c r="D2311" s="114"/>
      <c r="E2311" s="114"/>
      <c r="F2311" s="54"/>
      <c r="G2311" s="54"/>
      <c r="I2311" s="54"/>
      <c r="K2311" s="54"/>
      <c r="M2311" s="114"/>
      <c r="N2311" s="1"/>
      <c r="O2311" s="1"/>
      <c r="P2311" s="51"/>
    </row>
    <row r="2312">
      <c r="A2312" s="54"/>
      <c r="B2312" s="71"/>
      <c r="C2312" s="51"/>
      <c r="D2312" s="114"/>
      <c r="E2312" s="114"/>
      <c r="F2312" s="54"/>
      <c r="G2312" s="54"/>
      <c r="I2312" s="54"/>
      <c r="K2312" s="54"/>
      <c r="M2312" s="114"/>
      <c r="N2312" s="1"/>
      <c r="O2312" s="1"/>
      <c r="P2312" s="51"/>
    </row>
    <row r="2313">
      <c r="A2313" s="54"/>
      <c r="B2313" s="71"/>
      <c r="C2313" s="51"/>
      <c r="D2313" s="114"/>
      <c r="E2313" s="114"/>
      <c r="F2313" s="54"/>
      <c r="G2313" s="54"/>
      <c r="I2313" s="54"/>
      <c r="K2313" s="54"/>
      <c r="M2313" s="114"/>
      <c r="N2313" s="1"/>
      <c r="O2313" s="1"/>
      <c r="P2313" s="51"/>
    </row>
    <row r="2314">
      <c r="A2314" s="54"/>
      <c r="B2314" s="71"/>
      <c r="C2314" s="51"/>
      <c r="D2314" s="114"/>
      <c r="E2314" s="114"/>
      <c r="F2314" s="54"/>
      <c r="G2314" s="54"/>
      <c r="I2314" s="54"/>
      <c r="K2314" s="54"/>
      <c r="M2314" s="114"/>
      <c r="N2314" s="1"/>
      <c r="O2314" s="1"/>
      <c r="P2314" s="51"/>
    </row>
    <row r="2315">
      <c r="A2315" s="54"/>
      <c r="B2315" s="71"/>
      <c r="C2315" s="51"/>
      <c r="D2315" s="114"/>
      <c r="E2315" s="114"/>
      <c r="F2315" s="54"/>
      <c r="G2315" s="54"/>
      <c r="I2315" s="54"/>
      <c r="K2315" s="54"/>
      <c r="M2315" s="114"/>
      <c r="N2315" s="1"/>
      <c r="O2315" s="1"/>
      <c r="P2315" s="51"/>
    </row>
    <row r="2316">
      <c r="A2316" s="54"/>
      <c r="B2316" s="71"/>
      <c r="C2316" s="51"/>
      <c r="D2316" s="114"/>
      <c r="E2316" s="114"/>
      <c r="F2316" s="54"/>
      <c r="G2316" s="54"/>
      <c r="I2316" s="54"/>
      <c r="K2316" s="54"/>
      <c r="M2316" s="114"/>
      <c r="N2316" s="1"/>
      <c r="O2316" s="1"/>
      <c r="P2316" s="51"/>
    </row>
    <row r="2317">
      <c r="A2317" s="54"/>
      <c r="B2317" s="71"/>
      <c r="C2317" s="51"/>
      <c r="D2317" s="114"/>
      <c r="E2317" s="114"/>
      <c r="F2317" s="54"/>
      <c r="G2317" s="54"/>
      <c r="I2317" s="54"/>
      <c r="K2317" s="54"/>
      <c r="M2317" s="114"/>
      <c r="N2317" s="1"/>
      <c r="O2317" s="1"/>
      <c r="P2317" s="51"/>
    </row>
    <row r="2318">
      <c r="A2318" s="54"/>
      <c r="B2318" s="71"/>
      <c r="C2318" s="51"/>
      <c r="D2318" s="114"/>
      <c r="E2318" s="114"/>
      <c r="F2318" s="54"/>
      <c r="G2318" s="54"/>
      <c r="I2318" s="54"/>
      <c r="K2318" s="54"/>
      <c r="M2318" s="114"/>
      <c r="N2318" s="1"/>
      <c r="O2318" s="1"/>
      <c r="P2318" s="51"/>
    </row>
    <row r="2319">
      <c r="A2319" s="54"/>
      <c r="B2319" s="71"/>
      <c r="C2319" s="51"/>
      <c r="D2319" s="114"/>
      <c r="E2319" s="114"/>
      <c r="F2319" s="54"/>
      <c r="G2319" s="54"/>
      <c r="I2319" s="54"/>
      <c r="K2319" s="54"/>
      <c r="M2319" s="114"/>
      <c r="N2319" s="1"/>
      <c r="O2319" s="1"/>
      <c r="P2319" s="51"/>
    </row>
    <row r="2320">
      <c r="A2320" s="54"/>
      <c r="B2320" s="71"/>
      <c r="C2320" s="51"/>
      <c r="D2320" s="114"/>
      <c r="E2320" s="114"/>
      <c r="F2320" s="54"/>
      <c r="G2320" s="54"/>
      <c r="I2320" s="54"/>
      <c r="K2320" s="54"/>
      <c r="M2320" s="114"/>
      <c r="N2320" s="1"/>
      <c r="O2320" s="1"/>
      <c r="P2320" s="51"/>
    </row>
    <row r="2321">
      <c r="A2321" s="54"/>
      <c r="B2321" s="71"/>
      <c r="C2321" s="51"/>
      <c r="D2321" s="114"/>
      <c r="E2321" s="114"/>
      <c r="F2321" s="54"/>
      <c r="G2321" s="54"/>
      <c r="I2321" s="54"/>
      <c r="K2321" s="54"/>
      <c r="M2321" s="114"/>
      <c r="N2321" s="1"/>
      <c r="O2321" s="1"/>
      <c r="P2321" s="51"/>
    </row>
    <row r="2322">
      <c r="A2322" s="54"/>
      <c r="B2322" s="71"/>
      <c r="C2322" s="51"/>
      <c r="D2322" s="114"/>
      <c r="E2322" s="114"/>
      <c r="F2322" s="54"/>
      <c r="G2322" s="54"/>
      <c r="I2322" s="54"/>
      <c r="K2322" s="54"/>
      <c r="M2322" s="114"/>
      <c r="N2322" s="1"/>
      <c r="O2322" s="1"/>
      <c r="P2322" s="51"/>
    </row>
    <row r="2323">
      <c r="A2323" s="54"/>
      <c r="B2323" s="71"/>
      <c r="C2323" s="51"/>
      <c r="D2323" s="114"/>
      <c r="E2323" s="114"/>
      <c r="F2323" s="54"/>
      <c r="G2323" s="54"/>
      <c r="I2323" s="54"/>
      <c r="K2323" s="54"/>
      <c r="M2323" s="114"/>
      <c r="N2323" s="1"/>
      <c r="O2323" s="1"/>
      <c r="P2323" s="51"/>
    </row>
    <row r="2324">
      <c r="A2324" s="54"/>
      <c r="B2324" s="71"/>
      <c r="C2324" s="51"/>
      <c r="D2324" s="114"/>
      <c r="E2324" s="114"/>
      <c r="F2324" s="54"/>
      <c r="G2324" s="54"/>
      <c r="I2324" s="54"/>
      <c r="K2324" s="54"/>
      <c r="M2324" s="114"/>
      <c r="N2324" s="1"/>
      <c r="O2324" s="1"/>
      <c r="P2324" s="51"/>
    </row>
    <row r="2325">
      <c r="A2325" s="54"/>
      <c r="B2325" s="71"/>
      <c r="C2325" s="51"/>
      <c r="D2325" s="114"/>
      <c r="E2325" s="114"/>
      <c r="F2325" s="54"/>
      <c r="G2325" s="54"/>
      <c r="I2325" s="54"/>
      <c r="K2325" s="54"/>
      <c r="M2325" s="114"/>
      <c r="N2325" s="1"/>
      <c r="O2325" s="1"/>
      <c r="P2325" s="51"/>
    </row>
    <row r="2326">
      <c r="A2326" s="54"/>
      <c r="B2326" s="71"/>
      <c r="C2326" s="51"/>
      <c r="D2326" s="114"/>
      <c r="E2326" s="114"/>
      <c r="F2326" s="54"/>
      <c r="G2326" s="54"/>
      <c r="I2326" s="54"/>
      <c r="K2326" s="54"/>
      <c r="M2326" s="114"/>
      <c r="N2326" s="1"/>
      <c r="O2326" s="1"/>
      <c r="P2326" s="51"/>
    </row>
    <row r="2327">
      <c r="A2327" s="54"/>
      <c r="B2327" s="71"/>
      <c r="C2327" s="51"/>
      <c r="D2327" s="114"/>
      <c r="E2327" s="114"/>
      <c r="F2327" s="54"/>
      <c r="G2327" s="54"/>
      <c r="I2327" s="54"/>
      <c r="K2327" s="54"/>
      <c r="M2327" s="114"/>
      <c r="N2327" s="1"/>
      <c r="O2327" s="1"/>
      <c r="P2327" s="51"/>
    </row>
    <row r="2328">
      <c r="A2328" s="54"/>
      <c r="B2328" s="71"/>
      <c r="C2328" s="51"/>
      <c r="D2328" s="114"/>
      <c r="E2328" s="114"/>
      <c r="F2328" s="54"/>
      <c r="G2328" s="54"/>
      <c r="I2328" s="54"/>
      <c r="K2328" s="54"/>
      <c r="M2328" s="114"/>
      <c r="N2328" s="1"/>
      <c r="O2328" s="1"/>
      <c r="P2328" s="51"/>
    </row>
    <row r="2329">
      <c r="A2329" s="54"/>
      <c r="B2329" s="71"/>
      <c r="C2329" s="51"/>
      <c r="D2329" s="114"/>
      <c r="E2329" s="114"/>
      <c r="F2329" s="54"/>
      <c r="G2329" s="54"/>
      <c r="I2329" s="54"/>
      <c r="K2329" s="54"/>
      <c r="M2329" s="114"/>
      <c r="N2329" s="1"/>
      <c r="O2329" s="1"/>
      <c r="P2329" s="51"/>
    </row>
    <row r="2330">
      <c r="A2330" s="54"/>
      <c r="B2330" s="71"/>
      <c r="C2330" s="51"/>
      <c r="D2330" s="114"/>
      <c r="E2330" s="114"/>
      <c r="F2330" s="54"/>
      <c r="G2330" s="54"/>
      <c r="I2330" s="54"/>
      <c r="K2330" s="54"/>
      <c r="M2330" s="114"/>
      <c r="N2330" s="1"/>
      <c r="O2330" s="1"/>
      <c r="P2330" s="51"/>
    </row>
    <row r="2331">
      <c r="A2331" s="54"/>
      <c r="B2331" s="71"/>
      <c r="C2331" s="51"/>
      <c r="D2331" s="114"/>
      <c r="E2331" s="114"/>
      <c r="F2331" s="54"/>
      <c r="G2331" s="54"/>
      <c r="I2331" s="54"/>
      <c r="K2331" s="54"/>
      <c r="M2331" s="114"/>
      <c r="N2331" s="1"/>
      <c r="O2331" s="1"/>
      <c r="P2331" s="51"/>
    </row>
    <row r="2332">
      <c r="A2332" s="54"/>
      <c r="B2332" s="71"/>
      <c r="C2332" s="51"/>
      <c r="D2332" s="114"/>
      <c r="E2332" s="114"/>
      <c r="F2332" s="54"/>
      <c r="G2332" s="54"/>
      <c r="I2332" s="54"/>
      <c r="K2332" s="54"/>
      <c r="M2332" s="114"/>
      <c r="N2332" s="1"/>
      <c r="O2332" s="1"/>
      <c r="P2332" s="51"/>
    </row>
    <row r="2333">
      <c r="A2333" s="54"/>
      <c r="B2333" s="71"/>
      <c r="C2333" s="51"/>
      <c r="D2333" s="114"/>
      <c r="E2333" s="114"/>
      <c r="F2333" s="54"/>
      <c r="G2333" s="54"/>
      <c r="I2333" s="54"/>
      <c r="K2333" s="54"/>
      <c r="M2333" s="114"/>
      <c r="N2333" s="1"/>
      <c r="O2333" s="1"/>
      <c r="P2333" s="51"/>
    </row>
    <row r="2334">
      <c r="A2334" s="54"/>
      <c r="B2334" s="71"/>
      <c r="C2334" s="51"/>
      <c r="D2334" s="114"/>
      <c r="E2334" s="114"/>
      <c r="F2334" s="54"/>
      <c r="G2334" s="54"/>
      <c r="I2334" s="54"/>
      <c r="K2334" s="54"/>
      <c r="M2334" s="114"/>
      <c r="N2334" s="1"/>
      <c r="O2334" s="1"/>
      <c r="P2334" s="51"/>
    </row>
    <row r="2335">
      <c r="A2335" s="54"/>
      <c r="B2335" s="71"/>
      <c r="C2335" s="51"/>
      <c r="D2335" s="114"/>
      <c r="E2335" s="114"/>
      <c r="F2335" s="54"/>
      <c r="G2335" s="54"/>
      <c r="I2335" s="54"/>
      <c r="K2335" s="54"/>
      <c r="M2335" s="114"/>
      <c r="N2335" s="1"/>
      <c r="O2335" s="1"/>
      <c r="P2335" s="51"/>
    </row>
    <row r="2336">
      <c r="A2336" s="54"/>
      <c r="B2336" s="71"/>
      <c r="C2336" s="51"/>
      <c r="D2336" s="114"/>
      <c r="E2336" s="114"/>
      <c r="F2336" s="54"/>
      <c r="G2336" s="54"/>
      <c r="I2336" s="54"/>
      <c r="K2336" s="54"/>
      <c r="M2336" s="114"/>
      <c r="N2336" s="1"/>
      <c r="O2336" s="1"/>
      <c r="P2336" s="51"/>
    </row>
    <row r="2337">
      <c r="A2337" s="54"/>
      <c r="B2337" s="71"/>
      <c r="C2337" s="51"/>
      <c r="D2337" s="114"/>
      <c r="E2337" s="114"/>
      <c r="F2337" s="54"/>
      <c r="G2337" s="54"/>
      <c r="I2337" s="54"/>
      <c r="K2337" s="54"/>
      <c r="M2337" s="114"/>
      <c r="N2337" s="1"/>
      <c r="O2337" s="1"/>
      <c r="P2337" s="51"/>
    </row>
    <row r="2338">
      <c r="A2338" s="54"/>
      <c r="B2338" s="71"/>
      <c r="C2338" s="51"/>
      <c r="D2338" s="114"/>
      <c r="E2338" s="114"/>
      <c r="F2338" s="54"/>
      <c r="G2338" s="54"/>
      <c r="I2338" s="54"/>
      <c r="K2338" s="54"/>
      <c r="M2338" s="114"/>
      <c r="N2338" s="1"/>
      <c r="O2338" s="1"/>
      <c r="P2338" s="51"/>
    </row>
    <row r="2339">
      <c r="A2339" s="54"/>
      <c r="B2339" s="71"/>
      <c r="C2339" s="51"/>
      <c r="D2339" s="114"/>
      <c r="E2339" s="114"/>
      <c r="F2339" s="54"/>
      <c r="G2339" s="54"/>
      <c r="I2339" s="54"/>
      <c r="K2339" s="54"/>
      <c r="M2339" s="114"/>
      <c r="N2339" s="1"/>
      <c r="O2339" s="1"/>
      <c r="P2339" s="51"/>
    </row>
    <row r="2340">
      <c r="A2340" s="54"/>
      <c r="B2340" s="71"/>
      <c r="C2340" s="51"/>
      <c r="D2340" s="114"/>
      <c r="E2340" s="114"/>
      <c r="F2340" s="54"/>
      <c r="G2340" s="54"/>
      <c r="I2340" s="54"/>
      <c r="K2340" s="54"/>
      <c r="M2340" s="114"/>
      <c r="N2340" s="1"/>
      <c r="O2340" s="1"/>
      <c r="P2340" s="51"/>
    </row>
    <row r="2341">
      <c r="A2341" s="54"/>
      <c r="B2341" s="71"/>
      <c r="C2341" s="51"/>
      <c r="D2341" s="114"/>
      <c r="E2341" s="114"/>
      <c r="F2341" s="54"/>
      <c r="G2341" s="54"/>
      <c r="I2341" s="54"/>
      <c r="K2341" s="54"/>
      <c r="M2341" s="114"/>
      <c r="N2341" s="1"/>
      <c r="O2341" s="1"/>
      <c r="P2341" s="51"/>
    </row>
    <row r="2342">
      <c r="A2342" s="54"/>
      <c r="B2342" s="71"/>
      <c r="C2342" s="51"/>
      <c r="D2342" s="114"/>
      <c r="E2342" s="114"/>
      <c r="F2342" s="54"/>
      <c r="G2342" s="54"/>
      <c r="I2342" s="54"/>
      <c r="K2342" s="54"/>
      <c r="M2342" s="114"/>
      <c r="N2342" s="1"/>
      <c r="O2342" s="1"/>
      <c r="P2342" s="51"/>
    </row>
    <row r="2343">
      <c r="A2343" s="54"/>
      <c r="B2343" s="71"/>
      <c r="C2343" s="51"/>
      <c r="D2343" s="114"/>
      <c r="E2343" s="114"/>
      <c r="F2343" s="54"/>
      <c r="G2343" s="54"/>
      <c r="I2343" s="54"/>
      <c r="K2343" s="54"/>
      <c r="M2343" s="114"/>
      <c r="N2343" s="1"/>
      <c r="O2343" s="1"/>
      <c r="P2343" s="51"/>
    </row>
    <row r="2344">
      <c r="A2344" s="54"/>
      <c r="B2344" s="71"/>
      <c r="C2344" s="51"/>
      <c r="D2344" s="114"/>
      <c r="E2344" s="114"/>
      <c r="F2344" s="54"/>
      <c r="G2344" s="54"/>
      <c r="I2344" s="54"/>
      <c r="K2344" s="54"/>
      <c r="M2344" s="114"/>
      <c r="N2344" s="1"/>
      <c r="O2344" s="1"/>
      <c r="P2344" s="51"/>
    </row>
    <row r="2345">
      <c r="A2345" s="54"/>
      <c r="B2345" s="71"/>
      <c r="C2345" s="51"/>
      <c r="D2345" s="114"/>
      <c r="E2345" s="114"/>
      <c r="F2345" s="54"/>
      <c r="G2345" s="54"/>
      <c r="I2345" s="54"/>
      <c r="K2345" s="54"/>
      <c r="M2345" s="114"/>
      <c r="N2345" s="1"/>
      <c r="O2345" s="1"/>
      <c r="P2345" s="51"/>
    </row>
    <row r="2346">
      <c r="A2346" s="54"/>
      <c r="B2346" s="71"/>
      <c r="C2346" s="51"/>
      <c r="D2346" s="114"/>
      <c r="E2346" s="114"/>
      <c r="F2346" s="54"/>
      <c r="G2346" s="54"/>
      <c r="I2346" s="54"/>
      <c r="K2346" s="54"/>
      <c r="M2346" s="114"/>
      <c r="N2346" s="1"/>
      <c r="O2346" s="1"/>
      <c r="P2346" s="51"/>
    </row>
    <row r="2347">
      <c r="A2347" s="54"/>
      <c r="B2347" s="71"/>
      <c r="C2347" s="51"/>
      <c r="D2347" s="114"/>
      <c r="E2347" s="114"/>
      <c r="F2347" s="54"/>
      <c r="G2347" s="54"/>
      <c r="I2347" s="54"/>
      <c r="K2347" s="54"/>
      <c r="M2347" s="114"/>
      <c r="N2347" s="1"/>
      <c r="O2347" s="1"/>
      <c r="P2347" s="51"/>
    </row>
    <row r="2348">
      <c r="A2348" s="54"/>
      <c r="B2348" s="71"/>
      <c r="C2348" s="51"/>
      <c r="D2348" s="114"/>
      <c r="E2348" s="114"/>
      <c r="F2348" s="54"/>
      <c r="G2348" s="54"/>
      <c r="I2348" s="54"/>
      <c r="K2348" s="54"/>
      <c r="M2348" s="114"/>
      <c r="N2348" s="1"/>
      <c r="O2348" s="1"/>
      <c r="P2348" s="51"/>
    </row>
    <row r="2349">
      <c r="A2349" s="54"/>
      <c r="B2349" s="71"/>
      <c r="C2349" s="51"/>
      <c r="D2349" s="114"/>
      <c r="E2349" s="114"/>
      <c r="F2349" s="54"/>
      <c r="G2349" s="54"/>
      <c r="I2349" s="54"/>
      <c r="K2349" s="54"/>
      <c r="M2349" s="114"/>
      <c r="N2349" s="1"/>
      <c r="O2349" s="1"/>
      <c r="P2349" s="51"/>
    </row>
    <row r="2350">
      <c r="A2350" s="54"/>
      <c r="B2350" s="71"/>
      <c r="C2350" s="51"/>
      <c r="D2350" s="114"/>
      <c r="E2350" s="114"/>
      <c r="F2350" s="54"/>
      <c r="G2350" s="54"/>
      <c r="I2350" s="54"/>
      <c r="K2350" s="54"/>
      <c r="M2350" s="114"/>
      <c r="N2350" s="1"/>
      <c r="O2350" s="1"/>
      <c r="P2350" s="51"/>
    </row>
    <row r="2351">
      <c r="A2351" s="54"/>
      <c r="B2351" s="71"/>
      <c r="C2351" s="51"/>
      <c r="D2351" s="114"/>
      <c r="E2351" s="114"/>
      <c r="F2351" s="54"/>
      <c r="G2351" s="54"/>
      <c r="I2351" s="54"/>
      <c r="K2351" s="54"/>
      <c r="M2351" s="114"/>
      <c r="N2351" s="1"/>
      <c r="O2351" s="1"/>
      <c r="P2351" s="51"/>
    </row>
    <row r="2352">
      <c r="A2352" s="54"/>
      <c r="B2352" s="71"/>
      <c r="C2352" s="51"/>
      <c r="D2352" s="114"/>
      <c r="E2352" s="114"/>
      <c r="F2352" s="54"/>
      <c r="G2352" s="54"/>
      <c r="I2352" s="54"/>
      <c r="K2352" s="54"/>
      <c r="M2352" s="114"/>
      <c r="N2352" s="1"/>
      <c r="O2352" s="1"/>
      <c r="P2352" s="51"/>
    </row>
    <row r="2353">
      <c r="A2353" s="54"/>
      <c r="B2353" s="71"/>
      <c r="C2353" s="51"/>
      <c r="D2353" s="114"/>
      <c r="E2353" s="114"/>
      <c r="F2353" s="54"/>
      <c r="G2353" s="54"/>
      <c r="I2353" s="54"/>
      <c r="K2353" s="54"/>
      <c r="M2353" s="114"/>
      <c r="N2353" s="1"/>
      <c r="O2353" s="1"/>
      <c r="P2353" s="51"/>
    </row>
    <row r="2354">
      <c r="A2354" s="54"/>
      <c r="B2354" s="71"/>
      <c r="C2354" s="51"/>
      <c r="D2354" s="114"/>
      <c r="E2354" s="114"/>
      <c r="F2354" s="54"/>
      <c r="G2354" s="54"/>
      <c r="I2354" s="54"/>
      <c r="K2354" s="54"/>
      <c r="M2354" s="114"/>
      <c r="N2354" s="1"/>
      <c r="O2354" s="1"/>
      <c r="P2354" s="51"/>
    </row>
    <row r="2355">
      <c r="A2355" s="54"/>
      <c r="B2355" s="71"/>
      <c r="C2355" s="51"/>
      <c r="D2355" s="114"/>
      <c r="E2355" s="114"/>
      <c r="F2355" s="54"/>
      <c r="G2355" s="54"/>
      <c r="I2355" s="54"/>
      <c r="K2355" s="54"/>
      <c r="M2355" s="114"/>
      <c r="N2355" s="1"/>
      <c r="O2355" s="1"/>
      <c r="P2355" s="51"/>
    </row>
    <row r="2356">
      <c r="A2356" s="54"/>
      <c r="B2356" s="71"/>
      <c r="C2356" s="51"/>
      <c r="D2356" s="114"/>
      <c r="E2356" s="114"/>
      <c r="F2356" s="54"/>
      <c r="G2356" s="54"/>
      <c r="I2356" s="54"/>
      <c r="K2356" s="54"/>
      <c r="M2356" s="114"/>
      <c r="N2356" s="1"/>
      <c r="O2356" s="1"/>
      <c r="P2356" s="51"/>
    </row>
    <row r="2357">
      <c r="A2357" s="54"/>
      <c r="B2357" s="71"/>
      <c r="C2357" s="51"/>
      <c r="D2357" s="114"/>
      <c r="E2357" s="114"/>
      <c r="F2357" s="54"/>
      <c r="G2357" s="54"/>
      <c r="I2357" s="54"/>
      <c r="K2357" s="54"/>
      <c r="M2357" s="114"/>
      <c r="N2357" s="1"/>
      <c r="O2357" s="1"/>
      <c r="P2357" s="51"/>
    </row>
    <row r="2358">
      <c r="A2358" s="54"/>
      <c r="B2358" s="71"/>
      <c r="C2358" s="51"/>
      <c r="D2358" s="114"/>
      <c r="E2358" s="114"/>
      <c r="F2358" s="54"/>
      <c r="G2358" s="54"/>
      <c r="I2358" s="54"/>
      <c r="K2358" s="54"/>
      <c r="M2358" s="114"/>
      <c r="N2358" s="1"/>
      <c r="O2358" s="1"/>
      <c r="P2358" s="51"/>
    </row>
    <row r="2359">
      <c r="A2359" s="54"/>
      <c r="B2359" s="71"/>
      <c r="C2359" s="51"/>
      <c r="D2359" s="114"/>
      <c r="E2359" s="114"/>
      <c r="F2359" s="54"/>
      <c r="G2359" s="54"/>
      <c r="I2359" s="54"/>
      <c r="K2359" s="54"/>
      <c r="M2359" s="114"/>
      <c r="N2359" s="1"/>
      <c r="O2359" s="1"/>
      <c r="P2359" s="51"/>
    </row>
    <row r="2360">
      <c r="A2360" s="54"/>
      <c r="B2360" s="71"/>
      <c r="C2360" s="51"/>
      <c r="D2360" s="114"/>
      <c r="E2360" s="114"/>
      <c r="F2360" s="54"/>
      <c r="G2360" s="54"/>
      <c r="I2360" s="54"/>
      <c r="K2360" s="54"/>
      <c r="M2360" s="114"/>
      <c r="N2360" s="1"/>
      <c r="O2360" s="1"/>
      <c r="P2360" s="51"/>
    </row>
    <row r="2361">
      <c r="A2361" s="54"/>
      <c r="B2361" s="71"/>
      <c r="C2361" s="51"/>
      <c r="D2361" s="114"/>
      <c r="E2361" s="114"/>
      <c r="F2361" s="54"/>
      <c r="G2361" s="54"/>
      <c r="I2361" s="54"/>
      <c r="K2361" s="54"/>
      <c r="M2361" s="114"/>
      <c r="N2361" s="1"/>
      <c r="O2361" s="1"/>
      <c r="P2361" s="51"/>
    </row>
    <row r="2362">
      <c r="A2362" s="54"/>
      <c r="B2362" s="71"/>
      <c r="C2362" s="51"/>
      <c r="D2362" s="114"/>
      <c r="E2362" s="114"/>
      <c r="F2362" s="54"/>
      <c r="G2362" s="54"/>
      <c r="I2362" s="54"/>
      <c r="K2362" s="54"/>
      <c r="M2362" s="114"/>
      <c r="N2362" s="1"/>
      <c r="O2362" s="1"/>
      <c r="P2362" s="51"/>
    </row>
    <row r="2363">
      <c r="A2363" s="54"/>
      <c r="B2363" s="71"/>
      <c r="C2363" s="51"/>
      <c r="D2363" s="114"/>
      <c r="E2363" s="114"/>
      <c r="F2363" s="54"/>
      <c r="G2363" s="54"/>
      <c r="I2363" s="54"/>
      <c r="K2363" s="54"/>
      <c r="M2363" s="114"/>
      <c r="N2363" s="1"/>
      <c r="O2363" s="1"/>
      <c r="P2363" s="51"/>
    </row>
    <row r="2364">
      <c r="A2364" s="54"/>
      <c r="B2364" s="71"/>
      <c r="C2364" s="51"/>
      <c r="D2364" s="114"/>
      <c r="E2364" s="114"/>
      <c r="F2364" s="54"/>
      <c r="G2364" s="54"/>
      <c r="I2364" s="54"/>
      <c r="K2364" s="54"/>
      <c r="M2364" s="114"/>
      <c r="N2364" s="1"/>
      <c r="O2364" s="1"/>
      <c r="P2364" s="51"/>
    </row>
    <row r="2365">
      <c r="A2365" s="54"/>
      <c r="B2365" s="71"/>
      <c r="C2365" s="51"/>
      <c r="D2365" s="114"/>
      <c r="E2365" s="114"/>
      <c r="F2365" s="54"/>
      <c r="G2365" s="54"/>
      <c r="I2365" s="54"/>
      <c r="K2365" s="54"/>
      <c r="M2365" s="114"/>
      <c r="N2365" s="1"/>
      <c r="O2365" s="1"/>
      <c r="P2365" s="51"/>
    </row>
    <row r="2366">
      <c r="A2366" s="54"/>
      <c r="B2366" s="71"/>
      <c r="C2366" s="51"/>
      <c r="D2366" s="114"/>
      <c r="E2366" s="114"/>
      <c r="F2366" s="54"/>
      <c r="G2366" s="54"/>
      <c r="I2366" s="54"/>
      <c r="K2366" s="54"/>
      <c r="M2366" s="114"/>
      <c r="N2366" s="1"/>
      <c r="O2366" s="1"/>
      <c r="P2366" s="51"/>
    </row>
    <row r="2367">
      <c r="A2367" s="54"/>
      <c r="B2367" s="71"/>
      <c r="C2367" s="51"/>
      <c r="D2367" s="114"/>
      <c r="E2367" s="114"/>
      <c r="F2367" s="54"/>
      <c r="G2367" s="54"/>
      <c r="I2367" s="54"/>
      <c r="K2367" s="54"/>
      <c r="M2367" s="114"/>
      <c r="N2367" s="1"/>
      <c r="O2367" s="1"/>
      <c r="P2367" s="51"/>
    </row>
    <row r="2368">
      <c r="A2368" s="54"/>
      <c r="B2368" s="71"/>
      <c r="C2368" s="51"/>
      <c r="D2368" s="114"/>
      <c r="E2368" s="114"/>
      <c r="F2368" s="54"/>
      <c r="G2368" s="54"/>
      <c r="I2368" s="54"/>
      <c r="K2368" s="54"/>
      <c r="M2368" s="114"/>
      <c r="N2368" s="1"/>
      <c r="O2368" s="1"/>
      <c r="P2368" s="51"/>
    </row>
    <row r="2369">
      <c r="A2369" s="54"/>
      <c r="B2369" s="71"/>
      <c r="C2369" s="51"/>
      <c r="D2369" s="114"/>
      <c r="E2369" s="114"/>
      <c r="F2369" s="54"/>
      <c r="G2369" s="54"/>
      <c r="I2369" s="54"/>
      <c r="K2369" s="54"/>
      <c r="M2369" s="114"/>
      <c r="N2369" s="1"/>
      <c r="O2369" s="1"/>
      <c r="P2369" s="51"/>
    </row>
    <row r="2370">
      <c r="A2370" s="54"/>
      <c r="B2370" s="71"/>
      <c r="C2370" s="51"/>
      <c r="D2370" s="114"/>
      <c r="E2370" s="114"/>
      <c r="F2370" s="54"/>
      <c r="G2370" s="54"/>
      <c r="I2370" s="54"/>
      <c r="K2370" s="54"/>
      <c r="M2370" s="114"/>
      <c r="N2370" s="1"/>
      <c r="O2370" s="1"/>
      <c r="P2370" s="51"/>
    </row>
    <row r="2371">
      <c r="A2371" s="54"/>
      <c r="B2371" s="71"/>
      <c r="C2371" s="51"/>
      <c r="D2371" s="114"/>
      <c r="E2371" s="114"/>
      <c r="F2371" s="54"/>
      <c r="G2371" s="54"/>
      <c r="I2371" s="54"/>
      <c r="K2371" s="54"/>
      <c r="M2371" s="114"/>
      <c r="N2371" s="1"/>
      <c r="O2371" s="1"/>
      <c r="P2371" s="51"/>
    </row>
    <row r="2372">
      <c r="A2372" s="54"/>
      <c r="B2372" s="71"/>
      <c r="C2372" s="51"/>
      <c r="D2372" s="114"/>
      <c r="E2372" s="114"/>
      <c r="F2372" s="54"/>
      <c r="G2372" s="54"/>
      <c r="I2372" s="54"/>
      <c r="K2372" s="54"/>
      <c r="M2372" s="114"/>
      <c r="N2372" s="1"/>
      <c r="O2372" s="1"/>
      <c r="P2372" s="51"/>
    </row>
    <row r="2373">
      <c r="A2373" s="54"/>
      <c r="B2373" s="71"/>
      <c r="C2373" s="51"/>
      <c r="D2373" s="114"/>
      <c r="E2373" s="114"/>
      <c r="F2373" s="54"/>
      <c r="G2373" s="54"/>
      <c r="I2373" s="54"/>
      <c r="K2373" s="54"/>
      <c r="M2373" s="114"/>
      <c r="N2373" s="1"/>
      <c r="O2373" s="1"/>
      <c r="P2373" s="51"/>
    </row>
    <row r="2374">
      <c r="A2374" s="54"/>
      <c r="B2374" s="71"/>
      <c r="C2374" s="51"/>
      <c r="D2374" s="114"/>
      <c r="E2374" s="114"/>
      <c r="F2374" s="54"/>
      <c r="G2374" s="54"/>
      <c r="I2374" s="54"/>
      <c r="K2374" s="54"/>
      <c r="M2374" s="114"/>
      <c r="N2374" s="1"/>
      <c r="O2374" s="1"/>
      <c r="P2374" s="51"/>
    </row>
    <row r="2375">
      <c r="A2375" s="54"/>
      <c r="B2375" s="71"/>
      <c r="C2375" s="51"/>
      <c r="D2375" s="114"/>
      <c r="E2375" s="114"/>
      <c r="F2375" s="54"/>
      <c r="G2375" s="54"/>
      <c r="I2375" s="54"/>
      <c r="K2375" s="54"/>
      <c r="M2375" s="114"/>
      <c r="N2375" s="1"/>
      <c r="O2375" s="1"/>
      <c r="P2375" s="51"/>
    </row>
    <row r="2376">
      <c r="A2376" s="54"/>
      <c r="B2376" s="71"/>
      <c r="C2376" s="51"/>
      <c r="D2376" s="114"/>
      <c r="E2376" s="114"/>
      <c r="F2376" s="54"/>
      <c r="G2376" s="54"/>
      <c r="I2376" s="54"/>
      <c r="K2376" s="54"/>
      <c r="M2376" s="114"/>
      <c r="N2376" s="1"/>
      <c r="O2376" s="1"/>
      <c r="P2376" s="51"/>
    </row>
    <row r="2377">
      <c r="A2377" s="54"/>
      <c r="B2377" s="71"/>
      <c r="C2377" s="51"/>
      <c r="D2377" s="114"/>
      <c r="E2377" s="114"/>
      <c r="F2377" s="54"/>
      <c r="G2377" s="54"/>
      <c r="I2377" s="54"/>
      <c r="K2377" s="54"/>
      <c r="M2377" s="114"/>
      <c r="N2377" s="1"/>
      <c r="O2377" s="1"/>
      <c r="P2377" s="51"/>
    </row>
    <row r="2378">
      <c r="A2378" s="54"/>
      <c r="B2378" s="71"/>
      <c r="C2378" s="51"/>
      <c r="D2378" s="114"/>
      <c r="E2378" s="114"/>
      <c r="F2378" s="54"/>
      <c r="G2378" s="54"/>
      <c r="I2378" s="54"/>
      <c r="K2378" s="54"/>
      <c r="M2378" s="114"/>
      <c r="N2378" s="1"/>
      <c r="O2378" s="1"/>
      <c r="P2378" s="51"/>
    </row>
    <row r="2379">
      <c r="A2379" s="54"/>
      <c r="B2379" s="71"/>
      <c r="C2379" s="51"/>
      <c r="D2379" s="114"/>
      <c r="E2379" s="114"/>
      <c r="F2379" s="54"/>
      <c r="G2379" s="54"/>
      <c r="I2379" s="54"/>
      <c r="K2379" s="54"/>
      <c r="M2379" s="114"/>
      <c r="N2379" s="1"/>
      <c r="O2379" s="1"/>
      <c r="P2379" s="51"/>
    </row>
    <row r="2380">
      <c r="A2380" s="54"/>
      <c r="B2380" s="71"/>
      <c r="C2380" s="51"/>
      <c r="D2380" s="114"/>
      <c r="E2380" s="114"/>
      <c r="F2380" s="54"/>
      <c r="G2380" s="54"/>
      <c r="I2380" s="54"/>
      <c r="K2380" s="54"/>
      <c r="M2380" s="114"/>
      <c r="N2380" s="1"/>
      <c r="O2380" s="1"/>
      <c r="P2380" s="51"/>
    </row>
    <row r="2381">
      <c r="A2381" s="54"/>
      <c r="B2381" s="71"/>
      <c r="C2381" s="51"/>
      <c r="D2381" s="114"/>
      <c r="E2381" s="114"/>
      <c r="F2381" s="54"/>
      <c r="G2381" s="54"/>
      <c r="I2381" s="54"/>
      <c r="K2381" s="54"/>
      <c r="M2381" s="114"/>
      <c r="N2381" s="1"/>
      <c r="O2381" s="1"/>
      <c r="P2381" s="51"/>
    </row>
    <row r="2382">
      <c r="A2382" s="54"/>
      <c r="B2382" s="71"/>
      <c r="C2382" s="51"/>
      <c r="D2382" s="114"/>
      <c r="E2382" s="114"/>
      <c r="F2382" s="54"/>
      <c r="G2382" s="54"/>
      <c r="I2382" s="54"/>
      <c r="K2382" s="54"/>
      <c r="M2382" s="114"/>
      <c r="N2382" s="1"/>
      <c r="O2382" s="1"/>
      <c r="P2382" s="51"/>
    </row>
    <row r="2383">
      <c r="A2383" s="54"/>
      <c r="B2383" s="71"/>
      <c r="C2383" s="51"/>
      <c r="D2383" s="114"/>
      <c r="E2383" s="114"/>
      <c r="F2383" s="54"/>
      <c r="G2383" s="54"/>
      <c r="I2383" s="54"/>
      <c r="K2383" s="54"/>
      <c r="M2383" s="114"/>
      <c r="N2383" s="1"/>
      <c r="O2383" s="1"/>
      <c r="P2383" s="51"/>
    </row>
    <row r="2384">
      <c r="A2384" s="54"/>
      <c r="B2384" s="71"/>
      <c r="C2384" s="51"/>
      <c r="D2384" s="114"/>
      <c r="E2384" s="114"/>
      <c r="F2384" s="54"/>
      <c r="G2384" s="54"/>
      <c r="I2384" s="54"/>
      <c r="K2384" s="54"/>
      <c r="M2384" s="114"/>
      <c r="N2384" s="1"/>
      <c r="O2384" s="1"/>
      <c r="P2384" s="51"/>
    </row>
    <row r="2385">
      <c r="A2385" s="54"/>
      <c r="B2385" s="71"/>
      <c r="C2385" s="51"/>
      <c r="D2385" s="114"/>
      <c r="E2385" s="114"/>
      <c r="F2385" s="54"/>
      <c r="G2385" s="54"/>
      <c r="I2385" s="54"/>
      <c r="K2385" s="54"/>
      <c r="M2385" s="114"/>
      <c r="N2385" s="1"/>
      <c r="O2385" s="1"/>
      <c r="P2385" s="51"/>
    </row>
    <row r="2386">
      <c r="A2386" s="54"/>
      <c r="B2386" s="71"/>
      <c r="C2386" s="51"/>
      <c r="D2386" s="114"/>
      <c r="E2386" s="114"/>
      <c r="F2386" s="54"/>
      <c r="G2386" s="54"/>
      <c r="I2386" s="54"/>
      <c r="K2386" s="54"/>
      <c r="M2386" s="114"/>
      <c r="N2386" s="1"/>
      <c r="O2386" s="1"/>
      <c r="P2386" s="51"/>
    </row>
    <row r="2387">
      <c r="A2387" s="54"/>
      <c r="B2387" s="71"/>
      <c r="C2387" s="51"/>
      <c r="D2387" s="114"/>
      <c r="E2387" s="114"/>
      <c r="F2387" s="54"/>
      <c r="G2387" s="54"/>
      <c r="I2387" s="54"/>
      <c r="K2387" s="54"/>
      <c r="M2387" s="114"/>
      <c r="N2387" s="1"/>
      <c r="O2387" s="1"/>
      <c r="P2387" s="51"/>
    </row>
    <row r="2388">
      <c r="A2388" s="54"/>
      <c r="B2388" s="71"/>
      <c r="C2388" s="51"/>
      <c r="D2388" s="114"/>
      <c r="E2388" s="114"/>
      <c r="F2388" s="54"/>
      <c r="G2388" s="54"/>
      <c r="I2388" s="54"/>
      <c r="K2388" s="54"/>
      <c r="M2388" s="114"/>
      <c r="N2388" s="1"/>
      <c r="O2388" s="1"/>
      <c r="P2388" s="51"/>
    </row>
    <row r="2389">
      <c r="A2389" s="54"/>
      <c r="B2389" s="71"/>
      <c r="C2389" s="51"/>
      <c r="D2389" s="114"/>
      <c r="E2389" s="114"/>
      <c r="F2389" s="54"/>
      <c r="G2389" s="54"/>
      <c r="I2389" s="54"/>
      <c r="K2389" s="54"/>
      <c r="M2389" s="114"/>
      <c r="N2389" s="1"/>
      <c r="O2389" s="1"/>
      <c r="P2389" s="51"/>
    </row>
    <row r="2390">
      <c r="A2390" s="54"/>
      <c r="B2390" s="71"/>
      <c r="C2390" s="51"/>
      <c r="D2390" s="114"/>
      <c r="E2390" s="114"/>
      <c r="F2390" s="54"/>
      <c r="G2390" s="54"/>
      <c r="I2390" s="54"/>
      <c r="K2390" s="54"/>
      <c r="M2390" s="114"/>
      <c r="N2390" s="1"/>
      <c r="O2390" s="1"/>
      <c r="P2390" s="51"/>
    </row>
    <row r="2391">
      <c r="A2391" s="54"/>
      <c r="B2391" s="71"/>
      <c r="C2391" s="51"/>
      <c r="D2391" s="114"/>
      <c r="E2391" s="114"/>
      <c r="F2391" s="54"/>
      <c r="G2391" s="54"/>
      <c r="I2391" s="54"/>
      <c r="K2391" s="54"/>
      <c r="M2391" s="114"/>
      <c r="N2391" s="1"/>
      <c r="O2391" s="1"/>
      <c r="P2391" s="51"/>
    </row>
    <row r="2392">
      <c r="A2392" s="54"/>
      <c r="B2392" s="71"/>
      <c r="C2392" s="51"/>
      <c r="D2392" s="114"/>
      <c r="E2392" s="114"/>
      <c r="F2392" s="54"/>
      <c r="G2392" s="54"/>
      <c r="I2392" s="54"/>
      <c r="K2392" s="54"/>
      <c r="M2392" s="114"/>
      <c r="N2392" s="1"/>
      <c r="O2392" s="1"/>
      <c r="P2392" s="51"/>
    </row>
    <row r="2393">
      <c r="A2393" s="54"/>
      <c r="B2393" s="71"/>
      <c r="C2393" s="51"/>
      <c r="D2393" s="114"/>
      <c r="E2393" s="114"/>
      <c r="F2393" s="54"/>
      <c r="G2393" s="54"/>
      <c r="I2393" s="54"/>
      <c r="K2393" s="54"/>
      <c r="M2393" s="114"/>
      <c r="N2393" s="1"/>
      <c r="O2393" s="1"/>
      <c r="P2393" s="51"/>
    </row>
    <row r="2394">
      <c r="A2394" s="54"/>
      <c r="B2394" s="71"/>
      <c r="C2394" s="51"/>
      <c r="D2394" s="114"/>
      <c r="E2394" s="114"/>
      <c r="F2394" s="54"/>
      <c r="G2394" s="54"/>
      <c r="I2394" s="54"/>
      <c r="K2394" s="54"/>
      <c r="M2394" s="114"/>
      <c r="N2394" s="1"/>
      <c r="O2394" s="1"/>
      <c r="P2394" s="51"/>
    </row>
    <row r="2395">
      <c r="A2395" s="54"/>
      <c r="B2395" s="71"/>
      <c r="C2395" s="51"/>
      <c r="D2395" s="114"/>
      <c r="E2395" s="114"/>
      <c r="F2395" s="54"/>
      <c r="G2395" s="54"/>
      <c r="I2395" s="54"/>
      <c r="K2395" s="54"/>
      <c r="M2395" s="114"/>
      <c r="N2395" s="1"/>
      <c r="O2395" s="1"/>
      <c r="P2395" s="51"/>
    </row>
    <row r="2396">
      <c r="A2396" s="54"/>
      <c r="B2396" s="71"/>
      <c r="C2396" s="51"/>
      <c r="D2396" s="114"/>
      <c r="E2396" s="114"/>
      <c r="F2396" s="54"/>
      <c r="G2396" s="54"/>
      <c r="I2396" s="54"/>
      <c r="K2396" s="54"/>
      <c r="M2396" s="114"/>
      <c r="N2396" s="1"/>
      <c r="O2396" s="1"/>
      <c r="P2396" s="51"/>
    </row>
    <row r="2397">
      <c r="A2397" s="54"/>
      <c r="B2397" s="71"/>
      <c r="C2397" s="51"/>
      <c r="D2397" s="114"/>
      <c r="E2397" s="114"/>
      <c r="F2397" s="54"/>
      <c r="G2397" s="54"/>
      <c r="I2397" s="54"/>
      <c r="K2397" s="54"/>
      <c r="M2397" s="114"/>
      <c r="N2397" s="1"/>
      <c r="O2397" s="1"/>
      <c r="P2397" s="51"/>
    </row>
    <row r="2398">
      <c r="A2398" s="54"/>
      <c r="B2398" s="71"/>
      <c r="C2398" s="51"/>
      <c r="D2398" s="114"/>
      <c r="E2398" s="114"/>
      <c r="F2398" s="54"/>
      <c r="G2398" s="54"/>
      <c r="I2398" s="54"/>
      <c r="K2398" s="54"/>
      <c r="M2398" s="114"/>
      <c r="N2398" s="1"/>
      <c r="O2398" s="1"/>
      <c r="P2398" s="51"/>
    </row>
    <row r="2399">
      <c r="A2399" s="54"/>
      <c r="B2399" s="71"/>
      <c r="C2399" s="51"/>
      <c r="D2399" s="114"/>
      <c r="E2399" s="114"/>
      <c r="F2399" s="54"/>
      <c r="G2399" s="54"/>
      <c r="I2399" s="54"/>
      <c r="K2399" s="54"/>
      <c r="M2399" s="114"/>
      <c r="N2399" s="1"/>
      <c r="O2399" s="1"/>
      <c r="P2399" s="51"/>
    </row>
    <row r="2400">
      <c r="A2400" s="54"/>
      <c r="B2400" s="71"/>
      <c r="C2400" s="51"/>
      <c r="D2400" s="114"/>
      <c r="E2400" s="114"/>
      <c r="F2400" s="54"/>
      <c r="G2400" s="54"/>
      <c r="I2400" s="54"/>
      <c r="K2400" s="54"/>
      <c r="M2400" s="114"/>
      <c r="N2400" s="1"/>
      <c r="O2400" s="1"/>
      <c r="P2400" s="51"/>
    </row>
    <row r="2401">
      <c r="A2401" s="54"/>
      <c r="B2401" s="71"/>
      <c r="C2401" s="51"/>
      <c r="D2401" s="114"/>
      <c r="E2401" s="114"/>
      <c r="F2401" s="54"/>
      <c r="G2401" s="54"/>
      <c r="I2401" s="54"/>
      <c r="K2401" s="54"/>
      <c r="M2401" s="114"/>
      <c r="N2401" s="1"/>
      <c r="O2401" s="1"/>
      <c r="P2401" s="51"/>
    </row>
    <row r="2402">
      <c r="A2402" s="54"/>
      <c r="B2402" s="71"/>
      <c r="C2402" s="51"/>
      <c r="D2402" s="114"/>
      <c r="E2402" s="114"/>
      <c r="F2402" s="54"/>
      <c r="G2402" s="54"/>
      <c r="I2402" s="54"/>
      <c r="K2402" s="54"/>
      <c r="M2402" s="114"/>
      <c r="N2402" s="1"/>
      <c r="O2402" s="1"/>
      <c r="P2402" s="51"/>
    </row>
    <row r="2403">
      <c r="A2403" s="54"/>
      <c r="B2403" s="71"/>
      <c r="C2403" s="51"/>
      <c r="D2403" s="114"/>
      <c r="E2403" s="114"/>
      <c r="F2403" s="54"/>
      <c r="G2403" s="54"/>
      <c r="I2403" s="54"/>
      <c r="K2403" s="54"/>
      <c r="M2403" s="114"/>
      <c r="N2403" s="1"/>
      <c r="O2403" s="1"/>
      <c r="P2403" s="51"/>
    </row>
    <row r="2404">
      <c r="A2404" s="54"/>
      <c r="B2404" s="71"/>
      <c r="C2404" s="51"/>
      <c r="D2404" s="114"/>
      <c r="E2404" s="114"/>
      <c r="F2404" s="54"/>
      <c r="G2404" s="54"/>
      <c r="I2404" s="54"/>
      <c r="K2404" s="54"/>
      <c r="M2404" s="114"/>
      <c r="N2404" s="1"/>
      <c r="O2404" s="1"/>
      <c r="P2404" s="51"/>
    </row>
    <row r="2405">
      <c r="A2405" s="54"/>
      <c r="B2405" s="71"/>
      <c r="C2405" s="51"/>
      <c r="D2405" s="114"/>
      <c r="E2405" s="114"/>
      <c r="F2405" s="54"/>
      <c r="G2405" s="54"/>
      <c r="I2405" s="54"/>
      <c r="K2405" s="54"/>
      <c r="M2405" s="114"/>
      <c r="N2405" s="1"/>
      <c r="O2405" s="1"/>
      <c r="P2405" s="51"/>
    </row>
    <row r="2406">
      <c r="A2406" s="54"/>
      <c r="B2406" s="71"/>
      <c r="C2406" s="51"/>
      <c r="D2406" s="114"/>
      <c r="E2406" s="114"/>
      <c r="F2406" s="54"/>
      <c r="G2406" s="54"/>
      <c r="I2406" s="54"/>
      <c r="K2406" s="54"/>
      <c r="M2406" s="114"/>
      <c r="N2406" s="1"/>
      <c r="O2406" s="1"/>
      <c r="P2406" s="51"/>
    </row>
    <row r="2407">
      <c r="A2407" s="54"/>
      <c r="B2407" s="71"/>
      <c r="C2407" s="51"/>
      <c r="D2407" s="114"/>
      <c r="E2407" s="114"/>
      <c r="F2407" s="54"/>
      <c r="G2407" s="54"/>
      <c r="I2407" s="54"/>
      <c r="K2407" s="54"/>
      <c r="M2407" s="114"/>
      <c r="N2407" s="1"/>
      <c r="O2407" s="1"/>
      <c r="P2407" s="51"/>
    </row>
    <row r="2408">
      <c r="A2408" s="54"/>
      <c r="B2408" s="71"/>
      <c r="C2408" s="51"/>
      <c r="D2408" s="114"/>
      <c r="E2408" s="114"/>
      <c r="F2408" s="54"/>
      <c r="G2408" s="54"/>
      <c r="I2408" s="54"/>
      <c r="K2408" s="54"/>
      <c r="M2408" s="114"/>
      <c r="N2408" s="1"/>
      <c r="O2408" s="1"/>
      <c r="P2408" s="51"/>
    </row>
    <row r="2409">
      <c r="A2409" s="54"/>
      <c r="B2409" s="71"/>
      <c r="C2409" s="51"/>
      <c r="D2409" s="114"/>
      <c r="E2409" s="114"/>
      <c r="F2409" s="54"/>
      <c r="G2409" s="54"/>
      <c r="I2409" s="54"/>
      <c r="K2409" s="54"/>
      <c r="M2409" s="114"/>
      <c r="N2409" s="1"/>
      <c r="O2409" s="1"/>
      <c r="P2409" s="51"/>
    </row>
    <row r="2410">
      <c r="A2410" s="54"/>
      <c r="B2410" s="71"/>
      <c r="C2410" s="51"/>
      <c r="D2410" s="114"/>
      <c r="E2410" s="114"/>
      <c r="F2410" s="54"/>
      <c r="G2410" s="54"/>
      <c r="I2410" s="54"/>
      <c r="K2410" s="54"/>
      <c r="M2410" s="114"/>
      <c r="N2410" s="1"/>
      <c r="O2410" s="1"/>
      <c r="P2410" s="51"/>
    </row>
    <row r="2411">
      <c r="A2411" s="54"/>
      <c r="B2411" s="71"/>
      <c r="C2411" s="51"/>
      <c r="D2411" s="114"/>
      <c r="E2411" s="114"/>
      <c r="F2411" s="54"/>
      <c r="G2411" s="54"/>
      <c r="I2411" s="54"/>
      <c r="K2411" s="54"/>
      <c r="M2411" s="114"/>
      <c r="N2411" s="1"/>
      <c r="O2411" s="1"/>
      <c r="P2411" s="51"/>
    </row>
    <row r="2412">
      <c r="A2412" s="54"/>
      <c r="B2412" s="71"/>
      <c r="C2412" s="51"/>
      <c r="D2412" s="114"/>
      <c r="E2412" s="114"/>
      <c r="F2412" s="54"/>
      <c r="G2412" s="54"/>
      <c r="I2412" s="54"/>
      <c r="K2412" s="54"/>
      <c r="M2412" s="114"/>
      <c r="N2412" s="1"/>
      <c r="O2412" s="1"/>
      <c r="P2412" s="51"/>
    </row>
    <row r="2413">
      <c r="A2413" s="54"/>
      <c r="B2413" s="71"/>
      <c r="C2413" s="51"/>
      <c r="D2413" s="114"/>
      <c r="E2413" s="114"/>
      <c r="F2413" s="54"/>
      <c r="G2413" s="54"/>
      <c r="I2413" s="54"/>
      <c r="K2413" s="54"/>
      <c r="M2413" s="114"/>
      <c r="N2413" s="1"/>
      <c r="O2413" s="1"/>
      <c r="P2413" s="51"/>
    </row>
    <row r="2414">
      <c r="A2414" s="54"/>
      <c r="B2414" s="71"/>
      <c r="C2414" s="51"/>
      <c r="D2414" s="114"/>
      <c r="E2414" s="114"/>
      <c r="F2414" s="54"/>
      <c r="G2414" s="54"/>
      <c r="I2414" s="54"/>
      <c r="K2414" s="54"/>
      <c r="M2414" s="114"/>
      <c r="N2414" s="1"/>
      <c r="O2414" s="1"/>
      <c r="P2414" s="51"/>
    </row>
    <row r="2415">
      <c r="A2415" s="54"/>
      <c r="B2415" s="71"/>
      <c r="C2415" s="51"/>
      <c r="D2415" s="114"/>
      <c r="E2415" s="114"/>
      <c r="F2415" s="54"/>
      <c r="G2415" s="54"/>
      <c r="I2415" s="54"/>
      <c r="K2415" s="54"/>
      <c r="M2415" s="114"/>
      <c r="N2415" s="1"/>
      <c r="O2415" s="1"/>
      <c r="P2415" s="51"/>
    </row>
    <row r="2416">
      <c r="A2416" s="54"/>
      <c r="B2416" s="71"/>
      <c r="C2416" s="51"/>
      <c r="D2416" s="114"/>
      <c r="E2416" s="114"/>
      <c r="F2416" s="54"/>
      <c r="G2416" s="54"/>
      <c r="I2416" s="54"/>
      <c r="K2416" s="54"/>
      <c r="M2416" s="114"/>
      <c r="N2416" s="1"/>
      <c r="O2416" s="1"/>
      <c r="P2416" s="51"/>
    </row>
    <row r="2417">
      <c r="A2417" s="54"/>
      <c r="B2417" s="71"/>
      <c r="C2417" s="51"/>
      <c r="D2417" s="114"/>
      <c r="E2417" s="114"/>
      <c r="F2417" s="54"/>
      <c r="G2417" s="54"/>
      <c r="I2417" s="54"/>
      <c r="K2417" s="54"/>
      <c r="M2417" s="114"/>
      <c r="N2417" s="1"/>
      <c r="O2417" s="1"/>
      <c r="P2417" s="51"/>
    </row>
    <row r="2418">
      <c r="A2418" s="54"/>
      <c r="B2418" s="71"/>
      <c r="C2418" s="51"/>
      <c r="D2418" s="114"/>
      <c r="E2418" s="114"/>
      <c r="F2418" s="54"/>
      <c r="G2418" s="54"/>
      <c r="I2418" s="54"/>
      <c r="K2418" s="54"/>
      <c r="M2418" s="114"/>
      <c r="N2418" s="1"/>
      <c r="O2418" s="1"/>
      <c r="P2418" s="51"/>
    </row>
    <row r="2419">
      <c r="A2419" s="54"/>
      <c r="B2419" s="71"/>
      <c r="C2419" s="51"/>
      <c r="D2419" s="114"/>
      <c r="E2419" s="114"/>
      <c r="F2419" s="54"/>
      <c r="G2419" s="54"/>
      <c r="I2419" s="54"/>
      <c r="K2419" s="54"/>
      <c r="M2419" s="114"/>
      <c r="N2419" s="1"/>
      <c r="O2419" s="1"/>
      <c r="P2419" s="51"/>
    </row>
    <row r="2420">
      <c r="A2420" s="54"/>
      <c r="B2420" s="71"/>
      <c r="C2420" s="51"/>
      <c r="D2420" s="114"/>
      <c r="E2420" s="114"/>
      <c r="F2420" s="54"/>
      <c r="G2420" s="54"/>
      <c r="I2420" s="54"/>
      <c r="K2420" s="54"/>
      <c r="M2420" s="114"/>
      <c r="N2420" s="1"/>
      <c r="O2420" s="1"/>
      <c r="P2420" s="51"/>
    </row>
    <row r="2421">
      <c r="A2421" s="54"/>
      <c r="B2421" s="71"/>
      <c r="C2421" s="51"/>
      <c r="D2421" s="114"/>
      <c r="E2421" s="114"/>
      <c r="F2421" s="54"/>
      <c r="G2421" s="54"/>
      <c r="I2421" s="54"/>
      <c r="K2421" s="54"/>
      <c r="M2421" s="114"/>
      <c r="N2421" s="1"/>
      <c r="O2421" s="1"/>
      <c r="P2421" s="51"/>
    </row>
    <row r="2422">
      <c r="A2422" s="54"/>
      <c r="B2422" s="71"/>
      <c r="C2422" s="51"/>
      <c r="D2422" s="114"/>
      <c r="E2422" s="114"/>
      <c r="F2422" s="54"/>
      <c r="G2422" s="54"/>
      <c r="I2422" s="54"/>
      <c r="K2422" s="54"/>
      <c r="M2422" s="114"/>
      <c r="N2422" s="1"/>
      <c r="O2422" s="1"/>
      <c r="P2422" s="51"/>
    </row>
    <row r="2423">
      <c r="A2423" s="54"/>
      <c r="B2423" s="71"/>
      <c r="C2423" s="51"/>
      <c r="D2423" s="114"/>
      <c r="E2423" s="114"/>
      <c r="F2423" s="54"/>
      <c r="G2423" s="54"/>
      <c r="I2423" s="54"/>
      <c r="K2423" s="54"/>
      <c r="M2423" s="114"/>
      <c r="N2423" s="1"/>
      <c r="O2423" s="1"/>
      <c r="P2423" s="51"/>
    </row>
    <row r="2424">
      <c r="A2424" s="54"/>
      <c r="B2424" s="71"/>
      <c r="C2424" s="51"/>
      <c r="D2424" s="114"/>
      <c r="E2424" s="114"/>
      <c r="F2424" s="54"/>
      <c r="G2424" s="54"/>
      <c r="I2424" s="54"/>
      <c r="K2424" s="54"/>
      <c r="M2424" s="114"/>
      <c r="N2424" s="1"/>
      <c r="O2424" s="1"/>
      <c r="P2424" s="51"/>
    </row>
    <row r="2425">
      <c r="A2425" s="54"/>
      <c r="B2425" s="71"/>
      <c r="C2425" s="51"/>
      <c r="D2425" s="114"/>
      <c r="E2425" s="114"/>
      <c r="F2425" s="54"/>
      <c r="G2425" s="54"/>
      <c r="I2425" s="54"/>
      <c r="K2425" s="54"/>
      <c r="M2425" s="114"/>
      <c r="N2425" s="1"/>
      <c r="O2425" s="1"/>
      <c r="P2425" s="51"/>
    </row>
    <row r="2426">
      <c r="A2426" s="54"/>
      <c r="B2426" s="71"/>
      <c r="C2426" s="51"/>
      <c r="D2426" s="114"/>
      <c r="E2426" s="114"/>
      <c r="F2426" s="54"/>
      <c r="G2426" s="54"/>
      <c r="I2426" s="54"/>
      <c r="K2426" s="54"/>
      <c r="M2426" s="114"/>
      <c r="N2426" s="1"/>
      <c r="O2426" s="1"/>
      <c r="P2426" s="51"/>
    </row>
    <row r="2427">
      <c r="A2427" s="54"/>
      <c r="B2427" s="71"/>
      <c r="C2427" s="51"/>
      <c r="D2427" s="114"/>
      <c r="E2427" s="114"/>
      <c r="F2427" s="54"/>
      <c r="G2427" s="54"/>
      <c r="I2427" s="54"/>
      <c r="K2427" s="54"/>
      <c r="M2427" s="114"/>
      <c r="N2427" s="1"/>
      <c r="O2427" s="1"/>
      <c r="P2427" s="51"/>
    </row>
    <row r="2428">
      <c r="A2428" s="54"/>
      <c r="B2428" s="71"/>
      <c r="C2428" s="51"/>
      <c r="D2428" s="114"/>
      <c r="E2428" s="114"/>
      <c r="F2428" s="54"/>
      <c r="G2428" s="54"/>
      <c r="I2428" s="54"/>
      <c r="K2428" s="54"/>
      <c r="M2428" s="114"/>
      <c r="N2428" s="1"/>
      <c r="O2428" s="1"/>
      <c r="P2428" s="51"/>
    </row>
    <row r="2429">
      <c r="A2429" s="54"/>
      <c r="B2429" s="71"/>
      <c r="C2429" s="51"/>
      <c r="D2429" s="114"/>
      <c r="E2429" s="114"/>
      <c r="F2429" s="54"/>
      <c r="G2429" s="54"/>
      <c r="I2429" s="54"/>
      <c r="K2429" s="54"/>
      <c r="M2429" s="114"/>
      <c r="N2429" s="1"/>
      <c r="O2429" s="1"/>
      <c r="P2429" s="51"/>
    </row>
    <row r="2430">
      <c r="A2430" s="54"/>
      <c r="B2430" s="71"/>
      <c r="C2430" s="51"/>
      <c r="D2430" s="114"/>
      <c r="E2430" s="114"/>
      <c r="F2430" s="54"/>
      <c r="G2430" s="54"/>
      <c r="I2430" s="54"/>
      <c r="K2430" s="54"/>
      <c r="M2430" s="114"/>
      <c r="N2430" s="1"/>
      <c r="O2430" s="1"/>
      <c r="P2430" s="51"/>
    </row>
    <row r="2431">
      <c r="A2431" s="54"/>
      <c r="B2431" s="71"/>
      <c r="C2431" s="51"/>
      <c r="D2431" s="114"/>
      <c r="E2431" s="114"/>
      <c r="F2431" s="54"/>
      <c r="G2431" s="54"/>
      <c r="I2431" s="54"/>
      <c r="K2431" s="54"/>
      <c r="M2431" s="114"/>
      <c r="N2431" s="1"/>
      <c r="O2431" s="1"/>
      <c r="P2431" s="51"/>
    </row>
    <row r="2432">
      <c r="A2432" s="54"/>
      <c r="B2432" s="71"/>
      <c r="C2432" s="51"/>
      <c r="D2432" s="114"/>
      <c r="E2432" s="114"/>
      <c r="F2432" s="54"/>
      <c r="G2432" s="54"/>
      <c r="I2432" s="54"/>
      <c r="K2432" s="54"/>
      <c r="M2432" s="114"/>
      <c r="N2432" s="1"/>
      <c r="O2432" s="1"/>
      <c r="P2432" s="51"/>
    </row>
    <row r="2433">
      <c r="A2433" s="54"/>
      <c r="B2433" s="71"/>
      <c r="C2433" s="51"/>
      <c r="D2433" s="114"/>
      <c r="E2433" s="114"/>
      <c r="F2433" s="54"/>
      <c r="G2433" s="54"/>
      <c r="I2433" s="54"/>
      <c r="K2433" s="54"/>
      <c r="M2433" s="114"/>
      <c r="N2433" s="1"/>
      <c r="O2433" s="1"/>
      <c r="P2433" s="51"/>
    </row>
    <row r="2434">
      <c r="A2434" s="54"/>
      <c r="B2434" s="71"/>
      <c r="C2434" s="51"/>
      <c r="D2434" s="114"/>
      <c r="E2434" s="114"/>
      <c r="F2434" s="54"/>
      <c r="G2434" s="54"/>
      <c r="I2434" s="54"/>
      <c r="K2434" s="54"/>
      <c r="M2434" s="114"/>
      <c r="N2434" s="1"/>
      <c r="O2434" s="1"/>
      <c r="P2434" s="51"/>
    </row>
    <row r="2435">
      <c r="A2435" s="54"/>
      <c r="B2435" s="71"/>
      <c r="C2435" s="51"/>
      <c r="D2435" s="114"/>
      <c r="E2435" s="114"/>
      <c r="F2435" s="54"/>
      <c r="G2435" s="54"/>
      <c r="I2435" s="54"/>
      <c r="K2435" s="54"/>
      <c r="M2435" s="114"/>
      <c r="N2435" s="1"/>
      <c r="O2435" s="1"/>
      <c r="P2435" s="51"/>
    </row>
    <row r="2436">
      <c r="A2436" s="54"/>
      <c r="B2436" s="71"/>
      <c r="C2436" s="51"/>
      <c r="D2436" s="114"/>
      <c r="E2436" s="114"/>
      <c r="F2436" s="54"/>
      <c r="G2436" s="54"/>
      <c r="I2436" s="54"/>
      <c r="K2436" s="54"/>
      <c r="M2436" s="114"/>
      <c r="N2436" s="1"/>
      <c r="O2436" s="1"/>
      <c r="P2436" s="51"/>
    </row>
    <row r="2437">
      <c r="A2437" s="54"/>
      <c r="B2437" s="71"/>
      <c r="C2437" s="51"/>
      <c r="D2437" s="114"/>
      <c r="E2437" s="114"/>
      <c r="F2437" s="54"/>
      <c r="G2437" s="54"/>
      <c r="I2437" s="54"/>
      <c r="K2437" s="54"/>
      <c r="M2437" s="114"/>
      <c r="N2437" s="1"/>
      <c r="O2437" s="1"/>
      <c r="P2437" s="51"/>
    </row>
    <row r="2438">
      <c r="A2438" s="54"/>
      <c r="B2438" s="71"/>
      <c r="C2438" s="51"/>
      <c r="D2438" s="114"/>
      <c r="E2438" s="114"/>
      <c r="F2438" s="54"/>
      <c r="G2438" s="54"/>
      <c r="I2438" s="54"/>
      <c r="K2438" s="54"/>
      <c r="M2438" s="114"/>
      <c r="N2438" s="1"/>
      <c r="O2438" s="1"/>
      <c r="P2438" s="51"/>
    </row>
    <row r="2439">
      <c r="A2439" s="54"/>
      <c r="B2439" s="71"/>
      <c r="C2439" s="51"/>
      <c r="D2439" s="114"/>
      <c r="E2439" s="114"/>
      <c r="F2439" s="54"/>
      <c r="G2439" s="54"/>
      <c r="I2439" s="54"/>
      <c r="K2439" s="54"/>
      <c r="M2439" s="114"/>
      <c r="N2439" s="1"/>
      <c r="O2439" s="1"/>
      <c r="P2439" s="51"/>
    </row>
    <row r="2440">
      <c r="A2440" s="54"/>
      <c r="B2440" s="71"/>
      <c r="C2440" s="51"/>
      <c r="D2440" s="114"/>
      <c r="E2440" s="114"/>
      <c r="F2440" s="54"/>
      <c r="G2440" s="54"/>
      <c r="I2440" s="54"/>
      <c r="K2440" s="54"/>
      <c r="M2440" s="114"/>
      <c r="N2440" s="1"/>
      <c r="O2440" s="1"/>
      <c r="P2440" s="51"/>
    </row>
    <row r="2441">
      <c r="A2441" s="54"/>
      <c r="B2441" s="71"/>
      <c r="C2441" s="51"/>
      <c r="D2441" s="114"/>
      <c r="E2441" s="114"/>
      <c r="F2441" s="54"/>
      <c r="G2441" s="54"/>
      <c r="I2441" s="54"/>
      <c r="K2441" s="54"/>
      <c r="M2441" s="114"/>
      <c r="N2441" s="1"/>
      <c r="O2441" s="1"/>
      <c r="P2441" s="51"/>
    </row>
    <row r="2442">
      <c r="A2442" s="54"/>
      <c r="B2442" s="71"/>
      <c r="C2442" s="51"/>
      <c r="D2442" s="114"/>
      <c r="E2442" s="114"/>
      <c r="F2442" s="54"/>
      <c r="G2442" s="54"/>
      <c r="I2442" s="54"/>
      <c r="K2442" s="54"/>
      <c r="M2442" s="114"/>
      <c r="N2442" s="1"/>
      <c r="O2442" s="1"/>
      <c r="P2442" s="51"/>
    </row>
    <row r="2443">
      <c r="A2443" s="54"/>
      <c r="B2443" s="71"/>
      <c r="C2443" s="51"/>
      <c r="D2443" s="114"/>
      <c r="E2443" s="114"/>
      <c r="F2443" s="54"/>
      <c r="G2443" s="54"/>
      <c r="I2443" s="54"/>
      <c r="K2443" s="54"/>
      <c r="M2443" s="114"/>
      <c r="N2443" s="1"/>
      <c r="O2443" s="1"/>
      <c r="P2443" s="51"/>
    </row>
    <row r="2444">
      <c r="A2444" s="54"/>
      <c r="B2444" s="71"/>
      <c r="C2444" s="51"/>
      <c r="D2444" s="114"/>
      <c r="E2444" s="114"/>
      <c r="F2444" s="54"/>
      <c r="G2444" s="54"/>
      <c r="I2444" s="54"/>
      <c r="K2444" s="54"/>
      <c r="M2444" s="114"/>
      <c r="N2444" s="1"/>
      <c r="O2444" s="1"/>
      <c r="P2444" s="51"/>
    </row>
    <row r="2445">
      <c r="A2445" s="54"/>
      <c r="B2445" s="71"/>
      <c r="C2445" s="51"/>
      <c r="D2445" s="114"/>
      <c r="E2445" s="114"/>
      <c r="F2445" s="54"/>
      <c r="G2445" s="54"/>
      <c r="I2445" s="54"/>
      <c r="K2445" s="54"/>
      <c r="M2445" s="114"/>
      <c r="N2445" s="1"/>
      <c r="O2445" s="1"/>
      <c r="P2445" s="51"/>
    </row>
    <row r="2446">
      <c r="A2446" s="54"/>
      <c r="B2446" s="71"/>
      <c r="C2446" s="51"/>
      <c r="D2446" s="114"/>
      <c r="E2446" s="114"/>
      <c r="F2446" s="54"/>
      <c r="G2446" s="54"/>
      <c r="I2446" s="54"/>
      <c r="K2446" s="54"/>
      <c r="M2446" s="114"/>
      <c r="N2446" s="1"/>
      <c r="O2446" s="1"/>
      <c r="P2446" s="51"/>
    </row>
    <row r="2447">
      <c r="A2447" s="54"/>
      <c r="B2447" s="71"/>
      <c r="C2447" s="51"/>
      <c r="D2447" s="114"/>
      <c r="E2447" s="114"/>
      <c r="F2447" s="54"/>
      <c r="G2447" s="54"/>
      <c r="I2447" s="54"/>
      <c r="K2447" s="54"/>
      <c r="M2447" s="114"/>
      <c r="N2447" s="1"/>
      <c r="O2447" s="1"/>
      <c r="P2447" s="51"/>
    </row>
    <row r="2448">
      <c r="A2448" s="54"/>
      <c r="B2448" s="71"/>
      <c r="C2448" s="51"/>
      <c r="D2448" s="114"/>
      <c r="E2448" s="114"/>
      <c r="F2448" s="54"/>
      <c r="G2448" s="54"/>
      <c r="I2448" s="54"/>
      <c r="K2448" s="54"/>
      <c r="M2448" s="114"/>
      <c r="N2448" s="1"/>
      <c r="O2448" s="1"/>
      <c r="P2448" s="51"/>
    </row>
    <row r="2449">
      <c r="A2449" s="54"/>
      <c r="B2449" s="71"/>
      <c r="C2449" s="51"/>
      <c r="D2449" s="114"/>
      <c r="E2449" s="114"/>
      <c r="F2449" s="54"/>
      <c r="G2449" s="54"/>
      <c r="I2449" s="54"/>
      <c r="K2449" s="54"/>
      <c r="M2449" s="114"/>
      <c r="N2449" s="1"/>
      <c r="O2449" s="1"/>
      <c r="P2449" s="51"/>
    </row>
    <row r="2450">
      <c r="A2450" s="54"/>
      <c r="B2450" s="71"/>
      <c r="C2450" s="51"/>
      <c r="D2450" s="114"/>
      <c r="E2450" s="114"/>
      <c r="F2450" s="54"/>
      <c r="G2450" s="54"/>
      <c r="I2450" s="54"/>
      <c r="K2450" s="54"/>
      <c r="M2450" s="114"/>
      <c r="N2450" s="1"/>
      <c r="O2450" s="1"/>
      <c r="P2450" s="51"/>
    </row>
    <row r="2451">
      <c r="A2451" s="54"/>
      <c r="B2451" s="71"/>
      <c r="C2451" s="51"/>
      <c r="D2451" s="114"/>
      <c r="E2451" s="114"/>
      <c r="F2451" s="54"/>
      <c r="G2451" s="54"/>
      <c r="I2451" s="54"/>
      <c r="K2451" s="54"/>
      <c r="M2451" s="114"/>
      <c r="N2451" s="1"/>
      <c r="O2451" s="1"/>
      <c r="P2451" s="51"/>
    </row>
    <row r="2452">
      <c r="A2452" s="54"/>
      <c r="B2452" s="71"/>
      <c r="C2452" s="51"/>
      <c r="D2452" s="114"/>
      <c r="E2452" s="114"/>
      <c r="F2452" s="54"/>
      <c r="G2452" s="54"/>
      <c r="I2452" s="54"/>
      <c r="K2452" s="54"/>
      <c r="M2452" s="114"/>
      <c r="N2452" s="1"/>
      <c r="O2452" s="1"/>
      <c r="P2452" s="51"/>
    </row>
    <row r="2453">
      <c r="A2453" s="54"/>
      <c r="B2453" s="71"/>
      <c r="C2453" s="51"/>
      <c r="D2453" s="114"/>
      <c r="E2453" s="114"/>
      <c r="F2453" s="54"/>
      <c r="G2453" s="54"/>
      <c r="I2453" s="54"/>
      <c r="K2453" s="54"/>
      <c r="M2453" s="114"/>
      <c r="N2453" s="1"/>
      <c r="O2453" s="1"/>
      <c r="P2453" s="51"/>
    </row>
    <row r="2454">
      <c r="A2454" s="54"/>
      <c r="B2454" s="71"/>
      <c r="C2454" s="51"/>
      <c r="D2454" s="114"/>
      <c r="E2454" s="114"/>
      <c r="F2454" s="54"/>
      <c r="G2454" s="54"/>
      <c r="I2454" s="54"/>
      <c r="K2454" s="54"/>
      <c r="M2454" s="114"/>
      <c r="N2454" s="1"/>
      <c r="O2454" s="1"/>
      <c r="P2454" s="51"/>
    </row>
    <row r="2455">
      <c r="A2455" s="54"/>
      <c r="B2455" s="71"/>
      <c r="C2455" s="51"/>
      <c r="D2455" s="114"/>
      <c r="E2455" s="114"/>
      <c r="F2455" s="54"/>
      <c r="G2455" s="54"/>
      <c r="I2455" s="54"/>
      <c r="K2455" s="54"/>
      <c r="M2455" s="114"/>
      <c r="N2455" s="1"/>
      <c r="O2455" s="1"/>
      <c r="P2455" s="51"/>
    </row>
    <row r="2456">
      <c r="A2456" s="54"/>
      <c r="B2456" s="71"/>
      <c r="C2456" s="51"/>
      <c r="D2456" s="114"/>
      <c r="E2456" s="114"/>
      <c r="F2456" s="54"/>
      <c r="G2456" s="54"/>
      <c r="I2456" s="54"/>
      <c r="K2456" s="54"/>
      <c r="M2456" s="114"/>
      <c r="N2456" s="1"/>
      <c r="O2456" s="1"/>
      <c r="P2456" s="51"/>
    </row>
    <row r="2457">
      <c r="A2457" s="54"/>
      <c r="B2457" s="71"/>
      <c r="C2457" s="51"/>
      <c r="D2457" s="114"/>
      <c r="E2457" s="114"/>
      <c r="F2457" s="54"/>
      <c r="G2457" s="54"/>
      <c r="I2457" s="54"/>
      <c r="K2457" s="54"/>
      <c r="M2457" s="114"/>
      <c r="N2457" s="1"/>
      <c r="O2457" s="1"/>
      <c r="P2457" s="51"/>
    </row>
    <row r="2458">
      <c r="A2458" s="54"/>
      <c r="B2458" s="71"/>
      <c r="C2458" s="51"/>
      <c r="D2458" s="114"/>
      <c r="E2458" s="114"/>
      <c r="F2458" s="54"/>
      <c r="G2458" s="54"/>
      <c r="I2458" s="54"/>
      <c r="K2458" s="54"/>
      <c r="M2458" s="114"/>
      <c r="N2458" s="1"/>
      <c r="O2458" s="1"/>
      <c r="P2458" s="51"/>
    </row>
    <row r="2459">
      <c r="A2459" s="54"/>
      <c r="B2459" s="71"/>
      <c r="C2459" s="51"/>
      <c r="D2459" s="114"/>
      <c r="E2459" s="114"/>
      <c r="F2459" s="54"/>
      <c r="G2459" s="54"/>
      <c r="I2459" s="54"/>
      <c r="K2459" s="54"/>
      <c r="M2459" s="114"/>
      <c r="N2459" s="1"/>
      <c r="O2459" s="1"/>
      <c r="P2459" s="51"/>
    </row>
    <row r="2460">
      <c r="A2460" s="54"/>
      <c r="B2460" s="71"/>
      <c r="C2460" s="51"/>
      <c r="D2460" s="114"/>
      <c r="E2460" s="114"/>
      <c r="F2460" s="54"/>
      <c r="G2460" s="54"/>
      <c r="I2460" s="54"/>
      <c r="K2460" s="54"/>
      <c r="M2460" s="114"/>
      <c r="N2460" s="1"/>
      <c r="O2460" s="1"/>
      <c r="P2460" s="51"/>
    </row>
    <row r="2461">
      <c r="A2461" s="54"/>
      <c r="B2461" s="71"/>
      <c r="C2461" s="51"/>
      <c r="D2461" s="114"/>
      <c r="E2461" s="114"/>
      <c r="F2461" s="54"/>
      <c r="G2461" s="54"/>
      <c r="I2461" s="54"/>
      <c r="K2461" s="54"/>
      <c r="M2461" s="114"/>
      <c r="N2461" s="1"/>
      <c r="O2461" s="1"/>
      <c r="P2461" s="51"/>
    </row>
    <row r="2462">
      <c r="A2462" s="54"/>
      <c r="B2462" s="71"/>
      <c r="C2462" s="51"/>
      <c r="D2462" s="114"/>
      <c r="E2462" s="114"/>
      <c r="F2462" s="54"/>
      <c r="G2462" s="54"/>
      <c r="I2462" s="54"/>
      <c r="K2462" s="54"/>
      <c r="M2462" s="114"/>
      <c r="N2462" s="1"/>
      <c r="O2462" s="1"/>
      <c r="P2462" s="51"/>
    </row>
    <row r="2463">
      <c r="A2463" s="54"/>
      <c r="B2463" s="71"/>
      <c r="C2463" s="51"/>
      <c r="D2463" s="114"/>
      <c r="E2463" s="114"/>
      <c r="F2463" s="54"/>
      <c r="G2463" s="54"/>
      <c r="I2463" s="54"/>
      <c r="K2463" s="54"/>
      <c r="M2463" s="114"/>
      <c r="N2463" s="1"/>
      <c r="O2463" s="1"/>
      <c r="P2463" s="51"/>
    </row>
    <row r="2464">
      <c r="A2464" s="54"/>
      <c r="B2464" s="71"/>
      <c r="C2464" s="51"/>
      <c r="D2464" s="114"/>
      <c r="E2464" s="114"/>
      <c r="F2464" s="54"/>
      <c r="G2464" s="54"/>
      <c r="I2464" s="54"/>
      <c r="K2464" s="54"/>
      <c r="M2464" s="114"/>
      <c r="N2464" s="1"/>
      <c r="O2464" s="1"/>
      <c r="P2464" s="51"/>
    </row>
    <row r="2465">
      <c r="A2465" s="54"/>
      <c r="B2465" s="71"/>
      <c r="C2465" s="51"/>
      <c r="D2465" s="114"/>
      <c r="E2465" s="114"/>
      <c r="F2465" s="54"/>
      <c r="G2465" s="54"/>
      <c r="I2465" s="54"/>
      <c r="K2465" s="54"/>
      <c r="M2465" s="114"/>
      <c r="N2465" s="1"/>
      <c r="O2465" s="1"/>
      <c r="P2465" s="51"/>
    </row>
    <row r="2466">
      <c r="A2466" s="54"/>
      <c r="B2466" s="71"/>
      <c r="C2466" s="51"/>
      <c r="D2466" s="114"/>
      <c r="E2466" s="114"/>
      <c r="F2466" s="54"/>
      <c r="G2466" s="54"/>
      <c r="I2466" s="54"/>
      <c r="K2466" s="54"/>
      <c r="M2466" s="114"/>
      <c r="N2466" s="1"/>
      <c r="O2466" s="1"/>
      <c r="P2466" s="51"/>
    </row>
    <row r="2467">
      <c r="A2467" s="54"/>
      <c r="B2467" s="71"/>
      <c r="C2467" s="51"/>
      <c r="D2467" s="114"/>
      <c r="E2467" s="114"/>
      <c r="F2467" s="54"/>
      <c r="G2467" s="54"/>
      <c r="I2467" s="54"/>
      <c r="K2467" s="54"/>
      <c r="M2467" s="114"/>
      <c r="N2467" s="1"/>
      <c r="O2467" s="1"/>
      <c r="P2467" s="51"/>
    </row>
    <row r="2468">
      <c r="A2468" s="54"/>
      <c r="B2468" s="71"/>
      <c r="C2468" s="51"/>
      <c r="D2468" s="114"/>
      <c r="E2468" s="114"/>
      <c r="F2468" s="54"/>
      <c r="G2468" s="54"/>
      <c r="I2468" s="54"/>
      <c r="K2468" s="54"/>
      <c r="M2468" s="114"/>
      <c r="N2468" s="1"/>
      <c r="O2468" s="1"/>
      <c r="P2468" s="51"/>
    </row>
    <row r="2469">
      <c r="A2469" s="54"/>
      <c r="B2469" s="71"/>
      <c r="C2469" s="51"/>
      <c r="D2469" s="114"/>
      <c r="E2469" s="114"/>
      <c r="F2469" s="54"/>
      <c r="G2469" s="54"/>
      <c r="I2469" s="54"/>
      <c r="K2469" s="54"/>
      <c r="M2469" s="114"/>
      <c r="N2469" s="1"/>
      <c r="O2469" s="1"/>
      <c r="P2469" s="51"/>
    </row>
    <row r="2470">
      <c r="A2470" s="54"/>
      <c r="B2470" s="71"/>
      <c r="C2470" s="51"/>
      <c r="D2470" s="114"/>
      <c r="E2470" s="114"/>
      <c r="F2470" s="54"/>
      <c r="G2470" s="54"/>
      <c r="I2470" s="54"/>
      <c r="K2470" s="54"/>
      <c r="M2470" s="114"/>
      <c r="N2470" s="1"/>
      <c r="O2470" s="1"/>
      <c r="P2470" s="51"/>
    </row>
    <row r="2471">
      <c r="A2471" s="54"/>
      <c r="B2471" s="71"/>
      <c r="C2471" s="51"/>
      <c r="D2471" s="114"/>
      <c r="E2471" s="114"/>
      <c r="F2471" s="54"/>
      <c r="G2471" s="54"/>
      <c r="I2471" s="54"/>
      <c r="K2471" s="54"/>
      <c r="M2471" s="114"/>
      <c r="N2471" s="1"/>
      <c r="O2471" s="1"/>
      <c r="P2471" s="51"/>
    </row>
    <row r="2472">
      <c r="A2472" s="54"/>
      <c r="B2472" s="71"/>
      <c r="C2472" s="51"/>
      <c r="D2472" s="114"/>
      <c r="E2472" s="114"/>
      <c r="F2472" s="54"/>
      <c r="G2472" s="54"/>
      <c r="I2472" s="54"/>
      <c r="K2472" s="54"/>
      <c r="M2472" s="114"/>
      <c r="N2472" s="1"/>
      <c r="O2472" s="1"/>
      <c r="P2472" s="51"/>
    </row>
    <row r="2473">
      <c r="A2473" s="54"/>
      <c r="B2473" s="71"/>
      <c r="C2473" s="51"/>
      <c r="D2473" s="114"/>
      <c r="E2473" s="114"/>
      <c r="F2473" s="54"/>
      <c r="G2473" s="54"/>
      <c r="I2473" s="54"/>
      <c r="K2473" s="54"/>
      <c r="M2473" s="114"/>
      <c r="N2473" s="1"/>
      <c r="O2473" s="1"/>
      <c r="P2473" s="51"/>
    </row>
    <row r="2474">
      <c r="A2474" s="54"/>
      <c r="B2474" s="71"/>
      <c r="C2474" s="51"/>
      <c r="D2474" s="114"/>
      <c r="E2474" s="114"/>
      <c r="F2474" s="54"/>
      <c r="G2474" s="54"/>
      <c r="I2474" s="54"/>
      <c r="K2474" s="54"/>
      <c r="M2474" s="114"/>
      <c r="N2474" s="1"/>
      <c r="O2474" s="1"/>
      <c r="P2474" s="51"/>
    </row>
    <row r="2475">
      <c r="A2475" s="54"/>
      <c r="B2475" s="71"/>
      <c r="C2475" s="51"/>
      <c r="D2475" s="114"/>
      <c r="E2475" s="114"/>
      <c r="F2475" s="54"/>
      <c r="G2475" s="54"/>
      <c r="I2475" s="54"/>
      <c r="K2475" s="54"/>
      <c r="M2475" s="114"/>
      <c r="N2475" s="1"/>
      <c r="O2475" s="1"/>
      <c r="P2475" s="51"/>
    </row>
    <row r="2476">
      <c r="A2476" s="54"/>
      <c r="B2476" s="71"/>
      <c r="C2476" s="51"/>
      <c r="D2476" s="114"/>
      <c r="E2476" s="114"/>
      <c r="F2476" s="54"/>
      <c r="G2476" s="54"/>
      <c r="I2476" s="54"/>
      <c r="K2476" s="54"/>
      <c r="M2476" s="114"/>
      <c r="N2476" s="1"/>
      <c r="O2476" s="1"/>
      <c r="P2476" s="51"/>
    </row>
    <row r="2477">
      <c r="A2477" s="54"/>
      <c r="B2477" s="71"/>
      <c r="C2477" s="51"/>
      <c r="D2477" s="114"/>
      <c r="E2477" s="114"/>
      <c r="F2477" s="54"/>
      <c r="G2477" s="54"/>
      <c r="I2477" s="54"/>
      <c r="K2477" s="54"/>
      <c r="M2477" s="114"/>
      <c r="N2477" s="1"/>
      <c r="O2477" s="1"/>
      <c r="P2477" s="51"/>
    </row>
    <row r="2478">
      <c r="A2478" s="54"/>
      <c r="B2478" s="71"/>
      <c r="C2478" s="51"/>
      <c r="D2478" s="114"/>
      <c r="E2478" s="114"/>
      <c r="F2478" s="54"/>
      <c r="G2478" s="54"/>
      <c r="I2478" s="54"/>
      <c r="K2478" s="54"/>
      <c r="M2478" s="114"/>
      <c r="N2478" s="1"/>
      <c r="O2478" s="1"/>
      <c r="P2478" s="51"/>
    </row>
    <row r="2479">
      <c r="A2479" s="54"/>
      <c r="B2479" s="71"/>
      <c r="C2479" s="51"/>
      <c r="D2479" s="114"/>
      <c r="E2479" s="114"/>
      <c r="F2479" s="54"/>
      <c r="G2479" s="54"/>
      <c r="I2479" s="54"/>
      <c r="K2479" s="54"/>
      <c r="M2479" s="114"/>
      <c r="N2479" s="1"/>
      <c r="O2479" s="1"/>
      <c r="P2479" s="51"/>
    </row>
    <row r="2480">
      <c r="A2480" s="54"/>
      <c r="B2480" s="71"/>
      <c r="C2480" s="51"/>
      <c r="D2480" s="114"/>
      <c r="E2480" s="114"/>
      <c r="F2480" s="54"/>
      <c r="G2480" s="54"/>
      <c r="I2480" s="54"/>
      <c r="K2480" s="54"/>
      <c r="M2480" s="114"/>
      <c r="N2480" s="1"/>
      <c r="O2480" s="1"/>
      <c r="P2480" s="51"/>
    </row>
    <row r="2481">
      <c r="A2481" s="54"/>
      <c r="B2481" s="71"/>
      <c r="C2481" s="51"/>
      <c r="D2481" s="114"/>
      <c r="E2481" s="114"/>
      <c r="F2481" s="54"/>
      <c r="G2481" s="54"/>
      <c r="I2481" s="54"/>
      <c r="K2481" s="54"/>
      <c r="M2481" s="114"/>
      <c r="N2481" s="1"/>
      <c r="O2481" s="1"/>
      <c r="P2481" s="51"/>
    </row>
    <row r="2482">
      <c r="A2482" s="54"/>
      <c r="B2482" s="71"/>
      <c r="C2482" s="51"/>
      <c r="D2482" s="114"/>
      <c r="E2482" s="114"/>
      <c r="F2482" s="54"/>
      <c r="G2482" s="54"/>
      <c r="I2482" s="54"/>
      <c r="K2482" s="54"/>
      <c r="M2482" s="114"/>
      <c r="N2482" s="1"/>
      <c r="O2482" s="1"/>
      <c r="P2482" s="51"/>
    </row>
    <row r="2483">
      <c r="A2483" s="54"/>
      <c r="B2483" s="71"/>
      <c r="C2483" s="51"/>
      <c r="D2483" s="114"/>
      <c r="E2483" s="114"/>
      <c r="F2483" s="54"/>
      <c r="G2483" s="54"/>
      <c r="I2483" s="54"/>
      <c r="K2483" s="54"/>
      <c r="M2483" s="114"/>
      <c r="N2483" s="1"/>
      <c r="O2483" s="1"/>
      <c r="P2483" s="51"/>
    </row>
    <row r="2484">
      <c r="A2484" s="54"/>
      <c r="B2484" s="71"/>
      <c r="C2484" s="51"/>
      <c r="D2484" s="114"/>
      <c r="E2484" s="114"/>
      <c r="F2484" s="54"/>
      <c r="G2484" s="54"/>
      <c r="I2484" s="54"/>
      <c r="K2484" s="54"/>
      <c r="M2484" s="114"/>
      <c r="N2484" s="1"/>
      <c r="O2484" s="1"/>
      <c r="P2484" s="51"/>
    </row>
    <row r="2485">
      <c r="A2485" s="54"/>
      <c r="B2485" s="71"/>
      <c r="C2485" s="51"/>
      <c r="D2485" s="114"/>
      <c r="E2485" s="114"/>
      <c r="F2485" s="54"/>
      <c r="G2485" s="54"/>
      <c r="I2485" s="54"/>
      <c r="K2485" s="54"/>
      <c r="M2485" s="114"/>
      <c r="N2485" s="1"/>
      <c r="O2485" s="1"/>
      <c r="P2485" s="51"/>
    </row>
    <row r="2486">
      <c r="A2486" s="54"/>
      <c r="B2486" s="71"/>
      <c r="C2486" s="51"/>
      <c r="D2486" s="114"/>
      <c r="E2486" s="114"/>
      <c r="F2486" s="54"/>
      <c r="G2486" s="54"/>
      <c r="I2486" s="54"/>
      <c r="K2486" s="54"/>
      <c r="M2486" s="114"/>
      <c r="N2486" s="1"/>
      <c r="O2486" s="1"/>
      <c r="P2486" s="51"/>
    </row>
    <row r="2487">
      <c r="A2487" s="54"/>
      <c r="B2487" s="71"/>
      <c r="C2487" s="51"/>
      <c r="D2487" s="114"/>
      <c r="E2487" s="114"/>
      <c r="F2487" s="54"/>
      <c r="G2487" s="54"/>
      <c r="I2487" s="54"/>
      <c r="K2487" s="54"/>
      <c r="M2487" s="114"/>
      <c r="N2487" s="1"/>
      <c r="O2487" s="1"/>
      <c r="P2487" s="51"/>
    </row>
    <row r="2488">
      <c r="A2488" s="54"/>
      <c r="B2488" s="71"/>
      <c r="C2488" s="51"/>
      <c r="D2488" s="114"/>
      <c r="E2488" s="114"/>
      <c r="F2488" s="54"/>
      <c r="G2488" s="54"/>
      <c r="I2488" s="54"/>
      <c r="K2488" s="54"/>
      <c r="M2488" s="114"/>
      <c r="N2488" s="1"/>
      <c r="O2488" s="1"/>
      <c r="P2488" s="51"/>
    </row>
    <row r="2489">
      <c r="A2489" s="54"/>
      <c r="B2489" s="71"/>
      <c r="C2489" s="51"/>
      <c r="D2489" s="114"/>
      <c r="E2489" s="114"/>
      <c r="F2489" s="54"/>
      <c r="G2489" s="54"/>
      <c r="I2489" s="54"/>
      <c r="K2489" s="54"/>
      <c r="M2489" s="114"/>
      <c r="N2489" s="1"/>
      <c r="O2489" s="1"/>
      <c r="P2489" s="51"/>
    </row>
    <row r="2490">
      <c r="A2490" s="54"/>
      <c r="B2490" s="71"/>
      <c r="C2490" s="51"/>
      <c r="D2490" s="114"/>
      <c r="E2490" s="114"/>
      <c r="F2490" s="54"/>
      <c r="G2490" s="54"/>
      <c r="I2490" s="54"/>
      <c r="K2490" s="54"/>
      <c r="M2490" s="114"/>
      <c r="N2490" s="1"/>
      <c r="O2490" s="1"/>
      <c r="P2490" s="51"/>
    </row>
    <row r="2491">
      <c r="A2491" s="54"/>
      <c r="B2491" s="71"/>
      <c r="C2491" s="51"/>
      <c r="D2491" s="114"/>
      <c r="E2491" s="114"/>
      <c r="F2491" s="54"/>
      <c r="G2491" s="54"/>
      <c r="I2491" s="54"/>
      <c r="K2491" s="54"/>
      <c r="M2491" s="114"/>
      <c r="N2491" s="1"/>
      <c r="O2491" s="1"/>
      <c r="P2491" s="51"/>
    </row>
    <row r="2492">
      <c r="A2492" s="54"/>
      <c r="B2492" s="71"/>
      <c r="C2492" s="51"/>
      <c r="D2492" s="114"/>
      <c r="E2492" s="114"/>
      <c r="F2492" s="54"/>
      <c r="G2492" s="54"/>
      <c r="I2492" s="54"/>
      <c r="K2492" s="54"/>
      <c r="M2492" s="114"/>
      <c r="N2492" s="1"/>
      <c r="O2492" s="1"/>
      <c r="P2492" s="51"/>
    </row>
    <row r="2493">
      <c r="A2493" s="54"/>
      <c r="B2493" s="71"/>
      <c r="C2493" s="51"/>
      <c r="D2493" s="114"/>
      <c r="E2493" s="114"/>
      <c r="F2493" s="54"/>
      <c r="G2493" s="54"/>
      <c r="I2493" s="54"/>
      <c r="K2493" s="54"/>
      <c r="M2493" s="114"/>
      <c r="N2493" s="1"/>
      <c r="O2493" s="1"/>
      <c r="P2493" s="51"/>
    </row>
    <row r="2494">
      <c r="A2494" s="54"/>
      <c r="B2494" s="71"/>
      <c r="C2494" s="51"/>
      <c r="D2494" s="114"/>
      <c r="E2494" s="114"/>
      <c r="F2494" s="54"/>
      <c r="G2494" s="54"/>
      <c r="I2494" s="54"/>
      <c r="K2494" s="54"/>
      <c r="M2494" s="114"/>
      <c r="N2494" s="1"/>
      <c r="O2494" s="1"/>
      <c r="P2494" s="51"/>
    </row>
    <row r="2495">
      <c r="A2495" s="54"/>
      <c r="B2495" s="71"/>
      <c r="C2495" s="51"/>
      <c r="D2495" s="114"/>
      <c r="E2495" s="114"/>
      <c r="F2495" s="54"/>
      <c r="G2495" s="54"/>
      <c r="I2495" s="54"/>
      <c r="K2495" s="54"/>
      <c r="M2495" s="114"/>
      <c r="N2495" s="1"/>
      <c r="O2495" s="1"/>
      <c r="P2495" s="51"/>
    </row>
    <row r="2496">
      <c r="A2496" s="54"/>
      <c r="B2496" s="71"/>
      <c r="C2496" s="51"/>
      <c r="D2496" s="114"/>
      <c r="E2496" s="114"/>
      <c r="F2496" s="54"/>
      <c r="G2496" s="54"/>
      <c r="I2496" s="54"/>
      <c r="K2496" s="54"/>
      <c r="M2496" s="114"/>
      <c r="N2496" s="1"/>
      <c r="O2496" s="1"/>
      <c r="P2496" s="51"/>
    </row>
    <row r="2497">
      <c r="A2497" s="54"/>
      <c r="B2497" s="71"/>
      <c r="C2497" s="51"/>
      <c r="D2497" s="114"/>
      <c r="E2497" s="114"/>
      <c r="F2497" s="54"/>
      <c r="G2497" s="54"/>
      <c r="I2497" s="54"/>
      <c r="K2497" s="54"/>
      <c r="M2497" s="114"/>
      <c r="N2497" s="1"/>
      <c r="O2497" s="1"/>
      <c r="P2497" s="51"/>
    </row>
    <row r="2498">
      <c r="A2498" s="54"/>
      <c r="B2498" s="71"/>
      <c r="C2498" s="51"/>
      <c r="D2498" s="114"/>
      <c r="E2498" s="114"/>
      <c r="F2498" s="54"/>
      <c r="G2498" s="54"/>
      <c r="I2498" s="54"/>
      <c r="K2498" s="54"/>
      <c r="M2498" s="114"/>
      <c r="N2498" s="1"/>
      <c r="O2498" s="1"/>
      <c r="P2498" s="51"/>
    </row>
    <row r="2499">
      <c r="A2499" s="54"/>
      <c r="B2499" s="71"/>
      <c r="C2499" s="51"/>
      <c r="D2499" s="114"/>
      <c r="E2499" s="114"/>
      <c r="F2499" s="54"/>
      <c r="G2499" s="54"/>
      <c r="I2499" s="54"/>
      <c r="K2499" s="54"/>
      <c r="M2499" s="114"/>
      <c r="N2499" s="1"/>
      <c r="O2499" s="1"/>
      <c r="P2499" s="51"/>
    </row>
    <row r="2500">
      <c r="A2500" s="54"/>
      <c r="B2500" s="71"/>
      <c r="C2500" s="51"/>
      <c r="D2500" s="114"/>
      <c r="E2500" s="114"/>
      <c r="F2500" s="54"/>
      <c r="G2500" s="54"/>
      <c r="I2500" s="54"/>
      <c r="K2500" s="54"/>
      <c r="M2500" s="114"/>
      <c r="N2500" s="1"/>
      <c r="O2500" s="1"/>
      <c r="P2500" s="51"/>
    </row>
    <row r="2501">
      <c r="A2501" s="54"/>
      <c r="B2501" s="71"/>
      <c r="C2501" s="51"/>
      <c r="D2501" s="114"/>
      <c r="E2501" s="114"/>
      <c r="F2501" s="54"/>
      <c r="G2501" s="54"/>
      <c r="I2501" s="54"/>
      <c r="K2501" s="54"/>
      <c r="M2501" s="114"/>
      <c r="N2501" s="1"/>
      <c r="O2501" s="1"/>
      <c r="P2501" s="51"/>
    </row>
    <row r="2502">
      <c r="A2502" s="54"/>
      <c r="B2502" s="71"/>
      <c r="C2502" s="51"/>
      <c r="D2502" s="114"/>
      <c r="E2502" s="114"/>
      <c r="F2502" s="54"/>
      <c r="G2502" s="54"/>
      <c r="I2502" s="54"/>
      <c r="K2502" s="54"/>
      <c r="M2502" s="114"/>
      <c r="N2502" s="1"/>
      <c r="O2502" s="1"/>
      <c r="P2502" s="51"/>
    </row>
    <row r="2503">
      <c r="A2503" s="54"/>
      <c r="B2503" s="71"/>
      <c r="C2503" s="51"/>
      <c r="D2503" s="114"/>
      <c r="E2503" s="114"/>
      <c r="F2503" s="54"/>
      <c r="G2503" s="54"/>
      <c r="I2503" s="54"/>
      <c r="K2503" s="54"/>
      <c r="M2503" s="114"/>
      <c r="N2503" s="1"/>
      <c r="O2503" s="1"/>
      <c r="P2503" s="51"/>
    </row>
    <row r="2504">
      <c r="A2504" s="54"/>
      <c r="B2504" s="71"/>
      <c r="C2504" s="51"/>
      <c r="D2504" s="114"/>
      <c r="E2504" s="114"/>
      <c r="F2504" s="54"/>
      <c r="G2504" s="54"/>
      <c r="I2504" s="54"/>
      <c r="K2504" s="54"/>
      <c r="M2504" s="114"/>
      <c r="N2504" s="1"/>
      <c r="O2504" s="1"/>
      <c r="P2504" s="51"/>
    </row>
    <row r="2505">
      <c r="A2505" s="54"/>
      <c r="B2505" s="71"/>
      <c r="C2505" s="51"/>
      <c r="D2505" s="114"/>
      <c r="E2505" s="114"/>
      <c r="F2505" s="54"/>
      <c r="G2505" s="54"/>
      <c r="I2505" s="54"/>
      <c r="K2505" s="54"/>
      <c r="M2505" s="114"/>
      <c r="N2505" s="1"/>
      <c r="O2505" s="1"/>
      <c r="P2505" s="51"/>
    </row>
    <row r="2506">
      <c r="A2506" s="54"/>
      <c r="B2506" s="71"/>
      <c r="C2506" s="51"/>
      <c r="D2506" s="114"/>
      <c r="E2506" s="114"/>
      <c r="F2506" s="54"/>
      <c r="G2506" s="54"/>
      <c r="I2506" s="54"/>
      <c r="K2506" s="54"/>
      <c r="M2506" s="114"/>
      <c r="N2506" s="1"/>
      <c r="O2506" s="1"/>
      <c r="P2506" s="51"/>
    </row>
    <row r="2507">
      <c r="A2507" s="54"/>
      <c r="B2507" s="71"/>
      <c r="C2507" s="51"/>
      <c r="D2507" s="114"/>
      <c r="E2507" s="114"/>
      <c r="F2507" s="54"/>
      <c r="G2507" s="54"/>
      <c r="I2507" s="54"/>
      <c r="K2507" s="54"/>
      <c r="M2507" s="114"/>
      <c r="N2507" s="1"/>
      <c r="O2507" s="1"/>
      <c r="P2507" s="51"/>
    </row>
    <row r="2508">
      <c r="A2508" s="54"/>
      <c r="B2508" s="71"/>
      <c r="C2508" s="51"/>
      <c r="D2508" s="114"/>
      <c r="E2508" s="114"/>
      <c r="F2508" s="54"/>
      <c r="G2508" s="54"/>
      <c r="I2508" s="54"/>
      <c r="K2508" s="54"/>
      <c r="M2508" s="114"/>
      <c r="N2508" s="1"/>
      <c r="O2508" s="1"/>
      <c r="P2508" s="51"/>
    </row>
    <row r="2509">
      <c r="A2509" s="54"/>
      <c r="B2509" s="71"/>
      <c r="C2509" s="51"/>
      <c r="D2509" s="114"/>
      <c r="E2509" s="114"/>
      <c r="F2509" s="54"/>
      <c r="G2509" s="54"/>
      <c r="I2509" s="54"/>
      <c r="K2509" s="54"/>
      <c r="M2509" s="114"/>
      <c r="N2509" s="1"/>
      <c r="O2509" s="1"/>
      <c r="P2509" s="51"/>
    </row>
    <row r="2510">
      <c r="A2510" s="54"/>
      <c r="B2510" s="71"/>
      <c r="C2510" s="51"/>
      <c r="D2510" s="114"/>
      <c r="E2510" s="114"/>
      <c r="F2510" s="54"/>
      <c r="G2510" s="54"/>
      <c r="I2510" s="54"/>
      <c r="K2510" s="54"/>
      <c r="M2510" s="114"/>
      <c r="N2510" s="1"/>
      <c r="O2510" s="1"/>
      <c r="P2510" s="51"/>
    </row>
    <row r="2511">
      <c r="A2511" s="54"/>
      <c r="B2511" s="71"/>
      <c r="C2511" s="51"/>
      <c r="D2511" s="114"/>
      <c r="E2511" s="114"/>
      <c r="F2511" s="54"/>
      <c r="G2511" s="54"/>
      <c r="I2511" s="54"/>
      <c r="K2511" s="54"/>
      <c r="M2511" s="114"/>
      <c r="N2511" s="1"/>
      <c r="O2511" s="1"/>
      <c r="P2511" s="51"/>
    </row>
    <row r="2512">
      <c r="A2512" s="54"/>
      <c r="B2512" s="71"/>
      <c r="C2512" s="51"/>
      <c r="D2512" s="114"/>
      <c r="E2512" s="114"/>
      <c r="F2512" s="54"/>
      <c r="G2512" s="54"/>
      <c r="I2512" s="54"/>
      <c r="K2512" s="54"/>
      <c r="M2512" s="114"/>
      <c r="N2512" s="1"/>
      <c r="O2512" s="1"/>
      <c r="P2512" s="51"/>
    </row>
    <row r="2513">
      <c r="A2513" s="54"/>
      <c r="B2513" s="71"/>
      <c r="C2513" s="51"/>
      <c r="D2513" s="114"/>
      <c r="E2513" s="114"/>
      <c r="F2513" s="54"/>
      <c r="G2513" s="54"/>
      <c r="I2513" s="54"/>
      <c r="K2513" s="54"/>
      <c r="M2513" s="114"/>
      <c r="N2513" s="1"/>
      <c r="O2513" s="1"/>
      <c r="P2513" s="51"/>
    </row>
    <row r="2514">
      <c r="A2514" s="54"/>
      <c r="B2514" s="71"/>
      <c r="C2514" s="51"/>
      <c r="D2514" s="114"/>
      <c r="E2514" s="114"/>
      <c r="F2514" s="54"/>
      <c r="G2514" s="54"/>
      <c r="I2514" s="54"/>
      <c r="K2514" s="54"/>
      <c r="M2514" s="114"/>
      <c r="N2514" s="1"/>
      <c r="O2514" s="1"/>
      <c r="P2514" s="51"/>
    </row>
    <row r="2515">
      <c r="A2515" s="54"/>
      <c r="B2515" s="71"/>
      <c r="C2515" s="51"/>
      <c r="D2515" s="114"/>
      <c r="E2515" s="114"/>
      <c r="F2515" s="54"/>
      <c r="G2515" s="54"/>
      <c r="I2515" s="54"/>
      <c r="K2515" s="54"/>
      <c r="M2515" s="114"/>
      <c r="N2515" s="1"/>
      <c r="O2515" s="1"/>
      <c r="P2515" s="51"/>
    </row>
    <row r="2516">
      <c r="A2516" s="54"/>
      <c r="B2516" s="71"/>
      <c r="C2516" s="51"/>
      <c r="D2516" s="114"/>
      <c r="E2516" s="114"/>
      <c r="F2516" s="54"/>
      <c r="G2516" s="54"/>
      <c r="I2516" s="54"/>
      <c r="K2516" s="54"/>
      <c r="M2516" s="114"/>
      <c r="N2516" s="1"/>
      <c r="O2516" s="1"/>
      <c r="P2516" s="51"/>
    </row>
    <row r="2517">
      <c r="A2517" s="54"/>
      <c r="B2517" s="71"/>
      <c r="C2517" s="51"/>
      <c r="D2517" s="114"/>
      <c r="E2517" s="114"/>
      <c r="F2517" s="54"/>
      <c r="G2517" s="54"/>
      <c r="I2517" s="54"/>
      <c r="K2517" s="54"/>
      <c r="M2517" s="114"/>
      <c r="N2517" s="1"/>
      <c r="O2517" s="1"/>
      <c r="P2517" s="51"/>
    </row>
    <row r="2518">
      <c r="A2518" s="54"/>
      <c r="B2518" s="71"/>
      <c r="C2518" s="51"/>
      <c r="D2518" s="114"/>
      <c r="E2518" s="114"/>
      <c r="F2518" s="54"/>
      <c r="G2518" s="54"/>
      <c r="I2518" s="54"/>
      <c r="K2518" s="54"/>
      <c r="M2518" s="114"/>
      <c r="N2518" s="1"/>
      <c r="O2518" s="1"/>
      <c r="P2518" s="51"/>
    </row>
    <row r="2519">
      <c r="A2519" s="54"/>
      <c r="B2519" s="71"/>
      <c r="C2519" s="51"/>
      <c r="D2519" s="114"/>
      <c r="E2519" s="114"/>
      <c r="F2519" s="54"/>
      <c r="G2519" s="54"/>
      <c r="I2519" s="54"/>
      <c r="K2519" s="54"/>
      <c r="M2519" s="114"/>
      <c r="N2519" s="1"/>
      <c r="O2519" s="1"/>
      <c r="P2519" s="51"/>
    </row>
    <row r="2520">
      <c r="A2520" s="54"/>
      <c r="B2520" s="71"/>
      <c r="C2520" s="51"/>
      <c r="D2520" s="114"/>
      <c r="E2520" s="114"/>
      <c r="F2520" s="54"/>
      <c r="G2520" s="54"/>
      <c r="I2520" s="54"/>
      <c r="K2520" s="54"/>
      <c r="M2520" s="114"/>
      <c r="N2520" s="1"/>
      <c r="O2520" s="1"/>
      <c r="P2520" s="51"/>
    </row>
    <row r="2521">
      <c r="A2521" s="54"/>
      <c r="B2521" s="71"/>
      <c r="C2521" s="51"/>
      <c r="D2521" s="114"/>
      <c r="E2521" s="114"/>
      <c r="F2521" s="54"/>
      <c r="G2521" s="54"/>
      <c r="I2521" s="54"/>
      <c r="K2521" s="54"/>
      <c r="M2521" s="114"/>
      <c r="N2521" s="1"/>
      <c r="O2521" s="1"/>
      <c r="P2521" s="51"/>
    </row>
    <row r="2522">
      <c r="A2522" s="54"/>
      <c r="B2522" s="71"/>
      <c r="C2522" s="51"/>
      <c r="D2522" s="114"/>
      <c r="E2522" s="114"/>
      <c r="F2522" s="54"/>
      <c r="G2522" s="54"/>
      <c r="I2522" s="54"/>
      <c r="K2522" s="54"/>
      <c r="M2522" s="114"/>
      <c r="N2522" s="1"/>
      <c r="O2522" s="1"/>
      <c r="P2522" s="51"/>
    </row>
    <row r="2523">
      <c r="A2523" s="54"/>
      <c r="B2523" s="71"/>
      <c r="C2523" s="51"/>
      <c r="D2523" s="114"/>
      <c r="E2523" s="114"/>
      <c r="F2523" s="54"/>
      <c r="G2523" s="54"/>
      <c r="I2523" s="54"/>
      <c r="K2523" s="54"/>
      <c r="M2523" s="114"/>
      <c r="N2523" s="1"/>
      <c r="O2523" s="1"/>
      <c r="P2523" s="51"/>
    </row>
    <row r="2524">
      <c r="A2524" s="54"/>
      <c r="B2524" s="71"/>
      <c r="C2524" s="51"/>
      <c r="D2524" s="114"/>
      <c r="E2524" s="114"/>
      <c r="F2524" s="54"/>
      <c r="G2524" s="54"/>
      <c r="I2524" s="54"/>
      <c r="K2524" s="54"/>
      <c r="M2524" s="114"/>
      <c r="N2524" s="1"/>
      <c r="O2524" s="1"/>
      <c r="P2524" s="51"/>
    </row>
    <row r="2525">
      <c r="A2525" s="54"/>
      <c r="B2525" s="71"/>
      <c r="C2525" s="51"/>
      <c r="D2525" s="114"/>
      <c r="E2525" s="114"/>
      <c r="F2525" s="54"/>
      <c r="G2525" s="54"/>
      <c r="I2525" s="54"/>
      <c r="K2525" s="54"/>
      <c r="M2525" s="114"/>
      <c r="N2525" s="1"/>
      <c r="O2525" s="1"/>
      <c r="P2525" s="51"/>
    </row>
    <row r="2526">
      <c r="A2526" s="54"/>
      <c r="B2526" s="71"/>
      <c r="C2526" s="51"/>
      <c r="D2526" s="114"/>
      <c r="E2526" s="114"/>
      <c r="F2526" s="54"/>
      <c r="G2526" s="54"/>
      <c r="I2526" s="54"/>
      <c r="K2526" s="54"/>
      <c r="M2526" s="114"/>
      <c r="N2526" s="1"/>
      <c r="O2526" s="1"/>
      <c r="P2526" s="51"/>
    </row>
    <row r="2527">
      <c r="A2527" s="54"/>
      <c r="B2527" s="71"/>
      <c r="C2527" s="51"/>
      <c r="D2527" s="114"/>
      <c r="E2527" s="114"/>
      <c r="F2527" s="54"/>
      <c r="G2527" s="54"/>
      <c r="I2527" s="54"/>
      <c r="K2527" s="54"/>
      <c r="M2527" s="114"/>
      <c r="N2527" s="1"/>
      <c r="O2527" s="1"/>
      <c r="P2527" s="51"/>
    </row>
    <row r="2528">
      <c r="A2528" s="54"/>
      <c r="B2528" s="71"/>
      <c r="C2528" s="51"/>
      <c r="D2528" s="114"/>
      <c r="E2528" s="114"/>
      <c r="F2528" s="54"/>
      <c r="G2528" s="54"/>
      <c r="I2528" s="54"/>
      <c r="K2528" s="54"/>
      <c r="M2528" s="114"/>
      <c r="N2528" s="1"/>
      <c r="O2528" s="1"/>
      <c r="P2528" s="51"/>
    </row>
    <row r="2529">
      <c r="A2529" s="54"/>
      <c r="B2529" s="71"/>
      <c r="C2529" s="51"/>
      <c r="D2529" s="114"/>
      <c r="E2529" s="114"/>
      <c r="F2529" s="54"/>
      <c r="G2529" s="54"/>
      <c r="I2529" s="54"/>
      <c r="K2529" s="54"/>
      <c r="M2529" s="114"/>
      <c r="N2529" s="1"/>
      <c r="O2529" s="1"/>
      <c r="P2529" s="51"/>
    </row>
    <row r="2530">
      <c r="A2530" s="54"/>
      <c r="B2530" s="71"/>
      <c r="C2530" s="51"/>
      <c r="D2530" s="114"/>
      <c r="E2530" s="114"/>
      <c r="F2530" s="54"/>
      <c r="G2530" s="54"/>
      <c r="I2530" s="54"/>
      <c r="K2530" s="54"/>
      <c r="M2530" s="114"/>
      <c r="N2530" s="1"/>
      <c r="O2530" s="1"/>
      <c r="P2530" s="51"/>
    </row>
    <row r="2531">
      <c r="A2531" s="54"/>
      <c r="B2531" s="71"/>
      <c r="C2531" s="51"/>
      <c r="D2531" s="114"/>
      <c r="E2531" s="114"/>
      <c r="F2531" s="54"/>
      <c r="G2531" s="54"/>
      <c r="I2531" s="54"/>
      <c r="K2531" s="54"/>
      <c r="M2531" s="114"/>
      <c r="N2531" s="1"/>
      <c r="O2531" s="1"/>
      <c r="P2531" s="51"/>
    </row>
    <row r="2532">
      <c r="A2532" s="54"/>
      <c r="B2532" s="71"/>
      <c r="C2532" s="51"/>
      <c r="D2532" s="114"/>
      <c r="E2532" s="114"/>
      <c r="F2532" s="54"/>
      <c r="G2532" s="54"/>
      <c r="I2532" s="54"/>
      <c r="K2532" s="54"/>
      <c r="M2532" s="114"/>
      <c r="N2532" s="1"/>
      <c r="O2532" s="1"/>
      <c r="P2532" s="51"/>
    </row>
    <row r="2533">
      <c r="A2533" s="54"/>
      <c r="B2533" s="71"/>
      <c r="C2533" s="51"/>
      <c r="D2533" s="114"/>
      <c r="E2533" s="114"/>
      <c r="F2533" s="54"/>
      <c r="G2533" s="54"/>
      <c r="I2533" s="54"/>
      <c r="K2533" s="54"/>
      <c r="M2533" s="114"/>
      <c r="N2533" s="1"/>
      <c r="O2533" s="1"/>
      <c r="P2533" s="51"/>
    </row>
    <row r="2534">
      <c r="A2534" s="54"/>
      <c r="B2534" s="71"/>
      <c r="C2534" s="51"/>
      <c r="D2534" s="114"/>
      <c r="E2534" s="114"/>
      <c r="F2534" s="54"/>
      <c r="G2534" s="54"/>
      <c r="I2534" s="54"/>
      <c r="K2534" s="54"/>
      <c r="M2534" s="114"/>
      <c r="N2534" s="1"/>
      <c r="O2534" s="1"/>
      <c r="P2534" s="51"/>
    </row>
    <row r="2535">
      <c r="A2535" s="54"/>
      <c r="B2535" s="71"/>
      <c r="C2535" s="51"/>
      <c r="D2535" s="114"/>
      <c r="E2535" s="114"/>
      <c r="F2535" s="54"/>
      <c r="G2535" s="54"/>
      <c r="I2535" s="54"/>
      <c r="K2535" s="54"/>
      <c r="M2535" s="114"/>
      <c r="N2535" s="1"/>
      <c r="O2535" s="1"/>
      <c r="P2535" s="51"/>
    </row>
    <row r="2536">
      <c r="A2536" s="54"/>
      <c r="B2536" s="71"/>
      <c r="C2536" s="51"/>
      <c r="D2536" s="114"/>
      <c r="E2536" s="114"/>
      <c r="F2536" s="54"/>
      <c r="G2536" s="54"/>
      <c r="I2536" s="54"/>
      <c r="K2536" s="54"/>
      <c r="M2536" s="114"/>
      <c r="N2536" s="1"/>
      <c r="O2536" s="1"/>
      <c r="P2536" s="51"/>
    </row>
    <row r="2537">
      <c r="A2537" s="54"/>
      <c r="B2537" s="71"/>
      <c r="C2537" s="51"/>
      <c r="D2537" s="114"/>
      <c r="E2537" s="114"/>
      <c r="F2537" s="54"/>
      <c r="G2537" s="54"/>
      <c r="I2537" s="54"/>
      <c r="K2537" s="54"/>
      <c r="M2537" s="114"/>
      <c r="N2537" s="1"/>
      <c r="O2537" s="1"/>
      <c r="P2537" s="51"/>
    </row>
    <row r="2538">
      <c r="A2538" s="54"/>
      <c r="B2538" s="71"/>
      <c r="C2538" s="51"/>
      <c r="D2538" s="114"/>
      <c r="E2538" s="114"/>
      <c r="F2538" s="54"/>
      <c r="G2538" s="54"/>
      <c r="I2538" s="54"/>
      <c r="K2538" s="54"/>
      <c r="M2538" s="114"/>
      <c r="N2538" s="1"/>
      <c r="O2538" s="1"/>
      <c r="P2538" s="51"/>
    </row>
    <row r="2539">
      <c r="A2539" s="54"/>
      <c r="B2539" s="71"/>
      <c r="C2539" s="51"/>
      <c r="D2539" s="114"/>
      <c r="E2539" s="114"/>
      <c r="F2539" s="54"/>
      <c r="G2539" s="54"/>
      <c r="I2539" s="54"/>
      <c r="K2539" s="54"/>
      <c r="M2539" s="114"/>
      <c r="N2539" s="1"/>
      <c r="O2539" s="1"/>
      <c r="P2539" s="51"/>
    </row>
    <row r="2540">
      <c r="A2540" s="54"/>
      <c r="B2540" s="71"/>
      <c r="C2540" s="51"/>
      <c r="D2540" s="114"/>
      <c r="E2540" s="114"/>
      <c r="F2540" s="54"/>
      <c r="G2540" s="54"/>
      <c r="I2540" s="54"/>
      <c r="K2540" s="54"/>
      <c r="M2540" s="114"/>
      <c r="N2540" s="1"/>
      <c r="O2540" s="1"/>
      <c r="P2540" s="51"/>
    </row>
    <row r="2541">
      <c r="A2541" s="54"/>
      <c r="B2541" s="71"/>
      <c r="C2541" s="51"/>
      <c r="D2541" s="114"/>
      <c r="E2541" s="114"/>
      <c r="F2541" s="54"/>
      <c r="G2541" s="54"/>
      <c r="I2541" s="54"/>
      <c r="K2541" s="54"/>
      <c r="M2541" s="114"/>
      <c r="N2541" s="1"/>
      <c r="O2541" s="1"/>
      <c r="P2541" s="51"/>
    </row>
    <row r="2542">
      <c r="A2542" s="54"/>
      <c r="B2542" s="71"/>
      <c r="C2542" s="51"/>
      <c r="D2542" s="114"/>
      <c r="E2542" s="114"/>
      <c r="F2542" s="54"/>
      <c r="G2542" s="54"/>
      <c r="I2542" s="54"/>
      <c r="K2542" s="54"/>
      <c r="M2542" s="114"/>
      <c r="N2542" s="1"/>
      <c r="O2542" s="1"/>
      <c r="P2542" s="51"/>
    </row>
    <row r="2543">
      <c r="A2543" s="54"/>
      <c r="B2543" s="71"/>
      <c r="C2543" s="51"/>
      <c r="D2543" s="114"/>
      <c r="E2543" s="114"/>
      <c r="F2543" s="54"/>
      <c r="G2543" s="54"/>
      <c r="I2543" s="54"/>
      <c r="K2543" s="54"/>
      <c r="M2543" s="114"/>
      <c r="N2543" s="1"/>
      <c r="O2543" s="1"/>
      <c r="P2543" s="51"/>
    </row>
    <row r="2544">
      <c r="A2544" s="54"/>
      <c r="B2544" s="71"/>
      <c r="C2544" s="51"/>
      <c r="D2544" s="114"/>
      <c r="E2544" s="114"/>
      <c r="F2544" s="54"/>
      <c r="G2544" s="54"/>
      <c r="I2544" s="54"/>
      <c r="K2544" s="54"/>
      <c r="M2544" s="114"/>
      <c r="N2544" s="1"/>
      <c r="O2544" s="1"/>
      <c r="P2544" s="51"/>
    </row>
    <row r="2545">
      <c r="A2545" s="54"/>
      <c r="B2545" s="71"/>
      <c r="C2545" s="51"/>
      <c r="D2545" s="114"/>
      <c r="E2545" s="114"/>
      <c r="F2545" s="54"/>
      <c r="G2545" s="54"/>
      <c r="I2545" s="54"/>
      <c r="K2545" s="54"/>
      <c r="M2545" s="114"/>
      <c r="N2545" s="1"/>
      <c r="O2545" s="1"/>
      <c r="P2545" s="51"/>
    </row>
    <row r="2546">
      <c r="A2546" s="54"/>
      <c r="B2546" s="71"/>
      <c r="C2546" s="51"/>
      <c r="D2546" s="114"/>
      <c r="E2546" s="114"/>
      <c r="F2546" s="54"/>
      <c r="G2546" s="54"/>
      <c r="I2546" s="54"/>
      <c r="K2546" s="54"/>
      <c r="M2546" s="114"/>
      <c r="N2546" s="1"/>
      <c r="O2546" s="1"/>
      <c r="P2546" s="51"/>
    </row>
    <row r="2547">
      <c r="A2547" s="54"/>
      <c r="B2547" s="71"/>
      <c r="C2547" s="51"/>
      <c r="D2547" s="114"/>
      <c r="E2547" s="114"/>
      <c r="F2547" s="54"/>
      <c r="G2547" s="54"/>
      <c r="I2547" s="54"/>
      <c r="K2547" s="54"/>
      <c r="M2547" s="114"/>
      <c r="N2547" s="1"/>
      <c r="O2547" s="1"/>
      <c r="P2547" s="51"/>
    </row>
    <row r="2548">
      <c r="A2548" s="54"/>
      <c r="B2548" s="71"/>
      <c r="C2548" s="51"/>
      <c r="D2548" s="114"/>
      <c r="E2548" s="114"/>
      <c r="F2548" s="54"/>
      <c r="G2548" s="54"/>
      <c r="I2548" s="54"/>
      <c r="K2548" s="54"/>
      <c r="M2548" s="114"/>
      <c r="N2548" s="1"/>
      <c r="O2548" s="1"/>
      <c r="P2548" s="51"/>
    </row>
    <row r="2549">
      <c r="A2549" s="54"/>
      <c r="B2549" s="71"/>
      <c r="C2549" s="51"/>
      <c r="D2549" s="114"/>
      <c r="E2549" s="114"/>
      <c r="F2549" s="54"/>
      <c r="G2549" s="54"/>
      <c r="I2549" s="54"/>
      <c r="K2549" s="54"/>
      <c r="M2549" s="114"/>
      <c r="N2549" s="1"/>
      <c r="O2549" s="1"/>
      <c r="P2549" s="51"/>
    </row>
    <row r="2550">
      <c r="A2550" s="54"/>
      <c r="B2550" s="71"/>
      <c r="C2550" s="51"/>
      <c r="D2550" s="114"/>
      <c r="E2550" s="114"/>
      <c r="F2550" s="54"/>
      <c r="G2550" s="54"/>
      <c r="I2550" s="54"/>
      <c r="K2550" s="54"/>
      <c r="M2550" s="114"/>
      <c r="N2550" s="1"/>
      <c r="O2550" s="1"/>
      <c r="P2550" s="51"/>
    </row>
    <row r="2551">
      <c r="A2551" s="54"/>
      <c r="B2551" s="71"/>
      <c r="C2551" s="51"/>
      <c r="D2551" s="114"/>
      <c r="E2551" s="114"/>
      <c r="F2551" s="54"/>
      <c r="G2551" s="54"/>
      <c r="I2551" s="54"/>
      <c r="K2551" s="54"/>
      <c r="M2551" s="114"/>
      <c r="N2551" s="1"/>
      <c r="O2551" s="1"/>
      <c r="P2551" s="51"/>
    </row>
    <row r="2552">
      <c r="A2552" s="54"/>
      <c r="B2552" s="71"/>
      <c r="C2552" s="51"/>
      <c r="D2552" s="114"/>
      <c r="E2552" s="114"/>
      <c r="F2552" s="54"/>
      <c r="G2552" s="54"/>
      <c r="I2552" s="54"/>
      <c r="K2552" s="54"/>
      <c r="M2552" s="114"/>
      <c r="N2552" s="1"/>
      <c r="O2552" s="1"/>
      <c r="P2552" s="51"/>
    </row>
    <row r="2553">
      <c r="A2553" s="54"/>
      <c r="B2553" s="71"/>
      <c r="C2553" s="51"/>
      <c r="D2553" s="114"/>
      <c r="E2553" s="114"/>
      <c r="F2553" s="54"/>
      <c r="G2553" s="54"/>
      <c r="I2553" s="54"/>
      <c r="K2553" s="54"/>
      <c r="M2553" s="114"/>
      <c r="N2553" s="1"/>
      <c r="O2553" s="1"/>
      <c r="P2553" s="51"/>
    </row>
    <row r="2554">
      <c r="A2554" s="54"/>
      <c r="B2554" s="71"/>
      <c r="C2554" s="51"/>
      <c r="D2554" s="114"/>
      <c r="E2554" s="114"/>
      <c r="F2554" s="54"/>
      <c r="G2554" s="54"/>
      <c r="I2554" s="54"/>
      <c r="K2554" s="54"/>
      <c r="M2554" s="114"/>
      <c r="N2554" s="1"/>
      <c r="O2554" s="1"/>
      <c r="P2554" s="51"/>
    </row>
    <row r="2555">
      <c r="A2555" s="54"/>
      <c r="B2555" s="71"/>
      <c r="C2555" s="51"/>
      <c r="D2555" s="114"/>
      <c r="E2555" s="114"/>
      <c r="F2555" s="54"/>
      <c r="G2555" s="54"/>
      <c r="I2555" s="54"/>
      <c r="K2555" s="54"/>
      <c r="M2555" s="114"/>
      <c r="N2555" s="1"/>
      <c r="O2555" s="1"/>
      <c r="P2555" s="51"/>
    </row>
    <row r="2556">
      <c r="A2556" s="54"/>
      <c r="B2556" s="71"/>
      <c r="C2556" s="51"/>
      <c r="D2556" s="114"/>
      <c r="E2556" s="114"/>
      <c r="F2556" s="54"/>
      <c r="G2556" s="54"/>
      <c r="I2556" s="54"/>
      <c r="K2556" s="54"/>
      <c r="M2556" s="114"/>
      <c r="N2556" s="1"/>
      <c r="O2556" s="1"/>
      <c r="P2556" s="51"/>
    </row>
    <row r="2557">
      <c r="A2557" s="54"/>
      <c r="B2557" s="71"/>
      <c r="C2557" s="51"/>
      <c r="D2557" s="114"/>
      <c r="E2557" s="114"/>
      <c r="F2557" s="54"/>
      <c r="G2557" s="54"/>
      <c r="I2557" s="54"/>
      <c r="K2557" s="54"/>
      <c r="M2557" s="114"/>
      <c r="N2557" s="1"/>
      <c r="O2557" s="1"/>
      <c r="P2557" s="51"/>
    </row>
    <row r="2558">
      <c r="A2558" s="54"/>
      <c r="B2558" s="71"/>
      <c r="C2558" s="51"/>
      <c r="D2558" s="114"/>
      <c r="E2558" s="114"/>
      <c r="F2558" s="54"/>
      <c r="G2558" s="54"/>
      <c r="I2558" s="54"/>
      <c r="K2558" s="54"/>
      <c r="M2558" s="114"/>
      <c r="N2558" s="1"/>
      <c r="O2558" s="1"/>
      <c r="P2558" s="51"/>
    </row>
    <row r="2559">
      <c r="A2559" s="54"/>
      <c r="B2559" s="71"/>
      <c r="C2559" s="51"/>
      <c r="D2559" s="114"/>
      <c r="E2559" s="114"/>
      <c r="F2559" s="54"/>
      <c r="G2559" s="54"/>
      <c r="I2559" s="54"/>
      <c r="K2559" s="54"/>
      <c r="M2559" s="114"/>
      <c r="N2559" s="1"/>
      <c r="O2559" s="1"/>
      <c r="P2559" s="51"/>
    </row>
    <row r="2560">
      <c r="A2560" s="54"/>
      <c r="B2560" s="71"/>
      <c r="C2560" s="51"/>
      <c r="D2560" s="114"/>
      <c r="E2560" s="114"/>
      <c r="F2560" s="54"/>
      <c r="G2560" s="54"/>
      <c r="I2560" s="54"/>
      <c r="K2560" s="54"/>
      <c r="M2560" s="114"/>
      <c r="N2560" s="1"/>
      <c r="O2560" s="1"/>
      <c r="P2560" s="51"/>
    </row>
    <row r="2561">
      <c r="A2561" s="54"/>
      <c r="B2561" s="71"/>
      <c r="C2561" s="51"/>
      <c r="D2561" s="114"/>
      <c r="E2561" s="114"/>
      <c r="F2561" s="54"/>
      <c r="G2561" s="54"/>
      <c r="I2561" s="54"/>
      <c r="K2561" s="54"/>
      <c r="M2561" s="114"/>
      <c r="N2561" s="1"/>
      <c r="O2561" s="1"/>
      <c r="P2561" s="51"/>
    </row>
    <row r="2562">
      <c r="A2562" s="54"/>
      <c r="B2562" s="71"/>
      <c r="C2562" s="51"/>
      <c r="D2562" s="114"/>
      <c r="E2562" s="114"/>
      <c r="F2562" s="54"/>
      <c r="G2562" s="54"/>
      <c r="I2562" s="54"/>
      <c r="K2562" s="54"/>
      <c r="M2562" s="114"/>
      <c r="N2562" s="1"/>
      <c r="O2562" s="1"/>
      <c r="P2562" s="51"/>
    </row>
    <row r="2563">
      <c r="A2563" s="54"/>
      <c r="B2563" s="71"/>
      <c r="C2563" s="51"/>
      <c r="D2563" s="114"/>
      <c r="E2563" s="114"/>
      <c r="F2563" s="54"/>
      <c r="G2563" s="54"/>
      <c r="I2563" s="54"/>
      <c r="K2563" s="54"/>
      <c r="M2563" s="114"/>
      <c r="N2563" s="1"/>
      <c r="O2563" s="1"/>
      <c r="P2563" s="51"/>
    </row>
    <row r="2564">
      <c r="A2564" s="54"/>
      <c r="B2564" s="71"/>
      <c r="C2564" s="51"/>
      <c r="D2564" s="114"/>
      <c r="E2564" s="114"/>
      <c r="F2564" s="54"/>
      <c r="G2564" s="54"/>
      <c r="I2564" s="54"/>
      <c r="K2564" s="54"/>
      <c r="M2564" s="114"/>
      <c r="N2564" s="1"/>
      <c r="O2564" s="1"/>
      <c r="P2564" s="51"/>
    </row>
    <row r="2565">
      <c r="A2565" s="54"/>
      <c r="B2565" s="71"/>
      <c r="C2565" s="51"/>
      <c r="D2565" s="114"/>
      <c r="E2565" s="114"/>
      <c r="F2565" s="54"/>
      <c r="G2565" s="54"/>
      <c r="I2565" s="54"/>
      <c r="K2565" s="54"/>
      <c r="M2565" s="114"/>
      <c r="N2565" s="1"/>
      <c r="O2565" s="1"/>
      <c r="P2565" s="51"/>
    </row>
    <row r="2566">
      <c r="A2566" s="54"/>
      <c r="B2566" s="71"/>
      <c r="C2566" s="51"/>
      <c r="D2566" s="114"/>
      <c r="E2566" s="114"/>
      <c r="F2566" s="54"/>
      <c r="G2566" s="54"/>
      <c r="I2566" s="54"/>
      <c r="K2566" s="54"/>
      <c r="M2566" s="114"/>
      <c r="N2566" s="1"/>
      <c r="O2566" s="1"/>
      <c r="P2566" s="51"/>
    </row>
    <row r="2567">
      <c r="A2567" s="54"/>
      <c r="B2567" s="71"/>
      <c r="C2567" s="51"/>
      <c r="D2567" s="114"/>
      <c r="E2567" s="114"/>
      <c r="F2567" s="54"/>
      <c r="G2567" s="54"/>
      <c r="I2567" s="54"/>
      <c r="K2567" s="54"/>
      <c r="M2567" s="114"/>
      <c r="N2567" s="1"/>
      <c r="O2567" s="1"/>
      <c r="P2567" s="51"/>
    </row>
    <row r="2568">
      <c r="A2568" s="54"/>
      <c r="B2568" s="71"/>
      <c r="C2568" s="51"/>
      <c r="D2568" s="114"/>
      <c r="E2568" s="114"/>
      <c r="F2568" s="54"/>
      <c r="G2568" s="54"/>
      <c r="I2568" s="54"/>
      <c r="K2568" s="54"/>
      <c r="M2568" s="114"/>
      <c r="N2568" s="1"/>
      <c r="O2568" s="1"/>
      <c r="P2568" s="51"/>
    </row>
    <row r="2569">
      <c r="A2569" s="54"/>
      <c r="B2569" s="71"/>
      <c r="C2569" s="51"/>
      <c r="D2569" s="114"/>
      <c r="E2569" s="114"/>
      <c r="F2569" s="54"/>
      <c r="G2569" s="54"/>
      <c r="I2569" s="54"/>
      <c r="K2569" s="54"/>
      <c r="M2569" s="114"/>
      <c r="N2569" s="1"/>
      <c r="O2569" s="1"/>
      <c r="P2569" s="51"/>
    </row>
    <row r="2570">
      <c r="A2570" s="54"/>
      <c r="B2570" s="71"/>
      <c r="C2570" s="51"/>
      <c r="D2570" s="114"/>
      <c r="E2570" s="114"/>
      <c r="F2570" s="54"/>
      <c r="G2570" s="54"/>
      <c r="I2570" s="54"/>
      <c r="K2570" s="54"/>
      <c r="M2570" s="114"/>
      <c r="N2570" s="1"/>
      <c r="O2570" s="1"/>
      <c r="P2570" s="51"/>
    </row>
    <row r="2571">
      <c r="A2571" s="54"/>
      <c r="B2571" s="71"/>
      <c r="C2571" s="51"/>
      <c r="D2571" s="114"/>
      <c r="E2571" s="114"/>
      <c r="F2571" s="54"/>
      <c r="G2571" s="54"/>
      <c r="I2571" s="54"/>
      <c r="K2571" s="54"/>
      <c r="M2571" s="114"/>
      <c r="N2571" s="1"/>
      <c r="O2571" s="1"/>
      <c r="P2571" s="51"/>
    </row>
    <row r="2572">
      <c r="A2572" s="54"/>
      <c r="B2572" s="71"/>
      <c r="C2572" s="51"/>
      <c r="D2572" s="114"/>
      <c r="E2572" s="114"/>
      <c r="F2572" s="54"/>
      <c r="G2572" s="54"/>
      <c r="I2572" s="54"/>
      <c r="K2572" s="54"/>
      <c r="M2572" s="114"/>
      <c r="N2572" s="1"/>
      <c r="O2572" s="1"/>
      <c r="P2572" s="51"/>
    </row>
    <row r="2573">
      <c r="A2573" s="54"/>
      <c r="B2573" s="71"/>
      <c r="C2573" s="51"/>
      <c r="D2573" s="114"/>
      <c r="E2573" s="114"/>
      <c r="F2573" s="54"/>
      <c r="G2573" s="54"/>
      <c r="I2573" s="54"/>
      <c r="K2573" s="54"/>
      <c r="M2573" s="114"/>
      <c r="N2573" s="1"/>
      <c r="O2573" s="1"/>
      <c r="P2573" s="51"/>
    </row>
    <row r="2574">
      <c r="A2574" s="54"/>
      <c r="B2574" s="71"/>
      <c r="C2574" s="51"/>
      <c r="D2574" s="114"/>
      <c r="E2574" s="114"/>
      <c r="F2574" s="54"/>
      <c r="G2574" s="54"/>
      <c r="I2574" s="54"/>
      <c r="K2574" s="54"/>
      <c r="M2574" s="114"/>
      <c r="N2574" s="1"/>
      <c r="O2574" s="1"/>
      <c r="P2574" s="51"/>
    </row>
    <row r="2575">
      <c r="A2575" s="54"/>
      <c r="B2575" s="71"/>
      <c r="C2575" s="51"/>
      <c r="D2575" s="114"/>
      <c r="E2575" s="114"/>
      <c r="F2575" s="54"/>
      <c r="G2575" s="54"/>
      <c r="I2575" s="54"/>
      <c r="K2575" s="54"/>
      <c r="M2575" s="114"/>
      <c r="N2575" s="1"/>
      <c r="O2575" s="1"/>
      <c r="P2575" s="51"/>
    </row>
    <row r="2576">
      <c r="A2576" s="54"/>
      <c r="B2576" s="71"/>
      <c r="C2576" s="51"/>
      <c r="D2576" s="114"/>
      <c r="E2576" s="114"/>
      <c r="F2576" s="54"/>
      <c r="G2576" s="54"/>
      <c r="I2576" s="54"/>
      <c r="K2576" s="54"/>
      <c r="M2576" s="114"/>
      <c r="N2576" s="1"/>
      <c r="O2576" s="1"/>
      <c r="P2576" s="51"/>
    </row>
    <row r="2577">
      <c r="A2577" s="54"/>
      <c r="B2577" s="71"/>
      <c r="C2577" s="51"/>
      <c r="D2577" s="114"/>
      <c r="E2577" s="114"/>
      <c r="F2577" s="54"/>
      <c r="G2577" s="54"/>
      <c r="I2577" s="54"/>
      <c r="K2577" s="54"/>
      <c r="M2577" s="114"/>
      <c r="N2577" s="1"/>
      <c r="O2577" s="1"/>
      <c r="P2577" s="51"/>
    </row>
    <row r="2578">
      <c r="A2578" s="54"/>
      <c r="B2578" s="71"/>
      <c r="C2578" s="51"/>
      <c r="D2578" s="114"/>
      <c r="E2578" s="114"/>
      <c r="F2578" s="54"/>
      <c r="G2578" s="54"/>
      <c r="I2578" s="54"/>
      <c r="K2578" s="54"/>
      <c r="M2578" s="114"/>
      <c r="N2578" s="1"/>
      <c r="O2578" s="1"/>
      <c r="P2578" s="51"/>
    </row>
    <row r="2579">
      <c r="A2579" s="54"/>
      <c r="B2579" s="71"/>
      <c r="C2579" s="51"/>
      <c r="D2579" s="114"/>
      <c r="E2579" s="114"/>
      <c r="F2579" s="54"/>
      <c r="G2579" s="54"/>
      <c r="I2579" s="54"/>
      <c r="K2579" s="54"/>
      <c r="M2579" s="114"/>
      <c r="N2579" s="1"/>
      <c r="O2579" s="1"/>
      <c r="P2579" s="51"/>
    </row>
    <row r="2580">
      <c r="A2580" s="54"/>
      <c r="B2580" s="71"/>
      <c r="C2580" s="51"/>
      <c r="D2580" s="114"/>
      <c r="E2580" s="114"/>
      <c r="F2580" s="54"/>
      <c r="G2580" s="54"/>
      <c r="I2580" s="54"/>
      <c r="K2580" s="54"/>
      <c r="M2580" s="114"/>
      <c r="N2580" s="1"/>
      <c r="O2580" s="1"/>
      <c r="P2580" s="51"/>
    </row>
    <row r="2581">
      <c r="A2581" s="54"/>
      <c r="B2581" s="71"/>
      <c r="C2581" s="51"/>
      <c r="D2581" s="114"/>
      <c r="E2581" s="114"/>
      <c r="F2581" s="54"/>
      <c r="G2581" s="54"/>
      <c r="I2581" s="54"/>
      <c r="K2581" s="54"/>
      <c r="M2581" s="114"/>
      <c r="N2581" s="1"/>
      <c r="O2581" s="1"/>
      <c r="P2581" s="51"/>
    </row>
    <row r="2582">
      <c r="A2582" s="54"/>
      <c r="B2582" s="71"/>
      <c r="C2582" s="51"/>
      <c r="D2582" s="114"/>
      <c r="E2582" s="114"/>
      <c r="F2582" s="54"/>
      <c r="G2582" s="54"/>
      <c r="I2582" s="54"/>
      <c r="K2582" s="54"/>
      <c r="M2582" s="114"/>
      <c r="N2582" s="1"/>
      <c r="O2582" s="1"/>
      <c r="P2582" s="51"/>
    </row>
    <row r="2583">
      <c r="A2583" s="54"/>
      <c r="B2583" s="71"/>
      <c r="C2583" s="51"/>
      <c r="D2583" s="114"/>
      <c r="E2583" s="114"/>
      <c r="F2583" s="54"/>
      <c r="G2583" s="54"/>
      <c r="I2583" s="54"/>
      <c r="K2583" s="54"/>
      <c r="M2583" s="114"/>
      <c r="N2583" s="1"/>
      <c r="O2583" s="1"/>
      <c r="P2583" s="51"/>
    </row>
    <row r="2584">
      <c r="A2584" s="54"/>
      <c r="B2584" s="71"/>
      <c r="C2584" s="51"/>
      <c r="D2584" s="114"/>
      <c r="E2584" s="114"/>
      <c r="F2584" s="54"/>
      <c r="G2584" s="54"/>
      <c r="I2584" s="54"/>
      <c r="K2584" s="54"/>
      <c r="M2584" s="114"/>
      <c r="N2584" s="1"/>
      <c r="O2584" s="1"/>
      <c r="P2584" s="51"/>
    </row>
    <row r="2585">
      <c r="A2585" s="54"/>
      <c r="B2585" s="71"/>
      <c r="C2585" s="51"/>
      <c r="D2585" s="114"/>
      <c r="E2585" s="114"/>
      <c r="F2585" s="54"/>
      <c r="G2585" s="54"/>
      <c r="I2585" s="54"/>
      <c r="K2585" s="54"/>
      <c r="M2585" s="114"/>
      <c r="N2585" s="1"/>
      <c r="O2585" s="1"/>
      <c r="P2585" s="51"/>
    </row>
    <row r="2586">
      <c r="A2586" s="54"/>
      <c r="B2586" s="71"/>
      <c r="C2586" s="51"/>
      <c r="D2586" s="114"/>
      <c r="E2586" s="114"/>
      <c r="F2586" s="54"/>
      <c r="G2586" s="54"/>
      <c r="I2586" s="54"/>
      <c r="K2586" s="54"/>
      <c r="M2586" s="114"/>
      <c r="N2586" s="1"/>
      <c r="O2586" s="1"/>
      <c r="P2586" s="51"/>
    </row>
    <row r="2587">
      <c r="A2587" s="54"/>
      <c r="B2587" s="71"/>
      <c r="C2587" s="51"/>
      <c r="D2587" s="114"/>
      <c r="E2587" s="114"/>
      <c r="F2587" s="54"/>
      <c r="G2587" s="54"/>
      <c r="I2587" s="54"/>
      <c r="K2587" s="54"/>
      <c r="M2587" s="114"/>
      <c r="N2587" s="1"/>
      <c r="O2587" s="1"/>
      <c r="P2587" s="51"/>
    </row>
    <row r="2588">
      <c r="A2588" s="54"/>
      <c r="B2588" s="71"/>
      <c r="C2588" s="51"/>
      <c r="D2588" s="114"/>
      <c r="E2588" s="114"/>
      <c r="F2588" s="54"/>
      <c r="G2588" s="54"/>
      <c r="I2588" s="54"/>
      <c r="K2588" s="54"/>
      <c r="M2588" s="114"/>
      <c r="N2588" s="1"/>
      <c r="O2588" s="1"/>
      <c r="P2588" s="51"/>
    </row>
    <row r="2589">
      <c r="A2589" s="54"/>
      <c r="B2589" s="71"/>
      <c r="C2589" s="51"/>
      <c r="D2589" s="114"/>
      <c r="E2589" s="114"/>
      <c r="F2589" s="54"/>
      <c r="G2589" s="54"/>
      <c r="I2589" s="54"/>
      <c r="K2589" s="54"/>
      <c r="M2589" s="114"/>
      <c r="N2589" s="1"/>
      <c r="O2589" s="1"/>
      <c r="P2589" s="51"/>
    </row>
    <row r="2590">
      <c r="A2590" s="54"/>
      <c r="B2590" s="71"/>
      <c r="C2590" s="51"/>
      <c r="D2590" s="114"/>
      <c r="E2590" s="114"/>
      <c r="F2590" s="54"/>
      <c r="G2590" s="54"/>
      <c r="I2590" s="54"/>
      <c r="K2590" s="54"/>
      <c r="M2590" s="114"/>
      <c r="N2590" s="1"/>
      <c r="O2590" s="1"/>
      <c r="P2590" s="51"/>
    </row>
    <row r="2591">
      <c r="A2591" s="54"/>
      <c r="B2591" s="71"/>
      <c r="C2591" s="51"/>
      <c r="D2591" s="114"/>
      <c r="E2591" s="114"/>
      <c r="F2591" s="54"/>
      <c r="G2591" s="54"/>
      <c r="I2591" s="54"/>
      <c r="K2591" s="54"/>
      <c r="M2591" s="114"/>
      <c r="N2591" s="1"/>
      <c r="O2591" s="1"/>
      <c r="P2591" s="51"/>
    </row>
    <row r="2592">
      <c r="A2592" s="54"/>
      <c r="B2592" s="71"/>
      <c r="C2592" s="51"/>
      <c r="D2592" s="114"/>
      <c r="E2592" s="114"/>
      <c r="F2592" s="54"/>
      <c r="G2592" s="54"/>
      <c r="I2592" s="54"/>
      <c r="K2592" s="54"/>
      <c r="M2592" s="114"/>
      <c r="N2592" s="1"/>
      <c r="O2592" s="1"/>
      <c r="P2592" s="51"/>
    </row>
    <row r="2593">
      <c r="A2593" s="54"/>
      <c r="B2593" s="71"/>
      <c r="C2593" s="51"/>
      <c r="D2593" s="114"/>
      <c r="E2593" s="114"/>
      <c r="F2593" s="54"/>
      <c r="G2593" s="54"/>
      <c r="I2593" s="54"/>
      <c r="K2593" s="54"/>
      <c r="M2593" s="114"/>
      <c r="N2593" s="1"/>
      <c r="O2593" s="1"/>
      <c r="P2593" s="51"/>
    </row>
    <row r="2594">
      <c r="A2594" s="54"/>
      <c r="B2594" s="71"/>
      <c r="C2594" s="51"/>
      <c r="D2594" s="114"/>
      <c r="E2594" s="114"/>
      <c r="F2594" s="54"/>
      <c r="G2594" s="54"/>
      <c r="I2594" s="54"/>
      <c r="K2594" s="54"/>
      <c r="M2594" s="114"/>
      <c r="N2594" s="1"/>
      <c r="O2594" s="1"/>
      <c r="P2594" s="51"/>
    </row>
    <row r="2595">
      <c r="A2595" s="54"/>
      <c r="B2595" s="71"/>
      <c r="C2595" s="51"/>
      <c r="D2595" s="114"/>
      <c r="E2595" s="114"/>
      <c r="F2595" s="54"/>
      <c r="G2595" s="54"/>
      <c r="I2595" s="54"/>
      <c r="K2595" s="54"/>
      <c r="M2595" s="114"/>
      <c r="N2595" s="1"/>
      <c r="O2595" s="1"/>
      <c r="P2595" s="51"/>
    </row>
    <row r="2596">
      <c r="A2596" s="54"/>
      <c r="B2596" s="71"/>
      <c r="C2596" s="51"/>
      <c r="D2596" s="114"/>
      <c r="E2596" s="114"/>
      <c r="F2596" s="54"/>
      <c r="G2596" s="54"/>
      <c r="I2596" s="54"/>
      <c r="K2596" s="54"/>
      <c r="M2596" s="114"/>
      <c r="N2596" s="1"/>
      <c r="O2596" s="1"/>
      <c r="P2596" s="51"/>
    </row>
    <row r="2597">
      <c r="A2597" s="54"/>
      <c r="B2597" s="71"/>
      <c r="C2597" s="51"/>
      <c r="D2597" s="114"/>
      <c r="E2597" s="114"/>
      <c r="F2597" s="54"/>
      <c r="G2597" s="54"/>
      <c r="I2597" s="54"/>
      <c r="K2597" s="54"/>
      <c r="M2597" s="114"/>
      <c r="N2597" s="1"/>
      <c r="O2597" s="1"/>
      <c r="P2597" s="51"/>
    </row>
    <row r="2598">
      <c r="A2598" s="54"/>
      <c r="B2598" s="71"/>
      <c r="C2598" s="51"/>
      <c r="D2598" s="114"/>
      <c r="E2598" s="114"/>
      <c r="F2598" s="54"/>
      <c r="G2598" s="54"/>
      <c r="I2598" s="54"/>
      <c r="K2598" s="54"/>
      <c r="M2598" s="114"/>
      <c r="N2598" s="1"/>
      <c r="O2598" s="1"/>
      <c r="P2598" s="51"/>
    </row>
    <row r="2599">
      <c r="A2599" s="54"/>
      <c r="B2599" s="71"/>
      <c r="C2599" s="51"/>
      <c r="D2599" s="114"/>
      <c r="E2599" s="114"/>
      <c r="F2599" s="54"/>
      <c r="G2599" s="54"/>
      <c r="I2599" s="54"/>
      <c r="K2599" s="54"/>
      <c r="M2599" s="114"/>
      <c r="N2599" s="1"/>
      <c r="O2599" s="1"/>
      <c r="P2599" s="51"/>
    </row>
    <row r="2600">
      <c r="A2600" s="54"/>
      <c r="B2600" s="71"/>
      <c r="C2600" s="51"/>
      <c r="D2600" s="114"/>
      <c r="E2600" s="114"/>
      <c r="F2600" s="54"/>
      <c r="G2600" s="54"/>
      <c r="I2600" s="54"/>
      <c r="K2600" s="54"/>
      <c r="M2600" s="114"/>
      <c r="N2600" s="1"/>
      <c r="O2600" s="1"/>
      <c r="P2600" s="51"/>
    </row>
    <row r="2601">
      <c r="A2601" s="54"/>
      <c r="B2601" s="71"/>
      <c r="C2601" s="51"/>
      <c r="D2601" s="114"/>
      <c r="E2601" s="114"/>
      <c r="F2601" s="54"/>
      <c r="G2601" s="54"/>
      <c r="I2601" s="54"/>
      <c r="K2601" s="54"/>
      <c r="M2601" s="114"/>
      <c r="N2601" s="1"/>
      <c r="O2601" s="1"/>
      <c r="P2601" s="51"/>
    </row>
    <row r="2602">
      <c r="A2602" s="54"/>
      <c r="B2602" s="71"/>
      <c r="C2602" s="51"/>
      <c r="D2602" s="114"/>
      <c r="E2602" s="114"/>
      <c r="F2602" s="54"/>
      <c r="G2602" s="54"/>
      <c r="I2602" s="54"/>
      <c r="K2602" s="54"/>
      <c r="M2602" s="114"/>
      <c r="N2602" s="1"/>
      <c r="O2602" s="1"/>
      <c r="P2602" s="51"/>
    </row>
    <row r="2603">
      <c r="A2603" s="54"/>
      <c r="B2603" s="71"/>
      <c r="C2603" s="51"/>
      <c r="D2603" s="114"/>
      <c r="E2603" s="114"/>
      <c r="F2603" s="54"/>
      <c r="G2603" s="54"/>
      <c r="I2603" s="54"/>
      <c r="K2603" s="54"/>
      <c r="M2603" s="114"/>
      <c r="N2603" s="1"/>
      <c r="O2603" s="1"/>
      <c r="P2603" s="51"/>
    </row>
    <row r="2604">
      <c r="A2604" s="54"/>
      <c r="B2604" s="71"/>
      <c r="C2604" s="51"/>
      <c r="D2604" s="114"/>
      <c r="E2604" s="114"/>
      <c r="F2604" s="54"/>
      <c r="G2604" s="54"/>
      <c r="I2604" s="54"/>
      <c r="K2604" s="54"/>
      <c r="M2604" s="114"/>
      <c r="N2604" s="1"/>
      <c r="O2604" s="1"/>
      <c r="P2604" s="51"/>
    </row>
    <row r="2605">
      <c r="A2605" s="54"/>
      <c r="B2605" s="71"/>
      <c r="C2605" s="51"/>
      <c r="D2605" s="114"/>
      <c r="E2605" s="114"/>
      <c r="F2605" s="54"/>
      <c r="G2605" s="54"/>
      <c r="I2605" s="54"/>
      <c r="K2605" s="54"/>
      <c r="M2605" s="114"/>
      <c r="N2605" s="1"/>
      <c r="O2605" s="1"/>
      <c r="P2605" s="51"/>
    </row>
    <row r="2606">
      <c r="A2606" s="54"/>
      <c r="B2606" s="71"/>
      <c r="C2606" s="51"/>
      <c r="D2606" s="114"/>
      <c r="E2606" s="114"/>
      <c r="F2606" s="54"/>
      <c r="G2606" s="54"/>
      <c r="I2606" s="54"/>
      <c r="K2606" s="54"/>
      <c r="M2606" s="114"/>
      <c r="N2606" s="1"/>
      <c r="O2606" s="1"/>
      <c r="P2606" s="51"/>
    </row>
    <row r="2607">
      <c r="A2607" s="54"/>
      <c r="B2607" s="71"/>
      <c r="C2607" s="51"/>
      <c r="D2607" s="114"/>
      <c r="E2607" s="114"/>
      <c r="F2607" s="54"/>
      <c r="G2607" s="54"/>
      <c r="I2607" s="54"/>
      <c r="K2607" s="54"/>
      <c r="M2607" s="114"/>
      <c r="N2607" s="1"/>
      <c r="O2607" s="1"/>
      <c r="P2607" s="51"/>
    </row>
    <row r="2608">
      <c r="A2608" s="54"/>
      <c r="B2608" s="71"/>
      <c r="C2608" s="51"/>
      <c r="D2608" s="114"/>
      <c r="E2608" s="114"/>
      <c r="F2608" s="54"/>
      <c r="G2608" s="54"/>
      <c r="I2608" s="54"/>
      <c r="K2608" s="54"/>
      <c r="M2608" s="114"/>
      <c r="N2608" s="1"/>
      <c r="O2608" s="1"/>
      <c r="P2608" s="51"/>
    </row>
    <row r="2609">
      <c r="A2609" s="54"/>
      <c r="B2609" s="71"/>
      <c r="C2609" s="51"/>
      <c r="D2609" s="114"/>
      <c r="E2609" s="114"/>
      <c r="F2609" s="54"/>
      <c r="G2609" s="54"/>
      <c r="I2609" s="54"/>
      <c r="K2609" s="54"/>
      <c r="M2609" s="114"/>
      <c r="N2609" s="1"/>
      <c r="O2609" s="1"/>
      <c r="P2609" s="51"/>
    </row>
    <row r="2610">
      <c r="A2610" s="54"/>
      <c r="B2610" s="71"/>
      <c r="C2610" s="51"/>
      <c r="D2610" s="114"/>
      <c r="E2610" s="114"/>
      <c r="F2610" s="54"/>
      <c r="G2610" s="54"/>
      <c r="I2610" s="54"/>
      <c r="K2610" s="54"/>
      <c r="M2610" s="114"/>
      <c r="N2610" s="1"/>
      <c r="O2610" s="1"/>
      <c r="P2610" s="51"/>
    </row>
    <row r="2611">
      <c r="A2611" s="54"/>
      <c r="B2611" s="71"/>
      <c r="C2611" s="51"/>
      <c r="D2611" s="114"/>
      <c r="E2611" s="114"/>
      <c r="F2611" s="54"/>
      <c r="G2611" s="54"/>
      <c r="I2611" s="54"/>
      <c r="K2611" s="54"/>
      <c r="M2611" s="114"/>
      <c r="N2611" s="1"/>
      <c r="O2611" s="1"/>
      <c r="P2611" s="51"/>
    </row>
    <row r="2612">
      <c r="A2612" s="54"/>
      <c r="B2612" s="71"/>
      <c r="C2612" s="51"/>
      <c r="D2612" s="114"/>
      <c r="E2612" s="114"/>
      <c r="F2612" s="54"/>
      <c r="G2612" s="54"/>
      <c r="I2612" s="54"/>
      <c r="K2612" s="54"/>
      <c r="M2612" s="114"/>
      <c r="N2612" s="1"/>
      <c r="O2612" s="1"/>
      <c r="P2612" s="51"/>
    </row>
    <row r="2613">
      <c r="A2613" s="54"/>
      <c r="B2613" s="71"/>
      <c r="C2613" s="51"/>
      <c r="D2613" s="114"/>
      <c r="E2613" s="114"/>
      <c r="F2613" s="54"/>
      <c r="G2613" s="54"/>
      <c r="I2613" s="54"/>
      <c r="K2613" s="54"/>
      <c r="M2613" s="114"/>
      <c r="N2613" s="1"/>
      <c r="O2613" s="1"/>
      <c r="P2613" s="51"/>
    </row>
    <row r="2614">
      <c r="A2614" s="54"/>
      <c r="B2614" s="71"/>
      <c r="C2614" s="51"/>
      <c r="D2614" s="114"/>
      <c r="E2614" s="114"/>
      <c r="F2614" s="54"/>
      <c r="G2614" s="54"/>
      <c r="I2614" s="54"/>
      <c r="K2614" s="54"/>
      <c r="M2614" s="114"/>
      <c r="N2614" s="1"/>
      <c r="O2614" s="1"/>
      <c r="P2614" s="51"/>
    </row>
    <row r="2615">
      <c r="A2615" s="54"/>
      <c r="B2615" s="71"/>
      <c r="C2615" s="51"/>
      <c r="D2615" s="114"/>
      <c r="E2615" s="114"/>
      <c r="F2615" s="54"/>
      <c r="G2615" s="54"/>
      <c r="I2615" s="54"/>
      <c r="K2615" s="54"/>
      <c r="M2615" s="114"/>
      <c r="N2615" s="1"/>
      <c r="O2615" s="1"/>
      <c r="P2615" s="51"/>
    </row>
    <row r="2616">
      <c r="A2616" s="54"/>
      <c r="B2616" s="71"/>
      <c r="C2616" s="51"/>
      <c r="D2616" s="114"/>
      <c r="E2616" s="114"/>
      <c r="F2616" s="54"/>
      <c r="G2616" s="54"/>
      <c r="I2616" s="54"/>
      <c r="K2616" s="54"/>
      <c r="M2616" s="114"/>
      <c r="N2616" s="1"/>
      <c r="O2616" s="1"/>
      <c r="P2616" s="51"/>
    </row>
    <row r="2617">
      <c r="A2617" s="54"/>
      <c r="B2617" s="71"/>
      <c r="C2617" s="51"/>
      <c r="D2617" s="114"/>
      <c r="E2617" s="114"/>
      <c r="F2617" s="54"/>
      <c r="G2617" s="54"/>
      <c r="I2617" s="54"/>
      <c r="K2617" s="54"/>
      <c r="M2617" s="114"/>
      <c r="N2617" s="1"/>
      <c r="O2617" s="1"/>
      <c r="P2617" s="51"/>
    </row>
    <row r="2618">
      <c r="A2618" s="54"/>
      <c r="B2618" s="71"/>
      <c r="C2618" s="51"/>
      <c r="D2618" s="114"/>
      <c r="E2618" s="114"/>
      <c r="F2618" s="54"/>
      <c r="G2618" s="54"/>
      <c r="I2618" s="54"/>
      <c r="K2618" s="54"/>
      <c r="M2618" s="114"/>
      <c r="N2618" s="1"/>
      <c r="O2618" s="1"/>
      <c r="P2618" s="51"/>
    </row>
    <row r="2619">
      <c r="A2619" s="54"/>
      <c r="B2619" s="71"/>
      <c r="C2619" s="51"/>
      <c r="D2619" s="114"/>
      <c r="E2619" s="114"/>
      <c r="F2619" s="54"/>
      <c r="G2619" s="54"/>
      <c r="I2619" s="54"/>
      <c r="K2619" s="54"/>
      <c r="M2619" s="114"/>
      <c r="N2619" s="1"/>
      <c r="O2619" s="1"/>
      <c r="P2619" s="51"/>
    </row>
    <row r="2620">
      <c r="A2620" s="54"/>
      <c r="B2620" s="71"/>
      <c r="C2620" s="51"/>
      <c r="D2620" s="114"/>
      <c r="E2620" s="114"/>
      <c r="F2620" s="54"/>
      <c r="G2620" s="54"/>
      <c r="I2620" s="54"/>
      <c r="K2620" s="54"/>
      <c r="M2620" s="114"/>
      <c r="N2620" s="1"/>
      <c r="O2620" s="1"/>
      <c r="P2620" s="51"/>
    </row>
    <row r="2621">
      <c r="A2621" s="54"/>
      <c r="B2621" s="71"/>
      <c r="C2621" s="51"/>
      <c r="D2621" s="114"/>
      <c r="E2621" s="114"/>
      <c r="F2621" s="54"/>
      <c r="G2621" s="54"/>
      <c r="I2621" s="54"/>
      <c r="K2621" s="54"/>
      <c r="M2621" s="114"/>
      <c r="N2621" s="1"/>
      <c r="O2621" s="1"/>
      <c r="P2621" s="51"/>
    </row>
    <row r="2622">
      <c r="A2622" s="54"/>
      <c r="B2622" s="71"/>
      <c r="C2622" s="51"/>
      <c r="D2622" s="114"/>
      <c r="E2622" s="114"/>
      <c r="F2622" s="54"/>
      <c r="G2622" s="54"/>
      <c r="I2622" s="54"/>
      <c r="K2622" s="54"/>
      <c r="M2622" s="114"/>
      <c r="N2622" s="1"/>
      <c r="O2622" s="1"/>
      <c r="P2622" s="51"/>
    </row>
    <row r="2623">
      <c r="A2623" s="54"/>
      <c r="B2623" s="71"/>
      <c r="C2623" s="51"/>
      <c r="D2623" s="114"/>
      <c r="E2623" s="114"/>
      <c r="F2623" s="54"/>
      <c r="G2623" s="54"/>
      <c r="I2623" s="54"/>
      <c r="K2623" s="54"/>
      <c r="M2623" s="114"/>
      <c r="N2623" s="1"/>
      <c r="O2623" s="1"/>
      <c r="P2623" s="51"/>
    </row>
    <row r="2624">
      <c r="A2624" s="54"/>
      <c r="B2624" s="71"/>
      <c r="C2624" s="51"/>
      <c r="D2624" s="114"/>
      <c r="E2624" s="114"/>
      <c r="F2624" s="54"/>
      <c r="G2624" s="54"/>
      <c r="I2624" s="54"/>
      <c r="K2624" s="54"/>
      <c r="M2624" s="114"/>
      <c r="N2624" s="1"/>
      <c r="O2624" s="1"/>
      <c r="P2624" s="51"/>
    </row>
    <row r="2625">
      <c r="A2625" s="54"/>
      <c r="B2625" s="71"/>
      <c r="C2625" s="51"/>
      <c r="D2625" s="114"/>
      <c r="E2625" s="114"/>
      <c r="F2625" s="54"/>
      <c r="G2625" s="54"/>
      <c r="I2625" s="54"/>
      <c r="K2625" s="54"/>
      <c r="M2625" s="114"/>
      <c r="N2625" s="1"/>
      <c r="O2625" s="1"/>
      <c r="P2625" s="51"/>
    </row>
    <row r="2626">
      <c r="A2626" s="54"/>
      <c r="B2626" s="71"/>
      <c r="C2626" s="51"/>
      <c r="D2626" s="114"/>
      <c r="E2626" s="114"/>
      <c r="F2626" s="54"/>
      <c r="G2626" s="54"/>
      <c r="I2626" s="54"/>
      <c r="K2626" s="54"/>
      <c r="M2626" s="114"/>
      <c r="N2626" s="1"/>
      <c r="O2626" s="1"/>
      <c r="P2626" s="51"/>
    </row>
    <row r="2627">
      <c r="A2627" s="54"/>
      <c r="B2627" s="71"/>
      <c r="C2627" s="51"/>
      <c r="D2627" s="114"/>
      <c r="E2627" s="114"/>
      <c r="F2627" s="54"/>
      <c r="G2627" s="54"/>
      <c r="I2627" s="54"/>
      <c r="K2627" s="54"/>
      <c r="M2627" s="114"/>
      <c r="N2627" s="1"/>
      <c r="O2627" s="1"/>
      <c r="P2627" s="51"/>
    </row>
    <row r="2628">
      <c r="A2628" s="54"/>
      <c r="B2628" s="71"/>
      <c r="C2628" s="51"/>
      <c r="D2628" s="114"/>
      <c r="E2628" s="114"/>
      <c r="F2628" s="54"/>
      <c r="G2628" s="54"/>
      <c r="I2628" s="54"/>
      <c r="K2628" s="54"/>
      <c r="M2628" s="114"/>
      <c r="N2628" s="1"/>
      <c r="O2628" s="1"/>
      <c r="P2628" s="51"/>
    </row>
    <row r="2629">
      <c r="A2629" s="54"/>
      <c r="B2629" s="71"/>
      <c r="C2629" s="51"/>
      <c r="D2629" s="114"/>
      <c r="E2629" s="114"/>
      <c r="F2629" s="54"/>
      <c r="G2629" s="54"/>
      <c r="I2629" s="54"/>
      <c r="K2629" s="54"/>
      <c r="M2629" s="114"/>
      <c r="N2629" s="1"/>
      <c r="O2629" s="1"/>
      <c r="P2629" s="51"/>
    </row>
    <row r="2630">
      <c r="A2630" s="54"/>
      <c r="B2630" s="71"/>
      <c r="C2630" s="51"/>
      <c r="D2630" s="114"/>
      <c r="E2630" s="114"/>
      <c r="F2630" s="54"/>
      <c r="G2630" s="54"/>
      <c r="I2630" s="54"/>
      <c r="K2630" s="54"/>
      <c r="M2630" s="114"/>
      <c r="N2630" s="1"/>
      <c r="O2630" s="1"/>
      <c r="P2630" s="51"/>
    </row>
    <row r="2631">
      <c r="A2631" s="54"/>
      <c r="B2631" s="71"/>
      <c r="C2631" s="51"/>
      <c r="D2631" s="114"/>
      <c r="E2631" s="114"/>
      <c r="F2631" s="54"/>
      <c r="G2631" s="54"/>
      <c r="I2631" s="54"/>
      <c r="K2631" s="54"/>
      <c r="M2631" s="114"/>
      <c r="N2631" s="1"/>
      <c r="O2631" s="1"/>
      <c r="P2631" s="51"/>
    </row>
    <row r="2632">
      <c r="A2632" s="54"/>
      <c r="B2632" s="71"/>
      <c r="C2632" s="51"/>
      <c r="D2632" s="114"/>
      <c r="E2632" s="114"/>
      <c r="F2632" s="54"/>
      <c r="G2632" s="54"/>
      <c r="I2632" s="54"/>
      <c r="K2632" s="54"/>
      <c r="M2632" s="114"/>
      <c r="N2632" s="1"/>
      <c r="O2632" s="1"/>
      <c r="P2632" s="51"/>
    </row>
    <row r="2633">
      <c r="A2633" s="54"/>
      <c r="B2633" s="71"/>
      <c r="C2633" s="51"/>
      <c r="D2633" s="114"/>
      <c r="E2633" s="114"/>
      <c r="F2633" s="54"/>
      <c r="G2633" s="54"/>
      <c r="I2633" s="54"/>
      <c r="K2633" s="54"/>
      <c r="M2633" s="114"/>
      <c r="N2633" s="1"/>
      <c r="O2633" s="1"/>
      <c r="P2633" s="51"/>
    </row>
    <row r="2634">
      <c r="A2634" s="54"/>
      <c r="B2634" s="71"/>
      <c r="C2634" s="51"/>
      <c r="D2634" s="114"/>
      <c r="E2634" s="114"/>
      <c r="F2634" s="54"/>
      <c r="G2634" s="54"/>
      <c r="I2634" s="54"/>
      <c r="K2634" s="54"/>
      <c r="M2634" s="114"/>
      <c r="N2634" s="1"/>
      <c r="O2634" s="1"/>
      <c r="P2634" s="51"/>
    </row>
    <row r="2635">
      <c r="A2635" s="54"/>
      <c r="B2635" s="71"/>
      <c r="C2635" s="51"/>
      <c r="D2635" s="114"/>
      <c r="E2635" s="114"/>
      <c r="F2635" s="54"/>
      <c r="G2635" s="54"/>
      <c r="I2635" s="54"/>
      <c r="K2635" s="54"/>
      <c r="M2635" s="114"/>
      <c r="N2635" s="1"/>
      <c r="O2635" s="1"/>
      <c r="P2635" s="51"/>
    </row>
    <row r="2636">
      <c r="A2636" s="54"/>
      <c r="B2636" s="71"/>
      <c r="C2636" s="51"/>
      <c r="D2636" s="114"/>
      <c r="E2636" s="114"/>
      <c r="F2636" s="54"/>
      <c r="G2636" s="54"/>
      <c r="I2636" s="54"/>
      <c r="K2636" s="54"/>
      <c r="M2636" s="114"/>
      <c r="N2636" s="1"/>
      <c r="O2636" s="1"/>
      <c r="P2636" s="51"/>
    </row>
    <row r="2637">
      <c r="A2637" s="54"/>
      <c r="B2637" s="71"/>
      <c r="C2637" s="51"/>
      <c r="D2637" s="114"/>
      <c r="E2637" s="114"/>
      <c r="F2637" s="54"/>
      <c r="G2637" s="54"/>
      <c r="I2637" s="54"/>
      <c r="K2637" s="54"/>
      <c r="M2637" s="114"/>
      <c r="N2637" s="1"/>
      <c r="O2637" s="1"/>
      <c r="P2637" s="51"/>
    </row>
    <row r="2638">
      <c r="A2638" s="54"/>
      <c r="B2638" s="71"/>
      <c r="C2638" s="51"/>
      <c r="D2638" s="114"/>
      <c r="E2638" s="114"/>
      <c r="F2638" s="54"/>
      <c r="G2638" s="54"/>
      <c r="I2638" s="54"/>
      <c r="K2638" s="54"/>
      <c r="M2638" s="114"/>
      <c r="N2638" s="1"/>
      <c r="O2638" s="1"/>
      <c r="P2638" s="51"/>
    </row>
    <row r="2639">
      <c r="A2639" s="54"/>
      <c r="B2639" s="71"/>
      <c r="C2639" s="51"/>
      <c r="D2639" s="114"/>
      <c r="E2639" s="114"/>
      <c r="F2639" s="54"/>
      <c r="G2639" s="54"/>
      <c r="I2639" s="54"/>
      <c r="K2639" s="54"/>
      <c r="M2639" s="114"/>
      <c r="N2639" s="1"/>
      <c r="O2639" s="1"/>
      <c r="P2639" s="51"/>
    </row>
    <row r="2640">
      <c r="A2640" s="54"/>
      <c r="B2640" s="71"/>
      <c r="C2640" s="51"/>
      <c r="D2640" s="114"/>
      <c r="E2640" s="114"/>
      <c r="F2640" s="54"/>
      <c r="G2640" s="54"/>
      <c r="I2640" s="54"/>
      <c r="K2640" s="54"/>
      <c r="M2640" s="114"/>
      <c r="N2640" s="1"/>
      <c r="O2640" s="1"/>
      <c r="P2640" s="51"/>
    </row>
    <row r="2641">
      <c r="A2641" s="54"/>
      <c r="B2641" s="71"/>
      <c r="C2641" s="51"/>
      <c r="D2641" s="114"/>
      <c r="E2641" s="114"/>
      <c r="F2641" s="54"/>
      <c r="G2641" s="54"/>
      <c r="I2641" s="54"/>
      <c r="K2641" s="54"/>
      <c r="M2641" s="114"/>
      <c r="N2641" s="1"/>
      <c r="O2641" s="1"/>
      <c r="P2641" s="51"/>
    </row>
    <row r="2642">
      <c r="A2642" s="54"/>
      <c r="B2642" s="71"/>
      <c r="C2642" s="51"/>
      <c r="D2642" s="114"/>
      <c r="E2642" s="114"/>
      <c r="F2642" s="54"/>
      <c r="G2642" s="54"/>
      <c r="I2642" s="54"/>
      <c r="K2642" s="54"/>
      <c r="M2642" s="114"/>
      <c r="N2642" s="1"/>
      <c r="O2642" s="1"/>
      <c r="P2642" s="51"/>
    </row>
    <row r="2643">
      <c r="A2643" s="54"/>
      <c r="B2643" s="71"/>
      <c r="C2643" s="51"/>
      <c r="D2643" s="114"/>
      <c r="E2643" s="114"/>
      <c r="F2643" s="54"/>
      <c r="G2643" s="54"/>
      <c r="I2643" s="54"/>
      <c r="K2643" s="54"/>
      <c r="M2643" s="114"/>
      <c r="N2643" s="1"/>
      <c r="O2643" s="1"/>
      <c r="P2643" s="51"/>
    </row>
    <row r="2644">
      <c r="A2644" s="54"/>
      <c r="B2644" s="71"/>
      <c r="C2644" s="51"/>
      <c r="D2644" s="114"/>
      <c r="E2644" s="114"/>
      <c r="F2644" s="54"/>
      <c r="G2644" s="54"/>
      <c r="I2644" s="54"/>
      <c r="K2644" s="54"/>
      <c r="M2644" s="114"/>
      <c r="N2644" s="1"/>
      <c r="O2644" s="1"/>
      <c r="P2644" s="51"/>
    </row>
    <row r="2645">
      <c r="A2645" s="54"/>
      <c r="B2645" s="71"/>
      <c r="C2645" s="51"/>
      <c r="D2645" s="114"/>
      <c r="E2645" s="114"/>
      <c r="F2645" s="54"/>
      <c r="G2645" s="54"/>
      <c r="I2645" s="54"/>
      <c r="K2645" s="54"/>
      <c r="M2645" s="114"/>
      <c r="N2645" s="1"/>
      <c r="O2645" s="1"/>
      <c r="P2645" s="51"/>
    </row>
    <row r="2646">
      <c r="A2646" s="54"/>
      <c r="B2646" s="71"/>
      <c r="C2646" s="51"/>
      <c r="D2646" s="114"/>
      <c r="E2646" s="114"/>
      <c r="F2646" s="54"/>
      <c r="G2646" s="54"/>
      <c r="I2646" s="54"/>
      <c r="K2646" s="54"/>
      <c r="M2646" s="114"/>
      <c r="N2646" s="1"/>
      <c r="O2646" s="1"/>
      <c r="P2646" s="51"/>
    </row>
    <row r="2647">
      <c r="A2647" s="54"/>
      <c r="B2647" s="71"/>
      <c r="C2647" s="51"/>
      <c r="D2647" s="114"/>
      <c r="E2647" s="114"/>
      <c r="F2647" s="54"/>
      <c r="G2647" s="54"/>
      <c r="I2647" s="54"/>
      <c r="K2647" s="54"/>
      <c r="M2647" s="114"/>
      <c r="N2647" s="1"/>
      <c r="O2647" s="1"/>
      <c r="P2647" s="51"/>
    </row>
    <row r="2648">
      <c r="A2648" s="54"/>
      <c r="B2648" s="71"/>
      <c r="C2648" s="51"/>
      <c r="D2648" s="114"/>
      <c r="E2648" s="114"/>
      <c r="F2648" s="54"/>
      <c r="G2648" s="54"/>
      <c r="I2648" s="54"/>
      <c r="K2648" s="54"/>
      <c r="M2648" s="114"/>
      <c r="N2648" s="1"/>
      <c r="O2648" s="1"/>
      <c r="P2648" s="51"/>
    </row>
    <row r="2649">
      <c r="A2649" s="54"/>
      <c r="B2649" s="71"/>
      <c r="C2649" s="51"/>
      <c r="D2649" s="114"/>
      <c r="E2649" s="114"/>
      <c r="F2649" s="54"/>
      <c r="G2649" s="54"/>
      <c r="I2649" s="54"/>
      <c r="K2649" s="54"/>
      <c r="M2649" s="114"/>
      <c r="N2649" s="1"/>
      <c r="O2649" s="1"/>
      <c r="P2649" s="51"/>
    </row>
    <row r="2650">
      <c r="A2650" s="54"/>
      <c r="B2650" s="71"/>
      <c r="C2650" s="51"/>
      <c r="D2650" s="114"/>
      <c r="E2650" s="114"/>
      <c r="F2650" s="54"/>
      <c r="G2650" s="54"/>
      <c r="I2650" s="54"/>
      <c r="K2650" s="54"/>
      <c r="M2650" s="114"/>
      <c r="N2650" s="1"/>
      <c r="O2650" s="1"/>
      <c r="P2650" s="51"/>
    </row>
    <row r="2651">
      <c r="A2651" s="54"/>
      <c r="B2651" s="71"/>
      <c r="C2651" s="51"/>
      <c r="D2651" s="114"/>
      <c r="E2651" s="114"/>
      <c r="F2651" s="54"/>
      <c r="G2651" s="54"/>
      <c r="I2651" s="54"/>
      <c r="K2651" s="54"/>
      <c r="M2651" s="114"/>
      <c r="N2651" s="1"/>
      <c r="O2651" s="1"/>
      <c r="P2651" s="51"/>
    </row>
    <row r="2652">
      <c r="A2652" s="54"/>
      <c r="B2652" s="71"/>
      <c r="C2652" s="51"/>
      <c r="D2652" s="114"/>
      <c r="E2652" s="114"/>
      <c r="F2652" s="54"/>
      <c r="G2652" s="54"/>
      <c r="I2652" s="54"/>
      <c r="K2652" s="54"/>
      <c r="M2652" s="114"/>
      <c r="N2652" s="1"/>
      <c r="O2652" s="1"/>
      <c r="P2652" s="51"/>
    </row>
    <row r="2653">
      <c r="A2653" s="54"/>
      <c r="B2653" s="71"/>
      <c r="C2653" s="51"/>
      <c r="D2653" s="114"/>
      <c r="E2653" s="114"/>
      <c r="F2653" s="54"/>
      <c r="G2653" s="54"/>
      <c r="I2653" s="54"/>
      <c r="K2653" s="54"/>
      <c r="M2653" s="114"/>
      <c r="N2653" s="1"/>
      <c r="O2653" s="1"/>
      <c r="P2653" s="51"/>
    </row>
    <row r="2654">
      <c r="A2654" s="54"/>
      <c r="B2654" s="71"/>
      <c r="C2654" s="51"/>
      <c r="D2654" s="114"/>
      <c r="E2654" s="114"/>
      <c r="F2654" s="54"/>
      <c r="G2654" s="54"/>
      <c r="I2654" s="54"/>
      <c r="K2654" s="54"/>
      <c r="M2654" s="114"/>
      <c r="N2654" s="1"/>
      <c r="O2654" s="1"/>
      <c r="P2654" s="51"/>
    </row>
    <row r="2655">
      <c r="A2655" s="54"/>
      <c r="B2655" s="71"/>
      <c r="C2655" s="51"/>
      <c r="D2655" s="114"/>
      <c r="E2655" s="114"/>
      <c r="F2655" s="54"/>
      <c r="G2655" s="54"/>
      <c r="I2655" s="54"/>
      <c r="K2655" s="54"/>
      <c r="M2655" s="114"/>
      <c r="N2655" s="1"/>
      <c r="O2655" s="1"/>
      <c r="P2655" s="51"/>
    </row>
    <row r="2656">
      <c r="A2656" s="54"/>
      <c r="B2656" s="71"/>
      <c r="C2656" s="51"/>
      <c r="D2656" s="114"/>
      <c r="E2656" s="114"/>
      <c r="F2656" s="54"/>
      <c r="G2656" s="54"/>
      <c r="I2656" s="54"/>
      <c r="K2656" s="54"/>
      <c r="M2656" s="114"/>
      <c r="N2656" s="1"/>
      <c r="O2656" s="1"/>
      <c r="P2656" s="51"/>
    </row>
    <row r="2657">
      <c r="A2657" s="54"/>
      <c r="B2657" s="71"/>
      <c r="C2657" s="51"/>
      <c r="D2657" s="114"/>
      <c r="E2657" s="114"/>
      <c r="F2657" s="54"/>
      <c r="G2657" s="54"/>
      <c r="I2657" s="54"/>
      <c r="K2657" s="54"/>
      <c r="M2657" s="114"/>
      <c r="N2657" s="1"/>
      <c r="O2657" s="1"/>
      <c r="P2657" s="51"/>
    </row>
    <row r="2658">
      <c r="A2658" s="54"/>
      <c r="B2658" s="71"/>
      <c r="C2658" s="51"/>
      <c r="D2658" s="114"/>
      <c r="E2658" s="114"/>
      <c r="F2658" s="54"/>
      <c r="G2658" s="54"/>
      <c r="I2658" s="54"/>
      <c r="K2658" s="54"/>
      <c r="M2658" s="114"/>
      <c r="N2658" s="1"/>
      <c r="O2658" s="1"/>
      <c r="P2658" s="51"/>
    </row>
    <row r="2659">
      <c r="A2659" s="54"/>
      <c r="B2659" s="71"/>
      <c r="C2659" s="51"/>
      <c r="D2659" s="114"/>
      <c r="E2659" s="114"/>
      <c r="F2659" s="54"/>
      <c r="G2659" s="54"/>
      <c r="I2659" s="54"/>
      <c r="K2659" s="54"/>
      <c r="M2659" s="114"/>
      <c r="N2659" s="1"/>
      <c r="O2659" s="1"/>
      <c r="P2659" s="51"/>
    </row>
    <row r="2660">
      <c r="A2660" s="54"/>
      <c r="B2660" s="71"/>
      <c r="C2660" s="51"/>
      <c r="D2660" s="114"/>
      <c r="E2660" s="114"/>
      <c r="F2660" s="54"/>
      <c r="G2660" s="54"/>
      <c r="I2660" s="54"/>
      <c r="K2660" s="54"/>
      <c r="M2660" s="114"/>
      <c r="N2660" s="1"/>
      <c r="O2660" s="1"/>
      <c r="P2660" s="51"/>
    </row>
    <row r="2661">
      <c r="A2661" s="54"/>
      <c r="B2661" s="71"/>
      <c r="C2661" s="51"/>
      <c r="D2661" s="114"/>
      <c r="E2661" s="114"/>
      <c r="F2661" s="54"/>
      <c r="G2661" s="54"/>
      <c r="I2661" s="54"/>
      <c r="K2661" s="54"/>
      <c r="M2661" s="114"/>
      <c r="N2661" s="1"/>
      <c r="O2661" s="1"/>
      <c r="P2661" s="51"/>
    </row>
    <row r="2662">
      <c r="A2662" s="54"/>
      <c r="B2662" s="71"/>
      <c r="C2662" s="51"/>
      <c r="D2662" s="114"/>
      <c r="E2662" s="114"/>
      <c r="F2662" s="54"/>
      <c r="G2662" s="54"/>
      <c r="I2662" s="54"/>
      <c r="K2662" s="54"/>
      <c r="M2662" s="114"/>
      <c r="N2662" s="1"/>
      <c r="O2662" s="1"/>
      <c r="P2662" s="51"/>
    </row>
    <row r="2663">
      <c r="A2663" s="54"/>
      <c r="B2663" s="71"/>
      <c r="C2663" s="51"/>
      <c r="D2663" s="114"/>
      <c r="E2663" s="114"/>
      <c r="F2663" s="54"/>
      <c r="G2663" s="54"/>
      <c r="I2663" s="54"/>
      <c r="K2663" s="54"/>
      <c r="M2663" s="114"/>
      <c r="N2663" s="1"/>
      <c r="O2663" s="1"/>
      <c r="P2663" s="51"/>
    </row>
    <row r="2664">
      <c r="A2664" s="54"/>
      <c r="B2664" s="71"/>
      <c r="C2664" s="51"/>
      <c r="D2664" s="114"/>
      <c r="E2664" s="114"/>
      <c r="F2664" s="54"/>
      <c r="G2664" s="54"/>
      <c r="I2664" s="54"/>
      <c r="K2664" s="54"/>
      <c r="M2664" s="114"/>
      <c r="N2664" s="1"/>
      <c r="O2664" s="1"/>
      <c r="P2664" s="51"/>
    </row>
    <row r="2665">
      <c r="A2665" s="54"/>
      <c r="B2665" s="71"/>
      <c r="C2665" s="51"/>
      <c r="D2665" s="114"/>
      <c r="E2665" s="114"/>
      <c r="F2665" s="54"/>
      <c r="G2665" s="54"/>
      <c r="I2665" s="54"/>
      <c r="K2665" s="54"/>
      <c r="M2665" s="114"/>
      <c r="N2665" s="1"/>
      <c r="O2665" s="1"/>
      <c r="P2665" s="51"/>
    </row>
    <row r="2666">
      <c r="A2666" s="54"/>
      <c r="B2666" s="71"/>
      <c r="C2666" s="51"/>
      <c r="D2666" s="114"/>
      <c r="E2666" s="114"/>
      <c r="F2666" s="54"/>
      <c r="G2666" s="54"/>
      <c r="I2666" s="54"/>
      <c r="K2666" s="54"/>
      <c r="M2666" s="114"/>
      <c r="N2666" s="1"/>
      <c r="O2666" s="1"/>
      <c r="P2666" s="51"/>
    </row>
    <row r="2667">
      <c r="A2667" s="54"/>
      <c r="B2667" s="71"/>
      <c r="C2667" s="51"/>
      <c r="D2667" s="114"/>
      <c r="E2667" s="114"/>
      <c r="F2667" s="54"/>
      <c r="G2667" s="54"/>
      <c r="I2667" s="54"/>
      <c r="K2667" s="54"/>
      <c r="M2667" s="114"/>
      <c r="N2667" s="1"/>
      <c r="O2667" s="1"/>
      <c r="P2667" s="51"/>
    </row>
    <row r="2668">
      <c r="A2668" s="54"/>
      <c r="B2668" s="71"/>
      <c r="C2668" s="51"/>
      <c r="D2668" s="114"/>
      <c r="E2668" s="114"/>
      <c r="F2668" s="54"/>
      <c r="G2668" s="54"/>
      <c r="I2668" s="54"/>
      <c r="K2668" s="54"/>
      <c r="M2668" s="114"/>
      <c r="N2668" s="1"/>
      <c r="O2668" s="1"/>
      <c r="P2668" s="51"/>
    </row>
    <row r="2669">
      <c r="A2669" s="54"/>
      <c r="B2669" s="71"/>
      <c r="C2669" s="51"/>
      <c r="D2669" s="114"/>
      <c r="E2669" s="114"/>
      <c r="F2669" s="54"/>
      <c r="G2669" s="54"/>
      <c r="I2669" s="54"/>
      <c r="K2669" s="54"/>
      <c r="M2669" s="114"/>
      <c r="N2669" s="1"/>
      <c r="O2669" s="1"/>
      <c r="P2669" s="51"/>
    </row>
    <row r="2670">
      <c r="A2670" s="54"/>
      <c r="B2670" s="71"/>
      <c r="C2670" s="51"/>
      <c r="D2670" s="114"/>
      <c r="E2670" s="114"/>
      <c r="F2670" s="54"/>
      <c r="G2670" s="54"/>
      <c r="I2670" s="54"/>
      <c r="K2670" s="54"/>
      <c r="M2670" s="114"/>
      <c r="N2670" s="1"/>
      <c r="O2670" s="1"/>
      <c r="P2670" s="51"/>
    </row>
    <row r="2671">
      <c r="A2671" s="54"/>
      <c r="B2671" s="71"/>
      <c r="C2671" s="51"/>
      <c r="D2671" s="114"/>
      <c r="E2671" s="114"/>
      <c r="F2671" s="54"/>
      <c r="G2671" s="54"/>
      <c r="I2671" s="54"/>
      <c r="K2671" s="54"/>
      <c r="M2671" s="114"/>
      <c r="N2671" s="1"/>
      <c r="O2671" s="1"/>
      <c r="P2671" s="51"/>
    </row>
    <row r="2672">
      <c r="A2672" s="54"/>
      <c r="B2672" s="71"/>
      <c r="C2672" s="51"/>
      <c r="D2672" s="114"/>
      <c r="E2672" s="114"/>
      <c r="F2672" s="54"/>
      <c r="G2672" s="54"/>
      <c r="I2672" s="54"/>
      <c r="K2672" s="54"/>
      <c r="M2672" s="114"/>
      <c r="N2672" s="1"/>
      <c r="O2672" s="1"/>
      <c r="P2672" s="51"/>
    </row>
    <row r="2673">
      <c r="A2673" s="54"/>
      <c r="B2673" s="71"/>
      <c r="C2673" s="51"/>
      <c r="D2673" s="114"/>
      <c r="E2673" s="114"/>
      <c r="F2673" s="54"/>
      <c r="G2673" s="54"/>
      <c r="I2673" s="54"/>
      <c r="K2673" s="54"/>
      <c r="M2673" s="114"/>
      <c r="N2673" s="1"/>
      <c r="O2673" s="1"/>
      <c r="P2673" s="51"/>
    </row>
    <row r="2674">
      <c r="A2674" s="54"/>
      <c r="B2674" s="71"/>
      <c r="C2674" s="51"/>
      <c r="D2674" s="114"/>
      <c r="E2674" s="114"/>
      <c r="F2674" s="54"/>
      <c r="G2674" s="54"/>
      <c r="I2674" s="54"/>
      <c r="K2674" s="54"/>
      <c r="M2674" s="114"/>
      <c r="N2674" s="1"/>
      <c r="O2674" s="1"/>
      <c r="P2674" s="51"/>
    </row>
    <row r="2675">
      <c r="A2675" s="54"/>
      <c r="B2675" s="71"/>
      <c r="C2675" s="51"/>
      <c r="D2675" s="114"/>
      <c r="E2675" s="114"/>
      <c r="F2675" s="54"/>
      <c r="G2675" s="54"/>
      <c r="I2675" s="54"/>
      <c r="K2675" s="54"/>
      <c r="M2675" s="114"/>
      <c r="N2675" s="1"/>
      <c r="O2675" s="1"/>
      <c r="P2675" s="51"/>
    </row>
    <row r="2676">
      <c r="A2676" s="54"/>
      <c r="B2676" s="71"/>
      <c r="C2676" s="51"/>
      <c r="D2676" s="114"/>
      <c r="E2676" s="114"/>
      <c r="F2676" s="54"/>
      <c r="G2676" s="54"/>
      <c r="I2676" s="54"/>
      <c r="K2676" s="54"/>
      <c r="M2676" s="114"/>
      <c r="N2676" s="1"/>
      <c r="O2676" s="1"/>
      <c r="P2676" s="51"/>
    </row>
    <row r="2677">
      <c r="A2677" s="54"/>
      <c r="B2677" s="71"/>
      <c r="C2677" s="51"/>
      <c r="D2677" s="114"/>
      <c r="E2677" s="114"/>
      <c r="F2677" s="54"/>
      <c r="G2677" s="54"/>
      <c r="I2677" s="54"/>
      <c r="K2677" s="54"/>
      <c r="M2677" s="114"/>
      <c r="N2677" s="1"/>
      <c r="O2677" s="1"/>
      <c r="P2677" s="51"/>
    </row>
    <row r="2678">
      <c r="A2678" s="54"/>
      <c r="B2678" s="71"/>
      <c r="C2678" s="51"/>
      <c r="D2678" s="114"/>
      <c r="E2678" s="114"/>
      <c r="F2678" s="54"/>
      <c r="G2678" s="54"/>
      <c r="I2678" s="54"/>
      <c r="K2678" s="54"/>
      <c r="M2678" s="114"/>
      <c r="N2678" s="1"/>
      <c r="O2678" s="1"/>
      <c r="P2678" s="51"/>
    </row>
    <row r="2679">
      <c r="A2679" s="54"/>
      <c r="B2679" s="71"/>
      <c r="C2679" s="51"/>
      <c r="D2679" s="114"/>
      <c r="E2679" s="114"/>
      <c r="F2679" s="54"/>
      <c r="G2679" s="54"/>
      <c r="I2679" s="54"/>
      <c r="K2679" s="54"/>
      <c r="M2679" s="114"/>
      <c r="N2679" s="1"/>
      <c r="O2679" s="1"/>
      <c r="P2679" s="51"/>
    </row>
    <row r="2680">
      <c r="A2680" s="54"/>
      <c r="B2680" s="71"/>
      <c r="C2680" s="51"/>
      <c r="D2680" s="114"/>
      <c r="E2680" s="114"/>
      <c r="F2680" s="54"/>
      <c r="G2680" s="54"/>
      <c r="I2680" s="54"/>
      <c r="K2680" s="54"/>
      <c r="M2680" s="114"/>
      <c r="N2680" s="1"/>
      <c r="O2680" s="1"/>
      <c r="P2680" s="51"/>
    </row>
    <row r="2681">
      <c r="A2681" s="54"/>
      <c r="B2681" s="71"/>
      <c r="C2681" s="51"/>
      <c r="D2681" s="114"/>
      <c r="E2681" s="114"/>
      <c r="F2681" s="54"/>
      <c r="G2681" s="54"/>
      <c r="I2681" s="54"/>
      <c r="K2681" s="54"/>
      <c r="M2681" s="114"/>
      <c r="N2681" s="1"/>
      <c r="O2681" s="1"/>
      <c r="P2681" s="51"/>
    </row>
    <row r="2682">
      <c r="A2682" s="54"/>
      <c r="B2682" s="71"/>
      <c r="C2682" s="51"/>
      <c r="D2682" s="114"/>
      <c r="E2682" s="114"/>
      <c r="F2682" s="54"/>
      <c r="G2682" s="54"/>
      <c r="I2682" s="54"/>
      <c r="K2682" s="54"/>
      <c r="M2682" s="114"/>
      <c r="N2682" s="1"/>
      <c r="O2682" s="1"/>
      <c r="P2682" s="51"/>
    </row>
    <row r="2683">
      <c r="A2683" s="54"/>
      <c r="B2683" s="71"/>
      <c r="C2683" s="51"/>
      <c r="D2683" s="114"/>
      <c r="E2683" s="114"/>
      <c r="F2683" s="54"/>
      <c r="G2683" s="54"/>
      <c r="I2683" s="54"/>
      <c r="K2683" s="54"/>
      <c r="M2683" s="114"/>
      <c r="N2683" s="1"/>
      <c r="O2683" s="1"/>
      <c r="P2683" s="51"/>
    </row>
    <row r="2684">
      <c r="A2684" s="54"/>
      <c r="B2684" s="71"/>
      <c r="C2684" s="51"/>
      <c r="D2684" s="114"/>
      <c r="E2684" s="114"/>
      <c r="F2684" s="54"/>
      <c r="G2684" s="54"/>
      <c r="I2684" s="54"/>
      <c r="K2684" s="54"/>
      <c r="M2684" s="114"/>
      <c r="N2684" s="1"/>
      <c r="O2684" s="1"/>
      <c r="P2684" s="51"/>
    </row>
    <row r="2685">
      <c r="A2685" s="54"/>
      <c r="B2685" s="71"/>
      <c r="C2685" s="51"/>
      <c r="D2685" s="114"/>
      <c r="E2685" s="114"/>
      <c r="F2685" s="54"/>
      <c r="G2685" s="54"/>
      <c r="I2685" s="54"/>
      <c r="K2685" s="54"/>
      <c r="M2685" s="114"/>
      <c r="N2685" s="1"/>
      <c r="O2685" s="1"/>
      <c r="P2685" s="51"/>
    </row>
    <row r="2686">
      <c r="A2686" s="54"/>
      <c r="B2686" s="71"/>
      <c r="C2686" s="51"/>
      <c r="D2686" s="114"/>
      <c r="E2686" s="114"/>
      <c r="F2686" s="54"/>
      <c r="G2686" s="54"/>
      <c r="I2686" s="54"/>
      <c r="K2686" s="54"/>
      <c r="M2686" s="114"/>
      <c r="N2686" s="1"/>
      <c r="O2686" s="1"/>
      <c r="P2686" s="51"/>
    </row>
    <row r="2687">
      <c r="A2687" s="54"/>
      <c r="B2687" s="71"/>
      <c r="C2687" s="51"/>
      <c r="D2687" s="114"/>
      <c r="E2687" s="114"/>
      <c r="F2687" s="54"/>
      <c r="G2687" s="54"/>
      <c r="I2687" s="54"/>
      <c r="K2687" s="54"/>
      <c r="M2687" s="114"/>
      <c r="N2687" s="1"/>
      <c r="O2687" s="1"/>
      <c r="P2687" s="51"/>
    </row>
    <row r="2688">
      <c r="A2688" s="54"/>
      <c r="B2688" s="71"/>
      <c r="C2688" s="51"/>
      <c r="D2688" s="114"/>
      <c r="E2688" s="114"/>
      <c r="F2688" s="54"/>
      <c r="G2688" s="54"/>
      <c r="I2688" s="54"/>
      <c r="K2688" s="54"/>
      <c r="M2688" s="114"/>
      <c r="N2688" s="1"/>
      <c r="O2688" s="1"/>
      <c r="P2688" s="51"/>
    </row>
    <row r="2689">
      <c r="A2689" s="54"/>
      <c r="B2689" s="71"/>
      <c r="C2689" s="51"/>
      <c r="D2689" s="114"/>
      <c r="E2689" s="114"/>
      <c r="F2689" s="54"/>
      <c r="G2689" s="54"/>
      <c r="I2689" s="54"/>
      <c r="K2689" s="54"/>
      <c r="M2689" s="114"/>
      <c r="N2689" s="1"/>
      <c r="O2689" s="1"/>
      <c r="P2689" s="51"/>
    </row>
    <row r="2690">
      <c r="A2690" s="54"/>
      <c r="B2690" s="71"/>
      <c r="C2690" s="51"/>
      <c r="D2690" s="114"/>
      <c r="E2690" s="114"/>
      <c r="F2690" s="54"/>
      <c r="G2690" s="54"/>
      <c r="I2690" s="54"/>
      <c r="K2690" s="54"/>
      <c r="M2690" s="114"/>
      <c r="N2690" s="1"/>
      <c r="O2690" s="1"/>
      <c r="P2690" s="51"/>
    </row>
    <row r="2691">
      <c r="A2691" s="54"/>
      <c r="B2691" s="71"/>
      <c r="C2691" s="51"/>
      <c r="D2691" s="114"/>
      <c r="E2691" s="114"/>
      <c r="F2691" s="54"/>
      <c r="G2691" s="54"/>
      <c r="I2691" s="54"/>
      <c r="K2691" s="54"/>
      <c r="M2691" s="114"/>
      <c r="N2691" s="1"/>
      <c r="O2691" s="1"/>
      <c r="P2691" s="51"/>
    </row>
    <row r="2692">
      <c r="A2692" s="54"/>
      <c r="B2692" s="71"/>
      <c r="C2692" s="51"/>
      <c r="D2692" s="114"/>
      <c r="E2692" s="114"/>
      <c r="F2692" s="54"/>
      <c r="G2692" s="54"/>
      <c r="I2692" s="54"/>
      <c r="K2692" s="54"/>
      <c r="M2692" s="114"/>
      <c r="N2692" s="1"/>
      <c r="O2692" s="1"/>
      <c r="P2692" s="51"/>
    </row>
    <row r="2693">
      <c r="A2693" s="54"/>
      <c r="B2693" s="71"/>
      <c r="C2693" s="51"/>
      <c r="D2693" s="114"/>
      <c r="E2693" s="114"/>
      <c r="F2693" s="54"/>
      <c r="G2693" s="54"/>
      <c r="I2693" s="54"/>
      <c r="K2693" s="54"/>
      <c r="M2693" s="114"/>
      <c r="N2693" s="1"/>
      <c r="O2693" s="1"/>
      <c r="P2693" s="51"/>
    </row>
    <row r="2694">
      <c r="A2694" s="54"/>
      <c r="B2694" s="71"/>
      <c r="C2694" s="51"/>
      <c r="D2694" s="114"/>
      <c r="E2694" s="114"/>
      <c r="F2694" s="54"/>
      <c r="G2694" s="54"/>
      <c r="I2694" s="54"/>
      <c r="K2694" s="54"/>
      <c r="M2694" s="114"/>
      <c r="N2694" s="1"/>
      <c r="O2694" s="1"/>
      <c r="P2694" s="51"/>
    </row>
    <row r="2695">
      <c r="A2695" s="54"/>
      <c r="B2695" s="71"/>
      <c r="C2695" s="51"/>
      <c r="D2695" s="114"/>
      <c r="E2695" s="114"/>
      <c r="F2695" s="54"/>
      <c r="G2695" s="54"/>
      <c r="I2695" s="54"/>
      <c r="K2695" s="54"/>
      <c r="M2695" s="114"/>
      <c r="N2695" s="1"/>
      <c r="O2695" s="1"/>
      <c r="P2695" s="51"/>
    </row>
    <row r="2696">
      <c r="A2696" s="54"/>
      <c r="B2696" s="71"/>
      <c r="C2696" s="51"/>
      <c r="D2696" s="114"/>
      <c r="E2696" s="114"/>
      <c r="F2696" s="54"/>
      <c r="G2696" s="54"/>
      <c r="I2696" s="54"/>
      <c r="K2696" s="54"/>
      <c r="M2696" s="114"/>
      <c r="N2696" s="1"/>
      <c r="O2696" s="1"/>
      <c r="P2696" s="51"/>
    </row>
    <row r="2697">
      <c r="A2697" s="54"/>
      <c r="B2697" s="71"/>
      <c r="C2697" s="51"/>
      <c r="D2697" s="114"/>
      <c r="E2697" s="114"/>
      <c r="F2697" s="54"/>
      <c r="G2697" s="54"/>
      <c r="I2697" s="54"/>
      <c r="K2697" s="54"/>
      <c r="M2697" s="114"/>
      <c r="N2697" s="1"/>
      <c r="O2697" s="1"/>
      <c r="P2697" s="51"/>
    </row>
    <row r="2698">
      <c r="A2698" s="54"/>
      <c r="B2698" s="71"/>
      <c r="C2698" s="51"/>
      <c r="D2698" s="114"/>
      <c r="E2698" s="114"/>
      <c r="F2698" s="54"/>
      <c r="G2698" s="54"/>
      <c r="I2698" s="54"/>
      <c r="K2698" s="54"/>
      <c r="M2698" s="114"/>
      <c r="N2698" s="1"/>
      <c r="O2698" s="1"/>
      <c r="P2698" s="51"/>
    </row>
    <row r="2699">
      <c r="A2699" s="54"/>
      <c r="B2699" s="71"/>
      <c r="C2699" s="51"/>
      <c r="D2699" s="114"/>
      <c r="E2699" s="114"/>
      <c r="F2699" s="54"/>
      <c r="G2699" s="54"/>
      <c r="I2699" s="54"/>
      <c r="K2699" s="54"/>
      <c r="M2699" s="114"/>
      <c r="N2699" s="1"/>
      <c r="O2699" s="1"/>
      <c r="P2699" s="51"/>
    </row>
    <row r="2700">
      <c r="A2700" s="54"/>
      <c r="B2700" s="71"/>
      <c r="C2700" s="51"/>
      <c r="D2700" s="114"/>
      <c r="E2700" s="114"/>
      <c r="F2700" s="54"/>
      <c r="G2700" s="54"/>
      <c r="I2700" s="54"/>
      <c r="K2700" s="54"/>
      <c r="M2700" s="114"/>
      <c r="N2700" s="1"/>
      <c r="O2700" s="1"/>
      <c r="P2700" s="51"/>
    </row>
    <row r="2701">
      <c r="A2701" s="54"/>
      <c r="B2701" s="71"/>
      <c r="C2701" s="51"/>
      <c r="D2701" s="114"/>
      <c r="E2701" s="114"/>
      <c r="F2701" s="54"/>
      <c r="G2701" s="54"/>
      <c r="I2701" s="54"/>
      <c r="K2701" s="54"/>
      <c r="M2701" s="114"/>
      <c r="N2701" s="1"/>
      <c r="O2701" s="1"/>
      <c r="P2701" s="51"/>
    </row>
    <row r="2702">
      <c r="A2702" s="54"/>
      <c r="B2702" s="71"/>
      <c r="C2702" s="51"/>
      <c r="D2702" s="114"/>
      <c r="E2702" s="114"/>
      <c r="F2702" s="54"/>
      <c r="G2702" s="54"/>
      <c r="I2702" s="54"/>
      <c r="K2702" s="54"/>
      <c r="M2702" s="114"/>
      <c r="N2702" s="1"/>
      <c r="O2702" s="1"/>
      <c r="P2702" s="51"/>
    </row>
    <row r="2703">
      <c r="A2703" s="54"/>
      <c r="B2703" s="71"/>
      <c r="C2703" s="51"/>
      <c r="D2703" s="114"/>
      <c r="E2703" s="114"/>
      <c r="F2703" s="54"/>
      <c r="G2703" s="54"/>
      <c r="I2703" s="54"/>
      <c r="K2703" s="54"/>
      <c r="M2703" s="114"/>
      <c r="N2703" s="1"/>
      <c r="O2703" s="1"/>
      <c r="P2703" s="51"/>
    </row>
    <row r="2704">
      <c r="A2704" s="54"/>
      <c r="B2704" s="71"/>
      <c r="C2704" s="51"/>
      <c r="D2704" s="114"/>
      <c r="E2704" s="114"/>
      <c r="F2704" s="54"/>
      <c r="G2704" s="54"/>
      <c r="I2704" s="54"/>
      <c r="K2704" s="54"/>
      <c r="M2704" s="114"/>
      <c r="N2704" s="1"/>
      <c r="O2704" s="1"/>
      <c r="P2704" s="51"/>
    </row>
    <row r="2705">
      <c r="A2705" s="54"/>
      <c r="B2705" s="71"/>
      <c r="C2705" s="51"/>
      <c r="D2705" s="114"/>
      <c r="E2705" s="114"/>
      <c r="F2705" s="54"/>
      <c r="G2705" s="54"/>
      <c r="I2705" s="54"/>
      <c r="K2705" s="54"/>
      <c r="M2705" s="114"/>
      <c r="N2705" s="1"/>
      <c r="O2705" s="1"/>
      <c r="P2705" s="51"/>
    </row>
    <row r="2706">
      <c r="A2706" s="54"/>
      <c r="B2706" s="71"/>
      <c r="C2706" s="51"/>
      <c r="D2706" s="114"/>
      <c r="E2706" s="114"/>
      <c r="F2706" s="54"/>
      <c r="G2706" s="54"/>
      <c r="I2706" s="54"/>
      <c r="K2706" s="54"/>
      <c r="M2706" s="114"/>
      <c r="N2706" s="1"/>
      <c r="O2706" s="1"/>
      <c r="P2706" s="51"/>
    </row>
    <row r="2707">
      <c r="A2707" s="54"/>
      <c r="B2707" s="71"/>
      <c r="C2707" s="51"/>
      <c r="D2707" s="114"/>
      <c r="E2707" s="114"/>
      <c r="F2707" s="54"/>
      <c r="G2707" s="54"/>
      <c r="I2707" s="54"/>
      <c r="K2707" s="54"/>
      <c r="M2707" s="114"/>
      <c r="N2707" s="1"/>
      <c r="O2707" s="1"/>
      <c r="P2707" s="51"/>
    </row>
    <row r="2708">
      <c r="A2708" s="54"/>
      <c r="B2708" s="71"/>
      <c r="C2708" s="51"/>
      <c r="D2708" s="114"/>
      <c r="E2708" s="114"/>
      <c r="F2708" s="54"/>
      <c r="G2708" s="54"/>
      <c r="I2708" s="54"/>
      <c r="K2708" s="54"/>
      <c r="M2708" s="114"/>
      <c r="N2708" s="1"/>
      <c r="O2708" s="1"/>
      <c r="P2708" s="51"/>
    </row>
    <row r="2709">
      <c r="A2709" s="54"/>
      <c r="B2709" s="71"/>
      <c r="C2709" s="51"/>
      <c r="D2709" s="114"/>
      <c r="E2709" s="114"/>
      <c r="F2709" s="54"/>
      <c r="G2709" s="54"/>
      <c r="I2709" s="54"/>
      <c r="K2709" s="54"/>
      <c r="M2709" s="114"/>
      <c r="N2709" s="1"/>
      <c r="O2709" s="1"/>
      <c r="P2709" s="51"/>
    </row>
    <row r="2710">
      <c r="A2710" s="54"/>
      <c r="B2710" s="71"/>
      <c r="C2710" s="51"/>
      <c r="D2710" s="114"/>
      <c r="E2710" s="114"/>
      <c r="F2710" s="54"/>
      <c r="G2710" s="54"/>
      <c r="I2710" s="54"/>
      <c r="K2710" s="54"/>
      <c r="M2710" s="114"/>
      <c r="N2710" s="1"/>
      <c r="O2710" s="1"/>
      <c r="P2710" s="51"/>
    </row>
    <row r="2711">
      <c r="A2711" s="54"/>
      <c r="B2711" s="71"/>
      <c r="C2711" s="51"/>
      <c r="D2711" s="114"/>
      <c r="E2711" s="114"/>
      <c r="F2711" s="54"/>
      <c r="G2711" s="54"/>
      <c r="I2711" s="54"/>
      <c r="K2711" s="54"/>
      <c r="M2711" s="114"/>
      <c r="N2711" s="1"/>
      <c r="O2711" s="1"/>
      <c r="P2711" s="51"/>
    </row>
    <row r="2712">
      <c r="A2712" s="54"/>
      <c r="B2712" s="71"/>
      <c r="C2712" s="51"/>
      <c r="D2712" s="114"/>
      <c r="E2712" s="114"/>
      <c r="F2712" s="54"/>
      <c r="G2712" s="54"/>
      <c r="I2712" s="54"/>
      <c r="K2712" s="54"/>
      <c r="M2712" s="114"/>
      <c r="N2712" s="1"/>
      <c r="O2712" s="1"/>
      <c r="P2712" s="51"/>
    </row>
    <row r="2713">
      <c r="A2713" s="54"/>
      <c r="B2713" s="71"/>
      <c r="C2713" s="51"/>
      <c r="D2713" s="114"/>
      <c r="E2713" s="114"/>
      <c r="F2713" s="54"/>
      <c r="G2713" s="54"/>
      <c r="I2713" s="54"/>
      <c r="K2713" s="54"/>
      <c r="M2713" s="114"/>
      <c r="N2713" s="1"/>
      <c r="O2713" s="1"/>
      <c r="P2713" s="51"/>
    </row>
    <row r="2714">
      <c r="A2714" s="54"/>
      <c r="B2714" s="71"/>
      <c r="C2714" s="51"/>
      <c r="D2714" s="114"/>
      <c r="E2714" s="114"/>
      <c r="F2714" s="54"/>
      <c r="G2714" s="54"/>
      <c r="I2714" s="54"/>
      <c r="K2714" s="54"/>
      <c r="M2714" s="114"/>
      <c r="N2714" s="1"/>
      <c r="O2714" s="1"/>
      <c r="P2714" s="51"/>
    </row>
    <row r="2715">
      <c r="A2715" s="54"/>
      <c r="B2715" s="71"/>
      <c r="C2715" s="51"/>
      <c r="D2715" s="114"/>
      <c r="E2715" s="114"/>
      <c r="F2715" s="54"/>
      <c r="G2715" s="54"/>
      <c r="I2715" s="54"/>
      <c r="K2715" s="54"/>
      <c r="M2715" s="114"/>
      <c r="N2715" s="1"/>
      <c r="O2715" s="1"/>
      <c r="P2715" s="51"/>
    </row>
    <row r="2716">
      <c r="A2716" s="54"/>
      <c r="B2716" s="71"/>
      <c r="C2716" s="51"/>
      <c r="D2716" s="114"/>
      <c r="E2716" s="114"/>
      <c r="F2716" s="54"/>
      <c r="G2716" s="54"/>
      <c r="I2716" s="54"/>
      <c r="K2716" s="54"/>
      <c r="M2716" s="114"/>
      <c r="N2716" s="1"/>
      <c r="O2716" s="1"/>
      <c r="P2716" s="51"/>
    </row>
    <row r="2717">
      <c r="A2717" s="54"/>
      <c r="B2717" s="71"/>
      <c r="C2717" s="51"/>
      <c r="D2717" s="114"/>
      <c r="E2717" s="114"/>
      <c r="F2717" s="54"/>
      <c r="G2717" s="54"/>
      <c r="I2717" s="54"/>
      <c r="K2717" s="54"/>
      <c r="M2717" s="114"/>
      <c r="N2717" s="1"/>
      <c r="O2717" s="1"/>
      <c r="P2717" s="51"/>
    </row>
    <row r="2718">
      <c r="A2718" s="54"/>
      <c r="B2718" s="71"/>
      <c r="C2718" s="51"/>
      <c r="D2718" s="114"/>
      <c r="E2718" s="114"/>
      <c r="F2718" s="54"/>
      <c r="G2718" s="54"/>
      <c r="I2718" s="54"/>
      <c r="K2718" s="54"/>
      <c r="M2718" s="114"/>
      <c r="N2718" s="1"/>
      <c r="O2718" s="1"/>
      <c r="P2718" s="51"/>
    </row>
    <row r="2719">
      <c r="A2719" s="54"/>
      <c r="B2719" s="71"/>
      <c r="C2719" s="51"/>
      <c r="D2719" s="114"/>
      <c r="E2719" s="114"/>
      <c r="F2719" s="54"/>
      <c r="G2719" s="54"/>
      <c r="I2719" s="54"/>
      <c r="K2719" s="54"/>
      <c r="M2719" s="114"/>
      <c r="N2719" s="1"/>
      <c r="O2719" s="1"/>
      <c r="P2719" s="51"/>
    </row>
    <row r="2720">
      <c r="A2720" s="54"/>
      <c r="B2720" s="71"/>
      <c r="C2720" s="51"/>
      <c r="D2720" s="114"/>
      <c r="E2720" s="114"/>
      <c r="F2720" s="54"/>
      <c r="G2720" s="54"/>
      <c r="I2720" s="54"/>
      <c r="K2720" s="54"/>
      <c r="M2720" s="114"/>
      <c r="N2720" s="1"/>
      <c r="O2720" s="1"/>
      <c r="P2720" s="51"/>
    </row>
    <row r="2721">
      <c r="A2721" s="54"/>
      <c r="B2721" s="71"/>
      <c r="C2721" s="51"/>
      <c r="D2721" s="114"/>
      <c r="E2721" s="114"/>
      <c r="F2721" s="54"/>
      <c r="G2721" s="54"/>
      <c r="I2721" s="54"/>
      <c r="K2721" s="54"/>
      <c r="M2721" s="114"/>
      <c r="N2721" s="1"/>
      <c r="O2721" s="1"/>
      <c r="P2721" s="51"/>
    </row>
    <row r="2722">
      <c r="A2722" s="54"/>
      <c r="B2722" s="71"/>
      <c r="C2722" s="51"/>
      <c r="D2722" s="114"/>
      <c r="E2722" s="114"/>
      <c r="F2722" s="54"/>
      <c r="G2722" s="54"/>
      <c r="I2722" s="54"/>
      <c r="K2722" s="54"/>
      <c r="M2722" s="114"/>
      <c r="N2722" s="1"/>
      <c r="O2722" s="1"/>
      <c r="P2722" s="51"/>
    </row>
    <row r="2723">
      <c r="A2723" s="54"/>
      <c r="B2723" s="71"/>
      <c r="C2723" s="51"/>
      <c r="D2723" s="114"/>
      <c r="E2723" s="114"/>
      <c r="F2723" s="54"/>
      <c r="G2723" s="54"/>
      <c r="I2723" s="54"/>
      <c r="K2723" s="54"/>
      <c r="M2723" s="114"/>
      <c r="N2723" s="1"/>
      <c r="O2723" s="1"/>
      <c r="P2723" s="51"/>
    </row>
    <row r="2724">
      <c r="A2724" s="54"/>
      <c r="B2724" s="71"/>
      <c r="C2724" s="51"/>
      <c r="D2724" s="114"/>
      <c r="E2724" s="114"/>
      <c r="F2724" s="54"/>
      <c r="G2724" s="54"/>
      <c r="I2724" s="54"/>
      <c r="K2724" s="54"/>
      <c r="M2724" s="114"/>
      <c r="N2724" s="1"/>
      <c r="O2724" s="1"/>
      <c r="P2724" s="51"/>
    </row>
    <row r="2725">
      <c r="A2725" s="54"/>
      <c r="B2725" s="71"/>
      <c r="C2725" s="51"/>
      <c r="D2725" s="114"/>
      <c r="E2725" s="114"/>
      <c r="F2725" s="54"/>
      <c r="G2725" s="54"/>
      <c r="I2725" s="54"/>
      <c r="K2725" s="54"/>
      <c r="M2725" s="114"/>
      <c r="N2725" s="1"/>
      <c r="O2725" s="1"/>
      <c r="P2725" s="51"/>
    </row>
    <row r="2726">
      <c r="A2726" s="54"/>
      <c r="B2726" s="71"/>
      <c r="C2726" s="51"/>
      <c r="D2726" s="114"/>
      <c r="E2726" s="114"/>
      <c r="F2726" s="54"/>
      <c r="G2726" s="54"/>
      <c r="I2726" s="54"/>
      <c r="K2726" s="54"/>
      <c r="M2726" s="114"/>
      <c r="N2726" s="1"/>
      <c r="O2726" s="1"/>
      <c r="P2726" s="51"/>
    </row>
    <row r="2727">
      <c r="A2727" s="54"/>
      <c r="B2727" s="71"/>
      <c r="C2727" s="51"/>
      <c r="D2727" s="114"/>
      <c r="E2727" s="114"/>
      <c r="F2727" s="54"/>
      <c r="G2727" s="54"/>
      <c r="I2727" s="54"/>
      <c r="K2727" s="54"/>
      <c r="M2727" s="114"/>
      <c r="N2727" s="1"/>
      <c r="O2727" s="1"/>
      <c r="P2727" s="51"/>
    </row>
    <row r="2728">
      <c r="A2728" s="54"/>
      <c r="B2728" s="71"/>
      <c r="C2728" s="51"/>
      <c r="D2728" s="114"/>
      <c r="E2728" s="114"/>
      <c r="F2728" s="54"/>
      <c r="G2728" s="54"/>
      <c r="I2728" s="54"/>
      <c r="K2728" s="54"/>
      <c r="M2728" s="114"/>
      <c r="N2728" s="1"/>
      <c r="O2728" s="1"/>
      <c r="P2728" s="51"/>
    </row>
    <row r="2729">
      <c r="A2729" s="54"/>
      <c r="B2729" s="71"/>
      <c r="C2729" s="51"/>
      <c r="D2729" s="114"/>
      <c r="E2729" s="114"/>
      <c r="F2729" s="54"/>
      <c r="G2729" s="54"/>
      <c r="I2729" s="54"/>
      <c r="K2729" s="54"/>
      <c r="M2729" s="114"/>
      <c r="N2729" s="1"/>
      <c r="O2729" s="1"/>
      <c r="P2729" s="51"/>
    </row>
    <row r="2730">
      <c r="A2730" s="54"/>
      <c r="B2730" s="71"/>
      <c r="C2730" s="51"/>
      <c r="D2730" s="114"/>
      <c r="E2730" s="114"/>
      <c r="F2730" s="54"/>
      <c r="G2730" s="54"/>
      <c r="I2730" s="54"/>
      <c r="K2730" s="54"/>
      <c r="M2730" s="114"/>
      <c r="N2730" s="1"/>
      <c r="O2730" s="1"/>
      <c r="P2730" s="51"/>
    </row>
    <row r="2731">
      <c r="A2731" s="54"/>
      <c r="B2731" s="71"/>
      <c r="C2731" s="51"/>
      <c r="D2731" s="114"/>
      <c r="E2731" s="114"/>
      <c r="F2731" s="54"/>
      <c r="G2731" s="54"/>
      <c r="I2731" s="54"/>
      <c r="K2731" s="54"/>
      <c r="M2731" s="114"/>
      <c r="N2731" s="1"/>
      <c r="O2731" s="1"/>
      <c r="P2731" s="51"/>
    </row>
    <row r="2732">
      <c r="A2732" s="54"/>
      <c r="B2732" s="71"/>
      <c r="C2732" s="51"/>
      <c r="D2732" s="114"/>
      <c r="E2732" s="114"/>
      <c r="F2732" s="54"/>
      <c r="G2732" s="54"/>
      <c r="I2732" s="54"/>
      <c r="K2732" s="54"/>
      <c r="M2732" s="114"/>
      <c r="N2732" s="1"/>
      <c r="O2732" s="1"/>
      <c r="P2732" s="51"/>
    </row>
    <row r="2733">
      <c r="A2733" s="54"/>
      <c r="B2733" s="71"/>
      <c r="C2733" s="51"/>
      <c r="D2733" s="114"/>
      <c r="E2733" s="114"/>
      <c r="F2733" s="54"/>
      <c r="G2733" s="54"/>
      <c r="I2733" s="54"/>
      <c r="K2733" s="54"/>
      <c r="M2733" s="114"/>
      <c r="N2733" s="1"/>
      <c r="O2733" s="1"/>
      <c r="P2733" s="51"/>
    </row>
    <row r="2734">
      <c r="A2734" s="54"/>
      <c r="B2734" s="71"/>
      <c r="C2734" s="51"/>
      <c r="D2734" s="114"/>
      <c r="E2734" s="114"/>
      <c r="F2734" s="54"/>
      <c r="G2734" s="54"/>
      <c r="I2734" s="54"/>
      <c r="K2734" s="54"/>
      <c r="M2734" s="114"/>
      <c r="N2734" s="1"/>
      <c r="O2734" s="1"/>
      <c r="P2734" s="51"/>
    </row>
    <row r="2735">
      <c r="A2735" s="54"/>
      <c r="B2735" s="71"/>
      <c r="C2735" s="51"/>
      <c r="D2735" s="114"/>
      <c r="E2735" s="114"/>
      <c r="F2735" s="54"/>
      <c r="G2735" s="54"/>
      <c r="I2735" s="54"/>
      <c r="K2735" s="54"/>
      <c r="M2735" s="114"/>
      <c r="N2735" s="1"/>
      <c r="O2735" s="1"/>
      <c r="P2735" s="51"/>
    </row>
    <row r="2736">
      <c r="A2736" s="54"/>
      <c r="B2736" s="71"/>
      <c r="C2736" s="51"/>
      <c r="D2736" s="114"/>
      <c r="E2736" s="114"/>
      <c r="F2736" s="54"/>
      <c r="G2736" s="54"/>
      <c r="I2736" s="54"/>
      <c r="K2736" s="54"/>
      <c r="M2736" s="114"/>
      <c r="N2736" s="1"/>
      <c r="O2736" s="1"/>
      <c r="P2736" s="51"/>
    </row>
    <row r="2737">
      <c r="A2737" s="54"/>
      <c r="B2737" s="71"/>
      <c r="C2737" s="51"/>
      <c r="D2737" s="114"/>
      <c r="E2737" s="114"/>
      <c r="F2737" s="54"/>
      <c r="G2737" s="54"/>
      <c r="I2737" s="54"/>
      <c r="K2737" s="54"/>
      <c r="M2737" s="114"/>
      <c r="N2737" s="1"/>
      <c r="O2737" s="1"/>
      <c r="P2737" s="51"/>
    </row>
    <row r="2738">
      <c r="A2738" s="54"/>
      <c r="B2738" s="71"/>
      <c r="C2738" s="51"/>
      <c r="D2738" s="114"/>
      <c r="E2738" s="114"/>
      <c r="F2738" s="54"/>
      <c r="G2738" s="54"/>
      <c r="I2738" s="54"/>
      <c r="K2738" s="54"/>
      <c r="M2738" s="114"/>
      <c r="N2738" s="1"/>
      <c r="O2738" s="1"/>
      <c r="P2738" s="51"/>
    </row>
    <row r="2739">
      <c r="A2739" s="54"/>
      <c r="B2739" s="71"/>
      <c r="C2739" s="51"/>
      <c r="D2739" s="114"/>
      <c r="E2739" s="114"/>
      <c r="F2739" s="54"/>
      <c r="G2739" s="54"/>
      <c r="I2739" s="54"/>
      <c r="K2739" s="54"/>
      <c r="M2739" s="114"/>
      <c r="N2739" s="1"/>
      <c r="O2739" s="1"/>
      <c r="P2739" s="51"/>
    </row>
    <row r="2740">
      <c r="A2740" s="54"/>
      <c r="B2740" s="71"/>
      <c r="C2740" s="51"/>
      <c r="D2740" s="114"/>
      <c r="E2740" s="114"/>
      <c r="F2740" s="54"/>
      <c r="G2740" s="54"/>
      <c r="I2740" s="54"/>
      <c r="K2740" s="54"/>
      <c r="M2740" s="114"/>
      <c r="N2740" s="1"/>
      <c r="O2740" s="1"/>
      <c r="P2740" s="51"/>
    </row>
    <row r="2741">
      <c r="A2741" s="54"/>
      <c r="B2741" s="71"/>
      <c r="C2741" s="51"/>
      <c r="D2741" s="114"/>
      <c r="E2741" s="114"/>
      <c r="F2741" s="54"/>
      <c r="G2741" s="54"/>
      <c r="I2741" s="54"/>
      <c r="K2741" s="54"/>
      <c r="M2741" s="114"/>
      <c r="N2741" s="1"/>
      <c r="O2741" s="1"/>
      <c r="P2741" s="51"/>
    </row>
    <row r="2742">
      <c r="A2742" s="54"/>
      <c r="B2742" s="71"/>
      <c r="C2742" s="51"/>
      <c r="D2742" s="114"/>
      <c r="E2742" s="114"/>
      <c r="F2742" s="54"/>
      <c r="G2742" s="54"/>
      <c r="I2742" s="54"/>
      <c r="K2742" s="54"/>
      <c r="M2742" s="114"/>
      <c r="N2742" s="1"/>
      <c r="O2742" s="1"/>
      <c r="P2742" s="51"/>
    </row>
    <row r="2743">
      <c r="A2743" s="54"/>
      <c r="B2743" s="71"/>
      <c r="C2743" s="51"/>
      <c r="D2743" s="114"/>
      <c r="E2743" s="114"/>
      <c r="F2743" s="54"/>
      <c r="G2743" s="54"/>
      <c r="I2743" s="54"/>
      <c r="K2743" s="54"/>
      <c r="M2743" s="114"/>
      <c r="N2743" s="1"/>
      <c r="O2743" s="1"/>
      <c r="P2743" s="51"/>
    </row>
    <row r="2744">
      <c r="A2744" s="54"/>
      <c r="B2744" s="71"/>
      <c r="C2744" s="51"/>
      <c r="D2744" s="114"/>
      <c r="E2744" s="114"/>
      <c r="F2744" s="54"/>
      <c r="G2744" s="54"/>
      <c r="I2744" s="54"/>
      <c r="K2744" s="54"/>
      <c r="M2744" s="114"/>
      <c r="N2744" s="1"/>
      <c r="O2744" s="1"/>
      <c r="P2744" s="51"/>
    </row>
    <row r="2745">
      <c r="A2745" s="54"/>
      <c r="B2745" s="71"/>
      <c r="C2745" s="51"/>
      <c r="D2745" s="114"/>
      <c r="E2745" s="114"/>
      <c r="F2745" s="54"/>
      <c r="G2745" s="54"/>
      <c r="I2745" s="54"/>
      <c r="K2745" s="54"/>
      <c r="M2745" s="114"/>
      <c r="N2745" s="1"/>
      <c r="O2745" s="1"/>
      <c r="P2745" s="51"/>
    </row>
    <row r="2746">
      <c r="A2746" s="54"/>
      <c r="B2746" s="71"/>
      <c r="C2746" s="51"/>
      <c r="D2746" s="114"/>
      <c r="E2746" s="114"/>
      <c r="F2746" s="54"/>
      <c r="G2746" s="54"/>
      <c r="I2746" s="54"/>
      <c r="K2746" s="54"/>
      <c r="M2746" s="114"/>
      <c r="N2746" s="1"/>
      <c r="O2746" s="1"/>
      <c r="P2746" s="51"/>
    </row>
    <row r="2747">
      <c r="A2747" s="54"/>
      <c r="B2747" s="71"/>
      <c r="C2747" s="51"/>
      <c r="D2747" s="114"/>
      <c r="E2747" s="114"/>
      <c r="F2747" s="54"/>
      <c r="G2747" s="54"/>
      <c r="I2747" s="54"/>
      <c r="K2747" s="54"/>
      <c r="M2747" s="114"/>
      <c r="N2747" s="1"/>
      <c r="O2747" s="1"/>
      <c r="P2747" s="51"/>
    </row>
    <row r="2748">
      <c r="A2748" s="54"/>
      <c r="B2748" s="71"/>
      <c r="C2748" s="51"/>
      <c r="D2748" s="114"/>
      <c r="E2748" s="114"/>
      <c r="F2748" s="54"/>
      <c r="G2748" s="54"/>
      <c r="I2748" s="54"/>
      <c r="K2748" s="54"/>
      <c r="M2748" s="114"/>
      <c r="N2748" s="1"/>
      <c r="O2748" s="1"/>
      <c r="P2748" s="51"/>
    </row>
    <row r="2749">
      <c r="A2749" s="54"/>
      <c r="B2749" s="71"/>
      <c r="C2749" s="51"/>
      <c r="D2749" s="114"/>
      <c r="E2749" s="114"/>
      <c r="F2749" s="54"/>
      <c r="G2749" s="54"/>
      <c r="I2749" s="54"/>
      <c r="K2749" s="54"/>
      <c r="M2749" s="114"/>
      <c r="N2749" s="1"/>
      <c r="O2749" s="1"/>
      <c r="P2749" s="51"/>
    </row>
    <row r="2750">
      <c r="A2750" s="54"/>
      <c r="B2750" s="71"/>
      <c r="C2750" s="51"/>
      <c r="D2750" s="114"/>
      <c r="E2750" s="114"/>
      <c r="F2750" s="54"/>
      <c r="G2750" s="54"/>
      <c r="I2750" s="54"/>
      <c r="K2750" s="54"/>
      <c r="M2750" s="114"/>
      <c r="N2750" s="1"/>
      <c r="O2750" s="1"/>
      <c r="P2750" s="51"/>
    </row>
    <row r="2751">
      <c r="A2751" s="54"/>
      <c r="B2751" s="71"/>
      <c r="C2751" s="51"/>
      <c r="D2751" s="114"/>
      <c r="E2751" s="114"/>
      <c r="F2751" s="54"/>
      <c r="G2751" s="54"/>
      <c r="I2751" s="54"/>
      <c r="K2751" s="54"/>
      <c r="M2751" s="114"/>
      <c r="N2751" s="1"/>
      <c r="O2751" s="1"/>
      <c r="P2751" s="51"/>
    </row>
    <row r="2752">
      <c r="A2752" s="54"/>
      <c r="B2752" s="71"/>
      <c r="C2752" s="51"/>
      <c r="D2752" s="114"/>
      <c r="E2752" s="114"/>
      <c r="F2752" s="54"/>
      <c r="G2752" s="54"/>
      <c r="I2752" s="54"/>
      <c r="K2752" s="54"/>
      <c r="M2752" s="114"/>
      <c r="N2752" s="1"/>
      <c r="O2752" s="1"/>
      <c r="P2752" s="51"/>
    </row>
    <row r="2753">
      <c r="A2753" s="54"/>
      <c r="B2753" s="71"/>
      <c r="C2753" s="51"/>
      <c r="D2753" s="114"/>
      <c r="E2753" s="114"/>
      <c r="F2753" s="54"/>
      <c r="G2753" s="54"/>
      <c r="I2753" s="54"/>
      <c r="K2753" s="54"/>
      <c r="M2753" s="114"/>
      <c r="N2753" s="1"/>
      <c r="O2753" s="1"/>
      <c r="P2753" s="51"/>
    </row>
    <row r="2754">
      <c r="A2754" s="54"/>
      <c r="B2754" s="71"/>
      <c r="C2754" s="51"/>
      <c r="D2754" s="114"/>
      <c r="E2754" s="114"/>
      <c r="F2754" s="54"/>
      <c r="G2754" s="54"/>
      <c r="I2754" s="54"/>
      <c r="K2754" s="54"/>
      <c r="M2754" s="114"/>
      <c r="N2754" s="1"/>
      <c r="O2754" s="1"/>
      <c r="P2754" s="51"/>
    </row>
    <row r="2755">
      <c r="A2755" s="54"/>
      <c r="B2755" s="71"/>
      <c r="C2755" s="51"/>
      <c r="D2755" s="114"/>
      <c r="E2755" s="114"/>
      <c r="F2755" s="54"/>
      <c r="G2755" s="54"/>
      <c r="I2755" s="54"/>
      <c r="K2755" s="54"/>
      <c r="M2755" s="114"/>
      <c r="N2755" s="1"/>
      <c r="O2755" s="1"/>
      <c r="P2755" s="51"/>
    </row>
    <row r="2756">
      <c r="A2756" s="54"/>
      <c r="B2756" s="71"/>
      <c r="C2756" s="51"/>
      <c r="D2756" s="114"/>
      <c r="E2756" s="114"/>
      <c r="F2756" s="54"/>
      <c r="G2756" s="54"/>
      <c r="I2756" s="54"/>
      <c r="K2756" s="54"/>
      <c r="M2756" s="114"/>
      <c r="N2756" s="1"/>
      <c r="O2756" s="1"/>
      <c r="P2756" s="51"/>
    </row>
    <row r="2757">
      <c r="A2757" s="54"/>
      <c r="B2757" s="71"/>
      <c r="C2757" s="51"/>
      <c r="D2757" s="114"/>
      <c r="E2757" s="114"/>
      <c r="F2757" s="54"/>
      <c r="G2757" s="54"/>
      <c r="I2757" s="54"/>
      <c r="K2757" s="54"/>
      <c r="M2757" s="114"/>
      <c r="N2757" s="1"/>
      <c r="O2757" s="1"/>
      <c r="P2757" s="51"/>
    </row>
    <row r="2758">
      <c r="A2758" s="54"/>
      <c r="B2758" s="71"/>
      <c r="C2758" s="51"/>
      <c r="D2758" s="114"/>
      <c r="E2758" s="114"/>
      <c r="F2758" s="54"/>
      <c r="G2758" s="54"/>
      <c r="I2758" s="54"/>
      <c r="K2758" s="54"/>
      <c r="M2758" s="114"/>
      <c r="N2758" s="1"/>
      <c r="O2758" s="1"/>
      <c r="P2758" s="51"/>
    </row>
    <row r="2759">
      <c r="A2759" s="54"/>
      <c r="B2759" s="71"/>
      <c r="C2759" s="51"/>
      <c r="D2759" s="114"/>
      <c r="E2759" s="114"/>
      <c r="F2759" s="54"/>
      <c r="G2759" s="54"/>
      <c r="I2759" s="54"/>
      <c r="K2759" s="54"/>
      <c r="M2759" s="114"/>
      <c r="N2759" s="1"/>
      <c r="O2759" s="1"/>
      <c r="P2759" s="51"/>
    </row>
    <row r="2760">
      <c r="A2760" s="54"/>
      <c r="B2760" s="71"/>
      <c r="C2760" s="51"/>
      <c r="D2760" s="114"/>
      <c r="E2760" s="114"/>
      <c r="F2760" s="54"/>
      <c r="G2760" s="54"/>
      <c r="I2760" s="54"/>
      <c r="K2760" s="54"/>
      <c r="M2760" s="114"/>
      <c r="N2760" s="1"/>
      <c r="O2760" s="1"/>
      <c r="P2760" s="51"/>
    </row>
    <row r="2761">
      <c r="A2761" s="54"/>
      <c r="B2761" s="71"/>
      <c r="C2761" s="51"/>
      <c r="D2761" s="114"/>
      <c r="E2761" s="114"/>
      <c r="F2761" s="54"/>
      <c r="G2761" s="54"/>
      <c r="I2761" s="54"/>
      <c r="K2761" s="54"/>
      <c r="M2761" s="114"/>
      <c r="N2761" s="1"/>
      <c r="O2761" s="1"/>
      <c r="P2761" s="51"/>
    </row>
    <row r="2762">
      <c r="A2762" s="54"/>
      <c r="B2762" s="71"/>
      <c r="C2762" s="51"/>
      <c r="D2762" s="114"/>
      <c r="E2762" s="114"/>
      <c r="F2762" s="54"/>
      <c r="G2762" s="54"/>
      <c r="I2762" s="54"/>
      <c r="K2762" s="54"/>
      <c r="M2762" s="114"/>
      <c r="N2762" s="1"/>
      <c r="O2762" s="1"/>
      <c r="P2762" s="51"/>
    </row>
    <row r="2763">
      <c r="A2763" s="54"/>
      <c r="B2763" s="71"/>
      <c r="C2763" s="51"/>
      <c r="D2763" s="114"/>
      <c r="E2763" s="114"/>
      <c r="F2763" s="54"/>
      <c r="G2763" s="54"/>
      <c r="I2763" s="54"/>
      <c r="K2763" s="54"/>
      <c r="M2763" s="114"/>
      <c r="N2763" s="1"/>
      <c r="O2763" s="1"/>
      <c r="P2763" s="51"/>
    </row>
    <row r="2764">
      <c r="A2764" s="54"/>
      <c r="B2764" s="71"/>
      <c r="C2764" s="51"/>
      <c r="D2764" s="114"/>
      <c r="E2764" s="114"/>
      <c r="F2764" s="54"/>
      <c r="G2764" s="54"/>
      <c r="I2764" s="54"/>
      <c r="K2764" s="54"/>
      <c r="M2764" s="114"/>
      <c r="N2764" s="1"/>
      <c r="O2764" s="1"/>
      <c r="P2764" s="51"/>
    </row>
    <row r="2765">
      <c r="A2765" s="54"/>
      <c r="B2765" s="71"/>
      <c r="C2765" s="51"/>
      <c r="D2765" s="114"/>
      <c r="E2765" s="114"/>
      <c r="F2765" s="54"/>
      <c r="G2765" s="54"/>
      <c r="I2765" s="54"/>
      <c r="K2765" s="54"/>
      <c r="M2765" s="114"/>
      <c r="N2765" s="1"/>
      <c r="O2765" s="1"/>
      <c r="P2765" s="51"/>
    </row>
    <row r="2766">
      <c r="A2766" s="54"/>
      <c r="B2766" s="71"/>
      <c r="C2766" s="51"/>
      <c r="D2766" s="114"/>
      <c r="E2766" s="114"/>
      <c r="F2766" s="54"/>
      <c r="G2766" s="54"/>
      <c r="I2766" s="54"/>
      <c r="K2766" s="54"/>
      <c r="M2766" s="114"/>
      <c r="N2766" s="1"/>
      <c r="O2766" s="1"/>
      <c r="P2766" s="51"/>
    </row>
    <row r="2767">
      <c r="A2767" s="54"/>
      <c r="B2767" s="71"/>
      <c r="C2767" s="51"/>
      <c r="D2767" s="114"/>
      <c r="E2767" s="114"/>
      <c r="F2767" s="54"/>
      <c r="G2767" s="54"/>
      <c r="I2767" s="54"/>
      <c r="K2767" s="54"/>
      <c r="M2767" s="114"/>
      <c r="N2767" s="1"/>
      <c r="O2767" s="1"/>
      <c r="P2767" s="51"/>
    </row>
    <row r="2768">
      <c r="A2768" s="54"/>
      <c r="B2768" s="71"/>
      <c r="C2768" s="51"/>
      <c r="D2768" s="114"/>
      <c r="E2768" s="114"/>
      <c r="F2768" s="54"/>
      <c r="G2768" s="54"/>
      <c r="I2768" s="54"/>
      <c r="K2768" s="54"/>
      <c r="M2768" s="114"/>
      <c r="N2768" s="1"/>
      <c r="O2768" s="1"/>
      <c r="P2768" s="51"/>
    </row>
    <row r="2769">
      <c r="A2769" s="54"/>
      <c r="B2769" s="71"/>
      <c r="C2769" s="51"/>
      <c r="D2769" s="114"/>
      <c r="E2769" s="114"/>
      <c r="F2769" s="54"/>
      <c r="G2769" s="54"/>
      <c r="I2769" s="54"/>
      <c r="K2769" s="54"/>
      <c r="M2769" s="114"/>
      <c r="N2769" s="1"/>
      <c r="O2769" s="1"/>
      <c r="P2769" s="51"/>
    </row>
    <row r="2770">
      <c r="A2770" s="54"/>
      <c r="B2770" s="71"/>
      <c r="C2770" s="51"/>
      <c r="D2770" s="114"/>
      <c r="E2770" s="114"/>
      <c r="F2770" s="54"/>
      <c r="G2770" s="54"/>
      <c r="I2770" s="54"/>
      <c r="K2770" s="54"/>
      <c r="M2770" s="114"/>
      <c r="N2770" s="1"/>
      <c r="O2770" s="1"/>
      <c r="P2770" s="51"/>
    </row>
    <row r="2771">
      <c r="A2771" s="54"/>
      <c r="B2771" s="71"/>
      <c r="C2771" s="51"/>
      <c r="D2771" s="114"/>
      <c r="E2771" s="114"/>
      <c r="F2771" s="54"/>
      <c r="G2771" s="54"/>
      <c r="I2771" s="54"/>
      <c r="K2771" s="54"/>
      <c r="M2771" s="114"/>
      <c r="N2771" s="1"/>
      <c r="O2771" s="1"/>
      <c r="P2771" s="51"/>
    </row>
    <row r="2772">
      <c r="A2772" s="54"/>
      <c r="B2772" s="71"/>
      <c r="C2772" s="51"/>
      <c r="D2772" s="114"/>
      <c r="E2772" s="114"/>
      <c r="F2772" s="54"/>
      <c r="G2772" s="54"/>
      <c r="I2772" s="54"/>
      <c r="K2772" s="54"/>
      <c r="M2772" s="114"/>
      <c r="N2772" s="1"/>
      <c r="O2772" s="1"/>
      <c r="P2772" s="51"/>
    </row>
    <row r="2773">
      <c r="A2773" s="54"/>
      <c r="B2773" s="71"/>
      <c r="C2773" s="51"/>
      <c r="D2773" s="114"/>
      <c r="E2773" s="114"/>
      <c r="F2773" s="54"/>
      <c r="G2773" s="54"/>
      <c r="I2773" s="54"/>
      <c r="K2773" s="54"/>
      <c r="M2773" s="114"/>
      <c r="N2773" s="1"/>
      <c r="O2773" s="1"/>
      <c r="P2773" s="51"/>
    </row>
    <row r="2774">
      <c r="A2774" s="54"/>
      <c r="B2774" s="71"/>
      <c r="C2774" s="51"/>
      <c r="D2774" s="114"/>
      <c r="E2774" s="114"/>
      <c r="F2774" s="54"/>
      <c r="G2774" s="54"/>
      <c r="I2774" s="54"/>
      <c r="K2774" s="54"/>
      <c r="M2774" s="114"/>
      <c r="N2774" s="1"/>
      <c r="O2774" s="1"/>
      <c r="P2774" s="51"/>
    </row>
    <row r="2775">
      <c r="A2775" s="54"/>
      <c r="B2775" s="71"/>
      <c r="C2775" s="51"/>
      <c r="D2775" s="114"/>
      <c r="E2775" s="114"/>
      <c r="F2775" s="54"/>
      <c r="G2775" s="54"/>
      <c r="I2775" s="54"/>
      <c r="K2775" s="54"/>
      <c r="M2775" s="114"/>
      <c r="N2775" s="1"/>
      <c r="O2775" s="1"/>
      <c r="P2775" s="51"/>
    </row>
    <row r="2776">
      <c r="A2776" s="54"/>
      <c r="B2776" s="71"/>
      <c r="C2776" s="51"/>
      <c r="D2776" s="114"/>
      <c r="E2776" s="114"/>
      <c r="F2776" s="54"/>
      <c r="G2776" s="54"/>
      <c r="I2776" s="54"/>
      <c r="K2776" s="54"/>
      <c r="M2776" s="114"/>
      <c r="N2776" s="1"/>
      <c r="O2776" s="1"/>
      <c r="P2776" s="51"/>
    </row>
    <row r="2777">
      <c r="A2777" s="54"/>
      <c r="B2777" s="71"/>
      <c r="C2777" s="51"/>
      <c r="D2777" s="114"/>
      <c r="E2777" s="114"/>
      <c r="F2777" s="54"/>
      <c r="G2777" s="54"/>
      <c r="I2777" s="54"/>
      <c r="K2777" s="54"/>
      <c r="M2777" s="114"/>
      <c r="N2777" s="1"/>
      <c r="O2777" s="1"/>
      <c r="P2777" s="51"/>
    </row>
    <row r="2778">
      <c r="A2778" s="54"/>
      <c r="B2778" s="71"/>
      <c r="C2778" s="51"/>
      <c r="D2778" s="114"/>
      <c r="E2778" s="114"/>
      <c r="F2778" s="54"/>
      <c r="G2778" s="54"/>
      <c r="I2778" s="54"/>
      <c r="K2778" s="54"/>
      <c r="M2778" s="114"/>
      <c r="N2778" s="1"/>
      <c r="O2778" s="1"/>
      <c r="P2778" s="51"/>
    </row>
    <row r="2779">
      <c r="A2779" s="54"/>
      <c r="B2779" s="71"/>
      <c r="C2779" s="51"/>
      <c r="D2779" s="114"/>
      <c r="E2779" s="114"/>
      <c r="F2779" s="54"/>
      <c r="G2779" s="54"/>
      <c r="I2779" s="54"/>
      <c r="K2779" s="54"/>
      <c r="M2779" s="114"/>
      <c r="N2779" s="1"/>
      <c r="O2779" s="1"/>
      <c r="P2779" s="51"/>
    </row>
    <row r="2780">
      <c r="A2780" s="54"/>
      <c r="B2780" s="71"/>
      <c r="C2780" s="51"/>
      <c r="D2780" s="114"/>
      <c r="E2780" s="114"/>
      <c r="F2780" s="54"/>
      <c r="G2780" s="54"/>
      <c r="I2780" s="54"/>
      <c r="K2780" s="54"/>
      <c r="M2780" s="114"/>
      <c r="N2780" s="1"/>
      <c r="O2780" s="1"/>
      <c r="P2780" s="51"/>
    </row>
    <row r="2781">
      <c r="A2781" s="54"/>
      <c r="B2781" s="71"/>
      <c r="C2781" s="51"/>
      <c r="D2781" s="114"/>
      <c r="E2781" s="114"/>
      <c r="F2781" s="54"/>
      <c r="G2781" s="54"/>
      <c r="I2781" s="54"/>
      <c r="K2781" s="54"/>
      <c r="M2781" s="114"/>
      <c r="N2781" s="1"/>
      <c r="O2781" s="1"/>
      <c r="P2781" s="51"/>
    </row>
    <row r="2782">
      <c r="A2782" s="54"/>
      <c r="B2782" s="71"/>
      <c r="C2782" s="51"/>
      <c r="D2782" s="114"/>
      <c r="E2782" s="114"/>
      <c r="F2782" s="54"/>
      <c r="G2782" s="54"/>
      <c r="I2782" s="54"/>
      <c r="K2782" s="54"/>
      <c r="M2782" s="114"/>
      <c r="N2782" s="1"/>
      <c r="O2782" s="1"/>
      <c r="P2782" s="51"/>
    </row>
    <row r="2783">
      <c r="A2783" s="54"/>
      <c r="B2783" s="71"/>
      <c r="C2783" s="51"/>
      <c r="D2783" s="114"/>
      <c r="E2783" s="114"/>
      <c r="F2783" s="54"/>
      <c r="G2783" s="54"/>
      <c r="I2783" s="54"/>
      <c r="K2783" s="54"/>
      <c r="M2783" s="114"/>
      <c r="N2783" s="1"/>
      <c r="O2783" s="1"/>
      <c r="P2783" s="51"/>
    </row>
    <row r="2784">
      <c r="A2784" s="54"/>
      <c r="B2784" s="71"/>
      <c r="C2784" s="51"/>
      <c r="D2784" s="114"/>
      <c r="E2784" s="114"/>
      <c r="F2784" s="54"/>
      <c r="G2784" s="54"/>
      <c r="I2784" s="54"/>
      <c r="K2784" s="54"/>
      <c r="M2784" s="114"/>
      <c r="N2784" s="1"/>
      <c r="O2784" s="1"/>
      <c r="P2784" s="51"/>
    </row>
    <row r="2785">
      <c r="A2785" s="54"/>
      <c r="B2785" s="71"/>
      <c r="C2785" s="51"/>
      <c r="D2785" s="114"/>
      <c r="E2785" s="114"/>
      <c r="F2785" s="54"/>
      <c r="G2785" s="54"/>
      <c r="I2785" s="54"/>
      <c r="K2785" s="54"/>
      <c r="M2785" s="114"/>
      <c r="N2785" s="1"/>
      <c r="O2785" s="1"/>
      <c r="P2785" s="51"/>
    </row>
    <row r="2786">
      <c r="A2786" s="54"/>
      <c r="B2786" s="71"/>
      <c r="C2786" s="51"/>
      <c r="D2786" s="114"/>
      <c r="E2786" s="114"/>
      <c r="F2786" s="54"/>
      <c r="G2786" s="54"/>
      <c r="I2786" s="54"/>
      <c r="K2786" s="54"/>
      <c r="M2786" s="114"/>
      <c r="N2786" s="1"/>
      <c r="O2786" s="1"/>
      <c r="P2786" s="51"/>
    </row>
    <row r="2787">
      <c r="A2787" s="54"/>
      <c r="B2787" s="71"/>
      <c r="C2787" s="51"/>
      <c r="D2787" s="114"/>
      <c r="E2787" s="114"/>
      <c r="F2787" s="54"/>
      <c r="G2787" s="54"/>
      <c r="I2787" s="54"/>
      <c r="K2787" s="54"/>
      <c r="M2787" s="114"/>
      <c r="N2787" s="1"/>
      <c r="O2787" s="1"/>
      <c r="P2787" s="51"/>
    </row>
    <row r="2788">
      <c r="A2788" s="54"/>
      <c r="B2788" s="71"/>
      <c r="C2788" s="51"/>
      <c r="D2788" s="114"/>
      <c r="E2788" s="114"/>
      <c r="F2788" s="54"/>
      <c r="G2788" s="54"/>
      <c r="I2788" s="54"/>
      <c r="K2788" s="54"/>
      <c r="M2788" s="114"/>
      <c r="N2788" s="1"/>
      <c r="O2788" s="1"/>
      <c r="P2788" s="51"/>
    </row>
    <row r="2789">
      <c r="A2789" s="54"/>
      <c r="B2789" s="71"/>
      <c r="C2789" s="51"/>
      <c r="D2789" s="114"/>
      <c r="E2789" s="114"/>
      <c r="F2789" s="54"/>
      <c r="G2789" s="54"/>
      <c r="I2789" s="54"/>
      <c r="K2789" s="54"/>
      <c r="M2789" s="114"/>
      <c r="N2789" s="1"/>
      <c r="O2789" s="1"/>
      <c r="P2789" s="51"/>
    </row>
    <row r="2790">
      <c r="A2790" s="54"/>
      <c r="B2790" s="71"/>
      <c r="C2790" s="51"/>
      <c r="D2790" s="114"/>
      <c r="E2790" s="114"/>
      <c r="F2790" s="54"/>
      <c r="G2790" s="54"/>
      <c r="I2790" s="54"/>
      <c r="K2790" s="54"/>
      <c r="M2790" s="114"/>
      <c r="N2790" s="1"/>
      <c r="O2790" s="1"/>
      <c r="P2790" s="51"/>
    </row>
    <row r="2791">
      <c r="A2791" s="54"/>
      <c r="B2791" s="71"/>
      <c r="C2791" s="51"/>
      <c r="D2791" s="114"/>
      <c r="E2791" s="114"/>
      <c r="F2791" s="54"/>
      <c r="G2791" s="54"/>
      <c r="I2791" s="54"/>
      <c r="K2791" s="54"/>
      <c r="M2791" s="114"/>
      <c r="N2791" s="1"/>
      <c r="O2791" s="1"/>
      <c r="P2791" s="51"/>
    </row>
    <row r="2792">
      <c r="A2792" s="54"/>
      <c r="B2792" s="71"/>
      <c r="C2792" s="51"/>
      <c r="D2792" s="114"/>
      <c r="E2792" s="114"/>
      <c r="F2792" s="54"/>
      <c r="G2792" s="54"/>
      <c r="I2792" s="54"/>
      <c r="K2792" s="54"/>
      <c r="M2792" s="114"/>
      <c r="N2792" s="1"/>
      <c r="O2792" s="1"/>
      <c r="P2792" s="51"/>
    </row>
    <row r="2793">
      <c r="A2793" s="54"/>
      <c r="B2793" s="71"/>
      <c r="C2793" s="51"/>
      <c r="D2793" s="114"/>
      <c r="E2793" s="114"/>
      <c r="F2793" s="54"/>
      <c r="G2793" s="54"/>
      <c r="I2793" s="54"/>
      <c r="K2793" s="54"/>
      <c r="M2793" s="114"/>
      <c r="N2793" s="1"/>
      <c r="O2793" s="1"/>
      <c r="P2793" s="51"/>
    </row>
    <row r="2794">
      <c r="A2794" s="54"/>
      <c r="B2794" s="71"/>
      <c r="C2794" s="51"/>
      <c r="D2794" s="114"/>
      <c r="E2794" s="114"/>
      <c r="F2794" s="54"/>
      <c r="G2794" s="54"/>
      <c r="I2794" s="54"/>
      <c r="K2794" s="54"/>
      <c r="M2794" s="114"/>
      <c r="N2794" s="1"/>
      <c r="O2794" s="1"/>
      <c r="P2794" s="51"/>
    </row>
    <row r="2795">
      <c r="A2795" s="54"/>
      <c r="B2795" s="71"/>
      <c r="C2795" s="51"/>
      <c r="D2795" s="114"/>
      <c r="E2795" s="114"/>
      <c r="F2795" s="54"/>
      <c r="G2795" s="54"/>
      <c r="I2795" s="54"/>
      <c r="K2795" s="54"/>
      <c r="M2795" s="114"/>
      <c r="N2795" s="1"/>
      <c r="O2795" s="1"/>
      <c r="P2795" s="51"/>
    </row>
    <row r="2796">
      <c r="A2796" s="54"/>
      <c r="B2796" s="71"/>
      <c r="C2796" s="51"/>
      <c r="D2796" s="114"/>
      <c r="E2796" s="114"/>
      <c r="F2796" s="54"/>
      <c r="G2796" s="54"/>
      <c r="I2796" s="54"/>
      <c r="K2796" s="54"/>
      <c r="M2796" s="114"/>
      <c r="N2796" s="1"/>
      <c r="O2796" s="1"/>
      <c r="P2796" s="51"/>
    </row>
    <row r="2797">
      <c r="A2797" s="54"/>
      <c r="B2797" s="71"/>
      <c r="C2797" s="51"/>
      <c r="D2797" s="114"/>
      <c r="E2797" s="114"/>
      <c r="F2797" s="54"/>
      <c r="G2797" s="54"/>
      <c r="I2797" s="54"/>
      <c r="K2797" s="54"/>
      <c r="M2797" s="114"/>
      <c r="N2797" s="1"/>
      <c r="O2797" s="1"/>
      <c r="P2797" s="51"/>
    </row>
    <row r="2798">
      <c r="A2798" s="54"/>
      <c r="B2798" s="71"/>
      <c r="C2798" s="51"/>
      <c r="D2798" s="114"/>
      <c r="E2798" s="114"/>
      <c r="F2798" s="54"/>
      <c r="G2798" s="54"/>
      <c r="I2798" s="54"/>
      <c r="K2798" s="54"/>
      <c r="M2798" s="114"/>
      <c r="N2798" s="1"/>
      <c r="O2798" s="1"/>
      <c r="P2798" s="51"/>
    </row>
    <row r="2799">
      <c r="A2799" s="54"/>
      <c r="B2799" s="71"/>
      <c r="C2799" s="51"/>
      <c r="D2799" s="114"/>
      <c r="E2799" s="114"/>
      <c r="F2799" s="54"/>
      <c r="G2799" s="54"/>
      <c r="I2799" s="54"/>
      <c r="K2799" s="54"/>
      <c r="M2799" s="114"/>
      <c r="N2799" s="1"/>
      <c r="O2799" s="1"/>
      <c r="P2799" s="51"/>
    </row>
    <row r="2800">
      <c r="A2800" s="54"/>
      <c r="B2800" s="71"/>
      <c r="C2800" s="51"/>
      <c r="D2800" s="114"/>
      <c r="E2800" s="114"/>
      <c r="F2800" s="54"/>
      <c r="G2800" s="54"/>
      <c r="I2800" s="54"/>
      <c r="K2800" s="54"/>
      <c r="M2800" s="114"/>
      <c r="N2800" s="1"/>
      <c r="O2800" s="1"/>
      <c r="P2800" s="51"/>
    </row>
    <row r="2801">
      <c r="A2801" s="54"/>
      <c r="B2801" s="71"/>
      <c r="C2801" s="51"/>
      <c r="D2801" s="114"/>
      <c r="E2801" s="114"/>
      <c r="F2801" s="54"/>
      <c r="G2801" s="54"/>
      <c r="I2801" s="54"/>
      <c r="K2801" s="54"/>
      <c r="M2801" s="114"/>
      <c r="N2801" s="1"/>
      <c r="O2801" s="1"/>
      <c r="P2801" s="51"/>
    </row>
    <row r="2802">
      <c r="A2802" s="54"/>
      <c r="B2802" s="71"/>
      <c r="C2802" s="51"/>
      <c r="D2802" s="114"/>
      <c r="E2802" s="114"/>
      <c r="F2802" s="54"/>
      <c r="G2802" s="54"/>
      <c r="I2802" s="54"/>
      <c r="K2802" s="54"/>
      <c r="M2802" s="114"/>
      <c r="N2802" s="1"/>
      <c r="O2802" s="1"/>
      <c r="P2802" s="51"/>
    </row>
    <row r="2803">
      <c r="A2803" s="54"/>
      <c r="B2803" s="71"/>
      <c r="C2803" s="51"/>
      <c r="D2803" s="114"/>
      <c r="E2803" s="114"/>
      <c r="F2803" s="54"/>
      <c r="G2803" s="54"/>
      <c r="I2803" s="54"/>
      <c r="K2803" s="54"/>
      <c r="M2803" s="114"/>
      <c r="N2803" s="1"/>
      <c r="O2803" s="1"/>
      <c r="P2803" s="51"/>
    </row>
    <row r="2804">
      <c r="A2804" s="54"/>
      <c r="B2804" s="71"/>
      <c r="C2804" s="51"/>
      <c r="D2804" s="114"/>
      <c r="E2804" s="114"/>
      <c r="F2804" s="54"/>
      <c r="G2804" s="54"/>
      <c r="I2804" s="54"/>
      <c r="K2804" s="54"/>
      <c r="M2804" s="114"/>
      <c r="N2804" s="1"/>
      <c r="O2804" s="1"/>
      <c r="P2804" s="51"/>
    </row>
    <row r="2805">
      <c r="A2805" s="54"/>
      <c r="B2805" s="71"/>
      <c r="C2805" s="51"/>
      <c r="D2805" s="114"/>
      <c r="E2805" s="114"/>
      <c r="F2805" s="54"/>
      <c r="G2805" s="54"/>
      <c r="I2805" s="54"/>
      <c r="K2805" s="54"/>
      <c r="M2805" s="114"/>
      <c r="N2805" s="1"/>
      <c r="O2805" s="1"/>
      <c r="P2805" s="51"/>
    </row>
    <row r="2806">
      <c r="A2806" s="54"/>
      <c r="B2806" s="71"/>
      <c r="C2806" s="51"/>
      <c r="D2806" s="114"/>
      <c r="E2806" s="114"/>
      <c r="F2806" s="54"/>
      <c r="G2806" s="54"/>
      <c r="I2806" s="54"/>
      <c r="K2806" s="54"/>
      <c r="M2806" s="114"/>
      <c r="N2806" s="1"/>
      <c r="O2806" s="1"/>
      <c r="P2806" s="51"/>
    </row>
    <row r="2807">
      <c r="A2807" s="54"/>
      <c r="B2807" s="71"/>
      <c r="C2807" s="51"/>
      <c r="D2807" s="114"/>
      <c r="E2807" s="114"/>
      <c r="F2807" s="54"/>
      <c r="G2807" s="54"/>
      <c r="I2807" s="54"/>
      <c r="K2807" s="54"/>
      <c r="M2807" s="114"/>
      <c r="N2807" s="1"/>
      <c r="O2807" s="1"/>
      <c r="P2807" s="51"/>
    </row>
    <row r="2808">
      <c r="A2808" s="54"/>
      <c r="B2808" s="71"/>
      <c r="C2808" s="51"/>
      <c r="D2808" s="114"/>
      <c r="E2808" s="114"/>
      <c r="F2808" s="54"/>
      <c r="G2808" s="54"/>
      <c r="I2808" s="54"/>
      <c r="K2808" s="54"/>
      <c r="M2808" s="114"/>
      <c r="N2808" s="1"/>
      <c r="O2808" s="1"/>
      <c r="P2808" s="51"/>
    </row>
    <row r="2809">
      <c r="A2809" s="54"/>
      <c r="B2809" s="71"/>
      <c r="C2809" s="51"/>
      <c r="D2809" s="114"/>
      <c r="E2809" s="114"/>
      <c r="F2809" s="54"/>
      <c r="G2809" s="54"/>
      <c r="I2809" s="54"/>
      <c r="K2809" s="54"/>
      <c r="M2809" s="114"/>
      <c r="N2809" s="1"/>
      <c r="O2809" s="1"/>
      <c r="P2809" s="51"/>
    </row>
    <row r="2810">
      <c r="A2810" s="54"/>
      <c r="B2810" s="71"/>
      <c r="C2810" s="51"/>
      <c r="D2810" s="114"/>
      <c r="E2810" s="114"/>
      <c r="F2810" s="54"/>
      <c r="G2810" s="54"/>
      <c r="I2810" s="54"/>
      <c r="K2810" s="54"/>
      <c r="M2810" s="114"/>
      <c r="N2810" s="1"/>
      <c r="O2810" s="1"/>
      <c r="P2810" s="51"/>
    </row>
    <row r="2811">
      <c r="A2811" s="54"/>
      <c r="B2811" s="71"/>
      <c r="C2811" s="51"/>
      <c r="D2811" s="114"/>
      <c r="E2811" s="114"/>
      <c r="F2811" s="54"/>
      <c r="G2811" s="54"/>
      <c r="I2811" s="54"/>
      <c r="K2811" s="54"/>
      <c r="M2811" s="114"/>
      <c r="N2811" s="1"/>
      <c r="O2811" s="1"/>
      <c r="P2811" s="51"/>
    </row>
    <row r="2812">
      <c r="A2812" s="54"/>
      <c r="B2812" s="71"/>
      <c r="C2812" s="51"/>
      <c r="D2812" s="114"/>
      <c r="E2812" s="114"/>
      <c r="F2812" s="54"/>
      <c r="G2812" s="54"/>
      <c r="I2812" s="54"/>
      <c r="K2812" s="54"/>
      <c r="M2812" s="114"/>
      <c r="N2812" s="1"/>
      <c r="O2812" s="1"/>
      <c r="P2812" s="51"/>
    </row>
    <row r="2813">
      <c r="A2813" s="54"/>
      <c r="B2813" s="71"/>
      <c r="C2813" s="51"/>
      <c r="D2813" s="114"/>
      <c r="E2813" s="114"/>
      <c r="F2813" s="54"/>
      <c r="G2813" s="54"/>
      <c r="I2813" s="54"/>
      <c r="K2813" s="54"/>
      <c r="M2813" s="114"/>
      <c r="N2813" s="1"/>
      <c r="O2813" s="1"/>
      <c r="P2813" s="51"/>
    </row>
    <row r="2814">
      <c r="A2814" s="54"/>
      <c r="B2814" s="71"/>
      <c r="C2814" s="51"/>
      <c r="D2814" s="114"/>
      <c r="E2814" s="114"/>
      <c r="F2814" s="54"/>
      <c r="G2814" s="54"/>
      <c r="I2814" s="54"/>
      <c r="K2814" s="54"/>
      <c r="M2814" s="114"/>
      <c r="N2814" s="1"/>
      <c r="O2814" s="1"/>
      <c r="P2814" s="51"/>
    </row>
    <row r="2815">
      <c r="A2815" s="54"/>
      <c r="B2815" s="71"/>
      <c r="C2815" s="51"/>
      <c r="D2815" s="114"/>
      <c r="E2815" s="114"/>
      <c r="F2815" s="54"/>
      <c r="G2815" s="54"/>
      <c r="I2815" s="54"/>
      <c r="K2815" s="54"/>
      <c r="M2815" s="114"/>
      <c r="N2815" s="1"/>
      <c r="O2815" s="1"/>
      <c r="P2815" s="51"/>
    </row>
    <row r="2816">
      <c r="A2816" s="54"/>
      <c r="B2816" s="71"/>
      <c r="C2816" s="51"/>
      <c r="D2816" s="114"/>
      <c r="E2816" s="114"/>
      <c r="F2816" s="54"/>
      <c r="G2816" s="54"/>
      <c r="I2816" s="54"/>
      <c r="K2816" s="54"/>
      <c r="M2816" s="114"/>
      <c r="N2816" s="1"/>
      <c r="O2816" s="1"/>
      <c r="P2816" s="51"/>
    </row>
    <row r="2817">
      <c r="A2817" s="54"/>
      <c r="B2817" s="71"/>
      <c r="C2817" s="51"/>
      <c r="D2817" s="114"/>
      <c r="E2817" s="114"/>
      <c r="F2817" s="54"/>
      <c r="G2817" s="54"/>
      <c r="I2817" s="54"/>
      <c r="K2817" s="54"/>
      <c r="M2817" s="114"/>
      <c r="N2817" s="1"/>
      <c r="O2817" s="1"/>
      <c r="P2817" s="51"/>
    </row>
    <row r="2818">
      <c r="A2818" s="54"/>
      <c r="B2818" s="71"/>
      <c r="C2818" s="51"/>
      <c r="D2818" s="114"/>
      <c r="E2818" s="114"/>
      <c r="F2818" s="54"/>
      <c r="G2818" s="54"/>
      <c r="I2818" s="54"/>
      <c r="K2818" s="54"/>
      <c r="M2818" s="114"/>
      <c r="N2818" s="1"/>
      <c r="O2818" s="1"/>
      <c r="P2818" s="51"/>
    </row>
    <row r="2819">
      <c r="A2819" s="54"/>
      <c r="B2819" s="71"/>
      <c r="C2819" s="51"/>
      <c r="D2819" s="114"/>
      <c r="E2819" s="114"/>
      <c r="F2819" s="54"/>
      <c r="G2819" s="54"/>
      <c r="I2819" s="54"/>
      <c r="K2819" s="54"/>
      <c r="M2819" s="114"/>
      <c r="N2819" s="1"/>
      <c r="O2819" s="1"/>
      <c r="P2819" s="51"/>
    </row>
    <row r="2820">
      <c r="A2820" s="54"/>
      <c r="B2820" s="71"/>
      <c r="C2820" s="51"/>
      <c r="D2820" s="114"/>
      <c r="E2820" s="114"/>
      <c r="F2820" s="54"/>
      <c r="G2820" s="54"/>
      <c r="I2820" s="54"/>
      <c r="K2820" s="54"/>
      <c r="M2820" s="114"/>
      <c r="N2820" s="1"/>
      <c r="O2820" s="1"/>
      <c r="P2820" s="51"/>
    </row>
    <row r="2821">
      <c r="A2821" s="54"/>
      <c r="B2821" s="71"/>
      <c r="C2821" s="51"/>
      <c r="D2821" s="114"/>
      <c r="E2821" s="114"/>
      <c r="F2821" s="54"/>
      <c r="G2821" s="54"/>
      <c r="I2821" s="54"/>
      <c r="K2821" s="54"/>
      <c r="M2821" s="114"/>
      <c r="N2821" s="1"/>
      <c r="O2821" s="1"/>
      <c r="P2821" s="51"/>
    </row>
    <row r="2822">
      <c r="A2822" s="54"/>
      <c r="B2822" s="71"/>
      <c r="C2822" s="51"/>
      <c r="D2822" s="114"/>
      <c r="E2822" s="114"/>
      <c r="F2822" s="54"/>
      <c r="G2822" s="54"/>
      <c r="I2822" s="54"/>
      <c r="K2822" s="54"/>
      <c r="M2822" s="114"/>
      <c r="N2822" s="1"/>
      <c r="O2822" s="1"/>
      <c r="P2822" s="51"/>
    </row>
    <row r="2823">
      <c r="A2823" s="54"/>
      <c r="B2823" s="71"/>
      <c r="C2823" s="51"/>
      <c r="D2823" s="114"/>
      <c r="E2823" s="114"/>
      <c r="F2823" s="54"/>
      <c r="G2823" s="54"/>
      <c r="I2823" s="54"/>
      <c r="K2823" s="54"/>
      <c r="M2823" s="114"/>
      <c r="N2823" s="1"/>
      <c r="O2823" s="1"/>
      <c r="P2823" s="51"/>
    </row>
    <row r="2824">
      <c r="A2824" s="54"/>
      <c r="B2824" s="71"/>
      <c r="C2824" s="51"/>
      <c r="D2824" s="114"/>
      <c r="E2824" s="114"/>
      <c r="F2824" s="54"/>
      <c r="G2824" s="54"/>
      <c r="I2824" s="54"/>
      <c r="K2824" s="54"/>
      <c r="M2824" s="114"/>
      <c r="N2824" s="1"/>
      <c r="O2824" s="1"/>
      <c r="P2824" s="51"/>
    </row>
    <row r="2825">
      <c r="A2825" s="54"/>
      <c r="B2825" s="71"/>
      <c r="C2825" s="51"/>
      <c r="D2825" s="114"/>
      <c r="E2825" s="114"/>
      <c r="F2825" s="54"/>
      <c r="G2825" s="54"/>
      <c r="I2825" s="54"/>
      <c r="K2825" s="54"/>
      <c r="M2825" s="114"/>
      <c r="N2825" s="1"/>
      <c r="O2825" s="1"/>
      <c r="P2825" s="51"/>
    </row>
    <row r="2826">
      <c r="A2826" s="54"/>
      <c r="B2826" s="71"/>
      <c r="C2826" s="51"/>
      <c r="D2826" s="114"/>
      <c r="E2826" s="114"/>
      <c r="F2826" s="54"/>
      <c r="G2826" s="54"/>
      <c r="I2826" s="54"/>
      <c r="K2826" s="54"/>
      <c r="M2826" s="114"/>
      <c r="N2826" s="1"/>
      <c r="O2826" s="1"/>
      <c r="P2826" s="51"/>
    </row>
    <row r="2827">
      <c r="A2827" s="54"/>
      <c r="B2827" s="71"/>
      <c r="C2827" s="51"/>
      <c r="D2827" s="114"/>
      <c r="E2827" s="114"/>
      <c r="F2827" s="54"/>
      <c r="G2827" s="54"/>
      <c r="I2827" s="54"/>
      <c r="K2827" s="54"/>
      <c r="M2827" s="114"/>
      <c r="N2827" s="1"/>
      <c r="O2827" s="1"/>
      <c r="P2827" s="51"/>
    </row>
    <row r="2828">
      <c r="A2828" s="54"/>
      <c r="B2828" s="71"/>
      <c r="C2828" s="51"/>
      <c r="D2828" s="114"/>
      <c r="E2828" s="114"/>
      <c r="F2828" s="54"/>
      <c r="G2828" s="54"/>
      <c r="I2828" s="54"/>
      <c r="K2828" s="54"/>
      <c r="M2828" s="114"/>
      <c r="N2828" s="1"/>
      <c r="O2828" s="1"/>
      <c r="P2828" s="51"/>
    </row>
    <row r="2829">
      <c r="A2829" s="54"/>
      <c r="B2829" s="71"/>
      <c r="C2829" s="51"/>
      <c r="D2829" s="114"/>
      <c r="E2829" s="114"/>
      <c r="F2829" s="54"/>
      <c r="G2829" s="54"/>
      <c r="I2829" s="54"/>
      <c r="K2829" s="54"/>
      <c r="M2829" s="114"/>
      <c r="N2829" s="1"/>
      <c r="O2829" s="1"/>
      <c r="P2829" s="51"/>
    </row>
    <row r="2830">
      <c r="A2830" s="54"/>
      <c r="B2830" s="71"/>
      <c r="C2830" s="51"/>
      <c r="D2830" s="114"/>
      <c r="E2830" s="114"/>
      <c r="F2830" s="54"/>
      <c r="G2830" s="54"/>
      <c r="I2830" s="54"/>
      <c r="K2830" s="54"/>
      <c r="M2830" s="114"/>
      <c r="N2830" s="1"/>
      <c r="O2830" s="1"/>
      <c r="P2830" s="51"/>
    </row>
    <row r="2831">
      <c r="A2831" s="54"/>
      <c r="B2831" s="71"/>
      <c r="C2831" s="51"/>
      <c r="D2831" s="114"/>
      <c r="E2831" s="114"/>
      <c r="F2831" s="54"/>
      <c r="G2831" s="54"/>
      <c r="I2831" s="54"/>
      <c r="K2831" s="54"/>
      <c r="M2831" s="114"/>
      <c r="N2831" s="1"/>
      <c r="O2831" s="1"/>
      <c r="P2831" s="51"/>
    </row>
    <row r="2832">
      <c r="A2832" s="54"/>
      <c r="B2832" s="71"/>
      <c r="C2832" s="51"/>
      <c r="D2832" s="114"/>
      <c r="E2832" s="114"/>
      <c r="F2832" s="54"/>
      <c r="G2832" s="54"/>
      <c r="I2832" s="54"/>
      <c r="K2832" s="54"/>
      <c r="M2832" s="114"/>
      <c r="N2832" s="1"/>
      <c r="O2832" s="1"/>
      <c r="P2832" s="51"/>
    </row>
    <row r="2833">
      <c r="A2833" s="54"/>
      <c r="B2833" s="71"/>
      <c r="C2833" s="51"/>
      <c r="D2833" s="114"/>
      <c r="E2833" s="114"/>
      <c r="F2833" s="54"/>
      <c r="G2833" s="54"/>
      <c r="I2833" s="54"/>
      <c r="K2833" s="54"/>
      <c r="M2833" s="114"/>
      <c r="N2833" s="1"/>
      <c r="O2833" s="1"/>
      <c r="P2833" s="51"/>
    </row>
    <row r="2834">
      <c r="A2834" s="54"/>
      <c r="B2834" s="71"/>
      <c r="C2834" s="51"/>
      <c r="D2834" s="114"/>
      <c r="E2834" s="114"/>
      <c r="F2834" s="54"/>
      <c r="G2834" s="54"/>
      <c r="I2834" s="54"/>
      <c r="K2834" s="54"/>
      <c r="M2834" s="114"/>
      <c r="N2834" s="1"/>
      <c r="O2834" s="1"/>
      <c r="P2834" s="51"/>
    </row>
    <row r="2835">
      <c r="A2835" s="54"/>
      <c r="B2835" s="71"/>
      <c r="C2835" s="51"/>
      <c r="D2835" s="114"/>
      <c r="E2835" s="114"/>
      <c r="F2835" s="54"/>
      <c r="G2835" s="54"/>
      <c r="I2835" s="54"/>
      <c r="K2835" s="54"/>
      <c r="M2835" s="114"/>
      <c r="N2835" s="1"/>
      <c r="O2835" s="1"/>
      <c r="P2835" s="51"/>
    </row>
    <row r="2836">
      <c r="A2836" s="54"/>
      <c r="B2836" s="71"/>
      <c r="C2836" s="51"/>
      <c r="D2836" s="114"/>
      <c r="E2836" s="114"/>
      <c r="F2836" s="54"/>
      <c r="G2836" s="54"/>
      <c r="I2836" s="54"/>
      <c r="K2836" s="54"/>
      <c r="M2836" s="114"/>
      <c r="N2836" s="1"/>
      <c r="O2836" s="1"/>
      <c r="P2836" s="51"/>
    </row>
    <row r="2837">
      <c r="A2837" s="54"/>
      <c r="B2837" s="71"/>
      <c r="C2837" s="51"/>
      <c r="D2837" s="114"/>
      <c r="E2837" s="114"/>
      <c r="F2837" s="54"/>
      <c r="G2837" s="54"/>
      <c r="I2837" s="54"/>
      <c r="K2837" s="54"/>
      <c r="M2837" s="114"/>
      <c r="N2837" s="1"/>
      <c r="O2837" s="1"/>
      <c r="P2837" s="51"/>
    </row>
    <row r="2838">
      <c r="A2838" s="54"/>
      <c r="B2838" s="71"/>
      <c r="C2838" s="51"/>
      <c r="D2838" s="114"/>
      <c r="E2838" s="114"/>
      <c r="F2838" s="54"/>
      <c r="G2838" s="54"/>
      <c r="I2838" s="54"/>
      <c r="K2838" s="54"/>
      <c r="M2838" s="114"/>
      <c r="N2838" s="1"/>
      <c r="O2838" s="1"/>
      <c r="P2838" s="51"/>
    </row>
    <row r="2839">
      <c r="A2839" s="54"/>
      <c r="B2839" s="71"/>
      <c r="C2839" s="51"/>
      <c r="D2839" s="114"/>
      <c r="E2839" s="114"/>
      <c r="F2839" s="54"/>
      <c r="G2839" s="54"/>
      <c r="I2839" s="54"/>
      <c r="K2839" s="54"/>
      <c r="M2839" s="114"/>
      <c r="N2839" s="1"/>
      <c r="O2839" s="1"/>
      <c r="P2839" s="51"/>
    </row>
    <row r="2840">
      <c r="A2840" s="54"/>
      <c r="B2840" s="71"/>
      <c r="C2840" s="51"/>
      <c r="D2840" s="114"/>
      <c r="E2840" s="114"/>
      <c r="F2840" s="54"/>
      <c r="G2840" s="54"/>
      <c r="I2840" s="54"/>
      <c r="K2840" s="54"/>
      <c r="M2840" s="114"/>
      <c r="N2840" s="1"/>
      <c r="O2840" s="1"/>
      <c r="P2840" s="51"/>
    </row>
    <row r="2841">
      <c r="A2841" s="54"/>
      <c r="B2841" s="71"/>
      <c r="C2841" s="51"/>
      <c r="D2841" s="114"/>
      <c r="E2841" s="114"/>
      <c r="F2841" s="54"/>
      <c r="G2841" s="54"/>
      <c r="I2841" s="54"/>
      <c r="K2841" s="54"/>
      <c r="M2841" s="114"/>
      <c r="N2841" s="1"/>
      <c r="O2841" s="1"/>
      <c r="P2841" s="51"/>
    </row>
    <row r="2842">
      <c r="A2842" s="54"/>
      <c r="B2842" s="71"/>
      <c r="C2842" s="51"/>
      <c r="D2842" s="114"/>
      <c r="E2842" s="114"/>
      <c r="F2842" s="54"/>
      <c r="G2842" s="54"/>
      <c r="I2842" s="54"/>
      <c r="K2842" s="54"/>
      <c r="M2842" s="114"/>
      <c r="N2842" s="1"/>
      <c r="O2842" s="1"/>
      <c r="P2842" s="51"/>
    </row>
    <row r="2843">
      <c r="A2843" s="54"/>
      <c r="B2843" s="71"/>
      <c r="C2843" s="51"/>
      <c r="D2843" s="114"/>
      <c r="E2843" s="114"/>
      <c r="F2843" s="54"/>
      <c r="G2843" s="54"/>
      <c r="I2843" s="54"/>
      <c r="K2843" s="54"/>
      <c r="M2843" s="114"/>
      <c r="N2843" s="1"/>
      <c r="O2843" s="1"/>
      <c r="P2843" s="51"/>
    </row>
    <row r="2844">
      <c r="A2844" s="54"/>
      <c r="B2844" s="71"/>
      <c r="C2844" s="51"/>
      <c r="D2844" s="114"/>
      <c r="E2844" s="114"/>
      <c r="F2844" s="54"/>
      <c r="G2844" s="54"/>
      <c r="I2844" s="54"/>
      <c r="K2844" s="54"/>
      <c r="M2844" s="114"/>
      <c r="N2844" s="1"/>
      <c r="O2844" s="1"/>
      <c r="P2844" s="51"/>
    </row>
    <row r="2845">
      <c r="A2845" s="54"/>
      <c r="B2845" s="71"/>
      <c r="C2845" s="51"/>
      <c r="D2845" s="114"/>
      <c r="E2845" s="114"/>
      <c r="F2845" s="54"/>
      <c r="G2845" s="54"/>
      <c r="I2845" s="54"/>
      <c r="K2845" s="54"/>
      <c r="M2845" s="114"/>
      <c r="N2845" s="1"/>
      <c r="O2845" s="1"/>
      <c r="P2845" s="51"/>
    </row>
    <row r="2846">
      <c r="A2846" s="54"/>
      <c r="B2846" s="71"/>
      <c r="C2846" s="51"/>
      <c r="D2846" s="114"/>
      <c r="E2846" s="114"/>
      <c r="F2846" s="54"/>
      <c r="G2846" s="54"/>
      <c r="I2846" s="54"/>
      <c r="K2846" s="54"/>
      <c r="M2846" s="114"/>
      <c r="N2846" s="1"/>
      <c r="O2846" s="1"/>
      <c r="P2846" s="51"/>
    </row>
    <row r="2847">
      <c r="A2847" s="54"/>
      <c r="B2847" s="71"/>
      <c r="C2847" s="51"/>
      <c r="D2847" s="114"/>
      <c r="E2847" s="114"/>
      <c r="F2847" s="54"/>
      <c r="G2847" s="54"/>
      <c r="I2847" s="54"/>
      <c r="K2847" s="54"/>
      <c r="M2847" s="114"/>
      <c r="N2847" s="1"/>
      <c r="O2847" s="1"/>
      <c r="P2847" s="51"/>
    </row>
    <row r="2848">
      <c r="A2848" s="54"/>
      <c r="B2848" s="71"/>
      <c r="C2848" s="51"/>
      <c r="D2848" s="114"/>
      <c r="E2848" s="114"/>
      <c r="F2848" s="54"/>
      <c r="G2848" s="54"/>
      <c r="I2848" s="54"/>
      <c r="K2848" s="54"/>
      <c r="M2848" s="114"/>
      <c r="N2848" s="1"/>
      <c r="O2848" s="1"/>
      <c r="P2848" s="51"/>
    </row>
    <row r="2849">
      <c r="A2849" s="54"/>
      <c r="B2849" s="71"/>
      <c r="C2849" s="51"/>
      <c r="D2849" s="114"/>
      <c r="E2849" s="114"/>
      <c r="F2849" s="54"/>
      <c r="G2849" s="54"/>
      <c r="I2849" s="54"/>
      <c r="K2849" s="54"/>
      <c r="M2849" s="114"/>
      <c r="N2849" s="1"/>
      <c r="O2849" s="1"/>
      <c r="P2849" s="51"/>
    </row>
    <row r="2850">
      <c r="A2850" s="54"/>
      <c r="B2850" s="71"/>
      <c r="C2850" s="51"/>
      <c r="D2850" s="114"/>
      <c r="E2850" s="114"/>
      <c r="F2850" s="54"/>
      <c r="G2850" s="54"/>
      <c r="I2850" s="54"/>
      <c r="K2850" s="54"/>
      <c r="M2850" s="114"/>
      <c r="N2850" s="1"/>
      <c r="O2850" s="1"/>
      <c r="P2850" s="51"/>
    </row>
    <row r="2851">
      <c r="A2851" s="54"/>
      <c r="B2851" s="71"/>
      <c r="C2851" s="51"/>
      <c r="D2851" s="114"/>
      <c r="E2851" s="114"/>
      <c r="F2851" s="54"/>
      <c r="G2851" s="54"/>
      <c r="I2851" s="54"/>
      <c r="K2851" s="54"/>
      <c r="M2851" s="114"/>
      <c r="N2851" s="1"/>
      <c r="O2851" s="1"/>
      <c r="P2851" s="51"/>
    </row>
    <row r="2852">
      <c r="A2852" s="54"/>
      <c r="B2852" s="71"/>
      <c r="C2852" s="51"/>
      <c r="D2852" s="114"/>
      <c r="E2852" s="114"/>
      <c r="F2852" s="54"/>
      <c r="G2852" s="54"/>
      <c r="I2852" s="54"/>
      <c r="K2852" s="54"/>
      <c r="M2852" s="114"/>
      <c r="N2852" s="1"/>
      <c r="O2852" s="1"/>
      <c r="P2852" s="51"/>
    </row>
    <row r="2853">
      <c r="A2853" s="54"/>
      <c r="B2853" s="71"/>
      <c r="C2853" s="51"/>
      <c r="D2853" s="114"/>
      <c r="E2853" s="114"/>
      <c r="F2853" s="54"/>
      <c r="G2853" s="54"/>
      <c r="I2853" s="54"/>
      <c r="K2853" s="54"/>
      <c r="M2853" s="114"/>
      <c r="N2853" s="1"/>
      <c r="O2853" s="1"/>
      <c r="P2853" s="51"/>
    </row>
    <row r="2854">
      <c r="A2854" s="54"/>
      <c r="B2854" s="71"/>
      <c r="C2854" s="51"/>
      <c r="D2854" s="114"/>
      <c r="E2854" s="114"/>
      <c r="F2854" s="54"/>
      <c r="G2854" s="54"/>
      <c r="I2854" s="54"/>
      <c r="K2854" s="54"/>
      <c r="M2854" s="114"/>
      <c r="N2854" s="1"/>
      <c r="O2854" s="1"/>
      <c r="P2854" s="51"/>
    </row>
    <row r="2855">
      <c r="A2855" s="54"/>
      <c r="B2855" s="71"/>
      <c r="C2855" s="51"/>
      <c r="D2855" s="114"/>
      <c r="E2855" s="114"/>
      <c r="F2855" s="54"/>
      <c r="G2855" s="54"/>
      <c r="I2855" s="54"/>
      <c r="K2855" s="54"/>
      <c r="M2855" s="114"/>
      <c r="N2855" s="1"/>
      <c r="O2855" s="1"/>
      <c r="P2855" s="51"/>
    </row>
    <row r="2856">
      <c r="A2856" s="54"/>
      <c r="B2856" s="71"/>
      <c r="C2856" s="51"/>
      <c r="D2856" s="114"/>
      <c r="E2856" s="114"/>
      <c r="F2856" s="54"/>
      <c r="G2856" s="54"/>
      <c r="I2856" s="54"/>
      <c r="K2856" s="54"/>
      <c r="M2856" s="114"/>
      <c r="N2856" s="1"/>
      <c r="O2856" s="1"/>
      <c r="P2856" s="51"/>
    </row>
    <row r="2857">
      <c r="A2857" s="54"/>
      <c r="B2857" s="71"/>
      <c r="C2857" s="51"/>
      <c r="D2857" s="114"/>
      <c r="E2857" s="114"/>
      <c r="F2857" s="54"/>
      <c r="G2857" s="54"/>
      <c r="I2857" s="54"/>
      <c r="K2857" s="54"/>
      <c r="M2857" s="114"/>
      <c r="N2857" s="1"/>
      <c r="O2857" s="1"/>
      <c r="P2857" s="51"/>
    </row>
    <row r="2858">
      <c r="A2858" s="54"/>
      <c r="B2858" s="71"/>
      <c r="C2858" s="51"/>
      <c r="D2858" s="114"/>
      <c r="E2858" s="114"/>
      <c r="F2858" s="54"/>
      <c r="G2858" s="54"/>
      <c r="I2858" s="54"/>
      <c r="K2858" s="54"/>
      <c r="M2858" s="114"/>
      <c r="N2858" s="1"/>
      <c r="O2858" s="1"/>
      <c r="P2858" s="51"/>
    </row>
    <row r="2859">
      <c r="A2859" s="54"/>
      <c r="B2859" s="71"/>
      <c r="C2859" s="51"/>
      <c r="D2859" s="114"/>
      <c r="E2859" s="114"/>
      <c r="F2859" s="54"/>
      <c r="G2859" s="54"/>
      <c r="I2859" s="54"/>
      <c r="K2859" s="54"/>
      <c r="M2859" s="114"/>
      <c r="N2859" s="1"/>
      <c r="O2859" s="1"/>
      <c r="P2859" s="51"/>
    </row>
    <row r="2860">
      <c r="A2860" s="54"/>
      <c r="B2860" s="71"/>
      <c r="C2860" s="51"/>
      <c r="D2860" s="114"/>
      <c r="E2860" s="114"/>
      <c r="F2860" s="54"/>
      <c r="G2860" s="54"/>
      <c r="I2860" s="54"/>
      <c r="K2860" s="54"/>
      <c r="M2860" s="114"/>
      <c r="N2860" s="1"/>
      <c r="O2860" s="1"/>
      <c r="P2860" s="51"/>
    </row>
    <row r="2861">
      <c r="A2861" s="54"/>
      <c r="B2861" s="71"/>
      <c r="C2861" s="51"/>
      <c r="D2861" s="114"/>
      <c r="E2861" s="114"/>
      <c r="F2861" s="54"/>
      <c r="G2861" s="54"/>
      <c r="I2861" s="54"/>
      <c r="K2861" s="54"/>
      <c r="M2861" s="114"/>
      <c r="N2861" s="1"/>
      <c r="O2861" s="1"/>
      <c r="P2861" s="51"/>
    </row>
    <row r="2862">
      <c r="A2862" s="54"/>
      <c r="B2862" s="71"/>
      <c r="C2862" s="51"/>
      <c r="D2862" s="114"/>
      <c r="E2862" s="114"/>
      <c r="F2862" s="54"/>
      <c r="G2862" s="54"/>
      <c r="I2862" s="54"/>
      <c r="K2862" s="54"/>
      <c r="M2862" s="114"/>
      <c r="N2862" s="1"/>
      <c r="O2862" s="1"/>
      <c r="P2862" s="51"/>
    </row>
    <row r="2863">
      <c r="A2863" s="54"/>
      <c r="B2863" s="71"/>
      <c r="C2863" s="51"/>
      <c r="D2863" s="114"/>
      <c r="E2863" s="114"/>
      <c r="F2863" s="54"/>
      <c r="G2863" s="54"/>
      <c r="I2863" s="54"/>
      <c r="K2863" s="54"/>
      <c r="M2863" s="114"/>
      <c r="N2863" s="1"/>
      <c r="O2863" s="1"/>
      <c r="P2863" s="51"/>
    </row>
    <row r="2864">
      <c r="A2864" s="54"/>
      <c r="B2864" s="71"/>
      <c r="C2864" s="51"/>
      <c r="D2864" s="114"/>
      <c r="E2864" s="114"/>
      <c r="F2864" s="54"/>
      <c r="G2864" s="54"/>
      <c r="I2864" s="54"/>
      <c r="K2864" s="54"/>
      <c r="M2864" s="114"/>
      <c r="N2864" s="1"/>
      <c r="O2864" s="1"/>
      <c r="P2864" s="51"/>
    </row>
    <row r="2865">
      <c r="A2865" s="54"/>
      <c r="B2865" s="71"/>
      <c r="C2865" s="51"/>
      <c r="D2865" s="114"/>
      <c r="E2865" s="114"/>
      <c r="F2865" s="54"/>
      <c r="G2865" s="54"/>
      <c r="I2865" s="54"/>
      <c r="K2865" s="54"/>
      <c r="M2865" s="114"/>
      <c r="N2865" s="1"/>
      <c r="O2865" s="1"/>
      <c r="P2865" s="51"/>
    </row>
    <row r="2866">
      <c r="A2866" s="54"/>
      <c r="B2866" s="71"/>
      <c r="C2866" s="51"/>
      <c r="D2866" s="114"/>
      <c r="E2866" s="114"/>
      <c r="F2866" s="54"/>
      <c r="G2866" s="54"/>
      <c r="I2866" s="54"/>
      <c r="K2866" s="54"/>
      <c r="M2866" s="114"/>
      <c r="N2866" s="1"/>
      <c r="O2866" s="1"/>
      <c r="P2866" s="51"/>
    </row>
    <row r="2867">
      <c r="A2867" s="54"/>
      <c r="B2867" s="71"/>
      <c r="C2867" s="51"/>
      <c r="D2867" s="114"/>
      <c r="E2867" s="114"/>
      <c r="F2867" s="54"/>
      <c r="G2867" s="54"/>
      <c r="I2867" s="54"/>
      <c r="K2867" s="54"/>
      <c r="M2867" s="114"/>
      <c r="N2867" s="1"/>
      <c r="O2867" s="1"/>
      <c r="P2867" s="51"/>
    </row>
    <row r="2868">
      <c r="A2868" s="54"/>
      <c r="B2868" s="71"/>
      <c r="C2868" s="51"/>
      <c r="D2868" s="114"/>
      <c r="E2868" s="114"/>
      <c r="F2868" s="54"/>
      <c r="G2868" s="54"/>
      <c r="I2868" s="54"/>
      <c r="K2868" s="54"/>
      <c r="M2868" s="114"/>
      <c r="N2868" s="1"/>
      <c r="O2868" s="1"/>
      <c r="P2868" s="51"/>
    </row>
    <row r="2869">
      <c r="A2869" s="54"/>
      <c r="B2869" s="71"/>
      <c r="C2869" s="51"/>
      <c r="D2869" s="114"/>
      <c r="E2869" s="114"/>
      <c r="F2869" s="54"/>
      <c r="G2869" s="54"/>
      <c r="I2869" s="54"/>
      <c r="K2869" s="54"/>
      <c r="M2869" s="114"/>
      <c r="N2869" s="1"/>
      <c r="O2869" s="1"/>
      <c r="P2869" s="51"/>
    </row>
    <row r="2870">
      <c r="A2870" s="54"/>
      <c r="B2870" s="71"/>
      <c r="C2870" s="51"/>
      <c r="D2870" s="114"/>
      <c r="E2870" s="114"/>
      <c r="F2870" s="54"/>
      <c r="G2870" s="54"/>
      <c r="I2870" s="54"/>
      <c r="K2870" s="54"/>
      <c r="M2870" s="114"/>
      <c r="N2870" s="1"/>
      <c r="O2870" s="1"/>
      <c r="P2870" s="51"/>
    </row>
    <row r="2871">
      <c r="A2871" s="54"/>
      <c r="B2871" s="71"/>
      <c r="C2871" s="51"/>
      <c r="D2871" s="114"/>
      <c r="E2871" s="114"/>
      <c r="F2871" s="54"/>
      <c r="G2871" s="54"/>
      <c r="I2871" s="54"/>
      <c r="K2871" s="54"/>
      <c r="M2871" s="114"/>
      <c r="N2871" s="1"/>
      <c r="O2871" s="1"/>
      <c r="P2871" s="51"/>
    </row>
    <row r="2872">
      <c r="A2872" s="54"/>
      <c r="B2872" s="71"/>
      <c r="C2872" s="51"/>
      <c r="D2872" s="114"/>
      <c r="E2872" s="114"/>
      <c r="F2872" s="54"/>
      <c r="G2872" s="54"/>
      <c r="I2872" s="54"/>
      <c r="K2872" s="54"/>
      <c r="M2872" s="114"/>
      <c r="N2872" s="1"/>
      <c r="O2872" s="1"/>
      <c r="P2872" s="51"/>
    </row>
    <row r="2873">
      <c r="A2873" s="54"/>
      <c r="B2873" s="71"/>
      <c r="C2873" s="51"/>
      <c r="D2873" s="114"/>
      <c r="E2873" s="114"/>
      <c r="F2873" s="54"/>
      <c r="G2873" s="54"/>
      <c r="I2873" s="54"/>
      <c r="K2873" s="54"/>
      <c r="M2873" s="114"/>
      <c r="N2873" s="1"/>
      <c r="O2873" s="1"/>
      <c r="P2873" s="51"/>
    </row>
    <row r="2874">
      <c r="A2874" s="54"/>
      <c r="B2874" s="71"/>
      <c r="C2874" s="51"/>
      <c r="D2874" s="114"/>
      <c r="E2874" s="114"/>
      <c r="F2874" s="54"/>
      <c r="G2874" s="54"/>
      <c r="I2874" s="54"/>
      <c r="K2874" s="54"/>
      <c r="M2874" s="114"/>
      <c r="N2874" s="1"/>
      <c r="O2874" s="1"/>
      <c r="P2874" s="51"/>
    </row>
    <row r="2875">
      <c r="A2875" s="54"/>
      <c r="B2875" s="71"/>
      <c r="C2875" s="51"/>
      <c r="D2875" s="114"/>
      <c r="E2875" s="114"/>
      <c r="F2875" s="54"/>
      <c r="G2875" s="54"/>
      <c r="I2875" s="54"/>
      <c r="K2875" s="54"/>
      <c r="M2875" s="114"/>
      <c r="N2875" s="1"/>
      <c r="O2875" s="1"/>
      <c r="P2875" s="51"/>
    </row>
    <row r="2876">
      <c r="A2876" s="54"/>
      <c r="B2876" s="71"/>
      <c r="C2876" s="51"/>
      <c r="D2876" s="114"/>
      <c r="E2876" s="114"/>
      <c r="F2876" s="54"/>
      <c r="G2876" s="54"/>
      <c r="I2876" s="54"/>
      <c r="K2876" s="54"/>
      <c r="M2876" s="114"/>
      <c r="N2876" s="1"/>
      <c r="O2876" s="1"/>
      <c r="P2876" s="51"/>
    </row>
    <row r="2877">
      <c r="A2877" s="54"/>
      <c r="B2877" s="71"/>
      <c r="C2877" s="51"/>
      <c r="D2877" s="114"/>
      <c r="E2877" s="114"/>
      <c r="F2877" s="54"/>
      <c r="G2877" s="54"/>
      <c r="I2877" s="54"/>
      <c r="K2877" s="54"/>
      <c r="M2877" s="114"/>
      <c r="N2877" s="1"/>
      <c r="O2877" s="1"/>
      <c r="P2877" s="51"/>
    </row>
    <row r="2878">
      <c r="A2878" s="54"/>
      <c r="B2878" s="71"/>
      <c r="C2878" s="51"/>
      <c r="D2878" s="114"/>
      <c r="E2878" s="114"/>
      <c r="F2878" s="54"/>
      <c r="G2878" s="54"/>
      <c r="I2878" s="54"/>
      <c r="K2878" s="54"/>
      <c r="M2878" s="114"/>
      <c r="N2878" s="1"/>
      <c r="O2878" s="1"/>
      <c r="P2878" s="51"/>
    </row>
    <row r="2879">
      <c r="A2879" s="54"/>
      <c r="B2879" s="71"/>
      <c r="C2879" s="51"/>
      <c r="D2879" s="114"/>
      <c r="E2879" s="114"/>
      <c r="F2879" s="54"/>
      <c r="G2879" s="54"/>
      <c r="I2879" s="54"/>
      <c r="K2879" s="54"/>
      <c r="M2879" s="114"/>
      <c r="N2879" s="1"/>
      <c r="O2879" s="1"/>
      <c r="P2879" s="51"/>
    </row>
    <row r="2880">
      <c r="A2880" s="54"/>
      <c r="B2880" s="71"/>
      <c r="C2880" s="51"/>
      <c r="D2880" s="114"/>
      <c r="E2880" s="114"/>
      <c r="F2880" s="54"/>
      <c r="G2880" s="54"/>
      <c r="I2880" s="54"/>
      <c r="K2880" s="54"/>
      <c r="M2880" s="114"/>
      <c r="N2880" s="1"/>
      <c r="O2880" s="1"/>
      <c r="P2880" s="51"/>
    </row>
    <row r="2881">
      <c r="A2881" s="54"/>
      <c r="B2881" s="71"/>
      <c r="C2881" s="51"/>
      <c r="D2881" s="114"/>
      <c r="E2881" s="114"/>
      <c r="F2881" s="54"/>
      <c r="G2881" s="54"/>
      <c r="I2881" s="54"/>
      <c r="K2881" s="54"/>
      <c r="M2881" s="114"/>
      <c r="N2881" s="1"/>
      <c r="O2881" s="1"/>
      <c r="P2881" s="51"/>
    </row>
    <row r="2882">
      <c r="A2882" s="54"/>
      <c r="B2882" s="71"/>
      <c r="C2882" s="51"/>
      <c r="D2882" s="114"/>
      <c r="E2882" s="114"/>
      <c r="F2882" s="54"/>
      <c r="G2882" s="54"/>
      <c r="I2882" s="54"/>
      <c r="K2882" s="54"/>
      <c r="M2882" s="114"/>
      <c r="N2882" s="1"/>
      <c r="O2882" s="1"/>
      <c r="P2882" s="51"/>
    </row>
    <row r="2883">
      <c r="A2883" s="54"/>
      <c r="B2883" s="71"/>
      <c r="C2883" s="51"/>
      <c r="D2883" s="114"/>
      <c r="E2883" s="114"/>
      <c r="F2883" s="54"/>
      <c r="G2883" s="54"/>
      <c r="I2883" s="54"/>
      <c r="K2883" s="54"/>
      <c r="M2883" s="114"/>
      <c r="N2883" s="1"/>
      <c r="O2883" s="1"/>
      <c r="P2883" s="51"/>
    </row>
    <row r="2884">
      <c r="A2884" s="54"/>
      <c r="B2884" s="71"/>
      <c r="C2884" s="51"/>
      <c r="D2884" s="114"/>
      <c r="E2884" s="114"/>
      <c r="F2884" s="54"/>
      <c r="G2884" s="54"/>
      <c r="I2884" s="54"/>
      <c r="K2884" s="54"/>
      <c r="M2884" s="114"/>
      <c r="N2884" s="1"/>
      <c r="O2884" s="1"/>
      <c r="P2884" s="51"/>
    </row>
    <row r="2885">
      <c r="A2885" s="54"/>
      <c r="B2885" s="71"/>
      <c r="C2885" s="51"/>
      <c r="D2885" s="114"/>
      <c r="E2885" s="114"/>
      <c r="F2885" s="54"/>
      <c r="G2885" s="54"/>
      <c r="I2885" s="54"/>
      <c r="K2885" s="54"/>
      <c r="M2885" s="114"/>
      <c r="N2885" s="1"/>
      <c r="O2885" s="1"/>
      <c r="P2885" s="51"/>
    </row>
    <row r="2886">
      <c r="A2886" s="54"/>
      <c r="B2886" s="71"/>
      <c r="C2886" s="51"/>
      <c r="D2886" s="114"/>
      <c r="E2886" s="114"/>
      <c r="F2886" s="54"/>
      <c r="G2886" s="54"/>
      <c r="I2886" s="54"/>
      <c r="K2886" s="54"/>
      <c r="M2886" s="114"/>
      <c r="N2886" s="1"/>
      <c r="O2886" s="1"/>
      <c r="P2886" s="51"/>
    </row>
    <row r="2887">
      <c r="A2887" s="54"/>
      <c r="B2887" s="71"/>
      <c r="C2887" s="51"/>
      <c r="D2887" s="114"/>
      <c r="E2887" s="114"/>
      <c r="F2887" s="54"/>
      <c r="G2887" s="54"/>
      <c r="I2887" s="54"/>
      <c r="K2887" s="54"/>
      <c r="M2887" s="114"/>
      <c r="N2887" s="1"/>
      <c r="O2887" s="1"/>
      <c r="P2887" s="51"/>
    </row>
    <row r="2888">
      <c r="A2888" s="54"/>
      <c r="B2888" s="71"/>
      <c r="C2888" s="51"/>
      <c r="D2888" s="114"/>
      <c r="E2888" s="114"/>
      <c r="F2888" s="54"/>
      <c r="G2888" s="54"/>
      <c r="I2888" s="54"/>
      <c r="K2888" s="54"/>
      <c r="M2888" s="114"/>
      <c r="N2888" s="1"/>
      <c r="O2888" s="1"/>
      <c r="P2888" s="51"/>
    </row>
    <row r="2889">
      <c r="A2889" s="54"/>
      <c r="B2889" s="71"/>
      <c r="C2889" s="51"/>
      <c r="D2889" s="114"/>
      <c r="E2889" s="114"/>
      <c r="F2889" s="54"/>
      <c r="G2889" s="54"/>
      <c r="I2889" s="54"/>
      <c r="K2889" s="54"/>
      <c r="M2889" s="114"/>
      <c r="N2889" s="1"/>
      <c r="O2889" s="1"/>
      <c r="P2889" s="51"/>
    </row>
    <row r="2890">
      <c r="A2890" s="54"/>
      <c r="B2890" s="71"/>
      <c r="C2890" s="51"/>
      <c r="D2890" s="114"/>
      <c r="E2890" s="114"/>
      <c r="F2890" s="54"/>
      <c r="G2890" s="54"/>
      <c r="I2890" s="54"/>
      <c r="K2890" s="54"/>
      <c r="M2890" s="114"/>
      <c r="N2890" s="1"/>
      <c r="O2890" s="1"/>
      <c r="P2890" s="51"/>
    </row>
    <row r="2891">
      <c r="A2891" s="54"/>
      <c r="B2891" s="71"/>
      <c r="C2891" s="51"/>
      <c r="D2891" s="114"/>
      <c r="E2891" s="114"/>
      <c r="F2891" s="54"/>
      <c r="G2891" s="54"/>
      <c r="I2891" s="54"/>
      <c r="K2891" s="54"/>
      <c r="M2891" s="114"/>
      <c r="N2891" s="1"/>
      <c r="O2891" s="1"/>
      <c r="P2891" s="51"/>
    </row>
    <row r="2892">
      <c r="A2892" s="54"/>
      <c r="B2892" s="71"/>
      <c r="C2892" s="51"/>
      <c r="D2892" s="114"/>
      <c r="E2892" s="114"/>
      <c r="F2892" s="54"/>
      <c r="G2892" s="54"/>
      <c r="I2892" s="54"/>
      <c r="K2892" s="54"/>
      <c r="M2892" s="114"/>
      <c r="N2892" s="1"/>
      <c r="O2892" s="1"/>
      <c r="P2892" s="51"/>
    </row>
    <row r="2893">
      <c r="A2893" s="54"/>
      <c r="B2893" s="71"/>
      <c r="C2893" s="51"/>
      <c r="D2893" s="114"/>
      <c r="E2893" s="114"/>
      <c r="F2893" s="54"/>
      <c r="G2893" s="54"/>
      <c r="I2893" s="54"/>
      <c r="K2893" s="54"/>
      <c r="M2893" s="114"/>
      <c r="N2893" s="1"/>
      <c r="O2893" s="1"/>
      <c r="P2893" s="51"/>
    </row>
    <row r="2894">
      <c r="A2894" s="54"/>
      <c r="B2894" s="71"/>
      <c r="C2894" s="51"/>
      <c r="D2894" s="114"/>
      <c r="E2894" s="114"/>
      <c r="F2894" s="54"/>
      <c r="G2894" s="54"/>
      <c r="I2894" s="54"/>
      <c r="K2894" s="54"/>
      <c r="M2894" s="114"/>
      <c r="N2894" s="1"/>
      <c r="O2894" s="1"/>
      <c r="P2894" s="51"/>
    </row>
    <row r="2895">
      <c r="A2895" s="54"/>
      <c r="B2895" s="71"/>
      <c r="C2895" s="51"/>
      <c r="D2895" s="114"/>
      <c r="E2895" s="114"/>
      <c r="F2895" s="54"/>
      <c r="G2895" s="54"/>
      <c r="I2895" s="54"/>
      <c r="K2895" s="54"/>
      <c r="M2895" s="114"/>
      <c r="N2895" s="1"/>
      <c r="O2895" s="1"/>
      <c r="P2895" s="51"/>
    </row>
    <row r="2896">
      <c r="A2896" s="54"/>
      <c r="B2896" s="71"/>
      <c r="C2896" s="51"/>
      <c r="D2896" s="114"/>
      <c r="E2896" s="114"/>
      <c r="F2896" s="54"/>
      <c r="G2896" s="54"/>
      <c r="I2896" s="54"/>
      <c r="K2896" s="54"/>
      <c r="M2896" s="114"/>
      <c r="N2896" s="1"/>
      <c r="O2896" s="1"/>
      <c r="P2896" s="51"/>
    </row>
    <row r="2897">
      <c r="A2897" s="54"/>
      <c r="B2897" s="71"/>
      <c r="C2897" s="51"/>
      <c r="D2897" s="114"/>
      <c r="E2897" s="114"/>
      <c r="F2897" s="54"/>
      <c r="G2897" s="54"/>
      <c r="I2897" s="54"/>
      <c r="K2897" s="54"/>
      <c r="M2897" s="114"/>
      <c r="N2897" s="1"/>
      <c r="O2897" s="1"/>
      <c r="P2897" s="51"/>
    </row>
    <row r="2898">
      <c r="A2898" s="54"/>
      <c r="B2898" s="71"/>
      <c r="C2898" s="51"/>
      <c r="D2898" s="114"/>
      <c r="E2898" s="114"/>
      <c r="F2898" s="54"/>
      <c r="G2898" s="54"/>
      <c r="I2898" s="54"/>
      <c r="K2898" s="54"/>
      <c r="M2898" s="114"/>
      <c r="N2898" s="1"/>
      <c r="O2898" s="1"/>
      <c r="P2898" s="51"/>
    </row>
    <row r="2899">
      <c r="A2899" s="54"/>
      <c r="B2899" s="71"/>
      <c r="C2899" s="51"/>
      <c r="D2899" s="114"/>
      <c r="E2899" s="114"/>
      <c r="F2899" s="54"/>
      <c r="G2899" s="54"/>
      <c r="I2899" s="54"/>
      <c r="K2899" s="54"/>
      <c r="M2899" s="114"/>
      <c r="N2899" s="1"/>
      <c r="O2899" s="1"/>
      <c r="P2899" s="51"/>
    </row>
    <row r="2900">
      <c r="A2900" s="54"/>
      <c r="B2900" s="71"/>
      <c r="C2900" s="51"/>
      <c r="D2900" s="114"/>
      <c r="E2900" s="114"/>
      <c r="F2900" s="54"/>
      <c r="G2900" s="54"/>
      <c r="I2900" s="54"/>
      <c r="K2900" s="54"/>
      <c r="M2900" s="114"/>
      <c r="N2900" s="1"/>
      <c r="O2900" s="1"/>
      <c r="P2900" s="51"/>
    </row>
    <row r="2901">
      <c r="A2901" s="54"/>
      <c r="B2901" s="71"/>
      <c r="C2901" s="51"/>
      <c r="D2901" s="114"/>
      <c r="E2901" s="114"/>
      <c r="F2901" s="54"/>
      <c r="G2901" s="54"/>
      <c r="I2901" s="54"/>
      <c r="K2901" s="54"/>
      <c r="M2901" s="114"/>
      <c r="N2901" s="1"/>
      <c r="O2901" s="1"/>
      <c r="P2901" s="51"/>
    </row>
    <row r="2902">
      <c r="A2902" s="54"/>
      <c r="B2902" s="71"/>
      <c r="C2902" s="51"/>
      <c r="D2902" s="114"/>
      <c r="E2902" s="114"/>
      <c r="F2902" s="54"/>
      <c r="G2902" s="54"/>
      <c r="I2902" s="54"/>
      <c r="K2902" s="54"/>
      <c r="M2902" s="114"/>
      <c r="N2902" s="1"/>
      <c r="O2902" s="1"/>
      <c r="P2902" s="51"/>
    </row>
    <row r="2903">
      <c r="A2903" s="54"/>
      <c r="B2903" s="71"/>
      <c r="C2903" s="51"/>
      <c r="D2903" s="114"/>
      <c r="E2903" s="114"/>
      <c r="F2903" s="54"/>
      <c r="G2903" s="54"/>
      <c r="I2903" s="54"/>
      <c r="K2903" s="54"/>
      <c r="M2903" s="114"/>
      <c r="N2903" s="1"/>
      <c r="O2903" s="1"/>
      <c r="P2903" s="51"/>
    </row>
    <row r="2904">
      <c r="A2904" s="54"/>
      <c r="B2904" s="71"/>
      <c r="C2904" s="51"/>
      <c r="D2904" s="114"/>
      <c r="E2904" s="114"/>
      <c r="F2904" s="54"/>
      <c r="G2904" s="54"/>
      <c r="I2904" s="54"/>
      <c r="K2904" s="54"/>
      <c r="M2904" s="114"/>
      <c r="N2904" s="1"/>
      <c r="O2904" s="1"/>
      <c r="P2904" s="51"/>
    </row>
    <row r="2905">
      <c r="A2905" s="54"/>
      <c r="B2905" s="71"/>
      <c r="C2905" s="51"/>
      <c r="D2905" s="114"/>
      <c r="E2905" s="114"/>
      <c r="F2905" s="54"/>
      <c r="G2905" s="54"/>
      <c r="I2905" s="54"/>
      <c r="K2905" s="54"/>
      <c r="M2905" s="114"/>
      <c r="N2905" s="1"/>
      <c r="O2905" s="1"/>
      <c r="P2905" s="51"/>
    </row>
    <row r="2906">
      <c r="A2906" s="54"/>
      <c r="B2906" s="71"/>
      <c r="C2906" s="51"/>
      <c r="D2906" s="114"/>
      <c r="E2906" s="114"/>
      <c r="F2906" s="54"/>
      <c r="G2906" s="54"/>
      <c r="I2906" s="54"/>
      <c r="K2906" s="54"/>
      <c r="M2906" s="114"/>
      <c r="N2906" s="1"/>
      <c r="O2906" s="1"/>
      <c r="P2906" s="51"/>
    </row>
    <row r="2907">
      <c r="A2907" s="54"/>
      <c r="B2907" s="71"/>
      <c r="C2907" s="51"/>
      <c r="D2907" s="114"/>
      <c r="E2907" s="114"/>
      <c r="F2907" s="54"/>
      <c r="G2907" s="54"/>
      <c r="I2907" s="54"/>
      <c r="K2907" s="54"/>
      <c r="M2907" s="114"/>
      <c r="N2907" s="1"/>
      <c r="O2907" s="1"/>
      <c r="P2907" s="51"/>
    </row>
    <row r="2908">
      <c r="A2908" s="54"/>
      <c r="B2908" s="71"/>
      <c r="C2908" s="51"/>
      <c r="D2908" s="114"/>
      <c r="E2908" s="114"/>
      <c r="F2908" s="54"/>
      <c r="G2908" s="54"/>
      <c r="I2908" s="54"/>
      <c r="K2908" s="54"/>
      <c r="M2908" s="114"/>
      <c r="N2908" s="1"/>
      <c r="O2908" s="1"/>
      <c r="P2908" s="51"/>
    </row>
    <row r="2909">
      <c r="A2909" s="54"/>
      <c r="B2909" s="71"/>
      <c r="C2909" s="51"/>
      <c r="D2909" s="114"/>
      <c r="E2909" s="114"/>
      <c r="F2909" s="54"/>
      <c r="G2909" s="54"/>
      <c r="I2909" s="54"/>
      <c r="K2909" s="54"/>
      <c r="M2909" s="114"/>
      <c r="N2909" s="1"/>
      <c r="O2909" s="1"/>
      <c r="P2909" s="51"/>
    </row>
    <row r="2910">
      <c r="A2910" s="54"/>
      <c r="B2910" s="71"/>
      <c r="C2910" s="51"/>
      <c r="D2910" s="114"/>
      <c r="E2910" s="114"/>
      <c r="F2910" s="54"/>
      <c r="G2910" s="54"/>
      <c r="I2910" s="54"/>
      <c r="K2910" s="54"/>
      <c r="M2910" s="114"/>
      <c r="N2910" s="1"/>
      <c r="O2910" s="1"/>
      <c r="P2910" s="51"/>
    </row>
    <row r="2911">
      <c r="A2911" s="54"/>
      <c r="B2911" s="71"/>
      <c r="C2911" s="51"/>
      <c r="D2911" s="114"/>
      <c r="E2911" s="114"/>
      <c r="F2911" s="54"/>
      <c r="G2911" s="54"/>
      <c r="I2911" s="54"/>
      <c r="K2911" s="54"/>
      <c r="M2911" s="114"/>
      <c r="N2911" s="1"/>
      <c r="O2911" s="1"/>
      <c r="P2911" s="51"/>
    </row>
    <row r="2912">
      <c r="A2912" s="54"/>
      <c r="B2912" s="71"/>
      <c r="C2912" s="51"/>
      <c r="D2912" s="114"/>
      <c r="E2912" s="114"/>
      <c r="F2912" s="54"/>
      <c r="G2912" s="54"/>
      <c r="I2912" s="54"/>
      <c r="K2912" s="54"/>
      <c r="M2912" s="114"/>
      <c r="N2912" s="1"/>
      <c r="O2912" s="1"/>
      <c r="P2912" s="51"/>
    </row>
    <row r="2913">
      <c r="A2913" s="54"/>
      <c r="B2913" s="71"/>
      <c r="C2913" s="51"/>
      <c r="D2913" s="114"/>
      <c r="E2913" s="114"/>
      <c r="F2913" s="54"/>
      <c r="G2913" s="54"/>
      <c r="I2913" s="54"/>
      <c r="K2913" s="54"/>
      <c r="M2913" s="114"/>
      <c r="N2913" s="1"/>
      <c r="O2913" s="1"/>
      <c r="P2913" s="51"/>
    </row>
    <row r="2914">
      <c r="A2914" s="54"/>
      <c r="B2914" s="71"/>
      <c r="C2914" s="51"/>
      <c r="D2914" s="114"/>
      <c r="E2914" s="114"/>
      <c r="F2914" s="54"/>
      <c r="G2914" s="54"/>
      <c r="I2914" s="54"/>
      <c r="K2914" s="54"/>
      <c r="M2914" s="114"/>
      <c r="N2914" s="1"/>
      <c r="O2914" s="1"/>
      <c r="P2914" s="51"/>
    </row>
    <row r="2915">
      <c r="A2915" s="54"/>
      <c r="B2915" s="71"/>
      <c r="C2915" s="51"/>
      <c r="D2915" s="114"/>
      <c r="E2915" s="114"/>
      <c r="F2915" s="54"/>
      <c r="G2915" s="54"/>
      <c r="I2915" s="54"/>
      <c r="K2915" s="54"/>
      <c r="M2915" s="114"/>
      <c r="N2915" s="1"/>
      <c r="O2915" s="1"/>
      <c r="P2915" s="51"/>
    </row>
    <row r="2916">
      <c r="A2916" s="54"/>
      <c r="B2916" s="71"/>
      <c r="C2916" s="51"/>
      <c r="D2916" s="114"/>
      <c r="E2916" s="114"/>
      <c r="F2916" s="54"/>
      <c r="G2916" s="54"/>
      <c r="I2916" s="54"/>
      <c r="K2916" s="54"/>
      <c r="M2916" s="114"/>
      <c r="N2916" s="1"/>
      <c r="O2916" s="1"/>
      <c r="P2916" s="51"/>
    </row>
    <row r="2917">
      <c r="A2917" s="54"/>
      <c r="B2917" s="71"/>
      <c r="C2917" s="51"/>
      <c r="D2917" s="114"/>
      <c r="E2917" s="114"/>
      <c r="F2917" s="54"/>
      <c r="G2917" s="54"/>
      <c r="I2917" s="54"/>
      <c r="K2917" s="54"/>
      <c r="M2917" s="114"/>
      <c r="N2917" s="1"/>
      <c r="O2917" s="1"/>
      <c r="P2917" s="51"/>
    </row>
    <row r="2918">
      <c r="A2918" s="54"/>
      <c r="B2918" s="71"/>
      <c r="C2918" s="51"/>
      <c r="D2918" s="114"/>
      <c r="E2918" s="114"/>
      <c r="F2918" s="54"/>
      <c r="G2918" s="54"/>
      <c r="I2918" s="54"/>
      <c r="K2918" s="54"/>
      <c r="M2918" s="114"/>
      <c r="N2918" s="1"/>
      <c r="O2918" s="1"/>
      <c r="P2918" s="51"/>
    </row>
    <row r="2919">
      <c r="A2919" s="54"/>
      <c r="B2919" s="71"/>
      <c r="C2919" s="51"/>
      <c r="D2919" s="114"/>
      <c r="E2919" s="114"/>
      <c r="F2919" s="54"/>
      <c r="G2919" s="54"/>
      <c r="I2919" s="54"/>
      <c r="K2919" s="54"/>
      <c r="M2919" s="114"/>
      <c r="N2919" s="1"/>
      <c r="O2919" s="1"/>
      <c r="P2919" s="51"/>
    </row>
    <row r="2920">
      <c r="A2920" s="54"/>
      <c r="B2920" s="71"/>
      <c r="C2920" s="51"/>
      <c r="D2920" s="114"/>
      <c r="E2920" s="114"/>
      <c r="F2920" s="54"/>
      <c r="G2920" s="54"/>
      <c r="I2920" s="54"/>
      <c r="K2920" s="54"/>
      <c r="M2920" s="114"/>
      <c r="N2920" s="1"/>
      <c r="O2920" s="1"/>
      <c r="P2920" s="51"/>
    </row>
    <row r="2921">
      <c r="A2921" s="54"/>
      <c r="B2921" s="71"/>
      <c r="C2921" s="51"/>
      <c r="D2921" s="114"/>
      <c r="E2921" s="114"/>
      <c r="F2921" s="54"/>
      <c r="G2921" s="54"/>
      <c r="I2921" s="54"/>
      <c r="K2921" s="54"/>
      <c r="M2921" s="114"/>
      <c r="N2921" s="1"/>
      <c r="O2921" s="1"/>
      <c r="P2921" s="51"/>
    </row>
    <row r="2922">
      <c r="A2922" s="54"/>
      <c r="B2922" s="71"/>
      <c r="C2922" s="51"/>
      <c r="D2922" s="114"/>
      <c r="E2922" s="114"/>
      <c r="F2922" s="54"/>
      <c r="G2922" s="54"/>
      <c r="I2922" s="54"/>
      <c r="K2922" s="54"/>
      <c r="M2922" s="114"/>
      <c r="N2922" s="1"/>
      <c r="O2922" s="1"/>
      <c r="P2922" s="51"/>
    </row>
    <row r="2923">
      <c r="A2923" s="54"/>
      <c r="B2923" s="71"/>
      <c r="C2923" s="51"/>
      <c r="D2923" s="114"/>
      <c r="E2923" s="114"/>
      <c r="F2923" s="54"/>
      <c r="G2923" s="54"/>
      <c r="I2923" s="54"/>
      <c r="K2923" s="54"/>
      <c r="M2923" s="114"/>
      <c r="N2923" s="1"/>
      <c r="O2923" s="1"/>
      <c r="P2923" s="51"/>
    </row>
    <row r="2924">
      <c r="A2924" s="54"/>
      <c r="B2924" s="71"/>
      <c r="C2924" s="51"/>
      <c r="D2924" s="114"/>
      <c r="E2924" s="114"/>
      <c r="F2924" s="54"/>
      <c r="G2924" s="54"/>
      <c r="I2924" s="54"/>
      <c r="K2924" s="54"/>
      <c r="M2924" s="114"/>
      <c r="N2924" s="1"/>
      <c r="O2924" s="1"/>
      <c r="P2924" s="51"/>
    </row>
    <row r="2925">
      <c r="A2925" s="54"/>
      <c r="B2925" s="71"/>
      <c r="C2925" s="51"/>
      <c r="D2925" s="114"/>
      <c r="E2925" s="114"/>
      <c r="F2925" s="54"/>
      <c r="G2925" s="54"/>
      <c r="I2925" s="54"/>
      <c r="K2925" s="54"/>
      <c r="M2925" s="114"/>
      <c r="N2925" s="1"/>
      <c r="O2925" s="1"/>
      <c r="P2925" s="51"/>
    </row>
    <row r="2926">
      <c r="A2926" s="54"/>
      <c r="B2926" s="71"/>
      <c r="C2926" s="51"/>
      <c r="D2926" s="114"/>
      <c r="E2926" s="114"/>
      <c r="F2926" s="54"/>
      <c r="G2926" s="54"/>
      <c r="I2926" s="54"/>
      <c r="K2926" s="54"/>
      <c r="M2926" s="114"/>
      <c r="N2926" s="1"/>
      <c r="O2926" s="1"/>
      <c r="P2926" s="51"/>
    </row>
    <row r="2927">
      <c r="A2927" s="54"/>
      <c r="B2927" s="71"/>
      <c r="C2927" s="51"/>
      <c r="D2927" s="114"/>
      <c r="E2927" s="114"/>
      <c r="F2927" s="54"/>
      <c r="G2927" s="54"/>
      <c r="I2927" s="54"/>
      <c r="K2927" s="54"/>
      <c r="M2927" s="114"/>
      <c r="N2927" s="1"/>
      <c r="O2927" s="1"/>
      <c r="P2927" s="51"/>
    </row>
    <row r="2928">
      <c r="A2928" s="54"/>
      <c r="B2928" s="71"/>
      <c r="C2928" s="51"/>
      <c r="D2928" s="114"/>
      <c r="E2928" s="114"/>
      <c r="F2928" s="54"/>
      <c r="G2928" s="54"/>
      <c r="I2928" s="54"/>
      <c r="K2928" s="54"/>
      <c r="M2928" s="114"/>
      <c r="N2928" s="1"/>
      <c r="O2928" s="1"/>
      <c r="P2928" s="51"/>
    </row>
    <row r="2929">
      <c r="A2929" s="54"/>
      <c r="B2929" s="71"/>
      <c r="C2929" s="51"/>
      <c r="D2929" s="114"/>
      <c r="E2929" s="114"/>
      <c r="F2929" s="54"/>
      <c r="G2929" s="54"/>
      <c r="I2929" s="54"/>
      <c r="K2929" s="54"/>
      <c r="M2929" s="114"/>
      <c r="N2929" s="1"/>
      <c r="O2929" s="1"/>
      <c r="P2929" s="51"/>
    </row>
    <row r="2930">
      <c r="A2930" s="54"/>
      <c r="B2930" s="71"/>
      <c r="C2930" s="51"/>
      <c r="D2930" s="114"/>
      <c r="E2930" s="114"/>
      <c r="F2930" s="54"/>
      <c r="G2930" s="54"/>
      <c r="I2930" s="54"/>
      <c r="K2930" s="54"/>
      <c r="M2930" s="114"/>
      <c r="N2930" s="1"/>
      <c r="O2930" s="1"/>
      <c r="P2930" s="51"/>
    </row>
    <row r="2931">
      <c r="A2931" s="54"/>
      <c r="B2931" s="71"/>
      <c r="C2931" s="51"/>
      <c r="D2931" s="114"/>
      <c r="E2931" s="114"/>
      <c r="F2931" s="54"/>
      <c r="G2931" s="54"/>
      <c r="I2931" s="54"/>
      <c r="K2931" s="54"/>
      <c r="M2931" s="114"/>
      <c r="N2931" s="1"/>
      <c r="O2931" s="1"/>
      <c r="P2931" s="51"/>
    </row>
    <row r="2932">
      <c r="A2932" s="54"/>
      <c r="B2932" s="71"/>
      <c r="C2932" s="51"/>
      <c r="D2932" s="114"/>
      <c r="E2932" s="114"/>
      <c r="F2932" s="54"/>
      <c r="G2932" s="54"/>
      <c r="I2932" s="54"/>
      <c r="K2932" s="54"/>
      <c r="M2932" s="114"/>
      <c r="N2932" s="1"/>
      <c r="O2932" s="1"/>
      <c r="P2932" s="51"/>
    </row>
    <row r="2933">
      <c r="A2933" s="54"/>
      <c r="B2933" s="71"/>
      <c r="C2933" s="51"/>
      <c r="D2933" s="114"/>
      <c r="E2933" s="114"/>
      <c r="F2933" s="54"/>
      <c r="G2933" s="54"/>
      <c r="I2933" s="54"/>
      <c r="K2933" s="54"/>
      <c r="M2933" s="114"/>
      <c r="N2933" s="1"/>
      <c r="O2933" s="1"/>
      <c r="P2933" s="51"/>
    </row>
    <row r="2934">
      <c r="A2934" s="54"/>
      <c r="B2934" s="71"/>
      <c r="C2934" s="51"/>
      <c r="D2934" s="114"/>
      <c r="E2934" s="114"/>
      <c r="F2934" s="54"/>
      <c r="G2934" s="54"/>
      <c r="I2934" s="54"/>
      <c r="K2934" s="54"/>
      <c r="M2934" s="114"/>
      <c r="N2934" s="1"/>
      <c r="O2934" s="1"/>
      <c r="P2934" s="51"/>
    </row>
    <row r="2935">
      <c r="A2935" s="54"/>
      <c r="B2935" s="71"/>
      <c r="C2935" s="51"/>
      <c r="D2935" s="114"/>
      <c r="E2935" s="114"/>
      <c r="F2935" s="54"/>
      <c r="G2935" s="54"/>
      <c r="I2935" s="54"/>
      <c r="K2935" s="54"/>
      <c r="M2935" s="114"/>
      <c r="N2935" s="1"/>
      <c r="O2935" s="1"/>
      <c r="P2935" s="51"/>
    </row>
    <row r="2936">
      <c r="A2936" s="54"/>
      <c r="B2936" s="71"/>
      <c r="C2936" s="51"/>
      <c r="D2936" s="114"/>
      <c r="E2936" s="114"/>
      <c r="F2936" s="54"/>
      <c r="G2936" s="54"/>
      <c r="I2936" s="54"/>
      <c r="K2936" s="54"/>
      <c r="M2936" s="114"/>
      <c r="N2936" s="1"/>
      <c r="O2936" s="1"/>
      <c r="P2936" s="51"/>
    </row>
    <row r="2937">
      <c r="A2937" s="54"/>
      <c r="B2937" s="71"/>
      <c r="C2937" s="51"/>
      <c r="D2937" s="114"/>
      <c r="E2937" s="114"/>
      <c r="F2937" s="54"/>
      <c r="G2937" s="54"/>
      <c r="I2937" s="54"/>
      <c r="K2937" s="54"/>
      <c r="M2937" s="114"/>
      <c r="N2937" s="1"/>
      <c r="O2937" s="1"/>
      <c r="P2937" s="51"/>
    </row>
    <row r="2938">
      <c r="A2938" s="54"/>
      <c r="B2938" s="71"/>
      <c r="C2938" s="51"/>
      <c r="D2938" s="114"/>
      <c r="E2938" s="114"/>
      <c r="F2938" s="54"/>
      <c r="G2938" s="54"/>
      <c r="I2938" s="54"/>
      <c r="K2938" s="54"/>
      <c r="M2938" s="114"/>
      <c r="N2938" s="1"/>
      <c r="O2938" s="1"/>
      <c r="P2938" s="51"/>
    </row>
    <row r="2939">
      <c r="A2939" s="54"/>
      <c r="B2939" s="71"/>
      <c r="C2939" s="51"/>
      <c r="D2939" s="114"/>
      <c r="E2939" s="114"/>
      <c r="F2939" s="54"/>
      <c r="G2939" s="54"/>
      <c r="I2939" s="54"/>
      <c r="K2939" s="54"/>
      <c r="M2939" s="114"/>
      <c r="N2939" s="1"/>
      <c r="O2939" s="1"/>
      <c r="P2939" s="51"/>
    </row>
    <row r="2940">
      <c r="A2940" s="54"/>
      <c r="B2940" s="71"/>
      <c r="C2940" s="51"/>
      <c r="D2940" s="114"/>
      <c r="E2940" s="114"/>
      <c r="F2940" s="54"/>
      <c r="G2940" s="54"/>
      <c r="I2940" s="54"/>
      <c r="K2940" s="54"/>
      <c r="M2940" s="114"/>
      <c r="N2940" s="1"/>
      <c r="O2940" s="1"/>
      <c r="P2940" s="51"/>
    </row>
    <row r="2941">
      <c r="A2941" s="54"/>
      <c r="B2941" s="71"/>
      <c r="C2941" s="51"/>
      <c r="D2941" s="114"/>
      <c r="E2941" s="114"/>
      <c r="F2941" s="54"/>
      <c r="G2941" s="54"/>
      <c r="I2941" s="54"/>
      <c r="K2941" s="54"/>
      <c r="M2941" s="114"/>
      <c r="N2941" s="1"/>
      <c r="O2941" s="1"/>
      <c r="P2941" s="51"/>
    </row>
    <row r="2942">
      <c r="A2942" s="54"/>
      <c r="B2942" s="71"/>
      <c r="C2942" s="51"/>
      <c r="D2942" s="114"/>
      <c r="E2942" s="114"/>
      <c r="F2942" s="54"/>
      <c r="G2942" s="54"/>
      <c r="I2942" s="54"/>
      <c r="K2942" s="54"/>
      <c r="M2942" s="114"/>
      <c r="N2942" s="1"/>
      <c r="O2942" s="1"/>
      <c r="P2942" s="51"/>
    </row>
    <row r="2943">
      <c r="A2943" s="54"/>
      <c r="B2943" s="71"/>
      <c r="C2943" s="51"/>
      <c r="D2943" s="114"/>
      <c r="E2943" s="114"/>
      <c r="F2943" s="54"/>
      <c r="G2943" s="54"/>
      <c r="I2943" s="54"/>
      <c r="K2943" s="54"/>
      <c r="M2943" s="114"/>
      <c r="N2943" s="1"/>
      <c r="O2943" s="1"/>
      <c r="P2943" s="51"/>
    </row>
    <row r="2944">
      <c r="A2944" s="54"/>
      <c r="B2944" s="71"/>
      <c r="C2944" s="51"/>
      <c r="D2944" s="114"/>
      <c r="E2944" s="114"/>
      <c r="F2944" s="54"/>
      <c r="G2944" s="54"/>
      <c r="I2944" s="54"/>
      <c r="K2944" s="54"/>
      <c r="M2944" s="114"/>
      <c r="N2944" s="1"/>
      <c r="O2944" s="1"/>
      <c r="P2944" s="51"/>
    </row>
    <row r="2945">
      <c r="A2945" s="54"/>
      <c r="B2945" s="71"/>
      <c r="C2945" s="51"/>
      <c r="D2945" s="114"/>
      <c r="E2945" s="114"/>
      <c r="F2945" s="54"/>
      <c r="G2945" s="54"/>
      <c r="I2945" s="54"/>
      <c r="K2945" s="54"/>
      <c r="M2945" s="114"/>
      <c r="N2945" s="1"/>
      <c r="O2945" s="1"/>
      <c r="P2945" s="51"/>
    </row>
    <row r="2946">
      <c r="A2946" s="54"/>
      <c r="B2946" s="71"/>
      <c r="C2946" s="51"/>
      <c r="D2946" s="114"/>
      <c r="E2946" s="114"/>
      <c r="F2946" s="54"/>
      <c r="G2946" s="54"/>
      <c r="I2946" s="54"/>
      <c r="K2946" s="54"/>
      <c r="M2946" s="114"/>
      <c r="N2946" s="1"/>
      <c r="O2946" s="1"/>
      <c r="P2946" s="51"/>
    </row>
    <row r="2947">
      <c r="A2947" s="54"/>
      <c r="B2947" s="71"/>
      <c r="C2947" s="51"/>
      <c r="D2947" s="114"/>
      <c r="E2947" s="114"/>
      <c r="F2947" s="54"/>
      <c r="G2947" s="54"/>
      <c r="I2947" s="54"/>
      <c r="K2947" s="54"/>
      <c r="M2947" s="114"/>
      <c r="N2947" s="1"/>
      <c r="O2947" s="1"/>
      <c r="P2947" s="51"/>
    </row>
    <row r="2948">
      <c r="A2948" s="54"/>
      <c r="B2948" s="71"/>
      <c r="C2948" s="51"/>
      <c r="D2948" s="114"/>
      <c r="E2948" s="114"/>
      <c r="F2948" s="54"/>
      <c r="G2948" s="54"/>
      <c r="I2948" s="54"/>
      <c r="K2948" s="54"/>
      <c r="M2948" s="114"/>
      <c r="N2948" s="1"/>
      <c r="O2948" s="1"/>
      <c r="P2948" s="51"/>
    </row>
    <row r="2949">
      <c r="A2949" s="54"/>
      <c r="B2949" s="71"/>
      <c r="C2949" s="51"/>
      <c r="D2949" s="114"/>
      <c r="E2949" s="114"/>
      <c r="F2949" s="54"/>
      <c r="G2949" s="54"/>
      <c r="I2949" s="54"/>
      <c r="K2949" s="54"/>
      <c r="M2949" s="114"/>
      <c r="N2949" s="1"/>
      <c r="O2949" s="1"/>
      <c r="P2949" s="51"/>
    </row>
    <row r="2950">
      <c r="A2950" s="54"/>
      <c r="B2950" s="71"/>
      <c r="C2950" s="51"/>
      <c r="D2950" s="114"/>
      <c r="E2950" s="114"/>
      <c r="F2950" s="54"/>
      <c r="G2950" s="54"/>
      <c r="I2950" s="54"/>
      <c r="K2950" s="54"/>
      <c r="M2950" s="114"/>
      <c r="N2950" s="1"/>
      <c r="O2950" s="1"/>
      <c r="P2950" s="51"/>
    </row>
    <row r="2951">
      <c r="A2951" s="54"/>
      <c r="B2951" s="71"/>
      <c r="C2951" s="51"/>
      <c r="D2951" s="114"/>
      <c r="E2951" s="114"/>
      <c r="F2951" s="54"/>
      <c r="G2951" s="54"/>
      <c r="I2951" s="54"/>
      <c r="K2951" s="54"/>
      <c r="M2951" s="114"/>
      <c r="N2951" s="1"/>
      <c r="O2951" s="1"/>
      <c r="P2951" s="51"/>
    </row>
    <row r="2952">
      <c r="A2952" s="54"/>
      <c r="B2952" s="71"/>
      <c r="C2952" s="51"/>
      <c r="D2952" s="114"/>
      <c r="E2952" s="114"/>
      <c r="F2952" s="54"/>
      <c r="G2952" s="54"/>
      <c r="I2952" s="54"/>
      <c r="K2952" s="54"/>
      <c r="M2952" s="114"/>
      <c r="N2952" s="1"/>
      <c r="O2952" s="1"/>
      <c r="P2952" s="51"/>
    </row>
    <row r="2953">
      <c r="A2953" s="54"/>
      <c r="B2953" s="71"/>
      <c r="C2953" s="51"/>
      <c r="D2953" s="114"/>
      <c r="E2953" s="114"/>
      <c r="F2953" s="54"/>
      <c r="G2953" s="54"/>
      <c r="I2953" s="54"/>
      <c r="K2953" s="54"/>
      <c r="M2953" s="114"/>
      <c r="N2953" s="1"/>
      <c r="O2953" s="1"/>
      <c r="P2953" s="51"/>
    </row>
    <row r="2954">
      <c r="A2954" s="54"/>
      <c r="B2954" s="71"/>
      <c r="C2954" s="51"/>
      <c r="D2954" s="114"/>
      <c r="E2954" s="114"/>
      <c r="F2954" s="54"/>
      <c r="G2954" s="54"/>
      <c r="I2954" s="54"/>
      <c r="K2954" s="54"/>
      <c r="M2954" s="114"/>
      <c r="N2954" s="1"/>
      <c r="O2954" s="1"/>
      <c r="P2954" s="51"/>
    </row>
    <row r="2955">
      <c r="A2955" s="54"/>
      <c r="B2955" s="71"/>
      <c r="C2955" s="51"/>
      <c r="D2955" s="114"/>
      <c r="E2955" s="114"/>
      <c r="F2955" s="54"/>
      <c r="G2955" s="54"/>
      <c r="I2955" s="54"/>
      <c r="K2955" s="54"/>
      <c r="M2955" s="114"/>
      <c r="N2955" s="1"/>
      <c r="O2955" s="1"/>
      <c r="P2955" s="51"/>
    </row>
    <row r="2956">
      <c r="A2956" s="54"/>
      <c r="B2956" s="71"/>
      <c r="C2956" s="51"/>
      <c r="D2956" s="114"/>
      <c r="E2956" s="114"/>
      <c r="F2956" s="54"/>
      <c r="G2956" s="54"/>
      <c r="I2956" s="54"/>
      <c r="K2956" s="54"/>
      <c r="M2956" s="114"/>
      <c r="N2956" s="1"/>
      <c r="O2956" s="1"/>
      <c r="P2956" s="51"/>
    </row>
    <row r="2957">
      <c r="A2957" s="54"/>
      <c r="B2957" s="71"/>
      <c r="C2957" s="51"/>
      <c r="D2957" s="114"/>
      <c r="E2957" s="114"/>
      <c r="F2957" s="54"/>
      <c r="G2957" s="54"/>
      <c r="I2957" s="54"/>
      <c r="K2957" s="54"/>
      <c r="M2957" s="114"/>
      <c r="N2957" s="1"/>
      <c r="O2957" s="1"/>
      <c r="P2957" s="51"/>
    </row>
    <row r="2958">
      <c r="A2958" s="54"/>
      <c r="B2958" s="71"/>
      <c r="C2958" s="51"/>
      <c r="D2958" s="114"/>
      <c r="E2958" s="114"/>
      <c r="F2958" s="54"/>
      <c r="G2958" s="54"/>
      <c r="I2958" s="54"/>
      <c r="K2958" s="54"/>
      <c r="M2958" s="114"/>
      <c r="N2958" s="1"/>
      <c r="O2958" s="1"/>
      <c r="P2958" s="51"/>
    </row>
    <row r="2959">
      <c r="A2959" s="54"/>
      <c r="B2959" s="71"/>
      <c r="C2959" s="51"/>
      <c r="D2959" s="114"/>
      <c r="E2959" s="114"/>
      <c r="F2959" s="54"/>
      <c r="G2959" s="54"/>
      <c r="I2959" s="54"/>
      <c r="K2959" s="54"/>
      <c r="M2959" s="114"/>
      <c r="N2959" s="1"/>
      <c r="O2959" s="1"/>
      <c r="P2959" s="51"/>
    </row>
    <row r="2960">
      <c r="A2960" s="54"/>
      <c r="B2960" s="71"/>
      <c r="C2960" s="51"/>
      <c r="D2960" s="114"/>
      <c r="E2960" s="114"/>
      <c r="F2960" s="54"/>
      <c r="G2960" s="54"/>
      <c r="I2960" s="54"/>
      <c r="K2960" s="54"/>
      <c r="M2960" s="114"/>
      <c r="N2960" s="1"/>
      <c r="O2960" s="1"/>
      <c r="P2960" s="51"/>
    </row>
    <row r="2961">
      <c r="A2961" s="54"/>
      <c r="B2961" s="71"/>
      <c r="C2961" s="51"/>
      <c r="D2961" s="114"/>
      <c r="E2961" s="114"/>
      <c r="F2961" s="54"/>
      <c r="G2961" s="54"/>
      <c r="I2961" s="54"/>
      <c r="K2961" s="54"/>
      <c r="M2961" s="114"/>
      <c r="N2961" s="1"/>
      <c r="O2961" s="1"/>
      <c r="P2961" s="51"/>
    </row>
    <row r="2962">
      <c r="A2962" s="54"/>
      <c r="B2962" s="71"/>
      <c r="C2962" s="51"/>
      <c r="D2962" s="114"/>
      <c r="E2962" s="114"/>
      <c r="F2962" s="54"/>
      <c r="G2962" s="54"/>
      <c r="I2962" s="54"/>
      <c r="K2962" s="54"/>
      <c r="M2962" s="114"/>
      <c r="N2962" s="1"/>
      <c r="O2962" s="1"/>
      <c r="P2962" s="51"/>
    </row>
    <row r="2963">
      <c r="A2963" s="54"/>
      <c r="B2963" s="71"/>
      <c r="C2963" s="51"/>
      <c r="D2963" s="114"/>
      <c r="E2963" s="114"/>
      <c r="F2963" s="54"/>
      <c r="G2963" s="54"/>
      <c r="I2963" s="54"/>
      <c r="K2963" s="54"/>
      <c r="M2963" s="114"/>
      <c r="N2963" s="1"/>
      <c r="O2963" s="1"/>
      <c r="P2963" s="51"/>
    </row>
    <row r="2964">
      <c r="A2964" s="54"/>
      <c r="B2964" s="71"/>
      <c r="C2964" s="51"/>
      <c r="D2964" s="114"/>
      <c r="E2964" s="114"/>
      <c r="F2964" s="54"/>
      <c r="G2964" s="54"/>
      <c r="I2964" s="54"/>
      <c r="K2964" s="54"/>
      <c r="M2964" s="114"/>
      <c r="N2964" s="1"/>
      <c r="O2964" s="1"/>
      <c r="P2964" s="51"/>
    </row>
    <row r="2965">
      <c r="A2965" s="54"/>
      <c r="B2965" s="71"/>
      <c r="C2965" s="51"/>
      <c r="D2965" s="114"/>
      <c r="E2965" s="114"/>
      <c r="F2965" s="54"/>
      <c r="G2965" s="54"/>
      <c r="I2965" s="54"/>
      <c r="K2965" s="54"/>
      <c r="M2965" s="114"/>
      <c r="N2965" s="1"/>
      <c r="O2965" s="1"/>
      <c r="P2965" s="51"/>
    </row>
    <row r="2966">
      <c r="A2966" s="54"/>
      <c r="B2966" s="71"/>
      <c r="C2966" s="51"/>
      <c r="D2966" s="114"/>
      <c r="E2966" s="114"/>
      <c r="F2966" s="54"/>
      <c r="G2966" s="54"/>
      <c r="I2966" s="54"/>
      <c r="K2966" s="54"/>
      <c r="M2966" s="114"/>
      <c r="N2966" s="1"/>
      <c r="O2966" s="1"/>
      <c r="P2966" s="51"/>
    </row>
    <row r="2967">
      <c r="A2967" s="54"/>
      <c r="B2967" s="71"/>
      <c r="C2967" s="51"/>
      <c r="D2967" s="114"/>
      <c r="E2967" s="114"/>
      <c r="F2967" s="54"/>
      <c r="G2967" s="54"/>
      <c r="I2967" s="54"/>
      <c r="K2967" s="54"/>
      <c r="M2967" s="114"/>
      <c r="N2967" s="1"/>
      <c r="O2967" s="1"/>
      <c r="P2967" s="51"/>
    </row>
    <row r="2968">
      <c r="A2968" s="54"/>
      <c r="B2968" s="71"/>
      <c r="C2968" s="51"/>
      <c r="D2968" s="114"/>
      <c r="E2968" s="114"/>
      <c r="F2968" s="54"/>
      <c r="G2968" s="54"/>
      <c r="I2968" s="54"/>
      <c r="K2968" s="54"/>
      <c r="M2968" s="114"/>
      <c r="N2968" s="1"/>
      <c r="O2968" s="1"/>
      <c r="P2968" s="51"/>
    </row>
    <row r="2969">
      <c r="A2969" s="54"/>
      <c r="B2969" s="71"/>
      <c r="C2969" s="51"/>
      <c r="D2969" s="114"/>
      <c r="E2969" s="114"/>
      <c r="F2969" s="54"/>
      <c r="G2969" s="54"/>
      <c r="I2969" s="54"/>
      <c r="K2969" s="54"/>
      <c r="M2969" s="114"/>
      <c r="N2969" s="1"/>
      <c r="O2969" s="1"/>
      <c r="P2969" s="51"/>
    </row>
    <row r="2970">
      <c r="A2970" s="54"/>
      <c r="B2970" s="71"/>
      <c r="C2970" s="51"/>
      <c r="D2970" s="114"/>
      <c r="E2970" s="114"/>
      <c r="F2970" s="54"/>
      <c r="G2970" s="54"/>
      <c r="I2970" s="54"/>
      <c r="K2970" s="54"/>
      <c r="M2970" s="114"/>
      <c r="N2970" s="1"/>
      <c r="O2970" s="1"/>
      <c r="P2970" s="51"/>
    </row>
    <row r="2971">
      <c r="A2971" s="54"/>
      <c r="B2971" s="71"/>
      <c r="C2971" s="51"/>
      <c r="D2971" s="114"/>
      <c r="E2971" s="114"/>
      <c r="F2971" s="54"/>
      <c r="G2971" s="54"/>
      <c r="I2971" s="54"/>
      <c r="K2971" s="54"/>
      <c r="M2971" s="114"/>
      <c r="N2971" s="1"/>
      <c r="O2971" s="1"/>
      <c r="P2971" s="51"/>
    </row>
    <row r="2972">
      <c r="A2972" s="54"/>
      <c r="B2972" s="71"/>
      <c r="C2972" s="51"/>
      <c r="D2972" s="114"/>
      <c r="E2972" s="114"/>
      <c r="F2972" s="54"/>
      <c r="G2972" s="54"/>
      <c r="I2972" s="54"/>
      <c r="K2972" s="54"/>
      <c r="M2972" s="114"/>
      <c r="N2972" s="1"/>
      <c r="O2972" s="1"/>
      <c r="P2972" s="51"/>
    </row>
    <row r="2973">
      <c r="A2973" s="54"/>
      <c r="B2973" s="71"/>
      <c r="C2973" s="51"/>
      <c r="D2973" s="114"/>
      <c r="E2973" s="114"/>
      <c r="F2973" s="54"/>
      <c r="G2973" s="54"/>
      <c r="I2973" s="54"/>
      <c r="K2973" s="54"/>
      <c r="M2973" s="114"/>
      <c r="N2973" s="1"/>
      <c r="O2973" s="1"/>
      <c r="P2973" s="51"/>
    </row>
    <row r="2974">
      <c r="A2974" s="54"/>
      <c r="B2974" s="71"/>
      <c r="C2974" s="51"/>
      <c r="D2974" s="114"/>
      <c r="E2974" s="114"/>
      <c r="F2974" s="54"/>
      <c r="G2974" s="54"/>
      <c r="I2974" s="54"/>
      <c r="K2974" s="54"/>
      <c r="M2974" s="114"/>
      <c r="N2974" s="1"/>
      <c r="O2974" s="1"/>
      <c r="P2974" s="51"/>
    </row>
    <row r="2975">
      <c r="A2975" s="54"/>
      <c r="B2975" s="71"/>
      <c r="C2975" s="51"/>
      <c r="D2975" s="114"/>
      <c r="E2975" s="114"/>
      <c r="F2975" s="54"/>
      <c r="G2975" s="54"/>
      <c r="I2975" s="54"/>
      <c r="K2975" s="54"/>
      <c r="M2975" s="114"/>
      <c r="N2975" s="1"/>
      <c r="O2975" s="1"/>
      <c r="P2975" s="51"/>
    </row>
    <row r="2976">
      <c r="A2976" s="54"/>
      <c r="B2976" s="71"/>
      <c r="C2976" s="51"/>
      <c r="D2976" s="114"/>
      <c r="E2976" s="114"/>
      <c r="F2976" s="54"/>
      <c r="G2976" s="54"/>
      <c r="I2976" s="54"/>
      <c r="K2976" s="54"/>
      <c r="M2976" s="114"/>
      <c r="N2976" s="1"/>
      <c r="O2976" s="1"/>
      <c r="P2976" s="51"/>
    </row>
    <row r="2977">
      <c r="A2977" s="54"/>
      <c r="B2977" s="71"/>
      <c r="C2977" s="51"/>
      <c r="D2977" s="114"/>
      <c r="E2977" s="114"/>
      <c r="F2977" s="54"/>
      <c r="G2977" s="54"/>
      <c r="I2977" s="54"/>
      <c r="K2977" s="54"/>
      <c r="M2977" s="114"/>
      <c r="N2977" s="1"/>
      <c r="O2977" s="1"/>
      <c r="P2977" s="51"/>
    </row>
    <row r="2978">
      <c r="A2978" s="54"/>
      <c r="B2978" s="71"/>
      <c r="C2978" s="51"/>
      <c r="D2978" s="114"/>
      <c r="E2978" s="114"/>
      <c r="F2978" s="54"/>
      <c r="G2978" s="54"/>
      <c r="I2978" s="54"/>
      <c r="K2978" s="54"/>
      <c r="M2978" s="114"/>
      <c r="N2978" s="1"/>
      <c r="O2978" s="1"/>
      <c r="P2978" s="51"/>
    </row>
    <row r="2979">
      <c r="A2979" s="54"/>
      <c r="B2979" s="71"/>
      <c r="C2979" s="51"/>
      <c r="D2979" s="114"/>
      <c r="E2979" s="114"/>
      <c r="F2979" s="54"/>
      <c r="G2979" s="54"/>
      <c r="I2979" s="54"/>
      <c r="K2979" s="54"/>
      <c r="M2979" s="114"/>
      <c r="N2979" s="1"/>
      <c r="O2979" s="1"/>
      <c r="P2979" s="51"/>
    </row>
    <row r="2980">
      <c r="A2980" s="54"/>
      <c r="B2980" s="71"/>
      <c r="C2980" s="51"/>
      <c r="D2980" s="114"/>
      <c r="E2980" s="114"/>
      <c r="F2980" s="54"/>
      <c r="G2980" s="54"/>
      <c r="I2980" s="54"/>
      <c r="K2980" s="54"/>
      <c r="M2980" s="114"/>
      <c r="N2980" s="1"/>
      <c r="O2980" s="1"/>
      <c r="P2980" s="51"/>
    </row>
    <row r="2981">
      <c r="A2981" s="54"/>
      <c r="B2981" s="71"/>
      <c r="C2981" s="51"/>
      <c r="D2981" s="114"/>
      <c r="E2981" s="114"/>
      <c r="F2981" s="54"/>
      <c r="G2981" s="54"/>
      <c r="I2981" s="54"/>
      <c r="K2981" s="54"/>
      <c r="M2981" s="114"/>
      <c r="N2981" s="1"/>
      <c r="O2981" s="1"/>
      <c r="P2981" s="51"/>
    </row>
    <row r="2982">
      <c r="A2982" s="54"/>
      <c r="B2982" s="71"/>
      <c r="C2982" s="51"/>
      <c r="D2982" s="114"/>
      <c r="E2982" s="114"/>
      <c r="F2982" s="54"/>
      <c r="G2982" s="54"/>
      <c r="I2982" s="54"/>
      <c r="K2982" s="54"/>
      <c r="M2982" s="114"/>
      <c r="N2982" s="1"/>
      <c r="O2982" s="1"/>
      <c r="P2982" s="51"/>
    </row>
    <row r="2983">
      <c r="A2983" s="54"/>
      <c r="B2983" s="71"/>
      <c r="C2983" s="51"/>
      <c r="D2983" s="114"/>
      <c r="E2983" s="114"/>
      <c r="F2983" s="54"/>
      <c r="G2983" s="54"/>
      <c r="I2983" s="54"/>
      <c r="K2983" s="54"/>
      <c r="M2983" s="114"/>
      <c r="N2983" s="1"/>
      <c r="O2983" s="1"/>
      <c r="P2983" s="51"/>
    </row>
    <row r="2984">
      <c r="A2984" s="54"/>
      <c r="B2984" s="71"/>
      <c r="C2984" s="51"/>
      <c r="D2984" s="114"/>
      <c r="E2984" s="114"/>
      <c r="F2984" s="54"/>
      <c r="G2984" s="54"/>
      <c r="I2984" s="54"/>
      <c r="K2984" s="54"/>
      <c r="M2984" s="114"/>
      <c r="N2984" s="1"/>
      <c r="O2984" s="1"/>
      <c r="P2984" s="51"/>
    </row>
    <row r="2985">
      <c r="A2985" s="54"/>
      <c r="B2985" s="71"/>
      <c r="C2985" s="51"/>
      <c r="D2985" s="114"/>
      <c r="E2985" s="114"/>
      <c r="F2985" s="54"/>
      <c r="G2985" s="54"/>
      <c r="I2985" s="54"/>
      <c r="K2985" s="54"/>
      <c r="M2985" s="114"/>
      <c r="N2985" s="1"/>
      <c r="O2985" s="1"/>
      <c r="P2985" s="51"/>
    </row>
    <row r="2986">
      <c r="A2986" s="54"/>
      <c r="B2986" s="71"/>
      <c r="C2986" s="51"/>
      <c r="D2986" s="114"/>
      <c r="E2986" s="114"/>
      <c r="F2986" s="54"/>
      <c r="G2986" s="54"/>
      <c r="I2986" s="54"/>
      <c r="K2986" s="54"/>
      <c r="M2986" s="114"/>
      <c r="N2986" s="1"/>
      <c r="O2986" s="1"/>
      <c r="P2986" s="51"/>
    </row>
    <row r="2987">
      <c r="A2987" s="54"/>
      <c r="B2987" s="71"/>
      <c r="C2987" s="51"/>
      <c r="D2987" s="114"/>
      <c r="E2987" s="114"/>
      <c r="F2987" s="54"/>
      <c r="G2987" s="54"/>
      <c r="I2987" s="54"/>
      <c r="K2987" s="54"/>
      <c r="M2987" s="114"/>
      <c r="N2987" s="1"/>
      <c r="O2987" s="1"/>
      <c r="P2987" s="51"/>
    </row>
    <row r="2988">
      <c r="A2988" s="54"/>
      <c r="B2988" s="71"/>
      <c r="C2988" s="51"/>
      <c r="D2988" s="114"/>
      <c r="E2988" s="114"/>
      <c r="F2988" s="54"/>
      <c r="G2988" s="54"/>
      <c r="I2988" s="54"/>
      <c r="K2988" s="54"/>
      <c r="M2988" s="114"/>
      <c r="N2988" s="1"/>
      <c r="O2988" s="1"/>
      <c r="P2988" s="51"/>
    </row>
    <row r="2989">
      <c r="A2989" s="54"/>
      <c r="B2989" s="71"/>
      <c r="C2989" s="51"/>
      <c r="D2989" s="114"/>
      <c r="E2989" s="114"/>
      <c r="F2989" s="54"/>
      <c r="G2989" s="54"/>
      <c r="I2989" s="54"/>
      <c r="K2989" s="54"/>
      <c r="M2989" s="114"/>
      <c r="N2989" s="1"/>
      <c r="O2989" s="1"/>
      <c r="P2989" s="51"/>
    </row>
    <row r="2990">
      <c r="A2990" s="54"/>
      <c r="B2990" s="71"/>
      <c r="C2990" s="51"/>
      <c r="D2990" s="114"/>
      <c r="E2990" s="114"/>
      <c r="F2990" s="54"/>
      <c r="G2990" s="54"/>
      <c r="I2990" s="54"/>
      <c r="K2990" s="54"/>
      <c r="M2990" s="114"/>
      <c r="N2990" s="1"/>
      <c r="O2990" s="1"/>
      <c r="P2990" s="51"/>
    </row>
    <row r="2991">
      <c r="A2991" s="54"/>
      <c r="B2991" s="71"/>
      <c r="C2991" s="51"/>
      <c r="D2991" s="114"/>
      <c r="E2991" s="114"/>
      <c r="F2991" s="54"/>
      <c r="G2991" s="54"/>
      <c r="I2991" s="54"/>
      <c r="K2991" s="54"/>
      <c r="M2991" s="114"/>
      <c r="N2991" s="1"/>
      <c r="O2991" s="1"/>
      <c r="P2991" s="51"/>
    </row>
    <row r="2992">
      <c r="A2992" s="54"/>
      <c r="B2992" s="71"/>
      <c r="C2992" s="51"/>
      <c r="D2992" s="114"/>
      <c r="E2992" s="114"/>
      <c r="F2992" s="54"/>
      <c r="G2992" s="54"/>
      <c r="I2992" s="54"/>
      <c r="K2992" s="54"/>
      <c r="M2992" s="114"/>
      <c r="N2992" s="1"/>
      <c r="O2992" s="1"/>
      <c r="P2992" s="51"/>
    </row>
    <row r="2993">
      <c r="A2993" s="54"/>
      <c r="B2993" s="71"/>
      <c r="C2993" s="51"/>
      <c r="D2993" s="114"/>
      <c r="E2993" s="114"/>
      <c r="F2993" s="54"/>
      <c r="G2993" s="54"/>
      <c r="I2993" s="54"/>
      <c r="K2993" s="54"/>
      <c r="M2993" s="114"/>
      <c r="N2993" s="1"/>
      <c r="O2993" s="1"/>
      <c r="P2993" s="51"/>
    </row>
    <row r="2994">
      <c r="A2994" s="54"/>
      <c r="B2994" s="71"/>
      <c r="C2994" s="51"/>
      <c r="D2994" s="114"/>
      <c r="E2994" s="114"/>
      <c r="F2994" s="54"/>
      <c r="G2994" s="54"/>
      <c r="I2994" s="54"/>
      <c r="K2994" s="54"/>
      <c r="M2994" s="114"/>
      <c r="N2994" s="1"/>
      <c r="O2994" s="1"/>
      <c r="P2994" s="51"/>
    </row>
    <row r="2995">
      <c r="A2995" s="54"/>
      <c r="B2995" s="71"/>
      <c r="C2995" s="51"/>
      <c r="D2995" s="114"/>
      <c r="E2995" s="114"/>
      <c r="F2995" s="54"/>
      <c r="G2995" s="54"/>
      <c r="I2995" s="54"/>
      <c r="K2995" s="54"/>
      <c r="M2995" s="114"/>
      <c r="N2995" s="1"/>
      <c r="O2995" s="1"/>
      <c r="P2995" s="51"/>
    </row>
    <row r="2996">
      <c r="A2996" s="54"/>
      <c r="B2996" s="71"/>
      <c r="C2996" s="51"/>
      <c r="D2996" s="114"/>
      <c r="E2996" s="114"/>
      <c r="F2996" s="54"/>
      <c r="G2996" s="54"/>
      <c r="I2996" s="54"/>
      <c r="K2996" s="54"/>
      <c r="M2996" s="114"/>
      <c r="N2996" s="1"/>
      <c r="O2996" s="1"/>
      <c r="P2996" s="51"/>
    </row>
    <row r="2997">
      <c r="A2997" s="54"/>
      <c r="B2997" s="71"/>
      <c r="C2997" s="51"/>
      <c r="D2997" s="114"/>
      <c r="E2997" s="114"/>
      <c r="F2997" s="54"/>
      <c r="G2997" s="54"/>
      <c r="I2997" s="54"/>
      <c r="K2997" s="54"/>
      <c r="M2997" s="114"/>
      <c r="N2997" s="1"/>
      <c r="O2997" s="1"/>
      <c r="P2997" s="51"/>
    </row>
    <row r="2998">
      <c r="A2998" s="54"/>
      <c r="B2998" s="71"/>
      <c r="C2998" s="51"/>
      <c r="D2998" s="114"/>
      <c r="E2998" s="114"/>
      <c r="F2998" s="54"/>
      <c r="G2998" s="54"/>
      <c r="I2998" s="54"/>
      <c r="K2998" s="54"/>
      <c r="M2998" s="114"/>
      <c r="N2998" s="1"/>
      <c r="O2998" s="1"/>
      <c r="P2998" s="51"/>
    </row>
    <row r="2999">
      <c r="A2999" s="54"/>
      <c r="B2999" s="71"/>
      <c r="C2999" s="51"/>
      <c r="D2999" s="114"/>
      <c r="E2999" s="114"/>
      <c r="F2999" s="54"/>
      <c r="G2999" s="54"/>
      <c r="I2999" s="54"/>
      <c r="K2999" s="54"/>
      <c r="M2999" s="114"/>
      <c r="N2999" s="1"/>
      <c r="O2999" s="1"/>
      <c r="P2999" s="51"/>
    </row>
    <row r="3000">
      <c r="A3000" s="54"/>
      <c r="B3000" s="71"/>
      <c r="C3000" s="51"/>
      <c r="D3000" s="114"/>
      <c r="E3000" s="114"/>
      <c r="F3000" s="54"/>
      <c r="G3000" s="54"/>
      <c r="I3000" s="54"/>
      <c r="K3000" s="54"/>
      <c r="M3000" s="114"/>
      <c r="N3000" s="1"/>
      <c r="O3000" s="1"/>
      <c r="P3000" s="51"/>
    </row>
    <row r="3001">
      <c r="A3001" s="54"/>
      <c r="B3001" s="71"/>
      <c r="C3001" s="51"/>
      <c r="D3001" s="114"/>
      <c r="E3001" s="114"/>
      <c r="F3001" s="54"/>
      <c r="G3001" s="54"/>
      <c r="I3001" s="54"/>
      <c r="K3001" s="54"/>
      <c r="M3001" s="114"/>
      <c r="N3001" s="1"/>
      <c r="O3001" s="1"/>
      <c r="P3001" s="51"/>
    </row>
    <row r="3002">
      <c r="A3002" s="54"/>
      <c r="B3002" s="71"/>
      <c r="C3002" s="51"/>
      <c r="D3002" s="114"/>
      <c r="E3002" s="114"/>
      <c r="F3002" s="54"/>
      <c r="G3002" s="54"/>
      <c r="I3002" s="54"/>
      <c r="K3002" s="54"/>
      <c r="M3002" s="114"/>
      <c r="N3002" s="1"/>
      <c r="O3002" s="1"/>
      <c r="P3002" s="51"/>
    </row>
    <row r="3003">
      <c r="A3003" s="54"/>
      <c r="B3003" s="71"/>
      <c r="C3003" s="51"/>
      <c r="D3003" s="114"/>
      <c r="E3003" s="114"/>
      <c r="F3003" s="54"/>
      <c r="G3003" s="54"/>
      <c r="I3003" s="54"/>
      <c r="K3003" s="54"/>
      <c r="M3003" s="114"/>
      <c r="N3003" s="1"/>
      <c r="O3003" s="1"/>
      <c r="P3003" s="51"/>
    </row>
    <row r="3004">
      <c r="A3004" s="54"/>
      <c r="B3004" s="71"/>
      <c r="C3004" s="51"/>
      <c r="D3004" s="114"/>
      <c r="E3004" s="114"/>
      <c r="F3004" s="54"/>
      <c r="G3004" s="54"/>
      <c r="I3004" s="54"/>
      <c r="K3004" s="54"/>
      <c r="M3004" s="114"/>
      <c r="N3004" s="1"/>
      <c r="O3004" s="1"/>
      <c r="P3004" s="51"/>
    </row>
    <row r="3005">
      <c r="A3005" s="54"/>
      <c r="B3005" s="71"/>
      <c r="C3005" s="51"/>
      <c r="D3005" s="114"/>
      <c r="E3005" s="114"/>
      <c r="F3005" s="54"/>
      <c r="G3005" s="54"/>
      <c r="I3005" s="54"/>
      <c r="K3005" s="54"/>
      <c r="M3005" s="114"/>
      <c r="N3005" s="1"/>
      <c r="O3005" s="1"/>
      <c r="P3005" s="51"/>
    </row>
    <row r="3006">
      <c r="A3006" s="54"/>
      <c r="B3006" s="71"/>
      <c r="C3006" s="51"/>
      <c r="D3006" s="114"/>
      <c r="E3006" s="114"/>
      <c r="F3006" s="54"/>
      <c r="G3006" s="54"/>
      <c r="I3006" s="54"/>
      <c r="K3006" s="54"/>
      <c r="M3006" s="114"/>
      <c r="N3006" s="1"/>
      <c r="O3006" s="1"/>
      <c r="P3006" s="51"/>
    </row>
    <row r="3007">
      <c r="A3007" s="54"/>
      <c r="B3007" s="71"/>
      <c r="C3007" s="51"/>
      <c r="D3007" s="114"/>
      <c r="E3007" s="114"/>
      <c r="F3007" s="54"/>
      <c r="G3007" s="54"/>
      <c r="I3007" s="54"/>
      <c r="K3007" s="54"/>
      <c r="M3007" s="114"/>
      <c r="N3007" s="1"/>
      <c r="O3007" s="1"/>
      <c r="P3007" s="51"/>
    </row>
    <row r="3008">
      <c r="A3008" s="54"/>
      <c r="B3008" s="71"/>
      <c r="C3008" s="51"/>
      <c r="D3008" s="114"/>
      <c r="E3008" s="114"/>
      <c r="F3008" s="54"/>
      <c r="G3008" s="54"/>
      <c r="I3008" s="54"/>
      <c r="K3008" s="54"/>
      <c r="M3008" s="114"/>
      <c r="N3008" s="1"/>
      <c r="O3008" s="1"/>
      <c r="P3008" s="51"/>
    </row>
    <row r="3009">
      <c r="A3009" s="54"/>
      <c r="B3009" s="71"/>
      <c r="C3009" s="51"/>
      <c r="D3009" s="114"/>
      <c r="E3009" s="114"/>
      <c r="F3009" s="54"/>
      <c r="G3009" s="54"/>
      <c r="I3009" s="54"/>
      <c r="K3009" s="54"/>
      <c r="M3009" s="114"/>
      <c r="N3009" s="1"/>
      <c r="O3009" s="1"/>
      <c r="P3009" s="51"/>
    </row>
    <row r="3010">
      <c r="A3010" s="54"/>
      <c r="B3010" s="71"/>
      <c r="C3010" s="51"/>
      <c r="D3010" s="114"/>
      <c r="E3010" s="114"/>
      <c r="F3010" s="54"/>
      <c r="G3010" s="54"/>
      <c r="I3010" s="54"/>
      <c r="K3010" s="54"/>
      <c r="M3010" s="114"/>
      <c r="N3010" s="1"/>
      <c r="O3010" s="1"/>
      <c r="P3010" s="51"/>
    </row>
    <row r="3011">
      <c r="A3011" s="54"/>
      <c r="B3011" s="71"/>
      <c r="C3011" s="51"/>
      <c r="D3011" s="114"/>
      <c r="E3011" s="114"/>
      <c r="F3011" s="54"/>
      <c r="G3011" s="54"/>
      <c r="I3011" s="54"/>
      <c r="K3011" s="54"/>
      <c r="M3011" s="114"/>
      <c r="N3011" s="1"/>
      <c r="O3011" s="1"/>
      <c r="P3011" s="51"/>
    </row>
    <row r="3012">
      <c r="A3012" s="54"/>
      <c r="B3012" s="71"/>
      <c r="C3012" s="51"/>
      <c r="D3012" s="114"/>
      <c r="E3012" s="114"/>
      <c r="F3012" s="54"/>
      <c r="G3012" s="54"/>
      <c r="I3012" s="54"/>
      <c r="K3012" s="54"/>
      <c r="M3012" s="114"/>
      <c r="N3012" s="1"/>
      <c r="O3012" s="1"/>
      <c r="P3012" s="51"/>
    </row>
    <row r="3013">
      <c r="A3013" s="54"/>
      <c r="B3013" s="71"/>
      <c r="C3013" s="51"/>
      <c r="D3013" s="114"/>
      <c r="E3013" s="114"/>
      <c r="F3013" s="54"/>
      <c r="G3013" s="54"/>
      <c r="I3013" s="54"/>
      <c r="K3013" s="54"/>
      <c r="M3013" s="114"/>
      <c r="N3013" s="1"/>
      <c r="O3013" s="1"/>
      <c r="P3013" s="51"/>
    </row>
    <row r="3014">
      <c r="A3014" s="54"/>
      <c r="B3014" s="71"/>
      <c r="C3014" s="51"/>
      <c r="D3014" s="114"/>
      <c r="E3014" s="114"/>
      <c r="F3014" s="54"/>
      <c r="G3014" s="54"/>
      <c r="I3014" s="54"/>
      <c r="K3014" s="54"/>
      <c r="M3014" s="114"/>
      <c r="N3014" s="1"/>
      <c r="O3014" s="1"/>
      <c r="P3014" s="51"/>
    </row>
    <row r="3015">
      <c r="A3015" s="54"/>
      <c r="B3015" s="71"/>
      <c r="C3015" s="51"/>
      <c r="D3015" s="114"/>
      <c r="E3015" s="114"/>
      <c r="F3015" s="54"/>
      <c r="G3015" s="54"/>
      <c r="I3015" s="54"/>
      <c r="K3015" s="54"/>
      <c r="M3015" s="114"/>
      <c r="N3015" s="1"/>
      <c r="O3015" s="1"/>
      <c r="P3015" s="51"/>
    </row>
    <row r="3016">
      <c r="A3016" s="54"/>
      <c r="B3016" s="71"/>
      <c r="C3016" s="51"/>
      <c r="D3016" s="114"/>
      <c r="E3016" s="114"/>
      <c r="F3016" s="54"/>
      <c r="G3016" s="54"/>
      <c r="I3016" s="54"/>
      <c r="K3016" s="54"/>
      <c r="M3016" s="114"/>
      <c r="N3016" s="1"/>
      <c r="O3016" s="1"/>
      <c r="P3016" s="51"/>
    </row>
    <row r="3017">
      <c r="A3017" s="54"/>
      <c r="B3017" s="71"/>
      <c r="C3017" s="51"/>
      <c r="D3017" s="114"/>
      <c r="E3017" s="114"/>
      <c r="F3017" s="54"/>
      <c r="G3017" s="54"/>
      <c r="I3017" s="54"/>
      <c r="K3017" s="54"/>
      <c r="M3017" s="114"/>
      <c r="N3017" s="1"/>
      <c r="O3017" s="1"/>
      <c r="P3017" s="51"/>
    </row>
    <row r="3018">
      <c r="A3018" s="54"/>
      <c r="B3018" s="71"/>
      <c r="C3018" s="51"/>
      <c r="D3018" s="114"/>
      <c r="E3018" s="114"/>
      <c r="F3018" s="54"/>
      <c r="G3018" s="54"/>
      <c r="I3018" s="54"/>
      <c r="K3018" s="54"/>
      <c r="M3018" s="114"/>
      <c r="N3018" s="1"/>
      <c r="O3018" s="1"/>
      <c r="P3018" s="51"/>
    </row>
    <row r="3019">
      <c r="A3019" s="54"/>
      <c r="B3019" s="71"/>
      <c r="C3019" s="51"/>
      <c r="D3019" s="114"/>
      <c r="E3019" s="114"/>
      <c r="F3019" s="54"/>
      <c r="G3019" s="54"/>
      <c r="I3019" s="54"/>
      <c r="K3019" s="54"/>
      <c r="M3019" s="114"/>
      <c r="N3019" s="1"/>
      <c r="O3019" s="1"/>
      <c r="P3019" s="51"/>
    </row>
    <row r="3020">
      <c r="A3020" s="54"/>
      <c r="B3020" s="71"/>
      <c r="C3020" s="51"/>
      <c r="D3020" s="114"/>
      <c r="E3020" s="114"/>
      <c r="F3020" s="54"/>
      <c r="G3020" s="54"/>
      <c r="I3020" s="54"/>
      <c r="K3020" s="54"/>
      <c r="M3020" s="114"/>
      <c r="N3020" s="1"/>
      <c r="O3020" s="1"/>
      <c r="P3020" s="51"/>
    </row>
    <row r="3021">
      <c r="A3021" s="54"/>
      <c r="B3021" s="71"/>
      <c r="C3021" s="51"/>
      <c r="D3021" s="114"/>
      <c r="E3021" s="114"/>
      <c r="F3021" s="54"/>
      <c r="G3021" s="54"/>
      <c r="I3021" s="54"/>
      <c r="K3021" s="54"/>
      <c r="M3021" s="114"/>
      <c r="N3021" s="1"/>
      <c r="O3021" s="1"/>
      <c r="P3021" s="51"/>
    </row>
    <row r="3022">
      <c r="A3022" s="54"/>
      <c r="B3022" s="71"/>
      <c r="C3022" s="51"/>
      <c r="D3022" s="114"/>
      <c r="E3022" s="114"/>
      <c r="F3022" s="54"/>
      <c r="G3022" s="54"/>
      <c r="I3022" s="54"/>
      <c r="K3022" s="54"/>
      <c r="M3022" s="114"/>
      <c r="N3022" s="1"/>
      <c r="O3022" s="1"/>
      <c r="P3022" s="51"/>
    </row>
    <row r="3023">
      <c r="A3023" s="54"/>
      <c r="B3023" s="71"/>
      <c r="C3023" s="51"/>
      <c r="D3023" s="114"/>
      <c r="E3023" s="114"/>
      <c r="F3023" s="54"/>
      <c r="G3023" s="54"/>
      <c r="I3023" s="54"/>
      <c r="K3023" s="54"/>
      <c r="M3023" s="114"/>
      <c r="N3023" s="1"/>
      <c r="O3023" s="1"/>
      <c r="P3023" s="51"/>
    </row>
    <row r="3024">
      <c r="A3024" s="54"/>
      <c r="B3024" s="71"/>
      <c r="C3024" s="51"/>
      <c r="D3024" s="114"/>
      <c r="E3024" s="114"/>
      <c r="F3024" s="54"/>
      <c r="G3024" s="54"/>
      <c r="I3024" s="54"/>
      <c r="K3024" s="54"/>
      <c r="M3024" s="114"/>
      <c r="N3024" s="1"/>
      <c r="O3024" s="1"/>
      <c r="P3024" s="51"/>
    </row>
    <row r="3025">
      <c r="A3025" s="54"/>
      <c r="B3025" s="71"/>
      <c r="C3025" s="51"/>
      <c r="D3025" s="114"/>
      <c r="E3025" s="114"/>
      <c r="F3025" s="54"/>
      <c r="G3025" s="54"/>
      <c r="I3025" s="54"/>
      <c r="K3025" s="54"/>
      <c r="M3025" s="114"/>
      <c r="N3025" s="1"/>
      <c r="O3025" s="1"/>
      <c r="P3025" s="51"/>
    </row>
    <row r="3026">
      <c r="A3026" s="54"/>
      <c r="B3026" s="71"/>
      <c r="C3026" s="51"/>
      <c r="D3026" s="114"/>
      <c r="E3026" s="114"/>
      <c r="F3026" s="54"/>
      <c r="G3026" s="54"/>
      <c r="I3026" s="54"/>
      <c r="K3026" s="54"/>
      <c r="M3026" s="114"/>
      <c r="N3026" s="1"/>
      <c r="O3026" s="1"/>
      <c r="P3026" s="51"/>
    </row>
    <row r="3027">
      <c r="A3027" s="54"/>
      <c r="B3027" s="71"/>
      <c r="C3027" s="51"/>
      <c r="D3027" s="114"/>
      <c r="E3027" s="114"/>
      <c r="F3027" s="54"/>
      <c r="G3027" s="54"/>
      <c r="I3027" s="54"/>
      <c r="K3027" s="54"/>
      <c r="M3027" s="114"/>
      <c r="N3027" s="1"/>
      <c r="O3027" s="1"/>
      <c r="P3027" s="51"/>
    </row>
    <row r="3028">
      <c r="A3028" s="54"/>
      <c r="B3028" s="71"/>
      <c r="C3028" s="51"/>
      <c r="D3028" s="114"/>
      <c r="E3028" s="114"/>
      <c r="F3028" s="54"/>
      <c r="G3028" s="54"/>
      <c r="I3028" s="54"/>
      <c r="K3028" s="54"/>
      <c r="M3028" s="114"/>
      <c r="N3028" s="1"/>
      <c r="O3028" s="1"/>
      <c r="P3028" s="51"/>
    </row>
    <row r="3029">
      <c r="A3029" s="54"/>
      <c r="B3029" s="71"/>
      <c r="C3029" s="51"/>
      <c r="D3029" s="114"/>
      <c r="E3029" s="114"/>
      <c r="F3029" s="54"/>
      <c r="G3029" s="54"/>
      <c r="I3029" s="54"/>
      <c r="K3029" s="54"/>
      <c r="M3029" s="114"/>
      <c r="N3029" s="1"/>
      <c r="O3029" s="1"/>
      <c r="P3029" s="51"/>
    </row>
    <row r="3030">
      <c r="A3030" s="54"/>
      <c r="B3030" s="71"/>
      <c r="C3030" s="51"/>
      <c r="D3030" s="114"/>
      <c r="E3030" s="114"/>
      <c r="F3030" s="54"/>
      <c r="G3030" s="54"/>
      <c r="I3030" s="54"/>
      <c r="K3030" s="54"/>
      <c r="M3030" s="114"/>
      <c r="N3030" s="1"/>
      <c r="O3030" s="1"/>
      <c r="P3030" s="51"/>
    </row>
    <row r="3031">
      <c r="A3031" s="54"/>
      <c r="B3031" s="71"/>
      <c r="C3031" s="51"/>
      <c r="D3031" s="114"/>
      <c r="E3031" s="114"/>
      <c r="F3031" s="54"/>
      <c r="G3031" s="54"/>
      <c r="I3031" s="54"/>
      <c r="K3031" s="54"/>
      <c r="M3031" s="114"/>
      <c r="N3031" s="1"/>
      <c r="O3031" s="1"/>
      <c r="P3031" s="51"/>
    </row>
    <row r="3032">
      <c r="A3032" s="54"/>
      <c r="B3032" s="71"/>
      <c r="C3032" s="51"/>
      <c r="D3032" s="114"/>
      <c r="E3032" s="114"/>
      <c r="F3032" s="54"/>
      <c r="G3032" s="54"/>
      <c r="I3032" s="54"/>
      <c r="K3032" s="54"/>
      <c r="M3032" s="114"/>
      <c r="N3032" s="1"/>
      <c r="O3032" s="1"/>
      <c r="P3032" s="51"/>
    </row>
    <row r="3033">
      <c r="A3033" s="54"/>
      <c r="B3033" s="71"/>
      <c r="C3033" s="51"/>
      <c r="D3033" s="114"/>
      <c r="E3033" s="114"/>
      <c r="F3033" s="54"/>
      <c r="G3033" s="54"/>
      <c r="I3033" s="54"/>
      <c r="K3033" s="54"/>
      <c r="M3033" s="114"/>
      <c r="N3033" s="1"/>
      <c r="O3033" s="1"/>
      <c r="P3033" s="51"/>
    </row>
    <row r="3034">
      <c r="A3034" s="54"/>
      <c r="B3034" s="71"/>
      <c r="C3034" s="51"/>
      <c r="D3034" s="114"/>
      <c r="E3034" s="114"/>
      <c r="F3034" s="54"/>
      <c r="G3034" s="54"/>
      <c r="I3034" s="54"/>
      <c r="K3034" s="54"/>
      <c r="M3034" s="114"/>
      <c r="N3034" s="1"/>
      <c r="O3034" s="1"/>
      <c r="P3034" s="51"/>
    </row>
    <row r="3035">
      <c r="A3035" s="54"/>
      <c r="B3035" s="71"/>
      <c r="C3035" s="51"/>
      <c r="D3035" s="114"/>
      <c r="E3035" s="114"/>
      <c r="F3035" s="54"/>
      <c r="G3035" s="54"/>
      <c r="I3035" s="54"/>
      <c r="K3035" s="54"/>
      <c r="M3035" s="114"/>
      <c r="N3035" s="1"/>
      <c r="O3035" s="1"/>
      <c r="P3035" s="51"/>
    </row>
    <row r="3036">
      <c r="A3036" s="54"/>
      <c r="B3036" s="71"/>
      <c r="C3036" s="51"/>
      <c r="D3036" s="114"/>
      <c r="E3036" s="114"/>
      <c r="F3036" s="54"/>
      <c r="G3036" s="54"/>
      <c r="I3036" s="54"/>
      <c r="K3036" s="54"/>
      <c r="M3036" s="114"/>
      <c r="N3036" s="1"/>
      <c r="O3036" s="1"/>
      <c r="P3036" s="51"/>
    </row>
    <row r="3037">
      <c r="A3037" s="54"/>
      <c r="B3037" s="71"/>
      <c r="C3037" s="51"/>
      <c r="D3037" s="114"/>
      <c r="E3037" s="114"/>
      <c r="F3037" s="54"/>
      <c r="G3037" s="54"/>
      <c r="I3037" s="54"/>
      <c r="K3037" s="54"/>
      <c r="M3037" s="114"/>
      <c r="N3037" s="1"/>
      <c r="O3037" s="1"/>
      <c r="P3037" s="51"/>
    </row>
    <row r="3038">
      <c r="A3038" s="54"/>
      <c r="B3038" s="71"/>
      <c r="C3038" s="51"/>
      <c r="D3038" s="114"/>
      <c r="E3038" s="114"/>
      <c r="F3038" s="54"/>
      <c r="G3038" s="54"/>
      <c r="I3038" s="54"/>
      <c r="K3038" s="54"/>
      <c r="M3038" s="114"/>
      <c r="N3038" s="1"/>
      <c r="O3038" s="1"/>
      <c r="P3038" s="51"/>
    </row>
    <row r="3039">
      <c r="A3039" s="54"/>
      <c r="B3039" s="71"/>
      <c r="C3039" s="51"/>
      <c r="D3039" s="114"/>
      <c r="E3039" s="114"/>
      <c r="F3039" s="54"/>
      <c r="G3039" s="54"/>
      <c r="I3039" s="54"/>
      <c r="K3039" s="54"/>
      <c r="M3039" s="114"/>
      <c r="N3039" s="1"/>
      <c r="O3039" s="1"/>
      <c r="P3039" s="51"/>
    </row>
    <row r="3040">
      <c r="A3040" s="54"/>
      <c r="B3040" s="71"/>
      <c r="C3040" s="51"/>
      <c r="D3040" s="114"/>
      <c r="E3040" s="114"/>
      <c r="F3040" s="54"/>
      <c r="G3040" s="54"/>
      <c r="I3040" s="54"/>
      <c r="K3040" s="54"/>
      <c r="M3040" s="114"/>
      <c r="N3040" s="1"/>
      <c r="O3040" s="1"/>
      <c r="P3040" s="51"/>
    </row>
    <row r="3041">
      <c r="A3041" s="54"/>
      <c r="B3041" s="71"/>
      <c r="C3041" s="51"/>
      <c r="D3041" s="114"/>
      <c r="E3041" s="114"/>
      <c r="F3041" s="54"/>
      <c r="G3041" s="54"/>
      <c r="I3041" s="54"/>
      <c r="K3041" s="54"/>
      <c r="M3041" s="114"/>
      <c r="N3041" s="1"/>
      <c r="O3041" s="1"/>
      <c r="P3041" s="51"/>
    </row>
    <row r="3042">
      <c r="A3042" s="54"/>
      <c r="B3042" s="71"/>
      <c r="C3042" s="51"/>
      <c r="D3042" s="114"/>
      <c r="E3042" s="114"/>
      <c r="F3042" s="54"/>
      <c r="G3042" s="54"/>
      <c r="I3042" s="54"/>
      <c r="K3042" s="54"/>
      <c r="M3042" s="114"/>
      <c r="N3042" s="1"/>
      <c r="O3042" s="1"/>
      <c r="P3042" s="51"/>
    </row>
    <row r="3043">
      <c r="A3043" s="54"/>
      <c r="B3043" s="71"/>
      <c r="C3043" s="51"/>
      <c r="D3043" s="114"/>
      <c r="E3043" s="114"/>
      <c r="F3043" s="54"/>
      <c r="G3043" s="54"/>
      <c r="I3043" s="54"/>
      <c r="K3043" s="54"/>
      <c r="M3043" s="114"/>
      <c r="N3043" s="1"/>
      <c r="O3043" s="1"/>
      <c r="P3043" s="51"/>
    </row>
    <row r="3044">
      <c r="A3044" s="54"/>
      <c r="B3044" s="71"/>
      <c r="C3044" s="51"/>
      <c r="D3044" s="114"/>
      <c r="E3044" s="114"/>
      <c r="F3044" s="54"/>
      <c r="G3044" s="54"/>
      <c r="I3044" s="54"/>
      <c r="K3044" s="54"/>
      <c r="M3044" s="114"/>
      <c r="N3044" s="1"/>
      <c r="O3044" s="1"/>
      <c r="P3044" s="51"/>
    </row>
    <row r="3045">
      <c r="A3045" s="54"/>
      <c r="B3045" s="71"/>
      <c r="C3045" s="51"/>
      <c r="D3045" s="114"/>
      <c r="E3045" s="114"/>
      <c r="F3045" s="54"/>
      <c r="G3045" s="54"/>
      <c r="I3045" s="54"/>
      <c r="K3045" s="54"/>
      <c r="M3045" s="114"/>
      <c r="N3045" s="1"/>
      <c r="O3045" s="1"/>
      <c r="P3045" s="51"/>
    </row>
    <row r="3046">
      <c r="A3046" s="54"/>
      <c r="B3046" s="71"/>
      <c r="C3046" s="51"/>
      <c r="D3046" s="114"/>
      <c r="E3046" s="114"/>
      <c r="F3046" s="54"/>
      <c r="G3046" s="54"/>
      <c r="I3046" s="54"/>
      <c r="K3046" s="54"/>
      <c r="M3046" s="114"/>
      <c r="N3046" s="1"/>
      <c r="O3046" s="1"/>
      <c r="P3046" s="51"/>
    </row>
    <row r="3047">
      <c r="A3047" s="54"/>
      <c r="B3047" s="71"/>
      <c r="C3047" s="51"/>
      <c r="D3047" s="114"/>
      <c r="E3047" s="114"/>
      <c r="F3047" s="54"/>
      <c r="G3047" s="54"/>
      <c r="I3047" s="54"/>
      <c r="K3047" s="54"/>
      <c r="M3047" s="114"/>
      <c r="N3047" s="1"/>
      <c r="O3047" s="1"/>
      <c r="P3047" s="51"/>
    </row>
    <row r="3048">
      <c r="A3048" s="54"/>
      <c r="B3048" s="71"/>
      <c r="C3048" s="51"/>
      <c r="D3048" s="114"/>
      <c r="E3048" s="114"/>
      <c r="F3048" s="54"/>
      <c r="G3048" s="54"/>
      <c r="I3048" s="54"/>
      <c r="K3048" s="54"/>
      <c r="M3048" s="114"/>
      <c r="N3048" s="1"/>
      <c r="O3048" s="1"/>
      <c r="P3048" s="51"/>
    </row>
    <row r="3049">
      <c r="A3049" s="54"/>
      <c r="B3049" s="71"/>
      <c r="C3049" s="51"/>
      <c r="D3049" s="114"/>
      <c r="E3049" s="114"/>
      <c r="F3049" s="54"/>
      <c r="G3049" s="54"/>
      <c r="I3049" s="54"/>
      <c r="K3049" s="54"/>
      <c r="M3049" s="114"/>
      <c r="N3049" s="1"/>
      <c r="O3049" s="1"/>
      <c r="P3049" s="51"/>
    </row>
    <row r="3050">
      <c r="A3050" s="54"/>
      <c r="B3050" s="71"/>
      <c r="C3050" s="51"/>
      <c r="D3050" s="114"/>
      <c r="E3050" s="114"/>
      <c r="F3050" s="54"/>
      <c r="G3050" s="54"/>
      <c r="I3050" s="54"/>
      <c r="K3050" s="54"/>
      <c r="M3050" s="114"/>
      <c r="N3050" s="1"/>
      <c r="O3050" s="1"/>
      <c r="P3050" s="51"/>
    </row>
    <row r="3051">
      <c r="A3051" s="54"/>
      <c r="B3051" s="71"/>
      <c r="C3051" s="51"/>
      <c r="D3051" s="114"/>
      <c r="E3051" s="114"/>
      <c r="F3051" s="54"/>
      <c r="G3051" s="54"/>
      <c r="I3051" s="54"/>
      <c r="K3051" s="54"/>
      <c r="M3051" s="114"/>
      <c r="N3051" s="1"/>
      <c r="O3051" s="1"/>
      <c r="P3051" s="51"/>
    </row>
    <row r="3052">
      <c r="A3052" s="54"/>
      <c r="B3052" s="71"/>
      <c r="C3052" s="51"/>
      <c r="D3052" s="114"/>
      <c r="E3052" s="114"/>
      <c r="F3052" s="54"/>
      <c r="G3052" s="54"/>
      <c r="I3052" s="54"/>
      <c r="K3052" s="54"/>
      <c r="M3052" s="114"/>
      <c r="N3052" s="1"/>
      <c r="O3052" s="1"/>
      <c r="P3052" s="51"/>
    </row>
    <row r="3053">
      <c r="A3053" s="54"/>
      <c r="B3053" s="71"/>
      <c r="C3053" s="51"/>
      <c r="D3053" s="114"/>
      <c r="E3053" s="114"/>
      <c r="F3053" s="54"/>
      <c r="G3053" s="54"/>
      <c r="I3053" s="54"/>
      <c r="K3053" s="54"/>
      <c r="M3053" s="114"/>
      <c r="N3053" s="1"/>
      <c r="O3053" s="1"/>
      <c r="P3053" s="51"/>
    </row>
    <row r="3054">
      <c r="A3054" s="54"/>
      <c r="B3054" s="71"/>
      <c r="C3054" s="51"/>
      <c r="D3054" s="114"/>
      <c r="E3054" s="114"/>
      <c r="F3054" s="54"/>
      <c r="G3054" s="54"/>
      <c r="I3054" s="54"/>
      <c r="K3054" s="54"/>
      <c r="M3054" s="114"/>
      <c r="N3054" s="1"/>
      <c r="O3054" s="1"/>
      <c r="P3054" s="51"/>
    </row>
    <row r="3055">
      <c r="A3055" s="54"/>
      <c r="B3055" s="71"/>
      <c r="C3055" s="51"/>
      <c r="D3055" s="114"/>
      <c r="E3055" s="114"/>
      <c r="F3055" s="54"/>
      <c r="G3055" s="54"/>
      <c r="I3055" s="54"/>
      <c r="K3055" s="54"/>
      <c r="M3055" s="114"/>
      <c r="N3055" s="1"/>
      <c r="O3055" s="1"/>
      <c r="P3055" s="51"/>
    </row>
    <row r="3056">
      <c r="A3056" s="54"/>
      <c r="B3056" s="71"/>
      <c r="C3056" s="51"/>
      <c r="D3056" s="114"/>
      <c r="E3056" s="114"/>
      <c r="F3056" s="54"/>
      <c r="G3056" s="54"/>
      <c r="I3056" s="54"/>
      <c r="K3056" s="54"/>
      <c r="M3056" s="114"/>
      <c r="N3056" s="1"/>
      <c r="O3056" s="1"/>
      <c r="P3056" s="51"/>
    </row>
    <row r="3057">
      <c r="A3057" s="54"/>
      <c r="B3057" s="71"/>
      <c r="C3057" s="51"/>
      <c r="D3057" s="114"/>
      <c r="E3057" s="114"/>
      <c r="F3057" s="54"/>
      <c r="G3057" s="54"/>
      <c r="I3057" s="54"/>
      <c r="K3057" s="54"/>
      <c r="M3057" s="114"/>
      <c r="N3057" s="1"/>
      <c r="O3057" s="1"/>
      <c r="P3057" s="51"/>
    </row>
    <row r="3058">
      <c r="A3058" s="54"/>
      <c r="B3058" s="71"/>
      <c r="C3058" s="51"/>
      <c r="D3058" s="114"/>
      <c r="E3058" s="114"/>
      <c r="F3058" s="54"/>
      <c r="G3058" s="54"/>
      <c r="I3058" s="54"/>
      <c r="K3058" s="54"/>
      <c r="M3058" s="114"/>
      <c r="N3058" s="1"/>
      <c r="O3058" s="1"/>
      <c r="P3058" s="51"/>
    </row>
    <row r="3059">
      <c r="A3059" s="54"/>
      <c r="B3059" s="71"/>
      <c r="C3059" s="51"/>
      <c r="D3059" s="114"/>
      <c r="E3059" s="114"/>
      <c r="F3059" s="54"/>
      <c r="G3059" s="54"/>
      <c r="I3059" s="54"/>
      <c r="K3059" s="54"/>
      <c r="M3059" s="114"/>
      <c r="N3059" s="1"/>
      <c r="O3059" s="1"/>
      <c r="P3059" s="51"/>
    </row>
    <row r="3060">
      <c r="A3060" s="54"/>
      <c r="B3060" s="71"/>
      <c r="C3060" s="51"/>
      <c r="D3060" s="114"/>
      <c r="E3060" s="114"/>
      <c r="F3060" s="54"/>
      <c r="G3060" s="54"/>
      <c r="I3060" s="54"/>
      <c r="K3060" s="54"/>
      <c r="M3060" s="114"/>
      <c r="N3060" s="1"/>
      <c r="O3060" s="1"/>
      <c r="P3060" s="51"/>
    </row>
    <row r="3061">
      <c r="A3061" s="54"/>
      <c r="B3061" s="71"/>
      <c r="C3061" s="51"/>
      <c r="D3061" s="114"/>
      <c r="E3061" s="114"/>
      <c r="F3061" s="54"/>
      <c r="G3061" s="54"/>
      <c r="I3061" s="54"/>
      <c r="K3061" s="54"/>
      <c r="M3061" s="114"/>
      <c r="N3061" s="1"/>
      <c r="O3061" s="1"/>
      <c r="P3061" s="51"/>
    </row>
    <row r="3062">
      <c r="A3062" s="54"/>
      <c r="B3062" s="71"/>
      <c r="C3062" s="51"/>
      <c r="D3062" s="114"/>
      <c r="E3062" s="114"/>
      <c r="F3062" s="54"/>
      <c r="G3062" s="54"/>
      <c r="I3062" s="54"/>
      <c r="K3062" s="54"/>
      <c r="M3062" s="114"/>
      <c r="N3062" s="1"/>
      <c r="O3062" s="1"/>
      <c r="P3062" s="51"/>
    </row>
    <row r="3063">
      <c r="A3063" s="54"/>
      <c r="B3063" s="71"/>
      <c r="C3063" s="51"/>
      <c r="D3063" s="114"/>
      <c r="E3063" s="114"/>
      <c r="F3063" s="54"/>
      <c r="G3063" s="54"/>
      <c r="I3063" s="54"/>
      <c r="K3063" s="54"/>
      <c r="M3063" s="114"/>
      <c r="N3063" s="1"/>
      <c r="O3063" s="1"/>
      <c r="P3063" s="51"/>
    </row>
    <row r="3064">
      <c r="A3064" s="54"/>
      <c r="B3064" s="71"/>
      <c r="C3064" s="51"/>
      <c r="D3064" s="114"/>
      <c r="E3064" s="114"/>
      <c r="F3064" s="54"/>
      <c r="G3064" s="54"/>
      <c r="I3064" s="54"/>
      <c r="K3064" s="54"/>
      <c r="M3064" s="114"/>
      <c r="N3064" s="1"/>
      <c r="O3064" s="1"/>
      <c r="P3064" s="51"/>
    </row>
    <row r="3065">
      <c r="A3065" s="54"/>
      <c r="B3065" s="71"/>
      <c r="C3065" s="51"/>
      <c r="D3065" s="114"/>
      <c r="E3065" s="114"/>
      <c r="F3065" s="54"/>
      <c r="G3065" s="54"/>
      <c r="I3065" s="54"/>
      <c r="K3065" s="54"/>
      <c r="M3065" s="114"/>
      <c r="N3065" s="1"/>
      <c r="O3065" s="1"/>
      <c r="P3065" s="51"/>
    </row>
    <row r="3066">
      <c r="A3066" s="54"/>
      <c r="B3066" s="71"/>
      <c r="C3066" s="51"/>
      <c r="D3066" s="114"/>
      <c r="E3066" s="114"/>
      <c r="F3066" s="54"/>
      <c r="G3066" s="54"/>
      <c r="I3066" s="54"/>
      <c r="K3066" s="54"/>
      <c r="M3066" s="114"/>
      <c r="N3066" s="1"/>
      <c r="O3066" s="1"/>
      <c r="P3066" s="51"/>
    </row>
    <row r="3067">
      <c r="A3067" s="54"/>
      <c r="B3067" s="71"/>
      <c r="C3067" s="51"/>
      <c r="D3067" s="114"/>
      <c r="E3067" s="114"/>
      <c r="F3067" s="54"/>
      <c r="G3067" s="54"/>
      <c r="I3067" s="54"/>
      <c r="K3067" s="54"/>
      <c r="M3067" s="114"/>
      <c r="N3067" s="1"/>
      <c r="O3067" s="1"/>
      <c r="P3067" s="51"/>
    </row>
    <row r="3068">
      <c r="A3068" s="54"/>
      <c r="B3068" s="71"/>
      <c r="C3068" s="51"/>
      <c r="D3068" s="114"/>
      <c r="E3068" s="114"/>
      <c r="F3068" s="54"/>
      <c r="G3068" s="54"/>
      <c r="I3068" s="54"/>
      <c r="K3068" s="54"/>
      <c r="M3068" s="114"/>
      <c r="N3068" s="1"/>
      <c r="O3068" s="1"/>
      <c r="P3068" s="51"/>
    </row>
    <row r="3069">
      <c r="A3069" s="54"/>
      <c r="B3069" s="71"/>
      <c r="C3069" s="51"/>
      <c r="D3069" s="114"/>
      <c r="E3069" s="114"/>
      <c r="F3069" s="54"/>
      <c r="G3069" s="54"/>
      <c r="I3069" s="54"/>
      <c r="K3069" s="54"/>
      <c r="M3069" s="114"/>
      <c r="N3069" s="1"/>
      <c r="O3069" s="1"/>
      <c r="P3069" s="51"/>
    </row>
    <row r="3070">
      <c r="A3070" s="54"/>
      <c r="B3070" s="71"/>
      <c r="C3070" s="51"/>
      <c r="D3070" s="114"/>
      <c r="E3070" s="114"/>
      <c r="F3070" s="54"/>
      <c r="G3070" s="54"/>
      <c r="I3070" s="54"/>
      <c r="K3070" s="54"/>
      <c r="M3070" s="114"/>
      <c r="N3070" s="1"/>
      <c r="O3070" s="1"/>
      <c r="P3070" s="51"/>
    </row>
    <row r="3071">
      <c r="A3071" s="54"/>
      <c r="B3071" s="71"/>
      <c r="C3071" s="51"/>
      <c r="D3071" s="114"/>
      <c r="E3071" s="114"/>
      <c r="F3071" s="54"/>
      <c r="G3071" s="54"/>
      <c r="I3071" s="54"/>
      <c r="K3071" s="54"/>
      <c r="M3071" s="114"/>
      <c r="N3071" s="1"/>
      <c r="O3071" s="1"/>
      <c r="P3071" s="51"/>
    </row>
    <row r="3072">
      <c r="A3072" s="54"/>
      <c r="B3072" s="71"/>
      <c r="C3072" s="51"/>
      <c r="D3072" s="114"/>
      <c r="E3072" s="114"/>
      <c r="F3072" s="54"/>
      <c r="G3072" s="54"/>
      <c r="I3072" s="54"/>
      <c r="K3072" s="54"/>
      <c r="M3072" s="114"/>
      <c r="N3072" s="1"/>
      <c r="O3072" s="1"/>
      <c r="P3072" s="51"/>
    </row>
    <row r="3073">
      <c r="A3073" s="54"/>
      <c r="B3073" s="71"/>
      <c r="C3073" s="51"/>
      <c r="D3073" s="114"/>
      <c r="E3073" s="114"/>
      <c r="F3073" s="54"/>
      <c r="G3073" s="54"/>
      <c r="I3073" s="54"/>
      <c r="K3073" s="54"/>
      <c r="M3073" s="114"/>
      <c r="N3073" s="1"/>
      <c r="O3073" s="1"/>
      <c r="P3073" s="51"/>
    </row>
    <row r="3074">
      <c r="A3074" s="54"/>
      <c r="B3074" s="71"/>
      <c r="C3074" s="51"/>
      <c r="D3074" s="114"/>
      <c r="E3074" s="114"/>
      <c r="F3074" s="54"/>
      <c r="G3074" s="54"/>
      <c r="I3074" s="54"/>
      <c r="K3074" s="54"/>
      <c r="M3074" s="114"/>
      <c r="N3074" s="1"/>
      <c r="O3074" s="1"/>
      <c r="P3074" s="51"/>
    </row>
    <row r="3075">
      <c r="A3075" s="54"/>
      <c r="B3075" s="71"/>
      <c r="C3075" s="51"/>
      <c r="D3075" s="114"/>
      <c r="E3075" s="114"/>
      <c r="F3075" s="54"/>
      <c r="G3075" s="54"/>
      <c r="I3075" s="54"/>
      <c r="K3075" s="54"/>
      <c r="M3075" s="114"/>
      <c r="N3075" s="1"/>
      <c r="O3075" s="1"/>
      <c r="P3075" s="51"/>
    </row>
    <row r="3076">
      <c r="A3076" s="54"/>
      <c r="B3076" s="71"/>
      <c r="C3076" s="51"/>
      <c r="D3076" s="114"/>
      <c r="E3076" s="114"/>
      <c r="F3076" s="54"/>
      <c r="G3076" s="54"/>
      <c r="I3076" s="54"/>
      <c r="K3076" s="54"/>
      <c r="M3076" s="114"/>
      <c r="N3076" s="1"/>
      <c r="O3076" s="1"/>
      <c r="P3076" s="51"/>
    </row>
    <row r="3077">
      <c r="A3077" s="54"/>
      <c r="B3077" s="71"/>
      <c r="C3077" s="51"/>
      <c r="D3077" s="114"/>
      <c r="E3077" s="114"/>
      <c r="F3077" s="54"/>
      <c r="G3077" s="54"/>
      <c r="I3077" s="54"/>
      <c r="K3077" s="54"/>
      <c r="M3077" s="114"/>
      <c r="N3077" s="1"/>
      <c r="O3077" s="1"/>
      <c r="P3077" s="51"/>
    </row>
    <row r="3078">
      <c r="A3078" s="54"/>
      <c r="B3078" s="71"/>
      <c r="C3078" s="51"/>
      <c r="D3078" s="114"/>
      <c r="E3078" s="114"/>
      <c r="F3078" s="54"/>
      <c r="G3078" s="54"/>
      <c r="I3078" s="54"/>
      <c r="K3078" s="54"/>
      <c r="M3078" s="114"/>
      <c r="N3078" s="1"/>
      <c r="O3078" s="1"/>
      <c r="P3078" s="51"/>
    </row>
    <row r="3079">
      <c r="A3079" s="54"/>
      <c r="B3079" s="71"/>
      <c r="C3079" s="51"/>
      <c r="D3079" s="114"/>
      <c r="E3079" s="114"/>
      <c r="F3079" s="54"/>
      <c r="G3079" s="54"/>
      <c r="I3079" s="54"/>
      <c r="K3079" s="54"/>
      <c r="M3079" s="114"/>
      <c r="N3079" s="1"/>
      <c r="O3079" s="1"/>
      <c r="P3079" s="51"/>
    </row>
    <row r="3080">
      <c r="A3080" s="54"/>
      <c r="B3080" s="71"/>
      <c r="C3080" s="51"/>
      <c r="D3080" s="114"/>
      <c r="E3080" s="114"/>
      <c r="F3080" s="54"/>
      <c r="G3080" s="54"/>
      <c r="I3080" s="54"/>
      <c r="K3080" s="54"/>
      <c r="M3080" s="114"/>
      <c r="N3080" s="1"/>
      <c r="O3080" s="1"/>
      <c r="P3080" s="51"/>
    </row>
    <row r="3081">
      <c r="A3081" s="54"/>
      <c r="B3081" s="71"/>
      <c r="C3081" s="51"/>
      <c r="D3081" s="114"/>
      <c r="E3081" s="114"/>
      <c r="F3081" s="54"/>
      <c r="G3081" s="54"/>
      <c r="I3081" s="54"/>
      <c r="K3081" s="54"/>
      <c r="M3081" s="114"/>
      <c r="N3081" s="1"/>
      <c r="O3081" s="1"/>
      <c r="P3081" s="51"/>
    </row>
    <row r="3082">
      <c r="A3082" s="54"/>
      <c r="B3082" s="71"/>
      <c r="C3082" s="51"/>
      <c r="D3082" s="114"/>
      <c r="E3082" s="114"/>
      <c r="F3082" s="54"/>
      <c r="G3082" s="54"/>
      <c r="I3082" s="54"/>
      <c r="K3082" s="54"/>
      <c r="M3082" s="114"/>
      <c r="N3082" s="1"/>
      <c r="O3082" s="1"/>
      <c r="P3082" s="51"/>
    </row>
    <row r="3083">
      <c r="A3083" s="54"/>
      <c r="B3083" s="71"/>
      <c r="C3083" s="51"/>
      <c r="D3083" s="114"/>
      <c r="E3083" s="114"/>
      <c r="F3083" s="54"/>
      <c r="G3083" s="54"/>
      <c r="I3083" s="54"/>
      <c r="K3083" s="54"/>
      <c r="M3083" s="114"/>
      <c r="N3083" s="1"/>
      <c r="O3083" s="1"/>
      <c r="P3083" s="51"/>
    </row>
    <row r="3084">
      <c r="A3084" s="54"/>
      <c r="B3084" s="71"/>
      <c r="C3084" s="51"/>
      <c r="D3084" s="114"/>
      <c r="E3084" s="114"/>
      <c r="F3084" s="54"/>
      <c r="G3084" s="54"/>
      <c r="I3084" s="54"/>
      <c r="K3084" s="54"/>
      <c r="M3084" s="114"/>
      <c r="N3084" s="1"/>
      <c r="O3084" s="1"/>
      <c r="P3084" s="51"/>
    </row>
    <row r="3085">
      <c r="A3085" s="54"/>
      <c r="B3085" s="71"/>
      <c r="C3085" s="51"/>
      <c r="D3085" s="114"/>
      <c r="E3085" s="114"/>
      <c r="F3085" s="54"/>
      <c r="G3085" s="54"/>
      <c r="I3085" s="54"/>
      <c r="K3085" s="54"/>
      <c r="M3085" s="114"/>
      <c r="N3085" s="1"/>
      <c r="O3085" s="1"/>
      <c r="P3085" s="51"/>
    </row>
    <row r="3086">
      <c r="A3086" s="54"/>
      <c r="B3086" s="71"/>
      <c r="C3086" s="51"/>
      <c r="D3086" s="114"/>
      <c r="E3086" s="114"/>
      <c r="F3086" s="54"/>
      <c r="G3086" s="54"/>
      <c r="I3086" s="54"/>
      <c r="K3086" s="54"/>
      <c r="M3086" s="114"/>
      <c r="N3086" s="1"/>
      <c r="O3086" s="1"/>
      <c r="P3086" s="51"/>
    </row>
    <row r="3087">
      <c r="A3087" s="54"/>
      <c r="B3087" s="71"/>
      <c r="C3087" s="51"/>
      <c r="D3087" s="114"/>
      <c r="E3087" s="114"/>
      <c r="F3087" s="54"/>
      <c r="G3087" s="54"/>
      <c r="I3087" s="54"/>
      <c r="K3087" s="54"/>
      <c r="M3087" s="114"/>
      <c r="N3087" s="1"/>
      <c r="O3087" s="1"/>
      <c r="P3087" s="51"/>
    </row>
    <row r="3088">
      <c r="A3088" s="54"/>
      <c r="B3088" s="71"/>
      <c r="C3088" s="51"/>
      <c r="D3088" s="114"/>
      <c r="E3088" s="114"/>
      <c r="F3088" s="54"/>
      <c r="G3088" s="54"/>
      <c r="I3088" s="54"/>
      <c r="K3088" s="54"/>
      <c r="M3088" s="114"/>
      <c r="N3088" s="1"/>
      <c r="O3088" s="1"/>
      <c r="P3088" s="51"/>
    </row>
    <row r="3089">
      <c r="A3089" s="54"/>
      <c r="B3089" s="71"/>
      <c r="C3089" s="51"/>
      <c r="D3089" s="114"/>
      <c r="E3089" s="114"/>
      <c r="F3089" s="54"/>
      <c r="G3089" s="54"/>
      <c r="I3089" s="54"/>
      <c r="K3089" s="54"/>
      <c r="M3089" s="114"/>
      <c r="N3089" s="1"/>
      <c r="O3089" s="1"/>
      <c r="P3089" s="51"/>
    </row>
    <row r="3090">
      <c r="A3090" s="54"/>
      <c r="B3090" s="71"/>
      <c r="C3090" s="51"/>
      <c r="D3090" s="114"/>
      <c r="E3090" s="114"/>
      <c r="F3090" s="54"/>
      <c r="G3090" s="54"/>
      <c r="I3090" s="54"/>
      <c r="K3090" s="54"/>
      <c r="M3090" s="114"/>
      <c r="N3090" s="1"/>
      <c r="O3090" s="1"/>
      <c r="P3090" s="51"/>
    </row>
    <row r="3091">
      <c r="A3091" s="54"/>
      <c r="B3091" s="71"/>
      <c r="C3091" s="51"/>
      <c r="D3091" s="114"/>
      <c r="E3091" s="114"/>
      <c r="F3091" s="54"/>
      <c r="G3091" s="54"/>
      <c r="I3091" s="54"/>
      <c r="K3091" s="54"/>
      <c r="M3091" s="114"/>
      <c r="N3091" s="1"/>
      <c r="O3091" s="1"/>
      <c r="P3091" s="51"/>
    </row>
    <row r="3092">
      <c r="A3092" s="54"/>
      <c r="B3092" s="71"/>
      <c r="C3092" s="51"/>
      <c r="D3092" s="114"/>
      <c r="E3092" s="114"/>
      <c r="F3092" s="54"/>
      <c r="G3092" s="54"/>
      <c r="I3092" s="54"/>
      <c r="K3092" s="54"/>
      <c r="M3092" s="114"/>
      <c r="N3092" s="1"/>
      <c r="O3092" s="1"/>
      <c r="P3092" s="51"/>
    </row>
    <row r="3093">
      <c r="A3093" s="54"/>
      <c r="B3093" s="71"/>
      <c r="C3093" s="51"/>
      <c r="D3093" s="114"/>
      <c r="E3093" s="114"/>
      <c r="F3093" s="54"/>
      <c r="G3093" s="54"/>
      <c r="I3093" s="54"/>
      <c r="K3093" s="54"/>
      <c r="M3093" s="114"/>
      <c r="N3093" s="1"/>
      <c r="O3093" s="1"/>
      <c r="P3093" s="51"/>
    </row>
    <row r="3094">
      <c r="A3094" s="54"/>
      <c r="B3094" s="71"/>
      <c r="C3094" s="51"/>
      <c r="D3094" s="114"/>
      <c r="E3094" s="114"/>
      <c r="F3094" s="54"/>
      <c r="G3094" s="54"/>
      <c r="I3094" s="54"/>
      <c r="K3094" s="54"/>
      <c r="M3094" s="114"/>
      <c r="N3094" s="1"/>
      <c r="O3094" s="1"/>
      <c r="P3094" s="51"/>
    </row>
    <row r="3095">
      <c r="A3095" s="54"/>
      <c r="B3095" s="71"/>
      <c r="C3095" s="51"/>
      <c r="D3095" s="114"/>
      <c r="E3095" s="114"/>
      <c r="F3095" s="54"/>
      <c r="G3095" s="54"/>
      <c r="I3095" s="54"/>
      <c r="K3095" s="54"/>
      <c r="M3095" s="114"/>
      <c r="N3095" s="1"/>
      <c r="O3095" s="1"/>
      <c r="P3095" s="51"/>
    </row>
    <row r="3096">
      <c r="A3096" s="54"/>
      <c r="B3096" s="71"/>
      <c r="C3096" s="51"/>
      <c r="D3096" s="114"/>
      <c r="E3096" s="114"/>
      <c r="F3096" s="54"/>
      <c r="G3096" s="54"/>
      <c r="I3096" s="54"/>
      <c r="K3096" s="54"/>
      <c r="M3096" s="114"/>
      <c r="N3096" s="1"/>
      <c r="O3096" s="1"/>
      <c r="P3096" s="51"/>
    </row>
    <row r="3097">
      <c r="A3097" s="54"/>
      <c r="B3097" s="71"/>
      <c r="C3097" s="51"/>
      <c r="D3097" s="114"/>
      <c r="E3097" s="114"/>
      <c r="F3097" s="54"/>
      <c r="G3097" s="54"/>
      <c r="I3097" s="54"/>
      <c r="K3097" s="54"/>
      <c r="M3097" s="114"/>
      <c r="N3097" s="1"/>
      <c r="O3097" s="1"/>
      <c r="P3097" s="51"/>
    </row>
    <row r="3098">
      <c r="A3098" s="54"/>
      <c r="B3098" s="71"/>
      <c r="C3098" s="51"/>
      <c r="D3098" s="114"/>
      <c r="E3098" s="114"/>
      <c r="F3098" s="54"/>
      <c r="G3098" s="54"/>
      <c r="I3098" s="54"/>
      <c r="K3098" s="54"/>
      <c r="M3098" s="114"/>
      <c r="N3098" s="1"/>
      <c r="O3098" s="1"/>
      <c r="P3098" s="51"/>
    </row>
    <row r="3099">
      <c r="A3099" s="54"/>
      <c r="B3099" s="71"/>
      <c r="C3099" s="51"/>
      <c r="D3099" s="114"/>
      <c r="E3099" s="114"/>
      <c r="F3099" s="54"/>
      <c r="G3099" s="54"/>
      <c r="I3099" s="54"/>
      <c r="K3099" s="54"/>
      <c r="M3099" s="114"/>
      <c r="N3099" s="1"/>
      <c r="O3099" s="1"/>
      <c r="P3099" s="51"/>
    </row>
    <row r="3100">
      <c r="A3100" s="54"/>
      <c r="B3100" s="71"/>
      <c r="C3100" s="51"/>
      <c r="D3100" s="114"/>
      <c r="E3100" s="114"/>
      <c r="F3100" s="54"/>
      <c r="G3100" s="54"/>
      <c r="I3100" s="54"/>
      <c r="K3100" s="54"/>
      <c r="M3100" s="114"/>
      <c r="N3100" s="1"/>
      <c r="O3100" s="1"/>
      <c r="P3100" s="51"/>
    </row>
    <row r="3101">
      <c r="A3101" s="54"/>
      <c r="B3101" s="71"/>
      <c r="C3101" s="51"/>
      <c r="D3101" s="114"/>
      <c r="E3101" s="114"/>
      <c r="F3101" s="54"/>
      <c r="G3101" s="54"/>
      <c r="I3101" s="54"/>
      <c r="K3101" s="54"/>
      <c r="M3101" s="114"/>
      <c r="N3101" s="1"/>
      <c r="O3101" s="1"/>
      <c r="P3101" s="51"/>
    </row>
    <row r="3102">
      <c r="A3102" s="54"/>
      <c r="B3102" s="71"/>
      <c r="C3102" s="51"/>
      <c r="D3102" s="114"/>
      <c r="E3102" s="114"/>
      <c r="F3102" s="54"/>
      <c r="G3102" s="54"/>
      <c r="I3102" s="54"/>
      <c r="K3102" s="54"/>
      <c r="M3102" s="114"/>
      <c r="N3102" s="1"/>
      <c r="O3102" s="1"/>
      <c r="P3102" s="51"/>
    </row>
    <row r="3103">
      <c r="A3103" s="54"/>
      <c r="B3103" s="71"/>
      <c r="C3103" s="51"/>
      <c r="D3103" s="114"/>
      <c r="E3103" s="114"/>
      <c r="F3103" s="54"/>
      <c r="G3103" s="54"/>
      <c r="I3103" s="54"/>
      <c r="K3103" s="54"/>
      <c r="M3103" s="114"/>
      <c r="N3103" s="1"/>
      <c r="O3103" s="1"/>
      <c r="P3103" s="51"/>
    </row>
    <row r="3104">
      <c r="A3104" s="54"/>
      <c r="B3104" s="71"/>
      <c r="C3104" s="51"/>
      <c r="D3104" s="114"/>
      <c r="E3104" s="114"/>
      <c r="F3104" s="54"/>
      <c r="G3104" s="54"/>
      <c r="I3104" s="54"/>
      <c r="K3104" s="54"/>
      <c r="M3104" s="114"/>
      <c r="N3104" s="1"/>
      <c r="O3104" s="1"/>
      <c r="P3104" s="51"/>
    </row>
    <row r="3105">
      <c r="A3105" s="54"/>
      <c r="B3105" s="71"/>
      <c r="C3105" s="51"/>
      <c r="D3105" s="114"/>
      <c r="E3105" s="114"/>
      <c r="F3105" s="54"/>
      <c r="G3105" s="54"/>
      <c r="I3105" s="54"/>
      <c r="K3105" s="54"/>
      <c r="M3105" s="114"/>
      <c r="N3105" s="1"/>
      <c r="O3105" s="1"/>
      <c r="P3105" s="51"/>
    </row>
    <row r="3106">
      <c r="A3106" s="54"/>
      <c r="B3106" s="71"/>
      <c r="C3106" s="51"/>
      <c r="D3106" s="114"/>
      <c r="E3106" s="114"/>
      <c r="F3106" s="54"/>
      <c r="G3106" s="54"/>
      <c r="I3106" s="54"/>
      <c r="K3106" s="54"/>
      <c r="M3106" s="114"/>
      <c r="N3106" s="1"/>
      <c r="O3106" s="1"/>
      <c r="P3106" s="51"/>
    </row>
    <row r="3107">
      <c r="A3107" s="54"/>
      <c r="B3107" s="71"/>
      <c r="C3107" s="51"/>
      <c r="D3107" s="114"/>
      <c r="E3107" s="114"/>
      <c r="F3107" s="54"/>
      <c r="G3107" s="54"/>
      <c r="I3107" s="54"/>
      <c r="K3107" s="54"/>
      <c r="M3107" s="114"/>
      <c r="N3107" s="1"/>
      <c r="O3107" s="1"/>
      <c r="P3107" s="51"/>
    </row>
    <row r="3108">
      <c r="A3108" s="54"/>
      <c r="B3108" s="71"/>
      <c r="C3108" s="51"/>
      <c r="D3108" s="114"/>
      <c r="E3108" s="114"/>
      <c r="F3108" s="54"/>
      <c r="G3108" s="54"/>
      <c r="I3108" s="54"/>
      <c r="K3108" s="54"/>
      <c r="M3108" s="114"/>
      <c r="N3108" s="1"/>
      <c r="O3108" s="1"/>
      <c r="P3108" s="51"/>
    </row>
    <row r="3109">
      <c r="A3109" s="54"/>
      <c r="B3109" s="71"/>
      <c r="C3109" s="51"/>
      <c r="D3109" s="114"/>
      <c r="E3109" s="114"/>
      <c r="F3109" s="54"/>
      <c r="G3109" s="54"/>
      <c r="I3109" s="54"/>
      <c r="K3109" s="54"/>
      <c r="M3109" s="114"/>
      <c r="N3109" s="1"/>
      <c r="O3109" s="1"/>
      <c r="P3109" s="51"/>
    </row>
    <row r="3110">
      <c r="A3110" s="54"/>
      <c r="B3110" s="71"/>
      <c r="C3110" s="51"/>
      <c r="D3110" s="114"/>
      <c r="E3110" s="114"/>
      <c r="F3110" s="54"/>
      <c r="G3110" s="54"/>
      <c r="I3110" s="54"/>
      <c r="K3110" s="54"/>
      <c r="M3110" s="114"/>
      <c r="N3110" s="1"/>
      <c r="O3110" s="1"/>
      <c r="P3110" s="51"/>
    </row>
    <row r="3111">
      <c r="A3111" s="54"/>
      <c r="B3111" s="71"/>
      <c r="C3111" s="51"/>
      <c r="D3111" s="114"/>
      <c r="E3111" s="114"/>
      <c r="F3111" s="54"/>
      <c r="G3111" s="54"/>
      <c r="I3111" s="54"/>
      <c r="K3111" s="54"/>
      <c r="M3111" s="114"/>
      <c r="N3111" s="1"/>
      <c r="O3111" s="1"/>
      <c r="P3111" s="51"/>
    </row>
    <row r="3112">
      <c r="A3112" s="54"/>
      <c r="B3112" s="71"/>
      <c r="C3112" s="51"/>
      <c r="D3112" s="114"/>
      <c r="E3112" s="114"/>
      <c r="F3112" s="54"/>
      <c r="G3112" s="54"/>
      <c r="I3112" s="54"/>
      <c r="K3112" s="54"/>
      <c r="M3112" s="114"/>
      <c r="N3112" s="1"/>
      <c r="O3112" s="1"/>
      <c r="P3112" s="51"/>
    </row>
    <row r="3113">
      <c r="A3113" s="54"/>
      <c r="B3113" s="71"/>
      <c r="C3113" s="51"/>
      <c r="D3113" s="114"/>
      <c r="E3113" s="114"/>
      <c r="F3113" s="54"/>
      <c r="G3113" s="54"/>
      <c r="I3113" s="54"/>
      <c r="K3113" s="54"/>
      <c r="M3113" s="114"/>
      <c r="N3113" s="1"/>
      <c r="O3113" s="1"/>
      <c r="P3113" s="51"/>
    </row>
    <row r="3114">
      <c r="A3114" s="54"/>
      <c r="B3114" s="71"/>
      <c r="C3114" s="51"/>
      <c r="D3114" s="114"/>
      <c r="E3114" s="114"/>
      <c r="F3114" s="54"/>
      <c r="G3114" s="54"/>
      <c r="I3114" s="54"/>
      <c r="K3114" s="54"/>
      <c r="M3114" s="114"/>
      <c r="N3114" s="1"/>
      <c r="O3114" s="1"/>
      <c r="P3114" s="51"/>
    </row>
    <row r="3115">
      <c r="A3115" s="54"/>
      <c r="B3115" s="71"/>
      <c r="C3115" s="51"/>
      <c r="D3115" s="114"/>
      <c r="E3115" s="114"/>
      <c r="F3115" s="54"/>
      <c r="G3115" s="54"/>
      <c r="I3115" s="54"/>
      <c r="K3115" s="54"/>
      <c r="M3115" s="114"/>
      <c r="N3115" s="1"/>
      <c r="O3115" s="1"/>
      <c r="P3115" s="51"/>
    </row>
    <row r="3116">
      <c r="A3116" s="54"/>
      <c r="B3116" s="71"/>
      <c r="C3116" s="51"/>
      <c r="D3116" s="114"/>
      <c r="E3116" s="114"/>
      <c r="F3116" s="54"/>
      <c r="G3116" s="54"/>
      <c r="I3116" s="54"/>
      <c r="K3116" s="54"/>
      <c r="M3116" s="114"/>
      <c r="N3116" s="1"/>
      <c r="O3116" s="1"/>
      <c r="P3116" s="51"/>
    </row>
    <row r="3117">
      <c r="A3117" s="54"/>
      <c r="B3117" s="71"/>
      <c r="C3117" s="51"/>
      <c r="D3117" s="114"/>
      <c r="E3117" s="114"/>
      <c r="F3117" s="54"/>
      <c r="G3117" s="54"/>
      <c r="I3117" s="54"/>
      <c r="K3117" s="54"/>
      <c r="M3117" s="114"/>
      <c r="N3117" s="1"/>
      <c r="O3117" s="1"/>
      <c r="P3117" s="51"/>
    </row>
    <row r="3118">
      <c r="A3118" s="54"/>
      <c r="B3118" s="71"/>
      <c r="C3118" s="51"/>
      <c r="D3118" s="114"/>
      <c r="E3118" s="114"/>
      <c r="F3118" s="54"/>
      <c r="G3118" s="54"/>
      <c r="I3118" s="54"/>
      <c r="K3118" s="54"/>
      <c r="M3118" s="114"/>
      <c r="N3118" s="1"/>
      <c r="O3118" s="1"/>
      <c r="P3118" s="51"/>
    </row>
    <row r="3119">
      <c r="A3119" s="54"/>
      <c r="B3119" s="71"/>
      <c r="C3119" s="51"/>
      <c r="D3119" s="114"/>
      <c r="E3119" s="114"/>
      <c r="F3119" s="54"/>
      <c r="G3119" s="54"/>
      <c r="I3119" s="54"/>
      <c r="K3119" s="54"/>
      <c r="M3119" s="114"/>
      <c r="N3119" s="1"/>
      <c r="O3119" s="1"/>
      <c r="P3119" s="51"/>
    </row>
    <row r="3120">
      <c r="A3120" s="54"/>
      <c r="B3120" s="71"/>
      <c r="C3120" s="51"/>
      <c r="D3120" s="114"/>
      <c r="E3120" s="114"/>
      <c r="F3120" s="54"/>
      <c r="G3120" s="54"/>
      <c r="I3120" s="54"/>
      <c r="K3120" s="54"/>
      <c r="M3120" s="114"/>
      <c r="N3120" s="1"/>
      <c r="O3120" s="1"/>
      <c r="P3120" s="51"/>
    </row>
    <row r="3121">
      <c r="A3121" s="54"/>
      <c r="B3121" s="71"/>
      <c r="C3121" s="51"/>
      <c r="D3121" s="114"/>
      <c r="E3121" s="114"/>
      <c r="F3121" s="54"/>
      <c r="G3121" s="54"/>
      <c r="I3121" s="54"/>
      <c r="K3121" s="54"/>
      <c r="M3121" s="114"/>
      <c r="N3121" s="1"/>
      <c r="O3121" s="1"/>
      <c r="P3121" s="51"/>
    </row>
    <row r="3122">
      <c r="A3122" s="54"/>
      <c r="B3122" s="71"/>
      <c r="C3122" s="51"/>
      <c r="D3122" s="114"/>
      <c r="E3122" s="114"/>
      <c r="F3122" s="54"/>
      <c r="G3122" s="54"/>
      <c r="I3122" s="54"/>
      <c r="K3122" s="54"/>
      <c r="M3122" s="114"/>
      <c r="N3122" s="1"/>
      <c r="O3122" s="1"/>
      <c r="P3122" s="51"/>
    </row>
    <row r="3123">
      <c r="A3123" s="54"/>
      <c r="B3123" s="71"/>
      <c r="C3123" s="51"/>
      <c r="D3123" s="114"/>
      <c r="E3123" s="114"/>
      <c r="F3123" s="54"/>
      <c r="G3123" s="54"/>
      <c r="I3123" s="54"/>
      <c r="K3123" s="54"/>
      <c r="M3123" s="114"/>
      <c r="N3123" s="1"/>
      <c r="O3123" s="1"/>
      <c r="P3123" s="51"/>
    </row>
    <row r="3124">
      <c r="A3124" s="54"/>
      <c r="B3124" s="71"/>
      <c r="C3124" s="51"/>
      <c r="D3124" s="114"/>
      <c r="E3124" s="114"/>
      <c r="F3124" s="54"/>
      <c r="G3124" s="54"/>
      <c r="I3124" s="54"/>
      <c r="K3124" s="54"/>
      <c r="M3124" s="114"/>
      <c r="N3124" s="1"/>
      <c r="O3124" s="1"/>
      <c r="P3124" s="51"/>
    </row>
    <row r="3125">
      <c r="A3125" s="54"/>
      <c r="B3125" s="71"/>
      <c r="C3125" s="51"/>
      <c r="D3125" s="114"/>
      <c r="E3125" s="114"/>
      <c r="F3125" s="54"/>
      <c r="G3125" s="54"/>
      <c r="I3125" s="54"/>
      <c r="K3125" s="54"/>
      <c r="M3125" s="114"/>
      <c r="N3125" s="1"/>
      <c r="O3125" s="1"/>
      <c r="P3125" s="51"/>
    </row>
    <row r="3126">
      <c r="A3126" s="54"/>
      <c r="B3126" s="71"/>
      <c r="C3126" s="51"/>
      <c r="D3126" s="114"/>
      <c r="E3126" s="114"/>
      <c r="F3126" s="54"/>
      <c r="G3126" s="54"/>
      <c r="I3126" s="54"/>
      <c r="K3126" s="54"/>
      <c r="M3126" s="114"/>
      <c r="N3126" s="1"/>
      <c r="O3126" s="1"/>
      <c r="P3126" s="51"/>
    </row>
    <row r="3127">
      <c r="A3127" s="54"/>
      <c r="B3127" s="71"/>
      <c r="C3127" s="51"/>
      <c r="D3127" s="114"/>
      <c r="E3127" s="114"/>
      <c r="F3127" s="54"/>
      <c r="G3127" s="54"/>
      <c r="I3127" s="54"/>
      <c r="K3127" s="54"/>
      <c r="M3127" s="114"/>
      <c r="N3127" s="1"/>
      <c r="O3127" s="1"/>
      <c r="P3127" s="51"/>
    </row>
    <row r="3128">
      <c r="A3128" s="54"/>
      <c r="B3128" s="71"/>
      <c r="C3128" s="51"/>
      <c r="D3128" s="114"/>
      <c r="E3128" s="114"/>
      <c r="F3128" s="54"/>
      <c r="G3128" s="54"/>
      <c r="I3128" s="54"/>
      <c r="K3128" s="54"/>
      <c r="M3128" s="114"/>
      <c r="N3128" s="1"/>
      <c r="O3128" s="1"/>
      <c r="P3128" s="51"/>
    </row>
    <row r="3129">
      <c r="A3129" s="54"/>
      <c r="B3129" s="71"/>
      <c r="C3129" s="51"/>
      <c r="D3129" s="114"/>
      <c r="E3129" s="114"/>
      <c r="F3129" s="54"/>
      <c r="G3129" s="54"/>
      <c r="I3129" s="54"/>
      <c r="K3129" s="54"/>
      <c r="M3129" s="114"/>
      <c r="N3129" s="1"/>
      <c r="O3129" s="1"/>
      <c r="P3129" s="51"/>
    </row>
    <row r="3130">
      <c r="A3130" s="54"/>
      <c r="B3130" s="71"/>
      <c r="C3130" s="51"/>
      <c r="D3130" s="114"/>
      <c r="E3130" s="114"/>
      <c r="F3130" s="54"/>
      <c r="G3130" s="54"/>
      <c r="I3130" s="54"/>
      <c r="K3130" s="54"/>
      <c r="M3130" s="114"/>
      <c r="N3130" s="1"/>
      <c r="O3130" s="1"/>
      <c r="P3130" s="51"/>
    </row>
    <row r="3131">
      <c r="A3131" s="54"/>
      <c r="B3131" s="71"/>
      <c r="C3131" s="51"/>
      <c r="D3131" s="114"/>
      <c r="E3131" s="114"/>
      <c r="F3131" s="54"/>
      <c r="G3131" s="54"/>
      <c r="I3131" s="54"/>
      <c r="K3131" s="54"/>
      <c r="M3131" s="114"/>
      <c r="N3131" s="1"/>
      <c r="O3131" s="1"/>
      <c r="P3131" s="51"/>
    </row>
    <row r="3132">
      <c r="A3132" s="54"/>
      <c r="B3132" s="71"/>
      <c r="C3132" s="51"/>
      <c r="D3132" s="114"/>
      <c r="E3132" s="114"/>
      <c r="F3132" s="54"/>
      <c r="G3132" s="54"/>
      <c r="I3132" s="54"/>
      <c r="K3132" s="54"/>
      <c r="M3132" s="114"/>
      <c r="N3132" s="1"/>
      <c r="O3132" s="1"/>
      <c r="P3132" s="51"/>
    </row>
    <row r="3133">
      <c r="A3133" s="54"/>
      <c r="B3133" s="71"/>
      <c r="C3133" s="51"/>
      <c r="D3133" s="114"/>
      <c r="E3133" s="114"/>
      <c r="F3133" s="54"/>
      <c r="G3133" s="54"/>
      <c r="I3133" s="54"/>
      <c r="K3133" s="54"/>
      <c r="M3133" s="114"/>
      <c r="N3133" s="1"/>
      <c r="O3133" s="1"/>
      <c r="P3133" s="51"/>
    </row>
    <row r="3134">
      <c r="A3134" s="54"/>
      <c r="B3134" s="71"/>
      <c r="C3134" s="51"/>
      <c r="D3134" s="114"/>
      <c r="E3134" s="114"/>
      <c r="F3134" s="54"/>
      <c r="G3134" s="54"/>
      <c r="I3134" s="54"/>
      <c r="K3134" s="54"/>
      <c r="M3134" s="114"/>
      <c r="N3134" s="1"/>
      <c r="O3134" s="1"/>
      <c r="P3134" s="51"/>
    </row>
    <row r="3135">
      <c r="A3135" s="54"/>
      <c r="B3135" s="71"/>
      <c r="C3135" s="51"/>
      <c r="D3135" s="114"/>
      <c r="E3135" s="114"/>
      <c r="F3135" s="54"/>
      <c r="G3135" s="54"/>
      <c r="I3135" s="54"/>
      <c r="K3135" s="54"/>
      <c r="M3135" s="114"/>
      <c r="N3135" s="1"/>
      <c r="O3135" s="1"/>
      <c r="P3135" s="51"/>
    </row>
    <row r="3136">
      <c r="A3136" s="54"/>
      <c r="B3136" s="71"/>
      <c r="C3136" s="51"/>
      <c r="D3136" s="114"/>
      <c r="E3136" s="114"/>
      <c r="F3136" s="54"/>
      <c r="G3136" s="54"/>
      <c r="I3136" s="54"/>
      <c r="K3136" s="54"/>
      <c r="M3136" s="114"/>
      <c r="N3136" s="1"/>
      <c r="O3136" s="1"/>
      <c r="P3136" s="51"/>
    </row>
    <row r="3137">
      <c r="A3137" s="54"/>
      <c r="B3137" s="71"/>
      <c r="C3137" s="51"/>
      <c r="D3137" s="114"/>
      <c r="E3137" s="114"/>
      <c r="F3137" s="54"/>
      <c r="G3137" s="54"/>
      <c r="I3137" s="54"/>
      <c r="K3137" s="54"/>
      <c r="M3137" s="114"/>
      <c r="N3137" s="1"/>
      <c r="O3137" s="1"/>
      <c r="P3137" s="51"/>
    </row>
    <row r="3138">
      <c r="A3138" s="54"/>
      <c r="B3138" s="71"/>
      <c r="C3138" s="51"/>
      <c r="D3138" s="114"/>
      <c r="E3138" s="114"/>
      <c r="F3138" s="54"/>
      <c r="G3138" s="54"/>
      <c r="I3138" s="54"/>
      <c r="K3138" s="54"/>
      <c r="M3138" s="114"/>
      <c r="N3138" s="1"/>
      <c r="O3138" s="1"/>
      <c r="P3138" s="51"/>
    </row>
    <row r="3139">
      <c r="A3139" s="54"/>
      <c r="B3139" s="71"/>
      <c r="C3139" s="51"/>
      <c r="D3139" s="114"/>
      <c r="E3139" s="114"/>
      <c r="F3139" s="54"/>
      <c r="G3139" s="54"/>
      <c r="I3139" s="54"/>
      <c r="K3139" s="54"/>
      <c r="M3139" s="114"/>
      <c r="N3139" s="1"/>
      <c r="O3139" s="1"/>
      <c r="P3139" s="51"/>
    </row>
    <row r="3140">
      <c r="A3140" s="54"/>
      <c r="B3140" s="71"/>
      <c r="C3140" s="51"/>
      <c r="D3140" s="114"/>
      <c r="E3140" s="114"/>
      <c r="F3140" s="54"/>
      <c r="G3140" s="54"/>
      <c r="I3140" s="54"/>
      <c r="K3140" s="54"/>
      <c r="M3140" s="114"/>
      <c r="N3140" s="1"/>
      <c r="O3140" s="1"/>
      <c r="P3140" s="51"/>
    </row>
    <row r="3141">
      <c r="A3141" s="54"/>
      <c r="B3141" s="71"/>
      <c r="C3141" s="51"/>
      <c r="D3141" s="114"/>
      <c r="E3141" s="114"/>
      <c r="F3141" s="54"/>
      <c r="G3141" s="54"/>
      <c r="I3141" s="54"/>
      <c r="K3141" s="54"/>
      <c r="M3141" s="114"/>
      <c r="N3141" s="1"/>
      <c r="O3141" s="1"/>
      <c r="P3141" s="51"/>
    </row>
    <row r="3142">
      <c r="A3142" s="54"/>
      <c r="B3142" s="71"/>
      <c r="C3142" s="51"/>
      <c r="D3142" s="114"/>
      <c r="E3142" s="114"/>
      <c r="F3142" s="54"/>
      <c r="G3142" s="54"/>
      <c r="I3142" s="54"/>
      <c r="K3142" s="54"/>
      <c r="M3142" s="114"/>
      <c r="N3142" s="1"/>
      <c r="O3142" s="1"/>
      <c r="P3142" s="51"/>
    </row>
    <row r="3143">
      <c r="A3143" s="54"/>
      <c r="B3143" s="71"/>
      <c r="C3143" s="51"/>
      <c r="D3143" s="114"/>
      <c r="E3143" s="114"/>
      <c r="F3143" s="54"/>
      <c r="G3143" s="54"/>
      <c r="I3143" s="54"/>
      <c r="K3143" s="54"/>
      <c r="M3143" s="114"/>
      <c r="N3143" s="1"/>
      <c r="O3143" s="1"/>
      <c r="P3143" s="51"/>
    </row>
    <row r="3144">
      <c r="A3144" s="54"/>
      <c r="B3144" s="71"/>
      <c r="C3144" s="51"/>
      <c r="D3144" s="114"/>
      <c r="E3144" s="114"/>
      <c r="F3144" s="54"/>
      <c r="G3144" s="54"/>
      <c r="I3144" s="54"/>
      <c r="K3144" s="54"/>
      <c r="M3144" s="114"/>
      <c r="N3144" s="1"/>
      <c r="O3144" s="1"/>
      <c r="P3144" s="51"/>
    </row>
    <row r="3145">
      <c r="A3145" s="54"/>
      <c r="B3145" s="71"/>
      <c r="C3145" s="51"/>
      <c r="D3145" s="114"/>
      <c r="E3145" s="114"/>
      <c r="F3145" s="54"/>
      <c r="G3145" s="54"/>
      <c r="I3145" s="54"/>
      <c r="K3145" s="54"/>
      <c r="M3145" s="114"/>
      <c r="N3145" s="1"/>
      <c r="O3145" s="1"/>
      <c r="P3145" s="51"/>
    </row>
    <row r="3146">
      <c r="A3146" s="54"/>
      <c r="B3146" s="71"/>
      <c r="C3146" s="51"/>
      <c r="D3146" s="114"/>
      <c r="E3146" s="114"/>
      <c r="F3146" s="54"/>
      <c r="G3146" s="54"/>
      <c r="I3146" s="54"/>
      <c r="K3146" s="54"/>
      <c r="M3146" s="114"/>
      <c r="N3146" s="1"/>
      <c r="O3146" s="1"/>
      <c r="P3146" s="51"/>
    </row>
    <row r="3147">
      <c r="A3147" s="54"/>
      <c r="B3147" s="71"/>
      <c r="C3147" s="51"/>
      <c r="D3147" s="114"/>
      <c r="E3147" s="114"/>
      <c r="F3147" s="54"/>
      <c r="G3147" s="54"/>
      <c r="I3147" s="54"/>
      <c r="K3147" s="54"/>
      <c r="M3147" s="114"/>
      <c r="N3147" s="1"/>
      <c r="O3147" s="1"/>
      <c r="P3147" s="51"/>
    </row>
    <row r="3148">
      <c r="A3148" s="54"/>
      <c r="B3148" s="71"/>
      <c r="C3148" s="51"/>
      <c r="D3148" s="114"/>
      <c r="E3148" s="114"/>
      <c r="F3148" s="54"/>
      <c r="G3148" s="54"/>
      <c r="I3148" s="54"/>
      <c r="K3148" s="54"/>
      <c r="M3148" s="114"/>
      <c r="N3148" s="1"/>
      <c r="O3148" s="1"/>
      <c r="P3148" s="51"/>
    </row>
    <row r="3149">
      <c r="A3149" s="54"/>
      <c r="B3149" s="71"/>
      <c r="C3149" s="51"/>
      <c r="D3149" s="114"/>
      <c r="E3149" s="114"/>
      <c r="F3149" s="54"/>
      <c r="G3149" s="54"/>
      <c r="I3149" s="54"/>
      <c r="K3149" s="54"/>
      <c r="M3149" s="114"/>
      <c r="N3149" s="1"/>
      <c r="O3149" s="1"/>
      <c r="P3149" s="51"/>
    </row>
    <row r="3150">
      <c r="A3150" s="54"/>
      <c r="B3150" s="71"/>
      <c r="C3150" s="51"/>
      <c r="D3150" s="114"/>
      <c r="E3150" s="114"/>
      <c r="F3150" s="54"/>
      <c r="G3150" s="54"/>
      <c r="I3150" s="54"/>
      <c r="K3150" s="54"/>
      <c r="M3150" s="114"/>
      <c r="N3150" s="1"/>
      <c r="O3150" s="1"/>
      <c r="P3150" s="51"/>
    </row>
    <row r="3151">
      <c r="A3151" s="54"/>
      <c r="B3151" s="71"/>
      <c r="C3151" s="51"/>
      <c r="D3151" s="114"/>
      <c r="E3151" s="114"/>
      <c r="F3151" s="54"/>
      <c r="G3151" s="54"/>
      <c r="I3151" s="54"/>
      <c r="K3151" s="54"/>
      <c r="M3151" s="114"/>
      <c r="N3151" s="1"/>
      <c r="O3151" s="1"/>
      <c r="P3151" s="51"/>
    </row>
    <row r="3152">
      <c r="A3152" s="54"/>
      <c r="B3152" s="71"/>
      <c r="C3152" s="51"/>
      <c r="D3152" s="114"/>
      <c r="E3152" s="114"/>
      <c r="F3152" s="54"/>
      <c r="G3152" s="54"/>
      <c r="I3152" s="54"/>
      <c r="K3152" s="54"/>
      <c r="M3152" s="114"/>
      <c r="N3152" s="1"/>
      <c r="O3152" s="1"/>
      <c r="P3152" s="51"/>
    </row>
    <row r="3153">
      <c r="A3153" s="54"/>
      <c r="B3153" s="71"/>
      <c r="C3153" s="51"/>
      <c r="D3153" s="114"/>
      <c r="E3153" s="114"/>
      <c r="F3153" s="54"/>
      <c r="G3153" s="54"/>
      <c r="I3153" s="54"/>
      <c r="K3153" s="54"/>
      <c r="M3153" s="114"/>
      <c r="N3153" s="1"/>
      <c r="O3153" s="1"/>
      <c r="P3153" s="51"/>
    </row>
    <row r="3154">
      <c r="A3154" s="54"/>
      <c r="B3154" s="71"/>
      <c r="C3154" s="51"/>
      <c r="D3154" s="114"/>
      <c r="E3154" s="114"/>
      <c r="F3154" s="54"/>
      <c r="G3154" s="54"/>
      <c r="I3154" s="54"/>
      <c r="K3154" s="54"/>
      <c r="M3154" s="114"/>
      <c r="N3154" s="1"/>
      <c r="O3154" s="1"/>
      <c r="P3154" s="51"/>
    </row>
    <row r="3155">
      <c r="A3155" s="54"/>
      <c r="B3155" s="71"/>
      <c r="C3155" s="51"/>
      <c r="D3155" s="114"/>
      <c r="E3155" s="114"/>
      <c r="F3155" s="54"/>
      <c r="G3155" s="54"/>
      <c r="I3155" s="54"/>
      <c r="K3155" s="54"/>
      <c r="M3155" s="114"/>
      <c r="N3155" s="1"/>
      <c r="O3155" s="1"/>
      <c r="P3155" s="51"/>
    </row>
    <row r="3156">
      <c r="A3156" s="54"/>
      <c r="B3156" s="71"/>
      <c r="C3156" s="51"/>
      <c r="D3156" s="114"/>
      <c r="E3156" s="114"/>
      <c r="F3156" s="54"/>
      <c r="G3156" s="54"/>
      <c r="I3156" s="54"/>
      <c r="K3156" s="54"/>
      <c r="M3156" s="114"/>
      <c r="N3156" s="1"/>
      <c r="O3156" s="1"/>
      <c r="P3156" s="51"/>
    </row>
    <row r="3157">
      <c r="A3157" s="54"/>
      <c r="B3157" s="71"/>
      <c r="C3157" s="51"/>
      <c r="D3157" s="114"/>
      <c r="E3157" s="114"/>
      <c r="F3157" s="54"/>
      <c r="G3157" s="54"/>
      <c r="I3157" s="54"/>
      <c r="K3157" s="54"/>
      <c r="M3157" s="114"/>
      <c r="N3157" s="1"/>
      <c r="O3157" s="1"/>
      <c r="P3157" s="51"/>
    </row>
    <row r="3158">
      <c r="A3158" s="54"/>
      <c r="B3158" s="71"/>
      <c r="C3158" s="51"/>
      <c r="D3158" s="114"/>
      <c r="E3158" s="114"/>
      <c r="F3158" s="54"/>
      <c r="G3158" s="54"/>
      <c r="I3158" s="54"/>
      <c r="K3158" s="54"/>
      <c r="M3158" s="114"/>
      <c r="N3158" s="1"/>
      <c r="O3158" s="1"/>
      <c r="P3158" s="51"/>
    </row>
    <row r="3159">
      <c r="A3159" s="54"/>
      <c r="B3159" s="71"/>
      <c r="C3159" s="51"/>
      <c r="D3159" s="114"/>
      <c r="E3159" s="114"/>
      <c r="F3159" s="54"/>
      <c r="G3159" s="54"/>
      <c r="I3159" s="54"/>
      <c r="K3159" s="54"/>
      <c r="M3159" s="114"/>
      <c r="N3159" s="1"/>
      <c r="O3159" s="1"/>
      <c r="P3159" s="51"/>
    </row>
    <row r="3160">
      <c r="A3160" s="54"/>
      <c r="B3160" s="71"/>
      <c r="C3160" s="51"/>
      <c r="D3160" s="114"/>
      <c r="E3160" s="114"/>
      <c r="F3160" s="54"/>
      <c r="G3160" s="54"/>
      <c r="I3160" s="54"/>
      <c r="K3160" s="54"/>
      <c r="M3160" s="114"/>
      <c r="N3160" s="1"/>
      <c r="O3160" s="1"/>
      <c r="P3160" s="51"/>
    </row>
    <row r="3161">
      <c r="A3161" s="54"/>
      <c r="B3161" s="71"/>
      <c r="C3161" s="51"/>
      <c r="D3161" s="114"/>
      <c r="E3161" s="114"/>
      <c r="F3161" s="54"/>
      <c r="G3161" s="54"/>
      <c r="I3161" s="54"/>
      <c r="K3161" s="54"/>
      <c r="M3161" s="114"/>
      <c r="N3161" s="1"/>
      <c r="O3161" s="1"/>
      <c r="P3161" s="51"/>
    </row>
    <row r="3162">
      <c r="A3162" s="54"/>
      <c r="B3162" s="71"/>
      <c r="C3162" s="51"/>
      <c r="D3162" s="114"/>
      <c r="E3162" s="114"/>
      <c r="F3162" s="54"/>
      <c r="G3162" s="54"/>
      <c r="I3162" s="54"/>
      <c r="K3162" s="54"/>
      <c r="M3162" s="114"/>
      <c r="N3162" s="1"/>
      <c r="O3162" s="1"/>
      <c r="P3162" s="51"/>
    </row>
    <row r="3163">
      <c r="A3163" s="54"/>
      <c r="B3163" s="71"/>
      <c r="C3163" s="51"/>
      <c r="D3163" s="114"/>
      <c r="E3163" s="114"/>
      <c r="F3163" s="54"/>
      <c r="G3163" s="54"/>
      <c r="I3163" s="54"/>
      <c r="K3163" s="54"/>
      <c r="M3163" s="114"/>
      <c r="N3163" s="1"/>
      <c r="O3163" s="1"/>
      <c r="P3163" s="51"/>
    </row>
    <row r="3164">
      <c r="A3164" s="54"/>
      <c r="B3164" s="71"/>
      <c r="C3164" s="51"/>
      <c r="D3164" s="114"/>
      <c r="E3164" s="114"/>
      <c r="F3164" s="54"/>
      <c r="G3164" s="54"/>
      <c r="I3164" s="54"/>
      <c r="K3164" s="54"/>
      <c r="M3164" s="114"/>
      <c r="N3164" s="1"/>
      <c r="O3164" s="1"/>
      <c r="P3164" s="51"/>
    </row>
    <row r="3165">
      <c r="A3165" s="54"/>
      <c r="B3165" s="71"/>
      <c r="C3165" s="51"/>
      <c r="D3165" s="114"/>
      <c r="E3165" s="114"/>
      <c r="F3165" s="54"/>
      <c r="G3165" s="54"/>
      <c r="I3165" s="54"/>
      <c r="K3165" s="54"/>
      <c r="M3165" s="114"/>
      <c r="N3165" s="1"/>
      <c r="O3165" s="1"/>
      <c r="P3165" s="51"/>
    </row>
    <row r="3166">
      <c r="A3166" s="54"/>
      <c r="B3166" s="71"/>
      <c r="C3166" s="51"/>
      <c r="D3166" s="114"/>
      <c r="E3166" s="114"/>
      <c r="F3166" s="54"/>
      <c r="G3166" s="54"/>
      <c r="I3166" s="54"/>
      <c r="K3166" s="54"/>
      <c r="M3166" s="114"/>
      <c r="N3166" s="1"/>
      <c r="O3166" s="1"/>
      <c r="P3166" s="51"/>
    </row>
    <row r="3167">
      <c r="A3167" s="54"/>
      <c r="B3167" s="71"/>
      <c r="C3167" s="51"/>
      <c r="D3167" s="114"/>
      <c r="E3167" s="114"/>
      <c r="F3167" s="54"/>
      <c r="G3167" s="54"/>
      <c r="I3167" s="54"/>
      <c r="K3167" s="54"/>
      <c r="M3167" s="114"/>
      <c r="N3167" s="1"/>
      <c r="O3167" s="1"/>
      <c r="P3167" s="51"/>
    </row>
    <row r="3168">
      <c r="A3168" s="54"/>
      <c r="B3168" s="71"/>
      <c r="C3168" s="51"/>
      <c r="D3168" s="114"/>
      <c r="E3168" s="114"/>
      <c r="F3168" s="54"/>
      <c r="G3168" s="54"/>
      <c r="I3168" s="54"/>
      <c r="K3168" s="54"/>
      <c r="M3168" s="114"/>
      <c r="N3168" s="1"/>
      <c r="O3168" s="1"/>
      <c r="P3168" s="51"/>
    </row>
    <row r="3169">
      <c r="A3169" s="54"/>
      <c r="B3169" s="71"/>
      <c r="C3169" s="51"/>
      <c r="D3169" s="114"/>
      <c r="E3169" s="114"/>
      <c r="F3169" s="54"/>
      <c r="G3169" s="54"/>
      <c r="I3169" s="54"/>
      <c r="K3169" s="54"/>
      <c r="M3169" s="114"/>
      <c r="N3169" s="1"/>
      <c r="O3169" s="1"/>
      <c r="P3169" s="51"/>
    </row>
    <row r="3170">
      <c r="A3170" s="54"/>
      <c r="B3170" s="71"/>
      <c r="C3170" s="51"/>
      <c r="D3170" s="114"/>
      <c r="E3170" s="114"/>
      <c r="F3170" s="54"/>
      <c r="G3170" s="54"/>
      <c r="I3170" s="54"/>
      <c r="K3170" s="54"/>
      <c r="M3170" s="114"/>
      <c r="N3170" s="1"/>
      <c r="O3170" s="1"/>
      <c r="P3170" s="51"/>
    </row>
    <row r="3171">
      <c r="A3171" s="54"/>
      <c r="B3171" s="71"/>
      <c r="C3171" s="51"/>
      <c r="D3171" s="114"/>
      <c r="E3171" s="114"/>
      <c r="F3171" s="54"/>
      <c r="G3171" s="54"/>
      <c r="I3171" s="54"/>
      <c r="K3171" s="54"/>
      <c r="M3171" s="114"/>
      <c r="N3171" s="1"/>
      <c r="O3171" s="1"/>
      <c r="P3171" s="51"/>
    </row>
    <row r="3172">
      <c r="A3172" s="54"/>
      <c r="B3172" s="71"/>
      <c r="C3172" s="51"/>
      <c r="D3172" s="114"/>
      <c r="E3172" s="114"/>
      <c r="F3172" s="54"/>
      <c r="G3172" s="54"/>
      <c r="I3172" s="54"/>
      <c r="K3172" s="54"/>
      <c r="M3172" s="114"/>
      <c r="N3172" s="1"/>
      <c r="O3172" s="1"/>
      <c r="P3172" s="51"/>
    </row>
    <row r="3173">
      <c r="A3173" s="54"/>
      <c r="B3173" s="71"/>
      <c r="C3173" s="51"/>
      <c r="D3173" s="114"/>
      <c r="E3173" s="114"/>
      <c r="F3173" s="54"/>
      <c r="G3173" s="54"/>
      <c r="I3173" s="54"/>
      <c r="K3173" s="54"/>
      <c r="M3173" s="114"/>
      <c r="N3173" s="1"/>
      <c r="O3173" s="1"/>
      <c r="P3173" s="51"/>
    </row>
    <row r="3174">
      <c r="A3174" s="54"/>
      <c r="B3174" s="71"/>
      <c r="C3174" s="51"/>
      <c r="D3174" s="114"/>
      <c r="E3174" s="114"/>
      <c r="F3174" s="54"/>
      <c r="G3174" s="54"/>
      <c r="I3174" s="54"/>
      <c r="K3174" s="54"/>
      <c r="M3174" s="114"/>
      <c r="N3174" s="1"/>
      <c r="O3174" s="1"/>
      <c r="P3174" s="51"/>
    </row>
    <row r="3175">
      <c r="A3175" s="54"/>
      <c r="B3175" s="71"/>
      <c r="C3175" s="51"/>
      <c r="D3175" s="114"/>
      <c r="E3175" s="114"/>
      <c r="F3175" s="54"/>
      <c r="G3175" s="54"/>
      <c r="I3175" s="54"/>
      <c r="K3175" s="54"/>
      <c r="M3175" s="114"/>
      <c r="N3175" s="1"/>
      <c r="O3175" s="1"/>
      <c r="P3175" s="51"/>
    </row>
    <row r="3176">
      <c r="A3176" s="54"/>
      <c r="B3176" s="71"/>
      <c r="C3176" s="51"/>
      <c r="D3176" s="114"/>
      <c r="E3176" s="114"/>
      <c r="F3176" s="54"/>
      <c r="G3176" s="54"/>
      <c r="I3176" s="54"/>
      <c r="K3176" s="54"/>
      <c r="M3176" s="114"/>
      <c r="N3176" s="1"/>
      <c r="O3176" s="1"/>
      <c r="P3176" s="51"/>
    </row>
    <row r="3177">
      <c r="A3177" s="54"/>
      <c r="B3177" s="71"/>
      <c r="C3177" s="51"/>
      <c r="D3177" s="114"/>
      <c r="E3177" s="114"/>
      <c r="F3177" s="54"/>
      <c r="G3177" s="54"/>
      <c r="I3177" s="54"/>
      <c r="K3177" s="54"/>
      <c r="M3177" s="114"/>
      <c r="N3177" s="1"/>
      <c r="O3177" s="1"/>
      <c r="P3177" s="51"/>
    </row>
    <row r="3178">
      <c r="A3178" s="54"/>
      <c r="B3178" s="71"/>
      <c r="C3178" s="51"/>
      <c r="D3178" s="114"/>
      <c r="E3178" s="114"/>
      <c r="F3178" s="54"/>
      <c r="G3178" s="54"/>
      <c r="I3178" s="54"/>
      <c r="K3178" s="54"/>
      <c r="M3178" s="114"/>
      <c r="N3178" s="1"/>
      <c r="O3178" s="1"/>
      <c r="P3178" s="51"/>
    </row>
    <row r="3179">
      <c r="A3179" s="54"/>
      <c r="B3179" s="71"/>
      <c r="C3179" s="51"/>
      <c r="D3179" s="114"/>
      <c r="E3179" s="114"/>
      <c r="F3179" s="54"/>
      <c r="G3179" s="54"/>
      <c r="I3179" s="54"/>
      <c r="K3179" s="54"/>
      <c r="M3179" s="114"/>
      <c r="N3179" s="1"/>
      <c r="O3179" s="1"/>
      <c r="P3179" s="51"/>
    </row>
    <row r="3180">
      <c r="A3180" s="54"/>
      <c r="B3180" s="71"/>
      <c r="C3180" s="51"/>
      <c r="D3180" s="114"/>
      <c r="E3180" s="114"/>
      <c r="F3180" s="54"/>
      <c r="G3180" s="54"/>
      <c r="I3180" s="54"/>
      <c r="K3180" s="54"/>
      <c r="M3180" s="114"/>
      <c r="N3180" s="1"/>
      <c r="O3180" s="1"/>
      <c r="P3180" s="51"/>
    </row>
    <row r="3181">
      <c r="A3181" s="54"/>
      <c r="B3181" s="71"/>
      <c r="C3181" s="51"/>
      <c r="D3181" s="114"/>
      <c r="E3181" s="114"/>
      <c r="F3181" s="54"/>
      <c r="G3181" s="54"/>
      <c r="I3181" s="54"/>
      <c r="K3181" s="54"/>
      <c r="M3181" s="114"/>
      <c r="N3181" s="1"/>
      <c r="O3181" s="1"/>
      <c r="P3181" s="51"/>
    </row>
    <row r="3182">
      <c r="A3182" s="54"/>
      <c r="B3182" s="71"/>
      <c r="C3182" s="51"/>
      <c r="D3182" s="114"/>
      <c r="E3182" s="114"/>
      <c r="F3182" s="54"/>
      <c r="G3182" s="54"/>
      <c r="I3182" s="54"/>
      <c r="K3182" s="54"/>
      <c r="M3182" s="114"/>
      <c r="N3182" s="1"/>
      <c r="O3182" s="1"/>
      <c r="P3182" s="51"/>
    </row>
    <row r="3183">
      <c r="A3183" s="54"/>
      <c r="B3183" s="71"/>
      <c r="C3183" s="51"/>
      <c r="D3183" s="114"/>
      <c r="E3183" s="114"/>
      <c r="F3183" s="54"/>
      <c r="G3183" s="54"/>
      <c r="I3183" s="54"/>
      <c r="K3183" s="54"/>
      <c r="M3183" s="114"/>
      <c r="N3183" s="1"/>
      <c r="O3183" s="1"/>
      <c r="P3183" s="51"/>
    </row>
    <row r="3184">
      <c r="A3184" s="54"/>
      <c r="B3184" s="71"/>
      <c r="C3184" s="51"/>
      <c r="D3184" s="114"/>
      <c r="E3184" s="114"/>
      <c r="F3184" s="54"/>
      <c r="G3184" s="54"/>
      <c r="I3184" s="54"/>
      <c r="K3184" s="54"/>
      <c r="M3184" s="114"/>
      <c r="N3184" s="1"/>
      <c r="O3184" s="1"/>
      <c r="P3184" s="51"/>
    </row>
    <row r="3185">
      <c r="A3185" s="54"/>
      <c r="B3185" s="71"/>
      <c r="C3185" s="51"/>
      <c r="D3185" s="114"/>
      <c r="E3185" s="114"/>
      <c r="F3185" s="54"/>
      <c r="G3185" s="54"/>
      <c r="I3185" s="54"/>
      <c r="K3185" s="54"/>
      <c r="M3185" s="114"/>
      <c r="N3185" s="1"/>
      <c r="O3185" s="1"/>
      <c r="P3185" s="51"/>
    </row>
    <row r="3186">
      <c r="A3186" s="54"/>
      <c r="B3186" s="71"/>
      <c r="C3186" s="51"/>
      <c r="D3186" s="114"/>
      <c r="E3186" s="114"/>
      <c r="F3186" s="54"/>
      <c r="G3186" s="54"/>
      <c r="I3186" s="54"/>
      <c r="K3186" s="54"/>
      <c r="M3186" s="114"/>
      <c r="N3186" s="1"/>
      <c r="O3186" s="1"/>
      <c r="P3186" s="51"/>
    </row>
    <row r="3187">
      <c r="A3187" s="54"/>
      <c r="B3187" s="71"/>
      <c r="C3187" s="51"/>
      <c r="D3187" s="114"/>
      <c r="E3187" s="114"/>
      <c r="F3187" s="54"/>
      <c r="G3187" s="54"/>
      <c r="I3187" s="54"/>
      <c r="K3187" s="54"/>
      <c r="M3187" s="114"/>
      <c r="N3187" s="1"/>
      <c r="O3187" s="1"/>
      <c r="P3187" s="51"/>
    </row>
    <row r="3188">
      <c r="A3188" s="54"/>
      <c r="B3188" s="71"/>
      <c r="C3188" s="51"/>
      <c r="D3188" s="114"/>
      <c r="E3188" s="114"/>
      <c r="F3188" s="54"/>
      <c r="G3188" s="54"/>
      <c r="I3188" s="54"/>
      <c r="K3188" s="54"/>
      <c r="M3188" s="114"/>
      <c r="N3188" s="1"/>
      <c r="O3188" s="1"/>
      <c r="P3188" s="51"/>
    </row>
    <row r="3189">
      <c r="A3189" s="54"/>
      <c r="B3189" s="71"/>
      <c r="C3189" s="51"/>
      <c r="D3189" s="114"/>
      <c r="E3189" s="114"/>
      <c r="F3189" s="54"/>
      <c r="G3189" s="54"/>
      <c r="I3189" s="54"/>
      <c r="K3189" s="54"/>
      <c r="M3189" s="114"/>
      <c r="N3189" s="1"/>
      <c r="O3189" s="1"/>
      <c r="P3189" s="51"/>
    </row>
    <row r="3190">
      <c r="A3190" s="54"/>
      <c r="B3190" s="71"/>
      <c r="C3190" s="51"/>
      <c r="D3190" s="114"/>
      <c r="E3190" s="114"/>
      <c r="F3190" s="54"/>
      <c r="G3190" s="54"/>
      <c r="I3190" s="54"/>
      <c r="K3190" s="54"/>
      <c r="M3190" s="114"/>
      <c r="N3190" s="1"/>
      <c r="O3190" s="1"/>
      <c r="P3190" s="51"/>
    </row>
    <row r="3191">
      <c r="A3191" s="54"/>
      <c r="B3191" s="71"/>
      <c r="C3191" s="51"/>
      <c r="D3191" s="114"/>
      <c r="E3191" s="114"/>
      <c r="F3191" s="54"/>
      <c r="G3191" s="54"/>
      <c r="I3191" s="54"/>
      <c r="K3191" s="54"/>
      <c r="M3191" s="114"/>
      <c r="N3191" s="1"/>
      <c r="O3191" s="1"/>
      <c r="P3191" s="51"/>
    </row>
    <row r="3192">
      <c r="A3192" s="54"/>
      <c r="B3192" s="71"/>
      <c r="C3192" s="51"/>
      <c r="D3192" s="114"/>
      <c r="E3192" s="114"/>
      <c r="F3192" s="54"/>
      <c r="G3192" s="54"/>
      <c r="I3192" s="54"/>
      <c r="K3192" s="54"/>
      <c r="M3192" s="114"/>
      <c r="N3192" s="1"/>
      <c r="O3192" s="1"/>
      <c r="P3192" s="51"/>
    </row>
    <row r="3193">
      <c r="A3193" s="54"/>
      <c r="B3193" s="71"/>
      <c r="C3193" s="51"/>
      <c r="D3193" s="114"/>
      <c r="E3193" s="114"/>
      <c r="F3193" s="54"/>
      <c r="G3193" s="54"/>
      <c r="I3193" s="54"/>
      <c r="K3193" s="54"/>
      <c r="M3193" s="114"/>
      <c r="N3193" s="1"/>
      <c r="O3193" s="1"/>
      <c r="P3193" s="51"/>
    </row>
    <row r="3194">
      <c r="A3194" s="54"/>
      <c r="B3194" s="71"/>
      <c r="C3194" s="51"/>
      <c r="D3194" s="114"/>
      <c r="E3194" s="114"/>
      <c r="F3194" s="54"/>
      <c r="G3194" s="54"/>
      <c r="I3194" s="54"/>
      <c r="K3194" s="54"/>
      <c r="M3194" s="114"/>
      <c r="N3194" s="1"/>
      <c r="O3194" s="1"/>
      <c r="P3194" s="51"/>
    </row>
    <row r="3195">
      <c r="A3195" s="54"/>
      <c r="B3195" s="71"/>
      <c r="C3195" s="51"/>
      <c r="D3195" s="114"/>
      <c r="E3195" s="114"/>
      <c r="F3195" s="54"/>
      <c r="G3195" s="54"/>
      <c r="I3195" s="54"/>
      <c r="K3195" s="54"/>
      <c r="M3195" s="114"/>
      <c r="N3195" s="1"/>
      <c r="O3195" s="1"/>
      <c r="P3195" s="51"/>
    </row>
    <row r="3196">
      <c r="A3196" s="54"/>
      <c r="B3196" s="71"/>
      <c r="C3196" s="51"/>
      <c r="D3196" s="114"/>
      <c r="E3196" s="114"/>
      <c r="F3196" s="54"/>
      <c r="G3196" s="54"/>
      <c r="I3196" s="54"/>
      <c r="K3196" s="54"/>
      <c r="M3196" s="114"/>
      <c r="N3196" s="1"/>
      <c r="O3196" s="1"/>
      <c r="P3196" s="51"/>
    </row>
    <row r="3197">
      <c r="A3197" s="54"/>
      <c r="B3197" s="71"/>
      <c r="C3197" s="51"/>
      <c r="D3197" s="114"/>
      <c r="E3197" s="114"/>
      <c r="F3197" s="54"/>
      <c r="G3197" s="54"/>
      <c r="I3197" s="54"/>
      <c r="K3197" s="54"/>
      <c r="M3197" s="114"/>
      <c r="N3197" s="1"/>
      <c r="O3197" s="1"/>
      <c r="P3197" s="51"/>
    </row>
    <row r="3198">
      <c r="A3198" s="54"/>
      <c r="B3198" s="71"/>
      <c r="C3198" s="51"/>
      <c r="D3198" s="114"/>
      <c r="E3198" s="114"/>
      <c r="F3198" s="54"/>
      <c r="G3198" s="54"/>
      <c r="I3198" s="54"/>
      <c r="K3198" s="54"/>
      <c r="M3198" s="114"/>
      <c r="N3198" s="1"/>
      <c r="O3198" s="1"/>
      <c r="P3198" s="51"/>
    </row>
    <row r="3199">
      <c r="A3199" s="54"/>
      <c r="B3199" s="71"/>
      <c r="C3199" s="51"/>
      <c r="D3199" s="114"/>
      <c r="E3199" s="114"/>
      <c r="F3199" s="54"/>
      <c r="G3199" s="54"/>
      <c r="I3199" s="54"/>
      <c r="K3199" s="54"/>
      <c r="M3199" s="114"/>
      <c r="N3199" s="1"/>
      <c r="O3199" s="1"/>
      <c r="P3199" s="51"/>
    </row>
    <row r="3200">
      <c r="A3200" s="54"/>
      <c r="B3200" s="71"/>
      <c r="C3200" s="51"/>
      <c r="D3200" s="114"/>
      <c r="E3200" s="114"/>
      <c r="F3200" s="54"/>
      <c r="G3200" s="54"/>
      <c r="I3200" s="54"/>
      <c r="K3200" s="54"/>
      <c r="M3200" s="114"/>
      <c r="N3200" s="1"/>
      <c r="O3200" s="1"/>
      <c r="P3200" s="51"/>
    </row>
    <row r="3201">
      <c r="A3201" s="54"/>
      <c r="B3201" s="71"/>
      <c r="C3201" s="51"/>
      <c r="D3201" s="114"/>
      <c r="E3201" s="114"/>
      <c r="F3201" s="54"/>
      <c r="G3201" s="54"/>
      <c r="I3201" s="54"/>
      <c r="K3201" s="54"/>
      <c r="M3201" s="114"/>
      <c r="N3201" s="1"/>
      <c r="O3201" s="1"/>
      <c r="P3201" s="51"/>
    </row>
    <row r="3202">
      <c r="A3202" s="54"/>
      <c r="B3202" s="71"/>
      <c r="C3202" s="51"/>
      <c r="D3202" s="114"/>
      <c r="E3202" s="114"/>
      <c r="F3202" s="54"/>
      <c r="G3202" s="54"/>
      <c r="I3202" s="54"/>
      <c r="K3202" s="54"/>
      <c r="M3202" s="114"/>
      <c r="N3202" s="1"/>
      <c r="O3202" s="1"/>
      <c r="P3202" s="51"/>
    </row>
    <row r="3203">
      <c r="A3203" s="54"/>
      <c r="B3203" s="71"/>
      <c r="C3203" s="51"/>
      <c r="D3203" s="114"/>
      <c r="E3203" s="114"/>
      <c r="F3203" s="54"/>
      <c r="G3203" s="54"/>
      <c r="I3203" s="54"/>
      <c r="K3203" s="54"/>
      <c r="M3203" s="114"/>
      <c r="N3203" s="1"/>
      <c r="O3203" s="1"/>
      <c r="P3203" s="51"/>
    </row>
    <row r="3204">
      <c r="A3204" s="54"/>
      <c r="B3204" s="71"/>
      <c r="C3204" s="51"/>
      <c r="D3204" s="114"/>
      <c r="E3204" s="114"/>
      <c r="F3204" s="54"/>
      <c r="G3204" s="54"/>
      <c r="I3204" s="54"/>
      <c r="K3204" s="54"/>
      <c r="M3204" s="114"/>
      <c r="N3204" s="1"/>
      <c r="O3204" s="1"/>
      <c r="P3204" s="51"/>
    </row>
    <row r="3205">
      <c r="A3205" s="54"/>
      <c r="B3205" s="71"/>
      <c r="C3205" s="51"/>
      <c r="D3205" s="114"/>
      <c r="E3205" s="114"/>
      <c r="F3205" s="54"/>
      <c r="G3205" s="54"/>
      <c r="I3205" s="54"/>
      <c r="K3205" s="54"/>
      <c r="M3205" s="114"/>
      <c r="N3205" s="1"/>
      <c r="O3205" s="1"/>
      <c r="P3205" s="51"/>
    </row>
    <row r="3206">
      <c r="A3206" s="54"/>
      <c r="B3206" s="71"/>
      <c r="C3206" s="51"/>
      <c r="D3206" s="114"/>
      <c r="E3206" s="114"/>
      <c r="F3206" s="54"/>
      <c r="G3206" s="54"/>
      <c r="I3206" s="54"/>
      <c r="K3206" s="54"/>
      <c r="M3206" s="114"/>
      <c r="N3206" s="1"/>
      <c r="O3206" s="1"/>
      <c r="P3206" s="51"/>
    </row>
    <row r="3207">
      <c r="A3207" s="54"/>
      <c r="B3207" s="71"/>
      <c r="C3207" s="51"/>
      <c r="D3207" s="114"/>
      <c r="E3207" s="114"/>
      <c r="F3207" s="54"/>
      <c r="G3207" s="54"/>
      <c r="I3207" s="54"/>
      <c r="K3207" s="54"/>
      <c r="M3207" s="114"/>
      <c r="N3207" s="1"/>
      <c r="O3207" s="1"/>
      <c r="P3207" s="51"/>
    </row>
    <row r="3208">
      <c r="A3208" s="54"/>
      <c r="B3208" s="71"/>
      <c r="C3208" s="51"/>
      <c r="D3208" s="114"/>
      <c r="E3208" s="114"/>
      <c r="F3208" s="54"/>
      <c r="G3208" s="54"/>
      <c r="I3208" s="54"/>
      <c r="K3208" s="54"/>
      <c r="M3208" s="114"/>
      <c r="N3208" s="1"/>
      <c r="O3208" s="1"/>
      <c r="P3208" s="51"/>
    </row>
    <row r="3209">
      <c r="A3209" s="54"/>
      <c r="B3209" s="71"/>
      <c r="C3209" s="51"/>
      <c r="D3209" s="114"/>
      <c r="E3209" s="114"/>
      <c r="F3209" s="54"/>
      <c r="G3209" s="54"/>
      <c r="I3209" s="54"/>
      <c r="K3209" s="54"/>
      <c r="M3209" s="114"/>
      <c r="N3209" s="1"/>
      <c r="O3209" s="1"/>
      <c r="P3209" s="51"/>
    </row>
    <row r="3210">
      <c r="A3210" s="54"/>
      <c r="B3210" s="71"/>
      <c r="C3210" s="51"/>
      <c r="D3210" s="114"/>
      <c r="E3210" s="114"/>
      <c r="F3210" s="54"/>
      <c r="G3210" s="54"/>
      <c r="I3210" s="54"/>
      <c r="K3210" s="54"/>
      <c r="M3210" s="114"/>
      <c r="N3210" s="1"/>
      <c r="O3210" s="1"/>
      <c r="P3210" s="51"/>
    </row>
    <row r="3211">
      <c r="A3211" s="54"/>
      <c r="B3211" s="71"/>
      <c r="C3211" s="51"/>
      <c r="D3211" s="114"/>
      <c r="E3211" s="114"/>
      <c r="F3211" s="54"/>
      <c r="G3211" s="54"/>
      <c r="I3211" s="54"/>
      <c r="K3211" s="54"/>
      <c r="M3211" s="114"/>
      <c r="N3211" s="1"/>
      <c r="O3211" s="1"/>
      <c r="P3211" s="51"/>
    </row>
    <row r="3212">
      <c r="A3212" s="54"/>
      <c r="B3212" s="71"/>
      <c r="C3212" s="51"/>
      <c r="D3212" s="114"/>
      <c r="E3212" s="114"/>
      <c r="F3212" s="54"/>
      <c r="G3212" s="54"/>
      <c r="I3212" s="54"/>
      <c r="K3212" s="54"/>
      <c r="M3212" s="114"/>
      <c r="N3212" s="1"/>
      <c r="O3212" s="1"/>
      <c r="P3212" s="51"/>
    </row>
    <row r="3213">
      <c r="A3213" s="54"/>
      <c r="B3213" s="71"/>
      <c r="C3213" s="51"/>
      <c r="D3213" s="114"/>
      <c r="E3213" s="114"/>
      <c r="F3213" s="54"/>
      <c r="G3213" s="54"/>
      <c r="I3213" s="54"/>
      <c r="K3213" s="54"/>
      <c r="M3213" s="114"/>
      <c r="N3213" s="1"/>
      <c r="O3213" s="1"/>
      <c r="P3213" s="51"/>
    </row>
    <row r="3214">
      <c r="A3214" s="54"/>
      <c r="B3214" s="71"/>
      <c r="C3214" s="51"/>
      <c r="D3214" s="114"/>
      <c r="E3214" s="114"/>
      <c r="F3214" s="54"/>
      <c r="G3214" s="54"/>
      <c r="I3214" s="54"/>
      <c r="K3214" s="54"/>
      <c r="M3214" s="114"/>
      <c r="N3214" s="1"/>
      <c r="O3214" s="1"/>
      <c r="P3214" s="51"/>
    </row>
    <row r="3215">
      <c r="A3215" s="54"/>
      <c r="B3215" s="71"/>
      <c r="C3215" s="51"/>
      <c r="D3215" s="114"/>
      <c r="E3215" s="114"/>
      <c r="F3215" s="54"/>
      <c r="G3215" s="54"/>
      <c r="I3215" s="54"/>
      <c r="K3215" s="54"/>
      <c r="M3215" s="114"/>
      <c r="N3215" s="1"/>
      <c r="O3215" s="1"/>
      <c r="P3215" s="51"/>
    </row>
    <row r="3216">
      <c r="A3216" s="54"/>
      <c r="B3216" s="71"/>
      <c r="C3216" s="51"/>
      <c r="D3216" s="114"/>
      <c r="E3216" s="114"/>
      <c r="F3216" s="54"/>
      <c r="G3216" s="54"/>
      <c r="I3216" s="54"/>
      <c r="K3216" s="54"/>
      <c r="M3216" s="114"/>
      <c r="N3216" s="1"/>
      <c r="O3216" s="1"/>
      <c r="P3216" s="51"/>
    </row>
    <row r="3217">
      <c r="A3217" s="54"/>
      <c r="B3217" s="71"/>
      <c r="C3217" s="51"/>
      <c r="D3217" s="114"/>
      <c r="E3217" s="114"/>
      <c r="F3217" s="54"/>
      <c r="G3217" s="54"/>
      <c r="I3217" s="54"/>
      <c r="K3217" s="54"/>
      <c r="M3217" s="114"/>
      <c r="N3217" s="1"/>
      <c r="O3217" s="1"/>
      <c r="P3217" s="51"/>
    </row>
    <row r="3218">
      <c r="A3218" s="54"/>
      <c r="B3218" s="71"/>
      <c r="C3218" s="51"/>
      <c r="D3218" s="114"/>
      <c r="E3218" s="114"/>
      <c r="F3218" s="54"/>
      <c r="G3218" s="54"/>
      <c r="I3218" s="54"/>
      <c r="K3218" s="54"/>
      <c r="M3218" s="114"/>
      <c r="N3218" s="1"/>
      <c r="O3218" s="1"/>
      <c r="P3218" s="51"/>
    </row>
    <row r="3219">
      <c r="A3219" s="54"/>
      <c r="B3219" s="71"/>
      <c r="C3219" s="51"/>
      <c r="D3219" s="114"/>
      <c r="E3219" s="114"/>
      <c r="F3219" s="54"/>
      <c r="G3219" s="54"/>
      <c r="I3219" s="54"/>
      <c r="K3219" s="54"/>
      <c r="M3219" s="114"/>
      <c r="N3219" s="1"/>
      <c r="O3219" s="1"/>
      <c r="P3219" s="51"/>
    </row>
    <row r="3220">
      <c r="A3220" s="54"/>
      <c r="B3220" s="71"/>
      <c r="C3220" s="51"/>
      <c r="D3220" s="114"/>
      <c r="E3220" s="114"/>
      <c r="F3220" s="54"/>
      <c r="G3220" s="54"/>
      <c r="I3220" s="54"/>
      <c r="K3220" s="54"/>
      <c r="M3220" s="114"/>
      <c r="N3220" s="1"/>
      <c r="O3220" s="1"/>
      <c r="P3220" s="51"/>
    </row>
    <row r="3221">
      <c r="A3221" s="54"/>
      <c r="B3221" s="71"/>
      <c r="C3221" s="51"/>
      <c r="D3221" s="114"/>
      <c r="E3221" s="114"/>
      <c r="F3221" s="54"/>
      <c r="G3221" s="54"/>
      <c r="I3221" s="54"/>
      <c r="K3221" s="54"/>
      <c r="M3221" s="114"/>
      <c r="N3221" s="1"/>
      <c r="O3221" s="1"/>
      <c r="P3221" s="51"/>
    </row>
    <row r="3222">
      <c r="A3222" s="54"/>
      <c r="B3222" s="71"/>
      <c r="C3222" s="51"/>
      <c r="D3222" s="114"/>
      <c r="E3222" s="114"/>
      <c r="F3222" s="54"/>
      <c r="G3222" s="54"/>
      <c r="I3222" s="54"/>
      <c r="K3222" s="54"/>
      <c r="M3222" s="114"/>
      <c r="N3222" s="1"/>
      <c r="O3222" s="1"/>
      <c r="P3222" s="51"/>
    </row>
    <row r="3223">
      <c r="A3223" s="54"/>
      <c r="B3223" s="71"/>
      <c r="C3223" s="51"/>
      <c r="D3223" s="114"/>
      <c r="E3223" s="114"/>
      <c r="F3223" s="54"/>
      <c r="G3223" s="54"/>
      <c r="I3223" s="54"/>
      <c r="K3223" s="54"/>
      <c r="M3223" s="114"/>
      <c r="N3223" s="1"/>
      <c r="O3223" s="1"/>
      <c r="P3223" s="51"/>
    </row>
    <row r="3224">
      <c r="A3224" s="54"/>
      <c r="B3224" s="71"/>
      <c r="C3224" s="51"/>
      <c r="D3224" s="114"/>
      <c r="E3224" s="114"/>
      <c r="F3224" s="54"/>
      <c r="G3224" s="54"/>
      <c r="I3224" s="54"/>
      <c r="K3224" s="54"/>
      <c r="M3224" s="114"/>
      <c r="N3224" s="1"/>
      <c r="O3224" s="1"/>
      <c r="P3224" s="51"/>
    </row>
    <row r="3225">
      <c r="A3225" s="54"/>
      <c r="B3225" s="71"/>
      <c r="C3225" s="51"/>
      <c r="D3225" s="114"/>
      <c r="E3225" s="114"/>
      <c r="F3225" s="54"/>
      <c r="G3225" s="54"/>
      <c r="I3225" s="54"/>
      <c r="K3225" s="54"/>
      <c r="M3225" s="114"/>
      <c r="N3225" s="1"/>
      <c r="O3225" s="1"/>
      <c r="P3225" s="51"/>
    </row>
    <row r="3226">
      <c r="A3226" s="54"/>
      <c r="B3226" s="71"/>
      <c r="C3226" s="51"/>
      <c r="D3226" s="114"/>
      <c r="E3226" s="114"/>
      <c r="F3226" s="54"/>
      <c r="G3226" s="54"/>
      <c r="I3226" s="54"/>
      <c r="K3226" s="54"/>
      <c r="M3226" s="114"/>
      <c r="N3226" s="1"/>
      <c r="O3226" s="1"/>
      <c r="P3226" s="51"/>
    </row>
    <row r="3227">
      <c r="A3227" s="54"/>
      <c r="B3227" s="71"/>
      <c r="C3227" s="51"/>
      <c r="D3227" s="114"/>
      <c r="E3227" s="114"/>
      <c r="F3227" s="54"/>
      <c r="G3227" s="54"/>
      <c r="I3227" s="54"/>
      <c r="K3227" s="54"/>
      <c r="M3227" s="114"/>
      <c r="N3227" s="1"/>
      <c r="O3227" s="1"/>
      <c r="P3227" s="51"/>
    </row>
    <row r="3228">
      <c r="A3228" s="54"/>
      <c r="B3228" s="71"/>
      <c r="C3228" s="51"/>
      <c r="D3228" s="114"/>
      <c r="E3228" s="114"/>
      <c r="F3228" s="54"/>
      <c r="G3228" s="54"/>
      <c r="I3228" s="54"/>
      <c r="K3228" s="54"/>
      <c r="M3228" s="114"/>
      <c r="N3228" s="1"/>
      <c r="O3228" s="1"/>
      <c r="P3228" s="51"/>
    </row>
    <row r="3229">
      <c r="A3229" s="54"/>
      <c r="B3229" s="71"/>
      <c r="C3229" s="51"/>
      <c r="D3229" s="114"/>
      <c r="E3229" s="114"/>
      <c r="F3229" s="54"/>
      <c r="G3229" s="54"/>
      <c r="I3229" s="54"/>
      <c r="K3229" s="54"/>
      <c r="M3229" s="114"/>
      <c r="N3229" s="1"/>
      <c r="O3229" s="1"/>
      <c r="P3229" s="51"/>
    </row>
    <row r="3230">
      <c r="A3230" s="54"/>
      <c r="B3230" s="71"/>
      <c r="C3230" s="51"/>
      <c r="D3230" s="114"/>
      <c r="E3230" s="114"/>
      <c r="F3230" s="54"/>
      <c r="G3230" s="54"/>
      <c r="I3230" s="54"/>
      <c r="K3230" s="54"/>
      <c r="M3230" s="114"/>
      <c r="N3230" s="1"/>
      <c r="O3230" s="1"/>
      <c r="P3230" s="51"/>
    </row>
    <row r="3231">
      <c r="A3231" s="54"/>
      <c r="B3231" s="71"/>
      <c r="C3231" s="51"/>
      <c r="D3231" s="114"/>
      <c r="E3231" s="114"/>
      <c r="F3231" s="54"/>
      <c r="G3231" s="54"/>
      <c r="I3231" s="54"/>
      <c r="K3231" s="54"/>
      <c r="M3231" s="114"/>
      <c r="N3231" s="1"/>
      <c r="O3231" s="1"/>
      <c r="P3231" s="51"/>
    </row>
    <row r="3232">
      <c r="A3232" s="54"/>
      <c r="B3232" s="71"/>
      <c r="C3232" s="51"/>
      <c r="D3232" s="114"/>
      <c r="E3232" s="114"/>
      <c r="F3232" s="54"/>
      <c r="G3232" s="54"/>
      <c r="I3232" s="54"/>
      <c r="K3232" s="54"/>
      <c r="M3232" s="114"/>
      <c r="N3232" s="1"/>
      <c r="O3232" s="1"/>
      <c r="P3232" s="51"/>
    </row>
    <row r="3233">
      <c r="A3233" s="54"/>
      <c r="B3233" s="71"/>
      <c r="C3233" s="51"/>
      <c r="D3233" s="114"/>
      <c r="E3233" s="114"/>
      <c r="F3233" s="54"/>
      <c r="G3233" s="54"/>
      <c r="I3233" s="54"/>
      <c r="K3233" s="54"/>
      <c r="M3233" s="114"/>
      <c r="N3233" s="1"/>
      <c r="O3233" s="1"/>
      <c r="P3233" s="51"/>
    </row>
    <row r="3234">
      <c r="A3234" s="54"/>
      <c r="B3234" s="71"/>
      <c r="C3234" s="51"/>
      <c r="D3234" s="114"/>
      <c r="E3234" s="114"/>
      <c r="F3234" s="54"/>
      <c r="G3234" s="54"/>
      <c r="I3234" s="54"/>
      <c r="K3234" s="54"/>
      <c r="M3234" s="114"/>
      <c r="N3234" s="1"/>
      <c r="O3234" s="1"/>
      <c r="P3234" s="51"/>
    </row>
    <row r="3235">
      <c r="A3235" s="54"/>
      <c r="B3235" s="71"/>
      <c r="C3235" s="51"/>
      <c r="D3235" s="114"/>
      <c r="E3235" s="114"/>
      <c r="F3235" s="54"/>
      <c r="G3235" s="54"/>
      <c r="I3235" s="54"/>
      <c r="K3235" s="54"/>
      <c r="M3235" s="114"/>
      <c r="N3235" s="1"/>
      <c r="O3235" s="1"/>
      <c r="P3235" s="51"/>
    </row>
    <row r="3236">
      <c r="A3236" s="54"/>
      <c r="B3236" s="71"/>
      <c r="C3236" s="51"/>
      <c r="D3236" s="114"/>
      <c r="E3236" s="114"/>
      <c r="F3236" s="54"/>
      <c r="G3236" s="54"/>
      <c r="I3236" s="54"/>
      <c r="K3236" s="54"/>
      <c r="M3236" s="114"/>
      <c r="N3236" s="1"/>
      <c r="O3236" s="1"/>
      <c r="P3236" s="51"/>
    </row>
    <row r="3237">
      <c r="A3237" s="54"/>
      <c r="B3237" s="71"/>
      <c r="C3237" s="51"/>
      <c r="D3237" s="114"/>
      <c r="E3237" s="114"/>
      <c r="F3237" s="54"/>
      <c r="G3237" s="54"/>
      <c r="I3237" s="54"/>
      <c r="K3237" s="54"/>
      <c r="M3237" s="114"/>
      <c r="N3237" s="1"/>
      <c r="O3237" s="1"/>
      <c r="P3237" s="51"/>
    </row>
    <row r="3238">
      <c r="A3238" s="54"/>
      <c r="B3238" s="71"/>
      <c r="C3238" s="51"/>
      <c r="D3238" s="114"/>
      <c r="E3238" s="114"/>
      <c r="F3238" s="54"/>
      <c r="G3238" s="54"/>
      <c r="I3238" s="54"/>
      <c r="K3238" s="54"/>
      <c r="M3238" s="114"/>
      <c r="N3238" s="1"/>
      <c r="O3238" s="1"/>
      <c r="P3238" s="51"/>
    </row>
    <row r="3239">
      <c r="A3239" s="54"/>
      <c r="B3239" s="71"/>
      <c r="C3239" s="51"/>
      <c r="D3239" s="114"/>
      <c r="E3239" s="114"/>
      <c r="F3239" s="54"/>
      <c r="G3239" s="54"/>
      <c r="I3239" s="54"/>
      <c r="K3239" s="54"/>
      <c r="M3239" s="114"/>
      <c r="N3239" s="1"/>
      <c r="O3239" s="1"/>
      <c r="P3239" s="51"/>
    </row>
    <row r="3240">
      <c r="A3240" s="54"/>
      <c r="B3240" s="71"/>
      <c r="C3240" s="51"/>
      <c r="D3240" s="114"/>
      <c r="E3240" s="114"/>
      <c r="F3240" s="54"/>
      <c r="G3240" s="54"/>
      <c r="I3240" s="54"/>
      <c r="K3240" s="54"/>
      <c r="M3240" s="114"/>
      <c r="N3240" s="1"/>
      <c r="O3240" s="1"/>
      <c r="P3240" s="51"/>
    </row>
    <row r="3241">
      <c r="A3241" s="54"/>
      <c r="B3241" s="71"/>
      <c r="C3241" s="51"/>
      <c r="D3241" s="114"/>
      <c r="E3241" s="114"/>
      <c r="F3241" s="54"/>
      <c r="G3241" s="54"/>
      <c r="I3241" s="54"/>
      <c r="K3241" s="54"/>
      <c r="M3241" s="114"/>
      <c r="N3241" s="1"/>
      <c r="O3241" s="1"/>
      <c r="P3241" s="51"/>
    </row>
    <row r="3242">
      <c r="A3242" s="54"/>
      <c r="B3242" s="71"/>
      <c r="C3242" s="51"/>
      <c r="D3242" s="114"/>
      <c r="E3242" s="114"/>
      <c r="F3242" s="54"/>
      <c r="G3242" s="54"/>
      <c r="I3242" s="54"/>
      <c r="K3242" s="54"/>
      <c r="M3242" s="114"/>
      <c r="N3242" s="1"/>
      <c r="O3242" s="1"/>
      <c r="P3242" s="51"/>
    </row>
    <row r="3243">
      <c r="A3243" s="54"/>
      <c r="B3243" s="71"/>
      <c r="C3243" s="51"/>
      <c r="D3243" s="114"/>
      <c r="E3243" s="114"/>
      <c r="F3243" s="54"/>
      <c r="G3243" s="54"/>
      <c r="I3243" s="54"/>
      <c r="K3243" s="54"/>
      <c r="M3243" s="114"/>
      <c r="N3243" s="1"/>
      <c r="O3243" s="1"/>
      <c r="P3243" s="51"/>
    </row>
    <row r="3244">
      <c r="A3244" s="54"/>
      <c r="B3244" s="71"/>
      <c r="C3244" s="51"/>
      <c r="D3244" s="114"/>
      <c r="E3244" s="114"/>
      <c r="F3244" s="54"/>
      <c r="G3244" s="54"/>
      <c r="I3244" s="54"/>
      <c r="K3244" s="54"/>
      <c r="M3244" s="114"/>
      <c r="N3244" s="1"/>
      <c r="O3244" s="1"/>
      <c r="P3244" s="51"/>
    </row>
    <row r="3245">
      <c r="A3245" s="54"/>
      <c r="B3245" s="71"/>
      <c r="C3245" s="51"/>
      <c r="D3245" s="114"/>
      <c r="E3245" s="114"/>
      <c r="F3245" s="54"/>
      <c r="G3245" s="54"/>
      <c r="I3245" s="54"/>
      <c r="K3245" s="54"/>
      <c r="M3245" s="114"/>
      <c r="N3245" s="1"/>
      <c r="O3245" s="1"/>
      <c r="P3245" s="51"/>
    </row>
    <row r="3246">
      <c r="A3246" s="54"/>
      <c r="B3246" s="71"/>
      <c r="C3246" s="51"/>
      <c r="D3246" s="114"/>
      <c r="E3246" s="114"/>
      <c r="F3246" s="54"/>
      <c r="G3246" s="54"/>
      <c r="I3246" s="54"/>
      <c r="K3246" s="54"/>
      <c r="M3246" s="114"/>
      <c r="N3246" s="1"/>
      <c r="O3246" s="1"/>
      <c r="P3246" s="51"/>
    </row>
    <row r="3247">
      <c r="A3247" s="54"/>
      <c r="B3247" s="71"/>
      <c r="C3247" s="51"/>
      <c r="D3247" s="114"/>
      <c r="E3247" s="114"/>
      <c r="F3247" s="54"/>
      <c r="G3247" s="54"/>
      <c r="I3247" s="54"/>
      <c r="K3247" s="54"/>
      <c r="M3247" s="114"/>
      <c r="N3247" s="1"/>
      <c r="O3247" s="1"/>
      <c r="P3247" s="51"/>
    </row>
    <row r="3248">
      <c r="A3248" s="54"/>
      <c r="B3248" s="71"/>
      <c r="C3248" s="51"/>
      <c r="D3248" s="114"/>
      <c r="E3248" s="114"/>
      <c r="F3248" s="54"/>
      <c r="G3248" s="54"/>
      <c r="I3248" s="54"/>
      <c r="K3248" s="54"/>
      <c r="M3248" s="114"/>
      <c r="N3248" s="1"/>
      <c r="O3248" s="1"/>
      <c r="P3248" s="51"/>
    </row>
    <row r="3249">
      <c r="A3249" s="54"/>
      <c r="B3249" s="71"/>
      <c r="C3249" s="51"/>
      <c r="D3249" s="114"/>
      <c r="E3249" s="114"/>
      <c r="F3249" s="54"/>
      <c r="G3249" s="54"/>
      <c r="I3249" s="54"/>
      <c r="K3249" s="54"/>
      <c r="M3249" s="114"/>
      <c r="N3249" s="1"/>
      <c r="O3249" s="1"/>
      <c r="P3249" s="51"/>
    </row>
    <row r="3250">
      <c r="A3250" s="54"/>
      <c r="B3250" s="71"/>
      <c r="C3250" s="51"/>
      <c r="D3250" s="114"/>
      <c r="E3250" s="114"/>
      <c r="F3250" s="54"/>
      <c r="G3250" s="54"/>
      <c r="I3250" s="54"/>
      <c r="K3250" s="54"/>
      <c r="M3250" s="114"/>
      <c r="N3250" s="1"/>
      <c r="O3250" s="1"/>
      <c r="P3250" s="51"/>
    </row>
    <row r="3251">
      <c r="A3251" s="54"/>
      <c r="B3251" s="71"/>
      <c r="C3251" s="51"/>
      <c r="D3251" s="114"/>
      <c r="E3251" s="114"/>
      <c r="F3251" s="54"/>
      <c r="G3251" s="54"/>
      <c r="I3251" s="54"/>
      <c r="K3251" s="54"/>
      <c r="M3251" s="114"/>
      <c r="N3251" s="1"/>
      <c r="O3251" s="1"/>
      <c r="P3251" s="51"/>
    </row>
    <row r="3252">
      <c r="A3252" s="54"/>
      <c r="B3252" s="71"/>
      <c r="C3252" s="51"/>
      <c r="D3252" s="114"/>
      <c r="E3252" s="114"/>
      <c r="F3252" s="54"/>
      <c r="G3252" s="54"/>
      <c r="I3252" s="54"/>
      <c r="K3252" s="54"/>
      <c r="M3252" s="114"/>
      <c r="N3252" s="1"/>
      <c r="O3252" s="1"/>
      <c r="P3252" s="51"/>
    </row>
    <row r="3253">
      <c r="A3253" s="54"/>
      <c r="B3253" s="71"/>
      <c r="C3253" s="51"/>
      <c r="D3253" s="114"/>
      <c r="E3253" s="114"/>
      <c r="F3253" s="54"/>
      <c r="G3253" s="54"/>
      <c r="I3253" s="54"/>
      <c r="K3253" s="54"/>
      <c r="M3253" s="114"/>
      <c r="N3253" s="1"/>
      <c r="O3253" s="1"/>
      <c r="P3253" s="51"/>
    </row>
    <row r="3254">
      <c r="A3254" s="54"/>
      <c r="B3254" s="71"/>
      <c r="C3254" s="51"/>
      <c r="D3254" s="114"/>
      <c r="E3254" s="114"/>
      <c r="F3254" s="54"/>
      <c r="G3254" s="54"/>
      <c r="I3254" s="54"/>
      <c r="K3254" s="54"/>
      <c r="M3254" s="114"/>
      <c r="N3254" s="1"/>
      <c r="O3254" s="1"/>
      <c r="P3254" s="51"/>
    </row>
    <row r="3255">
      <c r="A3255" s="54"/>
      <c r="B3255" s="71"/>
      <c r="C3255" s="51"/>
      <c r="D3255" s="114"/>
      <c r="E3255" s="114"/>
      <c r="F3255" s="54"/>
      <c r="G3255" s="54"/>
      <c r="I3255" s="54"/>
      <c r="K3255" s="54"/>
      <c r="M3255" s="114"/>
      <c r="N3255" s="1"/>
      <c r="O3255" s="1"/>
      <c r="P3255" s="51"/>
    </row>
    <row r="3256">
      <c r="A3256" s="54"/>
      <c r="B3256" s="71"/>
      <c r="C3256" s="51"/>
      <c r="D3256" s="114"/>
      <c r="E3256" s="114"/>
      <c r="F3256" s="54"/>
      <c r="G3256" s="54"/>
      <c r="I3256" s="54"/>
      <c r="K3256" s="54"/>
      <c r="M3256" s="114"/>
      <c r="N3256" s="1"/>
      <c r="O3256" s="1"/>
      <c r="P3256" s="51"/>
    </row>
    <row r="3257">
      <c r="A3257" s="54"/>
      <c r="B3257" s="71"/>
      <c r="C3257" s="51"/>
      <c r="D3257" s="114"/>
      <c r="E3257" s="114"/>
      <c r="F3257" s="54"/>
      <c r="G3257" s="54"/>
      <c r="I3257" s="54"/>
      <c r="K3257" s="54"/>
      <c r="M3257" s="114"/>
      <c r="N3257" s="1"/>
      <c r="O3257" s="1"/>
      <c r="P3257" s="51"/>
    </row>
    <row r="3258">
      <c r="A3258" s="54"/>
      <c r="B3258" s="71"/>
      <c r="C3258" s="51"/>
      <c r="D3258" s="114"/>
      <c r="E3258" s="114"/>
      <c r="F3258" s="54"/>
      <c r="G3258" s="54"/>
      <c r="I3258" s="54"/>
      <c r="K3258" s="54"/>
      <c r="M3258" s="114"/>
      <c r="N3258" s="1"/>
      <c r="O3258" s="1"/>
      <c r="P3258" s="51"/>
    </row>
    <row r="3259">
      <c r="A3259" s="54"/>
      <c r="B3259" s="71"/>
      <c r="C3259" s="51"/>
      <c r="D3259" s="114"/>
      <c r="E3259" s="114"/>
      <c r="F3259" s="54"/>
      <c r="G3259" s="54"/>
      <c r="I3259" s="54"/>
      <c r="K3259" s="54"/>
      <c r="M3259" s="114"/>
      <c r="N3259" s="1"/>
      <c r="O3259" s="1"/>
      <c r="P3259" s="51"/>
    </row>
    <row r="3260">
      <c r="A3260" s="54"/>
      <c r="B3260" s="71"/>
      <c r="C3260" s="51"/>
      <c r="D3260" s="114"/>
      <c r="E3260" s="114"/>
      <c r="F3260" s="54"/>
      <c r="G3260" s="54"/>
      <c r="I3260" s="54"/>
      <c r="K3260" s="54"/>
      <c r="M3260" s="114"/>
      <c r="N3260" s="1"/>
      <c r="O3260" s="1"/>
      <c r="P3260" s="51"/>
    </row>
    <row r="3261">
      <c r="A3261" s="54"/>
      <c r="B3261" s="71"/>
      <c r="C3261" s="51"/>
      <c r="D3261" s="114"/>
      <c r="E3261" s="114"/>
      <c r="F3261" s="54"/>
      <c r="G3261" s="54"/>
      <c r="I3261" s="54"/>
      <c r="K3261" s="54"/>
      <c r="M3261" s="114"/>
      <c r="N3261" s="1"/>
      <c r="O3261" s="1"/>
      <c r="P3261" s="51"/>
    </row>
    <row r="3262">
      <c r="A3262" s="54"/>
      <c r="B3262" s="71"/>
      <c r="C3262" s="51"/>
      <c r="D3262" s="114"/>
      <c r="E3262" s="114"/>
      <c r="F3262" s="54"/>
      <c r="G3262" s="54"/>
      <c r="I3262" s="54"/>
      <c r="K3262" s="54"/>
      <c r="M3262" s="114"/>
      <c r="N3262" s="1"/>
      <c r="O3262" s="1"/>
      <c r="P3262" s="51"/>
    </row>
    <row r="3263">
      <c r="A3263" s="54"/>
      <c r="B3263" s="71"/>
      <c r="C3263" s="51"/>
      <c r="D3263" s="114"/>
      <c r="E3263" s="114"/>
      <c r="F3263" s="54"/>
      <c r="G3263" s="54"/>
      <c r="I3263" s="54"/>
      <c r="K3263" s="54"/>
      <c r="M3263" s="114"/>
      <c r="N3263" s="1"/>
      <c r="O3263" s="1"/>
      <c r="P3263" s="51"/>
    </row>
    <row r="3264">
      <c r="A3264" s="54"/>
      <c r="B3264" s="71"/>
      <c r="C3264" s="51"/>
      <c r="D3264" s="114"/>
      <c r="E3264" s="114"/>
      <c r="F3264" s="54"/>
      <c r="G3264" s="54"/>
      <c r="I3264" s="54"/>
      <c r="K3264" s="54"/>
      <c r="M3264" s="114"/>
      <c r="N3264" s="1"/>
      <c r="O3264" s="1"/>
      <c r="P3264" s="51"/>
    </row>
    <row r="3265">
      <c r="A3265" s="54"/>
      <c r="B3265" s="71"/>
      <c r="C3265" s="51"/>
      <c r="D3265" s="114"/>
      <c r="E3265" s="114"/>
      <c r="F3265" s="54"/>
      <c r="G3265" s="54"/>
      <c r="I3265" s="54"/>
      <c r="K3265" s="54"/>
      <c r="M3265" s="114"/>
      <c r="N3265" s="1"/>
      <c r="O3265" s="1"/>
      <c r="P3265" s="51"/>
    </row>
    <row r="3266">
      <c r="A3266" s="54"/>
      <c r="B3266" s="71"/>
      <c r="C3266" s="51"/>
      <c r="D3266" s="114"/>
      <c r="E3266" s="114"/>
      <c r="F3266" s="54"/>
      <c r="G3266" s="54"/>
      <c r="I3266" s="54"/>
      <c r="K3266" s="54"/>
      <c r="M3266" s="114"/>
      <c r="N3266" s="1"/>
      <c r="O3266" s="1"/>
      <c r="P3266" s="51"/>
    </row>
    <row r="3267">
      <c r="A3267" s="54"/>
      <c r="B3267" s="71"/>
      <c r="C3267" s="51"/>
      <c r="D3267" s="114"/>
      <c r="E3267" s="114"/>
      <c r="F3267" s="54"/>
      <c r="G3267" s="54"/>
      <c r="I3267" s="54"/>
      <c r="K3267" s="54"/>
      <c r="M3267" s="114"/>
      <c r="N3267" s="1"/>
      <c r="O3267" s="1"/>
      <c r="P3267" s="51"/>
    </row>
    <row r="3268">
      <c r="A3268" s="54"/>
      <c r="B3268" s="71"/>
      <c r="C3268" s="51"/>
      <c r="D3268" s="114"/>
      <c r="E3268" s="114"/>
      <c r="F3268" s="54"/>
      <c r="G3268" s="54"/>
      <c r="I3268" s="54"/>
      <c r="K3268" s="54"/>
      <c r="M3268" s="114"/>
      <c r="N3268" s="1"/>
      <c r="O3268" s="1"/>
      <c r="P3268" s="51"/>
    </row>
    <row r="3269">
      <c r="A3269" s="54"/>
      <c r="B3269" s="71"/>
      <c r="C3269" s="51"/>
      <c r="D3269" s="114"/>
      <c r="E3269" s="114"/>
      <c r="F3269" s="54"/>
      <c r="G3269" s="54"/>
      <c r="I3269" s="54"/>
      <c r="K3269" s="54"/>
      <c r="M3269" s="114"/>
      <c r="N3269" s="1"/>
      <c r="O3269" s="1"/>
      <c r="P3269" s="51"/>
    </row>
    <row r="3270">
      <c r="A3270" s="54"/>
      <c r="B3270" s="71"/>
      <c r="C3270" s="51"/>
      <c r="D3270" s="114"/>
      <c r="E3270" s="114"/>
      <c r="F3270" s="54"/>
      <c r="G3270" s="54"/>
      <c r="I3270" s="54"/>
      <c r="K3270" s="54"/>
      <c r="M3270" s="114"/>
      <c r="N3270" s="1"/>
      <c r="O3270" s="1"/>
      <c r="P3270" s="51"/>
    </row>
    <row r="3271">
      <c r="A3271" s="54"/>
      <c r="B3271" s="71"/>
      <c r="C3271" s="51"/>
      <c r="D3271" s="114"/>
      <c r="E3271" s="114"/>
      <c r="F3271" s="54"/>
      <c r="G3271" s="54"/>
      <c r="I3271" s="54"/>
      <c r="K3271" s="54"/>
      <c r="M3271" s="114"/>
      <c r="N3271" s="1"/>
      <c r="O3271" s="1"/>
      <c r="P3271" s="51"/>
    </row>
    <row r="3272">
      <c r="A3272" s="54"/>
      <c r="B3272" s="71"/>
      <c r="C3272" s="51"/>
      <c r="D3272" s="114"/>
      <c r="E3272" s="114"/>
      <c r="F3272" s="54"/>
      <c r="G3272" s="54"/>
      <c r="I3272" s="54"/>
      <c r="K3272" s="54"/>
      <c r="M3272" s="114"/>
      <c r="N3272" s="1"/>
      <c r="O3272" s="1"/>
      <c r="P3272" s="51"/>
    </row>
    <row r="3273">
      <c r="A3273" s="54"/>
      <c r="B3273" s="71"/>
      <c r="C3273" s="51"/>
      <c r="D3273" s="114"/>
      <c r="E3273" s="114"/>
      <c r="F3273" s="54"/>
      <c r="G3273" s="54"/>
      <c r="I3273" s="54"/>
      <c r="K3273" s="54"/>
      <c r="M3273" s="114"/>
      <c r="N3273" s="1"/>
      <c r="O3273" s="1"/>
      <c r="P3273" s="51"/>
    </row>
    <row r="3274">
      <c r="A3274" s="54"/>
      <c r="B3274" s="71"/>
      <c r="C3274" s="51"/>
      <c r="D3274" s="114"/>
      <c r="E3274" s="114"/>
      <c r="F3274" s="54"/>
      <c r="G3274" s="54"/>
      <c r="I3274" s="54"/>
      <c r="K3274" s="54"/>
      <c r="M3274" s="114"/>
      <c r="N3274" s="1"/>
      <c r="O3274" s="1"/>
      <c r="P3274" s="51"/>
    </row>
    <row r="3275">
      <c r="A3275" s="54"/>
      <c r="B3275" s="71"/>
      <c r="C3275" s="51"/>
      <c r="D3275" s="114"/>
      <c r="E3275" s="114"/>
      <c r="F3275" s="54"/>
      <c r="G3275" s="54"/>
      <c r="I3275" s="54"/>
      <c r="K3275" s="54"/>
      <c r="M3275" s="114"/>
      <c r="N3275" s="1"/>
      <c r="O3275" s="1"/>
      <c r="P3275" s="51"/>
    </row>
    <row r="3276">
      <c r="A3276" s="54"/>
      <c r="B3276" s="71"/>
      <c r="C3276" s="51"/>
      <c r="D3276" s="114"/>
      <c r="E3276" s="114"/>
      <c r="F3276" s="54"/>
      <c r="G3276" s="54"/>
      <c r="I3276" s="54"/>
      <c r="K3276" s="54"/>
      <c r="M3276" s="114"/>
      <c r="N3276" s="1"/>
      <c r="O3276" s="1"/>
      <c r="P3276" s="51"/>
    </row>
    <row r="3277">
      <c r="A3277" s="54"/>
      <c r="B3277" s="71"/>
      <c r="C3277" s="51"/>
      <c r="D3277" s="114"/>
      <c r="E3277" s="114"/>
      <c r="F3277" s="54"/>
      <c r="G3277" s="54"/>
      <c r="I3277" s="54"/>
      <c r="K3277" s="54"/>
      <c r="M3277" s="114"/>
      <c r="N3277" s="1"/>
      <c r="O3277" s="1"/>
      <c r="P3277" s="51"/>
    </row>
    <row r="3278">
      <c r="A3278" s="54"/>
      <c r="B3278" s="71"/>
      <c r="C3278" s="51"/>
      <c r="D3278" s="114"/>
      <c r="E3278" s="114"/>
      <c r="F3278" s="54"/>
      <c r="G3278" s="54"/>
      <c r="I3278" s="54"/>
      <c r="K3278" s="54"/>
      <c r="M3278" s="114"/>
      <c r="N3278" s="1"/>
      <c r="O3278" s="1"/>
      <c r="P3278" s="51"/>
    </row>
    <row r="3279">
      <c r="A3279" s="54"/>
      <c r="B3279" s="71"/>
      <c r="C3279" s="51"/>
      <c r="D3279" s="114"/>
      <c r="E3279" s="114"/>
      <c r="F3279" s="54"/>
      <c r="G3279" s="54"/>
      <c r="I3279" s="54"/>
      <c r="K3279" s="54"/>
      <c r="M3279" s="114"/>
      <c r="N3279" s="1"/>
      <c r="O3279" s="1"/>
      <c r="P3279" s="51"/>
    </row>
    <row r="3280">
      <c r="A3280" s="54"/>
      <c r="B3280" s="71"/>
      <c r="C3280" s="51"/>
      <c r="D3280" s="114"/>
      <c r="E3280" s="114"/>
      <c r="F3280" s="54"/>
      <c r="G3280" s="54"/>
      <c r="I3280" s="54"/>
      <c r="K3280" s="54"/>
      <c r="M3280" s="114"/>
      <c r="N3280" s="1"/>
      <c r="O3280" s="1"/>
      <c r="P3280" s="51"/>
    </row>
    <row r="3281">
      <c r="A3281" s="54"/>
      <c r="B3281" s="71"/>
      <c r="C3281" s="51"/>
      <c r="D3281" s="114"/>
      <c r="E3281" s="114"/>
      <c r="F3281" s="54"/>
      <c r="G3281" s="54"/>
      <c r="I3281" s="54"/>
      <c r="K3281" s="54"/>
      <c r="M3281" s="114"/>
      <c r="N3281" s="1"/>
      <c r="O3281" s="1"/>
      <c r="P3281" s="51"/>
    </row>
    <row r="3282">
      <c r="A3282" s="54"/>
      <c r="B3282" s="71"/>
      <c r="C3282" s="51"/>
      <c r="D3282" s="114"/>
      <c r="E3282" s="114"/>
      <c r="F3282" s="54"/>
      <c r="G3282" s="54"/>
      <c r="I3282" s="54"/>
      <c r="K3282" s="54"/>
      <c r="M3282" s="114"/>
      <c r="N3282" s="1"/>
      <c r="O3282" s="1"/>
      <c r="P3282" s="51"/>
    </row>
    <row r="3283">
      <c r="A3283" s="54"/>
      <c r="B3283" s="71"/>
      <c r="C3283" s="51"/>
      <c r="D3283" s="114"/>
      <c r="E3283" s="114"/>
      <c r="F3283" s="54"/>
      <c r="G3283" s="54"/>
      <c r="I3283" s="54"/>
      <c r="K3283" s="54"/>
      <c r="M3283" s="114"/>
      <c r="N3283" s="1"/>
      <c r="O3283" s="1"/>
      <c r="P3283" s="51"/>
    </row>
    <row r="3284">
      <c r="A3284" s="54"/>
      <c r="B3284" s="71"/>
      <c r="C3284" s="51"/>
      <c r="D3284" s="114"/>
      <c r="E3284" s="114"/>
      <c r="F3284" s="54"/>
      <c r="G3284" s="54"/>
      <c r="I3284" s="54"/>
      <c r="K3284" s="54"/>
      <c r="M3284" s="114"/>
      <c r="N3284" s="1"/>
      <c r="O3284" s="1"/>
      <c r="P3284" s="51"/>
    </row>
    <row r="3285">
      <c r="A3285" s="54"/>
      <c r="B3285" s="71"/>
      <c r="C3285" s="51"/>
      <c r="D3285" s="114"/>
      <c r="E3285" s="114"/>
      <c r="F3285" s="54"/>
      <c r="G3285" s="54"/>
      <c r="I3285" s="54"/>
      <c r="K3285" s="54"/>
      <c r="M3285" s="114"/>
      <c r="N3285" s="1"/>
      <c r="O3285" s="1"/>
      <c r="P3285" s="51"/>
    </row>
    <row r="3286">
      <c r="A3286" s="54"/>
      <c r="B3286" s="71"/>
      <c r="C3286" s="51"/>
      <c r="D3286" s="114"/>
      <c r="E3286" s="114"/>
      <c r="F3286" s="54"/>
      <c r="G3286" s="54"/>
      <c r="I3286" s="54"/>
      <c r="K3286" s="54"/>
      <c r="M3286" s="114"/>
      <c r="N3286" s="1"/>
      <c r="O3286" s="1"/>
      <c r="P3286" s="51"/>
    </row>
    <row r="3287">
      <c r="A3287" s="54"/>
      <c r="B3287" s="71"/>
      <c r="C3287" s="51"/>
      <c r="D3287" s="114"/>
      <c r="E3287" s="114"/>
      <c r="F3287" s="54"/>
      <c r="G3287" s="54"/>
      <c r="I3287" s="54"/>
      <c r="K3287" s="54"/>
      <c r="M3287" s="114"/>
      <c r="N3287" s="1"/>
      <c r="O3287" s="1"/>
      <c r="P3287" s="51"/>
    </row>
    <row r="3288">
      <c r="A3288" s="54"/>
      <c r="B3288" s="71"/>
      <c r="C3288" s="51"/>
      <c r="D3288" s="114"/>
      <c r="E3288" s="114"/>
      <c r="F3288" s="54"/>
      <c r="G3288" s="54"/>
      <c r="I3288" s="54"/>
      <c r="K3288" s="54"/>
      <c r="M3288" s="114"/>
      <c r="N3288" s="1"/>
      <c r="O3288" s="1"/>
      <c r="P3288" s="51"/>
    </row>
    <row r="3289">
      <c r="A3289" s="54"/>
      <c r="B3289" s="71"/>
      <c r="C3289" s="51"/>
      <c r="D3289" s="114"/>
      <c r="E3289" s="114"/>
      <c r="F3289" s="54"/>
      <c r="G3289" s="54"/>
      <c r="I3289" s="54"/>
      <c r="K3289" s="54"/>
      <c r="M3289" s="114"/>
      <c r="N3289" s="1"/>
      <c r="O3289" s="1"/>
      <c r="P3289" s="51"/>
    </row>
    <row r="3290">
      <c r="A3290" s="54"/>
      <c r="B3290" s="71"/>
      <c r="C3290" s="51"/>
      <c r="D3290" s="114"/>
      <c r="E3290" s="114"/>
      <c r="F3290" s="54"/>
      <c r="G3290" s="54"/>
      <c r="I3290" s="54"/>
      <c r="K3290" s="54"/>
      <c r="M3290" s="114"/>
      <c r="N3290" s="1"/>
      <c r="O3290" s="1"/>
      <c r="P3290" s="51"/>
    </row>
    <row r="3291">
      <c r="A3291" s="54"/>
      <c r="B3291" s="71"/>
      <c r="C3291" s="51"/>
      <c r="D3291" s="114"/>
      <c r="E3291" s="114"/>
      <c r="F3291" s="54"/>
      <c r="G3291" s="54"/>
      <c r="I3291" s="54"/>
      <c r="K3291" s="54"/>
      <c r="M3291" s="114"/>
      <c r="N3291" s="1"/>
      <c r="O3291" s="1"/>
      <c r="P3291" s="51"/>
    </row>
    <row r="3292">
      <c r="A3292" s="54"/>
      <c r="B3292" s="71"/>
      <c r="C3292" s="51"/>
      <c r="D3292" s="114"/>
      <c r="E3292" s="114"/>
      <c r="F3292" s="54"/>
      <c r="G3292" s="54"/>
      <c r="I3292" s="54"/>
      <c r="K3292" s="54"/>
      <c r="M3292" s="114"/>
      <c r="N3292" s="1"/>
      <c r="O3292" s="1"/>
      <c r="P3292" s="51"/>
    </row>
    <row r="3293">
      <c r="A3293" s="54"/>
      <c r="B3293" s="71"/>
      <c r="C3293" s="51"/>
      <c r="D3293" s="114"/>
      <c r="E3293" s="114"/>
      <c r="F3293" s="54"/>
      <c r="G3293" s="54"/>
      <c r="I3293" s="54"/>
      <c r="K3293" s="54"/>
      <c r="M3293" s="114"/>
      <c r="N3293" s="1"/>
      <c r="O3293" s="1"/>
      <c r="P3293" s="51"/>
    </row>
    <row r="3294">
      <c r="A3294" s="54"/>
      <c r="B3294" s="71"/>
      <c r="C3294" s="51"/>
      <c r="D3294" s="114"/>
      <c r="E3294" s="114"/>
      <c r="F3294" s="54"/>
      <c r="G3294" s="54"/>
      <c r="I3294" s="54"/>
      <c r="K3294" s="54"/>
      <c r="M3294" s="114"/>
      <c r="N3294" s="1"/>
      <c r="O3294" s="1"/>
      <c r="P3294" s="51"/>
    </row>
    <row r="3295">
      <c r="A3295" s="54"/>
      <c r="B3295" s="71"/>
      <c r="C3295" s="51"/>
      <c r="D3295" s="114"/>
      <c r="E3295" s="114"/>
      <c r="F3295" s="54"/>
      <c r="G3295" s="54"/>
      <c r="I3295" s="54"/>
      <c r="K3295" s="54"/>
      <c r="M3295" s="114"/>
      <c r="N3295" s="1"/>
      <c r="O3295" s="1"/>
      <c r="P3295" s="51"/>
    </row>
    <row r="3296">
      <c r="A3296" s="54"/>
      <c r="B3296" s="71"/>
      <c r="C3296" s="51"/>
      <c r="D3296" s="114"/>
      <c r="E3296" s="114"/>
      <c r="F3296" s="54"/>
      <c r="G3296" s="54"/>
      <c r="I3296" s="54"/>
      <c r="K3296" s="54"/>
      <c r="M3296" s="114"/>
      <c r="N3296" s="1"/>
      <c r="O3296" s="1"/>
      <c r="P3296" s="51"/>
    </row>
    <row r="3297">
      <c r="A3297" s="54"/>
      <c r="B3297" s="71"/>
      <c r="C3297" s="51"/>
      <c r="D3297" s="114"/>
      <c r="E3297" s="114"/>
      <c r="F3297" s="54"/>
      <c r="G3297" s="54"/>
      <c r="I3297" s="54"/>
      <c r="K3297" s="54"/>
      <c r="M3297" s="114"/>
      <c r="N3297" s="1"/>
      <c r="O3297" s="1"/>
      <c r="P3297" s="51"/>
    </row>
    <row r="3298">
      <c r="A3298" s="54"/>
      <c r="B3298" s="71"/>
      <c r="C3298" s="51"/>
      <c r="D3298" s="114"/>
      <c r="E3298" s="114"/>
      <c r="F3298" s="54"/>
      <c r="G3298" s="54"/>
      <c r="I3298" s="54"/>
      <c r="K3298" s="54"/>
      <c r="M3298" s="114"/>
      <c r="N3298" s="1"/>
      <c r="O3298" s="1"/>
      <c r="P3298" s="51"/>
    </row>
    <row r="3299">
      <c r="A3299" s="54"/>
      <c r="B3299" s="71"/>
      <c r="C3299" s="51"/>
      <c r="D3299" s="114"/>
      <c r="E3299" s="114"/>
      <c r="F3299" s="54"/>
      <c r="G3299" s="54"/>
      <c r="I3299" s="54"/>
      <c r="K3299" s="54"/>
      <c r="M3299" s="114"/>
      <c r="N3299" s="1"/>
      <c r="O3299" s="1"/>
      <c r="P3299" s="51"/>
    </row>
    <row r="3300">
      <c r="A3300" s="54"/>
      <c r="B3300" s="71"/>
      <c r="C3300" s="51"/>
      <c r="D3300" s="114"/>
      <c r="E3300" s="114"/>
      <c r="F3300" s="54"/>
      <c r="G3300" s="54"/>
      <c r="I3300" s="54"/>
      <c r="K3300" s="54"/>
      <c r="M3300" s="114"/>
      <c r="N3300" s="1"/>
      <c r="O3300" s="1"/>
      <c r="P3300" s="51"/>
    </row>
    <row r="3301">
      <c r="A3301" s="54"/>
      <c r="B3301" s="71"/>
      <c r="C3301" s="51"/>
      <c r="D3301" s="114"/>
      <c r="E3301" s="114"/>
      <c r="F3301" s="54"/>
      <c r="G3301" s="54"/>
      <c r="I3301" s="54"/>
      <c r="K3301" s="54"/>
      <c r="M3301" s="114"/>
      <c r="N3301" s="1"/>
      <c r="O3301" s="1"/>
      <c r="P3301" s="51"/>
    </row>
    <row r="3302">
      <c r="A3302" s="54"/>
      <c r="B3302" s="71"/>
      <c r="C3302" s="51"/>
      <c r="D3302" s="114"/>
      <c r="E3302" s="114"/>
      <c r="F3302" s="54"/>
      <c r="G3302" s="54"/>
      <c r="I3302" s="54"/>
      <c r="K3302" s="54"/>
      <c r="M3302" s="114"/>
      <c r="N3302" s="1"/>
      <c r="O3302" s="1"/>
      <c r="P3302" s="51"/>
    </row>
    <row r="3303">
      <c r="A3303" s="54"/>
      <c r="B3303" s="71"/>
      <c r="C3303" s="51"/>
      <c r="D3303" s="114"/>
      <c r="E3303" s="114"/>
      <c r="F3303" s="54"/>
      <c r="G3303" s="54"/>
      <c r="I3303" s="54"/>
      <c r="K3303" s="54"/>
      <c r="M3303" s="114"/>
      <c r="N3303" s="1"/>
      <c r="O3303" s="1"/>
      <c r="P3303" s="51"/>
    </row>
    <row r="3304">
      <c r="A3304" s="54"/>
      <c r="B3304" s="71"/>
      <c r="C3304" s="51"/>
      <c r="D3304" s="114"/>
      <c r="E3304" s="114"/>
      <c r="F3304" s="54"/>
      <c r="G3304" s="54"/>
      <c r="I3304" s="54"/>
      <c r="K3304" s="54"/>
      <c r="M3304" s="114"/>
      <c r="N3304" s="1"/>
      <c r="O3304" s="1"/>
      <c r="P3304" s="51"/>
    </row>
    <row r="3305">
      <c r="A3305" s="54"/>
      <c r="B3305" s="71"/>
      <c r="C3305" s="51"/>
      <c r="D3305" s="114"/>
      <c r="E3305" s="114"/>
      <c r="F3305" s="54"/>
      <c r="G3305" s="54"/>
      <c r="I3305" s="54"/>
      <c r="K3305" s="54"/>
      <c r="M3305" s="114"/>
      <c r="N3305" s="1"/>
      <c r="O3305" s="1"/>
      <c r="P3305" s="51"/>
    </row>
    <row r="3306">
      <c r="A3306" s="54"/>
      <c r="B3306" s="71"/>
      <c r="C3306" s="51"/>
      <c r="D3306" s="114"/>
      <c r="E3306" s="114"/>
      <c r="F3306" s="54"/>
      <c r="G3306" s="54"/>
      <c r="I3306" s="54"/>
      <c r="K3306" s="54"/>
      <c r="M3306" s="114"/>
      <c r="N3306" s="1"/>
      <c r="O3306" s="1"/>
      <c r="P3306" s="51"/>
    </row>
    <row r="3307">
      <c r="A3307" s="54"/>
      <c r="B3307" s="71"/>
      <c r="C3307" s="51"/>
      <c r="D3307" s="114"/>
      <c r="E3307" s="114"/>
      <c r="F3307" s="54"/>
      <c r="G3307" s="54"/>
      <c r="I3307" s="54"/>
      <c r="K3307" s="54"/>
      <c r="M3307" s="114"/>
      <c r="N3307" s="1"/>
      <c r="O3307" s="1"/>
      <c r="P3307" s="51"/>
    </row>
    <row r="3308">
      <c r="A3308" s="54"/>
      <c r="B3308" s="71"/>
      <c r="C3308" s="51"/>
      <c r="D3308" s="114"/>
      <c r="E3308" s="114"/>
      <c r="F3308" s="54"/>
      <c r="G3308" s="54"/>
      <c r="I3308" s="54"/>
      <c r="K3308" s="54"/>
      <c r="M3308" s="114"/>
      <c r="N3308" s="1"/>
      <c r="O3308" s="1"/>
      <c r="P3308" s="51"/>
    </row>
    <row r="3309">
      <c r="A3309" s="54"/>
      <c r="B3309" s="71"/>
      <c r="C3309" s="51"/>
      <c r="D3309" s="114"/>
      <c r="E3309" s="114"/>
      <c r="F3309" s="54"/>
      <c r="G3309" s="54"/>
      <c r="I3309" s="54"/>
      <c r="K3309" s="54"/>
      <c r="M3309" s="114"/>
      <c r="N3309" s="1"/>
      <c r="O3309" s="1"/>
      <c r="P3309" s="51"/>
    </row>
    <row r="3310">
      <c r="A3310" s="54"/>
      <c r="B3310" s="71"/>
      <c r="C3310" s="51"/>
      <c r="D3310" s="114"/>
      <c r="E3310" s="114"/>
      <c r="F3310" s="54"/>
      <c r="G3310" s="54"/>
      <c r="I3310" s="54"/>
      <c r="K3310" s="54"/>
      <c r="M3310" s="114"/>
      <c r="N3310" s="1"/>
      <c r="O3310" s="1"/>
      <c r="P3310" s="51"/>
    </row>
    <row r="3311">
      <c r="A3311" s="54"/>
      <c r="B3311" s="71"/>
      <c r="C3311" s="51"/>
      <c r="D3311" s="114"/>
      <c r="E3311" s="114"/>
      <c r="F3311" s="54"/>
      <c r="G3311" s="54"/>
      <c r="I3311" s="54"/>
      <c r="K3311" s="54"/>
      <c r="M3311" s="114"/>
      <c r="N3311" s="1"/>
      <c r="O3311" s="1"/>
      <c r="P3311" s="51"/>
    </row>
    <row r="3312">
      <c r="A3312" s="54"/>
      <c r="B3312" s="71"/>
      <c r="C3312" s="51"/>
      <c r="D3312" s="114"/>
      <c r="E3312" s="114"/>
      <c r="F3312" s="54"/>
      <c r="G3312" s="54"/>
      <c r="I3312" s="54"/>
      <c r="K3312" s="54"/>
      <c r="M3312" s="114"/>
      <c r="N3312" s="1"/>
      <c r="O3312" s="1"/>
      <c r="P3312" s="51"/>
    </row>
    <row r="3313">
      <c r="A3313" s="54"/>
      <c r="B3313" s="71"/>
      <c r="C3313" s="51"/>
      <c r="D3313" s="114"/>
      <c r="E3313" s="114"/>
      <c r="F3313" s="54"/>
      <c r="G3313" s="54"/>
      <c r="I3313" s="54"/>
      <c r="K3313" s="54"/>
      <c r="M3313" s="114"/>
      <c r="N3313" s="1"/>
      <c r="O3313" s="1"/>
      <c r="P3313" s="51"/>
    </row>
    <row r="3314">
      <c r="A3314" s="54"/>
      <c r="B3314" s="71"/>
      <c r="C3314" s="51"/>
      <c r="D3314" s="114"/>
      <c r="E3314" s="114"/>
      <c r="F3314" s="54"/>
      <c r="G3314" s="54"/>
      <c r="I3314" s="54"/>
      <c r="K3314" s="54"/>
      <c r="M3314" s="114"/>
      <c r="N3314" s="1"/>
      <c r="O3314" s="1"/>
      <c r="P3314" s="51"/>
    </row>
    <row r="3315">
      <c r="A3315" s="54"/>
      <c r="B3315" s="71"/>
      <c r="C3315" s="51"/>
      <c r="D3315" s="114"/>
      <c r="E3315" s="114"/>
      <c r="F3315" s="54"/>
      <c r="G3315" s="54"/>
      <c r="I3315" s="54"/>
      <c r="K3315" s="54"/>
      <c r="M3315" s="114"/>
      <c r="N3315" s="1"/>
      <c r="O3315" s="1"/>
      <c r="P3315" s="51"/>
    </row>
    <row r="3316">
      <c r="A3316" s="54"/>
      <c r="B3316" s="71"/>
      <c r="C3316" s="51"/>
      <c r="D3316" s="114"/>
      <c r="E3316" s="114"/>
      <c r="F3316" s="54"/>
      <c r="G3316" s="54"/>
      <c r="I3316" s="54"/>
      <c r="K3316" s="54"/>
      <c r="M3316" s="114"/>
      <c r="N3316" s="1"/>
      <c r="O3316" s="1"/>
      <c r="P3316" s="51"/>
    </row>
    <row r="3317">
      <c r="A3317" s="54"/>
      <c r="B3317" s="71"/>
      <c r="C3317" s="51"/>
      <c r="D3317" s="114"/>
      <c r="E3317" s="114"/>
      <c r="F3317" s="54"/>
      <c r="G3317" s="54"/>
      <c r="I3317" s="54"/>
      <c r="K3317" s="54"/>
      <c r="M3317" s="114"/>
      <c r="N3317" s="1"/>
      <c r="O3317" s="1"/>
      <c r="P3317" s="51"/>
    </row>
    <row r="3318">
      <c r="A3318" s="54"/>
      <c r="B3318" s="71"/>
      <c r="C3318" s="51"/>
      <c r="D3318" s="114"/>
      <c r="E3318" s="114"/>
      <c r="F3318" s="54"/>
      <c r="G3318" s="54"/>
      <c r="I3318" s="54"/>
      <c r="K3318" s="54"/>
      <c r="M3318" s="114"/>
      <c r="N3318" s="1"/>
      <c r="O3318" s="1"/>
      <c r="P3318" s="51"/>
    </row>
    <row r="3319">
      <c r="A3319" s="54"/>
      <c r="B3319" s="71"/>
      <c r="C3319" s="51"/>
      <c r="D3319" s="114"/>
      <c r="E3319" s="114"/>
      <c r="F3319" s="54"/>
      <c r="G3319" s="54"/>
      <c r="I3319" s="54"/>
      <c r="K3319" s="54"/>
      <c r="M3319" s="114"/>
      <c r="N3319" s="1"/>
      <c r="O3319" s="1"/>
      <c r="P3319" s="51"/>
    </row>
    <row r="3320">
      <c r="A3320" s="54"/>
      <c r="B3320" s="71"/>
      <c r="C3320" s="51"/>
      <c r="D3320" s="114"/>
      <c r="E3320" s="114"/>
      <c r="F3320" s="54"/>
      <c r="G3320" s="54"/>
      <c r="I3320" s="54"/>
      <c r="K3320" s="54"/>
      <c r="M3320" s="114"/>
      <c r="N3320" s="1"/>
      <c r="O3320" s="1"/>
      <c r="P3320" s="51"/>
    </row>
    <row r="3321">
      <c r="A3321" s="54"/>
      <c r="B3321" s="71"/>
      <c r="C3321" s="51"/>
      <c r="D3321" s="114"/>
      <c r="E3321" s="114"/>
      <c r="F3321" s="54"/>
      <c r="G3321" s="54"/>
      <c r="I3321" s="54"/>
      <c r="K3321" s="54"/>
      <c r="M3321" s="114"/>
      <c r="N3321" s="1"/>
      <c r="O3321" s="1"/>
      <c r="P3321" s="51"/>
    </row>
    <row r="3322">
      <c r="A3322" s="54"/>
      <c r="B3322" s="71"/>
      <c r="C3322" s="51"/>
      <c r="D3322" s="114"/>
      <c r="E3322" s="114"/>
      <c r="F3322" s="54"/>
      <c r="G3322" s="54"/>
      <c r="I3322" s="54"/>
      <c r="K3322" s="54"/>
      <c r="M3322" s="114"/>
      <c r="N3322" s="1"/>
      <c r="O3322" s="1"/>
      <c r="P3322" s="51"/>
    </row>
    <row r="3323">
      <c r="A3323" s="54"/>
      <c r="B3323" s="71"/>
      <c r="C3323" s="51"/>
      <c r="D3323" s="114"/>
      <c r="E3323" s="114"/>
      <c r="F3323" s="54"/>
      <c r="G3323" s="54"/>
      <c r="I3323" s="54"/>
      <c r="K3323" s="54"/>
      <c r="M3323" s="114"/>
      <c r="N3323" s="1"/>
      <c r="O3323" s="1"/>
      <c r="P3323" s="51"/>
    </row>
    <row r="3324">
      <c r="A3324" s="54"/>
      <c r="B3324" s="71"/>
      <c r="C3324" s="51"/>
      <c r="D3324" s="114"/>
      <c r="E3324" s="114"/>
      <c r="F3324" s="54"/>
      <c r="G3324" s="54"/>
      <c r="I3324" s="54"/>
      <c r="K3324" s="54"/>
      <c r="M3324" s="114"/>
      <c r="N3324" s="1"/>
      <c r="O3324" s="1"/>
      <c r="P3324" s="51"/>
    </row>
    <row r="3325">
      <c r="A3325" s="54"/>
      <c r="B3325" s="71"/>
      <c r="C3325" s="51"/>
      <c r="D3325" s="114"/>
      <c r="E3325" s="114"/>
      <c r="F3325" s="54"/>
      <c r="G3325" s="54"/>
      <c r="I3325" s="54"/>
      <c r="K3325" s="54"/>
      <c r="M3325" s="114"/>
      <c r="N3325" s="1"/>
      <c r="O3325" s="1"/>
      <c r="P3325" s="51"/>
    </row>
    <row r="3326">
      <c r="A3326" s="54"/>
      <c r="B3326" s="71"/>
      <c r="C3326" s="51"/>
      <c r="D3326" s="114"/>
      <c r="E3326" s="114"/>
      <c r="F3326" s="54"/>
      <c r="G3326" s="54"/>
      <c r="I3326" s="54"/>
      <c r="K3326" s="54"/>
      <c r="M3326" s="114"/>
      <c r="N3326" s="1"/>
      <c r="O3326" s="1"/>
      <c r="P3326" s="51"/>
    </row>
    <row r="3327">
      <c r="A3327" s="54"/>
      <c r="B3327" s="71"/>
      <c r="C3327" s="51"/>
      <c r="D3327" s="114"/>
      <c r="E3327" s="114"/>
      <c r="F3327" s="54"/>
      <c r="G3327" s="54"/>
      <c r="I3327" s="54"/>
      <c r="K3327" s="54"/>
      <c r="M3327" s="114"/>
      <c r="N3327" s="1"/>
      <c r="O3327" s="1"/>
      <c r="P3327" s="51"/>
    </row>
    <row r="3328">
      <c r="A3328" s="54"/>
      <c r="B3328" s="71"/>
      <c r="C3328" s="51"/>
      <c r="D3328" s="114"/>
      <c r="E3328" s="114"/>
      <c r="F3328" s="54"/>
      <c r="G3328" s="54"/>
      <c r="I3328" s="54"/>
      <c r="K3328" s="54"/>
      <c r="M3328" s="114"/>
      <c r="N3328" s="1"/>
      <c r="O3328" s="1"/>
      <c r="P3328" s="51"/>
    </row>
    <row r="3329">
      <c r="A3329" s="54"/>
      <c r="B3329" s="71"/>
      <c r="C3329" s="51"/>
      <c r="D3329" s="114"/>
      <c r="E3329" s="114"/>
      <c r="F3329" s="54"/>
      <c r="G3329" s="54"/>
      <c r="I3329" s="54"/>
      <c r="K3329" s="54"/>
      <c r="M3329" s="114"/>
      <c r="N3329" s="1"/>
      <c r="O3329" s="1"/>
      <c r="P3329" s="51"/>
    </row>
    <row r="3330">
      <c r="A3330" s="54"/>
      <c r="B3330" s="71"/>
      <c r="C3330" s="51"/>
      <c r="D3330" s="114"/>
      <c r="E3330" s="114"/>
      <c r="F3330" s="54"/>
      <c r="G3330" s="54"/>
      <c r="I3330" s="54"/>
      <c r="K3330" s="54"/>
      <c r="M3330" s="114"/>
      <c r="N3330" s="1"/>
      <c r="O3330" s="1"/>
      <c r="P3330" s="51"/>
    </row>
    <row r="3331">
      <c r="A3331" s="54"/>
      <c r="B3331" s="71"/>
      <c r="C3331" s="51"/>
      <c r="D3331" s="114"/>
      <c r="E3331" s="114"/>
      <c r="F3331" s="54"/>
      <c r="G3331" s="54"/>
      <c r="I3331" s="54"/>
      <c r="K3331" s="54"/>
      <c r="M3331" s="114"/>
      <c r="N3331" s="1"/>
      <c r="O3331" s="1"/>
      <c r="P3331" s="51"/>
    </row>
    <row r="3332">
      <c r="A3332" s="54"/>
      <c r="B3332" s="71"/>
      <c r="C3332" s="51"/>
      <c r="D3332" s="114"/>
      <c r="E3332" s="114"/>
      <c r="F3332" s="54"/>
      <c r="G3332" s="54"/>
      <c r="I3332" s="54"/>
      <c r="K3332" s="54"/>
      <c r="M3332" s="114"/>
      <c r="N3332" s="1"/>
      <c r="O3332" s="1"/>
      <c r="P3332" s="51"/>
    </row>
    <row r="3333">
      <c r="A3333" s="54"/>
      <c r="B3333" s="71"/>
      <c r="C3333" s="51"/>
      <c r="D3333" s="114"/>
      <c r="E3333" s="114"/>
      <c r="F3333" s="54"/>
      <c r="G3333" s="54"/>
      <c r="I3333" s="54"/>
      <c r="K3333" s="54"/>
      <c r="M3333" s="114"/>
      <c r="N3333" s="1"/>
      <c r="O3333" s="1"/>
      <c r="P3333" s="51"/>
    </row>
    <row r="3334">
      <c r="A3334" s="54"/>
      <c r="B3334" s="71"/>
      <c r="C3334" s="51"/>
      <c r="D3334" s="114"/>
      <c r="E3334" s="114"/>
      <c r="F3334" s="54"/>
      <c r="G3334" s="54"/>
      <c r="I3334" s="54"/>
      <c r="K3334" s="54"/>
      <c r="M3334" s="114"/>
      <c r="N3334" s="1"/>
      <c r="O3334" s="1"/>
      <c r="P3334" s="51"/>
    </row>
    <row r="3335">
      <c r="A3335" s="54"/>
      <c r="B3335" s="71"/>
      <c r="C3335" s="51"/>
      <c r="D3335" s="114"/>
      <c r="E3335" s="114"/>
      <c r="F3335" s="54"/>
      <c r="G3335" s="54"/>
      <c r="I3335" s="54"/>
      <c r="K3335" s="54"/>
      <c r="M3335" s="114"/>
      <c r="N3335" s="1"/>
      <c r="O3335" s="1"/>
      <c r="P3335" s="51"/>
    </row>
    <row r="3336">
      <c r="A3336" s="54"/>
      <c r="B3336" s="71"/>
      <c r="C3336" s="51"/>
      <c r="D3336" s="114"/>
      <c r="E3336" s="114"/>
      <c r="F3336" s="54"/>
      <c r="G3336" s="54"/>
      <c r="I3336" s="54"/>
      <c r="K3336" s="54"/>
      <c r="M3336" s="114"/>
      <c r="N3336" s="1"/>
      <c r="O3336" s="1"/>
      <c r="P3336" s="51"/>
    </row>
    <row r="3337">
      <c r="A3337" s="54"/>
      <c r="B3337" s="71"/>
      <c r="C3337" s="51"/>
      <c r="D3337" s="114"/>
      <c r="E3337" s="114"/>
      <c r="F3337" s="54"/>
      <c r="G3337" s="54"/>
      <c r="I3337" s="54"/>
      <c r="K3337" s="54"/>
      <c r="M3337" s="114"/>
      <c r="N3337" s="1"/>
      <c r="O3337" s="1"/>
      <c r="P3337" s="51"/>
    </row>
    <row r="3338">
      <c r="A3338" s="54"/>
      <c r="B3338" s="71"/>
      <c r="C3338" s="51"/>
      <c r="D3338" s="114"/>
      <c r="E3338" s="114"/>
      <c r="F3338" s="54"/>
      <c r="G3338" s="54"/>
      <c r="I3338" s="54"/>
      <c r="K3338" s="54"/>
      <c r="M3338" s="114"/>
      <c r="N3338" s="1"/>
      <c r="O3338" s="1"/>
      <c r="P3338" s="51"/>
    </row>
    <row r="3339">
      <c r="A3339" s="54"/>
      <c r="B3339" s="71"/>
      <c r="C3339" s="51"/>
      <c r="D3339" s="114"/>
      <c r="E3339" s="114"/>
      <c r="F3339" s="54"/>
      <c r="G3339" s="54"/>
      <c r="I3339" s="54"/>
      <c r="K3339" s="54"/>
      <c r="M3339" s="114"/>
      <c r="N3339" s="1"/>
      <c r="O3339" s="1"/>
      <c r="P3339" s="51"/>
    </row>
    <row r="3340">
      <c r="A3340" s="54"/>
      <c r="B3340" s="71"/>
      <c r="C3340" s="51"/>
      <c r="D3340" s="114"/>
      <c r="E3340" s="114"/>
      <c r="F3340" s="54"/>
      <c r="G3340" s="54"/>
      <c r="I3340" s="54"/>
      <c r="K3340" s="54"/>
      <c r="M3340" s="114"/>
      <c r="N3340" s="1"/>
      <c r="O3340" s="1"/>
      <c r="P3340" s="51"/>
    </row>
    <row r="3341">
      <c r="A3341" s="54"/>
      <c r="B3341" s="71"/>
      <c r="C3341" s="51"/>
      <c r="D3341" s="114"/>
      <c r="E3341" s="114"/>
      <c r="F3341" s="54"/>
      <c r="G3341" s="54"/>
      <c r="I3341" s="54"/>
      <c r="K3341" s="54"/>
      <c r="M3341" s="114"/>
      <c r="N3341" s="1"/>
      <c r="O3341" s="1"/>
      <c r="P3341" s="51"/>
    </row>
    <row r="3342">
      <c r="A3342" s="54"/>
      <c r="B3342" s="71"/>
      <c r="C3342" s="51"/>
      <c r="D3342" s="114"/>
      <c r="E3342" s="114"/>
      <c r="F3342" s="54"/>
      <c r="G3342" s="54"/>
      <c r="I3342" s="54"/>
      <c r="K3342" s="54"/>
      <c r="M3342" s="114"/>
      <c r="N3342" s="1"/>
      <c r="O3342" s="1"/>
      <c r="P3342" s="51"/>
    </row>
    <row r="3343">
      <c r="A3343" s="54"/>
      <c r="B3343" s="71"/>
      <c r="C3343" s="51"/>
      <c r="D3343" s="114"/>
      <c r="E3343" s="114"/>
      <c r="F3343" s="54"/>
      <c r="G3343" s="54"/>
      <c r="I3343" s="54"/>
      <c r="K3343" s="54"/>
      <c r="M3343" s="114"/>
      <c r="N3343" s="1"/>
      <c r="O3343" s="1"/>
      <c r="P3343" s="51"/>
    </row>
    <row r="3344">
      <c r="A3344" s="54"/>
      <c r="B3344" s="71"/>
      <c r="C3344" s="51"/>
      <c r="D3344" s="114"/>
      <c r="E3344" s="114"/>
      <c r="F3344" s="54"/>
      <c r="G3344" s="54"/>
      <c r="I3344" s="54"/>
      <c r="K3344" s="54"/>
      <c r="M3344" s="114"/>
      <c r="N3344" s="1"/>
      <c r="O3344" s="1"/>
      <c r="P3344" s="51"/>
    </row>
    <row r="3345">
      <c r="A3345" s="54"/>
      <c r="B3345" s="71"/>
      <c r="C3345" s="51"/>
      <c r="D3345" s="114"/>
      <c r="E3345" s="114"/>
      <c r="F3345" s="54"/>
      <c r="G3345" s="54"/>
      <c r="I3345" s="54"/>
      <c r="K3345" s="54"/>
      <c r="M3345" s="114"/>
      <c r="N3345" s="1"/>
      <c r="O3345" s="1"/>
      <c r="P3345" s="51"/>
    </row>
    <row r="3346">
      <c r="A3346" s="54"/>
      <c r="B3346" s="71"/>
      <c r="C3346" s="51"/>
      <c r="D3346" s="114"/>
      <c r="E3346" s="114"/>
      <c r="F3346" s="54"/>
      <c r="G3346" s="54"/>
      <c r="I3346" s="54"/>
      <c r="K3346" s="54"/>
      <c r="M3346" s="114"/>
      <c r="N3346" s="1"/>
      <c r="O3346" s="1"/>
      <c r="P3346" s="51"/>
    </row>
    <row r="3347">
      <c r="A3347" s="54"/>
      <c r="B3347" s="71"/>
      <c r="C3347" s="51"/>
      <c r="D3347" s="114"/>
      <c r="E3347" s="114"/>
      <c r="F3347" s="54"/>
      <c r="G3347" s="54"/>
      <c r="I3347" s="54"/>
      <c r="K3347" s="54"/>
      <c r="M3347" s="114"/>
      <c r="N3347" s="1"/>
      <c r="O3347" s="1"/>
      <c r="P3347" s="51"/>
    </row>
    <row r="3348">
      <c r="A3348" s="54"/>
      <c r="B3348" s="71"/>
      <c r="C3348" s="51"/>
      <c r="D3348" s="114"/>
      <c r="E3348" s="114"/>
      <c r="F3348" s="54"/>
      <c r="G3348" s="54"/>
      <c r="I3348" s="54"/>
      <c r="K3348" s="54"/>
      <c r="M3348" s="114"/>
      <c r="N3348" s="1"/>
      <c r="O3348" s="1"/>
      <c r="P3348" s="51"/>
    </row>
    <row r="3349">
      <c r="A3349" s="54"/>
      <c r="B3349" s="71"/>
      <c r="C3349" s="51"/>
      <c r="D3349" s="114"/>
      <c r="E3349" s="114"/>
      <c r="F3349" s="54"/>
      <c r="G3349" s="54"/>
      <c r="I3349" s="54"/>
      <c r="K3349" s="54"/>
      <c r="M3349" s="114"/>
      <c r="N3349" s="1"/>
      <c r="O3349" s="1"/>
      <c r="P3349" s="51"/>
    </row>
    <row r="3350">
      <c r="A3350" s="54"/>
      <c r="B3350" s="71"/>
      <c r="C3350" s="51"/>
      <c r="D3350" s="114"/>
      <c r="E3350" s="114"/>
      <c r="F3350" s="54"/>
      <c r="G3350" s="54"/>
      <c r="I3350" s="54"/>
      <c r="K3350" s="54"/>
      <c r="M3350" s="114"/>
      <c r="N3350" s="1"/>
      <c r="O3350" s="1"/>
      <c r="P3350" s="51"/>
    </row>
    <row r="3351">
      <c r="A3351" s="54"/>
      <c r="B3351" s="71"/>
      <c r="C3351" s="51"/>
      <c r="D3351" s="114"/>
      <c r="E3351" s="114"/>
      <c r="F3351" s="54"/>
      <c r="G3351" s="54"/>
      <c r="I3351" s="54"/>
      <c r="K3351" s="54"/>
      <c r="M3351" s="114"/>
      <c r="N3351" s="1"/>
      <c r="O3351" s="1"/>
      <c r="P3351" s="51"/>
    </row>
    <row r="3352">
      <c r="A3352" s="54"/>
      <c r="B3352" s="71"/>
      <c r="C3352" s="51"/>
      <c r="D3352" s="114"/>
      <c r="E3352" s="114"/>
      <c r="F3352" s="54"/>
      <c r="G3352" s="54"/>
      <c r="I3352" s="54"/>
      <c r="K3352" s="54"/>
      <c r="M3352" s="114"/>
      <c r="N3352" s="1"/>
      <c r="O3352" s="1"/>
      <c r="P3352" s="51"/>
    </row>
    <row r="3353">
      <c r="A3353" s="54"/>
      <c r="B3353" s="71"/>
      <c r="C3353" s="51"/>
      <c r="D3353" s="114"/>
      <c r="E3353" s="114"/>
      <c r="F3353" s="54"/>
      <c r="G3353" s="54"/>
      <c r="I3353" s="54"/>
      <c r="K3353" s="54"/>
      <c r="M3353" s="114"/>
      <c r="N3353" s="1"/>
      <c r="O3353" s="1"/>
      <c r="P3353" s="51"/>
    </row>
    <row r="3354">
      <c r="A3354" s="54"/>
      <c r="B3354" s="71"/>
      <c r="C3354" s="51"/>
      <c r="D3354" s="114"/>
      <c r="E3354" s="114"/>
      <c r="F3354" s="54"/>
      <c r="G3354" s="54"/>
      <c r="I3354" s="54"/>
      <c r="K3354" s="54"/>
      <c r="M3354" s="114"/>
      <c r="N3354" s="1"/>
      <c r="O3354" s="1"/>
      <c r="P3354" s="51"/>
    </row>
    <row r="3355">
      <c r="A3355" s="54"/>
      <c r="B3355" s="71"/>
      <c r="C3355" s="51"/>
      <c r="D3355" s="114"/>
      <c r="E3355" s="114"/>
      <c r="F3355" s="54"/>
      <c r="G3355" s="54"/>
      <c r="I3355" s="54"/>
      <c r="K3355" s="54"/>
      <c r="M3355" s="114"/>
      <c r="N3355" s="1"/>
      <c r="O3355" s="1"/>
      <c r="P3355" s="51"/>
    </row>
    <row r="3356">
      <c r="A3356" s="54"/>
      <c r="B3356" s="71"/>
      <c r="C3356" s="51"/>
      <c r="D3356" s="114"/>
      <c r="E3356" s="114"/>
      <c r="F3356" s="54"/>
      <c r="G3356" s="54"/>
      <c r="I3356" s="54"/>
      <c r="K3356" s="54"/>
      <c r="M3356" s="114"/>
      <c r="N3356" s="1"/>
      <c r="O3356" s="1"/>
      <c r="P3356" s="51"/>
    </row>
    <row r="3357">
      <c r="A3357" s="54"/>
      <c r="B3357" s="71"/>
      <c r="C3357" s="51"/>
      <c r="D3357" s="114"/>
      <c r="E3357" s="114"/>
      <c r="F3357" s="54"/>
      <c r="G3357" s="54"/>
      <c r="I3357" s="54"/>
      <c r="K3357" s="54"/>
      <c r="M3357" s="114"/>
      <c r="N3357" s="1"/>
      <c r="O3357" s="1"/>
      <c r="P3357" s="51"/>
    </row>
    <row r="3358">
      <c r="A3358" s="54"/>
      <c r="B3358" s="71"/>
      <c r="C3358" s="51"/>
      <c r="D3358" s="114"/>
      <c r="E3358" s="114"/>
      <c r="F3358" s="54"/>
      <c r="G3358" s="54"/>
      <c r="I3358" s="54"/>
      <c r="K3358" s="54"/>
      <c r="M3358" s="114"/>
      <c r="N3358" s="1"/>
      <c r="O3358" s="1"/>
      <c r="P3358" s="51"/>
    </row>
    <row r="3359">
      <c r="A3359" s="54"/>
      <c r="B3359" s="71"/>
      <c r="C3359" s="51"/>
      <c r="D3359" s="114"/>
      <c r="E3359" s="114"/>
      <c r="F3359" s="54"/>
      <c r="G3359" s="54"/>
      <c r="I3359" s="54"/>
      <c r="K3359" s="54"/>
      <c r="M3359" s="114"/>
      <c r="N3359" s="1"/>
      <c r="O3359" s="1"/>
      <c r="P3359" s="51"/>
    </row>
    <row r="3360">
      <c r="A3360" s="54"/>
      <c r="B3360" s="71"/>
      <c r="C3360" s="51"/>
      <c r="D3360" s="114"/>
      <c r="E3360" s="114"/>
      <c r="F3360" s="54"/>
      <c r="G3360" s="54"/>
      <c r="I3360" s="54"/>
      <c r="K3360" s="54"/>
      <c r="M3360" s="114"/>
      <c r="N3360" s="1"/>
      <c r="O3360" s="1"/>
      <c r="P3360" s="51"/>
    </row>
    <row r="3361">
      <c r="A3361" s="54"/>
      <c r="B3361" s="71"/>
      <c r="C3361" s="51"/>
      <c r="D3361" s="114"/>
      <c r="E3361" s="114"/>
      <c r="F3361" s="54"/>
      <c r="G3361" s="54"/>
      <c r="I3361" s="54"/>
      <c r="K3361" s="54"/>
      <c r="M3361" s="114"/>
      <c r="N3361" s="1"/>
      <c r="O3361" s="1"/>
      <c r="P3361" s="51"/>
    </row>
    <row r="3362">
      <c r="A3362" s="54"/>
      <c r="B3362" s="71"/>
      <c r="C3362" s="51"/>
      <c r="D3362" s="114"/>
      <c r="E3362" s="114"/>
      <c r="F3362" s="54"/>
      <c r="G3362" s="54"/>
      <c r="I3362" s="54"/>
      <c r="K3362" s="54"/>
      <c r="M3362" s="114"/>
      <c r="N3362" s="1"/>
      <c r="O3362" s="1"/>
      <c r="P3362" s="51"/>
    </row>
    <row r="3363">
      <c r="A3363" s="54"/>
      <c r="B3363" s="71"/>
      <c r="C3363" s="51"/>
      <c r="D3363" s="114"/>
      <c r="E3363" s="114"/>
      <c r="F3363" s="54"/>
      <c r="G3363" s="54"/>
      <c r="I3363" s="54"/>
      <c r="K3363" s="54"/>
      <c r="M3363" s="114"/>
      <c r="N3363" s="1"/>
      <c r="O3363" s="1"/>
      <c r="P3363" s="51"/>
    </row>
    <row r="3364">
      <c r="A3364" s="54"/>
      <c r="B3364" s="71"/>
      <c r="C3364" s="51"/>
      <c r="D3364" s="114"/>
      <c r="E3364" s="114"/>
      <c r="F3364" s="54"/>
      <c r="G3364" s="54"/>
      <c r="I3364" s="54"/>
      <c r="K3364" s="54"/>
      <c r="M3364" s="114"/>
      <c r="N3364" s="1"/>
      <c r="O3364" s="1"/>
      <c r="P3364" s="51"/>
    </row>
    <row r="3365">
      <c r="A3365" s="54"/>
      <c r="B3365" s="71"/>
      <c r="C3365" s="51"/>
      <c r="D3365" s="114"/>
      <c r="E3365" s="114"/>
      <c r="F3365" s="54"/>
      <c r="G3365" s="54"/>
      <c r="I3365" s="54"/>
      <c r="K3365" s="54"/>
      <c r="M3365" s="114"/>
      <c r="N3365" s="1"/>
      <c r="O3365" s="1"/>
      <c r="P3365" s="51"/>
    </row>
    <row r="3366">
      <c r="A3366" s="54"/>
      <c r="B3366" s="71"/>
      <c r="C3366" s="51"/>
      <c r="D3366" s="114"/>
      <c r="E3366" s="114"/>
      <c r="F3366" s="54"/>
      <c r="G3366" s="54"/>
      <c r="I3366" s="54"/>
      <c r="K3366" s="54"/>
      <c r="M3366" s="114"/>
      <c r="N3366" s="1"/>
      <c r="O3366" s="1"/>
      <c r="P3366" s="51"/>
    </row>
    <row r="3367">
      <c r="A3367" s="54"/>
      <c r="B3367" s="71"/>
      <c r="C3367" s="51"/>
      <c r="D3367" s="114"/>
      <c r="E3367" s="114"/>
      <c r="F3367" s="54"/>
      <c r="G3367" s="54"/>
      <c r="I3367" s="54"/>
      <c r="K3367" s="54"/>
      <c r="M3367" s="114"/>
      <c r="N3367" s="1"/>
      <c r="O3367" s="1"/>
      <c r="P3367" s="51"/>
    </row>
    <row r="3368">
      <c r="A3368" s="54"/>
      <c r="B3368" s="71"/>
      <c r="C3368" s="51"/>
      <c r="D3368" s="114"/>
      <c r="E3368" s="114"/>
      <c r="F3368" s="54"/>
      <c r="G3368" s="54"/>
      <c r="I3368" s="54"/>
      <c r="K3368" s="54"/>
      <c r="M3368" s="114"/>
      <c r="N3368" s="1"/>
      <c r="O3368" s="1"/>
      <c r="P3368" s="51"/>
    </row>
    <row r="3369">
      <c r="A3369" s="54"/>
      <c r="B3369" s="71"/>
      <c r="C3369" s="51"/>
      <c r="D3369" s="114"/>
      <c r="E3369" s="114"/>
      <c r="F3369" s="54"/>
      <c r="G3369" s="54"/>
      <c r="I3369" s="54"/>
      <c r="K3369" s="54"/>
      <c r="M3369" s="114"/>
      <c r="N3369" s="1"/>
      <c r="O3369" s="1"/>
      <c r="P3369" s="51"/>
    </row>
    <row r="3370">
      <c r="A3370" s="54"/>
      <c r="B3370" s="71"/>
      <c r="C3370" s="51"/>
      <c r="D3370" s="114"/>
      <c r="E3370" s="114"/>
      <c r="F3370" s="54"/>
      <c r="G3370" s="54"/>
      <c r="I3370" s="54"/>
      <c r="K3370" s="54"/>
      <c r="M3370" s="114"/>
      <c r="N3370" s="1"/>
      <c r="O3370" s="1"/>
      <c r="P3370" s="51"/>
    </row>
    <row r="3371">
      <c r="A3371" s="54"/>
      <c r="B3371" s="71"/>
      <c r="C3371" s="51"/>
      <c r="D3371" s="114"/>
      <c r="E3371" s="114"/>
      <c r="F3371" s="54"/>
      <c r="G3371" s="54"/>
      <c r="I3371" s="54"/>
      <c r="K3371" s="54"/>
      <c r="M3371" s="114"/>
      <c r="N3371" s="1"/>
      <c r="O3371" s="1"/>
      <c r="P3371" s="51"/>
    </row>
    <row r="3372">
      <c r="A3372" s="54"/>
      <c r="B3372" s="71"/>
      <c r="C3372" s="51"/>
      <c r="D3372" s="114"/>
      <c r="E3372" s="114"/>
      <c r="F3372" s="54"/>
      <c r="G3372" s="54"/>
      <c r="I3372" s="54"/>
      <c r="K3372" s="54"/>
      <c r="M3372" s="114"/>
      <c r="N3372" s="1"/>
      <c r="O3372" s="1"/>
      <c r="P3372" s="51"/>
    </row>
    <row r="3373">
      <c r="A3373" s="54"/>
      <c r="B3373" s="71"/>
      <c r="C3373" s="51"/>
      <c r="D3373" s="114"/>
      <c r="E3373" s="114"/>
      <c r="F3373" s="54"/>
      <c r="G3373" s="54"/>
      <c r="I3373" s="54"/>
      <c r="K3373" s="54"/>
      <c r="M3373" s="114"/>
      <c r="N3373" s="1"/>
      <c r="O3373" s="1"/>
      <c r="P3373" s="51"/>
    </row>
    <row r="3374">
      <c r="A3374" s="54"/>
      <c r="B3374" s="71"/>
      <c r="C3374" s="51"/>
      <c r="D3374" s="114"/>
      <c r="E3374" s="114"/>
      <c r="F3374" s="54"/>
      <c r="G3374" s="54"/>
      <c r="I3374" s="54"/>
      <c r="K3374" s="54"/>
      <c r="M3374" s="114"/>
      <c r="N3374" s="1"/>
      <c r="O3374" s="1"/>
      <c r="P3374" s="51"/>
    </row>
    <row r="3375">
      <c r="A3375" s="54"/>
      <c r="B3375" s="71"/>
      <c r="C3375" s="51"/>
      <c r="D3375" s="114"/>
      <c r="E3375" s="114"/>
      <c r="F3375" s="54"/>
      <c r="G3375" s="54"/>
      <c r="I3375" s="54"/>
      <c r="K3375" s="54"/>
      <c r="M3375" s="114"/>
      <c r="N3375" s="1"/>
      <c r="O3375" s="1"/>
      <c r="P3375" s="51"/>
    </row>
    <row r="3376">
      <c r="A3376" s="54"/>
      <c r="B3376" s="71"/>
      <c r="C3376" s="51"/>
      <c r="D3376" s="114"/>
      <c r="E3376" s="114"/>
      <c r="F3376" s="54"/>
      <c r="G3376" s="54"/>
      <c r="I3376" s="54"/>
      <c r="K3376" s="54"/>
      <c r="M3376" s="114"/>
      <c r="N3376" s="1"/>
      <c r="O3376" s="1"/>
      <c r="P3376" s="51"/>
    </row>
    <row r="3377">
      <c r="A3377" s="54"/>
      <c r="B3377" s="71"/>
      <c r="C3377" s="51"/>
      <c r="D3377" s="114"/>
      <c r="E3377" s="114"/>
      <c r="F3377" s="54"/>
      <c r="G3377" s="54"/>
      <c r="I3377" s="54"/>
      <c r="K3377" s="54"/>
      <c r="M3377" s="114"/>
      <c r="N3377" s="1"/>
      <c r="O3377" s="1"/>
      <c r="P3377" s="51"/>
    </row>
    <row r="3378">
      <c r="A3378" s="54"/>
      <c r="B3378" s="71"/>
      <c r="C3378" s="51"/>
      <c r="D3378" s="114"/>
      <c r="E3378" s="114"/>
      <c r="F3378" s="54"/>
      <c r="G3378" s="54"/>
      <c r="I3378" s="54"/>
      <c r="K3378" s="54"/>
      <c r="M3378" s="114"/>
      <c r="N3378" s="1"/>
      <c r="O3378" s="1"/>
      <c r="P3378" s="51"/>
    </row>
    <row r="3379">
      <c r="A3379" s="54"/>
      <c r="B3379" s="71"/>
      <c r="C3379" s="51"/>
      <c r="D3379" s="114"/>
      <c r="E3379" s="114"/>
      <c r="F3379" s="54"/>
      <c r="G3379" s="54"/>
      <c r="I3379" s="54"/>
      <c r="K3379" s="54"/>
      <c r="M3379" s="114"/>
      <c r="N3379" s="1"/>
      <c r="O3379" s="1"/>
      <c r="P3379" s="51"/>
    </row>
    <row r="3380">
      <c r="A3380" s="54"/>
      <c r="B3380" s="71"/>
      <c r="C3380" s="51"/>
      <c r="D3380" s="114"/>
      <c r="E3380" s="114"/>
      <c r="F3380" s="54"/>
      <c r="G3380" s="54"/>
      <c r="I3380" s="54"/>
      <c r="K3380" s="54"/>
      <c r="M3380" s="114"/>
      <c r="N3380" s="1"/>
      <c r="O3380" s="1"/>
      <c r="P3380" s="51"/>
    </row>
    <row r="3381">
      <c r="A3381" s="54"/>
      <c r="B3381" s="71"/>
      <c r="C3381" s="51"/>
      <c r="D3381" s="114"/>
      <c r="E3381" s="114"/>
      <c r="F3381" s="54"/>
      <c r="G3381" s="54"/>
      <c r="I3381" s="54"/>
      <c r="K3381" s="54"/>
      <c r="M3381" s="114"/>
      <c r="N3381" s="1"/>
      <c r="O3381" s="1"/>
      <c r="P3381" s="51"/>
    </row>
    <row r="3382">
      <c r="A3382" s="54"/>
      <c r="B3382" s="71"/>
      <c r="C3382" s="51"/>
      <c r="D3382" s="114"/>
      <c r="E3382" s="114"/>
      <c r="F3382" s="54"/>
      <c r="G3382" s="54"/>
      <c r="I3382" s="54"/>
      <c r="K3382" s="54"/>
      <c r="M3382" s="114"/>
      <c r="N3382" s="1"/>
      <c r="O3382" s="1"/>
      <c r="P3382" s="51"/>
    </row>
    <row r="3383">
      <c r="A3383" s="54"/>
      <c r="B3383" s="71"/>
      <c r="C3383" s="51"/>
      <c r="D3383" s="114"/>
      <c r="E3383" s="114"/>
      <c r="F3383" s="54"/>
      <c r="G3383" s="54"/>
      <c r="I3383" s="54"/>
      <c r="K3383" s="54"/>
      <c r="M3383" s="114"/>
      <c r="N3383" s="1"/>
      <c r="O3383" s="1"/>
      <c r="P3383" s="51"/>
    </row>
    <row r="3384">
      <c r="A3384" s="54"/>
      <c r="B3384" s="71"/>
      <c r="C3384" s="51"/>
      <c r="D3384" s="114"/>
      <c r="E3384" s="114"/>
      <c r="F3384" s="54"/>
      <c r="G3384" s="54"/>
      <c r="I3384" s="54"/>
      <c r="K3384" s="54"/>
      <c r="M3384" s="114"/>
      <c r="N3384" s="1"/>
      <c r="O3384" s="1"/>
      <c r="P3384" s="51"/>
    </row>
    <row r="3385">
      <c r="A3385" s="54"/>
      <c r="B3385" s="71"/>
      <c r="C3385" s="51"/>
      <c r="D3385" s="114"/>
      <c r="E3385" s="114"/>
      <c r="F3385" s="54"/>
      <c r="G3385" s="54"/>
      <c r="I3385" s="54"/>
      <c r="K3385" s="54"/>
      <c r="M3385" s="114"/>
      <c r="N3385" s="1"/>
      <c r="O3385" s="1"/>
      <c r="P3385" s="51"/>
    </row>
    <row r="3386">
      <c r="A3386" s="54"/>
      <c r="B3386" s="71"/>
      <c r="C3386" s="51"/>
      <c r="D3386" s="114"/>
      <c r="E3386" s="114"/>
      <c r="F3386" s="54"/>
      <c r="G3386" s="54"/>
      <c r="I3386" s="54"/>
      <c r="K3386" s="54"/>
      <c r="M3386" s="114"/>
      <c r="N3386" s="1"/>
      <c r="O3386" s="1"/>
      <c r="P3386" s="51"/>
    </row>
    <row r="3387">
      <c r="A3387" s="54"/>
      <c r="B3387" s="71"/>
      <c r="C3387" s="51"/>
      <c r="D3387" s="114"/>
      <c r="E3387" s="114"/>
      <c r="F3387" s="54"/>
      <c r="G3387" s="54"/>
      <c r="I3387" s="54"/>
      <c r="K3387" s="54"/>
      <c r="M3387" s="114"/>
      <c r="N3387" s="1"/>
      <c r="O3387" s="1"/>
      <c r="P3387" s="51"/>
    </row>
    <row r="3388">
      <c r="A3388" s="54"/>
      <c r="B3388" s="71"/>
      <c r="C3388" s="51"/>
      <c r="D3388" s="114"/>
      <c r="E3388" s="114"/>
      <c r="F3388" s="54"/>
      <c r="G3388" s="54"/>
      <c r="I3388" s="54"/>
      <c r="K3388" s="54"/>
      <c r="M3388" s="114"/>
      <c r="N3388" s="1"/>
      <c r="O3388" s="1"/>
      <c r="P3388" s="51"/>
    </row>
    <row r="3389">
      <c r="A3389" s="54"/>
      <c r="B3389" s="71"/>
      <c r="C3389" s="51"/>
      <c r="D3389" s="114"/>
      <c r="E3389" s="114"/>
      <c r="F3389" s="54"/>
      <c r="G3389" s="54"/>
      <c r="I3389" s="54"/>
      <c r="K3389" s="54"/>
      <c r="M3389" s="114"/>
      <c r="N3389" s="1"/>
      <c r="O3389" s="1"/>
      <c r="P3389" s="51"/>
    </row>
    <row r="3390">
      <c r="A3390" s="54"/>
      <c r="B3390" s="71"/>
      <c r="C3390" s="51"/>
      <c r="D3390" s="114"/>
      <c r="E3390" s="114"/>
      <c r="F3390" s="54"/>
      <c r="G3390" s="54"/>
      <c r="I3390" s="54"/>
      <c r="K3390" s="54"/>
      <c r="M3390" s="114"/>
      <c r="N3390" s="1"/>
      <c r="O3390" s="1"/>
      <c r="P3390" s="51"/>
    </row>
    <row r="3391">
      <c r="A3391" s="54"/>
      <c r="B3391" s="71"/>
      <c r="C3391" s="51"/>
      <c r="D3391" s="114"/>
      <c r="E3391" s="114"/>
      <c r="F3391" s="54"/>
      <c r="G3391" s="54"/>
      <c r="I3391" s="54"/>
      <c r="K3391" s="54"/>
      <c r="M3391" s="114"/>
      <c r="N3391" s="1"/>
      <c r="O3391" s="1"/>
      <c r="P3391" s="51"/>
    </row>
    <row r="3392">
      <c r="A3392" s="54"/>
      <c r="B3392" s="71"/>
      <c r="C3392" s="51"/>
      <c r="D3392" s="114"/>
      <c r="E3392" s="114"/>
      <c r="F3392" s="54"/>
      <c r="G3392" s="54"/>
      <c r="I3392" s="54"/>
      <c r="K3392" s="54"/>
      <c r="M3392" s="114"/>
      <c r="N3392" s="1"/>
      <c r="O3392" s="1"/>
      <c r="P3392" s="51"/>
    </row>
    <row r="3393">
      <c r="A3393" s="54"/>
      <c r="B3393" s="71"/>
      <c r="C3393" s="51"/>
      <c r="D3393" s="114"/>
      <c r="E3393" s="114"/>
      <c r="F3393" s="54"/>
      <c r="G3393" s="54"/>
      <c r="I3393" s="54"/>
      <c r="K3393" s="54"/>
      <c r="M3393" s="114"/>
      <c r="N3393" s="1"/>
      <c r="O3393" s="1"/>
      <c r="P3393" s="51"/>
    </row>
    <row r="3394">
      <c r="A3394" s="54"/>
      <c r="B3394" s="71"/>
      <c r="C3394" s="51"/>
      <c r="D3394" s="114"/>
      <c r="E3394" s="114"/>
      <c r="F3394" s="54"/>
      <c r="G3394" s="54"/>
      <c r="I3394" s="54"/>
      <c r="K3394" s="54"/>
      <c r="M3394" s="114"/>
      <c r="N3394" s="1"/>
      <c r="O3394" s="1"/>
      <c r="P3394" s="51"/>
    </row>
    <row r="3395">
      <c r="A3395" s="54"/>
      <c r="B3395" s="71"/>
      <c r="C3395" s="51"/>
      <c r="D3395" s="114"/>
      <c r="E3395" s="114"/>
      <c r="F3395" s="54"/>
      <c r="G3395" s="54"/>
      <c r="I3395" s="54"/>
      <c r="K3395" s="54"/>
      <c r="M3395" s="114"/>
      <c r="N3395" s="1"/>
      <c r="O3395" s="1"/>
      <c r="P3395" s="51"/>
    </row>
    <row r="3396">
      <c r="A3396" s="54"/>
      <c r="B3396" s="71"/>
      <c r="C3396" s="51"/>
      <c r="D3396" s="114"/>
      <c r="E3396" s="114"/>
      <c r="F3396" s="54"/>
      <c r="G3396" s="54"/>
      <c r="I3396" s="54"/>
      <c r="K3396" s="54"/>
      <c r="M3396" s="114"/>
      <c r="N3396" s="1"/>
      <c r="O3396" s="1"/>
      <c r="P3396" s="51"/>
    </row>
    <row r="3397">
      <c r="A3397" s="54"/>
      <c r="B3397" s="71"/>
      <c r="C3397" s="51"/>
      <c r="D3397" s="114"/>
      <c r="E3397" s="114"/>
      <c r="F3397" s="54"/>
      <c r="G3397" s="54"/>
      <c r="I3397" s="54"/>
      <c r="K3397" s="54"/>
      <c r="M3397" s="114"/>
      <c r="N3397" s="1"/>
      <c r="O3397" s="1"/>
      <c r="P3397" s="51"/>
    </row>
    <row r="3398">
      <c r="A3398" s="54"/>
      <c r="B3398" s="71"/>
      <c r="C3398" s="51"/>
      <c r="D3398" s="114"/>
      <c r="E3398" s="114"/>
      <c r="F3398" s="54"/>
      <c r="G3398" s="54"/>
      <c r="I3398" s="54"/>
      <c r="K3398" s="54"/>
      <c r="M3398" s="114"/>
      <c r="N3398" s="1"/>
      <c r="O3398" s="1"/>
      <c r="P3398" s="51"/>
    </row>
    <row r="3399">
      <c r="A3399" s="54"/>
      <c r="B3399" s="71"/>
      <c r="C3399" s="51"/>
      <c r="D3399" s="114"/>
      <c r="E3399" s="114"/>
      <c r="F3399" s="54"/>
      <c r="G3399" s="54"/>
      <c r="I3399" s="54"/>
      <c r="K3399" s="54"/>
      <c r="M3399" s="114"/>
      <c r="N3399" s="1"/>
      <c r="O3399" s="1"/>
      <c r="P3399" s="51"/>
    </row>
    <row r="3400">
      <c r="A3400" s="54"/>
      <c r="B3400" s="71"/>
      <c r="C3400" s="51"/>
      <c r="D3400" s="114"/>
      <c r="E3400" s="114"/>
      <c r="F3400" s="54"/>
      <c r="G3400" s="54"/>
      <c r="I3400" s="54"/>
      <c r="K3400" s="54"/>
      <c r="M3400" s="114"/>
      <c r="N3400" s="1"/>
      <c r="O3400" s="1"/>
      <c r="P3400" s="51"/>
    </row>
    <row r="3401">
      <c r="A3401" s="54"/>
      <c r="B3401" s="71"/>
      <c r="C3401" s="51"/>
      <c r="D3401" s="114"/>
      <c r="E3401" s="114"/>
      <c r="F3401" s="54"/>
      <c r="G3401" s="54"/>
      <c r="I3401" s="54"/>
      <c r="K3401" s="54"/>
      <c r="M3401" s="114"/>
      <c r="N3401" s="1"/>
      <c r="O3401" s="1"/>
      <c r="P3401" s="51"/>
    </row>
    <row r="3402">
      <c r="A3402" s="54"/>
      <c r="B3402" s="71"/>
      <c r="C3402" s="51"/>
      <c r="D3402" s="114"/>
      <c r="E3402" s="114"/>
      <c r="F3402" s="54"/>
      <c r="G3402" s="54"/>
      <c r="I3402" s="54"/>
      <c r="K3402" s="54"/>
      <c r="M3402" s="114"/>
      <c r="N3402" s="1"/>
      <c r="O3402" s="1"/>
      <c r="P3402" s="51"/>
    </row>
    <row r="3403">
      <c r="A3403" s="54"/>
      <c r="B3403" s="71"/>
      <c r="C3403" s="51"/>
      <c r="D3403" s="114"/>
      <c r="E3403" s="114"/>
      <c r="F3403" s="54"/>
      <c r="G3403" s="54"/>
      <c r="I3403" s="54"/>
      <c r="K3403" s="54"/>
      <c r="M3403" s="114"/>
      <c r="N3403" s="1"/>
      <c r="O3403" s="1"/>
      <c r="P3403" s="51"/>
    </row>
    <row r="3404">
      <c r="A3404" s="54"/>
      <c r="B3404" s="71"/>
      <c r="C3404" s="51"/>
      <c r="D3404" s="114"/>
      <c r="E3404" s="114"/>
      <c r="F3404" s="54"/>
      <c r="G3404" s="54"/>
      <c r="I3404" s="54"/>
      <c r="K3404" s="54"/>
      <c r="M3404" s="114"/>
      <c r="N3404" s="1"/>
      <c r="O3404" s="1"/>
      <c r="P3404" s="51"/>
    </row>
    <row r="3405">
      <c r="A3405" s="54"/>
      <c r="B3405" s="71"/>
      <c r="C3405" s="51"/>
      <c r="D3405" s="114"/>
      <c r="E3405" s="114"/>
      <c r="F3405" s="54"/>
      <c r="G3405" s="54"/>
      <c r="I3405" s="54"/>
      <c r="K3405" s="54"/>
      <c r="M3405" s="114"/>
      <c r="N3405" s="1"/>
      <c r="O3405" s="1"/>
      <c r="P3405" s="51"/>
    </row>
    <row r="3406">
      <c r="A3406" s="54"/>
      <c r="B3406" s="71"/>
      <c r="C3406" s="51"/>
      <c r="D3406" s="114"/>
      <c r="E3406" s="114"/>
      <c r="F3406" s="54"/>
      <c r="G3406" s="54"/>
      <c r="I3406" s="54"/>
      <c r="K3406" s="54"/>
      <c r="M3406" s="114"/>
      <c r="N3406" s="1"/>
      <c r="O3406" s="1"/>
      <c r="P3406" s="51"/>
    </row>
    <row r="3407">
      <c r="A3407" s="54"/>
      <c r="B3407" s="71"/>
      <c r="C3407" s="51"/>
      <c r="D3407" s="114"/>
      <c r="E3407" s="114"/>
      <c r="F3407" s="54"/>
      <c r="G3407" s="54"/>
      <c r="I3407" s="54"/>
      <c r="K3407" s="54"/>
      <c r="M3407" s="114"/>
      <c r="N3407" s="1"/>
      <c r="O3407" s="1"/>
      <c r="P3407" s="51"/>
    </row>
    <row r="3408">
      <c r="A3408" s="54"/>
      <c r="B3408" s="71"/>
      <c r="C3408" s="51"/>
      <c r="D3408" s="114"/>
      <c r="E3408" s="114"/>
      <c r="F3408" s="54"/>
      <c r="G3408" s="54"/>
      <c r="I3408" s="54"/>
      <c r="K3408" s="54"/>
      <c r="M3408" s="114"/>
      <c r="N3408" s="1"/>
      <c r="O3408" s="1"/>
      <c r="P3408" s="51"/>
    </row>
    <row r="3409">
      <c r="A3409" s="54"/>
      <c r="B3409" s="71"/>
      <c r="C3409" s="51"/>
      <c r="D3409" s="114"/>
      <c r="E3409" s="114"/>
      <c r="F3409" s="54"/>
      <c r="G3409" s="54"/>
      <c r="I3409" s="54"/>
      <c r="K3409" s="54"/>
      <c r="M3409" s="114"/>
      <c r="N3409" s="1"/>
      <c r="O3409" s="1"/>
      <c r="P3409" s="51"/>
    </row>
    <row r="3410">
      <c r="A3410" s="54"/>
      <c r="B3410" s="71"/>
      <c r="C3410" s="51"/>
      <c r="D3410" s="114"/>
      <c r="E3410" s="114"/>
      <c r="F3410" s="54"/>
      <c r="G3410" s="54"/>
      <c r="I3410" s="54"/>
      <c r="K3410" s="54"/>
      <c r="M3410" s="114"/>
      <c r="N3410" s="1"/>
      <c r="O3410" s="1"/>
      <c r="P3410" s="51"/>
    </row>
    <row r="3411">
      <c r="A3411" s="54"/>
      <c r="B3411" s="71"/>
      <c r="C3411" s="51"/>
      <c r="D3411" s="114"/>
      <c r="E3411" s="114"/>
      <c r="F3411" s="54"/>
      <c r="G3411" s="54"/>
      <c r="I3411" s="54"/>
      <c r="K3411" s="54"/>
      <c r="M3411" s="114"/>
      <c r="N3411" s="1"/>
      <c r="O3411" s="1"/>
      <c r="P3411" s="51"/>
    </row>
    <row r="3412">
      <c r="A3412" s="54"/>
      <c r="B3412" s="71"/>
      <c r="C3412" s="51"/>
      <c r="D3412" s="114"/>
      <c r="E3412" s="114"/>
      <c r="F3412" s="54"/>
      <c r="G3412" s="54"/>
      <c r="I3412" s="54"/>
      <c r="K3412" s="54"/>
      <c r="M3412" s="114"/>
      <c r="N3412" s="1"/>
      <c r="O3412" s="1"/>
      <c r="P3412" s="51"/>
    </row>
    <row r="3413">
      <c r="A3413" s="54"/>
      <c r="B3413" s="71"/>
      <c r="C3413" s="51"/>
      <c r="D3413" s="114"/>
      <c r="E3413" s="114"/>
      <c r="F3413" s="54"/>
      <c r="G3413" s="54"/>
      <c r="I3413" s="54"/>
      <c r="K3413" s="54"/>
      <c r="M3413" s="114"/>
      <c r="N3413" s="1"/>
      <c r="O3413" s="1"/>
      <c r="P3413" s="51"/>
    </row>
    <row r="3414">
      <c r="A3414" s="54"/>
      <c r="B3414" s="71"/>
      <c r="C3414" s="51"/>
      <c r="D3414" s="114"/>
      <c r="E3414" s="114"/>
      <c r="F3414" s="54"/>
      <c r="G3414" s="54"/>
      <c r="I3414" s="54"/>
      <c r="K3414" s="54"/>
      <c r="M3414" s="114"/>
      <c r="N3414" s="1"/>
      <c r="O3414" s="1"/>
      <c r="P3414" s="51"/>
    </row>
    <row r="3415">
      <c r="A3415" s="54"/>
      <c r="B3415" s="71"/>
      <c r="C3415" s="51"/>
      <c r="D3415" s="114"/>
      <c r="E3415" s="114"/>
      <c r="F3415" s="54"/>
      <c r="G3415" s="54"/>
      <c r="I3415" s="54"/>
      <c r="K3415" s="54"/>
      <c r="M3415" s="114"/>
      <c r="N3415" s="1"/>
      <c r="O3415" s="1"/>
      <c r="P3415" s="51"/>
    </row>
    <row r="3416">
      <c r="A3416" s="54"/>
      <c r="B3416" s="71"/>
      <c r="C3416" s="51"/>
      <c r="D3416" s="114"/>
      <c r="E3416" s="114"/>
      <c r="F3416" s="54"/>
      <c r="G3416" s="54"/>
      <c r="I3416" s="54"/>
      <c r="K3416" s="54"/>
      <c r="M3416" s="114"/>
      <c r="N3416" s="1"/>
      <c r="O3416" s="1"/>
      <c r="P3416" s="51"/>
    </row>
    <row r="3417">
      <c r="A3417" s="54"/>
      <c r="B3417" s="71"/>
      <c r="C3417" s="51"/>
      <c r="D3417" s="114"/>
      <c r="E3417" s="114"/>
      <c r="F3417" s="54"/>
      <c r="G3417" s="54"/>
      <c r="I3417" s="54"/>
      <c r="K3417" s="54"/>
      <c r="M3417" s="114"/>
      <c r="N3417" s="1"/>
      <c r="O3417" s="1"/>
      <c r="P3417" s="51"/>
    </row>
    <row r="3418">
      <c r="A3418" s="54"/>
      <c r="B3418" s="71"/>
      <c r="C3418" s="51"/>
      <c r="D3418" s="114"/>
      <c r="E3418" s="114"/>
      <c r="F3418" s="54"/>
      <c r="G3418" s="54"/>
      <c r="I3418" s="54"/>
      <c r="K3418" s="54"/>
      <c r="M3418" s="114"/>
      <c r="N3418" s="1"/>
      <c r="O3418" s="1"/>
      <c r="P3418" s="51"/>
    </row>
    <row r="3419">
      <c r="A3419" s="54"/>
      <c r="B3419" s="71"/>
      <c r="C3419" s="51"/>
      <c r="D3419" s="114"/>
      <c r="E3419" s="114"/>
      <c r="F3419" s="54"/>
      <c r="G3419" s="54"/>
      <c r="I3419" s="54"/>
      <c r="K3419" s="54"/>
      <c r="M3419" s="114"/>
      <c r="N3419" s="1"/>
      <c r="O3419" s="1"/>
      <c r="P3419" s="51"/>
    </row>
    <row r="3420">
      <c r="A3420" s="54"/>
      <c r="B3420" s="71"/>
      <c r="C3420" s="51"/>
      <c r="D3420" s="114"/>
      <c r="E3420" s="114"/>
      <c r="F3420" s="54"/>
      <c r="G3420" s="54"/>
      <c r="I3420" s="54"/>
      <c r="K3420" s="54"/>
      <c r="M3420" s="114"/>
      <c r="N3420" s="1"/>
      <c r="O3420" s="1"/>
      <c r="P3420" s="51"/>
    </row>
    <row r="3421">
      <c r="A3421" s="54"/>
      <c r="B3421" s="71"/>
      <c r="C3421" s="51"/>
      <c r="D3421" s="114"/>
      <c r="E3421" s="114"/>
      <c r="F3421" s="54"/>
      <c r="G3421" s="54"/>
      <c r="I3421" s="54"/>
      <c r="K3421" s="54"/>
      <c r="M3421" s="114"/>
      <c r="N3421" s="1"/>
      <c r="O3421" s="1"/>
      <c r="P3421" s="51"/>
    </row>
    <row r="3422">
      <c r="A3422" s="54"/>
      <c r="B3422" s="71"/>
      <c r="C3422" s="51"/>
      <c r="D3422" s="114"/>
      <c r="E3422" s="114"/>
      <c r="F3422" s="54"/>
      <c r="G3422" s="54"/>
      <c r="I3422" s="54"/>
      <c r="K3422" s="54"/>
      <c r="M3422" s="114"/>
      <c r="N3422" s="1"/>
      <c r="O3422" s="1"/>
      <c r="P3422" s="51"/>
    </row>
    <row r="3423">
      <c r="A3423" s="54"/>
      <c r="B3423" s="71"/>
      <c r="C3423" s="51"/>
      <c r="D3423" s="114"/>
      <c r="E3423" s="114"/>
      <c r="F3423" s="54"/>
      <c r="G3423" s="54"/>
      <c r="I3423" s="54"/>
      <c r="K3423" s="54"/>
      <c r="M3423" s="114"/>
      <c r="N3423" s="1"/>
      <c r="O3423" s="1"/>
      <c r="P3423" s="51"/>
    </row>
    <row r="3424">
      <c r="A3424" s="54"/>
      <c r="B3424" s="71"/>
      <c r="C3424" s="51"/>
      <c r="D3424" s="114"/>
      <c r="E3424" s="114"/>
      <c r="F3424" s="54"/>
      <c r="G3424" s="54"/>
      <c r="I3424" s="54"/>
      <c r="K3424" s="54"/>
      <c r="M3424" s="114"/>
      <c r="N3424" s="1"/>
      <c r="O3424" s="1"/>
      <c r="P3424" s="51"/>
    </row>
    <row r="3425">
      <c r="A3425" s="54"/>
      <c r="B3425" s="71"/>
      <c r="C3425" s="51"/>
      <c r="D3425" s="114"/>
      <c r="E3425" s="114"/>
      <c r="F3425" s="54"/>
      <c r="G3425" s="54"/>
      <c r="I3425" s="54"/>
      <c r="K3425" s="54"/>
      <c r="M3425" s="114"/>
      <c r="N3425" s="1"/>
      <c r="O3425" s="1"/>
      <c r="P3425" s="51"/>
    </row>
    <row r="3426">
      <c r="A3426" s="54"/>
      <c r="B3426" s="71"/>
      <c r="C3426" s="51"/>
      <c r="D3426" s="114"/>
      <c r="E3426" s="114"/>
      <c r="F3426" s="54"/>
      <c r="G3426" s="54"/>
      <c r="I3426" s="54"/>
      <c r="K3426" s="54"/>
      <c r="M3426" s="114"/>
      <c r="N3426" s="1"/>
      <c r="O3426" s="1"/>
      <c r="P3426" s="51"/>
    </row>
    <row r="3427">
      <c r="A3427" s="54"/>
      <c r="B3427" s="71"/>
      <c r="C3427" s="51"/>
      <c r="D3427" s="114"/>
      <c r="E3427" s="114"/>
      <c r="F3427" s="54"/>
      <c r="G3427" s="54"/>
      <c r="I3427" s="54"/>
      <c r="K3427" s="54"/>
      <c r="M3427" s="114"/>
      <c r="N3427" s="1"/>
      <c r="O3427" s="1"/>
      <c r="P3427" s="51"/>
    </row>
    <row r="3428">
      <c r="A3428" s="54"/>
      <c r="B3428" s="71"/>
      <c r="C3428" s="51"/>
      <c r="D3428" s="114"/>
      <c r="E3428" s="114"/>
      <c r="F3428" s="54"/>
      <c r="G3428" s="54"/>
      <c r="I3428" s="54"/>
      <c r="K3428" s="54"/>
      <c r="M3428" s="114"/>
      <c r="N3428" s="1"/>
      <c r="O3428" s="1"/>
      <c r="P3428" s="51"/>
    </row>
    <row r="3429">
      <c r="A3429" s="54"/>
      <c r="B3429" s="71"/>
      <c r="C3429" s="51"/>
      <c r="D3429" s="114"/>
      <c r="E3429" s="114"/>
      <c r="F3429" s="54"/>
      <c r="G3429" s="54"/>
      <c r="I3429" s="54"/>
      <c r="K3429" s="54"/>
      <c r="M3429" s="114"/>
      <c r="N3429" s="1"/>
      <c r="O3429" s="1"/>
      <c r="P3429" s="51"/>
    </row>
    <row r="3430">
      <c r="A3430" s="54"/>
      <c r="B3430" s="71"/>
      <c r="C3430" s="51"/>
      <c r="D3430" s="114"/>
      <c r="E3430" s="114"/>
      <c r="F3430" s="54"/>
      <c r="G3430" s="54"/>
      <c r="I3430" s="54"/>
      <c r="K3430" s="54"/>
      <c r="M3430" s="114"/>
      <c r="N3430" s="1"/>
      <c r="O3430" s="1"/>
      <c r="P3430" s="51"/>
    </row>
    <row r="3431">
      <c r="A3431" s="54"/>
      <c r="B3431" s="71"/>
      <c r="C3431" s="51"/>
      <c r="D3431" s="114"/>
      <c r="E3431" s="114"/>
      <c r="F3431" s="54"/>
      <c r="G3431" s="54"/>
      <c r="I3431" s="54"/>
      <c r="K3431" s="54"/>
      <c r="M3431" s="114"/>
      <c r="N3431" s="1"/>
      <c r="O3431" s="1"/>
      <c r="P3431" s="51"/>
    </row>
    <row r="3432">
      <c r="A3432" s="54"/>
      <c r="B3432" s="71"/>
      <c r="C3432" s="51"/>
      <c r="D3432" s="114"/>
      <c r="E3432" s="114"/>
      <c r="F3432" s="54"/>
      <c r="G3432" s="54"/>
      <c r="I3432" s="54"/>
      <c r="K3432" s="54"/>
      <c r="M3432" s="114"/>
      <c r="N3432" s="1"/>
      <c r="O3432" s="1"/>
      <c r="P3432" s="51"/>
    </row>
    <row r="3433">
      <c r="A3433" s="54"/>
      <c r="B3433" s="71"/>
      <c r="C3433" s="51"/>
      <c r="D3433" s="114"/>
      <c r="E3433" s="114"/>
      <c r="F3433" s="54"/>
      <c r="G3433" s="54"/>
      <c r="I3433" s="54"/>
      <c r="K3433" s="54"/>
      <c r="M3433" s="114"/>
      <c r="N3433" s="1"/>
      <c r="O3433" s="1"/>
      <c r="P3433" s="51"/>
    </row>
    <row r="3434">
      <c r="A3434" s="54"/>
      <c r="B3434" s="71"/>
      <c r="C3434" s="51"/>
      <c r="D3434" s="114"/>
      <c r="E3434" s="114"/>
      <c r="F3434" s="54"/>
      <c r="G3434" s="54"/>
      <c r="I3434" s="54"/>
      <c r="K3434" s="54"/>
      <c r="M3434" s="114"/>
      <c r="N3434" s="1"/>
      <c r="O3434" s="1"/>
      <c r="P3434" s="51"/>
    </row>
    <row r="3435">
      <c r="A3435" s="54"/>
      <c r="B3435" s="71"/>
      <c r="C3435" s="51"/>
      <c r="D3435" s="114"/>
      <c r="E3435" s="114"/>
      <c r="F3435" s="54"/>
      <c r="G3435" s="54"/>
      <c r="I3435" s="54"/>
      <c r="K3435" s="54"/>
      <c r="M3435" s="114"/>
      <c r="N3435" s="1"/>
      <c r="O3435" s="1"/>
      <c r="P3435" s="51"/>
    </row>
    <row r="3436">
      <c r="A3436" s="54"/>
      <c r="B3436" s="71"/>
      <c r="C3436" s="51"/>
      <c r="D3436" s="114"/>
      <c r="E3436" s="114"/>
      <c r="F3436" s="54"/>
      <c r="G3436" s="54"/>
      <c r="I3436" s="54"/>
      <c r="K3436" s="54"/>
      <c r="M3436" s="114"/>
      <c r="N3436" s="1"/>
      <c r="O3436" s="1"/>
      <c r="P3436" s="51"/>
    </row>
    <row r="3437">
      <c r="A3437" s="54"/>
      <c r="B3437" s="71"/>
      <c r="C3437" s="51"/>
      <c r="D3437" s="114"/>
      <c r="E3437" s="114"/>
      <c r="F3437" s="54"/>
      <c r="G3437" s="54"/>
      <c r="I3437" s="54"/>
      <c r="K3437" s="54"/>
      <c r="M3437" s="114"/>
      <c r="N3437" s="1"/>
      <c r="O3437" s="1"/>
      <c r="P3437" s="51"/>
    </row>
    <row r="3438">
      <c r="A3438" s="54"/>
      <c r="B3438" s="71"/>
      <c r="C3438" s="51"/>
      <c r="D3438" s="114"/>
      <c r="E3438" s="114"/>
      <c r="F3438" s="54"/>
      <c r="G3438" s="54"/>
      <c r="I3438" s="54"/>
      <c r="K3438" s="54"/>
      <c r="M3438" s="114"/>
      <c r="N3438" s="1"/>
      <c r="O3438" s="1"/>
      <c r="P3438" s="51"/>
    </row>
    <row r="3439">
      <c r="A3439" s="54"/>
      <c r="B3439" s="71"/>
      <c r="C3439" s="51"/>
      <c r="D3439" s="114"/>
      <c r="E3439" s="114"/>
      <c r="F3439" s="54"/>
      <c r="G3439" s="54"/>
      <c r="I3439" s="54"/>
      <c r="K3439" s="54"/>
      <c r="M3439" s="114"/>
      <c r="N3439" s="1"/>
      <c r="O3439" s="1"/>
      <c r="P3439" s="51"/>
    </row>
    <row r="3440">
      <c r="A3440" s="54"/>
      <c r="B3440" s="71"/>
      <c r="C3440" s="51"/>
      <c r="D3440" s="114"/>
      <c r="E3440" s="114"/>
      <c r="F3440" s="54"/>
      <c r="G3440" s="54"/>
      <c r="I3440" s="54"/>
      <c r="K3440" s="54"/>
      <c r="M3440" s="114"/>
      <c r="N3440" s="1"/>
      <c r="O3440" s="1"/>
      <c r="P3440" s="51"/>
    </row>
    <row r="3441">
      <c r="A3441" s="54"/>
      <c r="B3441" s="71"/>
      <c r="C3441" s="51"/>
      <c r="D3441" s="114"/>
      <c r="E3441" s="114"/>
      <c r="F3441" s="54"/>
      <c r="G3441" s="54"/>
      <c r="I3441" s="54"/>
      <c r="K3441" s="54"/>
      <c r="M3441" s="114"/>
      <c r="N3441" s="1"/>
      <c r="O3441" s="1"/>
      <c r="P3441" s="51"/>
    </row>
    <row r="3442">
      <c r="A3442" s="54"/>
      <c r="B3442" s="71"/>
      <c r="C3442" s="51"/>
      <c r="D3442" s="114"/>
      <c r="E3442" s="114"/>
      <c r="F3442" s="54"/>
      <c r="G3442" s="54"/>
      <c r="I3442" s="54"/>
      <c r="K3442" s="54"/>
      <c r="M3442" s="114"/>
      <c r="N3442" s="1"/>
      <c r="O3442" s="1"/>
      <c r="P3442" s="51"/>
    </row>
    <row r="3443">
      <c r="A3443" s="54"/>
      <c r="B3443" s="71"/>
      <c r="C3443" s="51"/>
      <c r="D3443" s="114"/>
      <c r="E3443" s="114"/>
      <c r="F3443" s="54"/>
      <c r="G3443" s="54"/>
      <c r="I3443" s="54"/>
      <c r="K3443" s="54"/>
      <c r="M3443" s="114"/>
      <c r="N3443" s="1"/>
      <c r="O3443" s="1"/>
      <c r="P3443" s="51"/>
    </row>
    <row r="3444">
      <c r="A3444" s="54"/>
      <c r="B3444" s="71"/>
      <c r="C3444" s="51"/>
      <c r="D3444" s="114"/>
      <c r="E3444" s="114"/>
      <c r="F3444" s="54"/>
      <c r="G3444" s="54"/>
      <c r="I3444" s="54"/>
      <c r="K3444" s="54"/>
      <c r="M3444" s="114"/>
      <c r="N3444" s="1"/>
      <c r="O3444" s="1"/>
      <c r="P3444" s="51"/>
    </row>
    <row r="3445">
      <c r="A3445" s="54"/>
      <c r="B3445" s="71"/>
      <c r="C3445" s="51"/>
      <c r="D3445" s="114"/>
      <c r="E3445" s="114"/>
      <c r="F3445" s="54"/>
      <c r="G3445" s="54"/>
      <c r="I3445" s="54"/>
      <c r="K3445" s="54"/>
      <c r="M3445" s="114"/>
      <c r="N3445" s="1"/>
      <c r="O3445" s="1"/>
      <c r="P3445" s="51"/>
    </row>
    <row r="3446">
      <c r="A3446" s="54"/>
      <c r="B3446" s="71"/>
      <c r="C3446" s="51"/>
      <c r="D3446" s="114"/>
      <c r="E3446" s="114"/>
      <c r="F3446" s="54"/>
      <c r="G3446" s="54"/>
      <c r="I3446" s="54"/>
      <c r="K3446" s="54"/>
      <c r="M3446" s="114"/>
      <c r="N3446" s="1"/>
      <c r="O3446" s="1"/>
      <c r="P3446" s="51"/>
    </row>
    <row r="3447">
      <c r="A3447" s="54"/>
      <c r="B3447" s="71"/>
      <c r="C3447" s="51"/>
      <c r="D3447" s="114"/>
      <c r="E3447" s="114"/>
      <c r="F3447" s="54"/>
      <c r="G3447" s="54"/>
      <c r="I3447" s="54"/>
      <c r="K3447" s="54"/>
      <c r="M3447" s="114"/>
      <c r="N3447" s="1"/>
      <c r="O3447" s="1"/>
      <c r="P3447" s="51"/>
    </row>
    <row r="3448">
      <c r="A3448" s="54"/>
      <c r="B3448" s="71"/>
      <c r="C3448" s="51"/>
      <c r="D3448" s="114"/>
      <c r="E3448" s="114"/>
      <c r="F3448" s="54"/>
      <c r="G3448" s="54"/>
      <c r="I3448" s="54"/>
      <c r="K3448" s="54"/>
      <c r="M3448" s="114"/>
      <c r="N3448" s="1"/>
      <c r="O3448" s="1"/>
      <c r="P3448" s="51"/>
    </row>
    <row r="3449">
      <c r="A3449" s="54"/>
      <c r="B3449" s="71"/>
      <c r="C3449" s="51"/>
      <c r="D3449" s="114"/>
      <c r="E3449" s="114"/>
      <c r="F3449" s="54"/>
      <c r="G3449" s="54"/>
      <c r="I3449" s="54"/>
      <c r="K3449" s="54"/>
      <c r="M3449" s="114"/>
      <c r="N3449" s="1"/>
      <c r="O3449" s="1"/>
      <c r="P3449" s="51"/>
    </row>
    <row r="3450">
      <c r="A3450" s="54"/>
      <c r="B3450" s="71"/>
      <c r="C3450" s="51"/>
      <c r="D3450" s="114"/>
      <c r="E3450" s="114"/>
      <c r="F3450" s="54"/>
      <c r="G3450" s="54"/>
      <c r="I3450" s="54"/>
      <c r="K3450" s="54"/>
      <c r="M3450" s="114"/>
      <c r="N3450" s="1"/>
      <c r="O3450" s="1"/>
      <c r="P3450" s="51"/>
    </row>
    <row r="3451">
      <c r="A3451" s="54"/>
      <c r="B3451" s="71"/>
      <c r="C3451" s="51"/>
      <c r="D3451" s="114"/>
      <c r="E3451" s="114"/>
      <c r="F3451" s="54"/>
      <c r="G3451" s="54"/>
      <c r="I3451" s="54"/>
      <c r="K3451" s="54"/>
      <c r="M3451" s="114"/>
      <c r="N3451" s="1"/>
      <c r="O3451" s="1"/>
      <c r="P3451" s="51"/>
    </row>
    <row r="3452">
      <c r="A3452" s="54"/>
      <c r="B3452" s="71"/>
      <c r="C3452" s="51"/>
      <c r="D3452" s="114"/>
      <c r="E3452" s="114"/>
      <c r="F3452" s="54"/>
      <c r="G3452" s="54"/>
      <c r="I3452" s="54"/>
      <c r="K3452" s="54"/>
      <c r="M3452" s="114"/>
      <c r="N3452" s="1"/>
      <c r="O3452" s="1"/>
      <c r="P3452" s="51"/>
    </row>
    <row r="3453">
      <c r="A3453" s="54"/>
      <c r="B3453" s="71"/>
      <c r="C3453" s="51"/>
      <c r="D3453" s="114"/>
      <c r="E3453" s="114"/>
      <c r="F3453" s="54"/>
      <c r="G3453" s="54"/>
      <c r="I3453" s="54"/>
      <c r="K3453" s="54"/>
      <c r="M3453" s="114"/>
      <c r="N3453" s="1"/>
      <c r="O3453" s="1"/>
      <c r="P3453" s="51"/>
    </row>
    <row r="3454">
      <c r="A3454" s="54"/>
      <c r="B3454" s="71"/>
      <c r="C3454" s="51"/>
      <c r="D3454" s="114"/>
      <c r="E3454" s="114"/>
      <c r="F3454" s="54"/>
      <c r="G3454" s="54"/>
      <c r="I3454" s="54"/>
      <c r="K3454" s="54"/>
      <c r="M3454" s="114"/>
      <c r="N3454" s="1"/>
      <c r="O3454" s="1"/>
      <c r="P3454" s="51"/>
    </row>
    <row r="3455">
      <c r="A3455" s="54"/>
      <c r="B3455" s="71"/>
      <c r="C3455" s="51"/>
      <c r="D3455" s="114"/>
      <c r="E3455" s="114"/>
      <c r="F3455" s="54"/>
      <c r="G3455" s="54"/>
      <c r="I3455" s="54"/>
      <c r="K3455" s="54"/>
      <c r="M3455" s="114"/>
      <c r="N3455" s="1"/>
      <c r="O3455" s="1"/>
      <c r="P3455" s="51"/>
    </row>
    <row r="3456">
      <c r="A3456" s="54"/>
      <c r="B3456" s="71"/>
      <c r="C3456" s="51"/>
      <c r="D3456" s="114"/>
      <c r="E3456" s="114"/>
      <c r="F3456" s="54"/>
      <c r="G3456" s="54"/>
      <c r="I3456" s="54"/>
      <c r="K3456" s="54"/>
      <c r="M3456" s="114"/>
      <c r="N3456" s="1"/>
      <c r="O3456" s="1"/>
      <c r="P3456" s="51"/>
    </row>
    <row r="3457">
      <c r="A3457" s="54"/>
      <c r="B3457" s="71"/>
      <c r="C3457" s="51"/>
      <c r="D3457" s="114"/>
      <c r="E3457" s="114"/>
      <c r="F3457" s="54"/>
      <c r="G3457" s="54"/>
      <c r="I3457" s="54"/>
      <c r="K3457" s="54"/>
      <c r="M3457" s="114"/>
      <c r="N3457" s="1"/>
      <c r="O3457" s="1"/>
      <c r="P3457" s="51"/>
    </row>
    <row r="3458">
      <c r="A3458" s="54"/>
      <c r="B3458" s="71"/>
      <c r="C3458" s="51"/>
      <c r="D3458" s="114"/>
      <c r="E3458" s="114"/>
      <c r="F3458" s="54"/>
      <c r="G3458" s="54"/>
      <c r="I3458" s="54"/>
      <c r="K3458" s="54"/>
      <c r="M3458" s="114"/>
      <c r="N3458" s="1"/>
      <c r="O3458" s="1"/>
      <c r="P3458" s="51"/>
    </row>
    <row r="3459">
      <c r="A3459" s="54"/>
      <c r="B3459" s="71"/>
      <c r="C3459" s="51"/>
      <c r="D3459" s="114"/>
      <c r="E3459" s="114"/>
      <c r="F3459" s="54"/>
      <c r="G3459" s="54"/>
      <c r="I3459" s="54"/>
      <c r="K3459" s="54"/>
      <c r="M3459" s="114"/>
      <c r="N3459" s="1"/>
      <c r="O3459" s="1"/>
      <c r="P3459" s="51"/>
    </row>
    <row r="3460">
      <c r="A3460" s="54"/>
      <c r="B3460" s="71"/>
      <c r="C3460" s="51"/>
      <c r="D3460" s="114"/>
      <c r="E3460" s="114"/>
      <c r="F3460" s="54"/>
      <c r="G3460" s="54"/>
      <c r="I3460" s="54"/>
      <c r="K3460" s="54"/>
      <c r="M3460" s="114"/>
      <c r="N3460" s="1"/>
      <c r="O3460" s="1"/>
      <c r="P3460" s="51"/>
    </row>
    <row r="3461">
      <c r="A3461" s="54"/>
      <c r="B3461" s="71"/>
      <c r="C3461" s="51"/>
      <c r="D3461" s="114"/>
      <c r="E3461" s="114"/>
      <c r="F3461" s="54"/>
      <c r="G3461" s="54"/>
      <c r="I3461" s="54"/>
      <c r="K3461" s="54"/>
      <c r="M3461" s="114"/>
      <c r="N3461" s="1"/>
      <c r="O3461" s="1"/>
      <c r="P3461" s="51"/>
    </row>
    <row r="3462">
      <c r="A3462" s="54"/>
      <c r="B3462" s="71"/>
      <c r="C3462" s="51"/>
      <c r="D3462" s="114"/>
      <c r="E3462" s="114"/>
      <c r="F3462" s="54"/>
      <c r="G3462" s="54"/>
      <c r="I3462" s="54"/>
      <c r="K3462" s="54"/>
      <c r="M3462" s="114"/>
      <c r="N3462" s="1"/>
      <c r="O3462" s="1"/>
      <c r="P3462" s="51"/>
    </row>
    <row r="3463">
      <c r="A3463" s="54"/>
      <c r="B3463" s="71"/>
      <c r="C3463" s="51"/>
      <c r="D3463" s="114"/>
      <c r="E3463" s="114"/>
      <c r="F3463" s="54"/>
      <c r="G3463" s="54"/>
      <c r="I3463" s="54"/>
      <c r="K3463" s="54"/>
      <c r="M3463" s="114"/>
      <c r="N3463" s="1"/>
      <c r="O3463" s="1"/>
      <c r="P3463" s="51"/>
    </row>
    <row r="3464">
      <c r="A3464" s="54"/>
      <c r="B3464" s="71"/>
      <c r="C3464" s="51"/>
      <c r="D3464" s="114"/>
      <c r="E3464" s="114"/>
      <c r="F3464" s="54"/>
      <c r="G3464" s="54"/>
      <c r="I3464" s="54"/>
      <c r="K3464" s="54"/>
      <c r="M3464" s="114"/>
      <c r="N3464" s="1"/>
      <c r="O3464" s="1"/>
      <c r="P3464" s="51"/>
    </row>
    <row r="3465">
      <c r="A3465" s="54"/>
      <c r="B3465" s="71"/>
      <c r="C3465" s="51"/>
      <c r="D3465" s="114"/>
      <c r="E3465" s="114"/>
      <c r="F3465" s="54"/>
      <c r="G3465" s="54"/>
      <c r="I3465" s="54"/>
      <c r="K3465" s="54"/>
      <c r="M3465" s="114"/>
      <c r="N3465" s="1"/>
      <c r="O3465" s="1"/>
      <c r="P3465" s="51"/>
    </row>
    <row r="3466">
      <c r="A3466" s="54"/>
      <c r="B3466" s="71"/>
      <c r="C3466" s="51"/>
      <c r="D3466" s="114"/>
      <c r="E3466" s="114"/>
      <c r="F3466" s="54"/>
      <c r="G3466" s="54"/>
      <c r="I3466" s="54"/>
      <c r="K3466" s="54"/>
      <c r="M3466" s="114"/>
      <c r="N3466" s="1"/>
      <c r="O3466" s="1"/>
      <c r="P3466" s="51"/>
    </row>
    <row r="3467">
      <c r="A3467" s="54"/>
      <c r="B3467" s="71"/>
      <c r="C3467" s="51"/>
      <c r="D3467" s="114"/>
      <c r="E3467" s="114"/>
      <c r="F3467" s="54"/>
      <c r="G3467" s="54"/>
      <c r="I3467" s="54"/>
      <c r="K3467" s="54"/>
      <c r="M3467" s="114"/>
      <c r="N3467" s="1"/>
      <c r="O3467" s="1"/>
      <c r="P3467" s="51"/>
    </row>
    <row r="3468">
      <c r="A3468" s="54"/>
      <c r="B3468" s="71"/>
      <c r="C3468" s="51"/>
      <c r="D3468" s="114"/>
      <c r="E3468" s="114"/>
      <c r="F3468" s="54"/>
      <c r="G3468" s="54"/>
      <c r="I3468" s="54"/>
      <c r="K3468" s="54"/>
      <c r="M3468" s="114"/>
      <c r="N3468" s="1"/>
      <c r="O3468" s="1"/>
      <c r="P3468" s="51"/>
    </row>
    <row r="3469">
      <c r="A3469" s="54"/>
      <c r="B3469" s="71"/>
      <c r="C3469" s="51"/>
      <c r="D3469" s="114"/>
      <c r="E3469" s="114"/>
      <c r="F3469" s="54"/>
      <c r="G3469" s="54"/>
      <c r="I3469" s="54"/>
      <c r="K3469" s="54"/>
      <c r="M3469" s="114"/>
      <c r="N3469" s="1"/>
      <c r="O3469" s="1"/>
      <c r="P3469" s="51"/>
    </row>
    <row r="3470">
      <c r="A3470" s="54"/>
      <c r="B3470" s="71"/>
      <c r="C3470" s="51"/>
      <c r="D3470" s="114"/>
      <c r="E3470" s="114"/>
      <c r="F3470" s="54"/>
      <c r="G3470" s="54"/>
      <c r="I3470" s="54"/>
      <c r="K3470" s="54"/>
      <c r="M3470" s="114"/>
      <c r="N3470" s="1"/>
      <c r="O3470" s="1"/>
      <c r="P3470" s="51"/>
    </row>
    <row r="3471">
      <c r="A3471" s="54"/>
      <c r="B3471" s="71"/>
      <c r="C3471" s="51"/>
      <c r="D3471" s="114"/>
      <c r="E3471" s="114"/>
      <c r="F3471" s="54"/>
      <c r="G3471" s="54"/>
      <c r="I3471" s="54"/>
      <c r="K3471" s="54"/>
      <c r="M3471" s="114"/>
      <c r="N3471" s="1"/>
      <c r="O3471" s="1"/>
      <c r="P3471" s="51"/>
    </row>
    <row r="3472">
      <c r="A3472" s="54"/>
      <c r="B3472" s="71"/>
      <c r="C3472" s="51"/>
      <c r="D3472" s="114"/>
      <c r="E3472" s="114"/>
      <c r="F3472" s="54"/>
      <c r="G3472" s="54"/>
      <c r="I3472" s="54"/>
      <c r="K3472" s="54"/>
      <c r="M3472" s="114"/>
      <c r="N3472" s="1"/>
      <c r="O3472" s="1"/>
      <c r="P3472" s="51"/>
    </row>
    <row r="3473">
      <c r="A3473" s="54"/>
      <c r="B3473" s="71"/>
      <c r="C3473" s="51"/>
      <c r="D3473" s="114"/>
      <c r="E3473" s="114"/>
      <c r="F3473" s="54"/>
      <c r="G3473" s="54"/>
      <c r="I3473" s="54"/>
      <c r="K3473" s="54"/>
      <c r="M3473" s="114"/>
      <c r="N3473" s="1"/>
      <c r="O3473" s="1"/>
      <c r="P3473" s="51"/>
    </row>
    <row r="3474">
      <c r="A3474" s="54"/>
      <c r="B3474" s="71"/>
      <c r="C3474" s="51"/>
      <c r="D3474" s="114"/>
      <c r="E3474" s="114"/>
      <c r="F3474" s="54"/>
      <c r="G3474" s="54"/>
      <c r="I3474" s="54"/>
      <c r="K3474" s="54"/>
      <c r="M3474" s="114"/>
      <c r="N3474" s="1"/>
      <c r="O3474" s="1"/>
      <c r="P3474" s="51"/>
    </row>
    <row r="3475">
      <c r="A3475" s="54"/>
      <c r="B3475" s="71"/>
      <c r="C3475" s="51"/>
      <c r="D3475" s="114"/>
      <c r="E3475" s="114"/>
      <c r="F3475" s="54"/>
      <c r="G3475" s="54"/>
      <c r="I3475" s="54"/>
      <c r="K3475" s="54"/>
      <c r="M3475" s="114"/>
      <c r="N3475" s="1"/>
      <c r="O3475" s="1"/>
      <c r="P3475" s="51"/>
    </row>
    <row r="3476">
      <c r="A3476" s="54"/>
      <c r="B3476" s="71"/>
      <c r="C3476" s="51"/>
      <c r="D3476" s="114"/>
      <c r="E3476" s="114"/>
      <c r="F3476" s="54"/>
      <c r="G3476" s="54"/>
      <c r="I3476" s="54"/>
      <c r="K3476" s="54"/>
      <c r="M3476" s="114"/>
      <c r="N3476" s="1"/>
      <c r="O3476" s="1"/>
      <c r="P3476" s="51"/>
    </row>
    <row r="3477">
      <c r="A3477" s="54"/>
      <c r="B3477" s="71"/>
      <c r="C3477" s="51"/>
      <c r="D3477" s="114"/>
      <c r="E3477" s="114"/>
      <c r="F3477" s="54"/>
      <c r="G3477" s="54"/>
      <c r="I3477" s="54"/>
      <c r="K3477" s="54"/>
      <c r="M3477" s="114"/>
      <c r="N3477" s="1"/>
      <c r="O3477" s="1"/>
      <c r="P3477" s="51"/>
    </row>
    <row r="3478">
      <c r="A3478" s="54"/>
      <c r="B3478" s="71"/>
      <c r="C3478" s="51"/>
      <c r="D3478" s="114"/>
      <c r="E3478" s="114"/>
      <c r="F3478" s="54"/>
      <c r="G3478" s="54"/>
      <c r="I3478" s="54"/>
      <c r="K3478" s="54"/>
      <c r="M3478" s="114"/>
      <c r="N3478" s="1"/>
      <c r="O3478" s="1"/>
      <c r="P3478" s="51"/>
    </row>
    <row r="3479">
      <c r="A3479" s="54"/>
      <c r="B3479" s="71"/>
      <c r="C3479" s="51"/>
      <c r="D3479" s="114"/>
      <c r="E3479" s="114"/>
      <c r="F3479" s="54"/>
      <c r="G3479" s="54"/>
      <c r="I3479" s="54"/>
      <c r="K3479" s="54"/>
      <c r="M3479" s="114"/>
      <c r="N3479" s="1"/>
      <c r="O3479" s="1"/>
      <c r="P3479" s="51"/>
    </row>
    <row r="3480">
      <c r="A3480" s="54"/>
      <c r="B3480" s="71"/>
      <c r="C3480" s="51"/>
      <c r="D3480" s="114"/>
      <c r="E3480" s="114"/>
      <c r="F3480" s="54"/>
      <c r="G3480" s="54"/>
      <c r="I3480" s="54"/>
      <c r="K3480" s="54"/>
      <c r="M3480" s="114"/>
      <c r="N3480" s="1"/>
      <c r="O3480" s="1"/>
      <c r="P3480" s="51"/>
    </row>
    <row r="3481">
      <c r="A3481" s="54"/>
      <c r="B3481" s="71"/>
      <c r="C3481" s="51"/>
      <c r="D3481" s="114"/>
      <c r="E3481" s="114"/>
      <c r="F3481" s="54"/>
      <c r="G3481" s="54"/>
      <c r="I3481" s="54"/>
      <c r="K3481" s="54"/>
      <c r="M3481" s="114"/>
      <c r="N3481" s="1"/>
      <c r="O3481" s="1"/>
      <c r="P3481" s="51"/>
    </row>
    <row r="3482">
      <c r="A3482" s="54"/>
      <c r="B3482" s="71"/>
      <c r="C3482" s="51"/>
      <c r="D3482" s="114"/>
      <c r="E3482" s="114"/>
      <c r="F3482" s="54"/>
      <c r="G3482" s="54"/>
      <c r="I3482" s="54"/>
      <c r="K3482" s="54"/>
      <c r="M3482" s="114"/>
      <c r="N3482" s="1"/>
      <c r="O3482" s="1"/>
      <c r="P3482" s="51"/>
    </row>
    <row r="3483">
      <c r="A3483" s="54"/>
      <c r="B3483" s="71"/>
      <c r="C3483" s="51"/>
      <c r="D3483" s="114"/>
      <c r="E3483" s="114"/>
      <c r="F3483" s="54"/>
      <c r="G3483" s="54"/>
      <c r="I3483" s="54"/>
      <c r="K3483" s="54"/>
      <c r="M3483" s="114"/>
      <c r="N3483" s="1"/>
      <c r="O3483" s="1"/>
      <c r="P3483" s="51"/>
    </row>
    <row r="3484">
      <c r="A3484" s="54"/>
      <c r="B3484" s="71"/>
      <c r="C3484" s="51"/>
      <c r="D3484" s="114"/>
      <c r="E3484" s="114"/>
      <c r="F3484" s="54"/>
      <c r="G3484" s="54"/>
      <c r="I3484" s="54"/>
      <c r="K3484" s="54"/>
      <c r="M3484" s="114"/>
      <c r="N3484" s="1"/>
      <c r="O3484" s="1"/>
      <c r="P3484" s="51"/>
    </row>
    <row r="3485">
      <c r="A3485" s="54"/>
      <c r="B3485" s="71"/>
      <c r="C3485" s="51"/>
      <c r="D3485" s="114"/>
      <c r="E3485" s="114"/>
      <c r="F3485" s="54"/>
      <c r="G3485" s="54"/>
      <c r="I3485" s="54"/>
      <c r="K3485" s="54"/>
      <c r="M3485" s="114"/>
      <c r="N3485" s="1"/>
      <c r="O3485" s="1"/>
      <c r="P3485" s="51"/>
    </row>
    <row r="3486">
      <c r="A3486" s="54"/>
      <c r="B3486" s="71"/>
      <c r="C3486" s="51"/>
      <c r="D3486" s="114"/>
      <c r="E3486" s="114"/>
      <c r="F3486" s="54"/>
      <c r="G3486" s="54"/>
      <c r="I3486" s="54"/>
      <c r="K3486" s="54"/>
      <c r="M3486" s="114"/>
      <c r="N3486" s="1"/>
      <c r="O3486" s="1"/>
      <c r="P3486" s="51"/>
    </row>
    <row r="3487">
      <c r="A3487" s="54"/>
      <c r="B3487" s="71"/>
      <c r="C3487" s="51"/>
      <c r="D3487" s="114"/>
      <c r="E3487" s="114"/>
      <c r="F3487" s="54"/>
      <c r="G3487" s="54"/>
      <c r="I3487" s="54"/>
      <c r="K3487" s="54"/>
      <c r="M3487" s="114"/>
      <c r="N3487" s="1"/>
      <c r="O3487" s="1"/>
      <c r="P3487" s="51"/>
    </row>
    <row r="3488">
      <c r="A3488" s="54"/>
      <c r="B3488" s="71"/>
      <c r="C3488" s="51"/>
      <c r="D3488" s="114"/>
      <c r="E3488" s="114"/>
      <c r="F3488" s="54"/>
      <c r="G3488" s="54"/>
      <c r="I3488" s="54"/>
      <c r="K3488" s="54"/>
      <c r="M3488" s="114"/>
      <c r="N3488" s="1"/>
      <c r="O3488" s="1"/>
      <c r="P3488" s="51"/>
    </row>
    <row r="3489">
      <c r="A3489" s="54"/>
      <c r="B3489" s="71"/>
      <c r="C3489" s="51"/>
      <c r="D3489" s="114"/>
      <c r="E3489" s="114"/>
      <c r="F3489" s="54"/>
      <c r="G3489" s="54"/>
      <c r="I3489" s="54"/>
      <c r="K3489" s="54"/>
      <c r="M3489" s="114"/>
      <c r="N3489" s="1"/>
      <c r="O3489" s="1"/>
      <c r="P3489" s="51"/>
    </row>
    <row r="3490">
      <c r="A3490" s="54"/>
      <c r="B3490" s="71"/>
      <c r="C3490" s="51"/>
      <c r="D3490" s="114"/>
      <c r="E3490" s="114"/>
      <c r="F3490" s="54"/>
      <c r="G3490" s="54"/>
      <c r="I3490" s="54"/>
      <c r="K3490" s="54"/>
      <c r="M3490" s="114"/>
      <c r="N3490" s="1"/>
      <c r="O3490" s="1"/>
      <c r="P3490" s="51"/>
    </row>
    <row r="3491">
      <c r="A3491" s="54"/>
      <c r="B3491" s="71"/>
      <c r="C3491" s="51"/>
      <c r="D3491" s="114"/>
      <c r="E3491" s="114"/>
      <c r="F3491" s="54"/>
      <c r="G3491" s="54"/>
      <c r="I3491" s="54"/>
      <c r="K3491" s="54"/>
      <c r="M3491" s="114"/>
      <c r="N3491" s="1"/>
      <c r="O3491" s="1"/>
      <c r="P3491" s="51"/>
    </row>
    <row r="3492">
      <c r="A3492" s="54"/>
      <c r="B3492" s="71"/>
      <c r="C3492" s="51"/>
      <c r="D3492" s="114"/>
      <c r="E3492" s="114"/>
      <c r="F3492" s="54"/>
      <c r="G3492" s="54"/>
      <c r="I3492" s="54"/>
      <c r="K3492" s="54"/>
      <c r="M3492" s="114"/>
      <c r="N3492" s="1"/>
      <c r="O3492" s="1"/>
      <c r="P3492" s="51"/>
    </row>
    <row r="3493">
      <c r="A3493" s="54"/>
      <c r="B3493" s="71"/>
      <c r="C3493" s="51"/>
      <c r="D3493" s="114"/>
      <c r="E3493" s="114"/>
      <c r="F3493" s="54"/>
      <c r="G3493" s="54"/>
      <c r="I3493" s="54"/>
      <c r="K3493" s="54"/>
      <c r="M3493" s="114"/>
      <c r="N3493" s="1"/>
      <c r="O3493" s="1"/>
      <c r="P3493" s="51"/>
    </row>
    <row r="3494">
      <c r="A3494" s="54"/>
      <c r="B3494" s="71"/>
      <c r="C3494" s="51"/>
      <c r="D3494" s="114"/>
      <c r="E3494" s="114"/>
      <c r="F3494" s="54"/>
      <c r="G3494" s="54"/>
      <c r="I3494" s="54"/>
      <c r="K3494" s="54"/>
      <c r="M3494" s="114"/>
      <c r="N3494" s="1"/>
      <c r="O3494" s="1"/>
      <c r="P3494" s="51"/>
    </row>
    <row r="3495">
      <c r="A3495" s="54"/>
      <c r="B3495" s="71"/>
      <c r="C3495" s="51"/>
      <c r="D3495" s="114"/>
      <c r="E3495" s="114"/>
      <c r="F3495" s="54"/>
      <c r="G3495" s="54"/>
      <c r="I3495" s="54"/>
      <c r="K3495" s="54"/>
      <c r="M3495" s="114"/>
      <c r="N3495" s="1"/>
      <c r="O3495" s="1"/>
      <c r="P3495" s="51"/>
    </row>
    <row r="3496">
      <c r="A3496" s="54"/>
      <c r="B3496" s="71"/>
      <c r="C3496" s="51"/>
      <c r="D3496" s="114"/>
      <c r="E3496" s="114"/>
      <c r="F3496" s="54"/>
      <c r="G3496" s="54"/>
      <c r="I3496" s="54"/>
      <c r="K3496" s="54"/>
      <c r="M3496" s="114"/>
      <c r="N3496" s="1"/>
      <c r="O3496" s="1"/>
      <c r="P3496" s="51"/>
    </row>
    <row r="3497">
      <c r="A3497" s="54"/>
      <c r="B3497" s="71"/>
      <c r="C3497" s="51"/>
      <c r="D3497" s="114"/>
      <c r="E3497" s="114"/>
      <c r="F3497" s="54"/>
      <c r="G3497" s="54"/>
      <c r="I3497" s="54"/>
      <c r="K3497" s="54"/>
      <c r="M3497" s="114"/>
      <c r="N3497" s="1"/>
      <c r="O3497" s="1"/>
      <c r="P3497" s="51"/>
    </row>
    <row r="3498">
      <c r="A3498" s="54"/>
      <c r="B3498" s="71"/>
      <c r="C3498" s="51"/>
      <c r="D3498" s="114"/>
      <c r="E3498" s="114"/>
      <c r="F3498" s="54"/>
      <c r="G3498" s="54"/>
      <c r="I3498" s="54"/>
      <c r="K3498" s="54"/>
      <c r="M3498" s="114"/>
      <c r="N3498" s="1"/>
      <c r="O3498" s="1"/>
      <c r="P3498" s="51"/>
    </row>
    <row r="3499">
      <c r="A3499" s="54"/>
      <c r="B3499" s="71"/>
      <c r="C3499" s="51"/>
      <c r="D3499" s="114"/>
      <c r="E3499" s="114"/>
      <c r="F3499" s="54"/>
      <c r="G3499" s="54"/>
      <c r="I3499" s="54"/>
      <c r="K3499" s="54"/>
      <c r="M3499" s="114"/>
      <c r="N3499" s="1"/>
      <c r="O3499" s="1"/>
      <c r="P3499" s="51"/>
    </row>
    <row r="3500">
      <c r="A3500" s="54"/>
      <c r="B3500" s="71"/>
      <c r="C3500" s="51"/>
      <c r="D3500" s="114"/>
      <c r="E3500" s="114"/>
      <c r="F3500" s="54"/>
      <c r="G3500" s="54"/>
      <c r="I3500" s="54"/>
      <c r="K3500" s="54"/>
      <c r="M3500" s="114"/>
      <c r="N3500" s="1"/>
      <c r="O3500" s="1"/>
      <c r="P3500" s="51"/>
    </row>
    <row r="3501">
      <c r="A3501" s="54"/>
      <c r="B3501" s="71"/>
      <c r="C3501" s="51"/>
      <c r="D3501" s="114"/>
      <c r="E3501" s="114"/>
      <c r="F3501" s="54"/>
      <c r="G3501" s="54"/>
      <c r="I3501" s="54"/>
      <c r="K3501" s="54"/>
      <c r="M3501" s="114"/>
      <c r="N3501" s="1"/>
      <c r="O3501" s="1"/>
      <c r="P3501" s="51"/>
    </row>
    <row r="3502">
      <c r="A3502" s="54"/>
      <c r="B3502" s="71"/>
      <c r="C3502" s="51"/>
      <c r="D3502" s="114"/>
      <c r="E3502" s="114"/>
      <c r="F3502" s="54"/>
      <c r="G3502" s="54"/>
      <c r="I3502" s="54"/>
      <c r="K3502" s="54"/>
      <c r="M3502" s="114"/>
      <c r="N3502" s="1"/>
      <c r="O3502" s="1"/>
      <c r="P3502" s="51"/>
    </row>
    <row r="3503">
      <c r="A3503" s="54"/>
      <c r="B3503" s="71"/>
      <c r="C3503" s="51"/>
      <c r="D3503" s="114"/>
      <c r="E3503" s="114"/>
      <c r="F3503" s="54"/>
      <c r="G3503" s="54"/>
      <c r="I3503" s="54"/>
      <c r="K3503" s="54"/>
      <c r="M3503" s="114"/>
      <c r="N3503" s="1"/>
      <c r="O3503" s="1"/>
      <c r="P3503" s="51"/>
    </row>
    <row r="3504">
      <c r="A3504" s="54"/>
      <c r="B3504" s="71"/>
      <c r="C3504" s="51"/>
      <c r="D3504" s="114"/>
      <c r="E3504" s="114"/>
      <c r="F3504" s="54"/>
      <c r="G3504" s="54"/>
      <c r="I3504" s="54"/>
      <c r="K3504" s="54"/>
      <c r="M3504" s="114"/>
      <c r="N3504" s="1"/>
      <c r="O3504" s="1"/>
      <c r="P3504" s="51"/>
    </row>
    <row r="3505">
      <c r="A3505" s="54"/>
      <c r="B3505" s="71"/>
      <c r="C3505" s="51"/>
      <c r="D3505" s="114"/>
      <c r="E3505" s="114"/>
      <c r="F3505" s="54"/>
      <c r="G3505" s="54"/>
      <c r="I3505" s="54"/>
      <c r="K3505" s="54"/>
      <c r="M3505" s="114"/>
      <c r="N3505" s="1"/>
      <c r="O3505" s="1"/>
      <c r="P3505" s="51"/>
    </row>
    <row r="3506">
      <c r="A3506" s="54"/>
      <c r="B3506" s="71"/>
      <c r="C3506" s="51"/>
      <c r="D3506" s="114"/>
      <c r="E3506" s="114"/>
      <c r="F3506" s="54"/>
      <c r="G3506" s="54"/>
      <c r="I3506" s="54"/>
      <c r="K3506" s="54"/>
      <c r="M3506" s="114"/>
      <c r="N3506" s="1"/>
      <c r="O3506" s="1"/>
      <c r="P3506" s="51"/>
    </row>
    <row r="3507">
      <c r="A3507" s="54"/>
      <c r="B3507" s="71"/>
      <c r="C3507" s="51"/>
      <c r="D3507" s="114"/>
      <c r="E3507" s="114"/>
      <c r="F3507" s="54"/>
      <c r="G3507" s="54"/>
      <c r="I3507" s="54"/>
      <c r="K3507" s="54"/>
      <c r="M3507" s="114"/>
      <c r="N3507" s="1"/>
      <c r="O3507" s="1"/>
      <c r="P3507" s="51"/>
    </row>
    <row r="3508">
      <c r="A3508" s="54"/>
      <c r="B3508" s="71"/>
      <c r="C3508" s="51"/>
      <c r="D3508" s="114"/>
      <c r="E3508" s="114"/>
      <c r="F3508" s="54"/>
      <c r="G3508" s="54"/>
      <c r="I3508" s="54"/>
      <c r="K3508" s="54"/>
      <c r="M3508" s="114"/>
      <c r="N3508" s="1"/>
      <c r="O3508" s="1"/>
      <c r="P3508" s="51"/>
    </row>
    <row r="3509">
      <c r="A3509" s="54"/>
      <c r="B3509" s="71"/>
      <c r="C3509" s="51"/>
      <c r="D3509" s="114"/>
      <c r="E3509" s="114"/>
      <c r="F3509" s="54"/>
      <c r="G3509" s="54"/>
      <c r="I3509" s="54"/>
      <c r="K3509" s="54"/>
      <c r="M3509" s="114"/>
      <c r="N3509" s="1"/>
      <c r="O3509" s="1"/>
      <c r="P3509" s="51"/>
    </row>
    <row r="3510">
      <c r="A3510" s="54"/>
      <c r="B3510" s="71"/>
      <c r="C3510" s="51"/>
      <c r="D3510" s="114"/>
      <c r="E3510" s="114"/>
      <c r="F3510" s="54"/>
      <c r="G3510" s="54"/>
      <c r="I3510" s="54"/>
      <c r="K3510" s="54"/>
      <c r="M3510" s="114"/>
      <c r="N3510" s="1"/>
      <c r="O3510" s="1"/>
      <c r="P3510" s="51"/>
    </row>
    <row r="3511">
      <c r="A3511" s="54"/>
      <c r="B3511" s="71"/>
      <c r="C3511" s="51"/>
      <c r="D3511" s="114"/>
      <c r="E3511" s="114"/>
      <c r="F3511" s="54"/>
      <c r="G3511" s="54"/>
      <c r="I3511" s="54"/>
      <c r="K3511" s="54"/>
      <c r="M3511" s="114"/>
      <c r="N3511" s="1"/>
      <c r="O3511" s="1"/>
      <c r="P3511" s="51"/>
    </row>
    <row r="3512">
      <c r="A3512" s="54"/>
      <c r="B3512" s="71"/>
      <c r="C3512" s="51"/>
      <c r="D3512" s="114"/>
      <c r="E3512" s="114"/>
      <c r="F3512" s="54"/>
      <c r="G3512" s="54"/>
      <c r="I3512" s="54"/>
      <c r="K3512" s="54"/>
      <c r="M3512" s="114"/>
      <c r="N3512" s="1"/>
      <c r="O3512" s="1"/>
      <c r="P3512" s="51"/>
    </row>
    <row r="3513">
      <c r="A3513" s="54"/>
      <c r="B3513" s="71"/>
      <c r="C3513" s="51"/>
      <c r="D3513" s="114"/>
      <c r="E3513" s="114"/>
      <c r="F3513" s="54"/>
      <c r="G3513" s="54"/>
      <c r="I3513" s="54"/>
      <c r="K3513" s="54"/>
      <c r="M3513" s="114"/>
      <c r="N3513" s="1"/>
      <c r="O3513" s="1"/>
      <c r="P3513" s="51"/>
    </row>
    <row r="3514">
      <c r="A3514" s="54"/>
      <c r="B3514" s="71"/>
      <c r="C3514" s="51"/>
      <c r="D3514" s="114"/>
      <c r="E3514" s="114"/>
      <c r="F3514" s="54"/>
      <c r="G3514" s="54"/>
      <c r="I3514" s="54"/>
      <c r="K3514" s="54"/>
      <c r="M3514" s="114"/>
      <c r="N3514" s="1"/>
      <c r="O3514" s="1"/>
      <c r="P3514" s="51"/>
    </row>
    <row r="3515">
      <c r="A3515" s="54"/>
      <c r="B3515" s="71"/>
      <c r="C3515" s="51"/>
      <c r="D3515" s="114"/>
      <c r="E3515" s="114"/>
      <c r="F3515" s="54"/>
      <c r="G3515" s="54"/>
      <c r="I3515" s="54"/>
      <c r="K3515" s="54"/>
      <c r="M3515" s="114"/>
      <c r="N3515" s="1"/>
      <c r="O3515" s="1"/>
      <c r="P3515" s="51"/>
    </row>
    <row r="3516">
      <c r="A3516" s="54"/>
      <c r="B3516" s="71"/>
      <c r="C3516" s="51"/>
      <c r="D3516" s="114"/>
      <c r="E3516" s="114"/>
      <c r="F3516" s="54"/>
      <c r="G3516" s="54"/>
      <c r="I3516" s="54"/>
      <c r="K3516" s="54"/>
      <c r="M3516" s="114"/>
      <c r="N3516" s="1"/>
      <c r="O3516" s="1"/>
      <c r="P3516" s="51"/>
    </row>
    <row r="3517">
      <c r="A3517" s="54"/>
      <c r="B3517" s="71"/>
      <c r="C3517" s="51"/>
      <c r="D3517" s="114"/>
      <c r="E3517" s="114"/>
      <c r="F3517" s="54"/>
      <c r="G3517" s="54"/>
      <c r="I3517" s="54"/>
      <c r="K3517" s="54"/>
      <c r="M3517" s="114"/>
      <c r="N3517" s="1"/>
      <c r="O3517" s="1"/>
      <c r="P3517" s="51"/>
    </row>
    <row r="3518">
      <c r="A3518" s="54"/>
      <c r="B3518" s="71"/>
      <c r="C3518" s="51"/>
      <c r="D3518" s="114"/>
      <c r="E3518" s="114"/>
      <c r="F3518" s="54"/>
      <c r="G3518" s="54"/>
      <c r="I3518" s="54"/>
      <c r="K3518" s="54"/>
      <c r="M3518" s="114"/>
      <c r="N3518" s="1"/>
      <c r="O3518" s="1"/>
      <c r="P3518" s="51"/>
    </row>
    <row r="3519">
      <c r="A3519" s="54"/>
      <c r="B3519" s="71"/>
      <c r="C3519" s="51"/>
      <c r="D3519" s="114"/>
      <c r="E3519" s="114"/>
      <c r="F3519" s="54"/>
      <c r="G3519" s="54"/>
      <c r="I3519" s="54"/>
      <c r="K3519" s="54"/>
      <c r="M3519" s="114"/>
      <c r="N3519" s="1"/>
      <c r="O3519" s="1"/>
      <c r="P3519" s="51"/>
    </row>
    <row r="3520">
      <c r="A3520" s="54"/>
      <c r="B3520" s="71"/>
      <c r="C3520" s="51"/>
      <c r="D3520" s="114"/>
      <c r="E3520" s="114"/>
      <c r="F3520" s="54"/>
      <c r="G3520" s="54"/>
      <c r="I3520" s="54"/>
      <c r="K3520" s="54"/>
      <c r="M3520" s="114"/>
      <c r="N3520" s="1"/>
      <c r="O3520" s="1"/>
      <c r="P3520" s="51"/>
    </row>
    <row r="3521">
      <c r="A3521" s="54"/>
      <c r="B3521" s="71"/>
      <c r="C3521" s="51"/>
      <c r="D3521" s="114"/>
      <c r="E3521" s="114"/>
      <c r="F3521" s="54"/>
      <c r="G3521" s="54"/>
      <c r="I3521" s="54"/>
      <c r="K3521" s="54"/>
      <c r="M3521" s="114"/>
      <c r="N3521" s="1"/>
      <c r="O3521" s="1"/>
      <c r="P3521" s="51"/>
    </row>
    <row r="3522">
      <c r="A3522" s="54"/>
      <c r="B3522" s="71"/>
      <c r="C3522" s="51"/>
      <c r="D3522" s="114"/>
      <c r="E3522" s="114"/>
      <c r="F3522" s="54"/>
      <c r="G3522" s="54"/>
      <c r="I3522" s="54"/>
      <c r="K3522" s="54"/>
      <c r="M3522" s="114"/>
      <c r="N3522" s="1"/>
      <c r="O3522" s="1"/>
      <c r="P3522" s="51"/>
    </row>
    <row r="3523">
      <c r="A3523" s="54"/>
      <c r="B3523" s="71"/>
      <c r="C3523" s="51"/>
      <c r="D3523" s="114"/>
      <c r="E3523" s="114"/>
      <c r="F3523" s="54"/>
      <c r="G3523" s="54"/>
      <c r="I3523" s="54"/>
      <c r="K3523" s="54"/>
      <c r="M3523" s="114"/>
      <c r="N3523" s="1"/>
      <c r="O3523" s="1"/>
      <c r="P3523" s="51"/>
    </row>
    <row r="3524">
      <c r="A3524" s="54"/>
      <c r="B3524" s="71"/>
      <c r="C3524" s="51"/>
      <c r="D3524" s="114"/>
      <c r="E3524" s="114"/>
      <c r="F3524" s="54"/>
      <c r="G3524" s="54"/>
      <c r="I3524" s="54"/>
      <c r="K3524" s="54"/>
      <c r="M3524" s="114"/>
      <c r="N3524" s="1"/>
      <c r="O3524" s="1"/>
      <c r="P3524" s="51"/>
    </row>
    <row r="3525">
      <c r="A3525" s="54"/>
      <c r="B3525" s="71"/>
      <c r="C3525" s="51"/>
      <c r="D3525" s="114"/>
      <c r="E3525" s="114"/>
      <c r="F3525" s="54"/>
      <c r="G3525" s="54"/>
      <c r="I3525" s="54"/>
      <c r="K3525" s="54"/>
      <c r="M3525" s="114"/>
      <c r="N3525" s="1"/>
      <c r="O3525" s="1"/>
      <c r="P3525" s="51"/>
    </row>
    <row r="3526">
      <c r="A3526" s="54"/>
      <c r="B3526" s="71"/>
      <c r="C3526" s="51"/>
      <c r="D3526" s="114"/>
      <c r="E3526" s="114"/>
      <c r="F3526" s="54"/>
      <c r="G3526" s="54"/>
      <c r="I3526" s="54"/>
      <c r="K3526" s="54"/>
      <c r="M3526" s="114"/>
      <c r="N3526" s="1"/>
      <c r="O3526" s="1"/>
      <c r="P3526" s="51"/>
    </row>
    <row r="3527">
      <c r="A3527" s="54"/>
      <c r="B3527" s="71"/>
      <c r="C3527" s="51"/>
      <c r="D3527" s="114"/>
      <c r="E3527" s="114"/>
      <c r="F3527" s="54"/>
      <c r="G3527" s="54"/>
      <c r="I3527" s="54"/>
      <c r="K3527" s="54"/>
      <c r="M3527" s="114"/>
      <c r="N3527" s="1"/>
      <c r="O3527" s="1"/>
      <c r="P3527" s="51"/>
    </row>
    <row r="3528">
      <c r="A3528" s="54"/>
      <c r="B3528" s="71"/>
      <c r="C3528" s="51"/>
      <c r="D3528" s="114"/>
      <c r="E3528" s="114"/>
      <c r="F3528" s="54"/>
      <c r="G3528" s="54"/>
      <c r="I3528" s="54"/>
      <c r="K3528" s="54"/>
      <c r="M3528" s="114"/>
      <c r="N3528" s="1"/>
      <c r="O3528" s="1"/>
      <c r="P3528" s="51"/>
    </row>
    <row r="3529">
      <c r="A3529" s="54"/>
      <c r="B3529" s="71"/>
      <c r="C3529" s="51"/>
      <c r="D3529" s="114"/>
      <c r="E3529" s="114"/>
      <c r="F3529" s="54"/>
      <c r="G3529" s="54"/>
      <c r="I3529" s="54"/>
      <c r="K3529" s="54"/>
      <c r="M3529" s="114"/>
      <c r="N3529" s="1"/>
      <c r="O3529" s="1"/>
      <c r="P3529" s="51"/>
    </row>
    <row r="3530">
      <c r="A3530" s="54"/>
      <c r="B3530" s="71"/>
      <c r="C3530" s="51"/>
      <c r="D3530" s="114"/>
      <c r="E3530" s="114"/>
      <c r="F3530" s="54"/>
      <c r="G3530" s="54"/>
      <c r="I3530" s="54"/>
      <c r="K3530" s="54"/>
      <c r="M3530" s="114"/>
      <c r="N3530" s="1"/>
      <c r="O3530" s="1"/>
      <c r="P3530" s="51"/>
    </row>
    <row r="3531">
      <c r="A3531" s="54"/>
      <c r="B3531" s="71"/>
      <c r="C3531" s="51"/>
      <c r="D3531" s="114"/>
      <c r="E3531" s="114"/>
      <c r="F3531" s="54"/>
      <c r="G3531" s="54"/>
      <c r="I3531" s="54"/>
      <c r="K3531" s="54"/>
      <c r="M3531" s="114"/>
      <c r="N3531" s="1"/>
      <c r="O3531" s="1"/>
      <c r="P3531" s="51"/>
    </row>
    <row r="3532">
      <c r="A3532" s="54"/>
      <c r="B3532" s="71"/>
      <c r="C3532" s="51"/>
      <c r="D3532" s="114"/>
      <c r="E3532" s="114"/>
      <c r="F3532" s="54"/>
      <c r="G3532" s="54"/>
      <c r="I3532" s="54"/>
      <c r="K3532" s="54"/>
      <c r="M3532" s="114"/>
      <c r="N3532" s="1"/>
      <c r="O3532" s="1"/>
      <c r="P3532" s="51"/>
    </row>
    <row r="3533">
      <c r="A3533" s="54"/>
      <c r="B3533" s="71"/>
      <c r="C3533" s="51"/>
      <c r="D3533" s="114"/>
      <c r="E3533" s="114"/>
      <c r="F3533" s="54"/>
      <c r="G3533" s="54"/>
      <c r="I3533" s="54"/>
      <c r="K3533" s="54"/>
      <c r="M3533" s="114"/>
      <c r="N3533" s="1"/>
      <c r="O3533" s="1"/>
      <c r="P3533" s="51"/>
    </row>
    <row r="3534">
      <c r="A3534" s="54"/>
      <c r="B3534" s="71"/>
      <c r="C3534" s="51"/>
      <c r="D3534" s="114"/>
      <c r="E3534" s="114"/>
      <c r="F3534" s="54"/>
      <c r="G3534" s="54"/>
      <c r="I3534" s="54"/>
      <c r="K3534" s="54"/>
      <c r="M3534" s="114"/>
      <c r="N3534" s="1"/>
      <c r="O3534" s="1"/>
      <c r="P3534" s="51"/>
    </row>
    <row r="3535">
      <c r="A3535" s="54"/>
      <c r="B3535" s="71"/>
      <c r="C3535" s="51"/>
      <c r="D3535" s="114"/>
      <c r="E3535" s="114"/>
      <c r="F3535" s="54"/>
      <c r="G3535" s="54"/>
      <c r="I3535" s="54"/>
      <c r="K3535" s="54"/>
      <c r="M3535" s="114"/>
      <c r="N3535" s="1"/>
      <c r="O3535" s="1"/>
      <c r="P3535" s="51"/>
    </row>
    <row r="3536">
      <c r="A3536" s="54"/>
      <c r="B3536" s="71"/>
      <c r="C3536" s="51"/>
      <c r="D3536" s="114"/>
      <c r="E3536" s="114"/>
      <c r="F3536" s="54"/>
      <c r="G3536" s="54"/>
      <c r="I3536" s="54"/>
      <c r="K3536" s="54"/>
      <c r="M3536" s="114"/>
      <c r="N3536" s="1"/>
      <c r="O3536" s="1"/>
      <c r="P3536" s="51"/>
    </row>
    <row r="3537">
      <c r="A3537" s="54"/>
      <c r="B3537" s="71"/>
      <c r="C3537" s="51"/>
      <c r="D3537" s="114"/>
      <c r="E3537" s="114"/>
      <c r="F3537" s="54"/>
      <c r="G3537" s="54"/>
      <c r="I3537" s="54"/>
      <c r="K3537" s="54"/>
      <c r="M3537" s="114"/>
      <c r="N3537" s="1"/>
      <c r="O3537" s="1"/>
      <c r="P3537" s="51"/>
    </row>
    <row r="3538">
      <c r="A3538" s="54"/>
      <c r="B3538" s="71"/>
      <c r="C3538" s="51"/>
      <c r="D3538" s="114"/>
      <c r="E3538" s="114"/>
      <c r="F3538" s="54"/>
      <c r="G3538" s="54"/>
      <c r="I3538" s="54"/>
      <c r="K3538" s="54"/>
      <c r="M3538" s="114"/>
      <c r="N3538" s="1"/>
      <c r="O3538" s="1"/>
      <c r="P3538" s="51"/>
    </row>
    <row r="3539">
      <c r="A3539" s="54"/>
      <c r="B3539" s="71"/>
      <c r="C3539" s="51"/>
      <c r="D3539" s="114"/>
      <c r="E3539" s="114"/>
      <c r="F3539" s="54"/>
      <c r="G3539" s="54"/>
      <c r="I3539" s="54"/>
      <c r="K3539" s="54"/>
      <c r="M3539" s="114"/>
      <c r="N3539" s="1"/>
      <c r="O3539" s="1"/>
      <c r="P3539" s="51"/>
    </row>
    <row r="3540">
      <c r="A3540" s="54"/>
      <c r="B3540" s="71"/>
      <c r="C3540" s="51"/>
      <c r="D3540" s="114"/>
      <c r="E3540" s="114"/>
      <c r="F3540" s="54"/>
      <c r="G3540" s="54"/>
      <c r="I3540" s="54"/>
      <c r="K3540" s="54"/>
      <c r="M3540" s="114"/>
      <c r="N3540" s="1"/>
      <c r="O3540" s="1"/>
      <c r="P3540" s="51"/>
    </row>
    <row r="3541">
      <c r="A3541" s="54"/>
      <c r="B3541" s="71"/>
      <c r="C3541" s="51"/>
      <c r="D3541" s="114"/>
      <c r="E3541" s="114"/>
      <c r="F3541" s="54"/>
      <c r="G3541" s="54"/>
      <c r="I3541" s="54"/>
      <c r="K3541" s="54"/>
      <c r="M3541" s="114"/>
      <c r="N3541" s="1"/>
      <c r="O3541" s="1"/>
      <c r="P3541" s="51"/>
    </row>
    <row r="3542">
      <c r="A3542" s="54"/>
      <c r="B3542" s="71"/>
      <c r="C3542" s="51"/>
      <c r="D3542" s="114"/>
      <c r="E3542" s="114"/>
      <c r="F3542" s="54"/>
      <c r="G3542" s="54"/>
      <c r="I3542" s="54"/>
      <c r="K3542" s="54"/>
      <c r="M3542" s="114"/>
      <c r="N3542" s="1"/>
      <c r="O3542" s="1"/>
      <c r="P3542" s="51"/>
    </row>
    <row r="3543">
      <c r="A3543" s="54"/>
      <c r="B3543" s="71"/>
      <c r="C3543" s="51"/>
      <c r="D3543" s="114"/>
      <c r="E3543" s="114"/>
      <c r="F3543" s="54"/>
      <c r="G3543" s="54"/>
      <c r="I3543" s="54"/>
      <c r="K3543" s="54"/>
      <c r="M3543" s="114"/>
      <c r="N3543" s="1"/>
      <c r="O3543" s="1"/>
      <c r="P3543" s="51"/>
    </row>
    <row r="3544">
      <c r="A3544" s="54"/>
      <c r="B3544" s="71"/>
      <c r="C3544" s="51"/>
      <c r="D3544" s="114"/>
      <c r="E3544" s="114"/>
      <c r="F3544" s="54"/>
      <c r="G3544" s="54"/>
      <c r="I3544" s="54"/>
      <c r="K3544" s="54"/>
      <c r="M3544" s="114"/>
      <c r="N3544" s="1"/>
      <c r="O3544" s="1"/>
      <c r="P3544" s="51"/>
    </row>
    <row r="3545">
      <c r="A3545" s="54"/>
      <c r="B3545" s="71"/>
      <c r="C3545" s="51"/>
      <c r="D3545" s="114"/>
      <c r="E3545" s="114"/>
      <c r="F3545" s="54"/>
      <c r="G3545" s="54"/>
      <c r="I3545" s="54"/>
      <c r="K3545" s="54"/>
      <c r="M3545" s="114"/>
      <c r="N3545" s="1"/>
      <c r="O3545" s="1"/>
      <c r="P3545" s="51"/>
    </row>
    <row r="3546">
      <c r="A3546" s="54"/>
      <c r="B3546" s="71"/>
      <c r="C3546" s="51"/>
      <c r="D3546" s="114"/>
      <c r="E3546" s="114"/>
      <c r="F3546" s="54"/>
      <c r="G3546" s="54"/>
      <c r="I3546" s="54"/>
      <c r="K3546" s="54"/>
      <c r="M3546" s="114"/>
      <c r="N3546" s="1"/>
      <c r="O3546" s="1"/>
      <c r="P3546" s="51"/>
    </row>
    <row r="3547">
      <c r="A3547" s="54"/>
      <c r="B3547" s="71"/>
      <c r="C3547" s="51"/>
      <c r="D3547" s="114"/>
      <c r="E3547" s="114"/>
      <c r="F3547" s="54"/>
      <c r="G3547" s="54"/>
      <c r="I3547" s="54"/>
      <c r="K3547" s="54"/>
      <c r="M3547" s="114"/>
      <c r="N3547" s="1"/>
      <c r="O3547" s="1"/>
      <c r="P3547" s="51"/>
    </row>
    <row r="3548">
      <c r="A3548" s="54"/>
      <c r="B3548" s="71"/>
      <c r="C3548" s="51"/>
      <c r="D3548" s="114"/>
      <c r="E3548" s="114"/>
      <c r="F3548" s="54"/>
      <c r="G3548" s="54"/>
      <c r="I3548" s="54"/>
      <c r="K3548" s="54"/>
      <c r="M3548" s="114"/>
      <c r="N3548" s="1"/>
      <c r="O3548" s="1"/>
      <c r="P3548" s="51"/>
    </row>
    <row r="3549">
      <c r="A3549" s="54"/>
      <c r="B3549" s="71"/>
      <c r="C3549" s="51"/>
      <c r="D3549" s="114"/>
      <c r="E3549" s="114"/>
      <c r="F3549" s="54"/>
      <c r="G3549" s="54"/>
      <c r="I3549" s="54"/>
      <c r="K3549" s="54"/>
      <c r="M3549" s="114"/>
      <c r="N3549" s="1"/>
      <c r="O3549" s="1"/>
      <c r="P3549" s="51"/>
    </row>
    <row r="3550">
      <c r="A3550" s="54"/>
      <c r="B3550" s="71"/>
      <c r="C3550" s="51"/>
      <c r="D3550" s="114"/>
      <c r="E3550" s="114"/>
      <c r="F3550" s="54"/>
      <c r="G3550" s="54"/>
      <c r="I3550" s="54"/>
      <c r="K3550" s="54"/>
      <c r="M3550" s="114"/>
      <c r="N3550" s="1"/>
      <c r="O3550" s="1"/>
      <c r="P3550" s="51"/>
    </row>
    <row r="3551">
      <c r="A3551" s="54"/>
      <c r="B3551" s="71"/>
      <c r="C3551" s="51"/>
      <c r="D3551" s="114"/>
      <c r="E3551" s="114"/>
      <c r="F3551" s="54"/>
      <c r="G3551" s="54"/>
      <c r="I3551" s="54"/>
      <c r="K3551" s="54"/>
      <c r="M3551" s="114"/>
      <c r="N3551" s="1"/>
      <c r="O3551" s="1"/>
      <c r="P3551" s="51"/>
    </row>
    <row r="3552">
      <c r="A3552" s="54"/>
      <c r="B3552" s="71"/>
      <c r="C3552" s="51"/>
      <c r="D3552" s="114"/>
      <c r="E3552" s="114"/>
      <c r="F3552" s="54"/>
      <c r="G3552" s="54"/>
      <c r="I3552" s="54"/>
      <c r="K3552" s="54"/>
      <c r="M3552" s="114"/>
      <c r="N3552" s="1"/>
      <c r="O3552" s="1"/>
      <c r="P3552" s="51"/>
    </row>
    <row r="3553">
      <c r="A3553" s="54"/>
      <c r="B3553" s="71"/>
      <c r="C3553" s="51"/>
      <c r="D3553" s="114"/>
      <c r="E3553" s="114"/>
      <c r="F3553" s="54"/>
      <c r="G3553" s="54"/>
      <c r="I3553" s="54"/>
      <c r="K3553" s="54"/>
      <c r="M3553" s="114"/>
      <c r="N3553" s="1"/>
      <c r="O3553" s="1"/>
      <c r="P3553" s="51"/>
    </row>
    <row r="3554">
      <c r="A3554" s="54"/>
      <c r="B3554" s="71"/>
      <c r="C3554" s="51"/>
      <c r="D3554" s="114"/>
      <c r="E3554" s="114"/>
      <c r="F3554" s="54"/>
      <c r="G3554" s="54"/>
      <c r="I3554" s="54"/>
      <c r="K3554" s="54"/>
      <c r="M3554" s="114"/>
      <c r="N3554" s="1"/>
      <c r="O3554" s="1"/>
      <c r="P3554" s="51"/>
    </row>
    <row r="3555">
      <c r="A3555" s="54"/>
      <c r="B3555" s="71"/>
      <c r="C3555" s="51"/>
      <c r="D3555" s="114"/>
      <c r="E3555" s="114"/>
      <c r="F3555" s="54"/>
      <c r="G3555" s="54"/>
      <c r="I3555" s="54"/>
      <c r="K3555" s="54"/>
      <c r="M3555" s="114"/>
      <c r="N3555" s="1"/>
      <c r="O3555" s="1"/>
      <c r="P3555" s="51"/>
    </row>
    <row r="3556">
      <c r="A3556" s="54"/>
      <c r="B3556" s="71"/>
      <c r="C3556" s="51"/>
      <c r="D3556" s="114"/>
      <c r="E3556" s="114"/>
      <c r="F3556" s="54"/>
      <c r="G3556" s="54"/>
      <c r="I3556" s="54"/>
      <c r="K3556" s="54"/>
      <c r="M3556" s="114"/>
      <c r="N3556" s="1"/>
      <c r="O3556" s="1"/>
      <c r="P3556" s="51"/>
    </row>
    <row r="3557">
      <c r="A3557" s="54"/>
      <c r="B3557" s="71"/>
      <c r="C3557" s="51"/>
      <c r="D3557" s="114"/>
      <c r="E3557" s="114"/>
      <c r="F3557" s="54"/>
      <c r="G3557" s="54"/>
      <c r="I3557" s="54"/>
      <c r="K3557" s="54"/>
      <c r="M3557" s="114"/>
      <c r="N3557" s="1"/>
      <c r="O3557" s="1"/>
      <c r="P3557" s="51"/>
    </row>
    <row r="3558">
      <c r="A3558" s="54"/>
      <c r="B3558" s="71"/>
      <c r="C3558" s="51"/>
      <c r="D3558" s="114"/>
      <c r="E3558" s="114"/>
      <c r="F3558" s="54"/>
      <c r="G3558" s="54"/>
      <c r="I3558" s="54"/>
      <c r="K3558" s="54"/>
      <c r="M3558" s="114"/>
      <c r="N3558" s="1"/>
      <c r="O3558" s="1"/>
      <c r="P3558" s="51"/>
    </row>
    <row r="3559">
      <c r="A3559" s="54"/>
      <c r="B3559" s="71"/>
      <c r="C3559" s="51"/>
      <c r="D3559" s="114"/>
      <c r="E3559" s="114"/>
      <c r="F3559" s="54"/>
      <c r="G3559" s="54"/>
      <c r="I3559" s="54"/>
      <c r="K3559" s="54"/>
      <c r="M3559" s="114"/>
      <c r="N3559" s="1"/>
      <c r="O3559" s="1"/>
      <c r="P3559" s="51"/>
    </row>
    <row r="3560">
      <c r="A3560" s="54"/>
      <c r="B3560" s="71"/>
      <c r="C3560" s="51"/>
      <c r="D3560" s="114"/>
      <c r="E3560" s="114"/>
      <c r="F3560" s="54"/>
      <c r="G3560" s="54"/>
      <c r="I3560" s="54"/>
      <c r="K3560" s="54"/>
      <c r="M3560" s="114"/>
      <c r="N3560" s="1"/>
      <c r="O3560" s="1"/>
      <c r="P3560" s="51"/>
    </row>
    <row r="3561">
      <c r="A3561" s="54"/>
      <c r="B3561" s="71"/>
      <c r="C3561" s="51"/>
      <c r="D3561" s="114"/>
      <c r="E3561" s="114"/>
      <c r="F3561" s="54"/>
      <c r="G3561" s="54"/>
      <c r="I3561" s="54"/>
      <c r="K3561" s="54"/>
      <c r="M3561" s="114"/>
      <c r="N3561" s="1"/>
      <c r="O3561" s="1"/>
      <c r="P3561" s="51"/>
    </row>
    <row r="3562">
      <c r="A3562" s="54"/>
      <c r="B3562" s="71"/>
      <c r="C3562" s="51"/>
      <c r="D3562" s="114"/>
      <c r="E3562" s="114"/>
      <c r="F3562" s="54"/>
      <c r="G3562" s="54"/>
      <c r="I3562" s="54"/>
      <c r="K3562" s="54"/>
      <c r="M3562" s="114"/>
      <c r="N3562" s="1"/>
      <c r="O3562" s="1"/>
      <c r="P3562" s="51"/>
    </row>
    <row r="3563">
      <c r="A3563" s="54"/>
      <c r="B3563" s="71"/>
      <c r="C3563" s="51"/>
      <c r="D3563" s="114"/>
      <c r="E3563" s="114"/>
      <c r="F3563" s="54"/>
      <c r="G3563" s="54"/>
      <c r="I3563" s="54"/>
      <c r="K3563" s="54"/>
      <c r="M3563" s="114"/>
      <c r="N3563" s="1"/>
      <c r="O3563" s="1"/>
      <c r="P3563" s="51"/>
    </row>
    <row r="3564">
      <c r="A3564" s="54"/>
      <c r="B3564" s="71"/>
      <c r="C3564" s="51"/>
      <c r="D3564" s="114"/>
      <c r="E3564" s="114"/>
      <c r="F3564" s="54"/>
      <c r="G3564" s="54"/>
      <c r="I3564" s="54"/>
      <c r="K3564" s="54"/>
      <c r="M3564" s="114"/>
      <c r="N3564" s="1"/>
      <c r="O3564" s="1"/>
      <c r="P3564" s="51"/>
    </row>
    <row r="3565">
      <c r="A3565" s="54"/>
      <c r="B3565" s="71"/>
      <c r="C3565" s="51"/>
      <c r="D3565" s="114"/>
      <c r="E3565" s="114"/>
      <c r="F3565" s="54"/>
      <c r="G3565" s="54"/>
      <c r="I3565" s="54"/>
      <c r="K3565" s="54"/>
      <c r="M3565" s="114"/>
      <c r="N3565" s="1"/>
      <c r="O3565" s="1"/>
      <c r="P3565" s="51"/>
    </row>
    <row r="3566">
      <c r="A3566" s="54"/>
      <c r="B3566" s="71"/>
      <c r="C3566" s="51"/>
      <c r="D3566" s="114"/>
      <c r="E3566" s="114"/>
      <c r="F3566" s="54"/>
      <c r="G3566" s="54"/>
      <c r="I3566" s="54"/>
      <c r="K3566" s="54"/>
      <c r="M3566" s="114"/>
      <c r="N3566" s="1"/>
      <c r="O3566" s="1"/>
      <c r="P3566" s="51"/>
    </row>
    <row r="3567">
      <c r="A3567" s="54"/>
      <c r="B3567" s="71"/>
      <c r="C3567" s="51"/>
      <c r="D3567" s="114"/>
      <c r="E3567" s="114"/>
      <c r="F3567" s="54"/>
      <c r="G3567" s="54"/>
      <c r="I3567" s="54"/>
      <c r="K3567" s="54"/>
      <c r="M3567" s="114"/>
      <c r="N3567" s="1"/>
      <c r="O3567" s="1"/>
      <c r="P3567" s="51"/>
    </row>
    <row r="3568">
      <c r="A3568" s="54"/>
      <c r="B3568" s="71"/>
      <c r="C3568" s="51"/>
      <c r="D3568" s="114"/>
      <c r="E3568" s="114"/>
      <c r="F3568" s="54"/>
      <c r="G3568" s="54"/>
      <c r="I3568" s="54"/>
      <c r="K3568" s="54"/>
      <c r="M3568" s="114"/>
      <c r="N3568" s="1"/>
      <c r="O3568" s="1"/>
      <c r="P3568" s="51"/>
    </row>
    <row r="3569">
      <c r="A3569" s="54"/>
      <c r="B3569" s="71"/>
      <c r="C3569" s="51"/>
      <c r="D3569" s="114"/>
      <c r="E3569" s="114"/>
      <c r="F3569" s="54"/>
      <c r="G3569" s="54"/>
      <c r="I3569" s="54"/>
      <c r="K3569" s="54"/>
      <c r="M3569" s="114"/>
      <c r="N3569" s="1"/>
      <c r="O3569" s="1"/>
      <c r="P3569" s="51"/>
    </row>
    <row r="3570">
      <c r="A3570" s="54"/>
      <c r="B3570" s="71"/>
      <c r="C3570" s="51"/>
      <c r="D3570" s="114"/>
      <c r="E3570" s="114"/>
      <c r="F3570" s="54"/>
      <c r="G3570" s="54"/>
      <c r="I3570" s="54"/>
      <c r="K3570" s="54"/>
      <c r="M3570" s="114"/>
      <c r="N3570" s="1"/>
      <c r="O3570" s="1"/>
      <c r="P3570" s="51"/>
    </row>
    <row r="3571">
      <c r="A3571" s="54"/>
      <c r="B3571" s="71"/>
      <c r="C3571" s="51"/>
      <c r="D3571" s="114"/>
      <c r="E3571" s="114"/>
      <c r="F3571" s="54"/>
      <c r="G3571" s="54"/>
      <c r="I3571" s="54"/>
      <c r="K3571" s="54"/>
      <c r="M3571" s="114"/>
      <c r="N3571" s="1"/>
      <c r="O3571" s="1"/>
      <c r="P3571" s="51"/>
    </row>
    <row r="3572">
      <c r="A3572" s="54"/>
      <c r="B3572" s="71"/>
      <c r="C3572" s="51"/>
      <c r="D3572" s="114"/>
      <c r="E3572" s="114"/>
      <c r="F3572" s="54"/>
      <c r="G3572" s="54"/>
      <c r="I3572" s="54"/>
      <c r="K3572" s="54"/>
      <c r="M3572" s="114"/>
      <c r="N3572" s="1"/>
      <c r="O3572" s="1"/>
      <c r="P3572" s="51"/>
    </row>
    <row r="3573">
      <c r="A3573" s="54"/>
      <c r="B3573" s="71"/>
      <c r="C3573" s="51"/>
      <c r="D3573" s="114"/>
      <c r="E3573" s="114"/>
      <c r="F3573" s="54"/>
      <c r="G3573" s="54"/>
      <c r="I3573" s="54"/>
      <c r="K3573" s="54"/>
      <c r="M3573" s="114"/>
      <c r="N3573" s="1"/>
      <c r="O3573" s="1"/>
      <c r="P3573" s="51"/>
    </row>
    <row r="3574">
      <c r="A3574" s="54"/>
      <c r="B3574" s="71"/>
      <c r="C3574" s="51"/>
      <c r="D3574" s="114"/>
      <c r="E3574" s="114"/>
      <c r="F3574" s="54"/>
      <c r="G3574" s="54"/>
      <c r="I3574" s="54"/>
      <c r="K3574" s="54"/>
      <c r="M3574" s="114"/>
      <c r="N3574" s="1"/>
      <c r="O3574" s="1"/>
      <c r="P3574" s="51"/>
    </row>
    <row r="3575">
      <c r="A3575" s="54"/>
      <c r="B3575" s="71"/>
      <c r="C3575" s="51"/>
      <c r="D3575" s="114"/>
      <c r="E3575" s="114"/>
      <c r="F3575" s="54"/>
      <c r="G3575" s="54"/>
      <c r="I3575" s="54"/>
      <c r="K3575" s="54"/>
      <c r="M3575" s="114"/>
      <c r="N3575" s="1"/>
      <c r="O3575" s="1"/>
      <c r="P3575" s="51"/>
    </row>
    <row r="3576">
      <c r="A3576" s="54"/>
      <c r="B3576" s="71"/>
      <c r="C3576" s="51"/>
      <c r="D3576" s="114"/>
      <c r="E3576" s="114"/>
      <c r="F3576" s="54"/>
      <c r="G3576" s="54"/>
      <c r="I3576" s="54"/>
      <c r="K3576" s="54"/>
      <c r="M3576" s="114"/>
      <c r="N3576" s="1"/>
      <c r="O3576" s="1"/>
      <c r="P3576" s="51"/>
    </row>
    <row r="3577">
      <c r="A3577" s="54"/>
      <c r="B3577" s="71"/>
      <c r="C3577" s="51"/>
      <c r="D3577" s="114"/>
      <c r="E3577" s="114"/>
      <c r="F3577" s="54"/>
      <c r="G3577" s="54"/>
      <c r="I3577" s="54"/>
      <c r="K3577" s="54"/>
      <c r="M3577" s="114"/>
      <c r="N3577" s="1"/>
      <c r="O3577" s="1"/>
      <c r="P3577" s="51"/>
    </row>
    <row r="3578">
      <c r="A3578" s="54"/>
      <c r="B3578" s="71"/>
      <c r="C3578" s="51"/>
      <c r="D3578" s="114"/>
      <c r="E3578" s="114"/>
      <c r="F3578" s="54"/>
      <c r="G3578" s="54"/>
      <c r="I3578" s="54"/>
      <c r="K3578" s="54"/>
      <c r="M3578" s="114"/>
      <c r="N3578" s="1"/>
      <c r="O3578" s="1"/>
      <c r="P3578" s="51"/>
    </row>
    <row r="3579">
      <c r="A3579" s="54"/>
      <c r="B3579" s="71"/>
      <c r="C3579" s="51"/>
      <c r="D3579" s="114"/>
      <c r="E3579" s="114"/>
      <c r="F3579" s="54"/>
      <c r="G3579" s="54"/>
      <c r="I3579" s="54"/>
      <c r="K3579" s="54"/>
      <c r="M3579" s="114"/>
      <c r="N3579" s="1"/>
      <c r="O3579" s="1"/>
      <c r="P3579" s="51"/>
    </row>
    <row r="3580">
      <c r="A3580" s="54"/>
      <c r="B3580" s="71"/>
      <c r="C3580" s="51"/>
      <c r="D3580" s="114"/>
      <c r="E3580" s="114"/>
      <c r="F3580" s="54"/>
      <c r="G3580" s="54"/>
      <c r="I3580" s="54"/>
      <c r="K3580" s="54"/>
      <c r="M3580" s="114"/>
      <c r="N3580" s="1"/>
      <c r="O3580" s="1"/>
      <c r="P3580" s="51"/>
    </row>
    <row r="3581">
      <c r="A3581" s="54"/>
      <c r="B3581" s="71"/>
      <c r="C3581" s="51"/>
      <c r="D3581" s="114"/>
      <c r="E3581" s="114"/>
      <c r="F3581" s="54"/>
      <c r="G3581" s="54"/>
      <c r="I3581" s="54"/>
      <c r="K3581" s="54"/>
      <c r="M3581" s="114"/>
      <c r="N3581" s="1"/>
      <c r="O3581" s="1"/>
      <c r="P3581" s="51"/>
    </row>
    <row r="3582">
      <c r="A3582" s="54"/>
      <c r="B3582" s="71"/>
      <c r="C3582" s="51"/>
      <c r="D3582" s="114"/>
      <c r="E3582" s="114"/>
      <c r="F3582" s="54"/>
      <c r="G3582" s="54"/>
      <c r="I3582" s="54"/>
      <c r="K3582" s="54"/>
      <c r="M3582" s="114"/>
      <c r="N3582" s="1"/>
      <c r="O3582" s="1"/>
      <c r="P3582" s="51"/>
    </row>
    <row r="3583">
      <c r="A3583" s="54"/>
      <c r="B3583" s="71"/>
      <c r="C3583" s="51"/>
      <c r="D3583" s="114"/>
      <c r="E3583" s="114"/>
      <c r="F3583" s="54"/>
      <c r="G3583" s="54"/>
      <c r="I3583" s="54"/>
      <c r="K3583" s="54"/>
      <c r="M3583" s="114"/>
      <c r="N3583" s="1"/>
      <c r="O3583" s="1"/>
      <c r="P3583" s="51"/>
    </row>
    <row r="3584">
      <c r="A3584" s="54"/>
      <c r="B3584" s="71"/>
      <c r="C3584" s="51"/>
      <c r="D3584" s="114"/>
      <c r="E3584" s="114"/>
      <c r="F3584" s="54"/>
      <c r="G3584" s="54"/>
      <c r="I3584" s="54"/>
      <c r="K3584" s="54"/>
      <c r="M3584" s="114"/>
      <c r="N3584" s="1"/>
      <c r="O3584" s="1"/>
      <c r="P3584" s="51"/>
    </row>
    <row r="3585">
      <c r="A3585" s="54"/>
      <c r="B3585" s="71"/>
      <c r="C3585" s="51"/>
      <c r="D3585" s="114"/>
      <c r="E3585" s="114"/>
      <c r="F3585" s="54"/>
      <c r="G3585" s="54"/>
      <c r="I3585" s="54"/>
      <c r="K3585" s="54"/>
      <c r="M3585" s="114"/>
      <c r="N3585" s="1"/>
      <c r="O3585" s="1"/>
      <c r="P3585" s="51"/>
    </row>
    <row r="3586">
      <c r="A3586" s="54"/>
      <c r="B3586" s="71"/>
      <c r="C3586" s="51"/>
      <c r="D3586" s="114"/>
      <c r="E3586" s="114"/>
      <c r="F3586" s="54"/>
      <c r="G3586" s="54"/>
      <c r="I3586" s="54"/>
      <c r="K3586" s="54"/>
      <c r="M3586" s="114"/>
      <c r="N3586" s="1"/>
      <c r="O3586" s="1"/>
      <c r="P3586" s="51"/>
    </row>
    <row r="3587">
      <c r="A3587" s="54"/>
      <c r="B3587" s="71"/>
      <c r="C3587" s="51"/>
      <c r="D3587" s="114"/>
      <c r="E3587" s="114"/>
      <c r="F3587" s="54"/>
      <c r="G3587" s="54"/>
      <c r="I3587" s="54"/>
      <c r="K3587" s="54"/>
      <c r="M3587" s="114"/>
      <c r="N3587" s="1"/>
      <c r="O3587" s="1"/>
      <c r="P3587" s="51"/>
    </row>
    <row r="3588">
      <c r="A3588" s="54"/>
      <c r="B3588" s="71"/>
      <c r="C3588" s="51"/>
      <c r="D3588" s="114"/>
      <c r="E3588" s="114"/>
      <c r="F3588" s="54"/>
      <c r="G3588" s="54"/>
      <c r="I3588" s="54"/>
      <c r="K3588" s="54"/>
      <c r="M3588" s="114"/>
      <c r="N3588" s="1"/>
      <c r="O3588" s="1"/>
      <c r="P3588" s="51"/>
    </row>
    <row r="3589">
      <c r="A3589" s="54"/>
      <c r="B3589" s="71"/>
      <c r="C3589" s="51"/>
      <c r="D3589" s="114"/>
      <c r="E3589" s="114"/>
      <c r="F3589" s="54"/>
      <c r="G3589" s="54"/>
      <c r="I3589" s="54"/>
      <c r="K3589" s="54"/>
      <c r="M3589" s="114"/>
      <c r="N3589" s="1"/>
      <c r="O3589" s="1"/>
      <c r="P3589" s="51"/>
    </row>
    <row r="3590">
      <c r="A3590" s="54"/>
      <c r="B3590" s="71"/>
      <c r="C3590" s="51"/>
      <c r="D3590" s="114"/>
      <c r="E3590" s="114"/>
      <c r="F3590" s="54"/>
      <c r="G3590" s="54"/>
      <c r="I3590" s="54"/>
      <c r="K3590" s="54"/>
      <c r="M3590" s="114"/>
      <c r="N3590" s="1"/>
      <c r="O3590" s="1"/>
      <c r="P3590" s="51"/>
    </row>
    <row r="3591">
      <c r="A3591" s="54"/>
      <c r="B3591" s="71"/>
      <c r="C3591" s="51"/>
      <c r="D3591" s="114"/>
      <c r="E3591" s="114"/>
      <c r="F3591" s="54"/>
      <c r="G3591" s="54"/>
      <c r="I3591" s="54"/>
      <c r="K3591" s="54"/>
      <c r="M3591" s="114"/>
      <c r="N3591" s="1"/>
      <c r="O3591" s="1"/>
      <c r="P3591" s="51"/>
    </row>
    <row r="3592">
      <c r="A3592" s="54"/>
      <c r="B3592" s="71"/>
      <c r="C3592" s="51"/>
      <c r="D3592" s="114"/>
      <c r="E3592" s="114"/>
      <c r="F3592" s="54"/>
      <c r="G3592" s="54"/>
      <c r="I3592" s="54"/>
      <c r="K3592" s="54"/>
      <c r="M3592" s="114"/>
      <c r="N3592" s="1"/>
      <c r="O3592" s="1"/>
      <c r="P3592" s="51"/>
    </row>
    <row r="3593">
      <c r="A3593" s="54"/>
      <c r="B3593" s="71"/>
      <c r="C3593" s="51"/>
      <c r="D3593" s="114"/>
      <c r="E3593" s="114"/>
      <c r="F3593" s="54"/>
      <c r="G3593" s="54"/>
      <c r="I3593" s="54"/>
      <c r="K3593" s="54"/>
      <c r="M3593" s="114"/>
      <c r="N3593" s="1"/>
      <c r="O3593" s="1"/>
      <c r="P3593" s="51"/>
    </row>
    <row r="3594">
      <c r="A3594" s="54"/>
      <c r="B3594" s="71"/>
      <c r="C3594" s="51"/>
      <c r="D3594" s="114"/>
      <c r="E3594" s="114"/>
      <c r="F3594" s="54"/>
      <c r="G3594" s="54"/>
      <c r="I3594" s="54"/>
      <c r="K3594" s="54"/>
      <c r="M3594" s="114"/>
      <c r="N3594" s="1"/>
      <c r="O3594" s="1"/>
      <c r="P3594" s="51"/>
    </row>
    <row r="3595">
      <c r="A3595" s="54"/>
      <c r="B3595" s="71"/>
      <c r="C3595" s="51"/>
      <c r="D3595" s="114"/>
      <c r="E3595" s="114"/>
      <c r="F3595" s="54"/>
      <c r="G3595" s="54"/>
      <c r="I3595" s="54"/>
      <c r="K3595" s="54"/>
      <c r="M3595" s="114"/>
      <c r="N3595" s="1"/>
      <c r="O3595" s="1"/>
      <c r="P3595" s="51"/>
    </row>
    <row r="3596">
      <c r="A3596" s="54"/>
      <c r="B3596" s="71"/>
      <c r="C3596" s="51"/>
      <c r="D3596" s="114"/>
      <c r="E3596" s="114"/>
      <c r="F3596" s="54"/>
      <c r="G3596" s="54"/>
      <c r="I3596" s="54"/>
      <c r="K3596" s="54"/>
      <c r="M3596" s="114"/>
      <c r="N3596" s="1"/>
      <c r="O3596" s="1"/>
      <c r="P3596" s="51"/>
    </row>
    <row r="3597">
      <c r="A3597" s="54"/>
      <c r="B3597" s="71"/>
      <c r="C3597" s="51"/>
      <c r="D3597" s="114"/>
      <c r="E3597" s="114"/>
      <c r="F3597" s="54"/>
      <c r="G3597" s="54"/>
      <c r="I3597" s="54"/>
      <c r="K3597" s="54"/>
      <c r="M3597" s="114"/>
      <c r="N3597" s="1"/>
      <c r="O3597" s="1"/>
      <c r="P3597" s="51"/>
    </row>
    <row r="3598">
      <c r="A3598" s="54"/>
      <c r="B3598" s="71"/>
      <c r="C3598" s="51"/>
      <c r="D3598" s="114"/>
      <c r="E3598" s="114"/>
      <c r="F3598" s="54"/>
      <c r="G3598" s="54"/>
      <c r="I3598" s="54"/>
      <c r="K3598" s="54"/>
      <c r="M3598" s="114"/>
      <c r="N3598" s="1"/>
      <c r="O3598" s="1"/>
      <c r="P3598" s="51"/>
    </row>
    <row r="3599">
      <c r="A3599" s="54"/>
      <c r="B3599" s="71"/>
      <c r="C3599" s="51"/>
      <c r="D3599" s="114"/>
      <c r="E3599" s="114"/>
      <c r="F3599" s="54"/>
      <c r="G3599" s="54"/>
      <c r="I3599" s="54"/>
      <c r="K3599" s="54"/>
      <c r="M3599" s="114"/>
      <c r="N3599" s="1"/>
      <c r="O3599" s="1"/>
      <c r="P3599" s="51"/>
    </row>
    <row r="3600">
      <c r="A3600" s="54"/>
      <c r="B3600" s="71"/>
      <c r="C3600" s="51"/>
      <c r="D3600" s="114"/>
      <c r="E3600" s="114"/>
      <c r="F3600" s="54"/>
      <c r="G3600" s="54"/>
      <c r="I3600" s="54"/>
      <c r="K3600" s="54"/>
      <c r="M3600" s="114"/>
      <c r="N3600" s="1"/>
      <c r="O3600" s="1"/>
      <c r="P3600" s="51"/>
    </row>
    <row r="3601">
      <c r="A3601" s="54"/>
      <c r="B3601" s="71"/>
      <c r="C3601" s="51"/>
      <c r="D3601" s="114"/>
      <c r="E3601" s="114"/>
      <c r="F3601" s="54"/>
      <c r="G3601" s="54"/>
      <c r="I3601" s="54"/>
      <c r="K3601" s="54"/>
      <c r="M3601" s="114"/>
      <c r="N3601" s="1"/>
      <c r="O3601" s="1"/>
      <c r="P3601" s="51"/>
    </row>
    <row r="3602">
      <c r="A3602" s="54"/>
      <c r="B3602" s="71"/>
      <c r="C3602" s="51"/>
      <c r="D3602" s="114"/>
      <c r="E3602" s="114"/>
      <c r="F3602" s="54"/>
      <c r="G3602" s="54"/>
      <c r="I3602" s="54"/>
      <c r="K3602" s="54"/>
      <c r="M3602" s="114"/>
      <c r="N3602" s="1"/>
      <c r="O3602" s="1"/>
      <c r="P3602" s="51"/>
    </row>
    <row r="3603">
      <c r="A3603" s="54"/>
      <c r="B3603" s="71"/>
      <c r="C3603" s="51"/>
      <c r="D3603" s="114"/>
      <c r="E3603" s="114"/>
      <c r="F3603" s="54"/>
      <c r="G3603" s="54"/>
      <c r="I3603" s="54"/>
      <c r="K3603" s="54"/>
      <c r="M3603" s="114"/>
      <c r="N3603" s="1"/>
      <c r="O3603" s="1"/>
      <c r="P3603" s="51"/>
    </row>
    <row r="3604">
      <c r="A3604" s="54"/>
      <c r="B3604" s="71"/>
      <c r="C3604" s="51"/>
      <c r="D3604" s="114"/>
      <c r="E3604" s="114"/>
      <c r="F3604" s="54"/>
      <c r="G3604" s="54"/>
      <c r="I3604" s="54"/>
      <c r="K3604" s="54"/>
      <c r="M3604" s="114"/>
      <c r="N3604" s="1"/>
      <c r="O3604" s="1"/>
      <c r="P3604" s="51"/>
    </row>
    <row r="3605">
      <c r="A3605" s="54"/>
      <c r="B3605" s="71"/>
      <c r="C3605" s="51"/>
      <c r="D3605" s="114"/>
      <c r="E3605" s="114"/>
      <c r="F3605" s="54"/>
      <c r="G3605" s="54"/>
      <c r="I3605" s="54"/>
      <c r="K3605" s="54"/>
      <c r="M3605" s="114"/>
      <c r="N3605" s="1"/>
      <c r="O3605" s="1"/>
      <c r="P3605" s="51"/>
    </row>
    <row r="3606">
      <c r="A3606" s="54"/>
      <c r="B3606" s="71"/>
      <c r="C3606" s="51"/>
      <c r="D3606" s="114"/>
      <c r="E3606" s="114"/>
      <c r="F3606" s="54"/>
      <c r="G3606" s="54"/>
      <c r="I3606" s="54"/>
      <c r="K3606" s="54"/>
      <c r="M3606" s="114"/>
      <c r="N3606" s="1"/>
      <c r="O3606" s="1"/>
      <c r="P3606" s="51"/>
    </row>
    <row r="3607">
      <c r="A3607" s="54"/>
      <c r="B3607" s="71"/>
      <c r="C3607" s="51"/>
      <c r="D3607" s="114"/>
      <c r="E3607" s="114"/>
      <c r="F3607" s="54"/>
      <c r="G3607" s="54"/>
      <c r="I3607" s="54"/>
      <c r="K3607" s="54"/>
      <c r="M3607" s="114"/>
      <c r="N3607" s="1"/>
      <c r="O3607" s="1"/>
      <c r="P3607" s="51"/>
    </row>
    <row r="3608">
      <c r="A3608" s="54"/>
      <c r="B3608" s="71"/>
      <c r="C3608" s="51"/>
      <c r="D3608" s="114"/>
      <c r="E3608" s="114"/>
      <c r="F3608" s="54"/>
      <c r="G3608" s="54"/>
      <c r="I3608" s="54"/>
      <c r="K3608" s="54"/>
      <c r="M3608" s="114"/>
      <c r="N3608" s="1"/>
      <c r="O3608" s="1"/>
      <c r="P3608" s="51"/>
    </row>
    <row r="3609">
      <c r="A3609" s="54"/>
      <c r="B3609" s="71"/>
      <c r="C3609" s="51"/>
      <c r="D3609" s="114"/>
      <c r="E3609" s="114"/>
      <c r="F3609" s="54"/>
      <c r="G3609" s="54"/>
      <c r="I3609" s="54"/>
      <c r="K3609" s="54"/>
      <c r="M3609" s="114"/>
      <c r="N3609" s="1"/>
      <c r="O3609" s="1"/>
      <c r="P3609" s="51"/>
    </row>
    <row r="3610">
      <c r="A3610" s="54"/>
      <c r="B3610" s="71"/>
      <c r="C3610" s="51"/>
      <c r="D3610" s="114"/>
      <c r="E3610" s="114"/>
      <c r="F3610" s="54"/>
      <c r="G3610" s="54"/>
      <c r="I3610" s="54"/>
      <c r="K3610" s="54"/>
      <c r="M3610" s="114"/>
      <c r="N3610" s="1"/>
      <c r="O3610" s="1"/>
      <c r="P3610" s="51"/>
    </row>
    <row r="3611">
      <c r="A3611" s="54"/>
      <c r="B3611" s="71"/>
      <c r="C3611" s="51"/>
      <c r="D3611" s="114"/>
      <c r="E3611" s="114"/>
      <c r="F3611" s="54"/>
      <c r="G3611" s="54"/>
      <c r="I3611" s="54"/>
      <c r="K3611" s="54"/>
      <c r="M3611" s="114"/>
      <c r="N3611" s="1"/>
      <c r="O3611" s="1"/>
      <c r="P3611" s="51"/>
    </row>
    <row r="3612">
      <c r="A3612" s="54"/>
      <c r="B3612" s="71"/>
      <c r="C3612" s="51"/>
      <c r="D3612" s="114"/>
      <c r="E3612" s="114"/>
      <c r="F3612" s="54"/>
      <c r="G3612" s="54"/>
      <c r="I3612" s="54"/>
      <c r="K3612" s="54"/>
      <c r="M3612" s="114"/>
      <c r="N3612" s="1"/>
      <c r="O3612" s="1"/>
      <c r="P3612" s="51"/>
    </row>
    <row r="3613">
      <c r="A3613" s="54"/>
      <c r="B3613" s="71"/>
      <c r="C3613" s="51"/>
      <c r="D3613" s="114"/>
      <c r="E3613" s="114"/>
      <c r="F3613" s="54"/>
      <c r="G3613" s="54"/>
      <c r="I3613" s="54"/>
      <c r="K3613" s="54"/>
      <c r="M3613" s="114"/>
      <c r="N3613" s="1"/>
      <c r="O3613" s="1"/>
      <c r="P3613" s="51"/>
    </row>
    <row r="3614">
      <c r="A3614" s="54"/>
      <c r="B3614" s="71"/>
      <c r="C3614" s="51"/>
      <c r="D3614" s="114"/>
      <c r="E3614" s="114"/>
      <c r="F3614" s="54"/>
      <c r="G3614" s="54"/>
      <c r="I3614" s="54"/>
      <c r="K3614" s="54"/>
      <c r="M3614" s="114"/>
      <c r="N3614" s="1"/>
      <c r="O3614" s="1"/>
      <c r="P3614" s="51"/>
    </row>
    <row r="3615">
      <c r="A3615" s="54"/>
      <c r="B3615" s="71"/>
      <c r="C3615" s="51"/>
      <c r="D3615" s="114"/>
      <c r="E3615" s="114"/>
      <c r="F3615" s="54"/>
      <c r="G3615" s="54"/>
      <c r="I3615" s="54"/>
      <c r="K3615" s="54"/>
      <c r="M3615" s="114"/>
      <c r="N3615" s="1"/>
      <c r="O3615" s="1"/>
      <c r="P3615" s="51"/>
    </row>
    <row r="3616">
      <c r="A3616" s="54"/>
      <c r="B3616" s="71"/>
      <c r="C3616" s="51"/>
      <c r="D3616" s="114"/>
      <c r="E3616" s="114"/>
      <c r="F3616" s="54"/>
      <c r="G3616" s="54"/>
      <c r="I3616" s="54"/>
      <c r="K3616" s="54"/>
      <c r="M3616" s="114"/>
      <c r="N3616" s="1"/>
      <c r="O3616" s="1"/>
      <c r="P3616" s="51"/>
    </row>
    <row r="3617">
      <c r="A3617" s="54"/>
      <c r="B3617" s="71"/>
      <c r="C3617" s="51"/>
      <c r="D3617" s="114"/>
      <c r="E3617" s="114"/>
      <c r="F3617" s="54"/>
      <c r="G3617" s="54"/>
      <c r="I3617" s="54"/>
      <c r="K3617" s="54"/>
      <c r="M3617" s="114"/>
      <c r="N3617" s="1"/>
      <c r="O3617" s="1"/>
      <c r="P3617" s="51"/>
    </row>
    <row r="3618">
      <c r="A3618" s="54"/>
      <c r="B3618" s="71"/>
      <c r="C3618" s="51"/>
      <c r="D3618" s="114"/>
      <c r="E3618" s="114"/>
      <c r="F3618" s="54"/>
      <c r="G3618" s="54"/>
      <c r="I3618" s="54"/>
      <c r="K3618" s="54"/>
      <c r="M3618" s="114"/>
      <c r="N3618" s="1"/>
      <c r="O3618" s="1"/>
      <c r="P3618" s="51"/>
    </row>
    <row r="3619">
      <c r="A3619" s="54"/>
      <c r="B3619" s="71"/>
      <c r="C3619" s="51"/>
      <c r="D3619" s="114"/>
      <c r="E3619" s="114"/>
      <c r="F3619" s="54"/>
      <c r="G3619" s="54"/>
      <c r="I3619" s="54"/>
      <c r="K3619" s="54"/>
      <c r="M3619" s="114"/>
      <c r="N3619" s="1"/>
      <c r="O3619" s="1"/>
      <c r="P3619" s="51"/>
    </row>
    <row r="3620">
      <c r="A3620" s="54"/>
      <c r="B3620" s="71"/>
      <c r="C3620" s="51"/>
      <c r="D3620" s="114"/>
      <c r="E3620" s="114"/>
      <c r="F3620" s="54"/>
      <c r="G3620" s="54"/>
      <c r="I3620" s="54"/>
      <c r="K3620" s="54"/>
      <c r="M3620" s="114"/>
      <c r="N3620" s="1"/>
      <c r="O3620" s="1"/>
      <c r="P3620" s="51"/>
    </row>
    <row r="3621">
      <c r="A3621" s="54"/>
      <c r="B3621" s="71"/>
      <c r="C3621" s="51"/>
      <c r="D3621" s="114"/>
      <c r="E3621" s="114"/>
      <c r="F3621" s="54"/>
      <c r="G3621" s="54"/>
      <c r="I3621" s="54"/>
      <c r="K3621" s="54"/>
      <c r="M3621" s="114"/>
      <c r="N3621" s="1"/>
      <c r="O3621" s="1"/>
      <c r="P3621" s="51"/>
    </row>
    <row r="3622">
      <c r="A3622" s="54"/>
      <c r="B3622" s="71"/>
      <c r="C3622" s="51"/>
      <c r="D3622" s="114"/>
      <c r="E3622" s="114"/>
      <c r="F3622" s="54"/>
      <c r="G3622" s="54"/>
      <c r="I3622" s="54"/>
      <c r="K3622" s="54"/>
      <c r="M3622" s="114"/>
      <c r="N3622" s="1"/>
      <c r="O3622" s="1"/>
      <c r="P3622" s="51"/>
    </row>
    <row r="3623">
      <c r="A3623" s="54"/>
      <c r="B3623" s="71"/>
      <c r="C3623" s="51"/>
      <c r="D3623" s="114"/>
      <c r="E3623" s="114"/>
      <c r="F3623" s="54"/>
      <c r="G3623" s="54"/>
      <c r="I3623" s="54"/>
      <c r="K3623" s="54"/>
      <c r="M3623" s="114"/>
      <c r="N3623" s="1"/>
      <c r="O3623" s="1"/>
      <c r="P3623" s="51"/>
    </row>
    <row r="3624">
      <c r="A3624" s="54"/>
      <c r="B3624" s="71"/>
      <c r="C3624" s="51"/>
      <c r="D3624" s="114"/>
      <c r="E3624" s="114"/>
      <c r="F3624" s="54"/>
      <c r="G3624" s="54"/>
      <c r="I3624" s="54"/>
      <c r="K3624" s="54"/>
      <c r="M3624" s="114"/>
      <c r="N3624" s="1"/>
      <c r="O3624" s="1"/>
      <c r="P3624" s="51"/>
    </row>
    <row r="3625">
      <c r="A3625" s="54"/>
      <c r="B3625" s="71"/>
      <c r="C3625" s="51"/>
      <c r="D3625" s="114"/>
      <c r="E3625" s="114"/>
      <c r="F3625" s="54"/>
      <c r="G3625" s="54"/>
      <c r="I3625" s="54"/>
      <c r="K3625" s="54"/>
      <c r="M3625" s="114"/>
      <c r="N3625" s="1"/>
      <c r="O3625" s="1"/>
      <c r="P3625" s="51"/>
    </row>
    <row r="3626">
      <c r="A3626" s="54"/>
      <c r="B3626" s="71"/>
      <c r="C3626" s="51"/>
      <c r="D3626" s="114"/>
      <c r="E3626" s="114"/>
      <c r="F3626" s="54"/>
      <c r="G3626" s="54"/>
      <c r="I3626" s="54"/>
      <c r="K3626" s="54"/>
      <c r="M3626" s="114"/>
      <c r="N3626" s="1"/>
      <c r="O3626" s="1"/>
      <c r="P3626" s="51"/>
    </row>
    <row r="3627">
      <c r="A3627" s="54"/>
      <c r="B3627" s="71"/>
      <c r="C3627" s="51"/>
      <c r="D3627" s="114"/>
      <c r="E3627" s="114"/>
      <c r="F3627" s="54"/>
      <c r="G3627" s="54"/>
      <c r="I3627" s="54"/>
      <c r="K3627" s="54"/>
      <c r="M3627" s="114"/>
      <c r="N3627" s="1"/>
      <c r="O3627" s="1"/>
      <c r="P3627" s="51"/>
    </row>
    <row r="3628">
      <c r="A3628" s="54"/>
      <c r="B3628" s="71"/>
      <c r="C3628" s="51"/>
      <c r="D3628" s="114"/>
      <c r="E3628" s="114"/>
      <c r="F3628" s="54"/>
      <c r="G3628" s="54"/>
      <c r="I3628" s="54"/>
      <c r="K3628" s="54"/>
      <c r="M3628" s="114"/>
      <c r="N3628" s="1"/>
      <c r="O3628" s="1"/>
      <c r="P3628" s="51"/>
    </row>
    <row r="3629">
      <c r="A3629" s="54"/>
      <c r="B3629" s="71"/>
      <c r="C3629" s="51"/>
      <c r="D3629" s="114"/>
      <c r="E3629" s="114"/>
      <c r="F3629" s="54"/>
      <c r="G3629" s="54"/>
      <c r="I3629" s="54"/>
      <c r="K3629" s="54"/>
      <c r="M3629" s="114"/>
      <c r="N3629" s="1"/>
      <c r="O3629" s="1"/>
      <c r="P3629" s="51"/>
    </row>
    <row r="3630">
      <c r="A3630" s="54"/>
      <c r="B3630" s="71"/>
      <c r="C3630" s="51"/>
      <c r="D3630" s="114"/>
      <c r="E3630" s="114"/>
      <c r="F3630" s="54"/>
      <c r="G3630" s="54"/>
      <c r="I3630" s="54"/>
      <c r="K3630" s="54"/>
      <c r="M3630" s="114"/>
      <c r="N3630" s="1"/>
      <c r="O3630" s="1"/>
      <c r="P3630" s="51"/>
    </row>
    <row r="3631">
      <c r="A3631" s="54"/>
      <c r="B3631" s="71"/>
      <c r="C3631" s="51"/>
      <c r="D3631" s="114"/>
      <c r="E3631" s="114"/>
      <c r="F3631" s="54"/>
      <c r="G3631" s="54"/>
      <c r="I3631" s="54"/>
      <c r="K3631" s="54"/>
      <c r="M3631" s="114"/>
      <c r="N3631" s="1"/>
      <c r="O3631" s="1"/>
      <c r="P3631" s="51"/>
    </row>
    <row r="3632">
      <c r="A3632" s="54"/>
      <c r="B3632" s="71"/>
      <c r="C3632" s="51"/>
      <c r="D3632" s="114"/>
      <c r="E3632" s="114"/>
      <c r="F3632" s="54"/>
      <c r="G3632" s="54"/>
      <c r="I3632" s="54"/>
      <c r="K3632" s="54"/>
      <c r="M3632" s="114"/>
      <c r="N3632" s="1"/>
      <c r="O3632" s="1"/>
      <c r="P3632" s="51"/>
    </row>
    <row r="3633">
      <c r="A3633" s="54"/>
      <c r="B3633" s="71"/>
      <c r="C3633" s="51"/>
      <c r="D3633" s="114"/>
      <c r="E3633" s="114"/>
      <c r="F3633" s="54"/>
      <c r="G3633" s="54"/>
      <c r="I3633" s="54"/>
      <c r="K3633" s="54"/>
      <c r="M3633" s="114"/>
      <c r="N3633" s="1"/>
      <c r="O3633" s="1"/>
      <c r="P3633" s="51"/>
    </row>
    <row r="3634">
      <c r="A3634" s="54"/>
      <c r="B3634" s="71"/>
      <c r="C3634" s="51"/>
      <c r="D3634" s="114"/>
      <c r="E3634" s="114"/>
      <c r="F3634" s="54"/>
      <c r="G3634" s="54"/>
      <c r="I3634" s="54"/>
      <c r="K3634" s="54"/>
      <c r="M3634" s="114"/>
      <c r="N3634" s="1"/>
      <c r="O3634" s="1"/>
      <c r="P3634" s="51"/>
    </row>
    <row r="3635">
      <c r="A3635" s="54"/>
      <c r="B3635" s="71"/>
      <c r="C3635" s="51"/>
      <c r="D3635" s="114"/>
      <c r="E3635" s="114"/>
      <c r="F3635" s="54"/>
      <c r="G3635" s="54"/>
      <c r="I3635" s="54"/>
      <c r="K3635" s="54"/>
      <c r="M3635" s="114"/>
      <c r="N3635" s="1"/>
      <c r="O3635" s="1"/>
      <c r="P3635" s="51"/>
    </row>
    <row r="3636">
      <c r="A3636" s="54"/>
      <c r="B3636" s="71"/>
      <c r="C3636" s="51"/>
      <c r="D3636" s="114"/>
      <c r="E3636" s="114"/>
      <c r="F3636" s="54"/>
      <c r="G3636" s="54"/>
      <c r="I3636" s="54"/>
      <c r="K3636" s="54"/>
      <c r="M3636" s="114"/>
      <c r="N3636" s="1"/>
      <c r="O3636" s="1"/>
      <c r="P3636" s="51"/>
    </row>
    <row r="3637">
      <c r="A3637" s="54"/>
      <c r="B3637" s="71"/>
      <c r="C3637" s="51"/>
      <c r="D3637" s="114"/>
      <c r="E3637" s="114"/>
      <c r="F3637" s="54"/>
      <c r="G3637" s="54"/>
      <c r="I3637" s="54"/>
      <c r="K3637" s="54"/>
      <c r="M3637" s="114"/>
      <c r="N3637" s="1"/>
      <c r="O3637" s="1"/>
      <c r="P3637" s="51"/>
    </row>
    <row r="3638">
      <c r="A3638" s="54"/>
      <c r="B3638" s="71"/>
      <c r="C3638" s="51"/>
      <c r="D3638" s="114"/>
      <c r="E3638" s="114"/>
      <c r="F3638" s="54"/>
      <c r="G3638" s="54"/>
      <c r="I3638" s="54"/>
      <c r="K3638" s="54"/>
      <c r="M3638" s="114"/>
      <c r="N3638" s="1"/>
      <c r="O3638" s="1"/>
      <c r="P3638" s="51"/>
    </row>
    <row r="3639">
      <c r="A3639" s="54"/>
      <c r="B3639" s="71"/>
      <c r="C3639" s="51"/>
      <c r="D3639" s="114"/>
      <c r="E3639" s="114"/>
      <c r="F3639" s="54"/>
      <c r="G3639" s="54"/>
      <c r="I3639" s="54"/>
      <c r="K3639" s="54"/>
      <c r="M3639" s="114"/>
      <c r="N3639" s="1"/>
      <c r="O3639" s="1"/>
      <c r="P3639" s="51"/>
    </row>
    <row r="3640">
      <c r="A3640" s="54"/>
      <c r="B3640" s="71"/>
      <c r="C3640" s="51"/>
      <c r="D3640" s="114"/>
      <c r="E3640" s="114"/>
      <c r="F3640" s="54"/>
      <c r="G3640" s="54"/>
      <c r="I3640" s="54"/>
      <c r="K3640" s="54"/>
      <c r="M3640" s="114"/>
      <c r="N3640" s="1"/>
      <c r="O3640" s="1"/>
      <c r="P3640" s="51"/>
    </row>
    <row r="3641">
      <c r="A3641" s="54"/>
      <c r="B3641" s="71"/>
      <c r="C3641" s="51"/>
      <c r="D3641" s="114"/>
      <c r="E3641" s="114"/>
      <c r="F3641" s="54"/>
      <c r="G3641" s="54"/>
      <c r="I3641" s="54"/>
      <c r="K3641" s="54"/>
      <c r="M3641" s="114"/>
      <c r="N3641" s="1"/>
      <c r="O3641" s="1"/>
      <c r="P3641" s="51"/>
    </row>
    <row r="3642">
      <c r="A3642" s="54"/>
      <c r="B3642" s="71"/>
      <c r="C3642" s="51"/>
      <c r="D3642" s="114"/>
      <c r="E3642" s="114"/>
      <c r="F3642" s="54"/>
      <c r="G3642" s="54"/>
      <c r="I3642" s="54"/>
      <c r="K3642" s="54"/>
      <c r="M3642" s="114"/>
      <c r="N3642" s="1"/>
      <c r="O3642" s="1"/>
      <c r="P3642" s="51"/>
    </row>
    <row r="3643">
      <c r="A3643" s="54"/>
      <c r="B3643" s="71"/>
      <c r="C3643" s="51"/>
      <c r="D3643" s="114"/>
      <c r="E3643" s="114"/>
      <c r="F3643" s="54"/>
      <c r="G3643" s="54"/>
      <c r="I3643" s="54"/>
      <c r="K3643" s="54"/>
      <c r="M3643" s="114"/>
      <c r="N3643" s="1"/>
      <c r="O3643" s="1"/>
      <c r="P3643" s="51"/>
    </row>
    <row r="3644">
      <c r="A3644" s="54"/>
      <c r="B3644" s="71"/>
      <c r="C3644" s="51"/>
      <c r="D3644" s="114"/>
      <c r="E3644" s="114"/>
      <c r="F3644" s="54"/>
      <c r="G3644" s="54"/>
      <c r="I3644" s="54"/>
      <c r="K3644" s="54"/>
      <c r="M3644" s="114"/>
      <c r="N3644" s="1"/>
      <c r="O3644" s="1"/>
      <c r="P3644" s="51"/>
    </row>
    <row r="3645">
      <c r="A3645" s="54"/>
      <c r="B3645" s="71"/>
      <c r="C3645" s="51"/>
      <c r="D3645" s="114"/>
      <c r="E3645" s="114"/>
      <c r="F3645" s="54"/>
      <c r="G3645" s="54"/>
      <c r="I3645" s="54"/>
      <c r="K3645" s="54"/>
      <c r="M3645" s="114"/>
      <c r="N3645" s="1"/>
      <c r="O3645" s="1"/>
      <c r="P3645" s="51"/>
    </row>
    <row r="3646">
      <c r="A3646" s="54"/>
      <c r="B3646" s="71"/>
      <c r="C3646" s="51"/>
      <c r="D3646" s="114"/>
      <c r="E3646" s="114"/>
      <c r="F3646" s="54"/>
      <c r="G3646" s="54"/>
      <c r="I3646" s="54"/>
      <c r="K3646" s="54"/>
      <c r="M3646" s="114"/>
      <c r="N3646" s="1"/>
      <c r="O3646" s="1"/>
      <c r="P3646" s="51"/>
    </row>
    <row r="3647">
      <c r="A3647" s="54"/>
      <c r="B3647" s="71"/>
      <c r="C3647" s="51"/>
      <c r="D3647" s="114"/>
      <c r="E3647" s="114"/>
      <c r="F3647" s="54"/>
      <c r="G3647" s="54"/>
      <c r="I3647" s="54"/>
      <c r="K3647" s="54"/>
      <c r="M3647" s="114"/>
      <c r="N3647" s="1"/>
      <c r="O3647" s="1"/>
      <c r="P3647" s="51"/>
    </row>
    <row r="3648">
      <c r="A3648" s="54"/>
      <c r="B3648" s="71"/>
      <c r="C3648" s="51"/>
      <c r="D3648" s="114"/>
      <c r="E3648" s="114"/>
      <c r="F3648" s="54"/>
      <c r="G3648" s="54"/>
      <c r="I3648" s="54"/>
      <c r="K3648" s="54"/>
      <c r="M3648" s="114"/>
      <c r="N3648" s="1"/>
      <c r="O3648" s="1"/>
      <c r="P3648" s="51"/>
    </row>
    <row r="3649">
      <c r="A3649" s="54"/>
      <c r="B3649" s="71"/>
      <c r="C3649" s="51"/>
      <c r="D3649" s="114"/>
      <c r="E3649" s="114"/>
      <c r="F3649" s="54"/>
      <c r="G3649" s="54"/>
      <c r="I3649" s="54"/>
      <c r="K3649" s="54"/>
      <c r="M3649" s="114"/>
      <c r="N3649" s="1"/>
      <c r="O3649" s="1"/>
      <c r="P3649" s="51"/>
    </row>
    <row r="3650">
      <c r="A3650" s="54"/>
      <c r="B3650" s="71"/>
      <c r="C3650" s="51"/>
      <c r="D3650" s="114"/>
      <c r="E3650" s="114"/>
      <c r="F3650" s="54"/>
      <c r="G3650" s="54"/>
      <c r="I3650" s="54"/>
      <c r="K3650" s="54"/>
      <c r="M3650" s="114"/>
      <c r="N3650" s="1"/>
      <c r="O3650" s="1"/>
      <c r="P3650" s="51"/>
    </row>
    <row r="3651">
      <c r="A3651" s="54"/>
      <c r="B3651" s="71"/>
      <c r="C3651" s="51"/>
      <c r="D3651" s="114"/>
      <c r="E3651" s="114"/>
      <c r="F3651" s="54"/>
      <c r="G3651" s="54"/>
      <c r="I3651" s="54"/>
      <c r="K3651" s="54"/>
      <c r="M3651" s="114"/>
      <c r="N3651" s="1"/>
      <c r="O3651" s="1"/>
      <c r="P3651" s="51"/>
    </row>
    <row r="3652">
      <c r="A3652" s="54"/>
      <c r="B3652" s="71"/>
      <c r="C3652" s="51"/>
      <c r="D3652" s="114"/>
      <c r="E3652" s="114"/>
      <c r="F3652" s="54"/>
      <c r="G3652" s="54"/>
      <c r="I3652" s="54"/>
      <c r="K3652" s="54"/>
      <c r="M3652" s="114"/>
      <c r="N3652" s="1"/>
      <c r="O3652" s="1"/>
      <c r="P3652" s="51"/>
    </row>
    <row r="3653">
      <c r="A3653" s="54"/>
      <c r="B3653" s="71"/>
      <c r="C3653" s="51"/>
      <c r="D3653" s="114"/>
      <c r="E3653" s="114"/>
      <c r="F3653" s="54"/>
      <c r="G3653" s="54"/>
      <c r="I3653" s="54"/>
      <c r="K3653" s="54"/>
      <c r="M3653" s="114"/>
      <c r="N3653" s="1"/>
      <c r="O3653" s="1"/>
      <c r="P3653" s="51"/>
    </row>
    <row r="3654">
      <c r="A3654" s="54"/>
      <c r="B3654" s="71"/>
      <c r="C3654" s="51"/>
      <c r="D3654" s="114"/>
      <c r="E3654" s="114"/>
      <c r="F3654" s="54"/>
      <c r="G3654" s="54"/>
      <c r="I3654" s="54"/>
      <c r="K3654" s="54"/>
      <c r="M3654" s="114"/>
      <c r="N3654" s="1"/>
      <c r="O3654" s="1"/>
      <c r="P3654" s="51"/>
    </row>
    <row r="3655">
      <c r="A3655" s="54"/>
      <c r="B3655" s="71"/>
      <c r="C3655" s="51"/>
      <c r="D3655" s="114"/>
      <c r="E3655" s="114"/>
      <c r="F3655" s="54"/>
      <c r="G3655" s="54"/>
      <c r="I3655" s="54"/>
      <c r="K3655" s="54"/>
      <c r="M3655" s="114"/>
      <c r="N3655" s="1"/>
      <c r="O3655" s="1"/>
      <c r="P3655" s="51"/>
    </row>
    <row r="3656">
      <c r="A3656" s="54"/>
      <c r="B3656" s="71"/>
      <c r="C3656" s="51"/>
      <c r="D3656" s="114"/>
      <c r="E3656" s="114"/>
      <c r="F3656" s="54"/>
      <c r="G3656" s="54"/>
      <c r="I3656" s="54"/>
      <c r="K3656" s="54"/>
      <c r="M3656" s="114"/>
      <c r="N3656" s="1"/>
      <c r="O3656" s="1"/>
      <c r="P3656" s="51"/>
    </row>
    <row r="3657">
      <c r="A3657" s="54"/>
      <c r="B3657" s="71"/>
      <c r="C3657" s="51"/>
      <c r="D3657" s="114"/>
      <c r="E3657" s="114"/>
      <c r="F3657" s="54"/>
      <c r="G3657" s="54"/>
      <c r="I3657" s="54"/>
      <c r="K3657" s="54"/>
      <c r="M3657" s="114"/>
      <c r="N3657" s="1"/>
      <c r="O3657" s="1"/>
      <c r="P3657" s="51"/>
    </row>
    <row r="3658">
      <c r="A3658" s="54"/>
      <c r="B3658" s="71"/>
      <c r="C3658" s="51"/>
      <c r="D3658" s="114"/>
      <c r="E3658" s="114"/>
      <c r="F3658" s="54"/>
      <c r="G3658" s="54"/>
      <c r="I3658" s="54"/>
      <c r="K3658" s="54"/>
      <c r="M3658" s="114"/>
      <c r="N3658" s="1"/>
      <c r="O3658" s="1"/>
      <c r="P3658" s="51"/>
    </row>
    <row r="3659">
      <c r="A3659" s="54"/>
      <c r="B3659" s="71"/>
      <c r="C3659" s="51"/>
      <c r="D3659" s="114"/>
      <c r="E3659" s="114"/>
      <c r="F3659" s="54"/>
      <c r="G3659" s="54"/>
      <c r="I3659" s="54"/>
      <c r="K3659" s="54"/>
      <c r="M3659" s="114"/>
      <c r="N3659" s="1"/>
      <c r="O3659" s="1"/>
      <c r="P3659" s="51"/>
    </row>
    <row r="3660">
      <c r="A3660" s="54"/>
      <c r="B3660" s="71"/>
      <c r="C3660" s="51"/>
      <c r="D3660" s="114"/>
      <c r="E3660" s="114"/>
      <c r="F3660" s="54"/>
      <c r="G3660" s="54"/>
      <c r="I3660" s="54"/>
      <c r="K3660" s="54"/>
      <c r="M3660" s="114"/>
      <c r="N3660" s="1"/>
      <c r="O3660" s="1"/>
      <c r="P3660" s="51"/>
    </row>
    <row r="3661">
      <c r="A3661" s="54"/>
      <c r="B3661" s="71"/>
      <c r="C3661" s="51"/>
      <c r="D3661" s="114"/>
      <c r="E3661" s="114"/>
      <c r="F3661" s="54"/>
      <c r="G3661" s="54"/>
      <c r="I3661" s="54"/>
      <c r="K3661" s="54"/>
      <c r="M3661" s="114"/>
      <c r="N3661" s="1"/>
      <c r="O3661" s="1"/>
      <c r="P3661" s="51"/>
    </row>
    <row r="3662">
      <c r="A3662" s="54"/>
      <c r="B3662" s="71"/>
      <c r="C3662" s="51"/>
      <c r="D3662" s="114"/>
      <c r="E3662" s="114"/>
      <c r="F3662" s="54"/>
      <c r="G3662" s="54"/>
      <c r="I3662" s="54"/>
      <c r="K3662" s="54"/>
      <c r="M3662" s="114"/>
      <c r="N3662" s="1"/>
      <c r="O3662" s="1"/>
      <c r="P3662" s="51"/>
    </row>
    <row r="3663">
      <c r="A3663" s="54"/>
      <c r="B3663" s="71"/>
      <c r="C3663" s="51"/>
      <c r="D3663" s="114"/>
      <c r="E3663" s="114"/>
      <c r="F3663" s="54"/>
      <c r="G3663" s="54"/>
      <c r="I3663" s="54"/>
      <c r="K3663" s="54"/>
      <c r="M3663" s="114"/>
      <c r="N3663" s="1"/>
      <c r="O3663" s="1"/>
      <c r="P3663" s="51"/>
    </row>
    <row r="3664">
      <c r="A3664" s="54"/>
      <c r="B3664" s="71"/>
      <c r="C3664" s="51"/>
      <c r="D3664" s="114"/>
      <c r="E3664" s="114"/>
      <c r="F3664" s="54"/>
      <c r="G3664" s="54"/>
      <c r="I3664" s="54"/>
      <c r="K3664" s="54"/>
      <c r="M3664" s="114"/>
      <c r="N3664" s="1"/>
      <c r="O3664" s="1"/>
      <c r="P3664" s="51"/>
    </row>
    <row r="3665">
      <c r="A3665" s="54"/>
      <c r="B3665" s="71"/>
      <c r="C3665" s="51"/>
      <c r="D3665" s="114"/>
      <c r="E3665" s="114"/>
      <c r="F3665" s="54"/>
      <c r="G3665" s="54"/>
      <c r="I3665" s="54"/>
      <c r="K3665" s="54"/>
      <c r="M3665" s="114"/>
      <c r="N3665" s="1"/>
      <c r="O3665" s="1"/>
      <c r="P3665" s="51"/>
    </row>
    <row r="3666">
      <c r="A3666" s="54"/>
      <c r="B3666" s="71"/>
      <c r="C3666" s="51"/>
      <c r="D3666" s="114"/>
      <c r="E3666" s="114"/>
      <c r="F3666" s="54"/>
      <c r="G3666" s="54"/>
      <c r="I3666" s="54"/>
      <c r="K3666" s="54"/>
      <c r="M3666" s="114"/>
      <c r="N3666" s="1"/>
      <c r="O3666" s="1"/>
      <c r="P3666" s="51"/>
    </row>
    <row r="3667">
      <c r="A3667" s="54"/>
      <c r="B3667" s="71"/>
      <c r="C3667" s="51"/>
      <c r="D3667" s="114"/>
      <c r="E3667" s="114"/>
      <c r="F3667" s="54"/>
      <c r="G3667" s="54"/>
      <c r="I3667" s="54"/>
      <c r="K3667" s="54"/>
      <c r="M3667" s="114"/>
      <c r="N3667" s="1"/>
      <c r="O3667" s="1"/>
      <c r="P3667" s="51"/>
    </row>
    <row r="3668">
      <c r="A3668" s="54"/>
      <c r="B3668" s="71"/>
      <c r="C3668" s="51"/>
      <c r="D3668" s="114"/>
      <c r="E3668" s="114"/>
      <c r="F3668" s="54"/>
      <c r="G3668" s="54"/>
      <c r="I3668" s="54"/>
      <c r="K3668" s="54"/>
      <c r="M3668" s="114"/>
      <c r="N3668" s="1"/>
      <c r="O3668" s="1"/>
      <c r="P3668" s="51"/>
    </row>
    <row r="3669">
      <c r="A3669" s="54"/>
      <c r="B3669" s="71"/>
      <c r="C3669" s="51"/>
      <c r="D3669" s="114"/>
      <c r="E3669" s="114"/>
      <c r="F3669" s="54"/>
      <c r="G3669" s="54"/>
      <c r="I3669" s="54"/>
      <c r="K3669" s="54"/>
      <c r="M3669" s="114"/>
      <c r="N3669" s="1"/>
      <c r="O3669" s="1"/>
      <c r="P3669" s="51"/>
    </row>
    <row r="3670">
      <c r="A3670" s="54"/>
      <c r="B3670" s="71"/>
      <c r="C3670" s="51"/>
      <c r="D3670" s="114"/>
      <c r="E3670" s="114"/>
      <c r="F3670" s="54"/>
      <c r="G3670" s="54"/>
      <c r="I3670" s="54"/>
      <c r="K3670" s="54"/>
      <c r="M3670" s="114"/>
      <c r="N3670" s="1"/>
      <c r="O3670" s="1"/>
      <c r="P3670" s="51"/>
    </row>
    <row r="3671">
      <c r="A3671" s="54"/>
      <c r="B3671" s="71"/>
      <c r="C3671" s="51"/>
      <c r="D3671" s="114"/>
      <c r="E3671" s="114"/>
      <c r="F3671" s="54"/>
      <c r="G3671" s="54"/>
      <c r="I3671" s="54"/>
      <c r="K3671" s="54"/>
      <c r="M3671" s="114"/>
      <c r="N3671" s="1"/>
      <c r="O3671" s="1"/>
      <c r="P3671" s="51"/>
    </row>
    <row r="3672">
      <c r="A3672" s="54"/>
      <c r="B3672" s="71"/>
      <c r="C3672" s="51"/>
      <c r="D3672" s="114"/>
      <c r="E3672" s="114"/>
      <c r="F3672" s="54"/>
      <c r="G3672" s="54"/>
      <c r="I3672" s="54"/>
      <c r="K3672" s="54"/>
      <c r="M3672" s="114"/>
      <c r="N3672" s="1"/>
      <c r="O3672" s="1"/>
      <c r="P3672" s="51"/>
    </row>
    <row r="3673">
      <c r="A3673" s="54"/>
      <c r="B3673" s="71"/>
      <c r="C3673" s="51"/>
      <c r="D3673" s="114"/>
      <c r="E3673" s="114"/>
      <c r="F3673" s="54"/>
      <c r="G3673" s="54"/>
      <c r="I3673" s="54"/>
      <c r="K3673" s="54"/>
      <c r="M3673" s="114"/>
      <c r="N3673" s="1"/>
      <c r="O3673" s="1"/>
      <c r="P3673" s="51"/>
    </row>
    <row r="3674">
      <c r="A3674" s="54"/>
      <c r="B3674" s="71"/>
      <c r="C3674" s="51"/>
      <c r="D3674" s="114"/>
      <c r="E3674" s="114"/>
      <c r="F3674" s="54"/>
      <c r="G3674" s="54"/>
      <c r="I3674" s="54"/>
      <c r="K3674" s="54"/>
      <c r="M3674" s="114"/>
      <c r="N3674" s="1"/>
      <c r="O3674" s="1"/>
      <c r="P3674" s="51"/>
    </row>
    <row r="3675">
      <c r="A3675" s="54"/>
      <c r="B3675" s="71"/>
      <c r="C3675" s="51"/>
      <c r="D3675" s="114"/>
      <c r="E3675" s="114"/>
      <c r="F3675" s="54"/>
      <c r="G3675" s="54"/>
      <c r="I3675" s="54"/>
      <c r="K3675" s="54"/>
      <c r="M3675" s="114"/>
      <c r="N3675" s="1"/>
      <c r="O3675" s="1"/>
      <c r="P3675" s="51"/>
    </row>
    <row r="3676">
      <c r="A3676" s="54"/>
      <c r="B3676" s="71"/>
      <c r="C3676" s="51"/>
      <c r="D3676" s="114"/>
      <c r="E3676" s="114"/>
      <c r="F3676" s="54"/>
      <c r="G3676" s="54"/>
      <c r="I3676" s="54"/>
      <c r="K3676" s="54"/>
      <c r="M3676" s="114"/>
      <c r="N3676" s="1"/>
      <c r="O3676" s="1"/>
      <c r="P3676" s="51"/>
    </row>
    <row r="3677">
      <c r="A3677" s="54"/>
      <c r="B3677" s="71"/>
      <c r="C3677" s="51"/>
      <c r="D3677" s="114"/>
      <c r="E3677" s="114"/>
      <c r="F3677" s="54"/>
      <c r="G3677" s="54"/>
      <c r="I3677" s="54"/>
      <c r="K3677" s="54"/>
      <c r="M3677" s="114"/>
      <c r="N3677" s="1"/>
      <c r="O3677" s="1"/>
      <c r="P3677" s="51"/>
    </row>
    <row r="3678">
      <c r="A3678" s="54"/>
      <c r="B3678" s="71"/>
      <c r="C3678" s="51"/>
      <c r="D3678" s="114"/>
      <c r="E3678" s="114"/>
      <c r="F3678" s="54"/>
      <c r="G3678" s="54"/>
      <c r="I3678" s="54"/>
      <c r="K3678" s="54"/>
      <c r="M3678" s="114"/>
      <c r="N3678" s="1"/>
      <c r="O3678" s="1"/>
      <c r="P3678" s="51"/>
    </row>
    <row r="3679">
      <c r="A3679" s="54"/>
      <c r="B3679" s="71"/>
      <c r="C3679" s="51"/>
      <c r="D3679" s="114"/>
      <c r="E3679" s="114"/>
      <c r="F3679" s="54"/>
      <c r="G3679" s="54"/>
      <c r="I3679" s="54"/>
      <c r="K3679" s="54"/>
      <c r="M3679" s="114"/>
      <c r="N3679" s="1"/>
      <c r="O3679" s="1"/>
      <c r="P3679" s="51"/>
    </row>
    <row r="3680">
      <c r="A3680" s="54"/>
      <c r="B3680" s="71"/>
      <c r="C3680" s="51"/>
      <c r="D3680" s="114"/>
      <c r="E3680" s="114"/>
      <c r="F3680" s="54"/>
      <c r="G3680" s="54"/>
      <c r="I3680" s="54"/>
      <c r="K3680" s="54"/>
      <c r="M3680" s="114"/>
      <c r="N3680" s="1"/>
      <c r="O3680" s="1"/>
      <c r="P3680" s="51"/>
    </row>
    <row r="3681">
      <c r="A3681" s="54"/>
      <c r="B3681" s="71"/>
      <c r="C3681" s="51"/>
      <c r="D3681" s="114"/>
      <c r="E3681" s="114"/>
      <c r="F3681" s="54"/>
      <c r="G3681" s="54"/>
      <c r="I3681" s="54"/>
      <c r="K3681" s="54"/>
      <c r="M3681" s="114"/>
      <c r="N3681" s="1"/>
      <c r="O3681" s="1"/>
      <c r="P3681" s="51"/>
    </row>
    <row r="3682">
      <c r="A3682" s="54"/>
      <c r="B3682" s="71"/>
      <c r="C3682" s="51"/>
      <c r="D3682" s="114"/>
      <c r="E3682" s="114"/>
      <c r="F3682" s="54"/>
      <c r="G3682" s="54"/>
      <c r="I3682" s="54"/>
      <c r="K3682" s="54"/>
      <c r="M3682" s="114"/>
      <c r="N3682" s="1"/>
      <c r="O3682" s="1"/>
      <c r="P3682" s="51"/>
    </row>
    <row r="3683">
      <c r="A3683" s="54"/>
      <c r="B3683" s="71"/>
      <c r="C3683" s="51"/>
      <c r="D3683" s="114"/>
      <c r="E3683" s="114"/>
      <c r="F3683" s="54"/>
      <c r="G3683" s="54"/>
      <c r="I3683" s="54"/>
      <c r="K3683" s="54"/>
      <c r="M3683" s="114"/>
      <c r="N3683" s="1"/>
      <c r="O3683" s="1"/>
      <c r="P3683" s="51"/>
    </row>
    <row r="3684">
      <c r="A3684" s="54"/>
      <c r="B3684" s="71"/>
      <c r="C3684" s="51"/>
      <c r="D3684" s="114"/>
      <c r="E3684" s="114"/>
      <c r="F3684" s="54"/>
      <c r="G3684" s="54"/>
      <c r="I3684" s="54"/>
      <c r="K3684" s="54"/>
      <c r="M3684" s="114"/>
      <c r="N3684" s="1"/>
      <c r="O3684" s="1"/>
      <c r="P3684" s="51"/>
    </row>
    <row r="3685">
      <c r="A3685" s="54"/>
      <c r="B3685" s="71"/>
      <c r="C3685" s="51"/>
      <c r="D3685" s="114"/>
      <c r="E3685" s="114"/>
      <c r="F3685" s="54"/>
      <c r="G3685" s="54"/>
      <c r="I3685" s="54"/>
      <c r="K3685" s="54"/>
      <c r="M3685" s="114"/>
      <c r="N3685" s="1"/>
      <c r="O3685" s="1"/>
      <c r="P3685" s="51"/>
    </row>
    <row r="3686">
      <c r="A3686" s="54"/>
      <c r="B3686" s="71"/>
      <c r="C3686" s="51"/>
      <c r="D3686" s="114"/>
      <c r="E3686" s="114"/>
      <c r="F3686" s="54"/>
      <c r="G3686" s="54"/>
      <c r="I3686" s="54"/>
      <c r="K3686" s="54"/>
      <c r="M3686" s="114"/>
      <c r="N3686" s="1"/>
      <c r="O3686" s="1"/>
      <c r="P3686" s="51"/>
    </row>
    <row r="3687">
      <c r="A3687" s="54"/>
      <c r="B3687" s="71"/>
      <c r="C3687" s="51"/>
      <c r="D3687" s="114"/>
      <c r="E3687" s="114"/>
      <c r="F3687" s="54"/>
      <c r="G3687" s="54"/>
      <c r="I3687" s="54"/>
      <c r="K3687" s="54"/>
      <c r="M3687" s="114"/>
      <c r="N3687" s="1"/>
      <c r="O3687" s="1"/>
      <c r="P3687" s="51"/>
    </row>
    <row r="3688">
      <c r="A3688" s="54"/>
      <c r="B3688" s="71"/>
      <c r="C3688" s="51"/>
      <c r="D3688" s="114"/>
      <c r="E3688" s="114"/>
      <c r="F3688" s="54"/>
      <c r="G3688" s="54"/>
      <c r="I3688" s="54"/>
      <c r="K3688" s="54"/>
      <c r="M3688" s="114"/>
      <c r="N3688" s="1"/>
      <c r="O3688" s="1"/>
      <c r="P3688" s="51"/>
    </row>
    <row r="3689">
      <c r="A3689" s="54"/>
      <c r="B3689" s="71"/>
      <c r="C3689" s="51"/>
      <c r="D3689" s="114"/>
      <c r="E3689" s="114"/>
      <c r="F3689" s="54"/>
      <c r="G3689" s="54"/>
      <c r="I3689" s="54"/>
      <c r="K3689" s="54"/>
      <c r="M3689" s="114"/>
      <c r="N3689" s="1"/>
      <c r="O3689" s="1"/>
      <c r="P3689" s="51"/>
    </row>
    <row r="3690">
      <c r="A3690" s="54"/>
      <c r="B3690" s="71"/>
      <c r="C3690" s="51"/>
      <c r="D3690" s="114"/>
      <c r="E3690" s="114"/>
      <c r="F3690" s="54"/>
      <c r="G3690" s="54"/>
      <c r="I3690" s="54"/>
      <c r="K3690" s="54"/>
      <c r="M3690" s="114"/>
      <c r="N3690" s="1"/>
      <c r="O3690" s="1"/>
      <c r="P3690" s="51"/>
    </row>
    <row r="3691">
      <c r="A3691" s="54"/>
      <c r="B3691" s="71"/>
      <c r="C3691" s="51"/>
      <c r="D3691" s="114"/>
      <c r="E3691" s="114"/>
      <c r="F3691" s="54"/>
      <c r="G3691" s="54"/>
      <c r="I3691" s="54"/>
      <c r="K3691" s="54"/>
      <c r="M3691" s="114"/>
      <c r="N3691" s="1"/>
      <c r="O3691" s="1"/>
      <c r="P3691" s="51"/>
    </row>
    <row r="3692">
      <c r="A3692" s="54"/>
      <c r="B3692" s="71"/>
      <c r="C3692" s="51"/>
      <c r="D3692" s="114"/>
      <c r="E3692" s="114"/>
      <c r="F3692" s="54"/>
      <c r="G3692" s="54"/>
      <c r="I3692" s="54"/>
      <c r="K3692" s="54"/>
      <c r="M3692" s="114"/>
      <c r="N3692" s="1"/>
      <c r="O3692" s="1"/>
      <c r="P3692" s="51"/>
    </row>
    <row r="3693">
      <c r="A3693" s="54"/>
      <c r="B3693" s="71"/>
      <c r="C3693" s="51"/>
      <c r="D3693" s="114"/>
      <c r="E3693" s="114"/>
      <c r="F3693" s="54"/>
      <c r="G3693" s="54"/>
      <c r="I3693" s="54"/>
      <c r="K3693" s="54"/>
      <c r="M3693" s="114"/>
      <c r="N3693" s="1"/>
      <c r="O3693" s="1"/>
      <c r="P3693" s="51"/>
    </row>
    <row r="3694">
      <c r="A3694" s="54"/>
      <c r="B3694" s="71"/>
      <c r="C3694" s="51"/>
      <c r="D3694" s="114"/>
      <c r="E3694" s="114"/>
      <c r="F3694" s="54"/>
      <c r="G3694" s="54"/>
      <c r="I3694" s="54"/>
      <c r="K3694" s="54"/>
      <c r="M3694" s="114"/>
      <c r="N3694" s="1"/>
      <c r="O3694" s="1"/>
      <c r="P3694" s="51"/>
    </row>
    <row r="3695">
      <c r="A3695" s="54"/>
      <c r="B3695" s="71"/>
      <c r="C3695" s="51"/>
      <c r="D3695" s="114"/>
      <c r="E3695" s="114"/>
      <c r="F3695" s="54"/>
      <c r="G3695" s="54"/>
      <c r="I3695" s="54"/>
      <c r="K3695" s="54"/>
      <c r="M3695" s="114"/>
      <c r="N3695" s="1"/>
      <c r="O3695" s="1"/>
      <c r="P3695" s="51"/>
    </row>
    <row r="3696">
      <c r="A3696" s="54"/>
      <c r="B3696" s="71"/>
      <c r="C3696" s="51"/>
      <c r="D3696" s="114"/>
      <c r="E3696" s="114"/>
      <c r="F3696" s="54"/>
      <c r="G3696" s="54"/>
      <c r="I3696" s="54"/>
      <c r="K3696" s="54"/>
      <c r="M3696" s="114"/>
      <c r="N3696" s="1"/>
      <c r="O3696" s="1"/>
      <c r="P3696" s="51"/>
    </row>
    <row r="3697">
      <c r="A3697" s="54"/>
      <c r="B3697" s="71"/>
      <c r="C3697" s="51"/>
      <c r="D3697" s="114"/>
      <c r="E3697" s="114"/>
      <c r="F3697" s="54"/>
      <c r="G3697" s="54"/>
      <c r="I3697" s="54"/>
      <c r="K3697" s="54"/>
      <c r="M3697" s="114"/>
      <c r="N3697" s="1"/>
      <c r="O3697" s="1"/>
      <c r="P3697" s="51"/>
    </row>
    <row r="3698">
      <c r="A3698" s="54"/>
      <c r="B3698" s="71"/>
      <c r="C3698" s="51"/>
      <c r="D3698" s="114"/>
      <c r="E3698" s="114"/>
      <c r="F3698" s="54"/>
      <c r="G3698" s="54"/>
      <c r="I3698" s="54"/>
      <c r="K3698" s="54"/>
      <c r="M3698" s="114"/>
      <c r="N3698" s="1"/>
      <c r="O3698" s="1"/>
      <c r="P3698" s="51"/>
    </row>
    <row r="3699">
      <c r="A3699" s="54"/>
      <c r="B3699" s="71"/>
      <c r="C3699" s="51"/>
      <c r="D3699" s="114"/>
      <c r="E3699" s="114"/>
      <c r="F3699" s="54"/>
      <c r="G3699" s="54"/>
      <c r="I3699" s="54"/>
      <c r="K3699" s="54"/>
      <c r="M3699" s="114"/>
      <c r="N3699" s="1"/>
      <c r="O3699" s="1"/>
      <c r="P3699" s="51"/>
    </row>
    <row r="3700">
      <c r="A3700" s="54"/>
      <c r="B3700" s="71"/>
      <c r="C3700" s="51"/>
      <c r="D3700" s="114"/>
      <c r="E3700" s="114"/>
      <c r="F3700" s="54"/>
      <c r="G3700" s="54"/>
      <c r="I3700" s="54"/>
      <c r="K3700" s="54"/>
      <c r="M3700" s="114"/>
      <c r="N3700" s="1"/>
      <c r="O3700" s="1"/>
      <c r="P3700" s="51"/>
    </row>
    <row r="3701">
      <c r="A3701" s="54"/>
      <c r="B3701" s="71"/>
      <c r="C3701" s="51"/>
      <c r="D3701" s="114"/>
      <c r="E3701" s="114"/>
      <c r="F3701" s="54"/>
      <c r="G3701" s="54"/>
      <c r="I3701" s="54"/>
      <c r="K3701" s="54"/>
      <c r="M3701" s="114"/>
      <c r="N3701" s="1"/>
      <c r="O3701" s="1"/>
      <c r="P3701" s="51"/>
    </row>
    <row r="3702">
      <c r="A3702" s="54"/>
      <c r="B3702" s="71"/>
      <c r="C3702" s="51"/>
      <c r="D3702" s="114"/>
      <c r="E3702" s="114"/>
      <c r="F3702" s="54"/>
      <c r="G3702" s="54"/>
      <c r="I3702" s="54"/>
      <c r="K3702" s="54"/>
      <c r="M3702" s="114"/>
      <c r="N3702" s="1"/>
      <c r="O3702" s="1"/>
      <c r="P3702" s="51"/>
    </row>
    <row r="3703">
      <c r="A3703" s="54"/>
      <c r="B3703" s="71"/>
      <c r="C3703" s="51"/>
      <c r="D3703" s="114"/>
      <c r="E3703" s="114"/>
      <c r="F3703" s="54"/>
      <c r="G3703" s="54"/>
      <c r="I3703" s="54"/>
      <c r="K3703" s="54"/>
      <c r="M3703" s="114"/>
      <c r="N3703" s="1"/>
      <c r="O3703" s="1"/>
      <c r="P3703" s="51"/>
    </row>
    <row r="3704">
      <c r="A3704" s="54"/>
      <c r="B3704" s="71"/>
      <c r="C3704" s="51"/>
      <c r="D3704" s="114"/>
      <c r="E3704" s="114"/>
      <c r="F3704" s="54"/>
      <c r="G3704" s="54"/>
      <c r="I3704" s="54"/>
      <c r="K3704" s="54"/>
      <c r="M3704" s="114"/>
      <c r="N3704" s="1"/>
      <c r="O3704" s="1"/>
      <c r="P3704" s="51"/>
    </row>
    <row r="3705">
      <c r="A3705" s="54"/>
      <c r="B3705" s="71"/>
      <c r="C3705" s="51"/>
      <c r="D3705" s="114"/>
      <c r="E3705" s="114"/>
      <c r="F3705" s="54"/>
      <c r="G3705" s="54"/>
      <c r="I3705" s="54"/>
      <c r="K3705" s="54"/>
      <c r="M3705" s="114"/>
      <c r="N3705" s="1"/>
      <c r="O3705" s="1"/>
      <c r="P3705" s="51"/>
    </row>
    <row r="3706">
      <c r="A3706" s="54"/>
      <c r="B3706" s="71"/>
      <c r="C3706" s="51"/>
      <c r="D3706" s="114"/>
      <c r="E3706" s="114"/>
      <c r="F3706" s="54"/>
      <c r="G3706" s="54"/>
      <c r="I3706" s="54"/>
      <c r="K3706" s="54"/>
      <c r="M3706" s="114"/>
      <c r="N3706" s="1"/>
      <c r="O3706" s="1"/>
      <c r="P3706" s="51"/>
    </row>
    <row r="3707">
      <c r="A3707" s="54"/>
      <c r="B3707" s="71"/>
      <c r="C3707" s="51"/>
      <c r="D3707" s="114"/>
      <c r="E3707" s="114"/>
      <c r="F3707" s="54"/>
      <c r="G3707" s="54"/>
      <c r="I3707" s="54"/>
      <c r="K3707" s="54"/>
      <c r="M3707" s="114"/>
      <c r="N3707" s="1"/>
      <c r="O3707" s="1"/>
      <c r="P3707" s="51"/>
    </row>
    <row r="3708">
      <c r="A3708" s="54"/>
      <c r="B3708" s="71"/>
      <c r="C3708" s="51"/>
      <c r="D3708" s="114"/>
      <c r="E3708" s="114"/>
      <c r="F3708" s="54"/>
      <c r="G3708" s="54"/>
      <c r="I3708" s="54"/>
      <c r="K3708" s="54"/>
      <c r="M3708" s="114"/>
      <c r="N3708" s="1"/>
      <c r="O3708" s="1"/>
      <c r="P3708" s="51"/>
    </row>
    <row r="3709">
      <c r="A3709" s="54"/>
      <c r="B3709" s="71"/>
      <c r="C3709" s="51"/>
      <c r="D3709" s="114"/>
      <c r="E3709" s="114"/>
      <c r="F3709" s="54"/>
      <c r="G3709" s="54"/>
      <c r="I3709" s="54"/>
      <c r="K3709" s="54"/>
      <c r="M3709" s="114"/>
      <c r="N3709" s="1"/>
      <c r="O3709" s="1"/>
      <c r="P3709" s="51"/>
    </row>
    <row r="3710">
      <c r="A3710" s="54"/>
      <c r="B3710" s="71"/>
      <c r="C3710" s="51"/>
      <c r="D3710" s="114"/>
      <c r="E3710" s="114"/>
      <c r="F3710" s="54"/>
      <c r="G3710" s="54"/>
      <c r="I3710" s="54"/>
      <c r="K3710" s="54"/>
      <c r="M3710" s="114"/>
      <c r="N3710" s="1"/>
      <c r="O3710" s="1"/>
      <c r="P3710" s="51"/>
    </row>
    <row r="3711">
      <c r="A3711" s="54"/>
      <c r="B3711" s="71"/>
      <c r="C3711" s="51"/>
      <c r="D3711" s="114"/>
      <c r="E3711" s="114"/>
      <c r="F3711" s="54"/>
      <c r="G3711" s="54"/>
      <c r="I3711" s="54"/>
      <c r="K3711" s="54"/>
      <c r="M3711" s="114"/>
      <c r="N3711" s="1"/>
      <c r="O3711" s="1"/>
      <c r="P3711" s="51"/>
    </row>
    <row r="3712">
      <c r="A3712" s="54"/>
      <c r="B3712" s="71"/>
      <c r="C3712" s="51"/>
      <c r="D3712" s="114"/>
      <c r="E3712" s="114"/>
      <c r="F3712" s="54"/>
      <c r="G3712" s="54"/>
      <c r="I3712" s="54"/>
      <c r="K3712" s="54"/>
      <c r="M3712" s="114"/>
      <c r="N3712" s="1"/>
      <c r="O3712" s="1"/>
      <c r="P3712" s="51"/>
    </row>
    <row r="3713">
      <c r="A3713" s="54"/>
      <c r="B3713" s="71"/>
      <c r="C3713" s="51"/>
      <c r="D3713" s="114"/>
      <c r="E3713" s="114"/>
      <c r="F3713" s="54"/>
      <c r="G3713" s="54"/>
      <c r="I3713" s="54"/>
      <c r="K3713" s="54"/>
      <c r="M3713" s="114"/>
      <c r="N3713" s="1"/>
      <c r="O3713" s="1"/>
      <c r="P3713" s="51"/>
    </row>
    <row r="3714">
      <c r="A3714" s="54"/>
      <c r="B3714" s="71"/>
      <c r="C3714" s="51"/>
      <c r="D3714" s="114"/>
      <c r="E3714" s="114"/>
      <c r="F3714" s="54"/>
      <c r="G3714" s="54"/>
      <c r="I3714" s="54"/>
      <c r="K3714" s="54"/>
      <c r="M3714" s="114"/>
      <c r="N3714" s="1"/>
      <c r="O3714" s="1"/>
      <c r="P3714" s="51"/>
    </row>
    <row r="3715">
      <c r="A3715" s="54"/>
      <c r="B3715" s="71"/>
      <c r="C3715" s="51"/>
      <c r="D3715" s="114"/>
      <c r="E3715" s="114"/>
      <c r="F3715" s="54"/>
      <c r="G3715" s="54"/>
      <c r="I3715" s="54"/>
      <c r="K3715" s="54"/>
      <c r="M3715" s="114"/>
      <c r="N3715" s="1"/>
      <c r="O3715" s="1"/>
      <c r="P3715" s="51"/>
    </row>
    <row r="3716">
      <c r="A3716" s="54"/>
      <c r="B3716" s="71"/>
      <c r="C3716" s="51"/>
      <c r="D3716" s="114"/>
      <c r="E3716" s="114"/>
      <c r="F3716" s="54"/>
      <c r="G3716" s="54"/>
      <c r="I3716" s="54"/>
      <c r="K3716" s="54"/>
      <c r="M3716" s="114"/>
      <c r="N3716" s="1"/>
      <c r="O3716" s="1"/>
      <c r="P3716" s="51"/>
    </row>
    <row r="3717">
      <c r="A3717" s="54"/>
      <c r="B3717" s="71"/>
      <c r="C3717" s="51"/>
      <c r="D3717" s="114"/>
      <c r="E3717" s="114"/>
      <c r="F3717" s="54"/>
      <c r="G3717" s="54"/>
      <c r="I3717" s="54"/>
      <c r="K3717" s="54"/>
      <c r="M3717" s="114"/>
      <c r="N3717" s="1"/>
      <c r="O3717" s="1"/>
      <c r="P3717" s="51"/>
    </row>
    <row r="3718">
      <c r="A3718" s="54"/>
      <c r="B3718" s="71"/>
      <c r="C3718" s="51"/>
      <c r="D3718" s="114"/>
      <c r="E3718" s="114"/>
      <c r="F3718" s="54"/>
      <c r="G3718" s="54"/>
      <c r="I3718" s="54"/>
      <c r="K3718" s="54"/>
      <c r="M3718" s="114"/>
      <c r="N3718" s="1"/>
      <c r="O3718" s="1"/>
      <c r="P3718" s="51"/>
    </row>
    <row r="3719">
      <c r="A3719" s="54"/>
      <c r="B3719" s="71"/>
      <c r="C3719" s="51"/>
      <c r="D3719" s="114"/>
      <c r="E3719" s="114"/>
      <c r="F3719" s="54"/>
      <c r="G3719" s="54"/>
      <c r="I3719" s="54"/>
      <c r="K3719" s="54"/>
      <c r="M3719" s="114"/>
      <c r="N3719" s="1"/>
      <c r="O3719" s="1"/>
      <c r="P3719" s="51"/>
    </row>
    <row r="3720">
      <c r="A3720" s="54"/>
      <c r="B3720" s="71"/>
      <c r="C3720" s="51"/>
      <c r="D3720" s="114"/>
      <c r="E3720" s="114"/>
      <c r="F3720" s="54"/>
      <c r="G3720" s="54"/>
      <c r="I3720" s="54"/>
      <c r="K3720" s="54"/>
      <c r="M3720" s="114"/>
      <c r="N3720" s="1"/>
      <c r="O3720" s="1"/>
      <c r="P3720" s="51"/>
    </row>
    <row r="3721">
      <c r="A3721" s="54"/>
      <c r="B3721" s="71"/>
      <c r="C3721" s="51"/>
      <c r="D3721" s="114"/>
      <c r="E3721" s="114"/>
      <c r="F3721" s="54"/>
      <c r="G3721" s="54"/>
      <c r="I3721" s="54"/>
      <c r="K3721" s="54"/>
      <c r="M3721" s="114"/>
      <c r="N3721" s="1"/>
      <c r="O3721" s="1"/>
      <c r="P3721" s="51"/>
    </row>
    <row r="3722">
      <c r="A3722" s="54"/>
      <c r="B3722" s="71"/>
      <c r="C3722" s="51"/>
      <c r="D3722" s="114"/>
      <c r="E3722" s="114"/>
      <c r="F3722" s="54"/>
      <c r="G3722" s="54"/>
      <c r="I3722" s="54"/>
      <c r="K3722" s="54"/>
      <c r="M3722" s="114"/>
      <c r="N3722" s="1"/>
      <c r="O3722" s="1"/>
      <c r="P3722" s="51"/>
    </row>
    <row r="3723">
      <c r="A3723" s="54"/>
      <c r="B3723" s="71"/>
      <c r="C3723" s="51"/>
      <c r="D3723" s="114"/>
      <c r="E3723" s="114"/>
      <c r="F3723" s="54"/>
      <c r="G3723" s="54"/>
      <c r="I3723" s="54"/>
      <c r="K3723" s="54"/>
      <c r="M3723" s="114"/>
      <c r="N3723" s="1"/>
      <c r="O3723" s="1"/>
      <c r="P3723" s="51"/>
    </row>
    <row r="3724">
      <c r="A3724" s="54"/>
      <c r="B3724" s="71"/>
      <c r="C3724" s="51"/>
      <c r="D3724" s="114"/>
      <c r="E3724" s="114"/>
      <c r="F3724" s="54"/>
      <c r="G3724" s="54"/>
      <c r="I3724" s="54"/>
      <c r="K3724" s="54"/>
      <c r="M3724" s="114"/>
      <c r="N3724" s="1"/>
      <c r="O3724" s="1"/>
      <c r="P3724" s="51"/>
    </row>
    <row r="3725">
      <c r="A3725" s="54"/>
      <c r="B3725" s="71"/>
      <c r="C3725" s="51"/>
      <c r="D3725" s="114"/>
      <c r="E3725" s="114"/>
      <c r="F3725" s="54"/>
      <c r="G3725" s="54"/>
      <c r="I3725" s="54"/>
      <c r="K3725" s="54"/>
      <c r="M3725" s="114"/>
      <c r="N3725" s="1"/>
      <c r="O3725" s="1"/>
      <c r="P3725" s="51"/>
    </row>
    <row r="3726">
      <c r="A3726" s="54"/>
      <c r="B3726" s="71"/>
      <c r="C3726" s="51"/>
      <c r="D3726" s="114"/>
      <c r="E3726" s="114"/>
      <c r="F3726" s="54"/>
      <c r="G3726" s="54"/>
      <c r="I3726" s="54"/>
      <c r="K3726" s="54"/>
      <c r="M3726" s="114"/>
      <c r="N3726" s="1"/>
      <c r="O3726" s="1"/>
      <c r="P3726" s="51"/>
    </row>
    <row r="3727">
      <c r="A3727" s="54"/>
      <c r="B3727" s="71"/>
      <c r="C3727" s="51"/>
      <c r="D3727" s="114"/>
      <c r="E3727" s="114"/>
      <c r="F3727" s="54"/>
      <c r="G3727" s="54"/>
      <c r="I3727" s="54"/>
      <c r="K3727" s="54"/>
      <c r="M3727" s="114"/>
      <c r="N3727" s="1"/>
      <c r="O3727" s="1"/>
      <c r="P3727" s="51"/>
    </row>
    <row r="3728">
      <c r="A3728" s="54"/>
      <c r="B3728" s="71"/>
      <c r="C3728" s="51"/>
      <c r="D3728" s="114"/>
      <c r="E3728" s="114"/>
      <c r="F3728" s="54"/>
      <c r="G3728" s="54"/>
      <c r="I3728" s="54"/>
      <c r="K3728" s="54"/>
      <c r="M3728" s="114"/>
      <c r="N3728" s="1"/>
      <c r="O3728" s="1"/>
      <c r="P3728" s="51"/>
    </row>
    <row r="3729">
      <c r="A3729" s="54"/>
      <c r="B3729" s="71"/>
      <c r="C3729" s="51"/>
      <c r="D3729" s="114"/>
      <c r="E3729" s="114"/>
      <c r="F3729" s="54"/>
      <c r="G3729" s="54"/>
      <c r="I3729" s="54"/>
      <c r="K3729" s="54"/>
      <c r="M3729" s="114"/>
      <c r="N3729" s="1"/>
      <c r="O3729" s="1"/>
      <c r="P3729" s="51"/>
    </row>
    <row r="3730">
      <c r="A3730" s="54"/>
      <c r="B3730" s="71"/>
      <c r="C3730" s="51"/>
      <c r="D3730" s="114"/>
      <c r="E3730" s="114"/>
      <c r="F3730" s="54"/>
      <c r="G3730" s="54"/>
      <c r="I3730" s="54"/>
      <c r="K3730" s="54"/>
      <c r="M3730" s="114"/>
      <c r="N3730" s="1"/>
      <c r="O3730" s="1"/>
      <c r="P3730" s="51"/>
    </row>
    <row r="3731">
      <c r="A3731" s="54"/>
      <c r="B3731" s="71"/>
      <c r="C3731" s="51"/>
      <c r="D3731" s="114"/>
      <c r="E3731" s="114"/>
      <c r="F3731" s="54"/>
      <c r="G3731" s="54"/>
      <c r="I3731" s="54"/>
      <c r="K3731" s="54"/>
      <c r="M3731" s="114"/>
      <c r="N3731" s="1"/>
      <c r="O3731" s="1"/>
      <c r="P3731" s="51"/>
    </row>
    <row r="3732">
      <c r="A3732" s="54"/>
      <c r="B3732" s="71"/>
      <c r="C3732" s="51"/>
      <c r="D3732" s="114"/>
      <c r="E3732" s="114"/>
      <c r="F3732" s="54"/>
      <c r="G3732" s="54"/>
      <c r="I3732" s="54"/>
      <c r="K3732" s="54"/>
      <c r="M3732" s="114"/>
      <c r="N3732" s="1"/>
      <c r="O3732" s="1"/>
      <c r="P3732" s="51"/>
    </row>
    <row r="3733">
      <c r="A3733" s="54"/>
      <c r="B3733" s="71"/>
      <c r="C3733" s="51"/>
      <c r="D3733" s="114"/>
      <c r="E3733" s="114"/>
      <c r="F3733" s="54"/>
      <c r="G3733" s="54"/>
      <c r="I3733" s="54"/>
      <c r="K3733" s="54"/>
      <c r="M3733" s="114"/>
      <c r="N3733" s="1"/>
      <c r="O3733" s="1"/>
      <c r="P3733" s="51"/>
    </row>
    <row r="3734">
      <c r="A3734" s="54"/>
      <c r="B3734" s="71"/>
      <c r="C3734" s="51"/>
      <c r="D3734" s="114"/>
      <c r="E3734" s="114"/>
      <c r="F3734" s="54"/>
      <c r="G3734" s="54"/>
      <c r="I3734" s="54"/>
      <c r="K3734" s="54"/>
      <c r="M3734" s="114"/>
      <c r="N3734" s="1"/>
      <c r="O3734" s="1"/>
      <c r="P3734" s="51"/>
    </row>
    <row r="3735">
      <c r="A3735" s="54"/>
      <c r="B3735" s="71"/>
      <c r="C3735" s="51"/>
      <c r="D3735" s="114"/>
      <c r="E3735" s="114"/>
      <c r="F3735" s="54"/>
      <c r="G3735" s="54"/>
      <c r="I3735" s="54"/>
      <c r="K3735" s="54"/>
      <c r="M3735" s="114"/>
      <c r="N3735" s="1"/>
      <c r="O3735" s="1"/>
      <c r="P3735" s="51"/>
    </row>
    <row r="3736">
      <c r="A3736" s="54"/>
      <c r="B3736" s="71"/>
      <c r="C3736" s="51"/>
      <c r="D3736" s="114"/>
      <c r="E3736" s="114"/>
      <c r="F3736" s="54"/>
      <c r="G3736" s="54"/>
      <c r="I3736" s="54"/>
      <c r="K3736" s="54"/>
      <c r="M3736" s="114"/>
      <c r="N3736" s="1"/>
      <c r="O3736" s="1"/>
      <c r="P3736" s="51"/>
    </row>
    <row r="3737">
      <c r="A3737" s="54"/>
      <c r="B3737" s="71"/>
      <c r="C3737" s="51"/>
      <c r="D3737" s="114"/>
      <c r="E3737" s="114"/>
      <c r="F3737" s="54"/>
      <c r="G3737" s="54"/>
      <c r="I3737" s="54"/>
      <c r="K3737" s="54"/>
      <c r="M3737" s="114"/>
      <c r="N3737" s="1"/>
      <c r="O3737" s="1"/>
      <c r="P3737" s="51"/>
    </row>
    <row r="3738">
      <c r="A3738" s="54"/>
      <c r="B3738" s="71"/>
      <c r="C3738" s="51"/>
      <c r="D3738" s="114"/>
      <c r="E3738" s="114"/>
      <c r="F3738" s="54"/>
      <c r="G3738" s="54"/>
      <c r="I3738" s="54"/>
      <c r="K3738" s="54"/>
      <c r="M3738" s="114"/>
      <c r="N3738" s="1"/>
      <c r="O3738" s="1"/>
      <c r="P3738" s="51"/>
    </row>
    <row r="3739">
      <c r="A3739" s="54"/>
      <c r="B3739" s="71"/>
      <c r="C3739" s="51"/>
      <c r="D3739" s="114"/>
      <c r="E3739" s="114"/>
      <c r="F3739" s="54"/>
      <c r="G3739" s="54"/>
      <c r="I3739" s="54"/>
      <c r="K3739" s="54"/>
      <c r="M3739" s="114"/>
      <c r="N3739" s="1"/>
      <c r="O3739" s="1"/>
      <c r="P3739" s="51"/>
    </row>
    <row r="3740">
      <c r="A3740" s="54"/>
      <c r="B3740" s="71"/>
      <c r="C3740" s="51"/>
      <c r="D3740" s="114"/>
      <c r="E3740" s="114"/>
      <c r="F3740" s="54"/>
      <c r="G3740" s="54"/>
      <c r="I3740" s="54"/>
      <c r="K3740" s="54"/>
      <c r="M3740" s="114"/>
      <c r="N3740" s="1"/>
      <c r="O3740" s="1"/>
      <c r="P3740" s="51"/>
    </row>
    <row r="3741">
      <c r="A3741" s="54"/>
      <c r="B3741" s="71"/>
      <c r="C3741" s="51"/>
      <c r="D3741" s="114"/>
      <c r="E3741" s="114"/>
      <c r="F3741" s="54"/>
      <c r="G3741" s="54"/>
      <c r="I3741" s="54"/>
      <c r="K3741" s="54"/>
      <c r="M3741" s="114"/>
      <c r="N3741" s="1"/>
      <c r="O3741" s="1"/>
      <c r="P3741" s="51"/>
    </row>
    <row r="3742">
      <c r="A3742" s="54"/>
      <c r="B3742" s="71"/>
      <c r="C3742" s="51"/>
      <c r="D3742" s="114"/>
      <c r="E3742" s="114"/>
      <c r="F3742" s="54"/>
      <c r="G3742" s="54"/>
      <c r="I3742" s="54"/>
      <c r="K3742" s="54"/>
      <c r="M3742" s="114"/>
      <c r="N3742" s="1"/>
      <c r="O3742" s="1"/>
      <c r="P3742" s="51"/>
    </row>
    <row r="3743">
      <c r="A3743" s="54"/>
      <c r="B3743" s="71"/>
      <c r="C3743" s="51"/>
      <c r="D3743" s="114"/>
      <c r="E3743" s="114"/>
      <c r="F3743" s="54"/>
      <c r="G3743" s="54"/>
      <c r="I3743" s="54"/>
      <c r="K3743" s="54"/>
      <c r="M3743" s="114"/>
      <c r="N3743" s="1"/>
      <c r="O3743" s="1"/>
      <c r="P3743" s="51"/>
    </row>
    <row r="3744">
      <c r="A3744" s="54"/>
      <c r="B3744" s="71"/>
      <c r="C3744" s="51"/>
      <c r="D3744" s="114"/>
      <c r="E3744" s="114"/>
      <c r="F3744" s="54"/>
      <c r="G3744" s="54"/>
      <c r="I3744" s="54"/>
      <c r="K3744" s="54"/>
      <c r="M3744" s="114"/>
      <c r="N3744" s="1"/>
      <c r="O3744" s="1"/>
      <c r="P3744" s="51"/>
    </row>
    <row r="3745">
      <c r="A3745" s="54"/>
      <c r="B3745" s="71"/>
      <c r="C3745" s="51"/>
      <c r="D3745" s="114"/>
      <c r="E3745" s="114"/>
      <c r="F3745" s="54"/>
      <c r="G3745" s="54"/>
      <c r="I3745" s="54"/>
      <c r="K3745" s="54"/>
      <c r="M3745" s="114"/>
      <c r="N3745" s="1"/>
      <c r="O3745" s="1"/>
      <c r="P3745" s="51"/>
    </row>
    <row r="3746">
      <c r="A3746" s="54"/>
      <c r="B3746" s="71"/>
      <c r="C3746" s="51"/>
      <c r="D3746" s="114"/>
      <c r="E3746" s="114"/>
      <c r="F3746" s="54"/>
      <c r="G3746" s="54"/>
      <c r="I3746" s="54"/>
      <c r="K3746" s="54"/>
      <c r="M3746" s="114"/>
      <c r="N3746" s="1"/>
      <c r="O3746" s="1"/>
      <c r="P3746" s="51"/>
    </row>
    <row r="3747">
      <c r="A3747" s="54"/>
      <c r="B3747" s="71"/>
      <c r="C3747" s="51"/>
      <c r="D3747" s="114"/>
      <c r="E3747" s="114"/>
      <c r="F3747" s="54"/>
      <c r="G3747" s="54"/>
      <c r="I3747" s="54"/>
      <c r="K3747" s="54"/>
      <c r="M3747" s="114"/>
      <c r="N3747" s="1"/>
      <c r="O3747" s="1"/>
      <c r="P3747" s="51"/>
    </row>
    <row r="3748">
      <c r="A3748" s="54"/>
      <c r="B3748" s="71"/>
      <c r="C3748" s="51"/>
      <c r="D3748" s="114"/>
      <c r="E3748" s="114"/>
      <c r="F3748" s="54"/>
      <c r="G3748" s="54"/>
      <c r="I3748" s="54"/>
      <c r="K3748" s="54"/>
      <c r="M3748" s="114"/>
      <c r="N3748" s="1"/>
      <c r="O3748" s="1"/>
      <c r="P3748" s="51"/>
    </row>
    <row r="3749">
      <c r="A3749" s="54"/>
      <c r="B3749" s="71"/>
      <c r="C3749" s="51"/>
      <c r="D3749" s="114"/>
      <c r="E3749" s="114"/>
      <c r="F3749" s="54"/>
      <c r="G3749" s="54"/>
      <c r="I3749" s="54"/>
      <c r="K3749" s="54"/>
      <c r="M3749" s="114"/>
      <c r="N3749" s="1"/>
      <c r="O3749" s="1"/>
      <c r="P3749" s="51"/>
    </row>
    <row r="3750">
      <c r="A3750" s="54"/>
      <c r="B3750" s="71"/>
      <c r="C3750" s="51"/>
      <c r="D3750" s="114"/>
      <c r="E3750" s="114"/>
      <c r="F3750" s="54"/>
      <c r="G3750" s="54"/>
      <c r="I3750" s="54"/>
      <c r="K3750" s="54"/>
      <c r="M3750" s="114"/>
      <c r="N3750" s="1"/>
      <c r="O3750" s="1"/>
      <c r="P3750" s="51"/>
    </row>
    <row r="3751">
      <c r="A3751" s="54"/>
      <c r="B3751" s="71"/>
      <c r="C3751" s="51"/>
      <c r="D3751" s="114"/>
      <c r="E3751" s="114"/>
      <c r="F3751" s="54"/>
      <c r="G3751" s="54"/>
      <c r="I3751" s="54"/>
      <c r="K3751" s="54"/>
      <c r="M3751" s="114"/>
      <c r="N3751" s="1"/>
      <c r="O3751" s="1"/>
      <c r="P3751" s="51"/>
    </row>
    <row r="3752">
      <c r="A3752" s="54"/>
      <c r="B3752" s="71"/>
      <c r="C3752" s="51"/>
      <c r="D3752" s="114"/>
      <c r="E3752" s="114"/>
      <c r="F3752" s="54"/>
      <c r="G3752" s="54"/>
      <c r="I3752" s="54"/>
      <c r="K3752" s="54"/>
      <c r="M3752" s="114"/>
      <c r="N3752" s="1"/>
      <c r="O3752" s="1"/>
      <c r="P3752" s="51"/>
    </row>
    <row r="3753">
      <c r="A3753" s="54"/>
      <c r="B3753" s="71"/>
      <c r="C3753" s="51"/>
      <c r="D3753" s="114"/>
      <c r="E3753" s="114"/>
      <c r="F3753" s="54"/>
      <c r="G3753" s="54"/>
      <c r="I3753" s="54"/>
      <c r="K3753" s="54"/>
      <c r="M3753" s="114"/>
      <c r="N3753" s="1"/>
      <c r="O3753" s="1"/>
      <c r="P3753" s="51"/>
    </row>
    <row r="3754">
      <c r="A3754" s="54"/>
      <c r="B3754" s="71"/>
      <c r="C3754" s="51"/>
      <c r="D3754" s="114"/>
      <c r="E3754" s="114"/>
      <c r="F3754" s="54"/>
      <c r="G3754" s="54"/>
      <c r="I3754" s="54"/>
      <c r="K3754" s="54"/>
      <c r="M3754" s="114"/>
      <c r="N3754" s="1"/>
      <c r="O3754" s="1"/>
      <c r="P3754" s="51"/>
    </row>
    <row r="3755">
      <c r="A3755" s="54"/>
      <c r="B3755" s="71"/>
      <c r="C3755" s="51"/>
      <c r="D3755" s="114"/>
      <c r="E3755" s="114"/>
      <c r="F3755" s="54"/>
      <c r="G3755" s="54"/>
      <c r="I3755" s="54"/>
      <c r="K3755" s="54"/>
      <c r="M3755" s="114"/>
      <c r="N3755" s="1"/>
      <c r="O3755" s="1"/>
      <c r="P3755" s="51"/>
    </row>
    <row r="3756">
      <c r="A3756" s="54"/>
      <c r="B3756" s="71"/>
      <c r="C3756" s="51"/>
      <c r="D3756" s="114"/>
      <c r="E3756" s="114"/>
      <c r="F3756" s="54"/>
      <c r="G3756" s="54"/>
      <c r="I3756" s="54"/>
      <c r="K3756" s="54"/>
      <c r="M3756" s="114"/>
      <c r="N3756" s="1"/>
      <c r="O3756" s="1"/>
      <c r="P3756" s="51"/>
    </row>
    <row r="3757">
      <c r="A3757" s="54"/>
      <c r="B3757" s="71"/>
      <c r="C3757" s="51"/>
      <c r="D3757" s="114"/>
      <c r="E3757" s="114"/>
      <c r="F3757" s="54"/>
      <c r="G3757" s="54"/>
      <c r="I3757" s="54"/>
      <c r="K3757" s="54"/>
      <c r="M3757" s="114"/>
      <c r="N3757" s="1"/>
      <c r="O3757" s="1"/>
      <c r="P3757" s="51"/>
    </row>
    <row r="3758">
      <c r="A3758" s="54"/>
      <c r="B3758" s="71"/>
      <c r="C3758" s="51"/>
      <c r="D3758" s="114"/>
      <c r="E3758" s="114"/>
      <c r="F3758" s="54"/>
      <c r="G3758" s="54"/>
      <c r="I3758" s="54"/>
      <c r="K3758" s="54"/>
      <c r="M3758" s="114"/>
      <c r="N3758" s="1"/>
      <c r="O3758" s="1"/>
      <c r="P3758" s="51"/>
    </row>
    <row r="3759">
      <c r="A3759" s="54"/>
      <c r="B3759" s="71"/>
      <c r="C3759" s="51"/>
      <c r="D3759" s="114"/>
      <c r="E3759" s="114"/>
      <c r="F3759" s="54"/>
      <c r="G3759" s="54"/>
      <c r="I3759" s="54"/>
      <c r="K3759" s="54"/>
      <c r="M3759" s="114"/>
      <c r="N3759" s="1"/>
      <c r="O3759" s="1"/>
      <c r="P3759" s="51"/>
    </row>
    <row r="3760">
      <c r="A3760" s="54"/>
      <c r="B3760" s="71"/>
      <c r="C3760" s="51"/>
      <c r="D3760" s="114"/>
      <c r="E3760" s="114"/>
      <c r="F3760" s="54"/>
      <c r="G3760" s="54"/>
      <c r="I3760" s="54"/>
      <c r="K3760" s="54"/>
      <c r="M3760" s="114"/>
      <c r="N3760" s="1"/>
      <c r="O3760" s="1"/>
      <c r="P3760" s="51"/>
    </row>
    <row r="3761">
      <c r="A3761" s="54"/>
      <c r="B3761" s="71"/>
      <c r="C3761" s="51"/>
      <c r="D3761" s="114"/>
      <c r="E3761" s="114"/>
      <c r="F3761" s="54"/>
      <c r="G3761" s="54"/>
      <c r="I3761" s="54"/>
      <c r="K3761" s="54"/>
      <c r="M3761" s="114"/>
      <c r="N3761" s="1"/>
      <c r="O3761" s="1"/>
      <c r="P3761" s="51"/>
    </row>
    <row r="3762">
      <c r="A3762" s="54"/>
      <c r="B3762" s="71"/>
      <c r="C3762" s="51"/>
      <c r="D3762" s="114"/>
      <c r="E3762" s="114"/>
      <c r="F3762" s="54"/>
      <c r="G3762" s="54"/>
      <c r="I3762" s="54"/>
      <c r="K3762" s="54"/>
      <c r="M3762" s="114"/>
      <c r="N3762" s="1"/>
      <c r="O3762" s="1"/>
      <c r="P3762" s="51"/>
    </row>
    <row r="3763">
      <c r="A3763" s="54"/>
      <c r="B3763" s="71"/>
      <c r="C3763" s="51"/>
      <c r="D3763" s="114"/>
      <c r="E3763" s="114"/>
      <c r="F3763" s="54"/>
      <c r="G3763" s="54"/>
      <c r="I3763" s="54"/>
      <c r="K3763" s="54"/>
      <c r="M3763" s="114"/>
      <c r="N3763" s="1"/>
      <c r="O3763" s="1"/>
      <c r="P3763" s="51"/>
    </row>
    <row r="3764">
      <c r="A3764" s="54"/>
      <c r="B3764" s="71"/>
      <c r="C3764" s="51"/>
      <c r="D3764" s="114"/>
      <c r="E3764" s="114"/>
      <c r="F3764" s="54"/>
      <c r="G3764" s="54"/>
      <c r="I3764" s="54"/>
      <c r="K3764" s="54"/>
      <c r="M3764" s="114"/>
      <c r="N3764" s="1"/>
      <c r="O3764" s="1"/>
      <c r="P3764" s="51"/>
    </row>
    <row r="3765">
      <c r="A3765" s="54"/>
      <c r="B3765" s="71"/>
      <c r="C3765" s="51"/>
      <c r="D3765" s="114"/>
      <c r="E3765" s="114"/>
      <c r="F3765" s="54"/>
      <c r="G3765" s="54"/>
      <c r="I3765" s="54"/>
      <c r="K3765" s="54"/>
      <c r="M3765" s="114"/>
      <c r="N3765" s="1"/>
      <c r="O3765" s="1"/>
      <c r="P3765" s="51"/>
    </row>
    <row r="3766">
      <c r="A3766" s="54"/>
      <c r="B3766" s="71"/>
      <c r="C3766" s="51"/>
      <c r="D3766" s="114"/>
      <c r="E3766" s="114"/>
      <c r="F3766" s="54"/>
      <c r="G3766" s="54"/>
      <c r="I3766" s="54"/>
      <c r="K3766" s="54"/>
      <c r="M3766" s="114"/>
      <c r="N3766" s="1"/>
      <c r="O3766" s="1"/>
      <c r="P3766" s="51"/>
    </row>
    <row r="3767">
      <c r="A3767" s="54"/>
      <c r="B3767" s="71"/>
      <c r="C3767" s="51"/>
      <c r="D3767" s="114"/>
      <c r="E3767" s="114"/>
      <c r="F3767" s="54"/>
      <c r="G3767" s="54"/>
      <c r="I3767" s="54"/>
      <c r="K3767" s="54"/>
      <c r="M3767" s="114"/>
      <c r="N3767" s="1"/>
      <c r="O3767" s="1"/>
      <c r="P3767" s="51"/>
    </row>
    <row r="3768">
      <c r="A3768" s="54"/>
      <c r="B3768" s="71"/>
      <c r="C3768" s="51"/>
      <c r="D3768" s="114"/>
      <c r="E3768" s="114"/>
      <c r="F3768" s="54"/>
      <c r="G3768" s="54"/>
      <c r="I3768" s="54"/>
      <c r="K3768" s="54"/>
      <c r="M3768" s="114"/>
      <c r="N3768" s="1"/>
      <c r="O3768" s="1"/>
      <c r="P3768" s="51"/>
    </row>
    <row r="3769">
      <c r="A3769" s="54"/>
      <c r="B3769" s="71"/>
      <c r="C3769" s="51"/>
      <c r="D3769" s="114"/>
      <c r="E3769" s="114"/>
      <c r="F3769" s="54"/>
      <c r="G3769" s="54"/>
      <c r="I3769" s="54"/>
      <c r="K3769" s="54"/>
      <c r="M3769" s="114"/>
      <c r="N3769" s="1"/>
      <c r="O3769" s="1"/>
      <c r="P3769" s="51"/>
    </row>
    <row r="3770">
      <c r="A3770" s="54"/>
      <c r="B3770" s="71"/>
      <c r="C3770" s="51"/>
      <c r="D3770" s="114"/>
      <c r="E3770" s="114"/>
      <c r="F3770" s="54"/>
      <c r="G3770" s="54"/>
      <c r="I3770" s="54"/>
      <c r="K3770" s="54"/>
      <c r="M3770" s="114"/>
      <c r="N3770" s="1"/>
      <c r="O3770" s="1"/>
      <c r="P3770" s="51"/>
    </row>
    <row r="3771">
      <c r="A3771" s="54"/>
      <c r="B3771" s="71"/>
      <c r="C3771" s="51"/>
      <c r="D3771" s="114"/>
      <c r="E3771" s="114"/>
      <c r="F3771" s="54"/>
      <c r="G3771" s="54"/>
      <c r="I3771" s="54"/>
      <c r="K3771" s="54"/>
      <c r="M3771" s="114"/>
      <c r="N3771" s="1"/>
      <c r="O3771" s="1"/>
      <c r="P3771" s="51"/>
    </row>
    <row r="3772">
      <c r="A3772" s="54"/>
      <c r="B3772" s="71"/>
      <c r="C3772" s="51"/>
      <c r="D3772" s="114"/>
      <c r="E3772" s="114"/>
      <c r="F3772" s="54"/>
      <c r="G3772" s="54"/>
      <c r="I3772" s="54"/>
      <c r="K3772" s="54"/>
      <c r="M3772" s="114"/>
      <c r="N3772" s="1"/>
      <c r="O3772" s="1"/>
      <c r="P3772" s="51"/>
    </row>
    <row r="3773">
      <c r="A3773" s="54"/>
      <c r="B3773" s="71"/>
      <c r="C3773" s="51"/>
      <c r="D3773" s="114"/>
      <c r="E3773" s="114"/>
      <c r="F3773" s="54"/>
      <c r="G3773" s="54"/>
      <c r="I3773" s="54"/>
      <c r="K3773" s="54"/>
      <c r="M3773" s="114"/>
      <c r="N3773" s="1"/>
      <c r="O3773" s="1"/>
      <c r="P3773" s="51"/>
    </row>
    <row r="3774">
      <c r="A3774" s="54"/>
      <c r="B3774" s="71"/>
      <c r="C3774" s="51"/>
      <c r="D3774" s="114"/>
      <c r="E3774" s="114"/>
      <c r="F3774" s="54"/>
      <c r="G3774" s="54"/>
      <c r="I3774" s="54"/>
      <c r="K3774" s="54"/>
      <c r="M3774" s="114"/>
      <c r="N3774" s="1"/>
      <c r="O3774" s="1"/>
      <c r="P3774" s="51"/>
    </row>
    <row r="3775">
      <c r="A3775" s="54"/>
      <c r="B3775" s="71"/>
      <c r="C3775" s="51"/>
      <c r="D3775" s="114"/>
      <c r="E3775" s="114"/>
      <c r="F3775" s="54"/>
      <c r="G3775" s="54"/>
      <c r="I3775" s="54"/>
      <c r="K3775" s="54"/>
      <c r="M3775" s="114"/>
      <c r="N3775" s="1"/>
      <c r="O3775" s="1"/>
      <c r="P3775" s="51"/>
    </row>
    <row r="3776">
      <c r="A3776" s="54"/>
      <c r="B3776" s="71"/>
      <c r="C3776" s="51"/>
      <c r="D3776" s="114"/>
      <c r="E3776" s="114"/>
      <c r="F3776" s="54"/>
      <c r="G3776" s="54"/>
      <c r="I3776" s="54"/>
      <c r="K3776" s="54"/>
      <c r="M3776" s="114"/>
      <c r="N3776" s="1"/>
      <c r="O3776" s="1"/>
      <c r="P3776" s="51"/>
    </row>
    <row r="3777">
      <c r="A3777" s="54"/>
      <c r="B3777" s="71"/>
      <c r="C3777" s="51"/>
      <c r="D3777" s="114"/>
      <c r="E3777" s="114"/>
      <c r="F3777" s="54"/>
      <c r="G3777" s="54"/>
      <c r="I3777" s="54"/>
      <c r="K3777" s="54"/>
      <c r="M3777" s="114"/>
      <c r="N3777" s="1"/>
      <c r="O3777" s="1"/>
      <c r="P3777" s="51"/>
    </row>
    <row r="3778">
      <c r="A3778" s="54"/>
      <c r="B3778" s="71"/>
      <c r="C3778" s="51"/>
      <c r="D3778" s="114"/>
      <c r="E3778" s="114"/>
      <c r="F3778" s="54"/>
      <c r="G3778" s="54"/>
      <c r="I3778" s="54"/>
      <c r="K3778" s="54"/>
      <c r="M3778" s="114"/>
      <c r="N3778" s="1"/>
      <c r="O3778" s="1"/>
      <c r="P3778" s="51"/>
    </row>
    <row r="3779">
      <c r="A3779" s="54"/>
      <c r="B3779" s="71"/>
      <c r="C3779" s="51"/>
      <c r="D3779" s="114"/>
      <c r="E3779" s="114"/>
      <c r="F3779" s="54"/>
      <c r="G3779" s="54"/>
      <c r="I3779" s="54"/>
      <c r="K3779" s="54"/>
      <c r="M3779" s="114"/>
      <c r="N3779" s="1"/>
      <c r="O3779" s="1"/>
      <c r="P3779" s="51"/>
    </row>
    <row r="3780">
      <c r="A3780" s="54"/>
      <c r="B3780" s="71"/>
      <c r="C3780" s="51"/>
      <c r="D3780" s="114"/>
      <c r="E3780" s="114"/>
      <c r="F3780" s="54"/>
      <c r="G3780" s="54"/>
      <c r="I3780" s="54"/>
      <c r="K3780" s="54"/>
      <c r="M3780" s="114"/>
      <c r="N3780" s="1"/>
      <c r="O3780" s="1"/>
      <c r="P3780" s="51"/>
    </row>
    <row r="3781">
      <c r="A3781" s="54"/>
      <c r="B3781" s="71"/>
      <c r="C3781" s="51"/>
      <c r="D3781" s="114"/>
      <c r="E3781" s="114"/>
      <c r="F3781" s="54"/>
      <c r="G3781" s="54"/>
      <c r="I3781" s="54"/>
      <c r="K3781" s="54"/>
      <c r="M3781" s="114"/>
      <c r="N3781" s="1"/>
      <c r="O3781" s="1"/>
      <c r="P3781" s="51"/>
    </row>
    <row r="3782">
      <c r="A3782" s="54"/>
      <c r="B3782" s="71"/>
      <c r="C3782" s="51"/>
      <c r="D3782" s="114"/>
      <c r="E3782" s="114"/>
      <c r="F3782" s="54"/>
      <c r="G3782" s="54"/>
      <c r="I3782" s="54"/>
      <c r="K3782" s="54"/>
      <c r="M3782" s="114"/>
      <c r="N3782" s="1"/>
      <c r="O3782" s="1"/>
      <c r="P3782" s="51"/>
    </row>
    <row r="3783">
      <c r="A3783" s="54"/>
      <c r="B3783" s="71"/>
      <c r="C3783" s="51"/>
      <c r="D3783" s="114"/>
      <c r="E3783" s="114"/>
      <c r="F3783" s="54"/>
      <c r="G3783" s="54"/>
      <c r="I3783" s="54"/>
      <c r="K3783" s="54"/>
      <c r="M3783" s="114"/>
      <c r="N3783" s="1"/>
      <c r="O3783" s="1"/>
      <c r="P3783" s="51"/>
    </row>
    <row r="3784">
      <c r="A3784" s="54"/>
      <c r="B3784" s="71"/>
      <c r="C3784" s="51"/>
      <c r="D3784" s="114"/>
      <c r="E3784" s="114"/>
      <c r="F3784" s="54"/>
      <c r="G3784" s="54"/>
      <c r="I3784" s="54"/>
      <c r="K3784" s="54"/>
      <c r="M3784" s="114"/>
      <c r="N3784" s="1"/>
      <c r="O3784" s="1"/>
      <c r="P3784" s="51"/>
    </row>
    <row r="3785">
      <c r="A3785" s="54"/>
      <c r="B3785" s="71"/>
      <c r="C3785" s="51"/>
      <c r="D3785" s="114"/>
      <c r="E3785" s="114"/>
      <c r="F3785" s="54"/>
      <c r="G3785" s="54"/>
      <c r="I3785" s="54"/>
      <c r="K3785" s="54"/>
      <c r="M3785" s="114"/>
      <c r="N3785" s="1"/>
      <c r="O3785" s="1"/>
      <c r="P3785" s="51"/>
    </row>
    <row r="3786">
      <c r="A3786" s="54"/>
      <c r="B3786" s="71"/>
      <c r="C3786" s="51"/>
      <c r="D3786" s="114"/>
      <c r="E3786" s="114"/>
      <c r="F3786" s="54"/>
      <c r="G3786" s="54"/>
      <c r="I3786" s="54"/>
      <c r="K3786" s="54"/>
      <c r="M3786" s="114"/>
      <c r="N3786" s="1"/>
      <c r="O3786" s="1"/>
      <c r="P3786" s="51"/>
    </row>
    <row r="3787">
      <c r="A3787" s="54"/>
      <c r="B3787" s="71"/>
      <c r="C3787" s="51"/>
      <c r="D3787" s="114"/>
      <c r="E3787" s="114"/>
      <c r="F3787" s="54"/>
      <c r="G3787" s="54"/>
      <c r="I3787" s="54"/>
      <c r="K3787" s="54"/>
      <c r="M3787" s="114"/>
      <c r="N3787" s="1"/>
      <c r="O3787" s="1"/>
      <c r="P3787" s="51"/>
    </row>
    <row r="3788">
      <c r="A3788" s="54"/>
      <c r="B3788" s="71"/>
      <c r="C3788" s="51"/>
      <c r="D3788" s="114"/>
      <c r="E3788" s="114"/>
      <c r="F3788" s="54"/>
      <c r="G3788" s="54"/>
      <c r="I3788" s="54"/>
      <c r="K3788" s="54"/>
      <c r="M3788" s="114"/>
      <c r="N3788" s="1"/>
      <c r="O3788" s="1"/>
      <c r="P3788" s="51"/>
    </row>
    <row r="3789">
      <c r="A3789" s="54"/>
      <c r="B3789" s="71"/>
      <c r="C3789" s="51"/>
      <c r="D3789" s="114"/>
      <c r="E3789" s="114"/>
      <c r="F3789" s="54"/>
      <c r="G3789" s="54"/>
      <c r="I3789" s="54"/>
      <c r="K3789" s="54"/>
      <c r="M3789" s="114"/>
      <c r="N3789" s="1"/>
      <c r="O3789" s="1"/>
      <c r="P3789" s="51"/>
    </row>
    <row r="3790">
      <c r="A3790" s="54"/>
      <c r="B3790" s="71"/>
      <c r="C3790" s="51"/>
      <c r="D3790" s="114"/>
      <c r="E3790" s="114"/>
      <c r="F3790" s="54"/>
      <c r="G3790" s="54"/>
      <c r="I3790" s="54"/>
      <c r="K3790" s="54"/>
      <c r="M3790" s="114"/>
      <c r="N3790" s="1"/>
      <c r="O3790" s="1"/>
      <c r="P3790" s="51"/>
    </row>
    <row r="3791">
      <c r="A3791" s="54"/>
      <c r="B3791" s="71"/>
      <c r="C3791" s="51"/>
      <c r="D3791" s="114"/>
      <c r="E3791" s="114"/>
      <c r="F3791" s="54"/>
      <c r="G3791" s="54"/>
      <c r="I3791" s="54"/>
      <c r="K3791" s="54"/>
      <c r="M3791" s="114"/>
      <c r="N3791" s="1"/>
      <c r="O3791" s="1"/>
      <c r="P3791" s="51"/>
    </row>
    <row r="3792">
      <c r="A3792" s="54"/>
      <c r="B3792" s="71"/>
      <c r="C3792" s="51"/>
      <c r="D3792" s="114"/>
      <c r="E3792" s="114"/>
      <c r="F3792" s="54"/>
      <c r="G3792" s="54"/>
      <c r="I3792" s="54"/>
      <c r="K3792" s="54"/>
      <c r="M3792" s="114"/>
      <c r="N3792" s="1"/>
      <c r="O3792" s="1"/>
      <c r="P3792" s="51"/>
    </row>
    <row r="3793">
      <c r="A3793" s="54"/>
      <c r="B3793" s="71"/>
      <c r="C3793" s="51"/>
      <c r="D3793" s="114"/>
      <c r="E3793" s="114"/>
      <c r="F3793" s="54"/>
      <c r="G3793" s="54"/>
      <c r="I3793" s="54"/>
      <c r="K3793" s="54"/>
      <c r="M3793" s="114"/>
      <c r="N3793" s="1"/>
      <c r="O3793" s="1"/>
      <c r="P3793" s="51"/>
    </row>
    <row r="3794">
      <c r="A3794" s="54"/>
      <c r="B3794" s="71"/>
      <c r="C3794" s="51"/>
      <c r="D3794" s="114"/>
      <c r="E3794" s="114"/>
      <c r="F3794" s="54"/>
      <c r="G3794" s="54"/>
      <c r="I3794" s="54"/>
      <c r="K3794" s="54"/>
      <c r="M3794" s="114"/>
      <c r="N3794" s="1"/>
      <c r="O3794" s="1"/>
      <c r="P3794" s="51"/>
    </row>
    <row r="3795">
      <c r="A3795" s="54"/>
      <c r="B3795" s="71"/>
      <c r="C3795" s="51"/>
      <c r="D3795" s="114"/>
      <c r="E3795" s="114"/>
      <c r="F3795" s="54"/>
      <c r="G3795" s="54"/>
      <c r="I3795" s="54"/>
      <c r="K3795" s="54"/>
      <c r="M3795" s="114"/>
      <c r="N3795" s="1"/>
      <c r="O3795" s="1"/>
      <c r="P3795" s="51"/>
    </row>
    <row r="3796">
      <c r="A3796" s="54"/>
      <c r="B3796" s="71"/>
      <c r="C3796" s="51"/>
      <c r="D3796" s="114"/>
      <c r="E3796" s="114"/>
      <c r="F3796" s="54"/>
      <c r="G3796" s="54"/>
      <c r="I3796" s="54"/>
      <c r="K3796" s="54"/>
      <c r="M3796" s="114"/>
      <c r="N3796" s="1"/>
      <c r="O3796" s="1"/>
      <c r="P3796" s="51"/>
    </row>
    <row r="3797">
      <c r="A3797" s="54"/>
      <c r="B3797" s="71"/>
      <c r="C3797" s="51"/>
      <c r="D3797" s="114"/>
      <c r="E3797" s="114"/>
      <c r="F3797" s="54"/>
      <c r="G3797" s="54"/>
      <c r="I3797" s="54"/>
      <c r="K3797" s="54"/>
      <c r="M3797" s="114"/>
      <c r="N3797" s="1"/>
      <c r="O3797" s="1"/>
      <c r="P3797" s="51"/>
    </row>
    <row r="3798">
      <c r="A3798" s="54"/>
      <c r="B3798" s="71"/>
      <c r="C3798" s="51"/>
      <c r="D3798" s="114"/>
      <c r="E3798" s="114"/>
      <c r="F3798" s="54"/>
      <c r="G3798" s="54"/>
      <c r="I3798" s="54"/>
      <c r="K3798" s="54"/>
      <c r="M3798" s="114"/>
      <c r="N3798" s="1"/>
      <c r="O3798" s="1"/>
      <c r="P3798" s="51"/>
    </row>
    <row r="3799">
      <c r="A3799" s="54"/>
      <c r="B3799" s="71"/>
      <c r="C3799" s="51"/>
      <c r="D3799" s="114"/>
      <c r="E3799" s="114"/>
      <c r="F3799" s="54"/>
      <c r="G3799" s="54"/>
      <c r="I3799" s="54"/>
      <c r="K3799" s="54"/>
      <c r="M3799" s="114"/>
      <c r="N3799" s="1"/>
      <c r="O3799" s="1"/>
      <c r="P3799" s="51"/>
    </row>
    <row r="3800">
      <c r="A3800" s="54"/>
      <c r="B3800" s="71"/>
      <c r="C3800" s="51"/>
      <c r="D3800" s="114"/>
      <c r="E3800" s="114"/>
      <c r="F3800" s="54"/>
      <c r="G3800" s="54"/>
      <c r="I3800" s="54"/>
      <c r="K3800" s="54"/>
      <c r="M3800" s="114"/>
      <c r="N3800" s="1"/>
      <c r="O3800" s="1"/>
      <c r="P3800" s="51"/>
    </row>
    <row r="3801">
      <c r="A3801" s="54"/>
      <c r="B3801" s="71"/>
      <c r="C3801" s="51"/>
      <c r="D3801" s="114"/>
      <c r="E3801" s="114"/>
      <c r="F3801" s="54"/>
      <c r="G3801" s="54"/>
      <c r="I3801" s="54"/>
      <c r="K3801" s="54"/>
      <c r="M3801" s="114"/>
      <c r="N3801" s="1"/>
      <c r="O3801" s="1"/>
      <c r="P3801" s="51"/>
    </row>
    <row r="3802">
      <c r="A3802" s="54"/>
      <c r="B3802" s="71"/>
      <c r="C3802" s="51"/>
      <c r="D3802" s="114"/>
      <c r="E3802" s="114"/>
      <c r="F3802" s="54"/>
      <c r="G3802" s="54"/>
      <c r="I3802" s="54"/>
      <c r="K3802" s="54"/>
      <c r="M3802" s="114"/>
      <c r="N3802" s="1"/>
      <c r="O3802" s="1"/>
      <c r="P3802" s="51"/>
    </row>
    <row r="3803">
      <c r="A3803" s="54"/>
      <c r="B3803" s="71"/>
      <c r="C3803" s="51"/>
      <c r="D3803" s="114"/>
      <c r="E3803" s="114"/>
      <c r="F3803" s="54"/>
      <c r="G3803" s="54"/>
      <c r="I3803" s="54"/>
      <c r="K3803" s="54"/>
      <c r="M3803" s="114"/>
      <c r="N3803" s="1"/>
      <c r="O3803" s="1"/>
      <c r="P3803" s="51"/>
    </row>
    <row r="3804">
      <c r="A3804" s="54"/>
      <c r="B3804" s="71"/>
      <c r="C3804" s="51"/>
      <c r="D3804" s="114"/>
      <c r="E3804" s="114"/>
      <c r="F3804" s="54"/>
      <c r="G3804" s="54"/>
      <c r="I3804" s="54"/>
      <c r="K3804" s="54"/>
      <c r="M3804" s="114"/>
      <c r="N3804" s="1"/>
      <c r="O3804" s="1"/>
      <c r="P3804" s="51"/>
    </row>
    <row r="3805">
      <c r="A3805" s="54"/>
      <c r="B3805" s="71"/>
      <c r="C3805" s="51"/>
      <c r="D3805" s="114"/>
      <c r="E3805" s="114"/>
      <c r="F3805" s="54"/>
      <c r="G3805" s="54"/>
      <c r="I3805" s="54"/>
      <c r="K3805" s="54"/>
      <c r="M3805" s="114"/>
      <c r="N3805" s="1"/>
      <c r="O3805" s="1"/>
      <c r="P3805" s="51"/>
    </row>
    <row r="3806">
      <c r="A3806" s="54"/>
      <c r="B3806" s="71"/>
      <c r="C3806" s="51"/>
      <c r="D3806" s="114"/>
      <c r="E3806" s="114"/>
      <c r="F3806" s="54"/>
      <c r="G3806" s="54"/>
      <c r="I3806" s="54"/>
      <c r="K3806" s="54"/>
      <c r="M3806" s="114"/>
      <c r="N3806" s="1"/>
      <c r="O3806" s="1"/>
      <c r="P3806" s="51"/>
    </row>
    <row r="3807">
      <c r="A3807" s="54"/>
      <c r="B3807" s="71"/>
      <c r="C3807" s="51"/>
      <c r="D3807" s="114"/>
      <c r="E3807" s="114"/>
      <c r="F3807" s="54"/>
      <c r="G3807" s="54"/>
      <c r="I3807" s="54"/>
      <c r="K3807" s="54"/>
      <c r="M3807" s="114"/>
      <c r="N3807" s="1"/>
      <c r="O3807" s="1"/>
      <c r="P3807" s="51"/>
    </row>
    <row r="3808">
      <c r="A3808" s="54"/>
      <c r="B3808" s="71"/>
      <c r="C3808" s="51"/>
      <c r="D3808" s="114"/>
      <c r="E3808" s="114"/>
      <c r="F3808" s="54"/>
      <c r="G3808" s="54"/>
      <c r="I3808" s="54"/>
      <c r="K3808" s="54"/>
      <c r="M3808" s="114"/>
      <c r="N3808" s="1"/>
      <c r="O3808" s="1"/>
      <c r="P3808" s="51"/>
    </row>
    <row r="3809">
      <c r="A3809" s="54"/>
      <c r="B3809" s="71"/>
      <c r="C3809" s="51"/>
      <c r="D3809" s="114"/>
      <c r="E3809" s="114"/>
      <c r="F3809" s="54"/>
      <c r="G3809" s="54"/>
      <c r="I3809" s="54"/>
      <c r="K3809" s="54"/>
      <c r="M3809" s="114"/>
      <c r="N3809" s="1"/>
      <c r="O3809" s="1"/>
      <c r="P3809" s="51"/>
    </row>
    <row r="3810">
      <c r="A3810" s="54"/>
      <c r="B3810" s="71"/>
      <c r="C3810" s="51"/>
      <c r="D3810" s="114"/>
      <c r="E3810" s="114"/>
      <c r="F3810" s="54"/>
      <c r="G3810" s="54"/>
      <c r="I3810" s="54"/>
      <c r="K3810" s="54"/>
      <c r="M3810" s="114"/>
      <c r="N3810" s="1"/>
      <c r="O3810" s="1"/>
      <c r="P3810" s="51"/>
    </row>
    <row r="3811">
      <c r="A3811" s="54"/>
      <c r="B3811" s="71"/>
      <c r="C3811" s="51"/>
      <c r="D3811" s="114"/>
      <c r="E3811" s="114"/>
      <c r="F3811" s="54"/>
      <c r="G3811" s="54"/>
      <c r="I3811" s="54"/>
      <c r="K3811" s="54"/>
      <c r="M3811" s="114"/>
      <c r="N3811" s="1"/>
      <c r="O3811" s="1"/>
      <c r="P3811" s="51"/>
    </row>
    <row r="3812">
      <c r="A3812" s="54"/>
      <c r="B3812" s="71"/>
      <c r="C3812" s="51"/>
      <c r="D3812" s="114"/>
      <c r="E3812" s="114"/>
      <c r="F3812" s="54"/>
      <c r="G3812" s="54"/>
      <c r="I3812" s="54"/>
      <c r="K3812" s="54"/>
      <c r="M3812" s="114"/>
      <c r="N3812" s="1"/>
      <c r="O3812" s="1"/>
      <c r="P3812" s="51"/>
    </row>
    <row r="3813">
      <c r="A3813" s="54"/>
      <c r="B3813" s="71"/>
      <c r="C3813" s="51"/>
      <c r="D3813" s="114"/>
      <c r="E3813" s="114"/>
      <c r="F3813" s="54"/>
      <c r="G3813" s="54"/>
      <c r="I3813" s="54"/>
      <c r="K3813" s="54"/>
      <c r="M3813" s="114"/>
      <c r="N3813" s="1"/>
      <c r="O3813" s="1"/>
      <c r="P3813" s="51"/>
    </row>
    <row r="3814">
      <c r="A3814" s="54"/>
      <c r="B3814" s="71"/>
      <c r="C3814" s="51"/>
      <c r="D3814" s="114"/>
      <c r="E3814" s="114"/>
      <c r="F3814" s="54"/>
      <c r="G3814" s="54"/>
      <c r="I3814" s="54"/>
      <c r="K3814" s="54"/>
      <c r="M3814" s="114"/>
      <c r="N3814" s="1"/>
      <c r="O3814" s="1"/>
      <c r="P3814" s="51"/>
    </row>
    <row r="3815">
      <c r="A3815" s="54"/>
      <c r="B3815" s="71"/>
      <c r="C3815" s="51"/>
      <c r="D3815" s="114"/>
      <c r="E3815" s="114"/>
      <c r="F3815" s="54"/>
      <c r="G3815" s="54"/>
      <c r="I3815" s="54"/>
      <c r="K3815" s="54"/>
      <c r="M3815" s="114"/>
      <c r="N3815" s="1"/>
      <c r="O3815" s="1"/>
      <c r="P3815" s="51"/>
    </row>
    <row r="3816">
      <c r="A3816" s="54"/>
      <c r="B3816" s="71"/>
      <c r="C3816" s="51"/>
      <c r="D3816" s="114"/>
      <c r="E3816" s="114"/>
      <c r="F3816" s="54"/>
      <c r="G3816" s="54"/>
      <c r="I3816" s="54"/>
      <c r="K3816" s="54"/>
      <c r="M3816" s="114"/>
      <c r="N3816" s="1"/>
      <c r="O3816" s="1"/>
      <c r="P3816" s="51"/>
    </row>
    <row r="3817">
      <c r="A3817" s="54"/>
      <c r="B3817" s="71"/>
      <c r="C3817" s="51"/>
      <c r="D3817" s="114"/>
      <c r="E3817" s="114"/>
      <c r="F3817" s="54"/>
      <c r="G3817" s="54"/>
      <c r="I3817" s="54"/>
      <c r="K3817" s="54"/>
      <c r="M3817" s="114"/>
      <c r="N3817" s="1"/>
      <c r="O3817" s="1"/>
      <c r="P3817" s="51"/>
    </row>
    <row r="3818">
      <c r="A3818" s="54"/>
      <c r="B3818" s="71"/>
      <c r="C3818" s="51"/>
      <c r="D3818" s="114"/>
      <c r="E3818" s="114"/>
      <c r="F3818" s="54"/>
      <c r="G3818" s="54"/>
      <c r="I3818" s="54"/>
      <c r="K3818" s="54"/>
      <c r="M3818" s="114"/>
      <c r="N3818" s="1"/>
      <c r="O3818" s="1"/>
      <c r="P3818" s="51"/>
    </row>
    <row r="3819">
      <c r="A3819" s="54"/>
      <c r="B3819" s="71"/>
      <c r="C3819" s="51"/>
      <c r="D3819" s="114"/>
      <c r="E3819" s="114"/>
      <c r="F3819" s="54"/>
      <c r="G3819" s="54"/>
      <c r="I3819" s="54"/>
      <c r="K3819" s="54"/>
      <c r="M3819" s="114"/>
      <c r="N3819" s="1"/>
      <c r="O3819" s="1"/>
      <c r="P3819" s="51"/>
    </row>
    <row r="3820">
      <c r="A3820" s="54"/>
      <c r="B3820" s="71"/>
      <c r="C3820" s="51"/>
      <c r="D3820" s="114"/>
      <c r="E3820" s="114"/>
      <c r="F3820" s="54"/>
      <c r="G3820" s="54"/>
      <c r="I3820" s="54"/>
      <c r="K3820" s="54"/>
      <c r="M3820" s="114"/>
      <c r="N3820" s="1"/>
      <c r="O3820" s="1"/>
      <c r="P3820" s="51"/>
    </row>
    <row r="3821">
      <c r="A3821" s="54"/>
      <c r="B3821" s="71"/>
      <c r="C3821" s="51"/>
      <c r="D3821" s="114"/>
      <c r="E3821" s="114"/>
      <c r="F3821" s="54"/>
      <c r="G3821" s="54"/>
      <c r="I3821" s="54"/>
      <c r="K3821" s="54"/>
      <c r="M3821" s="114"/>
      <c r="N3821" s="1"/>
      <c r="O3821" s="1"/>
      <c r="P3821" s="51"/>
    </row>
    <row r="3822">
      <c r="A3822" s="54"/>
      <c r="B3822" s="71"/>
      <c r="C3822" s="51"/>
      <c r="D3822" s="114"/>
      <c r="E3822" s="114"/>
      <c r="F3822" s="54"/>
      <c r="G3822" s="54"/>
      <c r="I3822" s="54"/>
      <c r="K3822" s="54"/>
      <c r="M3822" s="114"/>
      <c r="N3822" s="1"/>
      <c r="O3822" s="1"/>
      <c r="P3822" s="51"/>
    </row>
    <row r="3823">
      <c r="A3823" s="54"/>
      <c r="B3823" s="71"/>
      <c r="C3823" s="51"/>
      <c r="D3823" s="114"/>
      <c r="E3823" s="114"/>
      <c r="F3823" s="54"/>
      <c r="G3823" s="54"/>
      <c r="I3823" s="54"/>
      <c r="K3823" s="54"/>
      <c r="M3823" s="114"/>
      <c r="N3823" s="1"/>
      <c r="O3823" s="1"/>
      <c r="P3823" s="51"/>
    </row>
    <row r="3824">
      <c r="A3824" s="54"/>
      <c r="B3824" s="71"/>
      <c r="C3824" s="51"/>
      <c r="D3824" s="114"/>
      <c r="E3824" s="114"/>
      <c r="F3824" s="54"/>
      <c r="G3824" s="54"/>
      <c r="I3824" s="54"/>
      <c r="K3824" s="54"/>
      <c r="M3824" s="114"/>
      <c r="N3824" s="1"/>
      <c r="O3824" s="1"/>
      <c r="P3824" s="51"/>
    </row>
    <row r="3825">
      <c r="A3825" s="54"/>
      <c r="B3825" s="71"/>
      <c r="C3825" s="51"/>
      <c r="D3825" s="114"/>
      <c r="E3825" s="114"/>
      <c r="F3825" s="54"/>
      <c r="G3825" s="54"/>
      <c r="I3825" s="54"/>
      <c r="K3825" s="54"/>
      <c r="M3825" s="114"/>
      <c r="N3825" s="1"/>
      <c r="O3825" s="1"/>
      <c r="P3825" s="51"/>
    </row>
    <row r="3826">
      <c r="A3826" s="54"/>
      <c r="B3826" s="71"/>
      <c r="C3826" s="51"/>
      <c r="D3826" s="114"/>
      <c r="E3826" s="114"/>
      <c r="F3826" s="54"/>
      <c r="G3826" s="54"/>
      <c r="I3826" s="54"/>
      <c r="K3826" s="54"/>
      <c r="M3826" s="114"/>
      <c r="N3826" s="1"/>
      <c r="O3826" s="1"/>
      <c r="P3826" s="51"/>
    </row>
    <row r="3827">
      <c r="A3827" s="54"/>
      <c r="B3827" s="71"/>
      <c r="C3827" s="51"/>
      <c r="D3827" s="114"/>
      <c r="E3827" s="114"/>
      <c r="F3827" s="54"/>
      <c r="G3827" s="54"/>
      <c r="I3827" s="54"/>
      <c r="K3827" s="54"/>
      <c r="M3827" s="114"/>
      <c r="N3827" s="1"/>
      <c r="O3827" s="1"/>
      <c r="P3827" s="51"/>
    </row>
    <row r="3828">
      <c r="A3828" s="54"/>
      <c r="B3828" s="71"/>
      <c r="C3828" s="51"/>
      <c r="D3828" s="114"/>
      <c r="E3828" s="114"/>
      <c r="F3828" s="54"/>
      <c r="G3828" s="54"/>
      <c r="I3828" s="54"/>
      <c r="K3828" s="54"/>
      <c r="M3828" s="114"/>
      <c r="N3828" s="1"/>
      <c r="O3828" s="1"/>
      <c r="P3828" s="51"/>
    </row>
    <row r="3829">
      <c r="A3829" s="54"/>
      <c r="B3829" s="71"/>
      <c r="C3829" s="51"/>
      <c r="D3829" s="114"/>
      <c r="E3829" s="114"/>
      <c r="F3829" s="54"/>
      <c r="G3829" s="54"/>
      <c r="I3829" s="54"/>
      <c r="K3829" s="54"/>
      <c r="M3829" s="114"/>
      <c r="N3829" s="1"/>
      <c r="O3829" s="1"/>
      <c r="P3829" s="51"/>
    </row>
    <row r="3830">
      <c r="A3830" s="54"/>
      <c r="B3830" s="71"/>
      <c r="C3830" s="51"/>
      <c r="D3830" s="114"/>
      <c r="E3830" s="114"/>
      <c r="F3830" s="54"/>
      <c r="G3830" s="54"/>
      <c r="I3830" s="54"/>
      <c r="K3830" s="54"/>
      <c r="M3830" s="114"/>
      <c r="N3830" s="1"/>
      <c r="O3830" s="1"/>
      <c r="P3830" s="51"/>
    </row>
    <row r="3831">
      <c r="A3831" s="54"/>
      <c r="B3831" s="71"/>
      <c r="C3831" s="51"/>
      <c r="D3831" s="114"/>
      <c r="E3831" s="114"/>
      <c r="F3831" s="54"/>
      <c r="G3831" s="54"/>
      <c r="I3831" s="54"/>
      <c r="K3831" s="54"/>
      <c r="M3831" s="114"/>
      <c r="N3831" s="1"/>
      <c r="O3831" s="1"/>
      <c r="P3831" s="51"/>
    </row>
    <row r="3832">
      <c r="A3832" s="54"/>
      <c r="B3832" s="71"/>
      <c r="C3832" s="51"/>
      <c r="D3832" s="114"/>
      <c r="E3832" s="114"/>
      <c r="F3832" s="54"/>
      <c r="G3832" s="54"/>
      <c r="I3832" s="54"/>
      <c r="K3832" s="54"/>
      <c r="M3832" s="114"/>
      <c r="N3832" s="1"/>
      <c r="O3832" s="1"/>
      <c r="P3832" s="51"/>
    </row>
    <row r="3833">
      <c r="A3833" s="54"/>
      <c r="B3833" s="71"/>
      <c r="C3833" s="51"/>
      <c r="D3833" s="114"/>
      <c r="E3833" s="114"/>
      <c r="F3833" s="54"/>
      <c r="G3833" s="54"/>
      <c r="I3833" s="54"/>
      <c r="K3833" s="54"/>
      <c r="M3833" s="114"/>
      <c r="N3833" s="1"/>
      <c r="O3833" s="1"/>
      <c r="P3833" s="51"/>
    </row>
    <row r="3834">
      <c r="A3834" s="54"/>
      <c r="B3834" s="71"/>
      <c r="C3834" s="51"/>
      <c r="D3834" s="114"/>
      <c r="E3834" s="114"/>
      <c r="F3834" s="54"/>
      <c r="G3834" s="54"/>
      <c r="I3834" s="54"/>
      <c r="K3834" s="54"/>
      <c r="M3834" s="114"/>
      <c r="N3834" s="1"/>
      <c r="O3834" s="1"/>
      <c r="P3834" s="51"/>
    </row>
    <row r="3835">
      <c r="A3835" s="54"/>
      <c r="B3835" s="71"/>
      <c r="C3835" s="51"/>
      <c r="D3835" s="114"/>
      <c r="E3835" s="114"/>
      <c r="F3835" s="54"/>
      <c r="G3835" s="54"/>
      <c r="I3835" s="54"/>
      <c r="K3835" s="54"/>
      <c r="M3835" s="114"/>
      <c r="N3835" s="1"/>
      <c r="O3835" s="1"/>
      <c r="P3835" s="51"/>
    </row>
    <row r="3836">
      <c r="A3836" s="54"/>
      <c r="B3836" s="71"/>
      <c r="C3836" s="51"/>
      <c r="D3836" s="114"/>
      <c r="E3836" s="114"/>
      <c r="F3836" s="54"/>
      <c r="G3836" s="54"/>
      <c r="I3836" s="54"/>
      <c r="K3836" s="54"/>
      <c r="M3836" s="114"/>
      <c r="N3836" s="1"/>
      <c r="O3836" s="1"/>
      <c r="P3836" s="51"/>
    </row>
    <row r="3837">
      <c r="A3837" s="54"/>
      <c r="B3837" s="71"/>
      <c r="C3837" s="51"/>
      <c r="D3837" s="114"/>
      <c r="E3837" s="114"/>
      <c r="F3837" s="54"/>
      <c r="G3837" s="54"/>
      <c r="I3837" s="54"/>
      <c r="K3837" s="54"/>
      <c r="M3837" s="114"/>
      <c r="N3837" s="1"/>
      <c r="O3837" s="1"/>
      <c r="P3837" s="51"/>
    </row>
    <row r="3838">
      <c r="A3838" s="54"/>
      <c r="B3838" s="71"/>
      <c r="C3838" s="51"/>
      <c r="D3838" s="114"/>
      <c r="E3838" s="114"/>
      <c r="F3838" s="54"/>
      <c r="G3838" s="54"/>
      <c r="I3838" s="54"/>
      <c r="K3838" s="54"/>
      <c r="M3838" s="114"/>
      <c r="N3838" s="1"/>
      <c r="O3838" s="1"/>
      <c r="P3838" s="51"/>
    </row>
    <row r="3839">
      <c r="A3839" s="54"/>
      <c r="B3839" s="71"/>
      <c r="C3839" s="51"/>
      <c r="D3839" s="114"/>
      <c r="E3839" s="114"/>
      <c r="F3839" s="54"/>
      <c r="G3839" s="54"/>
      <c r="I3839" s="54"/>
      <c r="K3839" s="54"/>
      <c r="M3839" s="114"/>
      <c r="N3839" s="1"/>
      <c r="O3839" s="1"/>
      <c r="P3839" s="51"/>
    </row>
    <row r="3840">
      <c r="A3840" s="54"/>
      <c r="B3840" s="71"/>
      <c r="C3840" s="51"/>
      <c r="D3840" s="114"/>
      <c r="E3840" s="114"/>
      <c r="F3840" s="54"/>
      <c r="G3840" s="54"/>
      <c r="I3840" s="54"/>
      <c r="K3840" s="54"/>
      <c r="M3840" s="114"/>
      <c r="N3840" s="1"/>
      <c r="O3840" s="1"/>
      <c r="P3840" s="51"/>
    </row>
    <row r="3841">
      <c r="A3841" s="54"/>
      <c r="B3841" s="71"/>
      <c r="C3841" s="51"/>
      <c r="D3841" s="114"/>
      <c r="E3841" s="114"/>
      <c r="F3841" s="54"/>
      <c r="G3841" s="54"/>
      <c r="I3841" s="54"/>
      <c r="K3841" s="54"/>
      <c r="M3841" s="114"/>
      <c r="N3841" s="1"/>
      <c r="O3841" s="1"/>
      <c r="P3841" s="51"/>
    </row>
    <row r="3842">
      <c r="A3842" s="54"/>
      <c r="B3842" s="71"/>
      <c r="C3842" s="51"/>
      <c r="D3842" s="114"/>
      <c r="E3842" s="114"/>
      <c r="F3842" s="54"/>
      <c r="G3842" s="54"/>
      <c r="I3842" s="54"/>
      <c r="K3842" s="54"/>
      <c r="M3842" s="114"/>
      <c r="N3842" s="1"/>
      <c r="O3842" s="1"/>
      <c r="P3842" s="51"/>
    </row>
    <row r="3843">
      <c r="A3843" s="54"/>
      <c r="B3843" s="71"/>
      <c r="C3843" s="51"/>
      <c r="D3843" s="114"/>
      <c r="E3843" s="114"/>
      <c r="F3843" s="54"/>
      <c r="G3843" s="54"/>
      <c r="I3843" s="54"/>
      <c r="K3843" s="54"/>
      <c r="M3843" s="114"/>
      <c r="N3843" s="1"/>
      <c r="O3843" s="1"/>
      <c r="P3843" s="51"/>
    </row>
    <row r="3844">
      <c r="A3844" s="54"/>
      <c r="B3844" s="71"/>
      <c r="C3844" s="51"/>
      <c r="D3844" s="114"/>
      <c r="E3844" s="114"/>
      <c r="F3844" s="54"/>
      <c r="G3844" s="54"/>
      <c r="I3844" s="54"/>
      <c r="K3844" s="54"/>
      <c r="M3844" s="114"/>
      <c r="N3844" s="1"/>
      <c r="O3844" s="1"/>
      <c r="P3844" s="51"/>
    </row>
    <row r="3845">
      <c r="A3845" s="54"/>
      <c r="B3845" s="71"/>
      <c r="C3845" s="51"/>
      <c r="D3845" s="114"/>
      <c r="E3845" s="114"/>
      <c r="F3845" s="54"/>
      <c r="G3845" s="54"/>
      <c r="I3845" s="54"/>
      <c r="K3845" s="54"/>
      <c r="M3845" s="114"/>
      <c r="N3845" s="1"/>
      <c r="O3845" s="1"/>
      <c r="P3845" s="51"/>
    </row>
    <row r="3846">
      <c r="A3846" s="54"/>
      <c r="B3846" s="71"/>
      <c r="C3846" s="51"/>
      <c r="D3846" s="114"/>
      <c r="E3846" s="114"/>
      <c r="F3846" s="54"/>
      <c r="G3846" s="54"/>
      <c r="I3846" s="54"/>
      <c r="K3846" s="54"/>
      <c r="M3846" s="114"/>
      <c r="N3846" s="1"/>
      <c r="O3846" s="1"/>
      <c r="P3846" s="51"/>
    </row>
    <row r="3847">
      <c r="A3847" s="54"/>
      <c r="B3847" s="71"/>
      <c r="C3847" s="51"/>
      <c r="D3847" s="114"/>
      <c r="E3847" s="114"/>
      <c r="F3847" s="54"/>
      <c r="G3847" s="54"/>
      <c r="I3847" s="54"/>
      <c r="K3847" s="54"/>
      <c r="M3847" s="114"/>
      <c r="N3847" s="1"/>
      <c r="O3847" s="1"/>
      <c r="P3847" s="51"/>
    </row>
    <row r="3848">
      <c r="A3848" s="54"/>
      <c r="B3848" s="71"/>
      <c r="C3848" s="51"/>
      <c r="D3848" s="114"/>
      <c r="E3848" s="114"/>
      <c r="F3848" s="54"/>
      <c r="G3848" s="54"/>
      <c r="I3848" s="54"/>
      <c r="K3848" s="54"/>
      <c r="M3848" s="114"/>
      <c r="N3848" s="1"/>
      <c r="O3848" s="1"/>
      <c r="P3848" s="51"/>
    </row>
    <row r="3849">
      <c r="A3849" s="54"/>
      <c r="B3849" s="71"/>
      <c r="C3849" s="51"/>
      <c r="D3849" s="114"/>
      <c r="E3849" s="114"/>
      <c r="F3849" s="54"/>
      <c r="G3849" s="54"/>
      <c r="I3849" s="54"/>
      <c r="K3849" s="54"/>
      <c r="M3849" s="114"/>
      <c r="N3849" s="1"/>
      <c r="O3849" s="1"/>
      <c r="P3849" s="51"/>
    </row>
    <row r="3850">
      <c r="A3850" s="54"/>
      <c r="B3850" s="71"/>
      <c r="C3850" s="51"/>
      <c r="D3850" s="114"/>
      <c r="E3850" s="114"/>
      <c r="F3850" s="54"/>
      <c r="G3850" s="54"/>
      <c r="I3850" s="54"/>
      <c r="K3850" s="54"/>
      <c r="M3850" s="114"/>
      <c r="N3850" s="1"/>
      <c r="O3850" s="1"/>
      <c r="P3850" s="51"/>
    </row>
    <row r="3851">
      <c r="A3851" s="54"/>
      <c r="B3851" s="71"/>
      <c r="C3851" s="51"/>
      <c r="D3851" s="114"/>
      <c r="E3851" s="114"/>
      <c r="F3851" s="54"/>
      <c r="G3851" s="54"/>
      <c r="I3851" s="54"/>
      <c r="K3851" s="54"/>
      <c r="M3851" s="114"/>
      <c r="N3851" s="1"/>
      <c r="O3851" s="1"/>
      <c r="P3851" s="51"/>
    </row>
    <row r="3852">
      <c r="A3852" s="54"/>
      <c r="B3852" s="71"/>
      <c r="C3852" s="51"/>
      <c r="D3852" s="114"/>
      <c r="E3852" s="114"/>
      <c r="F3852" s="54"/>
      <c r="G3852" s="54"/>
      <c r="I3852" s="54"/>
      <c r="K3852" s="54"/>
      <c r="M3852" s="114"/>
      <c r="N3852" s="1"/>
      <c r="O3852" s="1"/>
      <c r="P3852" s="51"/>
    </row>
    <row r="3853">
      <c r="A3853" s="54"/>
      <c r="B3853" s="71"/>
      <c r="C3853" s="51"/>
      <c r="D3853" s="114"/>
      <c r="E3853" s="114"/>
      <c r="F3853" s="54"/>
      <c r="G3853" s="54"/>
      <c r="I3853" s="54"/>
      <c r="K3853" s="54"/>
      <c r="M3853" s="114"/>
      <c r="N3853" s="1"/>
      <c r="O3853" s="1"/>
      <c r="P3853" s="51"/>
    </row>
    <row r="3854">
      <c r="A3854" s="54"/>
      <c r="B3854" s="71"/>
      <c r="C3854" s="51"/>
      <c r="D3854" s="114"/>
      <c r="E3854" s="114"/>
      <c r="F3854" s="54"/>
      <c r="G3854" s="54"/>
      <c r="I3854" s="54"/>
      <c r="K3854" s="54"/>
      <c r="M3854" s="114"/>
      <c r="N3854" s="1"/>
      <c r="O3854" s="1"/>
      <c r="P3854" s="51"/>
    </row>
    <row r="3855">
      <c r="A3855" s="54"/>
      <c r="B3855" s="71"/>
      <c r="C3855" s="51"/>
      <c r="D3855" s="114"/>
      <c r="E3855" s="114"/>
      <c r="F3855" s="54"/>
      <c r="G3855" s="54"/>
      <c r="I3855" s="54"/>
      <c r="K3855" s="54"/>
      <c r="M3855" s="114"/>
      <c r="N3855" s="1"/>
      <c r="O3855" s="1"/>
      <c r="P3855" s="51"/>
    </row>
    <row r="3856">
      <c r="A3856" s="54"/>
      <c r="B3856" s="71"/>
      <c r="C3856" s="51"/>
      <c r="D3856" s="114"/>
      <c r="E3856" s="114"/>
      <c r="F3856" s="54"/>
      <c r="G3856" s="54"/>
      <c r="I3856" s="54"/>
      <c r="K3856" s="54"/>
      <c r="M3856" s="114"/>
      <c r="N3856" s="1"/>
      <c r="O3856" s="1"/>
      <c r="P3856" s="51"/>
    </row>
    <row r="3857">
      <c r="A3857" s="54"/>
      <c r="B3857" s="71"/>
      <c r="C3857" s="51"/>
      <c r="D3857" s="114"/>
      <c r="E3857" s="114"/>
      <c r="F3857" s="54"/>
      <c r="G3857" s="54"/>
      <c r="I3857" s="54"/>
      <c r="K3857" s="54"/>
      <c r="M3857" s="114"/>
      <c r="N3857" s="1"/>
      <c r="O3857" s="1"/>
      <c r="P3857" s="51"/>
    </row>
    <row r="3858">
      <c r="A3858" s="54"/>
      <c r="B3858" s="71"/>
      <c r="C3858" s="51"/>
      <c r="D3858" s="114"/>
      <c r="E3858" s="114"/>
      <c r="F3858" s="54"/>
      <c r="G3858" s="54"/>
      <c r="I3858" s="54"/>
      <c r="K3858" s="54"/>
      <c r="M3858" s="114"/>
      <c r="N3858" s="1"/>
      <c r="O3858" s="1"/>
      <c r="P3858" s="51"/>
    </row>
    <row r="3859">
      <c r="A3859" s="54"/>
      <c r="B3859" s="71"/>
      <c r="C3859" s="51"/>
      <c r="D3859" s="114"/>
      <c r="E3859" s="114"/>
      <c r="F3859" s="54"/>
      <c r="G3859" s="54"/>
      <c r="I3859" s="54"/>
      <c r="K3859" s="54"/>
      <c r="M3859" s="114"/>
      <c r="N3859" s="1"/>
      <c r="O3859" s="1"/>
      <c r="P3859" s="51"/>
    </row>
    <row r="3860">
      <c r="A3860" s="54"/>
      <c r="B3860" s="71"/>
      <c r="C3860" s="51"/>
      <c r="D3860" s="114"/>
      <c r="E3860" s="114"/>
      <c r="F3860" s="54"/>
      <c r="G3860" s="54"/>
      <c r="I3860" s="54"/>
      <c r="K3860" s="54"/>
      <c r="M3860" s="114"/>
      <c r="N3860" s="1"/>
      <c r="O3860" s="1"/>
      <c r="P3860" s="51"/>
    </row>
    <row r="3861">
      <c r="A3861" s="54"/>
      <c r="B3861" s="71"/>
      <c r="C3861" s="51"/>
      <c r="D3861" s="114"/>
      <c r="E3861" s="114"/>
      <c r="F3861" s="54"/>
      <c r="G3861" s="54"/>
      <c r="I3861" s="54"/>
      <c r="K3861" s="54"/>
      <c r="M3861" s="114"/>
      <c r="N3861" s="1"/>
      <c r="O3861" s="1"/>
      <c r="P3861" s="51"/>
    </row>
    <row r="3862">
      <c r="A3862" s="54"/>
      <c r="B3862" s="71"/>
      <c r="C3862" s="51"/>
      <c r="D3862" s="114"/>
      <c r="E3862" s="114"/>
      <c r="F3862" s="54"/>
      <c r="G3862" s="54"/>
      <c r="I3862" s="54"/>
      <c r="K3862" s="54"/>
      <c r="M3862" s="114"/>
      <c r="N3862" s="1"/>
      <c r="O3862" s="1"/>
      <c r="P3862" s="51"/>
    </row>
    <row r="3863">
      <c r="A3863" s="54"/>
      <c r="B3863" s="71"/>
      <c r="C3863" s="51"/>
      <c r="D3863" s="114"/>
      <c r="E3863" s="114"/>
      <c r="F3863" s="54"/>
      <c r="G3863" s="54"/>
      <c r="I3863" s="54"/>
      <c r="K3863" s="54"/>
      <c r="M3863" s="114"/>
      <c r="N3863" s="1"/>
      <c r="O3863" s="1"/>
      <c r="P3863" s="51"/>
    </row>
    <row r="3864">
      <c r="A3864" s="54"/>
      <c r="B3864" s="71"/>
      <c r="C3864" s="51"/>
      <c r="D3864" s="114"/>
      <c r="E3864" s="114"/>
      <c r="F3864" s="54"/>
      <c r="G3864" s="54"/>
      <c r="I3864" s="54"/>
      <c r="K3864" s="54"/>
      <c r="M3864" s="114"/>
      <c r="N3864" s="1"/>
      <c r="O3864" s="1"/>
      <c r="P3864" s="51"/>
    </row>
    <row r="3865">
      <c r="A3865" s="54"/>
      <c r="B3865" s="71"/>
      <c r="C3865" s="51"/>
      <c r="D3865" s="114"/>
      <c r="E3865" s="114"/>
      <c r="F3865" s="54"/>
      <c r="G3865" s="54"/>
      <c r="I3865" s="54"/>
      <c r="K3865" s="54"/>
      <c r="M3865" s="114"/>
      <c r="N3865" s="1"/>
      <c r="O3865" s="1"/>
      <c r="P3865" s="51"/>
    </row>
    <row r="3866">
      <c r="A3866" s="54"/>
      <c r="B3866" s="71"/>
      <c r="C3866" s="51"/>
      <c r="D3866" s="114"/>
      <c r="E3866" s="114"/>
      <c r="F3866" s="54"/>
      <c r="G3866" s="54"/>
      <c r="I3866" s="54"/>
      <c r="K3866" s="54"/>
      <c r="M3866" s="114"/>
      <c r="N3866" s="1"/>
      <c r="O3866" s="1"/>
      <c r="P3866" s="51"/>
    </row>
    <row r="3867">
      <c r="A3867" s="54"/>
      <c r="B3867" s="71"/>
      <c r="C3867" s="51"/>
      <c r="D3867" s="114"/>
      <c r="E3867" s="114"/>
      <c r="F3867" s="54"/>
      <c r="G3867" s="54"/>
      <c r="I3867" s="54"/>
      <c r="K3867" s="54"/>
      <c r="M3867" s="114"/>
      <c r="N3867" s="1"/>
      <c r="O3867" s="1"/>
      <c r="P3867" s="51"/>
    </row>
    <row r="3868">
      <c r="A3868" s="54"/>
      <c r="B3868" s="71"/>
      <c r="C3868" s="51"/>
      <c r="D3868" s="114"/>
      <c r="E3868" s="114"/>
      <c r="F3868" s="54"/>
      <c r="G3868" s="54"/>
      <c r="I3868" s="54"/>
      <c r="K3868" s="54"/>
      <c r="M3868" s="114"/>
      <c r="N3868" s="1"/>
      <c r="O3868" s="1"/>
      <c r="P3868" s="51"/>
    </row>
    <row r="3869">
      <c r="A3869" s="54"/>
      <c r="B3869" s="71"/>
      <c r="C3869" s="51"/>
      <c r="D3869" s="114"/>
      <c r="E3869" s="114"/>
      <c r="F3869" s="54"/>
      <c r="G3869" s="54"/>
      <c r="I3869" s="54"/>
      <c r="K3869" s="54"/>
      <c r="M3869" s="114"/>
      <c r="N3869" s="1"/>
      <c r="O3869" s="1"/>
      <c r="P3869" s="51"/>
    </row>
    <row r="3870">
      <c r="A3870" s="54"/>
      <c r="B3870" s="71"/>
      <c r="C3870" s="51"/>
      <c r="D3870" s="114"/>
      <c r="E3870" s="114"/>
      <c r="F3870" s="54"/>
      <c r="G3870" s="54"/>
      <c r="I3870" s="54"/>
      <c r="K3870" s="54"/>
      <c r="M3870" s="114"/>
      <c r="N3870" s="1"/>
      <c r="O3870" s="1"/>
      <c r="P3870" s="51"/>
    </row>
    <row r="3871">
      <c r="A3871" s="54"/>
      <c r="B3871" s="71"/>
      <c r="C3871" s="51"/>
      <c r="D3871" s="114"/>
      <c r="E3871" s="114"/>
      <c r="F3871" s="54"/>
      <c r="G3871" s="54"/>
      <c r="I3871" s="54"/>
      <c r="K3871" s="54"/>
      <c r="M3871" s="114"/>
      <c r="N3871" s="1"/>
      <c r="O3871" s="1"/>
      <c r="P3871" s="51"/>
    </row>
    <row r="3872">
      <c r="A3872" s="54"/>
      <c r="B3872" s="71"/>
      <c r="C3872" s="51"/>
      <c r="D3872" s="114"/>
      <c r="E3872" s="114"/>
      <c r="F3872" s="54"/>
      <c r="G3872" s="54"/>
      <c r="I3872" s="54"/>
      <c r="K3872" s="54"/>
      <c r="M3872" s="114"/>
      <c r="N3872" s="1"/>
      <c r="O3872" s="1"/>
      <c r="P3872" s="51"/>
    </row>
    <row r="3873">
      <c r="A3873" s="54"/>
      <c r="B3873" s="71"/>
      <c r="C3873" s="51"/>
      <c r="D3873" s="114"/>
      <c r="E3873" s="114"/>
      <c r="F3873" s="54"/>
      <c r="G3873" s="54"/>
      <c r="I3873" s="54"/>
      <c r="K3873" s="54"/>
      <c r="M3873" s="114"/>
      <c r="N3873" s="1"/>
      <c r="O3873" s="1"/>
      <c r="P3873" s="51"/>
    </row>
    <row r="3874">
      <c r="A3874" s="54"/>
      <c r="B3874" s="71"/>
      <c r="C3874" s="51"/>
      <c r="D3874" s="114"/>
      <c r="E3874" s="114"/>
      <c r="F3874" s="54"/>
      <c r="G3874" s="54"/>
      <c r="I3874" s="54"/>
      <c r="K3874" s="54"/>
      <c r="M3874" s="114"/>
      <c r="N3874" s="1"/>
      <c r="O3874" s="1"/>
      <c r="P3874" s="51"/>
    </row>
    <row r="3875">
      <c r="A3875" s="54"/>
      <c r="B3875" s="71"/>
      <c r="C3875" s="51"/>
      <c r="D3875" s="114"/>
      <c r="E3875" s="114"/>
      <c r="F3875" s="54"/>
      <c r="G3875" s="54"/>
      <c r="I3875" s="54"/>
      <c r="K3875" s="54"/>
      <c r="M3875" s="114"/>
      <c r="N3875" s="1"/>
      <c r="O3875" s="1"/>
      <c r="P3875" s="51"/>
    </row>
    <row r="3876">
      <c r="A3876" s="54"/>
      <c r="B3876" s="71"/>
      <c r="C3876" s="51"/>
      <c r="D3876" s="114"/>
      <c r="E3876" s="114"/>
      <c r="F3876" s="54"/>
      <c r="G3876" s="54"/>
      <c r="I3876" s="54"/>
      <c r="K3876" s="54"/>
      <c r="M3876" s="114"/>
      <c r="N3876" s="1"/>
      <c r="O3876" s="1"/>
      <c r="P3876" s="51"/>
    </row>
    <row r="3877">
      <c r="A3877" s="54"/>
      <c r="B3877" s="71"/>
      <c r="C3877" s="51"/>
      <c r="D3877" s="114"/>
      <c r="E3877" s="114"/>
      <c r="F3877" s="54"/>
      <c r="G3877" s="54"/>
      <c r="I3877" s="54"/>
      <c r="K3877" s="54"/>
      <c r="M3877" s="114"/>
      <c r="N3877" s="1"/>
      <c r="O3877" s="1"/>
      <c r="P3877" s="51"/>
    </row>
    <row r="3878">
      <c r="A3878" s="54"/>
      <c r="B3878" s="71"/>
      <c r="C3878" s="51"/>
      <c r="D3878" s="114"/>
      <c r="E3878" s="114"/>
      <c r="F3878" s="54"/>
      <c r="G3878" s="54"/>
      <c r="I3878" s="54"/>
      <c r="K3878" s="54"/>
      <c r="M3878" s="114"/>
      <c r="N3878" s="1"/>
      <c r="O3878" s="1"/>
      <c r="P3878" s="51"/>
    </row>
    <row r="3879">
      <c r="A3879" s="54"/>
      <c r="B3879" s="71"/>
      <c r="C3879" s="51"/>
      <c r="D3879" s="114"/>
      <c r="E3879" s="114"/>
      <c r="F3879" s="54"/>
      <c r="G3879" s="54"/>
      <c r="I3879" s="54"/>
      <c r="K3879" s="54"/>
      <c r="M3879" s="114"/>
      <c r="N3879" s="1"/>
      <c r="O3879" s="1"/>
      <c r="P3879" s="51"/>
    </row>
    <row r="3880">
      <c r="A3880" s="54"/>
      <c r="B3880" s="71"/>
      <c r="C3880" s="51"/>
      <c r="D3880" s="114"/>
      <c r="E3880" s="114"/>
      <c r="F3880" s="54"/>
      <c r="G3880" s="54"/>
      <c r="I3880" s="54"/>
      <c r="K3880" s="54"/>
      <c r="M3880" s="114"/>
      <c r="N3880" s="1"/>
      <c r="O3880" s="1"/>
      <c r="P3880" s="51"/>
    </row>
    <row r="3881">
      <c r="A3881" s="54"/>
      <c r="B3881" s="71"/>
      <c r="C3881" s="51"/>
      <c r="D3881" s="114"/>
      <c r="E3881" s="114"/>
      <c r="F3881" s="54"/>
      <c r="G3881" s="54"/>
      <c r="I3881" s="54"/>
      <c r="K3881" s="54"/>
      <c r="M3881" s="114"/>
      <c r="N3881" s="1"/>
      <c r="O3881" s="1"/>
      <c r="P3881" s="51"/>
    </row>
    <row r="3882">
      <c r="A3882" s="54"/>
      <c r="B3882" s="71"/>
      <c r="C3882" s="51"/>
      <c r="D3882" s="114"/>
      <c r="E3882" s="114"/>
      <c r="F3882" s="54"/>
      <c r="G3882" s="54"/>
      <c r="I3882" s="54"/>
      <c r="K3882" s="54"/>
      <c r="M3882" s="114"/>
      <c r="N3882" s="1"/>
      <c r="O3882" s="1"/>
      <c r="P3882" s="51"/>
    </row>
    <row r="3883">
      <c r="A3883" s="54"/>
      <c r="B3883" s="71"/>
      <c r="C3883" s="51"/>
      <c r="D3883" s="114"/>
      <c r="E3883" s="114"/>
      <c r="F3883" s="54"/>
      <c r="G3883" s="54"/>
      <c r="I3883" s="54"/>
      <c r="K3883" s="54"/>
      <c r="M3883" s="114"/>
      <c r="N3883" s="1"/>
      <c r="O3883" s="1"/>
      <c r="P3883" s="51"/>
    </row>
    <row r="3884">
      <c r="A3884" s="54"/>
      <c r="B3884" s="71"/>
      <c r="C3884" s="51"/>
      <c r="D3884" s="114"/>
      <c r="E3884" s="114"/>
      <c r="F3884" s="54"/>
      <c r="G3884" s="54"/>
      <c r="I3884" s="54"/>
      <c r="K3884" s="54"/>
      <c r="M3884" s="114"/>
      <c r="N3884" s="1"/>
      <c r="O3884" s="1"/>
      <c r="P3884" s="51"/>
    </row>
    <row r="3885">
      <c r="A3885" s="54"/>
      <c r="B3885" s="71"/>
      <c r="C3885" s="51"/>
      <c r="D3885" s="114"/>
      <c r="E3885" s="114"/>
      <c r="F3885" s="54"/>
      <c r="G3885" s="54"/>
      <c r="I3885" s="54"/>
      <c r="K3885" s="54"/>
      <c r="M3885" s="114"/>
      <c r="N3885" s="1"/>
      <c r="O3885" s="1"/>
      <c r="P3885" s="51"/>
    </row>
    <row r="3886">
      <c r="A3886" s="54"/>
      <c r="B3886" s="71"/>
      <c r="C3886" s="51"/>
      <c r="D3886" s="114"/>
      <c r="E3886" s="114"/>
      <c r="F3886" s="54"/>
      <c r="G3886" s="54"/>
      <c r="I3886" s="54"/>
      <c r="K3886" s="54"/>
      <c r="M3886" s="114"/>
      <c r="N3886" s="1"/>
      <c r="O3886" s="1"/>
      <c r="P3886" s="51"/>
    </row>
    <row r="3887">
      <c r="A3887" s="54"/>
      <c r="B3887" s="71"/>
      <c r="C3887" s="51"/>
      <c r="D3887" s="114"/>
      <c r="E3887" s="114"/>
      <c r="F3887" s="54"/>
      <c r="G3887" s="54"/>
      <c r="I3887" s="54"/>
      <c r="K3887" s="54"/>
      <c r="M3887" s="114"/>
      <c r="N3887" s="1"/>
      <c r="O3887" s="1"/>
      <c r="P3887" s="51"/>
    </row>
    <row r="3888">
      <c r="A3888" s="54"/>
      <c r="B3888" s="71"/>
      <c r="C3888" s="51"/>
      <c r="D3888" s="114"/>
      <c r="E3888" s="114"/>
      <c r="F3888" s="54"/>
      <c r="G3888" s="54"/>
      <c r="I3888" s="54"/>
      <c r="K3888" s="54"/>
      <c r="M3888" s="114"/>
      <c r="N3888" s="1"/>
      <c r="O3888" s="1"/>
      <c r="P3888" s="51"/>
    </row>
    <row r="3889">
      <c r="A3889" s="54"/>
      <c r="B3889" s="71"/>
      <c r="C3889" s="51"/>
      <c r="D3889" s="114"/>
      <c r="E3889" s="114"/>
      <c r="F3889" s="54"/>
      <c r="G3889" s="54"/>
      <c r="I3889" s="54"/>
      <c r="K3889" s="54"/>
      <c r="M3889" s="114"/>
      <c r="N3889" s="1"/>
      <c r="O3889" s="1"/>
      <c r="P3889" s="51"/>
    </row>
    <row r="3890">
      <c r="A3890" s="54"/>
      <c r="B3890" s="71"/>
      <c r="C3890" s="51"/>
      <c r="D3890" s="114"/>
      <c r="E3890" s="114"/>
      <c r="F3890" s="54"/>
      <c r="G3890" s="54"/>
      <c r="I3890" s="54"/>
      <c r="K3890" s="54"/>
      <c r="M3890" s="114"/>
      <c r="N3890" s="1"/>
      <c r="O3890" s="1"/>
      <c r="P3890" s="51"/>
    </row>
    <row r="3891">
      <c r="A3891" s="54"/>
      <c r="B3891" s="71"/>
      <c r="C3891" s="51"/>
      <c r="D3891" s="114"/>
      <c r="E3891" s="114"/>
      <c r="F3891" s="54"/>
      <c r="G3891" s="54"/>
      <c r="I3891" s="54"/>
      <c r="K3891" s="54"/>
      <c r="M3891" s="114"/>
      <c r="N3891" s="1"/>
      <c r="O3891" s="1"/>
      <c r="P3891" s="51"/>
    </row>
    <row r="3892">
      <c r="A3892" s="54"/>
      <c r="B3892" s="71"/>
      <c r="C3892" s="51"/>
      <c r="D3892" s="114"/>
      <c r="E3892" s="114"/>
      <c r="F3892" s="54"/>
      <c r="G3892" s="54"/>
      <c r="I3892" s="54"/>
      <c r="K3892" s="54"/>
      <c r="M3892" s="114"/>
      <c r="N3892" s="1"/>
      <c r="O3892" s="1"/>
      <c r="P3892" s="51"/>
    </row>
    <row r="3893">
      <c r="A3893" s="54"/>
      <c r="B3893" s="71"/>
      <c r="C3893" s="51"/>
      <c r="D3893" s="114"/>
      <c r="E3893" s="114"/>
      <c r="F3893" s="54"/>
      <c r="G3893" s="54"/>
      <c r="I3893" s="54"/>
      <c r="K3893" s="54"/>
      <c r="M3893" s="114"/>
      <c r="N3893" s="1"/>
      <c r="O3893" s="1"/>
      <c r="P3893" s="51"/>
    </row>
    <row r="3894">
      <c r="A3894" s="54"/>
      <c r="B3894" s="71"/>
      <c r="C3894" s="51"/>
      <c r="D3894" s="114"/>
      <c r="E3894" s="114"/>
      <c r="F3894" s="54"/>
      <c r="G3894" s="54"/>
      <c r="I3894" s="54"/>
      <c r="K3894" s="54"/>
      <c r="M3894" s="114"/>
      <c r="N3894" s="1"/>
      <c r="O3894" s="1"/>
      <c r="P3894" s="51"/>
    </row>
    <row r="3895">
      <c r="A3895" s="54"/>
      <c r="B3895" s="71"/>
      <c r="C3895" s="51"/>
      <c r="D3895" s="114"/>
      <c r="E3895" s="114"/>
      <c r="F3895" s="54"/>
      <c r="G3895" s="54"/>
      <c r="I3895" s="54"/>
      <c r="K3895" s="54"/>
      <c r="M3895" s="114"/>
      <c r="N3895" s="1"/>
      <c r="O3895" s="1"/>
      <c r="P3895" s="51"/>
    </row>
    <row r="3896">
      <c r="A3896" s="54"/>
      <c r="B3896" s="71"/>
      <c r="C3896" s="51"/>
      <c r="D3896" s="114"/>
      <c r="E3896" s="114"/>
      <c r="F3896" s="54"/>
      <c r="G3896" s="54"/>
      <c r="I3896" s="54"/>
      <c r="K3896" s="54"/>
      <c r="M3896" s="114"/>
      <c r="N3896" s="1"/>
      <c r="O3896" s="1"/>
      <c r="P3896" s="51"/>
    </row>
    <row r="3897">
      <c r="A3897" s="54"/>
      <c r="B3897" s="71"/>
      <c r="C3897" s="51"/>
      <c r="D3897" s="114"/>
      <c r="E3897" s="114"/>
      <c r="F3897" s="54"/>
      <c r="G3897" s="54"/>
      <c r="I3897" s="54"/>
      <c r="K3897" s="54"/>
      <c r="M3897" s="114"/>
      <c r="N3897" s="1"/>
      <c r="O3897" s="1"/>
      <c r="P3897" s="51"/>
    </row>
    <row r="3898">
      <c r="A3898" s="54"/>
      <c r="B3898" s="71"/>
      <c r="C3898" s="51"/>
      <c r="D3898" s="114"/>
      <c r="E3898" s="114"/>
      <c r="F3898" s="54"/>
      <c r="G3898" s="54"/>
      <c r="I3898" s="54"/>
      <c r="K3898" s="54"/>
      <c r="M3898" s="114"/>
      <c r="N3898" s="1"/>
      <c r="O3898" s="1"/>
      <c r="P3898" s="51"/>
    </row>
    <row r="3899">
      <c r="A3899" s="54"/>
      <c r="B3899" s="71"/>
      <c r="C3899" s="51"/>
      <c r="D3899" s="114"/>
      <c r="E3899" s="114"/>
      <c r="F3899" s="54"/>
      <c r="G3899" s="54"/>
      <c r="I3899" s="54"/>
      <c r="K3899" s="54"/>
      <c r="M3899" s="114"/>
      <c r="N3899" s="1"/>
      <c r="O3899" s="1"/>
      <c r="P3899" s="51"/>
    </row>
    <row r="3900">
      <c r="A3900" s="54"/>
      <c r="B3900" s="71"/>
      <c r="C3900" s="51"/>
      <c r="D3900" s="114"/>
      <c r="E3900" s="114"/>
      <c r="F3900" s="54"/>
      <c r="G3900" s="54"/>
      <c r="I3900" s="54"/>
      <c r="K3900" s="54"/>
      <c r="M3900" s="114"/>
      <c r="N3900" s="1"/>
      <c r="O3900" s="1"/>
      <c r="P3900" s="51"/>
    </row>
    <row r="3901">
      <c r="A3901" s="54"/>
      <c r="B3901" s="71"/>
      <c r="C3901" s="51"/>
      <c r="D3901" s="114"/>
      <c r="E3901" s="114"/>
      <c r="F3901" s="54"/>
      <c r="G3901" s="54"/>
      <c r="I3901" s="54"/>
      <c r="K3901" s="54"/>
      <c r="M3901" s="114"/>
      <c r="N3901" s="1"/>
      <c r="O3901" s="1"/>
      <c r="P3901" s="51"/>
    </row>
    <row r="3902">
      <c r="A3902" s="54"/>
      <c r="B3902" s="71"/>
      <c r="C3902" s="51"/>
      <c r="D3902" s="114"/>
      <c r="E3902" s="114"/>
      <c r="F3902" s="54"/>
      <c r="G3902" s="54"/>
      <c r="I3902" s="54"/>
      <c r="K3902" s="54"/>
      <c r="M3902" s="114"/>
      <c r="N3902" s="1"/>
      <c r="O3902" s="1"/>
      <c r="P3902" s="51"/>
    </row>
    <row r="3903">
      <c r="A3903" s="54"/>
      <c r="B3903" s="71"/>
      <c r="C3903" s="51"/>
      <c r="D3903" s="114"/>
      <c r="E3903" s="114"/>
      <c r="F3903" s="54"/>
      <c r="G3903" s="54"/>
      <c r="I3903" s="54"/>
      <c r="K3903" s="54"/>
      <c r="M3903" s="114"/>
      <c r="N3903" s="1"/>
      <c r="O3903" s="1"/>
      <c r="P3903" s="51"/>
    </row>
    <row r="3904">
      <c r="A3904" s="54"/>
      <c r="B3904" s="71"/>
      <c r="C3904" s="51"/>
      <c r="D3904" s="114"/>
      <c r="E3904" s="114"/>
      <c r="F3904" s="54"/>
      <c r="G3904" s="54"/>
      <c r="I3904" s="54"/>
      <c r="K3904" s="54"/>
      <c r="M3904" s="114"/>
      <c r="N3904" s="1"/>
      <c r="O3904" s="1"/>
      <c r="P3904" s="51"/>
    </row>
    <row r="3905">
      <c r="A3905" s="54"/>
      <c r="B3905" s="71"/>
      <c r="C3905" s="51"/>
      <c r="D3905" s="114"/>
      <c r="E3905" s="114"/>
      <c r="F3905" s="54"/>
      <c r="G3905" s="54"/>
      <c r="I3905" s="54"/>
      <c r="K3905" s="54"/>
      <c r="M3905" s="114"/>
      <c r="N3905" s="1"/>
      <c r="O3905" s="1"/>
      <c r="P3905" s="51"/>
    </row>
    <row r="3906">
      <c r="A3906" s="54"/>
      <c r="B3906" s="71"/>
      <c r="C3906" s="51"/>
      <c r="D3906" s="114"/>
      <c r="E3906" s="114"/>
      <c r="F3906" s="54"/>
      <c r="G3906" s="54"/>
      <c r="I3906" s="54"/>
      <c r="K3906" s="54"/>
      <c r="M3906" s="114"/>
      <c r="N3906" s="1"/>
      <c r="O3906" s="1"/>
      <c r="P3906" s="51"/>
    </row>
    <row r="3907">
      <c r="A3907" s="54"/>
      <c r="B3907" s="71"/>
      <c r="C3907" s="51"/>
      <c r="D3907" s="114"/>
      <c r="E3907" s="114"/>
      <c r="F3907" s="54"/>
      <c r="G3907" s="54"/>
      <c r="I3907" s="54"/>
      <c r="K3907" s="54"/>
      <c r="M3907" s="114"/>
      <c r="N3907" s="1"/>
      <c r="O3907" s="1"/>
      <c r="P3907" s="51"/>
    </row>
    <row r="3908">
      <c r="A3908" s="54"/>
      <c r="B3908" s="71"/>
      <c r="C3908" s="51"/>
      <c r="D3908" s="114"/>
      <c r="E3908" s="114"/>
      <c r="F3908" s="54"/>
      <c r="G3908" s="54"/>
      <c r="I3908" s="54"/>
      <c r="K3908" s="54"/>
      <c r="M3908" s="114"/>
      <c r="N3908" s="1"/>
      <c r="O3908" s="1"/>
      <c r="P3908" s="51"/>
    </row>
    <row r="3909">
      <c r="A3909" s="54"/>
      <c r="B3909" s="71"/>
      <c r="C3909" s="51"/>
      <c r="D3909" s="114"/>
      <c r="E3909" s="114"/>
      <c r="F3909" s="54"/>
      <c r="G3909" s="54"/>
      <c r="I3909" s="54"/>
      <c r="K3909" s="54"/>
      <c r="M3909" s="114"/>
      <c r="N3909" s="1"/>
      <c r="O3909" s="1"/>
      <c r="P3909" s="51"/>
    </row>
    <row r="3910">
      <c r="A3910" s="54"/>
      <c r="B3910" s="71"/>
      <c r="C3910" s="51"/>
      <c r="D3910" s="114"/>
      <c r="E3910" s="114"/>
      <c r="F3910" s="54"/>
      <c r="G3910" s="54"/>
      <c r="I3910" s="54"/>
      <c r="K3910" s="54"/>
      <c r="M3910" s="114"/>
      <c r="N3910" s="1"/>
      <c r="O3910" s="1"/>
      <c r="P3910" s="51"/>
    </row>
    <row r="3911">
      <c r="A3911" s="54"/>
      <c r="B3911" s="71"/>
      <c r="C3911" s="51"/>
      <c r="D3911" s="114"/>
      <c r="E3911" s="114"/>
      <c r="F3911" s="54"/>
      <c r="G3911" s="54"/>
      <c r="I3911" s="54"/>
      <c r="K3911" s="54"/>
      <c r="M3911" s="114"/>
      <c r="N3911" s="1"/>
      <c r="O3911" s="1"/>
      <c r="P3911" s="51"/>
    </row>
    <row r="3912">
      <c r="A3912" s="54"/>
      <c r="B3912" s="71"/>
      <c r="C3912" s="51"/>
      <c r="D3912" s="114"/>
      <c r="E3912" s="114"/>
      <c r="F3912" s="54"/>
      <c r="G3912" s="54"/>
      <c r="I3912" s="54"/>
      <c r="K3912" s="54"/>
      <c r="M3912" s="114"/>
      <c r="N3912" s="1"/>
      <c r="O3912" s="1"/>
      <c r="P3912" s="51"/>
    </row>
    <row r="3913">
      <c r="A3913" s="54"/>
      <c r="B3913" s="71"/>
      <c r="C3913" s="51"/>
      <c r="D3913" s="114"/>
      <c r="E3913" s="114"/>
      <c r="F3913" s="54"/>
      <c r="G3913" s="54"/>
      <c r="I3913" s="54"/>
      <c r="K3913" s="54"/>
      <c r="M3913" s="114"/>
      <c r="N3913" s="1"/>
      <c r="O3913" s="1"/>
      <c r="P3913" s="51"/>
    </row>
    <row r="3914">
      <c r="A3914" s="54"/>
      <c r="B3914" s="71"/>
      <c r="C3914" s="51"/>
      <c r="D3914" s="114"/>
      <c r="E3914" s="114"/>
      <c r="F3914" s="54"/>
      <c r="G3914" s="54"/>
      <c r="I3914" s="54"/>
      <c r="K3914" s="54"/>
      <c r="M3914" s="114"/>
      <c r="N3914" s="1"/>
      <c r="O3914" s="1"/>
      <c r="P3914" s="51"/>
    </row>
    <row r="3915">
      <c r="A3915" s="54"/>
      <c r="B3915" s="71"/>
      <c r="C3915" s="51"/>
      <c r="D3915" s="114"/>
      <c r="E3915" s="114"/>
      <c r="F3915" s="54"/>
      <c r="G3915" s="54"/>
      <c r="I3915" s="54"/>
      <c r="K3915" s="54"/>
      <c r="M3915" s="114"/>
      <c r="N3915" s="1"/>
      <c r="O3915" s="1"/>
      <c r="P3915" s="51"/>
    </row>
    <row r="3916">
      <c r="A3916" s="54"/>
      <c r="B3916" s="71"/>
      <c r="C3916" s="51"/>
      <c r="D3916" s="114"/>
      <c r="E3916" s="114"/>
      <c r="F3916" s="54"/>
      <c r="G3916" s="54"/>
      <c r="I3916" s="54"/>
      <c r="K3916" s="54"/>
      <c r="M3916" s="114"/>
      <c r="N3916" s="1"/>
      <c r="O3916" s="1"/>
      <c r="P3916" s="51"/>
    </row>
    <row r="3917">
      <c r="A3917" s="54"/>
      <c r="B3917" s="71"/>
      <c r="C3917" s="51"/>
      <c r="D3917" s="114"/>
      <c r="E3917" s="114"/>
      <c r="F3917" s="54"/>
      <c r="G3917" s="54"/>
      <c r="I3917" s="54"/>
      <c r="K3917" s="54"/>
      <c r="M3917" s="114"/>
      <c r="N3917" s="1"/>
      <c r="O3917" s="1"/>
      <c r="P3917" s="51"/>
    </row>
    <row r="3918">
      <c r="A3918" s="54"/>
      <c r="B3918" s="71"/>
      <c r="C3918" s="51"/>
      <c r="D3918" s="114"/>
      <c r="E3918" s="114"/>
      <c r="F3918" s="54"/>
      <c r="G3918" s="54"/>
      <c r="I3918" s="54"/>
      <c r="K3918" s="54"/>
      <c r="M3918" s="114"/>
      <c r="N3918" s="1"/>
      <c r="O3918" s="1"/>
      <c r="P3918" s="51"/>
    </row>
    <row r="3919">
      <c r="A3919" s="54"/>
      <c r="B3919" s="71"/>
      <c r="C3919" s="51"/>
      <c r="D3919" s="114"/>
      <c r="E3919" s="114"/>
      <c r="F3919" s="54"/>
      <c r="G3919" s="54"/>
      <c r="I3919" s="54"/>
      <c r="K3919" s="54"/>
      <c r="M3919" s="114"/>
      <c r="N3919" s="1"/>
      <c r="O3919" s="1"/>
      <c r="P3919" s="51"/>
    </row>
    <row r="3920">
      <c r="A3920" s="54"/>
      <c r="B3920" s="71"/>
      <c r="C3920" s="51"/>
      <c r="D3920" s="114"/>
      <c r="E3920" s="114"/>
      <c r="F3920" s="54"/>
      <c r="G3920" s="54"/>
      <c r="I3920" s="54"/>
      <c r="K3920" s="54"/>
      <c r="M3920" s="114"/>
      <c r="N3920" s="1"/>
      <c r="O3920" s="1"/>
      <c r="P3920" s="51"/>
    </row>
    <row r="3921">
      <c r="A3921" s="54"/>
      <c r="B3921" s="71"/>
      <c r="C3921" s="51"/>
      <c r="D3921" s="114"/>
      <c r="E3921" s="114"/>
      <c r="F3921" s="54"/>
      <c r="G3921" s="54"/>
      <c r="I3921" s="54"/>
      <c r="K3921" s="54"/>
      <c r="M3921" s="114"/>
      <c r="N3921" s="1"/>
      <c r="O3921" s="1"/>
      <c r="P3921" s="51"/>
    </row>
    <row r="3922">
      <c r="A3922" s="54"/>
      <c r="B3922" s="71"/>
      <c r="C3922" s="51"/>
      <c r="D3922" s="114"/>
      <c r="E3922" s="114"/>
      <c r="F3922" s="54"/>
      <c r="G3922" s="54"/>
      <c r="I3922" s="54"/>
      <c r="K3922" s="54"/>
      <c r="M3922" s="114"/>
      <c r="N3922" s="1"/>
      <c r="O3922" s="1"/>
      <c r="P3922" s="51"/>
    </row>
    <row r="3923">
      <c r="A3923" s="54"/>
      <c r="B3923" s="71"/>
      <c r="C3923" s="51"/>
      <c r="D3923" s="114"/>
      <c r="E3923" s="114"/>
      <c r="F3923" s="54"/>
      <c r="G3923" s="54"/>
      <c r="I3923" s="54"/>
      <c r="K3923" s="54"/>
      <c r="M3923" s="114"/>
      <c r="N3923" s="1"/>
      <c r="O3923" s="1"/>
      <c r="P3923" s="51"/>
    </row>
    <row r="3924">
      <c r="A3924" s="54"/>
      <c r="B3924" s="71"/>
      <c r="C3924" s="51"/>
      <c r="D3924" s="114"/>
      <c r="E3924" s="114"/>
      <c r="F3924" s="54"/>
      <c r="G3924" s="54"/>
      <c r="I3924" s="54"/>
      <c r="K3924" s="54"/>
      <c r="M3924" s="114"/>
      <c r="N3924" s="1"/>
      <c r="O3924" s="1"/>
      <c r="P3924" s="51"/>
    </row>
    <row r="3925">
      <c r="A3925" s="54"/>
      <c r="B3925" s="71"/>
      <c r="C3925" s="51"/>
      <c r="D3925" s="114"/>
      <c r="E3925" s="114"/>
      <c r="F3925" s="54"/>
      <c r="G3925" s="54"/>
      <c r="I3925" s="54"/>
      <c r="K3925" s="54"/>
      <c r="M3925" s="114"/>
      <c r="N3925" s="1"/>
      <c r="O3925" s="1"/>
      <c r="P3925" s="51"/>
    </row>
    <row r="3926">
      <c r="A3926" s="54"/>
      <c r="B3926" s="71"/>
      <c r="C3926" s="51"/>
      <c r="D3926" s="114"/>
      <c r="E3926" s="114"/>
      <c r="F3926" s="54"/>
      <c r="G3926" s="54"/>
      <c r="I3926" s="54"/>
      <c r="K3926" s="54"/>
      <c r="M3926" s="114"/>
      <c r="N3926" s="1"/>
      <c r="O3926" s="1"/>
      <c r="P3926" s="51"/>
    </row>
    <row r="3927">
      <c r="A3927" s="54"/>
      <c r="B3927" s="71"/>
      <c r="C3927" s="51"/>
      <c r="D3927" s="114"/>
      <c r="E3927" s="114"/>
      <c r="F3927" s="54"/>
      <c r="G3927" s="54"/>
      <c r="I3927" s="54"/>
      <c r="K3927" s="54"/>
      <c r="M3927" s="114"/>
      <c r="N3927" s="1"/>
      <c r="O3927" s="1"/>
      <c r="P3927" s="51"/>
    </row>
    <row r="3928">
      <c r="A3928" s="54"/>
      <c r="B3928" s="71"/>
      <c r="C3928" s="51"/>
      <c r="D3928" s="114"/>
      <c r="E3928" s="114"/>
      <c r="F3928" s="54"/>
      <c r="G3928" s="54"/>
      <c r="I3928" s="54"/>
      <c r="K3928" s="54"/>
      <c r="M3928" s="114"/>
      <c r="N3928" s="1"/>
      <c r="O3928" s="1"/>
      <c r="P3928" s="51"/>
    </row>
    <row r="3929">
      <c r="A3929" s="54"/>
      <c r="B3929" s="71"/>
      <c r="C3929" s="51"/>
      <c r="D3929" s="114"/>
      <c r="E3929" s="114"/>
      <c r="F3929" s="54"/>
      <c r="G3929" s="54"/>
      <c r="I3929" s="54"/>
      <c r="K3929" s="54"/>
      <c r="M3929" s="114"/>
      <c r="N3929" s="1"/>
      <c r="O3929" s="1"/>
      <c r="P3929" s="51"/>
    </row>
    <row r="3930">
      <c r="A3930" s="54"/>
      <c r="B3930" s="71"/>
      <c r="C3930" s="51"/>
      <c r="D3930" s="114"/>
      <c r="E3930" s="114"/>
      <c r="F3930" s="54"/>
      <c r="G3930" s="54"/>
      <c r="I3930" s="54"/>
      <c r="K3930" s="54"/>
      <c r="M3930" s="114"/>
      <c r="N3930" s="1"/>
      <c r="O3930" s="1"/>
      <c r="P3930" s="51"/>
    </row>
    <row r="3931">
      <c r="A3931" s="54"/>
      <c r="B3931" s="71"/>
      <c r="C3931" s="51"/>
      <c r="D3931" s="114"/>
      <c r="E3931" s="114"/>
      <c r="F3931" s="54"/>
      <c r="G3931" s="54"/>
      <c r="I3931" s="54"/>
      <c r="K3931" s="54"/>
      <c r="M3931" s="114"/>
      <c r="N3931" s="1"/>
      <c r="O3931" s="1"/>
      <c r="P3931" s="51"/>
    </row>
    <row r="3932">
      <c r="A3932" s="54"/>
      <c r="B3932" s="71"/>
      <c r="C3932" s="51"/>
      <c r="D3932" s="114"/>
      <c r="E3932" s="114"/>
      <c r="F3932" s="54"/>
      <c r="G3932" s="54"/>
      <c r="I3932" s="54"/>
      <c r="K3932" s="54"/>
      <c r="M3932" s="114"/>
      <c r="N3932" s="1"/>
      <c r="O3932" s="1"/>
      <c r="P3932" s="51"/>
    </row>
    <row r="3933">
      <c r="A3933" s="54"/>
      <c r="B3933" s="71"/>
      <c r="C3933" s="51"/>
      <c r="D3933" s="114"/>
      <c r="E3933" s="114"/>
      <c r="F3933" s="54"/>
      <c r="G3933" s="54"/>
      <c r="I3933" s="54"/>
      <c r="K3933" s="54"/>
      <c r="M3933" s="114"/>
      <c r="N3933" s="1"/>
      <c r="O3933" s="1"/>
      <c r="P3933" s="51"/>
    </row>
    <row r="3934">
      <c r="A3934" s="54"/>
      <c r="B3934" s="71"/>
      <c r="C3934" s="51"/>
      <c r="D3934" s="114"/>
      <c r="E3934" s="114"/>
      <c r="F3934" s="54"/>
      <c r="G3934" s="54"/>
      <c r="I3934" s="54"/>
      <c r="K3934" s="54"/>
      <c r="M3934" s="114"/>
      <c r="N3934" s="1"/>
      <c r="O3934" s="1"/>
      <c r="P3934" s="51"/>
    </row>
    <row r="3935">
      <c r="A3935" s="54"/>
      <c r="B3935" s="71"/>
      <c r="C3935" s="51"/>
      <c r="D3935" s="114"/>
      <c r="E3935" s="114"/>
      <c r="F3935" s="54"/>
      <c r="G3935" s="54"/>
      <c r="I3935" s="54"/>
      <c r="K3935" s="54"/>
      <c r="M3935" s="114"/>
      <c r="N3935" s="1"/>
      <c r="O3935" s="1"/>
      <c r="P3935" s="51"/>
    </row>
    <row r="3936">
      <c r="A3936" s="54"/>
      <c r="B3936" s="71"/>
      <c r="C3936" s="51"/>
      <c r="D3936" s="114"/>
      <c r="E3936" s="114"/>
      <c r="F3936" s="54"/>
      <c r="G3936" s="54"/>
      <c r="I3936" s="54"/>
      <c r="K3936" s="54"/>
      <c r="M3936" s="114"/>
      <c r="N3936" s="1"/>
      <c r="O3936" s="1"/>
      <c r="P3936" s="51"/>
    </row>
    <row r="3937">
      <c r="A3937" s="54"/>
      <c r="B3937" s="71"/>
      <c r="C3937" s="51"/>
      <c r="D3937" s="114"/>
      <c r="E3937" s="114"/>
      <c r="F3937" s="54"/>
      <c r="G3937" s="54"/>
      <c r="I3937" s="54"/>
      <c r="K3937" s="54"/>
      <c r="M3937" s="114"/>
      <c r="N3937" s="1"/>
      <c r="O3937" s="1"/>
      <c r="P3937" s="51"/>
    </row>
    <row r="3938">
      <c r="A3938" s="54"/>
      <c r="B3938" s="71"/>
      <c r="C3938" s="51"/>
      <c r="D3938" s="114"/>
      <c r="E3938" s="114"/>
      <c r="F3938" s="54"/>
      <c r="G3938" s="54"/>
      <c r="I3938" s="54"/>
      <c r="K3938" s="54"/>
      <c r="M3938" s="114"/>
      <c r="N3938" s="1"/>
      <c r="O3938" s="1"/>
      <c r="P3938" s="51"/>
    </row>
    <row r="3939">
      <c r="A3939" s="54"/>
      <c r="B3939" s="71"/>
      <c r="C3939" s="51"/>
      <c r="D3939" s="114"/>
      <c r="E3939" s="114"/>
      <c r="F3939" s="54"/>
      <c r="G3939" s="54"/>
      <c r="I3939" s="54"/>
      <c r="K3939" s="54"/>
      <c r="M3939" s="114"/>
      <c r="N3939" s="1"/>
      <c r="O3939" s="1"/>
      <c r="P3939" s="51"/>
    </row>
    <row r="3940">
      <c r="A3940" s="54"/>
      <c r="B3940" s="71"/>
      <c r="C3940" s="51"/>
      <c r="D3940" s="114"/>
      <c r="E3940" s="114"/>
      <c r="F3940" s="54"/>
      <c r="G3940" s="54"/>
      <c r="I3940" s="54"/>
      <c r="K3940" s="54"/>
      <c r="M3940" s="114"/>
      <c r="N3940" s="1"/>
      <c r="O3940" s="1"/>
      <c r="P3940" s="51"/>
    </row>
    <row r="3941">
      <c r="A3941" s="54"/>
      <c r="B3941" s="71"/>
      <c r="C3941" s="51"/>
      <c r="D3941" s="114"/>
      <c r="E3941" s="114"/>
      <c r="F3941" s="54"/>
      <c r="G3941" s="54"/>
      <c r="I3941" s="54"/>
      <c r="K3941" s="54"/>
      <c r="M3941" s="114"/>
      <c r="N3941" s="1"/>
      <c r="O3941" s="1"/>
      <c r="P3941" s="51"/>
    </row>
    <row r="3942">
      <c r="A3942" s="54"/>
      <c r="B3942" s="71"/>
      <c r="C3942" s="51"/>
      <c r="D3942" s="114"/>
      <c r="E3942" s="114"/>
      <c r="F3942" s="54"/>
      <c r="G3942" s="54"/>
      <c r="I3942" s="54"/>
      <c r="K3942" s="54"/>
      <c r="M3942" s="114"/>
      <c r="N3942" s="1"/>
      <c r="O3942" s="1"/>
      <c r="P3942" s="51"/>
    </row>
    <row r="3943">
      <c r="A3943" s="54"/>
      <c r="B3943" s="71"/>
      <c r="C3943" s="51"/>
      <c r="D3943" s="114"/>
      <c r="E3943" s="114"/>
      <c r="F3943" s="54"/>
      <c r="G3943" s="54"/>
      <c r="I3943" s="54"/>
      <c r="K3943" s="54"/>
      <c r="M3943" s="114"/>
      <c r="N3943" s="1"/>
      <c r="O3943" s="1"/>
      <c r="P3943" s="51"/>
    </row>
    <row r="3944">
      <c r="A3944" s="54"/>
      <c r="B3944" s="71"/>
      <c r="C3944" s="51"/>
      <c r="D3944" s="114"/>
      <c r="E3944" s="114"/>
      <c r="F3944" s="54"/>
      <c r="G3944" s="54"/>
      <c r="I3944" s="54"/>
      <c r="K3944" s="54"/>
      <c r="M3944" s="114"/>
      <c r="N3944" s="1"/>
      <c r="O3944" s="1"/>
      <c r="P3944" s="51"/>
    </row>
    <row r="3945">
      <c r="A3945" s="54"/>
      <c r="B3945" s="71"/>
      <c r="C3945" s="51"/>
      <c r="D3945" s="114"/>
      <c r="E3945" s="114"/>
      <c r="F3945" s="54"/>
      <c r="G3945" s="54"/>
      <c r="I3945" s="54"/>
      <c r="K3945" s="54"/>
      <c r="M3945" s="114"/>
      <c r="N3945" s="1"/>
      <c r="O3945" s="1"/>
      <c r="P3945" s="51"/>
    </row>
    <row r="3946">
      <c r="A3946" s="54"/>
      <c r="B3946" s="71"/>
      <c r="C3946" s="51"/>
      <c r="D3946" s="114"/>
      <c r="E3946" s="114"/>
      <c r="F3946" s="54"/>
      <c r="G3946" s="54"/>
      <c r="I3946" s="54"/>
      <c r="K3946" s="54"/>
      <c r="M3946" s="114"/>
      <c r="N3946" s="1"/>
      <c r="O3946" s="1"/>
      <c r="P3946" s="51"/>
    </row>
    <row r="3947">
      <c r="A3947" s="54"/>
      <c r="B3947" s="71"/>
      <c r="C3947" s="51"/>
      <c r="D3947" s="114"/>
      <c r="E3947" s="114"/>
      <c r="F3947" s="54"/>
      <c r="G3947" s="54"/>
      <c r="I3947" s="54"/>
      <c r="K3947" s="54"/>
      <c r="M3947" s="114"/>
      <c r="N3947" s="1"/>
      <c r="O3947" s="1"/>
      <c r="P3947" s="51"/>
    </row>
    <row r="3948">
      <c r="A3948" s="54"/>
      <c r="B3948" s="71"/>
      <c r="C3948" s="51"/>
      <c r="D3948" s="114"/>
      <c r="E3948" s="114"/>
      <c r="F3948" s="54"/>
      <c r="G3948" s="54"/>
      <c r="I3948" s="54"/>
      <c r="K3948" s="54"/>
      <c r="M3948" s="114"/>
      <c r="N3948" s="1"/>
      <c r="O3948" s="1"/>
      <c r="P3948" s="51"/>
    </row>
    <row r="3949">
      <c r="A3949" s="54"/>
      <c r="B3949" s="71"/>
      <c r="C3949" s="51"/>
      <c r="D3949" s="114"/>
      <c r="E3949" s="114"/>
      <c r="F3949" s="54"/>
      <c r="G3949" s="54"/>
      <c r="I3949" s="54"/>
      <c r="K3949" s="54"/>
      <c r="M3949" s="114"/>
      <c r="N3949" s="1"/>
      <c r="O3949" s="1"/>
      <c r="P3949" s="51"/>
    </row>
    <row r="3950">
      <c r="A3950" s="54"/>
      <c r="B3950" s="71"/>
      <c r="C3950" s="51"/>
      <c r="D3950" s="114"/>
      <c r="E3950" s="114"/>
      <c r="F3950" s="54"/>
      <c r="G3950" s="54"/>
      <c r="I3950" s="54"/>
      <c r="K3950" s="54"/>
      <c r="M3950" s="114"/>
      <c r="N3950" s="1"/>
      <c r="O3950" s="1"/>
      <c r="P3950" s="51"/>
    </row>
    <row r="3951">
      <c r="A3951" s="54"/>
      <c r="B3951" s="71"/>
      <c r="C3951" s="51"/>
      <c r="D3951" s="114"/>
      <c r="E3951" s="114"/>
      <c r="F3951" s="54"/>
      <c r="G3951" s="54"/>
      <c r="I3951" s="54"/>
      <c r="K3951" s="54"/>
      <c r="M3951" s="114"/>
      <c r="N3951" s="1"/>
      <c r="O3951" s="1"/>
      <c r="P3951" s="51"/>
    </row>
    <row r="3952">
      <c r="A3952" s="54"/>
      <c r="B3952" s="71"/>
      <c r="C3952" s="51"/>
      <c r="D3952" s="114"/>
      <c r="E3952" s="114"/>
      <c r="F3952" s="54"/>
      <c r="G3952" s="54"/>
      <c r="I3952" s="54"/>
      <c r="K3952" s="54"/>
      <c r="M3952" s="114"/>
      <c r="N3952" s="1"/>
      <c r="O3952" s="1"/>
      <c r="P3952" s="51"/>
    </row>
    <row r="3953">
      <c r="A3953" s="54"/>
      <c r="B3953" s="71"/>
      <c r="C3953" s="51"/>
      <c r="D3953" s="114"/>
      <c r="E3953" s="114"/>
      <c r="F3953" s="54"/>
      <c r="G3953" s="54"/>
      <c r="I3953" s="54"/>
      <c r="K3953" s="54"/>
      <c r="M3953" s="114"/>
      <c r="N3953" s="1"/>
      <c r="O3953" s="1"/>
      <c r="P3953" s="51"/>
    </row>
    <row r="3954">
      <c r="A3954" s="54"/>
      <c r="B3954" s="71"/>
      <c r="C3954" s="51"/>
      <c r="D3954" s="114"/>
      <c r="E3954" s="114"/>
      <c r="F3954" s="54"/>
      <c r="G3954" s="54"/>
      <c r="I3954" s="54"/>
      <c r="K3954" s="54"/>
      <c r="M3954" s="114"/>
      <c r="N3954" s="1"/>
      <c r="O3954" s="1"/>
      <c r="P3954" s="51"/>
    </row>
    <row r="3955">
      <c r="A3955" s="54"/>
      <c r="B3955" s="71"/>
      <c r="C3955" s="51"/>
      <c r="D3955" s="114"/>
      <c r="E3955" s="114"/>
      <c r="F3955" s="54"/>
      <c r="G3955" s="54"/>
      <c r="I3955" s="54"/>
      <c r="K3955" s="54"/>
      <c r="M3955" s="114"/>
      <c r="N3955" s="1"/>
      <c r="O3955" s="1"/>
      <c r="P3955" s="51"/>
    </row>
    <row r="3956">
      <c r="A3956" s="54"/>
      <c r="B3956" s="71"/>
      <c r="C3956" s="51"/>
      <c r="D3956" s="114"/>
      <c r="E3956" s="114"/>
      <c r="F3956" s="54"/>
      <c r="G3956" s="54"/>
      <c r="I3956" s="54"/>
      <c r="K3956" s="54"/>
      <c r="M3956" s="114"/>
      <c r="N3956" s="1"/>
      <c r="O3956" s="1"/>
      <c r="P3956" s="51"/>
    </row>
    <row r="3957">
      <c r="A3957" s="54"/>
      <c r="B3957" s="71"/>
      <c r="C3957" s="51"/>
      <c r="D3957" s="114"/>
      <c r="E3957" s="114"/>
      <c r="F3957" s="54"/>
      <c r="G3957" s="54"/>
      <c r="I3957" s="54"/>
      <c r="K3957" s="54"/>
      <c r="M3957" s="114"/>
      <c r="N3957" s="1"/>
      <c r="O3957" s="1"/>
      <c r="P3957" s="51"/>
    </row>
    <row r="3958">
      <c r="A3958" s="54"/>
      <c r="B3958" s="71"/>
      <c r="C3958" s="51"/>
      <c r="D3958" s="114"/>
      <c r="E3958" s="114"/>
      <c r="F3958" s="54"/>
      <c r="G3958" s="54"/>
      <c r="I3958" s="54"/>
      <c r="K3958" s="54"/>
      <c r="M3958" s="114"/>
      <c r="N3958" s="1"/>
      <c r="O3958" s="1"/>
      <c r="P3958" s="51"/>
    </row>
    <row r="3959">
      <c r="A3959" s="54"/>
      <c r="B3959" s="71"/>
      <c r="C3959" s="51"/>
      <c r="D3959" s="114"/>
      <c r="E3959" s="114"/>
      <c r="F3959" s="54"/>
      <c r="G3959" s="54"/>
      <c r="I3959" s="54"/>
      <c r="K3959" s="54"/>
      <c r="M3959" s="114"/>
      <c r="N3959" s="1"/>
      <c r="O3959" s="1"/>
      <c r="P3959" s="51"/>
    </row>
    <row r="3960">
      <c r="A3960" s="54"/>
      <c r="B3960" s="71"/>
      <c r="C3960" s="51"/>
      <c r="D3960" s="114"/>
      <c r="E3960" s="114"/>
      <c r="F3960" s="54"/>
      <c r="G3960" s="54"/>
      <c r="I3960" s="54"/>
      <c r="K3960" s="54"/>
      <c r="M3960" s="114"/>
      <c r="N3960" s="1"/>
      <c r="O3960" s="1"/>
      <c r="P3960" s="51"/>
    </row>
    <row r="3961">
      <c r="A3961" s="54"/>
      <c r="B3961" s="71"/>
      <c r="C3961" s="51"/>
      <c r="D3961" s="114"/>
      <c r="E3961" s="114"/>
      <c r="F3961" s="54"/>
      <c r="G3961" s="54"/>
      <c r="I3961" s="54"/>
      <c r="K3961" s="54"/>
      <c r="M3961" s="114"/>
      <c r="N3961" s="1"/>
      <c r="O3961" s="1"/>
      <c r="P3961" s="51"/>
    </row>
    <row r="3962">
      <c r="A3962" s="54"/>
      <c r="B3962" s="71"/>
      <c r="C3962" s="51"/>
      <c r="D3962" s="114"/>
      <c r="E3962" s="114"/>
      <c r="F3962" s="54"/>
      <c r="G3962" s="54"/>
      <c r="I3962" s="54"/>
      <c r="K3962" s="54"/>
      <c r="M3962" s="114"/>
      <c r="N3962" s="1"/>
      <c r="O3962" s="1"/>
      <c r="P3962" s="51"/>
    </row>
    <row r="3963">
      <c r="A3963" s="54"/>
      <c r="B3963" s="71"/>
      <c r="C3963" s="51"/>
      <c r="D3963" s="114"/>
      <c r="E3963" s="114"/>
      <c r="F3963" s="54"/>
      <c r="G3963" s="54"/>
      <c r="I3963" s="54"/>
      <c r="K3963" s="54"/>
      <c r="M3963" s="114"/>
      <c r="N3963" s="1"/>
      <c r="O3963" s="1"/>
      <c r="P3963" s="51"/>
    </row>
    <row r="3964">
      <c r="A3964" s="54"/>
      <c r="B3964" s="71"/>
      <c r="C3964" s="51"/>
      <c r="D3964" s="114"/>
      <c r="E3964" s="114"/>
      <c r="F3964" s="54"/>
      <c r="G3964" s="54"/>
      <c r="I3964" s="54"/>
      <c r="K3964" s="54"/>
      <c r="M3964" s="114"/>
      <c r="N3964" s="1"/>
      <c r="O3964" s="1"/>
      <c r="P3964" s="51"/>
    </row>
    <row r="3965">
      <c r="A3965" s="54"/>
      <c r="B3965" s="71"/>
      <c r="C3965" s="51"/>
      <c r="D3965" s="114"/>
      <c r="E3965" s="114"/>
      <c r="F3965" s="54"/>
      <c r="G3965" s="54"/>
      <c r="I3965" s="54"/>
      <c r="K3965" s="54"/>
      <c r="M3965" s="114"/>
      <c r="N3965" s="1"/>
      <c r="O3965" s="1"/>
      <c r="P3965" s="51"/>
    </row>
    <row r="3966">
      <c r="A3966" s="54"/>
      <c r="B3966" s="71"/>
      <c r="C3966" s="51"/>
      <c r="D3966" s="114"/>
      <c r="E3966" s="114"/>
      <c r="F3966" s="54"/>
      <c r="G3966" s="54"/>
      <c r="I3966" s="54"/>
      <c r="K3966" s="54"/>
      <c r="M3966" s="114"/>
      <c r="N3966" s="1"/>
      <c r="O3966" s="1"/>
      <c r="P3966" s="51"/>
    </row>
    <row r="3967">
      <c r="A3967" s="54"/>
      <c r="B3967" s="71"/>
      <c r="C3967" s="51"/>
      <c r="D3967" s="114"/>
      <c r="E3967" s="114"/>
      <c r="F3967" s="54"/>
      <c r="G3967" s="54"/>
      <c r="I3967" s="54"/>
      <c r="K3967" s="54"/>
      <c r="M3967" s="114"/>
      <c r="N3967" s="1"/>
      <c r="O3967" s="1"/>
      <c r="P3967" s="51"/>
    </row>
    <row r="3968">
      <c r="A3968" s="54"/>
      <c r="B3968" s="71"/>
      <c r="C3968" s="51"/>
      <c r="D3968" s="114"/>
      <c r="E3968" s="114"/>
      <c r="F3968" s="54"/>
      <c r="G3968" s="54"/>
      <c r="I3968" s="54"/>
      <c r="K3968" s="54"/>
      <c r="M3968" s="114"/>
      <c r="N3968" s="1"/>
      <c r="O3968" s="1"/>
      <c r="P3968" s="51"/>
    </row>
    <row r="3969">
      <c r="A3969" s="54"/>
      <c r="B3969" s="71"/>
      <c r="C3969" s="51"/>
      <c r="D3969" s="114"/>
      <c r="E3969" s="114"/>
      <c r="F3969" s="54"/>
      <c r="G3969" s="54"/>
      <c r="I3969" s="54"/>
      <c r="K3969" s="54"/>
      <c r="M3969" s="114"/>
      <c r="N3969" s="1"/>
      <c r="O3969" s="1"/>
      <c r="P3969" s="51"/>
    </row>
    <row r="3970">
      <c r="A3970" s="54"/>
      <c r="B3970" s="71"/>
      <c r="C3970" s="51"/>
      <c r="D3970" s="114"/>
      <c r="E3970" s="114"/>
      <c r="F3970" s="54"/>
      <c r="G3970" s="54"/>
      <c r="I3970" s="54"/>
      <c r="K3970" s="54"/>
      <c r="M3970" s="114"/>
      <c r="N3970" s="1"/>
      <c r="O3970" s="1"/>
      <c r="P3970" s="51"/>
    </row>
    <row r="3971">
      <c r="A3971" s="54"/>
      <c r="B3971" s="71"/>
      <c r="C3971" s="51"/>
      <c r="D3971" s="114"/>
      <c r="E3971" s="114"/>
      <c r="F3971" s="54"/>
      <c r="G3971" s="54"/>
      <c r="I3971" s="54"/>
      <c r="K3971" s="54"/>
      <c r="M3971" s="114"/>
      <c r="N3971" s="1"/>
      <c r="O3971" s="1"/>
      <c r="P3971" s="51"/>
    </row>
    <row r="3972">
      <c r="A3972" s="54"/>
      <c r="B3972" s="71"/>
      <c r="C3972" s="51"/>
      <c r="D3972" s="114"/>
      <c r="E3972" s="114"/>
      <c r="F3972" s="54"/>
      <c r="G3972" s="54"/>
      <c r="I3972" s="54"/>
      <c r="K3972" s="54"/>
      <c r="M3972" s="114"/>
      <c r="N3972" s="1"/>
      <c r="O3972" s="1"/>
      <c r="P3972" s="51"/>
    </row>
    <row r="3973">
      <c r="A3973" s="54"/>
      <c r="B3973" s="71"/>
      <c r="C3973" s="51"/>
      <c r="D3973" s="114"/>
      <c r="E3973" s="114"/>
      <c r="F3973" s="54"/>
      <c r="G3973" s="54"/>
      <c r="I3973" s="54"/>
      <c r="K3973" s="54"/>
      <c r="M3973" s="114"/>
      <c r="N3973" s="1"/>
      <c r="O3973" s="1"/>
      <c r="P3973" s="51"/>
    </row>
    <row r="3974">
      <c r="A3974" s="54"/>
      <c r="B3974" s="71"/>
      <c r="C3974" s="51"/>
      <c r="D3974" s="114"/>
      <c r="E3974" s="114"/>
      <c r="F3974" s="54"/>
      <c r="G3974" s="54"/>
      <c r="I3974" s="54"/>
      <c r="K3974" s="54"/>
      <c r="M3974" s="114"/>
      <c r="N3974" s="1"/>
      <c r="O3974" s="1"/>
      <c r="P3974" s="51"/>
    </row>
    <row r="3975">
      <c r="A3975" s="54"/>
      <c r="B3975" s="71"/>
      <c r="C3975" s="51"/>
      <c r="D3975" s="114"/>
      <c r="E3975" s="114"/>
      <c r="F3975" s="54"/>
      <c r="G3975" s="54"/>
      <c r="I3975" s="54"/>
      <c r="K3975" s="54"/>
      <c r="M3975" s="114"/>
      <c r="N3975" s="1"/>
      <c r="O3975" s="1"/>
      <c r="P3975" s="51"/>
    </row>
    <row r="3976">
      <c r="A3976" s="54"/>
      <c r="B3976" s="71"/>
      <c r="C3976" s="51"/>
      <c r="D3976" s="114"/>
      <c r="E3976" s="114"/>
      <c r="F3976" s="54"/>
      <c r="G3976" s="54"/>
      <c r="I3976" s="54"/>
      <c r="K3976" s="54"/>
      <c r="M3976" s="114"/>
      <c r="N3976" s="1"/>
      <c r="O3976" s="1"/>
      <c r="P3976" s="51"/>
    </row>
    <row r="3977">
      <c r="A3977" s="54"/>
      <c r="B3977" s="71"/>
      <c r="C3977" s="51"/>
      <c r="D3977" s="114"/>
      <c r="E3977" s="114"/>
      <c r="F3977" s="54"/>
      <c r="G3977" s="54"/>
      <c r="I3977" s="54"/>
      <c r="K3977" s="54"/>
      <c r="M3977" s="114"/>
      <c r="N3977" s="1"/>
      <c r="O3977" s="1"/>
      <c r="P3977" s="51"/>
    </row>
    <row r="3978">
      <c r="A3978" s="54"/>
      <c r="B3978" s="71"/>
      <c r="C3978" s="51"/>
      <c r="D3978" s="114"/>
      <c r="E3978" s="114"/>
      <c r="F3978" s="54"/>
      <c r="G3978" s="54"/>
      <c r="I3978" s="54"/>
      <c r="K3978" s="54"/>
      <c r="M3978" s="114"/>
      <c r="N3978" s="1"/>
      <c r="O3978" s="1"/>
      <c r="P3978" s="51"/>
    </row>
    <row r="3979">
      <c r="A3979" s="54"/>
      <c r="B3979" s="71"/>
      <c r="C3979" s="51"/>
      <c r="D3979" s="114"/>
      <c r="E3979" s="114"/>
      <c r="F3979" s="54"/>
      <c r="G3979" s="54"/>
      <c r="I3979" s="54"/>
      <c r="K3979" s="54"/>
      <c r="M3979" s="114"/>
      <c r="N3979" s="1"/>
      <c r="O3979" s="1"/>
      <c r="P3979" s="51"/>
    </row>
    <row r="3980">
      <c r="A3980" s="54"/>
      <c r="B3980" s="71"/>
      <c r="C3980" s="51"/>
      <c r="D3980" s="114"/>
      <c r="E3980" s="114"/>
      <c r="F3980" s="54"/>
      <c r="G3980" s="54"/>
      <c r="I3980" s="54"/>
      <c r="K3980" s="54"/>
      <c r="M3980" s="114"/>
      <c r="N3980" s="1"/>
      <c r="O3980" s="1"/>
      <c r="P3980" s="51"/>
    </row>
    <row r="3981">
      <c r="A3981" s="54"/>
      <c r="B3981" s="71"/>
      <c r="C3981" s="51"/>
      <c r="D3981" s="114"/>
      <c r="E3981" s="114"/>
      <c r="F3981" s="54"/>
      <c r="G3981" s="54"/>
      <c r="I3981" s="54"/>
      <c r="K3981" s="54"/>
      <c r="M3981" s="114"/>
      <c r="N3981" s="1"/>
      <c r="O3981" s="1"/>
      <c r="P3981" s="51"/>
    </row>
    <row r="3982">
      <c r="A3982" s="54"/>
      <c r="B3982" s="71"/>
      <c r="C3982" s="51"/>
      <c r="D3982" s="114"/>
      <c r="E3982" s="114"/>
      <c r="F3982" s="54"/>
      <c r="G3982" s="54"/>
      <c r="I3982" s="54"/>
      <c r="K3982" s="54"/>
      <c r="M3982" s="114"/>
      <c r="N3982" s="1"/>
      <c r="O3982" s="1"/>
      <c r="P3982" s="51"/>
    </row>
    <row r="3983">
      <c r="A3983" s="54"/>
      <c r="B3983" s="71"/>
      <c r="C3983" s="51"/>
      <c r="D3983" s="114"/>
      <c r="E3983" s="114"/>
      <c r="F3983" s="54"/>
      <c r="G3983" s="54"/>
      <c r="I3983" s="54"/>
      <c r="K3983" s="54"/>
      <c r="M3983" s="114"/>
      <c r="N3983" s="1"/>
      <c r="O3983" s="1"/>
      <c r="P3983" s="51"/>
    </row>
    <row r="3984">
      <c r="A3984" s="54"/>
      <c r="B3984" s="71"/>
      <c r="C3984" s="51"/>
      <c r="D3984" s="114"/>
      <c r="E3984" s="114"/>
      <c r="F3984" s="54"/>
      <c r="G3984" s="54"/>
      <c r="I3984" s="54"/>
      <c r="K3984" s="54"/>
      <c r="M3984" s="114"/>
      <c r="N3984" s="1"/>
      <c r="O3984" s="1"/>
      <c r="P3984" s="51"/>
    </row>
    <row r="3985">
      <c r="A3985" s="54"/>
      <c r="B3985" s="71"/>
      <c r="C3985" s="51"/>
      <c r="D3985" s="114"/>
      <c r="E3985" s="114"/>
      <c r="F3985" s="54"/>
      <c r="G3985" s="54"/>
      <c r="I3985" s="54"/>
      <c r="K3985" s="54"/>
      <c r="M3985" s="114"/>
      <c r="N3985" s="1"/>
      <c r="O3985" s="1"/>
      <c r="P3985" s="51"/>
    </row>
    <row r="3986">
      <c r="A3986" s="54"/>
      <c r="B3986" s="71"/>
      <c r="C3986" s="51"/>
      <c r="D3986" s="114"/>
      <c r="E3986" s="114"/>
      <c r="F3986" s="54"/>
      <c r="G3986" s="54"/>
      <c r="I3986" s="54"/>
      <c r="K3986" s="54"/>
      <c r="M3986" s="114"/>
      <c r="N3986" s="1"/>
      <c r="O3986" s="1"/>
      <c r="P3986" s="51"/>
    </row>
    <row r="3987">
      <c r="A3987" s="54"/>
      <c r="B3987" s="71"/>
      <c r="C3987" s="51"/>
      <c r="D3987" s="114"/>
      <c r="E3987" s="114"/>
      <c r="F3987" s="54"/>
      <c r="G3987" s="54"/>
      <c r="I3987" s="54"/>
      <c r="K3987" s="54"/>
      <c r="M3987" s="114"/>
      <c r="N3987" s="1"/>
      <c r="O3987" s="1"/>
      <c r="P3987" s="51"/>
    </row>
    <row r="3988">
      <c r="A3988" s="54"/>
      <c r="B3988" s="71"/>
      <c r="C3988" s="51"/>
      <c r="D3988" s="114"/>
      <c r="E3988" s="114"/>
      <c r="F3988" s="54"/>
      <c r="G3988" s="54"/>
      <c r="I3988" s="54"/>
      <c r="K3988" s="54"/>
      <c r="M3988" s="114"/>
      <c r="N3988" s="1"/>
      <c r="O3988" s="1"/>
      <c r="P3988" s="51"/>
    </row>
    <row r="3989">
      <c r="A3989" s="54"/>
      <c r="B3989" s="71"/>
      <c r="C3989" s="51"/>
      <c r="D3989" s="114"/>
      <c r="E3989" s="114"/>
      <c r="F3989" s="54"/>
      <c r="G3989" s="54"/>
      <c r="I3989" s="54"/>
      <c r="K3989" s="54"/>
      <c r="M3989" s="114"/>
      <c r="N3989" s="1"/>
      <c r="O3989" s="1"/>
      <c r="P3989" s="51"/>
    </row>
    <row r="3990">
      <c r="A3990" s="54"/>
      <c r="B3990" s="71"/>
      <c r="C3990" s="51"/>
      <c r="D3990" s="114"/>
      <c r="E3990" s="114"/>
      <c r="F3990" s="54"/>
      <c r="G3990" s="54"/>
      <c r="I3990" s="54"/>
      <c r="K3990" s="54"/>
      <c r="M3990" s="114"/>
      <c r="N3990" s="1"/>
      <c r="O3990" s="1"/>
      <c r="P3990" s="51"/>
    </row>
    <row r="3991">
      <c r="A3991" s="54"/>
      <c r="B3991" s="71"/>
      <c r="C3991" s="51"/>
      <c r="D3991" s="114"/>
      <c r="E3991" s="114"/>
      <c r="F3991" s="54"/>
      <c r="G3991" s="54"/>
      <c r="I3991" s="54"/>
      <c r="K3991" s="54"/>
      <c r="M3991" s="114"/>
      <c r="N3991" s="1"/>
      <c r="O3991" s="1"/>
      <c r="P3991" s="51"/>
    </row>
    <row r="3992">
      <c r="A3992" s="54"/>
      <c r="B3992" s="71"/>
      <c r="C3992" s="51"/>
      <c r="D3992" s="114"/>
      <c r="E3992" s="114"/>
      <c r="F3992" s="54"/>
      <c r="G3992" s="54"/>
      <c r="I3992" s="54"/>
      <c r="K3992" s="54"/>
      <c r="M3992" s="114"/>
      <c r="N3992" s="1"/>
      <c r="O3992" s="1"/>
      <c r="P3992" s="51"/>
    </row>
    <row r="3993">
      <c r="A3993" s="54"/>
      <c r="B3993" s="71"/>
      <c r="C3993" s="51"/>
      <c r="D3993" s="114"/>
      <c r="E3993" s="114"/>
      <c r="F3993" s="54"/>
      <c r="G3993" s="54"/>
      <c r="I3993" s="54"/>
      <c r="K3993" s="54"/>
      <c r="M3993" s="114"/>
      <c r="N3993" s="1"/>
      <c r="O3993" s="1"/>
      <c r="P3993" s="51"/>
    </row>
    <row r="3994">
      <c r="A3994" s="54"/>
      <c r="B3994" s="71"/>
      <c r="C3994" s="51"/>
      <c r="D3994" s="114"/>
      <c r="E3994" s="114"/>
      <c r="F3994" s="54"/>
      <c r="G3994" s="54"/>
      <c r="I3994" s="54"/>
      <c r="K3994" s="54"/>
      <c r="M3994" s="114"/>
      <c r="N3994" s="1"/>
      <c r="O3994" s="1"/>
      <c r="P3994" s="51"/>
    </row>
    <row r="3995">
      <c r="A3995" s="54"/>
      <c r="B3995" s="71"/>
      <c r="C3995" s="51"/>
      <c r="D3995" s="114"/>
      <c r="E3995" s="114"/>
      <c r="F3995" s="54"/>
      <c r="G3995" s="54"/>
      <c r="I3995" s="54"/>
      <c r="K3995" s="54"/>
      <c r="M3995" s="114"/>
      <c r="N3995" s="1"/>
      <c r="O3995" s="1"/>
      <c r="P3995" s="51"/>
    </row>
    <row r="3996">
      <c r="A3996" s="54"/>
      <c r="B3996" s="71"/>
      <c r="C3996" s="51"/>
      <c r="D3996" s="114"/>
      <c r="E3996" s="114"/>
      <c r="F3996" s="54"/>
      <c r="G3996" s="54"/>
      <c r="I3996" s="54"/>
      <c r="K3996" s="54"/>
      <c r="M3996" s="114"/>
      <c r="N3996" s="1"/>
      <c r="O3996" s="1"/>
      <c r="P3996" s="51"/>
    </row>
    <row r="3997">
      <c r="A3997" s="54"/>
      <c r="B3997" s="71"/>
      <c r="C3997" s="51"/>
      <c r="D3997" s="114"/>
      <c r="E3997" s="114"/>
      <c r="F3997" s="54"/>
      <c r="G3997" s="54"/>
      <c r="I3997" s="54"/>
      <c r="K3997" s="54"/>
      <c r="M3997" s="114"/>
      <c r="N3997" s="1"/>
      <c r="O3997" s="1"/>
      <c r="P3997" s="51"/>
    </row>
    <row r="3998">
      <c r="A3998" s="54"/>
      <c r="B3998" s="71"/>
      <c r="C3998" s="51"/>
      <c r="D3998" s="114"/>
      <c r="E3998" s="114"/>
      <c r="F3998" s="54"/>
      <c r="G3998" s="54"/>
      <c r="I3998" s="54"/>
      <c r="K3998" s="54"/>
      <c r="M3998" s="114"/>
      <c r="N3998" s="1"/>
      <c r="O3998" s="1"/>
      <c r="P3998" s="51"/>
    </row>
    <row r="3999">
      <c r="A3999" s="54"/>
      <c r="B3999" s="71"/>
      <c r="C3999" s="51"/>
      <c r="D3999" s="114"/>
      <c r="E3999" s="114"/>
      <c r="F3999" s="54"/>
      <c r="G3999" s="54"/>
      <c r="I3999" s="54"/>
      <c r="K3999" s="54"/>
      <c r="M3999" s="114"/>
      <c r="N3999" s="1"/>
      <c r="O3999" s="1"/>
      <c r="P3999" s="51"/>
    </row>
    <row r="4000">
      <c r="A4000" s="54"/>
      <c r="B4000" s="71"/>
      <c r="C4000" s="51"/>
      <c r="D4000" s="114"/>
      <c r="E4000" s="114"/>
      <c r="F4000" s="54"/>
      <c r="G4000" s="54"/>
      <c r="I4000" s="54"/>
      <c r="K4000" s="54"/>
      <c r="M4000" s="114"/>
      <c r="N4000" s="1"/>
      <c r="O4000" s="1"/>
      <c r="P4000" s="51"/>
    </row>
    <row r="4001">
      <c r="A4001" s="54"/>
      <c r="B4001" s="71"/>
      <c r="C4001" s="51"/>
      <c r="D4001" s="114"/>
      <c r="E4001" s="114"/>
      <c r="F4001" s="54"/>
      <c r="G4001" s="54"/>
      <c r="I4001" s="54"/>
      <c r="K4001" s="54"/>
      <c r="M4001" s="114"/>
      <c r="N4001" s="1"/>
      <c r="O4001" s="1"/>
      <c r="P4001" s="51"/>
    </row>
    <row r="4002">
      <c r="A4002" s="54"/>
      <c r="B4002" s="71"/>
      <c r="C4002" s="51"/>
      <c r="D4002" s="114"/>
      <c r="E4002" s="114"/>
      <c r="F4002" s="54"/>
      <c r="G4002" s="54"/>
      <c r="I4002" s="54"/>
      <c r="K4002" s="54"/>
      <c r="M4002" s="114"/>
      <c r="N4002" s="1"/>
      <c r="O4002" s="1"/>
      <c r="P4002" s="51"/>
    </row>
    <row r="4003">
      <c r="A4003" s="54"/>
      <c r="B4003" s="71"/>
      <c r="C4003" s="51"/>
      <c r="D4003" s="114"/>
      <c r="E4003" s="114"/>
      <c r="F4003" s="54"/>
      <c r="G4003" s="54"/>
      <c r="I4003" s="54"/>
      <c r="K4003" s="54"/>
      <c r="M4003" s="114"/>
      <c r="N4003" s="1"/>
      <c r="O4003" s="1"/>
      <c r="P4003" s="51"/>
    </row>
    <row r="4004">
      <c r="A4004" s="54"/>
      <c r="B4004" s="71"/>
      <c r="C4004" s="51"/>
      <c r="D4004" s="114"/>
      <c r="E4004" s="114"/>
      <c r="F4004" s="54"/>
      <c r="G4004" s="54"/>
      <c r="I4004" s="54"/>
      <c r="K4004" s="54"/>
      <c r="M4004" s="114"/>
      <c r="N4004" s="1"/>
      <c r="O4004" s="1"/>
      <c r="P4004" s="51"/>
    </row>
    <row r="4005">
      <c r="A4005" s="54"/>
      <c r="B4005" s="71"/>
      <c r="C4005" s="51"/>
      <c r="D4005" s="114"/>
      <c r="E4005" s="114"/>
      <c r="F4005" s="54"/>
      <c r="G4005" s="54"/>
      <c r="I4005" s="54"/>
      <c r="K4005" s="54"/>
      <c r="M4005" s="114"/>
      <c r="N4005" s="1"/>
      <c r="O4005" s="1"/>
      <c r="P4005" s="51"/>
    </row>
    <row r="4006">
      <c r="A4006" s="54"/>
      <c r="B4006" s="71"/>
      <c r="C4006" s="51"/>
      <c r="D4006" s="114"/>
      <c r="E4006" s="114"/>
      <c r="F4006" s="54"/>
      <c r="G4006" s="54"/>
      <c r="I4006" s="54"/>
      <c r="K4006" s="54"/>
      <c r="M4006" s="114"/>
      <c r="N4006" s="1"/>
      <c r="O4006" s="1"/>
      <c r="P4006" s="51"/>
    </row>
    <row r="4007">
      <c r="A4007" s="54"/>
      <c r="B4007" s="71"/>
      <c r="C4007" s="51"/>
      <c r="D4007" s="114"/>
      <c r="E4007" s="114"/>
      <c r="F4007" s="54"/>
      <c r="G4007" s="54"/>
      <c r="I4007" s="54"/>
      <c r="K4007" s="54"/>
      <c r="M4007" s="114"/>
      <c r="N4007" s="1"/>
      <c r="O4007" s="1"/>
      <c r="P4007" s="51"/>
    </row>
    <row r="4008">
      <c r="A4008" s="54"/>
      <c r="B4008" s="71"/>
      <c r="C4008" s="51"/>
      <c r="D4008" s="114"/>
      <c r="E4008" s="114"/>
      <c r="F4008" s="54"/>
      <c r="G4008" s="54"/>
      <c r="I4008" s="54"/>
      <c r="K4008" s="54"/>
      <c r="M4008" s="114"/>
      <c r="N4008" s="1"/>
      <c r="O4008" s="1"/>
      <c r="P4008" s="51"/>
    </row>
    <row r="4009">
      <c r="A4009" s="54"/>
      <c r="B4009" s="71"/>
      <c r="C4009" s="51"/>
      <c r="D4009" s="114"/>
      <c r="E4009" s="114"/>
      <c r="F4009" s="54"/>
      <c r="G4009" s="54"/>
      <c r="I4009" s="54"/>
      <c r="K4009" s="54"/>
      <c r="M4009" s="114"/>
      <c r="N4009" s="1"/>
      <c r="O4009" s="1"/>
      <c r="P4009" s="51"/>
    </row>
    <row r="4010">
      <c r="A4010" s="54"/>
      <c r="B4010" s="71"/>
      <c r="C4010" s="51"/>
      <c r="D4010" s="114"/>
      <c r="E4010" s="114"/>
      <c r="F4010" s="54"/>
      <c r="G4010" s="54"/>
      <c r="I4010" s="54"/>
      <c r="K4010" s="54"/>
      <c r="M4010" s="114"/>
      <c r="N4010" s="1"/>
      <c r="O4010" s="1"/>
      <c r="P4010" s="51"/>
    </row>
    <row r="4011">
      <c r="A4011" s="54"/>
      <c r="B4011" s="71"/>
      <c r="C4011" s="51"/>
      <c r="D4011" s="114"/>
      <c r="E4011" s="114"/>
      <c r="F4011" s="54"/>
      <c r="G4011" s="54"/>
      <c r="I4011" s="54"/>
      <c r="K4011" s="54"/>
      <c r="M4011" s="114"/>
      <c r="N4011" s="1"/>
      <c r="O4011" s="1"/>
      <c r="P4011" s="51"/>
    </row>
    <row r="4012">
      <c r="A4012" s="54"/>
      <c r="B4012" s="71"/>
      <c r="C4012" s="51"/>
      <c r="D4012" s="114"/>
      <c r="E4012" s="114"/>
      <c r="F4012" s="54"/>
      <c r="G4012" s="54"/>
      <c r="I4012" s="54"/>
      <c r="K4012" s="54"/>
      <c r="M4012" s="114"/>
      <c r="N4012" s="1"/>
      <c r="O4012" s="1"/>
      <c r="P4012" s="51"/>
    </row>
    <row r="4013">
      <c r="A4013" s="54"/>
      <c r="B4013" s="71"/>
      <c r="C4013" s="51"/>
      <c r="D4013" s="114"/>
      <c r="E4013" s="114"/>
      <c r="F4013" s="54"/>
      <c r="G4013" s="54"/>
      <c r="I4013" s="54"/>
      <c r="K4013" s="54"/>
      <c r="M4013" s="114"/>
      <c r="N4013" s="1"/>
      <c r="O4013" s="1"/>
      <c r="P4013" s="51"/>
    </row>
    <row r="4014">
      <c r="A4014" s="54"/>
      <c r="B4014" s="71"/>
      <c r="C4014" s="51"/>
      <c r="D4014" s="114"/>
      <c r="E4014" s="114"/>
      <c r="F4014" s="54"/>
      <c r="G4014" s="54"/>
      <c r="I4014" s="54"/>
      <c r="K4014" s="54"/>
      <c r="M4014" s="114"/>
      <c r="N4014" s="1"/>
      <c r="O4014" s="1"/>
      <c r="P4014" s="51"/>
    </row>
    <row r="4015">
      <c r="A4015" s="54"/>
      <c r="B4015" s="71"/>
      <c r="C4015" s="51"/>
      <c r="D4015" s="114"/>
      <c r="E4015" s="114"/>
      <c r="F4015" s="54"/>
      <c r="G4015" s="54"/>
      <c r="I4015" s="54"/>
      <c r="K4015" s="54"/>
      <c r="M4015" s="114"/>
      <c r="N4015" s="1"/>
      <c r="O4015" s="1"/>
      <c r="P4015" s="51"/>
    </row>
    <row r="4016">
      <c r="A4016" s="54"/>
      <c r="B4016" s="71"/>
      <c r="C4016" s="51"/>
      <c r="D4016" s="114"/>
      <c r="E4016" s="114"/>
      <c r="F4016" s="54"/>
      <c r="G4016" s="54"/>
      <c r="I4016" s="54"/>
      <c r="K4016" s="54"/>
      <c r="M4016" s="114"/>
      <c r="N4016" s="1"/>
      <c r="O4016" s="1"/>
      <c r="P4016" s="51"/>
    </row>
    <row r="4017">
      <c r="A4017" s="54"/>
      <c r="B4017" s="71"/>
      <c r="C4017" s="51"/>
      <c r="D4017" s="114"/>
      <c r="E4017" s="114"/>
      <c r="F4017" s="54"/>
      <c r="G4017" s="54"/>
      <c r="I4017" s="54"/>
      <c r="K4017" s="54"/>
      <c r="M4017" s="114"/>
      <c r="N4017" s="1"/>
      <c r="O4017" s="1"/>
      <c r="P4017" s="51"/>
    </row>
    <row r="4018">
      <c r="A4018" s="54"/>
      <c r="B4018" s="71"/>
      <c r="C4018" s="51"/>
      <c r="D4018" s="114"/>
      <c r="E4018" s="114"/>
      <c r="F4018" s="54"/>
      <c r="G4018" s="54"/>
      <c r="I4018" s="54"/>
      <c r="K4018" s="54"/>
      <c r="M4018" s="114"/>
      <c r="N4018" s="1"/>
      <c r="O4018" s="1"/>
      <c r="P4018" s="51"/>
    </row>
    <row r="4019">
      <c r="A4019" s="54"/>
      <c r="B4019" s="71"/>
      <c r="C4019" s="51"/>
      <c r="D4019" s="114"/>
      <c r="E4019" s="114"/>
      <c r="F4019" s="54"/>
      <c r="G4019" s="54"/>
      <c r="I4019" s="54"/>
      <c r="K4019" s="54"/>
      <c r="M4019" s="114"/>
      <c r="N4019" s="1"/>
      <c r="O4019" s="1"/>
      <c r="P4019" s="51"/>
    </row>
    <row r="4020">
      <c r="A4020" s="54"/>
      <c r="B4020" s="71"/>
      <c r="C4020" s="51"/>
      <c r="D4020" s="114"/>
      <c r="E4020" s="114"/>
      <c r="F4020" s="54"/>
      <c r="G4020" s="54"/>
      <c r="I4020" s="54"/>
      <c r="K4020" s="54"/>
      <c r="M4020" s="114"/>
      <c r="N4020" s="1"/>
      <c r="O4020" s="1"/>
      <c r="P4020" s="51"/>
    </row>
    <row r="4021">
      <c r="A4021" s="54"/>
      <c r="B4021" s="71"/>
      <c r="C4021" s="51"/>
      <c r="D4021" s="114"/>
      <c r="E4021" s="114"/>
      <c r="F4021" s="54"/>
      <c r="G4021" s="54"/>
      <c r="I4021" s="54"/>
      <c r="K4021" s="54"/>
      <c r="M4021" s="114"/>
      <c r="N4021" s="1"/>
      <c r="O4021" s="1"/>
      <c r="P4021" s="51"/>
    </row>
    <row r="4022">
      <c r="A4022" s="54"/>
      <c r="B4022" s="71"/>
      <c r="C4022" s="51"/>
      <c r="D4022" s="114"/>
      <c r="E4022" s="114"/>
      <c r="F4022" s="54"/>
      <c r="G4022" s="54"/>
      <c r="I4022" s="54"/>
      <c r="K4022" s="54"/>
      <c r="M4022" s="114"/>
      <c r="N4022" s="1"/>
      <c r="O4022" s="1"/>
      <c r="P4022" s="51"/>
    </row>
    <row r="4023">
      <c r="A4023" s="54"/>
      <c r="B4023" s="71"/>
      <c r="C4023" s="51"/>
      <c r="D4023" s="114"/>
      <c r="E4023" s="114"/>
      <c r="F4023" s="54"/>
      <c r="G4023" s="54"/>
      <c r="I4023" s="54"/>
      <c r="K4023" s="54"/>
      <c r="M4023" s="114"/>
      <c r="N4023" s="1"/>
      <c r="O4023" s="1"/>
      <c r="P4023" s="51"/>
    </row>
    <row r="4024">
      <c r="A4024" s="54"/>
      <c r="B4024" s="71"/>
      <c r="C4024" s="51"/>
      <c r="D4024" s="114"/>
      <c r="E4024" s="114"/>
      <c r="F4024" s="54"/>
      <c r="G4024" s="54"/>
      <c r="I4024" s="54"/>
      <c r="K4024" s="54"/>
      <c r="M4024" s="114"/>
      <c r="N4024" s="1"/>
      <c r="O4024" s="1"/>
      <c r="P4024" s="51"/>
    </row>
    <row r="4025">
      <c r="A4025" s="54"/>
      <c r="B4025" s="71"/>
      <c r="C4025" s="51"/>
      <c r="D4025" s="114"/>
      <c r="E4025" s="114"/>
      <c r="F4025" s="54"/>
      <c r="G4025" s="54"/>
      <c r="I4025" s="54"/>
      <c r="K4025" s="54"/>
      <c r="M4025" s="114"/>
      <c r="N4025" s="1"/>
      <c r="O4025" s="1"/>
      <c r="P4025" s="51"/>
    </row>
    <row r="4026">
      <c r="A4026" s="54"/>
      <c r="B4026" s="71"/>
      <c r="C4026" s="51"/>
      <c r="D4026" s="114"/>
      <c r="E4026" s="114"/>
      <c r="F4026" s="54"/>
      <c r="G4026" s="54"/>
      <c r="I4026" s="54"/>
      <c r="K4026" s="54"/>
      <c r="M4026" s="114"/>
      <c r="N4026" s="1"/>
      <c r="O4026" s="1"/>
      <c r="P4026" s="51"/>
    </row>
    <row r="4027">
      <c r="A4027" s="54"/>
      <c r="B4027" s="71"/>
      <c r="C4027" s="51"/>
      <c r="D4027" s="114"/>
      <c r="E4027" s="114"/>
      <c r="F4027" s="54"/>
      <c r="G4027" s="54"/>
      <c r="I4027" s="54"/>
      <c r="K4027" s="54"/>
      <c r="M4027" s="114"/>
      <c r="N4027" s="1"/>
      <c r="O4027" s="1"/>
      <c r="P4027" s="51"/>
    </row>
    <row r="4028">
      <c r="A4028" s="54"/>
      <c r="B4028" s="71"/>
      <c r="C4028" s="51"/>
      <c r="D4028" s="114"/>
      <c r="E4028" s="114"/>
      <c r="F4028" s="54"/>
      <c r="G4028" s="54"/>
      <c r="I4028" s="54"/>
      <c r="K4028" s="54"/>
      <c r="M4028" s="114"/>
      <c r="N4028" s="1"/>
      <c r="O4028" s="1"/>
      <c r="P4028" s="51"/>
    </row>
    <row r="4029">
      <c r="A4029" s="54"/>
      <c r="B4029" s="71"/>
      <c r="C4029" s="51"/>
      <c r="D4029" s="114"/>
      <c r="E4029" s="114"/>
      <c r="F4029" s="54"/>
      <c r="G4029" s="54"/>
      <c r="I4029" s="54"/>
      <c r="K4029" s="54"/>
      <c r="M4029" s="114"/>
      <c r="N4029" s="1"/>
      <c r="O4029" s="1"/>
      <c r="P4029" s="51"/>
    </row>
    <row r="4030">
      <c r="A4030" s="54"/>
      <c r="B4030" s="71"/>
      <c r="C4030" s="51"/>
      <c r="D4030" s="114"/>
      <c r="E4030" s="114"/>
      <c r="F4030" s="54"/>
      <c r="G4030" s="54"/>
      <c r="I4030" s="54"/>
      <c r="K4030" s="54"/>
      <c r="M4030" s="114"/>
      <c r="N4030" s="1"/>
      <c r="O4030" s="1"/>
      <c r="P4030" s="51"/>
    </row>
    <row r="4031">
      <c r="A4031" s="54"/>
      <c r="B4031" s="71"/>
      <c r="C4031" s="51"/>
      <c r="D4031" s="114"/>
      <c r="E4031" s="114"/>
      <c r="F4031" s="54"/>
      <c r="G4031" s="54"/>
      <c r="I4031" s="54"/>
      <c r="K4031" s="54"/>
      <c r="M4031" s="114"/>
      <c r="N4031" s="1"/>
      <c r="O4031" s="1"/>
      <c r="P4031" s="51"/>
    </row>
    <row r="4032">
      <c r="A4032" s="54"/>
      <c r="B4032" s="71"/>
      <c r="C4032" s="51"/>
      <c r="D4032" s="114"/>
      <c r="E4032" s="114"/>
      <c r="F4032" s="54"/>
      <c r="G4032" s="54"/>
      <c r="I4032" s="54"/>
      <c r="K4032" s="54"/>
      <c r="M4032" s="114"/>
      <c r="N4032" s="1"/>
      <c r="O4032" s="1"/>
      <c r="P4032" s="51"/>
    </row>
    <row r="4033">
      <c r="A4033" s="54"/>
      <c r="B4033" s="71"/>
      <c r="C4033" s="51"/>
      <c r="D4033" s="114"/>
      <c r="E4033" s="114"/>
      <c r="F4033" s="54"/>
      <c r="G4033" s="54"/>
      <c r="I4033" s="54"/>
      <c r="K4033" s="54"/>
      <c r="M4033" s="114"/>
      <c r="N4033" s="1"/>
      <c r="O4033" s="1"/>
      <c r="P4033" s="51"/>
    </row>
    <row r="4034">
      <c r="A4034" s="54"/>
      <c r="B4034" s="71"/>
      <c r="C4034" s="51"/>
      <c r="D4034" s="114"/>
      <c r="E4034" s="114"/>
      <c r="F4034" s="54"/>
      <c r="G4034" s="54"/>
      <c r="I4034" s="54"/>
      <c r="K4034" s="54"/>
      <c r="M4034" s="114"/>
      <c r="N4034" s="1"/>
      <c r="O4034" s="1"/>
      <c r="P4034" s="51"/>
    </row>
    <row r="4035">
      <c r="A4035" s="54"/>
      <c r="B4035" s="71"/>
      <c r="C4035" s="51"/>
      <c r="D4035" s="114"/>
      <c r="E4035" s="114"/>
      <c r="F4035" s="54"/>
      <c r="G4035" s="54"/>
      <c r="I4035" s="54"/>
      <c r="K4035" s="54"/>
      <c r="M4035" s="114"/>
      <c r="N4035" s="1"/>
      <c r="O4035" s="1"/>
      <c r="P4035" s="51"/>
    </row>
    <row r="4036">
      <c r="A4036" s="54"/>
      <c r="B4036" s="71"/>
      <c r="C4036" s="51"/>
      <c r="D4036" s="114"/>
      <c r="E4036" s="114"/>
      <c r="F4036" s="54"/>
      <c r="G4036" s="54"/>
      <c r="I4036" s="54"/>
      <c r="K4036" s="54"/>
      <c r="M4036" s="114"/>
      <c r="N4036" s="1"/>
      <c r="O4036" s="1"/>
      <c r="P4036" s="51"/>
    </row>
    <row r="4037">
      <c r="A4037" s="54"/>
      <c r="B4037" s="71"/>
      <c r="C4037" s="51"/>
      <c r="D4037" s="114"/>
      <c r="E4037" s="114"/>
      <c r="F4037" s="54"/>
      <c r="G4037" s="54"/>
      <c r="I4037" s="54"/>
      <c r="K4037" s="54"/>
      <c r="M4037" s="114"/>
      <c r="N4037" s="1"/>
      <c r="O4037" s="1"/>
      <c r="P4037" s="51"/>
    </row>
    <row r="4038">
      <c r="A4038" s="54"/>
      <c r="B4038" s="71"/>
      <c r="C4038" s="51"/>
      <c r="D4038" s="114"/>
      <c r="E4038" s="114"/>
      <c r="F4038" s="54"/>
      <c r="G4038" s="54"/>
      <c r="I4038" s="54"/>
      <c r="K4038" s="54"/>
      <c r="M4038" s="114"/>
      <c r="N4038" s="1"/>
      <c r="O4038" s="1"/>
      <c r="P4038" s="51"/>
    </row>
    <row r="4039">
      <c r="A4039" s="54"/>
      <c r="B4039" s="71"/>
      <c r="C4039" s="51"/>
      <c r="D4039" s="114"/>
      <c r="E4039" s="114"/>
      <c r="F4039" s="54"/>
      <c r="G4039" s="54"/>
      <c r="I4039" s="54"/>
      <c r="K4039" s="54"/>
      <c r="M4039" s="114"/>
      <c r="N4039" s="1"/>
      <c r="O4039" s="1"/>
      <c r="P4039" s="51"/>
    </row>
    <row r="4040">
      <c r="A4040" s="54"/>
      <c r="B4040" s="71"/>
      <c r="C4040" s="51"/>
      <c r="D4040" s="114"/>
      <c r="E4040" s="114"/>
      <c r="F4040" s="54"/>
      <c r="G4040" s="54"/>
      <c r="I4040" s="54"/>
      <c r="K4040" s="54"/>
      <c r="M4040" s="114"/>
      <c r="N4040" s="1"/>
      <c r="O4040" s="1"/>
      <c r="P4040" s="51"/>
    </row>
    <row r="4041">
      <c r="A4041" s="54"/>
      <c r="B4041" s="71"/>
      <c r="C4041" s="51"/>
      <c r="D4041" s="114"/>
      <c r="E4041" s="114"/>
      <c r="F4041" s="54"/>
      <c r="G4041" s="54"/>
      <c r="I4041" s="54"/>
      <c r="K4041" s="54"/>
      <c r="M4041" s="114"/>
      <c r="N4041" s="1"/>
      <c r="O4041" s="1"/>
      <c r="P4041" s="51"/>
    </row>
    <row r="4042">
      <c r="A4042" s="54"/>
      <c r="B4042" s="71"/>
      <c r="C4042" s="51"/>
      <c r="D4042" s="114"/>
      <c r="E4042" s="114"/>
      <c r="F4042" s="54"/>
      <c r="G4042" s="54"/>
      <c r="I4042" s="54"/>
      <c r="K4042" s="54"/>
      <c r="M4042" s="114"/>
      <c r="N4042" s="1"/>
      <c r="O4042" s="1"/>
      <c r="P4042" s="51"/>
    </row>
    <row r="4043">
      <c r="A4043" s="54"/>
      <c r="B4043" s="71"/>
      <c r="C4043" s="51"/>
      <c r="D4043" s="114"/>
      <c r="E4043" s="114"/>
      <c r="F4043" s="54"/>
      <c r="G4043" s="54"/>
      <c r="I4043" s="54"/>
      <c r="K4043" s="54"/>
      <c r="M4043" s="114"/>
      <c r="N4043" s="1"/>
      <c r="O4043" s="1"/>
      <c r="P4043" s="51"/>
    </row>
    <row r="4044">
      <c r="A4044" s="54"/>
      <c r="B4044" s="71"/>
      <c r="C4044" s="51"/>
      <c r="D4044" s="114"/>
      <c r="E4044" s="114"/>
      <c r="F4044" s="54"/>
      <c r="G4044" s="54"/>
      <c r="I4044" s="54"/>
      <c r="K4044" s="54"/>
      <c r="M4044" s="114"/>
      <c r="N4044" s="1"/>
      <c r="O4044" s="1"/>
      <c r="P4044" s="51"/>
    </row>
    <row r="4045">
      <c r="A4045" s="54"/>
      <c r="B4045" s="71"/>
      <c r="C4045" s="51"/>
      <c r="D4045" s="114"/>
      <c r="E4045" s="114"/>
      <c r="F4045" s="54"/>
      <c r="G4045" s="54"/>
      <c r="I4045" s="54"/>
      <c r="K4045" s="54"/>
      <c r="M4045" s="114"/>
      <c r="N4045" s="1"/>
      <c r="O4045" s="1"/>
      <c r="P4045" s="51"/>
    </row>
    <row r="4046">
      <c r="A4046" s="54"/>
      <c r="B4046" s="71"/>
      <c r="C4046" s="51"/>
      <c r="D4046" s="114"/>
      <c r="E4046" s="114"/>
      <c r="F4046" s="54"/>
      <c r="G4046" s="54"/>
      <c r="I4046" s="54"/>
      <c r="K4046" s="54"/>
      <c r="M4046" s="114"/>
      <c r="N4046" s="1"/>
      <c r="O4046" s="1"/>
      <c r="P4046" s="51"/>
    </row>
    <row r="4047">
      <c r="A4047" s="54"/>
      <c r="B4047" s="71"/>
      <c r="C4047" s="51"/>
      <c r="D4047" s="114"/>
      <c r="E4047" s="114"/>
      <c r="F4047" s="54"/>
      <c r="G4047" s="54"/>
      <c r="I4047" s="54"/>
      <c r="K4047" s="54"/>
      <c r="M4047" s="114"/>
      <c r="N4047" s="1"/>
      <c r="O4047" s="1"/>
      <c r="P4047" s="51"/>
    </row>
    <row r="4048">
      <c r="A4048" s="54"/>
      <c r="B4048" s="71"/>
      <c r="C4048" s="51"/>
      <c r="D4048" s="114"/>
      <c r="E4048" s="114"/>
      <c r="F4048" s="54"/>
      <c r="G4048" s="54"/>
      <c r="I4048" s="54"/>
      <c r="K4048" s="54"/>
      <c r="M4048" s="114"/>
      <c r="N4048" s="1"/>
      <c r="O4048" s="1"/>
      <c r="P4048" s="51"/>
    </row>
    <row r="4049">
      <c r="A4049" s="54"/>
      <c r="B4049" s="71"/>
      <c r="C4049" s="51"/>
      <c r="D4049" s="114"/>
      <c r="E4049" s="114"/>
      <c r="F4049" s="54"/>
      <c r="G4049" s="54"/>
      <c r="I4049" s="54"/>
      <c r="K4049" s="54"/>
      <c r="M4049" s="114"/>
      <c r="N4049" s="1"/>
      <c r="O4049" s="1"/>
      <c r="P4049" s="51"/>
    </row>
    <row r="4050">
      <c r="A4050" s="54"/>
      <c r="B4050" s="71"/>
      <c r="C4050" s="51"/>
      <c r="D4050" s="114"/>
      <c r="E4050" s="114"/>
      <c r="F4050" s="54"/>
      <c r="G4050" s="54"/>
      <c r="I4050" s="54"/>
      <c r="K4050" s="54"/>
      <c r="M4050" s="114"/>
      <c r="N4050" s="1"/>
      <c r="O4050" s="1"/>
      <c r="P4050" s="51"/>
    </row>
    <row r="4051">
      <c r="A4051" s="54"/>
      <c r="B4051" s="71"/>
      <c r="C4051" s="51"/>
      <c r="D4051" s="114"/>
      <c r="E4051" s="114"/>
      <c r="F4051" s="54"/>
      <c r="G4051" s="54"/>
      <c r="I4051" s="54"/>
      <c r="K4051" s="54"/>
      <c r="M4051" s="114"/>
      <c r="N4051" s="1"/>
      <c r="O4051" s="1"/>
      <c r="P4051" s="51"/>
    </row>
    <row r="4052">
      <c r="A4052" s="54"/>
      <c r="B4052" s="71"/>
      <c r="C4052" s="51"/>
      <c r="D4052" s="114"/>
      <c r="E4052" s="114"/>
      <c r="F4052" s="54"/>
      <c r="G4052" s="54"/>
      <c r="I4052" s="54"/>
      <c r="K4052" s="54"/>
      <c r="M4052" s="114"/>
      <c r="N4052" s="1"/>
      <c r="O4052" s="1"/>
      <c r="P4052" s="51"/>
    </row>
    <row r="4053">
      <c r="A4053" s="54"/>
      <c r="B4053" s="71"/>
      <c r="C4053" s="51"/>
      <c r="D4053" s="114"/>
      <c r="E4053" s="114"/>
      <c r="F4053" s="54"/>
      <c r="G4053" s="54"/>
      <c r="I4053" s="54"/>
      <c r="K4053" s="54"/>
      <c r="M4053" s="114"/>
      <c r="N4053" s="1"/>
      <c r="O4053" s="1"/>
      <c r="P4053" s="51"/>
    </row>
    <row r="4054">
      <c r="A4054" s="54"/>
      <c r="B4054" s="71"/>
      <c r="C4054" s="51"/>
      <c r="D4054" s="114"/>
      <c r="E4054" s="114"/>
      <c r="F4054" s="54"/>
      <c r="G4054" s="54"/>
      <c r="I4054" s="54"/>
      <c r="K4054" s="54"/>
      <c r="M4054" s="114"/>
      <c r="N4054" s="1"/>
      <c r="O4054" s="1"/>
      <c r="P4054" s="51"/>
    </row>
    <row r="4055">
      <c r="A4055" s="54"/>
      <c r="B4055" s="71"/>
      <c r="C4055" s="51"/>
      <c r="D4055" s="114"/>
      <c r="E4055" s="114"/>
      <c r="F4055" s="54"/>
      <c r="G4055" s="54"/>
      <c r="I4055" s="54"/>
      <c r="K4055" s="54"/>
      <c r="M4055" s="114"/>
      <c r="N4055" s="1"/>
      <c r="O4055" s="1"/>
      <c r="P4055" s="51"/>
    </row>
    <row r="4056">
      <c r="A4056" s="54"/>
      <c r="B4056" s="71"/>
      <c r="C4056" s="51"/>
      <c r="D4056" s="114"/>
      <c r="E4056" s="114"/>
      <c r="F4056" s="54"/>
      <c r="G4056" s="54"/>
      <c r="I4056" s="54"/>
      <c r="K4056" s="54"/>
      <c r="M4056" s="114"/>
      <c r="N4056" s="1"/>
      <c r="O4056" s="1"/>
      <c r="P4056" s="51"/>
    </row>
    <row r="4057">
      <c r="A4057" s="54"/>
      <c r="B4057" s="71"/>
      <c r="C4057" s="51"/>
      <c r="D4057" s="114"/>
      <c r="E4057" s="114"/>
      <c r="F4057" s="54"/>
      <c r="G4057" s="54"/>
      <c r="I4057" s="54"/>
      <c r="K4057" s="54"/>
      <c r="M4057" s="114"/>
      <c r="N4057" s="1"/>
      <c r="O4057" s="1"/>
      <c r="P4057" s="51"/>
    </row>
    <row r="4058">
      <c r="A4058" s="54"/>
      <c r="B4058" s="71"/>
      <c r="C4058" s="51"/>
      <c r="D4058" s="114"/>
      <c r="E4058" s="114"/>
      <c r="F4058" s="54"/>
      <c r="G4058" s="54"/>
      <c r="I4058" s="54"/>
      <c r="K4058" s="54"/>
      <c r="M4058" s="114"/>
      <c r="N4058" s="1"/>
      <c r="O4058" s="1"/>
      <c r="P4058" s="51"/>
    </row>
    <row r="4059">
      <c r="A4059" s="54"/>
      <c r="B4059" s="71"/>
      <c r="C4059" s="51"/>
      <c r="D4059" s="114"/>
      <c r="E4059" s="114"/>
      <c r="F4059" s="54"/>
      <c r="G4059" s="54"/>
      <c r="I4059" s="54"/>
      <c r="K4059" s="54"/>
      <c r="M4059" s="114"/>
      <c r="N4059" s="1"/>
      <c r="O4059" s="1"/>
      <c r="P4059" s="51"/>
    </row>
    <row r="4060">
      <c r="A4060" s="54"/>
      <c r="B4060" s="71"/>
      <c r="C4060" s="51"/>
      <c r="D4060" s="114"/>
      <c r="E4060" s="114"/>
      <c r="F4060" s="54"/>
      <c r="G4060" s="54"/>
      <c r="I4060" s="54"/>
      <c r="K4060" s="54"/>
      <c r="M4060" s="114"/>
      <c r="N4060" s="1"/>
      <c r="O4060" s="1"/>
      <c r="P4060" s="51"/>
    </row>
    <row r="4061">
      <c r="A4061" s="54"/>
      <c r="B4061" s="71"/>
      <c r="C4061" s="51"/>
      <c r="D4061" s="114"/>
      <c r="E4061" s="114"/>
      <c r="F4061" s="54"/>
      <c r="G4061" s="54"/>
      <c r="I4061" s="54"/>
      <c r="K4061" s="54"/>
      <c r="M4061" s="114"/>
      <c r="N4061" s="1"/>
      <c r="O4061" s="1"/>
      <c r="P4061" s="51"/>
    </row>
    <row r="4062">
      <c r="A4062" s="54"/>
      <c r="B4062" s="71"/>
      <c r="C4062" s="51"/>
      <c r="D4062" s="114"/>
      <c r="E4062" s="114"/>
      <c r="F4062" s="54"/>
      <c r="G4062" s="54"/>
      <c r="I4062" s="54"/>
      <c r="K4062" s="54"/>
      <c r="M4062" s="114"/>
      <c r="N4062" s="1"/>
      <c r="O4062" s="1"/>
      <c r="P4062" s="51"/>
    </row>
    <row r="4063">
      <c r="A4063" s="54"/>
      <c r="B4063" s="71"/>
      <c r="C4063" s="51"/>
      <c r="D4063" s="114"/>
      <c r="E4063" s="114"/>
      <c r="F4063" s="54"/>
      <c r="G4063" s="54"/>
      <c r="I4063" s="54"/>
      <c r="K4063" s="54"/>
      <c r="M4063" s="114"/>
      <c r="N4063" s="1"/>
      <c r="O4063" s="1"/>
      <c r="P4063" s="51"/>
    </row>
    <row r="4064">
      <c r="A4064" s="54"/>
      <c r="B4064" s="71"/>
      <c r="C4064" s="51"/>
      <c r="D4064" s="114"/>
      <c r="E4064" s="114"/>
      <c r="F4064" s="54"/>
      <c r="G4064" s="54"/>
      <c r="I4064" s="54"/>
      <c r="K4064" s="54"/>
      <c r="M4064" s="114"/>
      <c r="N4064" s="1"/>
      <c r="O4064" s="1"/>
      <c r="P4064" s="51"/>
    </row>
    <row r="4065">
      <c r="A4065" s="54"/>
      <c r="B4065" s="71"/>
      <c r="C4065" s="51"/>
      <c r="D4065" s="114"/>
      <c r="E4065" s="114"/>
      <c r="F4065" s="54"/>
      <c r="G4065" s="54"/>
      <c r="I4065" s="54"/>
      <c r="K4065" s="54"/>
      <c r="M4065" s="114"/>
      <c r="N4065" s="1"/>
      <c r="O4065" s="1"/>
      <c r="P4065" s="51"/>
    </row>
    <row r="4066">
      <c r="A4066" s="54"/>
      <c r="B4066" s="71"/>
      <c r="C4066" s="51"/>
      <c r="D4066" s="114"/>
      <c r="E4066" s="114"/>
      <c r="F4066" s="54"/>
      <c r="G4066" s="54"/>
      <c r="I4066" s="54"/>
      <c r="K4066" s="54"/>
      <c r="M4066" s="114"/>
      <c r="N4066" s="1"/>
      <c r="O4066" s="1"/>
      <c r="P4066" s="51"/>
    </row>
    <row r="4067">
      <c r="A4067" s="54"/>
      <c r="B4067" s="71"/>
      <c r="C4067" s="51"/>
      <c r="D4067" s="114"/>
      <c r="E4067" s="114"/>
      <c r="F4067" s="54"/>
      <c r="G4067" s="54"/>
      <c r="I4067" s="54"/>
      <c r="K4067" s="54"/>
      <c r="M4067" s="114"/>
      <c r="N4067" s="1"/>
      <c r="O4067" s="1"/>
      <c r="P4067" s="51"/>
    </row>
    <row r="4068">
      <c r="A4068" s="54"/>
      <c r="B4068" s="71"/>
      <c r="C4068" s="51"/>
      <c r="D4068" s="114"/>
      <c r="E4068" s="114"/>
      <c r="F4068" s="54"/>
      <c r="G4068" s="54"/>
      <c r="I4068" s="54"/>
      <c r="K4068" s="54"/>
      <c r="M4068" s="114"/>
      <c r="N4068" s="1"/>
      <c r="O4068" s="1"/>
      <c r="P4068" s="51"/>
    </row>
    <row r="4069">
      <c r="A4069" s="54"/>
      <c r="B4069" s="71"/>
      <c r="C4069" s="51"/>
      <c r="D4069" s="114"/>
      <c r="E4069" s="114"/>
      <c r="F4069" s="54"/>
      <c r="G4069" s="54"/>
      <c r="I4069" s="54"/>
      <c r="K4069" s="54"/>
      <c r="M4069" s="114"/>
      <c r="N4069" s="1"/>
      <c r="O4069" s="1"/>
      <c r="P4069" s="51"/>
    </row>
    <row r="4070">
      <c r="A4070" s="54"/>
      <c r="B4070" s="71"/>
      <c r="C4070" s="51"/>
      <c r="D4070" s="114"/>
      <c r="E4070" s="114"/>
      <c r="F4070" s="54"/>
      <c r="G4070" s="54"/>
      <c r="I4070" s="54"/>
      <c r="K4070" s="54"/>
      <c r="M4070" s="114"/>
      <c r="N4070" s="1"/>
      <c r="O4070" s="1"/>
      <c r="P4070" s="51"/>
    </row>
    <row r="4071">
      <c r="A4071" s="54"/>
      <c r="B4071" s="71"/>
      <c r="C4071" s="51"/>
      <c r="D4071" s="114"/>
      <c r="E4071" s="114"/>
      <c r="F4071" s="54"/>
      <c r="G4071" s="54"/>
      <c r="I4071" s="54"/>
      <c r="K4071" s="54"/>
      <c r="M4071" s="114"/>
      <c r="N4071" s="1"/>
      <c r="O4071" s="1"/>
      <c r="P4071" s="51"/>
    </row>
    <row r="4072">
      <c r="A4072" s="54"/>
      <c r="B4072" s="71"/>
      <c r="C4072" s="51"/>
      <c r="D4072" s="114"/>
      <c r="E4072" s="114"/>
      <c r="F4072" s="54"/>
      <c r="G4072" s="54"/>
      <c r="I4072" s="54"/>
      <c r="K4072" s="54"/>
      <c r="M4072" s="114"/>
      <c r="N4072" s="1"/>
      <c r="O4072" s="1"/>
      <c r="P4072" s="51"/>
    </row>
    <row r="4073">
      <c r="A4073" s="54"/>
      <c r="B4073" s="71"/>
      <c r="C4073" s="51"/>
      <c r="D4073" s="114"/>
      <c r="E4073" s="114"/>
      <c r="F4073" s="54"/>
      <c r="G4073" s="54"/>
      <c r="I4073" s="54"/>
      <c r="K4073" s="54"/>
      <c r="M4073" s="114"/>
      <c r="N4073" s="1"/>
      <c r="O4073" s="1"/>
      <c r="P4073" s="51"/>
    </row>
    <row r="4074">
      <c r="A4074" s="54"/>
      <c r="B4074" s="71"/>
      <c r="C4074" s="51"/>
      <c r="D4074" s="114"/>
      <c r="E4074" s="114"/>
      <c r="F4074" s="54"/>
      <c r="G4074" s="54"/>
      <c r="I4074" s="54"/>
      <c r="K4074" s="54"/>
      <c r="M4074" s="114"/>
      <c r="N4074" s="1"/>
      <c r="O4074" s="1"/>
      <c r="P4074" s="51"/>
    </row>
    <row r="4075">
      <c r="A4075" s="54"/>
      <c r="B4075" s="71"/>
      <c r="C4075" s="51"/>
      <c r="D4075" s="114"/>
      <c r="E4075" s="114"/>
      <c r="F4075" s="54"/>
      <c r="G4075" s="54"/>
      <c r="I4075" s="54"/>
      <c r="K4075" s="54"/>
      <c r="M4075" s="114"/>
      <c r="N4075" s="1"/>
      <c r="O4075" s="1"/>
      <c r="P4075" s="51"/>
    </row>
    <row r="4076">
      <c r="A4076" s="54"/>
      <c r="B4076" s="71"/>
      <c r="C4076" s="51"/>
      <c r="D4076" s="114"/>
      <c r="E4076" s="114"/>
      <c r="F4076" s="54"/>
      <c r="G4076" s="54"/>
      <c r="I4076" s="54"/>
      <c r="K4076" s="54"/>
      <c r="M4076" s="114"/>
      <c r="N4076" s="1"/>
      <c r="O4076" s="1"/>
      <c r="P4076" s="51"/>
    </row>
    <row r="4077">
      <c r="A4077" s="54"/>
      <c r="B4077" s="71"/>
      <c r="C4077" s="51"/>
      <c r="D4077" s="114"/>
      <c r="E4077" s="114"/>
      <c r="F4077" s="54"/>
      <c r="G4077" s="54"/>
      <c r="I4077" s="54"/>
      <c r="K4077" s="54"/>
      <c r="M4077" s="114"/>
      <c r="N4077" s="1"/>
      <c r="O4077" s="1"/>
      <c r="P4077" s="51"/>
    </row>
    <row r="4078">
      <c r="A4078" s="54"/>
      <c r="B4078" s="71"/>
      <c r="C4078" s="51"/>
      <c r="D4078" s="114"/>
      <c r="E4078" s="114"/>
      <c r="F4078" s="54"/>
      <c r="G4078" s="54"/>
      <c r="I4078" s="54"/>
      <c r="K4078" s="54"/>
      <c r="M4078" s="114"/>
      <c r="N4078" s="1"/>
      <c r="O4078" s="1"/>
      <c r="P4078" s="51"/>
    </row>
    <row r="4079">
      <c r="A4079" s="54"/>
      <c r="B4079" s="71"/>
      <c r="C4079" s="51"/>
      <c r="D4079" s="114"/>
      <c r="E4079" s="114"/>
      <c r="F4079" s="54"/>
      <c r="G4079" s="54"/>
      <c r="I4079" s="54"/>
      <c r="K4079" s="54"/>
      <c r="M4079" s="114"/>
      <c r="N4079" s="1"/>
      <c r="O4079" s="1"/>
      <c r="P4079" s="51"/>
    </row>
    <row r="4080">
      <c r="A4080" s="54"/>
      <c r="B4080" s="71"/>
      <c r="C4080" s="51"/>
      <c r="D4080" s="114"/>
      <c r="E4080" s="114"/>
      <c r="F4080" s="54"/>
      <c r="G4080" s="54"/>
      <c r="I4080" s="54"/>
      <c r="K4080" s="54"/>
      <c r="M4080" s="114"/>
      <c r="N4080" s="1"/>
      <c r="O4080" s="1"/>
      <c r="P4080" s="51"/>
    </row>
    <row r="4081">
      <c r="A4081" s="54"/>
      <c r="B4081" s="71"/>
      <c r="C4081" s="51"/>
      <c r="D4081" s="114"/>
      <c r="E4081" s="114"/>
      <c r="F4081" s="54"/>
      <c r="G4081" s="54"/>
      <c r="I4081" s="54"/>
      <c r="K4081" s="54"/>
      <c r="M4081" s="114"/>
      <c r="N4081" s="1"/>
      <c r="O4081" s="1"/>
      <c r="P4081" s="51"/>
    </row>
    <row r="4082">
      <c r="A4082" s="54"/>
      <c r="B4082" s="71"/>
      <c r="C4082" s="51"/>
      <c r="D4082" s="114"/>
      <c r="E4082" s="114"/>
      <c r="F4082" s="54"/>
      <c r="G4082" s="54"/>
      <c r="I4082" s="54"/>
      <c r="K4082" s="54"/>
      <c r="M4082" s="114"/>
      <c r="N4082" s="1"/>
      <c r="O4082" s="1"/>
      <c r="P4082" s="51"/>
    </row>
    <row r="4083">
      <c r="A4083" s="54"/>
      <c r="B4083" s="71"/>
      <c r="C4083" s="51"/>
      <c r="D4083" s="114"/>
      <c r="E4083" s="114"/>
      <c r="F4083" s="54"/>
      <c r="G4083" s="54"/>
      <c r="I4083" s="54"/>
      <c r="K4083" s="54"/>
      <c r="M4083" s="114"/>
      <c r="N4083" s="1"/>
      <c r="O4083" s="1"/>
      <c r="P4083" s="51"/>
    </row>
    <row r="4084">
      <c r="A4084" s="54"/>
      <c r="B4084" s="71"/>
      <c r="C4084" s="51"/>
      <c r="D4084" s="114"/>
      <c r="E4084" s="114"/>
      <c r="F4084" s="54"/>
      <c r="G4084" s="54"/>
      <c r="I4084" s="54"/>
      <c r="K4084" s="54"/>
      <c r="M4084" s="114"/>
      <c r="N4084" s="1"/>
      <c r="O4084" s="1"/>
      <c r="P4084" s="51"/>
    </row>
    <row r="4085">
      <c r="A4085" s="54"/>
      <c r="B4085" s="71"/>
      <c r="C4085" s="51"/>
      <c r="D4085" s="114"/>
      <c r="E4085" s="114"/>
      <c r="F4085" s="54"/>
      <c r="G4085" s="54"/>
      <c r="I4085" s="54"/>
      <c r="K4085" s="54"/>
      <c r="M4085" s="114"/>
      <c r="N4085" s="1"/>
      <c r="O4085" s="1"/>
      <c r="P4085" s="51"/>
    </row>
    <row r="4086">
      <c r="A4086" s="54"/>
      <c r="B4086" s="71"/>
      <c r="C4086" s="51"/>
      <c r="D4086" s="114"/>
      <c r="E4086" s="114"/>
      <c r="F4086" s="54"/>
      <c r="G4086" s="54"/>
      <c r="I4086" s="54"/>
      <c r="K4086" s="54"/>
      <c r="M4086" s="114"/>
      <c r="N4086" s="1"/>
      <c r="O4086" s="1"/>
      <c r="P4086" s="51"/>
    </row>
    <row r="4087">
      <c r="A4087" s="54"/>
      <c r="B4087" s="71"/>
      <c r="C4087" s="51"/>
      <c r="D4087" s="114"/>
      <c r="E4087" s="114"/>
      <c r="F4087" s="54"/>
      <c r="G4087" s="54"/>
      <c r="I4087" s="54"/>
      <c r="K4087" s="54"/>
      <c r="M4087" s="114"/>
      <c r="N4087" s="1"/>
      <c r="O4087" s="1"/>
      <c r="P4087" s="51"/>
    </row>
    <row r="4088">
      <c r="A4088" s="54"/>
      <c r="B4088" s="71"/>
      <c r="C4088" s="51"/>
      <c r="D4088" s="114"/>
      <c r="E4088" s="114"/>
      <c r="F4088" s="54"/>
      <c r="G4088" s="54"/>
      <c r="I4088" s="54"/>
      <c r="K4088" s="54"/>
      <c r="M4088" s="114"/>
      <c r="N4088" s="1"/>
      <c r="O4088" s="1"/>
      <c r="P4088" s="51"/>
    </row>
    <row r="4089">
      <c r="A4089" s="54"/>
      <c r="B4089" s="71"/>
      <c r="C4089" s="51"/>
      <c r="D4089" s="114"/>
      <c r="E4089" s="114"/>
      <c r="F4089" s="54"/>
      <c r="G4089" s="54"/>
      <c r="I4089" s="54"/>
      <c r="K4089" s="54"/>
      <c r="M4089" s="114"/>
      <c r="N4089" s="1"/>
      <c r="O4089" s="1"/>
      <c r="P4089" s="51"/>
    </row>
    <row r="4090">
      <c r="A4090" s="54"/>
      <c r="B4090" s="71"/>
      <c r="C4090" s="51"/>
      <c r="D4090" s="114"/>
      <c r="E4090" s="114"/>
      <c r="F4090" s="54"/>
      <c r="G4090" s="54"/>
      <c r="I4090" s="54"/>
      <c r="K4090" s="54"/>
      <c r="M4090" s="114"/>
      <c r="N4090" s="1"/>
      <c r="O4090" s="1"/>
      <c r="P4090" s="51"/>
    </row>
    <row r="4091">
      <c r="A4091" s="54"/>
      <c r="B4091" s="71"/>
      <c r="C4091" s="51"/>
      <c r="D4091" s="114"/>
      <c r="E4091" s="114"/>
      <c r="F4091" s="54"/>
      <c r="G4091" s="54"/>
      <c r="I4091" s="54"/>
      <c r="K4091" s="54"/>
      <c r="M4091" s="114"/>
      <c r="N4091" s="1"/>
      <c r="O4091" s="1"/>
      <c r="P4091" s="51"/>
    </row>
    <row r="4092">
      <c r="A4092" s="54"/>
      <c r="B4092" s="71"/>
      <c r="C4092" s="51"/>
      <c r="D4092" s="114"/>
      <c r="E4092" s="114"/>
      <c r="F4092" s="54"/>
      <c r="G4092" s="54"/>
      <c r="I4092" s="54"/>
      <c r="K4092" s="54"/>
      <c r="M4092" s="114"/>
      <c r="N4092" s="1"/>
      <c r="O4092" s="1"/>
      <c r="P4092" s="51"/>
    </row>
    <row r="4093">
      <c r="A4093" s="54"/>
      <c r="B4093" s="71"/>
      <c r="C4093" s="51"/>
      <c r="D4093" s="114"/>
      <c r="E4093" s="114"/>
      <c r="F4093" s="54"/>
      <c r="G4093" s="54"/>
      <c r="I4093" s="54"/>
      <c r="K4093" s="54"/>
      <c r="M4093" s="114"/>
      <c r="N4093" s="1"/>
      <c r="O4093" s="1"/>
      <c r="P4093" s="51"/>
    </row>
    <row r="4094">
      <c r="A4094" s="54"/>
      <c r="B4094" s="71"/>
      <c r="C4094" s="51"/>
      <c r="D4094" s="114"/>
      <c r="E4094" s="114"/>
      <c r="F4094" s="54"/>
      <c r="G4094" s="54"/>
      <c r="I4094" s="54"/>
      <c r="K4094" s="54"/>
      <c r="M4094" s="114"/>
      <c r="N4094" s="1"/>
      <c r="O4094" s="1"/>
      <c r="P4094" s="51"/>
    </row>
    <row r="4095">
      <c r="A4095" s="54"/>
      <c r="B4095" s="71"/>
      <c r="C4095" s="51"/>
      <c r="D4095" s="114"/>
      <c r="E4095" s="114"/>
      <c r="F4095" s="54"/>
      <c r="G4095" s="54"/>
      <c r="I4095" s="54"/>
      <c r="K4095" s="54"/>
      <c r="M4095" s="114"/>
      <c r="N4095" s="1"/>
      <c r="O4095" s="1"/>
      <c r="P4095" s="51"/>
    </row>
    <row r="4096">
      <c r="A4096" s="54"/>
      <c r="B4096" s="71"/>
      <c r="C4096" s="51"/>
      <c r="D4096" s="114"/>
      <c r="E4096" s="114"/>
      <c r="F4096" s="54"/>
      <c r="G4096" s="54"/>
      <c r="I4096" s="54"/>
      <c r="K4096" s="54"/>
      <c r="M4096" s="114"/>
      <c r="N4096" s="1"/>
      <c r="O4096" s="1"/>
      <c r="P4096" s="51"/>
    </row>
    <row r="4097">
      <c r="A4097" s="54"/>
      <c r="B4097" s="71"/>
      <c r="C4097" s="51"/>
      <c r="D4097" s="114"/>
      <c r="E4097" s="114"/>
      <c r="F4097" s="54"/>
      <c r="G4097" s="54"/>
      <c r="I4097" s="54"/>
      <c r="K4097" s="54"/>
      <c r="M4097" s="114"/>
      <c r="N4097" s="1"/>
      <c r="O4097" s="1"/>
      <c r="P4097" s="51"/>
    </row>
    <row r="4098">
      <c r="A4098" s="54"/>
      <c r="B4098" s="71"/>
      <c r="C4098" s="51"/>
      <c r="D4098" s="114"/>
      <c r="E4098" s="114"/>
      <c r="F4098" s="54"/>
      <c r="G4098" s="54"/>
      <c r="I4098" s="54"/>
      <c r="K4098" s="54"/>
      <c r="M4098" s="114"/>
      <c r="N4098" s="1"/>
      <c r="O4098" s="1"/>
      <c r="P4098" s="51"/>
    </row>
    <row r="4099">
      <c r="A4099" s="54"/>
      <c r="B4099" s="71"/>
      <c r="C4099" s="51"/>
      <c r="D4099" s="114"/>
      <c r="E4099" s="114"/>
      <c r="F4099" s="54"/>
      <c r="G4099" s="54"/>
      <c r="I4099" s="54"/>
      <c r="K4099" s="54"/>
      <c r="M4099" s="114"/>
      <c r="N4099" s="1"/>
      <c r="O4099" s="1"/>
      <c r="P4099" s="51"/>
    </row>
    <row r="4100">
      <c r="A4100" s="54"/>
      <c r="B4100" s="71"/>
      <c r="C4100" s="51"/>
      <c r="D4100" s="114"/>
      <c r="E4100" s="114"/>
      <c r="F4100" s="54"/>
      <c r="G4100" s="54"/>
      <c r="I4100" s="54"/>
      <c r="K4100" s="54"/>
      <c r="M4100" s="114"/>
      <c r="N4100" s="1"/>
      <c r="O4100" s="1"/>
      <c r="P4100" s="51"/>
    </row>
    <row r="4101">
      <c r="A4101" s="54"/>
      <c r="B4101" s="71"/>
      <c r="C4101" s="51"/>
      <c r="D4101" s="114"/>
      <c r="E4101" s="114"/>
      <c r="F4101" s="54"/>
      <c r="G4101" s="54"/>
      <c r="I4101" s="54"/>
      <c r="K4101" s="54"/>
      <c r="M4101" s="114"/>
      <c r="N4101" s="1"/>
      <c r="O4101" s="1"/>
      <c r="P4101" s="51"/>
    </row>
    <row r="4102">
      <c r="A4102" s="54"/>
      <c r="B4102" s="71"/>
      <c r="C4102" s="51"/>
      <c r="D4102" s="114"/>
      <c r="E4102" s="114"/>
      <c r="F4102" s="54"/>
      <c r="G4102" s="54"/>
      <c r="I4102" s="54"/>
      <c r="K4102" s="54"/>
      <c r="M4102" s="114"/>
      <c r="N4102" s="1"/>
      <c r="O4102" s="1"/>
      <c r="P4102" s="51"/>
    </row>
    <row r="4103">
      <c r="A4103" s="54"/>
      <c r="B4103" s="71"/>
      <c r="C4103" s="51"/>
      <c r="D4103" s="114"/>
      <c r="E4103" s="114"/>
      <c r="F4103" s="54"/>
      <c r="G4103" s="54"/>
      <c r="I4103" s="54"/>
      <c r="K4103" s="54"/>
      <c r="M4103" s="114"/>
      <c r="N4103" s="1"/>
      <c r="O4103" s="1"/>
      <c r="P4103" s="51"/>
    </row>
    <row r="4104">
      <c r="A4104" s="54"/>
      <c r="B4104" s="71"/>
      <c r="C4104" s="51"/>
      <c r="D4104" s="114"/>
      <c r="E4104" s="114"/>
      <c r="F4104" s="54"/>
      <c r="G4104" s="54"/>
      <c r="I4104" s="54"/>
      <c r="K4104" s="54"/>
      <c r="M4104" s="114"/>
      <c r="N4104" s="1"/>
      <c r="O4104" s="1"/>
      <c r="P4104" s="51"/>
    </row>
    <row r="4105">
      <c r="A4105" s="54"/>
      <c r="B4105" s="71"/>
      <c r="C4105" s="51"/>
      <c r="D4105" s="114"/>
      <c r="E4105" s="114"/>
      <c r="F4105" s="54"/>
      <c r="G4105" s="54"/>
      <c r="I4105" s="54"/>
      <c r="K4105" s="54"/>
      <c r="M4105" s="114"/>
      <c r="N4105" s="1"/>
      <c r="O4105" s="1"/>
      <c r="P4105" s="51"/>
    </row>
    <row r="4106">
      <c r="A4106" s="54"/>
      <c r="B4106" s="71"/>
      <c r="C4106" s="51"/>
      <c r="D4106" s="114"/>
      <c r="E4106" s="114"/>
      <c r="F4106" s="54"/>
      <c r="G4106" s="54"/>
      <c r="I4106" s="54"/>
      <c r="K4106" s="54"/>
      <c r="M4106" s="114"/>
      <c r="N4106" s="1"/>
      <c r="O4106" s="1"/>
      <c r="P4106" s="51"/>
    </row>
    <row r="4107">
      <c r="A4107" s="54"/>
      <c r="B4107" s="71"/>
      <c r="C4107" s="51"/>
      <c r="D4107" s="114"/>
      <c r="E4107" s="114"/>
      <c r="F4107" s="54"/>
      <c r="G4107" s="54"/>
      <c r="I4107" s="54"/>
      <c r="K4107" s="54"/>
      <c r="M4107" s="114"/>
      <c r="N4107" s="1"/>
      <c r="O4107" s="1"/>
      <c r="P4107" s="51"/>
    </row>
    <row r="4108">
      <c r="A4108" s="54"/>
      <c r="B4108" s="71"/>
      <c r="C4108" s="51"/>
      <c r="D4108" s="114"/>
      <c r="E4108" s="114"/>
      <c r="F4108" s="54"/>
      <c r="G4108" s="54"/>
      <c r="I4108" s="54"/>
      <c r="K4108" s="54"/>
      <c r="M4108" s="114"/>
      <c r="N4108" s="1"/>
      <c r="O4108" s="1"/>
      <c r="P4108" s="51"/>
    </row>
    <row r="4109">
      <c r="A4109" s="54"/>
      <c r="B4109" s="71"/>
      <c r="C4109" s="51"/>
      <c r="D4109" s="114"/>
      <c r="E4109" s="114"/>
      <c r="F4109" s="54"/>
      <c r="G4109" s="54"/>
      <c r="I4109" s="54"/>
      <c r="K4109" s="54"/>
      <c r="M4109" s="114"/>
      <c r="N4109" s="1"/>
      <c r="O4109" s="1"/>
      <c r="P4109" s="51"/>
    </row>
    <row r="4110">
      <c r="A4110" s="54"/>
      <c r="B4110" s="71"/>
      <c r="C4110" s="51"/>
      <c r="D4110" s="114"/>
      <c r="E4110" s="114"/>
      <c r="F4110" s="54"/>
      <c r="G4110" s="54"/>
      <c r="I4110" s="54"/>
      <c r="K4110" s="54"/>
      <c r="M4110" s="114"/>
      <c r="N4110" s="1"/>
      <c r="O4110" s="1"/>
      <c r="P4110" s="51"/>
    </row>
    <row r="4111">
      <c r="A4111" s="54"/>
      <c r="B4111" s="71"/>
      <c r="C4111" s="51"/>
      <c r="D4111" s="114"/>
      <c r="E4111" s="114"/>
      <c r="F4111" s="54"/>
      <c r="G4111" s="54"/>
      <c r="I4111" s="54"/>
      <c r="K4111" s="54"/>
      <c r="M4111" s="114"/>
      <c r="N4111" s="1"/>
      <c r="O4111" s="1"/>
      <c r="P4111" s="51"/>
    </row>
    <row r="4112">
      <c r="A4112" s="54"/>
      <c r="B4112" s="71"/>
      <c r="C4112" s="51"/>
      <c r="D4112" s="114"/>
      <c r="E4112" s="114"/>
      <c r="F4112" s="54"/>
      <c r="G4112" s="54"/>
      <c r="I4112" s="54"/>
      <c r="K4112" s="54"/>
      <c r="M4112" s="114"/>
      <c r="N4112" s="1"/>
      <c r="O4112" s="1"/>
      <c r="P4112" s="51"/>
    </row>
    <row r="4113">
      <c r="A4113" s="54"/>
      <c r="B4113" s="71"/>
      <c r="C4113" s="51"/>
      <c r="D4113" s="114"/>
      <c r="E4113" s="114"/>
      <c r="F4113" s="54"/>
      <c r="G4113" s="54"/>
      <c r="I4113" s="54"/>
      <c r="K4113" s="54"/>
      <c r="M4113" s="114"/>
      <c r="N4113" s="1"/>
      <c r="O4113" s="1"/>
      <c r="P4113" s="51"/>
    </row>
    <row r="4114">
      <c r="A4114" s="54"/>
      <c r="B4114" s="71"/>
      <c r="C4114" s="51"/>
      <c r="D4114" s="114"/>
      <c r="E4114" s="114"/>
      <c r="F4114" s="54"/>
      <c r="G4114" s="54"/>
      <c r="I4114" s="54"/>
      <c r="K4114" s="54"/>
      <c r="M4114" s="114"/>
      <c r="N4114" s="1"/>
      <c r="O4114" s="1"/>
      <c r="P4114" s="51"/>
    </row>
    <row r="4115">
      <c r="A4115" s="54"/>
      <c r="B4115" s="71"/>
      <c r="C4115" s="51"/>
      <c r="D4115" s="114"/>
      <c r="E4115" s="114"/>
      <c r="F4115" s="54"/>
      <c r="G4115" s="54"/>
      <c r="I4115" s="54"/>
      <c r="K4115" s="54"/>
      <c r="M4115" s="114"/>
      <c r="N4115" s="1"/>
      <c r="O4115" s="1"/>
      <c r="P4115" s="51"/>
    </row>
    <row r="4116">
      <c r="A4116" s="54"/>
      <c r="B4116" s="71"/>
      <c r="C4116" s="51"/>
      <c r="D4116" s="114"/>
      <c r="E4116" s="114"/>
      <c r="F4116" s="54"/>
      <c r="G4116" s="54"/>
      <c r="I4116" s="54"/>
      <c r="K4116" s="54"/>
      <c r="M4116" s="114"/>
      <c r="N4116" s="1"/>
      <c r="O4116" s="1"/>
      <c r="P4116" s="51"/>
    </row>
    <row r="4117">
      <c r="A4117" s="54"/>
      <c r="B4117" s="71"/>
      <c r="C4117" s="51"/>
      <c r="D4117" s="114"/>
      <c r="E4117" s="114"/>
      <c r="F4117" s="54"/>
      <c r="G4117" s="54"/>
      <c r="I4117" s="54"/>
      <c r="K4117" s="54"/>
      <c r="M4117" s="114"/>
      <c r="N4117" s="1"/>
      <c r="O4117" s="1"/>
      <c r="P4117" s="51"/>
    </row>
    <row r="4118">
      <c r="A4118" s="54"/>
      <c r="B4118" s="71"/>
      <c r="C4118" s="51"/>
      <c r="D4118" s="114"/>
      <c r="E4118" s="114"/>
      <c r="F4118" s="54"/>
      <c r="G4118" s="54"/>
      <c r="I4118" s="54"/>
      <c r="K4118" s="54"/>
      <c r="M4118" s="114"/>
      <c r="N4118" s="1"/>
      <c r="O4118" s="1"/>
      <c r="P4118" s="51"/>
    </row>
    <row r="4119">
      <c r="A4119" s="54"/>
      <c r="B4119" s="71"/>
      <c r="C4119" s="51"/>
      <c r="D4119" s="114"/>
      <c r="E4119" s="114"/>
      <c r="F4119" s="54"/>
      <c r="G4119" s="54"/>
      <c r="I4119" s="54"/>
      <c r="K4119" s="54"/>
      <c r="M4119" s="114"/>
      <c r="N4119" s="1"/>
      <c r="O4119" s="1"/>
      <c r="P4119" s="51"/>
    </row>
    <row r="4120">
      <c r="A4120" s="54"/>
      <c r="B4120" s="71"/>
      <c r="C4120" s="51"/>
      <c r="D4120" s="114"/>
      <c r="E4120" s="114"/>
      <c r="F4120" s="54"/>
      <c r="G4120" s="54"/>
      <c r="I4120" s="54"/>
      <c r="K4120" s="54"/>
      <c r="M4120" s="114"/>
      <c r="N4120" s="1"/>
      <c r="O4120" s="1"/>
      <c r="P4120" s="51"/>
    </row>
    <row r="4121">
      <c r="A4121" s="54"/>
      <c r="B4121" s="71"/>
      <c r="C4121" s="51"/>
      <c r="D4121" s="114"/>
      <c r="E4121" s="114"/>
      <c r="F4121" s="54"/>
      <c r="G4121" s="54"/>
      <c r="I4121" s="54"/>
      <c r="K4121" s="54"/>
      <c r="M4121" s="114"/>
      <c r="N4121" s="1"/>
      <c r="O4121" s="1"/>
      <c r="P4121" s="51"/>
    </row>
    <row r="4122">
      <c r="A4122" s="54"/>
      <c r="B4122" s="71"/>
      <c r="C4122" s="51"/>
      <c r="D4122" s="114"/>
      <c r="E4122" s="114"/>
      <c r="F4122" s="54"/>
      <c r="G4122" s="54"/>
      <c r="I4122" s="54"/>
      <c r="K4122" s="54"/>
      <c r="M4122" s="114"/>
      <c r="N4122" s="1"/>
      <c r="O4122" s="1"/>
      <c r="P4122" s="51"/>
    </row>
    <row r="4123">
      <c r="A4123" s="54"/>
      <c r="B4123" s="71"/>
      <c r="C4123" s="51"/>
      <c r="D4123" s="114"/>
      <c r="E4123" s="114"/>
      <c r="F4123" s="54"/>
      <c r="G4123" s="54"/>
      <c r="I4123" s="54"/>
      <c r="K4123" s="54"/>
      <c r="M4123" s="114"/>
      <c r="N4123" s="1"/>
      <c r="O4123" s="1"/>
      <c r="P4123" s="51"/>
    </row>
    <row r="4124">
      <c r="A4124" s="54"/>
      <c r="B4124" s="71"/>
      <c r="C4124" s="51"/>
      <c r="D4124" s="114"/>
      <c r="E4124" s="114"/>
      <c r="F4124" s="54"/>
      <c r="G4124" s="54"/>
      <c r="I4124" s="54"/>
      <c r="K4124" s="54"/>
      <c r="M4124" s="114"/>
      <c r="N4124" s="1"/>
      <c r="O4124" s="1"/>
      <c r="P4124" s="51"/>
    </row>
    <row r="4125">
      <c r="A4125" s="54"/>
      <c r="B4125" s="71"/>
      <c r="C4125" s="51"/>
      <c r="D4125" s="114"/>
      <c r="E4125" s="114"/>
      <c r="F4125" s="54"/>
      <c r="G4125" s="54"/>
      <c r="I4125" s="54"/>
      <c r="K4125" s="54"/>
      <c r="M4125" s="114"/>
      <c r="N4125" s="1"/>
      <c r="O4125" s="1"/>
      <c r="P4125" s="51"/>
    </row>
    <row r="4126">
      <c r="A4126" s="54"/>
      <c r="B4126" s="71"/>
      <c r="C4126" s="51"/>
      <c r="D4126" s="114"/>
      <c r="E4126" s="114"/>
      <c r="F4126" s="54"/>
      <c r="G4126" s="54"/>
      <c r="I4126" s="54"/>
      <c r="K4126" s="54"/>
      <c r="M4126" s="114"/>
      <c r="N4126" s="1"/>
      <c r="O4126" s="1"/>
      <c r="P4126" s="51"/>
    </row>
    <row r="4127">
      <c r="A4127" s="54"/>
      <c r="B4127" s="71"/>
      <c r="C4127" s="51"/>
      <c r="D4127" s="114"/>
      <c r="E4127" s="114"/>
      <c r="F4127" s="54"/>
      <c r="G4127" s="54"/>
      <c r="I4127" s="54"/>
      <c r="K4127" s="54"/>
      <c r="M4127" s="114"/>
      <c r="N4127" s="1"/>
      <c r="O4127" s="1"/>
      <c r="P4127" s="51"/>
    </row>
    <row r="4128">
      <c r="A4128" s="54"/>
      <c r="B4128" s="71"/>
      <c r="C4128" s="51"/>
      <c r="D4128" s="114"/>
      <c r="E4128" s="114"/>
      <c r="F4128" s="54"/>
      <c r="G4128" s="54"/>
      <c r="I4128" s="54"/>
      <c r="K4128" s="54"/>
      <c r="M4128" s="114"/>
      <c r="N4128" s="1"/>
      <c r="O4128" s="1"/>
      <c r="P4128" s="51"/>
    </row>
    <row r="4129">
      <c r="A4129" s="54"/>
      <c r="B4129" s="71"/>
      <c r="C4129" s="51"/>
      <c r="D4129" s="114"/>
      <c r="E4129" s="114"/>
      <c r="F4129" s="54"/>
      <c r="G4129" s="54"/>
      <c r="I4129" s="54"/>
      <c r="K4129" s="54"/>
      <c r="M4129" s="114"/>
      <c r="N4129" s="1"/>
      <c r="O4129" s="1"/>
      <c r="P4129" s="51"/>
    </row>
    <row r="4130">
      <c r="A4130" s="54"/>
      <c r="B4130" s="71"/>
      <c r="C4130" s="51"/>
      <c r="D4130" s="114"/>
      <c r="E4130" s="114"/>
      <c r="F4130" s="54"/>
      <c r="G4130" s="54"/>
      <c r="I4130" s="54"/>
      <c r="K4130" s="54"/>
      <c r="M4130" s="114"/>
      <c r="N4130" s="1"/>
      <c r="O4130" s="1"/>
      <c r="P4130" s="51"/>
    </row>
    <row r="4131">
      <c r="A4131" s="54"/>
      <c r="B4131" s="71"/>
      <c r="C4131" s="51"/>
      <c r="D4131" s="114"/>
      <c r="E4131" s="114"/>
      <c r="F4131" s="54"/>
      <c r="G4131" s="54"/>
      <c r="I4131" s="54"/>
      <c r="K4131" s="54"/>
      <c r="M4131" s="114"/>
      <c r="N4131" s="1"/>
      <c r="O4131" s="1"/>
      <c r="P4131" s="51"/>
    </row>
    <row r="4132">
      <c r="A4132" s="54"/>
      <c r="B4132" s="71"/>
      <c r="C4132" s="51"/>
      <c r="D4132" s="114"/>
      <c r="E4132" s="114"/>
      <c r="F4132" s="54"/>
      <c r="G4132" s="54"/>
      <c r="I4132" s="54"/>
      <c r="K4132" s="54"/>
      <c r="M4132" s="114"/>
      <c r="N4132" s="1"/>
      <c r="O4132" s="1"/>
      <c r="P4132" s="51"/>
    </row>
    <row r="4133">
      <c r="A4133" s="54"/>
      <c r="B4133" s="71"/>
      <c r="C4133" s="51"/>
      <c r="D4133" s="114"/>
      <c r="E4133" s="114"/>
      <c r="F4133" s="54"/>
      <c r="G4133" s="54"/>
      <c r="I4133" s="54"/>
      <c r="K4133" s="54"/>
      <c r="M4133" s="114"/>
      <c r="N4133" s="1"/>
      <c r="O4133" s="1"/>
      <c r="P4133" s="51"/>
    </row>
    <row r="4134">
      <c r="A4134" s="54"/>
      <c r="B4134" s="71"/>
      <c r="C4134" s="51"/>
      <c r="D4134" s="114"/>
      <c r="E4134" s="114"/>
      <c r="F4134" s="54"/>
      <c r="G4134" s="54"/>
      <c r="I4134" s="54"/>
      <c r="K4134" s="54"/>
      <c r="M4134" s="114"/>
      <c r="N4134" s="1"/>
      <c r="O4134" s="1"/>
      <c r="P4134" s="51"/>
    </row>
    <row r="4135">
      <c r="A4135" s="54"/>
      <c r="B4135" s="71"/>
      <c r="C4135" s="51"/>
      <c r="D4135" s="114"/>
      <c r="E4135" s="114"/>
      <c r="F4135" s="54"/>
      <c r="G4135" s="54"/>
      <c r="I4135" s="54"/>
      <c r="K4135" s="54"/>
      <c r="M4135" s="114"/>
      <c r="N4135" s="1"/>
      <c r="O4135" s="1"/>
      <c r="P4135" s="51"/>
    </row>
    <row r="4136">
      <c r="A4136" s="54"/>
      <c r="B4136" s="71"/>
      <c r="C4136" s="51"/>
      <c r="D4136" s="114"/>
      <c r="E4136" s="114"/>
      <c r="F4136" s="54"/>
      <c r="G4136" s="54"/>
      <c r="I4136" s="54"/>
      <c r="K4136" s="54"/>
      <c r="M4136" s="114"/>
      <c r="N4136" s="1"/>
      <c r="O4136" s="1"/>
      <c r="P4136" s="51"/>
    </row>
    <row r="4137">
      <c r="A4137" s="54"/>
      <c r="B4137" s="71"/>
      <c r="C4137" s="51"/>
      <c r="D4137" s="114"/>
      <c r="E4137" s="114"/>
      <c r="F4137" s="54"/>
      <c r="G4137" s="54"/>
      <c r="I4137" s="54"/>
      <c r="K4137" s="54"/>
      <c r="M4137" s="114"/>
      <c r="N4137" s="1"/>
      <c r="O4137" s="1"/>
      <c r="P4137" s="51"/>
    </row>
    <row r="4138">
      <c r="A4138" s="54"/>
      <c r="B4138" s="71"/>
      <c r="C4138" s="51"/>
      <c r="D4138" s="114"/>
      <c r="E4138" s="114"/>
      <c r="F4138" s="54"/>
      <c r="G4138" s="54"/>
      <c r="I4138" s="54"/>
      <c r="K4138" s="54"/>
      <c r="M4138" s="114"/>
      <c r="N4138" s="1"/>
      <c r="O4138" s="1"/>
      <c r="P4138" s="51"/>
    </row>
    <row r="4139">
      <c r="A4139" s="54"/>
      <c r="B4139" s="71"/>
      <c r="C4139" s="51"/>
      <c r="D4139" s="114"/>
      <c r="E4139" s="114"/>
      <c r="F4139" s="54"/>
      <c r="G4139" s="54"/>
      <c r="I4139" s="54"/>
      <c r="K4139" s="54"/>
      <c r="M4139" s="114"/>
      <c r="N4139" s="1"/>
      <c r="O4139" s="1"/>
      <c r="P4139" s="51"/>
    </row>
    <row r="4140">
      <c r="A4140" s="54"/>
      <c r="B4140" s="71"/>
      <c r="C4140" s="51"/>
      <c r="D4140" s="114"/>
      <c r="E4140" s="114"/>
      <c r="F4140" s="54"/>
      <c r="G4140" s="54"/>
      <c r="I4140" s="54"/>
      <c r="K4140" s="54"/>
      <c r="M4140" s="114"/>
      <c r="N4140" s="1"/>
      <c r="O4140" s="1"/>
      <c r="P4140" s="51"/>
    </row>
    <row r="4141">
      <c r="A4141" s="54"/>
      <c r="B4141" s="71"/>
      <c r="C4141" s="51"/>
      <c r="D4141" s="114"/>
      <c r="E4141" s="114"/>
      <c r="F4141" s="54"/>
      <c r="G4141" s="54"/>
      <c r="I4141" s="54"/>
      <c r="K4141" s="54"/>
      <c r="M4141" s="114"/>
      <c r="N4141" s="1"/>
      <c r="O4141" s="1"/>
      <c r="P4141" s="51"/>
    </row>
    <row r="4142">
      <c r="A4142" s="54"/>
      <c r="B4142" s="71"/>
      <c r="C4142" s="51"/>
      <c r="D4142" s="114"/>
      <c r="E4142" s="114"/>
      <c r="F4142" s="54"/>
      <c r="G4142" s="54"/>
      <c r="I4142" s="54"/>
      <c r="K4142" s="54"/>
      <c r="M4142" s="114"/>
      <c r="N4142" s="1"/>
      <c r="O4142" s="1"/>
      <c r="P4142" s="51"/>
    </row>
    <row r="4143">
      <c r="A4143" s="54"/>
      <c r="B4143" s="71"/>
      <c r="C4143" s="51"/>
      <c r="D4143" s="114"/>
      <c r="E4143" s="114"/>
      <c r="F4143" s="54"/>
      <c r="G4143" s="54"/>
      <c r="I4143" s="54"/>
      <c r="K4143" s="54"/>
      <c r="M4143" s="114"/>
      <c r="N4143" s="1"/>
      <c r="O4143" s="1"/>
      <c r="P4143" s="51"/>
    </row>
    <row r="4144">
      <c r="A4144" s="54"/>
      <c r="B4144" s="71"/>
      <c r="C4144" s="51"/>
      <c r="D4144" s="114"/>
      <c r="E4144" s="114"/>
      <c r="F4144" s="54"/>
      <c r="G4144" s="54"/>
      <c r="I4144" s="54"/>
      <c r="K4144" s="54"/>
      <c r="M4144" s="114"/>
      <c r="N4144" s="1"/>
      <c r="O4144" s="1"/>
      <c r="P4144" s="51"/>
    </row>
    <row r="4145">
      <c r="A4145" s="54"/>
      <c r="B4145" s="71"/>
      <c r="C4145" s="51"/>
      <c r="D4145" s="114"/>
      <c r="E4145" s="114"/>
      <c r="F4145" s="54"/>
      <c r="G4145" s="54"/>
      <c r="I4145" s="54"/>
      <c r="K4145" s="54"/>
      <c r="M4145" s="114"/>
      <c r="N4145" s="1"/>
      <c r="O4145" s="1"/>
      <c r="P4145" s="51"/>
    </row>
    <row r="4146">
      <c r="A4146" s="54"/>
      <c r="B4146" s="71"/>
      <c r="C4146" s="51"/>
      <c r="D4146" s="114"/>
      <c r="E4146" s="114"/>
      <c r="F4146" s="54"/>
      <c r="G4146" s="54"/>
      <c r="I4146" s="54"/>
      <c r="K4146" s="54"/>
      <c r="M4146" s="114"/>
      <c r="N4146" s="1"/>
      <c r="O4146" s="1"/>
      <c r="P4146" s="51"/>
    </row>
    <row r="4147">
      <c r="A4147" s="54"/>
      <c r="B4147" s="71"/>
      <c r="C4147" s="51"/>
      <c r="D4147" s="114"/>
      <c r="E4147" s="114"/>
      <c r="F4147" s="54"/>
      <c r="G4147" s="54"/>
      <c r="I4147" s="54"/>
      <c r="K4147" s="54"/>
      <c r="M4147" s="114"/>
      <c r="N4147" s="1"/>
      <c r="O4147" s="1"/>
      <c r="P4147" s="51"/>
    </row>
    <row r="4148">
      <c r="A4148" s="54"/>
      <c r="B4148" s="71"/>
      <c r="C4148" s="51"/>
      <c r="D4148" s="114"/>
      <c r="E4148" s="114"/>
      <c r="F4148" s="54"/>
      <c r="G4148" s="54"/>
      <c r="I4148" s="54"/>
      <c r="K4148" s="54"/>
      <c r="M4148" s="114"/>
      <c r="N4148" s="1"/>
      <c r="O4148" s="1"/>
      <c r="P4148" s="51"/>
    </row>
    <row r="4149">
      <c r="A4149" s="54"/>
      <c r="B4149" s="71"/>
      <c r="C4149" s="51"/>
      <c r="D4149" s="114"/>
      <c r="E4149" s="114"/>
      <c r="F4149" s="54"/>
      <c r="G4149" s="54"/>
      <c r="I4149" s="54"/>
      <c r="K4149" s="54"/>
      <c r="M4149" s="114"/>
      <c r="N4149" s="1"/>
      <c r="O4149" s="1"/>
      <c r="P4149" s="51"/>
    </row>
    <row r="4150">
      <c r="A4150" s="54"/>
      <c r="B4150" s="71"/>
      <c r="C4150" s="51"/>
      <c r="D4150" s="114"/>
      <c r="E4150" s="114"/>
      <c r="F4150" s="54"/>
      <c r="G4150" s="54"/>
      <c r="I4150" s="54"/>
      <c r="K4150" s="54"/>
      <c r="M4150" s="114"/>
      <c r="N4150" s="1"/>
      <c r="O4150" s="1"/>
      <c r="P4150" s="51"/>
    </row>
    <row r="4151">
      <c r="A4151" s="54"/>
      <c r="B4151" s="71"/>
      <c r="C4151" s="51"/>
      <c r="D4151" s="114"/>
      <c r="E4151" s="114"/>
      <c r="F4151" s="54"/>
      <c r="G4151" s="54"/>
      <c r="I4151" s="54"/>
      <c r="K4151" s="54"/>
      <c r="M4151" s="114"/>
      <c r="N4151" s="1"/>
      <c r="O4151" s="1"/>
      <c r="P4151" s="51"/>
    </row>
    <row r="4152">
      <c r="A4152" s="54"/>
      <c r="B4152" s="71"/>
      <c r="C4152" s="51"/>
      <c r="D4152" s="114"/>
      <c r="E4152" s="114"/>
      <c r="F4152" s="54"/>
      <c r="G4152" s="54"/>
      <c r="I4152" s="54"/>
      <c r="K4152" s="54"/>
      <c r="M4152" s="114"/>
      <c r="N4152" s="1"/>
      <c r="O4152" s="1"/>
      <c r="P4152" s="51"/>
    </row>
    <row r="4153">
      <c r="A4153" s="54"/>
      <c r="B4153" s="71"/>
      <c r="C4153" s="51"/>
      <c r="D4153" s="114"/>
      <c r="E4153" s="114"/>
      <c r="F4153" s="54"/>
      <c r="G4153" s="54"/>
      <c r="I4153" s="54"/>
      <c r="K4153" s="54"/>
      <c r="M4153" s="114"/>
      <c r="N4153" s="1"/>
      <c r="O4153" s="1"/>
      <c r="P4153" s="51"/>
    </row>
    <row r="4154">
      <c r="A4154" s="54"/>
      <c r="B4154" s="71"/>
      <c r="C4154" s="51"/>
      <c r="D4154" s="114"/>
      <c r="E4154" s="114"/>
      <c r="F4154" s="54"/>
      <c r="G4154" s="54"/>
      <c r="I4154" s="54"/>
      <c r="K4154" s="54"/>
      <c r="M4154" s="114"/>
      <c r="N4154" s="1"/>
      <c r="O4154" s="1"/>
      <c r="P4154" s="51"/>
    </row>
    <row r="4155">
      <c r="A4155" s="54"/>
      <c r="B4155" s="71"/>
      <c r="C4155" s="51"/>
      <c r="D4155" s="114"/>
      <c r="E4155" s="114"/>
      <c r="F4155" s="54"/>
      <c r="G4155" s="54"/>
      <c r="I4155" s="54"/>
      <c r="K4155" s="54"/>
      <c r="M4155" s="114"/>
      <c r="N4155" s="1"/>
      <c r="O4155" s="1"/>
      <c r="P4155" s="51"/>
    </row>
    <row r="4156">
      <c r="A4156" s="54"/>
      <c r="B4156" s="71"/>
      <c r="C4156" s="51"/>
      <c r="D4156" s="114"/>
      <c r="E4156" s="114"/>
      <c r="F4156" s="54"/>
      <c r="G4156" s="54"/>
      <c r="I4156" s="54"/>
      <c r="K4156" s="54"/>
      <c r="M4156" s="114"/>
      <c r="N4156" s="1"/>
      <c r="O4156" s="1"/>
      <c r="P4156" s="51"/>
    </row>
    <row r="4157">
      <c r="A4157" s="54"/>
      <c r="B4157" s="71"/>
      <c r="C4157" s="51"/>
      <c r="D4157" s="114"/>
      <c r="E4157" s="114"/>
      <c r="F4157" s="54"/>
      <c r="G4157" s="54"/>
      <c r="I4157" s="54"/>
      <c r="K4157" s="54"/>
      <c r="M4157" s="114"/>
      <c r="N4157" s="1"/>
      <c r="O4157" s="1"/>
      <c r="P4157" s="51"/>
    </row>
    <row r="4158">
      <c r="A4158" s="54"/>
      <c r="B4158" s="71"/>
      <c r="C4158" s="51"/>
      <c r="D4158" s="114"/>
      <c r="E4158" s="114"/>
      <c r="F4158" s="54"/>
      <c r="G4158" s="54"/>
      <c r="I4158" s="54"/>
      <c r="K4158" s="54"/>
      <c r="M4158" s="114"/>
      <c r="N4158" s="1"/>
      <c r="O4158" s="1"/>
      <c r="P4158" s="51"/>
    </row>
    <row r="4159">
      <c r="A4159" s="54"/>
      <c r="B4159" s="71"/>
      <c r="C4159" s="51"/>
      <c r="D4159" s="114"/>
      <c r="E4159" s="114"/>
      <c r="F4159" s="54"/>
      <c r="G4159" s="54"/>
      <c r="I4159" s="54"/>
      <c r="K4159" s="54"/>
      <c r="M4159" s="114"/>
      <c r="N4159" s="1"/>
      <c r="O4159" s="1"/>
      <c r="P4159" s="51"/>
    </row>
    <row r="4160">
      <c r="A4160" s="54"/>
      <c r="B4160" s="71"/>
      <c r="C4160" s="51"/>
      <c r="D4160" s="114"/>
      <c r="E4160" s="114"/>
      <c r="F4160" s="54"/>
      <c r="G4160" s="54"/>
      <c r="I4160" s="54"/>
      <c r="K4160" s="54"/>
      <c r="M4160" s="114"/>
      <c r="N4160" s="1"/>
      <c r="O4160" s="1"/>
      <c r="P4160" s="51"/>
    </row>
    <row r="4161">
      <c r="A4161" s="54"/>
      <c r="B4161" s="71"/>
      <c r="C4161" s="51"/>
      <c r="D4161" s="114"/>
      <c r="E4161" s="114"/>
      <c r="F4161" s="54"/>
      <c r="G4161" s="54"/>
      <c r="I4161" s="54"/>
      <c r="K4161" s="54"/>
      <c r="M4161" s="114"/>
      <c r="N4161" s="1"/>
      <c r="O4161" s="1"/>
      <c r="P4161" s="51"/>
    </row>
    <row r="4162">
      <c r="A4162" s="54"/>
      <c r="B4162" s="71"/>
      <c r="C4162" s="51"/>
      <c r="D4162" s="114"/>
      <c r="E4162" s="114"/>
      <c r="F4162" s="54"/>
      <c r="G4162" s="54"/>
      <c r="I4162" s="54"/>
      <c r="K4162" s="54"/>
      <c r="M4162" s="114"/>
      <c r="N4162" s="1"/>
      <c r="O4162" s="1"/>
      <c r="P4162" s="51"/>
    </row>
    <row r="4163">
      <c r="A4163" s="54"/>
      <c r="B4163" s="71"/>
      <c r="C4163" s="51"/>
      <c r="D4163" s="114"/>
      <c r="E4163" s="114"/>
      <c r="F4163" s="54"/>
      <c r="G4163" s="54"/>
      <c r="I4163" s="54"/>
      <c r="K4163" s="54"/>
      <c r="M4163" s="114"/>
      <c r="N4163" s="1"/>
      <c r="O4163" s="1"/>
      <c r="P4163" s="51"/>
    </row>
    <row r="4164">
      <c r="A4164" s="54"/>
      <c r="B4164" s="71"/>
      <c r="C4164" s="51"/>
      <c r="D4164" s="114"/>
      <c r="E4164" s="114"/>
      <c r="F4164" s="54"/>
      <c r="G4164" s="54"/>
      <c r="I4164" s="54"/>
      <c r="K4164" s="54"/>
      <c r="M4164" s="114"/>
      <c r="N4164" s="1"/>
      <c r="O4164" s="1"/>
      <c r="P4164" s="51"/>
    </row>
    <row r="4165">
      <c r="A4165" s="54"/>
      <c r="B4165" s="71"/>
      <c r="C4165" s="51"/>
      <c r="D4165" s="114"/>
      <c r="E4165" s="114"/>
      <c r="F4165" s="54"/>
      <c r="G4165" s="54"/>
      <c r="I4165" s="54"/>
      <c r="K4165" s="54"/>
      <c r="M4165" s="114"/>
      <c r="N4165" s="1"/>
      <c r="O4165" s="1"/>
      <c r="P4165" s="51"/>
    </row>
    <row r="4166">
      <c r="A4166" s="54"/>
      <c r="B4166" s="71"/>
      <c r="C4166" s="51"/>
      <c r="D4166" s="114"/>
      <c r="E4166" s="114"/>
      <c r="F4166" s="54"/>
      <c r="G4166" s="54"/>
      <c r="I4166" s="54"/>
      <c r="K4166" s="54"/>
      <c r="M4166" s="114"/>
      <c r="N4166" s="1"/>
      <c r="O4166" s="1"/>
      <c r="P4166" s="51"/>
    </row>
    <row r="4167">
      <c r="A4167" s="54"/>
      <c r="B4167" s="71"/>
      <c r="C4167" s="51"/>
      <c r="D4167" s="114"/>
      <c r="E4167" s="114"/>
      <c r="F4167" s="54"/>
      <c r="G4167" s="54"/>
      <c r="I4167" s="54"/>
      <c r="K4167" s="54"/>
      <c r="M4167" s="114"/>
      <c r="N4167" s="1"/>
      <c r="O4167" s="1"/>
      <c r="P4167" s="51"/>
    </row>
    <row r="4168">
      <c r="A4168" s="54"/>
      <c r="B4168" s="71"/>
      <c r="C4168" s="51"/>
      <c r="D4168" s="114"/>
      <c r="E4168" s="114"/>
      <c r="F4168" s="54"/>
      <c r="G4168" s="54"/>
      <c r="I4168" s="54"/>
      <c r="K4168" s="54"/>
      <c r="M4168" s="114"/>
      <c r="N4168" s="1"/>
      <c r="O4168" s="1"/>
      <c r="P4168" s="51"/>
    </row>
    <row r="4169">
      <c r="A4169" s="54"/>
      <c r="B4169" s="71"/>
      <c r="C4169" s="51"/>
      <c r="D4169" s="114"/>
      <c r="E4169" s="114"/>
      <c r="F4169" s="54"/>
      <c r="G4169" s="54"/>
      <c r="I4169" s="54"/>
      <c r="K4169" s="54"/>
      <c r="M4169" s="114"/>
      <c r="N4169" s="1"/>
      <c r="O4169" s="1"/>
      <c r="P4169" s="51"/>
    </row>
    <row r="4170">
      <c r="A4170" s="54"/>
      <c r="B4170" s="71"/>
      <c r="C4170" s="51"/>
      <c r="D4170" s="114"/>
      <c r="E4170" s="114"/>
      <c r="F4170" s="54"/>
      <c r="G4170" s="54"/>
      <c r="I4170" s="54"/>
      <c r="K4170" s="54"/>
      <c r="M4170" s="114"/>
      <c r="N4170" s="1"/>
      <c r="O4170" s="1"/>
      <c r="P4170" s="51"/>
    </row>
    <row r="4171">
      <c r="A4171" s="54"/>
      <c r="B4171" s="71"/>
      <c r="C4171" s="51"/>
      <c r="D4171" s="114"/>
      <c r="E4171" s="114"/>
      <c r="F4171" s="54"/>
      <c r="G4171" s="54"/>
      <c r="I4171" s="54"/>
      <c r="K4171" s="54"/>
      <c r="M4171" s="114"/>
      <c r="N4171" s="1"/>
      <c r="O4171" s="1"/>
      <c r="P4171" s="51"/>
    </row>
    <row r="4172">
      <c r="A4172" s="54"/>
      <c r="B4172" s="71"/>
      <c r="C4172" s="51"/>
      <c r="D4172" s="114"/>
      <c r="E4172" s="114"/>
      <c r="F4172" s="54"/>
      <c r="G4172" s="54"/>
      <c r="I4172" s="54"/>
      <c r="K4172" s="54"/>
      <c r="M4172" s="114"/>
      <c r="N4172" s="1"/>
      <c r="O4172" s="1"/>
      <c r="P4172" s="51"/>
    </row>
    <row r="4173">
      <c r="A4173" s="54"/>
      <c r="B4173" s="71"/>
      <c r="C4173" s="51"/>
      <c r="D4173" s="114"/>
      <c r="E4173" s="114"/>
      <c r="F4173" s="54"/>
      <c r="G4173" s="54"/>
      <c r="I4173" s="54"/>
      <c r="K4173" s="54"/>
      <c r="M4173" s="114"/>
      <c r="N4173" s="1"/>
      <c r="O4173" s="1"/>
      <c r="P4173" s="51"/>
    </row>
    <row r="4174">
      <c r="A4174" s="54"/>
      <c r="B4174" s="71"/>
      <c r="C4174" s="51"/>
      <c r="D4174" s="114"/>
      <c r="E4174" s="114"/>
      <c r="F4174" s="54"/>
      <c r="G4174" s="54"/>
      <c r="I4174" s="54"/>
      <c r="K4174" s="54"/>
      <c r="M4174" s="114"/>
      <c r="N4174" s="1"/>
      <c r="O4174" s="1"/>
      <c r="P4174" s="51"/>
    </row>
    <row r="4175">
      <c r="A4175" s="54"/>
      <c r="B4175" s="71"/>
      <c r="C4175" s="51"/>
      <c r="D4175" s="114"/>
      <c r="E4175" s="114"/>
      <c r="F4175" s="54"/>
      <c r="G4175" s="54"/>
      <c r="I4175" s="54"/>
      <c r="K4175" s="54"/>
      <c r="M4175" s="114"/>
      <c r="N4175" s="1"/>
      <c r="O4175" s="1"/>
      <c r="P4175" s="51"/>
    </row>
    <row r="4176">
      <c r="A4176" s="54"/>
      <c r="B4176" s="71"/>
      <c r="C4176" s="51"/>
      <c r="D4176" s="114"/>
      <c r="E4176" s="114"/>
      <c r="F4176" s="54"/>
      <c r="G4176" s="54"/>
      <c r="I4176" s="54"/>
      <c r="K4176" s="54"/>
      <c r="M4176" s="114"/>
      <c r="N4176" s="1"/>
      <c r="O4176" s="1"/>
      <c r="P4176" s="51"/>
    </row>
    <row r="4177">
      <c r="A4177" s="54"/>
      <c r="B4177" s="71"/>
      <c r="C4177" s="51"/>
      <c r="D4177" s="114"/>
      <c r="E4177" s="114"/>
      <c r="F4177" s="54"/>
      <c r="G4177" s="54"/>
      <c r="I4177" s="54"/>
      <c r="K4177" s="54"/>
      <c r="M4177" s="114"/>
      <c r="N4177" s="1"/>
      <c r="O4177" s="1"/>
      <c r="P4177" s="51"/>
    </row>
    <row r="4178">
      <c r="A4178" s="54"/>
      <c r="B4178" s="71"/>
      <c r="C4178" s="51"/>
      <c r="D4178" s="114"/>
      <c r="E4178" s="114"/>
      <c r="F4178" s="54"/>
      <c r="G4178" s="54"/>
      <c r="I4178" s="54"/>
      <c r="K4178" s="54"/>
      <c r="M4178" s="114"/>
      <c r="N4178" s="1"/>
      <c r="O4178" s="1"/>
      <c r="P4178" s="51"/>
    </row>
    <row r="4179">
      <c r="A4179" s="54"/>
      <c r="B4179" s="71"/>
      <c r="C4179" s="51"/>
      <c r="D4179" s="114"/>
      <c r="E4179" s="114"/>
      <c r="F4179" s="54"/>
      <c r="G4179" s="54"/>
      <c r="I4179" s="54"/>
      <c r="K4179" s="54"/>
      <c r="M4179" s="114"/>
      <c r="N4179" s="1"/>
      <c r="O4179" s="1"/>
      <c r="P4179" s="51"/>
    </row>
    <row r="4180">
      <c r="A4180" s="54"/>
      <c r="B4180" s="71"/>
      <c r="C4180" s="51"/>
      <c r="D4180" s="114"/>
      <c r="E4180" s="114"/>
      <c r="F4180" s="54"/>
      <c r="G4180" s="54"/>
      <c r="I4180" s="54"/>
      <c r="K4180" s="54"/>
      <c r="M4180" s="114"/>
      <c r="N4180" s="1"/>
      <c r="O4180" s="1"/>
      <c r="P4180" s="51"/>
    </row>
    <row r="4181">
      <c r="A4181" s="54"/>
      <c r="B4181" s="71"/>
      <c r="C4181" s="51"/>
      <c r="D4181" s="114"/>
      <c r="E4181" s="114"/>
      <c r="F4181" s="54"/>
      <c r="G4181" s="54"/>
      <c r="I4181" s="54"/>
      <c r="K4181" s="54"/>
      <c r="M4181" s="114"/>
      <c r="N4181" s="1"/>
      <c r="O4181" s="1"/>
      <c r="P4181" s="51"/>
    </row>
    <row r="4182">
      <c r="A4182" s="54"/>
      <c r="B4182" s="71"/>
      <c r="C4182" s="51"/>
      <c r="D4182" s="114"/>
      <c r="E4182" s="114"/>
      <c r="F4182" s="54"/>
      <c r="G4182" s="54"/>
      <c r="I4182" s="54"/>
      <c r="K4182" s="54"/>
      <c r="M4182" s="114"/>
      <c r="N4182" s="1"/>
      <c r="O4182" s="1"/>
      <c r="P4182" s="51"/>
    </row>
    <row r="4183">
      <c r="A4183" s="54"/>
      <c r="B4183" s="71"/>
      <c r="C4183" s="51"/>
      <c r="D4183" s="114"/>
      <c r="E4183" s="114"/>
      <c r="F4183" s="54"/>
      <c r="G4183" s="54"/>
      <c r="I4183" s="54"/>
      <c r="K4183" s="54"/>
      <c r="M4183" s="114"/>
      <c r="N4183" s="1"/>
      <c r="O4183" s="1"/>
      <c r="P4183" s="51"/>
    </row>
    <row r="4184">
      <c r="A4184" s="54"/>
      <c r="B4184" s="71"/>
      <c r="C4184" s="51"/>
      <c r="D4184" s="114"/>
      <c r="E4184" s="114"/>
      <c r="F4184" s="54"/>
      <c r="G4184" s="54"/>
      <c r="I4184" s="54"/>
      <c r="K4184" s="54"/>
      <c r="M4184" s="114"/>
      <c r="N4184" s="1"/>
      <c r="O4184" s="1"/>
      <c r="P4184" s="51"/>
    </row>
    <row r="4185">
      <c r="A4185" s="54"/>
      <c r="B4185" s="71"/>
      <c r="C4185" s="51"/>
      <c r="D4185" s="114"/>
      <c r="E4185" s="114"/>
      <c r="F4185" s="54"/>
      <c r="G4185" s="54"/>
      <c r="I4185" s="54"/>
      <c r="K4185" s="54"/>
      <c r="M4185" s="114"/>
      <c r="N4185" s="1"/>
      <c r="O4185" s="1"/>
      <c r="P4185" s="51"/>
    </row>
    <row r="4186">
      <c r="A4186" s="54"/>
      <c r="B4186" s="71"/>
      <c r="C4186" s="51"/>
      <c r="D4186" s="114"/>
      <c r="E4186" s="114"/>
      <c r="F4186" s="54"/>
      <c r="G4186" s="54"/>
      <c r="I4186" s="54"/>
      <c r="K4186" s="54"/>
      <c r="M4186" s="114"/>
      <c r="N4186" s="1"/>
      <c r="O4186" s="1"/>
      <c r="P4186" s="51"/>
    </row>
    <row r="4187">
      <c r="A4187" s="54"/>
      <c r="B4187" s="71"/>
      <c r="C4187" s="51"/>
      <c r="D4187" s="114"/>
      <c r="E4187" s="114"/>
      <c r="F4187" s="54"/>
      <c r="G4187" s="54"/>
      <c r="I4187" s="54"/>
      <c r="K4187" s="54"/>
      <c r="M4187" s="114"/>
      <c r="N4187" s="1"/>
      <c r="O4187" s="1"/>
      <c r="P4187" s="51"/>
    </row>
    <row r="4188">
      <c r="A4188" s="54"/>
      <c r="B4188" s="71"/>
      <c r="C4188" s="51"/>
      <c r="D4188" s="114"/>
      <c r="E4188" s="114"/>
      <c r="F4188" s="54"/>
      <c r="G4188" s="54"/>
      <c r="I4188" s="54"/>
      <c r="K4188" s="54"/>
      <c r="M4188" s="114"/>
      <c r="N4188" s="1"/>
      <c r="O4188" s="1"/>
      <c r="P4188" s="51"/>
    </row>
    <row r="4189">
      <c r="A4189" s="54"/>
      <c r="B4189" s="71"/>
      <c r="C4189" s="51"/>
      <c r="D4189" s="114"/>
      <c r="E4189" s="114"/>
      <c r="F4189" s="54"/>
      <c r="G4189" s="54"/>
      <c r="I4189" s="54"/>
      <c r="K4189" s="54"/>
      <c r="M4189" s="114"/>
      <c r="N4189" s="1"/>
      <c r="O4189" s="1"/>
      <c r="P4189" s="51"/>
    </row>
    <row r="4190">
      <c r="A4190" s="54"/>
      <c r="B4190" s="71"/>
      <c r="C4190" s="51"/>
      <c r="D4190" s="114"/>
      <c r="E4190" s="114"/>
      <c r="F4190" s="54"/>
      <c r="G4190" s="54"/>
      <c r="I4190" s="54"/>
      <c r="K4190" s="54"/>
      <c r="M4190" s="114"/>
      <c r="N4190" s="1"/>
      <c r="O4190" s="1"/>
      <c r="P4190" s="51"/>
    </row>
    <row r="4191">
      <c r="A4191" s="54"/>
      <c r="B4191" s="71"/>
      <c r="C4191" s="51"/>
      <c r="D4191" s="114"/>
      <c r="E4191" s="114"/>
      <c r="F4191" s="54"/>
      <c r="G4191" s="54"/>
      <c r="I4191" s="54"/>
      <c r="K4191" s="54"/>
      <c r="M4191" s="114"/>
      <c r="N4191" s="1"/>
      <c r="O4191" s="1"/>
      <c r="P4191" s="51"/>
    </row>
    <row r="4192">
      <c r="A4192" s="54"/>
      <c r="B4192" s="71"/>
      <c r="C4192" s="51"/>
      <c r="D4192" s="114"/>
      <c r="E4192" s="114"/>
      <c r="F4192" s="54"/>
      <c r="G4192" s="54"/>
      <c r="I4192" s="54"/>
      <c r="K4192" s="54"/>
      <c r="M4192" s="114"/>
      <c r="N4192" s="1"/>
      <c r="O4192" s="1"/>
      <c r="P4192" s="51"/>
    </row>
    <row r="4193">
      <c r="A4193" s="54"/>
      <c r="B4193" s="71"/>
      <c r="C4193" s="51"/>
      <c r="D4193" s="114"/>
      <c r="E4193" s="114"/>
      <c r="F4193" s="54"/>
      <c r="G4193" s="54"/>
      <c r="I4193" s="54"/>
      <c r="K4193" s="54"/>
      <c r="M4193" s="114"/>
      <c r="N4193" s="1"/>
      <c r="O4193" s="1"/>
      <c r="P4193" s="51"/>
    </row>
    <row r="4194">
      <c r="A4194" s="54"/>
      <c r="B4194" s="71"/>
      <c r="C4194" s="51"/>
      <c r="D4194" s="114"/>
      <c r="E4194" s="114"/>
      <c r="F4194" s="54"/>
      <c r="G4194" s="54"/>
      <c r="I4194" s="54"/>
      <c r="K4194" s="54"/>
      <c r="M4194" s="114"/>
      <c r="N4194" s="1"/>
      <c r="O4194" s="1"/>
      <c r="P4194" s="51"/>
    </row>
    <row r="4195">
      <c r="A4195" s="54"/>
      <c r="B4195" s="71"/>
      <c r="C4195" s="51"/>
      <c r="D4195" s="114"/>
      <c r="E4195" s="114"/>
      <c r="F4195" s="54"/>
      <c r="G4195" s="54"/>
      <c r="I4195" s="54"/>
      <c r="K4195" s="54"/>
      <c r="M4195" s="114"/>
      <c r="N4195" s="1"/>
      <c r="O4195" s="1"/>
      <c r="P4195" s="51"/>
    </row>
    <row r="4196">
      <c r="A4196" s="54"/>
      <c r="B4196" s="71"/>
      <c r="C4196" s="51"/>
      <c r="D4196" s="114"/>
      <c r="E4196" s="114"/>
      <c r="F4196" s="54"/>
      <c r="G4196" s="54"/>
      <c r="I4196" s="54"/>
      <c r="K4196" s="54"/>
      <c r="M4196" s="114"/>
      <c r="N4196" s="1"/>
      <c r="O4196" s="1"/>
      <c r="P4196" s="51"/>
    </row>
    <row r="4197">
      <c r="A4197" s="54"/>
      <c r="B4197" s="71"/>
      <c r="C4197" s="51"/>
      <c r="D4197" s="114"/>
      <c r="E4197" s="114"/>
      <c r="F4197" s="54"/>
      <c r="G4197" s="54"/>
      <c r="I4197" s="54"/>
      <c r="K4197" s="54"/>
      <c r="M4197" s="114"/>
      <c r="N4197" s="1"/>
      <c r="O4197" s="1"/>
      <c r="P4197" s="51"/>
    </row>
    <row r="4198">
      <c r="A4198" s="54"/>
      <c r="B4198" s="71"/>
      <c r="C4198" s="51"/>
      <c r="D4198" s="114"/>
      <c r="E4198" s="114"/>
      <c r="F4198" s="54"/>
      <c r="G4198" s="54"/>
      <c r="I4198" s="54"/>
      <c r="K4198" s="54"/>
      <c r="M4198" s="114"/>
      <c r="N4198" s="1"/>
      <c r="O4198" s="1"/>
      <c r="P4198" s="51"/>
    </row>
    <row r="4199">
      <c r="A4199" s="54"/>
      <c r="B4199" s="71"/>
      <c r="C4199" s="51"/>
      <c r="D4199" s="114"/>
      <c r="E4199" s="114"/>
      <c r="F4199" s="54"/>
      <c r="G4199" s="54"/>
      <c r="I4199" s="54"/>
      <c r="K4199" s="54"/>
      <c r="M4199" s="114"/>
      <c r="N4199" s="1"/>
      <c r="O4199" s="1"/>
      <c r="P4199" s="51"/>
    </row>
    <row r="4200">
      <c r="A4200" s="54"/>
      <c r="B4200" s="71"/>
      <c r="C4200" s="51"/>
      <c r="D4200" s="114"/>
      <c r="E4200" s="114"/>
      <c r="F4200" s="54"/>
      <c r="G4200" s="54"/>
      <c r="I4200" s="54"/>
      <c r="K4200" s="54"/>
      <c r="M4200" s="114"/>
      <c r="N4200" s="1"/>
      <c r="O4200" s="1"/>
      <c r="P4200" s="51"/>
    </row>
    <row r="4201">
      <c r="A4201" s="54"/>
      <c r="B4201" s="71"/>
      <c r="C4201" s="51"/>
      <c r="D4201" s="114"/>
      <c r="E4201" s="114"/>
      <c r="F4201" s="54"/>
      <c r="G4201" s="54"/>
      <c r="I4201" s="54"/>
      <c r="K4201" s="54"/>
      <c r="M4201" s="114"/>
      <c r="N4201" s="1"/>
      <c r="O4201" s="1"/>
      <c r="P4201" s="51"/>
    </row>
    <row r="4202">
      <c r="A4202" s="54"/>
      <c r="B4202" s="71"/>
      <c r="C4202" s="51"/>
      <c r="D4202" s="114"/>
      <c r="E4202" s="114"/>
      <c r="F4202" s="54"/>
      <c r="G4202" s="54"/>
      <c r="I4202" s="54"/>
      <c r="K4202" s="54"/>
      <c r="M4202" s="114"/>
      <c r="N4202" s="1"/>
      <c r="O4202" s="1"/>
      <c r="P4202" s="51"/>
    </row>
    <row r="4203">
      <c r="A4203" s="54"/>
      <c r="B4203" s="71"/>
      <c r="C4203" s="51"/>
      <c r="D4203" s="114"/>
      <c r="E4203" s="114"/>
      <c r="F4203" s="54"/>
      <c r="G4203" s="54"/>
      <c r="I4203" s="54"/>
      <c r="K4203" s="54"/>
      <c r="M4203" s="114"/>
      <c r="N4203" s="1"/>
      <c r="O4203" s="1"/>
      <c r="P4203" s="51"/>
    </row>
    <row r="4204">
      <c r="A4204" s="54"/>
      <c r="B4204" s="71"/>
      <c r="C4204" s="51"/>
      <c r="D4204" s="114"/>
      <c r="E4204" s="114"/>
      <c r="F4204" s="54"/>
      <c r="G4204" s="54"/>
      <c r="I4204" s="54"/>
      <c r="K4204" s="54"/>
      <c r="M4204" s="114"/>
      <c r="N4204" s="1"/>
      <c r="O4204" s="1"/>
      <c r="P4204" s="51"/>
    </row>
    <row r="4205">
      <c r="A4205" s="54"/>
      <c r="B4205" s="71"/>
      <c r="C4205" s="51"/>
      <c r="D4205" s="114"/>
      <c r="E4205" s="114"/>
      <c r="F4205" s="54"/>
      <c r="G4205" s="54"/>
      <c r="I4205" s="54"/>
      <c r="K4205" s="54"/>
      <c r="M4205" s="114"/>
      <c r="N4205" s="1"/>
      <c r="O4205" s="1"/>
      <c r="P4205" s="51"/>
    </row>
    <row r="4206">
      <c r="A4206" s="54"/>
      <c r="B4206" s="71"/>
      <c r="C4206" s="51"/>
      <c r="D4206" s="114"/>
      <c r="E4206" s="114"/>
      <c r="F4206" s="54"/>
      <c r="G4206" s="54"/>
      <c r="I4206" s="54"/>
      <c r="K4206" s="54"/>
      <c r="M4206" s="114"/>
      <c r="N4206" s="1"/>
      <c r="O4206" s="1"/>
      <c r="P4206" s="51"/>
    </row>
    <row r="4207">
      <c r="A4207" s="54"/>
      <c r="B4207" s="71"/>
      <c r="C4207" s="51"/>
      <c r="D4207" s="114"/>
      <c r="E4207" s="114"/>
      <c r="F4207" s="54"/>
      <c r="G4207" s="54"/>
      <c r="I4207" s="54"/>
      <c r="K4207" s="54"/>
      <c r="M4207" s="114"/>
      <c r="N4207" s="1"/>
      <c r="O4207" s="1"/>
      <c r="P4207" s="51"/>
    </row>
    <row r="4208">
      <c r="A4208" s="54"/>
      <c r="B4208" s="71"/>
      <c r="C4208" s="51"/>
      <c r="D4208" s="114"/>
      <c r="E4208" s="114"/>
      <c r="F4208" s="54"/>
      <c r="G4208" s="54"/>
      <c r="I4208" s="54"/>
      <c r="K4208" s="54"/>
      <c r="M4208" s="114"/>
      <c r="N4208" s="1"/>
      <c r="O4208" s="1"/>
      <c r="P4208" s="51"/>
    </row>
    <row r="4209">
      <c r="A4209" s="54"/>
      <c r="B4209" s="71"/>
      <c r="C4209" s="51"/>
      <c r="D4209" s="114"/>
      <c r="E4209" s="114"/>
      <c r="F4209" s="54"/>
      <c r="G4209" s="54"/>
      <c r="I4209" s="54"/>
      <c r="K4209" s="54"/>
      <c r="M4209" s="114"/>
      <c r="N4209" s="1"/>
      <c r="O4209" s="1"/>
      <c r="P4209" s="51"/>
    </row>
    <row r="4210">
      <c r="A4210" s="54"/>
      <c r="B4210" s="71"/>
      <c r="C4210" s="51"/>
      <c r="D4210" s="114"/>
      <c r="E4210" s="114"/>
      <c r="F4210" s="54"/>
      <c r="G4210" s="54"/>
      <c r="I4210" s="54"/>
      <c r="K4210" s="54"/>
      <c r="M4210" s="114"/>
      <c r="N4210" s="1"/>
      <c r="O4210" s="1"/>
      <c r="P4210" s="51"/>
    </row>
    <row r="4211">
      <c r="A4211" s="54"/>
      <c r="B4211" s="71"/>
      <c r="C4211" s="51"/>
      <c r="D4211" s="114"/>
      <c r="E4211" s="114"/>
      <c r="F4211" s="54"/>
      <c r="G4211" s="54"/>
      <c r="I4211" s="54"/>
      <c r="K4211" s="54"/>
      <c r="M4211" s="114"/>
      <c r="N4211" s="1"/>
      <c r="O4211" s="1"/>
      <c r="P4211" s="51"/>
    </row>
    <row r="4212">
      <c r="A4212" s="54"/>
      <c r="B4212" s="71"/>
      <c r="C4212" s="51"/>
      <c r="D4212" s="114"/>
      <c r="E4212" s="114"/>
      <c r="F4212" s="54"/>
      <c r="G4212" s="54"/>
      <c r="I4212" s="54"/>
      <c r="K4212" s="54"/>
      <c r="M4212" s="114"/>
      <c r="N4212" s="1"/>
      <c r="O4212" s="1"/>
      <c r="P4212" s="51"/>
    </row>
    <row r="4213">
      <c r="A4213" s="54"/>
      <c r="B4213" s="71"/>
      <c r="C4213" s="51"/>
      <c r="D4213" s="114"/>
      <c r="E4213" s="114"/>
      <c r="F4213" s="54"/>
      <c r="G4213" s="54"/>
      <c r="I4213" s="54"/>
      <c r="K4213" s="54"/>
      <c r="M4213" s="114"/>
      <c r="N4213" s="1"/>
      <c r="O4213" s="1"/>
      <c r="P4213" s="51"/>
    </row>
    <row r="4214">
      <c r="A4214" s="54"/>
      <c r="B4214" s="71"/>
      <c r="C4214" s="51"/>
      <c r="D4214" s="114"/>
      <c r="E4214" s="114"/>
      <c r="F4214" s="54"/>
      <c r="G4214" s="54"/>
      <c r="I4214" s="54"/>
      <c r="K4214" s="54"/>
      <c r="M4214" s="114"/>
      <c r="N4214" s="1"/>
      <c r="O4214" s="1"/>
      <c r="P4214" s="51"/>
    </row>
    <row r="4215">
      <c r="A4215" s="54"/>
      <c r="B4215" s="71"/>
      <c r="C4215" s="51"/>
      <c r="D4215" s="114"/>
      <c r="E4215" s="114"/>
      <c r="F4215" s="54"/>
      <c r="G4215" s="54"/>
      <c r="I4215" s="54"/>
      <c r="K4215" s="54"/>
      <c r="M4215" s="114"/>
      <c r="N4215" s="1"/>
      <c r="O4215" s="1"/>
      <c r="P4215" s="51"/>
    </row>
    <row r="4216">
      <c r="A4216" s="54"/>
      <c r="B4216" s="71"/>
      <c r="C4216" s="51"/>
      <c r="D4216" s="114"/>
      <c r="E4216" s="114"/>
      <c r="F4216" s="54"/>
      <c r="G4216" s="54"/>
      <c r="I4216" s="54"/>
      <c r="K4216" s="54"/>
      <c r="M4216" s="114"/>
      <c r="N4216" s="1"/>
      <c r="O4216" s="1"/>
      <c r="P4216" s="51"/>
    </row>
    <row r="4217">
      <c r="A4217" s="54"/>
      <c r="B4217" s="71"/>
      <c r="C4217" s="51"/>
      <c r="D4217" s="114"/>
      <c r="E4217" s="114"/>
      <c r="F4217" s="54"/>
      <c r="G4217" s="54"/>
      <c r="I4217" s="54"/>
      <c r="K4217" s="54"/>
      <c r="M4217" s="114"/>
      <c r="N4217" s="1"/>
      <c r="O4217" s="1"/>
      <c r="P4217" s="51"/>
    </row>
    <row r="4218">
      <c r="A4218" s="54"/>
      <c r="B4218" s="71"/>
      <c r="C4218" s="51"/>
      <c r="D4218" s="114"/>
      <c r="E4218" s="114"/>
      <c r="F4218" s="54"/>
      <c r="G4218" s="54"/>
      <c r="I4218" s="54"/>
      <c r="K4218" s="54"/>
      <c r="M4218" s="114"/>
      <c r="N4218" s="1"/>
      <c r="O4218" s="1"/>
      <c r="P4218" s="51"/>
    </row>
    <row r="4219">
      <c r="A4219" s="54"/>
      <c r="B4219" s="71"/>
      <c r="C4219" s="51"/>
      <c r="D4219" s="114"/>
      <c r="E4219" s="114"/>
      <c r="F4219" s="54"/>
      <c r="G4219" s="54"/>
      <c r="I4219" s="54"/>
      <c r="K4219" s="54"/>
      <c r="M4219" s="114"/>
      <c r="N4219" s="1"/>
      <c r="O4219" s="1"/>
      <c r="P4219" s="51"/>
    </row>
    <row r="4220">
      <c r="A4220" s="54"/>
      <c r="B4220" s="71"/>
      <c r="C4220" s="51"/>
      <c r="D4220" s="114"/>
      <c r="E4220" s="114"/>
      <c r="F4220" s="54"/>
      <c r="G4220" s="54"/>
      <c r="I4220" s="54"/>
      <c r="K4220" s="54"/>
      <c r="M4220" s="114"/>
      <c r="N4220" s="1"/>
      <c r="O4220" s="1"/>
      <c r="P4220" s="51"/>
    </row>
    <row r="4221">
      <c r="A4221" s="54"/>
      <c r="B4221" s="71"/>
      <c r="C4221" s="51"/>
      <c r="D4221" s="114"/>
      <c r="E4221" s="114"/>
      <c r="F4221" s="54"/>
      <c r="G4221" s="54"/>
      <c r="I4221" s="54"/>
      <c r="K4221" s="54"/>
      <c r="M4221" s="114"/>
      <c r="N4221" s="1"/>
      <c r="O4221" s="1"/>
      <c r="P4221" s="51"/>
    </row>
    <row r="4222">
      <c r="A4222" s="54"/>
      <c r="B4222" s="71"/>
      <c r="C4222" s="51"/>
      <c r="D4222" s="114"/>
      <c r="E4222" s="114"/>
      <c r="F4222" s="54"/>
      <c r="G4222" s="54"/>
      <c r="I4222" s="54"/>
      <c r="K4222" s="54"/>
      <c r="M4222" s="114"/>
      <c r="N4222" s="1"/>
      <c r="O4222" s="1"/>
      <c r="P4222" s="51"/>
    </row>
    <row r="4223">
      <c r="A4223" s="54"/>
      <c r="B4223" s="71"/>
      <c r="C4223" s="51"/>
      <c r="D4223" s="114"/>
      <c r="E4223" s="114"/>
      <c r="F4223" s="54"/>
      <c r="G4223" s="54"/>
      <c r="I4223" s="54"/>
      <c r="K4223" s="54"/>
      <c r="M4223" s="114"/>
      <c r="N4223" s="1"/>
      <c r="O4223" s="1"/>
      <c r="P4223" s="51"/>
    </row>
    <row r="4224">
      <c r="A4224" s="54"/>
      <c r="B4224" s="71"/>
      <c r="C4224" s="51"/>
      <c r="D4224" s="114"/>
      <c r="E4224" s="114"/>
      <c r="F4224" s="54"/>
      <c r="G4224" s="54"/>
      <c r="I4224" s="54"/>
      <c r="K4224" s="54"/>
      <c r="M4224" s="114"/>
      <c r="N4224" s="1"/>
      <c r="O4224" s="1"/>
      <c r="P4224" s="51"/>
    </row>
    <row r="4225">
      <c r="A4225" s="54"/>
      <c r="B4225" s="71"/>
      <c r="C4225" s="51"/>
      <c r="D4225" s="114"/>
      <c r="E4225" s="114"/>
      <c r="F4225" s="54"/>
      <c r="G4225" s="54"/>
      <c r="I4225" s="54"/>
      <c r="K4225" s="54"/>
      <c r="M4225" s="114"/>
      <c r="N4225" s="1"/>
      <c r="O4225" s="1"/>
      <c r="P4225" s="51"/>
    </row>
    <row r="4226">
      <c r="A4226" s="54"/>
      <c r="B4226" s="71"/>
      <c r="C4226" s="51"/>
      <c r="D4226" s="114"/>
      <c r="E4226" s="114"/>
      <c r="F4226" s="54"/>
      <c r="G4226" s="54"/>
      <c r="I4226" s="54"/>
      <c r="K4226" s="54"/>
      <c r="M4226" s="114"/>
      <c r="N4226" s="1"/>
      <c r="O4226" s="1"/>
      <c r="P4226" s="51"/>
    </row>
    <row r="4227">
      <c r="A4227" s="54"/>
      <c r="B4227" s="71"/>
      <c r="C4227" s="51"/>
      <c r="D4227" s="114"/>
      <c r="E4227" s="114"/>
      <c r="F4227" s="54"/>
      <c r="G4227" s="54"/>
      <c r="I4227" s="54"/>
      <c r="K4227" s="54"/>
      <c r="M4227" s="114"/>
      <c r="N4227" s="1"/>
      <c r="O4227" s="1"/>
      <c r="P4227" s="51"/>
    </row>
    <row r="4228">
      <c r="A4228" s="54"/>
      <c r="B4228" s="71"/>
      <c r="C4228" s="51"/>
      <c r="D4228" s="114"/>
      <c r="E4228" s="114"/>
      <c r="F4228" s="54"/>
      <c r="G4228" s="54"/>
      <c r="I4228" s="54"/>
      <c r="K4228" s="54"/>
      <c r="M4228" s="114"/>
      <c r="N4228" s="1"/>
      <c r="O4228" s="1"/>
      <c r="P4228" s="51"/>
    </row>
    <row r="4229">
      <c r="A4229" s="54"/>
      <c r="B4229" s="71"/>
      <c r="C4229" s="51"/>
      <c r="D4229" s="114"/>
      <c r="E4229" s="114"/>
      <c r="F4229" s="54"/>
      <c r="G4229" s="54"/>
      <c r="I4229" s="54"/>
      <c r="K4229" s="54"/>
      <c r="M4229" s="114"/>
      <c r="N4229" s="1"/>
      <c r="O4229" s="1"/>
      <c r="P4229" s="51"/>
    </row>
    <row r="4230">
      <c r="A4230" s="54"/>
      <c r="B4230" s="71"/>
      <c r="C4230" s="51"/>
      <c r="D4230" s="114"/>
      <c r="E4230" s="114"/>
      <c r="F4230" s="54"/>
      <c r="G4230" s="54"/>
      <c r="I4230" s="54"/>
      <c r="K4230" s="54"/>
      <c r="M4230" s="114"/>
      <c r="N4230" s="1"/>
      <c r="O4230" s="1"/>
      <c r="P4230" s="51"/>
    </row>
    <row r="4231">
      <c r="A4231" s="54"/>
      <c r="B4231" s="71"/>
      <c r="C4231" s="51"/>
      <c r="D4231" s="114"/>
      <c r="E4231" s="114"/>
      <c r="F4231" s="54"/>
      <c r="G4231" s="54"/>
      <c r="I4231" s="54"/>
      <c r="K4231" s="54"/>
      <c r="M4231" s="114"/>
      <c r="N4231" s="1"/>
      <c r="O4231" s="1"/>
      <c r="P4231" s="51"/>
    </row>
    <row r="4232">
      <c r="A4232" s="54"/>
      <c r="B4232" s="71"/>
      <c r="C4232" s="51"/>
      <c r="D4232" s="114"/>
      <c r="E4232" s="114"/>
      <c r="F4232" s="54"/>
      <c r="G4232" s="54"/>
      <c r="I4232" s="54"/>
      <c r="K4232" s="54"/>
      <c r="M4232" s="114"/>
      <c r="N4232" s="1"/>
      <c r="O4232" s="1"/>
      <c r="P4232" s="51"/>
    </row>
    <row r="4233">
      <c r="A4233" s="54"/>
      <c r="B4233" s="71"/>
      <c r="C4233" s="51"/>
      <c r="D4233" s="114"/>
      <c r="E4233" s="114"/>
      <c r="F4233" s="54"/>
      <c r="G4233" s="54"/>
      <c r="I4233" s="54"/>
      <c r="K4233" s="54"/>
      <c r="M4233" s="114"/>
      <c r="N4233" s="1"/>
      <c r="O4233" s="1"/>
      <c r="P4233" s="51"/>
    </row>
    <row r="4234">
      <c r="A4234" s="54"/>
      <c r="B4234" s="71"/>
      <c r="C4234" s="51"/>
      <c r="D4234" s="114"/>
      <c r="E4234" s="114"/>
      <c r="F4234" s="54"/>
      <c r="G4234" s="54"/>
      <c r="I4234" s="54"/>
      <c r="K4234" s="54"/>
      <c r="M4234" s="114"/>
      <c r="N4234" s="1"/>
      <c r="O4234" s="1"/>
      <c r="P4234" s="51"/>
    </row>
    <row r="4235">
      <c r="A4235" s="54"/>
      <c r="B4235" s="71"/>
      <c r="C4235" s="51"/>
      <c r="D4235" s="114"/>
      <c r="E4235" s="114"/>
      <c r="F4235" s="54"/>
      <c r="G4235" s="54"/>
      <c r="I4235" s="54"/>
      <c r="K4235" s="54"/>
      <c r="M4235" s="114"/>
      <c r="N4235" s="1"/>
      <c r="O4235" s="1"/>
      <c r="P4235" s="51"/>
    </row>
    <row r="4236">
      <c r="A4236" s="54"/>
      <c r="B4236" s="71"/>
      <c r="C4236" s="51"/>
      <c r="D4236" s="114"/>
      <c r="E4236" s="114"/>
      <c r="F4236" s="54"/>
      <c r="G4236" s="54"/>
      <c r="I4236" s="54"/>
      <c r="K4236" s="54"/>
      <c r="M4236" s="114"/>
      <c r="N4236" s="1"/>
      <c r="O4236" s="1"/>
      <c r="P4236" s="51"/>
    </row>
    <row r="4237">
      <c r="A4237" s="54"/>
      <c r="B4237" s="71"/>
      <c r="C4237" s="51"/>
      <c r="D4237" s="114"/>
      <c r="E4237" s="114"/>
      <c r="F4237" s="54"/>
      <c r="G4237" s="54"/>
      <c r="I4237" s="54"/>
      <c r="K4237" s="54"/>
      <c r="M4237" s="114"/>
      <c r="N4237" s="1"/>
      <c r="O4237" s="1"/>
      <c r="P4237" s="51"/>
    </row>
    <row r="4238">
      <c r="A4238" s="54"/>
      <c r="B4238" s="71"/>
      <c r="C4238" s="51"/>
      <c r="D4238" s="114"/>
      <c r="E4238" s="114"/>
      <c r="F4238" s="54"/>
      <c r="G4238" s="54"/>
      <c r="I4238" s="54"/>
      <c r="K4238" s="54"/>
      <c r="M4238" s="114"/>
      <c r="N4238" s="1"/>
      <c r="O4238" s="1"/>
      <c r="P4238" s="51"/>
    </row>
    <row r="4239">
      <c r="A4239" s="54"/>
      <c r="B4239" s="71"/>
      <c r="C4239" s="51"/>
      <c r="D4239" s="114"/>
      <c r="E4239" s="114"/>
      <c r="F4239" s="54"/>
      <c r="G4239" s="54"/>
      <c r="I4239" s="54"/>
      <c r="K4239" s="54"/>
      <c r="M4239" s="114"/>
      <c r="N4239" s="1"/>
      <c r="O4239" s="1"/>
      <c r="P4239" s="51"/>
    </row>
    <row r="4240">
      <c r="A4240" s="54"/>
      <c r="B4240" s="71"/>
      <c r="C4240" s="51"/>
      <c r="D4240" s="114"/>
      <c r="E4240" s="114"/>
      <c r="F4240" s="54"/>
      <c r="G4240" s="54"/>
      <c r="I4240" s="54"/>
      <c r="K4240" s="54"/>
      <c r="M4240" s="114"/>
      <c r="N4240" s="1"/>
      <c r="O4240" s="1"/>
      <c r="P4240" s="51"/>
    </row>
    <row r="4241">
      <c r="A4241" s="54"/>
      <c r="B4241" s="71"/>
      <c r="C4241" s="51"/>
      <c r="D4241" s="114"/>
      <c r="E4241" s="114"/>
      <c r="F4241" s="54"/>
      <c r="G4241" s="54"/>
      <c r="I4241" s="54"/>
      <c r="K4241" s="54"/>
      <c r="M4241" s="114"/>
      <c r="N4241" s="1"/>
      <c r="O4241" s="1"/>
      <c r="P4241" s="51"/>
    </row>
    <row r="4242">
      <c r="A4242" s="54"/>
      <c r="B4242" s="71"/>
      <c r="C4242" s="51"/>
      <c r="D4242" s="114"/>
      <c r="E4242" s="114"/>
      <c r="F4242" s="54"/>
      <c r="G4242" s="54"/>
      <c r="I4242" s="54"/>
      <c r="K4242" s="54"/>
      <c r="M4242" s="114"/>
      <c r="N4242" s="1"/>
      <c r="O4242" s="1"/>
      <c r="P4242" s="51"/>
    </row>
    <row r="4243">
      <c r="A4243" s="54"/>
      <c r="B4243" s="71"/>
      <c r="C4243" s="51"/>
      <c r="D4243" s="114"/>
      <c r="E4243" s="114"/>
      <c r="F4243" s="54"/>
      <c r="G4243" s="54"/>
      <c r="I4243" s="54"/>
      <c r="K4243" s="54"/>
      <c r="M4243" s="114"/>
      <c r="N4243" s="1"/>
      <c r="O4243" s="1"/>
      <c r="P4243" s="51"/>
    </row>
    <row r="4244">
      <c r="A4244" s="54"/>
      <c r="B4244" s="71"/>
      <c r="C4244" s="51"/>
      <c r="D4244" s="114"/>
      <c r="E4244" s="114"/>
      <c r="F4244" s="54"/>
      <c r="G4244" s="54"/>
      <c r="I4244" s="54"/>
      <c r="K4244" s="54"/>
      <c r="M4244" s="114"/>
      <c r="N4244" s="1"/>
      <c r="O4244" s="1"/>
      <c r="P4244" s="51"/>
    </row>
    <row r="4245">
      <c r="A4245" s="54"/>
      <c r="B4245" s="71"/>
      <c r="C4245" s="51"/>
      <c r="D4245" s="114"/>
      <c r="E4245" s="114"/>
      <c r="F4245" s="54"/>
      <c r="G4245" s="54"/>
      <c r="I4245" s="54"/>
      <c r="K4245" s="54"/>
      <c r="M4245" s="114"/>
      <c r="N4245" s="1"/>
      <c r="O4245" s="1"/>
      <c r="P4245" s="51"/>
    </row>
    <row r="4246">
      <c r="A4246" s="54"/>
      <c r="B4246" s="71"/>
      <c r="C4246" s="51"/>
      <c r="D4246" s="114"/>
      <c r="E4246" s="114"/>
      <c r="F4246" s="54"/>
      <c r="G4246" s="54"/>
      <c r="I4246" s="54"/>
      <c r="K4246" s="54"/>
      <c r="M4246" s="114"/>
      <c r="N4246" s="1"/>
      <c r="O4246" s="1"/>
      <c r="P4246" s="51"/>
    </row>
    <row r="4247">
      <c r="A4247" s="54"/>
      <c r="B4247" s="71"/>
      <c r="C4247" s="51"/>
      <c r="D4247" s="114"/>
      <c r="E4247" s="114"/>
      <c r="F4247" s="54"/>
      <c r="G4247" s="54"/>
      <c r="I4247" s="54"/>
      <c r="K4247" s="54"/>
      <c r="M4247" s="114"/>
      <c r="N4247" s="1"/>
      <c r="O4247" s="1"/>
      <c r="P4247" s="51"/>
    </row>
    <row r="4248">
      <c r="A4248" s="54"/>
      <c r="B4248" s="71"/>
      <c r="C4248" s="51"/>
      <c r="D4248" s="114"/>
      <c r="E4248" s="114"/>
      <c r="F4248" s="54"/>
      <c r="G4248" s="54"/>
      <c r="I4248" s="54"/>
      <c r="K4248" s="54"/>
      <c r="M4248" s="114"/>
      <c r="N4248" s="1"/>
      <c r="O4248" s="1"/>
      <c r="P4248" s="51"/>
    </row>
    <row r="4249">
      <c r="A4249" s="54"/>
      <c r="B4249" s="71"/>
      <c r="C4249" s="51"/>
      <c r="D4249" s="114"/>
      <c r="E4249" s="114"/>
      <c r="F4249" s="54"/>
      <c r="G4249" s="54"/>
      <c r="I4249" s="54"/>
      <c r="K4249" s="54"/>
      <c r="M4249" s="114"/>
      <c r="N4249" s="1"/>
      <c r="O4249" s="1"/>
      <c r="P4249" s="51"/>
    </row>
    <row r="4250">
      <c r="A4250" s="54"/>
      <c r="B4250" s="71"/>
      <c r="C4250" s="51"/>
      <c r="D4250" s="114"/>
      <c r="E4250" s="114"/>
      <c r="F4250" s="54"/>
      <c r="G4250" s="54"/>
      <c r="I4250" s="54"/>
      <c r="K4250" s="54"/>
      <c r="M4250" s="114"/>
      <c r="N4250" s="1"/>
      <c r="O4250" s="1"/>
      <c r="P4250" s="51"/>
    </row>
    <row r="4251">
      <c r="A4251" s="54"/>
      <c r="B4251" s="71"/>
      <c r="C4251" s="51"/>
      <c r="D4251" s="114"/>
      <c r="E4251" s="114"/>
      <c r="F4251" s="54"/>
      <c r="G4251" s="54"/>
      <c r="I4251" s="54"/>
      <c r="K4251" s="54"/>
      <c r="M4251" s="114"/>
      <c r="N4251" s="1"/>
      <c r="O4251" s="1"/>
      <c r="P4251" s="51"/>
    </row>
    <row r="4252">
      <c r="A4252" s="54"/>
      <c r="B4252" s="71"/>
      <c r="C4252" s="51"/>
      <c r="D4252" s="114"/>
      <c r="E4252" s="114"/>
      <c r="F4252" s="54"/>
      <c r="G4252" s="54"/>
      <c r="I4252" s="54"/>
      <c r="K4252" s="54"/>
      <c r="M4252" s="114"/>
      <c r="N4252" s="1"/>
      <c r="O4252" s="1"/>
      <c r="P4252" s="51"/>
    </row>
    <row r="4253">
      <c r="A4253" s="54"/>
      <c r="B4253" s="71"/>
      <c r="C4253" s="51"/>
      <c r="D4253" s="114"/>
      <c r="E4253" s="114"/>
      <c r="F4253" s="54"/>
      <c r="G4253" s="54"/>
      <c r="I4253" s="54"/>
      <c r="K4253" s="54"/>
      <c r="M4253" s="114"/>
      <c r="N4253" s="1"/>
      <c r="O4253" s="1"/>
      <c r="P4253" s="51"/>
    </row>
    <row r="4254">
      <c r="A4254" s="54"/>
      <c r="B4254" s="71"/>
      <c r="C4254" s="51"/>
      <c r="D4254" s="114"/>
      <c r="E4254" s="114"/>
      <c r="F4254" s="54"/>
      <c r="G4254" s="54"/>
      <c r="I4254" s="54"/>
      <c r="K4254" s="54"/>
      <c r="M4254" s="114"/>
      <c r="N4254" s="1"/>
      <c r="O4254" s="1"/>
      <c r="P4254" s="51"/>
    </row>
    <row r="4255">
      <c r="A4255" s="54"/>
      <c r="B4255" s="71"/>
      <c r="C4255" s="51"/>
      <c r="D4255" s="114"/>
      <c r="E4255" s="114"/>
      <c r="F4255" s="54"/>
      <c r="G4255" s="54"/>
      <c r="I4255" s="54"/>
      <c r="K4255" s="54"/>
      <c r="M4255" s="114"/>
      <c r="N4255" s="1"/>
      <c r="O4255" s="1"/>
      <c r="P4255" s="51"/>
    </row>
    <row r="4256">
      <c r="A4256" s="54"/>
      <c r="B4256" s="71"/>
      <c r="C4256" s="51"/>
      <c r="D4256" s="114"/>
      <c r="E4256" s="114"/>
      <c r="F4256" s="54"/>
      <c r="G4256" s="54"/>
      <c r="I4256" s="54"/>
      <c r="K4256" s="54"/>
      <c r="M4256" s="114"/>
      <c r="N4256" s="1"/>
      <c r="O4256" s="1"/>
      <c r="P4256" s="51"/>
    </row>
    <row r="4257">
      <c r="A4257" s="54"/>
      <c r="B4257" s="71"/>
      <c r="C4257" s="51"/>
      <c r="D4257" s="114"/>
      <c r="E4257" s="114"/>
      <c r="F4257" s="54"/>
      <c r="G4257" s="54"/>
      <c r="I4257" s="54"/>
      <c r="K4257" s="54"/>
      <c r="M4257" s="114"/>
      <c r="N4257" s="1"/>
      <c r="O4257" s="1"/>
      <c r="P4257" s="51"/>
    </row>
    <row r="4258">
      <c r="A4258" s="54"/>
      <c r="B4258" s="71"/>
      <c r="C4258" s="51"/>
      <c r="D4258" s="114"/>
      <c r="E4258" s="114"/>
      <c r="F4258" s="54"/>
      <c r="G4258" s="54"/>
      <c r="I4258" s="54"/>
      <c r="K4258" s="54"/>
      <c r="M4258" s="114"/>
      <c r="N4258" s="1"/>
      <c r="O4258" s="1"/>
      <c r="P4258" s="51"/>
    </row>
    <row r="4259">
      <c r="A4259" s="54"/>
      <c r="B4259" s="71"/>
      <c r="C4259" s="51"/>
      <c r="D4259" s="114"/>
      <c r="E4259" s="114"/>
      <c r="F4259" s="54"/>
      <c r="G4259" s="54"/>
      <c r="I4259" s="54"/>
      <c r="K4259" s="54"/>
      <c r="M4259" s="114"/>
      <c r="N4259" s="1"/>
      <c r="O4259" s="1"/>
      <c r="P4259" s="51"/>
    </row>
    <row r="4260">
      <c r="A4260" s="54"/>
      <c r="B4260" s="71"/>
      <c r="C4260" s="51"/>
      <c r="D4260" s="114"/>
      <c r="E4260" s="114"/>
      <c r="F4260" s="54"/>
      <c r="G4260" s="54"/>
      <c r="I4260" s="54"/>
      <c r="K4260" s="54"/>
      <c r="M4260" s="114"/>
      <c r="N4260" s="1"/>
      <c r="O4260" s="1"/>
      <c r="P4260" s="51"/>
    </row>
    <row r="4261">
      <c r="A4261" s="54"/>
      <c r="B4261" s="71"/>
      <c r="C4261" s="51"/>
      <c r="D4261" s="114"/>
      <c r="E4261" s="114"/>
      <c r="F4261" s="54"/>
      <c r="G4261" s="54"/>
      <c r="I4261" s="54"/>
      <c r="K4261" s="54"/>
      <c r="M4261" s="114"/>
      <c r="N4261" s="1"/>
      <c r="O4261" s="1"/>
      <c r="P4261" s="51"/>
    </row>
    <row r="4262">
      <c r="A4262" s="54"/>
      <c r="B4262" s="71"/>
      <c r="C4262" s="51"/>
      <c r="D4262" s="114"/>
      <c r="E4262" s="114"/>
      <c r="F4262" s="54"/>
      <c r="G4262" s="54"/>
      <c r="I4262" s="54"/>
      <c r="K4262" s="54"/>
      <c r="M4262" s="114"/>
      <c r="N4262" s="1"/>
      <c r="O4262" s="1"/>
      <c r="P4262" s="51"/>
    </row>
    <row r="4263">
      <c r="A4263" s="54"/>
      <c r="B4263" s="71"/>
      <c r="C4263" s="51"/>
      <c r="D4263" s="114"/>
      <c r="E4263" s="114"/>
      <c r="F4263" s="54"/>
      <c r="G4263" s="54"/>
      <c r="I4263" s="54"/>
      <c r="K4263" s="54"/>
      <c r="M4263" s="114"/>
      <c r="N4263" s="1"/>
      <c r="O4263" s="1"/>
      <c r="P4263" s="51"/>
    </row>
    <row r="4264">
      <c r="A4264" s="54"/>
      <c r="B4264" s="71"/>
      <c r="C4264" s="51"/>
      <c r="D4264" s="114"/>
      <c r="E4264" s="114"/>
      <c r="F4264" s="54"/>
      <c r="G4264" s="54"/>
      <c r="I4264" s="54"/>
      <c r="K4264" s="54"/>
      <c r="M4264" s="114"/>
      <c r="N4264" s="1"/>
      <c r="O4264" s="1"/>
      <c r="P4264" s="51"/>
    </row>
    <row r="4265">
      <c r="A4265" s="54"/>
      <c r="B4265" s="71"/>
      <c r="C4265" s="51"/>
      <c r="D4265" s="114"/>
      <c r="E4265" s="114"/>
      <c r="F4265" s="54"/>
      <c r="G4265" s="54"/>
      <c r="I4265" s="54"/>
      <c r="K4265" s="54"/>
      <c r="M4265" s="114"/>
      <c r="N4265" s="1"/>
      <c r="O4265" s="1"/>
      <c r="P4265" s="51"/>
    </row>
    <row r="4266">
      <c r="A4266" s="54"/>
      <c r="B4266" s="71"/>
      <c r="C4266" s="51"/>
      <c r="D4266" s="114"/>
      <c r="E4266" s="114"/>
      <c r="F4266" s="54"/>
      <c r="G4266" s="54"/>
      <c r="I4266" s="54"/>
      <c r="K4266" s="54"/>
      <c r="M4266" s="114"/>
      <c r="N4266" s="1"/>
      <c r="O4266" s="1"/>
      <c r="P4266" s="51"/>
    </row>
    <row r="4267">
      <c r="A4267" s="54"/>
      <c r="B4267" s="71"/>
      <c r="C4267" s="51"/>
      <c r="D4267" s="114"/>
      <c r="E4267" s="114"/>
      <c r="F4267" s="54"/>
      <c r="G4267" s="54"/>
      <c r="I4267" s="54"/>
      <c r="K4267" s="54"/>
      <c r="M4267" s="114"/>
      <c r="N4267" s="1"/>
      <c r="O4267" s="1"/>
      <c r="P4267" s="51"/>
    </row>
    <row r="4268">
      <c r="A4268" s="54"/>
      <c r="B4268" s="71"/>
      <c r="C4268" s="51"/>
      <c r="D4268" s="114"/>
      <c r="E4268" s="114"/>
      <c r="F4268" s="54"/>
      <c r="G4268" s="54"/>
      <c r="I4268" s="54"/>
      <c r="K4268" s="54"/>
      <c r="M4268" s="114"/>
      <c r="N4268" s="1"/>
      <c r="O4268" s="1"/>
      <c r="P4268" s="51"/>
    </row>
    <row r="4269">
      <c r="A4269" s="54"/>
      <c r="B4269" s="71"/>
      <c r="C4269" s="51"/>
      <c r="D4269" s="114"/>
      <c r="E4269" s="114"/>
      <c r="F4269" s="54"/>
      <c r="G4269" s="54"/>
      <c r="I4269" s="54"/>
      <c r="K4269" s="54"/>
      <c r="M4269" s="114"/>
      <c r="N4269" s="1"/>
      <c r="O4269" s="1"/>
      <c r="P4269" s="51"/>
    </row>
    <row r="4270">
      <c r="A4270" s="54"/>
      <c r="B4270" s="71"/>
      <c r="C4270" s="51"/>
      <c r="D4270" s="114"/>
      <c r="E4270" s="114"/>
      <c r="F4270" s="54"/>
      <c r="G4270" s="54"/>
      <c r="I4270" s="54"/>
      <c r="K4270" s="54"/>
      <c r="M4270" s="114"/>
      <c r="N4270" s="1"/>
      <c r="O4270" s="1"/>
      <c r="P4270" s="51"/>
    </row>
    <row r="4271">
      <c r="A4271" s="54"/>
      <c r="B4271" s="71"/>
      <c r="C4271" s="51"/>
      <c r="D4271" s="114"/>
      <c r="E4271" s="114"/>
      <c r="F4271" s="54"/>
      <c r="G4271" s="54"/>
      <c r="I4271" s="54"/>
      <c r="K4271" s="54"/>
      <c r="M4271" s="114"/>
      <c r="N4271" s="1"/>
      <c r="O4271" s="1"/>
      <c r="P4271" s="51"/>
    </row>
    <row r="4272">
      <c r="A4272" s="54"/>
      <c r="B4272" s="71"/>
      <c r="C4272" s="51"/>
      <c r="D4272" s="114"/>
      <c r="E4272" s="114"/>
      <c r="F4272" s="54"/>
      <c r="G4272" s="54"/>
      <c r="I4272" s="54"/>
      <c r="K4272" s="54"/>
      <c r="M4272" s="114"/>
      <c r="N4272" s="1"/>
      <c r="O4272" s="1"/>
      <c r="P4272" s="51"/>
    </row>
    <row r="4273">
      <c r="A4273" s="54"/>
      <c r="B4273" s="71"/>
      <c r="C4273" s="51"/>
      <c r="D4273" s="114"/>
      <c r="E4273" s="114"/>
      <c r="F4273" s="54"/>
      <c r="G4273" s="54"/>
      <c r="I4273" s="54"/>
      <c r="K4273" s="54"/>
      <c r="M4273" s="114"/>
      <c r="N4273" s="1"/>
      <c r="O4273" s="1"/>
      <c r="P4273" s="51"/>
    </row>
    <row r="4274">
      <c r="A4274" s="54"/>
      <c r="B4274" s="71"/>
      <c r="C4274" s="51"/>
      <c r="D4274" s="114"/>
      <c r="E4274" s="114"/>
      <c r="F4274" s="54"/>
      <c r="G4274" s="54"/>
      <c r="I4274" s="54"/>
      <c r="K4274" s="54"/>
      <c r="M4274" s="114"/>
      <c r="N4274" s="1"/>
      <c r="O4274" s="1"/>
      <c r="P4274" s="51"/>
    </row>
    <row r="4275">
      <c r="A4275" s="54"/>
      <c r="B4275" s="71"/>
      <c r="C4275" s="51"/>
      <c r="D4275" s="114"/>
      <c r="E4275" s="114"/>
      <c r="F4275" s="54"/>
      <c r="G4275" s="54"/>
      <c r="I4275" s="54"/>
      <c r="K4275" s="54"/>
      <c r="M4275" s="114"/>
      <c r="N4275" s="1"/>
      <c r="O4275" s="1"/>
      <c r="P4275" s="51"/>
    </row>
    <row r="4276">
      <c r="A4276" s="54"/>
      <c r="B4276" s="71"/>
      <c r="C4276" s="51"/>
      <c r="D4276" s="114"/>
      <c r="E4276" s="114"/>
      <c r="F4276" s="54"/>
      <c r="G4276" s="54"/>
      <c r="I4276" s="54"/>
      <c r="K4276" s="54"/>
      <c r="M4276" s="114"/>
      <c r="N4276" s="1"/>
      <c r="O4276" s="1"/>
      <c r="P4276" s="51"/>
    </row>
    <row r="4277">
      <c r="A4277" s="54"/>
      <c r="B4277" s="71"/>
      <c r="C4277" s="51"/>
      <c r="D4277" s="114"/>
      <c r="E4277" s="114"/>
      <c r="F4277" s="54"/>
      <c r="G4277" s="54"/>
      <c r="I4277" s="54"/>
      <c r="K4277" s="54"/>
      <c r="M4277" s="114"/>
      <c r="N4277" s="1"/>
      <c r="O4277" s="1"/>
      <c r="P4277" s="51"/>
    </row>
    <row r="4278">
      <c r="A4278" s="54"/>
      <c r="B4278" s="71"/>
      <c r="C4278" s="51"/>
      <c r="D4278" s="114"/>
      <c r="E4278" s="114"/>
      <c r="F4278" s="54"/>
      <c r="G4278" s="54"/>
      <c r="I4278" s="54"/>
      <c r="K4278" s="54"/>
      <c r="M4278" s="114"/>
      <c r="N4278" s="1"/>
      <c r="O4278" s="1"/>
      <c r="P4278" s="51"/>
    </row>
    <row r="4279">
      <c r="A4279" s="54"/>
      <c r="B4279" s="71"/>
      <c r="C4279" s="51"/>
      <c r="D4279" s="114"/>
      <c r="E4279" s="114"/>
      <c r="F4279" s="54"/>
      <c r="G4279" s="54"/>
      <c r="I4279" s="54"/>
      <c r="K4279" s="54"/>
      <c r="M4279" s="114"/>
      <c r="N4279" s="1"/>
      <c r="O4279" s="1"/>
      <c r="P4279" s="51"/>
    </row>
    <row r="4280">
      <c r="A4280" s="54"/>
      <c r="B4280" s="71"/>
      <c r="C4280" s="51"/>
      <c r="D4280" s="114"/>
      <c r="E4280" s="114"/>
      <c r="F4280" s="54"/>
      <c r="G4280" s="54"/>
      <c r="I4280" s="54"/>
      <c r="K4280" s="54"/>
      <c r="M4280" s="114"/>
      <c r="N4280" s="1"/>
      <c r="O4280" s="1"/>
      <c r="P4280" s="51"/>
    </row>
    <row r="4281">
      <c r="A4281" s="54"/>
      <c r="B4281" s="71"/>
      <c r="C4281" s="51"/>
      <c r="D4281" s="114"/>
      <c r="E4281" s="114"/>
      <c r="F4281" s="54"/>
      <c r="G4281" s="54"/>
      <c r="I4281" s="54"/>
      <c r="K4281" s="54"/>
      <c r="M4281" s="114"/>
      <c r="N4281" s="1"/>
      <c r="O4281" s="1"/>
      <c r="P4281" s="51"/>
    </row>
    <row r="4282">
      <c r="A4282" s="54"/>
      <c r="B4282" s="71"/>
      <c r="C4282" s="51"/>
      <c r="D4282" s="114"/>
      <c r="E4282" s="114"/>
      <c r="F4282" s="54"/>
      <c r="G4282" s="54"/>
      <c r="I4282" s="54"/>
      <c r="K4282" s="54"/>
      <c r="M4282" s="114"/>
      <c r="N4282" s="1"/>
      <c r="O4282" s="1"/>
      <c r="P4282" s="51"/>
    </row>
    <row r="4283">
      <c r="A4283" s="54"/>
      <c r="B4283" s="71"/>
      <c r="C4283" s="51"/>
      <c r="D4283" s="114"/>
      <c r="E4283" s="114"/>
      <c r="F4283" s="54"/>
      <c r="G4283" s="54"/>
      <c r="I4283" s="54"/>
      <c r="K4283" s="54"/>
      <c r="M4283" s="114"/>
      <c r="N4283" s="1"/>
      <c r="O4283" s="1"/>
      <c r="P4283" s="51"/>
    </row>
    <row r="4284">
      <c r="A4284" s="54"/>
      <c r="B4284" s="71"/>
      <c r="C4284" s="51"/>
      <c r="D4284" s="114"/>
      <c r="E4284" s="114"/>
      <c r="F4284" s="54"/>
      <c r="G4284" s="54"/>
      <c r="I4284" s="54"/>
      <c r="K4284" s="54"/>
      <c r="M4284" s="114"/>
      <c r="N4284" s="1"/>
      <c r="O4284" s="1"/>
      <c r="P4284" s="51"/>
    </row>
    <row r="4285">
      <c r="A4285" s="54"/>
      <c r="B4285" s="71"/>
      <c r="C4285" s="51"/>
      <c r="D4285" s="114"/>
      <c r="E4285" s="114"/>
      <c r="F4285" s="54"/>
      <c r="G4285" s="54"/>
      <c r="I4285" s="54"/>
      <c r="K4285" s="54"/>
      <c r="M4285" s="114"/>
      <c r="N4285" s="1"/>
      <c r="O4285" s="1"/>
      <c r="P4285" s="51"/>
    </row>
    <row r="4286">
      <c r="A4286" s="54"/>
      <c r="B4286" s="71"/>
      <c r="C4286" s="51"/>
      <c r="D4286" s="114"/>
      <c r="E4286" s="114"/>
      <c r="F4286" s="54"/>
      <c r="G4286" s="54"/>
      <c r="I4286" s="54"/>
      <c r="K4286" s="54"/>
      <c r="M4286" s="114"/>
      <c r="N4286" s="1"/>
      <c r="O4286" s="1"/>
      <c r="P4286" s="51"/>
    </row>
    <row r="4287">
      <c r="A4287" s="54"/>
      <c r="B4287" s="71"/>
      <c r="C4287" s="51"/>
      <c r="D4287" s="114"/>
      <c r="E4287" s="114"/>
      <c r="F4287" s="54"/>
      <c r="G4287" s="54"/>
      <c r="I4287" s="54"/>
      <c r="K4287" s="54"/>
      <c r="M4287" s="114"/>
      <c r="N4287" s="1"/>
      <c r="O4287" s="1"/>
      <c r="P4287" s="51"/>
    </row>
    <row r="4288">
      <c r="A4288" s="54"/>
      <c r="B4288" s="71"/>
      <c r="C4288" s="51"/>
      <c r="D4288" s="114"/>
      <c r="E4288" s="114"/>
      <c r="F4288" s="54"/>
      <c r="G4288" s="54"/>
      <c r="I4288" s="54"/>
      <c r="K4288" s="54"/>
      <c r="M4288" s="114"/>
      <c r="N4288" s="1"/>
      <c r="O4288" s="1"/>
      <c r="P4288" s="51"/>
    </row>
    <row r="4289">
      <c r="A4289" s="54"/>
      <c r="B4289" s="71"/>
      <c r="C4289" s="51"/>
      <c r="D4289" s="114"/>
      <c r="E4289" s="114"/>
      <c r="F4289" s="54"/>
      <c r="G4289" s="54"/>
      <c r="I4289" s="54"/>
      <c r="K4289" s="54"/>
      <c r="M4289" s="114"/>
      <c r="N4289" s="1"/>
      <c r="O4289" s="1"/>
      <c r="P4289" s="51"/>
    </row>
    <row r="4290">
      <c r="A4290" s="54"/>
      <c r="B4290" s="71"/>
      <c r="C4290" s="51"/>
      <c r="D4290" s="114"/>
      <c r="E4290" s="114"/>
      <c r="F4290" s="54"/>
      <c r="G4290" s="54"/>
      <c r="I4290" s="54"/>
      <c r="K4290" s="54"/>
      <c r="M4290" s="114"/>
      <c r="N4290" s="1"/>
      <c r="O4290" s="1"/>
      <c r="P4290" s="51"/>
    </row>
    <row r="4291">
      <c r="A4291" s="54"/>
      <c r="B4291" s="71"/>
      <c r="C4291" s="51"/>
      <c r="D4291" s="114"/>
      <c r="E4291" s="114"/>
      <c r="F4291" s="54"/>
      <c r="G4291" s="54"/>
      <c r="I4291" s="54"/>
      <c r="K4291" s="54"/>
      <c r="M4291" s="114"/>
      <c r="N4291" s="1"/>
      <c r="O4291" s="1"/>
      <c r="P4291" s="51"/>
    </row>
    <row r="4292">
      <c r="A4292" s="54"/>
      <c r="B4292" s="71"/>
      <c r="C4292" s="51"/>
      <c r="D4292" s="114"/>
      <c r="E4292" s="114"/>
      <c r="F4292" s="54"/>
      <c r="G4292" s="54"/>
      <c r="I4292" s="54"/>
      <c r="K4292" s="54"/>
      <c r="M4292" s="114"/>
      <c r="N4292" s="1"/>
      <c r="O4292" s="1"/>
      <c r="P4292" s="51"/>
    </row>
    <row r="4293">
      <c r="A4293" s="54"/>
      <c r="B4293" s="71"/>
      <c r="C4293" s="51"/>
      <c r="D4293" s="114"/>
      <c r="E4293" s="114"/>
      <c r="F4293" s="54"/>
      <c r="G4293" s="54"/>
      <c r="I4293" s="54"/>
      <c r="K4293" s="54"/>
      <c r="M4293" s="114"/>
      <c r="N4293" s="1"/>
      <c r="O4293" s="1"/>
      <c r="P4293" s="51"/>
    </row>
    <row r="4294">
      <c r="A4294" s="54"/>
      <c r="B4294" s="71"/>
      <c r="C4294" s="51"/>
      <c r="D4294" s="114"/>
      <c r="E4294" s="114"/>
      <c r="F4294" s="54"/>
      <c r="G4294" s="54"/>
      <c r="I4294" s="54"/>
      <c r="K4294" s="54"/>
      <c r="M4294" s="114"/>
      <c r="N4294" s="1"/>
      <c r="O4294" s="1"/>
      <c r="P4294" s="51"/>
    </row>
    <row r="4295">
      <c r="A4295" s="54"/>
      <c r="B4295" s="71"/>
      <c r="C4295" s="51"/>
      <c r="D4295" s="114"/>
      <c r="E4295" s="114"/>
      <c r="F4295" s="54"/>
      <c r="G4295" s="54"/>
      <c r="I4295" s="54"/>
      <c r="K4295" s="54"/>
      <c r="M4295" s="114"/>
      <c r="N4295" s="1"/>
      <c r="O4295" s="1"/>
      <c r="P4295" s="51"/>
    </row>
    <row r="4296">
      <c r="A4296" s="54"/>
      <c r="B4296" s="71"/>
      <c r="C4296" s="51"/>
      <c r="D4296" s="114"/>
      <c r="E4296" s="114"/>
      <c r="F4296" s="54"/>
      <c r="G4296" s="54"/>
      <c r="I4296" s="54"/>
      <c r="K4296" s="54"/>
      <c r="M4296" s="114"/>
      <c r="N4296" s="1"/>
      <c r="O4296" s="1"/>
      <c r="P4296" s="51"/>
    </row>
    <row r="4297">
      <c r="A4297" s="54"/>
      <c r="B4297" s="71"/>
      <c r="C4297" s="51"/>
      <c r="D4297" s="114"/>
      <c r="E4297" s="114"/>
      <c r="F4297" s="54"/>
      <c r="G4297" s="54"/>
      <c r="I4297" s="54"/>
      <c r="K4297" s="54"/>
      <c r="M4297" s="114"/>
      <c r="N4297" s="1"/>
      <c r="O4297" s="1"/>
      <c r="P4297" s="51"/>
    </row>
    <row r="4298">
      <c r="A4298" s="54"/>
      <c r="B4298" s="71"/>
      <c r="C4298" s="51"/>
      <c r="D4298" s="114"/>
      <c r="E4298" s="114"/>
      <c r="F4298" s="54"/>
      <c r="G4298" s="54"/>
      <c r="I4298" s="54"/>
      <c r="K4298" s="54"/>
      <c r="M4298" s="114"/>
      <c r="N4298" s="1"/>
      <c r="O4298" s="1"/>
      <c r="P4298" s="51"/>
    </row>
    <row r="4299">
      <c r="A4299" s="54"/>
      <c r="B4299" s="71"/>
      <c r="C4299" s="51"/>
      <c r="D4299" s="114"/>
      <c r="E4299" s="114"/>
      <c r="F4299" s="54"/>
      <c r="G4299" s="54"/>
      <c r="I4299" s="54"/>
      <c r="K4299" s="54"/>
      <c r="M4299" s="114"/>
      <c r="N4299" s="1"/>
      <c r="O4299" s="1"/>
      <c r="P4299" s="51"/>
    </row>
    <row r="4300">
      <c r="A4300" s="54"/>
      <c r="B4300" s="71"/>
      <c r="C4300" s="51"/>
      <c r="D4300" s="114"/>
      <c r="E4300" s="114"/>
      <c r="F4300" s="54"/>
      <c r="G4300" s="54"/>
      <c r="I4300" s="54"/>
      <c r="K4300" s="54"/>
      <c r="M4300" s="114"/>
      <c r="N4300" s="1"/>
      <c r="O4300" s="1"/>
      <c r="P4300" s="51"/>
    </row>
    <row r="4301">
      <c r="A4301" s="54"/>
      <c r="B4301" s="71"/>
      <c r="C4301" s="51"/>
      <c r="D4301" s="114"/>
      <c r="E4301" s="114"/>
      <c r="F4301" s="54"/>
      <c r="G4301" s="54"/>
      <c r="I4301" s="54"/>
      <c r="K4301" s="54"/>
      <c r="M4301" s="114"/>
      <c r="N4301" s="1"/>
      <c r="O4301" s="1"/>
      <c r="P4301" s="51"/>
    </row>
    <row r="4302">
      <c r="A4302" s="54"/>
      <c r="B4302" s="71"/>
      <c r="C4302" s="51"/>
      <c r="D4302" s="114"/>
      <c r="E4302" s="114"/>
      <c r="F4302" s="54"/>
      <c r="G4302" s="54"/>
      <c r="I4302" s="54"/>
      <c r="K4302" s="54"/>
      <c r="M4302" s="114"/>
      <c r="N4302" s="1"/>
      <c r="O4302" s="1"/>
      <c r="P4302" s="51"/>
    </row>
    <row r="4303">
      <c r="A4303" s="54"/>
      <c r="B4303" s="71"/>
      <c r="C4303" s="51"/>
      <c r="D4303" s="114"/>
      <c r="E4303" s="114"/>
      <c r="F4303" s="54"/>
      <c r="G4303" s="54"/>
      <c r="I4303" s="54"/>
      <c r="K4303" s="54"/>
      <c r="M4303" s="114"/>
      <c r="N4303" s="1"/>
      <c r="O4303" s="1"/>
      <c r="P4303" s="51"/>
    </row>
    <row r="4304">
      <c r="A4304" s="54"/>
      <c r="B4304" s="71"/>
      <c r="C4304" s="51"/>
      <c r="D4304" s="114"/>
      <c r="E4304" s="114"/>
      <c r="F4304" s="54"/>
      <c r="G4304" s="54"/>
      <c r="I4304" s="54"/>
      <c r="K4304" s="54"/>
      <c r="M4304" s="114"/>
      <c r="N4304" s="1"/>
      <c r="O4304" s="1"/>
      <c r="P4304" s="51"/>
    </row>
    <row r="4305">
      <c r="A4305" s="54"/>
      <c r="B4305" s="71"/>
      <c r="C4305" s="51"/>
      <c r="D4305" s="114"/>
      <c r="E4305" s="114"/>
      <c r="F4305" s="54"/>
      <c r="G4305" s="54"/>
      <c r="I4305" s="54"/>
      <c r="K4305" s="54"/>
      <c r="M4305" s="114"/>
      <c r="N4305" s="1"/>
      <c r="O4305" s="1"/>
      <c r="P4305" s="51"/>
    </row>
    <row r="4306">
      <c r="A4306" s="54"/>
      <c r="B4306" s="71"/>
      <c r="C4306" s="51"/>
      <c r="D4306" s="114"/>
      <c r="E4306" s="114"/>
      <c r="F4306" s="54"/>
      <c r="G4306" s="54"/>
      <c r="I4306" s="54"/>
      <c r="K4306" s="54"/>
      <c r="M4306" s="114"/>
      <c r="N4306" s="1"/>
      <c r="O4306" s="1"/>
      <c r="P4306" s="51"/>
    </row>
    <row r="4307">
      <c r="A4307" s="54"/>
      <c r="B4307" s="71"/>
      <c r="C4307" s="51"/>
      <c r="D4307" s="114"/>
      <c r="E4307" s="114"/>
      <c r="F4307" s="54"/>
      <c r="G4307" s="54"/>
      <c r="I4307" s="54"/>
      <c r="K4307" s="54"/>
      <c r="M4307" s="114"/>
      <c r="N4307" s="1"/>
      <c r="O4307" s="1"/>
      <c r="P4307" s="51"/>
    </row>
    <row r="4308">
      <c r="A4308" s="54"/>
      <c r="B4308" s="71"/>
      <c r="C4308" s="51"/>
      <c r="D4308" s="114"/>
      <c r="E4308" s="114"/>
      <c r="F4308" s="54"/>
      <c r="G4308" s="54"/>
      <c r="I4308" s="54"/>
      <c r="K4308" s="54"/>
      <c r="M4308" s="114"/>
      <c r="N4308" s="1"/>
      <c r="O4308" s="1"/>
      <c r="P4308" s="51"/>
    </row>
    <row r="4309">
      <c r="A4309" s="54"/>
      <c r="B4309" s="71"/>
      <c r="C4309" s="51"/>
      <c r="D4309" s="114"/>
      <c r="E4309" s="114"/>
      <c r="F4309" s="54"/>
      <c r="G4309" s="54"/>
      <c r="I4309" s="54"/>
      <c r="K4309" s="54"/>
      <c r="M4309" s="114"/>
      <c r="N4309" s="1"/>
      <c r="O4309" s="1"/>
      <c r="P4309" s="51"/>
    </row>
    <row r="4310">
      <c r="A4310" s="54"/>
      <c r="B4310" s="71"/>
      <c r="C4310" s="51"/>
      <c r="D4310" s="114"/>
      <c r="E4310" s="114"/>
      <c r="F4310" s="54"/>
      <c r="G4310" s="54"/>
      <c r="I4310" s="54"/>
      <c r="K4310" s="54"/>
      <c r="M4310" s="114"/>
      <c r="N4310" s="1"/>
      <c r="O4310" s="1"/>
      <c r="P4310" s="51"/>
    </row>
    <row r="4311">
      <c r="A4311" s="54"/>
      <c r="B4311" s="71"/>
      <c r="C4311" s="51"/>
      <c r="D4311" s="114"/>
      <c r="E4311" s="114"/>
      <c r="F4311" s="54"/>
      <c r="G4311" s="54"/>
      <c r="I4311" s="54"/>
      <c r="K4311" s="54"/>
      <c r="M4311" s="114"/>
      <c r="N4311" s="1"/>
      <c r="O4311" s="1"/>
      <c r="P4311" s="51"/>
    </row>
    <row r="4312">
      <c r="A4312" s="54"/>
      <c r="B4312" s="71"/>
      <c r="C4312" s="51"/>
      <c r="D4312" s="114"/>
      <c r="E4312" s="114"/>
      <c r="F4312" s="54"/>
      <c r="G4312" s="54"/>
      <c r="I4312" s="54"/>
      <c r="K4312" s="54"/>
      <c r="M4312" s="114"/>
      <c r="N4312" s="1"/>
      <c r="O4312" s="1"/>
      <c r="P4312" s="51"/>
    </row>
    <row r="4313">
      <c r="A4313" s="54"/>
      <c r="B4313" s="71"/>
      <c r="C4313" s="51"/>
      <c r="D4313" s="114"/>
      <c r="E4313" s="114"/>
      <c r="F4313" s="54"/>
      <c r="G4313" s="54"/>
      <c r="I4313" s="54"/>
      <c r="K4313" s="54"/>
      <c r="M4313" s="114"/>
      <c r="N4313" s="1"/>
      <c r="O4313" s="1"/>
      <c r="P4313" s="51"/>
    </row>
    <row r="4314">
      <c r="A4314" s="54"/>
      <c r="B4314" s="71"/>
      <c r="C4314" s="51"/>
      <c r="D4314" s="114"/>
      <c r="E4314" s="114"/>
      <c r="F4314" s="54"/>
      <c r="G4314" s="54"/>
      <c r="I4314" s="54"/>
      <c r="K4314" s="54"/>
      <c r="M4314" s="114"/>
      <c r="N4314" s="1"/>
      <c r="O4314" s="1"/>
      <c r="P4314" s="51"/>
    </row>
    <row r="4315">
      <c r="A4315" s="54"/>
      <c r="B4315" s="71"/>
      <c r="C4315" s="51"/>
      <c r="D4315" s="114"/>
      <c r="E4315" s="114"/>
      <c r="F4315" s="54"/>
      <c r="G4315" s="54"/>
      <c r="I4315" s="54"/>
      <c r="K4315" s="54"/>
      <c r="M4315" s="114"/>
      <c r="N4315" s="1"/>
      <c r="O4315" s="1"/>
      <c r="P4315" s="51"/>
    </row>
    <row r="4316">
      <c r="A4316" s="54"/>
      <c r="B4316" s="71"/>
      <c r="C4316" s="51"/>
      <c r="D4316" s="114"/>
      <c r="E4316" s="114"/>
      <c r="F4316" s="54"/>
      <c r="G4316" s="54"/>
      <c r="I4316" s="54"/>
      <c r="K4316" s="54"/>
      <c r="M4316" s="114"/>
      <c r="N4316" s="1"/>
      <c r="O4316" s="1"/>
      <c r="P4316" s="51"/>
    </row>
    <row r="4317">
      <c r="A4317" s="54"/>
      <c r="B4317" s="71"/>
      <c r="C4317" s="51"/>
      <c r="D4317" s="114"/>
      <c r="E4317" s="114"/>
      <c r="F4317" s="54"/>
      <c r="G4317" s="54"/>
      <c r="I4317" s="54"/>
      <c r="K4317" s="54"/>
      <c r="M4317" s="114"/>
      <c r="N4317" s="1"/>
      <c r="O4317" s="1"/>
      <c r="P4317" s="51"/>
    </row>
    <row r="4318">
      <c r="A4318" s="54"/>
      <c r="B4318" s="71"/>
      <c r="C4318" s="51"/>
      <c r="D4318" s="114"/>
      <c r="E4318" s="114"/>
      <c r="F4318" s="54"/>
      <c r="G4318" s="54"/>
      <c r="I4318" s="54"/>
      <c r="K4318" s="54"/>
      <c r="M4318" s="114"/>
      <c r="N4318" s="1"/>
      <c r="O4318" s="1"/>
      <c r="P4318" s="51"/>
    </row>
    <row r="4319">
      <c r="A4319" s="54"/>
      <c r="B4319" s="71"/>
      <c r="C4319" s="51"/>
      <c r="D4319" s="114"/>
      <c r="E4319" s="114"/>
      <c r="F4319" s="54"/>
      <c r="G4319" s="54"/>
      <c r="I4319" s="54"/>
      <c r="K4319" s="54"/>
      <c r="M4319" s="114"/>
      <c r="N4319" s="1"/>
      <c r="O4319" s="1"/>
      <c r="P4319" s="51"/>
    </row>
    <row r="4320">
      <c r="A4320" s="54"/>
      <c r="B4320" s="71"/>
      <c r="C4320" s="51"/>
      <c r="D4320" s="114"/>
      <c r="E4320" s="114"/>
      <c r="F4320" s="54"/>
      <c r="G4320" s="54"/>
      <c r="I4320" s="54"/>
      <c r="K4320" s="54"/>
      <c r="M4320" s="114"/>
      <c r="N4320" s="1"/>
      <c r="O4320" s="1"/>
      <c r="P4320" s="51"/>
    </row>
    <row r="4321">
      <c r="A4321" s="54"/>
      <c r="B4321" s="71"/>
      <c r="C4321" s="51"/>
      <c r="D4321" s="114"/>
      <c r="E4321" s="114"/>
      <c r="F4321" s="54"/>
      <c r="G4321" s="54"/>
      <c r="I4321" s="54"/>
      <c r="K4321" s="54"/>
      <c r="M4321" s="114"/>
      <c r="N4321" s="1"/>
      <c r="O4321" s="1"/>
      <c r="P4321" s="51"/>
    </row>
    <row r="4322">
      <c r="A4322" s="54"/>
      <c r="B4322" s="71"/>
      <c r="C4322" s="51"/>
      <c r="D4322" s="114"/>
      <c r="E4322" s="114"/>
      <c r="F4322" s="54"/>
      <c r="G4322" s="54"/>
      <c r="I4322" s="54"/>
      <c r="K4322" s="54"/>
      <c r="M4322" s="114"/>
      <c r="N4322" s="1"/>
      <c r="O4322" s="1"/>
      <c r="P4322" s="51"/>
    </row>
    <row r="4323">
      <c r="A4323" s="54"/>
      <c r="B4323" s="71"/>
      <c r="C4323" s="51"/>
      <c r="D4323" s="114"/>
      <c r="E4323" s="114"/>
      <c r="F4323" s="54"/>
      <c r="G4323" s="54"/>
      <c r="I4323" s="54"/>
      <c r="K4323" s="54"/>
      <c r="M4323" s="114"/>
      <c r="N4323" s="1"/>
      <c r="O4323" s="1"/>
      <c r="P4323" s="51"/>
    </row>
    <row r="4324">
      <c r="A4324" s="54"/>
      <c r="B4324" s="71"/>
      <c r="C4324" s="51"/>
      <c r="D4324" s="114"/>
      <c r="E4324" s="114"/>
      <c r="F4324" s="54"/>
      <c r="G4324" s="54"/>
      <c r="I4324" s="54"/>
      <c r="K4324" s="54"/>
      <c r="M4324" s="114"/>
      <c r="N4324" s="1"/>
      <c r="O4324" s="1"/>
      <c r="P4324" s="51"/>
    </row>
    <row r="4325">
      <c r="A4325" s="54"/>
      <c r="B4325" s="71"/>
      <c r="C4325" s="51"/>
      <c r="D4325" s="114"/>
      <c r="E4325" s="114"/>
      <c r="F4325" s="54"/>
      <c r="G4325" s="54"/>
      <c r="I4325" s="54"/>
      <c r="K4325" s="54"/>
      <c r="M4325" s="114"/>
      <c r="N4325" s="1"/>
      <c r="O4325" s="1"/>
      <c r="P4325" s="51"/>
    </row>
    <row r="4326">
      <c r="A4326" s="54"/>
      <c r="B4326" s="71"/>
      <c r="C4326" s="51"/>
      <c r="D4326" s="114"/>
      <c r="E4326" s="114"/>
      <c r="F4326" s="54"/>
      <c r="G4326" s="54"/>
      <c r="I4326" s="54"/>
      <c r="K4326" s="54"/>
      <c r="M4326" s="114"/>
      <c r="N4326" s="1"/>
      <c r="O4326" s="1"/>
      <c r="P4326" s="51"/>
    </row>
    <row r="4327">
      <c r="A4327" s="54"/>
      <c r="B4327" s="71"/>
      <c r="C4327" s="51"/>
      <c r="D4327" s="114"/>
      <c r="E4327" s="114"/>
      <c r="F4327" s="54"/>
      <c r="G4327" s="54"/>
      <c r="I4327" s="54"/>
      <c r="K4327" s="54"/>
      <c r="M4327" s="114"/>
      <c r="N4327" s="1"/>
      <c r="O4327" s="1"/>
      <c r="P4327" s="51"/>
    </row>
    <row r="4328">
      <c r="A4328" s="54"/>
      <c r="B4328" s="71"/>
      <c r="C4328" s="51"/>
      <c r="D4328" s="114"/>
      <c r="E4328" s="114"/>
      <c r="F4328" s="54"/>
      <c r="G4328" s="54"/>
      <c r="I4328" s="54"/>
      <c r="K4328" s="54"/>
      <c r="M4328" s="114"/>
      <c r="N4328" s="1"/>
      <c r="O4328" s="1"/>
      <c r="P4328" s="51"/>
    </row>
    <row r="4329">
      <c r="A4329" s="54"/>
      <c r="B4329" s="71"/>
      <c r="C4329" s="51"/>
      <c r="D4329" s="114"/>
      <c r="E4329" s="114"/>
      <c r="F4329" s="54"/>
      <c r="G4329" s="54"/>
      <c r="I4329" s="54"/>
      <c r="K4329" s="54"/>
      <c r="M4329" s="114"/>
      <c r="N4329" s="1"/>
      <c r="O4329" s="1"/>
      <c r="P4329" s="51"/>
    </row>
    <row r="4330">
      <c r="A4330" s="54"/>
      <c r="B4330" s="71"/>
      <c r="C4330" s="51"/>
      <c r="D4330" s="114"/>
      <c r="E4330" s="114"/>
      <c r="F4330" s="54"/>
      <c r="G4330" s="54"/>
      <c r="I4330" s="54"/>
      <c r="K4330" s="54"/>
      <c r="M4330" s="114"/>
      <c r="N4330" s="1"/>
      <c r="O4330" s="1"/>
      <c r="P4330" s="51"/>
    </row>
    <row r="4331">
      <c r="A4331" s="54"/>
      <c r="B4331" s="71"/>
      <c r="C4331" s="51"/>
      <c r="D4331" s="114"/>
      <c r="E4331" s="114"/>
      <c r="F4331" s="54"/>
      <c r="G4331" s="54"/>
      <c r="I4331" s="54"/>
      <c r="K4331" s="54"/>
      <c r="M4331" s="114"/>
      <c r="N4331" s="1"/>
      <c r="O4331" s="1"/>
      <c r="P4331" s="51"/>
    </row>
    <row r="4332">
      <c r="A4332" s="54"/>
      <c r="B4332" s="71"/>
      <c r="C4332" s="51"/>
      <c r="D4332" s="114"/>
      <c r="E4332" s="114"/>
      <c r="F4332" s="54"/>
      <c r="G4332" s="54"/>
      <c r="I4332" s="54"/>
      <c r="K4332" s="54"/>
      <c r="M4332" s="114"/>
      <c r="N4332" s="1"/>
      <c r="O4332" s="1"/>
      <c r="P4332" s="51"/>
    </row>
    <row r="4333">
      <c r="A4333" s="54"/>
      <c r="B4333" s="71"/>
      <c r="C4333" s="51"/>
      <c r="D4333" s="114"/>
      <c r="E4333" s="114"/>
      <c r="F4333" s="54"/>
      <c r="G4333" s="54"/>
      <c r="I4333" s="54"/>
      <c r="K4333" s="54"/>
      <c r="M4333" s="114"/>
      <c r="N4333" s="1"/>
      <c r="O4333" s="1"/>
      <c r="P4333" s="51"/>
    </row>
    <row r="4334">
      <c r="A4334" s="54"/>
      <c r="B4334" s="71"/>
      <c r="C4334" s="51"/>
      <c r="D4334" s="114"/>
      <c r="E4334" s="114"/>
      <c r="F4334" s="54"/>
      <c r="G4334" s="54"/>
      <c r="I4334" s="54"/>
      <c r="K4334" s="54"/>
      <c r="M4334" s="114"/>
      <c r="N4334" s="1"/>
      <c r="O4334" s="1"/>
      <c r="P4334" s="51"/>
    </row>
    <row r="4335">
      <c r="A4335" s="54"/>
      <c r="B4335" s="71"/>
      <c r="C4335" s="51"/>
      <c r="D4335" s="114"/>
      <c r="E4335" s="114"/>
      <c r="F4335" s="54"/>
      <c r="G4335" s="54"/>
      <c r="I4335" s="54"/>
      <c r="K4335" s="54"/>
      <c r="M4335" s="114"/>
      <c r="N4335" s="1"/>
      <c r="O4335" s="1"/>
      <c r="P4335" s="51"/>
    </row>
    <row r="4336">
      <c r="A4336" s="54"/>
      <c r="B4336" s="71"/>
      <c r="C4336" s="51"/>
      <c r="D4336" s="114"/>
      <c r="E4336" s="114"/>
      <c r="F4336" s="54"/>
      <c r="G4336" s="54"/>
      <c r="I4336" s="54"/>
      <c r="K4336" s="54"/>
      <c r="M4336" s="114"/>
      <c r="N4336" s="1"/>
      <c r="O4336" s="1"/>
      <c r="P4336" s="51"/>
    </row>
    <row r="4337">
      <c r="A4337" s="54"/>
      <c r="B4337" s="71"/>
      <c r="C4337" s="51"/>
      <c r="D4337" s="114"/>
      <c r="E4337" s="114"/>
      <c r="F4337" s="54"/>
      <c r="G4337" s="54"/>
      <c r="I4337" s="54"/>
      <c r="K4337" s="54"/>
      <c r="M4337" s="114"/>
      <c r="N4337" s="1"/>
      <c r="O4337" s="1"/>
      <c r="P4337" s="51"/>
    </row>
    <row r="4338">
      <c r="A4338" s="54"/>
      <c r="B4338" s="71"/>
      <c r="C4338" s="51"/>
      <c r="D4338" s="114"/>
      <c r="E4338" s="114"/>
      <c r="F4338" s="54"/>
      <c r="G4338" s="54"/>
      <c r="I4338" s="54"/>
      <c r="K4338" s="54"/>
      <c r="M4338" s="114"/>
      <c r="N4338" s="1"/>
      <c r="O4338" s="1"/>
      <c r="P4338" s="51"/>
    </row>
    <row r="4339">
      <c r="A4339" s="54"/>
      <c r="B4339" s="71"/>
      <c r="C4339" s="51"/>
      <c r="D4339" s="114"/>
      <c r="E4339" s="114"/>
      <c r="F4339" s="54"/>
      <c r="G4339" s="54"/>
      <c r="I4339" s="54"/>
      <c r="K4339" s="54"/>
      <c r="M4339" s="114"/>
      <c r="N4339" s="1"/>
      <c r="O4339" s="1"/>
      <c r="P4339" s="51"/>
    </row>
    <row r="4340">
      <c r="A4340" s="54"/>
      <c r="B4340" s="71"/>
      <c r="C4340" s="51"/>
      <c r="D4340" s="114"/>
      <c r="E4340" s="114"/>
      <c r="F4340" s="54"/>
      <c r="G4340" s="54"/>
      <c r="I4340" s="54"/>
      <c r="K4340" s="54"/>
      <c r="M4340" s="114"/>
      <c r="N4340" s="1"/>
      <c r="O4340" s="1"/>
      <c r="P4340" s="51"/>
    </row>
    <row r="4341">
      <c r="A4341" s="54"/>
      <c r="B4341" s="71"/>
      <c r="C4341" s="51"/>
      <c r="D4341" s="114"/>
      <c r="E4341" s="114"/>
      <c r="F4341" s="54"/>
      <c r="G4341" s="54"/>
      <c r="I4341" s="54"/>
      <c r="K4341" s="54"/>
      <c r="M4341" s="114"/>
      <c r="N4341" s="1"/>
      <c r="O4341" s="1"/>
      <c r="P4341" s="51"/>
    </row>
    <row r="4342">
      <c r="A4342" s="54"/>
      <c r="B4342" s="71"/>
      <c r="C4342" s="51"/>
      <c r="D4342" s="114"/>
      <c r="E4342" s="114"/>
      <c r="F4342" s="54"/>
      <c r="G4342" s="54"/>
      <c r="I4342" s="54"/>
      <c r="K4342" s="54"/>
      <c r="M4342" s="114"/>
      <c r="N4342" s="1"/>
      <c r="O4342" s="1"/>
      <c r="P4342" s="51"/>
    </row>
    <row r="4343">
      <c r="A4343" s="54"/>
      <c r="B4343" s="71"/>
      <c r="C4343" s="51"/>
      <c r="D4343" s="114"/>
      <c r="E4343" s="114"/>
      <c r="F4343" s="54"/>
      <c r="G4343" s="54"/>
      <c r="I4343" s="54"/>
      <c r="K4343" s="54"/>
      <c r="M4343" s="114"/>
      <c r="N4343" s="1"/>
      <c r="O4343" s="1"/>
      <c r="P4343" s="51"/>
    </row>
    <row r="4344">
      <c r="A4344" s="54"/>
      <c r="B4344" s="71"/>
      <c r="C4344" s="51"/>
      <c r="D4344" s="114"/>
      <c r="E4344" s="114"/>
      <c r="F4344" s="54"/>
      <c r="G4344" s="54"/>
      <c r="I4344" s="54"/>
      <c r="K4344" s="54"/>
      <c r="M4344" s="114"/>
      <c r="N4344" s="1"/>
      <c r="O4344" s="1"/>
      <c r="P4344" s="51"/>
    </row>
    <row r="4345">
      <c r="A4345" s="54"/>
      <c r="B4345" s="71"/>
      <c r="C4345" s="51"/>
      <c r="D4345" s="114"/>
      <c r="E4345" s="114"/>
      <c r="F4345" s="54"/>
      <c r="G4345" s="54"/>
      <c r="I4345" s="54"/>
      <c r="K4345" s="54"/>
      <c r="M4345" s="114"/>
      <c r="N4345" s="1"/>
      <c r="O4345" s="1"/>
      <c r="P4345" s="51"/>
    </row>
    <row r="4346">
      <c r="A4346" s="54"/>
      <c r="B4346" s="71"/>
      <c r="C4346" s="51"/>
      <c r="D4346" s="114"/>
      <c r="E4346" s="114"/>
      <c r="F4346" s="54"/>
      <c r="G4346" s="54"/>
      <c r="I4346" s="54"/>
      <c r="K4346" s="54"/>
      <c r="M4346" s="114"/>
      <c r="N4346" s="1"/>
      <c r="O4346" s="1"/>
      <c r="P4346" s="51"/>
    </row>
    <row r="4347">
      <c r="A4347" s="54"/>
      <c r="B4347" s="71"/>
      <c r="C4347" s="51"/>
      <c r="D4347" s="114"/>
      <c r="E4347" s="114"/>
      <c r="F4347" s="54"/>
      <c r="G4347" s="54"/>
      <c r="I4347" s="54"/>
      <c r="K4347" s="54"/>
      <c r="M4347" s="114"/>
      <c r="N4347" s="1"/>
      <c r="O4347" s="1"/>
      <c r="P4347" s="51"/>
    </row>
    <row r="4348">
      <c r="A4348" s="54"/>
      <c r="B4348" s="71"/>
      <c r="C4348" s="51"/>
      <c r="D4348" s="114"/>
      <c r="E4348" s="114"/>
      <c r="F4348" s="54"/>
      <c r="G4348" s="54"/>
      <c r="I4348" s="54"/>
      <c r="K4348" s="54"/>
      <c r="M4348" s="114"/>
      <c r="N4348" s="1"/>
      <c r="O4348" s="1"/>
      <c r="P4348" s="51"/>
    </row>
    <row r="4349">
      <c r="A4349" s="54"/>
      <c r="B4349" s="71"/>
      <c r="C4349" s="51"/>
      <c r="D4349" s="114"/>
      <c r="E4349" s="114"/>
      <c r="F4349" s="54"/>
      <c r="G4349" s="54"/>
      <c r="I4349" s="54"/>
      <c r="K4349" s="54"/>
      <c r="M4349" s="114"/>
      <c r="N4349" s="1"/>
      <c r="O4349" s="1"/>
      <c r="P4349" s="51"/>
    </row>
    <row r="4350">
      <c r="A4350" s="54"/>
      <c r="B4350" s="71"/>
      <c r="C4350" s="51"/>
      <c r="D4350" s="114"/>
      <c r="E4350" s="114"/>
      <c r="F4350" s="54"/>
      <c r="G4350" s="54"/>
      <c r="I4350" s="54"/>
      <c r="K4350" s="54"/>
      <c r="M4350" s="114"/>
      <c r="N4350" s="1"/>
      <c r="O4350" s="1"/>
      <c r="P4350" s="51"/>
    </row>
    <row r="4351">
      <c r="A4351" s="54"/>
      <c r="B4351" s="71"/>
      <c r="C4351" s="51"/>
      <c r="D4351" s="114"/>
      <c r="E4351" s="114"/>
      <c r="F4351" s="54"/>
      <c r="G4351" s="54"/>
      <c r="I4351" s="54"/>
      <c r="K4351" s="54"/>
      <c r="M4351" s="114"/>
      <c r="N4351" s="1"/>
      <c r="O4351" s="1"/>
      <c r="P4351" s="51"/>
    </row>
    <row r="4352">
      <c r="A4352" s="54"/>
      <c r="B4352" s="71"/>
      <c r="C4352" s="51"/>
      <c r="D4352" s="114"/>
      <c r="E4352" s="114"/>
      <c r="F4352" s="54"/>
      <c r="G4352" s="54"/>
      <c r="I4352" s="54"/>
      <c r="K4352" s="54"/>
      <c r="M4352" s="114"/>
      <c r="N4352" s="1"/>
      <c r="O4352" s="1"/>
      <c r="P4352" s="51"/>
    </row>
    <row r="4353">
      <c r="A4353" s="54"/>
      <c r="B4353" s="71"/>
      <c r="C4353" s="51"/>
      <c r="D4353" s="114"/>
      <c r="E4353" s="114"/>
      <c r="F4353" s="54"/>
      <c r="G4353" s="54"/>
      <c r="I4353" s="54"/>
      <c r="K4353" s="54"/>
      <c r="M4353" s="114"/>
      <c r="N4353" s="1"/>
      <c r="O4353" s="1"/>
      <c r="P4353" s="51"/>
    </row>
    <row r="4354">
      <c r="A4354" s="54"/>
      <c r="B4354" s="71"/>
      <c r="C4354" s="51"/>
      <c r="D4354" s="114"/>
      <c r="E4354" s="114"/>
      <c r="F4354" s="54"/>
      <c r="G4354" s="54"/>
      <c r="I4354" s="54"/>
      <c r="K4354" s="54"/>
      <c r="M4354" s="114"/>
      <c r="N4354" s="1"/>
      <c r="O4354" s="1"/>
      <c r="P4354" s="51"/>
    </row>
    <row r="4355">
      <c r="A4355" s="54"/>
      <c r="B4355" s="71"/>
      <c r="C4355" s="51"/>
      <c r="D4355" s="114"/>
      <c r="E4355" s="114"/>
      <c r="F4355" s="54"/>
      <c r="G4355" s="54"/>
      <c r="I4355" s="54"/>
      <c r="K4355" s="54"/>
      <c r="M4355" s="114"/>
      <c r="N4355" s="1"/>
      <c r="O4355" s="1"/>
      <c r="P4355" s="51"/>
    </row>
    <row r="4356">
      <c r="A4356" s="54"/>
      <c r="B4356" s="71"/>
      <c r="C4356" s="51"/>
      <c r="D4356" s="114"/>
      <c r="E4356" s="114"/>
      <c r="F4356" s="54"/>
      <c r="G4356" s="54"/>
      <c r="I4356" s="54"/>
      <c r="K4356" s="54"/>
      <c r="M4356" s="114"/>
      <c r="N4356" s="1"/>
      <c r="O4356" s="1"/>
      <c r="P4356" s="51"/>
    </row>
    <row r="4357">
      <c r="A4357" s="54"/>
      <c r="B4357" s="71"/>
      <c r="C4357" s="51"/>
      <c r="D4357" s="114"/>
      <c r="E4357" s="114"/>
      <c r="F4357" s="54"/>
      <c r="G4357" s="54"/>
      <c r="I4357" s="54"/>
      <c r="K4357" s="54"/>
      <c r="M4357" s="114"/>
      <c r="N4357" s="1"/>
      <c r="O4357" s="1"/>
      <c r="P4357" s="51"/>
    </row>
    <row r="4358">
      <c r="A4358" s="54"/>
      <c r="B4358" s="71"/>
      <c r="C4358" s="51"/>
      <c r="D4358" s="114"/>
      <c r="E4358" s="114"/>
      <c r="F4358" s="54"/>
      <c r="G4358" s="54"/>
      <c r="I4358" s="54"/>
      <c r="K4358" s="54"/>
      <c r="M4358" s="114"/>
      <c r="N4358" s="1"/>
      <c r="O4358" s="1"/>
      <c r="P4358" s="51"/>
    </row>
    <row r="4359">
      <c r="A4359" s="54"/>
      <c r="B4359" s="71"/>
      <c r="C4359" s="51"/>
      <c r="D4359" s="114"/>
      <c r="E4359" s="114"/>
      <c r="F4359" s="54"/>
      <c r="G4359" s="54"/>
      <c r="I4359" s="54"/>
      <c r="K4359" s="54"/>
      <c r="M4359" s="114"/>
      <c r="N4359" s="1"/>
      <c r="O4359" s="1"/>
      <c r="P4359" s="51"/>
    </row>
    <row r="4360">
      <c r="A4360" s="54"/>
      <c r="B4360" s="71"/>
      <c r="C4360" s="51"/>
      <c r="D4360" s="114"/>
      <c r="E4360" s="114"/>
      <c r="F4360" s="54"/>
      <c r="G4360" s="54"/>
      <c r="I4360" s="54"/>
      <c r="K4360" s="54"/>
      <c r="M4360" s="114"/>
      <c r="N4360" s="1"/>
      <c r="O4360" s="1"/>
      <c r="P4360" s="51"/>
    </row>
    <row r="4361">
      <c r="A4361" s="54"/>
      <c r="B4361" s="71"/>
      <c r="C4361" s="51"/>
      <c r="D4361" s="114"/>
      <c r="E4361" s="114"/>
      <c r="F4361" s="54"/>
      <c r="G4361" s="54"/>
      <c r="I4361" s="54"/>
      <c r="K4361" s="54"/>
      <c r="M4361" s="114"/>
      <c r="N4361" s="1"/>
      <c r="O4361" s="1"/>
      <c r="P4361" s="51"/>
    </row>
    <row r="4362">
      <c r="A4362" s="54"/>
      <c r="B4362" s="71"/>
      <c r="C4362" s="51"/>
      <c r="D4362" s="114"/>
      <c r="E4362" s="114"/>
      <c r="F4362" s="54"/>
      <c r="G4362" s="54"/>
      <c r="I4362" s="54"/>
      <c r="K4362" s="54"/>
      <c r="M4362" s="114"/>
      <c r="N4362" s="1"/>
      <c r="O4362" s="1"/>
      <c r="P4362" s="51"/>
    </row>
    <row r="4363">
      <c r="A4363" s="54"/>
      <c r="B4363" s="71"/>
      <c r="C4363" s="51"/>
      <c r="D4363" s="114"/>
      <c r="E4363" s="114"/>
      <c r="F4363" s="54"/>
      <c r="G4363" s="54"/>
      <c r="I4363" s="54"/>
      <c r="K4363" s="54"/>
      <c r="M4363" s="114"/>
      <c r="N4363" s="1"/>
      <c r="O4363" s="1"/>
      <c r="P4363" s="51"/>
    </row>
    <row r="4364">
      <c r="A4364" s="54"/>
      <c r="B4364" s="71"/>
      <c r="C4364" s="51"/>
      <c r="D4364" s="114"/>
      <c r="E4364" s="114"/>
      <c r="F4364" s="54"/>
      <c r="G4364" s="54"/>
      <c r="I4364" s="54"/>
      <c r="K4364" s="54"/>
      <c r="M4364" s="114"/>
      <c r="N4364" s="1"/>
      <c r="O4364" s="1"/>
      <c r="P4364" s="51"/>
    </row>
    <row r="4365">
      <c r="A4365" s="54"/>
      <c r="B4365" s="71"/>
      <c r="C4365" s="51"/>
      <c r="D4365" s="114"/>
      <c r="E4365" s="114"/>
      <c r="F4365" s="54"/>
      <c r="G4365" s="54"/>
      <c r="I4365" s="54"/>
      <c r="K4365" s="54"/>
      <c r="M4365" s="114"/>
      <c r="N4365" s="1"/>
      <c r="O4365" s="1"/>
      <c r="P4365" s="51"/>
    </row>
    <row r="4366">
      <c r="A4366" s="54"/>
      <c r="B4366" s="71"/>
      <c r="C4366" s="51"/>
      <c r="D4366" s="114"/>
      <c r="E4366" s="114"/>
      <c r="F4366" s="54"/>
      <c r="G4366" s="54"/>
      <c r="I4366" s="54"/>
      <c r="K4366" s="54"/>
      <c r="M4366" s="114"/>
      <c r="N4366" s="1"/>
      <c r="O4366" s="1"/>
      <c r="P4366" s="51"/>
    </row>
    <row r="4367">
      <c r="A4367" s="54"/>
      <c r="B4367" s="71"/>
      <c r="C4367" s="51"/>
      <c r="D4367" s="114"/>
      <c r="E4367" s="114"/>
      <c r="F4367" s="54"/>
      <c r="G4367" s="54"/>
      <c r="I4367" s="54"/>
      <c r="K4367" s="54"/>
      <c r="M4367" s="114"/>
      <c r="N4367" s="1"/>
      <c r="O4367" s="1"/>
      <c r="P4367" s="51"/>
    </row>
    <row r="4368">
      <c r="A4368" s="54"/>
      <c r="B4368" s="71"/>
      <c r="C4368" s="51"/>
      <c r="D4368" s="114"/>
      <c r="E4368" s="114"/>
      <c r="F4368" s="54"/>
      <c r="G4368" s="54"/>
      <c r="I4368" s="54"/>
      <c r="K4368" s="54"/>
      <c r="M4368" s="114"/>
      <c r="N4368" s="1"/>
      <c r="O4368" s="1"/>
      <c r="P4368" s="51"/>
    </row>
    <row r="4369">
      <c r="A4369" s="54"/>
      <c r="B4369" s="71"/>
      <c r="C4369" s="51"/>
      <c r="D4369" s="114"/>
      <c r="E4369" s="114"/>
      <c r="F4369" s="54"/>
      <c r="G4369" s="54"/>
      <c r="I4369" s="54"/>
      <c r="K4369" s="54"/>
      <c r="M4369" s="114"/>
      <c r="N4369" s="1"/>
      <c r="O4369" s="1"/>
      <c r="P4369" s="51"/>
    </row>
    <row r="4370">
      <c r="A4370" s="54"/>
      <c r="B4370" s="71"/>
      <c r="C4370" s="51"/>
      <c r="D4370" s="114"/>
      <c r="E4370" s="114"/>
      <c r="F4370" s="54"/>
      <c r="G4370" s="54"/>
      <c r="I4370" s="54"/>
      <c r="K4370" s="54"/>
      <c r="M4370" s="114"/>
      <c r="N4370" s="1"/>
      <c r="O4370" s="1"/>
      <c r="P4370" s="51"/>
    </row>
    <row r="4371">
      <c r="A4371" s="54"/>
      <c r="B4371" s="71"/>
      <c r="C4371" s="51"/>
      <c r="D4371" s="114"/>
      <c r="E4371" s="114"/>
      <c r="F4371" s="54"/>
      <c r="G4371" s="54"/>
      <c r="I4371" s="54"/>
      <c r="K4371" s="54"/>
      <c r="M4371" s="114"/>
      <c r="N4371" s="1"/>
      <c r="O4371" s="1"/>
      <c r="P4371" s="51"/>
    </row>
    <row r="4372">
      <c r="A4372" s="54"/>
      <c r="B4372" s="71"/>
      <c r="C4372" s="51"/>
      <c r="D4372" s="114"/>
      <c r="E4372" s="114"/>
      <c r="F4372" s="54"/>
      <c r="G4372" s="54"/>
      <c r="I4372" s="54"/>
      <c r="K4372" s="54"/>
      <c r="M4372" s="114"/>
      <c r="N4372" s="1"/>
      <c r="O4372" s="1"/>
      <c r="P4372" s="51"/>
    </row>
    <row r="4373">
      <c r="A4373" s="54"/>
      <c r="B4373" s="71"/>
      <c r="C4373" s="51"/>
      <c r="D4373" s="114"/>
      <c r="E4373" s="114"/>
      <c r="F4373" s="54"/>
      <c r="G4373" s="54"/>
      <c r="I4373" s="54"/>
      <c r="K4373" s="54"/>
      <c r="M4373" s="114"/>
      <c r="N4373" s="1"/>
      <c r="O4373" s="1"/>
      <c r="P4373" s="51"/>
    </row>
    <row r="4374">
      <c r="A4374" s="54"/>
      <c r="B4374" s="71"/>
      <c r="C4374" s="51"/>
      <c r="D4374" s="114"/>
      <c r="E4374" s="114"/>
      <c r="F4374" s="54"/>
      <c r="G4374" s="54"/>
      <c r="I4374" s="54"/>
      <c r="K4374" s="54"/>
      <c r="M4374" s="114"/>
      <c r="N4374" s="1"/>
      <c r="O4374" s="1"/>
      <c r="P4374" s="51"/>
    </row>
    <row r="4375">
      <c r="A4375" s="54"/>
      <c r="B4375" s="71"/>
      <c r="C4375" s="51"/>
      <c r="D4375" s="114"/>
      <c r="E4375" s="114"/>
      <c r="F4375" s="54"/>
      <c r="G4375" s="54"/>
      <c r="I4375" s="54"/>
      <c r="K4375" s="54"/>
      <c r="M4375" s="114"/>
      <c r="N4375" s="1"/>
      <c r="O4375" s="1"/>
      <c r="P4375" s="51"/>
    </row>
    <row r="4376">
      <c r="A4376" s="54"/>
      <c r="B4376" s="71"/>
      <c r="C4376" s="51"/>
      <c r="D4376" s="114"/>
      <c r="E4376" s="114"/>
      <c r="F4376" s="54"/>
      <c r="G4376" s="54"/>
      <c r="I4376" s="54"/>
      <c r="K4376" s="54"/>
      <c r="M4376" s="114"/>
      <c r="N4376" s="1"/>
      <c r="O4376" s="1"/>
      <c r="P4376" s="51"/>
    </row>
    <row r="4377">
      <c r="A4377" s="54"/>
      <c r="B4377" s="71"/>
      <c r="C4377" s="51"/>
      <c r="D4377" s="114"/>
      <c r="E4377" s="114"/>
      <c r="F4377" s="54"/>
      <c r="G4377" s="54"/>
      <c r="I4377" s="54"/>
      <c r="K4377" s="54"/>
      <c r="M4377" s="114"/>
      <c r="N4377" s="1"/>
      <c r="O4377" s="1"/>
      <c r="P4377" s="51"/>
    </row>
    <row r="4378">
      <c r="A4378" s="54"/>
      <c r="B4378" s="71"/>
      <c r="C4378" s="51"/>
      <c r="D4378" s="114"/>
      <c r="E4378" s="114"/>
      <c r="F4378" s="54"/>
      <c r="G4378" s="54"/>
      <c r="I4378" s="54"/>
      <c r="K4378" s="54"/>
      <c r="M4378" s="114"/>
      <c r="N4378" s="1"/>
      <c r="O4378" s="1"/>
      <c r="P4378" s="51"/>
    </row>
    <row r="4379">
      <c r="A4379" s="54"/>
      <c r="B4379" s="71"/>
      <c r="C4379" s="51"/>
      <c r="D4379" s="114"/>
      <c r="E4379" s="114"/>
      <c r="F4379" s="54"/>
      <c r="G4379" s="54"/>
      <c r="I4379" s="54"/>
      <c r="K4379" s="54"/>
      <c r="M4379" s="114"/>
      <c r="N4379" s="1"/>
      <c r="O4379" s="1"/>
      <c r="P4379" s="51"/>
    </row>
    <row r="4380">
      <c r="A4380" s="54"/>
      <c r="B4380" s="71"/>
      <c r="C4380" s="51"/>
      <c r="D4380" s="114"/>
      <c r="E4380" s="114"/>
      <c r="F4380" s="54"/>
      <c r="G4380" s="54"/>
      <c r="I4380" s="54"/>
      <c r="K4380" s="54"/>
      <c r="M4380" s="114"/>
      <c r="N4380" s="1"/>
      <c r="O4380" s="1"/>
      <c r="P4380" s="51"/>
    </row>
    <row r="4381">
      <c r="A4381" s="54"/>
      <c r="B4381" s="71"/>
      <c r="C4381" s="51"/>
      <c r="D4381" s="114"/>
      <c r="E4381" s="114"/>
      <c r="F4381" s="54"/>
      <c r="G4381" s="54"/>
      <c r="I4381" s="54"/>
      <c r="K4381" s="54"/>
      <c r="M4381" s="114"/>
      <c r="N4381" s="1"/>
      <c r="O4381" s="1"/>
      <c r="P4381" s="51"/>
    </row>
    <row r="4382">
      <c r="A4382" s="54"/>
      <c r="B4382" s="71"/>
      <c r="C4382" s="51"/>
      <c r="D4382" s="114"/>
      <c r="E4382" s="114"/>
      <c r="F4382" s="54"/>
      <c r="G4382" s="54"/>
      <c r="I4382" s="54"/>
      <c r="K4382" s="54"/>
      <c r="M4382" s="114"/>
      <c r="N4382" s="1"/>
      <c r="O4382" s="1"/>
      <c r="P4382" s="51"/>
    </row>
    <row r="4383">
      <c r="A4383" s="54"/>
      <c r="B4383" s="71"/>
      <c r="C4383" s="51"/>
      <c r="D4383" s="114"/>
      <c r="E4383" s="114"/>
      <c r="F4383" s="54"/>
      <c r="G4383" s="54"/>
      <c r="I4383" s="54"/>
      <c r="K4383" s="54"/>
      <c r="M4383" s="114"/>
      <c r="N4383" s="1"/>
      <c r="O4383" s="1"/>
      <c r="P4383" s="51"/>
    </row>
    <row r="4384">
      <c r="A4384" s="54"/>
      <c r="B4384" s="71"/>
      <c r="C4384" s="51"/>
      <c r="D4384" s="114"/>
      <c r="E4384" s="114"/>
      <c r="F4384" s="54"/>
      <c r="G4384" s="54"/>
      <c r="I4384" s="54"/>
      <c r="K4384" s="54"/>
      <c r="M4384" s="114"/>
      <c r="N4384" s="1"/>
      <c r="O4384" s="1"/>
      <c r="P4384" s="51"/>
    </row>
    <row r="4385">
      <c r="A4385" s="54"/>
      <c r="B4385" s="71"/>
      <c r="C4385" s="51"/>
      <c r="D4385" s="114"/>
      <c r="E4385" s="114"/>
      <c r="F4385" s="54"/>
      <c r="G4385" s="54"/>
      <c r="I4385" s="54"/>
      <c r="K4385" s="54"/>
      <c r="M4385" s="114"/>
      <c r="N4385" s="1"/>
      <c r="O4385" s="1"/>
      <c r="P4385" s="51"/>
    </row>
    <row r="4386">
      <c r="A4386" s="54"/>
      <c r="B4386" s="71"/>
      <c r="C4386" s="51"/>
      <c r="D4386" s="114"/>
      <c r="E4386" s="114"/>
      <c r="F4386" s="54"/>
      <c r="G4386" s="54"/>
      <c r="I4386" s="54"/>
      <c r="K4386" s="54"/>
      <c r="M4386" s="114"/>
      <c r="N4386" s="1"/>
      <c r="O4386" s="1"/>
      <c r="P4386" s="51"/>
    </row>
    <row r="4387">
      <c r="A4387" s="54"/>
      <c r="B4387" s="71"/>
      <c r="C4387" s="51"/>
      <c r="D4387" s="114"/>
      <c r="E4387" s="114"/>
      <c r="F4387" s="54"/>
      <c r="G4387" s="54"/>
      <c r="I4387" s="54"/>
      <c r="K4387" s="54"/>
      <c r="M4387" s="114"/>
      <c r="N4387" s="1"/>
      <c r="O4387" s="1"/>
      <c r="P4387" s="51"/>
    </row>
    <row r="4388">
      <c r="A4388" s="54"/>
      <c r="B4388" s="71"/>
      <c r="C4388" s="51"/>
      <c r="D4388" s="114"/>
      <c r="E4388" s="114"/>
      <c r="F4388" s="54"/>
      <c r="G4388" s="54"/>
      <c r="I4388" s="54"/>
      <c r="K4388" s="54"/>
      <c r="M4388" s="114"/>
      <c r="N4388" s="1"/>
      <c r="O4388" s="1"/>
      <c r="P4388" s="51"/>
    </row>
    <row r="4389">
      <c r="A4389" s="54"/>
      <c r="B4389" s="71"/>
      <c r="C4389" s="51"/>
      <c r="D4389" s="114"/>
      <c r="E4389" s="114"/>
      <c r="F4389" s="54"/>
      <c r="G4389" s="54"/>
      <c r="I4389" s="54"/>
      <c r="K4389" s="54"/>
      <c r="M4389" s="114"/>
      <c r="N4389" s="1"/>
      <c r="O4389" s="1"/>
      <c r="P4389" s="51"/>
    </row>
    <row r="4390">
      <c r="A4390" s="54"/>
      <c r="B4390" s="71"/>
      <c r="C4390" s="51"/>
      <c r="D4390" s="114"/>
      <c r="E4390" s="114"/>
      <c r="F4390" s="54"/>
      <c r="G4390" s="54"/>
      <c r="I4390" s="54"/>
      <c r="K4390" s="54"/>
      <c r="M4390" s="114"/>
      <c r="N4390" s="1"/>
      <c r="O4390" s="1"/>
      <c r="P4390" s="51"/>
    </row>
    <row r="4391">
      <c r="A4391" s="54"/>
      <c r="B4391" s="71"/>
      <c r="C4391" s="51"/>
      <c r="D4391" s="114"/>
      <c r="E4391" s="114"/>
      <c r="F4391" s="54"/>
      <c r="G4391" s="54"/>
      <c r="I4391" s="54"/>
      <c r="K4391" s="54"/>
      <c r="M4391" s="114"/>
      <c r="N4391" s="1"/>
      <c r="O4391" s="1"/>
      <c r="P4391" s="51"/>
    </row>
    <row r="4392">
      <c r="A4392" s="54"/>
      <c r="B4392" s="71"/>
      <c r="C4392" s="51"/>
      <c r="D4392" s="114"/>
      <c r="E4392" s="114"/>
      <c r="F4392" s="54"/>
      <c r="G4392" s="54"/>
      <c r="I4392" s="54"/>
      <c r="K4392" s="54"/>
      <c r="M4392" s="114"/>
      <c r="N4392" s="1"/>
      <c r="O4392" s="1"/>
      <c r="P4392" s="51"/>
    </row>
    <row r="4393">
      <c r="A4393" s="54"/>
      <c r="B4393" s="71"/>
      <c r="C4393" s="51"/>
      <c r="D4393" s="114"/>
      <c r="E4393" s="114"/>
      <c r="F4393" s="54"/>
      <c r="G4393" s="54"/>
      <c r="I4393" s="54"/>
      <c r="K4393" s="54"/>
      <c r="M4393" s="114"/>
      <c r="N4393" s="1"/>
      <c r="O4393" s="1"/>
      <c r="P4393" s="51"/>
    </row>
    <row r="4394">
      <c r="A4394" s="54"/>
      <c r="B4394" s="71"/>
      <c r="C4394" s="51"/>
      <c r="D4394" s="114"/>
      <c r="E4394" s="114"/>
      <c r="F4394" s="54"/>
      <c r="G4394" s="54"/>
      <c r="I4394" s="54"/>
      <c r="K4394" s="54"/>
      <c r="M4394" s="114"/>
      <c r="N4394" s="1"/>
      <c r="O4394" s="1"/>
      <c r="P4394" s="51"/>
    </row>
    <row r="4395">
      <c r="A4395" s="54"/>
      <c r="B4395" s="71"/>
      <c r="C4395" s="51"/>
      <c r="D4395" s="114"/>
      <c r="E4395" s="114"/>
      <c r="F4395" s="54"/>
      <c r="G4395" s="54"/>
      <c r="I4395" s="54"/>
      <c r="K4395" s="54"/>
      <c r="M4395" s="114"/>
      <c r="N4395" s="1"/>
      <c r="O4395" s="1"/>
      <c r="P4395" s="51"/>
    </row>
    <row r="4396">
      <c r="A4396" s="54"/>
      <c r="B4396" s="71"/>
      <c r="C4396" s="51"/>
      <c r="D4396" s="114"/>
      <c r="E4396" s="114"/>
      <c r="F4396" s="54"/>
      <c r="G4396" s="54"/>
      <c r="I4396" s="54"/>
      <c r="K4396" s="54"/>
      <c r="M4396" s="114"/>
      <c r="N4396" s="1"/>
      <c r="O4396" s="1"/>
      <c r="P4396" s="51"/>
    </row>
    <row r="4397">
      <c r="A4397" s="54"/>
      <c r="B4397" s="71"/>
      <c r="C4397" s="51"/>
      <c r="D4397" s="114"/>
      <c r="E4397" s="114"/>
      <c r="F4397" s="54"/>
      <c r="G4397" s="54"/>
      <c r="I4397" s="54"/>
      <c r="K4397" s="54"/>
      <c r="M4397" s="114"/>
      <c r="N4397" s="1"/>
      <c r="O4397" s="1"/>
      <c r="P4397" s="51"/>
    </row>
    <row r="4398">
      <c r="A4398" s="54"/>
      <c r="B4398" s="71"/>
      <c r="C4398" s="51"/>
      <c r="D4398" s="114"/>
      <c r="E4398" s="114"/>
      <c r="F4398" s="54"/>
      <c r="G4398" s="54"/>
      <c r="I4398" s="54"/>
      <c r="K4398" s="54"/>
      <c r="M4398" s="114"/>
      <c r="N4398" s="1"/>
      <c r="O4398" s="1"/>
      <c r="P4398" s="51"/>
    </row>
    <row r="4399">
      <c r="A4399" s="54"/>
      <c r="B4399" s="71"/>
      <c r="C4399" s="51"/>
      <c r="D4399" s="114"/>
      <c r="E4399" s="114"/>
      <c r="F4399" s="54"/>
      <c r="G4399" s="54"/>
      <c r="I4399" s="54"/>
      <c r="K4399" s="54"/>
      <c r="M4399" s="114"/>
      <c r="N4399" s="1"/>
      <c r="O4399" s="1"/>
      <c r="P4399" s="51"/>
    </row>
    <row r="4400">
      <c r="A4400" s="54"/>
      <c r="B4400" s="71"/>
      <c r="C4400" s="51"/>
      <c r="D4400" s="114"/>
      <c r="E4400" s="114"/>
      <c r="F4400" s="54"/>
      <c r="G4400" s="54"/>
      <c r="I4400" s="54"/>
      <c r="K4400" s="54"/>
      <c r="M4400" s="114"/>
      <c r="N4400" s="1"/>
      <c r="O4400" s="1"/>
      <c r="P4400" s="51"/>
    </row>
    <row r="4401">
      <c r="A4401" s="54"/>
      <c r="B4401" s="71"/>
      <c r="C4401" s="51"/>
      <c r="D4401" s="114"/>
      <c r="E4401" s="114"/>
      <c r="F4401" s="54"/>
      <c r="G4401" s="54"/>
      <c r="I4401" s="54"/>
      <c r="K4401" s="54"/>
      <c r="M4401" s="114"/>
      <c r="N4401" s="1"/>
      <c r="O4401" s="1"/>
      <c r="P4401" s="51"/>
    </row>
    <row r="4402">
      <c r="A4402" s="54"/>
      <c r="B4402" s="71"/>
      <c r="C4402" s="51"/>
      <c r="D4402" s="114"/>
      <c r="E4402" s="114"/>
      <c r="F4402" s="54"/>
      <c r="G4402" s="54"/>
      <c r="I4402" s="54"/>
      <c r="K4402" s="54"/>
      <c r="M4402" s="114"/>
      <c r="N4402" s="1"/>
      <c r="O4402" s="1"/>
      <c r="P4402" s="51"/>
    </row>
    <row r="4403">
      <c r="A4403" s="54"/>
      <c r="B4403" s="71"/>
      <c r="C4403" s="51"/>
      <c r="D4403" s="114"/>
      <c r="E4403" s="114"/>
      <c r="F4403" s="54"/>
      <c r="G4403" s="54"/>
      <c r="I4403" s="54"/>
      <c r="K4403" s="54"/>
      <c r="M4403" s="114"/>
      <c r="N4403" s="1"/>
      <c r="O4403" s="1"/>
      <c r="P4403" s="51"/>
    </row>
    <row r="4404">
      <c r="A4404" s="54"/>
      <c r="B4404" s="71"/>
      <c r="C4404" s="51"/>
      <c r="D4404" s="114"/>
      <c r="E4404" s="114"/>
      <c r="F4404" s="54"/>
      <c r="G4404" s="54"/>
      <c r="I4404" s="54"/>
      <c r="K4404" s="54"/>
      <c r="M4404" s="114"/>
      <c r="N4404" s="1"/>
      <c r="O4404" s="1"/>
      <c r="P4404" s="51"/>
    </row>
    <row r="4405">
      <c r="A4405" s="54"/>
      <c r="B4405" s="71"/>
      <c r="C4405" s="51"/>
      <c r="D4405" s="114"/>
      <c r="E4405" s="114"/>
      <c r="F4405" s="54"/>
      <c r="G4405" s="54"/>
      <c r="I4405" s="54"/>
      <c r="K4405" s="54"/>
      <c r="M4405" s="114"/>
      <c r="N4405" s="1"/>
      <c r="O4405" s="1"/>
      <c r="P4405" s="51"/>
    </row>
    <row r="4406">
      <c r="A4406" s="54"/>
      <c r="B4406" s="71"/>
      <c r="C4406" s="51"/>
      <c r="D4406" s="114"/>
      <c r="E4406" s="114"/>
      <c r="F4406" s="54"/>
      <c r="G4406" s="54"/>
      <c r="I4406" s="54"/>
      <c r="K4406" s="54"/>
      <c r="M4406" s="114"/>
      <c r="N4406" s="1"/>
      <c r="O4406" s="1"/>
      <c r="P4406" s="51"/>
    </row>
    <row r="4407">
      <c r="A4407" s="54"/>
      <c r="B4407" s="71"/>
      <c r="C4407" s="51"/>
      <c r="D4407" s="114"/>
      <c r="E4407" s="114"/>
      <c r="F4407" s="54"/>
      <c r="G4407" s="54"/>
      <c r="I4407" s="54"/>
      <c r="K4407" s="54"/>
      <c r="M4407" s="114"/>
      <c r="N4407" s="1"/>
      <c r="O4407" s="1"/>
      <c r="P4407" s="51"/>
    </row>
    <row r="4408">
      <c r="A4408" s="54"/>
      <c r="B4408" s="71"/>
      <c r="C4408" s="51"/>
      <c r="D4408" s="114"/>
      <c r="E4408" s="114"/>
      <c r="F4408" s="54"/>
      <c r="G4408" s="54"/>
      <c r="I4408" s="54"/>
      <c r="K4408" s="54"/>
      <c r="M4408" s="114"/>
      <c r="N4408" s="1"/>
      <c r="O4408" s="1"/>
      <c r="P4408" s="51"/>
    </row>
    <row r="4409">
      <c r="A4409" s="54"/>
      <c r="B4409" s="71"/>
      <c r="C4409" s="51"/>
      <c r="D4409" s="114"/>
      <c r="E4409" s="114"/>
      <c r="F4409" s="54"/>
      <c r="G4409" s="54"/>
      <c r="I4409" s="54"/>
      <c r="K4409" s="54"/>
      <c r="M4409" s="114"/>
      <c r="N4409" s="1"/>
      <c r="O4409" s="1"/>
      <c r="P4409" s="51"/>
    </row>
    <row r="4410">
      <c r="A4410" s="54"/>
      <c r="B4410" s="71"/>
      <c r="C4410" s="51"/>
      <c r="D4410" s="114"/>
      <c r="E4410" s="114"/>
      <c r="F4410" s="54"/>
      <c r="G4410" s="54"/>
      <c r="I4410" s="54"/>
      <c r="K4410" s="54"/>
      <c r="M4410" s="114"/>
      <c r="N4410" s="1"/>
      <c r="O4410" s="1"/>
      <c r="P4410" s="51"/>
    </row>
    <row r="4411">
      <c r="A4411" s="54"/>
      <c r="B4411" s="71"/>
      <c r="C4411" s="51"/>
      <c r="D4411" s="114"/>
      <c r="E4411" s="114"/>
      <c r="F4411" s="54"/>
      <c r="G4411" s="54"/>
      <c r="I4411" s="54"/>
      <c r="K4411" s="54"/>
      <c r="M4411" s="114"/>
      <c r="N4411" s="1"/>
      <c r="O4411" s="1"/>
      <c r="P4411" s="51"/>
    </row>
    <row r="4412">
      <c r="A4412" s="54"/>
      <c r="B4412" s="71"/>
      <c r="C4412" s="51"/>
      <c r="D4412" s="114"/>
      <c r="E4412" s="114"/>
      <c r="F4412" s="54"/>
      <c r="G4412" s="54"/>
      <c r="I4412" s="54"/>
      <c r="K4412" s="54"/>
      <c r="M4412" s="114"/>
      <c r="N4412" s="1"/>
      <c r="O4412" s="1"/>
      <c r="P4412" s="51"/>
    </row>
    <row r="4413">
      <c r="A4413" s="54"/>
      <c r="B4413" s="71"/>
      <c r="C4413" s="51"/>
      <c r="D4413" s="114"/>
      <c r="E4413" s="114"/>
      <c r="F4413" s="54"/>
      <c r="G4413" s="54"/>
      <c r="I4413" s="54"/>
      <c r="K4413" s="54"/>
      <c r="M4413" s="114"/>
      <c r="N4413" s="1"/>
      <c r="O4413" s="1"/>
      <c r="P4413" s="51"/>
    </row>
    <row r="4414">
      <c r="A4414" s="54"/>
      <c r="B4414" s="71"/>
      <c r="C4414" s="51"/>
      <c r="D4414" s="114"/>
      <c r="E4414" s="114"/>
      <c r="F4414" s="54"/>
      <c r="G4414" s="54"/>
      <c r="I4414" s="54"/>
      <c r="K4414" s="54"/>
      <c r="M4414" s="114"/>
      <c r="N4414" s="1"/>
      <c r="O4414" s="1"/>
      <c r="P4414" s="51"/>
    </row>
    <row r="4415">
      <c r="A4415" s="54"/>
      <c r="B4415" s="71"/>
      <c r="C4415" s="51"/>
      <c r="D4415" s="114"/>
      <c r="E4415" s="114"/>
      <c r="F4415" s="54"/>
      <c r="G4415" s="54"/>
      <c r="I4415" s="54"/>
      <c r="K4415" s="54"/>
      <c r="M4415" s="114"/>
      <c r="N4415" s="1"/>
      <c r="O4415" s="1"/>
      <c r="P4415" s="51"/>
    </row>
    <row r="4416">
      <c r="A4416" s="54"/>
      <c r="B4416" s="71"/>
      <c r="C4416" s="51"/>
      <c r="D4416" s="114"/>
      <c r="E4416" s="114"/>
      <c r="F4416" s="54"/>
      <c r="G4416" s="54"/>
      <c r="I4416" s="54"/>
      <c r="K4416" s="54"/>
      <c r="M4416" s="114"/>
      <c r="N4416" s="1"/>
      <c r="O4416" s="1"/>
      <c r="P4416" s="51"/>
    </row>
    <row r="4417">
      <c r="A4417" s="54"/>
      <c r="B4417" s="71"/>
      <c r="C4417" s="51"/>
      <c r="D4417" s="114"/>
      <c r="E4417" s="114"/>
      <c r="F4417" s="54"/>
      <c r="G4417" s="54"/>
      <c r="I4417" s="54"/>
      <c r="K4417" s="54"/>
      <c r="M4417" s="114"/>
      <c r="N4417" s="1"/>
      <c r="O4417" s="1"/>
      <c r="P4417" s="51"/>
    </row>
    <row r="4418">
      <c r="A4418" s="54"/>
      <c r="B4418" s="71"/>
      <c r="C4418" s="51"/>
      <c r="D4418" s="114"/>
      <c r="E4418" s="114"/>
      <c r="F4418" s="54"/>
      <c r="G4418" s="54"/>
      <c r="I4418" s="54"/>
      <c r="K4418" s="54"/>
      <c r="M4418" s="114"/>
      <c r="N4418" s="1"/>
      <c r="O4418" s="1"/>
      <c r="P4418" s="51"/>
    </row>
    <row r="4419">
      <c r="A4419" s="54"/>
      <c r="B4419" s="71"/>
      <c r="C4419" s="51"/>
      <c r="D4419" s="114"/>
      <c r="E4419" s="114"/>
      <c r="F4419" s="54"/>
      <c r="G4419" s="54"/>
      <c r="I4419" s="54"/>
      <c r="K4419" s="54"/>
      <c r="M4419" s="114"/>
      <c r="N4419" s="1"/>
      <c r="O4419" s="1"/>
      <c r="P4419" s="51"/>
    </row>
    <row r="4420">
      <c r="A4420" s="54"/>
      <c r="B4420" s="71"/>
      <c r="C4420" s="51"/>
      <c r="D4420" s="114"/>
      <c r="E4420" s="114"/>
      <c r="F4420" s="54"/>
      <c r="G4420" s="54"/>
      <c r="I4420" s="54"/>
      <c r="K4420" s="54"/>
      <c r="M4420" s="114"/>
      <c r="N4420" s="1"/>
      <c r="O4420" s="1"/>
      <c r="P4420" s="51"/>
    </row>
    <row r="4421">
      <c r="A4421" s="54"/>
      <c r="B4421" s="71"/>
      <c r="C4421" s="51"/>
      <c r="D4421" s="114"/>
      <c r="E4421" s="114"/>
      <c r="F4421" s="54"/>
      <c r="G4421" s="54"/>
      <c r="I4421" s="54"/>
      <c r="K4421" s="54"/>
      <c r="M4421" s="114"/>
      <c r="N4421" s="1"/>
      <c r="O4421" s="1"/>
      <c r="P4421" s="51"/>
    </row>
    <row r="4422">
      <c r="A4422" s="54"/>
      <c r="B4422" s="71"/>
      <c r="C4422" s="51"/>
      <c r="D4422" s="114"/>
      <c r="E4422" s="114"/>
      <c r="F4422" s="54"/>
      <c r="G4422" s="54"/>
      <c r="I4422" s="54"/>
      <c r="K4422" s="54"/>
      <c r="M4422" s="114"/>
      <c r="N4422" s="1"/>
      <c r="O4422" s="1"/>
      <c r="P4422" s="51"/>
    </row>
    <row r="4423">
      <c r="A4423" s="54"/>
      <c r="B4423" s="71"/>
      <c r="C4423" s="51"/>
      <c r="D4423" s="114"/>
      <c r="E4423" s="114"/>
      <c r="F4423" s="54"/>
      <c r="G4423" s="54"/>
      <c r="I4423" s="54"/>
      <c r="K4423" s="54"/>
      <c r="M4423" s="114"/>
      <c r="N4423" s="1"/>
      <c r="O4423" s="1"/>
      <c r="P4423" s="51"/>
    </row>
    <row r="4424">
      <c r="A4424" s="54"/>
      <c r="B4424" s="71"/>
      <c r="C4424" s="51"/>
      <c r="D4424" s="114"/>
      <c r="E4424" s="114"/>
      <c r="F4424" s="54"/>
      <c r="G4424" s="54"/>
      <c r="I4424" s="54"/>
      <c r="K4424" s="54"/>
      <c r="M4424" s="114"/>
      <c r="N4424" s="1"/>
      <c r="O4424" s="1"/>
      <c r="P4424" s="51"/>
    </row>
    <row r="4425">
      <c r="A4425" s="54"/>
      <c r="B4425" s="71"/>
      <c r="C4425" s="51"/>
      <c r="D4425" s="114"/>
      <c r="E4425" s="114"/>
      <c r="F4425" s="54"/>
      <c r="G4425" s="54"/>
      <c r="I4425" s="54"/>
      <c r="K4425" s="54"/>
      <c r="M4425" s="114"/>
      <c r="N4425" s="1"/>
      <c r="O4425" s="1"/>
      <c r="P4425" s="51"/>
    </row>
    <row r="4426">
      <c r="A4426" s="54"/>
      <c r="B4426" s="71"/>
      <c r="C4426" s="51"/>
      <c r="D4426" s="114"/>
      <c r="E4426" s="114"/>
      <c r="F4426" s="54"/>
      <c r="G4426" s="54"/>
      <c r="I4426" s="54"/>
      <c r="K4426" s="54"/>
      <c r="M4426" s="114"/>
      <c r="N4426" s="1"/>
      <c r="O4426" s="1"/>
      <c r="P4426" s="51"/>
    </row>
    <row r="4427">
      <c r="A4427" s="54"/>
      <c r="B4427" s="71"/>
      <c r="C4427" s="51"/>
      <c r="D4427" s="114"/>
      <c r="E4427" s="114"/>
      <c r="F4427" s="54"/>
      <c r="G4427" s="54"/>
      <c r="I4427" s="54"/>
      <c r="K4427" s="54"/>
      <c r="M4427" s="114"/>
      <c r="N4427" s="1"/>
      <c r="O4427" s="1"/>
      <c r="P4427" s="51"/>
    </row>
    <row r="4428">
      <c r="A4428" s="54"/>
      <c r="B4428" s="71"/>
      <c r="C4428" s="51"/>
      <c r="D4428" s="114"/>
      <c r="E4428" s="114"/>
      <c r="F4428" s="54"/>
      <c r="G4428" s="54"/>
      <c r="I4428" s="54"/>
      <c r="K4428" s="54"/>
      <c r="M4428" s="114"/>
      <c r="N4428" s="1"/>
      <c r="O4428" s="1"/>
      <c r="P4428" s="51"/>
    </row>
    <row r="4429">
      <c r="A4429" s="54"/>
      <c r="B4429" s="71"/>
      <c r="C4429" s="51"/>
      <c r="D4429" s="114"/>
      <c r="E4429" s="114"/>
      <c r="F4429" s="54"/>
      <c r="G4429" s="54"/>
      <c r="I4429" s="54"/>
      <c r="K4429" s="54"/>
      <c r="M4429" s="114"/>
      <c r="N4429" s="1"/>
      <c r="O4429" s="1"/>
      <c r="P4429" s="51"/>
    </row>
    <row r="4430">
      <c r="A4430" s="54"/>
      <c r="B4430" s="71"/>
      <c r="C4430" s="51"/>
      <c r="D4430" s="114"/>
      <c r="E4430" s="114"/>
      <c r="F4430" s="54"/>
      <c r="G4430" s="54"/>
      <c r="I4430" s="54"/>
      <c r="K4430" s="54"/>
      <c r="M4430" s="114"/>
      <c r="N4430" s="1"/>
      <c r="O4430" s="1"/>
      <c r="P4430" s="51"/>
    </row>
    <row r="4431">
      <c r="A4431" s="54"/>
      <c r="B4431" s="71"/>
      <c r="C4431" s="51"/>
      <c r="D4431" s="114"/>
      <c r="E4431" s="114"/>
      <c r="F4431" s="54"/>
      <c r="G4431" s="54"/>
      <c r="I4431" s="54"/>
      <c r="K4431" s="54"/>
      <c r="M4431" s="114"/>
      <c r="N4431" s="1"/>
      <c r="O4431" s="1"/>
      <c r="P4431" s="51"/>
    </row>
    <row r="4432">
      <c r="A4432" s="54"/>
      <c r="B4432" s="71"/>
      <c r="C4432" s="51"/>
      <c r="D4432" s="114"/>
      <c r="E4432" s="114"/>
      <c r="F4432" s="54"/>
      <c r="G4432" s="54"/>
      <c r="I4432" s="54"/>
      <c r="K4432" s="54"/>
      <c r="M4432" s="114"/>
      <c r="N4432" s="1"/>
      <c r="O4432" s="1"/>
      <c r="P4432" s="51"/>
    </row>
    <row r="4433">
      <c r="A4433" s="54"/>
      <c r="B4433" s="71"/>
      <c r="C4433" s="51"/>
      <c r="D4433" s="114"/>
      <c r="E4433" s="114"/>
      <c r="F4433" s="54"/>
      <c r="G4433" s="54"/>
      <c r="I4433" s="54"/>
      <c r="K4433" s="54"/>
      <c r="M4433" s="114"/>
      <c r="N4433" s="1"/>
      <c r="O4433" s="1"/>
      <c r="P4433" s="51"/>
    </row>
    <row r="4434">
      <c r="A4434" s="54"/>
      <c r="B4434" s="71"/>
      <c r="C4434" s="51"/>
      <c r="D4434" s="114"/>
      <c r="E4434" s="114"/>
      <c r="F4434" s="54"/>
      <c r="G4434" s="54"/>
      <c r="I4434" s="54"/>
      <c r="K4434" s="54"/>
      <c r="M4434" s="114"/>
      <c r="N4434" s="1"/>
      <c r="O4434" s="1"/>
      <c r="P4434" s="51"/>
    </row>
    <row r="4435">
      <c r="A4435" s="54"/>
      <c r="B4435" s="71"/>
      <c r="C4435" s="51"/>
      <c r="D4435" s="114"/>
      <c r="E4435" s="114"/>
      <c r="F4435" s="54"/>
      <c r="G4435" s="54"/>
      <c r="I4435" s="54"/>
      <c r="K4435" s="54"/>
      <c r="M4435" s="114"/>
      <c r="N4435" s="1"/>
      <c r="O4435" s="1"/>
      <c r="P4435" s="51"/>
    </row>
    <row r="4436">
      <c r="A4436" s="54"/>
      <c r="B4436" s="71"/>
      <c r="C4436" s="51"/>
      <c r="D4436" s="114"/>
      <c r="E4436" s="114"/>
      <c r="F4436" s="54"/>
      <c r="G4436" s="54"/>
      <c r="I4436" s="54"/>
      <c r="K4436" s="54"/>
      <c r="M4436" s="114"/>
      <c r="N4436" s="1"/>
      <c r="O4436" s="1"/>
      <c r="P4436" s="51"/>
    </row>
    <row r="4437">
      <c r="A4437" s="54"/>
      <c r="B4437" s="71"/>
      <c r="C4437" s="51"/>
      <c r="D4437" s="114"/>
      <c r="E4437" s="114"/>
      <c r="F4437" s="54"/>
      <c r="G4437" s="54"/>
      <c r="I4437" s="54"/>
      <c r="K4437" s="54"/>
      <c r="M4437" s="114"/>
      <c r="N4437" s="1"/>
      <c r="O4437" s="1"/>
      <c r="P4437" s="51"/>
    </row>
    <row r="4438">
      <c r="A4438" s="54"/>
      <c r="B4438" s="71"/>
      <c r="C4438" s="51"/>
      <c r="D4438" s="114"/>
      <c r="E4438" s="114"/>
      <c r="F4438" s="54"/>
      <c r="G4438" s="54"/>
      <c r="I4438" s="54"/>
      <c r="K4438" s="54"/>
      <c r="M4438" s="114"/>
      <c r="N4438" s="1"/>
      <c r="O4438" s="1"/>
      <c r="P4438" s="51"/>
    </row>
    <row r="4439">
      <c r="A4439" s="54"/>
      <c r="B4439" s="71"/>
      <c r="C4439" s="51"/>
      <c r="D4439" s="114"/>
      <c r="E4439" s="114"/>
      <c r="F4439" s="54"/>
      <c r="G4439" s="54"/>
      <c r="I4439" s="54"/>
      <c r="K4439" s="54"/>
      <c r="M4439" s="114"/>
      <c r="N4439" s="1"/>
      <c r="O4439" s="1"/>
      <c r="P4439" s="51"/>
    </row>
    <row r="4440">
      <c r="A4440" s="54"/>
      <c r="B4440" s="71"/>
      <c r="C4440" s="51"/>
      <c r="D4440" s="114"/>
      <c r="E4440" s="114"/>
      <c r="F4440" s="54"/>
      <c r="G4440" s="54"/>
      <c r="I4440" s="54"/>
      <c r="K4440" s="54"/>
      <c r="M4440" s="114"/>
      <c r="N4440" s="1"/>
      <c r="O4440" s="1"/>
      <c r="P4440" s="51"/>
    </row>
    <row r="4441">
      <c r="A4441" s="54"/>
      <c r="B4441" s="71"/>
      <c r="C4441" s="51"/>
      <c r="D4441" s="114"/>
      <c r="E4441" s="114"/>
      <c r="F4441" s="54"/>
      <c r="G4441" s="54"/>
      <c r="I4441" s="54"/>
      <c r="K4441" s="54"/>
      <c r="M4441" s="114"/>
      <c r="N4441" s="1"/>
      <c r="O4441" s="1"/>
      <c r="P4441" s="51"/>
    </row>
    <row r="4442">
      <c r="A4442" s="54"/>
      <c r="B4442" s="71"/>
      <c r="C4442" s="51"/>
      <c r="D4442" s="114"/>
      <c r="E4442" s="114"/>
      <c r="F4442" s="54"/>
      <c r="G4442" s="54"/>
      <c r="I4442" s="54"/>
      <c r="K4442" s="54"/>
      <c r="M4442" s="114"/>
      <c r="N4442" s="1"/>
      <c r="O4442" s="1"/>
      <c r="P4442" s="51"/>
    </row>
    <row r="4443">
      <c r="A4443" s="54"/>
      <c r="B4443" s="71"/>
      <c r="C4443" s="51"/>
      <c r="D4443" s="114"/>
      <c r="E4443" s="114"/>
      <c r="F4443" s="54"/>
      <c r="G4443" s="54"/>
      <c r="I4443" s="54"/>
      <c r="K4443" s="54"/>
      <c r="M4443" s="114"/>
      <c r="N4443" s="1"/>
      <c r="O4443" s="1"/>
      <c r="P4443" s="51"/>
    </row>
    <row r="4444">
      <c r="A4444" s="54"/>
      <c r="B4444" s="71"/>
      <c r="C4444" s="51"/>
      <c r="D4444" s="114"/>
      <c r="E4444" s="114"/>
      <c r="F4444" s="54"/>
      <c r="G4444" s="54"/>
      <c r="I4444" s="54"/>
      <c r="K4444" s="54"/>
      <c r="M4444" s="114"/>
      <c r="N4444" s="1"/>
      <c r="O4444" s="1"/>
      <c r="P4444" s="51"/>
    </row>
    <row r="4445">
      <c r="A4445" s="54"/>
      <c r="B4445" s="71"/>
      <c r="C4445" s="51"/>
      <c r="D4445" s="114"/>
      <c r="E4445" s="114"/>
      <c r="F4445" s="54"/>
      <c r="G4445" s="54"/>
      <c r="I4445" s="54"/>
      <c r="K4445" s="54"/>
      <c r="M4445" s="114"/>
      <c r="N4445" s="1"/>
      <c r="O4445" s="1"/>
      <c r="P4445" s="51"/>
    </row>
    <row r="4446">
      <c r="A4446" s="54"/>
      <c r="B4446" s="71"/>
      <c r="C4446" s="51"/>
      <c r="D4446" s="114"/>
      <c r="E4446" s="114"/>
      <c r="F4446" s="54"/>
      <c r="G4446" s="54"/>
      <c r="I4446" s="54"/>
      <c r="K4446" s="54"/>
      <c r="M4446" s="114"/>
      <c r="N4446" s="1"/>
      <c r="O4446" s="1"/>
      <c r="P4446" s="51"/>
    </row>
    <row r="4447">
      <c r="A4447" s="54"/>
      <c r="B4447" s="71"/>
      <c r="C4447" s="51"/>
      <c r="D4447" s="114"/>
      <c r="E4447" s="114"/>
      <c r="F4447" s="54"/>
      <c r="G4447" s="54"/>
      <c r="I4447" s="54"/>
      <c r="K4447" s="54"/>
      <c r="M4447" s="114"/>
      <c r="N4447" s="1"/>
      <c r="O4447" s="1"/>
      <c r="P4447" s="51"/>
    </row>
    <row r="4448">
      <c r="A4448" s="54"/>
      <c r="B4448" s="71"/>
      <c r="C4448" s="51"/>
      <c r="D4448" s="114"/>
      <c r="E4448" s="114"/>
      <c r="F4448" s="54"/>
      <c r="G4448" s="54"/>
      <c r="I4448" s="54"/>
      <c r="K4448" s="54"/>
      <c r="M4448" s="114"/>
      <c r="N4448" s="1"/>
      <c r="O4448" s="1"/>
      <c r="P4448" s="51"/>
    </row>
    <row r="4449">
      <c r="A4449" s="54"/>
      <c r="B4449" s="71"/>
      <c r="C4449" s="51"/>
      <c r="D4449" s="114"/>
      <c r="E4449" s="114"/>
      <c r="F4449" s="54"/>
      <c r="G4449" s="54"/>
      <c r="I4449" s="54"/>
      <c r="K4449" s="54"/>
      <c r="M4449" s="114"/>
      <c r="N4449" s="1"/>
      <c r="O4449" s="1"/>
      <c r="P4449" s="51"/>
    </row>
    <row r="4450">
      <c r="A4450" s="54"/>
      <c r="B4450" s="71"/>
      <c r="C4450" s="51"/>
      <c r="D4450" s="114"/>
      <c r="E4450" s="114"/>
      <c r="F4450" s="54"/>
      <c r="G4450" s="54"/>
      <c r="I4450" s="54"/>
      <c r="K4450" s="54"/>
      <c r="M4450" s="114"/>
      <c r="N4450" s="1"/>
      <c r="O4450" s="1"/>
      <c r="P4450" s="51"/>
    </row>
    <row r="4451">
      <c r="A4451" s="54"/>
      <c r="B4451" s="71"/>
      <c r="C4451" s="51"/>
      <c r="D4451" s="114"/>
      <c r="E4451" s="114"/>
      <c r="F4451" s="54"/>
      <c r="G4451" s="54"/>
      <c r="I4451" s="54"/>
      <c r="K4451" s="54"/>
      <c r="M4451" s="114"/>
      <c r="N4451" s="1"/>
      <c r="O4451" s="1"/>
      <c r="P4451" s="51"/>
    </row>
    <row r="4452">
      <c r="A4452" s="54"/>
      <c r="B4452" s="71"/>
      <c r="C4452" s="51"/>
      <c r="D4452" s="114"/>
      <c r="E4452" s="114"/>
      <c r="F4452" s="54"/>
      <c r="G4452" s="54"/>
      <c r="I4452" s="54"/>
      <c r="K4452" s="54"/>
      <c r="M4452" s="114"/>
      <c r="N4452" s="1"/>
      <c r="O4452" s="1"/>
      <c r="P4452" s="51"/>
    </row>
    <row r="4453">
      <c r="A4453" s="54"/>
      <c r="B4453" s="71"/>
      <c r="C4453" s="51"/>
      <c r="D4453" s="114"/>
      <c r="E4453" s="114"/>
      <c r="F4453" s="54"/>
      <c r="G4453" s="54"/>
      <c r="I4453" s="54"/>
      <c r="K4453" s="54"/>
      <c r="M4453" s="114"/>
      <c r="N4453" s="1"/>
      <c r="O4453" s="1"/>
      <c r="P4453" s="51"/>
    </row>
    <row r="4454">
      <c r="A4454" s="54"/>
      <c r="B4454" s="71"/>
      <c r="C4454" s="51"/>
      <c r="D4454" s="114"/>
      <c r="E4454" s="114"/>
      <c r="F4454" s="54"/>
      <c r="G4454" s="54"/>
      <c r="I4454" s="54"/>
      <c r="K4454" s="54"/>
      <c r="M4454" s="114"/>
      <c r="N4454" s="1"/>
      <c r="O4454" s="1"/>
      <c r="P4454" s="51"/>
    </row>
    <row r="4455">
      <c r="A4455" s="54"/>
      <c r="B4455" s="71"/>
      <c r="C4455" s="51"/>
      <c r="D4455" s="114"/>
      <c r="E4455" s="114"/>
      <c r="F4455" s="54"/>
      <c r="G4455" s="54"/>
      <c r="I4455" s="54"/>
      <c r="K4455" s="54"/>
      <c r="M4455" s="114"/>
      <c r="N4455" s="1"/>
      <c r="O4455" s="1"/>
      <c r="P4455" s="51"/>
    </row>
    <row r="4456">
      <c r="A4456" s="54"/>
      <c r="B4456" s="71"/>
      <c r="C4456" s="51"/>
      <c r="D4456" s="114"/>
      <c r="E4456" s="114"/>
      <c r="F4456" s="54"/>
      <c r="G4456" s="54"/>
      <c r="I4456" s="54"/>
      <c r="K4456" s="54"/>
      <c r="M4456" s="114"/>
      <c r="N4456" s="1"/>
      <c r="O4456" s="1"/>
      <c r="P4456" s="51"/>
    </row>
    <row r="4457">
      <c r="A4457" s="54"/>
      <c r="B4457" s="71"/>
      <c r="C4457" s="51"/>
      <c r="D4457" s="114"/>
      <c r="E4457" s="114"/>
      <c r="F4457" s="54"/>
      <c r="G4457" s="54"/>
      <c r="I4457" s="54"/>
      <c r="K4457" s="54"/>
      <c r="M4457" s="114"/>
      <c r="N4457" s="1"/>
      <c r="O4457" s="1"/>
      <c r="P4457" s="51"/>
    </row>
    <row r="4458">
      <c r="A4458" s="54"/>
      <c r="B4458" s="71"/>
      <c r="C4458" s="51"/>
      <c r="D4458" s="114"/>
      <c r="E4458" s="114"/>
      <c r="F4458" s="54"/>
      <c r="G4458" s="54"/>
      <c r="I4458" s="54"/>
      <c r="K4458" s="54"/>
      <c r="M4458" s="114"/>
      <c r="N4458" s="1"/>
      <c r="O4458" s="1"/>
      <c r="P4458" s="51"/>
    </row>
    <row r="4459">
      <c r="A4459" s="54"/>
      <c r="B4459" s="71"/>
      <c r="C4459" s="51"/>
      <c r="D4459" s="114"/>
      <c r="E4459" s="114"/>
      <c r="F4459" s="54"/>
      <c r="G4459" s="54"/>
      <c r="I4459" s="54"/>
      <c r="K4459" s="54"/>
      <c r="M4459" s="114"/>
      <c r="N4459" s="1"/>
      <c r="O4459" s="1"/>
      <c r="P4459" s="51"/>
    </row>
    <row r="4460">
      <c r="A4460" s="54"/>
      <c r="B4460" s="71"/>
      <c r="C4460" s="51"/>
      <c r="D4460" s="114"/>
      <c r="E4460" s="114"/>
      <c r="F4460" s="54"/>
      <c r="G4460" s="54"/>
      <c r="I4460" s="54"/>
      <c r="K4460" s="54"/>
      <c r="M4460" s="114"/>
      <c r="N4460" s="1"/>
      <c r="O4460" s="1"/>
      <c r="P4460" s="51"/>
    </row>
    <row r="4461">
      <c r="A4461" s="54"/>
      <c r="B4461" s="71"/>
      <c r="C4461" s="51"/>
      <c r="D4461" s="114"/>
      <c r="E4461" s="114"/>
      <c r="F4461" s="54"/>
      <c r="G4461" s="54"/>
      <c r="I4461" s="54"/>
      <c r="K4461" s="54"/>
      <c r="M4461" s="114"/>
      <c r="N4461" s="1"/>
      <c r="O4461" s="1"/>
      <c r="P4461" s="51"/>
    </row>
    <row r="4462">
      <c r="A4462" s="54"/>
      <c r="B4462" s="71"/>
      <c r="C4462" s="51"/>
      <c r="D4462" s="114"/>
      <c r="E4462" s="114"/>
      <c r="F4462" s="54"/>
      <c r="G4462" s="54"/>
      <c r="I4462" s="54"/>
      <c r="K4462" s="54"/>
      <c r="M4462" s="114"/>
      <c r="N4462" s="1"/>
      <c r="O4462" s="1"/>
      <c r="P4462" s="51"/>
    </row>
    <row r="4463">
      <c r="A4463" s="54"/>
      <c r="B4463" s="71"/>
      <c r="C4463" s="51"/>
      <c r="D4463" s="114"/>
      <c r="E4463" s="114"/>
      <c r="F4463" s="54"/>
      <c r="G4463" s="54"/>
      <c r="I4463" s="54"/>
      <c r="K4463" s="54"/>
      <c r="M4463" s="114"/>
      <c r="N4463" s="1"/>
      <c r="O4463" s="1"/>
      <c r="P4463" s="51"/>
    </row>
    <row r="4464">
      <c r="A4464" s="54"/>
      <c r="B4464" s="71"/>
      <c r="C4464" s="51"/>
      <c r="D4464" s="114"/>
      <c r="E4464" s="114"/>
      <c r="F4464" s="54"/>
      <c r="G4464" s="54"/>
      <c r="I4464" s="54"/>
      <c r="K4464" s="54"/>
      <c r="M4464" s="114"/>
      <c r="N4464" s="1"/>
      <c r="O4464" s="1"/>
      <c r="P4464" s="51"/>
    </row>
    <row r="4465">
      <c r="A4465" s="54"/>
      <c r="B4465" s="71"/>
      <c r="C4465" s="51"/>
      <c r="D4465" s="114"/>
      <c r="E4465" s="114"/>
      <c r="F4465" s="54"/>
      <c r="G4465" s="54"/>
      <c r="I4465" s="54"/>
      <c r="K4465" s="54"/>
      <c r="M4465" s="114"/>
      <c r="N4465" s="1"/>
      <c r="O4465" s="1"/>
      <c r="P4465" s="51"/>
    </row>
    <row r="4466">
      <c r="A4466" s="54"/>
      <c r="B4466" s="71"/>
      <c r="C4466" s="51"/>
      <c r="D4466" s="114"/>
      <c r="E4466" s="114"/>
      <c r="F4466" s="54"/>
      <c r="G4466" s="54"/>
      <c r="I4466" s="54"/>
      <c r="K4466" s="54"/>
      <c r="M4466" s="114"/>
      <c r="N4466" s="1"/>
      <c r="O4466" s="1"/>
      <c r="P4466" s="51"/>
    </row>
    <row r="4467">
      <c r="A4467" s="54"/>
      <c r="B4467" s="71"/>
      <c r="C4467" s="51"/>
      <c r="D4467" s="114"/>
      <c r="E4467" s="114"/>
      <c r="F4467" s="54"/>
      <c r="G4467" s="54"/>
      <c r="I4467" s="54"/>
      <c r="K4467" s="54"/>
      <c r="M4467" s="114"/>
      <c r="N4467" s="1"/>
      <c r="O4467" s="1"/>
      <c r="P4467" s="51"/>
    </row>
    <row r="4468">
      <c r="A4468" s="54"/>
      <c r="B4468" s="71"/>
      <c r="C4468" s="51"/>
      <c r="D4468" s="114"/>
      <c r="E4468" s="114"/>
      <c r="F4468" s="54"/>
      <c r="G4468" s="54"/>
      <c r="I4468" s="54"/>
      <c r="K4468" s="54"/>
      <c r="M4468" s="114"/>
      <c r="N4468" s="1"/>
      <c r="O4468" s="1"/>
      <c r="P4468" s="51"/>
    </row>
    <row r="4469">
      <c r="A4469" s="54"/>
      <c r="B4469" s="71"/>
      <c r="C4469" s="51"/>
      <c r="D4469" s="114"/>
      <c r="E4469" s="114"/>
      <c r="F4469" s="54"/>
      <c r="G4469" s="54"/>
      <c r="I4469" s="54"/>
      <c r="K4469" s="54"/>
      <c r="M4469" s="114"/>
      <c r="N4469" s="1"/>
      <c r="O4469" s="1"/>
      <c r="P4469" s="51"/>
    </row>
    <row r="4470">
      <c r="A4470" s="54"/>
      <c r="B4470" s="71"/>
      <c r="C4470" s="51"/>
      <c r="D4470" s="114"/>
      <c r="E4470" s="114"/>
      <c r="F4470" s="54"/>
      <c r="G4470" s="54"/>
      <c r="I4470" s="54"/>
      <c r="K4470" s="54"/>
      <c r="M4470" s="114"/>
      <c r="N4470" s="1"/>
      <c r="O4470" s="1"/>
      <c r="P4470" s="51"/>
    </row>
    <row r="4471">
      <c r="A4471" s="54"/>
      <c r="B4471" s="71"/>
      <c r="C4471" s="51"/>
      <c r="D4471" s="114"/>
      <c r="E4471" s="114"/>
      <c r="F4471" s="54"/>
      <c r="G4471" s="54"/>
      <c r="I4471" s="54"/>
      <c r="K4471" s="54"/>
      <c r="M4471" s="114"/>
      <c r="N4471" s="1"/>
      <c r="O4471" s="1"/>
      <c r="P4471" s="51"/>
    </row>
    <row r="4472">
      <c r="A4472" s="54"/>
      <c r="B4472" s="71"/>
      <c r="C4472" s="51"/>
      <c r="D4472" s="114"/>
      <c r="E4472" s="114"/>
      <c r="F4472" s="54"/>
      <c r="G4472" s="54"/>
      <c r="I4472" s="54"/>
      <c r="K4472" s="54"/>
      <c r="M4472" s="114"/>
      <c r="N4472" s="1"/>
      <c r="O4472" s="1"/>
      <c r="P4472" s="51"/>
    </row>
    <row r="4473">
      <c r="A4473" s="54"/>
      <c r="B4473" s="71"/>
      <c r="C4473" s="51"/>
      <c r="D4473" s="114"/>
      <c r="E4473" s="114"/>
      <c r="F4473" s="54"/>
      <c r="G4473" s="54"/>
      <c r="I4473" s="54"/>
      <c r="K4473" s="54"/>
      <c r="M4473" s="114"/>
      <c r="N4473" s="1"/>
      <c r="O4473" s="1"/>
      <c r="P4473" s="51"/>
    </row>
    <row r="4474">
      <c r="A4474" s="54"/>
      <c r="B4474" s="71"/>
      <c r="C4474" s="51"/>
      <c r="D4474" s="114"/>
      <c r="E4474" s="114"/>
      <c r="F4474" s="54"/>
      <c r="G4474" s="54"/>
      <c r="I4474" s="54"/>
      <c r="K4474" s="54"/>
      <c r="M4474" s="114"/>
      <c r="N4474" s="1"/>
      <c r="O4474" s="1"/>
      <c r="P4474" s="51"/>
    </row>
    <row r="4475">
      <c r="A4475" s="54"/>
      <c r="B4475" s="71"/>
      <c r="C4475" s="51"/>
      <c r="D4475" s="114"/>
      <c r="E4475" s="114"/>
      <c r="F4475" s="54"/>
      <c r="G4475" s="54"/>
      <c r="I4475" s="54"/>
      <c r="K4475" s="54"/>
      <c r="M4475" s="114"/>
      <c r="N4475" s="1"/>
      <c r="O4475" s="1"/>
      <c r="P4475" s="51"/>
    </row>
    <row r="4476">
      <c r="A4476" s="54"/>
      <c r="B4476" s="71"/>
      <c r="C4476" s="51"/>
      <c r="D4476" s="114"/>
      <c r="E4476" s="114"/>
      <c r="F4476" s="54"/>
      <c r="G4476" s="54"/>
      <c r="I4476" s="54"/>
      <c r="K4476" s="54"/>
      <c r="M4476" s="114"/>
      <c r="N4476" s="1"/>
      <c r="O4476" s="1"/>
      <c r="P4476" s="51"/>
    </row>
    <row r="4477">
      <c r="A4477" s="54"/>
      <c r="B4477" s="71"/>
      <c r="C4477" s="51"/>
      <c r="D4477" s="114"/>
      <c r="E4477" s="114"/>
      <c r="F4477" s="54"/>
      <c r="G4477" s="54"/>
      <c r="I4477" s="54"/>
      <c r="K4477" s="54"/>
      <c r="M4477" s="114"/>
      <c r="N4477" s="1"/>
      <c r="O4477" s="1"/>
      <c r="P4477" s="51"/>
    </row>
    <row r="4478">
      <c r="A4478" s="54"/>
      <c r="B4478" s="71"/>
      <c r="C4478" s="51"/>
      <c r="D4478" s="114"/>
      <c r="E4478" s="114"/>
      <c r="F4478" s="54"/>
      <c r="G4478" s="54"/>
      <c r="I4478" s="54"/>
      <c r="K4478" s="54"/>
      <c r="M4478" s="114"/>
      <c r="N4478" s="1"/>
      <c r="O4478" s="1"/>
      <c r="P4478" s="51"/>
    </row>
    <row r="4479">
      <c r="A4479" s="54"/>
      <c r="B4479" s="71"/>
      <c r="C4479" s="51"/>
      <c r="D4479" s="114"/>
      <c r="E4479" s="114"/>
      <c r="F4479" s="54"/>
      <c r="G4479" s="54"/>
      <c r="I4479" s="54"/>
      <c r="K4479" s="54"/>
      <c r="M4479" s="114"/>
      <c r="N4479" s="1"/>
      <c r="O4479" s="1"/>
      <c r="P4479" s="51"/>
    </row>
    <row r="4480">
      <c r="A4480" s="54"/>
      <c r="B4480" s="71"/>
      <c r="C4480" s="51"/>
      <c r="D4480" s="114"/>
      <c r="E4480" s="114"/>
      <c r="F4480" s="54"/>
      <c r="G4480" s="54"/>
      <c r="I4480" s="54"/>
      <c r="K4480" s="54"/>
      <c r="M4480" s="114"/>
      <c r="N4480" s="1"/>
      <c r="O4480" s="1"/>
      <c r="P4480" s="51"/>
    </row>
    <row r="4481">
      <c r="A4481" s="54"/>
      <c r="B4481" s="71"/>
      <c r="C4481" s="51"/>
      <c r="D4481" s="114"/>
      <c r="E4481" s="114"/>
      <c r="F4481" s="54"/>
      <c r="G4481" s="54"/>
      <c r="I4481" s="54"/>
      <c r="K4481" s="54"/>
      <c r="M4481" s="114"/>
      <c r="N4481" s="1"/>
      <c r="O4481" s="1"/>
      <c r="P4481" s="51"/>
    </row>
    <row r="4482">
      <c r="A4482" s="54"/>
      <c r="B4482" s="71"/>
      <c r="C4482" s="51"/>
      <c r="D4482" s="114"/>
      <c r="E4482" s="114"/>
      <c r="F4482" s="54"/>
      <c r="G4482" s="54"/>
      <c r="I4482" s="54"/>
      <c r="K4482" s="54"/>
      <c r="M4482" s="114"/>
      <c r="N4482" s="1"/>
      <c r="O4482" s="1"/>
      <c r="P4482" s="51"/>
    </row>
    <row r="4483">
      <c r="A4483" s="54"/>
      <c r="B4483" s="71"/>
      <c r="C4483" s="51"/>
      <c r="D4483" s="114"/>
      <c r="E4483" s="114"/>
      <c r="F4483" s="54"/>
      <c r="G4483" s="54"/>
      <c r="I4483" s="54"/>
      <c r="K4483" s="54"/>
      <c r="M4483" s="114"/>
      <c r="N4483" s="1"/>
      <c r="O4483" s="1"/>
      <c r="P4483" s="51"/>
    </row>
    <row r="4484">
      <c r="A4484" s="54"/>
      <c r="B4484" s="71"/>
      <c r="C4484" s="51"/>
      <c r="D4484" s="114"/>
      <c r="E4484" s="114"/>
      <c r="F4484" s="54"/>
      <c r="G4484" s="54"/>
      <c r="I4484" s="54"/>
      <c r="K4484" s="54"/>
      <c r="M4484" s="114"/>
      <c r="N4484" s="1"/>
      <c r="O4484" s="1"/>
      <c r="P4484" s="51"/>
    </row>
    <row r="4485">
      <c r="A4485" s="54"/>
      <c r="B4485" s="71"/>
      <c r="C4485" s="51"/>
      <c r="D4485" s="114"/>
      <c r="E4485" s="114"/>
      <c r="F4485" s="54"/>
      <c r="G4485" s="54"/>
      <c r="I4485" s="54"/>
      <c r="K4485" s="54"/>
      <c r="M4485" s="114"/>
      <c r="N4485" s="1"/>
      <c r="O4485" s="1"/>
      <c r="P4485" s="51"/>
    </row>
    <row r="4486">
      <c r="A4486" s="54"/>
      <c r="B4486" s="71"/>
      <c r="C4486" s="51"/>
      <c r="D4486" s="114"/>
      <c r="E4486" s="114"/>
      <c r="F4486" s="54"/>
      <c r="G4486" s="54"/>
      <c r="I4486" s="54"/>
      <c r="K4486" s="54"/>
      <c r="M4486" s="114"/>
      <c r="N4486" s="1"/>
      <c r="O4486" s="1"/>
      <c r="P4486" s="51"/>
    </row>
    <row r="4487">
      <c r="A4487" s="54"/>
      <c r="B4487" s="71"/>
      <c r="C4487" s="51"/>
      <c r="D4487" s="114"/>
      <c r="E4487" s="114"/>
      <c r="F4487" s="54"/>
      <c r="G4487" s="54"/>
      <c r="I4487" s="54"/>
      <c r="K4487" s="54"/>
      <c r="M4487" s="114"/>
      <c r="N4487" s="1"/>
      <c r="O4487" s="1"/>
      <c r="P4487" s="51"/>
    </row>
    <row r="4488">
      <c r="A4488" s="54"/>
      <c r="B4488" s="71"/>
      <c r="C4488" s="51"/>
      <c r="D4488" s="114"/>
      <c r="E4488" s="114"/>
      <c r="F4488" s="54"/>
      <c r="G4488" s="54"/>
      <c r="I4488" s="54"/>
      <c r="K4488" s="54"/>
      <c r="M4488" s="114"/>
      <c r="N4488" s="1"/>
      <c r="O4488" s="1"/>
      <c r="P4488" s="51"/>
    </row>
    <row r="4489">
      <c r="A4489" s="54"/>
      <c r="B4489" s="71"/>
      <c r="C4489" s="51"/>
      <c r="D4489" s="114"/>
      <c r="E4489" s="114"/>
      <c r="F4489" s="54"/>
      <c r="G4489" s="54"/>
      <c r="I4489" s="54"/>
      <c r="K4489" s="54"/>
      <c r="M4489" s="114"/>
      <c r="N4489" s="1"/>
      <c r="O4489" s="1"/>
      <c r="P4489" s="51"/>
    </row>
    <row r="4490">
      <c r="A4490" s="54"/>
      <c r="B4490" s="71"/>
      <c r="C4490" s="51"/>
      <c r="D4490" s="114"/>
      <c r="E4490" s="114"/>
      <c r="F4490" s="54"/>
      <c r="G4490" s="54"/>
      <c r="I4490" s="54"/>
      <c r="K4490" s="54"/>
      <c r="M4490" s="114"/>
      <c r="N4490" s="1"/>
      <c r="O4490" s="1"/>
      <c r="P4490" s="51"/>
    </row>
    <row r="4491">
      <c r="A4491" s="54"/>
      <c r="B4491" s="71"/>
      <c r="C4491" s="51"/>
      <c r="D4491" s="114"/>
      <c r="E4491" s="114"/>
      <c r="F4491" s="54"/>
      <c r="G4491" s="54"/>
      <c r="I4491" s="54"/>
      <c r="K4491" s="54"/>
      <c r="M4491" s="114"/>
      <c r="N4491" s="1"/>
      <c r="O4491" s="1"/>
      <c r="P4491" s="51"/>
    </row>
    <row r="4492">
      <c r="A4492" s="54"/>
      <c r="B4492" s="71"/>
      <c r="C4492" s="51"/>
      <c r="D4492" s="114"/>
      <c r="E4492" s="114"/>
      <c r="F4492" s="54"/>
      <c r="G4492" s="54"/>
      <c r="I4492" s="54"/>
      <c r="K4492" s="54"/>
      <c r="M4492" s="114"/>
      <c r="N4492" s="1"/>
      <c r="O4492" s="1"/>
      <c r="P4492" s="51"/>
    </row>
    <row r="4493">
      <c r="A4493" s="54"/>
      <c r="B4493" s="71"/>
      <c r="C4493" s="51"/>
      <c r="D4493" s="114"/>
      <c r="E4493" s="114"/>
      <c r="F4493" s="54"/>
      <c r="G4493" s="54"/>
      <c r="I4493" s="54"/>
      <c r="K4493" s="54"/>
      <c r="M4493" s="114"/>
      <c r="N4493" s="1"/>
      <c r="O4493" s="1"/>
      <c r="P4493" s="51"/>
    </row>
    <row r="4494">
      <c r="A4494" s="54"/>
      <c r="B4494" s="71"/>
      <c r="C4494" s="51"/>
      <c r="D4494" s="114"/>
      <c r="E4494" s="114"/>
      <c r="F4494" s="54"/>
      <c r="G4494" s="54"/>
      <c r="I4494" s="54"/>
      <c r="K4494" s="54"/>
      <c r="M4494" s="114"/>
      <c r="N4494" s="1"/>
      <c r="O4494" s="1"/>
      <c r="P4494" s="51"/>
    </row>
    <row r="4495">
      <c r="A4495" s="54"/>
      <c r="B4495" s="71"/>
      <c r="C4495" s="51"/>
      <c r="D4495" s="114"/>
      <c r="E4495" s="114"/>
      <c r="F4495" s="54"/>
      <c r="G4495" s="54"/>
      <c r="I4495" s="54"/>
      <c r="K4495" s="54"/>
      <c r="M4495" s="114"/>
      <c r="N4495" s="1"/>
      <c r="O4495" s="1"/>
      <c r="P4495" s="51"/>
    </row>
    <row r="4496">
      <c r="A4496" s="54"/>
      <c r="B4496" s="71"/>
      <c r="C4496" s="51"/>
      <c r="D4496" s="114"/>
      <c r="E4496" s="114"/>
      <c r="F4496" s="54"/>
      <c r="G4496" s="54"/>
      <c r="I4496" s="54"/>
      <c r="K4496" s="54"/>
      <c r="M4496" s="114"/>
      <c r="N4496" s="1"/>
      <c r="O4496" s="1"/>
      <c r="P4496" s="51"/>
    </row>
    <row r="4497">
      <c r="A4497" s="54"/>
      <c r="B4497" s="71"/>
      <c r="C4497" s="51"/>
      <c r="D4497" s="114"/>
      <c r="E4497" s="114"/>
      <c r="F4497" s="54"/>
      <c r="G4497" s="54"/>
      <c r="I4497" s="54"/>
      <c r="K4497" s="54"/>
      <c r="M4497" s="114"/>
      <c r="N4497" s="1"/>
      <c r="O4497" s="1"/>
      <c r="P4497" s="51"/>
    </row>
    <row r="4498">
      <c r="A4498" s="54"/>
      <c r="B4498" s="71"/>
      <c r="C4498" s="51"/>
      <c r="D4498" s="114"/>
      <c r="E4498" s="114"/>
      <c r="F4498" s="54"/>
      <c r="G4498" s="54"/>
      <c r="I4498" s="54"/>
      <c r="K4498" s="54"/>
      <c r="M4498" s="114"/>
      <c r="N4498" s="1"/>
      <c r="O4498" s="1"/>
      <c r="P4498" s="51"/>
    </row>
    <row r="4499">
      <c r="A4499" s="54"/>
      <c r="B4499" s="71"/>
      <c r="C4499" s="51"/>
      <c r="D4499" s="114"/>
      <c r="E4499" s="114"/>
      <c r="F4499" s="54"/>
      <c r="G4499" s="54"/>
      <c r="I4499" s="54"/>
      <c r="K4499" s="54"/>
      <c r="M4499" s="114"/>
      <c r="N4499" s="1"/>
      <c r="O4499" s="1"/>
      <c r="P4499" s="51"/>
    </row>
    <row r="4500">
      <c r="A4500" s="54"/>
      <c r="B4500" s="71"/>
      <c r="C4500" s="51"/>
      <c r="D4500" s="114"/>
      <c r="E4500" s="114"/>
      <c r="F4500" s="54"/>
      <c r="G4500" s="54"/>
      <c r="I4500" s="54"/>
      <c r="K4500" s="54"/>
      <c r="M4500" s="114"/>
      <c r="N4500" s="1"/>
      <c r="O4500" s="1"/>
      <c r="P4500" s="51"/>
    </row>
    <row r="4501">
      <c r="A4501" s="54"/>
      <c r="B4501" s="71"/>
      <c r="C4501" s="51"/>
      <c r="D4501" s="114"/>
      <c r="E4501" s="114"/>
      <c r="F4501" s="54"/>
      <c r="G4501" s="54"/>
      <c r="I4501" s="54"/>
      <c r="K4501" s="54"/>
      <c r="M4501" s="114"/>
      <c r="N4501" s="1"/>
      <c r="O4501" s="1"/>
      <c r="P4501" s="51"/>
    </row>
    <row r="4502">
      <c r="A4502" s="54"/>
      <c r="B4502" s="71"/>
      <c r="C4502" s="51"/>
      <c r="D4502" s="114"/>
      <c r="E4502" s="114"/>
      <c r="F4502" s="54"/>
      <c r="G4502" s="54"/>
      <c r="I4502" s="54"/>
      <c r="K4502" s="54"/>
      <c r="M4502" s="114"/>
      <c r="N4502" s="1"/>
      <c r="O4502" s="1"/>
      <c r="P4502" s="51"/>
    </row>
    <row r="4503">
      <c r="A4503" s="54"/>
      <c r="B4503" s="71"/>
      <c r="C4503" s="51"/>
      <c r="D4503" s="114"/>
      <c r="E4503" s="114"/>
      <c r="F4503" s="54"/>
      <c r="G4503" s="54"/>
      <c r="I4503" s="54"/>
      <c r="K4503" s="54"/>
      <c r="M4503" s="114"/>
      <c r="N4503" s="1"/>
      <c r="O4503" s="1"/>
      <c r="P4503" s="51"/>
    </row>
    <row r="4504">
      <c r="A4504" s="54"/>
      <c r="B4504" s="71"/>
      <c r="C4504" s="51"/>
      <c r="D4504" s="114"/>
      <c r="E4504" s="114"/>
      <c r="F4504" s="54"/>
      <c r="G4504" s="54"/>
      <c r="I4504" s="54"/>
      <c r="K4504" s="54"/>
      <c r="M4504" s="114"/>
      <c r="N4504" s="1"/>
      <c r="O4504" s="1"/>
      <c r="P4504" s="51"/>
    </row>
    <row r="4505">
      <c r="A4505" s="54"/>
      <c r="B4505" s="71"/>
      <c r="C4505" s="51"/>
      <c r="D4505" s="114"/>
      <c r="E4505" s="114"/>
      <c r="F4505" s="54"/>
      <c r="G4505" s="54"/>
      <c r="I4505" s="54"/>
      <c r="K4505" s="54"/>
      <c r="M4505" s="114"/>
      <c r="N4505" s="1"/>
      <c r="O4505" s="1"/>
      <c r="P4505" s="51"/>
    </row>
    <row r="4506">
      <c r="A4506" s="54"/>
      <c r="B4506" s="71"/>
      <c r="C4506" s="51"/>
      <c r="D4506" s="114"/>
      <c r="E4506" s="114"/>
      <c r="F4506" s="54"/>
      <c r="G4506" s="54"/>
      <c r="I4506" s="54"/>
      <c r="K4506" s="54"/>
      <c r="M4506" s="114"/>
      <c r="N4506" s="1"/>
      <c r="O4506" s="1"/>
      <c r="P4506" s="51"/>
    </row>
    <row r="4507">
      <c r="A4507" s="54"/>
      <c r="B4507" s="71"/>
      <c r="C4507" s="51"/>
      <c r="D4507" s="114"/>
      <c r="E4507" s="114"/>
      <c r="F4507" s="54"/>
      <c r="G4507" s="54"/>
      <c r="I4507" s="54"/>
      <c r="K4507" s="54"/>
      <c r="M4507" s="114"/>
      <c r="N4507" s="1"/>
      <c r="O4507" s="1"/>
      <c r="P4507" s="51"/>
    </row>
    <row r="4508">
      <c r="A4508" s="54"/>
      <c r="B4508" s="71"/>
      <c r="C4508" s="51"/>
      <c r="D4508" s="114"/>
      <c r="E4508" s="114"/>
      <c r="F4508" s="54"/>
      <c r="G4508" s="54"/>
      <c r="I4508" s="54"/>
      <c r="K4508" s="54"/>
      <c r="M4508" s="114"/>
      <c r="N4508" s="1"/>
      <c r="O4508" s="1"/>
      <c r="P4508" s="51"/>
    </row>
    <row r="4509">
      <c r="A4509" s="54"/>
      <c r="B4509" s="71"/>
      <c r="C4509" s="51"/>
      <c r="D4509" s="114"/>
      <c r="E4509" s="114"/>
      <c r="F4509" s="54"/>
      <c r="G4509" s="54"/>
      <c r="I4509" s="54"/>
      <c r="K4509" s="54"/>
      <c r="M4509" s="114"/>
      <c r="N4509" s="1"/>
      <c r="O4509" s="1"/>
      <c r="P4509" s="51"/>
    </row>
    <row r="4510">
      <c r="A4510" s="54"/>
      <c r="B4510" s="71"/>
      <c r="C4510" s="51"/>
      <c r="D4510" s="114"/>
      <c r="E4510" s="114"/>
      <c r="F4510" s="54"/>
      <c r="G4510" s="54"/>
      <c r="I4510" s="54"/>
      <c r="K4510" s="54"/>
      <c r="M4510" s="114"/>
      <c r="N4510" s="1"/>
      <c r="O4510" s="1"/>
      <c r="P4510" s="51"/>
    </row>
    <row r="4511">
      <c r="A4511" s="54"/>
      <c r="B4511" s="71"/>
      <c r="C4511" s="51"/>
      <c r="D4511" s="114"/>
      <c r="E4511" s="114"/>
      <c r="F4511" s="54"/>
      <c r="G4511" s="54"/>
      <c r="I4511" s="54"/>
      <c r="K4511" s="54"/>
      <c r="M4511" s="114"/>
      <c r="N4511" s="1"/>
      <c r="O4511" s="1"/>
      <c r="P4511" s="51"/>
    </row>
    <row r="4512">
      <c r="A4512" s="54"/>
      <c r="B4512" s="71"/>
      <c r="C4512" s="51"/>
      <c r="D4512" s="114"/>
      <c r="E4512" s="114"/>
      <c r="F4512" s="54"/>
      <c r="G4512" s="54"/>
      <c r="I4512" s="54"/>
      <c r="K4512" s="54"/>
      <c r="M4512" s="114"/>
      <c r="N4512" s="1"/>
      <c r="O4512" s="1"/>
      <c r="P4512" s="51"/>
    </row>
    <row r="4513">
      <c r="A4513" s="54"/>
      <c r="B4513" s="71"/>
      <c r="C4513" s="51"/>
      <c r="D4513" s="114"/>
      <c r="E4513" s="114"/>
      <c r="F4513" s="54"/>
      <c r="G4513" s="54"/>
      <c r="I4513" s="54"/>
      <c r="K4513" s="54"/>
      <c r="M4513" s="114"/>
      <c r="N4513" s="1"/>
      <c r="O4513" s="1"/>
      <c r="P4513" s="51"/>
    </row>
    <row r="4514">
      <c r="A4514" s="54"/>
      <c r="B4514" s="71"/>
      <c r="C4514" s="51"/>
      <c r="D4514" s="114"/>
      <c r="E4514" s="114"/>
      <c r="F4514" s="54"/>
      <c r="G4514" s="54"/>
      <c r="I4514" s="54"/>
      <c r="K4514" s="54"/>
      <c r="M4514" s="114"/>
      <c r="N4514" s="1"/>
      <c r="O4514" s="1"/>
      <c r="P4514" s="51"/>
    </row>
    <row r="4515">
      <c r="A4515" s="54"/>
      <c r="B4515" s="71"/>
      <c r="C4515" s="51"/>
      <c r="D4515" s="114"/>
      <c r="E4515" s="114"/>
      <c r="F4515" s="54"/>
      <c r="G4515" s="54"/>
      <c r="I4515" s="54"/>
      <c r="K4515" s="54"/>
      <c r="M4515" s="114"/>
      <c r="N4515" s="1"/>
      <c r="O4515" s="1"/>
      <c r="P4515" s="51"/>
    </row>
    <row r="4516">
      <c r="A4516" s="54"/>
      <c r="B4516" s="71"/>
      <c r="C4516" s="51"/>
      <c r="D4516" s="114"/>
      <c r="E4516" s="114"/>
      <c r="F4516" s="54"/>
      <c r="G4516" s="54"/>
      <c r="I4516" s="54"/>
      <c r="K4516" s="54"/>
      <c r="M4516" s="114"/>
      <c r="N4516" s="1"/>
      <c r="O4516" s="1"/>
      <c r="P4516" s="51"/>
    </row>
    <row r="4517">
      <c r="A4517" s="54"/>
      <c r="B4517" s="71"/>
      <c r="C4517" s="51"/>
      <c r="D4517" s="114"/>
      <c r="E4517" s="114"/>
      <c r="F4517" s="54"/>
      <c r="G4517" s="54"/>
      <c r="I4517" s="54"/>
      <c r="K4517" s="54"/>
      <c r="M4517" s="114"/>
      <c r="N4517" s="1"/>
      <c r="O4517" s="1"/>
      <c r="P4517" s="51"/>
    </row>
    <row r="4518">
      <c r="A4518" s="54"/>
      <c r="B4518" s="71"/>
      <c r="C4518" s="51"/>
      <c r="D4518" s="114"/>
      <c r="E4518" s="114"/>
      <c r="F4518" s="54"/>
      <c r="G4518" s="54"/>
      <c r="I4518" s="54"/>
      <c r="K4518" s="54"/>
      <c r="M4518" s="114"/>
      <c r="N4518" s="1"/>
      <c r="O4518" s="1"/>
      <c r="P4518" s="51"/>
    </row>
    <row r="4519">
      <c r="A4519" s="54"/>
      <c r="B4519" s="71"/>
      <c r="C4519" s="51"/>
      <c r="D4519" s="114"/>
      <c r="E4519" s="114"/>
      <c r="F4519" s="54"/>
      <c r="G4519" s="54"/>
      <c r="I4519" s="54"/>
      <c r="K4519" s="54"/>
      <c r="M4519" s="114"/>
      <c r="N4519" s="1"/>
      <c r="O4519" s="1"/>
      <c r="P4519" s="51"/>
    </row>
    <row r="4520">
      <c r="A4520" s="54"/>
      <c r="B4520" s="71"/>
      <c r="C4520" s="51"/>
      <c r="D4520" s="114"/>
      <c r="E4520" s="114"/>
      <c r="F4520" s="54"/>
      <c r="G4520" s="54"/>
      <c r="I4520" s="54"/>
      <c r="K4520" s="54"/>
      <c r="M4520" s="114"/>
      <c r="N4520" s="1"/>
      <c r="O4520" s="1"/>
      <c r="P4520" s="51"/>
    </row>
    <row r="4521">
      <c r="A4521" s="54"/>
      <c r="B4521" s="71"/>
      <c r="C4521" s="51"/>
      <c r="D4521" s="114"/>
      <c r="E4521" s="114"/>
      <c r="F4521" s="54"/>
      <c r="G4521" s="54"/>
      <c r="I4521" s="54"/>
      <c r="K4521" s="54"/>
      <c r="M4521" s="114"/>
      <c r="N4521" s="1"/>
      <c r="O4521" s="1"/>
      <c r="P4521" s="51"/>
    </row>
    <row r="4522">
      <c r="A4522" s="54"/>
      <c r="B4522" s="71"/>
      <c r="C4522" s="51"/>
      <c r="D4522" s="114"/>
      <c r="E4522" s="114"/>
      <c r="F4522" s="54"/>
      <c r="G4522" s="54"/>
      <c r="I4522" s="54"/>
      <c r="K4522" s="54"/>
      <c r="M4522" s="114"/>
      <c r="N4522" s="1"/>
      <c r="O4522" s="1"/>
      <c r="P4522" s="51"/>
    </row>
    <row r="4523">
      <c r="A4523" s="54"/>
      <c r="B4523" s="71"/>
      <c r="C4523" s="51"/>
      <c r="D4523" s="114"/>
      <c r="E4523" s="114"/>
      <c r="F4523" s="54"/>
      <c r="G4523" s="54"/>
      <c r="I4523" s="54"/>
      <c r="K4523" s="54"/>
      <c r="M4523" s="114"/>
      <c r="N4523" s="1"/>
      <c r="O4523" s="1"/>
      <c r="P4523" s="51"/>
    </row>
    <row r="4524">
      <c r="A4524" s="54"/>
      <c r="B4524" s="71"/>
      <c r="C4524" s="51"/>
      <c r="D4524" s="114"/>
      <c r="E4524" s="114"/>
      <c r="F4524" s="54"/>
      <c r="G4524" s="54"/>
      <c r="I4524" s="54"/>
      <c r="K4524" s="54"/>
      <c r="M4524" s="114"/>
      <c r="N4524" s="1"/>
      <c r="O4524" s="1"/>
      <c r="P4524" s="51"/>
    </row>
    <row r="4525">
      <c r="A4525" s="54"/>
      <c r="B4525" s="71"/>
      <c r="C4525" s="51"/>
      <c r="D4525" s="114"/>
      <c r="E4525" s="114"/>
      <c r="F4525" s="54"/>
      <c r="G4525" s="54"/>
      <c r="I4525" s="54"/>
      <c r="K4525" s="54"/>
      <c r="M4525" s="114"/>
      <c r="N4525" s="1"/>
      <c r="O4525" s="1"/>
      <c r="P4525" s="51"/>
    </row>
    <row r="4526">
      <c r="A4526" s="54"/>
      <c r="B4526" s="71"/>
      <c r="C4526" s="51"/>
      <c r="D4526" s="114"/>
      <c r="E4526" s="114"/>
      <c r="F4526" s="54"/>
      <c r="G4526" s="54"/>
      <c r="I4526" s="54"/>
      <c r="K4526" s="54"/>
      <c r="M4526" s="114"/>
      <c r="N4526" s="1"/>
      <c r="O4526" s="1"/>
      <c r="P4526" s="51"/>
    </row>
    <row r="4527">
      <c r="A4527" s="54"/>
      <c r="B4527" s="71"/>
      <c r="C4527" s="51"/>
      <c r="D4527" s="114"/>
      <c r="E4527" s="114"/>
      <c r="F4527" s="54"/>
      <c r="G4527" s="54"/>
      <c r="I4527" s="54"/>
      <c r="K4527" s="54"/>
      <c r="M4527" s="114"/>
      <c r="N4527" s="1"/>
      <c r="O4527" s="1"/>
      <c r="P4527" s="51"/>
    </row>
    <row r="4528">
      <c r="A4528" s="54"/>
      <c r="B4528" s="71"/>
      <c r="C4528" s="51"/>
      <c r="D4528" s="114"/>
      <c r="E4528" s="114"/>
      <c r="F4528" s="54"/>
      <c r="G4528" s="54"/>
      <c r="I4528" s="54"/>
      <c r="K4528" s="54"/>
      <c r="M4528" s="114"/>
      <c r="N4528" s="1"/>
      <c r="O4528" s="1"/>
      <c r="P4528" s="51"/>
    </row>
    <row r="4529">
      <c r="A4529" s="54"/>
      <c r="B4529" s="71"/>
      <c r="C4529" s="51"/>
      <c r="D4529" s="114"/>
      <c r="E4529" s="114"/>
      <c r="F4529" s="54"/>
      <c r="G4529" s="54"/>
      <c r="I4529" s="54"/>
      <c r="K4529" s="54"/>
      <c r="M4529" s="114"/>
      <c r="N4529" s="1"/>
      <c r="O4529" s="1"/>
      <c r="P4529" s="51"/>
    </row>
    <row r="4530">
      <c r="A4530" s="54"/>
      <c r="B4530" s="71"/>
      <c r="C4530" s="51"/>
      <c r="D4530" s="114"/>
      <c r="E4530" s="114"/>
      <c r="F4530" s="54"/>
      <c r="G4530" s="54"/>
      <c r="I4530" s="54"/>
      <c r="K4530" s="54"/>
      <c r="M4530" s="114"/>
      <c r="N4530" s="1"/>
      <c r="O4530" s="1"/>
      <c r="P4530" s="51"/>
    </row>
    <row r="4531">
      <c r="A4531" s="54"/>
      <c r="B4531" s="71"/>
      <c r="C4531" s="51"/>
      <c r="D4531" s="114"/>
      <c r="E4531" s="114"/>
      <c r="F4531" s="54"/>
      <c r="G4531" s="54"/>
      <c r="I4531" s="54"/>
      <c r="K4531" s="54"/>
      <c r="M4531" s="114"/>
      <c r="N4531" s="1"/>
      <c r="O4531" s="1"/>
      <c r="P4531" s="51"/>
    </row>
    <row r="4532">
      <c r="A4532" s="54"/>
      <c r="B4532" s="71"/>
      <c r="C4532" s="51"/>
      <c r="D4532" s="114"/>
      <c r="E4532" s="114"/>
      <c r="F4532" s="54"/>
      <c r="G4532" s="54"/>
      <c r="I4532" s="54"/>
      <c r="K4532" s="54"/>
      <c r="M4532" s="114"/>
      <c r="N4532" s="1"/>
      <c r="O4532" s="1"/>
      <c r="P4532" s="51"/>
    </row>
    <row r="4533">
      <c r="A4533" s="54"/>
      <c r="B4533" s="71"/>
      <c r="C4533" s="51"/>
      <c r="D4533" s="114"/>
      <c r="E4533" s="114"/>
      <c r="F4533" s="54"/>
      <c r="G4533" s="54"/>
      <c r="I4533" s="54"/>
      <c r="K4533" s="54"/>
      <c r="M4533" s="114"/>
      <c r="N4533" s="1"/>
      <c r="O4533" s="1"/>
      <c r="P4533" s="51"/>
    </row>
    <row r="4534">
      <c r="A4534" s="54"/>
      <c r="B4534" s="71"/>
      <c r="C4534" s="51"/>
      <c r="D4534" s="114"/>
      <c r="E4534" s="114"/>
      <c r="F4534" s="54"/>
      <c r="G4534" s="54"/>
      <c r="I4534" s="54"/>
      <c r="K4534" s="54"/>
      <c r="M4534" s="114"/>
      <c r="N4534" s="1"/>
      <c r="O4534" s="1"/>
      <c r="P4534" s="51"/>
    </row>
    <row r="4535">
      <c r="A4535" s="54"/>
      <c r="B4535" s="71"/>
      <c r="C4535" s="51"/>
      <c r="D4535" s="114"/>
      <c r="E4535" s="114"/>
      <c r="F4535" s="54"/>
      <c r="G4535" s="54"/>
      <c r="I4535" s="54"/>
      <c r="K4535" s="54"/>
      <c r="M4535" s="114"/>
      <c r="N4535" s="1"/>
      <c r="O4535" s="1"/>
      <c r="P4535" s="51"/>
    </row>
    <row r="4536">
      <c r="A4536" s="54"/>
      <c r="B4536" s="71"/>
      <c r="C4536" s="51"/>
      <c r="D4536" s="114"/>
      <c r="E4536" s="114"/>
      <c r="F4536" s="54"/>
      <c r="G4536" s="54"/>
      <c r="I4536" s="54"/>
      <c r="K4536" s="54"/>
      <c r="M4536" s="114"/>
      <c r="N4536" s="1"/>
      <c r="O4536" s="1"/>
      <c r="P4536" s="51"/>
    </row>
    <row r="4537">
      <c r="A4537" s="54"/>
      <c r="B4537" s="71"/>
      <c r="C4537" s="51"/>
      <c r="D4537" s="114"/>
      <c r="E4537" s="114"/>
      <c r="F4537" s="54"/>
      <c r="G4537" s="54"/>
      <c r="I4537" s="54"/>
      <c r="K4537" s="54"/>
      <c r="M4537" s="114"/>
      <c r="N4537" s="1"/>
      <c r="O4537" s="1"/>
      <c r="P4537" s="51"/>
    </row>
    <row r="4538">
      <c r="A4538" s="54"/>
      <c r="B4538" s="71"/>
      <c r="C4538" s="51"/>
      <c r="D4538" s="114"/>
      <c r="E4538" s="114"/>
      <c r="F4538" s="54"/>
      <c r="G4538" s="54"/>
      <c r="I4538" s="54"/>
      <c r="K4538" s="54"/>
      <c r="M4538" s="114"/>
      <c r="N4538" s="1"/>
      <c r="O4538" s="1"/>
      <c r="P4538" s="51"/>
    </row>
    <row r="4539">
      <c r="A4539" s="54"/>
      <c r="B4539" s="71"/>
      <c r="C4539" s="51"/>
      <c r="D4539" s="114"/>
      <c r="E4539" s="114"/>
      <c r="F4539" s="54"/>
      <c r="G4539" s="54"/>
      <c r="I4539" s="54"/>
      <c r="K4539" s="54"/>
      <c r="M4539" s="114"/>
      <c r="N4539" s="1"/>
      <c r="O4539" s="1"/>
      <c r="P4539" s="51"/>
    </row>
    <row r="4540">
      <c r="A4540" s="54"/>
      <c r="B4540" s="71"/>
      <c r="C4540" s="51"/>
      <c r="D4540" s="114"/>
      <c r="E4540" s="114"/>
      <c r="F4540" s="54"/>
      <c r="G4540" s="54"/>
      <c r="I4540" s="54"/>
      <c r="K4540" s="54"/>
      <c r="M4540" s="114"/>
      <c r="N4540" s="1"/>
      <c r="O4540" s="1"/>
      <c r="P4540" s="51"/>
    </row>
    <row r="4541">
      <c r="A4541" s="54"/>
      <c r="B4541" s="71"/>
      <c r="C4541" s="51"/>
      <c r="D4541" s="114"/>
      <c r="E4541" s="114"/>
      <c r="F4541" s="54"/>
      <c r="G4541" s="54"/>
      <c r="I4541" s="54"/>
      <c r="K4541" s="54"/>
      <c r="M4541" s="114"/>
      <c r="N4541" s="1"/>
      <c r="O4541" s="1"/>
      <c r="P4541" s="51"/>
    </row>
    <row r="4542">
      <c r="A4542" s="54"/>
      <c r="B4542" s="71"/>
      <c r="C4542" s="51"/>
      <c r="D4542" s="114"/>
      <c r="E4542" s="114"/>
      <c r="F4542" s="54"/>
      <c r="G4542" s="54"/>
      <c r="I4542" s="54"/>
      <c r="K4542" s="54"/>
      <c r="M4542" s="114"/>
      <c r="N4542" s="1"/>
      <c r="O4542" s="1"/>
      <c r="P4542" s="51"/>
    </row>
    <row r="4543">
      <c r="A4543" s="54"/>
      <c r="B4543" s="71"/>
      <c r="C4543" s="51"/>
      <c r="D4543" s="114"/>
      <c r="E4543" s="114"/>
      <c r="F4543" s="54"/>
      <c r="G4543" s="54"/>
      <c r="I4543" s="54"/>
      <c r="K4543" s="54"/>
      <c r="M4543" s="114"/>
      <c r="N4543" s="1"/>
      <c r="O4543" s="1"/>
      <c r="P4543" s="51"/>
    </row>
    <row r="4544">
      <c r="A4544" s="54"/>
      <c r="B4544" s="71"/>
      <c r="C4544" s="51"/>
      <c r="D4544" s="114"/>
      <c r="E4544" s="114"/>
      <c r="F4544" s="54"/>
      <c r="G4544" s="54"/>
      <c r="I4544" s="54"/>
      <c r="K4544" s="54"/>
      <c r="M4544" s="114"/>
      <c r="N4544" s="1"/>
      <c r="O4544" s="1"/>
      <c r="P4544" s="51"/>
    </row>
    <row r="4545">
      <c r="A4545" s="54"/>
      <c r="B4545" s="71"/>
      <c r="C4545" s="51"/>
      <c r="D4545" s="114"/>
      <c r="E4545" s="114"/>
      <c r="F4545" s="54"/>
      <c r="G4545" s="54"/>
      <c r="I4545" s="54"/>
      <c r="K4545" s="54"/>
      <c r="M4545" s="114"/>
      <c r="N4545" s="1"/>
      <c r="O4545" s="1"/>
      <c r="P4545" s="51"/>
    </row>
    <row r="4546">
      <c r="A4546" s="54"/>
      <c r="B4546" s="71"/>
      <c r="C4546" s="51"/>
      <c r="D4546" s="114"/>
      <c r="E4546" s="114"/>
      <c r="F4546" s="54"/>
      <c r="G4546" s="54"/>
      <c r="I4546" s="54"/>
      <c r="K4546" s="54"/>
      <c r="M4546" s="114"/>
      <c r="N4546" s="1"/>
      <c r="O4546" s="1"/>
      <c r="P4546" s="51"/>
    </row>
    <row r="4547">
      <c r="A4547" s="54"/>
      <c r="B4547" s="71"/>
      <c r="C4547" s="51"/>
      <c r="D4547" s="114"/>
      <c r="E4547" s="114"/>
      <c r="F4547" s="54"/>
      <c r="G4547" s="54"/>
      <c r="I4547" s="54"/>
      <c r="K4547" s="54"/>
      <c r="M4547" s="114"/>
      <c r="N4547" s="1"/>
      <c r="O4547" s="1"/>
      <c r="P4547" s="51"/>
    </row>
    <row r="4548">
      <c r="A4548" s="54"/>
      <c r="B4548" s="71"/>
      <c r="C4548" s="51"/>
      <c r="D4548" s="114"/>
      <c r="E4548" s="114"/>
      <c r="F4548" s="54"/>
      <c r="G4548" s="54"/>
      <c r="I4548" s="54"/>
      <c r="K4548" s="54"/>
      <c r="M4548" s="114"/>
      <c r="N4548" s="1"/>
      <c r="O4548" s="1"/>
      <c r="P4548" s="51"/>
    </row>
    <row r="4549">
      <c r="A4549" s="54"/>
      <c r="B4549" s="71"/>
      <c r="C4549" s="51"/>
      <c r="D4549" s="114"/>
      <c r="E4549" s="114"/>
      <c r="F4549" s="54"/>
      <c r="G4549" s="54"/>
      <c r="I4549" s="54"/>
      <c r="K4549" s="54"/>
      <c r="M4549" s="114"/>
      <c r="N4549" s="1"/>
      <c r="O4549" s="1"/>
      <c r="P4549" s="51"/>
    </row>
    <row r="4550">
      <c r="A4550" s="54"/>
      <c r="B4550" s="71"/>
      <c r="C4550" s="51"/>
      <c r="D4550" s="114"/>
      <c r="E4550" s="114"/>
      <c r="F4550" s="54"/>
      <c r="G4550" s="54"/>
      <c r="I4550" s="54"/>
      <c r="K4550" s="54"/>
      <c r="M4550" s="114"/>
      <c r="N4550" s="1"/>
      <c r="O4550" s="1"/>
      <c r="P4550" s="51"/>
    </row>
    <row r="4551">
      <c r="A4551" s="54"/>
      <c r="B4551" s="71"/>
      <c r="C4551" s="51"/>
      <c r="D4551" s="114"/>
      <c r="E4551" s="114"/>
      <c r="F4551" s="54"/>
      <c r="G4551" s="54"/>
      <c r="I4551" s="54"/>
      <c r="K4551" s="54"/>
      <c r="M4551" s="114"/>
      <c r="N4551" s="1"/>
      <c r="O4551" s="1"/>
      <c r="P4551" s="51"/>
    </row>
    <row r="4552">
      <c r="A4552" s="54"/>
      <c r="B4552" s="71"/>
      <c r="C4552" s="51"/>
      <c r="D4552" s="114"/>
      <c r="E4552" s="114"/>
      <c r="F4552" s="54"/>
      <c r="G4552" s="54"/>
      <c r="I4552" s="54"/>
      <c r="K4552" s="54"/>
      <c r="M4552" s="114"/>
      <c r="N4552" s="1"/>
      <c r="O4552" s="1"/>
      <c r="P4552" s="51"/>
    </row>
    <row r="4553">
      <c r="A4553" s="54"/>
      <c r="B4553" s="71"/>
      <c r="C4553" s="51"/>
      <c r="D4553" s="114"/>
      <c r="E4553" s="114"/>
      <c r="F4553" s="54"/>
      <c r="G4553" s="54"/>
      <c r="I4553" s="54"/>
      <c r="K4553" s="54"/>
      <c r="M4553" s="114"/>
      <c r="N4553" s="1"/>
      <c r="O4553" s="1"/>
      <c r="P4553" s="51"/>
    </row>
    <row r="4554">
      <c r="A4554" s="54"/>
      <c r="B4554" s="71"/>
      <c r="C4554" s="51"/>
      <c r="D4554" s="114"/>
      <c r="E4554" s="114"/>
      <c r="F4554" s="54"/>
      <c r="G4554" s="54"/>
      <c r="I4554" s="54"/>
      <c r="K4554" s="54"/>
      <c r="M4554" s="114"/>
      <c r="N4554" s="1"/>
      <c r="O4554" s="1"/>
      <c r="P4554" s="51"/>
    </row>
    <row r="4555">
      <c r="A4555" s="54"/>
      <c r="B4555" s="71"/>
      <c r="C4555" s="51"/>
      <c r="D4555" s="114"/>
      <c r="E4555" s="114"/>
      <c r="F4555" s="54"/>
      <c r="G4555" s="54"/>
      <c r="I4555" s="54"/>
      <c r="K4555" s="54"/>
      <c r="M4555" s="114"/>
      <c r="N4555" s="1"/>
      <c r="O4555" s="1"/>
      <c r="P4555" s="51"/>
    </row>
    <row r="4556">
      <c r="A4556" s="54"/>
      <c r="B4556" s="71"/>
      <c r="C4556" s="51"/>
      <c r="D4556" s="114"/>
      <c r="E4556" s="114"/>
      <c r="F4556" s="54"/>
      <c r="G4556" s="54"/>
      <c r="I4556" s="54"/>
      <c r="K4556" s="54"/>
      <c r="M4556" s="114"/>
      <c r="N4556" s="1"/>
      <c r="O4556" s="1"/>
      <c r="P4556" s="51"/>
    </row>
    <row r="4557">
      <c r="A4557" s="54"/>
      <c r="B4557" s="71"/>
      <c r="C4557" s="51"/>
      <c r="D4557" s="114"/>
      <c r="E4557" s="114"/>
      <c r="F4557" s="54"/>
      <c r="G4557" s="54"/>
      <c r="I4557" s="54"/>
      <c r="K4557" s="54"/>
      <c r="M4557" s="114"/>
      <c r="N4557" s="1"/>
      <c r="O4557" s="1"/>
      <c r="P4557" s="51"/>
    </row>
    <row r="4558">
      <c r="A4558" s="54"/>
      <c r="B4558" s="71"/>
      <c r="C4558" s="51"/>
      <c r="D4558" s="114"/>
      <c r="E4558" s="114"/>
      <c r="F4558" s="54"/>
      <c r="G4558" s="54"/>
      <c r="I4558" s="54"/>
      <c r="K4558" s="54"/>
      <c r="M4558" s="114"/>
      <c r="N4558" s="1"/>
      <c r="O4558" s="1"/>
      <c r="P4558" s="51"/>
    </row>
    <row r="4559">
      <c r="A4559" s="54"/>
      <c r="B4559" s="71"/>
      <c r="C4559" s="51"/>
      <c r="D4559" s="114"/>
      <c r="E4559" s="114"/>
      <c r="F4559" s="54"/>
      <c r="G4559" s="54"/>
      <c r="I4559" s="54"/>
      <c r="K4559" s="54"/>
      <c r="M4559" s="114"/>
      <c r="N4559" s="1"/>
      <c r="O4559" s="1"/>
      <c r="P4559" s="51"/>
    </row>
    <row r="4560">
      <c r="A4560" s="54"/>
      <c r="B4560" s="71"/>
      <c r="C4560" s="51"/>
      <c r="D4560" s="114"/>
      <c r="E4560" s="114"/>
      <c r="F4560" s="54"/>
      <c r="G4560" s="54"/>
      <c r="I4560" s="54"/>
      <c r="K4560" s="54"/>
      <c r="M4560" s="114"/>
      <c r="N4560" s="1"/>
      <c r="O4560" s="1"/>
      <c r="P4560" s="51"/>
    </row>
    <row r="4561">
      <c r="A4561" s="54"/>
      <c r="B4561" s="71"/>
      <c r="C4561" s="51"/>
      <c r="D4561" s="114"/>
      <c r="E4561" s="114"/>
      <c r="F4561" s="54"/>
      <c r="G4561" s="54"/>
      <c r="I4561" s="54"/>
      <c r="K4561" s="54"/>
      <c r="M4561" s="114"/>
      <c r="N4561" s="1"/>
      <c r="O4561" s="1"/>
      <c r="P4561" s="51"/>
    </row>
    <row r="4562">
      <c r="A4562" s="54"/>
      <c r="B4562" s="71"/>
      <c r="C4562" s="51"/>
      <c r="D4562" s="114"/>
      <c r="E4562" s="114"/>
      <c r="F4562" s="54"/>
      <c r="G4562" s="54"/>
      <c r="I4562" s="54"/>
      <c r="K4562" s="54"/>
      <c r="M4562" s="114"/>
      <c r="N4562" s="1"/>
      <c r="O4562" s="1"/>
      <c r="P4562" s="51"/>
    </row>
    <row r="4563">
      <c r="A4563" s="54"/>
      <c r="B4563" s="71"/>
      <c r="C4563" s="51"/>
      <c r="D4563" s="114"/>
      <c r="E4563" s="114"/>
      <c r="F4563" s="54"/>
      <c r="G4563" s="54"/>
      <c r="I4563" s="54"/>
      <c r="K4563" s="54"/>
      <c r="M4563" s="114"/>
      <c r="N4563" s="1"/>
      <c r="O4563" s="1"/>
      <c r="P4563" s="51"/>
    </row>
    <row r="4564">
      <c r="A4564" s="54"/>
      <c r="B4564" s="71"/>
      <c r="C4564" s="51"/>
      <c r="D4564" s="114"/>
      <c r="E4564" s="114"/>
      <c r="F4564" s="54"/>
      <c r="G4564" s="54"/>
      <c r="I4564" s="54"/>
      <c r="K4564" s="54"/>
      <c r="M4564" s="114"/>
      <c r="N4564" s="1"/>
      <c r="O4564" s="1"/>
      <c r="P4564" s="51"/>
    </row>
    <row r="4565">
      <c r="A4565" s="54"/>
      <c r="B4565" s="71"/>
      <c r="C4565" s="51"/>
      <c r="D4565" s="114"/>
      <c r="E4565" s="114"/>
      <c r="F4565" s="54"/>
      <c r="G4565" s="54"/>
      <c r="I4565" s="54"/>
      <c r="K4565" s="54"/>
      <c r="M4565" s="114"/>
      <c r="N4565" s="1"/>
      <c r="O4565" s="1"/>
      <c r="P4565" s="51"/>
    </row>
    <row r="4566">
      <c r="A4566" s="54"/>
      <c r="B4566" s="71"/>
      <c r="C4566" s="51"/>
      <c r="D4566" s="114"/>
      <c r="E4566" s="114"/>
      <c r="F4566" s="54"/>
      <c r="G4566" s="54"/>
      <c r="I4566" s="54"/>
      <c r="K4566" s="54"/>
      <c r="M4566" s="114"/>
      <c r="N4566" s="1"/>
      <c r="O4566" s="1"/>
      <c r="P4566" s="51"/>
    </row>
    <row r="4567">
      <c r="A4567" s="54"/>
      <c r="B4567" s="71"/>
      <c r="C4567" s="51"/>
      <c r="D4567" s="114"/>
      <c r="E4567" s="114"/>
      <c r="F4567" s="54"/>
      <c r="G4567" s="54"/>
      <c r="I4567" s="54"/>
      <c r="K4567" s="54"/>
      <c r="M4567" s="114"/>
      <c r="N4567" s="1"/>
      <c r="O4567" s="1"/>
      <c r="P4567" s="51"/>
    </row>
    <row r="4568">
      <c r="A4568" s="54"/>
      <c r="B4568" s="71"/>
      <c r="C4568" s="51"/>
      <c r="D4568" s="114"/>
      <c r="E4568" s="114"/>
      <c r="F4568" s="54"/>
      <c r="G4568" s="54"/>
      <c r="I4568" s="54"/>
      <c r="K4568" s="54"/>
      <c r="M4568" s="114"/>
      <c r="N4568" s="1"/>
      <c r="O4568" s="1"/>
      <c r="P4568" s="51"/>
    </row>
    <row r="4569">
      <c r="A4569" s="54"/>
      <c r="B4569" s="71"/>
      <c r="C4569" s="51"/>
      <c r="D4569" s="114"/>
      <c r="E4569" s="114"/>
      <c r="F4569" s="54"/>
      <c r="G4569" s="54"/>
      <c r="I4569" s="54"/>
      <c r="K4569" s="54"/>
      <c r="M4569" s="114"/>
      <c r="N4569" s="1"/>
      <c r="O4569" s="1"/>
      <c r="P4569" s="51"/>
    </row>
    <row r="4570">
      <c r="A4570" s="54"/>
      <c r="B4570" s="71"/>
      <c r="C4570" s="51"/>
      <c r="D4570" s="114"/>
      <c r="E4570" s="114"/>
      <c r="F4570" s="54"/>
      <c r="G4570" s="54"/>
      <c r="I4570" s="54"/>
      <c r="K4570" s="54"/>
      <c r="M4570" s="114"/>
      <c r="N4570" s="1"/>
      <c r="O4570" s="1"/>
      <c r="P4570" s="51"/>
    </row>
    <row r="4571">
      <c r="A4571" s="54"/>
      <c r="B4571" s="71"/>
      <c r="C4571" s="51"/>
      <c r="D4571" s="114"/>
      <c r="E4571" s="114"/>
      <c r="F4571" s="54"/>
      <c r="G4571" s="54"/>
      <c r="I4571" s="54"/>
      <c r="K4571" s="54"/>
      <c r="M4571" s="114"/>
      <c r="N4571" s="1"/>
      <c r="O4571" s="1"/>
      <c r="P4571" s="51"/>
    </row>
    <row r="4572">
      <c r="A4572" s="54"/>
      <c r="B4572" s="71"/>
      <c r="C4572" s="51"/>
      <c r="D4572" s="114"/>
      <c r="E4572" s="114"/>
      <c r="F4572" s="54"/>
      <c r="G4572" s="54"/>
      <c r="I4572" s="54"/>
      <c r="K4572" s="54"/>
      <c r="M4572" s="114"/>
      <c r="N4572" s="1"/>
      <c r="O4572" s="1"/>
      <c r="P4572" s="51"/>
    </row>
    <row r="4573">
      <c r="A4573" s="54"/>
      <c r="B4573" s="71"/>
      <c r="C4573" s="51"/>
      <c r="D4573" s="114"/>
      <c r="E4573" s="114"/>
      <c r="F4573" s="54"/>
      <c r="G4573" s="54"/>
      <c r="I4573" s="54"/>
      <c r="K4573" s="54"/>
      <c r="M4573" s="114"/>
      <c r="N4573" s="1"/>
      <c r="O4573" s="1"/>
      <c r="P4573" s="51"/>
    </row>
    <row r="4574">
      <c r="A4574" s="54"/>
      <c r="B4574" s="71"/>
      <c r="C4574" s="51"/>
      <c r="D4574" s="114"/>
      <c r="E4574" s="114"/>
      <c r="F4574" s="54"/>
      <c r="G4574" s="54"/>
      <c r="I4574" s="54"/>
      <c r="K4574" s="54"/>
      <c r="M4574" s="114"/>
      <c r="N4574" s="1"/>
      <c r="O4574" s="1"/>
      <c r="P4574" s="51"/>
    </row>
    <row r="4575">
      <c r="A4575" s="54"/>
      <c r="B4575" s="71"/>
      <c r="C4575" s="51"/>
      <c r="D4575" s="114"/>
      <c r="E4575" s="114"/>
      <c r="F4575" s="54"/>
      <c r="G4575" s="54"/>
      <c r="I4575" s="54"/>
      <c r="K4575" s="54"/>
      <c r="M4575" s="114"/>
      <c r="N4575" s="1"/>
      <c r="O4575" s="1"/>
      <c r="P4575" s="51"/>
    </row>
    <row r="4576">
      <c r="A4576" s="54"/>
      <c r="B4576" s="71"/>
      <c r="C4576" s="51"/>
      <c r="D4576" s="114"/>
      <c r="E4576" s="114"/>
      <c r="F4576" s="54"/>
      <c r="G4576" s="54"/>
      <c r="I4576" s="54"/>
      <c r="K4576" s="54"/>
      <c r="M4576" s="114"/>
      <c r="N4576" s="1"/>
      <c r="O4576" s="1"/>
      <c r="P4576" s="51"/>
    </row>
    <row r="4577">
      <c r="A4577" s="54"/>
      <c r="B4577" s="71"/>
      <c r="C4577" s="51"/>
      <c r="D4577" s="114"/>
      <c r="E4577" s="114"/>
      <c r="F4577" s="54"/>
      <c r="G4577" s="54"/>
      <c r="I4577" s="54"/>
      <c r="K4577" s="54"/>
      <c r="M4577" s="114"/>
      <c r="N4577" s="1"/>
      <c r="O4577" s="1"/>
      <c r="P4577" s="51"/>
    </row>
    <row r="4578">
      <c r="A4578" s="54"/>
      <c r="B4578" s="71"/>
      <c r="C4578" s="51"/>
      <c r="D4578" s="114"/>
      <c r="E4578" s="114"/>
      <c r="F4578" s="54"/>
      <c r="G4578" s="54"/>
      <c r="I4578" s="54"/>
      <c r="K4578" s="54"/>
      <c r="M4578" s="114"/>
      <c r="N4578" s="1"/>
      <c r="O4578" s="1"/>
      <c r="P4578" s="51"/>
    </row>
    <row r="4579">
      <c r="A4579" s="54"/>
      <c r="B4579" s="71"/>
      <c r="C4579" s="51"/>
      <c r="D4579" s="114"/>
      <c r="E4579" s="114"/>
      <c r="F4579" s="54"/>
      <c r="G4579" s="54"/>
      <c r="I4579" s="54"/>
      <c r="K4579" s="54"/>
      <c r="M4579" s="114"/>
      <c r="N4579" s="1"/>
      <c r="O4579" s="1"/>
      <c r="P4579" s="51"/>
    </row>
    <row r="4580">
      <c r="A4580" s="54"/>
      <c r="B4580" s="71"/>
      <c r="C4580" s="51"/>
      <c r="D4580" s="114"/>
      <c r="E4580" s="114"/>
      <c r="F4580" s="54"/>
      <c r="G4580" s="54"/>
      <c r="I4580" s="54"/>
      <c r="K4580" s="54"/>
      <c r="M4580" s="114"/>
      <c r="N4580" s="1"/>
      <c r="O4580" s="1"/>
      <c r="P4580" s="51"/>
    </row>
    <row r="4581">
      <c r="A4581" s="54"/>
      <c r="B4581" s="71"/>
      <c r="C4581" s="51"/>
      <c r="D4581" s="114"/>
      <c r="E4581" s="114"/>
      <c r="F4581" s="54"/>
      <c r="G4581" s="54"/>
      <c r="I4581" s="54"/>
      <c r="K4581" s="54"/>
      <c r="M4581" s="114"/>
      <c r="N4581" s="1"/>
      <c r="O4581" s="1"/>
      <c r="P4581" s="51"/>
    </row>
    <row r="4582">
      <c r="A4582" s="54"/>
      <c r="B4582" s="71"/>
      <c r="C4582" s="51"/>
      <c r="D4582" s="114"/>
      <c r="E4582" s="114"/>
      <c r="F4582" s="54"/>
      <c r="G4582" s="54"/>
      <c r="I4582" s="54"/>
      <c r="K4582" s="54"/>
      <c r="M4582" s="114"/>
      <c r="N4582" s="1"/>
      <c r="O4582" s="1"/>
      <c r="P4582" s="51"/>
    </row>
    <row r="4583">
      <c r="A4583" s="54"/>
      <c r="B4583" s="71"/>
      <c r="C4583" s="51"/>
      <c r="D4583" s="114"/>
      <c r="E4583" s="114"/>
      <c r="F4583" s="54"/>
      <c r="G4583" s="54"/>
      <c r="I4583" s="54"/>
      <c r="K4583" s="54"/>
      <c r="M4583" s="114"/>
      <c r="N4583" s="1"/>
      <c r="O4583" s="1"/>
      <c r="P4583" s="51"/>
    </row>
    <row r="4584">
      <c r="A4584" s="54"/>
      <c r="B4584" s="71"/>
      <c r="C4584" s="51"/>
      <c r="D4584" s="114"/>
      <c r="E4584" s="114"/>
      <c r="F4584" s="54"/>
      <c r="G4584" s="54"/>
      <c r="I4584" s="54"/>
      <c r="K4584" s="54"/>
      <c r="M4584" s="114"/>
      <c r="N4584" s="1"/>
      <c r="O4584" s="1"/>
      <c r="P4584" s="51"/>
    </row>
    <row r="4585">
      <c r="A4585" s="54"/>
      <c r="B4585" s="71"/>
      <c r="C4585" s="51"/>
      <c r="D4585" s="114"/>
      <c r="E4585" s="114"/>
      <c r="F4585" s="54"/>
      <c r="G4585" s="54"/>
      <c r="I4585" s="54"/>
      <c r="K4585" s="54"/>
      <c r="M4585" s="114"/>
      <c r="N4585" s="1"/>
      <c r="O4585" s="1"/>
      <c r="P4585" s="51"/>
    </row>
    <row r="4586">
      <c r="A4586" s="54"/>
      <c r="B4586" s="71"/>
      <c r="C4586" s="51"/>
      <c r="D4586" s="114"/>
      <c r="E4586" s="114"/>
      <c r="F4586" s="54"/>
      <c r="G4586" s="54"/>
      <c r="I4586" s="54"/>
      <c r="K4586" s="54"/>
      <c r="M4586" s="114"/>
      <c r="N4586" s="1"/>
      <c r="O4586" s="1"/>
      <c r="P4586" s="51"/>
    </row>
    <row r="4587">
      <c r="A4587" s="54"/>
      <c r="B4587" s="71"/>
      <c r="C4587" s="51"/>
      <c r="D4587" s="114"/>
      <c r="E4587" s="114"/>
      <c r="F4587" s="54"/>
      <c r="G4587" s="54"/>
      <c r="I4587" s="54"/>
      <c r="K4587" s="54"/>
      <c r="M4587" s="114"/>
      <c r="N4587" s="1"/>
      <c r="O4587" s="1"/>
      <c r="P4587" s="51"/>
    </row>
    <row r="4588">
      <c r="A4588" s="54"/>
      <c r="B4588" s="71"/>
      <c r="C4588" s="51"/>
      <c r="D4588" s="114"/>
      <c r="E4588" s="114"/>
      <c r="F4588" s="54"/>
      <c r="G4588" s="54"/>
      <c r="I4588" s="54"/>
      <c r="K4588" s="54"/>
      <c r="M4588" s="114"/>
      <c r="N4588" s="1"/>
      <c r="O4588" s="1"/>
      <c r="P4588" s="51"/>
    </row>
    <row r="4589">
      <c r="A4589" s="54"/>
      <c r="B4589" s="71"/>
      <c r="C4589" s="51"/>
      <c r="D4589" s="114"/>
      <c r="E4589" s="114"/>
      <c r="F4589" s="54"/>
      <c r="G4589" s="54"/>
      <c r="I4589" s="54"/>
      <c r="K4589" s="54"/>
      <c r="M4589" s="114"/>
      <c r="N4589" s="1"/>
      <c r="O4589" s="1"/>
      <c r="P4589" s="51"/>
    </row>
    <row r="4590">
      <c r="A4590" s="54"/>
      <c r="B4590" s="71"/>
      <c r="C4590" s="51"/>
      <c r="D4590" s="114"/>
      <c r="E4590" s="114"/>
      <c r="F4590" s="54"/>
      <c r="G4590" s="54"/>
      <c r="I4590" s="54"/>
      <c r="K4590" s="54"/>
      <c r="M4590" s="114"/>
      <c r="N4590" s="1"/>
      <c r="O4590" s="1"/>
      <c r="P4590" s="51"/>
    </row>
    <row r="4591">
      <c r="A4591" s="54"/>
      <c r="B4591" s="71"/>
      <c r="C4591" s="51"/>
      <c r="D4591" s="114"/>
      <c r="E4591" s="114"/>
      <c r="F4591" s="54"/>
      <c r="G4591" s="54"/>
      <c r="I4591" s="54"/>
      <c r="K4591" s="54"/>
      <c r="M4591" s="114"/>
      <c r="N4591" s="1"/>
      <c r="O4591" s="1"/>
      <c r="P4591" s="51"/>
    </row>
    <row r="4592">
      <c r="A4592" s="54"/>
      <c r="B4592" s="71"/>
      <c r="C4592" s="51"/>
      <c r="D4592" s="114"/>
      <c r="E4592" s="114"/>
      <c r="F4592" s="54"/>
      <c r="G4592" s="54"/>
      <c r="I4592" s="54"/>
      <c r="K4592" s="54"/>
      <c r="M4592" s="114"/>
      <c r="N4592" s="1"/>
      <c r="O4592" s="1"/>
      <c r="P4592" s="51"/>
    </row>
    <row r="4593">
      <c r="A4593" s="54"/>
      <c r="B4593" s="71"/>
      <c r="C4593" s="51"/>
      <c r="D4593" s="114"/>
      <c r="E4593" s="114"/>
      <c r="F4593" s="54"/>
      <c r="G4593" s="54"/>
      <c r="I4593" s="54"/>
      <c r="K4593" s="54"/>
      <c r="M4593" s="114"/>
      <c r="N4593" s="1"/>
      <c r="O4593" s="1"/>
      <c r="P4593" s="51"/>
    </row>
    <row r="4594">
      <c r="A4594" s="54"/>
      <c r="B4594" s="71"/>
      <c r="C4594" s="51"/>
      <c r="D4594" s="114"/>
      <c r="E4594" s="114"/>
      <c r="F4594" s="54"/>
      <c r="G4594" s="54"/>
      <c r="I4594" s="54"/>
      <c r="K4594" s="54"/>
      <c r="M4594" s="114"/>
      <c r="N4594" s="1"/>
      <c r="O4594" s="1"/>
      <c r="P4594" s="51"/>
    </row>
    <row r="4595">
      <c r="A4595" s="54"/>
      <c r="B4595" s="71"/>
      <c r="C4595" s="51"/>
      <c r="D4595" s="114"/>
      <c r="E4595" s="114"/>
      <c r="F4595" s="54"/>
      <c r="G4595" s="54"/>
      <c r="I4595" s="54"/>
      <c r="K4595" s="54"/>
      <c r="M4595" s="114"/>
      <c r="N4595" s="1"/>
      <c r="O4595" s="1"/>
      <c r="P4595" s="51"/>
    </row>
    <row r="4596">
      <c r="A4596" s="54"/>
      <c r="B4596" s="71"/>
      <c r="C4596" s="51"/>
      <c r="D4596" s="114"/>
      <c r="E4596" s="114"/>
      <c r="F4596" s="54"/>
      <c r="G4596" s="54"/>
      <c r="I4596" s="54"/>
      <c r="K4596" s="54"/>
      <c r="M4596" s="114"/>
      <c r="N4596" s="1"/>
      <c r="O4596" s="1"/>
      <c r="P4596" s="51"/>
    </row>
    <row r="4597">
      <c r="A4597" s="54"/>
      <c r="B4597" s="71"/>
      <c r="C4597" s="51"/>
      <c r="D4597" s="114"/>
      <c r="E4597" s="114"/>
      <c r="F4597" s="54"/>
      <c r="G4597" s="54"/>
      <c r="I4597" s="54"/>
      <c r="K4597" s="54"/>
      <c r="M4597" s="114"/>
      <c r="N4597" s="1"/>
      <c r="O4597" s="1"/>
      <c r="P4597" s="51"/>
    </row>
    <row r="4598">
      <c r="A4598" s="54"/>
      <c r="B4598" s="71"/>
      <c r="C4598" s="51"/>
      <c r="D4598" s="114"/>
      <c r="E4598" s="114"/>
      <c r="F4598" s="54"/>
      <c r="G4598" s="54"/>
      <c r="I4598" s="54"/>
      <c r="K4598" s="54"/>
      <c r="M4598" s="114"/>
      <c r="N4598" s="1"/>
      <c r="O4598" s="1"/>
      <c r="P4598" s="51"/>
    </row>
    <row r="4599">
      <c r="A4599" s="54"/>
      <c r="B4599" s="71"/>
      <c r="C4599" s="51"/>
      <c r="D4599" s="114"/>
      <c r="E4599" s="114"/>
      <c r="F4599" s="54"/>
      <c r="G4599" s="54"/>
      <c r="I4599" s="54"/>
      <c r="K4599" s="54"/>
      <c r="M4599" s="114"/>
      <c r="N4599" s="1"/>
      <c r="O4599" s="1"/>
      <c r="P4599" s="51"/>
    </row>
    <row r="4600">
      <c r="A4600" s="54"/>
      <c r="B4600" s="71"/>
      <c r="C4600" s="51"/>
      <c r="D4600" s="114"/>
      <c r="E4600" s="114"/>
      <c r="F4600" s="54"/>
      <c r="G4600" s="54"/>
      <c r="I4600" s="54"/>
      <c r="K4600" s="54"/>
      <c r="M4600" s="114"/>
      <c r="N4600" s="1"/>
      <c r="O4600" s="1"/>
      <c r="P4600" s="51"/>
    </row>
    <row r="4601">
      <c r="A4601" s="54"/>
      <c r="B4601" s="71"/>
      <c r="C4601" s="51"/>
      <c r="D4601" s="114"/>
      <c r="E4601" s="114"/>
      <c r="F4601" s="54"/>
      <c r="G4601" s="54"/>
      <c r="I4601" s="54"/>
      <c r="K4601" s="54"/>
      <c r="M4601" s="114"/>
      <c r="N4601" s="1"/>
      <c r="O4601" s="1"/>
      <c r="P4601" s="51"/>
    </row>
    <row r="4602">
      <c r="A4602" s="54"/>
      <c r="B4602" s="71"/>
      <c r="C4602" s="51"/>
      <c r="D4602" s="114"/>
      <c r="E4602" s="114"/>
      <c r="F4602" s="54"/>
      <c r="G4602" s="54"/>
      <c r="I4602" s="54"/>
      <c r="K4602" s="54"/>
      <c r="M4602" s="114"/>
      <c r="N4602" s="1"/>
      <c r="O4602" s="1"/>
      <c r="P4602" s="51"/>
    </row>
    <row r="4603">
      <c r="A4603" s="54"/>
      <c r="B4603" s="71"/>
      <c r="C4603" s="51"/>
      <c r="D4603" s="114"/>
      <c r="E4603" s="114"/>
      <c r="F4603" s="54"/>
      <c r="G4603" s="54"/>
      <c r="I4603" s="54"/>
      <c r="K4603" s="54"/>
      <c r="M4603" s="114"/>
      <c r="N4603" s="1"/>
      <c r="O4603" s="1"/>
      <c r="P4603" s="51"/>
    </row>
    <row r="4604">
      <c r="A4604" s="54"/>
      <c r="B4604" s="71"/>
      <c r="C4604" s="51"/>
      <c r="D4604" s="114"/>
      <c r="E4604" s="114"/>
      <c r="F4604" s="54"/>
      <c r="G4604" s="54"/>
      <c r="I4604" s="54"/>
      <c r="K4604" s="54"/>
      <c r="M4604" s="114"/>
      <c r="N4604" s="1"/>
      <c r="O4604" s="1"/>
      <c r="P4604" s="51"/>
    </row>
    <row r="4605">
      <c r="A4605" s="54"/>
      <c r="B4605" s="71"/>
      <c r="C4605" s="51"/>
      <c r="D4605" s="114"/>
      <c r="E4605" s="114"/>
      <c r="F4605" s="54"/>
      <c r="G4605" s="54"/>
      <c r="I4605" s="54"/>
      <c r="K4605" s="54"/>
      <c r="M4605" s="114"/>
      <c r="N4605" s="1"/>
      <c r="O4605" s="1"/>
      <c r="P4605" s="51"/>
    </row>
    <row r="4606">
      <c r="A4606" s="54"/>
      <c r="B4606" s="71"/>
      <c r="C4606" s="51"/>
      <c r="D4606" s="114"/>
      <c r="E4606" s="114"/>
      <c r="F4606" s="54"/>
      <c r="G4606" s="54"/>
      <c r="I4606" s="54"/>
      <c r="K4606" s="54"/>
      <c r="M4606" s="114"/>
      <c r="N4606" s="1"/>
      <c r="O4606" s="1"/>
      <c r="P4606" s="51"/>
    </row>
    <row r="4607">
      <c r="A4607" s="54"/>
      <c r="B4607" s="71"/>
      <c r="C4607" s="51"/>
      <c r="D4607" s="114"/>
      <c r="E4607" s="114"/>
      <c r="F4607" s="54"/>
      <c r="G4607" s="54"/>
      <c r="I4607" s="54"/>
      <c r="K4607" s="54"/>
      <c r="M4607" s="114"/>
      <c r="N4607" s="1"/>
      <c r="O4607" s="1"/>
      <c r="P4607" s="51"/>
    </row>
    <row r="4608">
      <c r="A4608" s="54"/>
      <c r="B4608" s="71"/>
      <c r="C4608" s="51"/>
      <c r="D4608" s="114"/>
      <c r="E4608" s="114"/>
      <c r="F4608" s="54"/>
      <c r="G4608" s="54"/>
      <c r="I4608" s="54"/>
      <c r="K4608" s="54"/>
      <c r="M4608" s="114"/>
      <c r="N4608" s="1"/>
      <c r="O4608" s="1"/>
      <c r="P4608" s="51"/>
    </row>
    <row r="4609">
      <c r="A4609" s="54"/>
      <c r="B4609" s="71"/>
      <c r="C4609" s="51"/>
      <c r="D4609" s="114"/>
      <c r="E4609" s="114"/>
      <c r="F4609" s="54"/>
      <c r="G4609" s="54"/>
      <c r="I4609" s="54"/>
      <c r="K4609" s="54"/>
      <c r="M4609" s="114"/>
      <c r="N4609" s="1"/>
      <c r="O4609" s="1"/>
      <c r="P4609" s="51"/>
    </row>
    <row r="4610">
      <c r="A4610" s="54"/>
      <c r="B4610" s="71"/>
      <c r="C4610" s="51"/>
      <c r="D4610" s="114"/>
      <c r="E4610" s="114"/>
      <c r="F4610" s="54"/>
      <c r="G4610" s="54"/>
      <c r="I4610" s="54"/>
      <c r="K4610" s="54"/>
      <c r="M4610" s="114"/>
      <c r="N4610" s="1"/>
      <c r="O4610" s="1"/>
      <c r="P4610" s="51"/>
    </row>
    <row r="4611">
      <c r="A4611" s="54"/>
      <c r="B4611" s="71"/>
      <c r="C4611" s="51"/>
      <c r="D4611" s="114"/>
      <c r="E4611" s="114"/>
      <c r="F4611" s="54"/>
      <c r="G4611" s="54"/>
      <c r="I4611" s="54"/>
      <c r="K4611" s="54"/>
      <c r="M4611" s="114"/>
      <c r="N4611" s="1"/>
      <c r="O4611" s="1"/>
      <c r="P4611" s="51"/>
    </row>
    <row r="4612">
      <c r="A4612" s="54"/>
      <c r="B4612" s="71"/>
      <c r="C4612" s="51"/>
      <c r="D4612" s="114"/>
      <c r="E4612" s="114"/>
      <c r="F4612" s="54"/>
      <c r="G4612" s="54"/>
      <c r="I4612" s="54"/>
      <c r="K4612" s="54"/>
      <c r="M4612" s="114"/>
      <c r="N4612" s="1"/>
      <c r="O4612" s="1"/>
      <c r="P4612" s="51"/>
    </row>
    <row r="4613">
      <c r="A4613" s="54"/>
      <c r="B4613" s="71"/>
      <c r="C4613" s="51"/>
      <c r="D4613" s="114"/>
      <c r="E4613" s="114"/>
      <c r="F4613" s="54"/>
      <c r="G4613" s="54"/>
      <c r="I4613" s="54"/>
      <c r="K4613" s="54"/>
      <c r="M4613" s="114"/>
      <c r="N4613" s="1"/>
      <c r="O4613" s="1"/>
      <c r="P4613" s="51"/>
    </row>
    <row r="4614">
      <c r="A4614" s="54"/>
      <c r="B4614" s="71"/>
      <c r="C4614" s="51"/>
      <c r="D4614" s="114"/>
      <c r="E4614" s="114"/>
      <c r="F4614" s="54"/>
      <c r="G4614" s="54"/>
      <c r="I4614" s="54"/>
      <c r="K4614" s="54"/>
      <c r="M4614" s="114"/>
      <c r="N4614" s="1"/>
      <c r="O4614" s="1"/>
      <c r="P4614" s="51"/>
    </row>
    <row r="4615">
      <c r="A4615" s="54"/>
      <c r="B4615" s="71"/>
      <c r="C4615" s="51"/>
      <c r="D4615" s="114"/>
      <c r="E4615" s="114"/>
      <c r="F4615" s="54"/>
      <c r="G4615" s="54"/>
      <c r="I4615" s="54"/>
      <c r="K4615" s="54"/>
      <c r="M4615" s="114"/>
      <c r="N4615" s="1"/>
      <c r="O4615" s="1"/>
      <c r="P4615" s="51"/>
    </row>
    <row r="4616">
      <c r="A4616" s="54"/>
      <c r="B4616" s="71"/>
      <c r="C4616" s="51"/>
      <c r="D4616" s="114"/>
      <c r="E4616" s="114"/>
      <c r="F4616" s="54"/>
      <c r="G4616" s="54"/>
      <c r="I4616" s="54"/>
      <c r="K4616" s="54"/>
      <c r="M4616" s="114"/>
      <c r="N4616" s="1"/>
      <c r="O4616" s="1"/>
      <c r="P4616" s="51"/>
    </row>
    <row r="4617">
      <c r="A4617" s="54"/>
      <c r="B4617" s="71"/>
      <c r="C4617" s="51"/>
      <c r="D4617" s="114"/>
      <c r="E4617" s="114"/>
      <c r="F4617" s="54"/>
      <c r="G4617" s="54"/>
      <c r="I4617" s="54"/>
      <c r="K4617" s="54"/>
      <c r="M4617" s="114"/>
      <c r="N4617" s="1"/>
      <c r="O4617" s="1"/>
      <c r="P4617" s="51"/>
    </row>
    <row r="4618">
      <c r="A4618" s="54"/>
      <c r="B4618" s="71"/>
      <c r="C4618" s="51"/>
      <c r="D4618" s="114"/>
      <c r="E4618" s="114"/>
      <c r="F4618" s="54"/>
      <c r="G4618" s="54"/>
      <c r="I4618" s="54"/>
      <c r="K4618" s="54"/>
      <c r="M4618" s="114"/>
      <c r="N4618" s="1"/>
      <c r="O4618" s="1"/>
      <c r="P4618" s="51"/>
    </row>
    <row r="4619">
      <c r="A4619" s="54"/>
      <c r="B4619" s="71"/>
      <c r="C4619" s="51"/>
      <c r="D4619" s="114"/>
      <c r="E4619" s="114"/>
      <c r="F4619" s="54"/>
      <c r="G4619" s="54"/>
      <c r="I4619" s="54"/>
      <c r="K4619" s="54"/>
      <c r="M4619" s="114"/>
      <c r="N4619" s="1"/>
      <c r="O4619" s="1"/>
      <c r="P4619" s="51"/>
    </row>
    <row r="4620">
      <c r="A4620" s="54"/>
      <c r="B4620" s="71"/>
      <c r="C4620" s="51"/>
      <c r="D4620" s="114"/>
      <c r="E4620" s="114"/>
      <c r="F4620" s="54"/>
      <c r="G4620" s="54"/>
      <c r="I4620" s="54"/>
      <c r="K4620" s="54"/>
      <c r="M4620" s="114"/>
      <c r="N4620" s="1"/>
      <c r="O4620" s="1"/>
      <c r="P4620" s="51"/>
    </row>
    <row r="4621">
      <c r="A4621" s="54"/>
      <c r="B4621" s="71"/>
      <c r="C4621" s="51"/>
      <c r="D4621" s="114"/>
      <c r="E4621" s="114"/>
      <c r="F4621" s="54"/>
      <c r="G4621" s="54"/>
      <c r="I4621" s="54"/>
      <c r="K4621" s="54"/>
      <c r="M4621" s="114"/>
      <c r="N4621" s="1"/>
      <c r="O4621" s="1"/>
      <c r="P4621" s="51"/>
    </row>
    <row r="4622">
      <c r="A4622" s="54"/>
      <c r="B4622" s="71"/>
      <c r="C4622" s="51"/>
      <c r="D4622" s="114"/>
      <c r="E4622" s="114"/>
      <c r="F4622" s="54"/>
      <c r="G4622" s="54"/>
      <c r="I4622" s="54"/>
      <c r="K4622" s="54"/>
      <c r="M4622" s="114"/>
      <c r="N4622" s="1"/>
      <c r="O4622" s="1"/>
      <c r="P4622" s="51"/>
    </row>
    <row r="4623">
      <c r="A4623" s="54"/>
      <c r="B4623" s="71"/>
      <c r="C4623" s="51"/>
      <c r="D4623" s="114"/>
      <c r="E4623" s="114"/>
      <c r="F4623" s="54"/>
      <c r="G4623" s="54"/>
      <c r="I4623" s="54"/>
      <c r="K4623" s="54"/>
      <c r="M4623" s="114"/>
      <c r="N4623" s="1"/>
      <c r="O4623" s="1"/>
      <c r="P4623" s="51"/>
    </row>
    <row r="4624">
      <c r="A4624" s="54"/>
      <c r="B4624" s="71"/>
      <c r="C4624" s="51"/>
      <c r="D4624" s="114"/>
      <c r="E4624" s="114"/>
      <c r="F4624" s="54"/>
      <c r="G4624" s="54"/>
      <c r="I4624" s="54"/>
      <c r="K4624" s="54"/>
      <c r="M4624" s="114"/>
      <c r="N4624" s="1"/>
      <c r="O4624" s="1"/>
      <c r="P4624" s="51"/>
    </row>
    <row r="4625">
      <c r="A4625" s="54"/>
      <c r="B4625" s="71"/>
      <c r="C4625" s="51"/>
      <c r="D4625" s="114"/>
      <c r="E4625" s="114"/>
      <c r="F4625" s="54"/>
      <c r="G4625" s="54"/>
      <c r="I4625" s="54"/>
      <c r="K4625" s="54"/>
      <c r="M4625" s="114"/>
      <c r="N4625" s="1"/>
      <c r="O4625" s="1"/>
      <c r="P4625" s="51"/>
    </row>
    <row r="4626">
      <c r="A4626" s="54"/>
      <c r="B4626" s="71"/>
      <c r="C4626" s="51"/>
      <c r="D4626" s="114"/>
      <c r="E4626" s="114"/>
      <c r="F4626" s="54"/>
      <c r="G4626" s="54"/>
      <c r="I4626" s="54"/>
      <c r="K4626" s="54"/>
      <c r="M4626" s="114"/>
      <c r="N4626" s="1"/>
      <c r="O4626" s="1"/>
      <c r="P4626" s="51"/>
    </row>
    <row r="4627">
      <c r="A4627" s="54"/>
      <c r="B4627" s="71"/>
      <c r="C4627" s="51"/>
      <c r="D4627" s="114"/>
      <c r="E4627" s="114"/>
      <c r="F4627" s="54"/>
      <c r="G4627" s="54"/>
      <c r="I4627" s="54"/>
      <c r="K4627" s="54"/>
      <c r="M4627" s="114"/>
      <c r="N4627" s="1"/>
      <c r="O4627" s="1"/>
      <c r="P4627" s="51"/>
    </row>
    <row r="4628">
      <c r="A4628" s="54"/>
      <c r="B4628" s="71"/>
      <c r="C4628" s="51"/>
      <c r="D4628" s="114"/>
      <c r="E4628" s="114"/>
      <c r="F4628" s="54"/>
      <c r="G4628" s="54"/>
      <c r="I4628" s="54"/>
      <c r="K4628" s="54"/>
      <c r="M4628" s="114"/>
      <c r="N4628" s="1"/>
      <c r="O4628" s="1"/>
      <c r="P4628" s="51"/>
    </row>
    <row r="4629">
      <c r="A4629" s="54"/>
      <c r="B4629" s="71"/>
      <c r="C4629" s="51"/>
      <c r="D4629" s="114"/>
      <c r="E4629" s="114"/>
      <c r="F4629" s="54"/>
      <c r="G4629" s="54"/>
      <c r="I4629" s="54"/>
      <c r="K4629" s="54"/>
      <c r="M4629" s="114"/>
      <c r="N4629" s="1"/>
      <c r="O4629" s="1"/>
      <c r="P4629" s="51"/>
    </row>
    <row r="4630">
      <c r="A4630" s="54"/>
      <c r="B4630" s="71"/>
      <c r="C4630" s="51"/>
      <c r="D4630" s="114"/>
      <c r="E4630" s="114"/>
      <c r="F4630" s="54"/>
      <c r="G4630" s="54"/>
      <c r="I4630" s="54"/>
      <c r="K4630" s="54"/>
      <c r="M4630" s="114"/>
      <c r="N4630" s="1"/>
      <c r="O4630" s="1"/>
      <c r="P4630" s="51"/>
    </row>
    <row r="4631">
      <c r="A4631" s="54"/>
      <c r="B4631" s="71"/>
      <c r="C4631" s="51"/>
      <c r="D4631" s="114"/>
      <c r="E4631" s="114"/>
      <c r="F4631" s="54"/>
      <c r="G4631" s="54"/>
      <c r="I4631" s="54"/>
      <c r="K4631" s="54"/>
      <c r="M4631" s="114"/>
      <c r="N4631" s="1"/>
      <c r="O4631" s="1"/>
      <c r="P4631" s="51"/>
    </row>
    <row r="4632">
      <c r="A4632" s="54"/>
      <c r="B4632" s="71"/>
      <c r="C4632" s="51"/>
      <c r="D4632" s="114"/>
      <c r="E4632" s="114"/>
      <c r="F4632" s="54"/>
      <c r="G4632" s="54"/>
      <c r="I4632" s="54"/>
      <c r="K4632" s="54"/>
      <c r="M4632" s="114"/>
      <c r="N4632" s="1"/>
      <c r="O4632" s="1"/>
      <c r="P4632" s="51"/>
    </row>
    <row r="4633">
      <c r="A4633" s="54"/>
      <c r="B4633" s="71"/>
      <c r="C4633" s="51"/>
      <c r="D4633" s="114"/>
      <c r="E4633" s="114"/>
      <c r="F4633" s="54"/>
      <c r="G4633" s="54"/>
      <c r="I4633" s="54"/>
      <c r="K4633" s="54"/>
      <c r="M4633" s="114"/>
      <c r="N4633" s="1"/>
      <c r="O4633" s="1"/>
      <c r="P4633" s="51"/>
    </row>
    <row r="4634">
      <c r="A4634" s="54"/>
      <c r="B4634" s="71"/>
      <c r="C4634" s="51"/>
      <c r="D4634" s="114"/>
      <c r="E4634" s="114"/>
      <c r="F4634" s="54"/>
      <c r="G4634" s="54"/>
      <c r="I4634" s="54"/>
      <c r="K4634" s="54"/>
      <c r="M4634" s="114"/>
      <c r="N4634" s="1"/>
      <c r="O4634" s="1"/>
      <c r="P4634" s="51"/>
    </row>
    <row r="4635">
      <c r="A4635" s="54"/>
      <c r="B4635" s="71"/>
      <c r="C4635" s="51"/>
      <c r="D4635" s="114"/>
      <c r="E4635" s="114"/>
      <c r="F4635" s="54"/>
      <c r="G4635" s="54"/>
      <c r="I4635" s="54"/>
      <c r="K4635" s="54"/>
      <c r="M4635" s="114"/>
      <c r="N4635" s="1"/>
      <c r="O4635" s="1"/>
      <c r="P4635" s="51"/>
    </row>
    <row r="4636">
      <c r="A4636" s="54"/>
      <c r="B4636" s="71"/>
      <c r="C4636" s="51"/>
      <c r="D4636" s="114"/>
      <c r="E4636" s="114"/>
      <c r="F4636" s="54"/>
      <c r="G4636" s="54"/>
      <c r="I4636" s="54"/>
      <c r="K4636" s="54"/>
      <c r="M4636" s="114"/>
      <c r="N4636" s="1"/>
      <c r="O4636" s="1"/>
      <c r="P4636" s="51"/>
    </row>
    <row r="4637">
      <c r="A4637" s="54"/>
      <c r="B4637" s="71"/>
      <c r="C4637" s="51"/>
      <c r="D4637" s="114"/>
      <c r="E4637" s="114"/>
      <c r="F4637" s="54"/>
      <c r="G4637" s="54"/>
      <c r="I4637" s="54"/>
      <c r="K4637" s="54"/>
      <c r="M4637" s="114"/>
      <c r="N4637" s="1"/>
      <c r="O4637" s="1"/>
      <c r="P4637" s="51"/>
    </row>
    <row r="4638">
      <c r="A4638" s="54"/>
      <c r="B4638" s="71"/>
      <c r="C4638" s="51"/>
      <c r="D4638" s="114"/>
      <c r="E4638" s="114"/>
      <c r="F4638" s="54"/>
      <c r="G4638" s="54"/>
      <c r="I4638" s="54"/>
      <c r="K4638" s="54"/>
      <c r="M4638" s="114"/>
      <c r="N4638" s="1"/>
      <c r="O4638" s="1"/>
      <c r="P4638" s="51"/>
    </row>
    <row r="4639">
      <c r="A4639" s="54"/>
      <c r="B4639" s="71"/>
      <c r="C4639" s="51"/>
      <c r="D4639" s="114"/>
      <c r="E4639" s="114"/>
      <c r="F4639" s="54"/>
      <c r="G4639" s="54"/>
      <c r="I4639" s="54"/>
      <c r="K4639" s="54"/>
      <c r="M4639" s="114"/>
      <c r="N4639" s="1"/>
      <c r="O4639" s="1"/>
      <c r="P4639" s="51"/>
    </row>
    <row r="4640">
      <c r="A4640" s="54"/>
      <c r="B4640" s="71"/>
      <c r="C4640" s="51"/>
      <c r="D4640" s="114"/>
      <c r="E4640" s="114"/>
      <c r="F4640" s="54"/>
      <c r="G4640" s="54"/>
      <c r="I4640" s="54"/>
      <c r="K4640" s="54"/>
      <c r="M4640" s="114"/>
      <c r="N4640" s="1"/>
      <c r="O4640" s="1"/>
      <c r="P4640" s="51"/>
    </row>
    <row r="4641">
      <c r="A4641" s="54"/>
      <c r="B4641" s="71"/>
      <c r="C4641" s="51"/>
      <c r="D4641" s="114"/>
      <c r="E4641" s="114"/>
      <c r="F4641" s="54"/>
      <c r="G4641" s="54"/>
      <c r="I4641" s="54"/>
      <c r="K4641" s="54"/>
      <c r="M4641" s="114"/>
      <c r="N4641" s="1"/>
      <c r="O4641" s="1"/>
      <c r="P4641" s="51"/>
    </row>
    <row r="4642">
      <c r="A4642" s="54"/>
      <c r="B4642" s="71"/>
      <c r="C4642" s="51"/>
      <c r="D4642" s="114"/>
      <c r="E4642" s="114"/>
      <c r="F4642" s="54"/>
      <c r="G4642" s="54"/>
      <c r="I4642" s="54"/>
      <c r="K4642" s="54"/>
      <c r="M4642" s="114"/>
      <c r="N4642" s="1"/>
      <c r="O4642" s="1"/>
      <c r="P4642" s="51"/>
    </row>
    <row r="4643">
      <c r="A4643" s="54"/>
      <c r="B4643" s="71"/>
      <c r="C4643" s="51"/>
      <c r="D4643" s="114"/>
      <c r="E4643" s="114"/>
      <c r="F4643" s="54"/>
      <c r="G4643" s="54"/>
      <c r="I4643" s="54"/>
      <c r="K4643" s="54"/>
      <c r="M4643" s="114"/>
      <c r="N4643" s="1"/>
      <c r="O4643" s="1"/>
      <c r="P4643" s="51"/>
    </row>
    <row r="4644">
      <c r="A4644" s="54"/>
      <c r="B4644" s="71"/>
      <c r="C4644" s="51"/>
      <c r="D4644" s="114"/>
      <c r="E4644" s="114"/>
      <c r="F4644" s="54"/>
      <c r="G4644" s="54"/>
      <c r="I4644" s="54"/>
      <c r="K4644" s="54"/>
      <c r="M4644" s="114"/>
      <c r="N4644" s="1"/>
      <c r="O4644" s="1"/>
      <c r="P4644" s="51"/>
    </row>
    <row r="4645">
      <c r="A4645" s="54"/>
      <c r="B4645" s="71"/>
      <c r="C4645" s="51"/>
      <c r="D4645" s="114"/>
      <c r="E4645" s="114"/>
      <c r="F4645" s="54"/>
      <c r="G4645" s="54"/>
      <c r="I4645" s="54"/>
      <c r="K4645" s="54"/>
      <c r="M4645" s="114"/>
      <c r="N4645" s="1"/>
      <c r="O4645" s="1"/>
      <c r="P4645" s="51"/>
    </row>
    <row r="4646">
      <c r="A4646" s="54"/>
      <c r="B4646" s="71"/>
      <c r="C4646" s="51"/>
      <c r="D4646" s="114"/>
      <c r="E4646" s="114"/>
      <c r="F4646" s="54"/>
      <c r="G4646" s="54"/>
      <c r="I4646" s="54"/>
      <c r="K4646" s="54"/>
      <c r="M4646" s="114"/>
      <c r="N4646" s="1"/>
      <c r="O4646" s="1"/>
      <c r="P4646" s="51"/>
    </row>
    <row r="4647">
      <c r="A4647" s="54"/>
      <c r="B4647" s="71"/>
      <c r="C4647" s="51"/>
      <c r="D4647" s="114"/>
      <c r="E4647" s="114"/>
      <c r="F4647" s="54"/>
      <c r="G4647" s="54"/>
      <c r="I4647" s="54"/>
      <c r="K4647" s="54"/>
      <c r="M4647" s="114"/>
      <c r="N4647" s="1"/>
      <c r="O4647" s="1"/>
      <c r="P4647" s="51"/>
    </row>
    <row r="4648">
      <c r="A4648" s="54"/>
      <c r="B4648" s="71"/>
      <c r="C4648" s="51"/>
      <c r="D4648" s="114"/>
      <c r="E4648" s="114"/>
      <c r="F4648" s="54"/>
      <c r="G4648" s="54"/>
      <c r="I4648" s="54"/>
      <c r="K4648" s="54"/>
      <c r="M4648" s="114"/>
      <c r="N4648" s="1"/>
      <c r="O4648" s="1"/>
      <c r="P4648" s="51"/>
    </row>
    <row r="4649">
      <c r="A4649" s="54"/>
      <c r="B4649" s="71"/>
      <c r="C4649" s="51"/>
      <c r="D4649" s="114"/>
      <c r="E4649" s="114"/>
      <c r="F4649" s="54"/>
      <c r="G4649" s="54"/>
      <c r="I4649" s="54"/>
      <c r="K4649" s="54"/>
      <c r="M4649" s="114"/>
      <c r="N4649" s="1"/>
      <c r="O4649" s="1"/>
      <c r="P4649" s="51"/>
    </row>
    <row r="4650">
      <c r="A4650" s="54"/>
      <c r="B4650" s="71"/>
      <c r="C4650" s="51"/>
      <c r="D4650" s="114"/>
      <c r="E4650" s="114"/>
      <c r="F4650" s="54"/>
      <c r="G4650" s="54"/>
      <c r="I4650" s="54"/>
      <c r="K4650" s="54"/>
      <c r="M4650" s="114"/>
      <c r="N4650" s="1"/>
      <c r="O4650" s="1"/>
      <c r="P4650" s="51"/>
    </row>
    <row r="4651">
      <c r="A4651" s="54"/>
      <c r="B4651" s="71"/>
      <c r="C4651" s="51"/>
      <c r="D4651" s="114"/>
      <c r="E4651" s="114"/>
      <c r="F4651" s="54"/>
      <c r="G4651" s="54"/>
      <c r="I4651" s="54"/>
      <c r="K4651" s="54"/>
      <c r="M4651" s="114"/>
      <c r="N4651" s="1"/>
      <c r="O4651" s="1"/>
      <c r="P4651" s="51"/>
    </row>
    <row r="4652">
      <c r="A4652" s="54"/>
      <c r="B4652" s="71"/>
      <c r="C4652" s="51"/>
      <c r="D4652" s="114"/>
      <c r="E4652" s="114"/>
      <c r="F4652" s="54"/>
      <c r="G4652" s="54"/>
      <c r="I4652" s="54"/>
      <c r="K4652" s="54"/>
      <c r="M4652" s="114"/>
      <c r="N4652" s="1"/>
      <c r="O4652" s="1"/>
      <c r="P4652" s="51"/>
    </row>
    <row r="4653">
      <c r="A4653" s="54"/>
      <c r="B4653" s="71"/>
      <c r="C4653" s="51"/>
      <c r="D4653" s="114"/>
      <c r="E4653" s="114"/>
      <c r="F4653" s="54"/>
      <c r="G4653" s="54"/>
      <c r="I4653" s="54"/>
      <c r="K4653" s="54"/>
      <c r="M4653" s="114"/>
      <c r="N4653" s="1"/>
      <c r="O4653" s="1"/>
      <c r="P4653" s="51"/>
    </row>
    <row r="4654">
      <c r="A4654" s="54"/>
      <c r="B4654" s="71"/>
      <c r="C4654" s="51"/>
      <c r="D4654" s="114"/>
      <c r="E4654" s="114"/>
      <c r="F4654" s="54"/>
      <c r="G4654" s="54"/>
      <c r="I4654" s="54"/>
      <c r="K4654" s="54"/>
      <c r="M4654" s="114"/>
      <c r="N4654" s="1"/>
      <c r="O4654" s="1"/>
      <c r="P4654" s="51"/>
    </row>
    <row r="4655">
      <c r="A4655" s="54"/>
      <c r="B4655" s="71"/>
      <c r="C4655" s="51"/>
      <c r="D4655" s="114"/>
      <c r="E4655" s="114"/>
      <c r="F4655" s="54"/>
      <c r="G4655" s="54"/>
      <c r="I4655" s="54"/>
      <c r="K4655" s="54"/>
      <c r="M4655" s="114"/>
      <c r="N4655" s="1"/>
      <c r="O4655" s="1"/>
      <c r="P4655" s="51"/>
    </row>
    <row r="4656">
      <c r="A4656" s="54"/>
      <c r="B4656" s="71"/>
      <c r="C4656" s="51"/>
      <c r="D4656" s="114"/>
      <c r="E4656" s="114"/>
      <c r="F4656" s="54"/>
      <c r="G4656" s="54"/>
      <c r="I4656" s="54"/>
      <c r="K4656" s="54"/>
      <c r="M4656" s="114"/>
      <c r="N4656" s="1"/>
      <c r="O4656" s="1"/>
      <c r="P4656" s="51"/>
    </row>
    <row r="4657">
      <c r="A4657" s="54"/>
      <c r="B4657" s="71"/>
      <c r="C4657" s="51"/>
      <c r="D4657" s="114"/>
      <c r="E4657" s="114"/>
      <c r="F4657" s="54"/>
      <c r="G4657" s="54"/>
      <c r="I4657" s="54"/>
      <c r="K4657" s="54"/>
      <c r="M4657" s="114"/>
      <c r="N4657" s="1"/>
      <c r="O4657" s="1"/>
      <c r="P4657" s="51"/>
    </row>
    <row r="4658">
      <c r="A4658" s="54"/>
      <c r="B4658" s="71"/>
      <c r="C4658" s="51"/>
      <c r="D4658" s="114"/>
      <c r="E4658" s="114"/>
      <c r="F4658" s="54"/>
      <c r="G4658" s="54"/>
      <c r="I4658" s="54"/>
      <c r="K4658" s="54"/>
      <c r="M4658" s="114"/>
      <c r="N4658" s="1"/>
      <c r="O4658" s="1"/>
      <c r="P4658" s="51"/>
    </row>
    <row r="4659">
      <c r="A4659" s="54"/>
      <c r="B4659" s="71"/>
      <c r="C4659" s="51"/>
      <c r="D4659" s="114"/>
      <c r="E4659" s="114"/>
      <c r="F4659" s="54"/>
      <c r="G4659" s="54"/>
      <c r="I4659" s="54"/>
      <c r="K4659" s="54"/>
      <c r="M4659" s="114"/>
      <c r="N4659" s="1"/>
      <c r="O4659" s="1"/>
      <c r="P4659" s="51"/>
    </row>
    <row r="4660">
      <c r="A4660" s="54"/>
      <c r="B4660" s="71"/>
      <c r="C4660" s="51"/>
      <c r="D4660" s="114"/>
      <c r="E4660" s="114"/>
      <c r="F4660" s="54"/>
      <c r="G4660" s="54"/>
      <c r="I4660" s="54"/>
      <c r="K4660" s="54"/>
      <c r="M4660" s="114"/>
      <c r="N4660" s="1"/>
      <c r="O4660" s="1"/>
      <c r="P4660" s="51"/>
    </row>
    <row r="4661">
      <c r="A4661" s="54"/>
      <c r="B4661" s="71"/>
      <c r="C4661" s="51"/>
      <c r="D4661" s="114"/>
      <c r="E4661" s="114"/>
      <c r="F4661" s="54"/>
      <c r="G4661" s="54"/>
      <c r="I4661" s="54"/>
      <c r="K4661" s="54"/>
      <c r="M4661" s="114"/>
      <c r="N4661" s="1"/>
      <c r="O4661" s="1"/>
      <c r="P4661" s="51"/>
    </row>
    <row r="4662">
      <c r="A4662" s="54"/>
      <c r="B4662" s="71"/>
      <c r="C4662" s="51"/>
      <c r="D4662" s="114"/>
      <c r="E4662" s="114"/>
      <c r="F4662" s="54"/>
      <c r="G4662" s="54"/>
      <c r="I4662" s="54"/>
      <c r="K4662" s="54"/>
      <c r="M4662" s="114"/>
      <c r="N4662" s="1"/>
      <c r="O4662" s="1"/>
      <c r="P4662" s="51"/>
    </row>
    <row r="4663">
      <c r="A4663" s="54"/>
      <c r="B4663" s="71"/>
      <c r="C4663" s="51"/>
      <c r="D4663" s="114"/>
      <c r="E4663" s="114"/>
      <c r="F4663" s="54"/>
      <c r="G4663" s="54"/>
      <c r="I4663" s="54"/>
      <c r="K4663" s="54"/>
      <c r="M4663" s="114"/>
      <c r="N4663" s="1"/>
      <c r="O4663" s="1"/>
      <c r="P4663" s="51"/>
    </row>
    <row r="4664">
      <c r="A4664" s="54"/>
      <c r="B4664" s="71"/>
      <c r="C4664" s="51"/>
      <c r="D4664" s="114"/>
      <c r="E4664" s="114"/>
      <c r="F4664" s="54"/>
      <c r="G4664" s="54"/>
      <c r="I4664" s="54"/>
      <c r="K4664" s="54"/>
      <c r="M4664" s="114"/>
      <c r="N4664" s="1"/>
      <c r="O4664" s="1"/>
      <c r="P4664" s="51"/>
    </row>
    <row r="4665">
      <c r="A4665" s="54"/>
      <c r="B4665" s="71"/>
      <c r="C4665" s="51"/>
      <c r="D4665" s="114"/>
      <c r="E4665" s="114"/>
      <c r="F4665" s="54"/>
      <c r="G4665" s="54"/>
      <c r="I4665" s="54"/>
      <c r="K4665" s="54"/>
      <c r="M4665" s="114"/>
      <c r="N4665" s="1"/>
      <c r="O4665" s="1"/>
      <c r="P4665" s="51"/>
    </row>
    <row r="4666">
      <c r="A4666" s="54"/>
      <c r="B4666" s="71"/>
      <c r="C4666" s="51"/>
      <c r="D4666" s="114"/>
      <c r="E4666" s="114"/>
      <c r="F4666" s="54"/>
      <c r="G4666" s="54"/>
      <c r="I4666" s="54"/>
      <c r="K4666" s="54"/>
      <c r="M4666" s="114"/>
      <c r="N4666" s="1"/>
      <c r="O4666" s="1"/>
      <c r="P4666" s="51"/>
    </row>
    <row r="4667">
      <c r="A4667" s="54"/>
      <c r="B4667" s="71"/>
      <c r="C4667" s="51"/>
      <c r="D4667" s="114"/>
      <c r="E4667" s="114"/>
      <c r="F4667" s="54"/>
      <c r="G4667" s="54"/>
      <c r="I4667" s="54"/>
      <c r="K4667" s="54"/>
      <c r="M4667" s="114"/>
      <c r="N4667" s="1"/>
      <c r="O4667" s="1"/>
      <c r="P4667" s="51"/>
    </row>
    <row r="4668">
      <c r="A4668" s="54"/>
      <c r="B4668" s="71"/>
      <c r="C4668" s="51"/>
      <c r="D4668" s="114"/>
      <c r="E4668" s="114"/>
      <c r="F4668" s="54"/>
      <c r="G4668" s="54"/>
      <c r="I4668" s="54"/>
      <c r="K4668" s="54"/>
      <c r="M4668" s="114"/>
      <c r="N4668" s="1"/>
      <c r="O4668" s="1"/>
      <c r="P4668" s="51"/>
    </row>
    <row r="4669">
      <c r="A4669" s="54"/>
      <c r="B4669" s="71"/>
      <c r="C4669" s="51"/>
      <c r="D4669" s="114"/>
      <c r="E4669" s="114"/>
      <c r="F4669" s="54"/>
      <c r="G4669" s="54"/>
      <c r="I4669" s="54"/>
      <c r="K4669" s="54"/>
      <c r="M4669" s="114"/>
      <c r="N4669" s="1"/>
      <c r="O4669" s="1"/>
      <c r="P4669" s="51"/>
    </row>
    <row r="4670">
      <c r="A4670" s="54"/>
      <c r="B4670" s="71"/>
      <c r="C4670" s="51"/>
      <c r="D4670" s="114"/>
      <c r="E4670" s="114"/>
      <c r="F4670" s="54"/>
      <c r="G4670" s="54"/>
      <c r="I4670" s="54"/>
      <c r="K4670" s="54"/>
      <c r="M4670" s="114"/>
      <c r="N4670" s="1"/>
      <c r="O4670" s="1"/>
      <c r="P4670" s="51"/>
    </row>
    <row r="4671">
      <c r="A4671" s="54"/>
      <c r="B4671" s="71"/>
      <c r="C4671" s="51"/>
      <c r="D4671" s="114"/>
      <c r="E4671" s="114"/>
      <c r="F4671" s="54"/>
      <c r="G4671" s="54"/>
      <c r="I4671" s="54"/>
      <c r="K4671" s="54"/>
      <c r="M4671" s="114"/>
      <c r="N4671" s="1"/>
      <c r="O4671" s="1"/>
      <c r="P4671" s="51"/>
    </row>
    <row r="4672">
      <c r="A4672" s="54"/>
      <c r="B4672" s="71"/>
      <c r="C4672" s="51"/>
      <c r="D4672" s="114"/>
      <c r="E4672" s="114"/>
      <c r="F4672" s="54"/>
      <c r="G4672" s="54"/>
      <c r="I4672" s="54"/>
      <c r="K4672" s="54"/>
      <c r="M4672" s="114"/>
      <c r="N4672" s="1"/>
      <c r="O4672" s="1"/>
      <c r="P4672" s="51"/>
    </row>
    <row r="4673">
      <c r="A4673" s="54"/>
      <c r="B4673" s="71"/>
      <c r="C4673" s="51"/>
      <c r="D4673" s="114"/>
      <c r="E4673" s="114"/>
      <c r="F4673" s="54"/>
      <c r="G4673" s="54"/>
      <c r="I4673" s="54"/>
      <c r="K4673" s="54"/>
      <c r="M4673" s="114"/>
      <c r="N4673" s="1"/>
      <c r="O4673" s="1"/>
      <c r="P4673" s="51"/>
    </row>
    <row r="4674">
      <c r="A4674" s="54"/>
      <c r="B4674" s="71"/>
      <c r="C4674" s="51"/>
      <c r="D4674" s="114"/>
      <c r="E4674" s="114"/>
      <c r="F4674" s="54"/>
      <c r="G4674" s="54"/>
      <c r="I4674" s="54"/>
      <c r="K4674" s="54"/>
      <c r="M4674" s="114"/>
      <c r="N4674" s="1"/>
      <c r="O4674" s="1"/>
      <c r="P4674" s="51"/>
    </row>
    <row r="4675">
      <c r="A4675" s="54"/>
      <c r="B4675" s="71"/>
      <c r="C4675" s="51"/>
      <c r="D4675" s="114"/>
      <c r="E4675" s="114"/>
      <c r="F4675" s="54"/>
      <c r="G4675" s="54"/>
      <c r="I4675" s="54"/>
      <c r="K4675" s="54"/>
      <c r="M4675" s="114"/>
      <c r="N4675" s="1"/>
      <c r="O4675" s="1"/>
      <c r="P4675" s="51"/>
    </row>
    <row r="4676">
      <c r="A4676" s="54"/>
      <c r="B4676" s="71"/>
      <c r="C4676" s="51"/>
      <c r="D4676" s="114"/>
      <c r="E4676" s="114"/>
      <c r="F4676" s="54"/>
      <c r="G4676" s="54"/>
      <c r="I4676" s="54"/>
      <c r="K4676" s="54"/>
      <c r="M4676" s="114"/>
      <c r="N4676" s="1"/>
      <c r="O4676" s="1"/>
      <c r="P4676" s="51"/>
    </row>
    <row r="4677">
      <c r="A4677" s="54"/>
      <c r="B4677" s="71"/>
      <c r="C4677" s="51"/>
      <c r="D4677" s="114"/>
      <c r="E4677" s="114"/>
      <c r="F4677" s="54"/>
      <c r="G4677" s="54"/>
      <c r="I4677" s="54"/>
      <c r="K4677" s="54"/>
      <c r="M4677" s="114"/>
      <c r="N4677" s="1"/>
      <c r="O4677" s="1"/>
      <c r="P4677" s="51"/>
    </row>
    <row r="4678">
      <c r="A4678" s="54"/>
      <c r="B4678" s="71"/>
      <c r="C4678" s="51"/>
      <c r="D4678" s="114"/>
      <c r="E4678" s="114"/>
      <c r="F4678" s="54"/>
      <c r="G4678" s="54"/>
      <c r="I4678" s="54"/>
      <c r="K4678" s="54"/>
      <c r="M4678" s="114"/>
      <c r="N4678" s="1"/>
      <c r="O4678" s="1"/>
      <c r="P4678" s="51"/>
    </row>
    <row r="4679">
      <c r="A4679" s="54"/>
      <c r="B4679" s="71"/>
      <c r="C4679" s="51"/>
      <c r="D4679" s="114"/>
      <c r="E4679" s="114"/>
      <c r="F4679" s="54"/>
      <c r="G4679" s="54"/>
      <c r="I4679" s="54"/>
      <c r="K4679" s="54"/>
      <c r="M4679" s="114"/>
      <c r="N4679" s="1"/>
      <c r="O4679" s="1"/>
      <c r="P4679" s="51"/>
    </row>
    <row r="4680">
      <c r="A4680" s="54"/>
      <c r="B4680" s="71"/>
      <c r="C4680" s="51"/>
      <c r="D4680" s="114"/>
      <c r="E4680" s="114"/>
      <c r="F4680" s="54"/>
      <c r="G4680" s="54"/>
      <c r="I4680" s="54"/>
      <c r="K4680" s="54"/>
      <c r="M4680" s="114"/>
      <c r="N4680" s="1"/>
      <c r="O4680" s="1"/>
      <c r="P4680" s="51"/>
    </row>
    <row r="4681">
      <c r="A4681" s="54"/>
      <c r="B4681" s="71"/>
      <c r="C4681" s="51"/>
      <c r="D4681" s="114"/>
      <c r="E4681" s="114"/>
      <c r="F4681" s="54"/>
      <c r="G4681" s="54"/>
      <c r="I4681" s="54"/>
      <c r="K4681" s="54"/>
      <c r="M4681" s="114"/>
      <c r="N4681" s="1"/>
      <c r="O4681" s="1"/>
      <c r="P4681" s="51"/>
    </row>
    <row r="4682">
      <c r="A4682" s="54"/>
      <c r="B4682" s="71"/>
      <c r="C4682" s="51"/>
      <c r="D4682" s="114"/>
      <c r="E4682" s="114"/>
      <c r="F4682" s="54"/>
      <c r="G4682" s="54"/>
      <c r="I4682" s="54"/>
      <c r="K4682" s="54"/>
      <c r="M4682" s="114"/>
      <c r="N4682" s="1"/>
      <c r="O4682" s="1"/>
      <c r="P4682" s="51"/>
    </row>
    <row r="4683">
      <c r="A4683" s="54"/>
      <c r="B4683" s="71"/>
      <c r="C4683" s="51"/>
      <c r="D4683" s="114"/>
      <c r="E4683" s="114"/>
      <c r="F4683" s="54"/>
      <c r="G4683" s="54"/>
      <c r="I4683" s="54"/>
      <c r="K4683" s="54"/>
      <c r="M4683" s="114"/>
      <c r="N4683" s="1"/>
      <c r="O4683" s="1"/>
      <c r="P4683" s="51"/>
    </row>
    <row r="4684">
      <c r="A4684" s="54"/>
      <c r="B4684" s="71"/>
      <c r="C4684" s="51"/>
      <c r="D4684" s="114"/>
      <c r="E4684" s="114"/>
      <c r="F4684" s="54"/>
      <c r="G4684" s="54"/>
      <c r="I4684" s="54"/>
      <c r="K4684" s="54"/>
      <c r="M4684" s="114"/>
      <c r="N4684" s="1"/>
      <c r="O4684" s="1"/>
      <c r="P4684" s="51"/>
    </row>
    <row r="4685">
      <c r="A4685" s="54"/>
      <c r="B4685" s="71"/>
      <c r="C4685" s="51"/>
      <c r="D4685" s="114"/>
      <c r="E4685" s="114"/>
      <c r="F4685" s="54"/>
      <c r="G4685" s="54"/>
      <c r="I4685" s="54"/>
      <c r="K4685" s="54"/>
      <c r="M4685" s="114"/>
      <c r="N4685" s="1"/>
      <c r="O4685" s="1"/>
      <c r="P4685" s="51"/>
    </row>
    <row r="4686">
      <c r="A4686" s="54"/>
      <c r="B4686" s="71"/>
      <c r="C4686" s="51"/>
      <c r="D4686" s="114"/>
      <c r="E4686" s="114"/>
      <c r="F4686" s="54"/>
      <c r="G4686" s="54"/>
      <c r="I4686" s="54"/>
      <c r="K4686" s="54"/>
      <c r="M4686" s="114"/>
      <c r="N4686" s="1"/>
      <c r="O4686" s="1"/>
      <c r="P4686" s="51"/>
    </row>
    <row r="4687">
      <c r="A4687" s="54"/>
      <c r="B4687" s="71"/>
      <c r="C4687" s="51"/>
      <c r="D4687" s="114"/>
      <c r="E4687" s="114"/>
      <c r="F4687" s="54"/>
      <c r="G4687" s="54"/>
      <c r="I4687" s="54"/>
      <c r="K4687" s="54"/>
      <c r="M4687" s="114"/>
      <c r="N4687" s="1"/>
      <c r="O4687" s="1"/>
      <c r="P4687" s="51"/>
    </row>
    <row r="4688">
      <c r="A4688" s="54"/>
      <c r="B4688" s="71"/>
      <c r="C4688" s="51"/>
      <c r="D4688" s="114"/>
      <c r="E4688" s="114"/>
      <c r="F4688" s="54"/>
      <c r="G4688" s="54"/>
      <c r="I4688" s="54"/>
      <c r="K4688" s="54"/>
      <c r="M4688" s="114"/>
      <c r="N4688" s="1"/>
      <c r="O4688" s="1"/>
      <c r="P4688" s="51"/>
    </row>
    <row r="4689">
      <c r="A4689" s="54"/>
      <c r="B4689" s="71"/>
      <c r="C4689" s="51"/>
      <c r="D4689" s="114"/>
      <c r="E4689" s="114"/>
      <c r="F4689" s="54"/>
      <c r="G4689" s="54"/>
      <c r="I4689" s="54"/>
      <c r="K4689" s="54"/>
      <c r="M4689" s="114"/>
      <c r="N4689" s="1"/>
      <c r="O4689" s="1"/>
      <c r="P4689" s="51"/>
    </row>
    <row r="4690">
      <c r="A4690" s="54"/>
      <c r="B4690" s="71"/>
      <c r="C4690" s="51"/>
      <c r="D4690" s="114"/>
      <c r="E4690" s="114"/>
      <c r="F4690" s="54"/>
      <c r="G4690" s="54"/>
      <c r="I4690" s="54"/>
      <c r="K4690" s="54"/>
      <c r="M4690" s="114"/>
      <c r="N4690" s="1"/>
      <c r="O4690" s="1"/>
      <c r="P4690" s="51"/>
    </row>
    <row r="4691">
      <c r="A4691" s="54"/>
      <c r="B4691" s="71"/>
      <c r="C4691" s="51"/>
      <c r="D4691" s="114"/>
      <c r="E4691" s="114"/>
      <c r="F4691" s="54"/>
      <c r="G4691" s="54"/>
      <c r="I4691" s="54"/>
      <c r="K4691" s="54"/>
      <c r="M4691" s="114"/>
      <c r="N4691" s="1"/>
      <c r="O4691" s="1"/>
      <c r="P4691" s="51"/>
    </row>
    <row r="4692">
      <c r="A4692" s="54"/>
      <c r="B4692" s="71"/>
      <c r="C4692" s="51"/>
      <c r="D4692" s="114"/>
      <c r="E4692" s="114"/>
      <c r="F4692" s="54"/>
      <c r="G4692" s="54"/>
      <c r="I4692" s="54"/>
      <c r="K4692" s="54"/>
      <c r="M4692" s="114"/>
      <c r="N4692" s="1"/>
      <c r="O4692" s="1"/>
      <c r="P4692" s="51"/>
    </row>
    <row r="4693">
      <c r="A4693" s="54"/>
      <c r="B4693" s="71"/>
      <c r="C4693" s="51"/>
      <c r="D4693" s="114"/>
      <c r="E4693" s="114"/>
      <c r="F4693" s="54"/>
      <c r="G4693" s="54"/>
      <c r="I4693" s="54"/>
      <c r="K4693" s="54"/>
      <c r="M4693" s="114"/>
      <c r="N4693" s="1"/>
      <c r="O4693" s="1"/>
      <c r="P4693" s="51"/>
    </row>
    <row r="4694">
      <c r="A4694" s="54"/>
      <c r="B4694" s="71"/>
      <c r="C4694" s="51"/>
      <c r="D4694" s="114"/>
      <c r="E4694" s="114"/>
      <c r="F4694" s="54"/>
      <c r="G4694" s="54"/>
      <c r="I4694" s="54"/>
      <c r="K4694" s="54"/>
      <c r="M4694" s="114"/>
      <c r="N4694" s="1"/>
      <c r="O4694" s="1"/>
      <c r="P4694" s="51"/>
    </row>
    <row r="4695">
      <c r="A4695" s="54"/>
      <c r="B4695" s="71"/>
      <c r="C4695" s="51"/>
      <c r="D4695" s="114"/>
      <c r="E4695" s="114"/>
      <c r="F4695" s="54"/>
      <c r="G4695" s="54"/>
      <c r="I4695" s="54"/>
      <c r="K4695" s="54"/>
      <c r="M4695" s="114"/>
      <c r="N4695" s="1"/>
      <c r="O4695" s="1"/>
      <c r="P4695" s="51"/>
    </row>
    <row r="4696">
      <c r="A4696" s="54"/>
      <c r="B4696" s="71"/>
      <c r="C4696" s="51"/>
      <c r="D4696" s="114"/>
      <c r="E4696" s="114"/>
      <c r="F4696" s="54"/>
      <c r="G4696" s="54"/>
      <c r="I4696" s="54"/>
      <c r="K4696" s="54"/>
      <c r="M4696" s="114"/>
      <c r="N4696" s="1"/>
      <c r="O4696" s="1"/>
      <c r="P4696" s="51"/>
    </row>
    <row r="4697">
      <c r="A4697" s="54"/>
      <c r="B4697" s="71"/>
      <c r="C4697" s="51"/>
      <c r="D4697" s="114"/>
      <c r="E4697" s="114"/>
      <c r="F4697" s="54"/>
      <c r="G4697" s="54"/>
      <c r="I4697" s="54"/>
      <c r="K4697" s="54"/>
      <c r="M4697" s="114"/>
      <c r="N4697" s="1"/>
      <c r="O4697" s="1"/>
      <c r="P4697" s="51"/>
    </row>
    <row r="4698">
      <c r="A4698" s="54"/>
      <c r="B4698" s="71"/>
      <c r="C4698" s="51"/>
      <c r="D4698" s="114"/>
      <c r="E4698" s="114"/>
      <c r="F4698" s="54"/>
      <c r="G4698" s="54"/>
      <c r="I4698" s="54"/>
      <c r="K4698" s="54"/>
      <c r="M4698" s="114"/>
      <c r="N4698" s="1"/>
      <c r="O4698" s="1"/>
      <c r="P4698" s="51"/>
    </row>
    <row r="4699">
      <c r="A4699" s="54"/>
      <c r="B4699" s="71"/>
      <c r="C4699" s="51"/>
      <c r="D4699" s="114"/>
      <c r="E4699" s="114"/>
      <c r="F4699" s="54"/>
      <c r="G4699" s="54"/>
      <c r="I4699" s="54"/>
      <c r="K4699" s="54"/>
      <c r="M4699" s="114"/>
      <c r="N4699" s="1"/>
      <c r="O4699" s="1"/>
      <c r="P4699" s="51"/>
    </row>
    <row r="4700">
      <c r="A4700" s="54"/>
      <c r="B4700" s="71"/>
      <c r="C4700" s="51"/>
      <c r="D4700" s="114"/>
      <c r="E4700" s="114"/>
      <c r="F4700" s="54"/>
      <c r="G4700" s="54"/>
      <c r="I4700" s="54"/>
      <c r="K4700" s="54"/>
      <c r="M4700" s="114"/>
      <c r="N4700" s="1"/>
      <c r="O4700" s="1"/>
      <c r="P4700" s="51"/>
    </row>
    <row r="4701">
      <c r="A4701" s="54"/>
      <c r="B4701" s="71"/>
      <c r="C4701" s="51"/>
      <c r="D4701" s="114"/>
      <c r="E4701" s="114"/>
      <c r="F4701" s="54"/>
      <c r="G4701" s="54"/>
      <c r="I4701" s="54"/>
      <c r="K4701" s="54"/>
      <c r="M4701" s="114"/>
      <c r="N4701" s="1"/>
      <c r="O4701" s="1"/>
      <c r="P4701" s="51"/>
    </row>
    <row r="4702">
      <c r="A4702" s="54"/>
      <c r="B4702" s="71"/>
      <c r="C4702" s="51"/>
      <c r="D4702" s="114"/>
      <c r="E4702" s="114"/>
      <c r="F4702" s="54"/>
      <c r="G4702" s="54"/>
      <c r="I4702" s="54"/>
      <c r="K4702" s="54"/>
      <c r="M4702" s="114"/>
      <c r="N4702" s="1"/>
      <c r="O4702" s="1"/>
      <c r="P4702" s="51"/>
    </row>
    <row r="4703">
      <c r="A4703" s="54"/>
      <c r="B4703" s="71"/>
      <c r="C4703" s="51"/>
      <c r="D4703" s="114"/>
      <c r="E4703" s="114"/>
      <c r="F4703" s="54"/>
      <c r="G4703" s="54"/>
      <c r="I4703" s="54"/>
      <c r="K4703" s="54"/>
      <c r="M4703" s="114"/>
      <c r="N4703" s="1"/>
      <c r="O4703" s="1"/>
      <c r="P4703" s="51"/>
    </row>
    <row r="4704">
      <c r="A4704" s="54"/>
      <c r="B4704" s="71"/>
      <c r="C4704" s="51"/>
      <c r="D4704" s="114"/>
      <c r="E4704" s="114"/>
      <c r="F4704" s="54"/>
      <c r="G4704" s="54"/>
      <c r="I4704" s="54"/>
      <c r="K4704" s="54"/>
      <c r="M4704" s="114"/>
      <c r="N4704" s="1"/>
      <c r="O4704" s="1"/>
      <c r="P4704" s="51"/>
    </row>
    <row r="4705">
      <c r="A4705" s="54"/>
      <c r="B4705" s="71"/>
      <c r="C4705" s="51"/>
      <c r="D4705" s="114"/>
      <c r="E4705" s="114"/>
      <c r="F4705" s="54"/>
      <c r="G4705" s="54"/>
      <c r="I4705" s="54"/>
      <c r="K4705" s="54"/>
      <c r="M4705" s="114"/>
      <c r="N4705" s="1"/>
      <c r="O4705" s="1"/>
      <c r="P4705" s="51"/>
    </row>
    <row r="4706">
      <c r="A4706" s="54"/>
      <c r="B4706" s="71"/>
      <c r="C4706" s="51"/>
      <c r="D4706" s="114"/>
      <c r="E4706" s="114"/>
      <c r="F4706" s="54"/>
      <c r="G4706" s="54"/>
      <c r="I4706" s="54"/>
      <c r="K4706" s="54"/>
      <c r="M4706" s="114"/>
      <c r="N4706" s="1"/>
      <c r="O4706" s="1"/>
      <c r="P4706" s="51"/>
    </row>
    <row r="4707">
      <c r="A4707" s="54"/>
      <c r="B4707" s="71"/>
      <c r="C4707" s="51"/>
      <c r="D4707" s="114"/>
      <c r="E4707" s="114"/>
      <c r="F4707" s="54"/>
      <c r="G4707" s="54"/>
      <c r="I4707" s="54"/>
      <c r="K4707" s="54"/>
      <c r="M4707" s="114"/>
      <c r="N4707" s="1"/>
      <c r="O4707" s="1"/>
      <c r="P4707" s="51"/>
    </row>
    <row r="4708">
      <c r="A4708" s="54"/>
      <c r="B4708" s="71"/>
      <c r="C4708" s="51"/>
      <c r="D4708" s="114"/>
      <c r="E4708" s="114"/>
      <c r="F4708" s="54"/>
      <c r="G4708" s="54"/>
      <c r="I4708" s="54"/>
      <c r="K4708" s="54"/>
      <c r="M4708" s="114"/>
      <c r="N4708" s="1"/>
      <c r="O4708" s="1"/>
      <c r="P4708" s="51"/>
    </row>
    <row r="4709">
      <c r="A4709" s="54"/>
      <c r="B4709" s="71"/>
      <c r="C4709" s="51"/>
      <c r="D4709" s="114"/>
      <c r="E4709" s="114"/>
      <c r="F4709" s="54"/>
      <c r="G4709" s="54"/>
      <c r="I4709" s="54"/>
      <c r="K4709" s="54"/>
      <c r="M4709" s="114"/>
      <c r="N4709" s="1"/>
      <c r="O4709" s="1"/>
      <c r="P4709" s="51"/>
    </row>
    <row r="4710">
      <c r="A4710" s="54"/>
      <c r="B4710" s="71"/>
      <c r="C4710" s="51"/>
      <c r="D4710" s="114"/>
      <c r="E4710" s="114"/>
      <c r="F4710" s="54"/>
      <c r="G4710" s="54"/>
      <c r="I4710" s="54"/>
      <c r="K4710" s="54"/>
      <c r="M4710" s="114"/>
      <c r="N4710" s="1"/>
      <c r="O4710" s="1"/>
      <c r="P4710" s="51"/>
    </row>
    <row r="4711">
      <c r="A4711" s="54"/>
      <c r="B4711" s="71"/>
      <c r="C4711" s="51"/>
      <c r="D4711" s="114"/>
      <c r="E4711" s="114"/>
      <c r="F4711" s="54"/>
      <c r="G4711" s="54"/>
      <c r="I4711" s="54"/>
      <c r="K4711" s="54"/>
      <c r="M4711" s="114"/>
      <c r="N4711" s="1"/>
      <c r="O4711" s="1"/>
      <c r="P4711" s="51"/>
    </row>
    <row r="4712">
      <c r="A4712" s="54"/>
      <c r="B4712" s="71"/>
      <c r="C4712" s="51"/>
      <c r="D4712" s="114"/>
      <c r="E4712" s="114"/>
      <c r="F4712" s="54"/>
      <c r="G4712" s="54"/>
      <c r="I4712" s="54"/>
      <c r="K4712" s="54"/>
      <c r="M4712" s="114"/>
      <c r="N4712" s="1"/>
      <c r="O4712" s="1"/>
      <c r="P4712" s="51"/>
    </row>
    <row r="4713">
      <c r="A4713" s="54"/>
      <c r="B4713" s="71"/>
      <c r="C4713" s="51"/>
      <c r="D4713" s="114"/>
      <c r="E4713" s="114"/>
      <c r="F4713" s="54"/>
      <c r="G4713" s="54"/>
      <c r="I4713" s="54"/>
      <c r="K4713" s="54"/>
      <c r="M4713" s="114"/>
      <c r="N4713" s="1"/>
      <c r="O4713" s="1"/>
      <c r="P4713" s="51"/>
    </row>
    <row r="4714">
      <c r="A4714" s="54"/>
      <c r="B4714" s="71"/>
      <c r="C4714" s="51"/>
      <c r="D4714" s="114"/>
      <c r="E4714" s="114"/>
      <c r="F4714" s="54"/>
      <c r="G4714" s="54"/>
      <c r="I4714" s="54"/>
      <c r="K4714" s="54"/>
      <c r="M4714" s="114"/>
      <c r="N4714" s="1"/>
      <c r="O4714" s="1"/>
      <c r="P4714" s="51"/>
    </row>
    <row r="4715">
      <c r="A4715" s="54"/>
      <c r="B4715" s="71"/>
      <c r="C4715" s="51"/>
      <c r="D4715" s="114"/>
      <c r="E4715" s="114"/>
      <c r="F4715" s="54"/>
      <c r="G4715" s="54"/>
      <c r="I4715" s="54"/>
      <c r="K4715" s="54"/>
      <c r="M4715" s="114"/>
      <c r="N4715" s="1"/>
      <c r="O4715" s="1"/>
      <c r="P4715" s="51"/>
    </row>
    <row r="4716">
      <c r="A4716" s="54"/>
      <c r="B4716" s="71"/>
      <c r="C4716" s="51"/>
      <c r="D4716" s="114"/>
      <c r="E4716" s="114"/>
      <c r="F4716" s="54"/>
      <c r="G4716" s="54"/>
      <c r="I4716" s="54"/>
      <c r="K4716" s="54"/>
      <c r="M4716" s="114"/>
      <c r="N4716" s="1"/>
      <c r="O4716" s="1"/>
      <c r="P4716" s="51"/>
    </row>
    <row r="4717">
      <c r="A4717" s="54"/>
      <c r="B4717" s="71"/>
      <c r="C4717" s="51"/>
      <c r="D4717" s="114"/>
      <c r="E4717" s="114"/>
      <c r="F4717" s="54"/>
      <c r="G4717" s="54"/>
      <c r="I4717" s="54"/>
      <c r="K4717" s="54"/>
      <c r="M4717" s="114"/>
      <c r="N4717" s="1"/>
      <c r="O4717" s="1"/>
      <c r="P4717" s="51"/>
    </row>
    <row r="4718">
      <c r="A4718" s="54"/>
      <c r="B4718" s="71"/>
      <c r="C4718" s="51"/>
      <c r="D4718" s="114"/>
      <c r="E4718" s="114"/>
      <c r="F4718" s="54"/>
      <c r="G4718" s="54"/>
      <c r="I4718" s="54"/>
      <c r="K4718" s="54"/>
      <c r="M4718" s="114"/>
      <c r="N4718" s="1"/>
      <c r="O4718" s="1"/>
      <c r="P4718" s="51"/>
    </row>
    <row r="4719">
      <c r="A4719" s="54"/>
      <c r="B4719" s="71"/>
      <c r="C4719" s="51"/>
      <c r="D4719" s="114"/>
      <c r="E4719" s="114"/>
      <c r="F4719" s="54"/>
      <c r="G4719" s="54"/>
      <c r="I4719" s="54"/>
      <c r="K4719" s="54"/>
      <c r="M4719" s="114"/>
      <c r="N4719" s="1"/>
      <c r="O4719" s="1"/>
      <c r="P4719" s="51"/>
    </row>
    <row r="4720">
      <c r="A4720" s="54"/>
      <c r="B4720" s="71"/>
      <c r="C4720" s="51"/>
      <c r="D4720" s="114"/>
      <c r="E4720" s="114"/>
      <c r="F4720" s="54"/>
      <c r="G4720" s="54"/>
      <c r="I4720" s="54"/>
      <c r="K4720" s="54"/>
      <c r="M4720" s="114"/>
      <c r="N4720" s="1"/>
      <c r="O4720" s="1"/>
      <c r="P4720" s="51"/>
    </row>
    <row r="4721">
      <c r="A4721" s="54"/>
      <c r="B4721" s="71"/>
      <c r="C4721" s="51"/>
      <c r="D4721" s="114"/>
      <c r="E4721" s="114"/>
      <c r="F4721" s="54"/>
      <c r="G4721" s="54"/>
      <c r="I4721" s="54"/>
      <c r="K4721" s="54"/>
      <c r="M4721" s="114"/>
      <c r="N4721" s="1"/>
      <c r="O4721" s="1"/>
      <c r="P4721" s="51"/>
    </row>
    <row r="4722">
      <c r="A4722" s="54"/>
      <c r="B4722" s="71"/>
      <c r="C4722" s="51"/>
      <c r="D4722" s="114"/>
      <c r="E4722" s="114"/>
      <c r="F4722" s="54"/>
      <c r="G4722" s="54"/>
      <c r="I4722" s="54"/>
      <c r="K4722" s="54"/>
      <c r="M4722" s="114"/>
      <c r="N4722" s="1"/>
      <c r="O4722" s="1"/>
      <c r="P4722" s="51"/>
    </row>
    <row r="4723">
      <c r="A4723" s="54"/>
      <c r="B4723" s="71"/>
      <c r="C4723" s="51"/>
      <c r="D4723" s="114"/>
      <c r="E4723" s="114"/>
      <c r="F4723" s="54"/>
      <c r="G4723" s="54"/>
      <c r="I4723" s="54"/>
      <c r="K4723" s="54"/>
      <c r="M4723" s="114"/>
      <c r="N4723" s="1"/>
      <c r="O4723" s="1"/>
      <c r="P4723" s="51"/>
    </row>
    <row r="4724">
      <c r="A4724" s="54"/>
      <c r="B4724" s="71"/>
      <c r="C4724" s="51"/>
      <c r="D4724" s="114"/>
      <c r="E4724" s="114"/>
      <c r="F4724" s="54"/>
      <c r="G4724" s="54"/>
      <c r="I4724" s="54"/>
      <c r="K4724" s="54"/>
      <c r="M4724" s="114"/>
      <c r="N4724" s="1"/>
      <c r="O4724" s="1"/>
      <c r="P4724" s="51"/>
    </row>
    <row r="4725">
      <c r="A4725" s="54"/>
      <c r="B4725" s="71"/>
      <c r="C4725" s="51"/>
      <c r="D4725" s="114"/>
      <c r="E4725" s="114"/>
      <c r="F4725" s="54"/>
      <c r="G4725" s="54"/>
      <c r="I4725" s="54"/>
      <c r="K4725" s="54"/>
      <c r="M4725" s="114"/>
      <c r="N4725" s="1"/>
      <c r="O4725" s="1"/>
      <c r="P4725" s="51"/>
    </row>
    <row r="4726">
      <c r="A4726" s="54"/>
      <c r="B4726" s="71"/>
      <c r="C4726" s="51"/>
      <c r="D4726" s="114"/>
      <c r="E4726" s="114"/>
      <c r="F4726" s="54"/>
      <c r="G4726" s="54"/>
      <c r="I4726" s="54"/>
      <c r="K4726" s="54"/>
      <c r="M4726" s="114"/>
      <c r="N4726" s="1"/>
      <c r="O4726" s="1"/>
      <c r="P4726" s="51"/>
    </row>
    <row r="4727">
      <c r="A4727" s="54"/>
      <c r="B4727" s="71"/>
      <c r="C4727" s="51"/>
      <c r="D4727" s="114"/>
      <c r="E4727" s="114"/>
      <c r="F4727" s="54"/>
      <c r="G4727" s="54"/>
      <c r="I4727" s="54"/>
      <c r="K4727" s="54"/>
      <c r="M4727" s="114"/>
      <c r="N4727" s="1"/>
      <c r="O4727" s="1"/>
      <c r="P4727" s="51"/>
    </row>
    <row r="4728">
      <c r="A4728" s="54"/>
      <c r="B4728" s="71"/>
      <c r="C4728" s="51"/>
      <c r="D4728" s="114"/>
      <c r="E4728" s="114"/>
      <c r="F4728" s="54"/>
      <c r="G4728" s="54"/>
      <c r="I4728" s="54"/>
      <c r="K4728" s="54"/>
      <c r="M4728" s="114"/>
      <c r="N4728" s="1"/>
      <c r="O4728" s="1"/>
      <c r="P4728" s="51"/>
    </row>
    <row r="4729">
      <c r="A4729" s="54"/>
      <c r="B4729" s="71"/>
      <c r="C4729" s="51"/>
      <c r="D4729" s="114"/>
      <c r="E4729" s="114"/>
      <c r="F4729" s="54"/>
      <c r="G4729" s="54"/>
      <c r="I4729" s="54"/>
      <c r="K4729" s="54"/>
      <c r="M4729" s="114"/>
      <c r="N4729" s="1"/>
      <c r="O4729" s="1"/>
      <c r="P4729" s="51"/>
    </row>
    <row r="4730">
      <c r="A4730" s="54"/>
      <c r="B4730" s="71"/>
      <c r="C4730" s="51"/>
      <c r="D4730" s="114"/>
      <c r="E4730" s="114"/>
      <c r="F4730" s="54"/>
      <c r="G4730" s="54"/>
      <c r="I4730" s="54"/>
      <c r="K4730" s="54"/>
      <c r="M4730" s="114"/>
      <c r="N4730" s="1"/>
      <c r="O4730" s="1"/>
      <c r="P4730" s="51"/>
    </row>
    <row r="4731">
      <c r="A4731" s="54"/>
      <c r="B4731" s="71"/>
      <c r="C4731" s="51"/>
      <c r="D4731" s="114"/>
      <c r="E4731" s="114"/>
      <c r="F4731" s="54"/>
      <c r="G4731" s="54"/>
      <c r="I4731" s="54"/>
      <c r="K4731" s="54"/>
      <c r="M4731" s="114"/>
      <c r="N4731" s="1"/>
      <c r="O4731" s="1"/>
      <c r="P4731" s="51"/>
    </row>
    <row r="4732">
      <c r="A4732" s="54"/>
      <c r="B4732" s="71"/>
      <c r="C4732" s="51"/>
      <c r="D4732" s="114"/>
      <c r="E4732" s="114"/>
      <c r="F4732" s="54"/>
      <c r="G4732" s="54"/>
      <c r="I4732" s="54"/>
      <c r="K4732" s="54"/>
      <c r="M4732" s="114"/>
      <c r="N4732" s="1"/>
      <c r="O4732" s="1"/>
      <c r="P4732" s="51"/>
    </row>
    <row r="4733">
      <c r="A4733" s="54"/>
      <c r="B4733" s="71"/>
      <c r="C4733" s="51"/>
      <c r="D4733" s="114"/>
      <c r="E4733" s="114"/>
      <c r="F4733" s="54"/>
      <c r="G4733" s="54"/>
      <c r="I4733" s="54"/>
      <c r="K4733" s="54"/>
      <c r="M4733" s="114"/>
      <c r="N4733" s="1"/>
      <c r="O4733" s="1"/>
      <c r="P4733" s="51"/>
    </row>
    <row r="4734">
      <c r="A4734" s="54"/>
      <c r="B4734" s="71"/>
      <c r="C4734" s="51"/>
      <c r="D4734" s="114"/>
      <c r="E4734" s="114"/>
      <c r="F4734" s="54"/>
      <c r="G4734" s="54"/>
      <c r="I4734" s="54"/>
      <c r="K4734" s="54"/>
      <c r="M4734" s="114"/>
      <c r="N4734" s="1"/>
      <c r="O4734" s="1"/>
      <c r="P4734" s="51"/>
    </row>
    <row r="4735">
      <c r="A4735" s="54"/>
      <c r="B4735" s="71"/>
      <c r="C4735" s="51"/>
      <c r="D4735" s="114"/>
      <c r="E4735" s="114"/>
      <c r="F4735" s="54"/>
      <c r="G4735" s="54"/>
      <c r="I4735" s="54"/>
      <c r="K4735" s="54"/>
      <c r="M4735" s="114"/>
      <c r="N4735" s="1"/>
      <c r="O4735" s="1"/>
      <c r="P4735" s="51"/>
    </row>
    <row r="4736">
      <c r="A4736" s="54"/>
      <c r="B4736" s="71"/>
      <c r="C4736" s="51"/>
      <c r="D4736" s="114"/>
      <c r="E4736" s="114"/>
      <c r="F4736" s="54"/>
      <c r="G4736" s="54"/>
      <c r="I4736" s="54"/>
      <c r="K4736" s="54"/>
      <c r="M4736" s="114"/>
      <c r="N4736" s="1"/>
      <c r="O4736" s="1"/>
      <c r="P4736" s="51"/>
    </row>
    <row r="4737">
      <c r="A4737" s="54"/>
      <c r="B4737" s="71"/>
      <c r="C4737" s="51"/>
      <c r="D4737" s="114"/>
      <c r="E4737" s="114"/>
      <c r="F4737" s="54"/>
      <c r="G4737" s="54"/>
      <c r="I4737" s="54"/>
      <c r="K4737" s="54"/>
      <c r="M4737" s="114"/>
      <c r="N4737" s="1"/>
      <c r="O4737" s="1"/>
      <c r="P4737" s="51"/>
    </row>
    <row r="4738">
      <c r="A4738" s="54"/>
      <c r="B4738" s="71"/>
      <c r="C4738" s="51"/>
      <c r="D4738" s="114"/>
      <c r="E4738" s="114"/>
      <c r="F4738" s="54"/>
      <c r="G4738" s="54"/>
      <c r="I4738" s="54"/>
      <c r="K4738" s="54"/>
      <c r="M4738" s="114"/>
      <c r="N4738" s="1"/>
      <c r="O4738" s="1"/>
      <c r="P4738" s="51"/>
    </row>
    <row r="4739">
      <c r="A4739" s="54"/>
      <c r="B4739" s="71"/>
      <c r="C4739" s="51"/>
      <c r="D4739" s="114"/>
      <c r="E4739" s="114"/>
      <c r="F4739" s="54"/>
      <c r="G4739" s="54"/>
      <c r="I4739" s="54"/>
      <c r="K4739" s="54"/>
      <c r="M4739" s="114"/>
      <c r="N4739" s="1"/>
      <c r="O4739" s="1"/>
      <c r="P4739" s="51"/>
    </row>
    <row r="4740">
      <c r="A4740" s="54"/>
      <c r="B4740" s="71"/>
      <c r="C4740" s="51"/>
      <c r="D4740" s="114"/>
      <c r="E4740" s="114"/>
      <c r="F4740" s="54"/>
      <c r="G4740" s="54"/>
      <c r="I4740" s="54"/>
      <c r="K4740" s="54"/>
      <c r="M4740" s="114"/>
      <c r="N4740" s="1"/>
      <c r="O4740" s="1"/>
      <c r="P4740" s="51"/>
    </row>
    <row r="4741">
      <c r="A4741" s="54"/>
      <c r="B4741" s="71"/>
      <c r="C4741" s="51"/>
      <c r="D4741" s="114"/>
      <c r="E4741" s="114"/>
      <c r="F4741" s="54"/>
      <c r="G4741" s="54"/>
      <c r="I4741" s="54"/>
      <c r="K4741" s="54"/>
      <c r="M4741" s="114"/>
      <c r="N4741" s="1"/>
      <c r="O4741" s="1"/>
      <c r="P4741" s="51"/>
    </row>
    <row r="4742">
      <c r="A4742" s="54"/>
      <c r="B4742" s="71"/>
      <c r="C4742" s="51"/>
      <c r="D4742" s="114"/>
      <c r="E4742" s="114"/>
      <c r="F4742" s="54"/>
      <c r="G4742" s="54"/>
      <c r="I4742" s="54"/>
      <c r="K4742" s="54"/>
      <c r="M4742" s="114"/>
      <c r="N4742" s="1"/>
      <c r="O4742" s="1"/>
      <c r="P4742" s="51"/>
    </row>
    <row r="4743">
      <c r="A4743" s="54"/>
      <c r="B4743" s="71"/>
      <c r="C4743" s="51"/>
      <c r="D4743" s="114"/>
      <c r="E4743" s="114"/>
      <c r="F4743" s="54"/>
      <c r="G4743" s="54"/>
      <c r="I4743" s="54"/>
      <c r="K4743" s="54"/>
      <c r="M4743" s="114"/>
      <c r="N4743" s="1"/>
      <c r="O4743" s="1"/>
      <c r="P4743" s="51"/>
    </row>
    <row r="4744">
      <c r="A4744" s="54"/>
      <c r="B4744" s="71"/>
      <c r="C4744" s="51"/>
      <c r="D4744" s="114"/>
      <c r="E4744" s="114"/>
      <c r="F4744" s="54"/>
      <c r="G4744" s="54"/>
      <c r="I4744" s="54"/>
      <c r="K4744" s="54"/>
      <c r="M4744" s="114"/>
      <c r="N4744" s="1"/>
      <c r="O4744" s="1"/>
      <c r="P4744" s="51"/>
    </row>
    <row r="4745">
      <c r="A4745" s="54"/>
      <c r="B4745" s="71"/>
      <c r="C4745" s="51"/>
      <c r="D4745" s="114"/>
      <c r="E4745" s="114"/>
      <c r="F4745" s="54"/>
      <c r="G4745" s="54"/>
      <c r="I4745" s="54"/>
      <c r="K4745" s="54"/>
      <c r="M4745" s="114"/>
      <c r="N4745" s="1"/>
      <c r="O4745" s="1"/>
      <c r="P4745" s="51"/>
    </row>
    <row r="4746">
      <c r="A4746" s="54"/>
      <c r="B4746" s="71"/>
      <c r="C4746" s="51"/>
      <c r="D4746" s="114"/>
      <c r="E4746" s="114"/>
      <c r="F4746" s="54"/>
      <c r="G4746" s="54"/>
      <c r="I4746" s="54"/>
      <c r="K4746" s="54"/>
      <c r="M4746" s="114"/>
      <c r="N4746" s="1"/>
      <c r="O4746" s="1"/>
      <c r="P4746" s="51"/>
    </row>
    <row r="4747">
      <c r="A4747" s="54"/>
      <c r="B4747" s="71"/>
      <c r="C4747" s="51"/>
      <c r="D4747" s="114"/>
      <c r="E4747" s="114"/>
      <c r="F4747" s="54"/>
      <c r="G4747" s="54"/>
      <c r="I4747" s="54"/>
      <c r="K4747" s="54"/>
      <c r="M4747" s="114"/>
      <c r="N4747" s="1"/>
      <c r="O4747" s="1"/>
      <c r="P4747" s="51"/>
    </row>
    <row r="4748">
      <c r="A4748" s="54"/>
      <c r="B4748" s="71"/>
      <c r="C4748" s="51"/>
      <c r="D4748" s="114"/>
      <c r="E4748" s="114"/>
      <c r="F4748" s="54"/>
      <c r="G4748" s="54"/>
      <c r="I4748" s="54"/>
      <c r="K4748" s="54"/>
      <c r="M4748" s="114"/>
      <c r="N4748" s="1"/>
      <c r="O4748" s="1"/>
      <c r="P4748" s="51"/>
    </row>
    <row r="4749">
      <c r="A4749" s="54"/>
      <c r="B4749" s="71"/>
      <c r="C4749" s="51"/>
      <c r="D4749" s="114"/>
      <c r="E4749" s="114"/>
      <c r="F4749" s="54"/>
      <c r="G4749" s="54"/>
      <c r="I4749" s="54"/>
      <c r="K4749" s="54"/>
      <c r="M4749" s="114"/>
      <c r="N4749" s="1"/>
      <c r="O4749" s="1"/>
      <c r="P4749" s="51"/>
    </row>
    <row r="4750">
      <c r="A4750" s="54"/>
      <c r="B4750" s="71"/>
      <c r="C4750" s="51"/>
      <c r="D4750" s="114"/>
      <c r="E4750" s="114"/>
      <c r="F4750" s="54"/>
      <c r="G4750" s="54"/>
      <c r="I4750" s="54"/>
      <c r="K4750" s="54"/>
      <c r="M4750" s="114"/>
      <c r="N4750" s="1"/>
      <c r="O4750" s="1"/>
      <c r="P4750" s="51"/>
    </row>
    <row r="4751">
      <c r="A4751" s="54"/>
      <c r="B4751" s="71"/>
      <c r="C4751" s="51"/>
      <c r="D4751" s="114"/>
      <c r="E4751" s="114"/>
      <c r="F4751" s="54"/>
      <c r="G4751" s="54"/>
      <c r="I4751" s="54"/>
      <c r="K4751" s="54"/>
      <c r="M4751" s="114"/>
      <c r="N4751" s="1"/>
      <c r="O4751" s="1"/>
      <c r="P4751" s="51"/>
    </row>
    <row r="4752">
      <c r="A4752" s="54"/>
      <c r="B4752" s="71"/>
      <c r="C4752" s="51"/>
      <c r="D4752" s="114"/>
      <c r="E4752" s="114"/>
      <c r="F4752" s="54"/>
      <c r="G4752" s="54"/>
      <c r="I4752" s="54"/>
      <c r="K4752" s="54"/>
      <c r="M4752" s="114"/>
      <c r="N4752" s="1"/>
      <c r="O4752" s="1"/>
      <c r="P4752" s="51"/>
    </row>
    <row r="4753">
      <c r="A4753" s="54"/>
      <c r="B4753" s="71"/>
      <c r="C4753" s="51"/>
      <c r="D4753" s="114"/>
      <c r="E4753" s="114"/>
      <c r="F4753" s="54"/>
      <c r="G4753" s="54"/>
      <c r="I4753" s="54"/>
      <c r="K4753" s="54"/>
      <c r="M4753" s="114"/>
      <c r="N4753" s="1"/>
      <c r="O4753" s="1"/>
      <c r="P4753" s="51"/>
    </row>
    <row r="4754">
      <c r="A4754" s="54"/>
      <c r="B4754" s="71"/>
      <c r="C4754" s="51"/>
      <c r="D4754" s="114"/>
      <c r="E4754" s="114"/>
      <c r="F4754" s="54"/>
      <c r="G4754" s="54"/>
      <c r="I4754" s="54"/>
      <c r="K4754" s="54"/>
      <c r="M4754" s="114"/>
      <c r="N4754" s="1"/>
      <c r="O4754" s="1"/>
      <c r="P4754" s="51"/>
    </row>
    <row r="4755">
      <c r="A4755" s="54"/>
      <c r="B4755" s="71"/>
      <c r="C4755" s="51"/>
      <c r="D4755" s="114"/>
      <c r="E4755" s="114"/>
      <c r="F4755" s="54"/>
      <c r="G4755" s="54"/>
      <c r="I4755" s="54"/>
      <c r="K4755" s="54"/>
      <c r="M4755" s="114"/>
      <c r="N4755" s="1"/>
      <c r="O4755" s="1"/>
      <c r="P4755" s="51"/>
    </row>
    <row r="4756">
      <c r="A4756" s="54"/>
      <c r="B4756" s="71"/>
      <c r="C4756" s="51"/>
      <c r="D4756" s="114"/>
      <c r="E4756" s="114"/>
      <c r="F4756" s="54"/>
      <c r="G4756" s="54"/>
      <c r="I4756" s="54"/>
      <c r="K4756" s="54"/>
      <c r="M4756" s="114"/>
      <c r="N4756" s="1"/>
      <c r="O4756" s="1"/>
      <c r="P4756" s="51"/>
    </row>
    <row r="4757">
      <c r="A4757" s="54"/>
      <c r="B4757" s="71"/>
      <c r="C4757" s="51"/>
      <c r="D4757" s="114"/>
      <c r="E4757" s="114"/>
      <c r="F4757" s="54"/>
      <c r="G4757" s="54"/>
      <c r="I4757" s="54"/>
      <c r="K4757" s="54"/>
      <c r="M4757" s="114"/>
      <c r="N4757" s="1"/>
      <c r="O4757" s="1"/>
      <c r="P4757" s="51"/>
    </row>
    <row r="4758">
      <c r="A4758" s="54"/>
      <c r="B4758" s="71"/>
      <c r="C4758" s="51"/>
      <c r="D4758" s="114"/>
      <c r="E4758" s="114"/>
      <c r="F4758" s="54"/>
      <c r="G4758" s="54"/>
      <c r="I4758" s="54"/>
      <c r="K4758" s="54"/>
      <c r="M4758" s="114"/>
      <c r="N4758" s="1"/>
      <c r="O4758" s="1"/>
      <c r="P4758" s="51"/>
    </row>
    <row r="4759">
      <c r="A4759" s="54"/>
      <c r="B4759" s="71"/>
      <c r="C4759" s="51"/>
      <c r="D4759" s="114"/>
      <c r="E4759" s="114"/>
      <c r="F4759" s="54"/>
      <c r="G4759" s="54"/>
      <c r="I4759" s="54"/>
      <c r="K4759" s="54"/>
      <c r="M4759" s="114"/>
      <c r="N4759" s="1"/>
      <c r="O4759" s="1"/>
      <c r="P4759" s="51"/>
    </row>
    <row r="4760">
      <c r="A4760" s="54"/>
      <c r="B4760" s="71"/>
      <c r="C4760" s="51"/>
      <c r="D4760" s="114"/>
      <c r="E4760" s="114"/>
      <c r="F4760" s="54"/>
      <c r="G4760" s="54"/>
      <c r="I4760" s="54"/>
      <c r="K4760" s="54"/>
      <c r="M4760" s="114"/>
      <c r="N4760" s="1"/>
      <c r="O4760" s="1"/>
      <c r="P4760" s="51"/>
    </row>
    <row r="4761">
      <c r="A4761" s="54"/>
      <c r="B4761" s="71"/>
      <c r="C4761" s="51"/>
      <c r="D4761" s="114"/>
      <c r="E4761" s="114"/>
      <c r="F4761" s="54"/>
      <c r="G4761" s="54"/>
      <c r="I4761" s="54"/>
      <c r="K4761" s="54"/>
      <c r="M4761" s="114"/>
      <c r="N4761" s="1"/>
      <c r="O4761" s="1"/>
      <c r="P4761" s="51"/>
    </row>
    <row r="4762">
      <c r="A4762" s="54"/>
      <c r="B4762" s="71"/>
      <c r="C4762" s="51"/>
      <c r="D4762" s="114"/>
      <c r="E4762" s="114"/>
      <c r="F4762" s="54"/>
      <c r="G4762" s="54"/>
      <c r="I4762" s="54"/>
      <c r="K4762" s="54"/>
      <c r="M4762" s="114"/>
      <c r="N4762" s="1"/>
      <c r="O4762" s="1"/>
      <c r="P4762" s="51"/>
    </row>
    <row r="4763">
      <c r="A4763" s="54"/>
      <c r="B4763" s="71"/>
      <c r="C4763" s="51"/>
      <c r="D4763" s="114"/>
      <c r="E4763" s="114"/>
      <c r="F4763" s="54"/>
      <c r="G4763" s="54"/>
      <c r="I4763" s="54"/>
      <c r="K4763" s="54"/>
      <c r="M4763" s="114"/>
      <c r="N4763" s="1"/>
      <c r="O4763" s="1"/>
      <c r="P4763" s="51"/>
    </row>
    <row r="4764">
      <c r="A4764" s="54"/>
      <c r="B4764" s="71"/>
      <c r="C4764" s="51"/>
      <c r="D4764" s="114"/>
      <c r="E4764" s="114"/>
      <c r="F4764" s="54"/>
      <c r="G4764" s="54"/>
      <c r="I4764" s="54"/>
      <c r="K4764" s="54"/>
      <c r="M4764" s="114"/>
      <c r="N4764" s="1"/>
      <c r="O4764" s="1"/>
      <c r="P4764" s="51"/>
    </row>
    <row r="4765">
      <c r="A4765" s="54"/>
      <c r="B4765" s="71"/>
      <c r="C4765" s="51"/>
      <c r="D4765" s="114"/>
      <c r="E4765" s="114"/>
      <c r="F4765" s="54"/>
      <c r="G4765" s="54"/>
      <c r="I4765" s="54"/>
      <c r="K4765" s="54"/>
      <c r="M4765" s="114"/>
      <c r="N4765" s="1"/>
      <c r="O4765" s="1"/>
      <c r="P4765" s="51"/>
    </row>
    <row r="4766">
      <c r="A4766" s="54"/>
      <c r="B4766" s="71"/>
      <c r="C4766" s="51"/>
      <c r="D4766" s="114"/>
      <c r="E4766" s="114"/>
      <c r="F4766" s="54"/>
      <c r="G4766" s="54"/>
      <c r="I4766" s="54"/>
      <c r="K4766" s="54"/>
      <c r="M4766" s="114"/>
      <c r="N4766" s="1"/>
      <c r="O4766" s="1"/>
      <c r="P4766" s="51"/>
    </row>
    <row r="4767">
      <c r="A4767" s="54"/>
      <c r="B4767" s="71"/>
      <c r="C4767" s="51"/>
      <c r="D4767" s="114"/>
      <c r="E4767" s="114"/>
      <c r="F4767" s="54"/>
      <c r="G4767" s="54"/>
      <c r="I4767" s="54"/>
      <c r="K4767" s="54"/>
      <c r="M4767" s="114"/>
      <c r="N4767" s="1"/>
      <c r="O4767" s="1"/>
      <c r="P4767" s="51"/>
    </row>
    <row r="4768">
      <c r="A4768" s="54"/>
      <c r="B4768" s="71"/>
      <c r="C4768" s="51"/>
      <c r="D4768" s="114"/>
      <c r="E4768" s="114"/>
      <c r="F4768" s="54"/>
      <c r="G4768" s="54"/>
      <c r="I4768" s="54"/>
      <c r="K4768" s="54"/>
      <c r="M4768" s="114"/>
      <c r="N4768" s="1"/>
      <c r="O4768" s="1"/>
      <c r="P4768" s="51"/>
    </row>
    <row r="4769">
      <c r="A4769" s="54"/>
      <c r="B4769" s="71"/>
      <c r="C4769" s="51"/>
      <c r="D4769" s="114"/>
      <c r="E4769" s="114"/>
      <c r="F4769" s="54"/>
      <c r="G4769" s="54"/>
      <c r="I4769" s="54"/>
      <c r="K4769" s="54"/>
      <c r="M4769" s="114"/>
      <c r="N4769" s="1"/>
      <c r="O4769" s="1"/>
      <c r="P4769" s="51"/>
    </row>
    <row r="4770">
      <c r="A4770" s="54"/>
      <c r="B4770" s="71"/>
      <c r="C4770" s="51"/>
      <c r="D4770" s="114"/>
      <c r="E4770" s="114"/>
      <c r="F4770" s="54"/>
      <c r="G4770" s="54"/>
      <c r="I4770" s="54"/>
      <c r="K4770" s="54"/>
      <c r="M4770" s="114"/>
      <c r="N4770" s="1"/>
      <c r="O4770" s="1"/>
      <c r="P4770" s="51"/>
    </row>
    <row r="4771">
      <c r="A4771" s="54"/>
      <c r="B4771" s="71"/>
      <c r="C4771" s="51"/>
      <c r="D4771" s="114"/>
      <c r="E4771" s="114"/>
      <c r="F4771" s="54"/>
      <c r="G4771" s="54"/>
      <c r="I4771" s="54"/>
      <c r="K4771" s="54"/>
      <c r="M4771" s="114"/>
      <c r="N4771" s="1"/>
      <c r="O4771" s="1"/>
      <c r="P4771" s="51"/>
    </row>
    <row r="4772">
      <c r="A4772" s="54"/>
      <c r="B4772" s="71"/>
      <c r="C4772" s="51"/>
      <c r="D4772" s="114"/>
      <c r="E4772" s="114"/>
      <c r="F4772" s="54"/>
      <c r="G4772" s="54"/>
      <c r="I4772" s="54"/>
      <c r="K4772" s="54"/>
      <c r="M4772" s="114"/>
      <c r="N4772" s="1"/>
      <c r="O4772" s="1"/>
      <c r="P4772" s="51"/>
    </row>
    <row r="4773">
      <c r="A4773" s="54"/>
      <c r="B4773" s="71"/>
      <c r="C4773" s="51"/>
      <c r="D4773" s="114"/>
      <c r="E4773" s="114"/>
      <c r="F4773" s="54"/>
      <c r="G4773" s="54"/>
      <c r="I4773" s="54"/>
      <c r="K4773" s="54"/>
      <c r="M4773" s="114"/>
      <c r="N4773" s="1"/>
      <c r="O4773" s="1"/>
      <c r="P4773" s="51"/>
    </row>
    <row r="4774">
      <c r="A4774" s="54"/>
      <c r="B4774" s="71"/>
      <c r="C4774" s="51"/>
      <c r="D4774" s="114"/>
      <c r="E4774" s="114"/>
      <c r="F4774" s="54"/>
      <c r="G4774" s="54"/>
      <c r="I4774" s="54"/>
      <c r="K4774" s="54"/>
      <c r="M4774" s="114"/>
      <c r="N4774" s="1"/>
      <c r="O4774" s="1"/>
      <c r="P4774" s="51"/>
    </row>
    <row r="4775">
      <c r="A4775" s="54"/>
      <c r="B4775" s="71"/>
      <c r="C4775" s="51"/>
      <c r="D4775" s="114"/>
      <c r="E4775" s="114"/>
      <c r="F4775" s="54"/>
      <c r="G4775" s="54"/>
      <c r="I4775" s="54"/>
      <c r="K4775" s="54"/>
      <c r="M4775" s="114"/>
      <c r="N4775" s="1"/>
      <c r="O4775" s="1"/>
      <c r="P4775" s="51"/>
    </row>
    <row r="4776">
      <c r="A4776" s="54"/>
      <c r="B4776" s="71"/>
      <c r="C4776" s="51"/>
      <c r="D4776" s="114"/>
      <c r="E4776" s="114"/>
      <c r="F4776" s="54"/>
      <c r="G4776" s="54"/>
      <c r="I4776" s="54"/>
      <c r="K4776" s="54"/>
      <c r="M4776" s="114"/>
      <c r="N4776" s="1"/>
      <c r="O4776" s="1"/>
      <c r="P4776" s="51"/>
    </row>
    <row r="4777">
      <c r="A4777" s="54"/>
      <c r="B4777" s="71"/>
      <c r="C4777" s="51"/>
      <c r="D4777" s="114"/>
      <c r="E4777" s="114"/>
      <c r="F4777" s="54"/>
      <c r="G4777" s="54"/>
      <c r="I4777" s="54"/>
      <c r="K4777" s="54"/>
      <c r="M4777" s="114"/>
      <c r="N4777" s="1"/>
      <c r="O4777" s="1"/>
      <c r="P4777" s="51"/>
    </row>
    <row r="4778">
      <c r="A4778" s="54"/>
      <c r="B4778" s="71"/>
      <c r="C4778" s="51"/>
      <c r="D4778" s="114"/>
      <c r="E4778" s="114"/>
      <c r="F4778" s="54"/>
      <c r="G4778" s="54"/>
      <c r="I4778" s="54"/>
      <c r="K4778" s="54"/>
      <c r="M4778" s="114"/>
      <c r="N4778" s="1"/>
      <c r="O4778" s="1"/>
      <c r="P4778" s="51"/>
    </row>
    <row r="4779">
      <c r="A4779" s="54"/>
      <c r="B4779" s="71"/>
      <c r="C4779" s="51"/>
      <c r="D4779" s="114"/>
      <c r="E4779" s="114"/>
      <c r="F4779" s="54"/>
      <c r="G4779" s="54"/>
      <c r="I4779" s="54"/>
      <c r="K4779" s="54"/>
      <c r="M4779" s="114"/>
      <c r="N4779" s="1"/>
      <c r="O4779" s="1"/>
      <c r="P4779" s="51"/>
    </row>
    <row r="4780">
      <c r="A4780" s="54"/>
      <c r="B4780" s="71"/>
      <c r="C4780" s="51"/>
      <c r="D4780" s="114"/>
      <c r="E4780" s="114"/>
      <c r="F4780" s="54"/>
      <c r="G4780" s="54"/>
      <c r="I4780" s="54"/>
      <c r="K4780" s="54"/>
      <c r="M4780" s="114"/>
      <c r="N4780" s="1"/>
      <c r="O4780" s="1"/>
      <c r="P4780" s="51"/>
    </row>
    <row r="4781">
      <c r="A4781" s="54"/>
      <c r="B4781" s="71"/>
      <c r="C4781" s="51"/>
      <c r="D4781" s="114"/>
      <c r="E4781" s="114"/>
      <c r="F4781" s="54"/>
      <c r="G4781" s="54"/>
      <c r="I4781" s="54"/>
      <c r="K4781" s="54"/>
      <c r="M4781" s="114"/>
      <c r="N4781" s="1"/>
      <c r="O4781" s="1"/>
      <c r="P4781" s="51"/>
    </row>
    <row r="4782">
      <c r="A4782" s="54"/>
      <c r="B4782" s="71"/>
      <c r="C4782" s="51"/>
      <c r="D4782" s="114"/>
      <c r="E4782" s="114"/>
      <c r="F4782" s="54"/>
      <c r="G4782" s="54"/>
      <c r="I4782" s="54"/>
      <c r="K4782" s="54"/>
      <c r="M4782" s="114"/>
      <c r="N4782" s="1"/>
      <c r="O4782" s="1"/>
      <c r="P4782" s="51"/>
    </row>
    <row r="4783">
      <c r="A4783" s="54"/>
      <c r="B4783" s="71"/>
      <c r="C4783" s="51"/>
      <c r="D4783" s="114"/>
      <c r="E4783" s="114"/>
      <c r="F4783" s="54"/>
      <c r="G4783" s="54"/>
      <c r="I4783" s="54"/>
      <c r="K4783" s="54"/>
      <c r="M4783" s="114"/>
      <c r="N4783" s="1"/>
      <c r="O4783" s="1"/>
      <c r="P4783" s="51"/>
    </row>
    <row r="4784">
      <c r="A4784" s="54"/>
      <c r="B4784" s="71"/>
      <c r="C4784" s="51"/>
      <c r="D4784" s="114"/>
      <c r="E4784" s="114"/>
      <c r="F4784" s="54"/>
      <c r="G4784" s="54"/>
      <c r="I4784" s="54"/>
      <c r="K4784" s="54"/>
      <c r="M4784" s="114"/>
      <c r="N4784" s="1"/>
      <c r="O4784" s="1"/>
      <c r="P4784" s="51"/>
    </row>
    <row r="4785">
      <c r="A4785" s="54"/>
      <c r="B4785" s="71"/>
      <c r="C4785" s="51"/>
      <c r="D4785" s="114"/>
      <c r="E4785" s="114"/>
      <c r="F4785" s="54"/>
      <c r="G4785" s="54"/>
      <c r="I4785" s="54"/>
      <c r="K4785" s="54"/>
      <c r="M4785" s="114"/>
      <c r="N4785" s="1"/>
      <c r="O4785" s="1"/>
      <c r="P4785" s="51"/>
    </row>
    <row r="4786">
      <c r="A4786" s="54"/>
      <c r="B4786" s="71"/>
      <c r="C4786" s="51"/>
      <c r="D4786" s="114"/>
      <c r="E4786" s="114"/>
      <c r="F4786" s="54"/>
      <c r="G4786" s="54"/>
      <c r="I4786" s="54"/>
      <c r="K4786" s="54"/>
      <c r="M4786" s="114"/>
      <c r="N4786" s="1"/>
      <c r="O4786" s="1"/>
      <c r="P4786" s="51"/>
    </row>
    <row r="4787">
      <c r="A4787" s="54"/>
      <c r="B4787" s="71"/>
      <c r="C4787" s="51"/>
      <c r="D4787" s="114"/>
      <c r="E4787" s="114"/>
      <c r="F4787" s="54"/>
      <c r="G4787" s="54"/>
      <c r="I4787" s="54"/>
      <c r="K4787" s="54"/>
      <c r="M4787" s="114"/>
      <c r="N4787" s="1"/>
      <c r="O4787" s="1"/>
      <c r="P4787" s="51"/>
    </row>
    <row r="4788">
      <c r="A4788" s="54"/>
      <c r="B4788" s="71"/>
      <c r="C4788" s="51"/>
      <c r="D4788" s="114"/>
      <c r="E4788" s="114"/>
      <c r="F4788" s="54"/>
      <c r="G4788" s="54"/>
      <c r="I4788" s="54"/>
      <c r="K4788" s="54"/>
      <c r="M4788" s="114"/>
      <c r="N4788" s="1"/>
      <c r="O4788" s="1"/>
      <c r="P4788" s="51"/>
    </row>
    <row r="4789">
      <c r="A4789" s="54"/>
      <c r="B4789" s="71"/>
      <c r="C4789" s="51"/>
      <c r="D4789" s="114"/>
      <c r="E4789" s="114"/>
      <c r="F4789" s="54"/>
      <c r="G4789" s="54"/>
      <c r="I4789" s="54"/>
      <c r="K4789" s="54"/>
      <c r="M4789" s="114"/>
      <c r="N4789" s="1"/>
      <c r="O4789" s="1"/>
      <c r="P4789" s="51"/>
    </row>
    <row r="4790">
      <c r="A4790" s="54"/>
      <c r="B4790" s="71"/>
      <c r="C4790" s="51"/>
      <c r="D4790" s="114"/>
      <c r="E4790" s="114"/>
      <c r="F4790" s="54"/>
      <c r="G4790" s="54"/>
      <c r="I4790" s="54"/>
      <c r="K4790" s="54"/>
      <c r="M4790" s="114"/>
      <c r="N4790" s="1"/>
      <c r="O4790" s="1"/>
      <c r="P4790" s="51"/>
    </row>
    <row r="4791">
      <c r="A4791" s="54"/>
      <c r="B4791" s="71"/>
      <c r="C4791" s="51"/>
      <c r="D4791" s="114"/>
      <c r="E4791" s="114"/>
      <c r="F4791" s="54"/>
      <c r="G4791" s="54"/>
      <c r="I4791" s="54"/>
      <c r="K4791" s="54"/>
      <c r="M4791" s="114"/>
      <c r="N4791" s="1"/>
      <c r="O4791" s="1"/>
      <c r="P4791" s="51"/>
    </row>
    <row r="4792">
      <c r="A4792" s="54"/>
      <c r="B4792" s="71"/>
      <c r="C4792" s="51"/>
      <c r="D4792" s="114"/>
      <c r="E4792" s="114"/>
      <c r="F4792" s="54"/>
      <c r="G4792" s="54"/>
      <c r="I4792" s="54"/>
      <c r="K4792" s="54"/>
      <c r="M4792" s="114"/>
      <c r="N4792" s="1"/>
      <c r="O4792" s="1"/>
      <c r="P4792" s="51"/>
    </row>
    <row r="4793">
      <c r="A4793" s="54"/>
      <c r="B4793" s="71"/>
      <c r="C4793" s="51"/>
      <c r="D4793" s="114"/>
      <c r="E4793" s="114"/>
      <c r="F4793" s="54"/>
      <c r="G4793" s="54"/>
      <c r="I4793" s="54"/>
      <c r="K4793" s="54"/>
      <c r="M4793" s="114"/>
      <c r="N4793" s="1"/>
      <c r="O4793" s="1"/>
      <c r="P4793" s="51"/>
    </row>
    <row r="4794">
      <c r="A4794" s="54"/>
      <c r="B4794" s="71"/>
      <c r="C4794" s="51"/>
      <c r="D4794" s="114"/>
      <c r="E4794" s="114"/>
      <c r="F4794" s="54"/>
      <c r="G4794" s="54"/>
      <c r="I4794" s="54"/>
      <c r="K4794" s="54"/>
      <c r="M4794" s="114"/>
      <c r="N4794" s="1"/>
      <c r="O4794" s="1"/>
      <c r="P4794" s="51"/>
    </row>
    <row r="4795">
      <c r="A4795" s="54"/>
      <c r="B4795" s="71"/>
      <c r="C4795" s="51"/>
      <c r="D4795" s="114"/>
      <c r="E4795" s="114"/>
      <c r="F4795" s="54"/>
      <c r="G4795" s="54"/>
      <c r="I4795" s="54"/>
      <c r="K4795" s="54"/>
      <c r="M4795" s="114"/>
      <c r="N4795" s="1"/>
      <c r="O4795" s="1"/>
      <c r="P4795" s="51"/>
    </row>
    <row r="4796">
      <c r="A4796" s="54"/>
      <c r="B4796" s="71"/>
      <c r="C4796" s="51"/>
      <c r="D4796" s="114"/>
      <c r="E4796" s="114"/>
      <c r="F4796" s="54"/>
      <c r="G4796" s="54"/>
      <c r="I4796" s="54"/>
      <c r="K4796" s="54"/>
      <c r="M4796" s="114"/>
      <c r="N4796" s="1"/>
      <c r="O4796" s="1"/>
      <c r="P4796" s="51"/>
    </row>
    <row r="4797">
      <c r="A4797" s="54"/>
      <c r="B4797" s="71"/>
      <c r="C4797" s="51"/>
      <c r="D4797" s="114"/>
      <c r="E4797" s="114"/>
      <c r="F4797" s="54"/>
      <c r="G4797" s="54"/>
      <c r="I4797" s="54"/>
      <c r="K4797" s="54"/>
      <c r="M4797" s="114"/>
      <c r="N4797" s="1"/>
      <c r="O4797" s="1"/>
      <c r="P4797" s="51"/>
    </row>
    <row r="4798">
      <c r="A4798" s="54"/>
      <c r="B4798" s="71"/>
      <c r="C4798" s="51"/>
      <c r="D4798" s="114"/>
      <c r="E4798" s="114"/>
      <c r="F4798" s="54"/>
      <c r="G4798" s="54"/>
      <c r="I4798" s="54"/>
      <c r="K4798" s="54"/>
      <c r="M4798" s="114"/>
      <c r="N4798" s="1"/>
      <c r="O4798" s="1"/>
      <c r="P4798" s="51"/>
    </row>
    <row r="4799">
      <c r="A4799" s="54"/>
      <c r="B4799" s="71"/>
      <c r="C4799" s="51"/>
      <c r="D4799" s="114"/>
      <c r="E4799" s="114"/>
      <c r="F4799" s="54"/>
      <c r="G4799" s="54"/>
      <c r="I4799" s="54"/>
      <c r="K4799" s="54"/>
      <c r="M4799" s="114"/>
      <c r="N4799" s="1"/>
      <c r="O4799" s="1"/>
      <c r="P4799" s="51"/>
    </row>
    <row r="4800">
      <c r="A4800" s="54"/>
      <c r="B4800" s="71"/>
      <c r="C4800" s="51"/>
      <c r="D4800" s="114"/>
      <c r="E4800" s="114"/>
      <c r="F4800" s="54"/>
      <c r="G4800" s="54"/>
      <c r="I4800" s="54"/>
      <c r="K4800" s="54"/>
      <c r="M4800" s="114"/>
      <c r="N4800" s="1"/>
      <c r="O4800" s="1"/>
      <c r="P4800" s="51"/>
    </row>
    <row r="4801">
      <c r="A4801" s="54"/>
      <c r="B4801" s="71"/>
      <c r="C4801" s="51"/>
      <c r="D4801" s="114"/>
      <c r="E4801" s="114"/>
      <c r="F4801" s="54"/>
      <c r="G4801" s="54"/>
      <c r="I4801" s="54"/>
      <c r="K4801" s="54"/>
      <c r="M4801" s="114"/>
      <c r="N4801" s="1"/>
      <c r="O4801" s="1"/>
      <c r="P4801" s="51"/>
    </row>
    <row r="4802">
      <c r="A4802" s="54"/>
      <c r="B4802" s="71"/>
      <c r="C4802" s="51"/>
      <c r="D4802" s="114"/>
      <c r="E4802" s="114"/>
      <c r="F4802" s="54"/>
      <c r="G4802" s="54"/>
      <c r="I4802" s="54"/>
      <c r="K4802" s="54"/>
      <c r="M4802" s="114"/>
      <c r="N4802" s="1"/>
      <c r="O4802" s="1"/>
      <c r="P4802" s="51"/>
    </row>
    <row r="4803">
      <c r="A4803" s="54"/>
      <c r="B4803" s="71"/>
      <c r="C4803" s="51"/>
      <c r="D4803" s="114"/>
      <c r="E4803" s="114"/>
      <c r="F4803" s="54"/>
      <c r="G4803" s="54"/>
      <c r="I4803" s="54"/>
      <c r="K4803" s="54"/>
      <c r="M4803" s="114"/>
      <c r="N4803" s="1"/>
      <c r="O4803" s="1"/>
      <c r="P4803" s="51"/>
    </row>
    <row r="4804">
      <c r="A4804" s="54"/>
      <c r="B4804" s="71"/>
      <c r="C4804" s="51"/>
      <c r="D4804" s="114"/>
      <c r="E4804" s="114"/>
      <c r="F4804" s="54"/>
      <c r="G4804" s="54"/>
      <c r="I4804" s="54"/>
      <c r="K4804" s="54"/>
      <c r="M4804" s="114"/>
      <c r="N4804" s="1"/>
      <c r="O4804" s="1"/>
      <c r="P4804" s="51"/>
    </row>
    <row r="4805">
      <c r="A4805" s="54"/>
      <c r="B4805" s="71"/>
      <c r="C4805" s="51"/>
      <c r="D4805" s="114"/>
      <c r="E4805" s="114"/>
      <c r="F4805" s="54"/>
      <c r="G4805" s="54"/>
      <c r="I4805" s="54"/>
      <c r="K4805" s="54"/>
      <c r="M4805" s="114"/>
      <c r="N4805" s="1"/>
      <c r="O4805" s="1"/>
      <c r="P4805" s="51"/>
    </row>
    <row r="4806">
      <c r="A4806" s="54"/>
      <c r="B4806" s="71"/>
      <c r="C4806" s="51"/>
      <c r="D4806" s="114"/>
      <c r="E4806" s="114"/>
      <c r="F4806" s="54"/>
      <c r="G4806" s="54"/>
      <c r="I4806" s="54"/>
      <c r="K4806" s="54"/>
      <c r="M4806" s="114"/>
      <c r="N4806" s="1"/>
      <c r="O4806" s="1"/>
      <c r="P4806" s="51"/>
    </row>
    <row r="4807">
      <c r="A4807" s="54"/>
      <c r="B4807" s="71"/>
      <c r="C4807" s="51"/>
      <c r="D4807" s="114"/>
      <c r="E4807" s="114"/>
      <c r="F4807" s="54"/>
      <c r="G4807" s="54"/>
      <c r="I4807" s="54"/>
      <c r="K4807" s="54"/>
      <c r="M4807" s="114"/>
      <c r="N4807" s="1"/>
      <c r="O4807" s="1"/>
      <c r="P4807" s="51"/>
    </row>
    <row r="4808">
      <c r="A4808" s="54"/>
      <c r="B4808" s="71"/>
      <c r="C4808" s="51"/>
      <c r="D4808" s="114"/>
      <c r="E4808" s="114"/>
      <c r="F4808" s="54"/>
      <c r="G4808" s="54"/>
      <c r="I4808" s="54"/>
      <c r="K4808" s="54"/>
      <c r="M4808" s="114"/>
      <c r="N4808" s="1"/>
      <c r="O4808" s="1"/>
      <c r="P4808" s="51"/>
    </row>
    <row r="4809">
      <c r="A4809" s="54"/>
      <c r="B4809" s="71"/>
      <c r="C4809" s="51"/>
      <c r="D4809" s="114"/>
      <c r="E4809" s="114"/>
      <c r="F4809" s="54"/>
      <c r="G4809" s="54"/>
      <c r="I4809" s="54"/>
      <c r="K4809" s="54"/>
      <c r="M4809" s="114"/>
      <c r="N4809" s="1"/>
      <c r="O4809" s="1"/>
      <c r="P4809" s="51"/>
    </row>
    <row r="4810">
      <c r="A4810" s="54"/>
      <c r="B4810" s="71"/>
      <c r="C4810" s="51"/>
      <c r="D4810" s="114"/>
      <c r="E4810" s="114"/>
      <c r="F4810" s="54"/>
      <c r="G4810" s="54"/>
      <c r="I4810" s="54"/>
      <c r="K4810" s="54"/>
      <c r="M4810" s="114"/>
      <c r="N4810" s="1"/>
      <c r="O4810" s="1"/>
      <c r="P4810" s="51"/>
    </row>
    <row r="4811">
      <c r="A4811" s="54"/>
      <c r="B4811" s="71"/>
      <c r="C4811" s="51"/>
      <c r="D4811" s="114"/>
      <c r="E4811" s="114"/>
      <c r="F4811" s="54"/>
      <c r="G4811" s="54"/>
      <c r="I4811" s="54"/>
      <c r="K4811" s="54"/>
      <c r="M4811" s="114"/>
      <c r="N4811" s="1"/>
      <c r="O4811" s="1"/>
      <c r="P4811" s="51"/>
    </row>
    <row r="4812">
      <c r="A4812" s="54"/>
      <c r="B4812" s="71"/>
      <c r="C4812" s="51"/>
      <c r="D4812" s="114"/>
      <c r="E4812" s="114"/>
      <c r="F4812" s="54"/>
      <c r="G4812" s="54"/>
      <c r="I4812" s="54"/>
      <c r="K4812" s="54"/>
      <c r="M4812" s="114"/>
      <c r="N4812" s="1"/>
      <c r="O4812" s="1"/>
      <c r="P4812" s="51"/>
    </row>
    <row r="4813">
      <c r="A4813" s="54"/>
      <c r="B4813" s="71"/>
      <c r="C4813" s="51"/>
      <c r="D4813" s="114"/>
      <c r="E4813" s="114"/>
      <c r="F4813" s="54"/>
      <c r="G4813" s="54"/>
      <c r="I4813" s="54"/>
      <c r="K4813" s="54"/>
      <c r="M4813" s="114"/>
      <c r="N4813" s="1"/>
      <c r="O4813" s="1"/>
      <c r="P4813" s="51"/>
    </row>
    <row r="4814">
      <c r="A4814" s="54"/>
      <c r="B4814" s="71"/>
      <c r="C4814" s="51"/>
      <c r="D4814" s="114"/>
      <c r="E4814" s="114"/>
      <c r="F4814" s="54"/>
      <c r="G4814" s="54"/>
      <c r="I4814" s="54"/>
      <c r="K4814" s="54"/>
      <c r="M4814" s="114"/>
      <c r="N4814" s="1"/>
      <c r="O4814" s="1"/>
      <c r="P4814" s="51"/>
    </row>
    <row r="4815">
      <c r="A4815" s="54"/>
      <c r="B4815" s="71"/>
      <c r="C4815" s="51"/>
      <c r="D4815" s="114"/>
      <c r="E4815" s="114"/>
      <c r="F4815" s="54"/>
      <c r="G4815" s="54"/>
      <c r="I4815" s="54"/>
      <c r="K4815" s="54"/>
      <c r="M4815" s="114"/>
      <c r="N4815" s="1"/>
      <c r="O4815" s="1"/>
      <c r="P4815" s="51"/>
    </row>
    <row r="4816">
      <c r="A4816" s="54"/>
      <c r="B4816" s="71"/>
      <c r="C4816" s="51"/>
      <c r="D4816" s="114"/>
      <c r="E4816" s="114"/>
      <c r="F4816" s="54"/>
      <c r="G4816" s="54"/>
      <c r="I4816" s="54"/>
      <c r="K4816" s="54"/>
      <c r="M4816" s="114"/>
      <c r="N4816" s="1"/>
      <c r="O4816" s="1"/>
      <c r="P4816" s="51"/>
    </row>
    <row r="4817">
      <c r="A4817" s="54"/>
      <c r="B4817" s="71"/>
      <c r="C4817" s="51"/>
      <c r="D4817" s="114"/>
      <c r="E4817" s="114"/>
      <c r="F4817" s="54"/>
      <c r="G4817" s="54"/>
      <c r="I4817" s="54"/>
      <c r="K4817" s="54"/>
      <c r="M4817" s="114"/>
      <c r="N4817" s="1"/>
      <c r="O4817" s="1"/>
      <c r="P4817" s="51"/>
    </row>
    <row r="4818">
      <c r="A4818" s="54"/>
      <c r="B4818" s="71"/>
      <c r="C4818" s="51"/>
      <c r="D4818" s="114"/>
      <c r="E4818" s="114"/>
      <c r="F4818" s="54"/>
      <c r="G4818" s="54"/>
      <c r="I4818" s="54"/>
      <c r="K4818" s="54"/>
      <c r="M4818" s="114"/>
      <c r="N4818" s="1"/>
      <c r="O4818" s="1"/>
      <c r="P4818" s="51"/>
    </row>
    <row r="4819">
      <c r="A4819" s="54"/>
      <c r="B4819" s="71"/>
      <c r="C4819" s="51"/>
      <c r="D4819" s="114"/>
      <c r="E4819" s="114"/>
      <c r="F4819" s="54"/>
      <c r="G4819" s="54"/>
      <c r="I4819" s="54"/>
      <c r="K4819" s="54"/>
      <c r="M4819" s="114"/>
      <c r="N4819" s="1"/>
      <c r="O4819" s="1"/>
      <c r="P4819" s="51"/>
    </row>
    <row r="4820">
      <c r="A4820" s="54"/>
      <c r="B4820" s="71"/>
      <c r="C4820" s="51"/>
      <c r="D4820" s="114"/>
      <c r="E4820" s="114"/>
      <c r="F4820" s="54"/>
      <c r="G4820" s="54"/>
      <c r="I4820" s="54"/>
      <c r="K4820" s="54"/>
      <c r="M4820" s="114"/>
      <c r="N4820" s="1"/>
      <c r="O4820" s="1"/>
      <c r="P4820" s="51"/>
    </row>
    <row r="4821">
      <c r="A4821" s="54"/>
      <c r="B4821" s="71"/>
      <c r="C4821" s="51"/>
      <c r="D4821" s="114"/>
      <c r="E4821" s="114"/>
      <c r="F4821" s="54"/>
      <c r="G4821" s="54"/>
      <c r="I4821" s="54"/>
      <c r="K4821" s="54"/>
      <c r="M4821" s="114"/>
      <c r="N4821" s="1"/>
      <c r="O4821" s="1"/>
      <c r="P4821" s="51"/>
    </row>
    <row r="4822">
      <c r="A4822" s="54"/>
      <c r="B4822" s="71"/>
      <c r="C4822" s="51"/>
      <c r="D4822" s="114"/>
      <c r="E4822" s="114"/>
      <c r="F4822" s="54"/>
      <c r="G4822" s="54"/>
      <c r="I4822" s="54"/>
      <c r="K4822" s="54"/>
      <c r="M4822" s="114"/>
      <c r="N4822" s="1"/>
      <c r="O4822" s="1"/>
      <c r="P4822" s="51"/>
    </row>
    <row r="4823">
      <c r="A4823" s="54"/>
      <c r="B4823" s="71"/>
      <c r="C4823" s="51"/>
      <c r="D4823" s="114"/>
      <c r="E4823" s="114"/>
      <c r="F4823" s="54"/>
      <c r="G4823" s="54"/>
      <c r="I4823" s="54"/>
      <c r="K4823" s="54"/>
      <c r="M4823" s="114"/>
      <c r="N4823" s="1"/>
      <c r="O4823" s="1"/>
      <c r="P4823" s="51"/>
    </row>
    <row r="4824">
      <c r="A4824" s="54"/>
      <c r="B4824" s="71"/>
      <c r="C4824" s="51"/>
      <c r="D4824" s="114"/>
      <c r="E4824" s="114"/>
      <c r="F4824" s="54"/>
      <c r="G4824" s="54"/>
      <c r="I4824" s="54"/>
      <c r="K4824" s="54"/>
      <c r="M4824" s="114"/>
      <c r="N4824" s="1"/>
      <c r="O4824" s="1"/>
      <c r="P4824" s="51"/>
    </row>
    <row r="4825">
      <c r="A4825" s="54"/>
      <c r="B4825" s="71"/>
      <c r="C4825" s="51"/>
      <c r="D4825" s="114"/>
      <c r="E4825" s="114"/>
      <c r="F4825" s="54"/>
      <c r="G4825" s="54"/>
      <c r="I4825" s="54"/>
      <c r="K4825" s="54"/>
      <c r="M4825" s="114"/>
      <c r="N4825" s="1"/>
      <c r="O4825" s="1"/>
      <c r="P4825" s="51"/>
    </row>
    <row r="4826">
      <c r="A4826" s="54"/>
      <c r="B4826" s="71"/>
      <c r="C4826" s="51"/>
      <c r="D4826" s="114"/>
      <c r="E4826" s="114"/>
      <c r="F4826" s="54"/>
      <c r="G4826" s="54"/>
      <c r="I4826" s="54"/>
      <c r="K4826" s="54"/>
      <c r="M4826" s="114"/>
      <c r="N4826" s="1"/>
      <c r="O4826" s="1"/>
      <c r="P4826" s="51"/>
    </row>
    <row r="4827">
      <c r="A4827" s="54"/>
      <c r="B4827" s="71"/>
      <c r="C4827" s="51"/>
      <c r="D4827" s="114"/>
      <c r="E4827" s="114"/>
      <c r="F4827" s="54"/>
      <c r="G4827" s="54"/>
      <c r="I4827" s="54"/>
      <c r="K4827" s="54"/>
      <c r="M4827" s="114"/>
      <c r="N4827" s="1"/>
      <c r="O4827" s="1"/>
      <c r="P4827" s="51"/>
    </row>
    <row r="4828">
      <c r="A4828" s="54"/>
      <c r="B4828" s="71"/>
      <c r="C4828" s="51"/>
      <c r="D4828" s="114"/>
      <c r="E4828" s="114"/>
      <c r="F4828" s="54"/>
      <c r="G4828" s="54"/>
      <c r="I4828" s="54"/>
      <c r="K4828" s="54"/>
      <c r="M4828" s="114"/>
      <c r="N4828" s="1"/>
      <c r="O4828" s="1"/>
      <c r="P4828" s="51"/>
    </row>
    <row r="4829">
      <c r="A4829" s="54"/>
      <c r="B4829" s="71"/>
      <c r="C4829" s="51"/>
      <c r="D4829" s="114"/>
      <c r="E4829" s="114"/>
      <c r="F4829" s="54"/>
      <c r="G4829" s="54"/>
      <c r="I4829" s="54"/>
      <c r="K4829" s="54"/>
      <c r="M4829" s="114"/>
      <c r="N4829" s="1"/>
      <c r="O4829" s="1"/>
      <c r="P4829" s="51"/>
    </row>
    <row r="4830">
      <c r="A4830" s="54"/>
      <c r="B4830" s="71"/>
      <c r="C4830" s="51"/>
      <c r="D4830" s="114"/>
      <c r="E4830" s="114"/>
      <c r="F4830" s="54"/>
      <c r="G4830" s="54"/>
      <c r="I4830" s="54"/>
      <c r="K4830" s="54"/>
      <c r="M4830" s="114"/>
      <c r="N4830" s="1"/>
      <c r="O4830" s="1"/>
      <c r="P4830" s="51"/>
    </row>
    <row r="4831">
      <c r="A4831" s="54"/>
      <c r="B4831" s="71"/>
      <c r="C4831" s="51"/>
      <c r="D4831" s="114"/>
      <c r="E4831" s="114"/>
      <c r="F4831" s="54"/>
      <c r="G4831" s="54"/>
      <c r="I4831" s="54"/>
      <c r="K4831" s="54"/>
      <c r="M4831" s="114"/>
      <c r="N4831" s="1"/>
      <c r="O4831" s="1"/>
      <c r="P4831" s="51"/>
    </row>
    <row r="4832">
      <c r="A4832" s="54"/>
      <c r="B4832" s="71"/>
      <c r="C4832" s="51"/>
      <c r="D4832" s="114"/>
      <c r="E4832" s="114"/>
      <c r="F4832" s="54"/>
      <c r="G4832" s="54"/>
      <c r="I4832" s="54"/>
      <c r="K4832" s="54"/>
      <c r="M4832" s="114"/>
      <c r="N4832" s="1"/>
      <c r="O4832" s="1"/>
      <c r="P4832" s="51"/>
    </row>
    <row r="4833">
      <c r="A4833" s="54"/>
      <c r="B4833" s="71"/>
      <c r="C4833" s="51"/>
      <c r="D4833" s="114"/>
      <c r="E4833" s="114"/>
      <c r="F4833" s="54"/>
      <c r="G4833" s="54"/>
      <c r="I4833" s="54"/>
      <c r="K4833" s="54"/>
      <c r="M4833" s="114"/>
      <c r="N4833" s="1"/>
      <c r="O4833" s="1"/>
      <c r="P4833" s="51"/>
    </row>
    <row r="4834">
      <c r="A4834" s="54"/>
      <c r="B4834" s="71"/>
      <c r="C4834" s="51"/>
      <c r="D4834" s="114"/>
      <c r="E4834" s="114"/>
      <c r="F4834" s="54"/>
      <c r="G4834" s="54"/>
      <c r="I4834" s="54"/>
      <c r="K4834" s="54"/>
      <c r="M4834" s="114"/>
      <c r="N4834" s="1"/>
      <c r="O4834" s="1"/>
      <c r="P4834" s="51"/>
    </row>
    <row r="4835">
      <c r="A4835" s="54"/>
      <c r="B4835" s="71"/>
      <c r="C4835" s="51"/>
      <c r="D4835" s="114"/>
      <c r="E4835" s="114"/>
      <c r="F4835" s="54"/>
      <c r="G4835" s="54"/>
      <c r="I4835" s="54"/>
      <c r="K4835" s="54"/>
      <c r="M4835" s="114"/>
      <c r="N4835" s="1"/>
      <c r="O4835" s="1"/>
      <c r="P4835" s="51"/>
    </row>
    <row r="4836">
      <c r="A4836" s="54"/>
      <c r="B4836" s="71"/>
      <c r="C4836" s="51"/>
      <c r="D4836" s="114"/>
      <c r="E4836" s="114"/>
      <c r="F4836" s="54"/>
      <c r="G4836" s="54"/>
      <c r="I4836" s="54"/>
      <c r="K4836" s="54"/>
      <c r="M4836" s="114"/>
      <c r="N4836" s="1"/>
      <c r="O4836" s="1"/>
      <c r="P4836" s="51"/>
    </row>
    <row r="4837">
      <c r="A4837" s="54"/>
      <c r="B4837" s="71"/>
      <c r="C4837" s="51"/>
      <c r="D4837" s="114"/>
      <c r="E4837" s="114"/>
      <c r="F4837" s="54"/>
      <c r="G4837" s="54"/>
      <c r="I4837" s="54"/>
      <c r="K4837" s="54"/>
      <c r="M4837" s="114"/>
      <c r="N4837" s="1"/>
      <c r="O4837" s="1"/>
      <c r="P4837" s="51"/>
    </row>
    <row r="4838">
      <c r="A4838" s="54"/>
      <c r="B4838" s="71"/>
      <c r="C4838" s="51"/>
      <c r="D4838" s="114"/>
      <c r="E4838" s="114"/>
      <c r="F4838" s="54"/>
      <c r="G4838" s="54"/>
      <c r="I4838" s="54"/>
      <c r="K4838" s="54"/>
      <c r="M4838" s="114"/>
      <c r="N4838" s="1"/>
      <c r="O4838" s="1"/>
      <c r="P4838" s="51"/>
    </row>
    <row r="4839">
      <c r="A4839" s="54"/>
      <c r="B4839" s="71"/>
      <c r="C4839" s="51"/>
      <c r="D4839" s="114"/>
      <c r="E4839" s="114"/>
      <c r="F4839" s="54"/>
      <c r="G4839" s="54"/>
      <c r="I4839" s="54"/>
      <c r="K4839" s="54"/>
      <c r="M4839" s="114"/>
      <c r="N4839" s="1"/>
      <c r="O4839" s="1"/>
      <c r="P4839" s="51"/>
    </row>
    <row r="4840">
      <c r="A4840" s="54"/>
      <c r="B4840" s="71"/>
      <c r="C4840" s="51"/>
      <c r="D4840" s="114"/>
      <c r="E4840" s="114"/>
      <c r="F4840" s="54"/>
      <c r="G4840" s="54"/>
      <c r="I4840" s="54"/>
      <c r="K4840" s="54"/>
      <c r="M4840" s="114"/>
      <c r="N4840" s="1"/>
      <c r="O4840" s="1"/>
      <c r="P4840" s="51"/>
    </row>
    <row r="4841">
      <c r="A4841" s="54"/>
      <c r="B4841" s="71"/>
      <c r="C4841" s="51"/>
      <c r="D4841" s="114"/>
      <c r="E4841" s="114"/>
      <c r="F4841" s="54"/>
      <c r="G4841" s="54"/>
      <c r="I4841" s="54"/>
      <c r="K4841" s="54"/>
      <c r="M4841" s="114"/>
      <c r="N4841" s="1"/>
      <c r="O4841" s="1"/>
      <c r="P4841" s="51"/>
    </row>
    <row r="4842">
      <c r="A4842" s="54"/>
      <c r="B4842" s="71"/>
      <c r="C4842" s="51"/>
      <c r="D4842" s="114"/>
      <c r="E4842" s="114"/>
      <c r="F4842" s="54"/>
      <c r="G4842" s="54"/>
      <c r="I4842" s="54"/>
      <c r="K4842" s="54"/>
      <c r="M4842" s="114"/>
      <c r="N4842" s="1"/>
      <c r="O4842" s="1"/>
      <c r="P4842" s="51"/>
    </row>
    <row r="4843">
      <c r="A4843" s="54"/>
      <c r="B4843" s="71"/>
      <c r="C4843" s="51"/>
      <c r="D4843" s="114"/>
      <c r="E4843" s="114"/>
      <c r="F4843" s="54"/>
      <c r="G4843" s="54"/>
      <c r="I4843" s="54"/>
      <c r="K4843" s="54"/>
      <c r="M4843" s="114"/>
      <c r="N4843" s="1"/>
      <c r="O4843" s="1"/>
      <c r="P4843" s="51"/>
    </row>
    <row r="4844">
      <c r="A4844" s="54"/>
      <c r="B4844" s="71"/>
      <c r="C4844" s="51"/>
      <c r="D4844" s="114"/>
      <c r="E4844" s="114"/>
      <c r="F4844" s="54"/>
      <c r="G4844" s="54"/>
      <c r="I4844" s="54"/>
      <c r="K4844" s="54"/>
      <c r="M4844" s="114"/>
      <c r="N4844" s="1"/>
      <c r="O4844" s="1"/>
      <c r="P4844" s="51"/>
    </row>
    <row r="4845">
      <c r="A4845" s="54"/>
      <c r="B4845" s="71"/>
      <c r="C4845" s="51"/>
      <c r="D4845" s="114"/>
      <c r="E4845" s="114"/>
      <c r="F4845" s="54"/>
      <c r="G4845" s="54"/>
      <c r="I4845" s="54"/>
      <c r="K4845" s="54"/>
      <c r="M4845" s="114"/>
      <c r="N4845" s="1"/>
      <c r="O4845" s="1"/>
      <c r="P4845" s="51"/>
    </row>
    <row r="4846">
      <c r="A4846" s="54"/>
      <c r="B4846" s="71"/>
      <c r="C4846" s="51"/>
      <c r="D4846" s="114"/>
      <c r="E4846" s="114"/>
      <c r="F4846" s="54"/>
      <c r="G4846" s="54"/>
      <c r="I4846" s="54"/>
      <c r="K4846" s="54"/>
      <c r="M4846" s="114"/>
      <c r="N4846" s="1"/>
      <c r="O4846" s="1"/>
      <c r="P4846" s="51"/>
    </row>
    <row r="4847">
      <c r="A4847" s="54"/>
      <c r="B4847" s="71"/>
      <c r="C4847" s="51"/>
      <c r="D4847" s="114"/>
      <c r="E4847" s="114"/>
      <c r="F4847" s="54"/>
      <c r="G4847" s="54"/>
      <c r="I4847" s="54"/>
      <c r="K4847" s="54"/>
      <c r="M4847" s="114"/>
      <c r="N4847" s="1"/>
      <c r="O4847" s="1"/>
      <c r="P4847" s="51"/>
    </row>
    <row r="4848">
      <c r="A4848" s="54"/>
      <c r="B4848" s="71"/>
      <c r="C4848" s="51"/>
      <c r="D4848" s="114"/>
      <c r="E4848" s="114"/>
      <c r="F4848" s="54"/>
      <c r="G4848" s="54"/>
      <c r="I4848" s="54"/>
      <c r="K4848" s="54"/>
      <c r="M4848" s="114"/>
      <c r="N4848" s="1"/>
      <c r="O4848" s="1"/>
      <c r="P4848" s="51"/>
    </row>
    <row r="4849">
      <c r="A4849" s="54"/>
      <c r="B4849" s="71"/>
      <c r="C4849" s="51"/>
      <c r="D4849" s="114"/>
      <c r="E4849" s="114"/>
      <c r="F4849" s="54"/>
      <c r="G4849" s="54"/>
      <c r="I4849" s="54"/>
      <c r="K4849" s="54"/>
      <c r="M4849" s="114"/>
      <c r="N4849" s="1"/>
      <c r="O4849" s="1"/>
      <c r="P4849" s="51"/>
    </row>
    <row r="4850">
      <c r="A4850" s="54"/>
      <c r="B4850" s="71"/>
      <c r="C4850" s="51"/>
      <c r="D4850" s="114"/>
      <c r="E4850" s="114"/>
      <c r="F4850" s="54"/>
      <c r="G4850" s="54"/>
      <c r="I4850" s="54"/>
      <c r="K4850" s="54"/>
      <c r="M4850" s="114"/>
      <c r="N4850" s="1"/>
      <c r="O4850" s="1"/>
      <c r="P4850" s="51"/>
    </row>
    <row r="4851">
      <c r="A4851" s="54"/>
      <c r="B4851" s="71"/>
      <c r="C4851" s="51"/>
      <c r="D4851" s="114"/>
      <c r="E4851" s="114"/>
      <c r="F4851" s="54"/>
      <c r="G4851" s="54"/>
      <c r="I4851" s="54"/>
      <c r="K4851" s="54"/>
      <c r="M4851" s="114"/>
      <c r="N4851" s="1"/>
      <c r="O4851" s="1"/>
      <c r="P4851" s="51"/>
    </row>
    <row r="4852">
      <c r="A4852" s="54"/>
      <c r="B4852" s="71"/>
      <c r="C4852" s="51"/>
      <c r="D4852" s="114"/>
      <c r="E4852" s="114"/>
      <c r="F4852" s="54"/>
      <c r="G4852" s="54"/>
      <c r="I4852" s="54"/>
      <c r="K4852" s="54"/>
      <c r="M4852" s="114"/>
      <c r="N4852" s="1"/>
      <c r="O4852" s="1"/>
      <c r="P4852" s="51"/>
    </row>
    <row r="4853">
      <c r="A4853" s="54"/>
      <c r="B4853" s="71"/>
      <c r="C4853" s="51"/>
      <c r="D4853" s="114"/>
      <c r="E4853" s="114"/>
      <c r="F4853" s="54"/>
      <c r="G4853" s="54"/>
      <c r="I4853" s="54"/>
      <c r="K4853" s="54"/>
      <c r="M4853" s="114"/>
      <c r="N4853" s="1"/>
      <c r="O4853" s="1"/>
      <c r="P4853" s="51"/>
    </row>
    <row r="4854">
      <c r="A4854" s="54"/>
      <c r="B4854" s="71"/>
      <c r="C4854" s="51"/>
      <c r="D4854" s="114"/>
      <c r="E4854" s="114"/>
      <c r="F4854" s="54"/>
      <c r="G4854" s="54"/>
      <c r="I4854" s="54"/>
      <c r="K4854" s="54"/>
      <c r="M4854" s="114"/>
      <c r="N4854" s="1"/>
      <c r="O4854" s="1"/>
      <c r="P4854" s="51"/>
    </row>
    <row r="4855">
      <c r="A4855" s="54"/>
      <c r="B4855" s="71"/>
      <c r="C4855" s="51"/>
      <c r="D4855" s="114"/>
      <c r="E4855" s="114"/>
      <c r="F4855" s="54"/>
      <c r="G4855" s="54"/>
      <c r="I4855" s="54"/>
      <c r="K4855" s="54"/>
      <c r="M4855" s="114"/>
      <c r="N4855" s="1"/>
      <c r="O4855" s="1"/>
      <c r="P4855" s="51"/>
    </row>
    <row r="4856">
      <c r="A4856" s="54"/>
      <c r="B4856" s="71"/>
      <c r="C4856" s="51"/>
      <c r="D4856" s="114"/>
      <c r="E4856" s="114"/>
      <c r="F4856" s="54"/>
      <c r="G4856" s="54"/>
      <c r="I4856" s="54"/>
      <c r="K4856" s="54"/>
      <c r="M4856" s="114"/>
      <c r="N4856" s="1"/>
      <c r="O4856" s="1"/>
      <c r="P4856" s="51"/>
    </row>
    <row r="4857">
      <c r="A4857" s="54"/>
      <c r="B4857" s="71"/>
      <c r="C4857" s="51"/>
      <c r="D4857" s="114"/>
      <c r="E4857" s="114"/>
      <c r="F4857" s="54"/>
      <c r="G4857" s="54"/>
      <c r="I4857" s="54"/>
      <c r="K4857" s="54"/>
      <c r="M4857" s="114"/>
      <c r="N4857" s="1"/>
      <c r="O4857" s="1"/>
      <c r="P4857" s="51"/>
    </row>
    <row r="4858">
      <c r="A4858" s="54"/>
      <c r="B4858" s="71"/>
      <c r="C4858" s="51"/>
      <c r="D4858" s="114"/>
      <c r="E4858" s="114"/>
      <c r="F4858" s="54"/>
      <c r="G4858" s="54"/>
      <c r="I4858" s="54"/>
      <c r="K4858" s="54"/>
      <c r="M4858" s="114"/>
      <c r="N4858" s="1"/>
      <c r="O4858" s="1"/>
      <c r="P4858" s="51"/>
    </row>
    <row r="4859">
      <c r="A4859" s="54"/>
      <c r="B4859" s="71"/>
      <c r="C4859" s="51"/>
      <c r="D4859" s="114"/>
      <c r="E4859" s="114"/>
      <c r="F4859" s="54"/>
      <c r="G4859" s="54"/>
      <c r="I4859" s="54"/>
      <c r="K4859" s="54"/>
      <c r="M4859" s="114"/>
      <c r="N4859" s="1"/>
      <c r="O4859" s="1"/>
      <c r="P4859" s="51"/>
    </row>
    <row r="4860">
      <c r="A4860" s="54"/>
      <c r="B4860" s="71"/>
      <c r="C4860" s="51"/>
      <c r="D4860" s="114"/>
      <c r="E4860" s="114"/>
      <c r="F4860" s="54"/>
      <c r="G4860" s="54"/>
      <c r="I4860" s="54"/>
      <c r="K4860" s="54"/>
      <c r="M4860" s="114"/>
      <c r="N4860" s="1"/>
      <c r="O4860" s="1"/>
      <c r="P4860" s="51"/>
    </row>
    <row r="4861">
      <c r="A4861" s="54"/>
      <c r="B4861" s="71"/>
      <c r="C4861" s="51"/>
      <c r="D4861" s="114"/>
      <c r="E4861" s="114"/>
      <c r="F4861" s="54"/>
      <c r="G4861" s="54"/>
      <c r="I4861" s="54"/>
      <c r="K4861" s="54"/>
      <c r="M4861" s="114"/>
      <c r="N4861" s="1"/>
      <c r="O4861" s="1"/>
      <c r="P4861" s="51"/>
    </row>
    <row r="4862">
      <c r="A4862" s="54"/>
      <c r="B4862" s="71"/>
      <c r="C4862" s="51"/>
      <c r="D4862" s="114"/>
      <c r="E4862" s="114"/>
      <c r="F4862" s="54"/>
      <c r="G4862" s="54"/>
      <c r="I4862" s="54"/>
      <c r="K4862" s="54"/>
      <c r="M4862" s="114"/>
      <c r="N4862" s="1"/>
      <c r="O4862" s="1"/>
      <c r="P4862" s="51"/>
    </row>
    <row r="4863">
      <c r="A4863" s="54"/>
      <c r="B4863" s="71"/>
      <c r="C4863" s="51"/>
      <c r="D4863" s="114"/>
      <c r="E4863" s="114"/>
      <c r="F4863" s="54"/>
      <c r="G4863" s="54"/>
      <c r="I4863" s="54"/>
      <c r="K4863" s="54"/>
      <c r="M4863" s="114"/>
      <c r="N4863" s="1"/>
      <c r="O4863" s="1"/>
      <c r="P4863" s="51"/>
    </row>
    <row r="4864">
      <c r="A4864" s="54"/>
      <c r="B4864" s="71"/>
      <c r="C4864" s="51"/>
      <c r="D4864" s="114"/>
      <c r="E4864" s="114"/>
      <c r="F4864" s="54"/>
      <c r="G4864" s="54"/>
      <c r="I4864" s="54"/>
      <c r="K4864" s="54"/>
      <c r="M4864" s="114"/>
      <c r="N4864" s="1"/>
      <c r="O4864" s="1"/>
      <c r="P4864" s="51"/>
    </row>
    <row r="4865">
      <c r="A4865" s="54"/>
      <c r="B4865" s="71"/>
      <c r="C4865" s="51"/>
      <c r="D4865" s="114"/>
      <c r="E4865" s="114"/>
      <c r="F4865" s="54"/>
      <c r="G4865" s="54"/>
      <c r="I4865" s="54"/>
      <c r="K4865" s="54"/>
      <c r="M4865" s="114"/>
      <c r="N4865" s="1"/>
      <c r="O4865" s="1"/>
      <c r="P4865" s="51"/>
    </row>
    <row r="4866">
      <c r="A4866" s="54"/>
      <c r="B4866" s="71"/>
      <c r="C4866" s="51"/>
      <c r="D4866" s="114"/>
      <c r="E4866" s="114"/>
      <c r="F4866" s="54"/>
      <c r="G4866" s="54"/>
      <c r="I4866" s="54"/>
      <c r="K4866" s="54"/>
      <c r="M4866" s="114"/>
      <c r="N4866" s="1"/>
      <c r="O4866" s="1"/>
      <c r="P4866" s="51"/>
    </row>
    <row r="4867">
      <c r="A4867" s="54"/>
      <c r="B4867" s="71"/>
      <c r="C4867" s="51"/>
      <c r="D4867" s="114"/>
      <c r="E4867" s="114"/>
      <c r="F4867" s="54"/>
      <c r="G4867" s="54"/>
      <c r="I4867" s="54"/>
      <c r="K4867" s="54"/>
      <c r="M4867" s="114"/>
      <c r="N4867" s="1"/>
      <c r="O4867" s="1"/>
      <c r="P4867" s="51"/>
    </row>
    <row r="4868">
      <c r="A4868" s="54"/>
      <c r="B4868" s="71"/>
      <c r="C4868" s="51"/>
      <c r="D4868" s="114"/>
      <c r="E4868" s="114"/>
      <c r="F4868" s="54"/>
      <c r="G4868" s="54"/>
      <c r="I4868" s="54"/>
      <c r="K4868" s="54"/>
      <c r="M4868" s="114"/>
      <c r="N4868" s="1"/>
      <c r="O4868" s="1"/>
      <c r="P4868" s="51"/>
    </row>
    <row r="4869">
      <c r="A4869" s="54"/>
      <c r="B4869" s="71"/>
      <c r="C4869" s="51"/>
      <c r="D4869" s="114"/>
      <c r="E4869" s="114"/>
      <c r="F4869" s="54"/>
      <c r="G4869" s="54"/>
      <c r="I4869" s="54"/>
      <c r="K4869" s="54"/>
      <c r="M4869" s="114"/>
      <c r="N4869" s="1"/>
      <c r="O4869" s="1"/>
      <c r="P4869" s="51"/>
    </row>
    <row r="4870">
      <c r="A4870" s="54"/>
      <c r="B4870" s="71"/>
      <c r="C4870" s="51"/>
      <c r="D4870" s="114"/>
      <c r="E4870" s="114"/>
      <c r="F4870" s="54"/>
      <c r="G4870" s="54"/>
      <c r="I4870" s="54"/>
      <c r="K4870" s="54"/>
      <c r="M4870" s="114"/>
      <c r="N4870" s="1"/>
      <c r="O4870" s="1"/>
      <c r="P4870" s="51"/>
    </row>
    <row r="4871">
      <c r="A4871" s="54"/>
      <c r="B4871" s="71"/>
      <c r="C4871" s="51"/>
      <c r="D4871" s="114"/>
      <c r="E4871" s="114"/>
      <c r="F4871" s="54"/>
      <c r="G4871" s="54"/>
      <c r="I4871" s="54"/>
      <c r="K4871" s="54"/>
      <c r="M4871" s="114"/>
      <c r="N4871" s="1"/>
      <c r="O4871" s="1"/>
      <c r="P4871" s="51"/>
    </row>
    <row r="4872">
      <c r="A4872" s="54"/>
      <c r="B4872" s="71"/>
      <c r="C4872" s="51"/>
      <c r="D4872" s="114"/>
      <c r="E4872" s="114"/>
      <c r="F4872" s="54"/>
      <c r="G4872" s="54"/>
      <c r="I4872" s="54"/>
      <c r="K4872" s="54"/>
      <c r="M4872" s="114"/>
      <c r="N4872" s="1"/>
      <c r="O4872" s="1"/>
      <c r="P4872" s="51"/>
    </row>
    <row r="4873">
      <c r="A4873" s="54"/>
      <c r="B4873" s="71"/>
      <c r="C4873" s="51"/>
      <c r="D4873" s="114"/>
      <c r="E4873" s="114"/>
      <c r="F4873" s="54"/>
      <c r="G4873" s="54"/>
      <c r="I4873" s="54"/>
      <c r="K4873" s="54"/>
      <c r="M4873" s="114"/>
      <c r="N4873" s="1"/>
      <c r="O4873" s="1"/>
      <c r="P4873" s="51"/>
    </row>
    <row r="4874">
      <c r="A4874" s="54"/>
      <c r="B4874" s="71"/>
      <c r="C4874" s="51"/>
      <c r="D4874" s="114"/>
      <c r="E4874" s="114"/>
      <c r="F4874" s="54"/>
      <c r="G4874" s="54"/>
      <c r="I4874" s="54"/>
      <c r="K4874" s="54"/>
      <c r="M4874" s="114"/>
      <c r="N4874" s="1"/>
      <c r="O4874" s="1"/>
      <c r="P4874" s="51"/>
    </row>
    <row r="4875">
      <c r="A4875" s="54"/>
      <c r="B4875" s="71"/>
      <c r="C4875" s="51"/>
      <c r="D4875" s="114"/>
      <c r="E4875" s="114"/>
      <c r="F4875" s="54"/>
      <c r="G4875" s="54"/>
      <c r="I4875" s="54"/>
      <c r="K4875" s="54"/>
      <c r="M4875" s="114"/>
      <c r="N4875" s="1"/>
      <c r="O4875" s="1"/>
      <c r="P4875" s="51"/>
    </row>
    <row r="4876">
      <c r="A4876" s="54"/>
      <c r="B4876" s="71"/>
      <c r="C4876" s="51"/>
      <c r="D4876" s="114"/>
      <c r="E4876" s="114"/>
      <c r="F4876" s="54"/>
      <c r="G4876" s="54"/>
      <c r="I4876" s="54"/>
      <c r="K4876" s="54"/>
      <c r="M4876" s="114"/>
      <c r="N4876" s="1"/>
      <c r="O4876" s="1"/>
      <c r="P4876" s="51"/>
    </row>
    <row r="4877">
      <c r="A4877" s="54"/>
      <c r="B4877" s="71"/>
      <c r="C4877" s="51"/>
      <c r="D4877" s="114"/>
      <c r="E4877" s="114"/>
      <c r="F4877" s="54"/>
      <c r="G4877" s="54"/>
      <c r="I4877" s="54"/>
      <c r="K4877" s="54"/>
      <c r="M4877" s="114"/>
      <c r="N4877" s="1"/>
      <c r="O4877" s="1"/>
      <c r="P4877" s="51"/>
    </row>
    <row r="4878">
      <c r="A4878" s="54"/>
      <c r="B4878" s="71"/>
      <c r="C4878" s="51"/>
      <c r="D4878" s="114"/>
      <c r="E4878" s="114"/>
      <c r="F4878" s="54"/>
      <c r="G4878" s="54"/>
      <c r="I4878" s="54"/>
      <c r="K4878" s="54"/>
      <c r="M4878" s="114"/>
      <c r="N4878" s="1"/>
      <c r="O4878" s="1"/>
      <c r="P4878" s="51"/>
    </row>
    <row r="4879">
      <c r="A4879" s="54"/>
      <c r="B4879" s="71"/>
      <c r="C4879" s="51"/>
      <c r="D4879" s="114"/>
      <c r="E4879" s="114"/>
      <c r="F4879" s="54"/>
      <c r="G4879" s="54"/>
      <c r="I4879" s="54"/>
      <c r="K4879" s="54"/>
      <c r="M4879" s="114"/>
      <c r="N4879" s="1"/>
      <c r="O4879" s="1"/>
      <c r="P4879" s="51"/>
    </row>
    <row r="4880">
      <c r="A4880" s="54"/>
      <c r="B4880" s="71"/>
      <c r="C4880" s="51"/>
      <c r="D4880" s="114"/>
      <c r="E4880" s="114"/>
      <c r="F4880" s="54"/>
      <c r="G4880" s="54"/>
      <c r="I4880" s="54"/>
      <c r="K4880" s="54"/>
      <c r="M4880" s="114"/>
      <c r="N4880" s="1"/>
      <c r="O4880" s="1"/>
      <c r="P4880" s="51"/>
    </row>
    <row r="4881">
      <c r="A4881" s="54"/>
      <c r="B4881" s="71"/>
      <c r="C4881" s="51"/>
      <c r="D4881" s="114"/>
      <c r="E4881" s="114"/>
      <c r="F4881" s="54"/>
      <c r="G4881" s="54"/>
      <c r="I4881" s="54"/>
      <c r="K4881" s="54"/>
      <c r="M4881" s="114"/>
      <c r="N4881" s="1"/>
      <c r="O4881" s="1"/>
      <c r="P4881" s="51"/>
    </row>
    <row r="4882">
      <c r="A4882" s="54"/>
      <c r="B4882" s="71"/>
      <c r="C4882" s="51"/>
      <c r="D4882" s="114"/>
      <c r="E4882" s="114"/>
      <c r="F4882" s="54"/>
      <c r="G4882" s="54"/>
      <c r="I4882" s="54"/>
      <c r="K4882" s="54"/>
      <c r="M4882" s="114"/>
      <c r="N4882" s="1"/>
      <c r="O4882" s="1"/>
      <c r="P4882" s="51"/>
    </row>
    <row r="4883">
      <c r="A4883" s="54"/>
      <c r="B4883" s="71"/>
      <c r="C4883" s="51"/>
      <c r="D4883" s="114"/>
      <c r="E4883" s="114"/>
      <c r="F4883" s="54"/>
      <c r="G4883" s="54"/>
      <c r="I4883" s="54"/>
      <c r="K4883" s="54"/>
      <c r="M4883" s="114"/>
      <c r="N4883" s="1"/>
      <c r="O4883" s="1"/>
      <c r="P4883" s="51"/>
    </row>
    <row r="4884">
      <c r="A4884" s="54"/>
      <c r="B4884" s="71"/>
      <c r="C4884" s="51"/>
      <c r="D4884" s="114"/>
      <c r="E4884" s="114"/>
      <c r="F4884" s="54"/>
      <c r="G4884" s="54"/>
      <c r="I4884" s="54"/>
      <c r="K4884" s="54"/>
      <c r="M4884" s="114"/>
      <c r="N4884" s="1"/>
      <c r="O4884" s="1"/>
      <c r="P4884" s="51"/>
    </row>
    <row r="4885">
      <c r="A4885" s="54"/>
      <c r="B4885" s="71"/>
      <c r="C4885" s="51"/>
      <c r="D4885" s="114"/>
      <c r="E4885" s="114"/>
      <c r="F4885" s="54"/>
      <c r="G4885" s="54"/>
      <c r="I4885" s="54"/>
      <c r="K4885" s="54"/>
      <c r="M4885" s="114"/>
      <c r="N4885" s="1"/>
      <c r="O4885" s="1"/>
      <c r="P4885" s="51"/>
    </row>
    <row r="4886">
      <c r="A4886" s="54"/>
      <c r="B4886" s="71"/>
      <c r="C4886" s="51"/>
      <c r="D4886" s="114"/>
      <c r="E4886" s="114"/>
      <c r="F4886" s="54"/>
      <c r="G4886" s="54"/>
      <c r="I4886" s="54"/>
      <c r="K4886" s="54"/>
      <c r="M4886" s="114"/>
      <c r="N4886" s="1"/>
      <c r="O4886" s="1"/>
      <c r="P4886" s="51"/>
    </row>
    <row r="4887">
      <c r="A4887" s="54"/>
      <c r="B4887" s="71"/>
      <c r="C4887" s="51"/>
      <c r="D4887" s="114"/>
      <c r="E4887" s="114"/>
      <c r="F4887" s="54"/>
      <c r="G4887" s="54"/>
      <c r="I4887" s="54"/>
      <c r="K4887" s="54"/>
      <c r="M4887" s="114"/>
      <c r="N4887" s="1"/>
      <c r="O4887" s="1"/>
      <c r="P4887" s="51"/>
    </row>
    <row r="4888">
      <c r="A4888" s="54"/>
      <c r="B4888" s="71"/>
      <c r="C4888" s="51"/>
      <c r="D4888" s="114"/>
      <c r="E4888" s="114"/>
      <c r="F4888" s="54"/>
      <c r="G4888" s="54"/>
      <c r="I4888" s="54"/>
      <c r="K4888" s="54"/>
      <c r="M4888" s="114"/>
      <c r="N4888" s="1"/>
      <c r="O4888" s="1"/>
      <c r="P4888" s="51"/>
    </row>
    <row r="4889">
      <c r="A4889" s="54"/>
      <c r="B4889" s="71"/>
      <c r="C4889" s="51"/>
      <c r="D4889" s="114"/>
      <c r="E4889" s="114"/>
      <c r="F4889" s="54"/>
      <c r="G4889" s="54"/>
      <c r="I4889" s="54"/>
      <c r="K4889" s="54"/>
      <c r="M4889" s="114"/>
      <c r="N4889" s="1"/>
      <c r="O4889" s="1"/>
      <c r="P4889" s="51"/>
    </row>
    <row r="4890">
      <c r="A4890" s="54"/>
      <c r="B4890" s="71"/>
      <c r="C4890" s="51"/>
      <c r="D4890" s="114"/>
      <c r="E4890" s="114"/>
      <c r="F4890" s="54"/>
      <c r="G4890" s="54"/>
      <c r="I4890" s="54"/>
      <c r="K4890" s="54"/>
      <c r="M4890" s="114"/>
      <c r="N4890" s="1"/>
      <c r="O4890" s="1"/>
      <c r="P4890" s="51"/>
    </row>
    <row r="4891">
      <c r="A4891" s="54"/>
      <c r="B4891" s="71"/>
      <c r="C4891" s="51"/>
      <c r="D4891" s="114"/>
      <c r="E4891" s="114"/>
      <c r="F4891" s="54"/>
      <c r="G4891" s="54"/>
      <c r="I4891" s="54"/>
      <c r="K4891" s="54"/>
      <c r="M4891" s="114"/>
      <c r="N4891" s="1"/>
      <c r="O4891" s="1"/>
      <c r="P4891" s="51"/>
    </row>
    <row r="4892">
      <c r="A4892" s="54"/>
      <c r="B4892" s="71"/>
      <c r="C4892" s="51"/>
      <c r="D4892" s="114"/>
      <c r="E4892" s="114"/>
      <c r="F4892" s="54"/>
      <c r="G4892" s="54"/>
      <c r="I4892" s="54"/>
      <c r="K4892" s="54"/>
      <c r="M4892" s="114"/>
      <c r="N4892" s="1"/>
      <c r="O4892" s="1"/>
      <c r="P4892" s="51"/>
    </row>
    <row r="4893">
      <c r="A4893" s="54"/>
      <c r="B4893" s="71"/>
      <c r="C4893" s="51"/>
      <c r="D4893" s="114"/>
      <c r="E4893" s="114"/>
      <c r="F4893" s="54"/>
      <c r="G4893" s="54"/>
      <c r="I4893" s="54"/>
      <c r="K4893" s="54"/>
      <c r="M4893" s="114"/>
      <c r="N4893" s="1"/>
      <c r="O4893" s="1"/>
      <c r="P4893" s="51"/>
    </row>
    <row r="4894">
      <c r="A4894" s="54"/>
      <c r="B4894" s="71"/>
      <c r="C4894" s="51"/>
      <c r="D4894" s="114"/>
      <c r="E4894" s="114"/>
      <c r="F4894" s="54"/>
      <c r="G4894" s="54"/>
      <c r="I4894" s="54"/>
      <c r="K4894" s="54"/>
      <c r="M4894" s="114"/>
      <c r="N4894" s="1"/>
      <c r="O4894" s="1"/>
      <c r="P4894" s="51"/>
    </row>
    <row r="4895">
      <c r="A4895" s="54"/>
      <c r="B4895" s="71"/>
      <c r="C4895" s="51"/>
      <c r="D4895" s="114"/>
      <c r="E4895" s="114"/>
      <c r="F4895" s="54"/>
      <c r="G4895" s="54"/>
      <c r="I4895" s="54"/>
      <c r="K4895" s="54"/>
      <c r="M4895" s="114"/>
      <c r="N4895" s="1"/>
      <c r="O4895" s="1"/>
      <c r="P4895" s="51"/>
    </row>
    <row r="4896">
      <c r="A4896" s="54"/>
      <c r="B4896" s="71"/>
      <c r="C4896" s="51"/>
      <c r="D4896" s="114"/>
      <c r="E4896" s="114"/>
      <c r="F4896" s="54"/>
      <c r="G4896" s="54"/>
      <c r="I4896" s="54"/>
      <c r="K4896" s="54"/>
      <c r="M4896" s="114"/>
      <c r="N4896" s="1"/>
      <c r="O4896" s="1"/>
      <c r="P4896" s="51"/>
    </row>
    <row r="4897">
      <c r="A4897" s="54"/>
      <c r="B4897" s="71"/>
      <c r="C4897" s="51"/>
      <c r="D4897" s="114"/>
      <c r="E4897" s="114"/>
      <c r="F4897" s="54"/>
      <c r="G4897" s="54"/>
      <c r="I4897" s="54"/>
      <c r="K4897" s="54"/>
      <c r="M4897" s="114"/>
      <c r="N4897" s="1"/>
      <c r="O4897" s="1"/>
      <c r="P4897" s="51"/>
    </row>
    <row r="4898">
      <c r="A4898" s="54"/>
      <c r="B4898" s="71"/>
      <c r="C4898" s="51"/>
      <c r="D4898" s="114"/>
      <c r="E4898" s="114"/>
      <c r="F4898" s="54"/>
      <c r="G4898" s="54"/>
      <c r="I4898" s="54"/>
      <c r="K4898" s="54"/>
      <c r="M4898" s="114"/>
      <c r="N4898" s="1"/>
      <c r="O4898" s="1"/>
      <c r="P4898" s="51"/>
    </row>
    <row r="4899">
      <c r="A4899" s="54"/>
      <c r="B4899" s="71"/>
      <c r="C4899" s="51"/>
      <c r="D4899" s="114"/>
      <c r="E4899" s="114"/>
      <c r="F4899" s="54"/>
      <c r="G4899" s="54"/>
      <c r="I4899" s="54"/>
      <c r="K4899" s="54"/>
      <c r="M4899" s="114"/>
      <c r="N4899" s="1"/>
      <c r="O4899" s="1"/>
      <c r="P4899" s="51"/>
    </row>
    <row r="4900">
      <c r="A4900" s="54"/>
      <c r="B4900" s="71"/>
      <c r="C4900" s="51"/>
      <c r="D4900" s="114"/>
      <c r="E4900" s="114"/>
      <c r="F4900" s="54"/>
      <c r="G4900" s="54"/>
      <c r="I4900" s="54"/>
      <c r="K4900" s="54"/>
      <c r="M4900" s="114"/>
      <c r="N4900" s="1"/>
      <c r="O4900" s="1"/>
      <c r="P4900" s="51"/>
    </row>
    <row r="4901">
      <c r="A4901" s="54"/>
      <c r="B4901" s="71"/>
      <c r="C4901" s="51"/>
      <c r="D4901" s="114"/>
      <c r="E4901" s="114"/>
      <c r="F4901" s="54"/>
      <c r="G4901" s="54"/>
      <c r="I4901" s="54"/>
      <c r="K4901" s="54"/>
      <c r="M4901" s="114"/>
      <c r="N4901" s="1"/>
      <c r="O4901" s="1"/>
      <c r="P4901" s="51"/>
    </row>
    <row r="4902">
      <c r="A4902" s="54"/>
      <c r="B4902" s="71"/>
      <c r="C4902" s="51"/>
      <c r="D4902" s="114"/>
      <c r="E4902" s="114"/>
      <c r="F4902" s="54"/>
      <c r="G4902" s="54"/>
      <c r="I4902" s="54"/>
      <c r="K4902" s="54"/>
      <c r="M4902" s="114"/>
      <c r="N4902" s="1"/>
      <c r="O4902" s="1"/>
      <c r="P4902" s="51"/>
    </row>
    <row r="4903">
      <c r="A4903" s="54"/>
      <c r="B4903" s="71"/>
      <c r="C4903" s="51"/>
      <c r="D4903" s="114"/>
      <c r="E4903" s="114"/>
      <c r="F4903" s="54"/>
      <c r="G4903" s="54"/>
      <c r="I4903" s="54"/>
      <c r="K4903" s="54"/>
      <c r="M4903" s="114"/>
      <c r="N4903" s="1"/>
      <c r="O4903" s="1"/>
      <c r="P4903" s="51"/>
    </row>
    <row r="4904">
      <c r="A4904" s="54"/>
      <c r="B4904" s="71"/>
      <c r="C4904" s="51"/>
      <c r="D4904" s="114"/>
      <c r="E4904" s="114"/>
      <c r="F4904" s="54"/>
      <c r="G4904" s="54"/>
      <c r="I4904" s="54"/>
      <c r="K4904" s="54"/>
      <c r="M4904" s="114"/>
      <c r="N4904" s="1"/>
      <c r="O4904" s="1"/>
      <c r="P4904" s="51"/>
    </row>
    <row r="4905">
      <c r="A4905" s="54"/>
      <c r="B4905" s="71"/>
      <c r="C4905" s="51"/>
      <c r="D4905" s="114"/>
      <c r="E4905" s="114"/>
      <c r="F4905" s="54"/>
      <c r="G4905" s="54"/>
      <c r="I4905" s="54"/>
      <c r="K4905" s="54"/>
      <c r="M4905" s="114"/>
      <c r="N4905" s="1"/>
      <c r="O4905" s="1"/>
      <c r="P4905" s="51"/>
    </row>
    <row r="4906">
      <c r="A4906" s="54"/>
      <c r="B4906" s="71"/>
      <c r="C4906" s="51"/>
      <c r="D4906" s="114"/>
      <c r="E4906" s="114"/>
      <c r="F4906" s="54"/>
      <c r="G4906" s="54"/>
      <c r="I4906" s="54"/>
      <c r="K4906" s="54"/>
      <c r="M4906" s="114"/>
      <c r="N4906" s="1"/>
      <c r="O4906" s="1"/>
      <c r="P4906" s="51"/>
    </row>
    <row r="4907">
      <c r="A4907" s="54"/>
      <c r="B4907" s="71"/>
      <c r="C4907" s="51"/>
      <c r="D4907" s="114"/>
      <c r="E4907" s="114"/>
      <c r="F4907" s="54"/>
      <c r="G4907" s="54"/>
      <c r="I4907" s="54"/>
      <c r="K4907" s="54"/>
      <c r="M4907" s="114"/>
      <c r="N4907" s="1"/>
      <c r="O4907" s="1"/>
      <c r="P4907" s="51"/>
    </row>
    <row r="4908">
      <c r="A4908" s="54"/>
      <c r="B4908" s="71"/>
      <c r="C4908" s="51"/>
      <c r="D4908" s="114"/>
      <c r="E4908" s="114"/>
      <c r="F4908" s="54"/>
      <c r="G4908" s="54"/>
      <c r="I4908" s="54"/>
      <c r="K4908" s="54"/>
      <c r="M4908" s="114"/>
      <c r="N4908" s="1"/>
      <c r="O4908" s="1"/>
      <c r="P4908" s="51"/>
    </row>
    <row r="4909">
      <c r="A4909" s="54"/>
      <c r="B4909" s="71"/>
      <c r="C4909" s="51"/>
      <c r="D4909" s="114"/>
      <c r="E4909" s="114"/>
      <c r="F4909" s="54"/>
      <c r="G4909" s="54"/>
      <c r="I4909" s="54"/>
      <c r="K4909" s="54"/>
      <c r="M4909" s="114"/>
      <c r="N4909" s="1"/>
      <c r="O4909" s="1"/>
      <c r="P4909" s="51"/>
    </row>
    <row r="4910">
      <c r="A4910" s="54"/>
      <c r="B4910" s="71"/>
      <c r="C4910" s="51"/>
      <c r="D4910" s="114"/>
      <c r="E4910" s="114"/>
      <c r="F4910" s="54"/>
      <c r="G4910" s="54"/>
      <c r="I4910" s="54"/>
      <c r="K4910" s="54"/>
      <c r="M4910" s="114"/>
      <c r="N4910" s="1"/>
      <c r="O4910" s="1"/>
      <c r="P4910" s="51"/>
    </row>
    <row r="4911">
      <c r="A4911" s="54"/>
      <c r="B4911" s="71"/>
      <c r="C4911" s="51"/>
      <c r="D4911" s="114"/>
      <c r="E4911" s="114"/>
      <c r="F4911" s="54"/>
      <c r="G4911" s="54"/>
      <c r="I4911" s="54"/>
      <c r="K4911" s="54"/>
      <c r="M4911" s="114"/>
      <c r="N4911" s="1"/>
      <c r="O4911" s="1"/>
      <c r="P4911" s="51"/>
    </row>
    <row r="4912">
      <c r="A4912" s="54"/>
      <c r="B4912" s="71"/>
      <c r="C4912" s="51"/>
      <c r="D4912" s="114"/>
      <c r="E4912" s="114"/>
      <c r="F4912" s="54"/>
      <c r="G4912" s="54"/>
      <c r="I4912" s="54"/>
      <c r="K4912" s="54"/>
      <c r="M4912" s="114"/>
      <c r="N4912" s="1"/>
      <c r="O4912" s="1"/>
      <c r="P4912" s="51"/>
    </row>
    <row r="4913">
      <c r="A4913" s="54"/>
      <c r="B4913" s="71"/>
      <c r="C4913" s="51"/>
      <c r="D4913" s="114"/>
      <c r="E4913" s="114"/>
      <c r="F4913" s="54"/>
      <c r="G4913" s="54"/>
      <c r="I4913" s="54"/>
      <c r="K4913" s="54"/>
      <c r="M4913" s="114"/>
      <c r="N4913" s="1"/>
      <c r="O4913" s="1"/>
      <c r="P4913" s="51"/>
    </row>
    <row r="4914">
      <c r="A4914" s="54"/>
      <c r="B4914" s="71"/>
      <c r="C4914" s="51"/>
      <c r="D4914" s="114"/>
      <c r="E4914" s="114"/>
      <c r="F4914" s="54"/>
      <c r="G4914" s="54"/>
      <c r="I4914" s="54"/>
      <c r="K4914" s="54"/>
      <c r="M4914" s="114"/>
      <c r="N4914" s="1"/>
      <c r="O4914" s="1"/>
      <c r="P4914" s="51"/>
    </row>
    <row r="4915">
      <c r="A4915" s="54"/>
      <c r="B4915" s="71"/>
      <c r="C4915" s="51"/>
      <c r="D4915" s="114"/>
      <c r="E4915" s="114"/>
      <c r="F4915" s="54"/>
      <c r="G4915" s="54"/>
      <c r="I4915" s="54"/>
      <c r="K4915" s="54"/>
      <c r="M4915" s="114"/>
      <c r="N4915" s="1"/>
      <c r="O4915" s="1"/>
      <c r="P4915" s="51"/>
    </row>
    <row r="4916">
      <c r="A4916" s="54"/>
      <c r="B4916" s="71"/>
      <c r="C4916" s="51"/>
      <c r="D4916" s="114"/>
      <c r="E4916" s="114"/>
      <c r="F4916" s="54"/>
      <c r="G4916" s="54"/>
      <c r="I4916" s="54"/>
      <c r="K4916" s="54"/>
      <c r="M4916" s="114"/>
      <c r="N4916" s="1"/>
      <c r="O4916" s="1"/>
      <c r="P4916" s="51"/>
    </row>
    <row r="4917">
      <c r="A4917" s="54"/>
      <c r="B4917" s="71"/>
      <c r="C4917" s="51"/>
      <c r="D4917" s="114"/>
      <c r="E4917" s="114"/>
      <c r="F4917" s="54"/>
      <c r="G4917" s="54"/>
      <c r="I4917" s="54"/>
      <c r="K4917" s="54"/>
      <c r="M4917" s="114"/>
      <c r="N4917" s="1"/>
      <c r="O4917" s="1"/>
      <c r="P4917" s="51"/>
    </row>
    <row r="4918">
      <c r="A4918" s="54"/>
      <c r="B4918" s="71"/>
      <c r="C4918" s="51"/>
      <c r="D4918" s="114"/>
      <c r="E4918" s="114"/>
      <c r="F4918" s="54"/>
      <c r="G4918" s="54"/>
      <c r="I4918" s="54"/>
      <c r="K4918" s="54"/>
      <c r="M4918" s="114"/>
      <c r="N4918" s="1"/>
      <c r="O4918" s="1"/>
      <c r="P4918" s="51"/>
    </row>
    <row r="4919">
      <c r="A4919" s="54"/>
      <c r="B4919" s="71"/>
      <c r="C4919" s="51"/>
      <c r="D4919" s="114"/>
      <c r="E4919" s="114"/>
      <c r="F4919" s="54"/>
      <c r="G4919" s="54"/>
      <c r="I4919" s="54"/>
      <c r="K4919" s="54"/>
      <c r="M4919" s="114"/>
      <c r="N4919" s="1"/>
      <c r="O4919" s="1"/>
      <c r="P4919" s="51"/>
    </row>
    <row r="4920">
      <c r="A4920" s="54"/>
      <c r="B4920" s="71"/>
      <c r="C4920" s="51"/>
      <c r="D4920" s="114"/>
      <c r="E4920" s="114"/>
      <c r="F4920" s="54"/>
      <c r="G4920" s="54"/>
      <c r="I4920" s="54"/>
      <c r="K4920" s="54"/>
      <c r="M4920" s="114"/>
      <c r="N4920" s="1"/>
      <c r="O4920" s="1"/>
      <c r="P4920" s="51"/>
    </row>
    <row r="4921">
      <c r="A4921" s="54"/>
      <c r="B4921" s="71"/>
      <c r="C4921" s="51"/>
      <c r="D4921" s="114"/>
      <c r="E4921" s="114"/>
      <c r="F4921" s="54"/>
      <c r="G4921" s="54"/>
      <c r="I4921" s="54"/>
      <c r="K4921" s="54"/>
      <c r="M4921" s="114"/>
      <c r="N4921" s="1"/>
      <c r="O4921" s="1"/>
      <c r="P4921" s="51"/>
    </row>
    <row r="4922">
      <c r="A4922" s="54"/>
      <c r="B4922" s="71"/>
      <c r="C4922" s="51"/>
      <c r="D4922" s="114"/>
      <c r="E4922" s="114"/>
      <c r="F4922" s="54"/>
      <c r="G4922" s="54"/>
      <c r="I4922" s="54"/>
      <c r="K4922" s="54"/>
      <c r="M4922" s="114"/>
      <c r="N4922" s="1"/>
      <c r="O4922" s="1"/>
      <c r="P4922" s="51"/>
    </row>
    <row r="4923">
      <c r="A4923" s="54"/>
      <c r="B4923" s="71"/>
      <c r="C4923" s="51"/>
      <c r="D4923" s="114"/>
      <c r="E4923" s="114"/>
      <c r="F4923" s="54"/>
      <c r="G4923" s="54"/>
      <c r="I4923" s="54"/>
      <c r="K4923" s="54"/>
      <c r="M4923" s="114"/>
      <c r="N4923" s="1"/>
      <c r="O4923" s="1"/>
      <c r="P4923" s="51"/>
    </row>
    <row r="4924">
      <c r="A4924" s="54"/>
      <c r="B4924" s="71"/>
      <c r="C4924" s="51"/>
      <c r="D4924" s="114"/>
      <c r="E4924" s="114"/>
      <c r="F4924" s="54"/>
      <c r="G4924" s="54"/>
      <c r="I4924" s="54"/>
      <c r="K4924" s="54"/>
      <c r="M4924" s="114"/>
      <c r="N4924" s="1"/>
      <c r="O4924" s="1"/>
      <c r="P4924" s="51"/>
    </row>
    <row r="4925">
      <c r="A4925" s="54"/>
      <c r="B4925" s="71"/>
      <c r="C4925" s="51"/>
      <c r="D4925" s="114"/>
      <c r="E4925" s="114"/>
      <c r="F4925" s="54"/>
      <c r="G4925" s="54"/>
      <c r="I4925" s="54"/>
      <c r="K4925" s="54"/>
      <c r="M4925" s="114"/>
      <c r="N4925" s="1"/>
      <c r="O4925" s="1"/>
      <c r="P4925" s="51"/>
    </row>
    <row r="4926">
      <c r="A4926" s="54"/>
      <c r="B4926" s="71"/>
      <c r="C4926" s="51"/>
      <c r="D4926" s="114"/>
      <c r="E4926" s="114"/>
      <c r="F4926" s="54"/>
      <c r="G4926" s="54"/>
      <c r="I4926" s="54"/>
      <c r="K4926" s="54"/>
      <c r="M4926" s="114"/>
      <c r="N4926" s="1"/>
      <c r="O4926" s="1"/>
      <c r="P4926" s="51"/>
    </row>
    <row r="4927">
      <c r="A4927" s="54"/>
      <c r="B4927" s="71"/>
      <c r="C4927" s="51"/>
      <c r="D4927" s="114"/>
      <c r="E4927" s="114"/>
      <c r="F4927" s="54"/>
      <c r="G4927" s="54"/>
      <c r="I4927" s="54"/>
      <c r="K4927" s="54"/>
      <c r="M4927" s="114"/>
      <c r="N4927" s="1"/>
      <c r="O4927" s="1"/>
      <c r="P4927" s="51"/>
    </row>
    <row r="4928">
      <c r="A4928" s="54"/>
      <c r="B4928" s="71"/>
      <c r="C4928" s="51"/>
      <c r="D4928" s="114"/>
      <c r="E4928" s="114"/>
      <c r="F4928" s="54"/>
      <c r="G4928" s="54"/>
      <c r="I4928" s="54"/>
      <c r="K4928" s="54"/>
      <c r="M4928" s="114"/>
      <c r="N4928" s="1"/>
      <c r="O4928" s="1"/>
      <c r="P4928" s="51"/>
    </row>
    <row r="4929">
      <c r="A4929" s="54"/>
      <c r="B4929" s="71"/>
      <c r="C4929" s="51"/>
      <c r="D4929" s="114"/>
      <c r="E4929" s="114"/>
      <c r="F4929" s="54"/>
      <c r="G4929" s="54"/>
      <c r="I4929" s="54"/>
      <c r="K4929" s="54"/>
      <c r="M4929" s="114"/>
      <c r="N4929" s="1"/>
      <c r="O4929" s="1"/>
      <c r="P4929" s="51"/>
    </row>
    <row r="4930">
      <c r="A4930" s="54"/>
      <c r="B4930" s="71"/>
      <c r="C4930" s="51"/>
      <c r="D4930" s="114"/>
      <c r="E4930" s="114"/>
      <c r="F4930" s="54"/>
      <c r="G4930" s="54"/>
      <c r="I4930" s="54"/>
      <c r="K4930" s="54"/>
      <c r="M4930" s="114"/>
      <c r="N4930" s="1"/>
      <c r="O4930" s="1"/>
      <c r="P4930" s="51"/>
    </row>
    <row r="4931">
      <c r="A4931" s="54"/>
      <c r="B4931" s="71"/>
      <c r="C4931" s="51"/>
      <c r="D4931" s="114"/>
      <c r="E4931" s="114"/>
      <c r="F4931" s="54"/>
      <c r="G4931" s="54"/>
      <c r="I4931" s="54"/>
      <c r="K4931" s="54"/>
      <c r="M4931" s="114"/>
      <c r="N4931" s="1"/>
      <c r="O4931" s="1"/>
      <c r="P4931" s="51"/>
    </row>
    <row r="4932">
      <c r="A4932" s="54"/>
      <c r="B4932" s="71"/>
      <c r="C4932" s="51"/>
      <c r="D4932" s="114"/>
      <c r="E4932" s="114"/>
      <c r="F4932" s="54"/>
      <c r="G4932" s="54"/>
      <c r="I4932" s="54"/>
      <c r="K4932" s="54"/>
      <c r="M4932" s="114"/>
      <c r="N4932" s="1"/>
      <c r="O4932" s="1"/>
      <c r="P4932" s="51"/>
    </row>
    <row r="4933">
      <c r="A4933" s="54"/>
      <c r="B4933" s="71"/>
      <c r="C4933" s="51"/>
      <c r="D4933" s="114"/>
      <c r="E4933" s="114"/>
      <c r="F4933" s="54"/>
      <c r="G4933" s="54"/>
      <c r="I4933" s="54"/>
      <c r="K4933" s="54"/>
      <c r="M4933" s="114"/>
      <c r="N4933" s="1"/>
      <c r="O4933" s="1"/>
      <c r="P4933" s="51"/>
    </row>
    <row r="4934">
      <c r="A4934" s="54"/>
      <c r="B4934" s="71"/>
      <c r="C4934" s="51"/>
      <c r="D4934" s="114"/>
      <c r="E4934" s="114"/>
      <c r="F4934" s="54"/>
      <c r="G4934" s="54"/>
      <c r="I4934" s="54"/>
      <c r="K4934" s="54"/>
      <c r="M4934" s="114"/>
      <c r="N4934" s="1"/>
      <c r="O4934" s="1"/>
      <c r="P4934" s="51"/>
    </row>
    <row r="4935">
      <c r="A4935" s="54"/>
      <c r="B4935" s="71"/>
      <c r="C4935" s="51"/>
      <c r="D4935" s="114"/>
      <c r="E4935" s="114"/>
      <c r="F4935" s="54"/>
      <c r="G4935" s="54"/>
      <c r="I4935" s="54"/>
      <c r="K4935" s="54"/>
      <c r="M4935" s="114"/>
      <c r="N4935" s="1"/>
      <c r="O4935" s="1"/>
      <c r="P4935" s="51"/>
    </row>
    <row r="4936">
      <c r="A4936" s="54"/>
      <c r="B4936" s="71"/>
      <c r="C4936" s="51"/>
      <c r="D4936" s="114"/>
      <c r="E4936" s="114"/>
      <c r="F4936" s="54"/>
      <c r="G4936" s="54"/>
      <c r="I4936" s="54"/>
      <c r="K4936" s="54"/>
      <c r="M4936" s="114"/>
      <c r="N4936" s="1"/>
      <c r="O4936" s="1"/>
      <c r="P4936" s="51"/>
    </row>
    <row r="4937">
      <c r="A4937" s="54"/>
      <c r="B4937" s="71"/>
      <c r="C4937" s="51"/>
      <c r="D4937" s="114"/>
      <c r="E4937" s="114"/>
      <c r="F4937" s="54"/>
      <c r="G4937" s="54"/>
      <c r="I4937" s="54"/>
      <c r="K4937" s="54"/>
      <c r="M4937" s="114"/>
      <c r="N4937" s="1"/>
      <c r="O4937" s="1"/>
      <c r="P4937" s="51"/>
    </row>
    <row r="4938">
      <c r="A4938" s="54"/>
      <c r="B4938" s="71"/>
      <c r="C4938" s="51"/>
      <c r="D4938" s="114"/>
      <c r="E4938" s="114"/>
      <c r="F4938" s="54"/>
      <c r="G4938" s="54"/>
      <c r="I4938" s="54"/>
      <c r="K4938" s="54"/>
      <c r="M4938" s="114"/>
      <c r="N4938" s="1"/>
      <c r="O4938" s="1"/>
      <c r="P4938" s="51"/>
    </row>
    <row r="4939">
      <c r="A4939" s="54"/>
      <c r="B4939" s="71"/>
      <c r="C4939" s="51"/>
      <c r="D4939" s="114"/>
      <c r="E4939" s="114"/>
      <c r="F4939" s="54"/>
      <c r="G4939" s="54"/>
      <c r="I4939" s="54"/>
      <c r="K4939" s="54"/>
      <c r="M4939" s="114"/>
      <c r="N4939" s="1"/>
      <c r="O4939" s="1"/>
      <c r="P4939" s="51"/>
    </row>
    <row r="4940">
      <c r="A4940" s="54"/>
      <c r="B4940" s="71"/>
      <c r="C4940" s="51"/>
      <c r="D4940" s="114"/>
      <c r="E4940" s="114"/>
      <c r="F4940" s="54"/>
      <c r="G4940" s="54"/>
      <c r="I4940" s="54"/>
      <c r="K4940" s="54"/>
      <c r="M4940" s="114"/>
      <c r="N4940" s="1"/>
      <c r="O4940" s="1"/>
      <c r="P4940" s="51"/>
    </row>
    <row r="4941">
      <c r="A4941" s="54"/>
      <c r="B4941" s="71"/>
      <c r="C4941" s="51"/>
      <c r="D4941" s="114"/>
      <c r="E4941" s="114"/>
      <c r="F4941" s="54"/>
      <c r="G4941" s="54"/>
      <c r="I4941" s="54"/>
      <c r="K4941" s="54"/>
      <c r="M4941" s="114"/>
      <c r="N4941" s="1"/>
      <c r="O4941" s="1"/>
      <c r="P4941" s="51"/>
    </row>
    <row r="4942">
      <c r="A4942" s="54"/>
      <c r="B4942" s="71"/>
      <c r="C4942" s="51"/>
      <c r="D4942" s="114"/>
      <c r="E4942" s="114"/>
      <c r="F4942" s="54"/>
      <c r="G4942" s="54"/>
      <c r="I4942" s="54"/>
      <c r="K4942" s="54"/>
      <c r="M4942" s="114"/>
      <c r="N4942" s="1"/>
      <c r="O4942" s="1"/>
      <c r="P4942" s="51"/>
    </row>
    <row r="4943">
      <c r="A4943" s="54"/>
      <c r="B4943" s="71"/>
      <c r="C4943" s="51"/>
      <c r="D4943" s="114"/>
      <c r="E4943" s="114"/>
      <c r="F4943" s="54"/>
      <c r="G4943" s="54"/>
      <c r="I4943" s="54"/>
      <c r="K4943" s="54"/>
      <c r="M4943" s="114"/>
      <c r="N4943" s="1"/>
      <c r="O4943" s="1"/>
      <c r="P4943" s="51"/>
    </row>
    <row r="4944">
      <c r="A4944" s="54"/>
      <c r="B4944" s="71"/>
      <c r="C4944" s="51"/>
      <c r="D4944" s="114"/>
      <c r="E4944" s="114"/>
      <c r="F4944" s="54"/>
      <c r="G4944" s="54"/>
      <c r="I4944" s="54"/>
      <c r="K4944" s="54"/>
      <c r="M4944" s="114"/>
      <c r="N4944" s="1"/>
      <c r="O4944" s="1"/>
      <c r="P4944" s="51"/>
    </row>
    <row r="4945">
      <c r="A4945" s="54"/>
      <c r="B4945" s="71"/>
      <c r="C4945" s="51"/>
      <c r="D4945" s="114"/>
      <c r="E4945" s="114"/>
      <c r="F4945" s="54"/>
      <c r="G4945" s="54"/>
      <c r="I4945" s="54"/>
      <c r="K4945" s="54"/>
      <c r="M4945" s="114"/>
      <c r="N4945" s="1"/>
      <c r="O4945" s="1"/>
      <c r="P4945" s="51"/>
    </row>
    <row r="4946">
      <c r="A4946" s="54"/>
      <c r="B4946" s="71"/>
      <c r="C4946" s="51"/>
      <c r="D4946" s="114"/>
      <c r="E4946" s="114"/>
      <c r="F4946" s="54"/>
      <c r="G4946" s="54"/>
      <c r="I4946" s="54"/>
      <c r="K4946" s="54"/>
      <c r="M4946" s="114"/>
      <c r="N4946" s="1"/>
      <c r="O4946" s="1"/>
      <c r="P4946" s="51"/>
    </row>
    <row r="4947">
      <c r="A4947" s="54"/>
      <c r="B4947" s="71"/>
      <c r="C4947" s="51"/>
      <c r="D4947" s="114"/>
      <c r="E4947" s="114"/>
      <c r="F4947" s="54"/>
      <c r="G4947" s="54"/>
      <c r="I4947" s="54"/>
      <c r="K4947" s="54"/>
      <c r="M4947" s="114"/>
      <c r="N4947" s="1"/>
      <c r="O4947" s="1"/>
      <c r="P4947" s="51"/>
    </row>
    <row r="4948">
      <c r="A4948" s="54"/>
      <c r="B4948" s="71"/>
      <c r="C4948" s="51"/>
      <c r="D4948" s="114"/>
      <c r="E4948" s="114"/>
      <c r="F4948" s="54"/>
      <c r="G4948" s="54"/>
      <c r="I4948" s="54"/>
      <c r="K4948" s="54"/>
      <c r="M4948" s="114"/>
      <c r="N4948" s="1"/>
      <c r="O4948" s="1"/>
      <c r="P4948" s="51"/>
    </row>
    <row r="4949">
      <c r="A4949" s="54"/>
      <c r="B4949" s="71"/>
      <c r="C4949" s="51"/>
      <c r="D4949" s="114"/>
      <c r="E4949" s="114"/>
      <c r="F4949" s="54"/>
      <c r="G4949" s="54"/>
      <c r="I4949" s="54"/>
      <c r="K4949" s="54"/>
      <c r="M4949" s="114"/>
      <c r="N4949" s="1"/>
      <c r="O4949" s="1"/>
      <c r="P4949" s="51"/>
    </row>
    <row r="4950">
      <c r="A4950" s="54"/>
      <c r="B4950" s="71"/>
      <c r="C4950" s="51"/>
      <c r="D4950" s="114"/>
      <c r="E4950" s="114"/>
      <c r="F4950" s="54"/>
      <c r="G4950" s="54"/>
      <c r="I4950" s="54"/>
      <c r="K4950" s="54"/>
      <c r="M4950" s="114"/>
      <c r="N4950" s="1"/>
      <c r="O4950" s="1"/>
      <c r="P4950" s="51"/>
    </row>
    <row r="4951">
      <c r="A4951" s="54"/>
      <c r="B4951" s="71"/>
      <c r="C4951" s="51"/>
      <c r="D4951" s="114"/>
      <c r="E4951" s="114"/>
      <c r="F4951" s="54"/>
      <c r="G4951" s="54"/>
      <c r="I4951" s="54"/>
      <c r="K4951" s="54"/>
      <c r="M4951" s="114"/>
      <c r="N4951" s="1"/>
      <c r="O4951" s="1"/>
      <c r="P4951" s="51"/>
    </row>
    <row r="4952">
      <c r="A4952" s="54"/>
      <c r="B4952" s="71"/>
      <c r="C4952" s="51"/>
      <c r="D4952" s="114"/>
      <c r="E4952" s="114"/>
      <c r="F4952" s="54"/>
      <c r="G4952" s="54"/>
      <c r="I4952" s="54"/>
      <c r="K4952" s="54"/>
      <c r="M4952" s="114"/>
      <c r="N4952" s="1"/>
      <c r="O4952" s="1"/>
      <c r="P4952" s="51"/>
    </row>
    <row r="4953">
      <c r="A4953" s="54"/>
      <c r="B4953" s="71"/>
      <c r="C4953" s="51"/>
      <c r="D4953" s="114"/>
      <c r="E4953" s="114"/>
      <c r="F4953" s="54"/>
      <c r="G4953" s="54"/>
      <c r="I4953" s="54"/>
      <c r="K4953" s="54"/>
      <c r="M4953" s="114"/>
      <c r="N4953" s="1"/>
      <c r="O4953" s="1"/>
      <c r="P4953" s="51"/>
    </row>
    <row r="4954">
      <c r="A4954" s="54"/>
      <c r="B4954" s="71"/>
      <c r="C4954" s="51"/>
      <c r="D4954" s="114"/>
      <c r="E4954" s="114"/>
      <c r="F4954" s="54"/>
      <c r="G4954" s="54"/>
      <c r="I4954" s="54"/>
      <c r="K4954" s="54"/>
      <c r="M4954" s="114"/>
      <c r="N4954" s="1"/>
      <c r="O4954" s="1"/>
      <c r="P4954" s="51"/>
    </row>
    <row r="4955">
      <c r="A4955" s="54"/>
      <c r="B4955" s="71"/>
      <c r="C4955" s="51"/>
      <c r="D4955" s="114"/>
      <c r="E4955" s="114"/>
      <c r="F4955" s="54"/>
      <c r="G4955" s="54"/>
      <c r="I4955" s="54"/>
      <c r="K4955" s="54"/>
      <c r="M4955" s="114"/>
      <c r="N4955" s="1"/>
      <c r="O4955" s="1"/>
      <c r="P4955" s="51"/>
    </row>
    <row r="4956">
      <c r="A4956" s="54"/>
      <c r="B4956" s="71"/>
      <c r="C4956" s="51"/>
      <c r="D4956" s="114"/>
      <c r="E4956" s="114"/>
      <c r="F4956" s="54"/>
      <c r="G4956" s="54"/>
      <c r="I4956" s="54"/>
      <c r="K4956" s="54"/>
      <c r="M4956" s="114"/>
      <c r="N4956" s="1"/>
      <c r="O4956" s="1"/>
      <c r="P4956" s="51"/>
    </row>
    <row r="4957">
      <c r="A4957" s="54"/>
      <c r="B4957" s="71"/>
      <c r="C4957" s="51"/>
      <c r="D4957" s="114"/>
      <c r="E4957" s="114"/>
      <c r="F4957" s="54"/>
      <c r="G4957" s="54"/>
      <c r="I4957" s="54"/>
      <c r="K4957" s="54"/>
      <c r="M4957" s="114"/>
      <c r="N4957" s="1"/>
      <c r="O4957" s="1"/>
      <c r="P4957" s="51"/>
    </row>
    <row r="4958">
      <c r="A4958" s="54"/>
      <c r="B4958" s="71"/>
      <c r="C4958" s="51"/>
      <c r="D4958" s="114"/>
      <c r="E4958" s="114"/>
      <c r="F4958" s="54"/>
      <c r="G4958" s="54"/>
      <c r="I4958" s="54"/>
      <c r="K4958" s="54"/>
      <c r="M4958" s="114"/>
      <c r="N4958" s="1"/>
      <c r="O4958" s="1"/>
      <c r="P4958" s="51"/>
    </row>
    <row r="4959">
      <c r="A4959" s="54"/>
      <c r="B4959" s="71"/>
      <c r="C4959" s="51"/>
      <c r="D4959" s="114"/>
      <c r="E4959" s="114"/>
      <c r="F4959" s="54"/>
      <c r="G4959" s="54"/>
      <c r="I4959" s="54"/>
      <c r="K4959" s="54"/>
      <c r="M4959" s="114"/>
      <c r="N4959" s="1"/>
      <c r="O4959" s="1"/>
      <c r="P4959" s="51"/>
    </row>
    <row r="4960">
      <c r="A4960" s="54"/>
      <c r="B4960" s="71"/>
      <c r="C4960" s="51"/>
      <c r="D4960" s="114"/>
      <c r="E4960" s="114"/>
      <c r="F4960" s="54"/>
      <c r="G4960" s="54"/>
      <c r="I4960" s="54"/>
      <c r="K4960" s="54"/>
      <c r="M4960" s="114"/>
      <c r="N4960" s="1"/>
      <c r="O4960" s="1"/>
      <c r="P4960" s="51"/>
    </row>
    <row r="4961">
      <c r="A4961" s="54"/>
      <c r="B4961" s="71"/>
      <c r="C4961" s="51"/>
      <c r="D4961" s="114"/>
      <c r="E4961" s="114"/>
      <c r="F4961" s="54"/>
      <c r="G4961" s="54"/>
      <c r="I4961" s="54"/>
      <c r="K4961" s="54"/>
      <c r="M4961" s="114"/>
      <c r="N4961" s="1"/>
      <c r="O4961" s="1"/>
      <c r="P4961" s="51"/>
    </row>
    <row r="4962">
      <c r="A4962" s="54"/>
      <c r="B4962" s="71"/>
      <c r="C4962" s="51"/>
      <c r="D4962" s="114"/>
      <c r="E4962" s="114"/>
      <c r="F4962" s="54"/>
      <c r="G4962" s="54"/>
      <c r="I4962" s="54"/>
      <c r="K4962" s="54"/>
      <c r="M4962" s="114"/>
      <c r="N4962" s="1"/>
      <c r="O4962" s="1"/>
      <c r="P4962" s="51"/>
    </row>
    <row r="4963">
      <c r="A4963" s="54"/>
      <c r="B4963" s="71"/>
      <c r="C4963" s="51"/>
      <c r="D4963" s="114"/>
      <c r="E4963" s="114"/>
      <c r="F4963" s="54"/>
      <c r="G4963" s="54"/>
      <c r="I4963" s="54"/>
      <c r="K4963" s="54"/>
      <c r="M4963" s="114"/>
      <c r="N4963" s="1"/>
      <c r="O4963" s="1"/>
      <c r="P4963" s="51"/>
    </row>
    <row r="4964">
      <c r="A4964" s="54"/>
      <c r="B4964" s="71"/>
      <c r="C4964" s="51"/>
      <c r="D4964" s="114"/>
      <c r="E4964" s="114"/>
      <c r="F4964" s="54"/>
      <c r="G4964" s="54"/>
      <c r="I4964" s="54"/>
      <c r="K4964" s="54"/>
      <c r="M4964" s="114"/>
      <c r="N4964" s="1"/>
      <c r="O4964" s="1"/>
      <c r="P4964" s="51"/>
    </row>
    <row r="4965">
      <c r="A4965" s="54"/>
      <c r="B4965" s="71"/>
      <c r="C4965" s="51"/>
      <c r="D4965" s="114"/>
      <c r="E4965" s="114"/>
      <c r="F4965" s="54"/>
      <c r="G4965" s="54"/>
      <c r="I4965" s="54"/>
      <c r="K4965" s="54"/>
      <c r="M4965" s="114"/>
      <c r="N4965" s="1"/>
      <c r="O4965" s="1"/>
      <c r="P4965" s="51"/>
    </row>
    <row r="4966">
      <c r="A4966" s="54"/>
      <c r="B4966" s="71"/>
      <c r="C4966" s="51"/>
      <c r="D4966" s="114"/>
      <c r="E4966" s="114"/>
      <c r="F4966" s="54"/>
      <c r="G4966" s="54"/>
      <c r="I4966" s="54"/>
      <c r="K4966" s="54"/>
      <c r="M4966" s="114"/>
      <c r="N4966" s="1"/>
      <c r="O4966" s="1"/>
      <c r="P4966" s="51"/>
    </row>
    <row r="4967">
      <c r="A4967" s="54"/>
      <c r="B4967" s="71"/>
      <c r="C4967" s="51"/>
      <c r="D4967" s="114"/>
      <c r="E4967" s="114"/>
      <c r="F4967" s="54"/>
      <c r="G4967" s="54"/>
      <c r="I4967" s="54"/>
      <c r="K4967" s="54"/>
      <c r="M4967" s="114"/>
      <c r="N4967" s="1"/>
      <c r="O4967" s="1"/>
      <c r="P4967" s="51"/>
    </row>
    <row r="4968">
      <c r="A4968" s="54"/>
      <c r="B4968" s="71"/>
      <c r="C4968" s="51"/>
      <c r="D4968" s="114"/>
      <c r="E4968" s="114"/>
      <c r="F4968" s="54"/>
      <c r="G4968" s="54"/>
      <c r="I4968" s="54"/>
      <c r="K4968" s="54"/>
      <c r="M4968" s="114"/>
      <c r="N4968" s="1"/>
      <c r="O4968" s="1"/>
      <c r="P4968" s="51"/>
    </row>
    <row r="4969">
      <c r="A4969" s="54"/>
      <c r="B4969" s="71"/>
      <c r="C4969" s="51"/>
      <c r="D4969" s="114"/>
      <c r="E4969" s="114"/>
      <c r="F4969" s="54"/>
      <c r="G4969" s="54"/>
      <c r="I4969" s="54"/>
      <c r="K4969" s="54"/>
      <c r="M4969" s="114"/>
      <c r="N4969" s="1"/>
      <c r="O4969" s="1"/>
      <c r="P4969" s="51"/>
    </row>
    <row r="4970">
      <c r="A4970" s="54"/>
      <c r="B4970" s="71"/>
      <c r="C4970" s="51"/>
      <c r="D4970" s="114"/>
      <c r="E4970" s="114"/>
      <c r="F4970" s="54"/>
      <c r="G4970" s="54"/>
      <c r="I4970" s="54"/>
      <c r="K4970" s="54"/>
      <c r="M4970" s="114"/>
      <c r="N4970" s="1"/>
      <c r="O4970" s="1"/>
      <c r="P4970" s="51"/>
    </row>
    <row r="4971">
      <c r="A4971" s="54"/>
      <c r="B4971" s="71"/>
      <c r="C4971" s="51"/>
      <c r="D4971" s="114"/>
      <c r="E4971" s="114"/>
      <c r="F4971" s="54"/>
      <c r="G4971" s="54"/>
      <c r="I4971" s="54"/>
      <c r="K4971" s="54"/>
      <c r="M4971" s="114"/>
      <c r="N4971" s="1"/>
      <c r="O4971" s="1"/>
      <c r="P4971" s="51"/>
    </row>
    <row r="4972">
      <c r="A4972" s="54"/>
      <c r="B4972" s="71"/>
      <c r="C4972" s="51"/>
      <c r="D4972" s="114"/>
      <c r="E4972" s="114"/>
      <c r="F4972" s="54"/>
      <c r="G4972" s="54"/>
      <c r="I4972" s="54"/>
      <c r="K4972" s="54"/>
      <c r="M4972" s="114"/>
      <c r="N4972" s="1"/>
      <c r="O4972" s="1"/>
      <c r="P4972" s="51"/>
    </row>
    <row r="4973">
      <c r="A4973" s="54"/>
      <c r="B4973" s="71"/>
      <c r="C4973" s="51"/>
      <c r="D4973" s="114"/>
      <c r="E4973" s="114"/>
      <c r="F4973" s="54"/>
      <c r="G4973" s="54"/>
      <c r="I4973" s="54"/>
      <c r="K4973" s="54"/>
      <c r="M4973" s="114"/>
      <c r="N4973" s="1"/>
      <c r="O4973" s="1"/>
      <c r="P4973" s="51"/>
    </row>
    <row r="4974">
      <c r="A4974" s="54"/>
      <c r="B4974" s="71"/>
      <c r="C4974" s="51"/>
      <c r="D4974" s="114"/>
      <c r="E4974" s="114"/>
      <c r="F4974" s="54"/>
      <c r="G4974" s="54"/>
      <c r="I4974" s="54"/>
      <c r="K4974" s="54"/>
      <c r="M4974" s="114"/>
      <c r="N4974" s="1"/>
      <c r="O4974" s="1"/>
      <c r="P4974" s="51"/>
    </row>
    <row r="4975">
      <c r="A4975" s="54"/>
      <c r="B4975" s="71"/>
      <c r="C4975" s="51"/>
      <c r="D4975" s="114"/>
      <c r="E4975" s="114"/>
      <c r="F4975" s="54"/>
      <c r="G4975" s="54"/>
      <c r="I4975" s="54"/>
      <c r="K4975" s="54"/>
      <c r="M4975" s="114"/>
      <c r="N4975" s="1"/>
      <c r="O4975" s="1"/>
      <c r="P4975" s="51"/>
    </row>
    <row r="4976">
      <c r="A4976" s="54"/>
      <c r="B4976" s="71"/>
      <c r="C4976" s="51"/>
      <c r="D4976" s="114"/>
      <c r="E4976" s="114"/>
      <c r="F4976" s="54"/>
      <c r="G4976" s="54"/>
      <c r="I4976" s="54"/>
      <c r="K4976" s="54"/>
      <c r="M4976" s="114"/>
      <c r="N4976" s="1"/>
      <c r="O4976" s="1"/>
      <c r="P4976" s="51"/>
    </row>
    <row r="4977">
      <c r="A4977" s="54"/>
      <c r="B4977" s="71"/>
      <c r="C4977" s="51"/>
      <c r="D4977" s="114"/>
      <c r="E4977" s="114"/>
      <c r="F4977" s="54"/>
      <c r="G4977" s="54"/>
      <c r="I4977" s="54"/>
      <c r="K4977" s="54"/>
      <c r="M4977" s="114"/>
      <c r="N4977" s="1"/>
      <c r="O4977" s="1"/>
      <c r="P4977" s="51"/>
    </row>
    <row r="4978">
      <c r="A4978" s="54"/>
      <c r="B4978" s="71"/>
      <c r="C4978" s="51"/>
      <c r="D4978" s="114"/>
      <c r="E4978" s="114"/>
      <c r="F4978" s="54"/>
      <c r="G4978" s="54"/>
      <c r="I4978" s="54"/>
      <c r="K4978" s="54"/>
      <c r="M4978" s="114"/>
      <c r="N4978" s="1"/>
      <c r="O4978" s="1"/>
      <c r="P4978" s="51"/>
    </row>
    <row r="4979">
      <c r="A4979" s="54"/>
      <c r="B4979" s="71"/>
      <c r="C4979" s="51"/>
      <c r="D4979" s="114"/>
      <c r="E4979" s="114"/>
      <c r="F4979" s="54"/>
      <c r="G4979" s="54"/>
      <c r="I4979" s="54"/>
      <c r="K4979" s="54"/>
      <c r="M4979" s="114"/>
      <c r="N4979" s="1"/>
      <c r="O4979" s="1"/>
      <c r="P4979" s="51"/>
    </row>
    <row r="4980">
      <c r="A4980" s="54"/>
      <c r="B4980" s="71"/>
      <c r="C4980" s="51"/>
      <c r="D4980" s="114"/>
      <c r="E4980" s="114"/>
      <c r="F4980" s="54"/>
      <c r="G4980" s="54"/>
      <c r="I4980" s="54"/>
      <c r="K4980" s="54"/>
      <c r="M4980" s="114"/>
      <c r="N4980" s="1"/>
      <c r="O4980" s="1"/>
      <c r="P4980" s="51"/>
    </row>
    <row r="4981">
      <c r="A4981" s="54"/>
      <c r="B4981" s="71"/>
      <c r="C4981" s="51"/>
      <c r="D4981" s="114"/>
      <c r="E4981" s="114"/>
      <c r="F4981" s="54"/>
      <c r="G4981" s="54"/>
      <c r="I4981" s="54"/>
      <c r="K4981" s="54"/>
      <c r="M4981" s="114"/>
      <c r="N4981" s="1"/>
      <c r="O4981" s="1"/>
      <c r="P4981" s="51"/>
    </row>
    <row r="4982">
      <c r="A4982" s="54"/>
      <c r="B4982" s="71"/>
      <c r="C4982" s="51"/>
      <c r="D4982" s="114"/>
      <c r="E4982" s="114"/>
      <c r="F4982" s="54"/>
      <c r="G4982" s="54"/>
      <c r="I4982" s="54"/>
      <c r="K4982" s="54"/>
      <c r="M4982" s="114"/>
      <c r="N4982" s="1"/>
      <c r="O4982" s="1"/>
      <c r="P4982" s="51"/>
    </row>
    <row r="4983">
      <c r="A4983" s="54"/>
      <c r="B4983" s="71"/>
      <c r="C4983" s="51"/>
      <c r="D4983" s="114"/>
      <c r="E4983" s="114"/>
      <c r="F4983" s="54"/>
      <c r="G4983" s="54"/>
      <c r="I4983" s="54"/>
      <c r="K4983" s="54"/>
      <c r="M4983" s="114"/>
      <c r="N4983" s="1"/>
      <c r="O4983" s="1"/>
      <c r="P4983" s="51"/>
    </row>
    <row r="4984">
      <c r="A4984" s="54"/>
      <c r="B4984" s="71"/>
      <c r="C4984" s="51"/>
      <c r="D4984" s="114"/>
      <c r="E4984" s="114"/>
      <c r="F4984" s="54"/>
      <c r="G4984" s="54"/>
      <c r="I4984" s="54"/>
      <c r="K4984" s="54"/>
      <c r="M4984" s="114"/>
      <c r="N4984" s="1"/>
      <c r="O4984" s="1"/>
      <c r="P4984" s="51"/>
    </row>
    <row r="4985">
      <c r="A4985" s="54"/>
      <c r="B4985" s="71"/>
      <c r="C4985" s="51"/>
      <c r="D4985" s="114"/>
      <c r="E4985" s="114"/>
      <c r="F4985" s="54"/>
      <c r="G4985" s="54"/>
      <c r="I4985" s="54"/>
      <c r="K4985" s="54"/>
      <c r="M4985" s="114"/>
      <c r="N4985" s="1"/>
      <c r="O4985" s="1"/>
      <c r="P4985" s="51"/>
    </row>
    <row r="4986">
      <c r="A4986" s="54"/>
      <c r="B4986" s="71"/>
      <c r="C4986" s="51"/>
      <c r="D4986" s="114"/>
      <c r="E4986" s="114"/>
      <c r="F4986" s="54"/>
      <c r="G4986" s="54"/>
      <c r="I4986" s="54"/>
      <c r="K4986" s="54"/>
      <c r="M4986" s="114"/>
      <c r="N4986" s="1"/>
      <c r="O4986" s="1"/>
      <c r="P4986" s="51"/>
    </row>
    <row r="4987">
      <c r="A4987" s="54"/>
      <c r="B4987" s="71"/>
      <c r="C4987" s="51"/>
      <c r="D4987" s="114"/>
      <c r="E4987" s="114"/>
      <c r="F4987" s="54"/>
      <c r="G4987" s="54"/>
      <c r="I4987" s="54"/>
      <c r="K4987" s="54"/>
      <c r="M4987" s="114"/>
      <c r="N4987" s="1"/>
      <c r="O4987" s="1"/>
      <c r="P4987" s="51"/>
    </row>
    <row r="4988">
      <c r="A4988" s="54"/>
      <c r="B4988" s="71"/>
      <c r="C4988" s="51"/>
      <c r="D4988" s="114"/>
      <c r="E4988" s="114"/>
      <c r="F4988" s="54"/>
      <c r="G4988" s="54"/>
      <c r="I4988" s="54"/>
      <c r="K4988" s="54"/>
      <c r="M4988" s="114"/>
      <c r="N4988" s="1"/>
      <c r="O4988" s="1"/>
      <c r="P4988" s="51"/>
    </row>
    <row r="4989">
      <c r="A4989" s="54"/>
      <c r="B4989" s="71"/>
      <c r="C4989" s="51"/>
      <c r="D4989" s="114"/>
      <c r="E4989" s="114"/>
      <c r="F4989" s="54"/>
      <c r="G4989" s="54"/>
      <c r="I4989" s="54"/>
      <c r="K4989" s="54"/>
      <c r="M4989" s="114"/>
      <c r="N4989" s="1"/>
      <c r="O4989" s="1"/>
      <c r="P4989" s="51"/>
    </row>
    <row r="4990">
      <c r="A4990" s="54"/>
      <c r="B4990" s="71"/>
      <c r="C4990" s="51"/>
      <c r="D4990" s="114"/>
      <c r="E4990" s="114"/>
      <c r="F4990" s="54"/>
      <c r="G4990" s="54"/>
      <c r="I4990" s="54"/>
      <c r="K4990" s="54"/>
      <c r="M4990" s="114"/>
      <c r="N4990" s="1"/>
      <c r="O4990" s="1"/>
      <c r="P4990" s="51"/>
    </row>
    <row r="4991">
      <c r="A4991" s="54"/>
      <c r="B4991" s="71"/>
      <c r="C4991" s="51"/>
      <c r="D4991" s="114"/>
      <c r="E4991" s="114"/>
      <c r="F4991" s="54"/>
      <c r="G4991" s="54"/>
      <c r="I4991" s="54"/>
      <c r="K4991" s="54"/>
      <c r="M4991" s="114"/>
      <c r="N4991" s="1"/>
      <c r="O4991" s="1"/>
      <c r="P4991" s="51"/>
    </row>
    <row r="4992">
      <c r="A4992" s="54"/>
      <c r="B4992" s="71"/>
      <c r="C4992" s="51"/>
      <c r="D4992" s="114"/>
      <c r="E4992" s="114"/>
      <c r="F4992" s="54"/>
      <c r="G4992" s="54"/>
      <c r="I4992" s="54"/>
      <c r="K4992" s="54"/>
      <c r="M4992" s="114"/>
      <c r="N4992" s="1"/>
      <c r="O4992" s="1"/>
      <c r="P4992" s="51"/>
    </row>
    <row r="4993">
      <c r="A4993" s="54"/>
      <c r="B4993" s="71"/>
      <c r="C4993" s="51"/>
      <c r="D4993" s="114"/>
      <c r="E4993" s="114"/>
      <c r="F4993" s="54"/>
      <c r="G4993" s="54"/>
      <c r="I4993" s="54"/>
      <c r="K4993" s="54"/>
      <c r="M4993" s="114"/>
      <c r="N4993" s="1"/>
      <c r="O4993" s="1"/>
      <c r="P4993" s="51"/>
    </row>
    <row r="4994">
      <c r="A4994" s="54"/>
      <c r="B4994" s="71"/>
      <c r="C4994" s="51"/>
      <c r="D4994" s="114"/>
      <c r="E4994" s="114"/>
      <c r="F4994" s="54"/>
      <c r="G4994" s="54"/>
      <c r="I4994" s="54"/>
      <c r="K4994" s="54"/>
      <c r="M4994" s="114"/>
      <c r="N4994" s="1"/>
      <c r="O4994" s="1"/>
      <c r="P4994" s="51"/>
    </row>
    <row r="4995">
      <c r="A4995" s="54"/>
      <c r="B4995" s="71"/>
      <c r="C4995" s="51"/>
      <c r="D4995" s="114"/>
      <c r="E4995" s="114"/>
      <c r="F4995" s="54"/>
      <c r="G4995" s="54"/>
      <c r="I4995" s="54"/>
      <c r="K4995" s="54"/>
      <c r="M4995" s="114"/>
      <c r="N4995" s="1"/>
      <c r="O4995" s="1"/>
      <c r="P4995" s="51"/>
    </row>
    <row r="4996">
      <c r="A4996" s="54"/>
      <c r="B4996" s="71"/>
      <c r="C4996" s="51"/>
      <c r="D4996" s="114"/>
      <c r="E4996" s="114"/>
      <c r="F4996" s="54"/>
      <c r="G4996" s="54"/>
      <c r="I4996" s="54"/>
      <c r="K4996" s="54"/>
      <c r="M4996" s="114"/>
      <c r="N4996" s="1"/>
      <c r="O4996" s="1"/>
      <c r="P4996" s="51"/>
    </row>
    <row r="4997">
      <c r="A4997" s="54"/>
      <c r="B4997" s="71"/>
      <c r="C4997" s="51"/>
      <c r="D4997" s="114"/>
      <c r="E4997" s="114"/>
      <c r="F4997" s="54"/>
      <c r="G4997" s="54"/>
      <c r="I4997" s="54"/>
      <c r="K4997" s="54"/>
      <c r="M4997" s="114"/>
      <c r="N4997" s="1"/>
      <c r="O4997" s="1"/>
      <c r="P4997" s="51"/>
    </row>
    <row r="4998">
      <c r="A4998" s="54"/>
      <c r="B4998" s="71"/>
      <c r="C4998" s="51"/>
      <c r="D4998" s="114"/>
      <c r="E4998" s="114"/>
      <c r="F4998" s="54"/>
      <c r="G4998" s="54"/>
      <c r="I4998" s="54"/>
      <c r="K4998" s="54"/>
      <c r="M4998" s="114"/>
      <c r="N4998" s="1"/>
      <c r="O4998" s="1"/>
      <c r="P4998" s="51"/>
    </row>
    <row r="4999">
      <c r="A4999" s="54"/>
      <c r="B4999" s="71"/>
      <c r="C4999" s="51"/>
      <c r="D4999" s="114"/>
      <c r="E4999" s="114"/>
      <c r="F4999" s="54"/>
      <c r="G4999" s="54"/>
      <c r="I4999" s="54"/>
      <c r="K4999" s="54"/>
      <c r="M4999" s="114"/>
      <c r="N4999" s="1"/>
      <c r="O4999" s="1"/>
      <c r="P4999" s="51"/>
    </row>
    <row r="5000">
      <c r="A5000" s="54"/>
      <c r="B5000" s="71"/>
      <c r="C5000" s="51"/>
      <c r="D5000" s="114"/>
      <c r="E5000" s="114"/>
      <c r="F5000" s="54"/>
      <c r="G5000" s="54"/>
      <c r="I5000" s="54"/>
      <c r="K5000" s="54"/>
      <c r="M5000" s="114"/>
      <c r="N5000" s="1"/>
      <c r="O5000" s="1"/>
      <c r="P5000" s="51"/>
    </row>
    <row r="5001">
      <c r="A5001" s="54"/>
      <c r="B5001" s="71"/>
      <c r="C5001" s="51"/>
      <c r="D5001" s="114"/>
      <c r="E5001" s="114"/>
      <c r="F5001" s="54"/>
      <c r="G5001" s="54"/>
      <c r="I5001" s="54"/>
      <c r="K5001" s="54"/>
      <c r="M5001" s="114"/>
      <c r="N5001" s="1"/>
      <c r="O5001" s="1"/>
      <c r="P5001" s="51"/>
    </row>
    <row r="5002">
      <c r="A5002" s="54"/>
      <c r="B5002" s="71"/>
      <c r="C5002" s="51"/>
      <c r="D5002" s="114"/>
      <c r="E5002" s="114"/>
      <c r="F5002" s="54"/>
      <c r="G5002" s="54"/>
      <c r="I5002" s="54"/>
      <c r="K5002" s="54"/>
      <c r="M5002" s="114"/>
      <c r="N5002" s="1"/>
      <c r="O5002" s="1"/>
      <c r="P5002" s="51"/>
    </row>
    <row r="5003">
      <c r="A5003" s="54"/>
      <c r="B5003" s="71"/>
      <c r="C5003" s="51"/>
      <c r="D5003" s="114"/>
      <c r="E5003" s="114"/>
      <c r="F5003" s="54"/>
      <c r="G5003" s="54"/>
      <c r="I5003" s="54"/>
      <c r="K5003" s="54"/>
      <c r="M5003" s="114"/>
      <c r="N5003" s="1"/>
      <c r="O5003" s="1"/>
      <c r="P5003" s="51"/>
    </row>
    <row r="5004">
      <c r="A5004" s="54"/>
      <c r="B5004" s="71"/>
      <c r="C5004" s="51"/>
      <c r="D5004" s="114"/>
      <c r="E5004" s="114"/>
      <c r="F5004" s="54"/>
      <c r="G5004" s="54"/>
      <c r="I5004" s="54"/>
      <c r="K5004" s="54"/>
      <c r="M5004" s="114"/>
      <c r="N5004" s="1"/>
      <c r="O5004" s="1"/>
      <c r="P5004" s="51"/>
    </row>
    <row r="5005">
      <c r="A5005" s="54"/>
      <c r="B5005" s="71"/>
      <c r="C5005" s="51"/>
      <c r="D5005" s="114"/>
      <c r="E5005" s="114"/>
      <c r="F5005" s="54"/>
      <c r="G5005" s="54"/>
      <c r="I5005" s="54"/>
      <c r="K5005" s="54"/>
      <c r="M5005" s="114"/>
      <c r="N5005" s="1"/>
      <c r="O5005" s="1"/>
      <c r="P5005" s="51"/>
    </row>
    <row r="5006">
      <c r="A5006" s="54"/>
      <c r="B5006" s="71"/>
      <c r="C5006" s="51"/>
      <c r="D5006" s="114"/>
      <c r="E5006" s="114"/>
      <c r="F5006" s="54"/>
      <c r="G5006" s="54"/>
      <c r="I5006" s="54"/>
      <c r="K5006" s="54"/>
      <c r="M5006" s="114"/>
      <c r="N5006" s="1"/>
      <c r="O5006" s="1"/>
      <c r="P5006" s="51"/>
    </row>
    <row r="5007">
      <c r="A5007" s="54"/>
      <c r="B5007" s="71"/>
      <c r="C5007" s="51"/>
      <c r="D5007" s="114"/>
      <c r="E5007" s="114"/>
      <c r="F5007" s="54"/>
      <c r="G5007" s="54"/>
      <c r="I5007" s="54"/>
      <c r="K5007" s="54"/>
      <c r="M5007" s="114"/>
      <c r="N5007" s="1"/>
      <c r="O5007" s="1"/>
      <c r="P5007" s="51"/>
    </row>
    <row r="5008">
      <c r="A5008" s="54"/>
      <c r="B5008" s="71"/>
      <c r="C5008" s="51"/>
      <c r="D5008" s="114"/>
      <c r="E5008" s="114"/>
      <c r="F5008" s="54"/>
      <c r="G5008" s="54"/>
      <c r="I5008" s="54"/>
      <c r="K5008" s="54"/>
      <c r="M5008" s="114"/>
      <c r="N5008" s="1"/>
      <c r="O5008" s="1"/>
      <c r="P5008" s="51"/>
    </row>
    <row r="5009">
      <c r="A5009" s="54"/>
      <c r="B5009" s="71"/>
      <c r="C5009" s="51"/>
      <c r="D5009" s="114"/>
      <c r="E5009" s="114"/>
      <c r="F5009" s="54"/>
      <c r="G5009" s="54"/>
      <c r="I5009" s="54"/>
      <c r="K5009" s="54"/>
      <c r="M5009" s="114"/>
      <c r="N5009" s="1"/>
      <c r="O5009" s="1"/>
      <c r="P5009" s="51"/>
    </row>
    <row r="5010">
      <c r="A5010" s="54"/>
      <c r="B5010" s="71"/>
      <c r="C5010" s="51"/>
      <c r="D5010" s="114"/>
      <c r="E5010" s="114"/>
      <c r="F5010" s="54"/>
      <c r="G5010" s="54"/>
      <c r="I5010" s="54"/>
      <c r="K5010" s="54"/>
      <c r="M5010" s="114"/>
      <c r="N5010" s="1"/>
      <c r="O5010" s="1"/>
      <c r="P5010" s="51"/>
    </row>
    <row r="5011">
      <c r="A5011" s="54"/>
      <c r="B5011" s="71"/>
      <c r="C5011" s="51"/>
      <c r="D5011" s="114"/>
      <c r="E5011" s="114"/>
      <c r="F5011" s="54"/>
      <c r="G5011" s="54"/>
      <c r="I5011" s="54"/>
      <c r="K5011" s="54"/>
      <c r="M5011" s="114"/>
      <c r="N5011" s="1"/>
      <c r="O5011" s="1"/>
      <c r="P5011" s="51"/>
    </row>
    <row r="5012">
      <c r="A5012" s="54"/>
      <c r="B5012" s="71"/>
      <c r="C5012" s="51"/>
      <c r="D5012" s="114"/>
      <c r="E5012" s="114"/>
      <c r="F5012" s="54"/>
      <c r="G5012" s="54"/>
      <c r="I5012" s="54"/>
      <c r="K5012" s="54"/>
      <c r="M5012" s="114"/>
      <c r="N5012" s="1"/>
      <c r="O5012" s="1"/>
      <c r="P5012" s="51"/>
    </row>
    <row r="5013">
      <c r="A5013" s="54"/>
      <c r="B5013" s="71"/>
      <c r="C5013" s="51"/>
      <c r="D5013" s="114"/>
      <c r="E5013" s="114"/>
      <c r="F5013" s="54"/>
      <c r="G5013" s="54"/>
      <c r="I5013" s="54"/>
      <c r="K5013" s="54"/>
      <c r="M5013" s="114"/>
      <c r="N5013" s="1"/>
      <c r="O5013" s="1"/>
      <c r="P5013" s="51"/>
    </row>
    <row r="5014">
      <c r="A5014" s="54"/>
      <c r="B5014" s="71"/>
      <c r="C5014" s="51"/>
      <c r="D5014" s="114"/>
      <c r="E5014" s="114"/>
      <c r="F5014" s="54"/>
      <c r="G5014" s="54"/>
      <c r="I5014" s="54"/>
      <c r="K5014" s="54"/>
      <c r="M5014" s="114"/>
      <c r="N5014" s="1"/>
      <c r="O5014" s="1"/>
      <c r="P5014" s="51"/>
    </row>
    <row r="5015">
      <c r="A5015" s="54"/>
      <c r="B5015" s="71"/>
      <c r="C5015" s="51"/>
      <c r="D5015" s="114"/>
      <c r="E5015" s="114"/>
      <c r="F5015" s="54"/>
      <c r="G5015" s="54"/>
      <c r="I5015" s="54"/>
      <c r="K5015" s="54"/>
      <c r="M5015" s="114"/>
      <c r="N5015" s="1"/>
      <c r="O5015" s="1"/>
      <c r="P5015" s="51"/>
    </row>
    <row r="5016">
      <c r="A5016" s="54"/>
      <c r="B5016" s="71"/>
      <c r="C5016" s="51"/>
      <c r="D5016" s="114"/>
      <c r="E5016" s="114"/>
      <c r="F5016" s="54"/>
      <c r="G5016" s="54"/>
      <c r="I5016" s="54"/>
      <c r="K5016" s="54"/>
      <c r="M5016" s="114"/>
      <c r="N5016" s="1"/>
      <c r="O5016" s="1"/>
      <c r="P5016" s="51"/>
    </row>
    <row r="5017">
      <c r="A5017" s="54"/>
      <c r="B5017" s="71"/>
      <c r="C5017" s="51"/>
      <c r="D5017" s="114"/>
      <c r="E5017" s="114"/>
      <c r="F5017" s="54"/>
      <c r="G5017" s="54"/>
      <c r="I5017" s="54"/>
      <c r="K5017" s="54"/>
      <c r="M5017" s="114"/>
      <c r="N5017" s="1"/>
      <c r="O5017" s="1"/>
      <c r="P5017" s="51"/>
    </row>
    <row r="5018">
      <c r="A5018" s="54"/>
      <c r="B5018" s="71"/>
      <c r="C5018" s="51"/>
      <c r="D5018" s="114"/>
      <c r="E5018" s="114"/>
      <c r="F5018" s="54"/>
      <c r="G5018" s="54"/>
      <c r="I5018" s="54"/>
      <c r="K5018" s="54"/>
      <c r="M5018" s="114"/>
      <c r="N5018" s="1"/>
      <c r="O5018" s="1"/>
      <c r="P5018" s="51"/>
    </row>
    <row r="5019">
      <c r="A5019" s="54"/>
      <c r="B5019" s="71"/>
      <c r="C5019" s="51"/>
      <c r="D5019" s="114"/>
      <c r="E5019" s="114"/>
      <c r="F5019" s="54"/>
      <c r="G5019" s="54"/>
      <c r="I5019" s="54"/>
      <c r="K5019" s="54"/>
      <c r="M5019" s="114"/>
      <c r="N5019" s="1"/>
      <c r="O5019" s="1"/>
      <c r="P5019" s="51"/>
    </row>
    <row r="5020">
      <c r="A5020" s="54"/>
      <c r="B5020" s="71"/>
      <c r="C5020" s="51"/>
      <c r="D5020" s="114"/>
      <c r="E5020" s="114"/>
      <c r="F5020" s="54"/>
      <c r="G5020" s="54"/>
      <c r="I5020" s="54"/>
      <c r="K5020" s="54"/>
      <c r="M5020" s="114"/>
      <c r="N5020" s="1"/>
      <c r="O5020" s="1"/>
      <c r="P5020" s="51"/>
    </row>
    <row r="5021">
      <c r="A5021" s="54"/>
      <c r="B5021" s="71"/>
      <c r="C5021" s="51"/>
      <c r="D5021" s="114"/>
      <c r="E5021" s="114"/>
      <c r="F5021" s="54"/>
      <c r="G5021" s="54"/>
      <c r="I5021" s="54"/>
      <c r="K5021" s="54"/>
      <c r="M5021" s="114"/>
      <c r="N5021" s="1"/>
      <c r="O5021" s="1"/>
      <c r="P5021" s="51"/>
    </row>
    <row r="5022">
      <c r="A5022" s="54"/>
      <c r="B5022" s="71"/>
      <c r="C5022" s="51"/>
      <c r="D5022" s="114"/>
      <c r="E5022" s="114"/>
      <c r="F5022" s="54"/>
      <c r="G5022" s="54"/>
      <c r="I5022" s="54"/>
      <c r="K5022" s="54"/>
      <c r="M5022" s="114"/>
      <c r="N5022" s="1"/>
      <c r="O5022" s="1"/>
      <c r="P5022" s="51"/>
    </row>
    <row r="5023">
      <c r="A5023" s="54"/>
      <c r="B5023" s="71"/>
      <c r="C5023" s="51"/>
      <c r="D5023" s="114"/>
      <c r="E5023" s="114"/>
      <c r="F5023" s="54"/>
      <c r="G5023" s="54"/>
      <c r="I5023" s="54"/>
      <c r="K5023" s="54"/>
      <c r="M5023" s="114"/>
      <c r="N5023" s="1"/>
      <c r="O5023" s="1"/>
      <c r="P5023" s="51"/>
    </row>
    <row r="5024">
      <c r="A5024" s="54"/>
      <c r="B5024" s="71"/>
      <c r="C5024" s="51"/>
      <c r="D5024" s="114"/>
      <c r="E5024" s="114"/>
      <c r="F5024" s="54"/>
      <c r="G5024" s="54"/>
      <c r="I5024" s="54"/>
      <c r="K5024" s="54"/>
      <c r="M5024" s="114"/>
      <c r="N5024" s="1"/>
      <c r="O5024" s="1"/>
      <c r="P5024" s="51"/>
    </row>
    <row r="5025">
      <c r="A5025" s="54"/>
      <c r="B5025" s="71"/>
      <c r="C5025" s="51"/>
      <c r="D5025" s="114"/>
      <c r="E5025" s="114"/>
      <c r="F5025" s="54"/>
      <c r="G5025" s="54"/>
      <c r="I5025" s="54"/>
      <c r="K5025" s="54"/>
      <c r="M5025" s="114"/>
      <c r="N5025" s="1"/>
      <c r="O5025" s="1"/>
      <c r="P5025" s="51"/>
    </row>
    <row r="5026">
      <c r="A5026" s="54"/>
      <c r="B5026" s="71"/>
      <c r="C5026" s="51"/>
      <c r="D5026" s="114"/>
      <c r="E5026" s="114"/>
      <c r="F5026" s="54"/>
      <c r="G5026" s="54"/>
      <c r="I5026" s="54"/>
      <c r="K5026" s="54"/>
      <c r="M5026" s="114"/>
      <c r="N5026" s="1"/>
      <c r="O5026" s="1"/>
      <c r="P5026" s="51"/>
    </row>
    <row r="5027">
      <c r="A5027" s="54"/>
      <c r="B5027" s="71"/>
      <c r="C5027" s="51"/>
      <c r="D5027" s="114"/>
      <c r="E5027" s="114"/>
      <c r="F5027" s="54"/>
      <c r="G5027" s="54"/>
      <c r="I5027" s="54"/>
      <c r="K5027" s="54"/>
      <c r="M5027" s="114"/>
      <c r="N5027" s="1"/>
      <c r="O5027" s="1"/>
      <c r="P5027" s="51"/>
    </row>
    <row r="5028">
      <c r="A5028" s="54"/>
      <c r="B5028" s="71"/>
      <c r="C5028" s="51"/>
      <c r="D5028" s="114"/>
      <c r="E5028" s="114"/>
      <c r="F5028" s="54"/>
      <c r="G5028" s="54"/>
      <c r="I5028" s="54"/>
      <c r="K5028" s="54"/>
      <c r="M5028" s="114"/>
      <c r="N5028" s="1"/>
      <c r="O5028" s="1"/>
      <c r="P5028" s="51"/>
    </row>
    <row r="5029">
      <c r="A5029" s="54"/>
      <c r="B5029" s="71"/>
      <c r="C5029" s="51"/>
      <c r="D5029" s="114"/>
      <c r="E5029" s="114"/>
      <c r="F5029" s="54"/>
      <c r="G5029" s="54"/>
      <c r="I5029" s="54"/>
      <c r="K5029" s="54"/>
      <c r="M5029" s="114"/>
      <c r="N5029" s="1"/>
      <c r="O5029" s="1"/>
      <c r="P5029" s="51"/>
    </row>
    <row r="5030">
      <c r="A5030" s="54"/>
      <c r="B5030" s="71"/>
      <c r="C5030" s="51"/>
      <c r="D5030" s="114"/>
      <c r="E5030" s="114"/>
      <c r="F5030" s="54"/>
      <c r="G5030" s="54"/>
      <c r="I5030" s="54"/>
      <c r="K5030" s="54"/>
      <c r="M5030" s="114"/>
      <c r="N5030" s="1"/>
      <c r="O5030" s="1"/>
      <c r="P5030" s="51"/>
    </row>
    <row r="5031">
      <c r="A5031" s="54"/>
      <c r="B5031" s="71"/>
      <c r="C5031" s="51"/>
      <c r="D5031" s="114"/>
      <c r="E5031" s="114"/>
      <c r="F5031" s="54"/>
      <c r="G5031" s="54"/>
      <c r="I5031" s="54"/>
      <c r="K5031" s="54"/>
      <c r="M5031" s="114"/>
      <c r="N5031" s="1"/>
      <c r="O5031" s="1"/>
      <c r="P5031" s="51"/>
    </row>
    <row r="5032">
      <c r="A5032" s="54"/>
      <c r="B5032" s="71"/>
      <c r="C5032" s="51"/>
      <c r="D5032" s="114"/>
      <c r="E5032" s="114"/>
      <c r="F5032" s="54"/>
      <c r="G5032" s="54"/>
      <c r="I5032" s="54"/>
      <c r="K5032" s="54"/>
      <c r="M5032" s="114"/>
      <c r="N5032" s="1"/>
      <c r="O5032" s="1"/>
      <c r="P5032" s="51"/>
    </row>
    <row r="5033">
      <c r="A5033" s="54"/>
      <c r="B5033" s="71"/>
      <c r="C5033" s="51"/>
      <c r="D5033" s="114"/>
      <c r="E5033" s="114"/>
      <c r="F5033" s="54"/>
      <c r="G5033" s="54"/>
      <c r="I5033" s="54"/>
      <c r="K5033" s="54"/>
      <c r="M5033" s="114"/>
      <c r="N5033" s="1"/>
      <c r="O5033" s="1"/>
      <c r="P5033" s="51"/>
    </row>
    <row r="5034">
      <c r="A5034" s="54"/>
      <c r="B5034" s="71"/>
      <c r="C5034" s="51"/>
      <c r="D5034" s="114"/>
      <c r="E5034" s="114"/>
      <c r="F5034" s="54"/>
      <c r="G5034" s="54"/>
      <c r="I5034" s="54"/>
      <c r="K5034" s="54"/>
      <c r="M5034" s="114"/>
      <c r="N5034" s="1"/>
      <c r="O5034" s="1"/>
      <c r="P5034" s="51"/>
    </row>
    <row r="5035">
      <c r="A5035" s="54"/>
      <c r="B5035" s="71"/>
      <c r="C5035" s="51"/>
      <c r="D5035" s="114"/>
      <c r="E5035" s="114"/>
      <c r="F5035" s="54"/>
      <c r="G5035" s="54"/>
      <c r="I5035" s="54"/>
      <c r="K5035" s="54"/>
      <c r="M5035" s="114"/>
      <c r="N5035" s="1"/>
      <c r="O5035" s="1"/>
      <c r="P5035" s="51"/>
    </row>
    <row r="5036">
      <c r="A5036" s="54"/>
      <c r="B5036" s="71"/>
      <c r="C5036" s="51"/>
      <c r="D5036" s="114"/>
      <c r="E5036" s="114"/>
      <c r="F5036" s="54"/>
      <c r="G5036" s="54"/>
      <c r="I5036" s="54"/>
      <c r="K5036" s="54"/>
      <c r="M5036" s="114"/>
      <c r="N5036" s="1"/>
      <c r="O5036" s="1"/>
      <c r="P5036" s="51"/>
    </row>
    <row r="5037">
      <c r="A5037" s="54"/>
      <c r="B5037" s="71"/>
      <c r="C5037" s="51"/>
      <c r="D5037" s="114"/>
      <c r="E5037" s="114"/>
      <c r="F5037" s="54"/>
      <c r="G5037" s="54"/>
      <c r="I5037" s="54"/>
      <c r="K5037" s="54"/>
      <c r="M5037" s="114"/>
      <c r="N5037" s="1"/>
      <c r="O5037" s="1"/>
      <c r="P5037" s="51"/>
    </row>
    <row r="5038">
      <c r="A5038" s="54"/>
      <c r="B5038" s="71"/>
      <c r="C5038" s="51"/>
      <c r="D5038" s="114"/>
      <c r="E5038" s="114"/>
      <c r="F5038" s="54"/>
      <c r="G5038" s="54"/>
      <c r="I5038" s="54"/>
      <c r="K5038" s="54"/>
      <c r="M5038" s="114"/>
      <c r="N5038" s="1"/>
      <c r="O5038" s="1"/>
      <c r="P5038" s="51"/>
    </row>
    <row r="5039">
      <c r="A5039" s="54"/>
      <c r="B5039" s="71"/>
      <c r="C5039" s="51"/>
      <c r="D5039" s="114"/>
      <c r="E5039" s="114"/>
      <c r="F5039" s="54"/>
      <c r="G5039" s="54"/>
      <c r="I5039" s="54"/>
      <c r="K5039" s="54"/>
      <c r="M5039" s="114"/>
      <c r="N5039" s="1"/>
      <c r="O5039" s="1"/>
      <c r="P5039" s="51"/>
    </row>
    <row r="5040">
      <c r="A5040" s="54"/>
      <c r="B5040" s="71"/>
      <c r="C5040" s="51"/>
      <c r="D5040" s="114"/>
      <c r="E5040" s="114"/>
      <c r="F5040" s="54"/>
      <c r="G5040" s="54"/>
      <c r="I5040" s="54"/>
      <c r="K5040" s="54"/>
      <c r="M5040" s="114"/>
      <c r="N5040" s="1"/>
      <c r="O5040" s="1"/>
      <c r="P5040" s="51"/>
    </row>
    <row r="5041">
      <c r="A5041" s="54"/>
      <c r="B5041" s="71"/>
      <c r="C5041" s="51"/>
      <c r="D5041" s="114"/>
      <c r="E5041" s="114"/>
      <c r="F5041" s="54"/>
      <c r="G5041" s="54"/>
      <c r="I5041" s="54"/>
      <c r="K5041" s="54"/>
      <c r="M5041" s="114"/>
      <c r="N5041" s="1"/>
      <c r="O5041" s="1"/>
      <c r="P5041" s="51"/>
    </row>
    <row r="5042">
      <c r="A5042" s="54"/>
      <c r="B5042" s="71"/>
      <c r="C5042" s="51"/>
      <c r="D5042" s="114"/>
      <c r="E5042" s="114"/>
      <c r="F5042" s="54"/>
      <c r="G5042" s="54"/>
      <c r="I5042" s="54"/>
      <c r="K5042" s="54"/>
      <c r="M5042" s="114"/>
      <c r="N5042" s="1"/>
      <c r="O5042" s="1"/>
      <c r="P5042" s="51"/>
    </row>
    <row r="5043">
      <c r="A5043" s="54"/>
      <c r="B5043" s="71"/>
      <c r="C5043" s="51"/>
      <c r="D5043" s="114"/>
      <c r="E5043" s="114"/>
      <c r="F5043" s="54"/>
      <c r="G5043" s="54"/>
      <c r="I5043" s="54"/>
      <c r="K5043" s="54"/>
      <c r="M5043" s="114"/>
      <c r="N5043" s="1"/>
      <c r="O5043" s="1"/>
      <c r="P5043" s="51"/>
    </row>
    <row r="5044">
      <c r="A5044" s="54"/>
      <c r="B5044" s="71"/>
      <c r="C5044" s="51"/>
      <c r="D5044" s="114"/>
      <c r="E5044" s="114"/>
      <c r="F5044" s="54"/>
      <c r="G5044" s="54"/>
      <c r="I5044" s="54"/>
      <c r="K5044" s="54"/>
      <c r="M5044" s="114"/>
      <c r="N5044" s="1"/>
      <c r="O5044" s="1"/>
      <c r="P5044" s="51"/>
    </row>
    <row r="5045">
      <c r="A5045" s="54"/>
      <c r="B5045" s="71"/>
      <c r="C5045" s="51"/>
      <c r="D5045" s="114"/>
      <c r="E5045" s="114"/>
      <c r="F5045" s="54"/>
      <c r="G5045" s="54"/>
      <c r="I5045" s="54"/>
      <c r="K5045" s="54"/>
      <c r="M5045" s="114"/>
      <c r="N5045" s="1"/>
      <c r="O5045" s="1"/>
      <c r="P5045" s="51"/>
    </row>
    <row r="5046">
      <c r="A5046" s="54"/>
      <c r="B5046" s="71"/>
      <c r="C5046" s="51"/>
      <c r="D5046" s="114"/>
      <c r="E5046" s="114"/>
      <c r="F5046" s="54"/>
      <c r="G5046" s="54"/>
      <c r="I5046" s="54"/>
      <c r="K5046" s="54"/>
      <c r="M5046" s="114"/>
      <c r="N5046" s="1"/>
      <c r="O5046" s="1"/>
      <c r="P5046" s="51"/>
    </row>
    <row r="5047">
      <c r="A5047" s="54"/>
      <c r="B5047" s="71"/>
      <c r="C5047" s="51"/>
      <c r="D5047" s="114"/>
      <c r="E5047" s="114"/>
      <c r="F5047" s="54"/>
      <c r="G5047" s="54"/>
      <c r="I5047" s="54"/>
      <c r="K5047" s="54"/>
      <c r="M5047" s="114"/>
      <c r="N5047" s="1"/>
      <c r="O5047" s="1"/>
      <c r="P5047" s="51"/>
    </row>
    <row r="5048">
      <c r="A5048" s="54"/>
      <c r="B5048" s="71"/>
      <c r="C5048" s="51"/>
      <c r="D5048" s="114"/>
      <c r="E5048" s="114"/>
      <c r="F5048" s="54"/>
      <c r="G5048" s="54"/>
      <c r="I5048" s="54"/>
      <c r="K5048" s="54"/>
      <c r="M5048" s="114"/>
      <c r="N5048" s="1"/>
      <c r="O5048" s="1"/>
      <c r="P5048" s="51"/>
    </row>
    <row r="5049">
      <c r="A5049" s="54"/>
      <c r="B5049" s="71"/>
      <c r="C5049" s="51"/>
      <c r="D5049" s="114"/>
      <c r="E5049" s="114"/>
      <c r="F5049" s="54"/>
      <c r="G5049" s="54"/>
      <c r="I5049" s="54"/>
      <c r="K5049" s="54"/>
      <c r="M5049" s="114"/>
      <c r="N5049" s="1"/>
      <c r="O5049" s="1"/>
      <c r="P5049" s="51"/>
    </row>
    <row r="5050">
      <c r="A5050" s="54"/>
      <c r="B5050" s="71"/>
      <c r="C5050" s="51"/>
      <c r="D5050" s="114"/>
      <c r="E5050" s="114"/>
      <c r="F5050" s="54"/>
      <c r="G5050" s="54"/>
      <c r="I5050" s="54"/>
      <c r="K5050" s="54"/>
      <c r="M5050" s="114"/>
      <c r="N5050" s="1"/>
      <c r="O5050" s="1"/>
      <c r="P5050" s="51"/>
    </row>
    <row r="5051">
      <c r="A5051" s="54"/>
      <c r="B5051" s="71"/>
      <c r="C5051" s="51"/>
      <c r="D5051" s="114"/>
      <c r="E5051" s="114"/>
      <c r="F5051" s="54"/>
      <c r="G5051" s="54"/>
      <c r="I5051" s="54"/>
      <c r="K5051" s="54"/>
      <c r="M5051" s="114"/>
      <c r="N5051" s="1"/>
      <c r="O5051" s="1"/>
      <c r="P5051" s="51"/>
    </row>
    <row r="5052">
      <c r="A5052" s="54"/>
      <c r="B5052" s="71"/>
      <c r="C5052" s="51"/>
      <c r="D5052" s="114"/>
      <c r="E5052" s="114"/>
      <c r="F5052" s="54"/>
      <c r="G5052" s="54"/>
      <c r="I5052" s="54"/>
      <c r="K5052" s="54"/>
      <c r="M5052" s="114"/>
      <c r="N5052" s="1"/>
      <c r="O5052" s="1"/>
      <c r="P5052" s="51"/>
    </row>
    <row r="5053">
      <c r="A5053" s="54"/>
      <c r="B5053" s="71"/>
      <c r="C5053" s="51"/>
      <c r="D5053" s="114"/>
      <c r="E5053" s="114"/>
      <c r="F5053" s="54"/>
      <c r="G5053" s="54"/>
      <c r="I5053" s="54"/>
      <c r="K5053" s="54"/>
      <c r="M5053" s="114"/>
      <c r="N5053" s="1"/>
      <c r="O5053" s="1"/>
      <c r="P5053" s="51"/>
    </row>
    <row r="5054">
      <c r="A5054" s="54"/>
      <c r="B5054" s="71"/>
      <c r="C5054" s="51"/>
      <c r="D5054" s="114"/>
      <c r="E5054" s="114"/>
      <c r="F5054" s="54"/>
      <c r="G5054" s="54"/>
      <c r="I5054" s="54"/>
      <c r="K5054" s="54"/>
      <c r="M5054" s="114"/>
      <c r="N5054" s="1"/>
      <c r="O5054" s="1"/>
      <c r="P5054" s="51"/>
    </row>
    <row r="5055">
      <c r="A5055" s="54"/>
      <c r="B5055" s="71"/>
      <c r="C5055" s="51"/>
      <c r="D5055" s="114"/>
      <c r="E5055" s="114"/>
      <c r="F5055" s="54"/>
      <c r="G5055" s="54"/>
      <c r="I5055" s="54"/>
      <c r="K5055" s="54"/>
      <c r="M5055" s="114"/>
      <c r="N5055" s="1"/>
      <c r="O5055" s="1"/>
      <c r="P5055" s="51"/>
    </row>
    <row r="5056">
      <c r="A5056" s="54"/>
      <c r="B5056" s="71"/>
      <c r="C5056" s="51"/>
      <c r="D5056" s="114"/>
      <c r="E5056" s="114"/>
      <c r="F5056" s="54"/>
      <c r="G5056" s="54"/>
      <c r="I5056" s="54"/>
      <c r="K5056" s="54"/>
      <c r="M5056" s="114"/>
      <c r="N5056" s="1"/>
      <c r="O5056" s="1"/>
      <c r="P5056" s="51"/>
    </row>
    <row r="5057">
      <c r="A5057" s="54"/>
      <c r="B5057" s="71"/>
      <c r="C5057" s="51"/>
      <c r="D5057" s="114"/>
      <c r="E5057" s="114"/>
      <c r="F5057" s="54"/>
      <c r="G5057" s="54"/>
      <c r="I5057" s="54"/>
      <c r="K5057" s="54"/>
      <c r="M5057" s="114"/>
      <c r="N5057" s="1"/>
      <c r="O5057" s="1"/>
      <c r="P5057" s="51"/>
    </row>
    <row r="5058">
      <c r="A5058" s="54"/>
      <c r="B5058" s="71"/>
      <c r="C5058" s="51"/>
      <c r="D5058" s="114"/>
      <c r="E5058" s="114"/>
      <c r="F5058" s="54"/>
      <c r="G5058" s="54"/>
      <c r="I5058" s="54"/>
      <c r="K5058" s="54"/>
      <c r="M5058" s="114"/>
      <c r="N5058" s="1"/>
      <c r="O5058" s="1"/>
      <c r="P5058" s="51"/>
    </row>
    <row r="5059">
      <c r="A5059" s="54"/>
      <c r="B5059" s="71"/>
      <c r="C5059" s="51"/>
      <c r="D5059" s="114"/>
      <c r="E5059" s="114"/>
      <c r="F5059" s="54"/>
      <c r="G5059" s="54"/>
      <c r="I5059" s="54"/>
      <c r="K5059" s="54"/>
      <c r="M5059" s="114"/>
      <c r="N5059" s="1"/>
      <c r="O5059" s="1"/>
      <c r="P5059" s="51"/>
    </row>
    <row r="5060">
      <c r="A5060" s="54"/>
      <c r="B5060" s="71"/>
      <c r="C5060" s="51"/>
      <c r="D5060" s="114"/>
      <c r="E5060" s="114"/>
      <c r="F5060" s="54"/>
      <c r="G5060" s="54"/>
      <c r="I5060" s="54"/>
      <c r="K5060" s="54"/>
      <c r="M5060" s="114"/>
      <c r="N5060" s="1"/>
      <c r="O5060" s="1"/>
      <c r="P5060" s="51"/>
    </row>
    <row r="5061">
      <c r="A5061" s="54"/>
      <c r="B5061" s="71"/>
      <c r="C5061" s="51"/>
      <c r="D5061" s="114"/>
      <c r="E5061" s="114"/>
      <c r="F5061" s="54"/>
      <c r="G5061" s="54"/>
      <c r="I5061" s="54"/>
      <c r="K5061" s="54"/>
      <c r="M5061" s="114"/>
      <c r="N5061" s="1"/>
      <c r="O5061" s="1"/>
      <c r="P5061" s="51"/>
    </row>
    <row r="5062">
      <c r="A5062" s="54"/>
      <c r="B5062" s="71"/>
      <c r="C5062" s="51"/>
      <c r="D5062" s="114"/>
      <c r="E5062" s="114"/>
      <c r="F5062" s="54"/>
      <c r="G5062" s="54"/>
      <c r="I5062" s="54"/>
      <c r="K5062" s="54"/>
      <c r="M5062" s="114"/>
      <c r="N5062" s="1"/>
      <c r="O5062" s="1"/>
      <c r="P5062" s="51"/>
    </row>
    <row r="5063">
      <c r="A5063" s="54"/>
      <c r="B5063" s="71"/>
      <c r="C5063" s="51"/>
      <c r="D5063" s="114"/>
      <c r="E5063" s="114"/>
      <c r="F5063" s="54"/>
      <c r="G5063" s="54"/>
      <c r="I5063" s="54"/>
      <c r="K5063" s="54"/>
      <c r="M5063" s="114"/>
      <c r="N5063" s="1"/>
      <c r="O5063" s="1"/>
      <c r="P5063" s="51"/>
    </row>
    <row r="5064">
      <c r="A5064" s="54"/>
      <c r="B5064" s="71"/>
      <c r="C5064" s="51"/>
      <c r="D5064" s="114"/>
      <c r="E5064" s="114"/>
      <c r="F5064" s="54"/>
      <c r="G5064" s="54"/>
      <c r="I5064" s="54"/>
      <c r="K5064" s="54"/>
      <c r="M5064" s="114"/>
      <c r="N5064" s="1"/>
      <c r="O5064" s="1"/>
      <c r="P5064" s="51"/>
    </row>
    <row r="5065">
      <c r="A5065" s="54"/>
      <c r="B5065" s="71"/>
      <c r="C5065" s="51"/>
      <c r="D5065" s="114"/>
      <c r="E5065" s="114"/>
      <c r="F5065" s="54"/>
      <c r="G5065" s="54"/>
      <c r="I5065" s="54"/>
      <c r="K5065" s="54"/>
      <c r="M5065" s="114"/>
      <c r="N5065" s="1"/>
      <c r="O5065" s="1"/>
      <c r="P5065" s="51"/>
    </row>
    <row r="5066">
      <c r="A5066" s="54"/>
      <c r="B5066" s="71"/>
      <c r="C5066" s="51"/>
      <c r="D5066" s="114"/>
      <c r="E5066" s="114"/>
      <c r="F5066" s="54"/>
      <c r="G5066" s="54"/>
      <c r="I5066" s="54"/>
      <c r="K5066" s="54"/>
      <c r="M5066" s="114"/>
      <c r="N5066" s="1"/>
      <c r="O5066" s="1"/>
      <c r="P5066" s="51"/>
    </row>
    <row r="5067">
      <c r="A5067" s="54"/>
      <c r="B5067" s="71"/>
      <c r="C5067" s="51"/>
      <c r="D5067" s="114"/>
      <c r="E5067" s="114"/>
      <c r="F5067" s="54"/>
      <c r="G5067" s="54"/>
      <c r="I5067" s="54"/>
      <c r="K5067" s="54"/>
      <c r="M5067" s="114"/>
      <c r="N5067" s="1"/>
      <c r="O5067" s="1"/>
      <c r="P5067" s="51"/>
    </row>
    <row r="5068">
      <c r="A5068" s="54"/>
      <c r="B5068" s="71"/>
      <c r="C5068" s="51"/>
      <c r="D5068" s="114"/>
      <c r="E5068" s="114"/>
      <c r="F5068" s="54"/>
      <c r="G5068" s="54"/>
      <c r="I5068" s="54"/>
      <c r="K5068" s="54"/>
      <c r="M5068" s="114"/>
      <c r="N5068" s="1"/>
      <c r="O5068" s="1"/>
      <c r="P5068" s="51"/>
    </row>
    <row r="5069">
      <c r="A5069" s="54"/>
      <c r="B5069" s="71"/>
      <c r="C5069" s="51"/>
      <c r="D5069" s="114"/>
      <c r="E5069" s="114"/>
      <c r="F5069" s="54"/>
      <c r="G5069" s="54"/>
      <c r="I5069" s="54"/>
      <c r="K5069" s="54"/>
      <c r="M5069" s="114"/>
      <c r="N5069" s="1"/>
      <c r="O5069" s="1"/>
      <c r="P5069" s="51"/>
    </row>
    <row r="5070">
      <c r="A5070" s="54"/>
      <c r="B5070" s="71"/>
      <c r="C5070" s="51"/>
      <c r="D5070" s="114"/>
      <c r="E5070" s="114"/>
      <c r="F5070" s="54"/>
      <c r="G5070" s="54"/>
      <c r="I5070" s="54"/>
      <c r="K5070" s="54"/>
      <c r="M5070" s="114"/>
      <c r="N5070" s="1"/>
      <c r="O5070" s="1"/>
      <c r="P5070" s="51"/>
    </row>
    <row r="5071">
      <c r="A5071" s="54"/>
      <c r="B5071" s="71"/>
      <c r="C5071" s="51"/>
      <c r="D5071" s="114"/>
      <c r="E5071" s="114"/>
      <c r="F5071" s="54"/>
      <c r="G5071" s="54"/>
      <c r="I5071" s="54"/>
      <c r="K5071" s="54"/>
      <c r="M5071" s="114"/>
      <c r="N5071" s="1"/>
      <c r="O5071" s="1"/>
      <c r="P5071" s="51"/>
    </row>
    <row r="5072">
      <c r="A5072" s="54"/>
      <c r="B5072" s="71"/>
      <c r="C5072" s="51"/>
      <c r="D5072" s="114"/>
      <c r="E5072" s="114"/>
      <c r="F5072" s="54"/>
      <c r="G5072" s="54"/>
      <c r="I5072" s="54"/>
      <c r="K5072" s="54"/>
      <c r="M5072" s="114"/>
      <c r="N5072" s="1"/>
      <c r="O5072" s="1"/>
      <c r="P5072" s="51"/>
    </row>
    <row r="5073">
      <c r="A5073" s="54"/>
      <c r="B5073" s="71"/>
      <c r="C5073" s="51"/>
      <c r="D5073" s="114"/>
      <c r="E5073" s="114"/>
      <c r="F5073" s="54"/>
      <c r="G5073" s="54"/>
      <c r="I5073" s="54"/>
      <c r="K5073" s="54"/>
      <c r="M5073" s="114"/>
      <c r="N5073" s="1"/>
      <c r="O5073" s="1"/>
      <c r="P5073" s="51"/>
    </row>
    <row r="5074">
      <c r="A5074" s="54"/>
      <c r="B5074" s="71"/>
      <c r="C5074" s="51"/>
      <c r="D5074" s="114"/>
      <c r="E5074" s="114"/>
      <c r="F5074" s="54"/>
      <c r="G5074" s="54"/>
      <c r="I5074" s="54"/>
      <c r="K5074" s="54"/>
      <c r="M5074" s="114"/>
      <c r="N5074" s="1"/>
      <c r="O5074" s="1"/>
      <c r="P5074" s="51"/>
    </row>
    <row r="5075">
      <c r="A5075" s="54"/>
      <c r="B5075" s="71"/>
      <c r="C5075" s="51"/>
      <c r="D5075" s="114"/>
      <c r="E5075" s="114"/>
      <c r="F5075" s="54"/>
      <c r="G5075" s="54"/>
      <c r="I5075" s="54"/>
      <c r="K5075" s="54"/>
      <c r="M5075" s="114"/>
      <c r="N5075" s="1"/>
      <c r="O5075" s="1"/>
      <c r="P5075" s="51"/>
    </row>
    <row r="5076">
      <c r="A5076" s="54"/>
      <c r="B5076" s="71"/>
      <c r="C5076" s="51"/>
      <c r="D5076" s="114"/>
      <c r="E5076" s="114"/>
      <c r="F5076" s="54"/>
      <c r="G5076" s="54"/>
      <c r="I5076" s="54"/>
      <c r="K5076" s="54"/>
      <c r="M5076" s="114"/>
      <c r="N5076" s="1"/>
      <c r="O5076" s="1"/>
      <c r="P5076" s="51"/>
    </row>
    <row r="5077">
      <c r="A5077" s="54"/>
      <c r="B5077" s="71"/>
      <c r="C5077" s="51"/>
      <c r="D5077" s="114"/>
      <c r="E5077" s="114"/>
      <c r="F5077" s="54"/>
      <c r="G5077" s="54"/>
      <c r="I5077" s="54"/>
      <c r="K5077" s="54"/>
      <c r="M5077" s="114"/>
      <c r="N5077" s="1"/>
      <c r="O5077" s="1"/>
      <c r="P5077" s="51"/>
    </row>
    <row r="5078">
      <c r="A5078" s="54"/>
      <c r="B5078" s="71"/>
      <c r="C5078" s="51"/>
      <c r="D5078" s="114"/>
      <c r="E5078" s="114"/>
      <c r="F5078" s="54"/>
      <c r="G5078" s="54"/>
      <c r="I5078" s="54"/>
      <c r="K5078" s="54"/>
      <c r="M5078" s="114"/>
      <c r="N5078" s="1"/>
      <c r="O5078" s="1"/>
      <c r="P5078" s="51"/>
    </row>
    <row r="5079">
      <c r="A5079" s="54"/>
      <c r="B5079" s="71"/>
      <c r="C5079" s="51"/>
      <c r="D5079" s="114"/>
      <c r="E5079" s="114"/>
      <c r="F5079" s="54"/>
      <c r="G5079" s="54"/>
      <c r="I5079" s="54"/>
      <c r="K5079" s="54"/>
      <c r="M5079" s="114"/>
      <c r="N5079" s="1"/>
      <c r="O5079" s="1"/>
      <c r="P5079" s="51"/>
    </row>
    <row r="5080">
      <c r="A5080" s="54"/>
      <c r="B5080" s="71"/>
      <c r="C5080" s="51"/>
      <c r="D5080" s="114"/>
      <c r="E5080" s="114"/>
      <c r="F5080" s="54"/>
      <c r="G5080" s="54"/>
      <c r="I5080" s="54"/>
      <c r="K5080" s="54"/>
      <c r="M5080" s="114"/>
      <c r="N5080" s="1"/>
      <c r="O5080" s="1"/>
      <c r="P5080" s="51"/>
    </row>
    <row r="5081">
      <c r="A5081" s="54"/>
      <c r="B5081" s="71"/>
      <c r="C5081" s="51"/>
      <c r="D5081" s="114"/>
      <c r="E5081" s="114"/>
      <c r="F5081" s="54"/>
      <c r="G5081" s="54"/>
      <c r="I5081" s="54"/>
      <c r="K5081" s="54"/>
      <c r="M5081" s="114"/>
      <c r="N5081" s="1"/>
      <c r="O5081" s="1"/>
      <c r="P5081" s="51"/>
    </row>
    <row r="5082">
      <c r="A5082" s="54"/>
      <c r="B5082" s="71"/>
      <c r="C5082" s="51"/>
      <c r="D5082" s="114"/>
      <c r="E5082" s="114"/>
      <c r="F5082" s="54"/>
      <c r="G5082" s="54"/>
      <c r="I5082" s="54"/>
      <c r="K5082" s="54"/>
      <c r="M5082" s="114"/>
      <c r="N5082" s="1"/>
      <c r="O5082" s="1"/>
      <c r="P5082" s="51"/>
    </row>
    <row r="5083">
      <c r="A5083" s="54"/>
      <c r="B5083" s="71"/>
      <c r="C5083" s="51"/>
      <c r="D5083" s="114"/>
      <c r="E5083" s="114"/>
      <c r="F5083" s="54"/>
      <c r="G5083" s="54"/>
      <c r="I5083" s="54"/>
      <c r="K5083" s="54"/>
      <c r="M5083" s="114"/>
      <c r="N5083" s="1"/>
      <c r="O5083" s="1"/>
      <c r="P5083" s="51"/>
    </row>
    <row r="5084">
      <c r="A5084" s="54"/>
      <c r="B5084" s="71"/>
      <c r="C5084" s="51"/>
      <c r="D5084" s="114"/>
      <c r="E5084" s="114"/>
      <c r="F5084" s="54"/>
      <c r="G5084" s="54"/>
      <c r="I5084" s="54"/>
      <c r="K5084" s="54"/>
      <c r="M5084" s="114"/>
      <c r="N5084" s="1"/>
      <c r="O5084" s="1"/>
      <c r="P5084" s="51"/>
    </row>
    <row r="5085">
      <c r="A5085" s="54"/>
      <c r="B5085" s="71"/>
      <c r="C5085" s="51"/>
      <c r="D5085" s="114"/>
      <c r="E5085" s="114"/>
      <c r="F5085" s="54"/>
      <c r="G5085" s="54"/>
      <c r="I5085" s="54"/>
      <c r="K5085" s="54"/>
      <c r="M5085" s="114"/>
      <c r="N5085" s="1"/>
      <c r="O5085" s="1"/>
      <c r="P5085" s="51"/>
    </row>
    <row r="5086">
      <c r="A5086" s="54"/>
      <c r="B5086" s="71"/>
      <c r="C5086" s="51"/>
      <c r="D5086" s="114"/>
      <c r="E5086" s="114"/>
      <c r="F5086" s="54"/>
      <c r="G5086" s="54"/>
      <c r="I5086" s="54"/>
      <c r="K5086" s="54"/>
      <c r="M5086" s="114"/>
      <c r="N5086" s="1"/>
      <c r="O5086" s="1"/>
      <c r="P5086" s="51"/>
    </row>
    <row r="5087">
      <c r="A5087" s="54"/>
      <c r="B5087" s="71"/>
      <c r="C5087" s="51"/>
      <c r="D5087" s="114"/>
      <c r="E5087" s="114"/>
      <c r="F5087" s="54"/>
      <c r="G5087" s="54"/>
      <c r="I5087" s="54"/>
      <c r="K5087" s="54"/>
      <c r="M5087" s="114"/>
      <c r="N5087" s="1"/>
      <c r="O5087" s="1"/>
      <c r="P5087" s="51"/>
    </row>
    <row r="5088">
      <c r="A5088" s="54"/>
      <c r="B5088" s="71"/>
      <c r="C5088" s="51"/>
      <c r="D5088" s="114"/>
      <c r="E5088" s="114"/>
      <c r="F5088" s="54"/>
      <c r="G5088" s="54"/>
      <c r="I5088" s="54"/>
      <c r="K5088" s="54"/>
      <c r="M5088" s="114"/>
      <c r="N5088" s="1"/>
      <c r="O5088" s="1"/>
      <c r="P5088" s="51"/>
    </row>
    <row r="5089">
      <c r="A5089" s="54"/>
      <c r="B5089" s="71"/>
      <c r="C5089" s="51"/>
      <c r="D5089" s="114"/>
      <c r="E5089" s="114"/>
      <c r="F5089" s="54"/>
      <c r="G5089" s="54"/>
      <c r="I5089" s="54"/>
      <c r="K5089" s="54"/>
      <c r="M5089" s="114"/>
      <c r="N5089" s="1"/>
      <c r="O5089" s="1"/>
      <c r="P5089" s="51"/>
    </row>
    <row r="5090">
      <c r="A5090" s="54"/>
      <c r="B5090" s="71"/>
      <c r="C5090" s="51"/>
      <c r="D5090" s="114"/>
      <c r="E5090" s="114"/>
      <c r="F5090" s="54"/>
      <c r="G5090" s="54"/>
      <c r="I5090" s="54"/>
      <c r="K5090" s="54"/>
      <c r="M5090" s="114"/>
      <c r="N5090" s="1"/>
      <c r="O5090" s="1"/>
      <c r="P5090" s="51"/>
    </row>
    <row r="5091">
      <c r="A5091" s="54"/>
      <c r="B5091" s="71"/>
      <c r="C5091" s="51"/>
      <c r="D5091" s="114"/>
      <c r="E5091" s="114"/>
      <c r="F5091" s="54"/>
      <c r="G5091" s="54"/>
      <c r="I5091" s="54"/>
      <c r="K5091" s="54"/>
      <c r="M5091" s="114"/>
      <c r="N5091" s="1"/>
      <c r="O5091" s="1"/>
      <c r="P5091" s="51"/>
    </row>
    <row r="5092">
      <c r="A5092" s="54"/>
      <c r="B5092" s="71"/>
      <c r="C5092" s="51"/>
      <c r="D5092" s="114"/>
      <c r="E5092" s="114"/>
      <c r="F5092" s="54"/>
      <c r="G5092" s="54"/>
      <c r="I5092" s="54"/>
      <c r="K5092" s="54"/>
      <c r="M5092" s="114"/>
      <c r="N5092" s="1"/>
      <c r="O5092" s="1"/>
      <c r="P5092" s="51"/>
    </row>
    <row r="5093">
      <c r="A5093" s="54"/>
      <c r="B5093" s="71"/>
      <c r="C5093" s="51"/>
      <c r="D5093" s="114"/>
      <c r="E5093" s="114"/>
      <c r="F5093" s="54"/>
      <c r="G5093" s="54"/>
      <c r="I5093" s="54"/>
      <c r="K5093" s="54"/>
      <c r="M5093" s="114"/>
      <c r="N5093" s="1"/>
      <c r="O5093" s="1"/>
      <c r="P5093" s="51"/>
    </row>
    <row r="5094">
      <c r="A5094" s="54"/>
      <c r="B5094" s="71"/>
      <c r="C5094" s="51"/>
      <c r="D5094" s="114"/>
      <c r="E5094" s="114"/>
      <c r="F5094" s="54"/>
      <c r="G5094" s="54"/>
      <c r="I5094" s="54"/>
      <c r="K5094" s="54"/>
      <c r="M5094" s="114"/>
      <c r="N5094" s="1"/>
      <c r="O5094" s="1"/>
      <c r="P5094" s="51"/>
    </row>
    <row r="5095">
      <c r="A5095" s="54"/>
      <c r="B5095" s="71"/>
      <c r="C5095" s="51"/>
      <c r="D5095" s="114"/>
      <c r="E5095" s="114"/>
      <c r="F5095" s="54"/>
      <c r="G5095" s="54"/>
      <c r="I5095" s="54"/>
      <c r="K5095" s="54"/>
      <c r="M5095" s="114"/>
      <c r="N5095" s="1"/>
      <c r="O5095" s="1"/>
      <c r="P5095" s="51"/>
    </row>
    <row r="5096">
      <c r="A5096" s="54"/>
      <c r="B5096" s="71"/>
      <c r="C5096" s="51"/>
      <c r="D5096" s="114"/>
      <c r="E5096" s="114"/>
      <c r="F5096" s="54"/>
      <c r="G5096" s="54"/>
      <c r="I5096" s="54"/>
      <c r="K5096" s="54"/>
      <c r="M5096" s="114"/>
      <c r="N5096" s="1"/>
      <c r="O5096" s="1"/>
      <c r="P5096" s="51"/>
    </row>
    <row r="5097">
      <c r="A5097" s="54"/>
      <c r="B5097" s="71"/>
      <c r="C5097" s="51"/>
      <c r="D5097" s="114"/>
      <c r="E5097" s="114"/>
      <c r="F5097" s="54"/>
      <c r="G5097" s="54"/>
      <c r="I5097" s="54"/>
      <c r="K5097" s="54"/>
      <c r="M5097" s="114"/>
      <c r="N5097" s="1"/>
      <c r="O5097" s="1"/>
      <c r="P5097" s="51"/>
    </row>
    <row r="5098">
      <c r="A5098" s="54"/>
      <c r="B5098" s="71"/>
      <c r="C5098" s="51"/>
      <c r="D5098" s="114"/>
      <c r="E5098" s="114"/>
      <c r="F5098" s="54"/>
      <c r="G5098" s="54"/>
      <c r="I5098" s="54"/>
      <c r="K5098" s="54"/>
      <c r="M5098" s="114"/>
      <c r="N5098" s="1"/>
      <c r="O5098" s="1"/>
      <c r="P5098" s="51"/>
    </row>
    <row r="5099">
      <c r="A5099" s="54"/>
      <c r="B5099" s="71"/>
      <c r="C5099" s="51"/>
      <c r="D5099" s="114"/>
      <c r="E5099" s="114"/>
      <c r="F5099" s="54"/>
      <c r="G5099" s="54"/>
      <c r="I5099" s="54"/>
      <c r="K5099" s="54"/>
      <c r="M5099" s="114"/>
      <c r="N5099" s="1"/>
      <c r="O5099" s="1"/>
      <c r="P5099" s="51"/>
    </row>
    <row r="5100">
      <c r="A5100" s="54"/>
      <c r="B5100" s="71"/>
      <c r="C5100" s="51"/>
      <c r="D5100" s="114"/>
      <c r="E5100" s="114"/>
      <c r="F5100" s="54"/>
      <c r="G5100" s="54"/>
      <c r="I5100" s="54"/>
      <c r="K5100" s="54"/>
      <c r="M5100" s="114"/>
      <c r="N5100" s="1"/>
      <c r="O5100" s="1"/>
      <c r="P5100" s="51"/>
    </row>
    <row r="5101">
      <c r="A5101" s="54"/>
      <c r="B5101" s="71"/>
      <c r="C5101" s="51"/>
      <c r="D5101" s="114"/>
      <c r="E5101" s="114"/>
      <c r="F5101" s="54"/>
      <c r="G5101" s="54"/>
      <c r="I5101" s="54"/>
      <c r="K5101" s="54"/>
      <c r="M5101" s="114"/>
      <c r="N5101" s="1"/>
      <c r="O5101" s="1"/>
      <c r="P5101" s="51"/>
    </row>
    <row r="5102">
      <c r="A5102" s="54"/>
      <c r="B5102" s="71"/>
      <c r="C5102" s="51"/>
      <c r="D5102" s="114"/>
      <c r="E5102" s="114"/>
      <c r="F5102" s="54"/>
      <c r="G5102" s="54"/>
      <c r="I5102" s="54"/>
      <c r="K5102" s="54"/>
      <c r="M5102" s="114"/>
      <c r="N5102" s="1"/>
      <c r="O5102" s="1"/>
      <c r="P5102" s="51"/>
    </row>
    <row r="5103">
      <c r="A5103" s="54"/>
      <c r="B5103" s="71"/>
      <c r="C5103" s="51"/>
      <c r="D5103" s="114"/>
      <c r="E5103" s="114"/>
      <c r="F5103" s="54"/>
      <c r="G5103" s="54"/>
      <c r="I5103" s="54"/>
      <c r="K5103" s="54"/>
      <c r="M5103" s="114"/>
      <c r="N5103" s="1"/>
      <c r="O5103" s="1"/>
      <c r="P5103" s="51"/>
    </row>
    <row r="5104">
      <c r="A5104" s="54"/>
      <c r="B5104" s="71"/>
      <c r="C5104" s="51"/>
      <c r="D5104" s="114"/>
      <c r="E5104" s="114"/>
      <c r="F5104" s="54"/>
      <c r="G5104" s="54"/>
      <c r="I5104" s="54"/>
      <c r="K5104" s="54"/>
      <c r="M5104" s="114"/>
      <c r="N5104" s="1"/>
      <c r="O5104" s="1"/>
      <c r="P5104" s="51"/>
    </row>
    <row r="5105">
      <c r="A5105" s="54"/>
      <c r="B5105" s="71"/>
      <c r="C5105" s="51"/>
      <c r="D5105" s="114"/>
      <c r="E5105" s="114"/>
      <c r="F5105" s="54"/>
      <c r="G5105" s="54"/>
      <c r="I5105" s="54"/>
      <c r="K5105" s="54"/>
      <c r="M5105" s="114"/>
      <c r="N5105" s="1"/>
      <c r="O5105" s="1"/>
      <c r="P5105" s="51"/>
    </row>
    <row r="5106">
      <c r="A5106" s="54"/>
      <c r="B5106" s="71"/>
      <c r="C5106" s="51"/>
      <c r="D5106" s="114"/>
      <c r="E5106" s="114"/>
      <c r="F5106" s="54"/>
      <c r="G5106" s="54"/>
      <c r="I5106" s="54"/>
      <c r="K5106" s="54"/>
      <c r="M5106" s="114"/>
      <c r="N5106" s="1"/>
      <c r="O5106" s="1"/>
      <c r="P5106" s="51"/>
    </row>
    <row r="5107">
      <c r="A5107" s="54"/>
      <c r="B5107" s="71"/>
      <c r="C5107" s="51"/>
      <c r="D5107" s="114"/>
      <c r="E5107" s="114"/>
      <c r="F5107" s="54"/>
      <c r="G5107" s="54"/>
      <c r="I5107" s="54"/>
      <c r="K5107" s="54"/>
      <c r="M5107" s="114"/>
      <c r="N5107" s="1"/>
      <c r="O5107" s="1"/>
      <c r="P5107" s="51"/>
    </row>
    <row r="5108">
      <c r="A5108" s="54"/>
      <c r="B5108" s="71"/>
      <c r="C5108" s="51"/>
      <c r="D5108" s="114"/>
      <c r="E5108" s="114"/>
      <c r="F5108" s="54"/>
      <c r="G5108" s="54"/>
      <c r="I5108" s="54"/>
      <c r="K5108" s="54"/>
      <c r="M5108" s="114"/>
      <c r="N5108" s="1"/>
      <c r="O5108" s="1"/>
      <c r="P5108" s="51"/>
    </row>
    <row r="5109">
      <c r="A5109" s="54"/>
      <c r="B5109" s="71"/>
      <c r="C5109" s="51"/>
      <c r="D5109" s="114"/>
      <c r="E5109" s="114"/>
      <c r="F5109" s="54"/>
      <c r="G5109" s="54"/>
      <c r="I5109" s="54"/>
      <c r="K5109" s="54"/>
      <c r="M5109" s="114"/>
      <c r="N5109" s="1"/>
      <c r="O5109" s="1"/>
      <c r="P5109" s="51"/>
    </row>
    <row r="5110">
      <c r="A5110" s="54"/>
      <c r="B5110" s="71"/>
      <c r="C5110" s="51"/>
      <c r="D5110" s="114"/>
      <c r="E5110" s="114"/>
      <c r="F5110" s="54"/>
      <c r="G5110" s="54"/>
      <c r="I5110" s="54"/>
      <c r="K5110" s="54"/>
      <c r="M5110" s="114"/>
      <c r="N5110" s="1"/>
      <c r="O5110" s="1"/>
      <c r="P5110" s="51"/>
    </row>
    <row r="5111">
      <c r="A5111" s="54"/>
      <c r="B5111" s="71"/>
      <c r="C5111" s="51"/>
      <c r="D5111" s="114"/>
      <c r="E5111" s="114"/>
      <c r="F5111" s="54"/>
      <c r="G5111" s="54"/>
      <c r="I5111" s="54"/>
      <c r="K5111" s="54"/>
      <c r="M5111" s="114"/>
      <c r="N5111" s="1"/>
      <c r="O5111" s="1"/>
      <c r="P5111" s="51"/>
    </row>
    <row r="5112">
      <c r="A5112" s="54"/>
      <c r="B5112" s="71"/>
      <c r="C5112" s="51"/>
      <c r="D5112" s="114"/>
      <c r="E5112" s="114"/>
      <c r="F5112" s="54"/>
      <c r="G5112" s="54"/>
      <c r="I5112" s="54"/>
      <c r="K5112" s="54"/>
      <c r="M5112" s="114"/>
      <c r="N5112" s="1"/>
      <c r="O5112" s="1"/>
      <c r="P5112" s="51"/>
    </row>
    <row r="5113">
      <c r="A5113" s="54"/>
      <c r="B5113" s="71"/>
      <c r="C5113" s="51"/>
      <c r="D5113" s="114"/>
      <c r="E5113" s="114"/>
      <c r="F5113" s="54"/>
      <c r="G5113" s="54"/>
      <c r="I5113" s="54"/>
      <c r="K5113" s="54"/>
      <c r="M5113" s="114"/>
      <c r="N5113" s="1"/>
      <c r="O5113" s="1"/>
      <c r="P5113" s="51"/>
    </row>
    <row r="5114">
      <c r="A5114" s="54"/>
      <c r="B5114" s="71"/>
      <c r="C5114" s="51"/>
      <c r="D5114" s="114"/>
      <c r="E5114" s="114"/>
      <c r="F5114" s="54"/>
      <c r="G5114" s="54"/>
      <c r="I5114" s="54"/>
      <c r="K5114" s="54"/>
      <c r="M5114" s="114"/>
      <c r="N5114" s="1"/>
      <c r="O5114" s="1"/>
      <c r="P5114" s="51"/>
    </row>
    <row r="5115">
      <c r="A5115" s="54"/>
      <c r="B5115" s="71"/>
      <c r="C5115" s="51"/>
      <c r="D5115" s="114"/>
      <c r="E5115" s="114"/>
      <c r="F5115" s="54"/>
      <c r="G5115" s="54"/>
      <c r="I5115" s="54"/>
      <c r="K5115" s="54"/>
      <c r="M5115" s="114"/>
      <c r="N5115" s="1"/>
      <c r="O5115" s="1"/>
      <c r="P5115" s="51"/>
    </row>
    <row r="5116">
      <c r="A5116" s="54"/>
      <c r="B5116" s="71"/>
      <c r="C5116" s="51"/>
      <c r="D5116" s="114"/>
      <c r="E5116" s="114"/>
      <c r="F5116" s="54"/>
      <c r="G5116" s="54"/>
      <c r="I5116" s="54"/>
      <c r="K5116" s="54"/>
      <c r="M5116" s="114"/>
      <c r="N5116" s="1"/>
      <c r="O5116" s="1"/>
      <c r="P5116" s="51"/>
    </row>
    <row r="5117">
      <c r="A5117" s="54"/>
      <c r="B5117" s="71"/>
      <c r="C5117" s="51"/>
      <c r="D5117" s="114"/>
      <c r="E5117" s="114"/>
      <c r="F5117" s="54"/>
      <c r="G5117" s="54"/>
      <c r="I5117" s="54"/>
      <c r="K5117" s="54"/>
      <c r="M5117" s="114"/>
      <c r="N5117" s="1"/>
      <c r="O5117" s="1"/>
      <c r="P5117" s="51"/>
    </row>
    <row r="5118">
      <c r="A5118" s="54"/>
      <c r="B5118" s="71"/>
      <c r="C5118" s="51"/>
      <c r="D5118" s="114"/>
      <c r="E5118" s="114"/>
      <c r="F5118" s="54"/>
      <c r="G5118" s="54"/>
      <c r="I5118" s="54"/>
      <c r="K5118" s="54"/>
      <c r="M5118" s="114"/>
      <c r="N5118" s="1"/>
      <c r="O5118" s="1"/>
      <c r="P5118" s="51"/>
    </row>
    <row r="5119">
      <c r="A5119" s="54"/>
      <c r="B5119" s="71"/>
      <c r="C5119" s="51"/>
      <c r="D5119" s="114"/>
      <c r="E5119" s="114"/>
      <c r="F5119" s="54"/>
      <c r="G5119" s="54"/>
      <c r="I5119" s="54"/>
      <c r="K5119" s="54"/>
      <c r="M5119" s="114"/>
      <c r="N5119" s="1"/>
      <c r="O5119" s="1"/>
      <c r="P5119" s="51"/>
    </row>
    <row r="5120">
      <c r="A5120" s="54"/>
      <c r="B5120" s="71"/>
      <c r="C5120" s="51"/>
      <c r="D5120" s="114"/>
      <c r="E5120" s="114"/>
      <c r="F5120" s="54"/>
      <c r="G5120" s="54"/>
      <c r="I5120" s="54"/>
      <c r="K5120" s="54"/>
      <c r="M5120" s="114"/>
      <c r="N5120" s="1"/>
      <c r="O5120" s="1"/>
      <c r="P5120" s="51"/>
    </row>
    <row r="5121">
      <c r="A5121" s="54"/>
      <c r="B5121" s="71"/>
      <c r="C5121" s="51"/>
      <c r="D5121" s="114"/>
      <c r="E5121" s="114"/>
      <c r="F5121" s="54"/>
      <c r="G5121" s="54"/>
      <c r="I5121" s="54"/>
      <c r="K5121" s="54"/>
      <c r="M5121" s="114"/>
      <c r="N5121" s="1"/>
      <c r="O5121" s="1"/>
      <c r="P5121" s="51"/>
    </row>
    <row r="5122">
      <c r="A5122" s="54"/>
      <c r="B5122" s="71"/>
      <c r="C5122" s="51"/>
      <c r="D5122" s="114"/>
      <c r="E5122" s="114"/>
      <c r="F5122" s="54"/>
      <c r="G5122" s="54"/>
      <c r="I5122" s="54"/>
      <c r="K5122" s="54"/>
      <c r="M5122" s="114"/>
      <c r="N5122" s="1"/>
      <c r="O5122" s="1"/>
      <c r="P5122" s="51"/>
    </row>
    <row r="5123">
      <c r="A5123" s="54"/>
      <c r="B5123" s="71"/>
      <c r="C5123" s="51"/>
      <c r="D5123" s="114"/>
      <c r="E5123" s="114"/>
      <c r="F5123" s="54"/>
      <c r="G5123" s="54"/>
      <c r="I5123" s="54"/>
      <c r="K5123" s="54"/>
      <c r="M5123" s="114"/>
      <c r="N5123" s="1"/>
      <c r="O5123" s="1"/>
      <c r="P5123" s="51"/>
    </row>
    <row r="5124">
      <c r="A5124" s="54"/>
      <c r="B5124" s="71"/>
      <c r="C5124" s="51"/>
      <c r="D5124" s="114"/>
      <c r="E5124" s="114"/>
      <c r="F5124" s="54"/>
      <c r="G5124" s="54"/>
      <c r="I5124" s="54"/>
      <c r="K5124" s="54"/>
      <c r="M5124" s="114"/>
      <c r="N5124" s="1"/>
      <c r="O5124" s="1"/>
      <c r="P5124" s="51"/>
    </row>
    <row r="5125">
      <c r="A5125" s="54"/>
      <c r="B5125" s="71"/>
      <c r="C5125" s="51"/>
      <c r="D5125" s="114"/>
      <c r="E5125" s="114"/>
      <c r="F5125" s="54"/>
      <c r="G5125" s="54"/>
      <c r="I5125" s="54"/>
      <c r="K5125" s="54"/>
      <c r="M5125" s="114"/>
      <c r="N5125" s="1"/>
      <c r="O5125" s="1"/>
      <c r="P5125" s="51"/>
    </row>
    <row r="5126">
      <c r="A5126" s="54"/>
      <c r="B5126" s="71"/>
      <c r="C5126" s="51"/>
      <c r="D5126" s="114"/>
      <c r="E5126" s="114"/>
      <c r="F5126" s="54"/>
      <c r="G5126" s="54"/>
      <c r="I5126" s="54"/>
      <c r="K5126" s="54"/>
      <c r="M5126" s="114"/>
      <c r="N5126" s="1"/>
      <c r="O5126" s="1"/>
      <c r="P5126" s="51"/>
    </row>
    <row r="5127">
      <c r="A5127" s="54"/>
      <c r="B5127" s="71"/>
      <c r="C5127" s="51"/>
      <c r="D5127" s="114"/>
      <c r="E5127" s="114"/>
      <c r="F5127" s="54"/>
      <c r="G5127" s="54"/>
      <c r="I5127" s="54"/>
      <c r="K5127" s="54"/>
      <c r="M5127" s="114"/>
      <c r="N5127" s="1"/>
      <c r="O5127" s="1"/>
      <c r="P5127" s="51"/>
    </row>
    <row r="5128">
      <c r="A5128" s="54"/>
      <c r="B5128" s="71"/>
      <c r="C5128" s="51"/>
      <c r="D5128" s="114"/>
      <c r="E5128" s="114"/>
      <c r="F5128" s="54"/>
      <c r="G5128" s="54"/>
      <c r="I5128" s="54"/>
      <c r="K5128" s="54"/>
      <c r="M5128" s="114"/>
      <c r="N5128" s="1"/>
      <c r="O5128" s="1"/>
      <c r="P5128" s="51"/>
    </row>
    <row r="5129">
      <c r="A5129" s="54"/>
      <c r="B5129" s="71"/>
      <c r="C5129" s="51"/>
      <c r="D5129" s="114"/>
      <c r="E5129" s="114"/>
      <c r="F5129" s="54"/>
      <c r="G5129" s="54"/>
      <c r="I5129" s="54"/>
      <c r="K5129" s="54"/>
      <c r="M5129" s="114"/>
      <c r="N5129" s="1"/>
      <c r="O5129" s="1"/>
      <c r="P5129" s="51"/>
    </row>
    <row r="5130">
      <c r="A5130" s="54"/>
      <c r="B5130" s="71"/>
      <c r="C5130" s="51"/>
      <c r="D5130" s="114"/>
      <c r="E5130" s="114"/>
      <c r="F5130" s="54"/>
      <c r="G5130" s="54"/>
      <c r="I5130" s="54"/>
      <c r="K5130" s="54"/>
      <c r="M5130" s="114"/>
      <c r="N5130" s="1"/>
      <c r="O5130" s="1"/>
      <c r="P5130" s="51"/>
    </row>
    <row r="5131">
      <c r="A5131" s="54"/>
      <c r="B5131" s="71"/>
      <c r="C5131" s="51"/>
      <c r="D5131" s="114"/>
      <c r="E5131" s="114"/>
      <c r="F5131" s="54"/>
      <c r="G5131" s="54"/>
      <c r="I5131" s="54"/>
      <c r="K5131" s="54"/>
      <c r="M5131" s="114"/>
      <c r="N5131" s="1"/>
      <c r="O5131" s="1"/>
      <c r="P5131" s="51"/>
    </row>
    <row r="5132">
      <c r="A5132" s="54"/>
      <c r="B5132" s="71"/>
      <c r="C5132" s="51"/>
      <c r="D5132" s="114"/>
      <c r="E5132" s="114"/>
      <c r="F5132" s="54"/>
      <c r="G5132" s="54"/>
      <c r="I5132" s="54"/>
      <c r="K5132" s="54"/>
      <c r="M5132" s="114"/>
      <c r="N5132" s="1"/>
      <c r="O5132" s="1"/>
      <c r="P5132" s="51"/>
    </row>
    <row r="5133">
      <c r="A5133" s="54"/>
      <c r="B5133" s="71"/>
      <c r="C5133" s="51"/>
      <c r="D5133" s="114"/>
      <c r="E5133" s="114"/>
      <c r="F5133" s="54"/>
      <c r="G5133" s="54"/>
      <c r="I5133" s="54"/>
      <c r="K5133" s="54"/>
      <c r="M5133" s="114"/>
      <c r="N5133" s="1"/>
      <c r="O5133" s="1"/>
      <c r="P5133" s="51"/>
    </row>
    <row r="5134">
      <c r="A5134" s="54"/>
      <c r="B5134" s="71"/>
      <c r="C5134" s="51"/>
      <c r="D5134" s="114"/>
      <c r="E5134" s="114"/>
      <c r="F5134" s="54"/>
      <c r="G5134" s="54"/>
      <c r="I5134" s="54"/>
      <c r="K5134" s="54"/>
      <c r="M5134" s="114"/>
      <c r="N5134" s="1"/>
      <c r="O5134" s="1"/>
      <c r="P5134" s="51"/>
    </row>
    <row r="5135">
      <c r="A5135" s="54"/>
      <c r="B5135" s="71"/>
      <c r="C5135" s="51"/>
      <c r="D5135" s="114"/>
      <c r="E5135" s="114"/>
      <c r="F5135" s="54"/>
      <c r="G5135" s="54"/>
      <c r="I5135" s="54"/>
      <c r="K5135" s="54"/>
      <c r="M5135" s="114"/>
      <c r="N5135" s="1"/>
      <c r="O5135" s="1"/>
      <c r="P5135" s="51"/>
    </row>
    <row r="5136">
      <c r="A5136" s="54"/>
      <c r="B5136" s="71"/>
      <c r="C5136" s="51"/>
      <c r="D5136" s="114"/>
      <c r="E5136" s="114"/>
      <c r="F5136" s="54"/>
      <c r="G5136" s="54"/>
      <c r="I5136" s="54"/>
      <c r="K5136" s="54"/>
      <c r="M5136" s="114"/>
      <c r="N5136" s="1"/>
      <c r="O5136" s="1"/>
      <c r="P5136" s="51"/>
    </row>
    <row r="5137">
      <c r="A5137" s="54"/>
      <c r="B5137" s="71"/>
      <c r="C5137" s="51"/>
      <c r="D5137" s="114"/>
      <c r="E5137" s="114"/>
      <c r="F5137" s="54"/>
      <c r="G5137" s="54"/>
      <c r="I5137" s="54"/>
      <c r="K5137" s="54"/>
      <c r="M5137" s="114"/>
      <c r="N5137" s="1"/>
      <c r="O5137" s="1"/>
      <c r="P5137" s="51"/>
    </row>
    <row r="5138">
      <c r="A5138" s="54"/>
      <c r="B5138" s="71"/>
      <c r="C5138" s="51"/>
      <c r="D5138" s="114"/>
      <c r="E5138" s="114"/>
      <c r="F5138" s="54"/>
      <c r="G5138" s="54"/>
      <c r="I5138" s="54"/>
      <c r="K5138" s="54"/>
      <c r="M5138" s="114"/>
      <c r="N5138" s="1"/>
      <c r="O5138" s="1"/>
      <c r="P5138" s="51"/>
    </row>
    <row r="5139">
      <c r="A5139" s="54"/>
      <c r="B5139" s="71"/>
      <c r="C5139" s="51"/>
      <c r="D5139" s="114"/>
      <c r="E5139" s="114"/>
      <c r="F5139" s="54"/>
      <c r="G5139" s="54"/>
      <c r="I5139" s="54"/>
      <c r="K5139" s="54"/>
      <c r="M5139" s="114"/>
      <c r="N5139" s="1"/>
      <c r="O5139" s="1"/>
      <c r="P5139" s="51"/>
    </row>
    <row r="5140">
      <c r="A5140" s="54"/>
      <c r="B5140" s="71"/>
      <c r="C5140" s="51"/>
      <c r="D5140" s="114"/>
      <c r="E5140" s="114"/>
      <c r="F5140" s="54"/>
      <c r="G5140" s="54"/>
      <c r="I5140" s="54"/>
      <c r="K5140" s="54"/>
      <c r="M5140" s="114"/>
      <c r="N5140" s="1"/>
      <c r="O5140" s="1"/>
      <c r="P5140" s="51"/>
    </row>
    <row r="5141">
      <c r="A5141" s="54"/>
      <c r="B5141" s="71"/>
      <c r="C5141" s="51"/>
      <c r="D5141" s="114"/>
      <c r="E5141" s="114"/>
      <c r="F5141" s="54"/>
      <c r="G5141" s="54"/>
      <c r="I5141" s="54"/>
      <c r="K5141" s="54"/>
      <c r="M5141" s="114"/>
      <c r="N5141" s="1"/>
      <c r="O5141" s="1"/>
      <c r="P5141" s="51"/>
    </row>
    <row r="5142">
      <c r="A5142" s="54"/>
      <c r="B5142" s="71"/>
      <c r="C5142" s="51"/>
      <c r="D5142" s="114"/>
      <c r="E5142" s="114"/>
      <c r="F5142" s="54"/>
      <c r="G5142" s="54"/>
      <c r="I5142" s="54"/>
      <c r="K5142" s="54"/>
      <c r="M5142" s="114"/>
      <c r="N5142" s="1"/>
      <c r="O5142" s="1"/>
      <c r="P5142" s="51"/>
    </row>
    <row r="5143">
      <c r="A5143" s="54"/>
      <c r="B5143" s="71"/>
      <c r="C5143" s="51"/>
      <c r="D5143" s="114"/>
      <c r="E5143" s="114"/>
      <c r="F5143" s="54"/>
      <c r="G5143" s="54"/>
      <c r="I5143" s="54"/>
      <c r="K5143" s="54"/>
      <c r="M5143" s="114"/>
      <c r="N5143" s="1"/>
      <c r="O5143" s="1"/>
      <c r="P5143" s="51"/>
    </row>
    <row r="5144">
      <c r="A5144" s="54"/>
      <c r="B5144" s="71"/>
      <c r="C5144" s="51"/>
      <c r="D5144" s="114"/>
      <c r="E5144" s="114"/>
      <c r="F5144" s="54"/>
      <c r="G5144" s="54"/>
      <c r="I5144" s="54"/>
      <c r="K5144" s="54"/>
      <c r="M5144" s="114"/>
      <c r="N5144" s="1"/>
      <c r="O5144" s="1"/>
      <c r="P5144" s="51"/>
    </row>
    <row r="5145">
      <c r="A5145" s="54"/>
      <c r="B5145" s="71"/>
      <c r="C5145" s="51"/>
      <c r="D5145" s="114"/>
      <c r="E5145" s="114"/>
      <c r="F5145" s="54"/>
      <c r="G5145" s="54"/>
      <c r="I5145" s="54"/>
      <c r="K5145" s="54"/>
      <c r="M5145" s="114"/>
      <c r="N5145" s="1"/>
      <c r="O5145" s="1"/>
      <c r="P5145" s="51"/>
    </row>
    <row r="5146">
      <c r="A5146" s="54"/>
      <c r="B5146" s="71"/>
      <c r="C5146" s="51"/>
      <c r="D5146" s="114"/>
      <c r="E5146" s="114"/>
      <c r="F5146" s="54"/>
      <c r="G5146" s="54"/>
      <c r="I5146" s="54"/>
      <c r="K5146" s="54"/>
      <c r="M5146" s="114"/>
      <c r="N5146" s="1"/>
      <c r="O5146" s="1"/>
      <c r="P5146" s="51"/>
    </row>
    <row r="5147">
      <c r="A5147" s="54"/>
      <c r="B5147" s="71"/>
      <c r="C5147" s="51"/>
      <c r="D5147" s="114"/>
      <c r="E5147" s="114"/>
      <c r="F5147" s="54"/>
      <c r="G5147" s="54"/>
      <c r="I5147" s="54"/>
      <c r="K5147" s="54"/>
      <c r="M5147" s="114"/>
      <c r="N5147" s="1"/>
      <c r="O5147" s="1"/>
      <c r="P5147" s="51"/>
    </row>
    <row r="5148">
      <c r="A5148" s="54"/>
      <c r="B5148" s="71"/>
      <c r="C5148" s="51"/>
      <c r="D5148" s="114"/>
      <c r="E5148" s="114"/>
      <c r="F5148" s="54"/>
      <c r="G5148" s="54"/>
      <c r="I5148" s="54"/>
      <c r="K5148" s="54"/>
      <c r="M5148" s="114"/>
      <c r="N5148" s="1"/>
      <c r="O5148" s="1"/>
      <c r="P5148" s="51"/>
    </row>
    <row r="5149">
      <c r="A5149" s="54"/>
      <c r="B5149" s="71"/>
      <c r="C5149" s="51"/>
      <c r="D5149" s="114"/>
      <c r="E5149" s="114"/>
      <c r="F5149" s="54"/>
      <c r="G5149" s="54"/>
      <c r="I5149" s="54"/>
      <c r="K5149" s="54"/>
      <c r="M5149" s="114"/>
      <c r="N5149" s="1"/>
      <c r="O5149" s="1"/>
      <c r="P5149" s="51"/>
    </row>
    <row r="5150">
      <c r="A5150" s="54"/>
      <c r="B5150" s="71"/>
      <c r="C5150" s="51"/>
      <c r="D5150" s="114"/>
      <c r="E5150" s="114"/>
      <c r="F5150" s="54"/>
      <c r="G5150" s="54"/>
      <c r="I5150" s="54"/>
      <c r="K5150" s="54"/>
      <c r="M5150" s="114"/>
      <c r="N5150" s="1"/>
      <c r="O5150" s="1"/>
      <c r="P5150" s="51"/>
    </row>
    <row r="5151">
      <c r="A5151" s="54"/>
      <c r="B5151" s="71"/>
      <c r="C5151" s="51"/>
      <c r="D5151" s="114"/>
      <c r="E5151" s="114"/>
      <c r="F5151" s="54"/>
      <c r="G5151" s="54"/>
      <c r="I5151" s="54"/>
      <c r="K5151" s="54"/>
      <c r="M5151" s="114"/>
      <c r="N5151" s="1"/>
      <c r="O5151" s="1"/>
      <c r="P5151" s="51"/>
    </row>
    <row r="5152">
      <c r="A5152" s="54"/>
      <c r="B5152" s="71"/>
      <c r="C5152" s="51"/>
      <c r="D5152" s="114"/>
      <c r="E5152" s="114"/>
      <c r="F5152" s="54"/>
      <c r="G5152" s="54"/>
      <c r="I5152" s="54"/>
      <c r="K5152" s="54"/>
      <c r="M5152" s="114"/>
      <c r="N5152" s="1"/>
      <c r="O5152" s="1"/>
      <c r="P5152" s="51"/>
    </row>
    <row r="5153">
      <c r="A5153" s="54"/>
      <c r="B5153" s="71"/>
      <c r="C5153" s="51"/>
      <c r="D5153" s="114"/>
      <c r="E5153" s="114"/>
      <c r="F5153" s="54"/>
      <c r="G5153" s="54"/>
      <c r="I5153" s="54"/>
      <c r="K5153" s="54"/>
      <c r="M5153" s="114"/>
      <c r="N5153" s="1"/>
      <c r="O5153" s="1"/>
      <c r="P5153" s="51"/>
    </row>
    <row r="5154">
      <c r="A5154" s="54"/>
      <c r="B5154" s="71"/>
      <c r="C5154" s="51"/>
      <c r="D5154" s="114"/>
      <c r="E5154" s="114"/>
      <c r="F5154" s="54"/>
      <c r="G5154" s="54"/>
      <c r="I5154" s="54"/>
      <c r="K5154" s="54"/>
      <c r="M5154" s="114"/>
      <c r="N5154" s="1"/>
      <c r="O5154" s="1"/>
      <c r="P5154" s="51"/>
    </row>
    <row r="5155">
      <c r="A5155" s="54"/>
      <c r="B5155" s="71"/>
      <c r="C5155" s="51"/>
      <c r="D5155" s="114"/>
      <c r="E5155" s="114"/>
      <c r="F5155" s="54"/>
      <c r="G5155" s="54"/>
      <c r="I5155" s="54"/>
      <c r="K5155" s="54"/>
      <c r="M5155" s="114"/>
      <c r="N5155" s="1"/>
      <c r="O5155" s="1"/>
      <c r="P5155" s="51"/>
    </row>
    <row r="5156">
      <c r="A5156" s="54"/>
      <c r="B5156" s="71"/>
      <c r="C5156" s="51"/>
      <c r="D5156" s="114"/>
      <c r="E5156" s="114"/>
      <c r="F5156" s="54"/>
      <c r="G5156" s="54"/>
      <c r="I5156" s="54"/>
      <c r="K5156" s="54"/>
      <c r="M5156" s="114"/>
      <c r="N5156" s="1"/>
      <c r="O5156" s="1"/>
      <c r="P5156" s="51"/>
    </row>
    <row r="5157">
      <c r="A5157" s="54"/>
      <c r="B5157" s="71"/>
      <c r="C5157" s="51"/>
      <c r="D5157" s="114"/>
      <c r="E5157" s="114"/>
      <c r="F5157" s="54"/>
      <c r="G5157" s="54"/>
      <c r="I5157" s="54"/>
      <c r="K5157" s="54"/>
      <c r="M5157" s="114"/>
      <c r="N5157" s="1"/>
      <c r="O5157" s="1"/>
      <c r="P5157" s="51"/>
    </row>
    <row r="5158">
      <c r="A5158" s="54"/>
      <c r="B5158" s="71"/>
      <c r="C5158" s="51"/>
      <c r="D5158" s="114"/>
      <c r="E5158" s="114"/>
      <c r="F5158" s="54"/>
      <c r="G5158" s="54"/>
      <c r="I5158" s="54"/>
      <c r="K5158" s="54"/>
      <c r="M5158" s="114"/>
      <c r="N5158" s="1"/>
      <c r="O5158" s="1"/>
      <c r="P5158" s="51"/>
    </row>
    <row r="5159">
      <c r="A5159" s="54"/>
      <c r="B5159" s="71"/>
      <c r="C5159" s="51"/>
      <c r="D5159" s="114"/>
      <c r="E5159" s="114"/>
      <c r="F5159" s="54"/>
      <c r="G5159" s="54"/>
      <c r="I5159" s="54"/>
      <c r="K5159" s="54"/>
      <c r="M5159" s="114"/>
      <c r="N5159" s="1"/>
      <c r="O5159" s="1"/>
      <c r="P5159" s="51"/>
    </row>
    <row r="5160">
      <c r="A5160" s="54"/>
      <c r="B5160" s="71"/>
      <c r="C5160" s="51"/>
      <c r="D5160" s="114"/>
      <c r="E5160" s="114"/>
      <c r="F5160" s="54"/>
      <c r="G5160" s="54"/>
      <c r="I5160" s="54"/>
      <c r="K5160" s="54"/>
      <c r="M5160" s="114"/>
      <c r="N5160" s="1"/>
      <c r="O5160" s="1"/>
      <c r="P5160" s="51"/>
    </row>
    <row r="5161">
      <c r="A5161" s="54"/>
      <c r="B5161" s="71"/>
      <c r="C5161" s="51"/>
      <c r="D5161" s="114"/>
      <c r="E5161" s="114"/>
      <c r="F5161" s="54"/>
      <c r="G5161" s="54"/>
      <c r="I5161" s="54"/>
      <c r="K5161" s="54"/>
      <c r="M5161" s="114"/>
      <c r="N5161" s="1"/>
      <c r="O5161" s="1"/>
      <c r="P5161" s="51"/>
    </row>
    <row r="5162">
      <c r="A5162" s="54"/>
      <c r="B5162" s="71"/>
      <c r="C5162" s="51"/>
      <c r="D5162" s="114"/>
      <c r="E5162" s="114"/>
      <c r="F5162" s="54"/>
      <c r="G5162" s="54"/>
      <c r="I5162" s="54"/>
      <c r="K5162" s="54"/>
      <c r="M5162" s="114"/>
      <c r="N5162" s="1"/>
      <c r="O5162" s="1"/>
      <c r="P5162" s="51"/>
    </row>
    <row r="5163">
      <c r="A5163" s="54"/>
      <c r="B5163" s="71"/>
      <c r="C5163" s="51"/>
      <c r="D5163" s="114"/>
      <c r="E5163" s="114"/>
      <c r="F5163" s="54"/>
      <c r="G5163" s="54"/>
      <c r="I5163" s="54"/>
      <c r="K5163" s="54"/>
      <c r="M5163" s="114"/>
      <c r="N5163" s="1"/>
      <c r="O5163" s="1"/>
      <c r="P5163" s="51"/>
    </row>
    <row r="5164">
      <c r="A5164" s="54"/>
      <c r="B5164" s="71"/>
      <c r="C5164" s="51"/>
      <c r="D5164" s="114"/>
      <c r="E5164" s="114"/>
      <c r="F5164" s="54"/>
      <c r="G5164" s="54"/>
      <c r="I5164" s="54"/>
      <c r="K5164" s="54"/>
      <c r="M5164" s="114"/>
      <c r="N5164" s="1"/>
      <c r="O5164" s="1"/>
      <c r="P5164" s="51"/>
    </row>
    <row r="5165">
      <c r="A5165" s="54"/>
      <c r="B5165" s="71"/>
      <c r="C5165" s="51"/>
      <c r="D5165" s="114"/>
      <c r="E5165" s="114"/>
      <c r="F5165" s="54"/>
      <c r="G5165" s="54"/>
      <c r="I5165" s="54"/>
      <c r="K5165" s="54"/>
      <c r="M5165" s="114"/>
      <c r="N5165" s="1"/>
      <c r="O5165" s="1"/>
      <c r="P5165" s="51"/>
    </row>
    <row r="5166">
      <c r="A5166" s="54"/>
      <c r="B5166" s="71"/>
      <c r="C5166" s="51"/>
      <c r="D5166" s="114"/>
      <c r="E5166" s="114"/>
      <c r="F5166" s="54"/>
      <c r="G5166" s="54"/>
      <c r="I5166" s="54"/>
      <c r="K5166" s="54"/>
      <c r="M5166" s="114"/>
      <c r="N5166" s="1"/>
      <c r="O5166" s="1"/>
      <c r="P5166" s="51"/>
    </row>
    <row r="5167">
      <c r="A5167" s="54"/>
      <c r="B5167" s="71"/>
      <c r="C5167" s="51"/>
      <c r="D5167" s="114"/>
      <c r="E5167" s="114"/>
      <c r="F5167" s="54"/>
      <c r="G5167" s="54"/>
      <c r="I5167" s="54"/>
      <c r="K5167" s="54"/>
      <c r="M5167" s="114"/>
      <c r="N5167" s="1"/>
      <c r="O5167" s="1"/>
      <c r="P5167" s="51"/>
    </row>
    <row r="5168">
      <c r="A5168" s="54"/>
      <c r="B5168" s="71"/>
      <c r="C5168" s="51"/>
      <c r="D5168" s="114"/>
      <c r="E5168" s="114"/>
      <c r="F5168" s="54"/>
      <c r="G5168" s="54"/>
      <c r="I5168" s="54"/>
      <c r="K5168" s="54"/>
      <c r="M5168" s="114"/>
      <c r="N5168" s="1"/>
      <c r="O5168" s="1"/>
      <c r="P5168" s="51"/>
    </row>
    <row r="5169">
      <c r="A5169" s="54"/>
      <c r="B5169" s="71"/>
      <c r="C5169" s="51"/>
      <c r="D5169" s="114"/>
      <c r="E5169" s="114"/>
      <c r="F5169" s="54"/>
      <c r="G5169" s="54"/>
      <c r="I5169" s="54"/>
      <c r="K5169" s="54"/>
      <c r="M5169" s="114"/>
      <c r="N5169" s="1"/>
      <c r="O5169" s="1"/>
      <c r="P5169" s="51"/>
    </row>
    <row r="5170">
      <c r="A5170" s="54"/>
      <c r="B5170" s="71"/>
      <c r="C5170" s="51"/>
      <c r="D5170" s="114"/>
      <c r="E5170" s="114"/>
      <c r="F5170" s="54"/>
      <c r="G5170" s="54"/>
      <c r="I5170" s="54"/>
      <c r="K5170" s="54"/>
      <c r="M5170" s="114"/>
      <c r="N5170" s="1"/>
      <c r="O5170" s="1"/>
      <c r="P5170" s="51"/>
    </row>
    <row r="5171">
      <c r="A5171" s="54"/>
      <c r="B5171" s="71"/>
      <c r="C5171" s="51"/>
      <c r="D5171" s="114"/>
      <c r="E5171" s="114"/>
      <c r="F5171" s="54"/>
      <c r="G5171" s="54"/>
      <c r="I5171" s="54"/>
      <c r="K5171" s="54"/>
      <c r="M5171" s="114"/>
      <c r="N5171" s="1"/>
      <c r="O5171" s="1"/>
      <c r="P5171" s="51"/>
    </row>
    <row r="5172">
      <c r="A5172" s="54"/>
      <c r="B5172" s="71"/>
      <c r="C5172" s="51"/>
      <c r="D5172" s="114"/>
      <c r="E5172" s="114"/>
      <c r="F5172" s="54"/>
      <c r="G5172" s="54"/>
      <c r="I5172" s="54"/>
      <c r="K5172" s="54"/>
      <c r="M5172" s="114"/>
      <c r="N5172" s="1"/>
      <c r="O5172" s="1"/>
      <c r="P5172" s="51"/>
    </row>
    <row r="5173">
      <c r="A5173" s="54"/>
      <c r="B5173" s="71"/>
      <c r="C5173" s="51"/>
      <c r="D5173" s="114"/>
      <c r="E5173" s="114"/>
      <c r="F5173" s="54"/>
      <c r="G5173" s="54"/>
      <c r="I5173" s="54"/>
      <c r="K5173" s="54"/>
      <c r="M5173" s="114"/>
      <c r="N5173" s="1"/>
      <c r="O5173" s="1"/>
      <c r="P5173" s="51"/>
    </row>
    <row r="5174">
      <c r="A5174" s="54"/>
      <c r="B5174" s="71"/>
      <c r="C5174" s="51"/>
      <c r="D5174" s="114"/>
      <c r="E5174" s="114"/>
      <c r="F5174" s="54"/>
      <c r="G5174" s="54"/>
      <c r="I5174" s="54"/>
      <c r="K5174" s="54"/>
      <c r="M5174" s="114"/>
      <c r="N5174" s="1"/>
      <c r="O5174" s="1"/>
      <c r="P5174" s="51"/>
    </row>
    <row r="5175">
      <c r="A5175" s="54"/>
      <c r="B5175" s="71"/>
      <c r="C5175" s="51"/>
      <c r="D5175" s="114"/>
      <c r="E5175" s="114"/>
      <c r="F5175" s="54"/>
      <c r="G5175" s="54"/>
      <c r="I5175" s="54"/>
      <c r="K5175" s="54"/>
      <c r="M5175" s="114"/>
      <c r="N5175" s="1"/>
      <c r="O5175" s="1"/>
      <c r="P5175" s="51"/>
    </row>
    <row r="5176">
      <c r="A5176" s="54"/>
      <c r="B5176" s="71"/>
      <c r="C5176" s="51"/>
      <c r="D5176" s="114"/>
      <c r="E5176" s="114"/>
      <c r="F5176" s="54"/>
      <c r="G5176" s="54"/>
      <c r="I5176" s="54"/>
      <c r="K5176" s="54"/>
      <c r="M5176" s="114"/>
      <c r="N5176" s="1"/>
      <c r="O5176" s="1"/>
      <c r="P5176" s="51"/>
    </row>
    <row r="5177">
      <c r="A5177" s="54"/>
      <c r="B5177" s="71"/>
      <c r="C5177" s="51"/>
      <c r="D5177" s="114"/>
      <c r="E5177" s="114"/>
      <c r="F5177" s="54"/>
      <c r="G5177" s="54"/>
      <c r="I5177" s="54"/>
      <c r="K5177" s="54"/>
      <c r="M5177" s="114"/>
      <c r="N5177" s="1"/>
      <c r="O5177" s="1"/>
      <c r="P5177" s="51"/>
    </row>
    <row r="5178">
      <c r="A5178" s="54"/>
      <c r="B5178" s="71"/>
      <c r="C5178" s="51"/>
      <c r="D5178" s="114"/>
      <c r="E5178" s="114"/>
      <c r="F5178" s="54"/>
      <c r="G5178" s="54"/>
      <c r="I5178" s="54"/>
      <c r="K5178" s="54"/>
      <c r="M5178" s="114"/>
      <c r="N5178" s="1"/>
      <c r="O5178" s="1"/>
      <c r="P5178" s="51"/>
    </row>
    <row r="5179">
      <c r="A5179" s="54"/>
      <c r="B5179" s="71"/>
      <c r="C5179" s="51"/>
      <c r="D5179" s="114"/>
      <c r="E5179" s="114"/>
      <c r="F5179" s="54"/>
      <c r="G5179" s="54"/>
      <c r="I5179" s="54"/>
      <c r="K5179" s="54"/>
      <c r="M5179" s="114"/>
      <c r="N5179" s="1"/>
      <c r="O5179" s="1"/>
      <c r="P5179" s="51"/>
    </row>
    <row r="5180">
      <c r="A5180" s="54"/>
      <c r="B5180" s="71"/>
      <c r="C5180" s="51"/>
      <c r="D5180" s="114"/>
      <c r="E5180" s="114"/>
      <c r="F5180" s="54"/>
      <c r="G5180" s="54"/>
      <c r="I5180" s="54"/>
      <c r="K5180" s="54"/>
      <c r="M5180" s="114"/>
      <c r="N5180" s="1"/>
      <c r="O5180" s="1"/>
      <c r="P5180" s="51"/>
    </row>
    <row r="5181">
      <c r="A5181" s="54"/>
      <c r="B5181" s="71"/>
      <c r="C5181" s="51"/>
      <c r="D5181" s="114"/>
      <c r="E5181" s="114"/>
      <c r="F5181" s="54"/>
      <c r="G5181" s="54"/>
      <c r="I5181" s="54"/>
      <c r="K5181" s="54"/>
      <c r="M5181" s="114"/>
      <c r="N5181" s="1"/>
      <c r="O5181" s="1"/>
      <c r="P5181" s="51"/>
    </row>
    <row r="5182">
      <c r="A5182" s="54"/>
      <c r="B5182" s="71"/>
      <c r="C5182" s="51"/>
      <c r="D5182" s="114"/>
      <c r="E5182" s="114"/>
      <c r="F5182" s="54"/>
      <c r="G5182" s="54"/>
      <c r="I5182" s="54"/>
      <c r="K5182" s="54"/>
      <c r="M5182" s="114"/>
      <c r="N5182" s="1"/>
      <c r="O5182" s="1"/>
      <c r="P5182" s="51"/>
    </row>
    <row r="5183">
      <c r="A5183" s="54"/>
      <c r="B5183" s="71"/>
      <c r="C5183" s="51"/>
      <c r="D5183" s="114"/>
      <c r="E5183" s="114"/>
      <c r="F5183" s="54"/>
      <c r="G5183" s="54"/>
      <c r="I5183" s="54"/>
      <c r="K5183" s="54"/>
      <c r="M5183" s="114"/>
      <c r="N5183" s="1"/>
      <c r="O5183" s="1"/>
      <c r="P5183" s="51"/>
    </row>
    <row r="5184">
      <c r="A5184" s="54"/>
      <c r="B5184" s="71"/>
      <c r="C5184" s="51"/>
      <c r="D5184" s="114"/>
      <c r="E5184" s="114"/>
      <c r="F5184" s="54"/>
      <c r="G5184" s="54"/>
      <c r="I5184" s="54"/>
      <c r="K5184" s="54"/>
      <c r="M5184" s="114"/>
      <c r="N5184" s="1"/>
      <c r="O5184" s="1"/>
      <c r="P5184" s="51"/>
    </row>
    <row r="5185">
      <c r="A5185" s="54"/>
      <c r="B5185" s="71"/>
      <c r="C5185" s="51"/>
      <c r="D5185" s="114"/>
      <c r="E5185" s="114"/>
      <c r="F5185" s="54"/>
      <c r="G5185" s="54"/>
      <c r="I5185" s="54"/>
      <c r="K5185" s="54"/>
      <c r="M5185" s="114"/>
      <c r="N5185" s="1"/>
      <c r="O5185" s="1"/>
      <c r="P5185" s="51"/>
    </row>
    <row r="5186">
      <c r="A5186" s="54"/>
      <c r="B5186" s="71"/>
      <c r="C5186" s="51"/>
      <c r="D5186" s="114"/>
      <c r="E5186" s="114"/>
      <c r="F5186" s="54"/>
      <c r="G5186" s="54"/>
      <c r="I5186" s="54"/>
      <c r="K5186" s="54"/>
      <c r="M5186" s="114"/>
      <c r="N5186" s="1"/>
      <c r="O5186" s="1"/>
      <c r="P5186" s="51"/>
    </row>
    <row r="5187">
      <c r="A5187" s="54"/>
      <c r="B5187" s="71"/>
      <c r="C5187" s="51"/>
      <c r="D5187" s="114"/>
      <c r="E5187" s="114"/>
      <c r="F5187" s="54"/>
      <c r="G5187" s="54"/>
      <c r="I5187" s="54"/>
      <c r="K5187" s="54"/>
      <c r="M5187" s="114"/>
      <c r="N5187" s="1"/>
      <c r="O5187" s="1"/>
      <c r="P5187" s="51"/>
    </row>
    <row r="5188">
      <c r="A5188" s="54"/>
      <c r="B5188" s="71"/>
      <c r="C5188" s="51"/>
      <c r="D5188" s="114"/>
      <c r="E5188" s="114"/>
      <c r="F5188" s="54"/>
      <c r="G5188" s="54"/>
      <c r="I5188" s="54"/>
      <c r="K5188" s="54"/>
      <c r="M5188" s="114"/>
      <c r="N5188" s="1"/>
      <c r="O5188" s="1"/>
      <c r="P5188" s="51"/>
    </row>
    <row r="5189">
      <c r="A5189" s="54"/>
      <c r="B5189" s="71"/>
      <c r="C5189" s="51"/>
      <c r="D5189" s="114"/>
      <c r="E5189" s="114"/>
      <c r="F5189" s="54"/>
      <c r="G5189" s="54"/>
      <c r="I5189" s="54"/>
      <c r="K5189" s="54"/>
      <c r="M5189" s="114"/>
      <c r="N5189" s="1"/>
      <c r="O5189" s="1"/>
      <c r="P5189" s="51"/>
    </row>
    <row r="5190">
      <c r="A5190" s="54"/>
      <c r="B5190" s="71"/>
      <c r="C5190" s="51"/>
      <c r="D5190" s="114"/>
      <c r="E5190" s="114"/>
      <c r="F5190" s="54"/>
      <c r="G5190" s="54"/>
      <c r="I5190" s="54"/>
      <c r="K5190" s="54"/>
      <c r="M5190" s="114"/>
      <c r="N5190" s="1"/>
      <c r="O5190" s="1"/>
      <c r="P5190" s="51"/>
    </row>
    <row r="5191">
      <c r="A5191" s="54"/>
      <c r="B5191" s="71"/>
      <c r="C5191" s="51"/>
      <c r="D5191" s="114"/>
      <c r="E5191" s="114"/>
      <c r="F5191" s="54"/>
      <c r="G5191" s="54"/>
      <c r="I5191" s="54"/>
      <c r="K5191" s="54"/>
      <c r="M5191" s="114"/>
      <c r="N5191" s="1"/>
      <c r="O5191" s="1"/>
      <c r="P5191" s="51"/>
    </row>
    <row r="5192">
      <c r="A5192" s="54"/>
      <c r="B5192" s="71"/>
      <c r="C5192" s="51"/>
      <c r="D5192" s="114"/>
      <c r="E5192" s="114"/>
      <c r="F5192" s="54"/>
      <c r="G5192" s="54"/>
      <c r="I5192" s="54"/>
      <c r="K5192" s="54"/>
      <c r="M5192" s="114"/>
      <c r="N5192" s="1"/>
      <c r="O5192" s="1"/>
      <c r="P5192" s="51"/>
    </row>
    <row r="5193">
      <c r="A5193" s="54"/>
      <c r="B5193" s="71"/>
      <c r="C5193" s="51"/>
      <c r="D5193" s="114"/>
      <c r="E5193" s="114"/>
      <c r="F5193" s="54"/>
      <c r="G5193" s="54"/>
      <c r="I5193" s="54"/>
      <c r="K5193" s="54"/>
      <c r="M5193" s="114"/>
      <c r="N5193" s="1"/>
      <c r="O5193" s="1"/>
      <c r="P5193" s="51"/>
    </row>
    <row r="5194">
      <c r="A5194" s="54"/>
      <c r="B5194" s="71"/>
      <c r="C5194" s="51"/>
      <c r="D5194" s="114"/>
      <c r="E5194" s="114"/>
      <c r="F5194" s="54"/>
      <c r="G5194" s="54"/>
      <c r="I5194" s="54"/>
      <c r="K5194" s="54"/>
      <c r="M5194" s="114"/>
      <c r="N5194" s="1"/>
      <c r="O5194" s="1"/>
      <c r="P5194" s="51"/>
    </row>
    <row r="5195">
      <c r="A5195" s="54"/>
      <c r="B5195" s="71"/>
      <c r="C5195" s="51"/>
      <c r="D5195" s="114"/>
      <c r="E5195" s="114"/>
      <c r="F5195" s="54"/>
      <c r="G5195" s="54"/>
      <c r="I5195" s="54"/>
      <c r="K5195" s="54"/>
      <c r="M5195" s="114"/>
      <c r="N5195" s="1"/>
      <c r="O5195" s="1"/>
      <c r="P5195" s="51"/>
    </row>
    <row r="5196">
      <c r="A5196" s="54"/>
      <c r="B5196" s="71"/>
      <c r="C5196" s="51"/>
      <c r="D5196" s="114"/>
      <c r="E5196" s="114"/>
      <c r="F5196" s="54"/>
      <c r="G5196" s="54"/>
      <c r="I5196" s="54"/>
      <c r="K5196" s="54"/>
      <c r="M5196" s="114"/>
      <c r="N5196" s="1"/>
      <c r="O5196" s="1"/>
      <c r="P5196" s="51"/>
    </row>
    <row r="5197">
      <c r="A5197" s="54"/>
      <c r="B5197" s="71"/>
      <c r="C5197" s="51"/>
      <c r="D5197" s="114"/>
      <c r="E5197" s="114"/>
      <c r="F5197" s="54"/>
      <c r="G5197" s="54"/>
      <c r="I5197" s="54"/>
      <c r="K5197" s="54"/>
      <c r="M5197" s="114"/>
      <c r="N5197" s="1"/>
      <c r="O5197" s="1"/>
      <c r="P5197" s="51"/>
    </row>
    <row r="5198">
      <c r="A5198" s="54"/>
      <c r="B5198" s="71"/>
      <c r="C5198" s="51"/>
      <c r="D5198" s="114"/>
      <c r="E5198" s="114"/>
      <c r="F5198" s="54"/>
      <c r="G5198" s="54"/>
      <c r="I5198" s="54"/>
      <c r="K5198" s="54"/>
      <c r="M5198" s="114"/>
      <c r="N5198" s="1"/>
      <c r="O5198" s="1"/>
      <c r="P5198" s="51"/>
    </row>
    <row r="5199">
      <c r="A5199" s="54"/>
      <c r="B5199" s="71"/>
      <c r="C5199" s="51"/>
      <c r="D5199" s="114"/>
      <c r="E5199" s="114"/>
      <c r="F5199" s="54"/>
      <c r="G5199" s="54"/>
      <c r="I5199" s="54"/>
      <c r="K5199" s="54"/>
      <c r="M5199" s="114"/>
      <c r="N5199" s="1"/>
      <c r="O5199" s="1"/>
      <c r="P5199" s="51"/>
    </row>
    <row r="5200">
      <c r="A5200" s="54"/>
      <c r="B5200" s="71"/>
      <c r="C5200" s="51"/>
      <c r="D5200" s="114"/>
      <c r="E5200" s="114"/>
      <c r="F5200" s="54"/>
      <c r="G5200" s="54"/>
      <c r="I5200" s="54"/>
      <c r="K5200" s="54"/>
      <c r="M5200" s="114"/>
      <c r="N5200" s="1"/>
      <c r="O5200" s="1"/>
      <c r="P5200" s="51"/>
    </row>
    <row r="5201">
      <c r="A5201" s="54"/>
      <c r="B5201" s="71"/>
      <c r="C5201" s="51"/>
      <c r="D5201" s="114"/>
      <c r="E5201" s="114"/>
      <c r="F5201" s="54"/>
      <c r="G5201" s="54"/>
      <c r="I5201" s="54"/>
      <c r="K5201" s="54"/>
      <c r="M5201" s="114"/>
      <c r="N5201" s="1"/>
      <c r="O5201" s="1"/>
      <c r="P5201" s="51"/>
    </row>
    <row r="5202">
      <c r="A5202" s="54"/>
      <c r="B5202" s="71"/>
      <c r="C5202" s="51"/>
      <c r="D5202" s="114"/>
      <c r="E5202" s="114"/>
      <c r="F5202" s="54"/>
      <c r="G5202" s="54"/>
      <c r="I5202" s="54"/>
      <c r="K5202" s="54"/>
      <c r="M5202" s="114"/>
      <c r="N5202" s="1"/>
      <c r="O5202" s="1"/>
      <c r="P5202" s="51"/>
    </row>
    <row r="5203">
      <c r="A5203" s="54"/>
      <c r="B5203" s="71"/>
      <c r="C5203" s="51"/>
      <c r="D5203" s="114"/>
      <c r="E5203" s="114"/>
      <c r="F5203" s="54"/>
      <c r="G5203" s="54"/>
      <c r="I5203" s="54"/>
      <c r="K5203" s="54"/>
      <c r="M5203" s="114"/>
      <c r="N5203" s="1"/>
      <c r="O5203" s="1"/>
      <c r="P5203" s="51"/>
    </row>
    <row r="5204">
      <c r="A5204" s="54"/>
      <c r="B5204" s="71"/>
      <c r="C5204" s="51"/>
      <c r="D5204" s="114"/>
      <c r="E5204" s="114"/>
      <c r="F5204" s="54"/>
      <c r="G5204" s="54"/>
      <c r="I5204" s="54"/>
      <c r="K5204" s="54"/>
      <c r="M5204" s="114"/>
      <c r="N5204" s="1"/>
      <c r="O5204" s="1"/>
      <c r="P5204" s="51"/>
    </row>
    <row r="5205">
      <c r="A5205" s="54"/>
      <c r="B5205" s="71"/>
      <c r="C5205" s="51"/>
      <c r="D5205" s="114"/>
      <c r="E5205" s="114"/>
      <c r="F5205" s="54"/>
      <c r="G5205" s="54"/>
      <c r="I5205" s="54"/>
      <c r="K5205" s="54"/>
      <c r="M5205" s="114"/>
      <c r="N5205" s="1"/>
      <c r="O5205" s="1"/>
      <c r="P5205" s="51"/>
    </row>
    <row r="5206">
      <c r="A5206" s="54"/>
      <c r="B5206" s="71"/>
      <c r="C5206" s="51"/>
      <c r="D5206" s="114"/>
      <c r="E5206" s="114"/>
      <c r="F5206" s="54"/>
      <c r="G5206" s="54"/>
      <c r="I5206" s="54"/>
      <c r="K5206" s="54"/>
      <c r="M5206" s="114"/>
      <c r="N5206" s="1"/>
      <c r="O5206" s="1"/>
      <c r="P5206" s="51"/>
    </row>
    <row r="5207">
      <c r="A5207" s="54"/>
      <c r="B5207" s="71"/>
      <c r="C5207" s="51"/>
      <c r="D5207" s="114"/>
      <c r="E5207" s="114"/>
      <c r="F5207" s="54"/>
      <c r="G5207" s="54"/>
      <c r="I5207" s="54"/>
      <c r="K5207" s="54"/>
      <c r="M5207" s="114"/>
      <c r="N5207" s="1"/>
      <c r="O5207" s="1"/>
      <c r="P5207" s="51"/>
    </row>
    <row r="5208">
      <c r="A5208" s="54"/>
      <c r="B5208" s="71"/>
      <c r="C5208" s="51"/>
      <c r="D5208" s="114"/>
      <c r="E5208" s="114"/>
      <c r="F5208" s="54"/>
      <c r="G5208" s="54"/>
      <c r="I5208" s="54"/>
      <c r="K5208" s="54"/>
      <c r="M5208" s="114"/>
      <c r="N5208" s="1"/>
      <c r="O5208" s="1"/>
      <c r="P5208" s="51"/>
    </row>
    <row r="5209">
      <c r="A5209" s="54"/>
      <c r="B5209" s="71"/>
      <c r="C5209" s="51"/>
      <c r="D5209" s="114"/>
      <c r="E5209" s="114"/>
      <c r="F5209" s="54"/>
      <c r="G5209" s="54"/>
      <c r="I5209" s="54"/>
      <c r="K5209" s="54"/>
      <c r="M5209" s="114"/>
      <c r="N5209" s="1"/>
      <c r="O5209" s="1"/>
      <c r="P5209" s="51"/>
    </row>
    <row r="5210">
      <c r="A5210" s="54"/>
      <c r="B5210" s="71"/>
      <c r="C5210" s="51"/>
      <c r="D5210" s="114"/>
      <c r="E5210" s="114"/>
      <c r="F5210" s="54"/>
      <c r="G5210" s="54"/>
      <c r="I5210" s="54"/>
      <c r="K5210" s="54"/>
      <c r="M5210" s="114"/>
      <c r="N5210" s="1"/>
      <c r="O5210" s="1"/>
      <c r="P5210" s="51"/>
    </row>
    <row r="5211">
      <c r="A5211" s="54"/>
      <c r="B5211" s="71"/>
      <c r="C5211" s="51"/>
      <c r="D5211" s="114"/>
      <c r="E5211" s="114"/>
      <c r="F5211" s="54"/>
      <c r="G5211" s="54"/>
      <c r="I5211" s="54"/>
      <c r="K5211" s="54"/>
      <c r="M5211" s="114"/>
      <c r="N5211" s="1"/>
      <c r="O5211" s="1"/>
      <c r="P5211" s="51"/>
    </row>
    <row r="5212">
      <c r="A5212" s="54"/>
      <c r="B5212" s="71"/>
      <c r="C5212" s="51"/>
      <c r="D5212" s="114"/>
      <c r="E5212" s="114"/>
      <c r="F5212" s="54"/>
      <c r="G5212" s="54"/>
      <c r="I5212" s="54"/>
      <c r="K5212" s="54"/>
      <c r="M5212" s="114"/>
      <c r="N5212" s="1"/>
      <c r="O5212" s="1"/>
      <c r="P5212" s="51"/>
    </row>
    <row r="5213">
      <c r="A5213" s="54"/>
      <c r="B5213" s="71"/>
      <c r="C5213" s="51"/>
      <c r="D5213" s="114"/>
      <c r="E5213" s="114"/>
      <c r="F5213" s="54"/>
      <c r="G5213" s="54"/>
      <c r="I5213" s="54"/>
      <c r="K5213" s="54"/>
      <c r="M5213" s="114"/>
      <c r="N5213" s="1"/>
      <c r="O5213" s="1"/>
      <c r="P5213" s="51"/>
    </row>
    <row r="5214">
      <c r="A5214" s="54"/>
      <c r="B5214" s="71"/>
      <c r="C5214" s="51"/>
      <c r="D5214" s="114"/>
      <c r="E5214" s="114"/>
      <c r="F5214" s="54"/>
      <c r="G5214" s="54"/>
      <c r="I5214" s="54"/>
      <c r="K5214" s="54"/>
      <c r="M5214" s="114"/>
      <c r="N5214" s="1"/>
      <c r="O5214" s="1"/>
      <c r="P5214" s="51"/>
    </row>
    <row r="5215">
      <c r="A5215" s="54"/>
      <c r="B5215" s="71"/>
      <c r="C5215" s="51"/>
      <c r="D5215" s="114"/>
      <c r="E5215" s="114"/>
      <c r="F5215" s="54"/>
      <c r="G5215" s="54"/>
      <c r="I5215" s="54"/>
      <c r="K5215" s="54"/>
      <c r="M5215" s="114"/>
      <c r="N5215" s="1"/>
      <c r="O5215" s="1"/>
      <c r="P5215" s="51"/>
    </row>
    <row r="5216">
      <c r="A5216" s="54"/>
      <c r="B5216" s="71"/>
      <c r="C5216" s="51"/>
      <c r="D5216" s="114"/>
      <c r="E5216" s="114"/>
      <c r="F5216" s="54"/>
      <c r="G5216" s="54"/>
      <c r="I5216" s="54"/>
      <c r="K5216" s="54"/>
      <c r="M5216" s="114"/>
      <c r="N5216" s="1"/>
      <c r="O5216" s="1"/>
      <c r="P5216" s="51"/>
    </row>
    <row r="5217">
      <c r="A5217" s="54"/>
      <c r="B5217" s="71"/>
      <c r="C5217" s="51"/>
      <c r="D5217" s="114"/>
      <c r="E5217" s="114"/>
      <c r="F5217" s="54"/>
      <c r="G5217" s="54"/>
      <c r="I5217" s="54"/>
      <c r="K5217" s="54"/>
      <c r="M5217" s="114"/>
      <c r="N5217" s="1"/>
      <c r="O5217" s="1"/>
      <c r="P5217" s="51"/>
    </row>
    <row r="5218">
      <c r="A5218" s="54"/>
      <c r="B5218" s="71"/>
      <c r="C5218" s="51"/>
      <c r="D5218" s="114"/>
      <c r="E5218" s="114"/>
      <c r="F5218" s="54"/>
      <c r="G5218" s="54"/>
      <c r="I5218" s="54"/>
      <c r="K5218" s="54"/>
      <c r="M5218" s="114"/>
      <c r="N5218" s="1"/>
      <c r="O5218" s="1"/>
      <c r="P5218" s="51"/>
    </row>
    <row r="5219">
      <c r="A5219" s="54"/>
      <c r="B5219" s="71"/>
      <c r="C5219" s="51"/>
      <c r="D5219" s="114"/>
      <c r="E5219" s="114"/>
      <c r="F5219" s="54"/>
      <c r="G5219" s="54"/>
      <c r="I5219" s="54"/>
      <c r="K5219" s="54"/>
      <c r="M5219" s="114"/>
      <c r="N5219" s="1"/>
      <c r="O5219" s="1"/>
      <c r="P5219" s="51"/>
    </row>
    <row r="5220">
      <c r="A5220" s="54"/>
      <c r="B5220" s="71"/>
      <c r="C5220" s="51"/>
      <c r="D5220" s="114"/>
      <c r="E5220" s="114"/>
      <c r="F5220" s="54"/>
      <c r="G5220" s="54"/>
      <c r="I5220" s="54"/>
      <c r="K5220" s="54"/>
      <c r="M5220" s="114"/>
      <c r="N5220" s="1"/>
      <c r="O5220" s="1"/>
      <c r="P5220" s="51"/>
    </row>
    <row r="5221">
      <c r="A5221" s="54"/>
      <c r="B5221" s="71"/>
      <c r="C5221" s="51"/>
      <c r="D5221" s="114"/>
      <c r="E5221" s="114"/>
      <c r="F5221" s="54"/>
      <c r="G5221" s="54"/>
      <c r="I5221" s="54"/>
      <c r="K5221" s="54"/>
      <c r="M5221" s="114"/>
      <c r="N5221" s="1"/>
      <c r="O5221" s="1"/>
      <c r="P5221" s="51"/>
    </row>
    <row r="5222">
      <c r="A5222" s="54"/>
      <c r="B5222" s="71"/>
      <c r="C5222" s="51"/>
      <c r="D5222" s="114"/>
      <c r="E5222" s="114"/>
      <c r="F5222" s="54"/>
      <c r="G5222" s="54"/>
      <c r="I5222" s="54"/>
      <c r="K5222" s="54"/>
      <c r="M5222" s="114"/>
      <c r="N5222" s="1"/>
      <c r="O5222" s="1"/>
      <c r="P5222" s="51"/>
    </row>
    <row r="5223">
      <c r="A5223" s="54"/>
      <c r="B5223" s="71"/>
      <c r="C5223" s="51"/>
      <c r="D5223" s="114"/>
      <c r="E5223" s="114"/>
      <c r="F5223" s="54"/>
      <c r="G5223" s="54"/>
      <c r="I5223" s="54"/>
      <c r="K5223" s="54"/>
      <c r="M5223" s="114"/>
      <c r="N5223" s="1"/>
      <c r="O5223" s="1"/>
      <c r="P5223" s="51"/>
    </row>
    <row r="5224">
      <c r="A5224" s="54"/>
      <c r="B5224" s="71"/>
      <c r="C5224" s="51"/>
      <c r="D5224" s="114"/>
      <c r="E5224" s="114"/>
      <c r="F5224" s="54"/>
      <c r="G5224" s="54"/>
      <c r="I5224" s="54"/>
      <c r="K5224" s="54"/>
      <c r="M5224" s="114"/>
      <c r="N5224" s="1"/>
      <c r="O5224" s="1"/>
      <c r="P5224" s="51"/>
    </row>
    <row r="5225">
      <c r="A5225" s="54"/>
      <c r="B5225" s="71"/>
      <c r="C5225" s="51"/>
      <c r="D5225" s="114"/>
      <c r="E5225" s="114"/>
      <c r="F5225" s="54"/>
      <c r="G5225" s="54"/>
      <c r="I5225" s="54"/>
      <c r="K5225" s="54"/>
      <c r="M5225" s="114"/>
      <c r="N5225" s="1"/>
      <c r="O5225" s="1"/>
      <c r="P5225" s="51"/>
    </row>
    <row r="5226">
      <c r="A5226" s="54"/>
      <c r="B5226" s="71"/>
      <c r="C5226" s="51"/>
      <c r="D5226" s="114"/>
      <c r="E5226" s="114"/>
      <c r="F5226" s="54"/>
      <c r="G5226" s="54"/>
      <c r="I5226" s="54"/>
      <c r="K5226" s="54"/>
      <c r="M5226" s="114"/>
      <c r="N5226" s="1"/>
      <c r="O5226" s="1"/>
      <c r="P5226" s="51"/>
    </row>
    <row r="5227">
      <c r="A5227" s="54"/>
      <c r="B5227" s="71"/>
      <c r="C5227" s="51"/>
      <c r="D5227" s="114"/>
      <c r="E5227" s="114"/>
      <c r="F5227" s="54"/>
      <c r="G5227" s="54"/>
      <c r="I5227" s="54"/>
      <c r="K5227" s="54"/>
      <c r="M5227" s="114"/>
      <c r="N5227" s="1"/>
      <c r="O5227" s="1"/>
      <c r="P5227" s="51"/>
    </row>
    <row r="5228">
      <c r="A5228" s="54"/>
      <c r="B5228" s="71"/>
      <c r="C5228" s="51"/>
      <c r="D5228" s="114"/>
      <c r="E5228" s="114"/>
      <c r="F5228" s="54"/>
      <c r="G5228" s="54"/>
      <c r="I5228" s="54"/>
      <c r="K5228" s="54"/>
      <c r="M5228" s="114"/>
      <c r="N5228" s="1"/>
      <c r="O5228" s="1"/>
      <c r="P5228" s="51"/>
    </row>
    <row r="5229">
      <c r="A5229" s="54"/>
      <c r="B5229" s="71"/>
      <c r="C5229" s="51"/>
      <c r="D5229" s="114"/>
      <c r="E5229" s="114"/>
      <c r="F5229" s="54"/>
      <c r="G5229" s="54"/>
      <c r="I5229" s="54"/>
      <c r="K5229" s="54"/>
      <c r="M5229" s="114"/>
      <c r="N5229" s="1"/>
      <c r="O5229" s="1"/>
      <c r="P5229" s="51"/>
    </row>
    <row r="5230">
      <c r="A5230" s="54"/>
      <c r="B5230" s="71"/>
      <c r="C5230" s="51"/>
      <c r="D5230" s="114"/>
      <c r="E5230" s="114"/>
      <c r="F5230" s="54"/>
      <c r="G5230" s="54"/>
      <c r="I5230" s="54"/>
      <c r="K5230" s="54"/>
      <c r="M5230" s="114"/>
      <c r="N5230" s="1"/>
      <c r="O5230" s="1"/>
      <c r="P5230" s="51"/>
    </row>
    <row r="5231">
      <c r="A5231" s="54"/>
      <c r="B5231" s="71"/>
      <c r="C5231" s="51"/>
      <c r="D5231" s="114"/>
      <c r="E5231" s="114"/>
      <c r="F5231" s="54"/>
      <c r="G5231" s="54"/>
      <c r="I5231" s="54"/>
      <c r="K5231" s="54"/>
      <c r="M5231" s="114"/>
      <c r="N5231" s="1"/>
      <c r="O5231" s="1"/>
      <c r="P5231" s="51"/>
    </row>
    <row r="5232">
      <c r="A5232" s="54"/>
      <c r="B5232" s="71"/>
      <c r="C5232" s="51"/>
      <c r="D5232" s="114"/>
      <c r="E5232" s="114"/>
      <c r="F5232" s="54"/>
      <c r="G5232" s="54"/>
      <c r="I5232" s="54"/>
      <c r="K5232" s="54"/>
      <c r="M5232" s="114"/>
      <c r="N5232" s="1"/>
      <c r="O5232" s="1"/>
      <c r="P5232" s="51"/>
    </row>
    <row r="5233">
      <c r="A5233" s="54"/>
      <c r="B5233" s="71"/>
      <c r="C5233" s="51"/>
      <c r="D5233" s="114"/>
      <c r="E5233" s="114"/>
      <c r="F5233" s="54"/>
      <c r="G5233" s="54"/>
      <c r="I5233" s="54"/>
      <c r="K5233" s="54"/>
      <c r="M5233" s="114"/>
      <c r="N5233" s="1"/>
      <c r="O5233" s="1"/>
      <c r="P5233" s="51"/>
    </row>
    <row r="5234">
      <c r="A5234" s="54"/>
      <c r="B5234" s="71"/>
      <c r="C5234" s="51"/>
      <c r="D5234" s="114"/>
      <c r="E5234" s="114"/>
      <c r="F5234" s="54"/>
      <c r="G5234" s="54"/>
      <c r="I5234" s="54"/>
      <c r="K5234" s="54"/>
      <c r="M5234" s="114"/>
      <c r="N5234" s="1"/>
      <c r="O5234" s="1"/>
      <c r="P5234" s="51"/>
    </row>
    <row r="5235">
      <c r="A5235" s="54"/>
      <c r="B5235" s="71"/>
      <c r="C5235" s="51"/>
      <c r="D5235" s="114"/>
      <c r="E5235" s="114"/>
      <c r="F5235" s="54"/>
      <c r="G5235" s="54"/>
      <c r="I5235" s="54"/>
      <c r="K5235" s="54"/>
      <c r="M5235" s="114"/>
      <c r="N5235" s="1"/>
      <c r="O5235" s="1"/>
      <c r="P5235" s="51"/>
    </row>
    <row r="5236">
      <c r="A5236" s="54"/>
      <c r="B5236" s="71"/>
      <c r="C5236" s="51"/>
      <c r="D5236" s="114"/>
      <c r="E5236" s="114"/>
      <c r="F5236" s="54"/>
      <c r="G5236" s="54"/>
      <c r="I5236" s="54"/>
      <c r="K5236" s="54"/>
      <c r="M5236" s="114"/>
      <c r="N5236" s="1"/>
      <c r="O5236" s="1"/>
      <c r="P5236" s="51"/>
    </row>
    <row r="5237">
      <c r="A5237" s="54"/>
      <c r="B5237" s="71"/>
      <c r="C5237" s="51"/>
      <c r="D5237" s="114"/>
      <c r="E5237" s="114"/>
      <c r="F5237" s="54"/>
      <c r="G5237" s="54"/>
      <c r="I5237" s="54"/>
      <c r="K5237" s="54"/>
      <c r="M5237" s="114"/>
      <c r="N5237" s="1"/>
      <c r="O5237" s="1"/>
      <c r="P5237" s="51"/>
    </row>
    <row r="5238">
      <c r="A5238" s="54"/>
      <c r="B5238" s="71"/>
      <c r="C5238" s="51"/>
      <c r="D5238" s="114"/>
      <c r="E5238" s="114"/>
      <c r="F5238" s="54"/>
      <c r="G5238" s="54"/>
      <c r="I5238" s="54"/>
      <c r="K5238" s="54"/>
      <c r="M5238" s="114"/>
      <c r="N5238" s="1"/>
      <c r="O5238" s="1"/>
      <c r="P5238" s="51"/>
    </row>
    <row r="5239">
      <c r="A5239" s="54"/>
      <c r="B5239" s="71"/>
      <c r="C5239" s="51"/>
      <c r="D5239" s="114"/>
      <c r="E5239" s="114"/>
      <c r="F5239" s="54"/>
      <c r="G5239" s="54"/>
      <c r="I5239" s="54"/>
      <c r="K5239" s="54"/>
      <c r="M5239" s="114"/>
      <c r="N5239" s="1"/>
      <c r="O5239" s="1"/>
      <c r="P5239" s="51"/>
    </row>
    <row r="5240">
      <c r="A5240" s="54"/>
      <c r="B5240" s="71"/>
      <c r="C5240" s="51"/>
      <c r="D5240" s="114"/>
      <c r="E5240" s="114"/>
      <c r="F5240" s="54"/>
      <c r="G5240" s="54"/>
      <c r="I5240" s="54"/>
      <c r="K5240" s="54"/>
      <c r="M5240" s="114"/>
      <c r="N5240" s="1"/>
      <c r="O5240" s="1"/>
      <c r="P5240" s="51"/>
    </row>
    <row r="5241">
      <c r="A5241" s="54"/>
      <c r="B5241" s="71"/>
      <c r="C5241" s="51"/>
      <c r="D5241" s="114"/>
      <c r="E5241" s="114"/>
      <c r="F5241" s="54"/>
      <c r="G5241" s="54"/>
      <c r="I5241" s="54"/>
      <c r="K5241" s="54"/>
      <c r="M5241" s="114"/>
      <c r="N5241" s="1"/>
      <c r="O5241" s="1"/>
      <c r="P5241" s="51"/>
    </row>
    <row r="5242">
      <c r="A5242" s="54"/>
      <c r="B5242" s="71"/>
      <c r="C5242" s="51"/>
      <c r="D5242" s="114"/>
      <c r="E5242" s="114"/>
      <c r="F5242" s="54"/>
      <c r="G5242" s="54"/>
      <c r="I5242" s="54"/>
      <c r="K5242" s="54"/>
      <c r="M5242" s="114"/>
      <c r="N5242" s="1"/>
      <c r="O5242" s="1"/>
      <c r="P5242" s="51"/>
    </row>
    <row r="5243">
      <c r="A5243" s="54"/>
      <c r="B5243" s="71"/>
      <c r="C5243" s="51"/>
      <c r="D5243" s="114"/>
      <c r="E5243" s="114"/>
      <c r="F5243" s="54"/>
      <c r="G5243" s="54"/>
      <c r="I5243" s="54"/>
      <c r="K5243" s="54"/>
      <c r="M5243" s="114"/>
      <c r="N5243" s="1"/>
      <c r="O5243" s="1"/>
      <c r="P5243" s="51"/>
    </row>
    <row r="5244">
      <c r="A5244" s="54"/>
      <c r="B5244" s="71"/>
      <c r="C5244" s="51"/>
      <c r="D5244" s="114"/>
      <c r="E5244" s="114"/>
      <c r="F5244" s="54"/>
      <c r="G5244" s="54"/>
      <c r="I5244" s="54"/>
      <c r="K5244" s="54"/>
      <c r="M5244" s="114"/>
      <c r="N5244" s="1"/>
      <c r="O5244" s="1"/>
      <c r="P5244" s="51"/>
    </row>
    <row r="5245">
      <c r="A5245" s="54"/>
      <c r="B5245" s="71"/>
      <c r="C5245" s="51"/>
      <c r="D5245" s="114"/>
      <c r="E5245" s="114"/>
      <c r="F5245" s="54"/>
      <c r="G5245" s="54"/>
      <c r="I5245" s="54"/>
      <c r="K5245" s="54"/>
      <c r="M5245" s="114"/>
      <c r="N5245" s="1"/>
      <c r="O5245" s="1"/>
      <c r="P5245" s="51"/>
    </row>
    <row r="5246">
      <c r="A5246" s="54"/>
      <c r="B5246" s="71"/>
      <c r="C5246" s="51"/>
      <c r="D5246" s="114"/>
      <c r="E5246" s="114"/>
      <c r="F5246" s="54"/>
      <c r="G5246" s="54"/>
      <c r="I5246" s="54"/>
      <c r="K5246" s="54"/>
      <c r="M5246" s="114"/>
      <c r="N5246" s="1"/>
      <c r="O5246" s="1"/>
      <c r="P5246" s="51"/>
    </row>
    <row r="5247">
      <c r="A5247" s="54"/>
      <c r="B5247" s="71"/>
      <c r="C5247" s="51"/>
      <c r="D5247" s="114"/>
      <c r="E5247" s="114"/>
      <c r="F5247" s="54"/>
      <c r="G5247" s="54"/>
      <c r="I5247" s="54"/>
      <c r="K5247" s="54"/>
      <c r="M5247" s="114"/>
      <c r="N5247" s="1"/>
      <c r="O5247" s="1"/>
      <c r="P5247" s="51"/>
    </row>
    <row r="5248">
      <c r="A5248" s="54"/>
      <c r="B5248" s="71"/>
      <c r="C5248" s="51"/>
      <c r="D5248" s="114"/>
      <c r="E5248" s="114"/>
      <c r="F5248" s="54"/>
      <c r="G5248" s="54"/>
      <c r="I5248" s="54"/>
      <c r="K5248" s="54"/>
      <c r="M5248" s="114"/>
      <c r="N5248" s="1"/>
      <c r="O5248" s="1"/>
      <c r="P5248" s="51"/>
    </row>
    <row r="5249">
      <c r="A5249" s="54"/>
      <c r="B5249" s="71"/>
      <c r="C5249" s="51"/>
      <c r="D5249" s="114"/>
      <c r="E5249" s="114"/>
      <c r="F5249" s="54"/>
      <c r="G5249" s="54"/>
      <c r="I5249" s="54"/>
      <c r="K5249" s="54"/>
      <c r="M5249" s="114"/>
      <c r="N5249" s="1"/>
      <c r="O5249" s="1"/>
      <c r="P5249" s="51"/>
    </row>
    <row r="5250">
      <c r="A5250" s="54"/>
      <c r="B5250" s="71"/>
      <c r="C5250" s="51"/>
      <c r="D5250" s="114"/>
      <c r="E5250" s="114"/>
      <c r="F5250" s="54"/>
      <c r="G5250" s="54"/>
      <c r="I5250" s="54"/>
      <c r="K5250" s="54"/>
      <c r="M5250" s="114"/>
      <c r="N5250" s="1"/>
      <c r="O5250" s="1"/>
      <c r="P5250" s="51"/>
    </row>
    <row r="5251">
      <c r="A5251" s="54"/>
      <c r="B5251" s="71"/>
      <c r="C5251" s="51"/>
      <c r="D5251" s="114"/>
      <c r="E5251" s="114"/>
      <c r="F5251" s="54"/>
      <c r="G5251" s="54"/>
      <c r="I5251" s="54"/>
      <c r="K5251" s="54"/>
      <c r="M5251" s="114"/>
      <c r="N5251" s="1"/>
      <c r="O5251" s="1"/>
      <c r="P5251" s="51"/>
    </row>
    <row r="5252">
      <c r="A5252" s="54"/>
      <c r="B5252" s="71"/>
      <c r="C5252" s="51"/>
      <c r="D5252" s="114"/>
      <c r="E5252" s="114"/>
      <c r="F5252" s="54"/>
      <c r="G5252" s="54"/>
      <c r="I5252" s="54"/>
      <c r="K5252" s="54"/>
      <c r="M5252" s="114"/>
      <c r="N5252" s="1"/>
      <c r="O5252" s="1"/>
      <c r="P5252" s="51"/>
    </row>
    <row r="5253">
      <c r="A5253" s="54"/>
      <c r="B5253" s="71"/>
      <c r="C5253" s="51"/>
      <c r="D5253" s="114"/>
      <c r="E5253" s="114"/>
      <c r="F5253" s="54"/>
      <c r="G5253" s="54"/>
      <c r="I5253" s="54"/>
      <c r="K5253" s="54"/>
      <c r="M5253" s="114"/>
      <c r="N5253" s="1"/>
      <c r="O5253" s="1"/>
      <c r="P5253" s="51"/>
    </row>
    <row r="5254">
      <c r="A5254" s="54"/>
      <c r="B5254" s="71"/>
      <c r="C5254" s="51"/>
      <c r="D5254" s="114"/>
      <c r="E5254" s="114"/>
      <c r="F5254" s="54"/>
      <c r="G5254" s="54"/>
      <c r="I5254" s="54"/>
      <c r="K5254" s="54"/>
      <c r="M5254" s="114"/>
      <c r="N5254" s="1"/>
      <c r="O5254" s="1"/>
      <c r="P5254" s="51"/>
    </row>
    <row r="5255">
      <c r="A5255" s="54"/>
      <c r="B5255" s="71"/>
      <c r="C5255" s="51"/>
      <c r="D5255" s="114"/>
      <c r="E5255" s="114"/>
      <c r="F5255" s="54"/>
      <c r="G5255" s="54"/>
      <c r="I5255" s="54"/>
      <c r="K5255" s="54"/>
      <c r="M5255" s="114"/>
      <c r="N5255" s="1"/>
      <c r="O5255" s="1"/>
      <c r="P5255" s="51"/>
    </row>
    <row r="5256">
      <c r="A5256" s="54"/>
      <c r="B5256" s="71"/>
      <c r="C5256" s="51"/>
      <c r="D5256" s="114"/>
      <c r="E5256" s="114"/>
      <c r="F5256" s="54"/>
      <c r="G5256" s="54"/>
      <c r="I5256" s="54"/>
      <c r="K5256" s="54"/>
      <c r="M5256" s="114"/>
      <c r="N5256" s="1"/>
      <c r="O5256" s="1"/>
      <c r="P5256" s="51"/>
    </row>
    <row r="5257">
      <c r="A5257" s="54"/>
      <c r="B5257" s="71"/>
      <c r="C5257" s="51"/>
      <c r="D5257" s="114"/>
      <c r="E5257" s="114"/>
      <c r="F5257" s="54"/>
      <c r="G5257" s="54"/>
      <c r="I5257" s="54"/>
      <c r="K5257" s="54"/>
      <c r="M5257" s="114"/>
      <c r="N5257" s="1"/>
      <c r="O5257" s="1"/>
      <c r="P5257" s="51"/>
    </row>
    <row r="5258">
      <c r="A5258" s="54"/>
      <c r="B5258" s="71"/>
      <c r="C5258" s="51"/>
      <c r="D5258" s="114"/>
      <c r="E5258" s="114"/>
      <c r="F5258" s="54"/>
      <c r="G5258" s="54"/>
      <c r="I5258" s="54"/>
      <c r="K5258" s="54"/>
      <c r="M5258" s="114"/>
      <c r="N5258" s="1"/>
      <c r="O5258" s="1"/>
      <c r="P5258" s="51"/>
    </row>
    <row r="5259">
      <c r="A5259" s="54"/>
      <c r="B5259" s="71"/>
      <c r="C5259" s="51"/>
      <c r="D5259" s="114"/>
      <c r="E5259" s="114"/>
      <c r="F5259" s="54"/>
      <c r="G5259" s="54"/>
      <c r="I5259" s="54"/>
      <c r="K5259" s="54"/>
      <c r="M5259" s="114"/>
      <c r="N5259" s="1"/>
      <c r="O5259" s="1"/>
      <c r="P5259" s="51"/>
    </row>
    <row r="5260">
      <c r="A5260" s="54"/>
      <c r="B5260" s="71"/>
      <c r="C5260" s="51"/>
      <c r="D5260" s="114"/>
      <c r="E5260" s="114"/>
      <c r="F5260" s="54"/>
      <c r="G5260" s="54"/>
      <c r="I5260" s="54"/>
      <c r="K5260" s="54"/>
      <c r="M5260" s="114"/>
      <c r="N5260" s="1"/>
      <c r="O5260" s="1"/>
      <c r="P5260" s="51"/>
    </row>
    <row r="5261">
      <c r="A5261" s="54"/>
      <c r="B5261" s="71"/>
      <c r="C5261" s="51"/>
      <c r="D5261" s="114"/>
      <c r="E5261" s="114"/>
      <c r="F5261" s="54"/>
      <c r="G5261" s="54"/>
      <c r="I5261" s="54"/>
      <c r="K5261" s="54"/>
      <c r="M5261" s="114"/>
      <c r="N5261" s="1"/>
      <c r="O5261" s="1"/>
      <c r="P5261" s="51"/>
    </row>
    <row r="5262">
      <c r="A5262" s="54"/>
      <c r="B5262" s="71"/>
      <c r="C5262" s="51"/>
      <c r="D5262" s="114"/>
      <c r="E5262" s="114"/>
      <c r="F5262" s="54"/>
      <c r="G5262" s="54"/>
      <c r="I5262" s="54"/>
      <c r="K5262" s="54"/>
      <c r="M5262" s="114"/>
      <c r="N5262" s="1"/>
      <c r="O5262" s="1"/>
      <c r="P5262" s="51"/>
    </row>
    <row r="5263">
      <c r="A5263" s="54"/>
      <c r="B5263" s="71"/>
      <c r="C5263" s="51"/>
      <c r="D5263" s="114"/>
      <c r="E5263" s="114"/>
      <c r="F5263" s="54"/>
      <c r="G5263" s="54"/>
      <c r="I5263" s="54"/>
      <c r="K5263" s="54"/>
      <c r="M5263" s="114"/>
      <c r="N5263" s="1"/>
      <c r="O5263" s="1"/>
      <c r="P5263" s="51"/>
    </row>
    <row r="5264">
      <c r="A5264" s="54"/>
      <c r="B5264" s="71"/>
      <c r="C5264" s="51"/>
      <c r="D5264" s="114"/>
      <c r="E5264" s="114"/>
      <c r="F5264" s="54"/>
      <c r="G5264" s="54"/>
      <c r="I5264" s="54"/>
      <c r="K5264" s="54"/>
      <c r="M5264" s="114"/>
      <c r="N5264" s="1"/>
      <c r="O5264" s="1"/>
      <c r="P5264" s="51"/>
    </row>
    <row r="5265">
      <c r="A5265" s="54"/>
      <c r="B5265" s="71"/>
      <c r="C5265" s="51"/>
      <c r="D5265" s="114"/>
      <c r="E5265" s="114"/>
      <c r="F5265" s="54"/>
      <c r="G5265" s="54"/>
      <c r="I5265" s="54"/>
      <c r="K5265" s="54"/>
      <c r="M5265" s="114"/>
      <c r="N5265" s="1"/>
      <c r="O5265" s="1"/>
      <c r="P5265" s="51"/>
    </row>
    <row r="5266">
      <c r="A5266" s="54"/>
      <c r="B5266" s="71"/>
      <c r="C5266" s="51"/>
      <c r="D5266" s="114"/>
      <c r="E5266" s="114"/>
      <c r="F5266" s="54"/>
      <c r="G5266" s="54"/>
      <c r="I5266" s="54"/>
      <c r="K5266" s="54"/>
      <c r="M5266" s="114"/>
      <c r="N5266" s="1"/>
      <c r="O5266" s="1"/>
      <c r="P5266" s="51"/>
    </row>
    <row r="5267">
      <c r="A5267" s="54"/>
      <c r="B5267" s="71"/>
      <c r="C5267" s="51"/>
      <c r="D5267" s="114"/>
      <c r="E5267" s="114"/>
      <c r="F5267" s="54"/>
      <c r="G5267" s="54"/>
      <c r="I5267" s="54"/>
      <c r="K5267" s="54"/>
      <c r="M5267" s="114"/>
      <c r="N5267" s="1"/>
      <c r="O5267" s="1"/>
      <c r="P5267" s="51"/>
    </row>
    <row r="5268">
      <c r="A5268" s="54"/>
      <c r="B5268" s="71"/>
      <c r="C5268" s="51"/>
      <c r="D5268" s="114"/>
      <c r="E5268" s="114"/>
      <c r="F5268" s="54"/>
      <c r="G5268" s="54"/>
      <c r="I5268" s="54"/>
      <c r="K5268" s="54"/>
      <c r="M5268" s="114"/>
      <c r="N5268" s="1"/>
      <c r="O5268" s="1"/>
      <c r="P5268" s="51"/>
    </row>
    <row r="5269">
      <c r="A5269" s="54"/>
      <c r="B5269" s="71"/>
      <c r="C5269" s="51"/>
      <c r="D5269" s="114"/>
      <c r="E5269" s="114"/>
      <c r="F5269" s="54"/>
      <c r="G5269" s="54"/>
      <c r="I5269" s="54"/>
      <c r="K5269" s="54"/>
      <c r="M5269" s="114"/>
      <c r="N5269" s="1"/>
      <c r="O5269" s="1"/>
      <c r="P5269" s="51"/>
    </row>
    <row r="5270">
      <c r="A5270" s="54"/>
      <c r="B5270" s="71"/>
      <c r="C5270" s="51"/>
      <c r="D5270" s="114"/>
      <c r="E5270" s="114"/>
      <c r="F5270" s="54"/>
      <c r="G5270" s="54"/>
      <c r="I5270" s="54"/>
      <c r="K5270" s="54"/>
      <c r="M5270" s="114"/>
      <c r="N5270" s="1"/>
      <c r="O5270" s="1"/>
      <c r="P5270" s="51"/>
    </row>
    <row r="5271">
      <c r="A5271" s="54"/>
      <c r="B5271" s="71"/>
      <c r="C5271" s="51"/>
      <c r="D5271" s="114"/>
      <c r="E5271" s="114"/>
      <c r="F5271" s="54"/>
      <c r="G5271" s="54"/>
      <c r="I5271" s="54"/>
      <c r="K5271" s="54"/>
      <c r="M5271" s="114"/>
      <c r="N5271" s="1"/>
      <c r="O5271" s="1"/>
      <c r="P5271" s="51"/>
    </row>
    <row r="5272">
      <c r="A5272" s="54"/>
      <c r="B5272" s="71"/>
      <c r="C5272" s="51"/>
      <c r="D5272" s="114"/>
      <c r="E5272" s="114"/>
      <c r="F5272" s="54"/>
      <c r="G5272" s="54"/>
      <c r="I5272" s="54"/>
      <c r="K5272" s="54"/>
      <c r="M5272" s="114"/>
      <c r="N5272" s="1"/>
      <c r="O5272" s="1"/>
      <c r="P5272" s="51"/>
    </row>
    <row r="5273">
      <c r="A5273" s="54"/>
      <c r="B5273" s="71"/>
      <c r="C5273" s="51"/>
      <c r="D5273" s="114"/>
      <c r="E5273" s="114"/>
      <c r="F5273" s="54"/>
      <c r="G5273" s="54"/>
      <c r="I5273" s="54"/>
      <c r="K5273" s="54"/>
      <c r="M5273" s="114"/>
      <c r="N5273" s="1"/>
      <c r="O5273" s="1"/>
      <c r="P5273" s="51"/>
    </row>
    <row r="5274">
      <c r="A5274" s="54"/>
      <c r="B5274" s="71"/>
      <c r="C5274" s="51"/>
      <c r="D5274" s="114"/>
      <c r="E5274" s="114"/>
      <c r="F5274" s="54"/>
      <c r="G5274" s="54"/>
      <c r="I5274" s="54"/>
      <c r="K5274" s="54"/>
      <c r="M5274" s="114"/>
      <c r="N5274" s="1"/>
      <c r="O5274" s="1"/>
      <c r="P5274" s="51"/>
    </row>
    <row r="5275">
      <c r="A5275" s="54"/>
      <c r="B5275" s="71"/>
      <c r="C5275" s="51"/>
      <c r="D5275" s="114"/>
      <c r="E5275" s="114"/>
      <c r="F5275" s="54"/>
      <c r="G5275" s="54"/>
      <c r="I5275" s="54"/>
      <c r="K5275" s="54"/>
      <c r="M5275" s="114"/>
      <c r="N5275" s="1"/>
      <c r="O5275" s="1"/>
      <c r="P5275" s="51"/>
    </row>
    <row r="5276">
      <c r="A5276" s="54"/>
      <c r="B5276" s="71"/>
      <c r="C5276" s="51"/>
      <c r="D5276" s="114"/>
      <c r="E5276" s="114"/>
      <c r="F5276" s="54"/>
      <c r="G5276" s="54"/>
      <c r="I5276" s="54"/>
      <c r="K5276" s="54"/>
      <c r="M5276" s="114"/>
      <c r="N5276" s="1"/>
      <c r="O5276" s="1"/>
      <c r="P5276" s="51"/>
    </row>
    <row r="5277">
      <c r="A5277" s="54"/>
      <c r="B5277" s="71"/>
      <c r="C5277" s="51"/>
      <c r="D5277" s="114"/>
      <c r="E5277" s="114"/>
      <c r="F5277" s="54"/>
      <c r="G5277" s="54"/>
      <c r="I5277" s="54"/>
      <c r="K5277" s="54"/>
      <c r="M5277" s="114"/>
      <c r="N5277" s="1"/>
      <c r="O5277" s="1"/>
      <c r="P5277" s="51"/>
    </row>
    <row r="5278">
      <c r="A5278" s="54"/>
      <c r="B5278" s="71"/>
      <c r="C5278" s="51"/>
      <c r="D5278" s="114"/>
      <c r="E5278" s="114"/>
      <c r="F5278" s="54"/>
      <c r="G5278" s="54"/>
      <c r="I5278" s="54"/>
      <c r="K5278" s="54"/>
      <c r="M5278" s="114"/>
      <c r="N5278" s="1"/>
      <c r="O5278" s="1"/>
      <c r="P5278" s="51"/>
    </row>
    <row r="5279">
      <c r="A5279" s="54"/>
      <c r="B5279" s="71"/>
      <c r="C5279" s="51"/>
      <c r="D5279" s="114"/>
      <c r="E5279" s="114"/>
      <c r="F5279" s="54"/>
      <c r="G5279" s="54"/>
      <c r="I5279" s="54"/>
      <c r="K5279" s="54"/>
      <c r="M5279" s="114"/>
      <c r="N5279" s="1"/>
      <c r="O5279" s="1"/>
      <c r="P5279" s="51"/>
    </row>
    <row r="5280">
      <c r="A5280" s="54"/>
      <c r="B5280" s="71"/>
      <c r="C5280" s="51"/>
      <c r="D5280" s="114"/>
      <c r="E5280" s="114"/>
      <c r="F5280" s="54"/>
      <c r="G5280" s="54"/>
      <c r="I5280" s="54"/>
      <c r="K5280" s="54"/>
      <c r="M5280" s="114"/>
      <c r="N5280" s="1"/>
      <c r="O5280" s="1"/>
      <c r="P5280" s="51"/>
    </row>
    <row r="5281">
      <c r="A5281" s="54"/>
      <c r="B5281" s="71"/>
      <c r="C5281" s="51"/>
      <c r="D5281" s="114"/>
      <c r="E5281" s="114"/>
      <c r="F5281" s="54"/>
      <c r="G5281" s="54"/>
      <c r="I5281" s="54"/>
      <c r="K5281" s="54"/>
      <c r="M5281" s="114"/>
      <c r="N5281" s="1"/>
      <c r="O5281" s="1"/>
      <c r="P5281" s="51"/>
    </row>
    <row r="5282">
      <c r="A5282" s="54"/>
      <c r="B5282" s="71"/>
      <c r="C5282" s="51"/>
      <c r="D5282" s="114"/>
      <c r="E5282" s="114"/>
      <c r="F5282" s="54"/>
      <c r="G5282" s="54"/>
      <c r="I5282" s="54"/>
      <c r="K5282" s="54"/>
      <c r="M5282" s="114"/>
      <c r="N5282" s="1"/>
      <c r="O5282" s="1"/>
      <c r="P5282" s="51"/>
    </row>
    <row r="5283">
      <c r="A5283" s="54"/>
      <c r="B5283" s="71"/>
      <c r="C5283" s="51"/>
      <c r="D5283" s="114"/>
      <c r="E5283" s="114"/>
      <c r="F5283" s="54"/>
      <c r="G5283" s="54"/>
      <c r="I5283" s="54"/>
      <c r="K5283" s="54"/>
      <c r="M5283" s="114"/>
      <c r="N5283" s="1"/>
      <c r="O5283" s="1"/>
      <c r="P5283" s="51"/>
    </row>
    <row r="5284">
      <c r="A5284" s="54"/>
      <c r="B5284" s="71"/>
      <c r="C5284" s="51"/>
      <c r="D5284" s="114"/>
      <c r="E5284" s="114"/>
      <c r="F5284" s="54"/>
      <c r="G5284" s="54"/>
      <c r="I5284" s="54"/>
      <c r="K5284" s="54"/>
      <c r="M5284" s="114"/>
      <c r="N5284" s="1"/>
      <c r="O5284" s="1"/>
      <c r="P5284" s="51"/>
    </row>
    <row r="5285">
      <c r="A5285" s="54"/>
      <c r="B5285" s="71"/>
      <c r="C5285" s="51"/>
      <c r="D5285" s="114"/>
      <c r="E5285" s="114"/>
      <c r="F5285" s="54"/>
      <c r="G5285" s="54"/>
      <c r="I5285" s="54"/>
      <c r="K5285" s="54"/>
      <c r="M5285" s="114"/>
      <c r="N5285" s="1"/>
      <c r="O5285" s="1"/>
      <c r="P5285" s="51"/>
    </row>
    <row r="5286">
      <c r="A5286" s="54"/>
      <c r="B5286" s="71"/>
      <c r="C5286" s="51"/>
      <c r="D5286" s="114"/>
      <c r="E5286" s="114"/>
      <c r="F5286" s="54"/>
      <c r="G5286" s="54"/>
      <c r="I5286" s="54"/>
      <c r="K5286" s="54"/>
      <c r="M5286" s="114"/>
      <c r="N5286" s="1"/>
      <c r="O5286" s="1"/>
      <c r="P5286" s="51"/>
    </row>
    <row r="5287">
      <c r="A5287" s="54"/>
      <c r="B5287" s="71"/>
      <c r="C5287" s="51"/>
      <c r="D5287" s="114"/>
      <c r="E5287" s="114"/>
      <c r="F5287" s="54"/>
      <c r="G5287" s="54"/>
      <c r="I5287" s="54"/>
      <c r="K5287" s="54"/>
      <c r="M5287" s="114"/>
      <c r="N5287" s="1"/>
      <c r="O5287" s="1"/>
      <c r="P5287" s="51"/>
    </row>
    <row r="5288">
      <c r="A5288" s="54"/>
      <c r="B5288" s="71"/>
      <c r="C5288" s="51"/>
      <c r="D5288" s="114"/>
      <c r="E5288" s="114"/>
      <c r="F5288" s="54"/>
      <c r="G5288" s="54"/>
      <c r="I5288" s="54"/>
      <c r="K5288" s="54"/>
      <c r="M5288" s="114"/>
      <c r="N5288" s="1"/>
      <c r="O5288" s="1"/>
      <c r="P5288" s="51"/>
    </row>
    <row r="5289">
      <c r="A5289" s="54"/>
      <c r="B5289" s="71"/>
      <c r="C5289" s="51"/>
      <c r="D5289" s="114"/>
      <c r="E5289" s="114"/>
      <c r="F5289" s="54"/>
      <c r="G5289" s="54"/>
      <c r="I5289" s="54"/>
      <c r="K5289" s="54"/>
      <c r="M5289" s="114"/>
      <c r="N5289" s="1"/>
      <c r="O5289" s="1"/>
      <c r="P5289" s="51"/>
    </row>
    <row r="5290">
      <c r="A5290" s="54"/>
      <c r="B5290" s="71"/>
      <c r="C5290" s="51"/>
      <c r="D5290" s="114"/>
      <c r="E5290" s="114"/>
      <c r="F5290" s="54"/>
      <c r="G5290" s="54"/>
      <c r="I5290" s="54"/>
      <c r="K5290" s="54"/>
      <c r="M5290" s="114"/>
      <c r="N5290" s="1"/>
      <c r="O5290" s="1"/>
      <c r="P5290" s="51"/>
    </row>
    <row r="5291">
      <c r="A5291" s="54"/>
      <c r="B5291" s="71"/>
      <c r="C5291" s="51"/>
      <c r="D5291" s="114"/>
      <c r="E5291" s="114"/>
      <c r="F5291" s="54"/>
      <c r="G5291" s="54"/>
      <c r="I5291" s="54"/>
      <c r="K5291" s="54"/>
      <c r="M5291" s="114"/>
      <c r="N5291" s="1"/>
      <c r="O5291" s="1"/>
      <c r="P5291" s="51"/>
    </row>
    <row r="5292">
      <c r="A5292" s="54"/>
      <c r="B5292" s="71"/>
      <c r="C5292" s="51"/>
      <c r="D5292" s="114"/>
      <c r="E5292" s="114"/>
      <c r="F5292" s="54"/>
      <c r="G5292" s="54"/>
      <c r="I5292" s="54"/>
      <c r="K5292" s="54"/>
      <c r="M5292" s="114"/>
      <c r="N5292" s="1"/>
      <c r="O5292" s="1"/>
      <c r="P5292" s="51"/>
    </row>
    <row r="5293">
      <c r="A5293" s="54"/>
      <c r="B5293" s="71"/>
      <c r="C5293" s="51"/>
      <c r="D5293" s="114"/>
      <c r="E5293" s="114"/>
      <c r="F5293" s="54"/>
      <c r="G5293" s="54"/>
      <c r="I5293" s="54"/>
      <c r="K5293" s="54"/>
      <c r="M5293" s="114"/>
      <c r="N5293" s="1"/>
      <c r="O5293" s="1"/>
      <c r="P5293" s="51"/>
    </row>
    <row r="5294">
      <c r="A5294" s="54"/>
      <c r="B5294" s="71"/>
      <c r="C5294" s="51"/>
      <c r="D5294" s="114"/>
      <c r="E5294" s="114"/>
      <c r="F5294" s="54"/>
      <c r="G5294" s="54"/>
      <c r="I5294" s="54"/>
      <c r="K5294" s="54"/>
      <c r="M5294" s="114"/>
      <c r="N5294" s="1"/>
      <c r="O5294" s="1"/>
      <c r="P5294" s="51"/>
    </row>
    <row r="5295">
      <c r="A5295" s="54"/>
      <c r="B5295" s="71"/>
      <c r="C5295" s="51"/>
      <c r="D5295" s="114"/>
      <c r="E5295" s="114"/>
      <c r="F5295" s="54"/>
      <c r="G5295" s="54"/>
      <c r="I5295" s="54"/>
      <c r="K5295" s="54"/>
      <c r="M5295" s="114"/>
      <c r="N5295" s="1"/>
      <c r="O5295" s="1"/>
      <c r="P5295" s="51"/>
    </row>
    <row r="5296">
      <c r="A5296" s="54"/>
      <c r="B5296" s="71"/>
      <c r="C5296" s="51"/>
      <c r="D5296" s="114"/>
      <c r="E5296" s="114"/>
      <c r="F5296" s="54"/>
      <c r="G5296" s="54"/>
      <c r="I5296" s="54"/>
      <c r="K5296" s="54"/>
      <c r="M5296" s="114"/>
      <c r="N5296" s="1"/>
      <c r="O5296" s="1"/>
      <c r="P5296" s="51"/>
    </row>
    <row r="5297">
      <c r="A5297" s="54"/>
      <c r="B5297" s="71"/>
      <c r="C5297" s="51"/>
      <c r="D5297" s="114"/>
      <c r="E5297" s="114"/>
      <c r="F5297" s="54"/>
      <c r="G5297" s="54"/>
      <c r="I5297" s="54"/>
      <c r="K5297" s="54"/>
      <c r="M5297" s="114"/>
      <c r="N5297" s="1"/>
      <c r="O5297" s="1"/>
      <c r="P5297" s="51"/>
    </row>
    <row r="5298">
      <c r="A5298" s="54"/>
      <c r="B5298" s="71"/>
      <c r="C5298" s="51"/>
      <c r="D5298" s="114"/>
      <c r="E5298" s="114"/>
      <c r="F5298" s="54"/>
      <c r="G5298" s="54"/>
      <c r="I5298" s="54"/>
      <c r="K5298" s="54"/>
      <c r="M5298" s="114"/>
      <c r="N5298" s="1"/>
      <c r="O5298" s="1"/>
      <c r="P5298" s="51"/>
    </row>
    <row r="5299">
      <c r="A5299" s="54"/>
      <c r="B5299" s="71"/>
      <c r="C5299" s="51"/>
      <c r="D5299" s="114"/>
      <c r="E5299" s="114"/>
      <c r="F5299" s="54"/>
      <c r="G5299" s="54"/>
      <c r="I5299" s="54"/>
      <c r="K5299" s="54"/>
      <c r="M5299" s="114"/>
      <c r="N5299" s="1"/>
      <c r="O5299" s="1"/>
      <c r="P5299" s="51"/>
    </row>
    <row r="5300">
      <c r="A5300" s="54"/>
      <c r="B5300" s="71"/>
      <c r="C5300" s="51"/>
      <c r="D5300" s="114"/>
      <c r="E5300" s="114"/>
      <c r="F5300" s="54"/>
      <c r="G5300" s="54"/>
      <c r="I5300" s="54"/>
      <c r="K5300" s="54"/>
      <c r="M5300" s="114"/>
      <c r="N5300" s="1"/>
      <c r="O5300" s="1"/>
      <c r="P5300" s="51"/>
    </row>
    <row r="5301">
      <c r="A5301" s="54"/>
      <c r="B5301" s="71"/>
      <c r="C5301" s="51"/>
      <c r="D5301" s="114"/>
      <c r="E5301" s="114"/>
      <c r="F5301" s="54"/>
      <c r="G5301" s="54"/>
      <c r="I5301" s="54"/>
      <c r="K5301" s="54"/>
      <c r="M5301" s="114"/>
      <c r="N5301" s="1"/>
      <c r="O5301" s="1"/>
      <c r="P5301" s="51"/>
    </row>
    <row r="5302">
      <c r="A5302" s="54"/>
      <c r="B5302" s="71"/>
      <c r="C5302" s="51"/>
      <c r="D5302" s="114"/>
      <c r="E5302" s="114"/>
      <c r="F5302" s="54"/>
      <c r="G5302" s="54"/>
      <c r="I5302" s="54"/>
      <c r="K5302" s="54"/>
      <c r="M5302" s="114"/>
      <c r="N5302" s="1"/>
      <c r="O5302" s="1"/>
      <c r="P5302" s="51"/>
    </row>
    <row r="5303">
      <c r="A5303" s="54"/>
      <c r="B5303" s="71"/>
      <c r="C5303" s="51"/>
      <c r="D5303" s="114"/>
      <c r="E5303" s="114"/>
      <c r="F5303" s="54"/>
      <c r="G5303" s="54"/>
      <c r="I5303" s="54"/>
      <c r="K5303" s="54"/>
      <c r="M5303" s="114"/>
      <c r="N5303" s="1"/>
      <c r="O5303" s="1"/>
      <c r="P5303" s="51"/>
    </row>
    <row r="5304">
      <c r="A5304" s="54"/>
      <c r="B5304" s="71"/>
      <c r="C5304" s="51"/>
      <c r="D5304" s="114"/>
      <c r="E5304" s="114"/>
      <c r="F5304" s="54"/>
      <c r="G5304" s="54"/>
      <c r="I5304" s="54"/>
      <c r="K5304" s="54"/>
      <c r="M5304" s="114"/>
      <c r="N5304" s="1"/>
      <c r="O5304" s="1"/>
      <c r="P5304" s="51"/>
    </row>
    <row r="5305">
      <c r="A5305" s="54"/>
      <c r="B5305" s="71"/>
      <c r="C5305" s="51"/>
      <c r="D5305" s="114"/>
      <c r="E5305" s="114"/>
      <c r="F5305" s="54"/>
      <c r="G5305" s="54"/>
      <c r="I5305" s="54"/>
      <c r="K5305" s="54"/>
      <c r="M5305" s="114"/>
      <c r="N5305" s="1"/>
      <c r="O5305" s="1"/>
      <c r="P5305" s="51"/>
    </row>
    <row r="5306">
      <c r="A5306" s="54"/>
      <c r="B5306" s="71"/>
      <c r="C5306" s="51"/>
      <c r="D5306" s="114"/>
      <c r="E5306" s="114"/>
      <c r="F5306" s="54"/>
      <c r="G5306" s="54"/>
      <c r="I5306" s="54"/>
      <c r="K5306" s="54"/>
      <c r="M5306" s="114"/>
      <c r="N5306" s="1"/>
      <c r="O5306" s="1"/>
      <c r="P5306" s="51"/>
    </row>
    <row r="5307">
      <c r="A5307" s="54"/>
      <c r="B5307" s="71"/>
      <c r="C5307" s="51"/>
      <c r="D5307" s="114"/>
      <c r="E5307" s="114"/>
      <c r="F5307" s="54"/>
      <c r="G5307" s="54"/>
      <c r="I5307" s="54"/>
      <c r="K5307" s="54"/>
      <c r="M5307" s="114"/>
      <c r="N5307" s="1"/>
      <c r="O5307" s="1"/>
      <c r="P5307" s="51"/>
    </row>
    <row r="5308">
      <c r="A5308" s="54"/>
      <c r="B5308" s="71"/>
      <c r="C5308" s="51"/>
      <c r="D5308" s="114"/>
      <c r="E5308" s="114"/>
      <c r="F5308" s="54"/>
      <c r="G5308" s="54"/>
      <c r="I5308" s="54"/>
      <c r="K5308" s="54"/>
      <c r="M5308" s="114"/>
      <c r="N5308" s="1"/>
      <c r="O5308" s="1"/>
      <c r="P5308" s="51"/>
    </row>
    <row r="5309">
      <c r="A5309" s="54"/>
      <c r="B5309" s="71"/>
      <c r="C5309" s="51"/>
      <c r="D5309" s="114"/>
      <c r="E5309" s="114"/>
      <c r="F5309" s="54"/>
      <c r="G5309" s="54"/>
      <c r="I5309" s="54"/>
      <c r="K5309" s="54"/>
      <c r="M5309" s="114"/>
      <c r="N5309" s="1"/>
      <c r="O5309" s="1"/>
      <c r="P5309" s="51"/>
    </row>
    <row r="5310">
      <c r="A5310" s="54"/>
      <c r="B5310" s="71"/>
      <c r="C5310" s="51"/>
      <c r="D5310" s="114"/>
      <c r="E5310" s="114"/>
      <c r="F5310" s="54"/>
      <c r="G5310" s="54"/>
      <c r="I5310" s="54"/>
      <c r="K5310" s="54"/>
      <c r="M5310" s="114"/>
      <c r="N5310" s="1"/>
      <c r="O5310" s="1"/>
      <c r="P5310" s="51"/>
    </row>
    <row r="5311">
      <c r="A5311" s="54"/>
      <c r="B5311" s="71"/>
      <c r="C5311" s="51"/>
      <c r="D5311" s="114"/>
      <c r="E5311" s="114"/>
      <c r="F5311" s="54"/>
      <c r="G5311" s="54"/>
      <c r="I5311" s="54"/>
      <c r="K5311" s="54"/>
      <c r="M5311" s="114"/>
      <c r="N5311" s="1"/>
      <c r="O5311" s="1"/>
      <c r="P5311" s="51"/>
    </row>
    <row r="5312">
      <c r="A5312" s="54"/>
      <c r="B5312" s="71"/>
      <c r="C5312" s="51"/>
      <c r="D5312" s="114"/>
      <c r="E5312" s="114"/>
      <c r="F5312" s="54"/>
      <c r="G5312" s="54"/>
      <c r="I5312" s="54"/>
      <c r="K5312" s="54"/>
      <c r="M5312" s="114"/>
      <c r="N5312" s="1"/>
      <c r="O5312" s="1"/>
      <c r="P5312" s="51"/>
    </row>
    <row r="5313">
      <c r="A5313" s="54"/>
      <c r="B5313" s="71"/>
      <c r="C5313" s="51"/>
      <c r="D5313" s="114"/>
      <c r="E5313" s="114"/>
      <c r="F5313" s="54"/>
      <c r="G5313" s="54"/>
      <c r="I5313" s="54"/>
      <c r="K5313" s="54"/>
      <c r="M5313" s="114"/>
      <c r="N5313" s="1"/>
      <c r="O5313" s="1"/>
      <c r="P5313" s="51"/>
    </row>
    <row r="5314">
      <c r="A5314" s="54"/>
      <c r="B5314" s="71"/>
      <c r="C5314" s="51"/>
      <c r="D5314" s="114"/>
      <c r="E5314" s="114"/>
      <c r="F5314" s="54"/>
      <c r="G5314" s="54"/>
      <c r="I5314" s="54"/>
      <c r="K5314" s="54"/>
      <c r="M5314" s="114"/>
      <c r="N5314" s="1"/>
      <c r="O5314" s="1"/>
      <c r="P5314" s="51"/>
    </row>
    <row r="5315">
      <c r="A5315" s="54"/>
      <c r="B5315" s="71"/>
      <c r="C5315" s="51"/>
      <c r="D5315" s="114"/>
      <c r="E5315" s="114"/>
      <c r="F5315" s="54"/>
      <c r="G5315" s="54"/>
      <c r="I5315" s="54"/>
      <c r="K5315" s="54"/>
      <c r="M5315" s="114"/>
      <c r="N5315" s="1"/>
      <c r="O5315" s="1"/>
      <c r="P5315" s="51"/>
    </row>
    <row r="5316">
      <c r="A5316" s="54"/>
      <c r="B5316" s="71"/>
      <c r="C5316" s="51"/>
      <c r="D5316" s="114"/>
      <c r="E5316" s="114"/>
      <c r="F5316" s="54"/>
      <c r="G5316" s="54"/>
      <c r="I5316" s="54"/>
      <c r="K5316" s="54"/>
      <c r="M5316" s="114"/>
      <c r="N5316" s="1"/>
      <c r="O5316" s="1"/>
      <c r="P5316" s="51"/>
    </row>
    <row r="5317">
      <c r="A5317" s="54"/>
      <c r="B5317" s="71"/>
      <c r="C5317" s="51"/>
      <c r="D5317" s="114"/>
      <c r="E5317" s="114"/>
      <c r="F5317" s="54"/>
      <c r="G5317" s="54"/>
      <c r="I5317" s="54"/>
      <c r="K5317" s="54"/>
      <c r="M5317" s="114"/>
      <c r="N5317" s="1"/>
      <c r="O5317" s="1"/>
      <c r="P5317" s="51"/>
    </row>
    <row r="5318">
      <c r="A5318" s="54"/>
      <c r="B5318" s="71"/>
      <c r="C5318" s="51"/>
      <c r="D5318" s="114"/>
      <c r="E5318" s="114"/>
      <c r="F5318" s="54"/>
      <c r="G5318" s="54"/>
      <c r="I5318" s="54"/>
      <c r="K5318" s="54"/>
      <c r="M5318" s="114"/>
      <c r="N5318" s="1"/>
      <c r="O5318" s="1"/>
      <c r="P5318" s="51"/>
    </row>
    <row r="5319">
      <c r="A5319" s="54"/>
      <c r="B5319" s="71"/>
      <c r="C5319" s="51"/>
      <c r="D5319" s="114"/>
      <c r="E5319" s="114"/>
      <c r="F5319" s="54"/>
      <c r="G5319" s="54"/>
      <c r="I5319" s="54"/>
      <c r="K5319" s="54"/>
      <c r="M5319" s="114"/>
      <c r="N5319" s="1"/>
      <c r="O5319" s="1"/>
      <c r="P5319" s="51"/>
    </row>
    <row r="5320">
      <c r="A5320" s="54"/>
      <c r="B5320" s="71"/>
      <c r="C5320" s="51"/>
      <c r="D5320" s="114"/>
      <c r="E5320" s="114"/>
      <c r="F5320" s="54"/>
      <c r="G5320" s="54"/>
      <c r="I5320" s="54"/>
      <c r="K5320" s="54"/>
      <c r="M5320" s="114"/>
      <c r="N5320" s="1"/>
      <c r="O5320" s="1"/>
      <c r="P5320" s="51"/>
    </row>
    <row r="5321">
      <c r="A5321" s="54"/>
      <c r="B5321" s="71"/>
      <c r="C5321" s="51"/>
      <c r="D5321" s="114"/>
      <c r="E5321" s="114"/>
      <c r="F5321" s="54"/>
      <c r="G5321" s="54"/>
      <c r="I5321" s="54"/>
      <c r="K5321" s="54"/>
      <c r="M5321" s="114"/>
      <c r="N5321" s="1"/>
      <c r="O5321" s="1"/>
      <c r="P5321" s="51"/>
    </row>
    <row r="5322">
      <c r="A5322" s="54"/>
      <c r="B5322" s="71"/>
      <c r="C5322" s="51"/>
      <c r="D5322" s="114"/>
      <c r="E5322" s="114"/>
      <c r="F5322" s="54"/>
      <c r="G5322" s="54"/>
      <c r="I5322" s="54"/>
      <c r="K5322" s="54"/>
      <c r="M5322" s="114"/>
      <c r="N5322" s="1"/>
      <c r="O5322" s="1"/>
      <c r="P5322" s="51"/>
    </row>
    <row r="5323">
      <c r="A5323" s="54"/>
      <c r="B5323" s="71"/>
      <c r="C5323" s="51"/>
      <c r="D5323" s="114"/>
      <c r="E5323" s="114"/>
      <c r="F5323" s="54"/>
      <c r="G5323" s="54"/>
      <c r="I5323" s="54"/>
      <c r="K5323" s="54"/>
      <c r="M5323" s="114"/>
      <c r="N5323" s="1"/>
      <c r="O5323" s="1"/>
      <c r="P5323" s="51"/>
    </row>
    <row r="5324">
      <c r="A5324" s="54"/>
      <c r="B5324" s="71"/>
      <c r="C5324" s="51"/>
      <c r="D5324" s="114"/>
      <c r="E5324" s="114"/>
      <c r="F5324" s="54"/>
      <c r="G5324" s="54"/>
      <c r="I5324" s="54"/>
      <c r="K5324" s="54"/>
      <c r="M5324" s="114"/>
      <c r="N5324" s="1"/>
      <c r="O5324" s="1"/>
      <c r="P5324" s="51"/>
    </row>
    <row r="5325">
      <c r="A5325" s="54"/>
      <c r="B5325" s="71"/>
      <c r="C5325" s="51"/>
      <c r="D5325" s="114"/>
      <c r="E5325" s="114"/>
      <c r="F5325" s="54"/>
      <c r="G5325" s="54"/>
      <c r="I5325" s="54"/>
      <c r="K5325" s="54"/>
      <c r="M5325" s="114"/>
      <c r="N5325" s="1"/>
      <c r="O5325" s="1"/>
      <c r="P5325" s="51"/>
    </row>
    <row r="5326">
      <c r="A5326" s="54"/>
      <c r="B5326" s="71"/>
      <c r="C5326" s="51"/>
      <c r="D5326" s="114"/>
      <c r="E5326" s="114"/>
      <c r="F5326" s="54"/>
      <c r="G5326" s="54"/>
      <c r="I5326" s="54"/>
      <c r="K5326" s="54"/>
      <c r="M5326" s="114"/>
      <c r="N5326" s="1"/>
      <c r="O5326" s="1"/>
      <c r="P5326" s="51"/>
    </row>
    <row r="5327">
      <c r="A5327" s="54"/>
      <c r="B5327" s="71"/>
      <c r="C5327" s="51"/>
      <c r="D5327" s="114"/>
      <c r="E5327" s="114"/>
      <c r="F5327" s="54"/>
      <c r="G5327" s="54"/>
      <c r="I5327" s="54"/>
      <c r="K5327" s="54"/>
      <c r="M5327" s="114"/>
      <c r="N5327" s="1"/>
      <c r="O5327" s="1"/>
      <c r="P5327" s="51"/>
    </row>
    <row r="5328">
      <c r="A5328" s="54"/>
      <c r="B5328" s="71"/>
      <c r="C5328" s="51"/>
      <c r="D5328" s="114"/>
      <c r="E5328" s="114"/>
      <c r="F5328" s="54"/>
      <c r="G5328" s="54"/>
      <c r="I5328" s="54"/>
      <c r="K5328" s="54"/>
      <c r="M5328" s="114"/>
      <c r="N5328" s="1"/>
      <c r="O5328" s="1"/>
      <c r="P5328" s="51"/>
    </row>
    <row r="5329">
      <c r="A5329" s="54"/>
      <c r="B5329" s="71"/>
      <c r="C5329" s="51"/>
      <c r="D5329" s="114"/>
      <c r="E5329" s="114"/>
      <c r="F5329" s="54"/>
      <c r="G5329" s="54"/>
      <c r="I5329" s="54"/>
      <c r="K5329" s="54"/>
      <c r="M5329" s="114"/>
      <c r="N5329" s="1"/>
      <c r="O5329" s="1"/>
      <c r="P5329" s="51"/>
    </row>
    <row r="5330">
      <c r="A5330" s="54"/>
      <c r="B5330" s="71"/>
      <c r="C5330" s="51"/>
      <c r="D5330" s="114"/>
      <c r="E5330" s="114"/>
      <c r="F5330" s="54"/>
      <c r="G5330" s="54"/>
      <c r="I5330" s="54"/>
      <c r="K5330" s="54"/>
      <c r="M5330" s="114"/>
      <c r="N5330" s="1"/>
      <c r="O5330" s="1"/>
      <c r="P5330" s="51"/>
    </row>
    <row r="5331">
      <c r="A5331" s="54"/>
      <c r="B5331" s="71"/>
      <c r="C5331" s="51"/>
      <c r="D5331" s="114"/>
      <c r="E5331" s="114"/>
      <c r="F5331" s="54"/>
      <c r="G5331" s="54"/>
      <c r="I5331" s="54"/>
      <c r="K5331" s="54"/>
      <c r="M5331" s="114"/>
      <c r="N5331" s="1"/>
      <c r="O5331" s="1"/>
      <c r="P5331" s="51"/>
    </row>
    <row r="5332">
      <c r="A5332" s="54"/>
      <c r="B5332" s="71"/>
      <c r="C5332" s="51"/>
      <c r="D5332" s="114"/>
      <c r="E5332" s="114"/>
      <c r="F5332" s="54"/>
      <c r="G5332" s="54"/>
      <c r="I5332" s="54"/>
      <c r="K5332" s="54"/>
      <c r="M5332" s="114"/>
      <c r="N5332" s="1"/>
      <c r="O5332" s="1"/>
      <c r="P5332" s="51"/>
    </row>
    <row r="5333">
      <c r="A5333" s="54"/>
      <c r="B5333" s="71"/>
      <c r="C5333" s="51"/>
      <c r="D5333" s="114"/>
      <c r="E5333" s="114"/>
      <c r="F5333" s="54"/>
      <c r="G5333" s="54"/>
      <c r="I5333" s="54"/>
      <c r="K5333" s="54"/>
      <c r="M5333" s="114"/>
      <c r="N5333" s="1"/>
      <c r="O5333" s="1"/>
      <c r="P5333" s="51"/>
    </row>
    <row r="5334">
      <c r="A5334" s="54"/>
      <c r="B5334" s="71"/>
      <c r="C5334" s="51"/>
      <c r="D5334" s="114"/>
      <c r="E5334" s="114"/>
      <c r="F5334" s="54"/>
      <c r="G5334" s="54"/>
      <c r="I5334" s="54"/>
      <c r="K5334" s="54"/>
      <c r="M5334" s="114"/>
      <c r="N5334" s="1"/>
      <c r="O5334" s="1"/>
      <c r="P5334" s="51"/>
    </row>
    <row r="5335">
      <c r="A5335" s="54"/>
      <c r="B5335" s="71"/>
      <c r="C5335" s="51"/>
      <c r="D5335" s="114"/>
      <c r="E5335" s="114"/>
      <c r="F5335" s="54"/>
      <c r="G5335" s="54"/>
      <c r="I5335" s="54"/>
      <c r="K5335" s="54"/>
      <c r="M5335" s="114"/>
      <c r="N5335" s="1"/>
      <c r="O5335" s="1"/>
      <c r="P5335" s="51"/>
    </row>
    <row r="5336">
      <c r="A5336" s="54"/>
      <c r="B5336" s="71"/>
      <c r="C5336" s="51"/>
      <c r="D5336" s="114"/>
      <c r="E5336" s="114"/>
      <c r="F5336" s="54"/>
      <c r="G5336" s="54"/>
      <c r="I5336" s="54"/>
      <c r="K5336" s="54"/>
      <c r="M5336" s="114"/>
      <c r="N5336" s="1"/>
      <c r="O5336" s="1"/>
      <c r="P5336" s="51"/>
    </row>
    <row r="5337">
      <c r="A5337" s="54"/>
      <c r="B5337" s="71"/>
      <c r="C5337" s="51"/>
      <c r="D5337" s="114"/>
      <c r="E5337" s="114"/>
      <c r="F5337" s="54"/>
      <c r="G5337" s="54"/>
      <c r="I5337" s="54"/>
      <c r="K5337" s="54"/>
      <c r="M5337" s="114"/>
      <c r="N5337" s="1"/>
      <c r="O5337" s="1"/>
      <c r="P5337" s="51"/>
    </row>
    <row r="5338">
      <c r="A5338" s="54"/>
      <c r="B5338" s="71"/>
      <c r="C5338" s="51"/>
      <c r="D5338" s="114"/>
      <c r="E5338" s="114"/>
      <c r="F5338" s="54"/>
      <c r="G5338" s="54"/>
      <c r="I5338" s="54"/>
      <c r="K5338" s="54"/>
      <c r="M5338" s="114"/>
      <c r="N5338" s="1"/>
      <c r="O5338" s="1"/>
      <c r="P5338" s="51"/>
    </row>
    <row r="5339">
      <c r="A5339" s="54"/>
      <c r="B5339" s="71"/>
      <c r="C5339" s="51"/>
      <c r="D5339" s="114"/>
      <c r="E5339" s="114"/>
      <c r="F5339" s="54"/>
      <c r="G5339" s="54"/>
      <c r="I5339" s="54"/>
      <c r="K5339" s="54"/>
      <c r="M5339" s="114"/>
      <c r="N5339" s="1"/>
      <c r="O5339" s="1"/>
      <c r="P5339" s="51"/>
    </row>
    <row r="5340">
      <c r="A5340" s="54"/>
      <c r="B5340" s="71"/>
      <c r="C5340" s="51"/>
      <c r="D5340" s="114"/>
      <c r="E5340" s="114"/>
      <c r="F5340" s="54"/>
      <c r="G5340" s="54"/>
      <c r="I5340" s="54"/>
      <c r="K5340" s="54"/>
      <c r="M5340" s="114"/>
      <c r="N5340" s="1"/>
      <c r="O5340" s="1"/>
      <c r="P5340" s="51"/>
    </row>
    <row r="5341">
      <c r="A5341" s="54"/>
      <c r="B5341" s="71"/>
      <c r="C5341" s="51"/>
      <c r="D5341" s="114"/>
      <c r="E5341" s="114"/>
      <c r="F5341" s="54"/>
      <c r="G5341" s="54"/>
      <c r="I5341" s="54"/>
      <c r="K5341" s="54"/>
      <c r="M5341" s="114"/>
      <c r="N5341" s="1"/>
      <c r="O5341" s="1"/>
      <c r="P5341" s="51"/>
    </row>
    <row r="5342">
      <c r="A5342" s="54"/>
      <c r="B5342" s="71"/>
      <c r="C5342" s="51"/>
      <c r="D5342" s="114"/>
      <c r="E5342" s="114"/>
      <c r="F5342" s="54"/>
      <c r="G5342" s="54"/>
      <c r="I5342" s="54"/>
      <c r="K5342" s="54"/>
      <c r="M5342" s="114"/>
      <c r="N5342" s="1"/>
      <c r="O5342" s="1"/>
      <c r="P5342" s="51"/>
    </row>
    <row r="5343">
      <c r="A5343" s="54"/>
      <c r="B5343" s="71"/>
      <c r="C5343" s="51"/>
      <c r="D5343" s="114"/>
      <c r="E5343" s="114"/>
      <c r="F5343" s="54"/>
      <c r="G5343" s="54"/>
      <c r="I5343" s="54"/>
      <c r="K5343" s="54"/>
      <c r="M5343" s="114"/>
      <c r="N5343" s="1"/>
      <c r="O5343" s="1"/>
      <c r="P5343" s="51"/>
    </row>
    <row r="5344">
      <c r="A5344" s="54"/>
      <c r="B5344" s="71"/>
      <c r="C5344" s="51"/>
      <c r="D5344" s="114"/>
      <c r="E5344" s="114"/>
      <c r="F5344" s="54"/>
      <c r="G5344" s="54"/>
      <c r="I5344" s="54"/>
      <c r="K5344" s="54"/>
      <c r="M5344" s="114"/>
      <c r="N5344" s="1"/>
      <c r="O5344" s="1"/>
      <c r="P5344" s="51"/>
    </row>
    <row r="5345">
      <c r="A5345" s="54"/>
      <c r="B5345" s="71"/>
      <c r="C5345" s="51"/>
      <c r="D5345" s="114"/>
      <c r="E5345" s="114"/>
      <c r="F5345" s="54"/>
      <c r="G5345" s="54"/>
      <c r="I5345" s="54"/>
      <c r="K5345" s="54"/>
      <c r="M5345" s="114"/>
      <c r="N5345" s="1"/>
      <c r="O5345" s="1"/>
      <c r="P5345" s="51"/>
    </row>
    <row r="5346">
      <c r="A5346" s="54"/>
      <c r="B5346" s="71"/>
      <c r="C5346" s="51"/>
      <c r="D5346" s="114"/>
      <c r="E5346" s="114"/>
      <c r="F5346" s="54"/>
      <c r="G5346" s="54"/>
      <c r="I5346" s="54"/>
      <c r="K5346" s="54"/>
      <c r="M5346" s="114"/>
      <c r="N5346" s="1"/>
      <c r="O5346" s="1"/>
      <c r="P5346" s="51"/>
    </row>
    <row r="5347">
      <c r="A5347" s="54"/>
      <c r="B5347" s="71"/>
      <c r="C5347" s="51"/>
      <c r="D5347" s="114"/>
      <c r="E5347" s="114"/>
      <c r="F5347" s="54"/>
      <c r="G5347" s="54"/>
      <c r="I5347" s="54"/>
      <c r="K5347" s="54"/>
      <c r="M5347" s="114"/>
      <c r="N5347" s="1"/>
      <c r="O5347" s="1"/>
      <c r="P5347" s="51"/>
    </row>
    <row r="5348">
      <c r="A5348" s="54"/>
      <c r="B5348" s="71"/>
      <c r="C5348" s="51"/>
      <c r="D5348" s="114"/>
      <c r="E5348" s="114"/>
      <c r="F5348" s="54"/>
      <c r="G5348" s="54"/>
      <c r="I5348" s="54"/>
      <c r="K5348" s="54"/>
      <c r="M5348" s="114"/>
      <c r="N5348" s="1"/>
      <c r="O5348" s="1"/>
      <c r="P5348" s="51"/>
    </row>
    <row r="5349">
      <c r="A5349" s="54"/>
      <c r="B5349" s="71"/>
      <c r="C5349" s="51"/>
      <c r="D5349" s="114"/>
      <c r="E5349" s="114"/>
      <c r="F5349" s="54"/>
      <c r="G5349" s="54"/>
      <c r="I5349" s="54"/>
      <c r="K5349" s="54"/>
      <c r="M5349" s="114"/>
      <c r="N5349" s="1"/>
      <c r="O5349" s="1"/>
      <c r="P5349" s="51"/>
    </row>
    <row r="5350">
      <c r="A5350" s="54"/>
      <c r="B5350" s="71"/>
      <c r="C5350" s="51"/>
      <c r="D5350" s="114"/>
      <c r="E5350" s="114"/>
      <c r="F5350" s="54"/>
      <c r="G5350" s="54"/>
      <c r="I5350" s="54"/>
      <c r="K5350" s="54"/>
      <c r="M5350" s="114"/>
      <c r="N5350" s="1"/>
      <c r="O5350" s="1"/>
      <c r="P5350" s="51"/>
    </row>
    <row r="5351">
      <c r="A5351" s="54"/>
      <c r="B5351" s="71"/>
      <c r="C5351" s="51"/>
      <c r="D5351" s="114"/>
      <c r="E5351" s="114"/>
      <c r="F5351" s="54"/>
      <c r="G5351" s="54"/>
      <c r="I5351" s="54"/>
      <c r="K5351" s="54"/>
      <c r="M5351" s="114"/>
      <c r="N5351" s="1"/>
      <c r="O5351" s="1"/>
      <c r="P5351" s="51"/>
    </row>
    <row r="5352">
      <c r="A5352" s="54"/>
      <c r="B5352" s="71"/>
      <c r="C5352" s="51"/>
      <c r="D5352" s="114"/>
      <c r="E5352" s="114"/>
      <c r="F5352" s="54"/>
      <c r="G5352" s="54"/>
      <c r="I5352" s="54"/>
      <c r="K5352" s="54"/>
      <c r="M5352" s="114"/>
      <c r="N5352" s="1"/>
      <c r="O5352" s="1"/>
      <c r="P5352" s="51"/>
    </row>
    <row r="5353">
      <c r="A5353" s="54"/>
      <c r="B5353" s="71"/>
      <c r="C5353" s="51"/>
      <c r="D5353" s="114"/>
      <c r="E5353" s="114"/>
      <c r="F5353" s="54"/>
      <c r="G5353" s="54"/>
      <c r="I5353" s="54"/>
      <c r="K5353" s="54"/>
      <c r="M5353" s="114"/>
      <c r="N5353" s="1"/>
      <c r="O5353" s="1"/>
      <c r="P5353" s="51"/>
    </row>
    <row r="5354">
      <c r="A5354" s="54"/>
      <c r="B5354" s="71"/>
      <c r="C5354" s="51"/>
      <c r="D5354" s="114"/>
      <c r="E5354" s="114"/>
      <c r="F5354" s="54"/>
      <c r="G5354" s="54"/>
      <c r="I5354" s="54"/>
      <c r="K5354" s="54"/>
      <c r="M5354" s="114"/>
      <c r="N5354" s="1"/>
      <c r="O5354" s="1"/>
      <c r="P5354" s="51"/>
    </row>
    <row r="5355">
      <c r="A5355" s="54"/>
      <c r="B5355" s="71"/>
      <c r="C5355" s="51"/>
      <c r="D5355" s="114"/>
      <c r="E5355" s="114"/>
      <c r="F5355" s="54"/>
      <c r="G5355" s="54"/>
      <c r="I5355" s="54"/>
      <c r="K5355" s="54"/>
      <c r="M5355" s="114"/>
      <c r="N5355" s="1"/>
      <c r="O5355" s="1"/>
      <c r="P5355" s="51"/>
    </row>
    <row r="5356">
      <c r="A5356" s="54"/>
      <c r="B5356" s="71"/>
      <c r="C5356" s="51"/>
      <c r="D5356" s="114"/>
      <c r="E5356" s="114"/>
      <c r="F5356" s="54"/>
      <c r="G5356" s="54"/>
      <c r="I5356" s="54"/>
      <c r="K5356" s="54"/>
      <c r="M5356" s="114"/>
      <c r="N5356" s="1"/>
      <c r="O5356" s="1"/>
      <c r="P5356" s="51"/>
    </row>
    <row r="5357">
      <c r="A5357" s="54"/>
      <c r="B5357" s="71"/>
      <c r="C5357" s="51"/>
      <c r="D5357" s="114"/>
      <c r="E5357" s="114"/>
      <c r="F5357" s="54"/>
      <c r="G5357" s="54"/>
      <c r="I5357" s="54"/>
      <c r="K5357" s="54"/>
      <c r="M5357" s="114"/>
      <c r="N5357" s="1"/>
      <c r="O5357" s="1"/>
      <c r="P5357" s="51"/>
    </row>
    <row r="5358">
      <c r="A5358" s="54"/>
      <c r="B5358" s="71"/>
      <c r="C5358" s="51"/>
      <c r="D5358" s="114"/>
      <c r="E5358" s="114"/>
      <c r="F5358" s="54"/>
      <c r="G5358" s="54"/>
      <c r="I5358" s="54"/>
      <c r="K5358" s="54"/>
      <c r="M5358" s="114"/>
      <c r="N5358" s="1"/>
      <c r="O5358" s="1"/>
      <c r="P5358" s="51"/>
    </row>
    <row r="5359">
      <c r="A5359" s="54"/>
      <c r="B5359" s="71"/>
      <c r="C5359" s="51"/>
      <c r="D5359" s="114"/>
      <c r="E5359" s="114"/>
      <c r="F5359" s="54"/>
      <c r="G5359" s="54"/>
      <c r="I5359" s="54"/>
      <c r="K5359" s="54"/>
      <c r="M5359" s="114"/>
      <c r="N5359" s="1"/>
      <c r="O5359" s="1"/>
      <c r="P5359" s="51"/>
    </row>
    <row r="5360">
      <c r="A5360" s="54"/>
      <c r="B5360" s="71"/>
      <c r="C5360" s="51"/>
      <c r="D5360" s="114"/>
      <c r="E5360" s="114"/>
      <c r="F5360" s="54"/>
      <c r="G5360" s="54"/>
      <c r="I5360" s="54"/>
      <c r="K5360" s="54"/>
      <c r="M5360" s="114"/>
      <c r="N5360" s="1"/>
      <c r="O5360" s="1"/>
      <c r="P5360" s="51"/>
    </row>
    <row r="5361">
      <c r="A5361" s="54"/>
      <c r="B5361" s="71"/>
      <c r="C5361" s="51"/>
      <c r="D5361" s="114"/>
      <c r="E5361" s="114"/>
      <c r="F5361" s="54"/>
      <c r="G5361" s="54"/>
      <c r="I5361" s="54"/>
      <c r="K5361" s="54"/>
      <c r="M5361" s="114"/>
      <c r="N5361" s="1"/>
      <c r="O5361" s="1"/>
      <c r="P5361" s="51"/>
    </row>
    <row r="5362">
      <c r="A5362" s="54"/>
      <c r="B5362" s="71"/>
      <c r="C5362" s="51"/>
      <c r="D5362" s="114"/>
      <c r="E5362" s="114"/>
      <c r="F5362" s="54"/>
      <c r="G5362" s="54"/>
      <c r="I5362" s="54"/>
      <c r="K5362" s="54"/>
      <c r="M5362" s="114"/>
      <c r="N5362" s="1"/>
      <c r="O5362" s="1"/>
      <c r="P5362" s="51"/>
    </row>
    <row r="5363">
      <c r="A5363" s="54"/>
      <c r="B5363" s="71"/>
      <c r="C5363" s="51"/>
      <c r="D5363" s="114"/>
      <c r="E5363" s="114"/>
      <c r="F5363" s="54"/>
      <c r="G5363" s="54"/>
      <c r="I5363" s="54"/>
      <c r="K5363" s="54"/>
      <c r="M5363" s="114"/>
      <c r="N5363" s="1"/>
      <c r="O5363" s="1"/>
      <c r="P5363" s="51"/>
    </row>
    <row r="5364">
      <c r="A5364" s="54"/>
      <c r="B5364" s="71"/>
      <c r="C5364" s="51"/>
      <c r="D5364" s="114"/>
      <c r="E5364" s="114"/>
      <c r="F5364" s="54"/>
      <c r="G5364" s="54"/>
      <c r="I5364" s="54"/>
      <c r="K5364" s="54"/>
      <c r="M5364" s="114"/>
      <c r="N5364" s="1"/>
      <c r="O5364" s="1"/>
      <c r="P5364" s="51"/>
    </row>
    <row r="5365">
      <c r="A5365" s="54"/>
      <c r="B5365" s="71"/>
      <c r="C5365" s="51"/>
      <c r="D5365" s="114"/>
      <c r="E5365" s="114"/>
      <c r="F5365" s="54"/>
      <c r="G5365" s="54"/>
      <c r="I5365" s="54"/>
      <c r="K5365" s="54"/>
      <c r="M5365" s="114"/>
      <c r="N5365" s="1"/>
      <c r="O5365" s="1"/>
      <c r="P5365" s="51"/>
    </row>
    <row r="5366">
      <c r="A5366" s="54"/>
      <c r="B5366" s="71"/>
      <c r="C5366" s="51"/>
      <c r="D5366" s="114"/>
      <c r="E5366" s="114"/>
      <c r="F5366" s="54"/>
      <c r="G5366" s="54"/>
      <c r="I5366" s="54"/>
      <c r="K5366" s="54"/>
      <c r="M5366" s="114"/>
      <c r="N5366" s="1"/>
      <c r="O5366" s="1"/>
      <c r="P5366" s="51"/>
    </row>
    <row r="5367">
      <c r="A5367" s="54"/>
      <c r="B5367" s="71"/>
      <c r="C5367" s="51"/>
      <c r="D5367" s="114"/>
      <c r="E5367" s="114"/>
      <c r="F5367" s="54"/>
      <c r="G5367" s="54"/>
      <c r="I5367" s="54"/>
      <c r="K5367" s="54"/>
      <c r="M5367" s="114"/>
      <c r="N5367" s="1"/>
      <c r="O5367" s="1"/>
      <c r="P5367" s="51"/>
    </row>
    <row r="5368">
      <c r="A5368" s="54"/>
      <c r="B5368" s="71"/>
      <c r="C5368" s="51"/>
      <c r="D5368" s="114"/>
      <c r="E5368" s="114"/>
      <c r="F5368" s="54"/>
      <c r="G5368" s="54"/>
      <c r="I5368" s="54"/>
      <c r="K5368" s="54"/>
      <c r="M5368" s="114"/>
      <c r="N5368" s="1"/>
      <c r="O5368" s="1"/>
      <c r="P5368" s="51"/>
    </row>
    <row r="5369">
      <c r="A5369" s="54"/>
      <c r="B5369" s="71"/>
      <c r="C5369" s="51"/>
      <c r="D5369" s="114"/>
      <c r="E5369" s="114"/>
      <c r="F5369" s="54"/>
      <c r="G5369" s="54"/>
      <c r="I5369" s="54"/>
      <c r="K5369" s="54"/>
      <c r="M5369" s="114"/>
      <c r="N5369" s="1"/>
      <c r="O5369" s="1"/>
      <c r="P5369" s="51"/>
    </row>
    <row r="5370">
      <c r="A5370" s="54"/>
      <c r="B5370" s="71"/>
      <c r="C5370" s="51"/>
      <c r="D5370" s="114"/>
      <c r="E5370" s="114"/>
      <c r="F5370" s="54"/>
      <c r="G5370" s="54"/>
      <c r="I5370" s="54"/>
      <c r="K5370" s="54"/>
      <c r="M5370" s="114"/>
      <c r="N5370" s="1"/>
      <c r="O5370" s="1"/>
      <c r="P5370" s="51"/>
    </row>
    <row r="5371">
      <c r="A5371" s="54"/>
      <c r="B5371" s="71"/>
      <c r="C5371" s="51"/>
      <c r="D5371" s="114"/>
      <c r="E5371" s="114"/>
      <c r="F5371" s="54"/>
      <c r="G5371" s="54"/>
      <c r="I5371" s="54"/>
      <c r="K5371" s="54"/>
      <c r="M5371" s="114"/>
      <c r="N5371" s="1"/>
      <c r="O5371" s="1"/>
      <c r="P5371" s="51"/>
    </row>
    <row r="5372">
      <c r="A5372" s="54"/>
      <c r="B5372" s="71"/>
      <c r="C5372" s="51"/>
      <c r="D5372" s="114"/>
      <c r="E5372" s="114"/>
      <c r="F5372" s="54"/>
      <c r="G5372" s="54"/>
      <c r="I5372" s="54"/>
      <c r="K5372" s="54"/>
      <c r="M5372" s="114"/>
      <c r="N5372" s="1"/>
      <c r="O5372" s="1"/>
      <c r="P5372" s="51"/>
    </row>
    <row r="5373">
      <c r="A5373" s="54"/>
      <c r="B5373" s="71"/>
      <c r="C5373" s="51"/>
      <c r="D5373" s="114"/>
      <c r="E5373" s="114"/>
      <c r="F5373" s="54"/>
      <c r="G5373" s="54"/>
      <c r="I5373" s="54"/>
      <c r="K5373" s="54"/>
      <c r="M5373" s="114"/>
      <c r="N5373" s="1"/>
      <c r="O5373" s="1"/>
      <c r="P5373" s="51"/>
    </row>
    <row r="5374">
      <c r="A5374" s="54"/>
      <c r="B5374" s="71"/>
      <c r="C5374" s="51"/>
      <c r="D5374" s="114"/>
      <c r="E5374" s="114"/>
      <c r="F5374" s="54"/>
      <c r="G5374" s="54"/>
      <c r="I5374" s="54"/>
      <c r="K5374" s="54"/>
      <c r="M5374" s="114"/>
      <c r="N5374" s="1"/>
      <c r="O5374" s="1"/>
      <c r="P5374" s="51"/>
    </row>
    <row r="5375">
      <c r="A5375" s="54"/>
      <c r="B5375" s="71"/>
      <c r="C5375" s="51"/>
      <c r="D5375" s="114"/>
      <c r="E5375" s="114"/>
      <c r="F5375" s="54"/>
      <c r="G5375" s="54"/>
      <c r="I5375" s="54"/>
      <c r="K5375" s="54"/>
      <c r="M5375" s="114"/>
      <c r="N5375" s="1"/>
      <c r="O5375" s="1"/>
      <c r="P5375" s="51"/>
    </row>
    <row r="5376">
      <c r="A5376" s="54"/>
      <c r="B5376" s="71"/>
      <c r="C5376" s="51"/>
      <c r="D5376" s="114"/>
      <c r="E5376" s="114"/>
      <c r="F5376" s="54"/>
      <c r="G5376" s="54"/>
      <c r="I5376" s="54"/>
      <c r="K5376" s="54"/>
      <c r="M5376" s="114"/>
      <c r="N5376" s="1"/>
      <c r="O5376" s="1"/>
      <c r="P5376" s="51"/>
    </row>
    <row r="5377">
      <c r="A5377" s="54"/>
      <c r="B5377" s="71"/>
      <c r="C5377" s="51"/>
      <c r="D5377" s="114"/>
      <c r="E5377" s="114"/>
      <c r="F5377" s="54"/>
      <c r="G5377" s="54"/>
      <c r="I5377" s="54"/>
      <c r="K5377" s="54"/>
      <c r="M5377" s="114"/>
      <c r="N5377" s="1"/>
      <c r="O5377" s="1"/>
      <c r="P5377" s="51"/>
    </row>
    <row r="5378">
      <c r="A5378" s="54"/>
      <c r="B5378" s="71"/>
      <c r="C5378" s="51"/>
      <c r="D5378" s="114"/>
      <c r="E5378" s="114"/>
      <c r="F5378" s="54"/>
      <c r="G5378" s="54"/>
      <c r="I5378" s="54"/>
      <c r="K5378" s="54"/>
      <c r="M5378" s="114"/>
      <c r="N5378" s="1"/>
      <c r="O5378" s="1"/>
      <c r="P5378" s="51"/>
    </row>
    <row r="5379">
      <c r="A5379" s="54"/>
      <c r="B5379" s="71"/>
      <c r="C5379" s="51"/>
      <c r="D5379" s="114"/>
      <c r="E5379" s="114"/>
      <c r="F5379" s="54"/>
      <c r="G5379" s="54"/>
      <c r="I5379" s="54"/>
      <c r="K5379" s="54"/>
      <c r="M5379" s="114"/>
      <c r="N5379" s="1"/>
      <c r="O5379" s="1"/>
      <c r="P5379" s="51"/>
    </row>
    <row r="5380">
      <c r="A5380" s="54"/>
      <c r="B5380" s="71"/>
      <c r="C5380" s="51"/>
      <c r="D5380" s="114"/>
      <c r="E5380" s="114"/>
      <c r="F5380" s="54"/>
      <c r="G5380" s="54"/>
      <c r="I5380" s="54"/>
      <c r="K5380" s="54"/>
      <c r="M5380" s="114"/>
      <c r="N5380" s="1"/>
      <c r="O5380" s="1"/>
      <c r="P5380" s="51"/>
    </row>
    <row r="5381">
      <c r="A5381" s="54"/>
      <c r="B5381" s="71"/>
      <c r="C5381" s="51"/>
      <c r="D5381" s="114"/>
      <c r="E5381" s="114"/>
      <c r="F5381" s="54"/>
      <c r="G5381" s="54"/>
      <c r="I5381" s="54"/>
      <c r="K5381" s="54"/>
      <c r="M5381" s="114"/>
      <c r="N5381" s="1"/>
      <c r="O5381" s="1"/>
      <c r="P5381" s="51"/>
    </row>
    <row r="5382">
      <c r="A5382" s="54"/>
      <c r="B5382" s="71"/>
      <c r="C5382" s="51"/>
      <c r="D5382" s="114"/>
      <c r="E5382" s="114"/>
      <c r="F5382" s="54"/>
      <c r="G5382" s="54"/>
      <c r="I5382" s="54"/>
      <c r="K5382" s="54"/>
      <c r="M5382" s="114"/>
      <c r="N5382" s="1"/>
      <c r="O5382" s="1"/>
      <c r="P5382" s="51"/>
    </row>
    <row r="5383">
      <c r="A5383" s="54"/>
      <c r="B5383" s="71"/>
      <c r="C5383" s="51"/>
      <c r="D5383" s="114"/>
      <c r="E5383" s="114"/>
      <c r="F5383" s="54"/>
      <c r="G5383" s="54"/>
      <c r="I5383" s="54"/>
      <c r="K5383" s="54"/>
      <c r="M5383" s="114"/>
      <c r="N5383" s="1"/>
      <c r="O5383" s="1"/>
      <c r="P5383" s="51"/>
    </row>
    <row r="5384">
      <c r="A5384" s="54"/>
      <c r="B5384" s="71"/>
      <c r="C5384" s="51"/>
      <c r="D5384" s="114"/>
      <c r="E5384" s="114"/>
      <c r="F5384" s="54"/>
      <c r="G5384" s="54"/>
      <c r="I5384" s="54"/>
      <c r="K5384" s="54"/>
      <c r="M5384" s="114"/>
      <c r="N5384" s="1"/>
      <c r="O5384" s="1"/>
      <c r="P5384" s="51"/>
    </row>
    <row r="5385">
      <c r="A5385" s="54"/>
      <c r="B5385" s="71"/>
      <c r="C5385" s="51"/>
      <c r="D5385" s="114"/>
      <c r="E5385" s="114"/>
      <c r="F5385" s="54"/>
      <c r="G5385" s="54"/>
      <c r="I5385" s="54"/>
      <c r="K5385" s="54"/>
      <c r="M5385" s="114"/>
      <c r="N5385" s="1"/>
      <c r="O5385" s="1"/>
      <c r="P5385" s="51"/>
    </row>
    <row r="5386">
      <c r="A5386" s="54"/>
      <c r="B5386" s="71"/>
      <c r="C5386" s="51"/>
      <c r="D5386" s="114"/>
      <c r="E5386" s="114"/>
      <c r="F5386" s="54"/>
      <c r="G5386" s="54"/>
      <c r="I5386" s="54"/>
      <c r="K5386" s="54"/>
      <c r="M5386" s="114"/>
      <c r="N5386" s="1"/>
      <c r="O5386" s="1"/>
      <c r="P5386" s="51"/>
    </row>
    <row r="5387">
      <c r="A5387" s="54"/>
      <c r="B5387" s="71"/>
      <c r="C5387" s="51"/>
      <c r="D5387" s="114"/>
      <c r="E5387" s="114"/>
      <c r="F5387" s="54"/>
      <c r="G5387" s="54"/>
      <c r="I5387" s="54"/>
      <c r="K5387" s="54"/>
      <c r="M5387" s="114"/>
      <c r="N5387" s="1"/>
      <c r="O5387" s="1"/>
      <c r="P5387" s="51"/>
    </row>
    <row r="5388">
      <c r="A5388" s="54"/>
      <c r="B5388" s="71"/>
      <c r="C5388" s="51"/>
      <c r="D5388" s="114"/>
      <c r="E5388" s="114"/>
      <c r="F5388" s="54"/>
      <c r="G5388" s="54"/>
      <c r="I5388" s="54"/>
      <c r="K5388" s="54"/>
      <c r="M5388" s="114"/>
      <c r="N5388" s="1"/>
      <c r="O5388" s="1"/>
      <c r="P5388" s="51"/>
    </row>
    <row r="5389">
      <c r="A5389" s="54"/>
      <c r="B5389" s="71"/>
      <c r="C5389" s="51"/>
      <c r="D5389" s="114"/>
      <c r="E5389" s="114"/>
      <c r="F5389" s="54"/>
      <c r="G5389" s="54"/>
      <c r="I5389" s="54"/>
      <c r="K5389" s="54"/>
      <c r="M5389" s="114"/>
      <c r="N5389" s="1"/>
      <c r="O5389" s="1"/>
      <c r="P5389" s="51"/>
    </row>
    <row r="5390">
      <c r="A5390" s="54"/>
      <c r="B5390" s="71"/>
      <c r="C5390" s="51"/>
      <c r="D5390" s="114"/>
      <c r="E5390" s="114"/>
      <c r="F5390" s="54"/>
      <c r="G5390" s="54"/>
      <c r="I5390" s="54"/>
      <c r="K5390" s="54"/>
      <c r="M5390" s="114"/>
      <c r="N5390" s="1"/>
      <c r="O5390" s="1"/>
      <c r="P5390" s="51"/>
    </row>
    <row r="5391">
      <c r="A5391" s="54"/>
      <c r="B5391" s="71"/>
      <c r="C5391" s="51"/>
      <c r="D5391" s="114"/>
      <c r="E5391" s="114"/>
      <c r="F5391" s="54"/>
      <c r="G5391" s="54"/>
      <c r="I5391" s="54"/>
      <c r="K5391" s="54"/>
      <c r="M5391" s="114"/>
      <c r="N5391" s="1"/>
      <c r="O5391" s="1"/>
      <c r="P5391" s="51"/>
    </row>
    <row r="5392">
      <c r="A5392" s="54"/>
      <c r="B5392" s="71"/>
      <c r="C5392" s="51"/>
      <c r="D5392" s="114"/>
      <c r="E5392" s="114"/>
      <c r="F5392" s="54"/>
      <c r="G5392" s="54"/>
      <c r="I5392" s="54"/>
      <c r="K5392" s="54"/>
      <c r="M5392" s="114"/>
      <c r="N5392" s="1"/>
      <c r="O5392" s="1"/>
      <c r="P5392" s="51"/>
    </row>
    <row r="5393">
      <c r="A5393" s="54"/>
      <c r="B5393" s="71"/>
      <c r="C5393" s="51"/>
      <c r="D5393" s="114"/>
      <c r="E5393" s="114"/>
      <c r="F5393" s="54"/>
      <c r="G5393" s="54"/>
      <c r="I5393" s="54"/>
      <c r="K5393" s="54"/>
      <c r="M5393" s="114"/>
      <c r="N5393" s="1"/>
      <c r="O5393" s="1"/>
      <c r="P5393" s="51"/>
    </row>
    <row r="5394">
      <c r="A5394" s="54"/>
      <c r="B5394" s="71"/>
      <c r="C5394" s="51"/>
      <c r="D5394" s="114"/>
      <c r="E5394" s="114"/>
      <c r="F5394" s="54"/>
      <c r="G5394" s="54"/>
      <c r="I5394" s="54"/>
      <c r="K5394" s="54"/>
      <c r="M5394" s="114"/>
      <c r="N5394" s="1"/>
      <c r="O5394" s="1"/>
      <c r="P5394" s="51"/>
    </row>
    <row r="5395">
      <c r="A5395" s="54"/>
      <c r="B5395" s="71"/>
      <c r="C5395" s="51"/>
      <c r="D5395" s="114"/>
      <c r="E5395" s="114"/>
      <c r="F5395" s="54"/>
      <c r="G5395" s="54"/>
      <c r="I5395" s="54"/>
      <c r="K5395" s="54"/>
      <c r="M5395" s="114"/>
      <c r="N5395" s="1"/>
      <c r="O5395" s="1"/>
      <c r="P5395" s="51"/>
    </row>
    <row r="5396">
      <c r="A5396" s="54"/>
      <c r="B5396" s="71"/>
      <c r="C5396" s="51"/>
      <c r="D5396" s="114"/>
      <c r="E5396" s="114"/>
      <c r="F5396" s="54"/>
      <c r="G5396" s="54"/>
      <c r="I5396" s="54"/>
      <c r="K5396" s="54"/>
      <c r="M5396" s="114"/>
      <c r="N5396" s="1"/>
      <c r="O5396" s="1"/>
      <c r="P5396" s="51"/>
    </row>
    <row r="5397">
      <c r="A5397" s="54"/>
      <c r="B5397" s="71"/>
      <c r="C5397" s="51"/>
      <c r="D5397" s="114"/>
      <c r="E5397" s="114"/>
      <c r="F5397" s="54"/>
      <c r="G5397" s="54"/>
      <c r="I5397" s="54"/>
      <c r="K5397" s="54"/>
      <c r="M5397" s="114"/>
      <c r="N5397" s="1"/>
      <c r="O5397" s="1"/>
      <c r="P5397" s="51"/>
    </row>
    <row r="5398">
      <c r="A5398" s="54"/>
      <c r="B5398" s="71"/>
      <c r="C5398" s="51"/>
      <c r="D5398" s="114"/>
      <c r="E5398" s="114"/>
      <c r="F5398" s="54"/>
      <c r="G5398" s="54"/>
      <c r="I5398" s="54"/>
      <c r="K5398" s="54"/>
      <c r="M5398" s="114"/>
      <c r="N5398" s="1"/>
      <c r="O5398" s="1"/>
      <c r="P5398" s="51"/>
    </row>
    <row r="5399">
      <c r="A5399" s="54"/>
      <c r="B5399" s="71"/>
      <c r="C5399" s="51"/>
      <c r="D5399" s="114"/>
      <c r="E5399" s="114"/>
      <c r="F5399" s="54"/>
      <c r="G5399" s="54"/>
      <c r="I5399" s="54"/>
      <c r="K5399" s="54"/>
      <c r="M5399" s="114"/>
      <c r="N5399" s="1"/>
      <c r="O5399" s="1"/>
      <c r="P5399" s="51"/>
    </row>
    <row r="5400">
      <c r="A5400" s="54"/>
      <c r="B5400" s="71"/>
      <c r="C5400" s="51"/>
      <c r="D5400" s="114"/>
      <c r="E5400" s="114"/>
      <c r="F5400" s="54"/>
      <c r="G5400" s="54"/>
      <c r="I5400" s="54"/>
      <c r="K5400" s="54"/>
      <c r="M5400" s="114"/>
      <c r="N5400" s="1"/>
      <c r="O5400" s="1"/>
      <c r="P5400" s="51"/>
    </row>
    <row r="5401">
      <c r="A5401" s="54"/>
      <c r="B5401" s="71"/>
      <c r="C5401" s="51"/>
      <c r="D5401" s="114"/>
      <c r="E5401" s="114"/>
      <c r="F5401" s="54"/>
      <c r="G5401" s="54"/>
      <c r="I5401" s="54"/>
      <c r="K5401" s="54"/>
      <c r="M5401" s="114"/>
      <c r="N5401" s="1"/>
      <c r="O5401" s="1"/>
      <c r="P5401" s="51"/>
    </row>
    <row r="5402">
      <c r="A5402" s="54"/>
      <c r="B5402" s="71"/>
      <c r="C5402" s="51"/>
      <c r="D5402" s="114"/>
      <c r="E5402" s="114"/>
      <c r="F5402" s="54"/>
      <c r="G5402" s="54"/>
      <c r="I5402" s="54"/>
      <c r="K5402" s="54"/>
      <c r="M5402" s="114"/>
      <c r="N5402" s="1"/>
      <c r="O5402" s="1"/>
      <c r="P5402" s="51"/>
    </row>
    <row r="5403">
      <c r="A5403" s="54"/>
      <c r="B5403" s="71"/>
      <c r="C5403" s="51"/>
      <c r="D5403" s="114"/>
      <c r="E5403" s="114"/>
      <c r="F5403" s="54"/>
      <c r="G5403" s="54"/>
      <c r="I5403" s="54"/>
      <c r="K5403" s="54"/>
      <c r="M5403" s="114"/>
      <c r="N5403" s="1"/>
      <c r="O5403" s="1"/>
      <c r="P5403" s="51"/>
    </row>
    <row r="5404">
      <c r="A5404" s="54"/>
      <c r="B5404" s="71"/>
      <c r="C5404" s="51"/>
      <c r="D5404" s="114"/>
      <c r="E5404" s="114"/>
      <c r="F5404" s="54"/>
      <c r="G5404" s="54"/>
      <c r="I5404" s="54"/>
      <c r="K5404" s="54"/>
      <c r="M5404" s="114"/>
      <c r="N5404" s="1"/>
      <c r="O5404" s="1"/>
      <c r="P5404" s="51"/>
    </row>
    <row r="5405">
      <c r="A5405" s="54"/>
      <c r="B5405" s="71"/>
      <c r="C5405" s="51"/>
      <c r="D5405" s="114"/>
      <c r="E5405" s="114"/>
      <c r="F5405" s="54"/>
      <c r="G5405" s="54"/>
      <c r="I5405" s="54"/>
      <c r="K5405" s="54"/>
      <c r="M5405" s="114"/>
      <c r="N5405" s="1"/>
      <c r="O5405" s="1"/>
      <c r="P5405" s="51"/>
    </row>
    <row r="5406">
      <c r="A5406" s="54"/>
      <c r="B5406" s="71"/>
      <c r="C5406" s="51"/>
      <c r="D5406" s="114"/>
      <c r="E5406" s="114"/>
      <c r="F5406" s="54"/>
      <c r="G5406" s="54"/>
      <c r="I5406" s="54"/>
      <c r="K5406" s="54"/>
      <c r="M5406" s="114"/>
      <c r="N5406" s="1"/>
      <c r="O5406" s="1"/>
      <c r="P5406" s="51"/>
    </row>
    <row r="5407">
      <c r="A5407" s="54"/>
      <c r="B5407" s="71"/>
      <c r="C5407" s="51"/>
      <c r="D5407" s="114"/>
      <c r="E5407" s="114"/>
      <c r="F5407" s="54"/>
      <c r="G5407" s="54"/>
      <c r="I5407" s="54"/>
      <c r="K5407" s="54"/>
      <c r="M5407" s="114"/>
      <c r="N5407" s="1"/>
      <c r="O5407" s="1"/>
      <c r="P5407" s="51"/>
    </row>
    <row r="5408">
      <c r="A5408" s="54"/>
      <c r="B5408" s="71"/>
      <c r="C5408" s="51"/>
      <c r="D5408" s="114"/>
      <c r="E5408" s="114"/>
      <c r="F5408" s="54"/>
      <c r="G5408" s="54"/>
      <c r="I5408" s="54"/>
      <c r="K5408" s="54"/>
      <c r="M5408" s="114"/>
      <c r="N5408" s="1"/>
      <c r="O5408" s="1"/>
      <c r="P5408" s="51"/>
    </row>
    <row r="5409">
      <c r="A5409" s="54"/>
      <c r="B5409" s="71"/>
      <c r="C5409" s="51"/>
      <c r="D5409" s="114"/>
      <c r="E5409" s="114"/>
      <c r="F5409" s="54"/>
      <c r="G5409" s="54"/>
      <c r="I5409" s="54"/>
      <c r="K5409" s="54"/>
      <c r="M5409" s="114"/>
      <c r="N5409" s="1"/>
      <c r="O5409" s="1"/>
      <c r="P5409" s="51"/>
    </row>
    <row r="5410">
      <c r="A5410" s="54"/>
      <c r="B5410" s="71"/>
      <c r="C5410" s="51"/>
      <c r="D5410" s="114"/>
      <c r="E5410" s="114"/>
      <c r="F5410" s="54"/>
      <c r="G5410" s="54"/>
      <c r="I5410" s="54"/>
      <c r="K5410" s="54"/>
      <c r="M5410" s="114"/>
      <c r="N5410" s="1"/>
      <c r="O5410" s="1"/>
      <c r="P5410" s="51"/>
    </row>
    <row r="5411">
      <c r="A5411" s="54"/>
      <c r="B5411" s="71"/>
      <c r="C5411" s="51"/>
      <c r="D5411" s="114"/>
      <c r="E5411" s="114"/>
      <c r="F5411" s="54"/>
      <c r="G5411" s="54"/>
      <c r="I5411" s="54"/>
      <c r="K5411" s="54"/>
      <c r="M5411" s="114"/>
      <c r="N5411" s="1"/>
      <c r="O5411" s="1"/>
      <c r="P5411" s="51"/>
    </row>
    <row r="5412">
      <c r="A5412" s="54"/>
      <c r="B5412" s="71"/>
      <c r="C5412" s="51"/>
      <c r="D5412" s="114"/>
      <c r="E5412" s="114"/>
      <c r="F5412" s="54"/>
      <c r="G5412" s="54"/>
      <c r="I5412" s="54"/>
      <c r="K5412" s="54"/>
      <c r="M5412" s="114"/>
      <c r="N5412" s="1"/>
      <c r="O5412" s="1"/>
      <c r="P5412" s="51"/>
    </row>
    <row r="5413">
      <c r="A5413" s="54"/>
      <c r="B5413" s="71"/>
      <c r="C5413" s="51"/>
      <c r="D5413" s="114"/>
      <c r="E5413" s="114"/>
      <c r="F5413" s="54"/>
      <c r="G5413" s="54"/>
      <c r="I5413" s="54"/>
      <c r="K5413" s="54"/>
      <c r="M5413" s="114"/>
      <c r="N5413" s="1"/>
      <c r="O5413" s="1"/>
      <c r="P5413" s="51"/>
    </row>
    <row r="5414">
      <c r="A5414" s="54"/>
      <c r="B5414" s="71"/>
      <c r="C5414" s="51"/>
      <c r="D5414" s="114"/>
      <c r="E5414" s="114"/>
      <c r="F5414" s="54"/>
      <c r="G5414" s="54"/>
      <c r="I5414" s="54"/>
      <c r="K5414" s="54"/>
      <c r="M5414" s="114"/>
      <c r="N5414" s="1"/>
      <c r="O5414" s="1"/>
      <c r="P5414" s="51"/>
    </row>
    <row r="5415">
      <c r="A5415" s="54"/>
      <c r="B5415" s="71"/>
      <c r="C5415" s="51"/>
      <c r="D5415" s="114"/>
      <c r="E5415" s="114"/>
      <c r="F5415" s="54"/>
      <c r="G5415" s="54"/>
      <c r="I5415" s="54"/>
      <c r="K5415" s="54"/>
      <c r="M5415" s="114"/>
      <c r="N5415" s="1"/>
      <c r="O5415" s="1"/>
      <c r="P5415" s="51"/>
    </row>
    <row r="5416">
      <c r="A5416" s="54"/>
      <c r="B5416" s="71"/>
      <c r="C5416" s="51"/>
      <c r="D5416" s="114"/>
      <c r="E5416" s="114"/>
      <c r="F5416" s="54"/>
      <c r="G5416" s="54"/>
      <c r="I5416" s="54"/>
      <c r="K5416" s="54"/>
      <c r="M5416" s="114"/>
      <c r="N5416" s="1"/>
      <c r="O5416" s="1"/>
      <c r="P5416" s="51"/>
    </row>
    <row r="5417">
      <c r="A5417" s="54"/>
      <c r="B5417" s="71"/>
      <c r="C5417" s="51"/>
      <c r="D5417" s="114"/>
      <c r="E5417" s="114"/>
      <c r="F5417" s="54"/>
      <c r="G5417" s="54"/>
      <c r="I5417" s="54"/>
      <c r="K5417" s="54"/>
      <c r="M5417" s="114"/>
      <c r="N5417" s="1"/>
      <c r="O5417" s="1"/>
      <c r="P5417" s="51"/>
    </row>
    <row r="5418">
      <c r="A5418" s="54"/>
      <c r="B5418" s="71"/>
      <c r="C5418" s="51"/>
      <c r="D5418" s="114"/>
      <c r="E5418" s="114"/>
      <c r="F5418" s="54"/>
      <c r="G5418" s="54"/>
      <c r="I5418" s="54"/>
      <c r="K5418" s="54"/>
      <c r="M5418" s="114"/>
      <c r="N5418" s="1"/>
      <c r="O5418" s="1"/>
      <c r="P5418" s="51"/>
    </row>
    <row r="5419">
      <c r="A5419" s="54"/>
      <c r="B5419" s="71"/>
      <c r="C5419" s="51"/>
      <c r="D5419" s="114"/>
      <c r="E5419" s="114"/>
      <c r="F5419" s="54"/>
      <c r="G5419" s="54"/>
      <c r="I5419" s="54"/>
      <c r="K5419" s="54"/>
      <c r="M5419" s="114"/>
      <c r="N5419" s="1"/>
      <c r="O5419" s="1"/>
      <c r="P5419" s="51"/>
    </row>
    <row r="5420">
      <c r="A5420" s="54"/>
      <c r="B5420" s="71"/>
      <c r="C5420" s="51"/>
      <c r="D5420" s="114"/>
      <c r="E5420" s="114"/>
      <c r="F5420" s="54"/>
      <c r="G5420" s="54"/>
      <c r="I5420" s="54"/>
      <c r="K5420" s="54"/>
      <c r="M5420" s="114"/>
      <c r="N5420" s="1"/>
      <c r="O5420" s="1"/>
      <c r="P5420" s="51"/>
    </row>
    <row r="5421">
      <c r="A5421" s="54"/>
      <c r="B5421" s="71"/>
      <c r="C5421" s="51"/>
      <c r="D5421" s="114"/>
      <c r="E5421" s="114"/>
      <c r="F5421" s="54"/>
      <c r="G5421" s="54"/>
      <c r="I5421" s="54"/>
      <c r="K5421" s="54"/>
      <c r="M5421" s="114"/>
      <c r="N5421" s="1"/>
      <c r="O5421" s="1"/>
      <c r="P5421" s="51"/>
    </row>
    <row r="5422">
      <c r="A5422" s="54"/>
      <c r="B5422" s="71"/>
      <c r="C5422" s="51"/>
      <c r="D5422" s="114"/>
      <c r="E5422" s="114"/>
      <c r="F5422" s="54"/>
      <c r="G5422" s="54"/>
      <c r="I5422" s="54"/>
      <c r="K5422" s="54"/>
      <c r="M5422" s="114"/>
      <c r="N5422" s="1"/>
      <c r="O5422" s="1"/>
      <c r="P5422" s="51"/>
    </row>
    <row r="5423">
      <c r="A5423" s="54"/>
      <c r="B5423" s="71"/>
      <c r="C5423" s="51"/>
      <c r="D5423" s="114"/>
      <c r="E5423" s="114"/>
      <c r="F5423" s="54"/>
      <c r="G5423" s="54"/>
      <c r="I5423" s="54"/>
      <c r="K5423" s="54"/>
      <c r="M5423" s="114"/>
      <c r="N5423" s="1"/>
      <c r="O5423" s="1"/>
      <c r="P5423" s="51"/>
    </row>
    <row r="5424">
      <c r="A5424" s="54"/>
      <c r="B5424" s="71"/>
      <c r="C5424" s="51"/>
      <c r="D5424" s="114"/>
      <c r="E5424" s="114"/>
      <c r="F5424" s="54"/>
      <c r="G5424" s="54"/>
      <c r="I5424" s="54"/>
      <c r="K5424" s="54"/>
      <c r="M5424" s="114"/>
      <c r="N5424" s="1"/>
      <c r="O5424" s="1"/>
      <c r="P5424" s="51"/>
    </row>
    <row r="5425">
      <c r="A5425" s="54"/>
      <c r="B5425" s="71"/>
      <c r="C5425" s="51"/>
      <c r="D5425" s="114"/>
      <c r="E5425" s="114"/>
      <c r="F5425" s="54"/>
      <c r="G5425" s="54"/>
      <c r="I5425" s="54"/>
      <c r="K5425" s="54"/>
      <c r="M5425" s="114"/>
      <c r="N5425" s="1"/>
      <c r="O5425" s="1"/>
      <c r="P5425" s="51"/>
    </row>
    <row r="5426">
      <c r="A5426" s="54"/>
      <c r="B5426" s="71"/>
      <c r="C5426" s="51"/>
      <c r="D5426" s="114"/>
      <c r="E5426" s="114"/>
      <c r="F5426" s="54"/>
      <c r="G5426" s="54"/>
      <c r="I5426" s="54"/>
      <c r="K5426" s="54"/>
      <c r="M5426" s="114"/>
      <c r="N5426" s="1"/>
      <c r="O5426" s="1"/>
      <c r="P5426" s="51"/>
    </row>
    <row r="5427">
      <c r="A5427" s="54"/>
      <c r="B5427" s="71"/>
      <c r="C5427" s="51"/>
      <c r="D5427" s="114"/>
      <c r="E5427" s="114"/>
      <c r="F5427" s="54"/>
      <c r="G5427" s="54"/>
      <c r="I5427" s="54"/>
      <c r="K5427" s="54"/>
      <c r="M5427" s="114"/>
      <c r="N5427" s="1"/>
      <c r="O5427" s="1"/>
      <c r="P5427" s="51"/>
    </row>
    <row r="5428">
      <c r="A5428" s="54"/>
      <c r="B5428" s="71"/>
      <c r="C5428" s="51"/>
      <c r="D5428" s="114"/>
      <c r="E5428" s="114"/>
      <c r="F5428" s="54"/>
      <c r="G5428" s="54"/>
      <c r="I5428" s="54"/>
      <c r="K5428" s="54"/>
      <c r="M5428" s="114"/>
      <c r="N5428" s="1"/>
      <c r="O5428" s="1"/>
      <c r="P5428" s="51"/>
    </row>
    <row r="5429">
      <c r="A5429" s="54"/>
      <c r="B5429" s="71"/>
      <c r="C5429" s="51"/>
      <c r="D5429" s="114"/>
      <c r="E5429" s="114"/>
      <c r="F5429" s="54"/>
      <c r="G5429" s="54"/>
      <c r="I5429" s="54"/>
      <c r="K5429" s="54"/>
      <c r="M5429" s="114"/>
      <c r="N5429" s="1"/>
      <c r="O5429" s="1"/>
      <c r="P5429" s="51"/>
    </row>
    <row r="5430">
      <c r="A5430" s="54"/>
      <c r="B5430" s="71"/>
      <c r="C5430" s="51"/>
      <c r="D5430" s="114"/>
      <c r="E5430" s="114"/>
      <c r="F5430" s="54"/>
      <c r="G5430" s="54"/>
      <c r="I5430" s="54"/>
      <c r="K5430" s="54"/>
      <c r="M5430" s="114"/>
      <c r="N5430" s="1"/>
      <c r="O5430" s="1"/>
      <c r="P5430" s="51"/>
    </row>
    <row r="5431">
      <c r="A5431" s="54"/>
      <c r="B5431" s="71"/>
      <c r="C5431" s="51"/>
      <c r="D5431" s="114"/>
      <c r="E5431" s="114"/>
      <c r="F5431" s="54"/>
      <c r="G5431" s="54"/>
      <c r="I5431" s="54"/>
      <c r="K5431" s="54"/>
      <c r="M5431" s="114"/>
      <c r="N5431" s="1"/>
      <c r="O5431" s="1"/>
      <c r="P5431" s="51"/>
    </row>
    <row r="5432">
      <c r="A5432" s="54"/>
      <c r="B5432" s="71"/>
      <c r="C5432" s="51"/>
      <c r="D5432" s="114"/>
      <c r="E5432" s="114"/>
      <c r="F5432" s="54"/>
      <c r="G5432" s="54"/>
      <c r="I5432" s="54"/>
      <c r="K5432" s="54"/>
      <c r="M5432" s="114"/>
      <c r="N5432" s="1"/>
      <c r="O5432" s="1"/>
      <c r="P5432" s="51"/>
    </row>
    <row r="5433">
      <c r="A5433" s="54"/>
      <c r="B5433" s="71"/>
      <c r="C5433" s="51"/>
      <c r="D5433" s="114"/>
      <c r="E5433" s="114"/>
      <c r="F5433" s="54"/>
      <c r="G5433" s="54"/>
      <c r="I5433" s="54"/>
      <c r="K5433" s="54"/>
      <c r="M5433" s="114"/>
      <c r="N5433" s="1"/>
      <c r="O5433" s="1"/>
      <c r="P5433" s="51"/>
    </row>
    <row r="5434">
      <c r="A5434" s="54"/>
      <c r="B5434" s="71"/>
      <c r="C5434" s="51"/>
      <c r="D5434" s="114"/>
      <c r="E5434" s="114"/>
      <c r="F5434" s="54"/>
      <c r="G5434" s="54"/>
      <c r="I5434" s="54"/>
      <c r="K5434" s="54"/>
      <c r="M5434" s="114"/>
      <c r="N5434" s="1"/>
      <c r="O5434" s="1"/>
      <c r="P5434" s="51"/>
    </row>
    <row r="5435">
      <c r="A5435" s="54"/>
      <c r="B5435" s="71"/>
      <c r="C5435" s="51"/>
      <c r="D5435" s="114"/>
      <c r="E5435" s="114"/>
      <c r="F5435" s="54"/>
      <c r="G5435" s="54"/>
      <c r="I5435" s="54"/>
      <c r="K5435" s="54"/>
      <c r="M5435" s="114"/>
      <c r="N5435" s="1"/>
      <c r="O5435" s="1"/>
      <c r="P5435" s="51"/>
    </row>
    <row r="5436">
      <c r="A5436" s="54"/>
      <c r="B5436" s="71"/>
      <c r="C5436" s="51"/>
      <c r="D5436" s="114"/>
      <c r="E5436" s="114"/>
      <c r="F5436" s="54"/>
      <c r="G5436" s="54"/>
      <c r="I5436" s="54"/>
      <c r="K5436" s="54"/>
      <c r="M5436" s="114"/>
      <c r="N5436" s="1"/>
      <c r="O5436" s="1"/>
      <c r="P5436" s="51"/>
    </row>
    <row r="5437">
      <c r="A5437" s="54"/>
      <c r="B5437" s="71"/>
      <c r="C5437" s="51"/>
      <c r="D5437" s="114"/>
      <c r="E5437" s="114"/>
      <c r="F5437" s="54"/>
      <c r="G5437" s="54"/>
      <c r="I5437" s="54"/>
      <c r="K5437" s="54"/>
      <c r="M5437" s="114"/>
      <c r="N5437" s="1"/>
      <c r="O5437" s="1"/>
      <c r="P5437" s="51"/>
    </row>
    <row r="5438">
      <c r="A5438" s="54"/>
      <c r="B5438" s="71"/>
      <c r="C5438" s="51"/>
      <c r="D5438" s="114"/>
      <c r="E5438" s="114"/>
      <c r="F5438" s="54"/>
      <c r="G5438" s="54"/>
      <c r="I5438" s="54"/>
      <c r="K5438" s="54"/>
      <c r="M5438" s="114"/>
      <c r="N5438" s="1"/>
      <c r="O5438" s="1"/>
      <c r="P5438" s="51"/>
    </row>
    <row r="5439">
      <c r="A5439" s="54"/>
      <c r="B5439" s="71"/>
      <c r="C5439" s="51"/>
      <c r="D5439" s="114"/>
      <c r="E5439" s="114"/>
      <c r="F5439" s="54"/>
      <c r="G5439" s="54"/>
      <c r="I5439" s="54"/>
      <c r="K5439" s="54"/>
      <c r="M5439" s="114"/>
      <c r="N5439" s="1"/>
      <c r="O5439" s="1"/>
      <c r="P5439" s="51"/>
    </row>
    <row r="5440">
      <c r="A5440" s="54"/>
      <c r="B5440" s="71"/>
      <c r="C5440" s="51"/>
      <c r="D5440" s="114"/>
      <c r="E5440" s="114"/>
      <c r="F5440" s="54"/>
      <c r="G5440" s="54"/>
      <c r="I5440" s="54"/>
      <c r="K5440" s="54"/>
      <c r="M5440" s="114"/>
      <c r="N5440" s="1"/>
      <c r="O5440" s="1"/>
      <c r="P5440" s="51"/>
    </row>
    <row r="5441">
      <c r="A5441" s="54"/>
      <c r="B5441" s="71"/>
      <c r="C5441" s="51"/>
      <c r="D5441" s="114"/>
      <c r="E5441" s="114"/>
      <c r="F5441" s="54"/>
      <c r="G5441" s="54"/>
      <c r="I5441" s="54"/>
      <c r="K5441" s="54"/>
      <c r="M5441" s="114"/>
      <c r="N5441" s="1"/>
      <c r="O5441" s="1"/>
      <c r="P5441" s="51"/>
    </row>
    <row r="5442">
      <c r="A5442" s="54"/>
      <c r="B5442" s="71"/>
      <c r="C5442" s="51"/>
      <c r="D5442" s="114"/>
      <c r="E5442" s="114"/>
      <c r="F5442" s="54"/>
      <c r="G5442" s="54"/>
      <c r="I5442" s="54"/>
      <c r="K5442" s="54"/>
      <c r="M5442" s="114"/>
      <c r="N5442" s="1"/>
      <c r="O5442" s="1"/>
      <c r="P5442" s="51"/>
    </row>
    <row r="5443">
      <c r="A5443" s="54"/>
      <c r="B5443" s="71"/>
      <c r="C5443" s="51"/>
      <c r="D5443" s="114"/>
      <c r="E5443" s="114"/>
      <c r="F5443" s="54"/>
      <c r="G5443" s="54"/>
      <c r="I5443" s="54"/>
      <c r="K5443" s="54"/>
      <c r="M5443" s="114"/>
      <c r="N5443" s="1"/>
      <c r="O5443" s="1"/>
      <c r="P5443" s="51"/>
    </row>
    <row r="5444">
      <c r="A5444" s="54"/>
      <c r="B5444" s="71"/>
      <c r="C5444" s="51"/>
      <c r="D5444" s="114"/>
      <c r="E5444" s="114"/>
      <c r="F5444" s="54"/>
      <c r="G5444" s="54"/>
      <c r="I5444" s="54"/>
      <c r="K5444" s="54"/>
      <c r="M5444" s="114"/>
      <c r="N5444" s="1"/>
      <c r="O5444" s="1"/>
      <c r="P5444" s="51"/>
    </row>
    <row r="5445">
      <c r="A5445" s="54"/>
      <c r="B5445" s="71"/>
      <c r="C5445" s="51"/>
      <c r="D5445" s="114"/>
      <c r="E5445" s="114"/>
      <c r="F5445" s="54"/>
      <c r="G5445" s="54"/>
      <c r="I5445" s="54"/>
      <c r="K5445" s="54"/>
      <c r="M5445" s="114"/>
      <c r="N5445" s="1"/>
      <c r="O5445" s="1"/>
      <c r="P5445" s="51"/>
    </row>
    <row r="5446">
      <c r="A5446" s="54"/>
      <c r="B5446" s="71"/>
      <c r="C5446" s="51"/>
      <c r="D5446" s="114"/>
      <c r="E5446" s="114"/>
      <c r="F5446" s="54"/>
      <c r="G5446" s="54"/>
      <c r="I5446" s="54"/>
      <c r="K5446" s="54"/>
      <c r="M5446" s="114"/>
      <c r="N5446" s="1"/>
      <c r="O5446" s="1"/>
      <c r="P5446" s="51"/>
    </row>
    <row r="5447">
      <c r="A5447" s="54"/>
      <c r="B5447" s="71"/>
      <c r="C5447" s="51"/>
      <c r="D5447" s="114"/>
      <c r="E5447" s="114"/>
      <c r="F5447" s="54"/>
      <c r="G5447" s="54"/>
      <c r="I5447" s="54"/>
      <c r="K5447" s="54"/>
      <c r="M5447" s="114"/>
      <c r="N5447" s="1"/>
      <c r="O5447" s="1"/>
      <c r="P5447" s="51"/>
    </row>
    <row r="5448">
      <c r="A5448" s="54"/>
      <c r="B5448" s="71"/>
      <c r="C5448" s="51"/>
      <c r="D5448" s="114"/>
      <c r="E5448" s="114"/>
      <c r="F5448" s="54"/>
      <c r="G5448" s="54"/>
      <c r="I5448" s="54"/>
      <c r="K5448" s="54"/>
      <c r="M5448" s="114"/>
      <c r="N5448" s="1"/>
      <c r="O5448" s="1"/>
      <c r="P5448" s="51"/>
    </row>
    <row r="5449">
      <c r="A5449" s="54"/>
      <c r="B5449" s="71"/>
      <c r="C5449" s="51"/>
      <c r="D5449" s="114"/>
      <c r="E5449" s="114"/>
      <c r="F5449" s="54"/>
      <c r="G5449" s="54"/>
      <c r="I5449" s="54"/>
      <c r="K5449" s="54"/>
      <c r="M5449" s="114"/>
      <c r="N5449" s="1"/>
      <c r="O5449" s="1"/>
      <c r="P5449" s="51"/>
    </row>
    <row r="5450">
      <c r="A5450" s="54"/>
      <c r="B5450" s="71"/>
      <c r="C5450" s="51"/>
      <c r="D5450" s="114"/>
      <c r="E5450" s="114"/>
      <c r="F5450" s="54"/>
      <c r="G5450" s="54"/>
      <c r="I5450" s="54"/>
      <c r="K5450" s="54"/>
      <c r="M5450" s="114"/>
      <c r="N5450" s="1"/>
      <c r="O5450" s="1"/>
      <c r="P5450" s="51"/>
    </row>
    <row r="5451">
      <c r="A5451" s="54"/>
      <c r="B5451" s="71"/>
      <c r="C5451" s="51"/>
      <c r="D5451" s="114"/>
      <c r="E5451" s="114"/>
      <c r="F5451" s="54"/>
      <c r="G5451" s="54"/>
      <c r="I5451" s="54"/>
      <c r="K5451" s="54"/>
      <c r="M5451" s="114"/>
      <c r="N5451" s="1"/>
      <c r="O5451" s="1"/>
      <c r="P5451" s="51"/>
    </row>
    <row r="5452">
      <c r="A5452" s="54"/>
      <c r="B5452" s="71"/>
      <c r="C5452" s="51"/>
      <c r="D5452" s="114"/>
      <c r="E5452" s="114"/>
      <c r="F5452" s="54"/>
      <c r="G5452" s="54"/>
      <c r="I5452" s="54"/>
      <c r="K5452" s="54"/>
      <c r="M5452" s="114"/>
      <c r="N5452" s="1"/>
      <c r="O5452" s="1"/>
      <c r="P5452" s="51"/>
    </row>
    <row r="5453">
      <c r="A5453" s="54"/>
      <c r="B5453" s="71"/>
      <c r="C5453" s="51"/>
      <c r="D5453" s="114"/>
      <c r="E5453" s="114"/>
      <c r="F5453" s="54"/>
      <c r="G5453" s="54"/>
      <c r="I5453" s="54"/>
      <c r="K5453" s="54"/>
      <c r="M5453" s="114"/>
      <c r="N5453" s="1"/>
      <c r="O5453" s="1"/>
      <c r="P5453" s="51"/>
    </row>
    <row r="5454">
      <c r="A5454" s="54"/>
      <c r="B5454" s="71"/>
      <c r="C5454" s="51"/>
      <c r="D5454" s="114"/>
      <c r="E5454" s="114"/>
      <c r="F5454" s="54"/>
      <c r="G5454" s="54"/>
      <c r="I5454" s="54"/>
      <c r="K5454" s="54"/>
      <c r="M5454" s="114"/>
      <c r="N5454" s="1"/>
      <c r="O5454" s="1"/>
      <c r="P5454" s="51"/>
    </row>
    <row r="5455">
      <c r="A5455" s="54"/>
      <c r="B5455" s="71"/>
      <c r="C5455" s="51"/>
      <c r="D5455" s="114"/>
      <c r="E5455" s="114"/>
      <c r="F5455" s="54"/>
      <c r="G5455" s="54"/>
      <c r="I5455" s="54"/>
      <c r="K5455" s="54"/>
      <c r="M5455" s="114"/>
      <c r="N5455" s="1"/>
      <c r="O5455" s="1"/>
      <c r="P5455" s="51"/>
    </row>
    <row r="5456">
      <c r="A5456" s="54"/>
      <c r="B5456" s="71"/>
      <c r="C5456" s="51"/>
      <c r="D5456" s="114"/>
      <c r="E5456" s="114"/>
      <c r="F5456" s="54"/>
      <c r="G5456" s="54"/>
      <c r="I5456" s="54"/>
      <c r="K5456" s="54"/>
      <c r="M5456" s="114"/>
      <c r="N5456" s="1"/>
      <c r="O5456" s="1"/>
      <c r="P5456" s="51"/>
    </row>
    <row r="5457">
      <c r="A5457" s="54"/>
      <c r="B5457" s="71"/>
      <c r="C5457" s="51"/>
      <c r="D5457" s="114"/>
      <c r="E5457" s="114"/>
      <c r="F5457" s="54"/>
      <c r="G5457" s="54"/>
      <c r="I5457" s="54"/>
      <c r="K5457" s="54"/>
      <c r="M5457" s="114"/>
      <c r="N5457" s="1"/>
      <c r="O5457" s="1"/>
      <c r="P5457" s="51"/>
    </row>
    <row r="5458">
      <c r="A5458" s="54"/>
      <c r="B5458" s="71"/>
      <c r="C5458" s="51"/>
      <c r="D5458" s="114"/>
      <c r="E5458" s="114"/>
      <c r="F5458" s="54"/>
      <c r="G5458" s="54"/>
      <c r="I5458" s="54"/>
      <c r="K5458" s="54"/>
      <c r="M5458" s="114"/>
      <c r="N5458" s="1"/>
      <c r="O5458" s="1"/>
      <c r="P5458" s="51"/>
    </row>
    <row r="5459">
      <c r="A5459" s="54"/>
      <c r="B5459" s="71"/>
      <c r="C5459" s="51"/>
      <c r="D5459" s="114"/>
      <c r="E5459" s="114"/>
      <c r="F5459" s="54"/>
      <c r="G5459" s="54"/>
      <c r="I5459" s="54"/>
      <c r="K5459" s="54"/>
      <c r="M5459" s="114"/>
      <c r="N5459" s="1"/>
      <c r="O5459" s="1"/>
      <c r="P5459" s="51"/>
    </row>
    <row r="5460">
      <c r="A5460" s="54"/>
      <c r="B5460" s="71"/>
      <c r="C5460" s="51"/>
      <c r="D5460" s="114"/>
      <c r="E5460" s="114"/>
      <c r="F5460" s="54"/>
      <c r="G5460" s="54"/>
      <c r="I5460" s="54"/>
      <c r="K5460" s="54"/>
      <c r="M5460" s="114"/>
      <c r="N5460" s="1"/>
      <c r="O5460" s="1"/>
      <c r="P5460" s="51"/>
    </row>
    <row r="5461">
      <c r="A5461" s="54"/>
      <c r="B5461" s="71"/>
      <c r="C5461" s="51"/>
      <c r="D5461" s="114"/>
      <c r="E5461" s="114"/>
      <c r="F5461" s="54"/>
      <c r="G5461" s="54"/>
      <c r="I5461" s="54"/>
      <c r="K5461" s="54"/>
      <c r="M5461" s="114"/>
      <c r="N5461" s="1"/>
      <c r="O5461" s="1"/>
      <c r="P5461" s="51"/>
    </row>
    <row r="5462">
      <c r="A5462" s="54"/>
      <c r="B5462" s="71"/>
      <c r="C5462" s="51"/>
      <c r="D5462" s="114"/>
      <c r="E5462" s="114"/>
      <c r="F5462" s="54"/>
      <c r="G5462" s="54"/>
      <c r="I5462" s="54"/>
      <c r="K5462" s="54"/>
      <c r="M5462" s="114"/>
      <c r="N5462" s="1"/>
      <c r="O5462" s="1"/>
      <c r="P5462" s="51"/>
    </row>
    <row r="5463">
      <c r="A5463" s="54"/>
      <c r="B5463" s="71"/>
      <c r="C5463" s="51"/>
      <c r="D5463" s="114"/>
      <c r="E5463" s="114"/>
      <c r="F5463" s="54"/>
      <c r="G5463" s="54"/>
      <c r="I5463" s="54"/>
      <c r="K5463" s="54"/>
      <c r="M5463" s="114"/>
      <c r="N5463" s="1"/>
      <c r="O5463" s="1"/>
      <c r="P5463" s="51"/>
    </row>
    <row r="5464">
      <c r="A5464" s="54"/>
      <c r="B5464" s="71"/>
      <c r="C5464" s="51"/>
      <c r="D5464" s="114"/>
      <c r="E5464" s="114"/>
      <c r="F5464" s="54"/>
      <c r="G5464" s="54"/>
      <c r="I5464" s="54"/>
      <c r="K5464" s="54"/>
      <c r="M5464" s="114"/>
      <c r="N5464" s="1"/>
      <c r="O5464" s="1"/>
      <c r="P5464" s="51"/>
    </row>
    <row r="5465">
      <c r="A5465" s="54"/>
      <c r="B5465" s="71"/>
      <c r="C5465" s="51"/>
      <c r="D5465" s="114"/>
      <c r="E5465" s="114"/>
      <c r="F5465" s="54"/>
      <c r="G5465" s="54"/>
      <c r="I5465" s="54"/>
      <c r="K5465" s="54"/>
      <c r="M5465" s="114"/>
      <c r="N5465" s="1"/>
      <c r="O5465" s="1"/>
      <c r="P5465" s="51"/>
    </row>
    <row r="5466">
      <c r="A5466" s="54"/>
      <c r="B5466" s="71"/>
      <c r="C5466" s="51"/>
      <c r="D5466" s="114"/>
      <c r="E5466" s="114"/>
      <c r="F5466" s="54"/>
      <c r="G5466" s="54"/>
      <c r="I5466" s="54"/>
      <c r="K5466" s="54"/>
      <c r="M5466" s="114"/>
      <c r="N5466" s="1"/>
      <c r="O5466" s="1"/>
      <c r="P5466" s="51"/>
    </row>
    <row r="5467">
      <c r="A5467" s="54"/>
      <c r="B5467" s="71"/>
      <c r="C5467" s="51"/>
      <c r="D5467" s="114"/>
      <c r="E5467" s="114"/>
      <c r="F5467" s="54"/>
      <c r="G5467" s="54"/>
      <c r="I5467" s="54"/>
      <c r="K5467" s="54"/>
      <c r="M5467" s="114"/>
      <c r="N5467" s="1"/>
      <c r="O5467" s="1"/>
      <c r="P5467" s="51"/>
    </row>
    <row r="5468">
      <c r="A5468" s="54"/>
      <c r="B5468" s="71"/>
      <c r="C5468" s="51"/>
      <c r="D5468" s="114"/>
      <c r="E5468" s="114"/>
      <c r="F5468" s="54"/>
      <c r="G5468" s="54"/>
      <c r="I5468" s="54"/>
      <c r="K5468" s="54"/>
      <c r="M5468" s="114"/>
      <c r="N5468" s="1"/>
      <c r="O5468" s="1"/>
      <c r="P5468" s="51"/>
    </row>
    <row r="5469">
      <c r="A5469" s="54"/>
      <c r="B5469" s="71"/>
      <c r="C5469" s="51"/>
      <c r="D5469" s="114"/>
      <c r="E5469" s="114"/>
      <c r="F5469" s="54"/>
      <c r="G5469" s="54"/>
      <c r="I5469" s="54"/>
      <c r="K5469" s="54"/>
      <c r="M5469" s="114"/>
      <c r="N5469" s="1"/>
      <c r="O5469" s="1"/>
      <c r="P5469" s="51"/>
    </row>
    <row r="5470">
      <c r="A5470" s="54"/>
      <c r="B5470" s="71"/>
      <c r="C5470" s="51"/>
      <c r="D5470" s="114"/>
      <c r="E5470" s="114"/>
      <c r="F5470" s="54"/>
      <c r="G5470" s="54"/>
      <c r="I5470" s="54"/>
      <c r="K5470" s="54"/>
      <c r="M5470" s="114"/>
      <c r="N5470" s="1"/>
      <c r="O5470" s="1"/>
      <c r="P5470" s="51"/>
    </row>
    <row r="5471">
      <c r="A5471" s="54"/>
      <c r="B5471" s="71"/>
      <c r="C5471" s="51"/>
      <c r="D5471" s="114"/>
      <c r="E5471" s="114"/>
      <c r="F5471" s="54"/>
      <c r="G5471" s="54"/>
      <c r="I5471" s="54"/>
      <c r="K5471" s="54"/>
      <c r="M5471" s="114"/>
      <c r="N5471" s="1"/>
      <c r="O5471" s="1"/>
      <c r="P5471" s="51"/>
    </row>
    <row r="5472">
      <c r="A5472" s="54"/>
      <c r="B5472" s="71"/>
      <c r="C5472" s="51"/>
      <c r="D5472" s="114"/>
      <c r="E5472" s="114"/>
      <c r="F5472" s="54"/>
      <c r="G5472" s="54"/>
      <c r="I5472" s="54"/>
      <c r="K5472" s="54"/>
      <c r="M5472" s="114"/>
      <c r="N5472" s="1"/>
      <c r="O5472" s="1"/>
      <c r="P5472" s="51"/>
    </row>
    <row r="5473">
      <c r="A5473" s="54"/>
      <c r="B5473" s="71"/>
      <c r="C5473" s="51"/>
      <c r="D5473" s="114"/>
      <c r="E5473" s="114"/>
      <c r="F5473" s="54"/>
      <c r="G5473" s="54"/>
      <c r="I5473" s="54"/>
      <c r="K5473" s="54"/>
      <c r="M5473" s="114"/>
      <c r="N5473" s="1"/>
      <c r="O5473" s="1"/>
      <c r="P5473" s="51"/>
    </row>
    <row r="5474">
      <c r="A5474" s="54"/>
      <c r="B5474" s="71"/>
      <c r="C5474" s="51"/>
      <c r="D5474" s="114"/>
      <c r="E5474" s="114"/>
      <c r="F5474" s="54"/>
      <c r="G5474" s="54"/>
      <c r="I5474" s="54"/>
      <c r="K5474" s="54"/>
      <c r="M5474" s="114"/>
      <c r="N5474" s="1"/>
      <c r="O5474" s="1"/>
      <c r="P5474" s="51"/>
    </row>
    <row r="5475">
      <c r="A5475" s="54"/>
      <c r="B5475" s="71"/>
      <c r="C5475" s="51"/>
      <c r="D5475" s="114"/>
      <c r="E5475" s="114"/>
      <c r="F5475" s="54"/>
      <c r="G5475" s="54"/>
      <c r="I5475" s="54"/>
      <c r="K5475" s="54"/>
      <c r="M5475" s="114"/>
      <c r="N5475" s="1"/>
      <c r="O5475" s="1"/>
      <c r="P5475" s="51"/>
    </row>
    <row r="5476">
      <c r="A5476" s="54"/>
      <c r="B5476" s="71"/>
      <c r="C5476" s="51"/>
      <c r="D5476" s="114"/>
      <c r="E5476" s="114"/>
      <c r="F5476" s="54"/>
      <c r="G5476" s="54"/>
      <c r="I5476" s="54"/>
      <c r="K5476" s="54"/>
      <c r="M5476" s="114"/>
      <c r="N5476" s="1"/>
      <c r="O5476" s="1"/>
      <c r="P5476" s="51"/>
    </row>
    <row r="5477">
      <c r="A5477" s="54"/>
      <c r="B5477" s="71"/>
      <c r="C5477" s="51"/>
      <c r="D5477" s="114"/>
      <c r="E5477" s="114"/>
      <c r="F5477" s="54"/>
      <c r="G5477" s="54"/>
      <c r="I5477" s="54"/>
      <c r="K5477" s="54"/>
      <c r="M5477" s="114"/>
      <c r="N5477" s="1"/>
      <c r="O5477" s="1"/>
      <c r="P5477" s="51"/>
    </row>
    <row r="5478">
      <c r="A5478" s="54"/>
      <c r="B5478" s="71"/>
      <c r="C5478" s="51"/>
      <c r="D5478" s="114"/>
      <c r="E5478" s="114"/>
      <c r="F5478" s="54"/>
      <c r="G5478" s="54"/>
      <c r="I5478" s="54"/>
      <c r="K5478" s="54"/>
      <c r="M5478" s="114"/>
      <c r="N5478" s="1"/>
      <c r="O5478" s="1"/>
      <c r="P5478" s="51"/>
    </row>
    <row r="5479">
      <c r="A5479" s="54"/>
      <c r="B5479" s="71"/>
      <c r="C5479" s="51"/>
      <c r="D5479" s="114"/>
      <c r="E5479" s="114"/>
      <c r="F5479" s="54"/>
      <c r="G5479" s="54"/>
      <c r="I5479" s="54"/>
      <c r="K5479" s="54"/>
      <c r="M5479" s="114"/>
      <c r="N5479" s="1"/>
      <c r="O5479" s="1"/>
      <c r="P5479" s="51"/>
    </row>
    <row r="5480">
      <c r="A5480" s="54"/>
      <c r="B5480" s="71"/>
      <c r="C5480" s="51"/>
      <c r="D5480" s="114"/>
      <c r="E5480" s="114"/>
      <c r="F5480" s="54"/>
      <c r="G5480" s="54"/>
      <c r="I5480" s="54"/>
      <c r="K5480" s="54"/>
      <c r="M5480" s="114"/>
      <c r="N5480" s="1"/>
      <c r="O5480" s="1"/>
      <c r="P5480" s="51"/>
    </row>
    <row r="5481">
      <c r="A5481" s="54"/>
      <c r="B5481" s="71"/>
      <c r="C5481" s="51"/>
      <c r="D5481" s="114"/>
      <c r="E5481" s="114"/>
      <c r="F5481" s="54"/>
      <c r="G5481" s="54"/>
      <c r="I5481" s="54"/>
      <c r="K5481" s="54"/>
      <c r="M5481" s="114"/>
      <c r="N5481" s="1"/>
      <c r="O5481" s="1"/>
      <c r="P5481" s="51"/>
    </row>
    <row r="5482">
      <c r="A5482" s="54"/>
      <c r="B5482" s="71"/>
      <c r="C5482" s="51"/>
      <c r="D5482" s="114"/>
      <c r="E5482" s="114"/>
      <c r="F5482" s="54"/>
      <c r="G5482" s="54"/>
      <c r="I5482" s="54"/>
      <c r="K5482" s="54"/>
      <c r="M5482" s="114"/>
      <c r="N5482" s="1"/>
      <c r="O5482" s="1"/>
      <c r="P5482" s="51"/>
    </row>
    <row r="5483">
      <c r="A5483" s="54"/>
      <c r="B5483" s="71"/>
      <c r="C5483" s="51"/>
      <c r="D5483" s="114"/>
      <c r="E5483" s="114"/>
      <c r="F5483" s="54"/>
      <c r="G5483" s="54"/>
      <c r="I5483" s="54"/>
      <c r="K5483" s="54"/>
      <c r="M5483" s="114"/>
      <c r="N5483" s="1"/>
      <c r="O5483" s="1"/>
      <c r="P5483" s="51"/>
    </row>
    <row r="5484">
      <c r="A5484" s="54"/>
      <c r="B5484" s="71"/>
      <c r="C5484" s="51"/>
      <c r="D5484" s="114"/>
      <c r="E5484" s="114"/>
      <c r="F5484" s="54"/>
      <c r="G5484" s="54"/>
      <c r="I5484" s="54"/>
      <c r="K5484" s="54"/>
      <c r="M5484" s="114"/>
      <c r="N5484" s="1"/>
      <c r="O5484" s="1"/>
      <c r="P5484" s="51"/>
    </row>
    <row r="5485">
      <c r="A5485" s="54"/>
      <c r="B5485" s="71"/>
      <c r="C5485" s="51"/>
      <c r="D5485" s="114"/>
      <c r="E5485" s="114"/>
      <c r="F5485" s="54"/>
      <c r="G5485" s="54"/>
      <c r="I5485" s="54"/>
      <c r="K5485" s="54"/>
      <c r="M5485" s="114"/>
      <c r="N5485" s="1"/>
      <c r="O5485" s="1"/>
      <c r="P5485" s="51"/>
    </row>
    <row r="5486">
      <c r="A5486" s="54"/>
      <c r="B5486" s="71"/>
      <c r="C5486" s="51"/>
      <c r="D5486" s="114"/>
      <c r="E5486" s="114"/>
      <c r="F5486" s="54"/>
      <c r="G5486" s="54"/>
      <c r="I5486" s="54"/>
      <c r="K5486" s="54"/>
      <c r="M5486" s="114"/>
      <c r="N5486" s="1"/>
      <c r="O5486" s="1"/>
      <c r="P5486" s="51"/>
    </row>
    <row r="5487">
      <c r="A5487" s="54"/>
      <c r="B5487" s="71"/>
      <c r="C5487" s="51"/>
      <c r="D5487" s="114"/>
      <c r="E5487" s="114"/>
      <c r="F5487" s="54"/>
      <c r="G5487" s="54"/>
      <c r="I5487" s="54"/>
      <c r="K5487" s="54"/>
      <c r="M5487" s="114"/>
      <c r="N5487" s="1"/>
      <c r="O5487" s="1"/>
      <c r="P5487" s="51"/>
    </row>
    <row r="5488">
      <c r="A5488" s="54"/>
      <c r="B5488" s="71"/>
      <c r="C5488" s="51"/>
      <c r="D5488" s="114"/>
      <c r="E5488" s="114"/>
      <c r="F5488" s="54"/>
      <c r="G5488" s="54"/>
      <c r="I5488" s="54"/>
      <c r="K5488" s="54"/>
      <c r="M5488" s="114"/>
      <c r="N5488" s="1"/>
      <c r="O5488" s="1"/>
      <c r="P5488" s="51"/>
    </row>
    <row r="5489">
      <c r="A5489" s="54"/>
      <c r="B5489" s="71"/>
      <c r="C5489" s="51"/>
      <c r="D5489" s="114"/>
      <c r="E5489" s="114"/>
      <c r="F5489" s="54"/>
      <c r="G5489" s="54"/>
      <c r="I5489" s="54"/>
      <c r="K5489" s="54"/>
      <c r="M5489" s="114"/>
      <c r="N5489" s="1"/>
      <c r="O5489" s="1"/>
      <c r="P5489" s="51"/>
    </row>
    <row r="5490">
      <c r="A5490" s="54"/>
      <c r="B5490" s="71"/>
      <c r="C5490" s="51"/>
      <c r="D5490" s="114"/>
      <c r="E5490" s="114"/>
      <c r="F5490" s="54"/>
      <c r="G5490" s="54"/>
      <c r="I5490" s="54"/>
      <c r="K5490" s="54"/>
      <c r="M5490" s="114"/>
      <c r="N5490" s="1"/>
      <c r="O5490" s="1"/>
      <c r="P5490" s="51"/>
    </row>
    <row r="5491">
      <c r="A5491" s="54"/>
      <c r="B5491" s="71"/>
      <c r="C5491" s="51"/>
      <c r="D5491" s="114"/>
      <c r="E5491" s="114"/>
      <c r="F5491" s="54"/>
      <c r="G5491" s="54"/>
      <c r="I5491" s="54"/>
      <c r="K5491" s="54"/>
      <c r="M5491" s="114"/>
      <c r="N5491" s="1"/>
      <c r="O5491" s="1"/>
      <c r="P5491" s="51"/>
    </row>
    <row r="5492">
      <c r="A5492" s="54"/>
      <c r="B5492" s="71"/>
      <c r="C5492" s="51"/>
      <c r="D5492" s="114"/>
      <c r="E5492" s="114"/>
      <c r="F5492" s="54"/>
      <c r="G5492" s="54"/>
      <c r="I5492" s="54"/>
      <c r="K5492" s="54"/>
      <c r="M5492" s="114"/>
      <c r="N5492" s="1"/>
      <c r="O5492" s="1"/>
      <c r="P5492" s="51"/>
    </row>
    <row r="5493">
      <c r="A5493" s="54"/>
      <c r="B5493" s="71"/>
      <c r="C5493" s="51"/>
      <c r="D5493" s="114"/>
      <c r="E5493" s="114"/>
      <c r="F5493" s="54"/>
      <c r="G5493" s="54"/>
      <c r="I5493" s="54"/>
      <c r="K5493" s="54"/>
      <c r="M5493" s="114"/>
      <c r="N5493" s="1"/>
      <c r="O5493" s="1"/>
      <c r="P5493" s="51"/>
    </row>
    <row r="5494">
      <c r="A5494" s="54"/>
      <c r="B5494" s="71"/>
      <c r="C5494" s="51"/>
      <c r="D5494" s="114"/>
      <c r="E5494" s="114"/>
      <c r="F5494" s="54"/>
      <c r="G5494" s="54"/>
      <c r="I5494" s="54"/>
      <c r="K5494" s="54"/>
      <c r="M5494" s="114"/>
      <c r="N5494" s="1"/>
      <c r="O5494" s="1"/>
      <c r="P5494" s="51"/>
    </row>
    <row r="5495">
      <c r="A5495" s="54"/>
      <c r="B5495" s="71"/>
      <c r="C5495" s="51"/>
      <c r="D5495" s="114"/>
      <c r="E5495" s="114"/>
      <c r="F5495" s="54"/>
      <c r="G5495" s="54"/>
      <c r="I5495" s="54"/>
      <c r="K5495" s="54"/>
      <c r="M5495" s="114"/>
      <c r="N5495" s="1"/>
      <c r="O5495" s="1"/>
      <c r="P5495" s="51"/>
    </row>
    <row r="5496">
      <c r="A5496" s="54"/>
      <c r="B5496" s="71"/>
      <c r="C5496" s="51"/>
      <c r="D5496" s="114"/>
      <c r="E5496" s="114"/>
      <c r="F5496" s="54"/>
      <c r="G5496" s="54"/>
      <c r="I5496" s="54"/>
      <c r="K5496" s="54"/>
      <c r="M5496" s="114"/>
      <c r="N5496" s="1"/>
      <c r="O5496" s="1"/>
      <c r="P5496" s="51"/>
    </row>
    <row r="5497">
      <c r="A5497" s="54"/>
      <c r="B5497" s="71"/>
      <c r="C5497" s="51"/>
      <c r="D5497" s="114"/>
      <c r="E5497" s="114"/>
      <c r="F5497" s="54"/>
      <c r="G5497" s="54"/>
      <c r="I5497" s="54"/>
      <c r="K5497" s="54"/>
      <c r="M5497" s="114"/>
      <c r="N5497" s="1"/>
      <c r="O5497" s="1"/>
      <c r="P5497" s="51"/>
    </row>
    <row r="5498">
      <c r="A5498" s="54"/>
      <c r="B5498" s="71"/>
      <c r="C5498" s="51"/>
      <c r="D5498" s="114"/>
      <c r="E5498" s="114"/>
      <c r="F5498" s="54"/>
      <c r="G5498" s="54"/>
      <c r="I5498" s="54"/>
      <c r="K5498" s="54"/>
      <c r="M5498" s="114"/>
      <c r="N5498" s="1"/>
      <c r="O5498" s="1"/>
      <c r="P5498" s="51"/>
    </row>
    <row r="5499">
      <c r="A5499" s="54"/>
      <c r="B5499" s="71"/>
      <c r="C5499" s="51"/>
      <c r="D5499" s="114"/>
      <c r="E5499" s="114"/>
      <c r="F5499" s="54"/>
      <c r="G5499" s="54"/>
      <c r="I5499" s="54"/>
      <c r="K5499" s="54"/>
      <c r="M5499" s="114"/>
      <c r="N5499" s="1"/>
      <c r="O5499" s="1"/>
      <c r="P5499" s="51"/>
    </row>
    <row r="5500">
      <c r="A5500" s="54"/>
      <c r="B5500" s="71"/>
      <c r="C5500" s="51"/>
      <c r="D5500" s="114"/>
      <c r="E5500" s="114"/>
      <c r="F5500" s="54"/>
      <c r="G5500" s="54"/>
      <c r="I5500" s="54"/>
      <c r="K5500" s="54"/>
      <c r="M5500" s="114"/>
      <c r="N5500" s="1"/>
      <c r="O5500" s="1"/>
      <c r="P5500" s="51"/>
    </row>
    <row r="5501">
      <c r="A5501" s="54"/>
      <c r="B5501" s="71"/>
      <c r="C5501" s="51"/>
      <c r="D5501" s="114"/>
      <c r="E5501" s="114"/>
      <c r="F5501" s="54"/>
      <c r="G5501" s="54"/>
      <c r="I5501" s="54"/>
      <c r="K5501" s="54"/>
      <c r="M5501" s="114"/>
      <c r="N5501" s="1"/>
      <c r="O5501" s="1"/>
      <c r="P5501" s="51"/>
    </row>
    <row r="5502">
      <c r="A5502" s="54"/>
      <c r="B5502" s="71"/>
      <c r="C5502" s="51"/>
      <c r="D5502" s="114"/>
      <c r="E5502" s="114"/>
      <c r="F5502" s="54"/>
      <c r="G5502" s="54"/>
      <c r="I5502" s="54"/>
      <c r="K5502" s="54"/>
      <c r="M5502" s="114"/>
      <c r="N5502" s="1"/>
      <c r="O5502" s="1"/>
      <c r="P5502" s="51"/>
    </row>
    <row r="5503">
      <c r="A5503" s="54"/>
      <c r="B5503" s="71"/>
      <c r="C5503" s="51"/>
      <c r="D5503" s="114"/>
      <c r="E5503" s="114"/>
      <c r="F5503" s="54"/>
      <c r="G5503" s="54"/>
      <c r="I5503" s="54"/>
      <c r="K5503" s="54"/>
      <c r="M5503" s="114"/>
      <c r="N5503" s="1"/>
      <c r="O5503" s="1"/>
      <c r="P5503" s="51"/>
    </row>
    <row r="5504">
      <c r="A5504" s="54"/>
      <c r="B5504" s="71"/>
      <c r="C5504" s="51"/>
      <c r="D5504" s="114"/>
      <c r="E5504" s="114"/>
      <c r="F5504" s="54"/>
      <c r="G5504" s="54"/>
      <c r="I5504" s="54"/>
      <c r="K5504" s="54"/>
      <c r="M5504" s="114"/>
      <c r="N5504" s="1"/>
      <c r="O5504" s="1"/>
      <c r="P5504" s="51"/>
    </row>
    <row r="5505">
      <c r="A5505" s="54"/>
      <c r="B5505" s="71"/>
      <c r="C5505" s="51"/>
      <c r="D5505" s="114"/>
      <c r="E5505" s="114"/>
      <c r="F5505" s="54"/>
      <c r="G5505" s="54"/>
      <c r="I5505" s="54"/>
      <c r="K5505" s="54"/>
      <c r="M5505" s="114"/>
      <c r="N5505" s="1"/>
      <c r="O5505" s="1"/>
      <c r="P5505" s="51"/>
    </row>
    <row r="5506">
      <c r="A5506" s="54"/>
      <c r="B5506" s="71"/>
      <c r="C5506" s="51"/>
      <c r="D5506" s="114"/>
      <c r="E5506" s="114"/>
      <c r="F5506" s="54"/>
      <c r="G5506" s="54"/>
      <c r="I5506" s="54"/>
      <c r="K5506" s="54"/>
      <c r="M5506" s="114"/>
      <c r="N5506" s="1"/>
      <c r="O5506" s="1"/>
      <c r="P5506" s="51"/>
    </row>
    <row r="5507">
      <c r="A5507" s="54"/>
      <c r="B5507" s="71"/>
      <c r="C5507" s="51"/>
      <c r="D5507" s="114"/>
      <c r="E5507" s="114"/>
      <c r="F5507" s="54"/>
      <c r="G5507" s="54"/>
      <c r="I5507" s="54"/>
      <c r="K5507" s="54"/>
      <c r="M5507" s="114"/>
      <c r="N5507" s="1"/>
      <c r="O5507" s="1"/>
      <c r="P5507" s="51"/>
    </row>
    <row r="5508">
      <c r="A5508" s="54"/>
      <c r="B5508" s="71"/>
      <c r="C5508" s="51"/>
      <c r="D5508" s="114"/>
      <c r="E5508" s="114"/>
      <c r="F5508" s="54"/>
      <c r="G5508" s="54"/>
      <c r="I5508" s="54"/>
      <c r="K5508" s="54"/>
      <c r="M5508" s="114"/>
      <c r="N5508" s="1"/>
      <c r="O5508" s="1"/>
      <c r="P5508" s="51"/>
    </row>
    <row r="5509">
      <c r="A5509" s="54"/>
      <c r="B5509" s="71"/>
      <c r="C5509" s="51"/>
      <c r="D5509" s="114"/>
      <c r="E5509" s="114"/>
      <c r="F5509" s="54"/>
      <c r="G5509" s="54"/>
      <c r="I5509" s="54"/>
      <c r="K5509" s="54"/>
      <c r="M5509" s="114"/>
      <c r="N5509" s="1"/>
      <c r="O5509" s="1"/>
      <c r="P5509" s="51"/>
    </row>
    <row r="5510">
      <c r="A5510" s="54"/>
      <c r="B5510" s="71"/>
      <c r="C5510" s="51"/>
      <c r="D5510" s="114"/>
      <c r="E5510" s="114"/>
      <c r="F5510" s="54"/>
      <c r="G5510" s="54"/>
      <c r="I5510" s="54"/>
      <c r="K5510" s="54"/>
      <c r="M5510" s="114"/>
      <c r="N5510" s="1"/>
      <c r="O5510" s="1"/>
      <c r="P5510" s="51"/>
    </row>
    <row r="5511">
      <c r="A5511" s="54"/>
      <c r="B5511" s="71"/>
      <c r="C5511" s="51"/>
      <c r="D5511" s="114"/>
      <c r="E5511" s="114"/>
      <c r="F5511" s="54"/>
      <c r="G5511" s="54"/>
      <c r="I5511" s="54"/>
      <c r="K5511" s="54"/>
      <c r="M5511" s="114"/>
      <c r="N5511" s="1"/>
      <c r="O5511" s="1"/>
      <c r="P5511" s="51"/>
    </row>
    <row r="5512">
      <c r="A5512" s="54"/>
      <c r="B5512" s="71"/>
      <c r="C5512" s="51"/>
      <c r="D5512" s="114"/>
      <c r="E5512" s="114"/>
      <c r="F5512" s="54"/>
      <c r="G5512" s="54"/>
      <c r="I5512" s="54"/>
      <c r="K5512" s="54"/>
      <c r="M5512" s="114"/>
      <c r="N5512" s="1"/>
      <c r="O5512" s="1"/>
      <c r="P5512" s="51"/>
    </row>
    <row r="5513">
      <c r="A5513" s="54"/>
      <c r="B5513" s="71"/>
      <c r="C5513" s="51"/>
      <c r="D5513" s="114"/>
      <c r="E5513" s="114"/>
      <c r="F5513" s="54"/>
      <c r="G5513" s="54"/>
      <c r="I5513" s="54"/>
      <c r="K5513" s="54"/>
      <c r="M5513" s="114"/>
      <c r="N5513" s="1"/>
      <c r="O5513" s="1"/>
      <c r="P5513" s="51"/>
    </row>
    <row r="5514">
      <c r="A5514" s="54"/>
      <c r="B5514" s="71"/>
      <c r="C5514" s="51"/>
      <c r="D5514" s="114"/>
      <c r="E5514" s="114"/>
      <c r="F5514" s="54"/>
      <c r="G5514" s="54"/>
      <c r="I5514" s="54"/>
      <c r="K5514" s="54"/>
      <c r="M5514" s="114"/>
      <c r="N5514" s="1"/>
      <c r="O5514" s="1"/>
      <c r="P5514" s="51"/>
    </row>
    <row r="5515">
      <c r="A5515" s="54"/>
      <c r="B5515" s="71"/>
      <c r="C5515" s="51"/>
      <c r="D5515" s="114"/>
      <c r="E5515" s="114"/>
      <c r="F5515" s="54"/>
      <c r="G5515" s="54"/>
      <c r="I5515" s="54"/>
      <c r="K5515" s="54"/>
      <c r="M5515" s="114"/>
      <c r="N5515" s="1"/>
      <c r="O5515" s="1"/>
      <c r="P5515" s="51"/>
    </row>
    <row r="5516">
      <c r="A5516" s="54"/>
      <c r="B5516" s="71"/>
      <c r="C5516" s="51"/>
      <c r="D5516" s="114"/>
      <c r="E5516" s="114"/>
      <c r="F5516" s="54"/>
      <c r="G5516" s="54"/>
      <c r="I5516" s="54"/>
      <c r="K5516" s="54"/>
      <c r="M5516" s="114"/>
      <c r="N5516" s="1"/>
      <c r="O5516" s="1"/>
      <c r="P5516" s="51"/>
    </row>
    <row r="5517">
      <c r="A5517" s="54"/>
      <c r="B5517" s="71"/>
      <c r="C5517" s="51"/>
      <c r="D5517" s="114"/>
      <c r="E5517" s="114"/>
      <c r="F5517" s="54"/>
      <c r="G5517" s="54"/>
      <c r="I5517" s="54"/>
      <c r="K5517" s="54"/>
      <c r="M5517" s="114"/>
      <c r="N5517" s="1"/>
      <c r="O5517" s="1"/>
      <c r="P5517" s="51"/>
    </row>
    <row r="5518">
      <c r="A5518" s="54"/>
      <c r="B5518" s="71"/>
      <c r="C5518" s="51"/>
      <c r="D5518" s="114"/>
      <c r="E5518" s="114"/>
      <c r="F5518" s="54"/>
      <c r="G5518" s="54"/>
      <c r="I5518" s="54"/>
      <c r="K5518" s="54"/>
      <c r="M5518" s="114"/>
      <c r="N5518" s="1"/>
      <c r="O5518" s="1"/>
      <c r="P5518" s="51"/>
    </row>
    <row r="5519">
      <c r="A5519" s="54"/>
      <c r="B5519" s="71"/>
      <c r="C5519" s="51"/>
      <c r="D5519" s="114"/>
      <c r="E5519" s="114"/>
      <c r="F5519" s="54"/>
      <c r="G5519" s="54"/>
      <c r="I5519" s="54"/>
      <c r="K5519" s="54"/>
      <c r="M5519" s="114"/>
      <c r="N5519" s="1"/>
      <c r="O5519" s="1"/>
      <c r="P5519" s="51"/>
    </row>
    <row r="5520">
      <c r="A5520" s="54"/>
      <c r="B5520" s="71"/>
      <c r="C5520" s="51"/>
      <c r="D5520" s="114"/>
      <c r="E5520" s="114"/>
      <c r="F5520" s="54"/>
      <c r="G5520" s="54"/>
      <c r="I5520" s="54"/>
      <c r="K5520" s="54"/>
      <c r="M5520" s="114"/>
      <c r="N5520" s="1"/>
      <c r="O5520" s="1"/>
      <c r="P5520" s="51"/>
    </row>
    <row r="5521">
      <c r="A5521" s="54"/>
      <c r="B5521" s="71"/>
      <c r="C5521" s="51"/>
      <c r="D5521" s="114"/>
      <c r="E5521" s="114"/>
      <c r="F5521" s="54"/>
      <c r="G5521" s="54"/>
      <c r="I5521" s="54"/>
      <c r="K5521" s="54"/>
      <c r="M5521" s="114"/>
      <c r="N5521" s="1"/>
      <c r="O5521" s="1"/>
      <c r="P5521" s="51"/>
    </row>
    <row r="5522">
      <c r="A5522" s="54"/>
      <c r="B5522" s="71"/>
      <c r="C5522" s="51"/>
      <c r="D5522" s="114"/>
      <c r="E5522" s="114"/>
      <c r="F5522" s="54"/>
      <c r="G5522" s="54"/>
      <c r="I5522" s="54"/>
      <c r="K5522" s="54"/>
      <c r="M5522" s="114"/>
      <c r="N5522" s="1"/>
      <c r="O5522" s="1"/>
      <c r="P5522" s="51"/>
    </row>
    <row r="5523">
      <c r="A5523" s="54"/>
      <c r="B5523" s="71"/>
      <c r="C5523" s="51"/>
      <c r="D5523" s="114"/>
      <c r="E5523" s="114"/>
      <c r="F5523" s="54"/>
      <c r="G5523" s="54"/>
      <c r="I5523" s="54"/>
      <c r="K5523" s="54"/>
      <c r="M5523" s="114"/>
      <c r="N5523" s="1"/>
      <c r="O5523" s="1"/>
      <c r="P5523" s="51"/>
    </row>
    <row r="5524">
      <c r="A5524" s="54"/>
      <c r="B5524" s="71"/>
      <c r="C5524" s="51"/>
      <c r="D5524" s="114"/>
      <c r="E5524" s="114"/>
      <c r="F5524" s="54"/>
      <c r="G5524" s="54"/>
      <c r="I5524" s="54"/>
      <c r="K5524" s="54"/>
      <c r="M5524" s="114"/>
      <c r="N5524" s="1"/>
      <c r="O5524" s="1"/>
      <c r="P5524" s="51"/>
    </row>
    <row r="5525">
      <c r="A5525" s="54"/>
      <c r="B5525" s="71"/>
      <c r="C5525" s="51"/>
      <c r="D5525" s="114"/>
      <c r="E5525" s="114"/>
      <c r="F5525" s="54"/>
      <c r="G5525" s="54"/>
      <c r="I5525" s="54"/>
      <c r="K5525" s="54"/>
      <c r="M5525" s="114"/>
      <c r="N5525" s="1"/>
      <c r="O5525" s="1"/>
      <c r="P5525" s="51"/>
    </row>
    <row r="5526">
      <c r="A5526" s="54"/>
      <c r="B5526" s="71"/>
      <c r="C5526" s="51"/>
      <c r="D5526" s="114"/>
      <c r="E5526" s="114"/>
      <c r="F5526" s="54"/>
      <c r="G5526" s="54"/>
      <c r="I5526" s="54"/>
      <c r="K5526" s="54"/>
      <c r="M5526" s="114"/>
      <c r="N5526" s="1"/>
      <c r="O5526" s="1"/>
      <c r="P5526" s="51"/>
    </row>
    <row r="5527">
      <c r="A5527" s="54"/>
      <c r="B5527" s="71"/>
      <c r="C5527" s="51"/>
      <c r="D5527" s="114"/>
      <c r="E5527" s="114"/>
      <c r="F5527" s="54"/>
      <c r="G5527" s="54"/>
      <c r="I5527" s="54"/>
      <c r="K5527" s="54"/>
      <c r="M5527" s="114"/>
      <c r="N5527" s="1"/>
      <c r="O5527" s="1"/>
      <c r="P5527" s="51"/>
    </row>
    <row r="5528">
      <c r="A5528" s="54"/>
      <c r="B5528" s="71"/>
      <c r="C5528" s="51"/>
      <c r="D5528" s="114"/>
      <c r="E5528" s="114"/>
      <c r="F5528" s="54"/>
      <c r="G5528" s="54"/>
      <c r="I5528" s="54"/>
      <c r="K5528" s="54"/>
      <c r="M5528" s="114"/>
      <c r="N5528" s="1"/>
      <c r="O5528" s="1"/>
      <c r="P5528" s="51"/>
    </row>
    <row r="5529">
      <c r="A5529" s="54"/>
      <c r="B5529" s="71"/>
      <c r="C5529" s="51"/>
      <c r="D5529" s="114"/>
      <c r="E5529" s="114"/>
      <c r="F5529" s="54"/>
      <c r="G5529" s="54"/>
      <c r="I5529" s="54"/>
      <c r="K5529" s="54"/>
      <c r="M5529" s="114"/>
      <c r="N5529" s="1"/>
      <c r="O5529" s="1"/>
      <c r="P5529" s="51"/>
    </row>
    <row r="5530">
      <c r="A5530" s="54"/>
      <c r="B5530" s="71"/>
      <c r="C5530" s="51"/>
      <c r="D5530" s="114"/>
      <c r="E5530" s="114"/>
      <c r="F5530" s="54"/>
      <c r="G5530" s="54"/>
      <c r="I5530" s="54"/>
      <c r="K5530" s="54"/>
      <c r="M5530" s="114"/>
      <c r="N5530" s="1"/>
      <c r="O5530" s="1"/>
      <c r="P5530" s="51"/>
    </row>
    <row r="5531">
      <c r="A5531" s="54"/>
      <c r="B5531" s="71"/>
      <c r="C5531" s="51"/>
      <c r="D5531" s="114"/>
      <c r="E5531" s="114"/>
      <c r="F5531" s="54"/>
      <c r="G5531" s="54"/>
      <c r="I5531" s="54"/>
      <c r="K5531" s="54"/>
      <c r="M5531" s="114"/>
      <c r="N5531" s="1"/>
      <c r="O5531" s="1"/>
      <c r="P5531" s="51"/>
    </row>
    <row r="5532">
      <c r="A5532" s="54"/>
      <c r="B5532" s="71"/>
      <c r="C5532" s="51"/>
      <c r="D5532" s="114"/>
      <c r="E5532" s="114"/>
      <c r="F5532" s="54"/>
      <c r="G5532" s="54"/>
      <c r="I5532" s="54"/>
      <c r="K5532" s="54"/>
      <c r="M5532" s="114"/>
      <c r="N5532" s="1"/>
      <c r="O5532" s="1"/>
      <c r="P5532" s="51"/>
    </row>
    <row r="5533">
      <c r="A5533" s="54"/>
      <c r="B5533" s="71"/>
      <c r="C5533" s="51"/>
      <c r="D5533" s="114"/>
      <c r="E5533" s="114"/>
      <c r="F5533" s="54"/>
      <c r="G5533" s="54"/>
      <c r="I5533" s="54"/>
      <c r="K5533" s="54"/>
      <c r="M5533" s="114"/>
      <c r="N5533" s="1"/>
      <c r="O5533" s="1"/>
      <c r="P5533" s="51"/>
    </row>
    <row r="5534">
      <c r="A5534" s="54"/>
      <c r="B5534" s="71"/>
      <c r="C5534" s="51"/>
      <c r="D5534" s="114"/>
      <c r="E5534" s="114"/>
      <c r="F5534" s="54"/>
      <c r="G5534" s="54"/>
      <c r="I5534" s="54"/>
      <c r="K5534" s="54"/>
      <c r="M5534" s="114"/>
      <c r="N5534" s="1"/>
      <c r="O5534" s="1"/>
      <c r="P5534" s="51"/>
    </row>
    <row r="5535">
      <c r="A5535" s="54"/>
      <c r="B5535" s="71"/>
      <c r="C5535" s="51"/>
      <c r="D5535" s="114"/>
      <c r="E5535" s="114"/>
      <c r="F5535" s="54"/>
      <c r="G5535" s="54"/>
      <c r="I5535" s="54"/>
      <c r="K5535" s="54"/>
      <c r="M5535" s="114"/>
      <c r="N5535" s="1"/>
      <c r="O5535" s="1"/>
      <c r="P5535" s="51"/>
    </row>
    <row r="5536">
      <c r="A5536" s="54"/>
      <c r="B5536" s="71"/>
      <c r="C5536" s="51"/>
      <c r="D5536" s="114"/>
      <c r="E5536" s="114"/>
      <c r="F5536" s="54"/>
      <c r="G5536" s="54"/>
      <c r="I5536" s="54"/>
      <c r="K5536" s="54"/>
      <c r="M5536" s="114"/>
      <c r="N5536" s="1"/>
      <c r="O5536" s="1"/>
      <c r="P5536" s="51"/>
    </row>
    <row r="5537">
      <c r="A5537" s="54"/>
      <c r="B5537" s="71"/>
      <c r="C5537" s="51"/>
      <c r="D5537" s="114"/>
      <c r="E5537" s="114"/>
      <c r="F5537" s="54"/>
      <c r="G5537" s="54"/>
      <c r="I5537" s="54"/>
      <c r="K5537" s="54"/>
      <c r="M5537" s="114"/>
      <c r="N5537" s="1"/>
      <c r="O5537" s="1"/>
      <c r="P5537" s="51"/>
    </row>
    <row r="5538">
      <c r="A5538" s="54"/>
      <c r="B5538" s="71"/>
      <c r="C5538" s="51"/>
      <c r="D5538" s="114"/>
      <c r="E5538" s="114"/>
      <c r="F5538" s="54"/>
      <c r="G5538" s="54"/>
      <c r="I5538" s="54"/>
      <c r="K5538" s="54"/>
      <c r="M5538" s="114"/>
      <c r="N5538" s="1"/>
      <c r="O5538" s="1"/>
      <c r="P5538" s="51"/>
    </row>
    <row r="5539">
      <c r="A5539" s="54"/>
      <c r="B5539" s="71"/>
      <c r="C5539" s="51"/>
      <c r="D5539" s="114"/>
      <c r="E5539" s="114"/>
      <c r="F5539" s="54"/>
      <c r="G5539" s="54"/>
      <c r="I5539" s="54"/>
      <c r="K5539" s="54"/>
      <c r="M5539" s="114"/>
      <c r="N5539" s="1"/>
      <c r="O5539" s="1"/>
      <c r="P5539" s="51"/>
    </row>
    <row r="5540">
      <c r="A5540" s="54"/>
      <c r="B5540" s="71"/>
      <c r="C5540" s="51"/>
      <c r="D5540" s="114"/>
      <c r="E5540" s="114"/>
      <c r="F5540" s="54"/>
      <c r="G5540" s="54"/>
      <c r="I5540" s="54"/>
      <c r="K5540" s="54"/>
      <c r="M5540" s="114"/>
      <c r="N5540" s="1"/>
      <c r="O5540" s="1"/>
      <c r="P5540" s="51"/>
    </row>
    <row r="5541">
      <c r="A5541" s="54"/>
      <c r="B5541" s="71"/>
      <c r="C5541" s="51"/>
      <c r="D5541" s="114"/>
      <c r="E5541" s="114"/>
      <c r="F5541" s="54"/>
      <c r="G5541" s="54"/>
      <c r="I5541" s="54"/>
      <c r="K5541" s="54"/>
      <c r="M5541" s="114"/>
      <c r="N5541" s="1"/>
      <c r="O5541" s="1"/>
      <c r="P5541" s="51"/>
    </row>
    <row r="5542">
      <c r="A5542" s="54"/>
      <c r="B5542" s="71"/>
      <c r="C5542" s="51"/>
      <c r="D5542" s="114"/>
      <c r="E5542" s="114"/>
      <c r="F5542" s="54"/>
      <c r="G5542" s="54"/>
      <c r="I5542" s="54"/>
      <c r="K5542" s="54"/>
      <c r="M5542" s="114"/>
      <c r="N5542" s="1"/>
      <c r="O5542" s="1"/>
      <c r="P5542" s="51"/>
    </row>
    <row r="5543">
      <c r="A5543" s="54"/>
      <c r="B5543" s="71"/>
      <c r="C5543" s="51"/>
      <c r="D5543" s="114"/>
      <c r="E5543" s="114"/>
      <c r="F5543" s="54"/>
      <c r="G5543" s="54"/>
      <c r="I5543" s="54"/>
      <c r="K5543" s="54"/>
      <c r="M5543" s="114"/>
      <c r="N5543" s="1"/>
      <c r="O5543" s="1"/>
      <c r="P5543" s="51"/>
    </row>
    <row r="5544">
      <c r="A5544" s="54"/>
      <c r="B5544" s="71"/>
      <c r="C5544" s="51"/>
      <c r="D5544" s="114"/>
      <c r="E5544" s="114"/>
      <c r="F5544" s="54"/>
      <c r="G5544" s="54"/>
      <c r="I5544" s="54"/>
      <c r="K5544" s="54"/>
      <c r="M5544" s="114"/>
      <c r="N5544" s="1"/>
      <c r="O5544" s="1"/>
      <c r="P5544" s="51"/>
    </row>
    <row r="5545">
      <c r="A5545" s="54"/>
      <c r="B5545" s="71"/>
      <c r="C5545" s="51"/>
      <c r="D5545" s="114"/>
      <c r="E5545" s="114"/>
      <c r="F5545" s="54"/>
      <c r="G5545" s="54"/>
      <c r="I5545" s="54"/>
      <c r="K5545" s="54"/>
      <c r="M5545" s="114"/>
      <c r="N5545" s="1"/>
      <c r="O5545" s="1"/>
      <c r="P5545" s="51"/>
    </row>
    <row r="5546">
      <c r="A5546" s="54"/>
      <c r="B5546" s="71"/>
      <c r="C5546" s="51"/>
      <c r="D5546" s="114"/>
      <c r="E5546" s="114"/>
      <c r="F5546" s="54"/>
      <c r="G5546" s="54"/>
      <c r="I5546" s="54"/>
      <c r="K5546" s="54"/>
      <c r="M5546" s="114"/>
      <c r="N5546" s="1"/>
      <c r="O5546" s="1"/>
      <c r="P5546" s="51"/>
    </row>
    <row r="5547">
      <c r="A5547" s="54"/>
      <c r="B5547" s="71"/>
      <c r="C5547" s="51"/>
      <c r="D5547" s="114"/>
      <c r="E5547" s="114"/>
      <c r="F5547" s="54"/>
      <c r="G5547" s="54"/>
      <c r="I5547" s="54"/>
      <c r="K5547" s="54"/>
      <c r="M5547" s="114"/>
      <c r="N5547" s="1"/>
      <c r="O5547" s="1"/>
      <c r="P5547" s="51"/>
    </row>
    <row r="5548">
      <c r="A5548" s="54"/>
      <c r="B5548" s="71"/>
      <c r="C5548" s="51"/>
      <c r="D5548" s="114"/>
      <c r="E5548" s="114"/>
      <c r="F5548" s="54"/>
      <c r="G5548" s="54"/>
      <c r="I5548" s="54"/>
      <c r="K5548" s="54"/>
      <c r="M5548" s="114"/>
      <c r="N5548" s="1"/>
      <c r="O5548" s="1"/>
      <c r="P5548" s="51"/>
    </row>
    <row r="5549">
      <c r="A5549" s="54"/>
      <c r="B5549" s="71"/>
      <c r="C5549" s="51"/>
      <c r="D5549" s="114"/>
      <c r="E5549" s="114"/>
      <c r="F5549" s="54"/>
      <c r="G5549" s="54"/>
      <c r="I5549" s="54"/>
      <c r="K5549" s="54"/>
      <c r="M5549" s="114"/>
      <c r="N5549" s="1"/>
      <c r="O5549" s="1"/>
      <c r="P5549" s="51"/>
    </row>
    <row r="5550">
      <c r="A5550" s="54"/>
      <c r="B5550" s="71"/>
      <c r="C5550" s="51"/>
      <c r="D5550" s="114"/>
      <c r="E5550" s="114"/>
      <c r="F5550" s="54"/>
      <c r="G5550" s="54"/>
      <c r="I5550" s="54"/>
      <c r="K5550" s="54"/>
      <c r="M5550" s="114"/>
      <c r="N5550" s="1"/>
      <c r="O5550" s="1"/>
      <c r="P5550" s="51"/>
    </row>
    <row r="5551">
      <c r="A5551" s="54"/>
      <c r="B5551" s="71"/>
      <c r="C5551" s="51"/>
      <c r="D5551" s="114"/>
      <c r="E5551" s="114"/>
      <c r="F5551" s="54"/>
      <c r="G5551" s="54"/>
      <c r="I5551" s="54"/>
      <c r="K5551" s="54"/>
      <c r="M5551" s="114"/>
      <c r="N5551" s="1"/>
      <c r="O5551" s="1"/>
      <c r="P5551" s="51"/>
    </row>
    <row r="5552">
      <c r="A5552" s="54"/>
      <c r="B5552" s="71"/>
      <c r="C5552" s="51"/>
      <c r="D5552" s="114"/>
      <c r="E5552" s="114"/>
      <c r="F5552" s="54"/>
      <c r="G5552" s="54"/>
      <c r="I5552" s="54"/>
      <c r="K5552" s="54"/>
      <c r="M5552" s="114"/>
      <c r="N5552" s="1"/>
      <c r="O5552" s="1"/>
      <c r="P5552" s="51"/>
    </row>
    <row r="5553">
      <c r="A5553" s="54"/>
      <c r="B5553" s="71"/>
      <c r="C5553" s="51"/>
      <c r="D5553" s="114"/>
      <c r="E5553" s="114"/>
      <c r="F5553" s="54"/>
      <c r="G5553" s="54"/>
      <c r="I5553" s="54"/>
      <c r="K5553" s="54"/>
      <c r="M5553" s="114"/>
      <c r="N5553" s="1"/>
      <c r="O5553" s="1"/>
      <c r="P5553" s="51"/>
    </row>
    <row r="5554">
      <c r="A5554" s="54"/>
      <c r="B5554" s="71"/>
      <c r="C5554" s="51"/>
      <c r="D5554" s="114"/>
      <c r="E5554" s="114"/>
      <c r="F5554" s="54"/>
      <c r="G5554" s="54"/>
      <c r="I5554" s="54"/>
      <c r="K5554" s="54"/>
      <c r="M5554" s="114"/>
      <c r="N5554" s="1"/>
      <c r="O5554" s="1"/>
      <c r="P5554" s="51"/>
    </row>
    <row r="5555">
      <c r="A5555" s="54"/>
      <c r="B5555" s="71"/>
      <c r="C5555" s="51"/>
      <c r="D5555" s="114"/>
      <c r="E5555" s="114"/>
      <c r="F5555" s="54"/>
      <c r="G5555" s="54"/>
      <c r="I5555" s="54"/>
      <c r="K5555" s="54"/>
      <c r="M5555" s="114"/>
      <c r="N5555" s="1"/>
      <c r="O5555" s="1"/>
      <c r="P5555" s="51"/>
    </row>
    <row r="5556">
      <c r="A5556" s="54"/>
      <c r="B5556" s="71"/>
      <c r="C5556" s="51"/>
      <c r="D5556" s="114"/>
      <c r="E5556" s="114"/>
      <c r="F5556" s="54"/>
      <c r="G5556" s="54"/>
      <c r="I5556" s="54"/>
      <c r="K5556" s="54"/>
      <c r="M5556" s="114"/>
      <c r="N5556" s="1"/>
      <c r="O5556" s="1"/>
      <c r="P5556" s="51"/>
    </row>
    <row r="5557">
      <c r="A5557" s="54"/>
      <c r="B5557" s="71"/>
      <c r="C5557" s="51"/>
      <c r="D5557" s="114"/>
      <c r="E5557" s="114"/>
      <c r="F5557" s="54"/>
      <c r="G5557" s="54"/>
      <c r="I5557" s="54"/>
      <c r="K5557" s="54"/>
      <c r="M5557" s="114"/>
      <c r="N5557" s="1"/>
      <c r="O5557" s="1"/>
      <c r="P5557" s="51"/>
    </row>
    <row r="5558">
      <c r="A5558" s="54"/>
      <c r="B5558" s="71"/>
      <c r="C5558" s="51"/>
      <c r="D5558" s="114"/>
      <c r="E5558" s="114"/>
      <c r="F5558" s="54"/>
      <c r="G5558" s="54"/>
      <c r="I5558" s="54"/>
      <c r="K5558" s="54"/>
      <c r="M5558" s="114"/>
      <c r="N5558" s="1"/>
      <c r="O5558" s="1"/>
      <c r="P5558" s="51"/>
    </row>
    <row r="5559">
      <c r="A5559" s="54"/>
      <c r="B5559" s="71"/>
      <c r="C5559" s="51"/>
      <c r="D5559" s="114"/>
      <c r="E5559" s="114"/>
      <c r="F5559" s="54"/>
      <c r="G5559" s="54"/>
      <c r="I5559" s="54"/>
      <c r="K5559" s="54"/>
      <c r="M5559" s="114"/>
      <c r="N5559" s="1"/>
      <c r="O5559" s="1"/>
      <c r="P5559" s="51"/>
    </row>
    <row r="5560">
      <c r="A5560" s="54"/>
      <c r="B5560" s="71"/>
      <c r="C5560" s="51"/>
      <c r="D5560" s="114"/>
      <c r="E5560" s="114"/>
      <c r="F5560" s="54"/>
      <c r="G5560" s="54"/>
      <c r="I5560" s="54"/>
      <c r="K5560" s="54"/>
      <c r="M5560" s="114"/>
      <c r="N5560" s="1"/>
      <c r="O5560" s="1"/>
      <c r="P5560" s="51"/>
    </row>
    <row r="5561">
      <c r="A5561" s="54"/>
      <c r="B5561" s="71"/>
      <c r="C5561" s="51"/>
      <c r="D5561" s="114"/>
      <c r="E5561" s="114"/>
      <c r="F5561" s="54"/>
      <c r="G5561" s="54"/>
      <c r="I5561" s="54"/>
      <c r="K5561" s="54"/>
      <c r="M5561" s="114"/>
      <c r="N5561" s="1"/>
      <c r="O5561" s="1"/>
      <c r="P5561" s="51"/>
    </row>
    <row r="5562">
      <c r="A5562" s="54"/>
      <c r="B5562" s="71"/>
      <c r="C5562" s="51"/>
      <c r="D5562" s="114"/>
      <c r="E5562" s="114"/>
      <c r="F5562" s="54"/>
      <c r="G5562" s="54"/>
      <c r="I5562" s="54"/>
      <c r="K5562" s="54"/>
      <c r="M5562" s="114"/>
      <c r="N5562" s="1"/>
      <c r="O5562" s="1"/>
      <c r="P5562" s="51"/>
    </row>
    <row r="5563">
      <c r="A5563" s="54"/>
      <c r="B5563" s="71"/>
      <c r="C5563" s="51"/>
      <c r="D5563" s="114"/>
      <c r="E5563" s="114"/>
      <c r="F5563" s="54"/>
      <c r="G5563" s="54"/>
      <c r="I5563" s="54"/>
      <c r="K5563" s="54"/>
      <c r="M5563" s="114"/>
      <c r="N5563" s="1"/>
      <c r="O5563" s="1"/>
      <c r="P5563" s="51"/>
    </row>
    <row r="5564">
      <c r="A5564" s="54"/>
      <c r="B5564" s="71"/>
      <c r="C5564" s="51"/>
      <c r="D5564" s="114"/>
      <c r="E5564" s="114"/>
      <c r="F5564" s="54"/>
      <c r="G5564" s="54"/>
      <c r="I5564" s="54"/>
      <c r="K5564" s="54"/>
      <c r="M5564" s="114"/>
      <c r="N5564" s="1"/>
      <c r="O5564" s="1"/>
      <c r="P5564" s="51"/>
    </row>
    <row r="5565">
      <c r="A5565" s="54"/>
      <c r="B5565" s="71"/>
      <c r="C5565" s="51"/>
      <c r="D5565" s="114"/>
      <c r="E5565" s="114"/>
      <c r="F5565" s="54"/>
      <c r="G5565" s="54"/>
      <c r="I5565" s="54"/>
      <c r="K5565" s="54"/>
      <c r="M5565" s="114"/>
      <c r="N5565" s="1"/>
      <c r="O5565" s="1"/>
      <c r="P5565" s="51"/>
    </row>
    <row r="5566">
      <c r="A5566" s="54"/>
      <c r="B5566" s="71"/>
      <c r="C5566" s="51"/>
      <c r="D5566" s="114"/>
      <c r="E5566" s="114"/>
      <c r="F5566" s="54"/>
      <c r="G5566" s="54"/>
      <c r="I5566" s="54"/>
      <c r="K5566" s="54"/>
      <c r="M5566" s="114"/>
      <c r="N5566" s="1"/>
      <c r="O5566" s="1"/>
      <c r="P5566" s="51"/>
    </row>
    <row r="5567">
      <c r="A5567" s="54"/>
      <c r="B5567" s="71"/>
      <c r="C5567" s="51"/>
      <c r="D5567" s="114"/>
      <c r="E5567" s="114"/>
      <c r="F5567" s="54"/>
      <c r="G5567" s="54"/>
      <c r="I5567" s="54"/>
      <c r="K5567" s="54"/>
      <c r="M5567" s="114"/>
      <c r="N5567" s="1"/>
      <c r="O5567" s="1"/>
      <c r="P5567" s="51"/>
    </row>
    <row r="5568">
      <c r="A5568" s="54"/>
      <c r="B5568" s="71"/>
      <c r="C5568" s="51"/>
      <c r="D5568" s="114"/>
      <c r="E5568" s="114"/>
      <c r="F5568" s="54"/>
      <c r="G5568" s="54"/>
      <c r="I5568" s="54"/>
      <c r="K5568" s="54"/>
      <c r="M5568" s="114"/>
      <c r="N5568" s="1"/>
      <c r="O5568" s="1"/>
      <c r="P5568" s="51"/>
    </row>
    <row r="5569">
      <c r="A5569" s="54"/>
      <c r="B5569" s="71"/>
      <c r="C5569" s="51"/>
      <c r="D5569" s="114"/>
      <c r="E5569" s="114"/>
      <c r="F5569" s="54"/>
      <c r="G5569" s="54"/>
      <c r="I5569" s="54"/>
      <c r="K5569" s="54"/>
      <c r="M5569" s="114"/>
      <c r="N5569" s="1"/>
      <c r="O5569" s="1"/>
      <c r="P5569" s="51"/>
    </row>
    <row r="5570">
      <c r="A5570" s="54"/>
      <c r="B5570" s="71"/>
      <c r="C5570" s="51"/>
      <c r="D5570" s="114"/>
      <c r="E5570" s="114"/>
      <c r="F5570" s="54"/>
      <c r="G5570" s="54"/>
      <c r="I5570" s="54"/>
      <c r="K5570" s="54"/>
      <c r="M5570" s="114"/>
      <c r="N5570" s="1"/>
      <c r="O5570" s="1"/>
      <c r="P5570" s="51"/>
    </row>
    <row r="5571">
      <c r="A5571" s="54"/>
      <c r="B5571" s="71"/>
      <c r="C5571" s="51"/>
      <c r="D5571" s="114"/>
      <c r="E5571" s="114"/>
      <c r="F5571" s="54"/>
      <c r="G5571" s="54"/>
      <c r="I5571" s="54"/>
      <c r="K5571" s="54"/>
      <c r="M5571" s="114"/>
      <c r="N5571" s="1"/>
      <c r="O5571" s="1"/>
      <c r="P5571" s="51"/>
    </row>
    <row r="5572">
      <c r="A5572" s="54"/>
      <c r="B5572" s="71"/>
      <c r="C5572" s="51"/>
      <c r="D5572" s="114"/>
      <c r="E5572" s="114"/>
      <c r="F5572" s="54"/>
      <c r="G5572" s="54"/>
      <c r="I5572" s="54"/>
      <c r="K5572" s="54"/>
      <c r="M5572" s="114"/>
      <c r="N5572" s="1"/>
      <c r="O5572" s="1"/>
      <c r="P5572" s="51"/>
    </row>
    <row r="5573">
      <c r="A5573" s="54"/>
      <c r="B5573" s="71"/>
      <c r="C5573" s="51"/>
      <c r="D5573" s="114"/>
      <c r="E5573" s="114"/>
      <c r="F5573" s="54"/>
      <c r="G5573" s="54"/>
      <c r="I5573" s="54"/>
      <c r="K5573" s="54"/>
      <c r="M5573" s="114"/>
      <c r="N5573" s="1"/>
      <c r="O5573" s="1"/>
      <c r="P5573" s="51"/>
    </row>
    <row r="5574">
      <c r="A5574" s="54"/>
      <c r="B5574" s="71"/>
      <c r="C5574" s="51"/>
      <c r="D5574" s="114"/>
      <c r="E5574" s="114"/>
      <c r="F5574" s="54"/>
      <c r="G5574" s="54"/>
      <c r="I5574" s="54"/>
      <c r="K5574" s="54"/>
      <c r="M5574" s="114"/>
      <c r="N5574" s="1"/>
      <c r="O5574" s="1"/>
      <c r="P5574" s="51"/>
    </row>
    <row r="5575">
      <c r="A5575" s="54"/>
      <c r="B5575" s="71"/>
      <c r="C5575" s="51"/>
      <c r="D5575" s="114"/>
      <c r="E5575" s="114"/>
      <c r="F5575" s="54"/>
      <c r="G5575" s="54"/>
      <c r="I5575" s="54"/>
      <c r="K5575" s="54"/>
      <c r="M5575" s="114"/>
      <c r="N5575" s="1"/>
      <c r="O5575" s="1"/>
      <c r="P5575" s="51"/>
    </row>
    <row r="5576">
      <c r="A5576" s="54"/>
      <c r="B5576" s="71"/>
      <c r="C5576" s="51"/>
      <c r="D5576" s="114"/>
      <c r="E5576" s="114"/>
      <c r="F5576" s="54"/>
      <c r="G5576" s="54"/>
      <c r="I5576" s="54"/>
      <c r="K5576" s="54"/>
      <c r="M5576" s="114"/>
      <c r="N5576" s="1"/>
      <c r="O5576" s="1"/>
      <c r="P5576" s="51"/>
    </row>
    <row r="5577">
      <c r="A5577" s="54"/>
      <c r="B5577" s="71"/>
      <c r="C5577" s="51"/>
      <c r="D5577" s="114"/>
      <c r="E5577" s="114"/>
      <c r="F5577" s="54"/>
      <c r="G5577" s="54"/>
      <c r="I5577" s="54"/>
      <c r="K5577" s="54"/>
      <c r="M5577" s="114"/>
      <c r="N5577" s="1"/>
      <c r="O5577" s="1"/>
      <c r="P5577" s="51"/>
    </row>
    <row r="5578">
      <c r="A5578" s="54"/>
      <c r="B5578" s="71"/>
      <c r="C5578" s="51"/>
      <c r="D5578" s="114"/>
      <c r="E5578" s="114"/>
      <c r="F5578" s="54"/>
      <c r="G5578" s="54"/>
      <c r="I5578" s="54"/>
      <c r="K5578" s="54"/>
      <c r="M5578" s="114"/>
      <c r="N5578" s="1"/>
      <c r="O5578" s="1"/>
      <c r="P5578" s="51"/>
    </row>
    <row r="5579">
      <c r="A5579" s="54"/>
      <c r="B5579" s="71"/>
      <c r="C5579" s="51"/>
      <c r="D5579" s="114"/>
      <c r="E5579" s="114"/>
      <c r="F5579" s="54"/>
      <c r="G5579" s="54"/>
      <c r="I5579" s="54"/>
      <c r="K5579" s="54"/>
      <c r="M5579" s="114"/>
      <c r="N5579" s="1"/>
      <c r="O5579" s="1"/>
      <c r="P5579" s="51"/>
    </row>
    <row r="5580">
      <c r="A5580" s="54"/>
      <c r="B5580" s="71"/>
      <c r="C5580" s="51"/>
      <c r="D5580" s="114"/>
      <c r="E5580" s="114"/>
      <c r="F5580" s="54"/>
      <c r="G5580" s="54"/>
      <c r="I5580" s="54"/>
      <c r="K5580" s="54"/>
      <c r="M5580" s="114"/>
      <c r="N5580" s="1"/>
      <c r="O5580" s="1"/>
      <c r="P5580" s="51"/>
    </row>
    <row r="5581">
      <c r="A5581" s="54"/>
      <c r="B5581" s="71"/>
      <c r="C5581" s="51"/>
      <c r="D5581" s="114"/>
      <c r="E5581" s="114"/>
      <c r="F5581" s="54"/>
      <c r="G5581" s="54"/>
      <c r="I5581" s="54"/>
      <c r="K5581" s="54"/>
      <c r="M5581" s="114"/>
      <c r="N5581" s="1"/>
      <c r="O5581" s="1"/>
      <c r="P5581" s="51"/>
    </row>
    <row r="5582">
      <c r="A5582" s="54"/>
      <c r="B5582" s="71"/>
      <c r="C5582" s="51"/>
      <c r="D5582" s="114"/>
      <c r="E5582" s="114"/>
      <c r="F5582" s="54"/>
      <c r="G5582" s="54"/>
      <c r="I5582" s="54"/>
      <c r="K5582" s="54"/>
      <c r="M5582" s="114"/>
      <c r="N5582" s="1"/>
      <c r="O5582" s="1"/>
      <c r="P5582" s="51"/>
    </row>
    <row r="5583">
      <c r="A5583" s="54"/>
      <c r="B5583" s="71"/>
      <c r="C5583" s="51"/>
      <c r="D5583" s="114"/>
      <c r="E5583" s="114"/>
      <c r="F5583" s="54"/>
      <c r="G5583" s="54"/>
      <c r="I5583" s="54"/>
      <c r="K5583" s="54"/>
      <c r="M5583" s="114"/>
      <c r="N5583" s="1"/>
      <c r="O5583" s="1"/>
      <c r="P5583" s="51"/>
    </row>
    <row r="5584">
      <c r="A5584" s="54"/>
      <c r="B5584" s="71"/>
      <c r="C5584" s="51"/>
      <c r="D5584" s="114"/>
      <c r="E5584" s="114"/>
      <c r="F5584" s="54"/>
      <c r="G5584" s="54"/>
      <c r="I5584" s="54"/>
      <c r="K5584" s="54"/>
      <c r="M5584" s="114"/>
      <c r="N5584" s="1"/>
      <c r="O5584" s="1"/>
      <c r="P5584" s="51"/>
    </row>
    <row r="5585">
      <c r="A5585" s="54"/>
      <c r="B5585" s="71"/>
      <c r="C5585" s="51"/>
      <c r="D5585" s="114"/>
      <c r="E5585" s="114"/>
      <c r="F5585" s="54"/>
      <c r="G5585" s="54"/>
      <c r="I5585" s="54"/>
      <c r="K5585" s="54"/>
      <c r="M5585" s="114"/>
      <c r="N5585" s="1"/>
      <c r="O5585" s="1"/>
      <c r="P5585" s="51"/>
    </row>
    <row r="5586">
      <c r="A5586" s="54"/>
      <c r="B5586" s="71"/>
      <c r="C5586" s="51"/>
      <c r="D5586" s="114"/>
      <c r="E5586" s="114"/>
      <c r="F5586" s="54"/>
      <c r="G5586" s="54"/>
      <c r="I5586" s="54"/>
      <c r="K5586" s="54"/>
      <c r="M5586" s="114"/>
      <c r="N5586" s="1"/>
      <c r="O5586" s="1"/>
      <c r="P5586" s="51"/>
    </row>
    <row r="5587">
      <c r="A5587" s="54"/>
      <c r="B5587" s="71"/>
      <c r="C5587" s="51"/>
      <c r="D5587" s="114"/>
      <c r="E5587" s="114"/>
      <c r="F5587" s="54"/>
      <c r="G5587" s="54"/>
      <c r="I5587" s="54"/>
      <c r="K5587" s="54"/>
      <c r="M5587" s="114"/>
      <c r="N5587" s="1"/>
      <c r="O5587" s="1"/>
      <c r="P5587" s="51"/>
    </row>
    <row r="5588">
      <c r="A5588" s="54"/>
      <c r="B5588" s="71"/>
      <c r="C5588" s="51"/>
      <c r="D5588" s="114"/>
      <c r="E5588" s="114"/>
      <c r="F5588" s="54"/>
      <c r="G5588" s="54"/>
      <c r="I5588" s="54"/>
      <c r="K5588" s="54"/>
      <c r="M5588" s="114"/>
      <c r="N5588" s="1"/>
      <c r="O5588" s="1"/>
      <c r="P5588" s="51"/>
    </row>
    <row r="5589">
      <c r="A5589" s="54"/>
      <c r="B5589" s="71"/>
      <c r="C5589" s="51"/>
      <c r="D5589" s="114"/>
      <c r="E5589" s="114"/>
      <c r="F5589" s="54"/>
      <c r="G5589" s="54"/>
      <c r="I5589" s="54"/>
      <c r="K5589" s="54"/>
      <c r="M5589" s="114"/>
      <c r="N5589" s="1"/>
      <c r="O5589" s="1"/>
      <c r="P5589" s="51"/>
    </row>
    <row r="5590">
      <c r="A5590" s="54"/>
      <c r="B5590" s="71"/>
      <c r="C5590" s="51"/>
      <c r="D5590" s="114"/>
      <c r="E5590" s="114"/>
      <c r="F5590" s="54"/>
      <c r="G5590" s="54"/>
      <c r="I5590" s="54"/>
      <c r="K5590" s="54"/>
      <c r="M5590" s="114"/>
      <c r="N5590" s="1"/>
      <c r="O5590" s="1"/>
      <c r="P5590" s="51"/>
    </row>
    <row r="5591">
      <c r="A5591" s="54"/>
      <c r="B5591" s="71"/>
      <c r="C5591" s="51"/>
      <c r="D5591" s="114"/>
      <c r="E5591" s="114"/>
      <c r="F5591" s="54"/>
      <c r="G5591" s="54"/>
      <c r="I5591" s="54"/>
      <c r="K5591" s="54"/>
      <c r="M5591" s="114"/>
      <c r="N5591" s="1"/>
      <c r="O5591" s="1"/>
      <c r="P5591" s="51"/>
    </row>
    <row r="5592">
      <c r="A5592" s="54"/>
      <c r="B5592" s="71"/>
      <c r="C5592" s="51"/>
      <c r="D5592" s="114"/>
      <c r="E5592" s="114"/>
      <c r="F5592" s="54"/>
      <c r="G5592" s="54"/>
      <c r="I5592" s="54"/>
      <c r="K5592" s="54"/>
      <c r="M5592" s="114"/>
      <c r="N5592" s="1"/>
      <c r="O5592" s="1"/>
      <c r="P5592" s="51"/>
    </row>
    <row r="5593">
      <c r="A5593" s="54"/>
      <c r="B5593" s="71"/>
      <c r="C5593" s="51"/>
      <c r="D5593" s="114"/>
      <c r="E5593" s="114"/>
      <c r="F5593" s="54"/>
      <c r="G5593" s="54"/>
      <c r="I5593" s="54"/>
      <c r="K5593" s="54"/>
      <c r="M5593" s="114"/>
      <c r="N5593" s="1"/>
      <c r="O5593" s="1"/>
      <c r="P5593" s="51"/>
    </row>
    <row r="5594">
      <c r="A5594" s="54"/>
      <c r="B5594" s="71"/>
      <c r="C5594" s="51"/>
      <c r="D5594" s="114"/>
      <c r="E5594" s="114"/>
      <c r="F5594" s="54"/>
      <c r="G5594" s="54"/>
      <c r="I5594" s="54"/>
      <c r="K5594" s="54"/>
      <c r="M5594" s="114"/>
      <c r="N5594" s="1"/>
      <c r="O5594" s="1"/>
      <c r="P5594" s="51"/>
    </row>
    <row r="5595">
      <c r="A5595" s="54"/>
      <c r="B5595" s="71"/>
      <c r="C5595" s="51"/>
      <c r="D5595" s="114"/>
      <c r="E5595" s="114"/>
      <c r="F5595" s="54"/>
      <c r="G5595" s="54"/>
      <c r="I5595" s="54"/>
      <c r="K5595" s="54"/>
      <c r="M5595" s="114"/>
      <c r="N5595" s="1"/>
      <c r="O5595" s="1"/>
      <c r="P5595" s="51"/>
    </row>
    <row r="5596">
      <c r="A5596" s="54"/>
      <c r="B5596" s="71"/>
      <c r="C5596" s="51"/>
      <c r="D5596" s="114"/>
      <c r="E5596" s="114"/>
      <c r="F5596" s="54"/>
      <c r="G5596" s="54"/>
      <c r="I5596" s="54"/>
      <c r="K5596" s="54"/>
      <c r="M5596" s="114"/>
      <c r="N5596" s="1"/>
      <c r="O5596" s="1"/>
      <c r="P5596" s="51"/>
    </row>
    <row r="5597">
      <c r="A5597" s="54"/>
      <c r="B5597" s="71"/>
      <c r="C5597" s="51"/>
      <c r="D5597" s="114"/>
      <c r="E5597" s="114"/>
      <c r="F5597" s="54"/>
      <c r="G5597" s="54"/>
      <c r="I5597" s="54"/>
      <c r="K5597" s="54"/>
      <c r="M5597" s="114"/>
      <c r="N5597" s="1"/>
      <c r="O5597" s="1"/>
      <c r="P5597" s="51"/>
    </row>
    <row r="5598">
      <c r="A5598" s="54"/>
      <c r="B5598" s="71"/>
      <c r="C5598" s="51"/>
      <c r="D5598" s="114"/>
      <c r="E5598" s="114"/>
      <c r="F5598" s="54"/>
      <c r="G5598" s="54"/>
      <c r="I5598" s="54"/>
      <c r="K5598" s="54"/>
      <c r="M5598" s="114"/>
      <c r="N5598" s="1"/>
      <c r="O5598" s="1"/>
      <c r="P5598" s="51"/>
    </row>
    <row r="5599">
      <c r="A5599" s="54"/>
      <c r="B5599" s="71"/>
      <c r="C5599" s="51"/>
      <c r="D5599" s="114"/>
      <c r="E5599" s="114"/>
      <c r="F5599" s="54"/>
      <c r="G5599" s="54"/>
      <c r="I5599" s="54"/>
      <c r="K5599" s="54"/>
      <c r="M5599" s="114"/>
      <c r="N5599" s="1"/>
      <c r="O5599" s="1"/>
      <c r="P5599" s="51"/>
    </row>
    <row r="5600">
      <c r="A5600" s="54"/>
      <c r="B5600" s="71"/>
      <c r="C5600" s="51"/>
      <c r="D5600" s="114"/>
      <c r="E5600" s="114"/>
      <c r="F5600" s="54"/>
      <c r="G5600" s="54"/>
      <c r="I5600" s="54"/>
      <c r="K5600" s="54"/>
      <c r="M5600" s="114"/>
      <c r="N5600" s="1"/>
      <c r="O5600" s="1"/>
      <c r="P5600" s="51"/>
    </row>
    <row r="5601">
      <c r="A5601" s="54"/>
      <c r="B5601" s="71"/>
      <c r="C5601" s="51"/>
      <c r="D5601" s="114"/>
      <c r="E5601" s="114"/>
      <c r="F5601" s="54"/>
      <c r="G5601" s="54"/>
      <c r="I5601" s="54"/>
      <c r="K5601" s="54"/>
      <c r="M5601" s="114"/>
      <c r="N5601" s="1"/>
      <c r="O5601" s="1"/>
      <c r="P5601" s="51"/>
    </row>
    <row r="5602">
      <c r="A5602" s="54"/>
      <c r="B5602" s="71"/>
      <c r="C5602" s="51"/>
      <c r="D5602" s="114"/>
      <c r="E5602" s="114"/>
      <c r="F5602" s="54"/>
      <c r="G5602" s="54"/>
      <c r="I5602" s="54"/>
      <c r="K5602" s="54"/>
      <c r="M5602" s="114"/>
      <c r="N5602" s="1"/>
      <c r="O5602" s="1"/>
      <c r="P5602" s="51"/>
    </row>
    <row r="5603">
      <c r="A5603" s="54"/>
      <c r="B5603" s="71"/>
      <c r="C5603" s="51"/>
      <c r="D5603" s="114"/>
      <c r="E5603" s="114"/>
      <c r="F5603" s="54"/>
      <c r="G5603" s="54"/>
      <c r="I5603" s="54"/>
      <c r="K5603" s="54"/>
      <c r="M5603" s="114"/>
      <c r="N5603" s="1"/>
      <c r="O5603" s="1"/>
      <c r="P5603" s="51"/>
    </row>
    <row r="5604">
      <c r="A5604" s="54"/>
      <c r="B5604" s="71"/>
      <c r="C5604" s="51"/>
      <c r="D5604" s="114"/>
      <c r="E5604" s="114"/>
      <c r="F5604" s="54"/>
      <c r="G5604" s="54"/>
      <c r="I5604" s="54"/>
      <c r="K5604" s="54"/>
      <c r="M5604" s="114"/>
      <c r="N5604" s="1"/>
      <c r="O5604" s="1"/>
      <c r="P5604" s="51"/>
    </row>
    <row r="5605">
      <c r="A5605" s="54"/>
      <c r="B5605" s="71"/>
      <c r="C5605" s="51"/>
      <c r="D5605" s="114"/>
      <c r="E5605" s="114"/>
      <c r="F5605" s="54"/>
      <c r="G5605" s="54"/>
      <c r="I5605" s="54"/>
      <c r="K5605" s="54"/>
      <c r="M5605" s="114"/>
      <c r="N5605" s="1"/>
      <c r="O5605" s="1"/>
      <c r="P5605" s="51"/>
    </row>
    <row r="5606">
      <c r="A5606" s="54"/>
      <c r="B5606" s="71"/>
      <c r="C5606" s="51"/>
      <c r="D5606" s="114"/>
      <c r="E5606" s="114"/>
      <c r="F5606" s="54"/>
      <c r="G5606" s="54"/>
      <c r="I5606" s="54"/>
      <c r="K5606" s="54"/>
      <c r="M5606" s="114"/>
      <c r="N5606" s="1"/>
      <c r="O5606" s="1"/>
      <c r="P5606" s="51"/>
    </row>
    <row r="5607">
      <c r="A5607" s="54"/>
      <c r="B5607" s="71"/>
      <c r="C5607" s="51"/>
      <c r="D5607" s="114"/>
      <c r="E5607" s="114"/>
      <c r="F5607" s="54"/>
      <c r="G5607" s="54"/>
      <c r="I5607" s="54"/>
      <c r="K5607" s="54"/>
      <c r="M5607" s="114"/>
      <c r="N5607" s="1"/>
      <c r="O5607" s="1"/>
      <c r="P5607" s="51"/>
    </row>
    <row r="5608">
      <c r="A5608" s="54"/>
      <c r="B5608" s="71"/>
      <c r="C5608" s="51"/>
      <c r="D5608" s="114"/>
      <c r="E5608" s="114"/>
      <c r="F5608" s="54"/>
      <c r="G5608" s="54"/>
      <c r="I5608" s="54"/>
      <c r="K5608" s="54"/>
      <c r="M5608" s="114"/>
      <c r="N5608" s="1"/>
      <c r="O5608" s="1"/>
      <c r="P5608" s="51"/>
    </row>
    <row r="5609">
      <c r="A5609" s="54"/>
      <c r="B5609" s="71"/>
      <c r="C5609" s="51"/>
      <c r="D5609" s="114"/>
      <c r="E5609" s="114"/>
      <c r="F5609" s="54"/>
      <c r="G5609" s="54"/>
      <c r="I5609" s="54"/>
      <c r="K5609" s="54"/>
      <c r="M5609" s="114"/>
      <c r="N5609" s="1"/>
      <c r="O5609" s="1"/>
      <c r="P5609" s="51"/>
    </row>
    <row r="5610">
      <c r="A5610" s="54"/>
      <c r="B5610" s="71"/>
      <c r="C5610" s="51"/>
      <c r="D5610" s="114"/>
      <c r="E5610" s="114"/>
      <c r="F5610" s="54"/>
      <c r="G5610" s="54"/>
      <c r="I5610" s="54"/>
      <c r="K5610" s="54"/>
      <c r="M5610" s="114"/>
      <c r="N5610" s="1"/>
      <c r="O5610" s="1"/>
      <c r="P5610" s="51"/>
    </row>
    <row r="5611">
      <c r="A5611" s="54"/>
      <c r="B5611" s="71"/>
      <c r="C5611" s="51"/>
      <c r="D5611" s="114"/>
      <c r="E5611" s="114"/>
      <c r="F5611" s="54"/>
      <c r="G5611" s="54"/>
      <c r="I5611" s="54"/>
      <c r="K5611" s="54"/>
      <c r="M5611" s="114"/>
      <c r="N5611" s="1"/>
      <c r="O5611" s="1"/>
      <c r="P5611" s="51"/>
    </row>
    <row r="5612">
      <c r="A5612" s="54"/>
      <c r="B5612" s="71"/>
      <c r="C5612" s="51"/>
      <c r="D5612" s="114"/>
      <c r="E5612" s="114"/>
      <c r="F5612" s="54"/>
      <c r="G5612" s="54"/>
      <c r="I5612" s="54"/>
      <c r="K5612" s="54"/>
      <c r="M5612" s="114"/>
      <c r="N5612" s="1"/>
      <c r="O5612" s="1"/>
      <c r="P5612" s="51"/>
    </row>
    <row r="5613">
      <c r="A5613" s="54"/>
      <c r="B5613" s="71"/>
      <c r="C5613" s="51"/>
      <c r="D5613" s="114"/>
      <c r="E5613" s="114"/>
      <c r="F5613" s="54"/>
      <c r="G5613" s="54"/>
      <c r="I5613" s="54"/>
      <c r="K5613" s="54"/>
      <c r="M5613" s="114"/>
      <c r="N5613" s="1"/>
      <c r="O5613" s="1"/>
      <c r="P5613" s="51"/>
    </row>
    <row r="5614">
      <c r="A5614" s="54"/>
      <c r="B5614" s="71"/>
      <c r="C5614" s="51"/>
      <c r="D5614" s="114"/>
      <c r="E5614" s="114"/>
      <c r="F5614" s="54"/>
      <c r="G5614" s="54"/>
      <c r="I5614" s="54"/>
      <c r="K5614" s="54"/>
      <c r="M5614" s="114"/>
      <c r="N5614" s="1"/>
      <c r="O5614" s="1"/>
      <c r="P5614" s="51"/>
    </row>
    <row r="5615">
      <c r="A5615" s="54"/>
      <c r="B5615" s="71"/>
      <c r="C5615" s="51"/>
      <c r="D5615" s="114"/>
      <c r="E5615" s="114"/>
      <c r="F5615" s="54"/>
      <c r="G5615" s="54"/>
      <c r="I5615" s="54"/>
      <c r="K5615" s="54"/>
      <c r="M5615" s="114"/>
      <c r="N5615" s="1"/>
      <c r="O5615" s="1"/>
      <c r="P5615" s="51"/>
    </row>
    <row r="5616">
      <c r="A5616" s="54"/>
      <c r="B5616" s="71"/>
      <c r="C5616" s="51"/>
      <c r="D5616" s="114"/>
      <c r="E5616" s="114"/>
      <c r="F5616" s="54"/>
      <c r="G5616" s="54"/>
      <c r="I5616" s="54"/>
      <c r="K5616" s="54"/>
      <c r="M5616" s="114"/>
      <c r="N5616" s="1"/>
      <c r="O5616" s="1"/>
      <c r="P5616" s="51"/>
    </row>
    <row r="5617">
      <c r="A5617" s="54"/>
      <c r="B5617" s="71"/>
      <c r="C5617" s="51"/>
      <c r="D5617" s="114"/>
      <c r="E5617" s="114"/>
      <c r="F5617" s="54"/>
      <c r="G5617" s="54"/>
      <c r="I5617" s="54"/>
      <c r="K5617" s="54"/>
      <c r="M5617" s="114"/>
      <c r="N5617" s="1"/>
      <c r="O5617" s="1"/>
      <c r="P5617" s="51"/>
    </row>
    <row r="5618">
      <c r="A5618" s="54"/>
      <c r="B5618" s="71"/>
      <c r="C5618" s="51"/>
      <c r="D5618" s="114"/>
      <c r="E5618" s="114"/>
      <c r="F5618" s="54"/>
      <c r="G5618" s="54"/>
      <c r="I5618" s="54"/>
      <c r="K5618" s="54"/>
      <c r="M5618" s="114"/>
      <c r="N5618" s="1"/>
      <c r="O5618" s="1"/>
      <c r="P5618" s="51"/>
    </row>
    <row r="5619">
      <c r="A5619" s="54"/>
      <c r="B5619" s="71"/>
      <c r="C5619" s="51"/>
      <c r="D5619" s="114"/>
      <c r="E5619" s="114"/>
      <c r="F5619" s="54"/>
      <c r="G5619" s="54"/>
      <c r="I5619" s="54"/>
      <c r="K5619" s="54"/>
      <c r="M5619" s="114"/>
      <c r="N5619" s="1"/>
      <c r="O5619" s="1"/>
      <c r="P5619" s="51"/>
    </row>
    <row r="5620">
      <c r="A5620" s="54"/>
      <c r="B5620" s="71"/>
      <c r="C5620" s="51"/>
      <c r="D5620" s="114"/>
      <c r="E5620" s="114"/>
      <c r="F5620" s="54"/>
      <c r="G5620" s="54"/>
      <c r="I5620" s="54"/>
      <c r="K5620" s="54"/>
      <c r="M5620" s="114"/>
      <c r="N5620" s="1"/>
      <c r="O5620" s="1"/>
      <c r="P5620" s="51"/>
    </row>
    <row r="5621">
      <c r="A5621" s="54"/>
      <c r="B5621" s="71"/>
      <c r="C5621" s="51"/>
      <c r="D5621" s="114"/>
      <c r="E5621" s="114"/>
      <c r="F5621" s="54"/>
      <c r="G5621" s="54"/>
      <c r="I5621" s="54"/>
      <c r="K5621" s="54"/>
      <c r="M5621" s="114"/>
      <c r="N5621" s="1"/>
      <c r="O5621" s="1"/>
      <c r="P5621" s="51"/>
    </row>
    <row r="5622">
      <c r="A5622" s="54"/>
      <c r="B5622" s="71"/>
      <c r="C5622" s="51"/>
      <c r="D5622" s="114"/>
      <c r="E5622" s="114"/>
      <c r="F5622" s="54"/>
      <c r="G5622" s="54"/>
      <c r="I5622" s="54"/>
      <c r="K5622" s="54"/>
      <c r="M5622" s="114"/>
      <c r="N5622" s="1"/>
      <c r="O5622" s="1"/>
      <c r="P5622" s="51"/>
    </row>
    <row r="5623">
      <c r="A5623" s="54"/>
      <c r="B5623" s="71"/>
      <c r="C5623" s="51"/>
      <c r="D5623" s="114"/>
      <c r="E5623" s="114"/>
      <c r="F5623" s="54"/>
      <c r="G5623" s="54"/>
      <c r="I5623" s="54"/>
      <c r="K5623" s="54"/>
      <c r="M5623" s="114"/>
      <c r="N5623" s="1"/>
      <c r="O5623" s="1"/>
      <c r="P5623" s="51"/>
    </row>
    <row r="5624">
      <c r="A5624" s="54"/>
      <c r="B5624" s="71"/>
      <c r="C5624" s="51"/>
      <c r="D5624" s="114"/>
      <c r="E5624" s="114"/>
      <c r="F5624" s="54"/>
      <c r="G5624" s="54"/>
      <c r="I5624" s="54"/>
      <c r="K5624" s="54"/>
      <c r="M5624" s="114"/>
      <c r="N5624" s="1"/>
      <c r="O5624" s="1"/>
      <c r="P5624" s="51"/>
    </row>
    <row r="5625">
      <c r="A5625" s="54"/>
      <c r="B5625" s="71"/>
      <c r="C5625" s="51"/>
      <c r="D5625" s="114"/>
      <c r="E5625" s="114"/>
      <c r="F5625" s="54"/>
      <c r="G5625" s="54"/>
      <c r="I5625" s="54"/>
      <c r="K5625" s="54"/>
      <c r="M5625" s="114"/>
      <c r="N5625" s="1"/>
      <c r="O5625" s="1"/>
      <c r="P5625" s="51"/>
    </row>
    <row r="5626">
      <c r="A5626" s="54"/>
      <c r="B5626" s="71"/>
      <c r="C5626" s="51"/>
      <c r="D5626" s="114"/>
      <c r="E5626" s="114"/>
      <c r="F5626" s="54"/>
      <c r="G5626" s="54"/>
      <c r="I5626" s="54"/>
      <c r="K5626" s="54"/>
      <c r="M5626" s="114"/>
      <c r="N5626" s="1"/>
      <c r="O5626" s="1"/>
      <c r="P5626" s="51"/>
    </row>
    <row r="5627">
      <c r="A5627" s="54"/>
      <c r="B5627" s="71"/>
      <c r="C5627" s="51"/>
      <c r="D5627" s="114"/>
      <c r="E5627" s="114"/>
      <c r="F5627" s="54"/>
      <c r="G5627" s="54"/>
      <c r="I5627" s="54"/>
      <c r="K5627" s="54"/>
      <c r="M5627" s="114"/>
      <c r="N5627" s="1"/>
      <c r="O5627" s="1"/>
      <c r="P5627" s="51"/>
    </row>
    <row r="5628">
      <c r="A5628" s="54"/>
      <c r="B5628" s="71"/>
      <c r="C5628" s="51"/>
      <c r="D5628" s="114"/>
      <c r="E5628" s="114"/>
      <c r="F5628" s="54"/>
      <c r="G5628" s="54"/>
      <c r="I5628" s="54"/>
      <c r="K5628" s="54"/>
      <c r="M5628" s="114"/>
      <c r="N5628" s="1"/>
      <c r="O5628" s="1"/>
      <c r="P5628" s="51"/>
    </row>
    <row r="5629">
      <c r="A5629" s="54"/>
      <c r="B5629" s="71"/>
      <c r="C5629" s="51"/>
      <c r="D5629" s="114"/>
      <c r="E5629" s="114"/>
      <c r="F5629" s="54"/>
      <c r="G5629" s="54"/>
      <c r="I5629" s="54"/>
      <c r="K5629" s="54"/>
      <c r="M5629" s="114"/>
      <c r="N5629" s="1"/>
      <c r="O5629" s="1"/>
      <c r="P5629" s="51"/>
    </row>
    <row r="5630">
      <c r="A5630" s="54"/>
      <c r="B5630" s="71"/>
      <c r="C5630" s="51"/>
      <c r="D5630" s="114"/>
      <c r="E5630" s="114"/>
      <c r="F5630" s="54"/>
      <c r="G5630" s="54"/>
      <c r="I5630" s="54"/>
      <c r="K5630" s="54"/>
      <c r="M5630" s="114"/>
      <c r="N5630" s="1"/>
      <c r="O5630" s="1"/>
      <c r="P5630" s="51"/>
    </row>
    <row r="5631">
      <c r="A5631" s="54"/>
      <c r="B5631" s="71"/>
      <c r="C5631" s="51"/>
      <c r="D5631" s="114"/>
      <c r="E5631" s="114"/>
      <c r="F5631" s="54"/>
      <c r="G5631" s="54"/>
      <c r="I5631" s="54"/>
      <c r="K5631" s="54"/>
      <c r="M5631" s="114"/>
      <c r="N5631" s="1"/>
      <c r="O5631" s="1"/>
      <c r="P5631" s="51"/>
    </row>
    <row r="5632">
      <c r="A5632" s="54"/>
      <c r="B5632" s="71"/>
      <c r="C5632" s="51"/>
      <c r="D5632" s="114"/>
      <c r="E5632" s="114"/>
      <c r="F5632" s="54"/>
      <c r="G5632" s="54"/>
      <c r="I5632" s="54"/>
      <c r="K5632" s="54"/>
      <c r="M5632" s="114"/>
      <c r="N5632" s="1"/>
      <c r="O5632" s="1"/>
      <c r="P5632" s="51"/>
    </row>
    <row r="5633">
      <c r="A5633" s="54"/>
      <c r="B5633" s="71"/>
      <c r="C5633" s="51"/>
      <c r="D5633" s="114"/>
      <c r="E5633" s="114"/>
      <c r="F5633" s="54"/>
      <c r="G5633" s="54"/>
      <c r="I5633" s="54"/>
      <c r="K5633" s="54"/>
      <c r="M5633" s="114"/>
      <c r="N5633" s="1"/>
      <c r="O5633" s="1"/>
      <c r="P5633" s="51"/>
    </row>
    <row r="5634">
      <c r="A5634" s="54"/>
      <c r="B5634" s="71"/>
      <c r="C5634" s="51"/>
      <c r="D5634" s="114"/>
      <c r="E5634" s="114"/>
      <c r="F5634" s="54"/>
      <c r="G5634" s="54"/>
      <c r="I5634" s="54"/>
      <c r="K5634" s="54"/>
      <c r="M5634" s="114"/>
      <c r="N5634" s="1"/>
      <c r="O5634" s="1"/>
      <c r="P5634" s="51"/>
    </row>
    <row r="5635">
      <c r="A5635" s="54"/>
      <c r="B5635" s="71"/>
      <c r="C5635" s="51"/>
      <c r="D5635" s="114"/>
      <c r="E5635" s="114"/>
      <c r="F5635" s="54"/>
      <c r="G5635" s="54"/>
      <c r="I5635" s="54"/>
      <c r="K5635" s="54"/>
      <c r="M5635" s="114"/>
      <c r="N5635" s="1"/>
      <c r="O5635" s="1"/>
      <c r="P5635" s="51"/>
    </row>
    <row r="5636">
      <c r="A5636" s="54"/>
      <c r="B5636" s="71"/>
      <c r="C5636" s="51"/>
      <c r="D5636" s="114"/>
      <c r="E5636" s="114"/>
      <c r="F5636" s="54"/>
      <c r="G5636" s="54"/>
      <c r="I5636" s="54"/>
      <c r="K5636" s="54"/>
      <c r="M5636" s="114"/>
      <c r="N5636" s="1"/>
      <c r="O5636" s="1"/>
      <c r="P5636" s="51"/>
    </row>
    <row r="5637">
      <c r="A5637" s="54"/>
      <c r="B5637" s="71"/>
      <c r="C5637" s="51"/>
      <c r="D5637" s="114"/>
      <c r="E5637" s="114"/>
      <c r="F5637" s="54"/>
      <c r="G5637" s="54"/>
      <c r="I5637" s="54"/>
      <c r="K5637" s="54"/>
      <c r="M5637" s="114"/>
      <c r="N5637" s="1"/>
      <c r="O5637" s="1"/>
      <c r="P5637" s="51"/>
    </row>
    <row r="5638">
      <c r="A5638" s="54"/>
      <c r="B5638" s="71"/>
      <c r="C5638" s="51"/>
      <c r="D5638" s="114"/>
      <c r="E5638" s="114"/>
      <c r="F5638" s="54"/>
      <c r="G5638" s="54"/>
      <c r="I5638" s="54"/>
      <c r="K5638" s="54"/>
      <c r="M5638" s="114"/>
      <c r="N5638" s="1"/>
      <c r="O5638" s="1"/>
      <c r="P5638" s="51"/>
    </row>
    <row r="5639">
      <c r="A5639" s="54"/>
      <c r="B5639" s="71"/>
      <c r="C5639" s="51"/>
      <c r="D5639" s="114"/>
      <c r="E5639" s="114"/>
      <c r="F5639" s="54"/>
      <c r="G5639" s="54"/>
      <c r="I5639" s="54"/>
      <c r="K5639" s="54"/>
      <c r="M5639" s="114"/>
      <c r="N5639" s="1"/>
      <c r="O5639" s="1"/>
      <c r="P5639" s="51"/>
    </row>
    <row r="5640">
      <c r="A5640" s="54"/>
      <c r="B5640" s="71"/>
      <c r="C5640" s="51"/>
      <c r="D5640" s="114"/>
      <c r="E5640" s="114"/>
      <c r="F5640" s="54"/>
      <c r="G5640" s="54"/>
      <c r="I5640" s="54"/>
      <c r="K5640" s="54"/>
      <c r="M5640" s="114"/>
      <c r="N5640" s="1"/>
      <c r="O5640" s="1"/>
      <c r="P5640" s="51"/>
    </row>
    <row r="5641">
      <c r="A5641" s="54"/>
      <c r="B5641" s="71"/>
      <c r="C5641" s="51"/>
      <c r="D5641" s="114"/>
      <c r="E5641" s="114"/>
      <c r="F5641" s="54"/>
      <c r="G5641" s="54"/>
      <c r="I5641" s="54"/>
      <c r="K5641" s="54"/>
      <c r="M5641" s="114"/>
      <c r="N5641" s="1"/>
      <c r="O5641" s="1"/>
      <c r="P5641" s="51"/>
    </row>
    <row r="5642">
      <c r="A5642" s="54"/>
      <c r="B5642" s="71"/>
      <c r="C5642" s="51"/>
      <c r="D5642" s="114"/>
      <c r="E5642" s="114"/>
      <c r="F5642" s="54"/>
      <c r="G5642" s="54"/>
      <c r="I5642" s="54"/>
      <c r="K5642" s="54"/>
      <c r="M5642" s="114"/>
      <c r="N5642" s="1"/>
      <c r="O5642" s="1"/>
      <c r="P5642" s="51"/>
    </row>
    <row r="5643">
      <c r="A5643" s="54"/>
      <c r="B5643" s="71"/>
      <c r="C5643" s="51"/>
      <c r="D5643" s="114"/>
      <c r="E5643" s="114"/>
      <c r="F5643" s="54"/>
      <c r="G5643" s="54"/>
      <c r="I5643" s="54"/>
      <c r="K5643" s="54"/>
      <c r="M5643" s="114"/>
      <c r="N5643" s="1"/>
      <c r="O5643" s="1"/>
      <c r="P5643" s="51"/>
    </row>
    <row r="5644">
      <c r="A5644" s="54"/>
      <c r="B5644" s="71"/>
      <c r="C5644" s="51"/>
      <c r="D5644" s="114"/>
      <c r="E5644" s="114"/>
      <c r="F5644" s="54"/>
      <c r="G5644" s="54"/>
      <c r="I5644" s="54"/>
      <c r="K5644" s="54"/>
      <c r="M5644" s="114"/>
      <c r="N5644" s="1"/>
      <c r="O5644" s="1"/>
      <c r="P5644" s="51"/>
    </row>
    <row r="5645">
      <c r="A5645" s="54"/>
      <c r="B5645" s="71"/>
      <c r="C5645" s="51"/>
      <c r="D5645" s="114"/>
      <c r="E5645" s="114"/>
      <c r="F5645" s="54"/>
      <c r="G5645" s="54"/>
      <c r="I5645" s="54"/>
      <c r="K5645" s="54"/>
      <c r="M5645" s="114"/>
      <c r="N5645" s="1"/>
      <c r="O5645" s="1"/>
      <c r="P5645" s="51"/>
    </row>
    <row r="5646">
      <c r="A5646" s="54"/>
      <c r="B5646" s="71"/>
      <c r="C5646" s="51"/>
      <c r="D5646" s="114"/>
      <c r="E5646" s="114"/>
      <c r="F5646" s="54"/>
      <c r="G5646" s="54"/>
      <c r="I5646" s="54"/>
      <c r="K5646" s="54"/>
      <c r="M5646" s="114"/>
      <c r="N5646" s="1"/>
      <c r="O5646" s="1"/>
      <c r="P5646" s="51"/>
    </row>
    <row r="5647">
      <c r="A5647" s="54"/>
      <c r="B5647" s="71"/>
      <c r="C5647" s="51"/>
      <c r="D5647" s="114"/>
      <c r="E5647" s="114"/>
      <c r="F5647" s="54"/>
      <c r="G5647" s="54"/>
      <c r="I5647" s="54"/>
      <c r="K5647" s="54"/>
      <c r="M5647" s="114"/>
      <c r="N5647" s="1"/>
      <c r="O5647" s="1"/>
      <c r="P5647" s="51"/>
    </row>
    <row r="5648">
      <c r="A5648" s="54"/>
      <c r="B5648" s="71"/>
      <c r="C5648" s="51"/>
      <c r="D5648" s="114"/>
      <c r="E5648" s="114"/>
      <c r="F5648" s="54"/>
      <c r="G5648" s="54"/>
      <c r="I5648" s="54"/>
      <c r="K5648" s="54"/>
      <c r="M5648" s="114"/>
      <c r="N5648" s="1"/>
      <c r="O5648" s="1"/>
      <c r="P5648" s="51"/>
    </row>
    <row r="5649">
      <c r="A5649" s="54"/>
      <c r="B5649" s="71"/>
      <c r="C5649" s="51"/>
      <c r="D5649" s="114"/>
      <c r="E5649" s="114"/>
      <c r="F5649" s="54"/>
      <c r="G5649" s="54"/>
      <c r="I5649" s="54"/>
      <c r="K5649" s="54"/>
      <c r="M5649" s="114"/>
      <c r="N5649" s="1"/>
      <c r="O5649" s="1"/>
      <c r="P5649" s="51"/>
    </row>
    <row r="5650">
      <c r="A5650" s="54"/>
      <c r="B5650" s="71"/>
      <c r="C5650" s="51"/>
      <c r="D5650" s="114"/>
      <c r="E5650" s="114"/>
      <c r="F5650" s="54"/>
      <c r="G5650" s="54"/>
      <c r="I5650" s="54"/>
      <c r="K5650" s="54"/>
      <c r="M5650" s="114"/>
      <c r="N5650" s="1"/>
      <c r="O5650" s="1"/>
      <c r="P5650" s="51"/>
    </row>
    <row r="5651">
      <c r="A5651" s="54"/>
      <c r="B5651" s="71"/>
      <c r="C5651" s="51"/>
      <c r="D5651" s="114"/>
      <c r="E5651" s="114"/>
      <c r="F5651" s="54"/>
      <c r="G5651" s="54"/>
      <c r="I5651" s="54"/>
      <c r="K5651" s="54"/>
      <c r="M5651" s="114"/>
      <c r="N5651" s="1"/>
      <c r="O5651" s="1"/>
      <c r="P5651" s="51"/>
    </row>
    <row r="5652">
      <c r="A5652" s="54"/>
      <c r="B5652" s="71"/>
      <c r="C5652" s="51"/>
      <c r="D5652" s="114"/>
      <c r="E5652" s="114"/>
      <c r="F5652" s="54"/>
      <c r="G5652" s="54"/>
      <c r="I5652" s="54"/>
      <c r="K5652" s="54"/>
      <c r="M5652" s="114"/>
      <c r="N5652" s="1"/>
      <c r="O5652" s="1"/>
      <c r="P5652" s="51"/>
    </row>
    <row r="5653">
      <c r="A5653" s="54"/>
      <c r="B5653" s="71"/>
      <c r="C5653" s="51"/>
      <c r="D5653" s="114"/>
      <c r="E5653" s="114"/>
      <c r="F5653" s="54"/>
      <c r="G5653" s="54"/>
      <c r="I5653" s="54"/>
      <c r="K5653" s="54"/>
      <c r="M5653" s="114"/>
      <c r="N5653" s="1"/>
      <c r="O5653" s="1"/>
      <c r="P5653" s="51"/>
    </row>
    <row r="5654">
      <c r="A5654" s="54"/>
      <c r="B5654" s="71"/>
      <c r="C5654" s="51"/>
      <c r="D5654" s="114"/>
      <c r="E5654" s="114"/>
      <c r="F5654" s="54"/>
      <c r="G5654" s="54"/>
      <c r="I5654" s="54"/>
      <c r="K5654" s="54"/>
      <c r="M5654" s="114"/>
      <c r="N5654" s="1"/>
      <c r="O5654" s="1"/>
      <c r="P5654" s="51"/>
    </row>
    <row r="5655">
      <c r="A5655" s="54"/>
      <c r="B5655" s="71"/>
      <c r="C5655" s="51"/>
      <c r="D5655" s="114"/>
      <c r="E5655" s="114"/>
      <c r="F5655" s="54"/>
      <c r="G5655" s="54"/>
      <c r="I5655" s="54"/>
      <c r="K5655" s="54"/>
      <c r="M5655" s="114"/>
      <c r="N5655" s="1"/>
      <c r="O5655" s="1"/>
      <c r="P5655" s="51"/>
    </row>
    <row r="5656">
      <c r="A5656" s="54"/>
      <c r="B5656" s="71"/>
      <c r="C5656" s="51"/>
      <c r="D5656" s="114"/>
      <c r="E5656" s="114"/>
      <c r="F5656" s="54"/>
      <c r="G5656" s="54"/>
      <c r="I5656" s="54"/>
      <c r="K5656" s="54"/>
      <c r="M5656" s="114"/>
      <c r="N5656" s="1"/>
      <c r="O5656" s="1"/>
      <c r="P5656" s="51"/>
    </row>
    <row r="5657">
      <c r="A5657" s="54"/>
      <c r="B5657" s="71"/>
      <c r="C5657" s="51"/>
      <c r="D5657" s="114"/>
      <c r="E5657" s="114"/>
      <c r="F5657" s="54"/>
      <c r="G5657" s="54"/>
      <c r="I5657" s="54"/>
      <c r="K5657" s="54"/>
      <c r="M5657" s="114"/>
      <c r="N5657" s="1"/>
      <c r="O5657" s="1"/>
      <c r="P5657" s="51"/>
    </row>
    <row r="5658">
      <c r="A5658" s="54"/>
      <c r="B5658" s="71"/>
      <c r="C5658" s="51"/>
      <c r="D5658" s="114"/>
      <c r="E5658" s="114"/>
      <c r="F5658" s="54"/>
      <c r="G5658" s="54"/>
      <c r="I5658" s="54"/>
      <c r="K5658" s="54"/>
      <c r="M5658" s="114"/>
      <c r="N5658" s="1"/>
      <c r="O5658" s="1"/>
      <c r="P5658" s="51"/>
    </row>
    <row r="5659">
      <c r="A5659" s="54"/>
      <c r="B5659" s="71"/>
      <c r="C5659" s="51"/>
      <c r="D5659" s="114"/>
      <c r="E5659" s="114"/>
      <c r="F5659" s="54"/>
      <c r="G5659" s="54"/>
      <c r="I5659" s="54"/>
      <c r="K5659" s="54"/>
      <c r="M5659" s="114"/>
      <c r="N5659" s="1"/>
      <c r="O5659" s="1"/>
      <c r="P5659" s="51"/>
    </row>
    <row r="5660">
      <c r="A5660" s="54"/>
      <c r="B5660" s="71"/>
      <c r="C5660" s="51"/>
      <c r="D5660" s="114"/>
      <c r="E5660" s="114"/>
      <c r="F5660" s="54"/>
      <c r="G5660" s="54"/>
      <c r="I5660" s="54"/>
      <c r="K5660" s="54"/>
      <c r="M5660" s="114"/>
      <c r="N5660" s="1"/>
      <c r="O5660" s="1"/>
      <c r="P5660" s="51"/>
    </row>
    <row r="5661">
      <c r="A5661" s="54"/>
      <c r="B5661" s="71"/>
      <c r="C5661" s="51"/>
      <c r="D5661" s="114"/>
      <c r="E5661" s="114"/>
      <c r="F5661" s="54"/>
      <c r="G5661" s="54"/>
      <c r="I5661" s="54"/>
      <c r="K5661" s="54"/>
      <c r="M5661" s="114"/>
      <c r="N5661" s="1"/>
      <c r="O5661" s="1"/>
      <c r="P5661" s="51"/>
    </row>
    <row r="5662">
      <c r="A5662" s="54"/>
      <c r="B5662" s="71"/>
      <c r="C5662" s="51"/>
      <c r="D5662" s="114"/>
      <c r="E5662" s="114"/>
      <c r="F5662" s="54"/>
      <c r="G5662" s="54"/>
      <c r="I5662" s="54"/>
      <c r="K5662" s="54"/>
      <c r="M5662" s="114"/>
      <c r="N5662" s="1"/>
      <c r="O5662" s="1"/>
      <c r="P5662" s="51"/>
    </row>
    <row r="5663">
      <c r="A5663" s="54"/>
      <c r="B5663" s="71"/>
      <c r="C5663" s="51"/>
      <c r="D5663" s="114"/>
      <c r="E5663" s="114"/>
      <c r="F5663" s="54"/>
      <c r="G5663" s="54"/>
      <c r="I5663" s="54"/>
      <c r="K5663" s="54"/>
      <c r="M5663" s="114"/>
      <c r="N5663" s="1"/>
      <c r="O5663" s="1"/>
      <c r="P5663" s="51"/>
    </row>
    <row r="5664">
      <c r="A5664" s="54"/>
      <c r="B5664" s="71"/>
      <c r="C5664" s="51"/>
      <c r="D5664" s="114"/>
      <c r="E5664" s="114"/>
      <c r="F5664" s="54"/>
      <c r="G5664" s="54"/>
      <c r="I5664" s="54"/>
      <c r="K5664" s="54"/>
      <c r="M5664" s="114"/>
      <c r="N5664" s="1"/>
      <c r="O5664" s="1"/>
      <c r="P5664" s="51"/>
    </row>
    <row r="5665">
      <c r="A5665" s="54"/>
      <c r="B5665" s="71"/>
      <c r="C5665" s="51"/>
      <c r="D5665" s="114"/>
      <c r="E5665" s="114"/>
      <c r="F5665" s="54"/>
      <c r="G5665" s="54"/>
      <c r="I5665" s="54"/>
      <c r="K5665" s="54"/>
      <c r="M5665" s="114"/>
      <c r="N5665" s="1"/>
      <c r="O5665" s="1"/>
      <c r="P5665" s="51"/>
    </row>
    <row r="5666">
      <c r="A5666" s="54"/>
      <c r="B5666" s="71"/>
      <c r="C5666" s="51"/>
      <c r="D5666" s="114"/>
      <c r="E5666" s="114"/>
      <c r="F5666" s="54"/>
      <c r="G5666" s="54"/>
      <c r="I5666" s="54"/>
      <c r="K5666" s="54"/>
      <c r="M5666" s="114"/>
      <c r="N5666" s="1"/>
      <c r="O5666" s="1"/>
      <c r="P5666" s="51"/>
    </row>
    <row r="5667">
      <c r="A5667" s="54"/>
      <c r="B5667" s="71"/>
      <c r="C5667" s="51"/>
      <c r="D5667" s="114"/>
      <c r="E5667" s="114"/>
      <c r="F5667" s="54"/>
      <c r="G5667" s="54"/>
      <c r="I5667" s="54"/>
      <c r="K5667" s="54"/>
      <c r="M5667" s="114"/>
      <c r="N5667" s="1"/>
      <c r="O5667" s="1"/>
      <c r="P5667" s="51"/>
    </row>
    <row r="5668">
      <c r="A5668" s="54"/>
      <c r="B5668" s="71"/>
      <c r="C5668" s="51"/>
      <c r="D5668" s="114"/>
      <c r="E5668" s="114"/>
      <c r="F5668" s="54"/>
      <c r="G5668" s="54"/>
      <c r="I5668" s="54"/>
      <c r="K5668" s="54"/>
      <c r="M5668" s="114"/>
      <c r="N5668" s="1"/>
      <c r="O5668" s="1"/>
      <c r="P5668" s="51"/>
    </row>
    <row r="5669">
      <c r="A5669" s="54"/>
      <c r="B5669" s="71"/>
      <c r="C5669" s="51"/>
      <c r="D5669" s="114"/>
      <c r="E5669" s="114"/>
      <c r="F5669" s="54"/>
      <c r="G5669" s="54"/>
      <c r="I5669" s="54"/>
      <c r="K5669" s="54"/>
      <c r="M5669" s="114"/>
      <c r="N5669" s="1"/>
      <c r="O5669" s="1"/>
      <c r="P5669" s="51"/>
    </row>
    <row r="5670">
      <c r="A5670" s="54"/>
      <c r="B5670" s="71"/>
      <c r="C5670" s="51"/>
      <c r="D5670" s="114"/>
      <c r="E5670" s="114"/>
      <c r="F5670" s="54"/>
      <c r="G5670" s="54"/>
      <c r="I5670" s="54"/>
      <c r="K5670" s="54"/>
      <c r="M5670" s="114"/>
      <c r="N5670" s="1"/>
      <c r="O5670" s="1"/>
      <c r="P5670" s="51"/>
    </row>
    <row r="5671">
      <c r="A5671" s="54"/>
      <c r="B5671" s="71"/>
      <c r="C5671" s="51"/>
      <c r="D5671" s="114"/>
      <c r="E5671" s="114"/>
      <c r="F5671" s="54"/>
      <c r="G5671" s="54"/>
      <c r="I5671" s="54"/>
      <c r="K5671" s="54"/>
      <c r="M5671" s="114"/>
      <c r="N5671" s="1"/>
      <c r="O5671" s="1"/>
      <c r="P5671" s="51"/>
    </row>
    <row r="5672">
      <c r="A5672" s="54"/>
      <c r="B5672" s="71"/>
      <c r="C5672" s="51"/>
      <c r="D5672" s="114"/>
      <c r="E5672" s="114"/>
      <c r="F5672" s="54"/>
      <c r="G5672" s="54"/>
      <c r="I5672" s="54"/>
      <c r="K5672" s="54"/>
      <c r="M5672" s="114"/>
      <c r="N5672" s="1"/>
      <c r="O5672" s="1"/>
      <c r="P5672" s="51"/>
    </row>
    <row r="5673">
      <c r="A5673" s="54"/>
      <c r="B5673" s="71"/>
      <c r="C5673" s="51"/>
      <c r="D5673" s="114"/>
      <c r="E5673" s="114"/>
      <c r="F5673" s="54"/>
      <c r="G5673" s="54"/>
      <c r="I5673" s="54"/>
      <c r="K5673" s="54"/>
      <c r="M5673" s="114"/>
      <c r="N5673" s="1"/>
      <c r="O5673" s="1"/>
      <c r="P5673" s="51"/>
    </row>
    <row r="5674">
      <c r="A5674" s="54"/>
      <c r="B5674" s="71"/>
      <c r="C5674" s="51"/>
      <c r="D5674" s="114"/>
      <c r="E5674" s="114"/>
      <c r="F5674" s="54"/>
      <c r="G5674" s="54"/>
      <c r="I5674" s="54"/>
      <c r="K5674" s="54"/>
      <c r="M5674" s="114"/>
      <c r="N5674" s="1"/>
      <c r="O5674" s="1"/>
      <c r="P5674" s="51"/>
    </row>
    <row r="5675">
      <c r="A5675" s="54"/>
      <c r="B5675" s="71"/>
      <c r="C5675" s="51"/>
      <c r="D5675" s="114"/>
      <c r="E5675" s="114"/>
      <c r="F5675" s="54"/>
      <c r="G5675" s="54"/>
      <c r="I5675" s="54"/>
      <c r="K5675" s="54"/>
      <c r="M5675" s="114"/>
      <c r="N5675" s="1"/>
      <c r="O5675" s="1"/>
      <c r="P5675" s="51"/>
    </row>
    <row r="5676">
      <c r="A5676" s="54"/>
      <c r="B5676" s="71"/>
      <c r="C5676" s="51"/>
      <c r="D5676" s="114"/>
      <c r="E5676" s="114"/>
      <c r="F5676" s="54"/>
      <c r="G5676" s="54"/>
      <c r="I5676" s="54"/>
      <c r="K5676" s="54"/>
      <c r="M5676" s="114"/>
      <c r="N5676" s="1"/>
      <c r="O5676" s="1"/>
      <c r="P5676" s="51"/>
    </row>
    <row r="5677">
      <c r="A5677" s="54"/>
      <c r="B5677" s="71"/>
      <c r="C5677" s="51"/>
      <c r="D5677" s="114"/>
      <c r="E5677" s="114"/>
      <c r="F5677" s="54"/>
      <c r="G5677" s="54"/>
      <c r="I5677" s="54"/>
      <c r="K5677" s="54"/>
      <c r="M5677" s="114"/>
      <c r="N5677" s="1"/>
      <c r="O5677" s="1"/>
      <c r="P5677" s="51"/>
    </row>
    <row r="5678">
      <c r="A5678" s="54"/>
      <c r="B5678" s="71"/>
      <c r="C5678" s="51"/>
      <c r="D5678" s="114"/>
      <c r="E5678" s="114"/>
      <c r="F5678" s="54"/>
      <c r="G5678" s="54"/>
      <c r="I5678" s="54"/>
      <c r="K5678" s="54"/>
      <c r="M5678" s="114"/>
      <c r="N5678" s="1"/>
      <c r="O5678" s="1"/>
      <c r="P5678" s="51"/>
    </row>
    <row r="5679">
      <c r="A5679" s="54"/>
      <c r="B5679" s="71"/>
      <c r="C5679" s="51"/>
      <c r="D5679" s="114"/>
      <c r="E5679" s="114"/>
      <c r="F5679" s="54"/>
      <c r="G5679" s="54"/>
      <c r="I5679" s="54"/>
      <c r="K5679" s="54"/>
      <c r="M5679" s="114"/>
      <c r="N5679" s="1"/>
      <c r="O5679" s="1"/>
      <c r="P5679" s="51"/>
    </row>
    <row r="5680">
      <c r="A5680" s="54"/>
      <c r="B5680" s="71"/>
      <c r="C5680" s="51"/>
      <c r="D5680" s="114"/>
      <c r="E5680" s="114"/>
      <c r="F5680" s="54"/>
      <c r="G5680" s="54"/>
      <c r="I5680" s="54"/>
      <c r="K5680" s="54"/>
      <c r="M5680" s="114"/>
      <c r="N5680" s="1"/>
      <c r="O5680" s="1"/>
      <c r="P5680" s="51"/>
    </row>
    <row r="5681">
      <c r="A5681" s="54"/>
      <c r="B5681" s="71"/>
      <c r="C5681" s="51"/>
      <c r="D5681" s="114"/>
      <c r="E5681" s="114"/>
      <c r="F5681" s="54"/>
      <c r="G5681" s="54"/>
      <c r="I5681" s="54"/>
      <c r="K5681" s="54"/>
      <c r="M5681" s="114"/>
      <c r="N5681" s="1"/>
      <c r="O5681" s="1"/>
      <c r="P5681" s="51"/>
    </row>
    <row r="5682">
      <c r="A5682" s="54"/>
      <c r="B5682" s="71"/>
      <c r="C5682" s="51"/>
      <c r="D5682" s="114"/>
      <c r="E5682" s="114"/>
      <c r="F5682" s="54"/>
      <c r="G5682" s="54"/>
      <c r="I5682" s="54"/>
      <c r="K5682" s="54"/>
      <c r="M5682" s="114"/>
      <c r="N5682" s="1"/>
      <c r="O5682" s="1"/>
      <c r="P5682" s="51"/>
    </row>
    <row r="5683">
      <c r="A5683" s="54"/>
      <c r="B5683" s="71"/>
      <c r="C5683" s="51"/>
      <c r="D5683" s="114"/>
      <c r="E5683" s="114"/>
      <c r="F5683" s="54"/>
      <c r="G5683" s="54"/>
      <c r="I5683" s="54"/>
      <c r="K5683" s="54"/>
      <c r="M5683" s="114"/>
      <c r="N5683" s="1"/>
      <c r="O5683" s="1"/>
      <c r="P5683" s="51"/>
    </row>
    <row r="5684">
      <c r="A5684" s="54"/>
      <c r="B5684" s="71"/>
      <c r="C5684" s="51"/>
      <c r="D5684" s="114"/>
      <c r="E5684" s="114"/>
      <c r="F5684" s="54"/>
      <c r="G5684" s="54"/>
      <c r="I5684" s="54"/>
      <c r="K5684" s="54"/>
      <c r="M5684" s="114"/>
      <c r="N5684" s="1"/>
      <c r="O5684" s="1"/>
      <c r="P5684" s="51"/>
    </row>
    <row r="5685">
      <c r="A5685" s="54"/>
      <c r="B5685" s="71"/>
      <c r="C5685" s="51"/>
      <c r="D5685" s="114"/>
      <c r="E5685" s="114"/>
      <c r="F5685" s="54"/>
      <c r="G5685" s="54"/>
      <c r="I5685" s="54"/>
      <c r="K5685" s="54"/>
      <c r="M5685" s="114"/>
      <c r="N5685" s="1"/>
      <c r="O5685" s="1"/>
      <c r="P5685" s="51"/>
    </row>
    <row r="5686">
      <c r="A5686" s="54"/>
      <c r="B5686" s="71"/>
      <c r="C5686" s="51"/>
      <c r="D5686" s="114"/>
      <c r="E5686" s="114"/>
      <c r="F5686" s="54"/>
      <c r="G5686" s="54"/>
      <c r="I5686" s="54"/>
      <c r="K5686" s="54"/>
      <c r="M5686" s="114"/>
      <c r="N5686" s="1"/>
      <c r="O5686" s="1"/>
      <c r="P5686" s="51"/>
    </row>
    <row r="5687">
      <c r="A5687" s="54"/>
      <c r="B5687" s="71"/>
      <c r="C5687" s="51"/>
      <c r="D5687" s="114"/>
      <c r="E5687" s="114"/>
      <c r="F5687" s="54"/>
      <c r="G5687" s="54"/>
      <c r="I5687" s="54"/>
      <c r="K5687" s="54"/>
      <c r="M5687" s="114"/>
      <c r="N5687" s="1"/>
      <c r="O5687" s="1"/>
      <c r="P5687" s="51"/>
    </row>
    <row r="5688">
      <c r="A5688" s="54"/>
      <c r="B5688" s="71"/>
      <c r="C5688" s="51"/>
      <c r="D5688" s="114"/>
      <c r="E5688" s="114"/>
      <c r="F5688" s="54"/>
      <c r="G5688" s="54"/>
      <c r="I5688" s="54"/>
      <c r="K5688" s="54"/>
      <c r="M5688" s="114"/>
      <c r="N5688" s="1"/>
      <c r="O5688" s="1"/>
      <c r="P5688" s="51"/>
    </row>
    <row r="5689">
      <c r="A5689" s="54"/>
      <c r="B5689" s="71"/>
      <c r="C5689" s="51"/>
      <c r="D5689" s="114"/>
      <c r="E5689" s="114"/>
      <c r="F5689" s="54"/>
      <c r="G5689" s="54"/>
      <c r="I5689" s="54"/>
      <c r="K5689" s="54"/>
      <c r="M5689" s="114"/>
      <c r="N5689" s="1"/>
      <c r="O5689" s="1"/>
      <c r="P5689" s="51"/>
    </row>
    <row r="5690">
      <c r="A5690" s="54"/>
      <c r="B5690" s="71"/>
      <c r="C5690" s="51"/>
      <c r="D5690" s="114"/>
      <c r="E5690" s="114"/>
      <c r="F5690" s="54"/>
      <c r="G5690" s="54"/>
      <c r="I5690" s="54"/>
      <c r="K5690" s="54"/>
      <c r="M5690" s="114"/>
      <c r="N5690" s="1"/>
      <c r="O5690" s="1"/>
      <c r="P5690" s="51"/>
    </row>
    <row r="5691">
      <c r="A5691" s="54"/>
      <c r="B5691" s="71"/>
      <c r="C5691" s="51"/>
      <c r="D5691" s="114"/>
      <c r="E5691" s="114"/>
      <c r="F5691" s="54"/>
      <c r="G5691" s="54"/>
      <c r="I5691" s="54"/>
      <c r="K5691" s="54"/>
      <c r="M5691" s="114"/>
      <c r="N5691" s="1"/>
      <c r="O5691" s="1"/>
      <c r="P5691" s="51"/>
    </row>
    <row r="5692">
      <c r="A5692" s="54"/>
      <c r="B5692" s="71"/>
      <c r="C5692" s="51"/>
      <c r="D5692" s="114"/>
      <c r="E5692" s="114"/>
      <c r="F5692" s="54"/>
      <c r="G5692" s="54"/>
      <c r="I5692" s="54"/>
      <c r="K5692" s="54"/>
      <c r="M5692" s="114"/>
      <c r="N5692" s="1"/>
      <c r="O5692" s="1"/>
      <c r="P5692" s="51"/>
    </row>
    <row r="5693">
      <c r="A5693" s="54"/>
      <c r="B5693" s="71"/>
      <c r="C5693" s="51"/>
      <c r="D5693" s="114"/>
      <c r="E5693" s="114"/>
      <c r="F5693" s="54"/>
      <c r="G5693" s="54"/>
      <c r="I5693" s="54"/>
      <c r="K5693" s="54"/>
      <c r="M5693" s="114"/>
      <c r="N5693" s="1"/>
      <c r="O5693" s="1"/>
      <c r="P5693" s="51"/>
    </row>
    <row r="5694">
      <c r="A5694" s="54"/>
      <c r="B5694" s="71"/>
      <c r="C5694" s="51"/>
      <c r="D5694" s="114"/>
      <c r="E5694" s="114"/>
      <c r="F5694" s="54"/>
      <c r="G5694" s="54"/>
      <c r="I5694" s="54"/>
      <c r="K5694" s="54"/>
      <c r="M5694" s="114"/>
      <c r="N5694" s="1"/>
      <c r="O5694" s="1"/>
      <c r="P5694" s="51"/>
    </row>
    <row r="5695">
      <c r="A5695" s="54"/>
      <c r="B5695" s="71"/>
      <c r="C5695" s="51"/>
      <c r="D5695" s="114"/>
      <c r="E5695" s="114"/>
      <c r="F5695" s="54"/>
      <c r="G5695" s="54"/>
      <c r="I5695" s="54"/>
      <c r="K5695" s="54"/>
      <c r="M5695" s="114"/>
      <c r="N5695" s="1"/>
      <c r="O5695" s="1"/>
      <c r="P5695" s="51"/>
    </row>
    <row r="5696">
      <c r="A5696" s="54"/>
      <c r="B5696" s="71"/>
      <c r="C5696" s="51"/>
      <c r="D5696" s="114"/>
      <c r="E5696" s="114"/>
      <c r="F5696" s="54"/>
      <c r="G5696" s="54"/>
      <c r="I5696" s="54"/>
      <c r="K5696" s="54"/>
      <c r="M5696" s="114"/>
      <c r="N5696" s="1"/>
      <c r="O5696" s="1"/>
      <c r="P5696" s="51"/>
    </row>
    <row r="5697">
      <c r="A5697" s="54"/>
      <c r="B5697" s="71"/>
      <c r="C5697" s="51"/>
      <c r="D5697" s="114"/>
      <c r="E5697" s="114"/>
      <c r="F5697" s="54"/>
      <c r="G5697" s="54"/>
      <c r="I5697" s="54"/>
      <c r="K5697" s="54"/>
      <c r="M5697" s="114"/>
      <c r="N5697" s="1"/>
      <c r="O5697" s="1"/>
      <c r="P5697" s="51"/>
    </row>
    <row r="5698">
      <c r="A5698" s="54"/>
      <c r="B5698" s="71"/>
      <c r="C5698" s="51"/>
      <c r="D5698" s="114"/>
      <c r="E5698" s="114"/>
      <c r="F5698" s="54"/>
      <c r="G5698" s="54"/>
      <c r="I5698" s="54"/>
      <c r="K5698" s="54"/>
      <c r="M5698" s="114"/>
      <c r="N5698" s="1"/>
      <c r="O5698" s="1"/>
      <c r="P5698" s="51"/>
    </row>
    <row r="5699">
      <c r="A5699" s="54"/>
      <c r="B5699" s="71"/>
      <c r="C5699" s="51"/>
      <c r="D5699" s="114"/>
      <c r="E5699" s="114"/>
      <c r="F5699" s="54"/>
      <c r="G5699" s="54"/>
      <c r="I5699" s="54"/>
      <c r="K5699" s="54"/>
      <c r="M5699" s="114"/>
      <c r="N5699" s="1"/>
      <c r="O5699" s="1"/>
      <c r="P5699" s="51"/>
    </row>
    <row r="5700">
      <c r="A5700" s="54"/>
      <c r="B5700" s="71"/>
      <c r="C5700" s="51"/>
      <c r="D5700" s="114"/>
      <c r="E5700" s="114"/>
      <c r="F5700" s="54"/>
      <c r="G5700" s="54"/>
      <c r="I5700" s="54"/>
      <c r="K5700" s="54"/>
      <c r="M5700" s="114"/>
      <c r="N5700" s="1"/>
      <c r="O5700" s="1"/>
      <c r="P5700" s="51"/>
    </row>
    <row r="5701">
      <c r="A5701" s="54"/>
      <c r="B5701" s="71"/>
      <c r="C5701" s="51"/>
      <c r="D5701" s="114"/>
      <c r="E5701" s="114"/>
      <c r="F5701" s="54"/>
      <c r="G5701" s="54"/>
      <c r="I5701" s="54"/>
      <c r="K5701" s="54"/>
      <c r="M5701" s="114"/>
      <c r="N5701" s="1"/>
      <c r="O5701" s="1"/>
      <c r="P5701" s="51"/>
    </row>
    <row r="5702">
      <c r="A5702" s="54"/>
      <c r="B5702" s="71"/>
      <c r="C5702" s="51"/>
      <c r="D5702" s="114"/>
      <c r="E5702" s="114"/>
      <c r="F5702" s="54"/>
      <c r="G5702" s="54"/>
      <c r="I5702" s="54"/>
      <c r="K5702" s="54"/>
      <c r="M5702" s="114"/>
      <c r="N5702" s="1"/>
      <c r="O5702" s="1"/>
      <c r="P5702" s="51"/>
    </row>
    <row r="5703">
      <c r="A5703" s="54"/>
      <c r="B5703" s="71"/>
      <c r="C5703" s="51"/>
      <c r="D5703" s="114"/>
      <c r="E5703" s="114"/>
      <c r="F5703" s="54"/>
      <c r="G5703" s="54"/>
      <c r="I5703" s="54"/>
      <c r="K5703" s="54"/>
      <c r="M5703" s="114"/>
      <c r="N5703" s="1"/>
      <c r="O5703" s="1"/>
      <c r="P5703" s="51"/>
    </row>
    <row r="5704">
      <c r="A5704" s="54"/>
      <c r="B5704" s="71"/>
      <c r="C5704" s="51"/>
      <c r="D5704" s="114"/>
      <c r="E5704" s="114"/>
      <c r="F5704" s="54"/>
      <c r="G5704" s="54"/>
      <c r="I5704" s="54"/>
      <c r="K5704" s="54"/>
      <c r="M5704" s="114"/>
      <c r="N5704" s="1"/>
      <c r="O5704" s="1"/>
      <c r="P5704" s="51"/>
    </row>
    <row r="5705">
      <c r="A5705" s="54"/>
      <c r="B5705" s="71"/>
      <c r="C5705" s="51"/>
      <c r="D5705" s="114"/>
      <c r="E5705" s="114"/>
      <c r="F5705" s="54"/>
      <c r="G5705" s="54"/>
      <c r="I5705" s="54"/>
      <c r="K5705" s="54"/>
      <c r="M5705" s="114"/>
      <c r="N5705" s="1"/>
      <c r="O5705" s="1"/>
      <c r="P5705" s="51"/>
    </row>
    <row r="5706">
      <c r="A5706" s="54"/>
      <c r="B5706" s="71"/>
      <c r="C5706" s="51"/>
      <c r="D5706" s="114"/>
      <c r="E5706" s="114"/>
      <c r="F5706" s="54"/>
      <c r="G5706" s="54"/>
      <c r="I5706" s="54"/>
      <c r="K5706" s="54"/>
      <c r="M5706" s="114"/>
      <c r="N5706" s="1"/>
      <c r="O5706" s="1"/>
      <c r="P5706" s="51"/>
    </row>
    <row r="5707">
      <c r="A5707" s="54"/>
      <c r="B5707" s="71"/>
      <c r="C5707" s="51"/>
      <c r="D5707" s="114"/>
      <c r="E5707" s="114"/>
      <c r="F5707" s="54"/>
      <c r="G5707" s="54"/>
      <c r="I5707" s="54"/>
      <c r="K5707" s="54"/>
      <c r="M5707" s="114"/>
      <c r="N5707" s="1"/>
      <c r="O5707" s="1"/>
      <c r="P5707" s="51"/>
    </row>
    <row r="5708">
      <c r="A5708" s="54"/>
      <c r="B5708" s="71"/>
      <c r="C5708" s="51"/>
      <c r="D5708" s="114"/>
      <c r="E5708" s="114"/>
      <c r="F5708" s="54"/>
      <c r="G5708" s="54"/>
      <c r="I5708" s="54"/>
      <c r="K5708" s="54"/>
      <c r="M5708" s="114"/>
      <c r="N5708" s="1"/>
      <c r="O5708" s="1"/>
      <c r="P5708" s="51"/>
    </row>
    <row r="5709">
      <c r="A5709" s="54"/>
      <c r="B5709" s="71"/>
      <c r="C5709" s="51"/>
      <c r="D5709" s="114"/>
      <c r="E5709" s="114"/>
      <c r="F5709" s="54"/>
      <c r="G5709" s="54"/>
      <c r="I5709" s="54"/>
      <c r="K5709" s="54"/>
      <c r="M5709" s="114"/>
      <c r="N5709" s="1"/>
      <c r="O5709" s="1"/>
      <c r="P5709" s="51"/>
    </row>
    <row r="5710">
      <c r="A5710" s="54"/>
      <c r="B5710" s="71"/>
      <c r="C5710" s="51"/>
      <c r="D5710" s="114"/>
      <c r="E5710" s="114"/>
      <c r="F5710" s="54"/>
      <c r="G5710" s="54"/>
      <c r="I5710" s="54"/>
      <c r="K5710" s="54"/>
      <c r="M5710" s="114"/>
      <c r="N5710" s="1"/>
      <c r="O5710" s="1"/>
      <c r="P5710" s="51"/>
    </row>
    <row r="5711">
      <c r="A5711" s="54"/>
      <c r="B5711" s="71"/>
      <c r="C5711" s="51"/>
      <c r="D5711" s="114"/>
      <c r="E5711" s="114"/>
      <c r="F5711" s="54"/>
      <c r="G5711" s="54"/>
      <c r="I5711" s="54"/>
      <c r="K5711" s="54"/>
      <c r="M5711" s="114"/>
      <c r="N5711" s="1"/>
      <c r="O5711" s="1"/>
      <c r="P5711" s="51"/>
    </row>
    <row r="5712">
      <c r="A5712" s="54"/>
      <c r="B5712" s="71"/>
      <c r="C5712" s="51"/>
      <c r="D5712" s="114"/>
      <c r="E5712" s="114"/>
      <c r="F5712" s="54"/>
      <c r="G5712" s="54"/>
      <c r="I5712" s="54"/>
      <c r="K5712" s="54"/>
      <c r="M5712" s="114"/>
      <c r="N5712" s="1"/>
      <c r="O5712" s="1"/>
      <c r="P5712" s="51"/>
    </row>
    <row r="5713">
      <c r="A5713" s="54"/>
      <c r="B5713" s="71"/>
      <c r="C5713" s="51"/>
      <c r="D5713" s="114"/>
      <c r="E5713" s="114"/>
      <c r="F5713" s="54"/>
      <c r="G5713" s="54"/>
      <c r="I5713" s="54"/>
      <c r="K5713" s="54"/>
      <c r="M5713" s="114"/>
      <c r="N5713" s="1"/>
      <c r="O5713" s="1"/>
      <c r="P5713" s="51"/>
    </row>
    <row r="5714">
      <c r="A5714" s="54"/>
      <c r="B5714" s="71"/>
      <c r="C5714" s="51"/>
      <c r="D5714" s="114"/>
      <c r="E5714" s="114"/>
      <c r="F5714" s="54"/>
      <c r="G5714" s="54"/>
      <c r="I5714" s="54"/>
      <c r="K5714" s="54"/>
      <c r="M5714" s="114"/>
      <c r="N5714" s="1"/>
      <c r="O5714" s="1"/>
      <c r="P5714" s="51"/>
    </row>
    <row r="5715">
      <c r="A5715" s="54"/>
      <c r="B5715" s="71"/>
      <c r="C5715" s="51"/>
      <c r="D5715" s="114"/>
      <c r="E5715" s="114"/>
      <c r="F5715" s="54"/>
      <c r="G5715" s="54"/>
      <c r="I5715" s="54"/>
      <c r="K5715" s="54"/>
      <c r="M5715" s="114"/>
      <c r="N5715" s="1"/>
      <c r="O5715" s="1"/>
      <c r="P5715" s="51"/>
    </row>
    <row r="5716">
      <c r="A5716" s="54"/>
      <c r="B5716" s="71"/>
      <c r="C5716" s="51"/>
      <c r="D5716" s="114"/>
      <c r="E5716" s="114"/>
      <c r="F5716" s="54"/>
      <c r="G5716" s="54"/>
      <c r="I5716" s="54"/>
      <c r="K5716" s="54"/>
      <c r="M5716" s="114"/>
      <c r="N5716" s="1"/>
      <c r="O5716" s="1"/>
      <c r="P5716" s="51"/>
    </row>
    <row r="5717">
      <c r="A5717" s="54"/>
      <c r="B5717" s="71"/>
      <c r="C5717" s="51"/>
      <c r="D5717" s="114"/>
      <c r="E5717" s="114"/>
      <c r="F5717" s="54"/>
      <c r="G5717" s="54"/>
      <c r="I5717" s="54"/>
      <c r="K5717" s="54"/>
      <c r="M5717" s="114"/>
      <c r="N5717" s="1"/>
      <c r="O5717" s="1"/>
      <c r="P5717" s="51"/>
    </row>
    <row r="5718">
      <c r="A5718" s="54"/>
      <c r="B5718" s="71"/>
      <c r="C5718" s="51"/>
      <c r="D5718" s="114"/>
      <c r="E5718" s="114"/>
      <c r="F5718" s="54"/>
      <c r="G5718" s="54"/>
      <c r="I5718" s="54"/>
      <c r="K5718" s="54"/>
      <c r="M5718" s="114"/>
      <c r="N5718" s="1"/>
      <c r="O5718" s="1"/>
      <c r="P5718" s="51"/>
    </row>
    <row r="5719">
      <c r="A5719" s="54"/>
      <c r="B5719" s="71"/>
      <c r="C5719" s="51"/>
      <c r="D5719" s="114"/>
      <c r="E5719" s="114"/>
      <c r="F5719" s="54"/>
      <c r="G5719" s="54"/>
      <c r="I5719" s="54"/>
      <c r="K5719" s="54"/>
      <c r="M5719" s="114"/>
      <c r="N5719" s="1"/>
      <c r="O5719" s="1"/>
      <c r="P5719" s="51"/>
    </row>
    <row r="5720">
      <c r="A5720" s="54"/>
      <c r="B5720" s="71"/>
      <c r="C5720" s="51"/>
      <c r="D5720" s="114"/>
      <c r="E5720" s="114"/>
      <c r="F5720" s="54"/>
      <c r="G5720" s="54"/>
      <c r="I5720" s="54"/>
      <c r="K5720" s="54"/>
      <c r="M5720" s="114"/>
      <c r="N5720" s="1"/>
      <c r="O5720" s="1"/>
      <c r="P5720" s="51"/>
    </row>
    <row r="5721">
      <c r="A5721" s="54"/>
      <c r="B5721" s="71"/>
      <c r="C5721" s="51"/>
      <c r="D5721" s="114"/>
      <c r="E5721" s="114"/>
      <c r="F5721" s="54"/>
      <c r="G5721" s="54"/>
      <c r="I5721" s="54"/>
      <c r="K5721" s="54"/>
      <c r="M5721" s="114"/>
      <c r="N5721" s="1"/>
      <c r="O5721" s="1"/>
      <c r="P5721" s="51"/>
    </row>
    <row r="5722">
      <c r="A5722" s="54"/>
      <c r="B5722" s="71"/>
      <c r="C5722" s="51"/>
      <c r="D5722" s="114"/>
      <c r="E5722" s="114"/>
      <c r="F5722" s="54"/>
      <c r="G5722" s="54"/>
      <c r="I5722" s="54"/>
      <c r="K5722" s="54"/>
      <c r="M5722" s="114"/>
      <c r="N5722" s="1"/>
      <c r="O5722" s="1"/>
      <c r="P5722" s="51"/>
    </row>
    <row r="5723">
      <c r="A5723" s="54"/>
      <c r="B5723" s="71"/>
      <c r="C5723" s="51"/>
      <c r="D5723" s="114"/>
      <c r="E5723" s="114"/>
      <c r="F5723" s="54"/>
      <c r="G5723" s="54"/>
      <c r="I5723" s="54"/>
      <c r="K5723" s="54"/>
      <c r="M5723" s="114"/>
      <c r="N5723" s="1"/>
      <c r="O5723" s="1"/>
      <c r="P5723" s="51"/>
    </row>
    <row r="5724">
      <c r="A5724" s="54"/>
      <c r="B5724" s="71"/>
      <c r="C5724" s="51"/>
      <c r="D5724" s="114"/>
      <c r="E5724" s="114"/>
      <c r="F5724" s="54"/>
      <c r="G5724" s="54"/>
      <c r="I5724" s="54"/>
      <c r="K5724" s="54"/>
      <c r="M5724" s="114"/>
      <c r="N5724" s="1"/>
      <c r="O5724" s="1"/>
      <c r="P5724" s="51"/>
    </row>
    <row r="5725">
      <c r="A5725" s="54"/>
      <c r="B5725" s="71"/>
      <c r="C5725" s="51"/>
      <c r="D5725" s="114"/>
      <c r="E5725" s="114"/>
      <c r="F5725" s="54"/>
      <c r="G5725" s="54"/>
      <c r="I5725" s="54"/>
      <c r="K5725" s="54"/>
      <c r="M5725" s="114"/>
      <c r="N5725" s="1"/>
      <c r="O5725" s="1"/>
      <c r="P5725" s="51"/>
    </row>
    <row r="5726">
      <c r="A5726" s="54"/>
      <c r="B5726" s="71"/>
      <c r="C5726" s="51"/>
      <c r="D5726" s="114"/>
      <c r="E5726" s="114"/>
      <c r="F5726" s="54"/>
      <c r="G5726" s="54"/>
      <c r="I5726" s="54"/>
      <c r="K5726" s="54"/>
      <c r="M5726" s="114"/>
      <c r="N5726" s="1"/>
      <c r="O5726" s="1"/>
      <c r="P5726" s="51"/>
    </row>
    <row r="5727">
      <c r="A5727" s="54"/>
      <c r="B5727" s="71"/>
      <c r="C5727" s="51"/>
      <c r="D5727" s="114"/>
      <c r="E5727" s="114"/>
      <c r="F5727" s="54"/>
      <c r="G5727" s="54"/>
      <c r="I5727" s="54"/>
      <c r="K5727" s="54"/>
      <c r="M5727" s="114"/>
      <c r="N5727" s="1"/>
      <c r="O5727" s="1"/>
      <c r="P5727" s="51"/>
    </row>
    <row r="5728">
      <c r="A5728" s="54"/>
      <c r="B5728" s="71"/>
      <c r="C5728" s="51"/>
      <c r="D5728" s="114"/>
      <c r="E5728" s="114"/>
      <c r="F5728" s="54"/>
      <c r="G5728" s="54"/>
      <c r="I5728" s="54"/>
      <c r="K5728" s="54"/>
      <c r="M5728" s="114"/>
      <c r="N5728" s="1"/>
      <c r="O5728" s="1"/>
      <c r="P5728" s="51"/>
    </row>
    <row r="5729">
      <c r="A5729" s="54"/>
      <c r="B5729" s="71"/>
      <c r="C5729" s="51"/>
      <c r="D5729" s="114"/>
      <c r="E5729" s="114"/>
      <c r="F5729" s="54"/>
      <c r="G5729" s="54"/>
      <c r="I5729" s="54"/>
      <c r="K5729" s="54"/>
      <c r="M5729" s="114"/>
      <c r="N5729" s="1"/>
      <c r="O5729" s="1"/>
      <c r="P5729" s="51"/>
    </row>
    <row r="5730">
      <c r="A5730" s="54"/>
      <c r="B5730" s="71"/>
      <c r="C5730" s="51"/>
      <c r="D5730" s="114"/>
      <c r="E5730" s="114"/>
      <c r="F5730" s="54"/>
      <c r="G5730" s="54"/>
      <c r="I5730" s="54"/>
      <c r="K5730" s="54"/>
      <c r="M5730" s="114"/>
      <c r="N5730" s="1"/>
      <c r="O5730" s="1"/>
      <c r="P5730" s="51"/>
    </row>
    <row r="5731">
      <c r="A5731" s="54"/>
      <c r="B5731" s="71"/>
      <c r="C5731" s="51"/>
      <c r="D5731" s="114"/>
      <c r="E5731" s="114"/>
      <c r="F5731" s="54"/>
      <c r="G5731" s="54"/>
      <c r="I5731" s="54"/>
      <c r="K5731" s="54"/>
      <c r="M5731" s="114"/>
      <c r="N5731" s="1"/>
      <c r="O5731" s="1"/>
      <c r="P5731" s="51"/>
    </row>
    <row r="5732">
      <c r="A5732" s="54"/>
      <c r="B5732" s="71"/>
      <c r="C5732" s="51"/>
      <c r="D5732" s="114"/>
      <c r="E5732" s="114"/>
      <c r="F5732" s="54"/>
      <c r="G5732" s="54"/>
      <c r="I5732" s="54"/>
      <c r="K5732" s="54"/>
      <c r="M5732" s="114"/>
      <c r="N5732" s="1"/>
      <c r="O5732" s="1"/>
      <c r="P5732" s="51"/>
    </row>
    <row r="5733">
      <c r="A5733" s="54"/>
      <c r="B5733" s="71"/>
      <c r="C5733" s="51"/>
      <c r="D5733" s="114"/>
      <c r="E5733" s="114"/>
      <c r="F5733" s="54"/>
      <c r="G5733" s="54"/>
      <c r="I5733" s="54"/>
      <c r="K5733" s="54"/>
      <c r="M5733" s="114"/>
      <c r="N5733" s="1"/>
      <c r="O5733" s="1"/>
      <c r="P5733" s="51"/>
    </row>
    <row r="5734">
      <c r="A5734" s="54"/>
      <c r="B5734" s="71"/>
      <c r="C5734" s="51"/>
      <c r="D5734" s="114"/>
      <c r="E5734" s="114"/>
      <c r="F5734" s="54"/>
      <c r="G5734" s="54"/>
      <c r="I5734" s="54"/>
      <c r="K5734" s="54"/>
      <c r="M5734" s="114"/>
      <c r="N5734" s="1"/>
      <c r="O5734" s="1"/>
      <c r="P5734" s="51"/>
    </row>
    <row r="5735">
      <c r="A5735" s="54"/>
      <c r="B5735" s="71"/>
      <c r="C5735" s="51"/>
      <c r="D5735" s="114"/>
      <c r="E5735" s="114"/>
      <c r="F5735" s="54"/>
      <c r="G5735" s="54"/>
      <c r="I5735" s="54"/>
      <c r="K5735" s="54"/>
      <c r="M5735" s="114"/>
      <c r="N5735" s="1"/>
      <c r="O5735" s="1"/>
      <c r="P5735" s="51"/>
    </row>
    <row r="5736">
      <c r="A5736" s="54"/>
      <c r="B5736" s="71"/>
      <c r="C5736" s="51"/>
      <c r="D5736" s="114"/>
      <c r="E5736" s="114"/>
      <c r="F5736" s="54"/>
      <c r="G5736" s="54"/>
      <c r="I5736" s="54"/>
      <c r="K5736" s="54"/>
      <c r="M5736" s="114"/>
      <c r="N5736" s="1"/>
      <c r="O5736" s="1"/>
      <c r="P5736" s="51"/>
    </row>
    <row r="5737">
      <c r="A5737" s="54"/>
      <c r="B5737" s="71"/>
      <c r="C5737" s="51"/>
      <c r="D5737" s="114"/>
      <c r="E5737" s="114"/>
      <c r="F5737" s="54"/>
      <c r="G5737" s="54"/>
      <c r="I5737" s="54"/>
      <c r="K5737" s="54"/>
      <c r="M5737" s="114"/>
      <c r="N5737" s="1"/>
      <c r="O5737" s="1"/>
      <c r="P5737" s="51"/>
    </row>
    <row r="5738">
      <c r="A5738" s="54"/>
      <c r="B5738" s="71"/>
      <c r="C5738" s="51"/>
      <c r="D5738" s="114"/>
      <c r="E5738" s="114"/>
      <c r="F5738" s="54"/>
      <c r="G5738" s="54"/>
      <c r="I5738" s="54"/>
      <c r="K5738" s="54"/>
      <c r="M5738" s="114"/>
      <c r="N5738" s="1"/>
      <c r="O5738" s="1"/>
      <c r="P5738" s="51"/>
    </row>
    <row r="5739">
      <c r="A5739" s="54"/>
      <c r="B5739" s="71"/>
      <c r="C5739" s="51"/>
      <c r="D5739" s="114"/>
      <c r="E5739" s="114"/>
      <c r="F5739" s="54"/>
      <c r="G5739" s="54"/>
      <c r="I5739" s="54"/>
      <c r="K5739" s="54"/>
      <c r="M5739" s="114"/>
      <c r="N5739" s="1"/>
      <c r="O5739" s="1"/>
      <c r="P5739" s="51"/>
    </row>
    <row r="5740">
      <c r="A5740" s="54"/>
      <c r="B5740" s="71"/>
      <c r="C5740" s="51"/>
      <c r="D5740" s="114"/>
      <c r="E5740" s="114"/>
      <c r="F5740" s="54"/>
      <c r="G5740" s="54"/>
      <c r="I5740" s="54"/>
      <c r="K5740" s="54"/>
      <c r="M5740" s="114"/>
      <c r="N5740" s="1"/>
      <c r="O5740" s="1"/>
      <c r="P5740" s="51"/>
    </row>
    <row r="5741">
      <c r="A5741" s="54"/>
      <c r="B5741" s="71"/>
      <c r="C5741" s="51"/>
      <c r="D5741" s="114"/>
      <c r="E5741" s="114"/>
      <c r="F5741" s="54"/>
      <c r="G5741" s="54"/>
      <c r="I5741" s="54"/>
      <c r="K5741" s="54"/>
      <c r="M5741" s="114"/>
      <c r="N5741" s="1"/>
      <c r="O5741" s="1"/>
      <c r="P5741" s="51"/>
    </row>
    <row r="5742">
      <c r="A5742" s="54"/>
      <c r="B5742" s="71"/>
      <c r="C5742" s="51"/>
      <c r="D5742" s="114"/>
      <c r="E5742" s="114"/>
      <c r="F5742" s="54"/>
      <c r="G5742" s="54"/>
      <c r="I5742" s="54"/>
      <c r="K5742" s="54"/>
      <c r="M5742" s="114"/>
      <c r="N5742" s="1"/>
      <c r="O5742" s="1"/>
      <c r="P5742" s="51"/>
    </row>
    <row r="5743">
      <c r="A5743" s="54"/>
      <c r="B5743" s="71"/>
      <c r="C5743" s="51"/>
      <c r="D5743" s="114"/>
      <c r="E5743" s="114"/>
      <c r="F5743" s="54"/>
      <c r="G5743" s="54"/>
      <c r="I5743" s="54"/>
      <c r="K5743" s="54"/>
      <c r="M5743" s="114"/>
      <c r="N5743" s="1"/>
      <c r="O5743" s="1"/>
      <c r="P5743" s="51"/>
    </row>
    <row r="5744">
      <c r="A5744" s="54"/>
      <c r="B5744" s="71"/>
      <c r="C5744" s="51"/>
      <c r="D5744" s="114"/>
      <c r="E5744" s="114"/>
      <c r="F5744" s="54"/>
      <c r="G5744" s="54"/>
      <c r="I5744" s="54"/>
      <c r="K5744" s="54"/>
      <c r="M5744" s="114"/>
      <c r="N5744" s="1"/>
      <c r="O5744" s="1"/>
      <c r="P5744" s="51"/>
    </row>
    <row r="5745">
      <c r="A5745" s="54"/>
      <c r="B5745" s="71"/>
      <c r="C5745" s="51"/>
      <c r="D5745" s="114"/>
      <c r="E5745" s="114"/>
      <c r="F5745" s="54"/>
      <c r="G5745" s="54"/>
      <c r="I5745" s="54"/>
      <c r="K5745" s="54"/>
      <c r="M5745" s="114"/>
      <c r="N5745" s="1"/>
      <c r="O5745" s="1"/>
      <c r="P5745" s="51"/>
    </row>
    <row r="5746">
      <c r="A5746" s="54"/>
      <c r="B5746" s="71"/>
      <c r="C5746" s="51"/>
      <c r="D5746" s="114"/>
      <c r="E5746" s="114"/>
      <c r="F5746" s="54"/>
      <c r="G5746" s="54"/>
      <c r="I5746" s="54"/>
      <c r="K5746" s="54"/>
      <c r="M5746" s="114"/>
      <c r="N5746" s="1"/>
      <c r="O5746" s="1"/>
      <c r="P5746" s="51"/>
    </row>
    <row r="5747">
      <c r="A5747" s="54"/>
      <c r="B5747" s="71"/>
      <c r="C5747" s="51"/>
      <c r="D5747" s="114"/>
      <c r="E5747" s="114"/>
      <c r="F5747" s="54"/>
      <c r="G5747" s="54"/>
      <c r="I5747" s="54"/>
      <c r="K5747" s="54"/>
      <c r="M5747" s="114"/>
      <c r="N5747" s="1"/>
      <c r="O5747" s="1"/>
      <c r="P5747" s="51"/>
    </row>
    <row r="5748">
      <c r="A5748" s="54"/>
      <c r="B5748" s="71"/>
      <c r="C5748" s="51"/>
      <c r="D5748" s="114"/>
      <c r="E5748" s="114"/>
      <c r="F5748" s="54"/>
      <c r="G5748" s="54"/>
      <c r="I5748" s="54"/>
      <c r="K5748" s="54"/>
      <c r="M5748" s="114"/>
      <c r="N5748" s="1"/>
      <c r="O5748" s="1"/>
      <c r="P5748" s="51"/>
    </row>
    <row r="5749">
      <c r="A5749" s="54"/>
      <c r="B5749" s="71"/>
      <c r="C5749" s="51"/>
      <c r="D5749" s="114"/>
      <c r="E5749" s="114"/>
      <c r="F5749" s="54"/>
      <c r="G5749" s="54"/>
      <c r="I5749" s="54"/>
      <c r="K5749" s="54"/>
      <c r="M5749" s="114"/>
      <c r="N5749" s="1"/>
      <c r="O5749" s="1"/>
      <c r="P5749" s="51"/>
    </row>
    <row r="5750">
      <c r="A5750" s="54"/>
      <c r="B5750" s="71"/>
      <c r="C5750" s="51"/>
      <c r="D5750" s="114"/>
      <c r="E5750" s="114"/>
      <c r="F5750" s="54"/>
      <c r="G5750" s="54"/>
      <c r="I5750" s="54"/>
      <c r="K5750" s="54"/>
      <c r="M5750" s="114"/>
      <c r="N5750" s="1"/>
      <c r="O5750" s="1"/>
      <c r="P5750" s="51"/>
    </row>
    <row r="5751">
      <c r="A5751" s="54"/>
      <c r="B5751" s="71"/>
      <c r="C5751" s="51"/>
      <c r="D5751" s="114"/>
      <c r="E5751" s="114"/>
      <c r="F5751" s="54"/>
      <c r="G5751" s="54"/>
      <c r="I5751" s="54"/>
      <c r="K5751" s="54"/>
      <c r="M5751" s="114"/>
      <c r="N5751" s="1"/>
      <c r="O5751" s="1"/>
      <c r="P5751" s="51"/>
    </row>
    <row r="5752">
      <c r="A5752" s="54"/>
      <c r="B5752" s="71"/>
      <c r="C5752" s="51"/>
      <c r="D5752" s="114"/>
      <c r="E5752" s="114"/>
      <c r="F5752" s="54"/>
      <c r="G5752" s="54"/>
      <c r="I5752" s="54"/>
      <c r="K5752" s="54"/>
      <c r="M5752" s="114"/>
      <c r="N5752" s="1"/>
      <c r="O5752" s="1"/>
      <c r="P5752" s="51"/>
    </row>
    <row r="5753">
      <c r="A5753" s="54"/>
      <c r="B5753" s="71"/>
      <c r="C5753" s="51"/>
      <c r="D5753" s="114"/>
      <c r="E5753" s="114"/>
      <c r="F5753" s="54"/>
      <c r="G5753" s="54"/>
      <c r="I5753" s="54"/>
      <c r="K5753" s="54"/>
      <c r="M5753" s="114"/>
      <c r="N5753" s="1"/>
      <c r="O5753" s="1"/>
      <c r="P5753" s="51"/>
    </row>
    <row r="5754">
      <c r="A5754" s="54"/>
      <c r="B5754" s="71"/>
      <c r="C5754" s="51"/>
      <c r="D5754" s="114"/>
      <c r="E5754" s="114"/>
      <c r="F5754" s="54"/>
      <c r="G5754" s="54"/>
      <c r="I5754" s="54"/>
      <c r="K5754" s="54"/>
      <c r="M5754" s="114"/>
      <c r="N5754" s="1"/>
      <c r="O5754" s="1"/>
      <c r="P5754" s="51"/>
    </row>
    <row r="5755">
      <c r="A5755" s="54"/>
      <c r="B5755" s="71"/>
      <c r="C5755" s="51"/>
      <c r="D5755" s="114"/>
      <c r="E5755" s="114"/>
      <c r="F5755" s="54"/>
      <c r="G5755" s="54"/>
      <c r="I5755" s="54"/>
      <c r="K5755" s="54"/>
      <c r="M5755" s="114"/>
      <c r="N5755" s="1"/>
      <c r="O5755" s="1"/>
      <c r="P5755" s="51"/>
    </row>
    <row r="5756">
      <c r="A5756" s="54"/>
      <c r="B5756" s="71"/>
      <c r="C5756" s="51"/>
      <c r="D5756" s="114"/>
      <c r="E5756" s="114"/>
      <c r="F5756" s="54"/>
      <c r="G5756" s="54"/>
      <c r="I5756" s="54"/>
      <c r="K5756" s="54"/>
      <c r="M5756" s="114"/>
      <c r="N5756" s="1"/>
      <c r="O5756" s="1"/>
      <c r="P5756" s="51"/>
    </row>
    <row r="5757">
      <c r="A5757" s="54"/>
      <c r="B5757" s="71"/>
      <c r="C5757" s="51"/>
      <c r="D5757" s="114"/>
      <c r="E5757" s="114"/>
      <c r="F5757" s="54"/>
      <c r="G5757" s="54"/>
      <c r="I5757" s="54"/>
      <c r="K5757" s="54"/>
      <c r="M5757" s="114"/>
      <c r="N5757" s="1"/>
      <c r="O5757" s="1"/>
      <c r="P5757" s="51"/>
    </row>
    <row r="5758">
      <c r="A5758" s="54"/>
      <c r="B5758" s="71"/>
      <c r="C5758" s="51"/>
      <c r="D5758" s="114"/>
      <c r="E5758" s="114"/>
      <c r="F5758" s="54"/>
      <c r="G5758" s="54"/>
      <c r="I5758" s="54"/>
      <c r="K5758" s="54"/>
      <c r="M5758" s="114"/>
      <c r="N5758" s="1"/>
      <c r="O5758" s="1"/>
      <c r="P5758" s="51"/>
    </row>
    <row r="5759">
      <c r="A5759" s="54"/>
      <c r="B5759" s="71"/>
      <c r="C5759" s="51"/>
      <c r="D5759" s="114"/>
      <c r="E5759" s="114"/>
      <c r="F5759" s="54"/>
      <c r="G5759" s="54"/>
      <c r="I5759" s="54"/>
      <c r="K5759" s="54"/>
      <c r="M5759" s="114"/>
      <c r="N5759" s="1"/>
      <c r="O5759" s="1"/>
      <c r="P5759" s="51"/>
    </row>
    <row r="5760">
      <c r="A5760" s="54"/>
      <c r="B5760" s="71"/>
      <c r="C5760" s="51"/>
      <c r="D5760" s="114"/>
      <c r="E5760" s="114"/>
      <c r="F5760" s="54"/>
      <c r="G5760" s="54"/>
      <c r="I5760" s="54"/>
      <c r="K5760" s="54"/>
      <c r="M5760" s="114"/>
      <c r="N5760" s="1"/>
      <c r="O5760" s="1"/>
      <c r="P5760" s="51"/>
    </row>
    <row r="5761">
      <c r="A5761" s="54"/>
      <c r="B5761" s="71"/>
      <c r="C5761" s="51"/>
      <c r="D5761" s="114"/>
      <c r="E5761" s="114"/>
      <c r="F5761" s="54"/>
      <c r="G5761" s="54"/>
      <c r="I5761" s="54"/>
      <c r="K5761" s="54"/>
      <c r="M5761" s="114"/>
      <c r="N5761" s="1"/>
      <c r="O5761" s="1"/>
      <c r="P5761" s="51"/>
    </row>
    <row r="5762">
      <c r="A5762" s="54"/>
      <c r="B5762" s="71"/>
      <c r="C5762" s="51"/>
      <c r="D5762" s="114"/>
      <c r="E5762" s="114"/>
      <c r="F5762" s="54"/>
      <c r="G5762" s="54"/>
      <c r="I5762" s="54"/>
      <c r="K5762" s="54"/>
      <c r="M5762" s="114"/>
      <c r="N5762" s="1"/>
      <c r="O5762" s="1"/>
      <c r="P5762" s="51"/>
    </row>
    <row r="5763">
      <c r="A5763" s="54"/>
      <c r="B5763" s="71"/>
      <c r="C5763" s="51"/>
      <c r="D5763" s="114"/>
      <c r="E5763" s="114"/>
      <c r="F5763" s="54"/>
      <c r="G5763" s="54"/>
      <c r="I5763" s="54"/>
      <c r="K5763" s="54"/>
      <c r="M5763" s="114"/>
      <c r="N5763" s="1"/>
      <c r="O5763" s="1"/>
      <c r="P5763" s="51"/>
    </row>
    <row r="5764">
      <c r="A5764" s="54"/>
      <c r="B5764" s="71"/>
      <c r="C5764" s="51"/>
      <c r="D5764" s="114"/>
      <c r="E5764" s="114"/>
      <c r="F5764" s="54"/>
      <c r="G5764" s="54"/>
      <c r="I5764" s="54"/>
      <c r="K5764" s="54"/>
      <c r="M5764" s="114"/>
      <c r="N5764" s="1"/>
      <c r="O5764" s="1"/>
      <c r="P5764" s="51"/>
    </row>
    <row r="5765">
      <c r="A5765" s="54"/>
      <c r="B5765" s="71"/>
      <c r="C5765" s="51"/>
      <c r="D5765" s="114"/>
      <c r="E5765" s="114"/>
      <c r="F5765" s="54"/>
      <c r="G5765" s="54"/>
      <c r="I5765" s="54"/>
      <c r="K5765" s="54"/>
      <c r="M5765" s="114"/>
      <c r="N5765" s="1"/>
      <c r="O5765" s="1"/>
      <c r="P5765" s="51"/>
    </row>
    <row r="5766">
      <c r="A5766" s="54"/>
      <c r="B5766" s="71"/>
      <c r="C5766" s="51"/>
      <c r="D5766" s="114"/>
      <c r="E5766" s="114"/>
      <c r="F5766" s="54"/>
      <c r="G5766" s="54"/>
      <c r="I5766" s="54"/>
      <c r="K5766" s="54"/>
      <c r="M5766" s="114"/>
      <c r="N5766" s="1"/>
      <c r="O5766" s="1"/>
      <c r="P5766" s="51"/>
    </row>
    <row r="5767">
      <c r="A5767" s="54"/>
      <c r="B5767" s="71"/>
      <c r="C5767" s="51"/>
      <c r="D5767" s="114"/>
      <c r="E5767" s="114"/>
      <c r="F5767" s="54"/>
      <c r="G5767" s="54"/>
      <c r="I5767" s="54"/>
      <c r="K5767" s="54"/>
      <c r="M5767" s="114"/>
      <c r="N5767" s="1"/>
      <c r="O5767" s="1"/>
      <c r="P5767" s="51"/>
    </row>
    <row r="5768">
      <c r="A5768" s="54"/>
      <c r="B5768" s="71"/>
      <c r="C5768" s="51"/>
      <c r="D5768" s="114"/>
      <c r="E5768" s="114"/>
      <c r="F5768" s="54"/>
      <c r="G5768" s="54"/>
      <c r="I5768" s="54"/>
      <c r="K5768" s="54"/>
      <c r="M5768" s="114"/>
      <c r="N5768" s="1"/>
      <c r="O5768" s="1"/>
      <c r="P5768" s="51"/>
    </row>
    <row r="5769">
      <c r="A5769" s="54"/>
      <c r="B5769" s="71"/>
      <c r="C5769" s="51"/>
      <c r="D5769" s="114"/>
      <c r="E5769" s="114"/>
      <c r="F5769" s="54"/>
      <c r="G5769" s="54"/>
      <c r="I5769" s="54"/>
      <c r="K5769" s="54"/>
      <c r="M5769" s="114"/>
      <c r="N5769" s="1"/>
      <c r="O5769" s="1"/>
      <c r="P5769" s="51"/>
    </row>
    <row r="5770">
      <c r="A5770" s="54"/>
      <c r="B5770" s="71"/>
      <c r="C5770" s="51"/>
      <c r="D5770" s="114"/>
      <c r="E5770" s="114"/>
      <c r="F5770" s="54"/>
      <c r="G5770" s="54"/>
      <c r="I5770" s="54"/>
      <c r="K5770" s="54"/>
      <c r="M5770" s="114"/>
      <c r="N5770" s="1"/>
      <c r="O5770" s="1"/>
      <c r="P5770" s="51"/>
    </row>
    <row r="5771">
      <c r="A5771" s="54"/>
      <c r="B5771" s="71"/>
      <c r="C5771" s="51"/>
      <c r="D5771" s="114"/>
      <c r="E5771" s="114"/>
      <c r="F5771" s="54"/>
      <c r="G5771" s="54"/>
      <c r="I5771" s="54"/>
      <c r="K5771" s="54"/>
      <c r="M5771" s="114"/>
      <c r="N5771" s="1"/>
      <c r="O5771" s="1"/>
      <c r="P5771" s="51"/>
    </row>
    <row r="5772">
      <c r="A5772" s="54"/>
      <c r="B5772" s="71"/>
      <c r="C5772" s="51"/>
      <c r="D5772" s="114"/>
      <c r="E5772" s="114"/>
      <c r="F5772" s="54"/>
      <c r="G5772" s="54"/>
      <c r="I5772" s="54"/>
      <c r="K5772" s="54"/>
      <c r="M5772" s="114"/>
      <c r="N5772" s="1"/>
      <c r="O5772" s="1"/>
      <c r="P5772" s="51"/>
    </row>
    <row r="5773">
      <c r="A5773" s="54"/>
      <c r="B5773" s="71"/>
      <c r="C5773" s="51"/>
      <c r="D5773" s="114"/>
      <c r="E5773" s="114"/>
      <c r="F5773" s="54"/>
      <c r="G5773" s="54"/>
      <c r="I5773" s="54"/>
      <c r="K5773" s="54"/>
      <c r="M5773" s="114"/>
      <c r="N5773" s="1"/>
      <c r="O5773" s="1"/>
      <c r="P5773" s="51"/>
    </row>
    <row r="5774">
      <c r="A5774" s="54"/>
      <c r="B5774" s="71"/>
      <c r="C5774" s="51"/>
      <c r="D5774" s="114"/>
      <c r="E5774" s="114"/>
      <c r="F5774" s="54"/>
      <c r="G5774" s="54"/>
      <c r="I5774" s="54"/>
      <c r="K5774" s="54"/>
      <c r="M5774" s="114"/>
      <c r="N5774" s="1"/>
      <c r="O5774" s="1"/>
      <c r="P5774" s="51"/>
    </row>
    <row r="5775">
      <c r="A5775" s="54"/>
      <c r="B5775" s="71"/>
      <c r="C5775" s="51"/>
      <c r="D5775" s="114"/>
      <c r="E5775" s="114"/>
      <c r="F5775" s="54"/>
      <c r="G5775" s="54"/>
      <c r="I5775" s="54"/>
      <c r="K5775" s="54"/>
      <c r="M5775" s="114"/>
      <c r="N5775" s="1"/>
      <c r="O5775" s="1"/>
      <c r="P5775" s="51"/>
    </row>
    <row r="5776">
      <c r="A5776" s="54"/>
      <c r="B5776" s="71"/>
      <c r="C5776" s="51"/>
      <c r="D5776" s="114"/>
      <c r="E5776" s="114"/>
      <c r="F5776" s="54"/>
      <c r="G5776" s="54"/>
      <c r="I5776" s="54"/>
      <c r="K5776" s="54"/>
      <c r="M5776" s="114"/>
      <c r="N5776" s="1"/>
      <c r="O5776" s="1"/>
      <c r="P5776" s="51"/>
    </row>
    <row r="5777">
      <c r="A5777" s="54"/>
      <c r="B5777" s="71"/>
      <c r="C5777" s="51"/>
      <c r="D5777" s="114"/>
      <c r="E5777" s="114"/>
      <c r="F5777" s="54"/>
      <c r="G5777" s="54"/>
      <c r="I5777" s="54"/>
      <c r="K5777" s="54"/>
      <c r="M5777" s="114"/>
      <c r="N5777" s="1"/>
      <c r="O5777" s="1"/>
      <c r="P5777" s="51"/>
    </row>
    <row r="5778">
      <c r="A5778" s="54"/>
      <c r="B5778" s="71"/>
      <c r="C5778" s="51"/>
      <c r="D5778" s="114"/>
      <c r="E5778" s="114"/>
      <c r="F5778" s="54"/>
      <c r="G5778" s="54"/>
      <c r="I5778" s="54"/>
      <c r="K5778" s="54"/>
      <c r="M5778" s="114"/>
      <c r="N5778" s="1"/>
      <c r="O5778" s="1"/>
      <c r="P5778" s="51"/>
    </row>
    <row r="5779">
      <c r="A5779" s="54"/>
      <c r="B5779" s="71"/>
      <c r="C5779" s="51"/>
      <c r="D5779" s="114"/>
      <c r="E5779" s="114"/>
      <c r="F5779" s="54"/>
      <c r="G5779" s="54"/>
      <c r="I5779" s="54"/>
      <c r="K5779" s="54"/>
      <c r="M5779" s="114"/>
      <c r="N5779" s="1"/>
      <c r="O5779" s="1"/>
      <c r="P5779" s="51"/>
    </row>
    <row r="5780">
      <c r="A5780" s="54"/>
      <c r="B5780" s="71"/>
      <c r="C5780" s="51"/>
      <c r="D5780" s="114"/>
      <c r="E5780" s="114"/>
      <c r="F5780" s="54"/>
      <c r="G5780" s="54"/>
      <c r="I5780" s="54"/>
      <c r="K5780" s="54"/>
      <c r="M5780" s="114"/>
      <c r="N5780" s="1"/>
      <c r="O5780" s="1"/>
      <c r="P5780" s="51"/>
    </row>
    <row r="5781">
      <c r="A5781" s="54"/>
      <c r="B5781" s="71"/>
      <c r="C5781" s="51"/>
      <c r="D5781" s="114"/>
      <c r="E5781" s="114"/>
      <c r="F5781" s="54"/>
      <c r="G5781" s="54"/>
      <c r="I5781" s="54"/>
      <c r="K5781" s="54"/>
      <c r="M5781" s="114"/>
      <c r="N5781" s="1"/>
      <c r="O5781" s="1"/>
      <c r="P5781" s="51"/>
    </row>
    <row r="5782">
      <c r="A5782" s="54"/>
      <c r="B5782" s="71"/>
      <c r="C5782" s="51"/>
      <c r="D5782" s="114"/>
      <c r="E5782" s="114"/>
      <c r="F5782" s="54"/>
      <c r="G5782" s="54"/>
      <c r="I5782" s="54"/>
      <c r="K5782" s="54"/>
      <c r="M5782" s="114"/>
      <c r="N5782" s="1"/>
      <c r="O5782" s="1"/>
      <c r="P5782" s="51"/>
    </row>
    <row r="5783">
      <c r="A5783" s="54"/>
      <c r="B5783" s="71"/>
      <c r="C5783" s="51"/>
      <c r="D5783" s="114"/>
      <c r="E5783" s="114"/>
      <c r="F5783" s="54"/>
      <c r="G5783" s="54"/>
      <c r="I5783" s="54"/>
      <c r="K5783" s="54"/>
      <c r="M5783" s="114"/>
      <c r="N5783" s="1"/>
      <c r="O5783" s="1"/>
      <c r="P5783" s="51"/>
    </row>
    <row r="5784">
      <c r="A5784" s="54"/>
      <c r="B5784" s="71"/>
      <c r="C5784" s="51"/>
      <c r="D5784" s="114"/>
      <c r="E5784" s="114"/>
      <c r="F5784" s="54"/>
      <c r="G5784" s="54"/>
      <c r="I5784" s="54"/>
      <c r="K5784" s="54"/>
      <c r="M5784" s="114"/>
      <c r="N5784" s="1"/>
      <c r="O5784" s="1"/>
      <c r="P5784" s="51"/>
    </row>
    <row r="5785">
      <c r="A5785" s="54"/>
      <c r="B5785" s="71"/>
      <c r="C5785" s="51"/>
      <c r="D5785" s="114"/>
      <c r="E5785" s="114"/>
      <c r="F5785" s="54"/>
      <c r="G5785" s="54"/>
      <c r="I5785" s="54"/>
      <c r="K5785" s="54"/>
      <c r="M5785" s="114"/>
      <c r="N5785" s="1"/>
      <c r="O5785" s="1"/>
      <c r="P5785" s="51"/>
    </row>
    <row r="5786">
      <c r="A5786" s="54"/>
      <c r="B5786" s="71"/>
      <c r="C5786" s="51"/>
      <c r="D5786" s="114"/>
      <c r="E5786" s="114"/>
      <c r="F5786" s="54"/>
      <c r="G5786" s="54"/>
      <c r="I5786" s="54"/>
      <c r="K5786" s="54"/>
      <c r="M5786" s="114"/>
      <c r="N5786" s="1"/>
      <c r="O5786" s="1"/>
      <c r="P5786" s="51"/>
    </row>
    <row r="5787">
      <c r="A5787" s="54"/>
      <c r="B5787" s="71"/>
      <c r="C5787" s="51"/>
      <c r="D5787" s="114"/>
      <c r="E5787" s="114"/>
      <c r="F5787" s="54"/>
      <c r="G5787" s="54"/>
      <c r="I5787" s="54"/>
      <c r="K5787" s="54"/>
      <c r="M5787" s="114"/>
      <c r="N5787" s="1"/>
      <c r="O5787" s="1"/>
      <c r="P5787" s="51"/>
    </row>
    <row r="5788">
      <c r="A5788" s="54"/>
      <c r="B5788" s="71"/>
      <c r="C5788" s="51"/>
      <c r="D5788" s="114"/>
      <c r="E5788" s="114"/>
      <c r="F5788" s="54"/>
      <c r="G5788" s="54"/>
      <c r="I5788" s="54"/>
      <c r="K5788" s="54"/>
      <c r="M5788" s="114"/>
      <c r="N5788" s="1"/>
      <c r="O5788" s="1"/>
      <c r="P5788" s="51"/>
    </row>
    <row r="5789">
      <c r="A5789" s="54"/>
      <c r="B5789" s="71"/>
      <c r="C5789" s="51"/>
      <c r="D5789" s="114"/>
      <c r="E5789" s="114"/>
      <c r="F5789" s="54"/>
      <c r="G5789" s="54"/>
      <c r="I5789" s="54"/>
      <c r="K5789" s="54"/>
      <c r="M5789" s="114"/>
      <c r="N5789" s="1"/>
      <c r="O5789" s="1"/>
      <c r="P5789" s="51"/>
    </row>
    <row r="5790">
      <c r="A5790" s="54"/>
      <c r="B5790" s="71"/>
      <c r="C5790" s="51"/>
      <c r="D5790" s="114"/>
      <c r="E5790" s="114"/>
      <c r="F5790" s="54"/>
      <c r="G5790" s="54"/>
      <c r="I5790" s="54"/>
      <c r="K5790" s="54"/>
      <c r="M5790" s="114"/>
      <c r="N5790" s="1"/>
      <c r="O5790" s="1"/>
      <c r="P5790" s="51"/>
    </row>
    <row r="5791">
      <c r="A5791" s="54"/>
      <c r="B5791" s="71"/>
      <c r="C5791" s="51"/>
      <c r="D5791" s="114"/>
      <c r="E5791" s="114"/>
      <c r="F5791" s="54"/>
      <c r="G5791" s="54"/>
      <c r="I5791" s="54"/>
      <c r="K5791" s="54"/>
      <c r="M5791" s="114"/>
      <c r="N5791" s="1"/>
      <c r="O5791" s="1"/>
      <c r="P5791" s="51"/>
    </row>
    <row r="5792">
      <c r="A5792" s="54"/>
      <c r="B5792" s="71"/>
      <c r="C5792" s="51"/>
      <c r="D5792" s="114"/>
      <c r="E5792" s="114"/>
      <c r="F5792" s="54"/>
      <c r="G5792" s="54"/>
      <c r="I5792" s="54"/>
      <c r="K5792" s="54"/>
      <c r="M5792" s="114"/>
      <c r="N5792" s="1"/>
      <c r="O5792" s="1"/>
      <c r="P5792" s="51"/>
    </row>
    <row r="5793">
      <c r="A5793" s="54"/>
      <c r="B5793" s="71"/>
      <c r="C5793" s="51"/>
      <c r="D5793" s="114"/>
      <c r="E5793" s="114"/>
      <c r="F5793" s="54"/>
      <c r="G5793" s="54"/>
      <c r="I5793" s="54"/>
      <c r="K5793" s="54"/>
      <c r="M5793" s="114"/>
      <c r="N5793" s="1"/>
      <c r="O5793" s="1"/>
      <c r="P5793" s="51"/>
    </row>
    <row r="5794">
      <c r="A5794" s="54"/>
      <c r="B5794" s="71"/>
      <c r="C5794" s="51"/>
      <c r="D5794" s="114"/>
      <c r="E5794" s="114"/>
      <c r="F5794" s="54"/>
      <c r="G5794" s="54"/>
      <c r="I5794" s="54"/>
      <c r="K5794" s="54"/>
      <c r="M5794" s="114"/>
      <c r="N5794" s="1"/>
      <c r="O5794" s="1"/>
      <c r="P5794" s="51"/>
    </row>
    <row r="5795">
      <c r="A5795" s="54"/>
      <c r="B5795" s="71"/>
      <c r="C5795" s="51"/>
      <c r="D5795" s="114"/>
      <c r="E5795" s="114"/>
      <c r="F5795" s="54"/>
      <c r="G5795" s="54"/>
      <c r="I5795" s="54"/>
      <c r="K5795" s="54"/>
      <c r="M5795" s="114"/>
      <c r="N5795" s="1"/>
      <c r="O5795" s="1"/>
      <c r="P5795" s="51"/>
    </row>
    <row r="5796">
      <c r="A5796" s="54"/>
      <c r="B5796" s="71"/>
      <c r="C5796" s="51"/>
      <c r="D5796" s="114"/>
      <c r="E5796" s="114"/>
      <c r="F5796" s="54"/>
      <c r="G5796" s="54"/>
      <c r="I5796" s="54"/>
      <c r="K5796" s="54"/>
      <c r="M5796" s="114"/>
      <c r="N5796" s="1"/>
      <c r="O5796" s="1"/>
      <c r="P5796" s="51"/>
    </row>
    <row r="5797">
      <c r="A5797" s="54"/>
      <c r="B5797" s="71"/>
      <c r="C5797" s="51"/>
      <c r="D5797" s="114"/>
      <c r="E5797" s="114"/>
      <c r="F5797" s="54"/>
      <c r="G5797" s="54"/>
      <c r="I5797" s="54"/>
      <c r="K5797" s="54"/>
      <c r="M5797" s="114"/>
      <c r="N5797" s="1"/>
      <c r="O5797" s="1"/>
      <c r="P5797" s="51"/>
    </row>
    <row r="5798">
      <c r="A5798" s="54"/>
      <c r="B5798" s="71"/>
      <c r="C5798" s="51"/>
      <c r="D5798" s="114"/>
      <c r="E5798" s="114"/>
      <c r="F5798" s="54"/>
      <c r="G5798" s="54"/>
      <c r="I5798" s="54"/>
      <c r="K5798" s="54"/>
      <c r="M5798" s="114"/>
      <c r="N5798" s="1"/>
      <c r="O5798" s="1"/>
      <c r="P5798" s="51"/>
    </row>
    <row r="5799">
      <c r="A5799" s="54"/>
      <c r="B5799" s="71"/>
      <c r="C5799" s="51"/>
      <c r="D5799" s="114"/>
      <c r="E5799" s="114"/>
      <c r="F5799" s="54"/>
      <c r="G5799" s="54"/>
      <c r="I5799" s="54"/>
      <c r="K5799" s="54"/>
      <c r="M5799" s="114"/>
      <c r="N5799" s="1"/>
      <c r="O5799" s="1"/>
      <c r="P5799" s="51"/>
    </row>
    <row r="5800">
      <c r="A5800" s="54"/>
      <c r="B5800" s="71"/>
      <c r="C5800" s="51"/>
      <c r="D5800" s="114"/>
      <c r="E5800" s="114"/>
      <c r="F5800" s="54"/>
      <c r="G5800" s="54"/>
      <c r="I5800" s="54"/>
      <c r="K5800" s="54"/>
      <c r="M5800" s="114"/>
      <c r="N5800" s="1"/>
      <c r="O5800" s="1"/>
      <c r="P5800" s="51"/>
    </row>
    <row r="5801">
      <c r="A5801" s="54"/>
      <c r="B5801" s="71"/>
      <c r="C5801" s="51"/>
      <c r="D5801" s="114"/>
      <c r="E5801" s="114"/>
      <c r="F5801" s="54"/>
      <c r="G5801" s="54"/>
      <c r="I5801" s="54"/>
      <c r="K5801" s="54"/>
      <c r="M5801" s="114"/>
      <c r="N5801" s="1"/>
      <c r="O5801" s="1"/>
      <c r="P5801" s="51"/>
    </row>
    <row r="5802">
      <c r="A5802" s="54"/>
      <c r="B5802" s="71"/>
      <c r="C5802" s="51"/>
      <c r="D5802" s="114"/>
      <c r="E5802" s="114"/>
      <c r="F5802" s="54"/>
      <c r="G5802" s="54"/>
      <c r="I5802" s="54"/>
      <c r="K5802" s="54"/>
      <c r="M5802" s="114"/>
      <c r="N5802" s="1"/>
      <c r="O5802" s="1"/>
      <c r="P5802" s="51"/>
    </row>
    <row r="5803">
      <c r="A5803" s="54"/>
      <c r="B5803" s="71"/>
      <c r="C5803" s="51"/>
      <c r="D5803" s="114"/>
      <c r="E5803" s="114"/>
      <c r="F5803" s="54"/>
      <c r="G5803" s="54"/>
      <c r="I5803" s="54"/>
      <c r="K5803" s="54"/>
      <c r="M5803" s="114"/>
      <c r="N5803" s="1"/>
      <c r="O5803" s="1"/>
      <c r="P5803" s="51"/>
    </row>
    <row r="5804">
      <c r="A5804" s="54"/>
      <c r="B5804" s="71"/>
      <c r="C5804" s="51"/>
      <c r="D5804" s="114"/>
      <c r="E5804" s="114"/>
      <c r="F5804" s="54"/>
      <c r="G5804" s="54"/>
      <c r="I5804" s="54"/>
      <c r="K5804" s="54"/>
      <c r="M5804" s="114"/>
      <c r="N5804" s="1"/>
      <c r="O5804" s="1"/>
      <c r="P5804" s="51"/>
    </row>
    <row r="5805">
      <c r="A5805" s="54"/>
      <c r="B5805" s="71"/>
      <c r="C5805" s="51"/>
      <c r="D5805" s="114"/>
      <c r="E5805" s="114"/>
      <c r="F5805" s="54"/>
      <c r="G5805" s="54"/>
      <c r="I5805" s="54"/>
      <c r="K5805" s="54"/>
      <c r="M5805" s="114"/>
      <c r="N5805" s="1"/>
      <c r="O5805" s="1"/>
      <c r="P5805" s="51"/>
    </row>
    <row r="5806">
      <c r="A5806" s="54"/>
      <c r="B5806" s="71"/>
      <c r="C5806" s="51"/>
      <c r="D5806" s="114"/>
      <c r="E5806" s="114"/>
      <c r="F5806" s="54"/>
      <c r="G5806" s="54"/>
      <c r="I5806" s="54"/>
      <c r="K5806" s="54"/>
      <c r="M5806" s="114"/>
      <c r="N5806" s="1"/>
      <c r="O5806" s="1"/>
      <c r="P5806" s="51"/>
    </row>
    <row r="5807">
      <c r="A5807" s="54"/>
      <c r="B5807" s="71"/>
      <c r="C5807" s="51"/>
      <c r="D5807" s="114"/>
      <c r="E5807" s="114"/>
      <c r="F5807" s="54"/>
      <c r="G5807" s="54"/>
      <c r="I5807" s="54"/>
      <c r="K5807" s="54"/>
      <c r="M5807" s="114"/>
      <c r="N5807" s="1"/>
      <c r="O5807" s="1"/>
      <c r="P5807" s="51"/>
    </row>
    <row r="5808">
      <c r="A5808" s="54"/>
      <c r="B5808" s="71"/>
      <c r="C5808" s="51"/>
      <c r="D5808" s="114"/>
      <c r="E5808" s="114"/>
      <c r="F5808" s="54"/>
      <c r="G5808" s="54"/>
      <c r="I5808" s="54"/>
      <c r="K5808" s="54"/>
      <c r="M5808" s="114"/>
      <c r="N5808" s="1"/>
      <c r="O5808" s="1"/>
      <c r="P5808" s="51"/>
    </row>
    <row r="5809">
      <c r="A5809" s="54"/>
      <c r="B5809" s="71"/>
      <c r="C5809" s="51"/>
      <c r="D5809" s="114"/>
      <c r="E5809" s="114"/>
      <c r="F5809" s="54"/>
      <c r="G5809" s="54"/>
      <c r="I5809" s="54"/>
      <c r="K5809" s="54"/>
      <c r="M5809" s="114"/>
      <c r="N5809" s="1"/>
      <c r="O5809" s="1"/>
      <c r="P5809" s="51"/>
    </row>
    <row r="5810">
      <c r="A5810" s="54"/>
      <c r="B5810" s="71"/>
      <c r="C5810" s="51"/>
      <c r="D5810" s="114"/>
      <c r="E5810" s="114"/>
      <c r="F5810" s="54"/>
      <c r="G5810" s="54"/>
      <c r="I5810" s="54"/>
      <c r="K5810" s="54"/>
      <c r="M5810" s="114"/>
      <c r="N5810" s="1"/>
      <c r="O5810" s="1"/>
      <c r="P5810" s="51"/>
    </row>
    <row r="5811">
      <c r="A5811" s="54"/>
      <c r="B5811" s="71"/>
      <c r="C5811" s="51"/>
      <c r="D5811" s="114"/>
      <c r="E5811" s="114"/>
      <c r="F5811" s="54"/>
      <c r="G5811" s="54"/>
      <c r="I5811" s="54"/>
      <c r="K5811" s="54"/>
      <c r="M5811" s="114"/>
      <c r="N5811" s="1"/>
      <c r="O5811" s="1"/>
      <c r="P5811" s="51"/>
    </row>
    <row r="5812">
      <c r="A5812" s="54"/>
      <c r="B5812" s="71"/>
      <c r="C5812" s="51"/>
      <c r="D5812" s="114"/>
      <c r="E5812" s="114"/>
      <c r="F5812" s="54"/>
      <c r="G5812" s="54"/>
      <c r="I5812" s="54"/>
      <c r="K5812" s="54"/>
      <c r="M5812" s="114"/>
      <c r="N5812" s="1"/>
      <c r="O5812" s="1"/>
      <c r="P5812" s="51"/>
    </row>
    <row r="5813">
      <c r="A5813" s="54"/>
      <c r="B5813" s="71"/>
      <c r="C5813" s="51"/>
      <c r="D5813" s="114"/>
      <c r="E5813" s="114"/>
      <c r="F5813" s="54"/>
      <c r="G5813" s="54"/>
      <c r="I5813" s="54"/>
      <c r="K5813" s="54"/>
      <c r="M5813" s="114"/>
      <c r="N5813" s="1"/>
      <c r="O5813" s="1"/>
      <c r="P5813" s="51"/>
    </row>
    <row r="5814">
      <c r="A5814" s="54"/>
      <c r="B5814" s="71"/>
      <c r="C5814" s="51"/>
      <c r="D5814" s="114"/>
      <c r="E5814" s="114"/>
      <c r="F5814" s="54"/>
      <c r="G5814" s="54"/>
      <c r="I5814" s="54"/>
      <c r="K5814" s="54"/>
      <c r="M5814" s="114"/>
      <c r="N5814" s="1"/>
      <c r="O5814" s="1"/>
      <c r="P5814" s="51"/>
    </row>
    <row r="5815">
      <c r="A5815" s="54"/>
      <c r="B5815" s="71"/>
      <c r="C5815" s="51"/>
      <c r="D5815" s="114"/>
      <c r="E5815" s="114"/>
      <c r="F5815" s="54"/>
      <c r="G5815" s="54"/>
      <c r="I5815" s="54"/>
      <c r="K5815" s="54"/>
      <c r="M5815" s="114"/>
      <c r="N5815" s="1"/>
      <c r="O5815" s="1"/>
      <c r="P5815" s="51"/>
    </row>
    <row r="5816">
      <c r="A5816" s="54"/>
      <c r="B5816" s="71"/>
      <c r="C5816" s="51"/>
      <c r="D5816" s="114"/>
      <c r="E5816" s="114"/>
      <c r="F5816" s="54"/>
      <c r="G5816" s="54"/>
      <c r="I5816" s="54"/>
      <c r="K5816" s="54"/>
      <c r="M5816" s="114"/>
      <c r="N5816" s="1"/>
      <c r="O5816" s="1"/>
      <c r="P5816" s="51"/>
    </row>
    <row r="5817">
      <c r="A5817" s="54"/>
      <c r="B5817" s="71"/>
      <c r="C5817" s="51"/>
      <c r="D5817" s="114"/>
      <c r="E5817" s="114"/>
      <c r="F5817" s="54"/>
      <c r="G5817" s="54"/>
      <c r="I5817" s="54"/>
      <c r="K5817" s="54"/>
      <c r="M5817" s="114"/>
      <c r="N5817" s="1"/>
      <c r="O5817" s="1"/>
      <c r="P5817" s="51"/>
    </row>
    <row r="5818">
      <c r="A5818" s="54"/>
      <c r="B5818" s="71"/>
      <c r="C5818" s="51"/>
      <c r="D5818" s="114"/>
      <c r="E5818" s="114"/>
      <c r="F5818" s="54"/>
      <c r="G5818" s="54"/>
      <c r="I5818" s="54"/>
      <c r="K5818" s="54"/>
      <c r="M5818" s="114"/>
      <c r="N5818" s="1"/>
      <c r="O5818" s="1"/>
      <c r="P5818" s="51"/>
    </row>
    <row r="5819">
      <c r="A5819" s="54"/>
      <c r="B5819" s="71"/>
      <c r="C5819" s="51"/>
      <c r="D5819" s="114"/>
      <c r="E5819" s="114"/>
      <c r="F5819" s="54"/>
      <c r="G5819" s="54"/>
      <c r="I5819" s="54"/>
      <c r="K5819" s="54"/>
      <c r="M5819" s="114"/>
      <c r="N5819" s="1"/>
      <c r="O5819" s="1"/>
      <c r="P5819" s="51"/>
    </row>
    <row r="5820">
      <c r="A5820" s="54"/>
      <c r="B5820" s="71"/>
      <c r="C5820" s="51"/>
      <c r="D5820" s="114"/>
      <c r="E5820" s="114"/>
      <c r="F5820" s="54"/>
      <c r="G5820" s="54"/>
      <c r="I5820" s="54"/>
      <c r="K5820" s="54"/>
      <c r="M5820" s="114"/>
      <c r="N5820" s="1"/>
      <c r="O5820" s="1"/>
      <c r="P5820" s="51"/>
    </row>
    <row r="5821">
      <c r="A5821" s="54"/>
      <c r="B5821" s="71"/>
      <c r="C5821" s="51"/>
      <c r="D5821" s="114"/>
      <c r="E5821" s="114"/>
      <c r="F5821" s="54"/>
      <c r="G5821" s="54"/>
      <c r="I5821" s="54"/>
      <c r="K5821" s="54"/>
      <c r="M5821" s="114"/>
      <c r="N5821" s="1"/>
      <c r="O5821" s="1"/>
      <c r="P5821" s="51"/>
    </row>
    <row r="5822">
      <c r="A5822" s="54"/>
      <c r="B5822" s="71"/>
      <c r="C5822" s="51"/>
      <c r="D5822" s="114"/>
      <c r="E5822" s="114"/>
      <c r="F5822" s="54"/>
      <c r="G5822" s="54"/>
      <c r="I5822" s="54"/>
      <c r="K5822" s="54"/>
      <c r="M5822" s="114"/>
      <c r="N5822" s="1"/>
      <c r="O5822" s="1"/>
      <c r="P5822" s="51"/>
    </row>
    <row r="5823">
      <c r="A5823" s="54"/>
      <c r="B5823" s="71"/>
      <c r="C5823" s="51"/>
      <c r="D5823" s="114"/>
      <c r="E5823" s="114"/>
      <c r="F5823" s="54"/>
      <c r="G5823" s="54"/>
      <c r="I5823" s="54"/>
      <c r="K5823" s="54"/>
      <c r="M5823" s="114"/>
      <c r="N5823" s="1"/>
      <c r="O5823" s="1"/>
      <c r="P5823" s="51"/>
    </row>
    <row r="5824">
      <c r="A5824" s="54"/>
      <c r="B5824" s="71"/>
      <c r="C5824" s="51"/>
      <c r="D5824" s="114"/>
      <c r="E5824" s="114"/>
      <c r="F5824" s="54"/>
      <c r="G5824" s="54"/>
      <c r="I5824" s="54"/>
      <c r="K5824" s="54"/>
      <c r="M5824" s="114"/>
      <c r="N5824" s="1"/>
      <c r="O5824" s="1"/>
      <c r="P5824" s="51"/>
    </row>
    <row r="5825">
      <c r="A5825" s="54"/>
      <c r="B5825" s="71"/>
      <c r="C5825" s="51"/>
      <c r="D5825" s="114"/>
      <c r="E5825" s="114"/>
      <c r="F5825" s="54"/>
      <c r="G5825" s="54"/>
      <c r="I5825" s="54"/>
      <c r="K5825" s="54"/>
      <c r="M5825" s="114"/>
      <c r="N5825" s="1"/>
      <c r="O5825" s="1"/>
      <c r="P5825" s="51"/>
    </row>
    <row r="5826">
      <c r="A5826" s="54"/>
      <c r="B5826" s="71"/>
      <c r="C5826" s="51"/>
      <c r="D5826" s="114"/>
      <c r="E5826" s="114"/>
      <c r="F5826" s="54"/>
      <c r="G5826" s="54"/>
      <c r="I5826" s="54"/>
      <c r="K5826" s="54"/>
      <c r="M5826" s="114"/>
      <c r="N5826" s="1"/>
      <c r="O5826" s="1"/>
      <c r="P5826" s="51"/>
    </row>
    <row r="5827">
      <c r="A5827" s="54"/>
      <c r="B5827" s="71"/>
      <c r="C5827" s="51"/>
      <c r="D5827" s="114"/>
      <c r="E5827" s="114"/>
      <c r="F5827" s="54"/>
      <c r="G5827" s="54"/>
      <c r="I5827" s="54"/>
      <c r="K5827" s="54"/>
      <c r="M5827" s="114"/>
      <c r="N5827" s="1"/>
      <c r="O5827" s="1"/>
      <c r="P5827" s="51"/>
    </row>
    <row r="5828">
      <c r="A5828" s="54"/>
      <c r="B5828" s="71"/>
      <c r="C5828" s="51"/>
      <c r="D5828" s="114"/>
      <c r="E5828" s="114"/>
      <c r="F5828" s="54"/>
      <c r="G5828" s="54"/>
      <c r="I5828" s="54"/>
      <c r="K5828" s="54"/>
      <c r="M5828" s="114"/>
      <c r="N5828" s="1"/>
      <c r="O5828" s="1"/>
      <c r="P5828" s="51"/>
    </row>
    <row r="5829">
      <c r="A5829" s="54"/>
      <c r="B5829" s="71"/>
      <c r="C5829" s="51"/>
      <c r="D5829" s="114"/>
      <c r="E5829" s="114"/>
      <c r="F5829" s="54"/>
      <c r="G5829" s="54"/>
      <c r="I5829" s="54"/>
      <c r="K5829" s="54"/>
      <c r="M5829" s="114"/>
      <c r="N5829" s="1"/>
      <c r="O5829" s="1"/>
      <c r="P5829" s="51"/>
    </row>
    <row r="5830">
      <c r="A5830" s="54"/>
      <c r="B5830" s="71"/>
      <c r="C5830" s="51"/>
      <c r="D5830" s="114"/>
      <c r="E5830" s="114"/>
      <c r="F5830" s="54"/>
      <c r="G5830" s="54"/>
      <c r="I5830" s="54"/>
      <c r="K5830" s="54"/>
      <c r="M5830" s="114"/>
      <c r="N5830" s="1"/>
      <c r="O5830" s="1"/>
      <c r="P5830" s="51"/>
    </row>
    <row r="5831">
      <c r="A5831" s="54"/>
      <c r="B5831" s="71"/>
      <c r="C5831" s="51"/>
      <c r="D5831" s="114"/>
      <c r="E5831" s="114"/>
      <c r="F5831" s="54"/>
      <c r="G5831" s="54"/>
      <c r="I5831" s="54"/>
      <c r="K5831" s="54"/>
      <c r="M5831" s="114"/>
      <c r="N5831" s="1"/>
      <c r="O5831" s="1"/>
      <c r="P5831" s="51"/>
    </row>
    <row r="5832">
      <c r="A5832" s="54"/>
      <c r="B5832" s="71"/>
      <c r="C5832" s="51"/>
      <c r="D5832" s="114"/>
      <c r="E5832" s="114"/>
      <c r="F5832" s="54"/>
      <c r="G5832" s="54"/>
      <c r="I5832" s="54"/>
      <c r="K5832" s="54"/>
      <c r="M5832" s="114"/>
      <c r="N5832" s="1"/>
      <c r="O5832" s="1"/>
      <c r="P5832" s="51"/>
    </row>
    <row r="5833">
      <c r="A5833" s="54"/>
      <c r="B5833" s="71"/>
      <c r="C5833" s="51"/>
      <c r="D5833" s="114"/>
      <c r="E5833" s="114"/>
      <c r="F5833" s="54"/>
      <c r="G5833" s="54"/>
      <c r="I5833" s="54"/>
      <c r="K5833" s="54"/>
      <c r="M5833" s="114"/>
      <c r="N5833" s="1"/>
      <c r="O5833" s="1"/>
      <c r="P5833" s="51"/>
    </row>
    <row r="5834">
      <c r="A5834" s="54"/>
      <c r="B5834" s="71"/>
      <c r="C5834" s="51"/>
      <c r="D5834" s="114"/>
      <c r="E5834" s="114"/>
      <c r="F5834" s="54"/>
      <c r="G5834" s="54"/>
      <c r="I5834" s="54"/>
      <c r="K5834" s="54"/>
      <c r="M5834" s="114"/>
      <c r="N5834" s="1"/>
      <c r="O5834" s="1"/>
      <c r="P5834" s="51"/>
    </row>
    <row r="5835">
      <c r="A5835" s="54"/>
      <c r="B5835" s="71"/>
      <c r="C5835" s="51"/>
      <c r="D5835" s="114"/>
      <c r="E5835" s="114"/>
      <c r="F5835" s="54"/>
      <c r="G5835" s="54"/>
      <c r="I5835" s="54"/>
      <c r="K5835" s="54"/>
      <c r="M5835" s="114"/>
      <c r="N5835" s="1"/>
      <c r="O5835" s="1"/>
      <c r="P5835" s="51"/>
    </row>
    <row r="5836">
      <c r="A5836" s="54"/>
      <c r="B5836" s="71"/>
      <c r="C5836" s="51"/>
      <c r="D5836" s="114"/>
      <c r="E5836" s="114"/>
      <c r="F5836" s="54"/>
      <c r="G5836" s="54"/>
      <c r="I5836" s="54"/>
      <c r="K5836" s="54"/>
      <c r="M5836" s="114"/>
      <c r="N5836" s="1"/>
      <c r="O5836" s="1"/>
      <c r="P5836" s="51"/>
    </row>
    <row r="5837">
      <c r="A5837" s="54"/>
      <c r="B5837" s="71"/>
      <c r="C5837" s="51"/>
      <c r="D5837" s="114"/>
      <c r="E5837" s="114"/>
      <c r="F5837" s="54"/>
      <c r="G5837" s="54"/>
      <c r="I5837" s="54"/>
      <c r="K5837" s="54"/>
      <c r="M5837" s="114"/>
      <c r="N5837" s="1"/>
      <c r="O5837" s="1"/>
      <c r="P5837" s="51"/>
    </row>
    <row r="5838">
      <c r="A5838" s="54"/>
      <c r="B5838" s="71"/>
      <c r="C5838" s="51"/>
      <c r="D5838" s="114"/>
      <c r="E5838" s="114"/>
      <c r="F5838" s="54"/>
      <c r="G5838" s="54"/>
      <c r="I5838" s="54"/>
      <c r="K5838" s="54"/>
      <c r="M5838" s="114"/>
      <c r="N5838" s="1"/>
      <c r="O5838" s="1"/>
      <c r="P5838" s="51"/>
    </row>
    <row r="5839">
      <c r="A5839" s="54"/>
      <c r="B5839" s="71"/>
      <c r="C5839" s="51"/>
      <c r="D5839" s="114"/>
      <c r="E5839" s="114"/>
      <c r="F5839" s="54"/>
      <c r="G5839" s="54"/>
      <c r="I5839" s="54"/>
      <c r="K5839" s="54"/>
      <c r="M5839" s="114"/>
      <c r="N5839" s="1"/>
      <c r="O5839" s="1"/>
      <c r="P5839" s="51"/>
    </row>
    <row r="5840">
      <c r="A5840" s="54"/>
      <c r="B5840" s="71"/>
      <c r="C5840" s="51"/>
      <c r="D5840" s="114"/>
      <c r="E5840" s="114"/>
      <c r="F5840" s="54"/>
      <c r="G5840" s="54"/>
      <c r="I5840" s="54"/>
      <c r="K5840" s="54"/>
      <c r="M5840" s="114"/>
      <c r="N5840" s="1"/>
      <c r="O5840" s="1"/>
      <c r="P5840" s="51"/>
    </row>
    <row r="5841">
      <c r="A5841" s="54"/>
      <c r="B5841" s="71"/>
      <c r="C5841" s="51"/>
      <c r="D5841" s="114"/>
      <c r="E5841" s="114"/>
      <c r="F5841" s="54"/>
      <c r="G5841" s="54"/>
      <c r="I5841" s="54"/>
      <c r="K5841" s="54"/>
      <c r="M5841" s="114"/>
      <c r="N5841" s="1"/>
      <c r="O5841" s="1"/>
      <c r="P5841" s="51"/>
    </row>
    <row r="5842">
      <c r="A5842" s="54"/>
      <c r="B5842" s="71"/>
      <c r="C5842" s="51"/>
      <c r="D5842" s="114"/>
      <c r="E5842" s="114"/>
      <c r="F5842" s="54"/>
      <c r="G5842" s="54"/>
      <c r="I5842" s="54"/>
      <c r="K5842" s="54"/>
      <c r="M5842" s="114"/>
      <c r="N5842" s="1"/>
      <c r="O5842" s="1"/>
      <c r="P5842" s="51"/>
    </row>
    <row r="5843">
      <c r="A5843" s="54"/>
      <c r="B5843" s="71"/>
      <c r="C5843" s="51"/>
      <c r="D5843" s="114"/>
      <c r="E5843" s="114"/>
      <c r="F5843" s="54"/>
      <c r="G5843" s="54"/>
      <c r="I5843" s="54"/>
      <c r="K5843" s="54"/>
      <c r="M5843" s="114"/>
      <c r="N5843" s="1"/>
      <c r="O5843" s="1"/>
      <c r="P5843" s="51"/>
    </row>
    <row r="5844">
      <c r="A5844" s="54"/>
      <c r="B5844" s="71"/>
      <c r="C5844" s="51"/>
      <c r="D5844" s="114"/>
      <c r="E5844" s="114"/>
      <c r="F5844" s="54"/>
      <c r="G5844" s="54"/>
      <c r="I5844" s="54"/>
      <c r="K5844" s="54"/>
      <c r="M5844" s="114"/>
      <c r="N5844" s="1"/>
      <c r="O5844" s="1"/>
      <c r="P5844" s="51"/>
    </row>
    <row r="5845">
      <c r="A5845" s="54"/>
      <c r="B5845" s="71"/>
      <c r="C5845" s="51"/>
      <c r="D5845" s="114"/>
      <c r="E5845" s="114"/>
      <c r="F5845" s="54"/>
      <c r="G5845" s="54"/>
      <c r="I5845" s="54"/>
      <c r="K5845" s="54"/>
      <c r="M5845" s="114"/>
      <c r="N5845" s="1"/>
      <c r="O5845" s="1"/>
      <c r="P5845" s="51"/>
    </row>
    <row r="5846">
      <c r="A5846" s="54"/>
      <c r="B5846" s="71"/>
      <c r="C5846" s="51"/>
      <c r="D5846" s="114"/>
      <c r="E5846" s="114"/>
      <c r="F5846" s="54"/>
      <c r="G5846" s="54"/>
      <c r="I5846" s="54"/>
      <c r="K5846" s="54"/>
      <c r="M5846" s="114"/>
      <c r="N5846" s="1"/>
      <c r="O5846" s="1"/>
      <c r="P5846" s="51"/>
    </row>
    <row r="5847">
      <c r="A5847" s="54"/>
      <c r="B5847" s="71"/>
      <c r="C5847" s="51"/>
      <c r="D5847" s="114"/>
      <c r="E5847" s="114"/>
      <c r="F5847" s="54"/>
      <c r="G5847" s="54"/>
      <c r="I5847" s="54"/>
      <c r="K5847" s="54"/>
      <c r="M5847" s="114"/>
      <c r="N5847" s="1"/>
      <c r="O5847" s="1"/>
      <c r="P5847" s="51"/>
    </row>
    <row r="5848">
      <c r="A5848" s="54"/>
      <c r="B5848" s="71"/>
      <c r="C5848" s="51"/>
      <c r="D5848" s="114"/>
      <c r="E5848" s="114"/>
      <c r="F5848" s="54"/>
      <c r="G5848" s="54"/>
      <c r="I5848" s="54"/>
      <c r="K5848" s="54"/>
      <c r="M5848" s="114"/>
      <c r="N5848" s="1"/>
      <c r="O5848" s="1"/>
      <c r="P5848" s="51"/>
    </row>
    <row r="5849">
      <c r="A5849" s="54"/>
      <c r="B5849" s="71"/>
      <c r="C5849" s="51"/>
      <c r="D5849" s="114"/>
      <c r="E5849" s="114"/>
      <c r="F5849" s="54"/>
      <c r="G5849" s="54"/>
      <c r="I5849" s="54"/>
      <c r="K5849" s="54"/>
      <c r="M5849" s="114"/>
      <c r="N5849" s="1"/>
      <c r="O5849" s="1"/>
      <c r="P5849" s="51"/>
    </row>
    <row r="5850">
      <c r="A5850" s="54"/>
      <c r="B5850" s="71"/>
      <c r="C5850" s="51"/>
      <c r="D5850" s="114"/>
      <c r="E5850" s="114"/>
      <c r="F5850" s="54"/>
      <c r="G5850" s="54"/>
      <c r="I5850" s="54"/>
      <c r="K5850" s="54"/>
      <c r="M5850" s="114"/>
      <c r="N5850" s="1"/>
      <c r="O5850" s="1"/>
      <c r="P5850" s="51"/>
    </row>
    <row r="5851">
      <c r="A5851" s="54"/>
      <c r="B5851" s="71"/>
      <c r="C5851" s="51"/>
      <c r="D5851" s="114"/>
      <c r="E5851" s="114"/>
      <c r="F5851" s="54"/>
      <c r="G5851" s="54"/>
      <c r="I5851" s="54"/>
      <c r="K5851" s="54"/>
      <c r="M5851" s="114"/>
      <c r="N5851" s="1"/>
      <c r="O5851" s="1"/>
      <c r="P5851" s="51"/>
    </row>
    <row r="5852">
      <c r="A5852" s="54"/>
      <c r="B5852" s="71"/>
      <c r="C5852" s="51"/>
      <c r="D5852" s="114"/>
      <c r="E5852" s="114"/>
      <c r="F5852" s="54"/>
      <c r="G5852" s="54"/>
      <c r="I5852" s="54"/>
      <c r="K5852" s="54"/>
      <c r="M5852" s="114"/>
      <c r="N5852" s="1"/>
      <c r="O5852" s="1"/>
      <c r="P5852" s="51"/>
    </row>
    <row r="5853">
      <c r="A5853" s="54"/>
      <c r="B5853" s="71"/>
      <c r="C5853" s="51"/>
      <c r="D5853" s="114"/>
      <c r="E5853" s="114"/>
      <c r="F5853" s="54"/>
      <c r="G5853" s="54"/>
      <c r="I5853" s="54"/>
      <c r="K5853" s="54"/>
      <c r="M5853" s="114"/>
      <c r="N5853" s="1"/>
      <c r="O5853" s="1"/>
      <c r="P5853" s="51"/>
    </row>
    <row r="5854">
      <c r="A5854" s="54"/>
      <c r="B5854" s="71"/>
      <c r="C5854" s="51"/>
      <c r="D5854" s="114"/>
      <c r="E5854" s="114"/>
      <c r="F5854" s="54"/>
      <c r="G5854" s="54"/>
      <c r="I5854" s="54"/>
      <c r="K5854" s="54"/>
      <c r="M5854" s="114"/>
      <c r="N5854" s="1"/>
      <c r="O5854" s="1"/>
      <c r="P5854" s="51"/>
    </row>
    <row r="5855">
      <c r="A5855" s="54"/>
      <c r="B5855" s="71"/>
      <c r="C5855" s="51"/>
      <c r="D5855" s="114"/>
      <c r="E5855" s="114"/>
      <c r="F5855" s="54"/>
      <c r="G5855" s="54"/>
      <c r="I5855" s="54"/>
      <c r="K5855" s="54"/>
      <c r="M5855" s="114"/>
      <c r="N5855" s="1"/>
      <c r="O5855" s="1"/>
      <c r="P5855" s="51"/>
    </row>
    <row r="5856">
      <c r="A5856" s="54"/>
      <c r="B5856" s="71"/>
      <c r="C5856" s="51"/>
      <c r="D5856" s="114"/>
      <c r="E5856" s="114"/>
      <c r="F5856" s="54"/>
      <c r="G5856" s="54"/>
      <c r="I5856" s="54"/>
      <c r="K5856" s="54"/>
      <c r="M5856" s="114"/>
      <c r="N5856" s="1"/>
      <c r="O5856" s="1"/>
      <c r="P5856" s="51"/>
    </row>
    <row r="5857">
      <c r="A5857" s="54"/>
      <c r="B5857" s="71"/>
      <c r="C5857" s="51"/>
      <c r="D5857" s="114"/>
      <c r="E5857" s="114"/>
      <c r="F5857" s="54"/>
      <c r="G5857" s="54"/>
      <c r="I5857" s="54"/>
      <c r="K5857" s="54"/>
      <c r="M5857" s="114"/>
      <c r="N5857" s="1"/>
      <c r="O5857" s="1"/>
      <c r="P5857" s="51"/>
    </row>
    <row r="5858">
      <c r="A5858" s="54"/>
      <c r="B5858" s="71"/>
      <c r="C5858" s="51"/>
      <c r="D5858" s="114"/>
      <c r="E5858" s="114"/>
      <c r="F5858" s="54"/>
      <c r="G5858" s="54"/>
      <c r="I5858" s="54"/>
      <c r="K5858" s="54"/>
      <c r="M5858" s="114"/>
      <c r="N5858" s="1"/>
      <c r="O5858" s="1"/>
      <c r="P5858" s="51"/>
    </row>
    <row r="5859">
      <c r="A5859" s="54"/>
      <c r="B5859" s="71"/>
      <c r="C5859" s="51"/>
      <c r="D5859" s="114"/>
      <c r="E5859" s="114"/>
      <c r="F5859" s="54"/>
      <c r="G5859" s="54"/>
      <c r="I5859" s="54"/>
      <c r="K5859" s="54"/>
      <c r="M5859" s="114"/>
      <c r="N5859" s="1"/>
      <c r="O5859" s="1"/>
      <c r="P5859" s="51"/>
    </row>
    <row r="5860">
      <c r="A5860" s="54"/>
      <c r="B5860" s="71"/>
      <c r="C5860" s="51"/>
      <c r="D5860" s="114"/>
      <c r="E5860" s="114"/>
      <c r="F5860" s="54"/>
      <c r="G5860" s="54"/>
      <c r="I5860" s="54"/>
      <c r="K5860" s="54"/>
      <c r="M5860" s="114"/>
      <c r="N5860" s="1"/>
      <c r="O5860" s="1"/>
      <c r="P5860" s="51"/>
    </row>
    <row r="5861">
      <c r="A5861" s="54"/>
      <c r="B5861" s="71"/>
      <c r="C5861" s="51"/>
      <c r="D5861" s="114"/>
      <c r="E5861" s="114"/>
      <c r="F5861" s="54"/>
      <c r="G5861" s="54"/>
      <c r="I5861" s="54"/>
      <c r="K5861" s="54"/>
      <c r="M5861" s="114"/>
      <c r="N5861" s="1"/>
      <c r="O5861" s="1"/>
      <c r="P5861" s="51"/>
    </row>
    <row r="5862">
      <c r="A5862" s="54"/>
      <c r="B5862" s="71"/>
      <c r="C5862" s="51"/>
      <c r="D5862" s="114"/>
      <c r="E5862" s="114"/>
      <c r="F5862" s="54"/>
      <c r="G5862" s="54"/>
      <c r="I5862" s="54"/>
      <c r="K5862" s="54"/>
      <c r="M5862" s="114"/>
      <c r="N5862" s="1"/>
      <c r="O5862" s="1"/>
      <c r="P5862" s="51"/>
    </row>
    <row r="5863">
      <c r="A5863" s="54"/>
      <c r="B5863" s="71"/>
      <c r="C5863" s="51"/>
      <c r="D5863" s="114"/>
      <c r="E5863" s="114"/>
      <c r="F5863" s="54"/>
      <c r="G5863" s="54"/>
      <c r="I5863" s="54"/>
      <c r="K5863" s="54"/>
      <c r="M5863" s="114"/>
      <c r="N5863" s="1"/>
      <c r="O5863" s="1"/>
      <c r="P5863" s="51"/>
    </row>
    <row r="5864">
      <c r="A5864" s="54"/>
      <c r="B5864" s="71"/>
      <c r="C5864" s="51"/>
      <c r="D5864" s="114"/>
      <c r="E5864" s="114"/>
      <c r="F5864" s="54"/>
      <c r="G5864" s="54"/>
      <c r="I5864" s="54"/>
      <c r="K5864" s="54"/>
      <c r="M5864" s="114"/>
      <c r="N5864" s="1"/>
      <c r="O5864" s="1"/>
      <c r="P5864" s="51"/>
    </row>
    <row r="5865">
      <c r="A5865" s="54"/>
      <c r="B5865" s="71"/>
      <c r="C5865" s="51"/>
      <c r="D5865" s="114"/>
      <c r="E5865" s="114"/>
      <c r="F5865" s="54"/>
      <c r="G5865" s="54"/>
      <c r="I5865" s="54"/>
      <c r="K5865" s="54"/>
      <c r="M5865" s="114"/>
      <c r="N5865" s="1"/>
      <c r="O5865" s="1"/>
      <c r="P5865" s="51"/>
    </row>
    <row r="5866">
      <c r="A5866" s="54"/>
      <c r="B5866" s="71"/>
      <c r="C5866" s="51"/>
      <c r="D5866" s="114"/>
      <c r="E5866" s="114"/>
      <c r="F5866" s="54"/>
      <c r="G5866" s="54"/>
      <c r="I5866" s="54"/>
      <c r="K5866" s="54"/>
      <c r="M5866" s="114"/>
      <c r="N5866" s="1"/>
      <c r="O5866" s="1"/>
      <c r="P5866" s="51"/>
    </row>
    <row r="5867">
      <c r="A5867" s="54"/>
      <c r="B5867" s="71"/>
      <c r="C5867" s="51"/>
      <c r="D5867" s="114"/>
      <c r="E5867" s="114"/>
      <c r="F5867" s="54"/>
      <c r="G5867" s="54"/>
      <c r="I5867" s="54"/>
      <c r="K5867" s="54"/>
      <c r="M5867" s="114"/>
      <c r="N5867" s="1"/>
      <c r="O5867" s="1"/>
      <c r="P5867" s="51"/>
    </row>
    <row r="5868">
      <c r="A5868" s="54"/>
      <c r="B5868" s="71"/>
      <c r="C5868" s="51"/>
      <c r="D5868" s="114"/>
      <c r="E5868" s="114"/>
      <c r="F5868" s="54"/>
      <c r="G5868" s="54"/>
      <c r="I5868" s="54"/>
      <c r="K5868" s="54"/>
      <c r="M5868" s="114"/>
      <c r="N5868" s="1"/>
      <c r="O5868" s="1"/>
      <c r="P5868" s="51"/>
    </row>
    <row r="5869">
      <c r="A5869" s="54"/>
      <c r="B5869" s="71"/>
      <c r="C5869" s="51"/>
      <c r="D5869" s="114"/>
      <c r="E5869" s="114"/>
      <c r="F5869" s="54"/>
      <c r="G5869" s="54"/>
      <c r="I5869" s="54"/>
      <c r="K5869" s="54"/>
      <c r="M5869" s="114"/>
      <c r="N5869" s="1"/>
      <c r="O5869" s="1"/>
      <c r="P5869" s="51"/>
    </row>
    <row r="5870">
      <c r="A5870" s="54"/>
      <c r="B5870" s="71"/>
      <c r="C5870" s="51"/>
      <c r="D5870" s="114"/>
      <c r="E5870" s="114"/>
      <c r="F5870" s="54"/>
      <c r="G5870" s="54"/>
      <c r="I5870" s="54"/>
      <c r="K5870" s="54"/>
      <c r="M5870" s="114"/>
      <c r="N5870" s="1"/>
      <c r="O5870" s="1"/>
      <c r="P5870" s="51"/>
    </row>
    <row r="5871">
      <c r="A5871" s="54"/>
      <c r="B5871" s="71"/>
      <c r="C5871" s="51"/>
      <c r="D5871" s="114"/>
      <c r="E5871" s="114"/>
      <c r="F5871" s="54"/>
      <c r="G5871" s="54"/>
      <c r="I5871" s="54"/>
      <c r="K5871" s="54"/>
      <c r="M5871" s="114"/>
      <c r="N5871" s="1"/>
      <c r="O5871" s="1"/>
      <c r="P5871" s="51"/>
    </row>
    <row r="5872">
      <c r="A5872" s="54"/>
      <c r="B5872" s="71"/>
      <c r="C5872" s="51"/>
      <c r="D5872" s="114"/>
      <c r="E5872" s="114"/>
      <c r="F5872" s="54"/>
      <c r="G5872" s="54"/>
      <c r="I5872" s="54"/>
      <c r="K5872" s="54"/>
      <c r="M5872" s="114"/>
      <c r="N5872" s="1"/>
      <c r="O5872" s="1"/>
      <c r="P5872" s="51"/>
    </row>
    <row r="5873">
      <c r="A5873" s="54"/>
      <c r="B5873" s="71"/>
      <c r="C5873" s="51"/>
      <c r="D5873" s="114"/>
      <c r="E5873" s="114"/>
      <c r="F5873" s="54"/>
      <c r="G5873" s="54"/>
      <c r="I5873" s="54"/>
      <c r="K5873" s="54"/>
      <c r="M5873" s="114"/>
      <c r="N5873" s="1"/>
      <c r="O5873" s="1"/>
      <c r="P5873" s="51"/>
    </row>
    <row r="5874">
      <c r="A5874" s="54"/>
      <c r="B5874" s="71"/>
      <c r="C5874" s="51"/>
      <c r="D5874" s="114"/>
      <c r="E5874" s="114"/>
      <c r="F5874" s="54"/>
      <c r="G5874" s="54"/>
      <c r="I5874" s="54"/>
      <c r="K5874" s="54"/>
      <c r="M5874" s="114"/>
      <c r="N5874" s="1"/>
      <c r="O5874" s="1"/>
      <c r="P5874" s="51"/>
    </row>
    <row r="5875">
      <c r="A5875" s="54"/>
      <c r="B5875" s="71"/>
      <c r="C5875" s="51"/>
      <c r="D5875" s="114"/>
      <c r="E5875" s="114"/>
      <c r="F5875" s="54"/>
      <c r="G5875" s="54"/>
      <c r="I5875" s="54"/>
      <c r="K5875" s="54"/>
      <c r="M5875" s="114"/>
      <c r="N5875" s="1"/>
      <c r="O5875" s="1"/>
      <c r="P5875" s="51"/>
    </row>
    <row r="5876">
      <c r="A5876" s="54"/>
      <c r="B5876" s="71"/>
      <c r="C5876" s="51"/>
      <c r="D5876" s="114"/>
      <c r="E5876" s="114"/>
      <c r="F5876" s="54"/>
      <c r="G5876" s="54"/>
      <c r="I5876" s="54"/>
      <c r="K5876" s="54"/>
      <c r="M5876" s="114"/>
      <c r="N5876" s="1"/>
      <c r="O5876" s="1"/>
      <c r="P5876" s="51"/>
    </row>
    <row r="5877">
      <c r="A5877" s="54"/>
      <c r="B5877" s="71"/>
      <c r="C5877" s="51"/>
      <c r="D5877" s="114"/>
      <c r="E5877" s="114"/>
      <c r="F5877" s="54"/>
      <c r="G5877" s="54"/>
      <c r="I5877" s="54"/>
      <c r="K5877" s="54"/>
      <c r="M5877" s="114"/>
      <c r="N5877" s="1"/>
      <c r="O5877" s="1"/>
      <c r="P5877" s="51"/>
    </row>
    <row r="5878">
      <c r="A5878" s="54"/>
      <c r="B5878" s="71"/>
      <c r="C5878" s="51"/>
      <c r="D5878" s="114"/>
      <c r="E5878" s="114"/>
      <c r="F5878" s="54"/>
      <c r="G5878" s="54"/>
      <c r="I5878" s="54"/>
      <c r="K5878" s="54"/>
      <c r="M5878" s="114"/>
      <c r="N5878" s="1"/>
      <c r="O5878" s="1"/>
      <c r="P5878" s="51"/>
    </row>
    <row r="5879">
      <c r="A5879" s="54"/>
      <c r="B5879" s="71"/>
      <c r="C5879" s="51"/>
      <c r="D5879" s="114"/>
      <c r="E5879" s="114"/>
      <c r="F5879" s="54"/>
      <c r="G5879" s="54"/>
      <c r="I5879" s="54"/>
      <c r="K5879" s="54"/>
      <c r="M5879" s="114"/>
      <c r="N5879" s="1"/>
      <c r="O5879" s="1"/>
      <c r="P5879" s="51"/>
    </row>
    <row r="5880">
      <c r="A5880" s="54"/>
      <c r="B5880" s="71"/>
      <c r="C5880" s="51"/>
      <c r="D5880" s="114"/>
      <c r="E5880" s="114"/>
      <c r="F5880" s="54"/>
      <c r="G5880" s="54"/>
      <c r="I5880" s="54"/>
      <c r="K5880" s="54"/>
      <c r="M5880" s="114"/>
      <c r="N5880" s="1"/>
      <c r="O5880" s="1"/>
      <c r="P5880" s="51"/>
    </row>
    <row r="5881">
      <c r="A5881" s="54"/>
      <c r="B5881" s="71"/>
      <c r="C5881" s="51"/>
      <c r="D5881" s="114"/>
      <c r="E5881" s="114"/>
      <c r="F5881" s="54"/>
      <c r="G5881" s="54"/>
      <c r="I5881" s="54"/>
      <c r="K5881" s="54"/>
      <c r="M5881" s="114"/>
      <c r="N5881" s="1"/>
      <c r="O5881" s="1"/>
      <c r="P5881" s="51"/>
    </row>
    <row r="5882">
      <c r="A5882" s="54"/>
      <c r="B5882" s="71"/>
      <c r="C5882" s="51"/>
      <c r="D5882" s="114"/>
      <c r="E5882" s="114"/>
      <c r="F5882" s="54"/>
      <c r="G5882" s="54"/>
      <c r="I5882" s="54"/>
      <c r="K5882" s="54"/>
      <c r="M5882" s="114"/>
      <c r="N5882" s="1"/>
      <c r="O5882" s="1"/>
      <c r="P5882" s="51"/>
    </row>
    <row r="5883">
      <c r="A5883" s="54"/>
      <c r="B5883" s="71"/>
      <c r="C5883" s="51"/>
      <c r="D5883" s="114"/>
      <c r="E5883" s="114"/>
      <c r="F5883" s="54"/>
      <c r="G5883" s="54"/>
      <c r="I5883" s="54"/>
      <c r="K5883" s="54"/>
      <c r="M5883" s="114"/>
      <c r="N5883" s="1"/>
      <c r="O5883" s="1"/>
      <c r="P5883" s="51"/>
    </row>
    <row r="5884">
      <c r="A5884" s="54"/>
      <c r="B5884" s="71"/>
      <c r="C5884" s="51"/>
      <c r="D5884" s="114"/>
      <c r="E5884" s="114"/>
      <c r="F5884" s="54"/>
      <c r="G5884" s="54"/>
      <c r="I5884" s="54"/>
      <c r="K5884" s="54"/>
      <c r="M5884" s="114"/>
      <c r="N5884" s="1"/>
      <c r="O5884" s="1"/>
      <c r="P5884" s="51"/>
    </row>
    <row r="5885">
      <c r="A5885" s="54"/>
      <c r="B5885" s="71"/>
      <c r="C5885" s="51"/>
      <c r="D5885" s="114"/>
      <c r="E5885" s="114"/>
      <c r="F5885" s="54"/>
      <c r="G5885" s="54"/>
      <c r="I5885" s="54"/>
      <c r="K5885" s="54"/>
      <c r="M5885" s="114"/>
      <c r="N5885" s="1"/>
      <c r="O5885" s="1"/>
      <c r="P5885" s="51"/>
    </row>
    <row r="5886">
      <c r="A5886" s="54"/>
      <c r="B5886" s="71"/>
      <c r="C5886" s="51"/>
      <c r="D5886" s="114"/>
      <c r="E5886" s="114"/>
      <c r="F5886" s="54"/>
      <c r="G5886" s="54"/>
      <c r="I5886" s="54"/>
      <c r="K5886" s="54"/>
      <c r="M5886" s="114"/>
      <c r="N5886" s="1"/>
      <c r="O5886" s="1"/>
      <c r="P5886" s="51"/>
    </row>
    <row r="5887">
      <c r="A5887" s="54"/>
      <c r="B5887" s="71"/>
      <c r="C5887" s="51"/>
      <c r="D5887" s="114"/>
      <c r="E5887" s="114"/>
      <c r="F5887" s="54"/>
      <c r="G5887" s="54"/>
      <c r="I5887" s="54"/>
      <c r="K5887" s="54"/>
      <c r="M5887" s="114"/>
      <c r="N5887" s="1"/>
      <c r="O5887" s="1"/>
      <c r="P5887" s="51"/>
    </row>
    <row r="5888">
      <c r="A5888" s="54"/>
      <c r="B5888" s="71"/>
      <c r="C5888" s="51"/>
      <c r="D5888" s="114"/>
      <c r="E5888" s="114"/>
      <c r="F5888" s="54"/>
      <c r="G5888" s="54"/>
      <c r="I5888" s="54"/>
      <c r="K5888" s="54"/>
      <c r="M5888" s="114"/>
      <c r="N5888" s="1"/>
      <c r="O5888" s="1"/>
      <c r="P5888" s="51"/>
    </row>
    <row r="5889">
      <c r="A5889" s="54"/>
      <c r="B5889" s="71"/>
      <c r="C5889" s="51"/>
      <c r="D5889" s="114"/>
      <c r="E5889" s="114"/>
      <c r="F5889" s="54"/>
      <c r="G5889" s="54"/>
      <c r="I5889" s="54"/>
      <c r="K5889" s="54"/>
      <c r="M5889" s="114"/>
      <c r="N5889" s="1"/>
      <c r="O5889" s="1"/>
      <c r="P5889" s="51"/>
    </row>
    <row r="5890">
      <c r="A5890" s="54"/>
      <c r="B5890" s="71"/>
      <c r="C5890" s="51"/>
      <c r="D5890" s="114"/>
      <c r="E5890" s="114"/>
      <c r="F5890" s="54"/>
      <c r="G5890" s="54"/>
      <c r="I5890" s="54"/>
      <c r="K5890" s="54"/>
      <c r="M5890" s="114"/>
      <c r="N5890" s="1"/>
      <c r="O5890" s="1"/>
      <c r="P5890" s="51"/>
    </row>
    <row r="5891">
      <c r="A5891" s="54"/>
      <c r="B5891" s="71"/>
      <c r="C5891" s="51"/>
      <c r="D5891" s="114"/>
      <c r="E5891" s="114"/>
      <c r="F5891" s="54"/>
      <c r="G5891" s="54"/>
      <c r="I5891" s="54"/>
      <c r="K5891" s="54"/>
      <c r="M5891" s="114"/>
      <c r="N5891" s="1"/>
      <c r="O5891" s="1"/>
      <c r="P5891" s="51"/>
    </row>
    <row r="5892">
      <c r="A5892" s="54"/>
      <c r="B5892" s="71"/>
      <c r="C5892" s="51"/>
      <c r="D5892" s="114"/>
      <c r="E5892" s="114"/>
      <c r="F5892" s="54"/>
      <c r="G5892" s="54"/>
      <c r="I5892" s="54"/>
      <c r="K5892" s="54"/>
      <c r="M5892" s="114"/>
      <c r="N5892" s="1"/>
      <c r="O5892" s="1"/>
      <c r="P5892" s="51"/>
    </row>
    <row r="5893">
      <c r="A5893" s="54"/>
      <c r="B5893" s="71"/>
      <c r="C5893" s="51"/>
      <c r="D5893" s="114"/>
      <c r="E5893" s="114"/>
      <c r="F5893" s="54"/>
      <c r="G5893" s="54"/>
      <c r="I5893" s="54"/>
      <c r="K5893" s="54"/>
      <c r="M5893" s="114"/>
      <c r="N5893" s="1"/>
      <c r="O5893" s="1"/>
      <c r="P5893" s="51"/>
    </row>
    <row r="5894">
      <c r="A5894" s="54"/>
      <c r="B5894" s="71"/>
      <c r="C5894" s="51"/>
      <c r="D5894" s="114"/>
      <c r="E5894" s="114"/>
      <c r="F5894" s="54"/>
      <c r="G5894" s="54"/>
      <c r="I5894" s="54"/>
      <c r="K5894" s="54"/>
      <c r="M5894" s="114"/>
      <c r="N5894" s="1"/>
      <c r="O5894" s="1"/>
      <c r="P5894" s="51"/>
    </row>
    <row r="5895">
      <c r="A5895" s="54"/>
      <c r="B5895" s="71"/>
      <c r="C5895" s="51"/>
      <c r="D5895" s="114"/>
      <c r="E5895" s="114"/>
      <c r="F5895" s="54"/>
      <c r="G5895" s="54"/>
      <c r="I5895" s="54"/>
      <c r="K5895" s="54"/>
      <c r="M5895" s="114"/>
      <c r="N5895" s="1"/>
      <c r="O5895" s="1"/>
      <c r="P5895" s="51"/>
    </row>
    <row r="5896">
      <c r="A5896" s="54"/>
      <c r="B5896" s="71"/>
      <c r="C5896" s="51"/>
      <c r="D5896" s="114"/>
      <c r="E5896" s="114"/>
      <c r="F5896" s="54"/>
      <c r="G5896" s="54"/>
      <c r="I5896" s="54"/>
      <c r="K5896" s="54"/>
      <c r="M5896" s="114"/>
      <c r="N5896" s="1"/>
      <c r="O5896" s="1"/>
      <c r="P5896" s="51"/>
    </row>
    <row r="5897">
      <c r="A5897" s="54"/>
      <c r="B5897" s="71"/>
      <c r="C5897" s="51"/>
      <c r="D5897" s="114"/>
      <c r="E5897" s="114"/>
      <c r="F5897" s="54"/>
      <c r="G5897" s="54"/>
      <c r="I5897" s="54"/>
      <c r="K5897" s="54"/>
      <c r="M5897" s="114"/>
      <c r="N5897" s="1"/>
      <c r="O5897" s="1"/>
      <c r="P5897" s="51"/>
    </row>
    <row r="5898">
      <c r="A5898" s="54"/>
      <c r="B5898" s="71"/>
      <c r="C5898" s="51"/>
      <c r="D5898" s="114"/>
      <c r="E5898" s="114"/>
      <c r="F5898" s="54"/>
      <c r="G5898" s="54"/>
      <c r="I5898" s="54"/>
      <c r="K5898" s="54"/>
      <c r="M5898" s="114"/>
      <c r="N5898" s="1"/>
      <c r="O5898" s="1"/>
      <c r="P5898" s="51"/>
    </row>
    <row r="5899">
      <c r="A5899" s="54"/>
      <c r="B5899" s="71"/>
      <c r="C5899" s="51"/>
      <c r="D5899" s="114"/>
      <c r="E5899" s="114"/>
      <c r="F5899" s="54"/>
      <c r="G5899" s="54"/>
      <c r="I5899" s="54"/>
      <c r="K5899" s="54"/>
      <c r="M5899" s="114"/>
      <c r="N5899" s="1"/>
      <c r="O5899" s="1"/>
      <c r="P5899" s="51"/>
    </row>
    <row r="5900">
      <c r="A5900" s="54"/>
      <c r="B5900" s="71"/>
      <c r="C5900" s="51"/>
      <c r="D5900" s="114"/>
      <c r="E5900" s="114"/>
      <c r="F5900" s="54"/>
      <c r="G5900" s="54"/>
      <c r="I5900" s="54"/>
      <c r="K5900" s="54"/>
      <c r="M5900" s="114"/>
      <c r="N5900" s="1"/>
      <c r="O5900" s="1"/>
      <c r="P5900" s="51"/>
    </row>
    <row r="5901">
      <c r="A5901" s="54"/>
      <c r="B5901" s="71"/>
      <c r="C5901" s="51"/>
      <c r="D5901" s="114"/>
      <c r="E5901" s="114"/>
      <c r="F5901" s="54"/>
      <c r="G5901" s="54"/>
      <c r="I5901" s="54"/>
      <c r="K5901" s="54"/>
      <c r="M5901" s="114"/>
      <c r="N5901" s="1"/>
      <c r="O5901" s="1"/>
      <c r="P5901" s="51"/>
    </row>
    <row r="5902">
      <c r="A5902" s="54"/>
      <c r="B5902" s="71"/>
      <c r="C5902" s="51"/>
      <c r="D5902" s="114"/>
      <c r="E5902" s="114"/>
      <c r="F5902" s="54"/>
      <c r="G5902" s="54"/>
      <c r="I5902" s="54"/>
      <c r="K5902" s="54"/>
      <c r="M5902" s="114"/>
      <c r="N5902" s="1"/>
      <c r="O5902" s="1"/>
      <c r="P5902" s="51"/>
    </row>
    <row r="5903">
      <c r="A5903" s="54"/>
      <c r="B5903" s="71"/>
      <c r="C5903" s="51"/>
      <c r="D5903" s="114"/>
      <c r="E5903" s="114"/>
      <c r="F5903" s="54"/>
      <c r="G5903" s="54"/>
      <c r="I5903" s="54"/>
      <c r="K5903" s="54"/>
      <c r="M5903" s="114"/>
      <c r="N5903" s="1"/>
      <c r="O5903" s="1"/>
      <c r="P5903" s="51"/>
    </row>
    <row r="5904">
      <c r="A5904" s="54"/>
      <c r="B5904" s="71"/>
      <c r="C5904" s="51"/>
      <c r="D5904" s="114"/>
      <c r="E5904" s="114"/>
      <c r="F5904" s="54"/>
      <c r="G5904" s="54"/>
      <c r="I5904" s="54"/>
      <c r="K5904" s="54"/>
      <c r="M5904" s="114"/>
      <c r="N5904" s="1"/>
      <c r="O5904" s="1"/>
      <c r="P5904" s="51"/>
    </row>
    <row r="5905">
      <c r="A5905" s="54"/>
      <c r="B5905" s="71"/>
      <c r="C5905" s="51"/>
      <c r="D5905" s="114"/>
      <c r="E5905" s="114"/>
      <c r="F5905" s="54"/>
      <c r="G5905" s="54"/>
      <c r="I5905" s="54"/>
      <c r="K5905" s="54"/>
      <c r="M5905" s="114"/>
      <c r="N5905" s="1"/>
      <c r="O5905" s="1"/>
      <c r="P5905" s="51"/>
    </row>
    <row r="5906">
      <c r="A5906" s="54"/>
      <c r="B5906" s="71"/>
      <c r="C5906" s="51"/>
      <c r="D5906" s="114"/>
      <c r="E5906" s="114"/>
      <c r="F5906" s="54"/>
      <c r="G5906" s="54"/>
      <c r="I5906" s="54"/>
      <c r="K5906" s="54"/>
      <c r="M5906" s="114"/>
      <c r="N5906" s="1"/>
      <c r="O5906" s="1"/>
      <c r="P5906" s="51"/>
    </row>
    <row r="5907">
      <c r="A5907" s="54"/>
      <c r="B5907" s="71"/>
      <c r="C5907" s="51"/>
      <c r="D5907" s="114"/>
      <c r="E5907" s="114"/>
      <c r="F5907" s="54"/>
      <c r="G5907" s="54"/>
      <c r="I5907" s="54"/>
      <c r="K5907" s="54"/>
      <c r="M5907" s="114"/>
      <c r="N5907" s="1"/>
      <c r="O5907" s="1"/>
      <c r="P5907" s="51"/>
    </row>
    <row r="5908">
      <c r="A5908" s="54"/>
      <c r="B5908" s="71"/>
      <c r="C5908" s="51"/>
      <c r="D5908" s="114"/>
      <c r="E5908" s="114"/>
      <c r="F5908" s="54"/>
      <c r="G5908" s="54"/>
      <c r="I5908" s="54"/>
      <c r="K5908" s="54"/>
      <c r="M5908" s="114"/>
      <c r="N5908" s="1"/>
      <c r="O5908" s="1"/>
      <c r="P5908" s="51"/>
    </row>
    <row r="5909">
      <c r="A5909" s="54"/>
      <c r="B5909" s="71"/>
      <c r="C5909" s="51"/>
      <c r="D5909" s="114"/>
      <c r="E5909" s="114"/>
      <c r="F5909" s="54"/>
      <c r="G5909" s="54"/>
      <c r="I5909" s="54"/>
      <c r="K5909" s="54"/>
      <c r="M5909" s="114"/>
      <c r="N5909" s="1"/>
      <c r="O5909" s="1"/>
      <c r="P5909" s="51"/>
    </row>
    <row r="5910">
      <c r="A5910" s="54"/>
      <c r="B5910" s="71"/>
      <c r="C5910" s="51"/>
      <c r="D5910" s="114"/>
      <c r="E5910" s="114"/>
      <c r="F5910" s="54"/>
      <c r="G5910" s="54"/>
      <c r="I5910" s="54"/>
      <c r="K5910" s="54"/>
      <c r="M5910" s="114"/>
      <c r="N5910" s="1"/>
      <c r="O5910" s="1"/>
      <c r="P5910" s="51"/>
    </row>
    <row r="5911">
      <c r="A5911" s="54"/>
      <c r="B5911" s="71"/>
      <c r="C5911" s="51"/>
      <c r="D5911" s="114"/>
      <c r="E5911" s="114"/>
      <c r="F5911" s="54"/>
      <c r="G5911" s="54"/>
      <c r="I5911" s="54"/>
      <c r="K5911" s="54"/>
      <c r="M5911" s="114"/>
      <c r="N5911" s="1"/>
      <c r="O5911" s="1"/>
      <c r="P5911" s="51"/>
    </row>
    <row r="5912">
      <c r="A5912" s="54"/>
      <c r="B5912" s="71"/>
      <c r="C5912" s="51"/>
      <c r="D5912" s="114"/>
      <c r="E5912" s="114"/>
      <c r="F5912" s="54"/>
      <c r="G5912" s="54"/>
      <c r="I5912" s="54"/>
      <c r="K5912" s="54"/>
      <c r="M5912" s="114"/>
      <c r="N5912" s="1"/>
      <c r="O5912" s="1"/>
      <c r="P5912" s="51"/>
    </row>
    <row r="5913">
      <c r="A5913" s="54"/>
      <c r="B5913" s="71"/>
      <c r="C5913" s="51"/>
      <c r="D5913" s="114"/>
      <c r="E5913" s="114"/>
      <c r="F5913" s="54"/>
      <c r="G5913" s="54"/>
      <c r="I5913" s="54"/>
      <c r="K5913" s="54"/>
      <c r="M5913" s="114"/>
      <c r="N5913" s="1"/>
      <c r="O5913" s="1"/>
      <c r="P5913" s="51"/>
    </row>
    <row r="5914">
      <c r="A5914" s="54"/>
      <c r="B5914" s="71"/>
      <c r="C5914" s="51"/>
      <c r="D5914" s="114"/>
      <c r="E5914" s="114"/>
      <c r="F5914" s="54"/>
      <c r="G5914" s="54"/>
      <c r="I5914" s="54"/>
      <c r="K5914" s="54"/>
      <c r="M5914" s="114"/>
      <c r="N5914" s="1"/>
      <c r="O5914" s="1"/>
      <c r="P5914" s="51"/>
    </row>
    <row r="5915">
      <c r="A5915" s="54"/>
      <c r="B5915" s="71"/>
      <c r="C5915" s="51"/>
      <c r="D5915" s="114"/>
      <c r="E5915" s="114"/>
      <c r="F5915" s="54"/>
      <c r="G5915" s="54"/>
      <c r="I5915" s="54"/>
      <c r="K5915" s="54"/>
      <c r="M5915" s="114"/>
      <c r="N5915" s="1"/>
      <c r="O5915" s="1"/>
      <c r="P5915" s="51"/>
    </row>
    <row r="5916">
      <c r="A5916" s="54"/>
      <c r="B5916" s="71"/>
      <c r="C5916" s="51"/>
      <c r="D5916" s="114"/>
      <c r="E5916" s="114"/>
      <c r="F5916" s="54"/>
      <c r="G5916" s="54"/>
      <c r="I5916" s="54"/>
      <c r="K5916" s="54"/>
      <c r="M5916" s="114"/>
      <c r="N5916" s="1"/>
      <c r="O5916" s="1"/>
      <c r="P5916" s="51"/>
    </row>
    <row r="5917">
      <c r="A5917" s="54"/>
      <c r="B5917" s="71"/>
      <c r="C5917" s="51"/>
      <c r="D5917" s="114"/>
      <c r="E5917" s="114"/>
      <c r="F5917" s="54"/>
      <c r="G5917" s="54"/>
      <c r="I5917" s="54"/>
      <c r="K5917" s="54"/>
      <c r="M5917" s="114"/>
      <c r="N5917" s="1"/>
      <c r="O5917" s="1"/>
      <c r="P5917" s="51"/>
    </row>
    <row r="5918">
      <c r="A5918" s="54"/>
      <c r="B5918" s="71"/>
      <c r="C5918" s="51"/>
      <c r="D5918" s="114"/>
      <c r="E5918" s="114"/>
      <c r="F5918" s="54"/>
      <c r="G5918" s="54"/>
      <c r="I5918" s="54"/>
      <c r="K5918" s="54"/>
      <c r="M5918" s="114"/>
      <c r="N5918" s="1"/>
      <c r="O5918" s="1"/>
      <c r="P5918" s="51"/>
    </row>
    <row r="5919">
      <c r="A5919" s="54"/>
      <c r="B5919" s="71"/>
      <c r="C5919" s="51"/>
      <c r="D5919" s="114"/>
      <c r="E5919" s="114"/>
      <c r="F5919" s="54"/>
      <c r="G5919" s="54"/>
      <c r="I5919" s="54"/>
      <c r="K5919" s="54"/>
      <c r="M5919" s="114"/>
      <c r="N5919" s="1"/>
      <c r="O5919" s="1"/>
      <c r="P5919" s="51"/>
    </row>
    <row r="5920">
      <c r="A5920" s="54"/>
      <c r="B5920" s="71"/>
      <c r="C5920" s="51"/>
      <c r="D5920" s="114"/>
      <c r="E5920" s="114"/>
      <c r="F5920" s="54"/>
      <c r="G5920" s="54"/>
      <c r="I5920" s="54"/>
      <c r="K5920" s="54"/>
      <c r="M5920" s="114"/>
      <c r="N5920" s="1"/>
      <c r="O5920" s="1"/>
      <c r="P5920" s="51"/>
    </row>
    <row r="5921">
      <c r="A5921" s="54"/>
      <c r="B5921" s="71"/>
      <c r="C5921" s="51"/>
      <c r="D5921" s="114"/>
      <c r="E5921" s="114"/>
      <c r="F5921" s="54"/>
      <c r="G5921" s="54"/>
      <c r="I5921" s="54"/>
      <c r="K5921" s="54"/>
      <c r="M5921" s="114"/>
      <c r="N5921" s="1"/>
      <c r="O5921" s="1"/>
      <c r="P5921" s="51"/>
    </row>
    <row r="5922">
      <c r="A5922" s="54"/>
      <c r="B5922" s="71"/>
      <c r="C5922" s="51"/>
      <c r="D5922" s="114"/>
      <c r="E5922" s="114"/>
      <c r="F5922" s="54"/>
      <c r="G5922" s="54"/>
      <c r="I5922" s="54"/>
      <c r="K5922" s="54"/>
      <c r="M5922" s="114"/>
      <c r="N5922" s="1"/>
      <c r="O5922" s="1"/>
      <c r="P5922" s="51"/>
    </row>
    <row r="5923">
      <c r="A5923" s="54"/>
      <c r="B5923" s="71"/>
      <c r="C5923" s="51"/>
      <c r="D5923" s="114"/>
      <c r="E5923" s="114"/>
      <c r="F5923" s="54"/>
      <c r="G5923" s="54"/>
      <c r="I5923" s="54"/>
      <c r="K5923" s="54"/>
      <c r="M5923" s="114"/>
      <c r="N5923" s="1"/>
      <c r="O5923" s="1"/>
      <c r="P5923" s="51"/>
    </row>
    <row r="5924">
      <c r="A5924" s="54"/>
      <c r="B5924" s="71"/>
      <c r="C5924" s="51"/>
      <c r="D5924" s="114"/>
      <c r="E5924" s="114"/>
      <c r="F5924" s="54"/>
      <c r="G5924" s="54"/>
      <c r="I5924" s="54"/>
      <c r="K5924" s="54"/>
      <c r="M5924" s="114"/>
      <c r="N5924" s="1"/>
      <c r="O5924" s="1"/>
      <c r="P5924" s="51"/>
    </row>
    <row r="5925">
      <c r="A5925" s="54"/>
      <c r="B5925" s="71"/>
      <c r="C5925" s="51"/>
      <c r="D5925" s="114"/>
      <c r="E5925" s="114"/>
      <c r="F5925" s="54"/>
      <c r="G5925" s="54"/>
      <c r="I5925" s="54"/>
      <c r="K5925" s="54"/>
      <c r="M5925" s="114"/>
      <c r="N5925" s="1"/>
      <c r="O5925" s="1"/>
      <c r="P5925" s="51"/>
    </row>
    <row r="5926">
      <c r="A5926" s="54"/>
      <c r="B5926" s="71"/>
      <c r="C5926" s="51"/>
      <c r="D5926" s="114"/>
      <c r="E5926" s="114"/>
      <c r="F5926" s="54"/>
      <c r="G5926" s="54"/>
      <c r="I5926" s="54"/>
      <c r="K5926" s="54"/>
      <c r="M5926" s="114"/>
      <c r="N5926" s="1"/>
      <c r="O5926" s="1"/>
      <c r="P5926" s="51"/>
    </row>
    <row r="5927">
      <c r="A5927" s="54"/>
      <c r="B5927" s="71"/>
      <c r="C5927" s="51"/>
      <c r="D5927" s="114"/>
      <c r="E5927" s="114"/>
      <c r="F5927" s="54"/>
      <c r="G5927" s="54"/>
      <c r="I5927" s="54"/>
      <c r="K5927" s="54"/>
      <c r="M5927" s="114"/>
      <c r="N5927" s="1"/>
      <c r="O5927" s="1"/>
      <c r="P5927" s="51"/>
    </row>
    <row r="5928">
      <c r="A5928" s="54"/>
      <c r="B5928" s="71"/>
      <c r="C5928" s="51"/>
      <c r="D5928" s="114"/>
      <c r="E5928" s="114"/>
      <c r="F5928" s="54"/>
      <c r="G5928" s="54"/>
      <c r="I5928" s="54"/>
      <c r="K5928" s="54"/>
      <c r="M5928" s="114"/>
      <c r="N5928" s="1"/>
      <c r="O5928" s="1"/>
      <c r="P5928" s="51"/>
    </row>
    <row r="5929">
      <c r="A5929" s="54"/>
      <c r="B5929" s="71"/>
      <c r="C5929" s="51"/>
      <c r="D5929" s="114"/>
      <c r="E5929" s="114"/>
      <c r="F5929" s="54"/>
      <c r="G5929" s="54"/>
      <c r="I5929" s="54"/>
      <c r="K5929" s="54"/>
      <c r="M5929" s="114"/>
      <c r="N5929" s="1"/>
      <c r="O5929" s="1"/>
      <c r="P5929" s="51"/>
    </row>
    <row r="5930">
      <c r="A5930" s="54"/>
      <c r="B5930" s="71"/>
      <c r="C5930" s="51"/>
      <c r="D5930" s="114"/>
      <c r="E5930" s="114"/>
      <c r="F5930" s="54"/>
      <c r="G5930" s="54"/>
      <c r="I5930" s="54"/>
      <c r="K5930" s="54"/>
      <c r="M5930" s="114"/>
      <c r="N5930" s="1"/>
      <c r="O5930" s="1"/>
      <c r="P5930" s="51"/>
    </row>
    <row r="5931">
      <c r="A5931" s="54"/>
      <c r="B5931" s="71"/>
      <c r="C5931" s="51"/>
      <c r="D5931" s="114"/>
      <c r="E5931" s="114"/>
      <c r="F5931" s="54"/>
      <c r="G5931" s="54"/>
      <c r="I5931" s="54"/>
      <c r="K5931" s="54"/>
      <c r="M5931" s="114"/>
      <c r="N5931" s="1"/>
      <c r="O5931" s="1"/>
      <c r="P5931" s="51"/>
    </row>
    <row r="5932">
      <c r="A5932" s="54"/>
      <c r="B5932" s="71"/>
      <c r="C5932" s="51"/>
      <c r="D5932" s="114"/>
      <c r="E5932" s="114"/>
      <c r="F5932" s="54"/>
      <c r="G5932" s="54"/>
      <c r="I5932" s="54"/>
      <c r="K5932" s="54"/>
      <c r="M5932" s="114"/>
      <c r="N5932" s="1"/>
      <c r="O5932" s="1"/>
      <c r="P5932" s="51"/>
    </row>
    <row r="5933">
      <c r="A5933" s="54"/>
      <c r="B5933" s="71"/>
      <c r="C5933" s="51"/>
      <c r="D5933" s="114"/>
      <c r="E5933" s="114"/>
      <c r="F5933" s="54"/>
      <c r="G5933" s="54"/>
      <c r="I5933" s="54"/>
      <c r="K5933" s="54"/>
      <c r="M5933" s="114"/>
      <c r="N5933" s="1"/>
      <c r="O5933" s="1"/>
      <c r="P5933" s="51"/>
    </row>
    <row r="5934">
      <c r="A5934" s="54"/>
      <c r="B5934" s="71"/>
      <c r="C5934" s="51"/>
      <c r="D5934" s="114"/>
      <c r="E5934" s="114"/>
      <c r="F5934" s="54"/>
      <c r="G5934" s="54"/>
      <c r="I5934" s="54"/>
      <c r="K5934" s="54"/>
      <c r="M5934" s="114"/>
      <c r="N5934" s="1"/>
      <c r="O5934" s="1"/>
      <c r="P5934" s="51"/>
    </row>
    <row r="5935">
      <c r="A5935" s="54"/>
      <c r="B5935" s="71"/>
      <c r="C5935" s="51"/>
      <c r="D5935" s="114"/>
      <c r="E5935" s="114"/>
      <c r="F5935" s="54"/>
      <c r="G5935" s="54"/>
      <c r="I5935" s="54"/>
      <c r="K5935" s="54"/>
      <c r="M5935" s="114"/>
      <c r="N5935" s="1"/>
      <c r="O5935" s="1"/>
      <c r="P5935" s="51"/>
    </row>
    <row r="5936">
      <c r="A5936" s="54"/>
      <c r="B5936" s="71"/>
      <c r="C5936" s="51"/>
      <c r="D5936" s="114"/>
      <c r="E5936" s="114"/>
      <c r="F5936" s="54"/>
      <c r="G5936" s="54"/>
      <c r="I5936" s="54"/>
      <c r="K5936" s="54"/>
      <c r="M5936" s="114"/>
      <c r="N5936" s="1"/>
      <c r="O5936" s="1"/>
      <c r="P5936" s="51"/>
    </row>
    <row r="5937">
      <c r="A5937" s="54"/>
      <c r="B5937" s="71"/>
      <c r="C5937" s="51"/>
      <c r="D5937" s="114"/>
      <c r="E5937" s="114"/>
      <c r="F5937" s="54"/>
      <c r="G5937" s="54"/>
      <c r="I5937" s="54"/>
      <c r="K5937" s="54"/>
      <c r="M5937" s="114"/>
      <c r="N5937" s="1"/>
      <c r="O5937" s="1"/>
      <c r="P5937" s="51"/>
    </row>
    <row r="5938">
      <c r="A5938" s="54"/>
      <c r="B5938" s="71"/>
      <c r="C5938" s="51"/>
      <c r="D5938" s="114"/>
      <c r="E5938" s="114"/>
      <c r="F5938" s="54"/>
      <c r="G5938" s="54"/>
      <c r="I5938" s="54"/>
      <c r="K5938" s="54"/>
      <c r="M5938" s="114"/>
      <c r="N5938" s="1"/>
      <c r="O5938" s="1"/>
      <c r="P5938" s="51"/>
    </row>
    <row r="5939">
      <c r="A5939" s="54"/>
      <c r="B5939" s="71"/>
      <c r="C5939" s="51"/>
      <c r="D5939" s="114"/>
      <c r="E5939" s="114"/>
      <c r="F5939" s="54"/>
      <c r="G5939" s="54"/>
      <c r="I5939" s="54"/>
      <c r="K5939" s="54"/>
      <c r="M5939" s="114"/>
      <c r="N5939" s="1"/>
      <c r="O5939" s="1"/>
      <c r="P5939" s="51"/>
    </row>
    <row r="5940">
      <c r="A5940" s="54"/>
      <c r="B5940" s="71"/>
      <c r="C5940" s="51"/>
      <c r="D5940" s="114"/>
      <c r="E5940" s="114"/>
      <c r="F5940" s="54"/>
      <c r="G5940" s="54"/>
      <c r="I5940" s="54"/>
      <c r="K5940" s="54"/>
      <c r="M5940" s="114"/>
      <c r="N5940" s="1"/>
      <c r="O5940" s="1"/>
      <c r="P5940" s="51"/>
    </row>
    <row r="5941">
      <c r="A5941" s="54"/>
      <c r="B5941" s="71"/>
      <c r="C5941" s="51"/>
      <c r="D5941" s="114"/>
      <c r="E5941" s="114"/>
      <c r="F5941" s="54"/>
      <c r="G5941" s="54"/>
      <c r="I5941" s="54"/>
      <c r="K5941" s="54"/>
      <c r="M5941" s="114"/>
      <c r="N5941" s="1"/>
      <c r="O5941" s="1"/>
      <c r="P5941" s="51"/>
    </row>
    <row r="5942">
      <c r="A5942" s="54"/>
      <c r="B5942" s="71"/>
      <c r="C5942" s="51"/>
      <c r="D5942" s="114"/>
      <c r="E5942" s="114"/>
      <c r="F5942" s="54"/>
      <c r="G5942" s="54"/>
      <c r="I5942" s="54"/>
      <c r="K5942" s="54"/>
      <c r="M5942" s="114"/>
      <c r="N5942" s="1"/>
      <c r="O5942" s="1"/>
      <c r="P5942" s="51"/>
    </row>
    <row r="5943">
      <c r="A5943" s="54"/>
      <c r="B5943" s="71"/>
      <c r="C5943" s="51"/>
      <c r="D5943" s="114"/>
      <c r="E5943" s="114"/>
      <c r="F5943" s="54"/>
      <c r="G5943" s="54"/>
      <c r="I5943" s="54"/>
      <c r="K5943" s="54"/>
      <c r="M5943" s="114"/>
      <c r="N5943" s="1"/>
      <c r="O5943" s="1"/>
      <c r="P5943" s="51"/>
    </row>
    <row r="5944">
      <c r="A5944" s="54"/>
      <c r="B5944" s="71"/>
      <c r="C5944" s="51"/>
      <c r="D5944" s="114"/>
      <c r="E5944" s="114"/>
      <c r="F5944" s="54"/>
      <c r="G5944" s="54"/>
      <c r="I5944" s="54"/>
      <c r="K5944" s="54"/>
      <c r="M5944" s="114"/>
      <c r="N5944" s="1"/>
      <c r="O5944" s="1"/>
      <c r="P5944" s="51"/>
    </row>
    <row r="5945">
      <c r="A5945" s="54"/>
      <c r="B5945" s="71"/>
      <c r="C5945" s="51"/>
      <c r="D5945" s="114"/>
      <c r="E5945" s="114"/>
      <c r="F5945" s="54"/>
      <c r="G5945" s="54"/>
      <c r="I5945" s="54"/>
      <c r="K5945" s="54"/>
      <c r="M5945" s="114"/>
      <c r="N5945" s="1"/>
      <c r="O5945" s="1"/>
      <c r="P5945" s="51"/>
    </row>
    <row r="5946">
      <c r="A5946" s="54"/>
      <c r="B5946" s="71"/>
      <c r="C5946" s="51"/>
      <c r="D5946" s="114"/>
      <c r="E5946" s="114"/>
      <c r="F5946" s="54"/>
      <c r="G5946" s="54"/>
      <c r="I5946" s="54"/>
      <c r="K5946" s="54"/>
      <c r="M5946" s="114"/>
      <c r="N5946" s="1"/>
      <c r="O5946" s="1"/>
      <c r="P5946" s="51"/>
    </row>
    <row r="5947">
      <c r="A5947" s="54"/>
      <c r="B5947" s="71"/>
      <c r="C5947" s="51"/>
      <c r="D5947" s="114"/>
      <c r="E5947" s="114"/>
      <c r="F5947" s="54"/>
      <c r="G5947" s="54"/>
      <c r="I5947" s="54"/>
      <c r="K5947" s="54"/>
      <c r="M5947" s="114"/>
      <c r="N5947" s="1"/>
      <c r="O5947" s="1"/>
      <c r="P5947" s="51"/>
    </row>
    <row r="5948">
      <c r="A5948" s="54"/>
      <c r="B5948" s="71"/>
      <c r="C5948" s="51"/>
      <c r="D5948" s="114"/>
      <c r="E5948" s="114"/>
      <c r="F5948" s="54"/>
      <c r="G5948" s="54"/>
      <c r="I5948" s="54"/>
      <c r="K5948" s="54"/>
      <c r="M5948" s="114"/>
      <c r="N5948" s="1"/>
      <c r="O5948" s="1"/>
      <c r="P5948" s="51"/>
    </row>
    <row r="5949">
      <c r="A5949" s="54"/>
      <c r="B5949" s="71"/>
      <c r="C5949" s="51"/>
      <c r="D5949" s="114"/>
      <c r="E5949" s="114"/>
      <c r="F5949" s="54"/>
      <c r="G5949" s="54"/>
      <c r="I5949" s="54"/>
      <c r="K5949" s="54"/>
      <c r="M5949" s="114"/>
      <c r="N5949" s="1"/>
      <c r="O5949" s="1"/>
      <c r="P5949" s="51"/>
    </row>
    <row r="5950">
      <c r="A5950" s="54"/>
      <c r="B5950" s="71"/>
      <c r="C5950" s="51"/>
      <c r="D5950" s="114"/>
      <c r="E5950" s="114"/>
      <c r="F5950" s="54"/>
      <c r="G5950" s="54"/>
      <c r="I5950" s="54"/>
      <c r="K5950" s="54"/>
      <c r="M5950" s="114"/>
      <c r="N5950" s="1"/>
      <c r="O5950" s="1"/>
      <c r="P5950" s="51"/>
    </row>
    <row r="5951">
      <c r="A5951" s="54"/>
      <c r="B5951" s="71"/>
      <c r="C5951" s="51"/>
      <c r="D5951" s="114"/>
      <c r="E5951" s="114"/>
      <c r="F5951" s="54"/>
      <c r="G5951" s="54"/>
      <c r="I5951" s="54"/>
      <c r="K5951" s="54"/>
      <c r="M5951" s="114"/>
      <c r="N5951" s="1"/>
      <c r="O5951" s="1"/>
      <c r="P5951" s="51"/>
    </row>
    <row r="5952">
      <c r="A5952" s="54"/>
      <c r="B5952" s="71"/>
      <c r="C5952" s="51"/>
      <c r="D5952" s="114"/>
      <c r="E5952" s="114"/>
      <c r="F5952" s="54"/>
      <c r="G5952" s="54"/>
      <c r="I5952" s="54"/>
      <c r="K5952" s="54"/>
      <c r="M5952" s="114"/>
      <c r="N5952" s="1"/>
      <c r="O5952" s="1"/>
      <c r="P5952" s="51"/>
    </row>
    <row r="5953">
      <c r="A5953" s="54"/>
      <c r="B5953" s="71"/>
      <c r="C5953" s="51"/>
      <c r="D5953" s="114"/>
      <c r="E5953" s="114"/>
      <c r="F5953" s="54"/>
      <c r="G5953" s="54"/>
      <c r="I5953" s="54"/>
      <c r="K5953" s="54"/>
      <c r="M5953" s="114"/>
      <c r="N5953" s="1"/>
      <c r="O5953" s="1"/>
      <c r="P5953" s="51"/>
    </row>
    <row r="5954">
      <c r="A5954" s="54"/>
      <c r="B5954" s="71"/>
      <c r="C5954" s="51"/>
      <c r="D5954" s="114"/>
      <c r="E5954" s="114"/>
      <c r="F5954" s="54"/>
      <c r="G5954" s="54"/>
      <c r="I5954" s="54"/>
      <c r="K5954" s="54"/>
      <c r="M5954" s="114"/>
      <c r="N5954" s="1"/>
      <c r="O5954" s="1"/>
      <c r="P5954" s="51"/>
    </row>
    <row r="5955">
      <c r="A5955" s="54"/>
      <c r="B5955" s="71"/>
      <c r="C5955" s="51"/>
      <c r="D5955" s="114"/>
      <c r="E5955" s="114"/>
      <c r="F5955" s="54"/>
      <c r="G5955" s="54"/>
      <c r="I5955" s="54"/>
      <c r="K5955" s="54"/>
      <c r="M5955" s="114"/>
      <c r="N5955" s="1"/>
      <c r="O5955" s="1"/>
      <c r="P5955" s="51"/>
    </row>
    <row r="5956">
      <c r="A5956" s="54"/>
      <c r="B5956" s="71"/>
      <c r="C5956" s="51"/>
      <c r="D5956" s="114"/>
      <c r="E5956" s="114"/>
      <c r="F5956" s="54"/>
      <c r="G5956" s="54"/>
      <c r="I5956" s="54"/>
      <c r="K5956" s="54"/>
      <c r="M5956" s="114"/>
      <c r="N5956" s="1"/>
      <c r="O5956" s="1"/>
      <c r="P5956" s="51"/>
    </row>
    <row r="5957">
      <c r="A5957" s="54"/>
      <c r="B5957" s="71"/>
      <c r="C5957" s="51"/>
      <c r="D5957" s="114"/>
      <c r="E5957" s="114"/>
      <c r="F5957" s="54"/>
      <c r="G5957" s="54"/>
      <c r="I5957" s="54"/>
      <c r="K5957" s="54"/>
      <c r="M5957" s="114"/>
      <c r="N5957" s="1"/>
      <c r="O5957" s="1"/>
      <c r="P5957" s="51"/>
    </row>
    <row r="5958">
      <c r="A5958" s="54"/>
      <c r="B5958" s="71"/>
      <c r="C5958" s="51"/>
      <c r="D5958" s="114"/>
      <c r="E5958" s="114"/>
      <c r="F5958" s="54"/>
      <c r="G5958" s="54"/>
      <c r="I5958" s="54"/>
      <c r="K5958" s="54"/>
      <c r="M5958" s="114"/>
      <c r="N5958" s="1"/>
      <c r="O5958" s="1"/>
      <c r="P5958" s="51"/>
    </row>
    <row r="5959">
      <c r="A5959" s="54"/>
      <c r="B5959" s="71"/>
      <c r="C5959" s="51"/>
      <c r="D5959" s="114"/>
      <c r="E5959" s="114"/>
      <c r="F5959" s="54"/>
      <c r="G5959" s="54"/>
      <c r="I5959" s="54"/>
      <c r="K5959" s="54"/>
      <c r="M5959" s="114"/>
      <c r="N5959" s="1"/>
      <c r="O5959" s="1"/>
      <c r="P5959" s="51"/>
    </row>
    <row r="5960">
      <c r="A5960" s="54"/>
      <c r="B5960" s="71"/>
      <c r="C5960" s="51"/>
      <c r="D5960" s="114"/>
      <c r="E5960" s="114"/>
      <c r="F5960" s="54"/>
      <c r="G5960" s="54"/>
      <c r="I5960" s="54"/>
      <c r="K5960" s="54"/>
      <c r="M5960" s="114"/>
      <c r="N5960" s="1"/>
      <c r="O5960" s="1"/>
      <c r="P5960" s="51"/>
    </row>
    <row r="5961">
      <c r="A5961" s="54"/>
      <c r="B5961" s="71"/>
      <c r="C5961" s="51"/>
      <c r="D5961" s="114"/>
      <c r="E5961" s="114"/>
      <c r="F5961" s="54"/>
      <c r="G5961" s="54"/>
      <c r="I5961" s="54"/>
      <c r="K5961" s="54"/>
      <c r="M5961" s="114"/>
      <c r="N5961" s="1"/>
      <c r="O5961" s="1"/>
      <c r="P5961" s="51"/>
    </row>
    <row r="5962">
      <c r="A5962" s="54"/>
      <c r="B5962" s="71"/>
      <c r="C5962" s="51"/>
      <c r="D5962" s="114"/>
      <c r="E5962" s="114"/>
      <c r="F5962" s="54"/>
      <c r="G5962" s="54"/>
      <c r="I5962" s="54"/>
      <c r="K5962" s="54"/>
      <c r="M5962" s="114"/>
      <c r="N5962" s="1"/>
      <c r="O5962" s="1"/>
      <c r="P5962" s="51"/>
    </row>
    <row r="5963">
      <c r="A5963" s="54"/>
      <c r="B5963" s="71"/>
      <c r="C5963" s="51"/>
      <c r="D5963" s="114"/>
      <c r="E5963" s="114"/>
      <c r="F5963" s="54"/>
      <c r="G5963" s="54"/>
      <c r="I5963" s="54"/>
      <c r="K5963" s="54"/>
      <c r="M5963" s="114"/>
      <c r="N5963" s="1"/>
      <c r="O5963" s="1"/>
      <c r="P5963" s="51"/>
    </row>
    <row r="5964">
      <c r="A5964" s="54"/>
      <c r="B5964" s="71"/>
      <c r="C5964" s="51"/>
      <c r="D5964" s="114"/>
      <c r="E5964" s="114"/>
      <c r="F5964" s="54"/>
      <c r="G5964" s="54"/>
      <c r="I5964" s="54"/>
      <c r="K5964" s="54"/>
      <c r="M5964" s="114"/>
      <c r="N5964" s="1"/>
      <c r="O5964" s="1"/>
      <c r="P5964" s="51"/>
    </row>
    <row r="5965">
      <c r="A5965" s="54"/>
      <c r="B5965" s="71"/>
      <c r="C5965" s="51"/>
      <c r="D5965" s="114"/>
      <c r="E5965" s="114"/>
      <c r="F5965" s="54"/>
      <c r="G5965" s="54"/>
      <c r="I5965" s="54"/>
      <c r="K5965" s="54"/>
      <c r="M5965" s="114"/>
      <c r="N5965" s="1"/>
      <c r="O5965" s="1"/>
      <c r="P5965" s="51"/>
    </row>
    <row r="5966">
      <c r="A5966" s="54"/>
      <c r="B5966" s="71"/>
      <c r="C5966" s="51"/>
      <c r="D5966" s="114"/>
      <c r="E5966" s="114"/>
      <c r="F5966" s="54"/>
      <c r="G5966" s="54"/>
      <c r="I5966" s="54"/>
      <c r="K5966" s="54"/>
      <c r="M5966" s="114"/>
      <c r="N5966" s="1"/>
      <c r="O5966" s="1"/>
      <c r="P5966" s="51"/>
    </row>
    <row r="5967">
      <c r="A5967" s="54"/>
      <c r="B5967" s="71"/>
      <c r="C5967" s="51"/>
      <c r="D5967" s="114"/>
      <c r="E5967" s="114"/>
      <c r="F5967" s="54"/>
      <c r="G5967" s="54"/>
      <c r="I5967" s="54"/>
      <c r="K5967" s="54"/>
      <c r="M5967" s="114"/>
      <c r="N5967" s="1"/>
      <c r="O5967" s="1"/>
      <c r="P5967" s="51"/>
    </row>
    <row r="5968">
      <c r="A5968" s="54"/>
      <c r="B5968" s="71"/>
      <c r="C5968" s="51"/>
      <c r="D5968" s="114"/>
      <c r="E5968" s="114"/>
      <c r="F5968" s="54"/>
      <c r="G5968" s="54"/>
      <c r="I5968" s="54"/>
      <c r="K5968" s="54"/>
      <c r="M5968" s="114"/>
      <c r="N5968" s="1"/>
      <c r="O5968" s="1"/>
      <c r="P5968" s="51"/>
    </row>
    <row r="5969">
      <c r="A5969" s="54"/>
      <c r="B5969" s="71"/>
      <c r="C5969" s="51"/>
      <c r="D5969" s="114"/>
      <c r="E5969" s="114"/>
      <c r="F5969" s="54"/>
      <c r="G5969" s="54"/>
      <c r="I5969" s="54"/>
      <c r="K5969" s="54"/>
      <c r="M5969" s="114"/>
      <c r="N5969" s="1"/>
      <c r="O5969" s="1"/>
      <c r="P5969" s="51"/>
    </row>
    <row r="5970">
      <c r="A5970" s="54"/>
      <c r="B5970" s="71"/>
      <c r="C5970" s="51"/>
      <c r="D5970" s="114"/>
      <c r="E5970" s="114"/>
      <c r="F5970" s="54"/>
      <c r="G5970" s="54"/>
      <c r="I5970" s="54"/>
      <c r="K5970" s="54"/>
      <c r="M5970" s="114"/>
      <c r="N5970" s="1"/>
      <c r="O5970" s="1"/>
      <c r="P5970" s="51"/>
    </row>
    <row r="5971">
      <c r="A5971" s="54"/>
      <c r="B5971" s="71"/>
      <c r="C5971" s="51"/>
      <c r="D5971" s="114"/>
      <c r="E5971" s="114"/>
      <c r="F5971" s="54"/>
      <c r="G5971" s="54"/>
      <c r="I5971" s="54"/>
      <c r="K5971" s="54"/>
      <c r="M5971" s="114"/>
      <c r="N5971" s="1"/>
      <c r="O5971" s="1"/>
      <c r="P5971" s="51"/>
    </row>
    <row r="5972">
      <c r="A5972" s="54"/>
      <c r="B5972" s="71"/>
      <c r="C5972" s="51"/>
      <c r="D5972" s="114"/>
      <c r="E5972" s="114"/>
      <c r="F5972" s="54"/>
      <c r="G5972" s="54"/>
      <c r="I5972" s="54"/>
      <c r="K5972" s="54"/>
      <c r="M5972" s="114"/>
      <c r="N5972" s="1"/>
      <c r="O5972" s="1"/>
      <c r="P5972" s="51"/>
    </row>
    <row r="5973">
      <c r="A5973" s="54"/>
      <c r="B5973" s="71"/>
      <c r="C5973" s="51"/>
      <c r="D5973" s="114"/>
      <c r="E5973" s="114"/>
      <c r="F5973" s="54"/>
      <c r="G5973" s="54"/>
      <c r="I5973" s="54"/>
      <c r="K5973" s="54"/>
      <c r="M5973" s="114"/>
      <c r="N5973" s="1"/>
      <c r="O5973" s="1"/>
      <c r="P5973" s="51"/>
    </row>
    <row r="5974">
      <c r="A5974" s="54"/>
      <c r="B5974" s="71"/>
      <c r="C5974" s="51"/>
      <c r="D5974" s="114"/>
      <c r="E5974" s="114"/>
      <c r="F5974" s="54"/>
      <c r="G5974" s="54"/>
      <c r="I5974" s="54"/>
      <c r="K5974" s="54"/>
      <c r="M5974" s="114"/>
      <c r="N5974" s="1"/>
      <c r="O5974" s="1"/>
      <c r="P5974" s="51"/>
    </row>
    <row r="5975">
      <c r="A5975" s="54"/>
      <c r="B5975" s="71"/>
      <c r="C5975" s="51"/>
      <c r="D5975" s="114"/>
      <c r="E5975" s="114"/>
      <c r="F5975" s="54"/>
      <c r="G5975" s="54"/>
      <c r="I5975" s="54"/>
      <c r="K5975" s="54"/>
      <c r="M5975" s="114"/>
      <c r="N5975" s="1"/>
      <c r="O5975" s="1"/>
      <c r="P5975" s="51"/>
    </row>
    <row r="5976">
      <c r="A5976" s="54"/>
      <c r="B5976" s="71"/>
      <c r="C5976" s="51"/>
      <c r="D5976" s="114"/>
      <c r="E5976" s="114"/>
      <c r="F5976" s="54"/>
      <c r="G5976" s="54"/>
      <c r="I5976" s="54"/>
      <c r="K5976" s="54"/>
      <c r="M5976" s="114"/>
      <c r="N5976" s="1"/>
      <c r="O5976" s="1"/>
      <c r="P5976" s="51"/>
    </row>
    <row r="5977">
      <c r="A5977" s="54"/>
      <c r="B5977" s="71"/>
      <c r="C5977" s="51"/>
      <c r="D5977" s="114"/>
      <c r="E5977" s="114"/>
      <c r="F5977" s="54"/>
      <c r="G5977" s="54"/>
      <c r="I5977" s="54"/>
      <c r="K5977" s="54"/>
      <c r="M5977" s="114"/>
      <c r="N5977" s="1"/>
      <c r="O5977" s="1"/>
      <c r="P5977" s="51"/>
    </row>
    <row r="5978">
      <c r="A5978" s="54"/>
      <c r="B5978" s="71"/>
      <c r="C5978" s="51"/>
      <c r="D5978" s="114"/>
      <c r="E5978" s="114"/>
      <c r="F5978" s="54"/>
      <c r="G5978" s="54"/>
      <c r="I5978" s="54"/>
      <c r="K5978" s="54"/>
      <c r="M5978" s="114"/>
      <c r="N5978" s="1"/>
      <c r="O5978" s="1"/>
      <c r="P5978" s="51"/>
    </row>
    <row r="5979">
      <c r="A5979" s="54"/>
      <c r="B5979" s="71"/>
      <c r="C5979" s="51"/>
      <c r="D5979" s="114"/>
      <c r="E5979" s="114"/>
      <c r="F5979" s="54"/>
      <c r="G5979" s="54"/>
      <c r="I5979" s="54"/>
      <c r="K5979" s="54"/>
      <c r="M5979" s="114"/>
      <c r="N5979" s="1"/>
      <c r="O5979" s="1"/>
      <c r="P5979" s="51"/>
    </row>
    <row r="5980">
      <c r="A5980" s="54"/>
      <c r="B5980" s="71"/>
      <c r="C5980" s="51"/>
      <c r="D5980" s="114"/>
      <c r="E5980" s="114"/>
      <c r="F5980" s="54"/>
      <c r="G5980" s="54"/>
      <c r="I5980" s="54"/>
      <c r="K5980" s="54"/>
      <c r="M5980" s="114"/>
      <c r="N5980" s="1"/>
      <c r="O5980" s="1"/>
      <c r="P5980" s="51"/>
    </row>
    <row r="5981">
      <c r="A5981" s="54"/>
      <c r="B5981" s="71"/>
      <c r="C5981" s="51"/>
      <c r="D5981" s="114"/>
      <c r="E5981" s="114"/>
      <c r="F5981" s="54"/>
      <c r="G5981" s="54"/>
      <c r="I5981" s="54"/>
      <c r="K5981" s="54"/>
      <c r="M5981" s="114"/>
      <c r="N5981" s="1"/>
      <c r="O5981" s="1"/>
      <c r="P5981" s="51"/>
    </row>
    <row r="5982">
      <c r="A5982" s="54"/>
      <c r="B5982" s="71"/>
      <c r="C5982" s="51"/>
      <c r="D5982" s="114"/>
      <c r="E5982" s="114"/>
      <c r="F5982" s="54"/>
      <c r="G5982" s="54"/>
      <c r="I5982" s="54"/>
      <c r="K5982" s="54"/>
      <c r="M5982" s="114"/>
      <c r="N5982" s="1"/>
      <c r="O5982" s="1"/>
      <c r="P5982" s="51"/>
    </row>
    <row r="5983">
      <c r="A5983" s="54"/>
      <c r="B5983" s="71"/>
      <c r="C5983" s="51"/>
      <c r="D5983" s="114"/>
      <c r="E5983" s="114"/>
      <c r="F5983" s="54"/>
      <c r="G5983" s="54"/>
      <c r="I5983" s="54"/>
      <c r="K5983" s="54"/>
      <c r="M5983" s="114"/>
      <c r="N5983" s="1"/>
      <c r="O5983" s="1"/>
      <c r="P5983" s="51"/>
    </row>
    <row r="5984">
      <c r="A5984" s="54"/>
      <c r="B5984" s="71"/>
      <c r="C5984" s="51"/>
      <c r="D5984" s="114"/>
      <c r="E5984" s="114"/>
      <c r="F5984" s="54"/>
      <c r="G5984" s="54"/>
      <c r="I5984" s="54"/>
      <c r="K5984" s="54"/>
      <c r="M5984" s="114"/>
      <c r="N5984" s="1"/>
      <c r="O5984" s="1"/>
      <c r="P5984" s="51"/>
    </row>
    <row r="5985">
      <c r="A5985" s="54"/>
      <c r="B5985" s="71"/>
      <c r="C5985" s="51"/>
      <c r="D5985" s="114"/>
      <c r="E5985" s="114"/>
      <c r="F5985" s="54"/>
      <c r="G5985" s="54"/>
      <c r="I5985" s="54"/>
      <c r="K5985" s="54"/>
      <c r="M5985" s="114"/>
      <c r="N5985" s="1"/>
      <c r="O5985" s="1"/>
      <c r="P5985" s="51"/>
    </row>
    <row r="5986">
      <c r="A5986" s="54"/>
      <c r="B5986" s="71"/>
      <c r="C5986" s="51"/>
      <c r="D5986" s="114"/>
      <c r="E5986" s="114"/>
      <c r="F5986" s="54"/>
      <c r="G5986" s="54"/>
      <c r="I5986" s="54"/>
      <c r="K5986" s="54"/>
      <c r="M5986" s="114"/>
      <c r="N5986" s="1"/>
      <c r="O5986" s="1"/>
      <c r="P5986" s="51"/>
    </row>
    <row r="5987">
      <c r="A5987" s="54"/>
      <c r="B5987" s="71"/>
      <c r="C5987" s="51"/>
      <c r="D5987" s="114"/>
      <c r="E5987" s="114"/>
      <c r="F5987" s="54"/>
      <c r="G5987" s="54"/>
      <c r="I5987" s="54"/>
      <c r="K5987" s="54"/>
      <c r="M5987" s="114"/>
      <c r="N5987" s="1"/>
      <c r="O5987" s="1"/>
      <c r="P5987" s="51"/>
    </row>
    <row r="5988">
      <c r="A5988" s="54"/>
      <c r="B5988" s="71"/>
      <c r="C5988" s="51"/>
      <c r="D5988" s="114"/>
      <c r="E5988" s="114"/>
      <c r="F5988" s="54"/>
      <c r="G5988" s="54"/>
      <c r="I5988" s="54"/>
      <c r="K5988" s="54"/>
      <c r="M5988" s="114"/>
      <c r="N5988" s="1"/>
      <c r="O5988" s="1"/>
      <c r="P5988" s="51"/>
    </row>
    <row r="5989">
      <c r="A5989" s="54"/>
      <c r="B5989" s="71"/>
      <c r="C5989" s="51"/>
      <c r="D5989" s="114"/>
      <c r="E5989" s="114"/>
      <c r="F5989" s="54"/>
      <c r="G5989" s="54"/>
      <c r="I5989" s="54"/>
      <c r="K5989" s="54"/>
      <c r="M5989" s="114"/>
      <c r="N5989" s="1"/>
      <c r="O5989" s="1"/>
      <c r="P5989" s="51"/>
    </row>
    <row r="5990">
      <c r="A5990" s="54"/>
      <c r="B5990" s="71"/>
      <c r="C5990" s="51"/>
      <c r="D5990" s="114"/>
      <c r="E5990" s="114"/>
      <c r="F5990" s="54"/>
      <c r="G5990" s="54"/>
      <c r="I5990" s="54"/>
      <c r="K5990" s="54"/>
      <c r="M5990" s="114"/>
      <c r="N5990" s="1"/>
      <c r="O5990" s="1"/>
      <c r="P5990" s="51"/>
    </row>
    <row r="5991">
      <c r="A5991" s="54"/>
      <c r="B5991" s="71"/>
      <c r="C5991" s="51"/>
      <c r="D5991" s="114"/>
      <c r="E5991" s="114"/>
      <c r="F5991" s="54"/>
      <c r="G5991" s="54"/>
      <c r="I5991" s="54"/>
      <c r="K5991" s="54"/>
      <c r="M5991" s="114"/>
      <c r="N5991" s="1"/>
      <c r="O5991" s="1"/>
      <c r="P5991" s="51"/>
    </row>
    <row r="5992">
      <c r="A5992" s="54"/>
      <c r="B5992" s="71"/>
      <c r="C5992" s="51"/>
      <c r="D5992" s="114"/>
      <c r="E5992" s="114"/>
      <c r="F5992" s="54"/>
      <c r="G5992" s="54"/>
      <c r="I5992" s="54"/>
      <c r="K5992" s="54"/>
      <c r="M5992" s="114"/>
      <c r="N5992" s="1"/>
      <c r="O5992" s="1"/>
      <c r="P5992" s="51"/>
    </row>
    <row r="5993">
      <c r="A5993" s="54"/>
      <c r="B5993" s="71"/>
      <c r="C5993" s="51"/>
      <c r="D5993" s="114"/>
      <c r="E5993" s="114"/>
      <c r="F5993" s="54"/>
      <c r="G5993" s="54"/>
      <c r="I5993" s="54"/>
      <c r="K5993" s="54"/>
      <c r="M5993" s="114"/>
      <c r="N5993" s="1"/>
      <c r="O5993" s="1"/>
      <c r="P5993" s="51"/>
    </row>
    <row r="5994">
      <c r="A5994" s="54"/>
      <c r="B5994" s="71"/>
      <c r="C5994" s="51"/>
      <c r="D5994" s="114"/>
      <c r="E5994" s="114"/>
      <c r="F5994" s="54"/>
      <c r="G5994" s="54"/>
      <c r="I5994" s="54"/>
      <c r="K5994" s="54"/>
      <c r="M5994" s="114"/>
      <c r="N5994" s="1"/>
      <c r="O5994" s="1"/>
      <c r="P5994" s="51"/>
    </row>
    <row r="5995">
      <c r="A5995" s="54"/>
      <c r="B5995" s="71"/>
      <c r="C5995" s="51"/>
      <c r="D5995" s="114"/>
      <c r="E5995" s="114"/>
      <c r="F5995" s="54"/>
      <c r="G5995" s="54"/>
      <c r="I5995" s="54"/>
      <c r="K5995" s="54"/>
      <c r="M5995" s="114"/>
      <c r="N5995" s="1"/>
      <c r="O5995" s="1"/>
      <c r="P5995" s="51"/>
    </row>
    <row r="5996">
      <c r="A5996" s="54"/>
      <c r="B5996" s="71"/>
      <c r="C5996" s="51"/>
      <c r="D5996" s="114"/>
      <c r="E5996" s="114"/>
      <c r="F5996" s="54"/>
      <c r="G5996" s="54"/>
      <c r="I5996" s="54"/>
      <c r="K5996" s="54"/>
      <c r="M5996" s="114"/>
      <c r="N5996" s="1"/>
      <c r="O5996" s="1"/>
      <c r="P5996" s="51"/>
    </row>
    <row r="5997">
      <c r="A5997" s="54"/>
      <c r="B5997" s="71"/>
      <c r="C5997" s="51"/>
      <c r="D5997" s="114"/>
      <c r="E5997" s="114"/>
      <c r="F5997" s="54"/>
      <c r="G5997" s="54"/>
      <c r="I5997" s="54"/>
      <c r="K5997" s="54"/>
      <c r="M5997" s="114"/>
      <c r="N5997" s="1"/>
      <c r="O5997" s="1"/>
      <c r="P5997" s="51"/>
    </row>
    <row r="5998">
      <c r="A5998" s="54"/>
      <c r="B5998" s="71"/>
      <c r="C5998" s="51"/>
      <c r="D5998" s="114"/>
      <c r="E5998" s="114"/>
      <c r="F5998" s="54"/>
      <c r="G5998" s="54"/>
      <c r="I5998" s="54"/>
      <c r="K5998" s="54"/>
      <c r="M5998" s="114"/>
      <c r="N5998" s="1"/>
      <c r="O5998" s="1"/>
      <c r="P5998" s="51"/>
    </row>
    <row r="5999">
      <c r="A5999" s="54"/>
      <c r="B5999" s="71"/>
      <c r="C5999" s="51"/>
      <c r="D5999" s="114"/>
      <c r="E5999" s="114"/>
      <c r="F5999" s="54"/>
      <c r="G5999" s="54"/>
      <c r="I5999" s="54"/>
      <c r="K5999" s="54"/>
      <c r="M5999" s="114"/>
      <c r="N5999" s="1"/>
      <c r="O5999" s="1"/>
      <c r="P5999" s="51"/>
    </row>
    <row r="6000">
      <c r="A6000" s="54"/>
      <c r="B6000" s="71"/>
      <c r="C6000" s="51"/>
      <c r="D6000" s="114"/>
      <c r="E6000" s="114"/>
      <c r="F6000" s="54"/>
      <c r="G6000" s="54"/>
      <c r="I6000" s="54"/>
      <c r="K6000" s="54"/>
      <c r="M6000" s="114"/>
      <c r="N6000" s="1"/>
      <c r="O6000" s="1"/>
      <c r="P6000" s="51"/>
    </row>
    <row r="6001">
      <c r="A6001" s="54"/>
      <c r="B6001" s="71"/>
      <c r="C6001" s="51"/>
      <c r="D6001" s="114"/>
      <c r="E6001" s="114"/>
      <c r="F6001" s="54"/>
      <c r="G6001" s="54"/>
      <c r="I6001" s="54"/>
      <c r="K6001" s="54"/>
      <c r="M6001" s="114"/>
      <c r="N6001" s="1"/>
      <c r="O6001" s="1"/>
      <c r="P6001" s="51"/>
    </row>
    <row r="6002">
      <c r="A6002" s="54"/>
      <c r="B6002" s="71"/>
      <c r="C6002" s="51"/>
      <c r="D6002" s="114"/>
      <c r="E6002" s="114"/>
      <c r="F6002" s="54"/>
      <c r="G6002" s="54"/>
      <c r="I6002" s="54"/>
      <c r="K6002" s="54"/>
      <c r="M6002" s="114"/>
      <c r="N6002" s="1"/>
      <c r="O6002" s="1"/>
      <c r="P6002" s="51"/>
    </row>
    <row r="6003">
      <c r="A6003" s="54"/>
      <c r="B6003" s="71"/>
      <c r="C6003" s="51"/>
      <c r="D6003" s="114"/>
      <c r="E6003" s="114"/>
      <c r="F6003" s="54"/>
      <c r="G6003" s="54"/>
      <c r="I6003" s="54"/>
      <c r="K6003" s="54"/>
      <c r="M6003" s="114"/>
      <c r="N6003" s="1"/>
      <c r="O6003" s="1"/>
      <c r="P6003" s="51"/>
    </row>
    <row r="6004">
      <c r="A6004" s="54"/>
      <c r="B6004" s="71"/>
      <c r="C6004" s="51"/>
      <c r="D6004" s="114"/>
      <c r="E6004" s="114"/>
      <c r="F6004" s="54"/>
      <c r="G6004" s="54"/>
      <c r="I6004" s="54"/>
      <c r="K6004" s="54"/>
      <c r="M6004" s="114"/>
      <c r="N6004" s="1"/>
      <c r="O6004" s="1"/>
      <c r="P6004" s="51"/>
    </row>
    <row r="6005">
      <c r="A6005" s="54"/>
      <c r="B6005" s="71"/>
      <c r="C6005" s="51"/>
      <c r="D6005" s="114"/>
      <c r="E6005" s="114"/>
      <c r="F6005" s="54"/>
      <c r="G6005" s="54"/>
      <c r="I6005" s="54"/>
      <c r="K6005" s="54"/>
      <c r="M6005" s="114"/>
      <c r="N6005" s="1"/>
      <c r="O6005" s="1"/>
      <c r="P6005" s="51"/>
    </row>
    <row r="6006">
      <c r="A6006" s="54"/>
      <c r="B6006" s="71"/>
      <c r="C6006" s="51"/>
      <c r="D6006" s="114"/>
      <c r="E6006" s="114"/>
      <c r="F6006" s="54"/>
      <c r="G6006" s="54"/>
      <c r="I6006" s="54"/>
      <c r="K6006" s="54"/>
      <c r="M6006" s="114"/>
      <c r="N6006" s="1"/>
      <c r="O6006" s="1"/>
      <c r="P6006" s="51"/>
    </row>
    <row r="6007">
      <c r="A6007" s="54"/>
      <c r="B6007" s="71"/>
      <c r="C6007" s="51"/>
      <c r="D6007" s="114"/>
      <c r="E6007" s="114"/>
      <c r="F6007" s="54"/>
      <c r="G6007" s="54"/>
      <c r="I6007" s="54"/>
      <c r="K6007" s="54"/>
      <c r="M6007" s="114"/>
      <c r="N6007" s="1"/>
      <c r="O6007" s="1"/>
      <c r="P6007" s="51"/>
    </row>
    <row r="6008">
      <c r="A6008" s="54"/>
      <c r="B6008" s="71"/>
      <c r="C6008" s="51"/>
      <c r="D6008" s="114"/>
      <c r="E6008" s="114"/>
      <c r="F6008" s="54"/>
      <c r="G6008" s="54"/>
      <c r="I6008" s="54"/>
      <c r="K6008" s="54"/>
      <c r="M6008" s="114"/>
      <c r="N6008" s="1"/>
      <c r="O6008" s="1"/>
      <c r="P6008" s="51"/>
    </row>
    <row r="6009">
      <c r="A6009" s="54"/>
      <c r="B6009" s="71"/>
      <c r="C6009" s="51"/>
      <c r="D6009" s="114"/>
      <c r="E6009" s="114"/>
      <c r="F6009" s="54"/>
      <c r="G6009" s="54"/>
      <c r="I6009" s="54"/>
      <c r="K6009" s="54"/>
      <c r="M6009" s="114"/>
      <c r="N6009" s="1"/>
      <c r="O6009" s="1"/>
      <c r="P6009" s="51"/>
    </row>
    <row r="6010">
      <c r="A6010" s="54"/>
      <c r="B6010" s="71"/>
      <c r="C6010" s="51"/>
      <c r="D6010" s="114"/>
      <c r="E6010" s="114"/>
      <c r="F6010" s="54"/>
      <c r="G6010" s="54"/>
      <c r="I6010" s="54"/>
      <c r="K6010" s="54"/>
      <c r="M6010" s="114"/>
      <c r="N6010" s="1"/>
      <c r="O6010" s="1"/>
      <c r="P6010" s="51"/>
    </row>
    <row r="6011">
      <c r="A6011" s="54"/>
      <c r="B6011" s="71"/>
      <c r="C6011" s="51"/>
      <c r="D6011" s="114"/>
      <c r="E6011" s="114"/>
      <c r="F6011" s="54"/>
      <c r="G6011" s="54"/>
      <c r="I6011" s="54"/>
      <c r="K6011" s="54"/>
      <c r="M6011" s="114"/>
      <c r="N6011" s="1"/>
      <c r="O6011" s="1"/>
      <c r="P6011" s="51"/>
    </row>
    <row r="6012">
      <c r="A6012" s="54"/>
      <c r="B6012" s="71"/>
      <c r="C6012" s="51"/>
      <c r="D6012" s="114"/>
      <c r="E6012" s="114"/>
      <c r="F6012" s="54"/>
      <c r="G6012" s="54"/>
      <c r="I6012" s="54"/>
      <c r="K6012" s="54"/>
      <c r="M6012" s="114"/>
      <c r="N6012" s="1"/>
      <c r="O6012" s="1"/>
      <c r="P6012" s="51"/>
    </row>
    <row r="6013">
      <c r="A6013" s="54"/>
      <c r="B6013" s="71"/>
      <c r="C6013" s="51"/>
      <c r="D6013" s="114"/>
      <c r="E6013" s="114"/>
      <c r="F6013" s="54"/>
      <c r="G6013" s="54"/>
      <c r="I6013" s="54"/>
      <c r="K6013" s="54"/>
      <c r="M6013" s="114"/>
      <c r="N6013" s="1"/>
      <c r="O6013" s="1"/>
      <c r="P6013" s="51"/>
    </row>
    <row r="6014">
      <c r="A6014" s="54"/>
      <c r="B6014" s="71"/>
      <c r="C6014" s="51"/>
      <c r="D6014" s="114"/>
      <c r="E6014" s="114"/>
      <c r="F6014" s="54"/>
      <c r="G6014" s="54"/>
      <c r="I6014" s="54"/>
      <c r="K6014" s="54"/>
      <c r="M6014" s="114"/>
      <c r="N6014" s="1"/>
      <c r="O6014" s="1"/>
      <c r="P6014" s="51"/>
    </row>
    <row r="6015">
      <c r="A6015" s="54"/>
      <c r="B6015" s="71"/>
      <c r="C6015" s="51"/>
      <c r="D6015" s="114"/>
      <c r="E6015" s="114"/>
      <c r="F6015" s="54"/>
      <c r="G6015" s="54"/>
      <c r="I6015" s="54"/>
      <c r="K6015" s="54"/>
      <c r="M6015" s="114"/>
      <c r="N6015" s="1"/>
      <c r="O6015" s="1"/>
      <c r="P6015" s="51"/>
    </row>
    <row r="6016">
      <c r="A6016" s="54"/>
      <c r="B6016" s="71"/>
      <c r="C6016" s="51"/>
      <c r="D6016" s="114"/>
      <c r="E6016" s="114"/>
      <c r="F6016" s="54"/>
      <c r="G6016" s="54"/>
      <c r="I6016" s="54"/>
      <c r="K6016" s="54"/>
      <c r="M6016" s="114"/>
      <c r="N6016" s="1"/>
      <c r="O6016" s="1"/>
      <c r="P6016" s="51"/>
    </row>
    <row r="6017">
      <c r="A6017" s="54"/>
      <c r="B6017" s="71"/>
      <c r="C6017" s="51"/>
      <c r="D6017" s="114"/>
      <c r="E6017" s="114"/>
      <c r="F6017" s="54"/>
      <c r="G6017" s="54"/>
      <c r="I6017" s="54"/>
      <c r="K6017" s="54"/>
      <c r="M6017" s="114"/>
      <c r="N6017" s="1"/>
      <c r="O6017" s="1"/>
      <c r="P6017" s="51"/>
    </row>
    <row r="6018">
      <c r="A6018" s="54"/>
      <c r="B6018" s="71"/>
      <c r="C6018" s="51"/>
      <c r="D6018" s="114"/>
      <c r="E6018" s="114"/>
      <c r="F6018" s="54"/>
      <c r="G6018" s="54"/>
      <c r="I6018" s="54"/>
      <c r="K6018" s="54"/>
      <c r="M6018" s="114"/>
      <c r="N6018" s="1"/>
      <c r="O6018" s="1"/>
      <c r="P6018" s="51"/>
    </row>
    <row r="6019">
      <c r="A6019" s="54"/>
      <c r="B6019" s="71"/>
      <c r="C6019" s="51"/>
      <c r="D6019" s="114"/>
      <c r="E6019" s="114"/>
      <c r="F6019" s="54"/>
      <c r="G6019" s="54"/>
      <c r="I6019" s="54"/>
      <c r="K6019" s="54"/>
      <c r="M6019" s="114"/>
      <c r="N6019" s="1"/>
      <c r="O6019" s="1"/>
      <c r="P6019" s="51"/>
    </row>
    <row r="6020">
      <c r="A6020" s="54"/>
      <c r="B6020" s="71"/>
      <c r="C6020" s="51"/>
      <c r="D6020" s="114"/>
      <c r="E6020" s="114"/>
      <c r="F6020" s="54"/>
      <c r="G6020" s="54"/>
      <c r="I6020" s="54"/>
      <c r="K6020" s="54"/>
      <c r="M6020" s="114"/>
      <c r="N6020" s="1"/>
      <c r="O6020" s="1"/>
      <c r="P6020" s="51"/>
    </row>
    <row r="6021">
      <c r="A6021" s="54"/>
      <c r="B6021" s="71"/>
      <c r="C6021" s="51"/>
      <c r="D6021" s="114"/>
      <c r="E6021" s="114"/>
      <c r="F6021" s="54"/>
      <c r="G6021" s="54"/>
      <c r="I6021" s="54"/>
      <c r="K6021" s="54"/>
      <c r="M6021" s="114"/>
      <c r="N6021" s="1"/>
      <c r="O6021" s="1"/>
      <c r="P6021" s="51"/>
    </row>
    <row r="6022">
      <c r="A6022" s="54"/>
      <c r="B6022" s="71"/>
      <c r="C6022" s="51"/>
      <c r="D6022" s="114"/>
      <c r="E6022" s="114"/>
      <c r="F6022" s="54"/>
      <c r="G6022" s="54"/>
      <c r="I6022" s="54"/>
      <c r="K6022" s="54"/>
      <c r="M6022" s="114"/>
      <c r="N6022" s="1"/>
      <c r="O6022" s="1"/>
      <c r="P6022" s="51"/>
    </row>
    <row r="6023">
      <c r="A6023" s="54"/>
      <c r="B6023" s="71"/>
      <c r="C6023" s="51"/>
      <c r="D6023" s="114"/>
      <c r="E6023" s="114"/>
      <c r="F6023" s="54"/>
      <c r="G6023" s="54"/>
      <c r="I6023" s="54"/>
      <c r="K6023" s="54"/>
      <c r="M6023" s="114"/>
      <c r="N6023" s="1"/>
      <c r="O6023" s="1"/>
      <c r="P6023" s="51"/>
    </row>
    <row r="6024">
      <c r="A6024" s="54"/>
      <c r="B6024" s="71"/>
      <c r="C6024" s="51"/>
      <c r="D6024" s="114"/>
      <c r="E6024" s="114"/>
      <c r="F6024" s="54"/>
      <c r="G6024" s="54"/>
      <c r="I6024" s="54"/>
      <c r="K6024" s="54"/>
      <c r="M6024" s="114"/>
      <c r="N6024" s="1"/>
      <c r="O6024" s="1"/>
      <c r="P6024" s="51"/>
    </row>
    <row r="6025">
      <c r="A6025" s="54"/>
      <c r="B6025" s="71"/>
      <c r="C6025" s="51"/>
      <c r="D6025" s="114"/>
      <c r="E6025" s="114"/>
      <c r="F6025" s="54"/>
      <c r="G6025" s="54"/>
      <c r="I6025" s="54"/>
      <c r="K6025" s="54"/>
      <c r="M6025" s="114"/>
      <c r="N6025" s="1"/>
      <c r="O6025" s="1"/>
      <c r="P6025" s="51"/>
    </row>
    <row r="6026">
      <c r="A6026" s="54"/>
      <c r="B6026" s="71"/>
      <c r="C6026" s="51"/>
      <c r="D6026" s="114"/>
      <c r="E6026" s="114"/>
      <c r="F6026" s="54"/>
      <c r="G6026" s="54"/>
      <c r="I6026" s="54"/>
      <c r="K6026" s="54"/>
      <c r="M6026" s="114"/>
      <c r="N6026" s="1"/>
      <c r="O6026" s="1"/>
      <c r="P6026" s="51"/>
    </row>
    <row r="6027">
      <c r="A6027" s="54"/>
      <c r="B6027" s="71"/>
      <c r="C6027" s="51"/>
      <c r="D6027" s="114"/>
      <c r="E6027" s="114"/>
      <c r="F6027" s="54"/>
      <c r="G6027" s="54"/>
      <c r="I6027" s="54"/>
      <c r="K6027" s="54"/>
      <c r="M6027" s="114"/>
      <c r="N6027" s="1"/>
      <c r="O6027" s="1"/>
      <c r="P6027" s="51"/>
    </row>
    <row r="6028">
      <c r="A6028" s="54"/>
      <c r="B6028" s="71"/>
      <c r="C6028" s="51"/>
      <c r="D6028" s="114"/>
      <c r="E6028" s="114"/>
      <c r="F6028" s="54"/>
      <c r="G6028" s="54"/>
      <c r="I6028" s="54"/>
      <c r="K6028" s="54"/>
      <c r="M6028" s="114"/>
      <c r="N6028" s="1"/>
      <c r="O6028" s="1"/>
      <c r="P6028" s="51"/>
    </row>
    <row r="6029">
      <c r="A6029" s="54"/>
      <c r="B6029" s="71"/>
      <c r="C6029" s="51"/>
      <c r="D6029" s="114"/>
      <c r="E6029" s="114"/>
      <c r="F6029" s="54"/>
      <c r="G6029" s="54"/>
      <c r="I6029" s="54"/>
      <c r="K6029" s="54"/>
      <c r="M6029" s="114"/>
      <c r="N6029" s="1"/>
      <c r="O6029" s="1"/>
      <c r="P6029" s="51"/>
    </row>
    <row r="6030">
      <c r="A6030" s="54"/>
      <c r="B6030" s="71"/>
      <c r="C6030" s="51"/>
      <c r="D6030" s="114"/>
      <c r="E6030" s="114"/>
      <c r="F6030" s="54"/>
      <c r="G6030" s="54"/>
      <c r="I6030" s="54"/>
      <c r="K6030" s="54"/>
      <c r="M6030" s="114"/>
      <c r="N6030" s="1"/>
      <c r="O6030" s="1"/>
      <c r="P6030" s="51"/>
    </row>
    <row r="6031">
      <c r="A6031" s="54"/>
      <c r="B6031" s="71"/>
      <c r="C6031" s="51"/>
      <c r="D6031" s="114"/>
      <c r="E6031" s="114"/>
      <c r="F6031" s="54"/>
      <c r="G6031" s="54"/>
      <c r="I6031" s="54"/>
      <c r="K6031" s="54"/>
      <c r="M6031" s="114"/>
      <c r="N6031" s="1"/>
      <c r="O6031" s="1"/>
      <c r="P6031" s="51"/>
    </row>
    <row r="6032">
      <c r="A6032" s="54"/>
      <c r="B6032" s="71"/>
      <c r="C6032" s="51"/>
      <c r="D6032" s="114"/>
      <c r="E6032" s="114"/>
      <c r="F6032" s="54"/>
      <c r="G6032" s="54"/>
      <c r="I6032" s="54"/>
      <c r="K6032" s="54"/>
      <c r="M6032" s="114"/>
      <c r="N6032" s="1"/>
      <c r="O6032" s="1"/>
      <c r="P6032" s="51"/>
    </row>
    <row r="6033">
      <c r="A6033" s="54"/>
      <c r="B6033" s="71"/>
      <c r="C6033" s="51"/>
      <c r="D6033" s="114"/>
      <c r="E6033" s="114"/>
      <c r="F6033" s="54"/>
      <c r="G6033" s="54"/>
      <c r="I6033" s="54"/>
      <c r="K6033" s="54"/>
      <c r="M6033" s="114"/>
      <c r="N6033" s="1"/>
      <c r="O6033" s="1"/>
      <c r="P6033" s="51"/>
    </row>
    <row r="6034">
      <c r="A6034" s="54"/>
      <c r="B6034" s="71"/>
      <c r="C6034" s="51"/>
      <c r="D6034" s="114"/>
      <c r="E6034" s="114"/>
      <c r="F6034" s="54"/>
      <c r="G6034" s="54"/>
      <c r="I6034" s="54"/>
      <c r="K6034" s="54"/>
      <c r="M6034" s="114"/>
      <c r="N6034" s="1"/>
      <c r="O6034" s="1"/>
      <c r="P6034" s="51"/>
    </row>
    <row r="6035">
      <c r="A6035" s="54"/>
      <c r="B6035" s="71"/>
      <c r="C6035" s="51"/>
      <c r="D6035" s="114"/>
      <c r="E6035" s="114"/>
      <c r="F6035" s="54"/>
      <c r="G6035" s="54"/>
      <c r="I6035" s="54"/>
      <c r="K6035" s="54"/>
      <c r="M6035" s="114"/>
      <c r="N6035" s="1"/>
      <c r="O6035" s="1"/>
      <c r="P6035" s="51"/>
    </row>
    <row r="6036">
      <c r="A6036" s="54"/>
      <c r="B6036" s="71"/>
      <c r="C6036" s="51"/>
      <c r="D6036" s="114"/>
      <c r="E6036" s="114"/>
      <c r="F6036" s="54"/>
      <c r="G6036" s="54"/>
      <c r="I6036" s="54"/>
      <c r="K6036" s="54"/>
      <c r="M6036" s="114"/>
      <c r="N6036" s="1"/>
      <c r="O6036" s="1"/>
      <c r="P6036" s="51"/>
    </row>
    <row r="6037">
      <c r="A6037" s="54"/>
      <c r="B6037" s="71"/>
      <c r="C6037" s="51"/>
      <c r="D6037" s="114"/>
      <c r="E6037" s="114"/>
      <c r="F6037" s="54"/>
      <c r="G6037" s="54"/>
      <c r="I6037" s="54"/>
      <c r="K6037" s="54"/>
      <c r="M6037" s="114"/>
      <c r="N6037" s="1"/>
      <c r="O6037" s="1"/>
      <c r="P6037" s="51"/>
    </row>
    <row r="6038">
      <c r="A6038" s="54"/>
      <c r="B6038" s="71"/>
      <c r="C6038" s="51"/>
      <c r="D6038" s="114"/>
      <c r="E6038" s="114"/>
      <c r="F6038" s="54"/>
      <c r="G6038" s="54"/>
      <c r="I6038" s="54"/>
      <c r="K6038" s="54"/>
      <c r="M6038" s="114"/>
      <c r="N6038" s="1"/>
      <c r="O6038" s="1"/>
      <c r="P6038" s="51"/>
    </row>
    <row r="6039">
      <c r="A6039" s="54"/>
      <c r="B6039" s="71"/>
      <c r="C6039" s="51"/>
      <c r="D6039" s="114"/>
      <c r="E6039" s="114"/>
      <c r="F6039" s="54"/>
      <c r="G6039" s="54"/>
      <c r="I6039" s="54"/>
      <c r="K6039" s="54"/>
      <c r="M6039" s="114"/>
      <c r="N6039" s="1"/>
      <c r="O6039" s="1"/>
      <c r="P6039" s="51"/>
    </row>
    <row r="6040">
      <c r="A6040" s="54"/>
      <c r="B6040" s="71"/>
      <c r="C6040" s="51"/>
      <c r="D6040" s="114"/>
      <c r="E6040" s="114"/>
      <c r="F6040" s="54"/>
      <c r="G6040" s="54"/>
      <c r="I6040" s="54"/>
      <c r="K6040" s="54"/>
      <c r="M6040" s="114"/>
      <c r="N6040" s="1"/>
      <c r="O6040" s="1"/>
      <c r="P6040" s="51"/>
    </row>
    <row r="6041">
      <c r="A6041" s="54"/>
      <c r="B6041" s="71"/>
      <c r="C6041" s="51"/>
      <c r="D6041" s="114"/>
      <c r="E6041" s="114"/>
      <c r="F6041" s="54"/>
      <c r="G6041" s="54"/>
      <c r="I6041" s="54"/>
      <c r="K6041" s="54"/>
      <c r="M6041" s="114"/>
      <c r="N6041" s="1"/>
      <c r="O6041" s="1"/>
      <c r="P6041" s="51"/>
    </row>
    <row r="6042">
      <c r="A6042" s="54"/>
      <c r="B6042" s="71"/>
      <c r="C6042" s="51"/>
      <c r="D6042" s="114"/>
      <c r="E6042" s="114"/>
      <c r="F6042" s="54"/>
      <c r="G6042" s="54"/>
      <c r="I6042" s="54"/>
      <c r="K6042" s="54"/>
      <c r="M6042" s="114"/>
      <c r="N6042" s="1"/>
      <c r="O6042" s="1"/>
      <c r="P6042" s="51"/>
    </row>
    <row r="6043">
      <c r="A6043" s="54"/>
      <c r="B6043" s="71"/>
      <c r="C6043" s="51"/>
      <c r="D6043" s="114"/>
      <c r="E6043" s="114"/>
      <c r="F6043" s="54"/>
      <c r="G6043" s="54"/>
      <c r="I6043" s="54"/>
      <c r="K6043" s="54"/>
      <c r="M6043" s="114"/>
      <c r="N6043" s="1"/>
      <c r="O6043" s="1"/>
      <c r="P6043" s="51"/>
    </row>
    <row r="6044">
      <c r="A6044" s="54"/>
      <c r="B6044" s="71"/>
      <c r="C6044" s="51"/>
      <c r="D6044" s="114"/>
      <c r="E6044" s="114"/>
      <c r="F6044" s="54"/>
      <c r="G6044" s="54"/>
      <c r="I6044" s="54"/>
      <c r="K6044" s="54"/>
      <c r="M6044" s="114"/>
      <c r="N6044" s="1"/>
      <c r="O6044" s="1"/>
      <c r="P6044" s="51"/>
    </row>
    <row r="6045">
      <c r="A6045" s="54"/>
      <c r="B6045" s="71"/>
      <c r="C6045" s="51"/>
      <c r="D6045" s="114"/>
      <c r="E6045" s="114"/>
      <c r="F6045" s="54"/>
      <c r="G6045" s="54"/>
      <c r="I6045" s="54"/>
      <c r="K6045" s="54"/>
      <c r="M6045" s="114"/>
      <c r="N6045" s="1"/>
      <c r="O6045" s="1"/>
      <c r="P6045" s="51"/>
    </row>
    <row r="6046">
      <c r="A6046" s="54"/>
      <c r="B6046" s="71"/>
      <c r="C6046" s="51"/>
      <c r="D6046" s="114"/>
      <c r="E6046" s="114"/>
      <c r="F6046" s="54"/>
      <c r="G6046" s="54"/>
      <c r="I6046" s="54"/>
      <c r="K6046" s="54"/>
      <c r="M6046" s="114"/>
      <c r="N6046" s="1"/>
      <c r="O6046" s="1"/>
      <c r="P6046" s="51"/>
    </row>
    <row r="6047">
      <c r="A6047" s="54"/>
      <c r="B6047" s="71"/>
      <c r="C6047" s="51"/>
      <c r="D6047" s="114"/>
      <c r="E6047" s="114"/>
      <c r="F6047" s="54"/>
      <c r="G6047" s="54"/>
      <c r="I6047" s="54"/>
      <c r="K6047" s="54"/>
      <c r="M6047" s="114"/>
      <c r="N6047" s="1"/>
      <c r="O6047" s="1"/>
      <c r="P6047" s="51"/>
    </row>
    <row r="6048">
      <c r="A6048" s="54"/>
      <c r="B6048" s="71"/>
      <c r="C6048" s="51"/>
      <c r="D6048" s="114"/>
      <c r="E6048" s="114"/>
      <c r="F6048" s="54"/>
      <c r="G6048" s="54"/>
      <c r="I6048" s="54"/>
      <c r="K6048" s="54"/>
      <c r="M6048" s="114"/>
      <c r="N6048" s="1"/>
      <c r="O6048" s="1"/>
      <c r="P6048" s="51"/>
    </row>
    <row r="6049">
      <c r="A6049" s="54"/>
      <c r="B6049" s="71"/>
      <c r="C6049" s="51"/>
      <c r="D6049" s="114"/>
      <c r="E6049" s="114"/>
      <c r="F6049" s="54"/>
      <c r="G6049" s="54"/>
      <c r="I6049" s="54"/>
      <c r="K6049" s="54"/>
      <c r="M6049" s="114"/>
      <c r="N6049" s="1"/>
      <c r="O6049" s="1"/>
      <c r="P6049" s="51"/>
    </row>
    <row r="6050">
      <c r="A6050" s="54"/>
      <c r="B6050" s="71"/>
      <c r="C6050" s="51"/>
      <c r="D6050" s="114"/>
      <c r="E6050" s="114"/>
      <c r="F6050" s="54"/>
      <c r="G6050" s="54"/>
      <c r="I6050" s="54"/>
      <c r="K6050" s="54"/>
      <c r="M6050" s="114"/>
      <c r="N6050" s="1"/>
      <c r="O6050" s="1"/>
      <c r="P6050" s="51"/>
    </row>
    <row r="6051">
      <c r="A6051" s="54"/>
      <c r="B6051" s="71"/>
      <c r="C6051" s="51"/>
      <c r="D6051" s="114"/>
      <c r="E6051" s="114"/>
      <c r="F6051" s="54"/>
      <c r="G6051" s="54"/>
      <c r="I6051" s="54"/>
      <c r="K6051" s="54"/>
      <c r="M6051" s="114"/>
      <c r="N6051" s="1"/>
      <c r="O6051" s="1"/>
      <c r="P6051" s="51"/>
    </row>
    <row r="6052">
      <c r="A6052" s="54"/>
      <c r="B6052" s="71"/>
      <c r="C6052" s="51"/>
      <c r="D6052" s="114"/>
      <c r="E6052" s="114"/>
      <c r="F6052" s="54"/>
      <c r="G6052" s="54"/>
      <c r="I6052" s="54"/>
      <c r="K6052" s="54"/>
      <c r="M6052" s="114"/>
      <c r="N6052" s="1"/>
      <c r="O6052" s="1"/>
      <c r="P6052" s="51"/>
    </row>
    <row r="6053">
      <c r="A6053" s="54"/>
      <c r="B6053" s="71"/>
      <c r="C6053" s="51"/>
      <c r="D6053" s="114"/>
      <c r="E6053" s="114"/>
      <c r="F6053" s="54"/>
      <c r="G6053" s="54"/>
      <c r="I6053" s="54"/>
      <c r="K6053" s="54"/>
      <c r="M6053" s="114"/>
      <c r="N6053" s="1"/>
      <c r="O6053" s="1"/>
      <c r="P6053" s="51"/>
    </row>
    <row r="6054">
      <c r="A6054" s="54"/>
      <c r="B6054" s="71"/>
      <c r="C6054" s="51"/>
      <c r="D6054" s="114"/>
      <c r="E6054" s="114"/>
      <c r="F6054" s="54"/>
      <c r="G6054" s="54"/>
      <c r="I6054" s="54"/>
      <c r="K6054" s="54"/>
      <c r="M6054" s="114"/>
      <c r="N6054" s="1"/>
      <c r="O6054" s="1"/>
      <c r="P6054" s="51"/>
    </row>
    <row r="6055">
      <c r="A6055" s="54"/>
      <c r="B6055" s="71"/>
      <c r="C6055" s="51"/>
      <c r="D6055" s="114"/>
      <c r="E6055" s="114"/>
      <c r="F6055" s="54"/>
      <c r="G6055" s="54"/>
      <c r="I6055" s="54"/>
      <c r="K6055" s="54"/>
      <c r="M6055" s="114"/>
      <c r="N6055" s="1"/>
      <c r="O6055" s="1"/>
      <c r="P6055" s="51"/>
    </row>
    <row r="6056">
      <c r="A6056" s="54"/>
      <c r="B6056" s="71"/>
      <c r="C6056" s="51"/>
      <c r="D6056" s="114"/>
      <c r="E6056" s="114"/>
      <c r="F6056" s="54"/>
      <c r="G6056" s="54"/>
      <c r="I6056" s="54"/>
      <c r="K6056" s="54"/>
      <c r="M6056" s="114"/>
      <c r="N6056" s="1"/>
      <c r="O6056" s="1"/>
      <c r="P6056" s="51"/>
    </row>
    <row r="6057">
      <c r="A6057" s="54"/>
      <c r="B6057" s="71"/>
      <c r="C6057" s="51"/>
      <c r="D6057" s="114"/>
      <c r="E6057" s="114"/>
      <c r="F6057" s="54"/>
      <c r="G6057" s="54"/>
      <c r="I6057" s="54"/>
      <c r="K6057" s="54"/>
      <c r="M6057" s="114"/>
      <c r="N6057" s="1"/>
      <c r="O6057" s="1"/>
      <c r="P6057" s="51"/>
    </row>
    <row r="6058">
      <c r="A6058" s="54"/>
      <c r="B6058" s="71"/>
      <c r="C6058" s="51"/>
      <c r="D6058" s="114"/>
      <c r="E6058" s="114"/>
      <c r="F6058" s="54"/>
      <c r="G6058" s="54"/>
      <c r="I6058" s="54"/>
      <c r="K6058" s="54"/>
      <c r="M6058" s="114"/>
      <c r="N6058" s="1"/>
      <c r="O6058" s="1"/>
      <c r="P6058" s="51"/>
    </row>
    <row r="6059">
      <c r="A6059" s="54"/>
      <c r="B6059" s="71"/>
      <c r="C6059" s="51"/>
      <c r="D6059" s="114"/>
      <c r="E6059" s="114"/>
      <c r="F6059" s="54"/>
      <c r="G6059" s="54"/>
      <c r="I6059" s="54"/>
      <c r="K6059" s="54"/>
      <c r="M6059" s="114"/>
      <c r="N6059" s="1"/>
      <c r="O6059" s="1"/>
      <c r="P6059" s="51"/>
    </row>
    <row r="6060">
      <c r="A6060" s="54"/>
      <c r="B6060" s="71"/>
      <c r="C6060" s="51"/>
      <c r="D6060" s="114"/>
      <c r="E6060" s="114"/>
      <c r="F6060" s="54"/>
      <c r="G6060" s="54"/>
      <c r="I6060" s="54"/>
      <c r="K6060" s="54"/>
      <c r="M6060" s="114"/>
      <c r="N6060" s="1"/>
      <c r="O6060" s="1"/>
      <c r="P6060" s="51"/>
    </row>
    <row r="6061">
      <c r="A6061" s="54"/>
      <c r="B6061" s="71"/>
      <c r="C6061" s="51"/>
      <c r="D6061" s="114"/>
      <c r="E6061" s="114"/>
      <c r="F6061" s="54"/>
      <c r="G6061" s="54"/>
      <c r="I6061" s="54"/>
      <c r="K6061" s="54"/>
      <c r="M6061" s="114"/>
      <c r="N6061" s="1"/>
      <c r="O6061" s="1"/>
      <c r="P6061" s="51"/>
    </row>
    <row r="6062">
      <c r="A6062" s="54"/>
      <c r="B6062" s="71"/>
      <c r="C6062" s="51"/>
      <c r="D6062" s="114"/>
      <c r="E6062" s="114"/>
      <c r="F6062" s="54"/>
      <c r="G6062" s="54"/>
      <c r="I6062" s="54"/>
      <c r="K6062" s="54"/>
      <c r="M6062" s="114"/>
      <c r="N6062" s="1"/>
      <c r="O6062" s="1"/>
      <c r="P6062" s="51"/>
    </row>
    <row r="6063">
      <c r="A6063" s="54"/>
      <c r="B6063" s="71"/>
      <c r="C6063" s="51"/>
      <c r="D6063" s="114"/>
      <c r="E6063" s="114"/>
      <c r="F6063" s="54"/>
      <c r="G6063" s="54"/>
      <c r="I6063" s="54"/>
      <c r="K6063" s="54"/>
      <c r="M6063" s="114"/>
      <c r="N6063" s="1"/>
      <c r="O6063" s="1"/>
      <c r="P6063" s="51"/>
    </row>
    <row r="6064">
      <c r="A6064" s="54"/>
      <c r="B6064" s="71"/>
      <c r="C6064" s="51"/>
      <c r="D6064" s="114"/>
      <c r="E6064" s="114"/>
      <c r="F6064" s="54"/>
      <c r="G6064" s="54"/>
      <c r="I6064" s="54"/>
      <c r="K6064" s="54"/>
      <c r="M6064" s="114"/>
      <c r="N6064" s="1"/>
      <c r="O6064" s="1"/>
      <c r="P6064" s="51"/>
    </row>
    <row r="6065">
      <c r="A6065" s="54"/>
      <c r="B6065" s="71"/>
      <c r="C6065" s="51"/>
      <c r="D6065" s="114"/>
      <c r="E6065" s="114"/>
      <c r="F6065" s="54"/>
      <c r="G6065" s="54"/>
      <c r="I6065" s="54"/>
      <c r="K6065" s="54"/>
      <c r="M6065" s="114"/>
      <c r="N6065" s="1"/>
      <c r="O6065" s="1"/>
      <c r="P6065" s="51"/>
    </row>
    <row r="6066">
      <c r="A6066" s="54"/>
      <c r="B6066" s="71"/>
      <c r="C6066" s="51"/>
      <c r="D6066" s="114"/>
      <c r="E6066" s="114"/>
      <c r="F6066" s="54"/>
      <c r="G6066" s="54"/>
      <c r="I6066" s="54"/>
      <c r="K6066" s="54"/>
      <c r="M6066" s="114"/>
      <c r="N6066" s="1"/>
      <c r="O6066" s="1"/>
      <c r="P6066" s="51"/>
    </row>
    <row r="6067">
      <c r="A6067" s="54"/>
      <c r="B6067" s="71"/>
      <c r="C6067" s="51"/>
      <c r="D6067" s="114"/>
      <c r="E6067" s="114"/>
      <c r="F6067" s="54"/>
      <c r="G6067" s="54"/>
      <c r="I6067" s="54"/>
      <c r="K6067" s="54"/>
      <c r="M6067" s="114"/>
      <c r="N6067" s="1"/>
      <c r="O6067" s="1"/>
      <c r="P6067" s="51"/>
    </row>
    <row r="6068">
      <c r="A6068" s="54"/>
      <c r="B6068" s="71"/>
      <c r="C6068" s="51"/>
      <c r="D6068" s="114"/>
      <c r="E6068" s="114"/>
      <c r="F6068" s="54"/>
      <c r="G6068" s="54"/>
      <c r="I6068" s="54"/>
      <c r="K6068" s="54"/>
      <c r="M6068" s="114"/>
      <c r="N6068" s="1"/>
      <c r="O6068" s="1"/>
      <c r="P6068" s="51"/>
    </row>
    <row r="6069">
      <c r="A6069" s="54"/>
      <c r="B6069" s="71"/>
      <c r="C6069" s="51"/>
      <c r="D6069" s="114"/>
      <c r="E6069" s="114"/>
      <c r="F6069" s="54"/>
      <c r="G6069" s="54"/>
      <c r="I6069" s="54"/>
      <c r="K6069" s="54"/>
      <c r="M6069" s="114"/>
      <c r="N6069" s="1"/>
      <c r="O6069" s="1"/>
      <c r="P6069" s="51"/>
    </row>
    <row r="6070">
      <c r="A6070" s="54"/>
      <c r="B6070" s="71"/>
      <c r="C6070" s="51"/>
      <c r="D6070" s="114"/>
      <c r="E6070" s="114"/>
      <c r="F6070" s="54"/>
      <c r="G6070" s="54"/>
      <c r="I6070" s="54"/>
      <c r="K6070" s="54"/>
      <c r="M6070" s="114"/>
      <c r="N6070" s="1"/>
      <c r="O6070" s="1"/>
      <c r="P6070" s="51"/>
    </row>
    <row r="6071">
      <c r="A6071" s="54"/>
      <c r="B6071" s="71"/>
      <c r="C6071" s="51"/>
      <c r="D6071" s="114"/>
      <c r="E6071" s="114"/>
      <c r="F6071" s="54"/>
      <c r="G6071" s="54"/>
      <c r="I6071" s="54"/>
      <c r="K6071" s="54"/>
      <c r="M6071" s="114"/>
      <c r="N6071" s="1"/>
      <c r="O6071" s="1"/>
      <c r="P6071" s="51"/>
    </row>
    <row r="6072">
      <c r="A6072" s="54"/>
      <c r="B6072" s="71"/>
      <c r="C6072" s="51"/>
      <c r="D6072" s="114"/>
      <c r="E6072" s="114"/>
      <c r="F6072" s="54"/>
      <c r="G6072" s="54"/>
      <c r="I6072" s="54"/>
      <c r="K6072" s="54"/>
      <c r="M6072" s="114"/>
      <c r="N6072" s="1"/>
      <c r="O6072" s="1"/>
      <c r="P6072" s="51"/>
    </row>
    <row r="6073">
      <c r="A6073" s="54"/>
      <c r="B6073" s="71"/>
      <c r="C6073" s="51"/>
      <c r="D6073" s="114"/>
      <c r="E6073" s="114"/>
      <c r="F6073" s="54"/>
      <c r="G6073" s="54"/>
      <c r="I6073" s="54"/>
      <c r="K6073" s="54"/>
      <c r="M6073" s="114"/>
      <c r="N6073" s="1"/>
      <c r="O6073" s="1"/>
      <c r="P6073" s="51"/>
    </row>
    <row r="6074">
      <c r="A6074" s="54"/>
      <c r="B6074" s="71"/>
      <c r="C6074" s="51"/>
      <c r="D6074" s="114"/>
      <c r="E6074" s="114"/>
      <c r="F6074" s="54"/>
      <c r="G6074" s="54"/>
      <c r="I6074" s="54"/>
      <c r="K6074" s="54"/>
      <c r="M6074" s="114"/>
      <c r="N6074" s="1"/>
      <c r="O6074" s="1"/>
      <c r="P6074" s="51"/>
    </row>
    <row r="6075">
      <c r="A6075" s="54"/>
      <c r="B6075" s="71"/>
      <c r="C6075" s="51"/>
      <c r="D6075" s="114"/>
      <c r="E6075" s="114"/>
      <c r="F6075" s="54"/>
      <c r="G6075" s="54"/>
      <c r="I6075" s="54"/>
      <c r="K6075" s="54"/>
      <c r="M6075" s="114"/>
      <c r="N6075" s="1"/>
      <c r="O6075" s="1"/>
      <c r="P6075" s="51"/>
    </row>
    <row r="6076">
      <c r="A6076" s="54"/>
      <c r="B6076" s="71"/>
      <c r="C6076" s="51"/>
      <c r="D6076" s="114"/>
      <c r="E6076" s="114"/>
      <c r="F6076" s="54"/>
      <c r="G6076" s="54"/>
      <c r="I6076" s="54"/>
      <c r="K6076" s="54"/>
      <c r="M6076" s="114"/>
      <c r="N6076" s="1"/>
      <c r="O6076" s="1"/>
      <c r="P6076" s="51"/>
    </row>
    <row r="6077">
      <c r="A6077" s="54"/>
      <c r="B6077" s="71"/>
      <c r="C6077" s="51"/>
      <c r="D6077" s="114"/>
      <c r="E6077" s="114"/>
      <c r="F6077" s="54"/>
      <c r="G6077" s="54"/>
      <c r="I6077" s="54"/>
      <c r="K6077" s="54"/>
      <c r="M6077" s="114"/>
      <c r="N6077" s="1"/>
      <c r="O6077" s="1"/>
      <c r="P6077" s="51"/>
    </row>
    <row r="6078">
      <c r="A6078" s="54"/>
      <c r="B6078" s="71"/>
      <c r="C6078" s="51"/>
      <c r="D6078" s="114"/>
      <c r="E6078" s="114"/>
      <c r="F6078" s="54"/>
      <c r="G6078" s="54"/>
      <c r="I6078" s="54"/>
      <c r="K6078" s="54"/>
      <c r="M6078" s="114"/>
      <c r="N6078" s="1"/>
      <c r="O6078" s="1"/>
      <c r="P6078" s="51"/>
    </row>
    <row r="6079">
      <c r="A6079" s="54"/>
      <c r="B6079" s="71"/>
      <c r="C6079" s="51"/>
      <c r="D6079" s="114"/>
      <c r="E6079" s="114"/>
      <c r="F6079" s="54"/>
      <c r="G6079" s="54"/>
      <c r="I6079" s="54"/>
      <c r="K6079" s="54"/>
      <c r="M6079" s="114"/>
      <c r="N6079" s="1"/>
      <c r="O6079" s="1"/>
      <c r="P6079" s="51"/>
    </row>
    <row r="6080">
      <c r="A6080" s="54"/>
      <c r="B6080" s="71"/>
      <c r="C6080" s="51"/>
      <c r="D6080" s="114"/>
      <c r="E6080" s="114"/>
      <c r="F6080" s="54"/>
      <c r="G6080" s="54"/>
      <c r="I6080" s="54"/>
      <c r="K6080" s="54"/>
      <c r="M6080" s="114"/>
      <c r="N6080" s="1"/>
      <c r="O6080" s="1"/>
      <c r="P6080" s="51"/>
    </row>
    <row r="6081">
      <c r="A6081" s="54"/>
      <c r="B6081" s="71"/>
      <c r="C6081" s="51"/>
      <c r="D6081" s="114"/>
      <c r="E6081" s="114"/>
      <c r="F6081" s="54"/>
      <c r="G6081" s="54"/>
      <c r="I6081" s="54"/>
      <c r="K6081" s="54"/>
      <c r="M6081" s="114"/>
      <c r="N6081" s="1"/>
      <c r="O6081" s="1"/>
      <c r="P6081" s="51"/>
    </row>
    <row r="6082">
      <c r="A6082" s="54"/>
      <c r="B6082" s="71"/>
      <c r="C6082" s="51"/>
      <c r="D6082" s="114"/>
      <c r="E6082" s="114"/>
      <c r="F6082" s="54"/>
      <c r="G6082" s="54"/>
      <c r="I6082" s="54"/>
      <c r="K6082" s="54"/>
      <c r="M6082" s="114"/>
      <c r="N6082" s="1"/>
      <c r="O6082" s="1"/>
      <c r="P6082" s="51"/>
    </row>
    <row r="6083">
      <c r="A6083" s="54"/>
      <c r="B6083" s="71"/>
      <c r="C6083" s="51"/>
      <c r="D6083" s="114"/>
      <c r="E6083" s="114"/>
      <c r="F6083" s="54"/>
      <c r="G6083" s="54"/>
      <c r="I6083" s="54"/>
      <c r="K6083" s="54"/>
      <c r="M6083" s="114"/>
      <c r="N6083" s="1"/>
      <c r="O6083" s="1"/>
      <c r="P6083" s="51"/>
    </row>
    <row r="6084">
      <c r="A6084" s="54"/>
      <c r="B6084" s="71"/>
      <c r="C6084" s="51"/>
      <c r="D6084" s="114"/>
      <c r="E6084" s="114"/>
      <c r="F6084" s="54"/>
      <c r="G6084" s="54"/>
      <c r="I6084" s="54"/>
      <c r="K6084" s="54"/>
      <c r="M6084" s="114"/>
      <c r="N6084" s="1"/>
      <c r="O6084" s="1"/>
      <c r="P6084" s="51"/>
    </row>
    <row r="6085">
      <c r="A6085" s="54"/>
      <c r="B6085" s="71"/>
      <c r="C6085" s="51"/>
      <c r="D6085" s="114"/>
      <c r="E6085" s="114"/>
      <c r="F6085" s="54"/>
      <c r="G6085" s="54"/>
      <c r="I6085" s="54"/>
      <c r="K6085" s="54"/>
      <c r="M6085" s="114"/>
      <c r="N6085" s="1"/>
      <c r="O6085" s="1"/>
      <c r="P6085" s="51"/>
    </row>
    <row r="6086">
      <c r="A6086" s="54"/>
      <c r="B6086" s="71"/>
      <c r="C6086" s="51"/>
      <c r="D6086" s="114"/>
      <c r="E6086" s="114"/>
      <c r="F6086" s="54"/>
      <c r="G6086" s="54"/>
      <c r="I6086" s="54"/>
      <c r="K6086" s="54"/>
      <c r="M6086" s="114"/>
      <c r="N6086" s="1"/>
      <c r="O6086" s="1"/>
      <c r="P6086" s="51"/>
    </row>
    <row r="6087">
      <c r="A6087" s="54"/>
      <c r="B6087" s="71"/>
      <c r="C6087" s="51"/>
      <c r="D6087" s="114"/>
      <c r="E6087" s="114"/>
      <c r="F6087" s="54"/>
      <c r="G6087" s="54"/>
      <c r="I6087" s="54"/>
      <c r="K6087" s="54"/>
      <c r="M6087" s="114"/>
      <c r="N6087" s="1"/>
      <c r="O6087" s="1"/>
      <c r="P6087" s="51"/>
    </row>
    <row r="6088">
      <c r="A6088" s="54"/>
      <c r="B6088" s="71"/>
      <c r="C6088" s="51"/>
      <c r="D6088" s="114"/>
      <c r="E6088" s="114"/>
      <c r="F6088" s="54"/>
      <c r="G6088" s="54"/>
      <c r="I6088" s="54"/>
      <c r="K6088" s="54"/>
      <c r="M6088" s="114"/>
      <c r="N6088" s="1"/>
      <c r="O6088" s="1"/>
      <c r="P6088" s="51"/>
    </row>
    <row r="6089">
      <c r="A6089" s="54"/>
      <c r="B6089" s="71"/>
      <c r="C6089" s="51"/>
      <c r="D6089" s="114"/>
      <c r="E6089" s="114"/>
      <c r="F6089" s="54"/>
      <c r="G6089" s="54"/>
      <c r="I6089" s="54"/>
      <c r="K6089" s="54"/>
      <c r="M6089" s="114"/>
      <c r="N6089" s="1"/>
      <c r="O6089" s="1"/>
      <c r="P6089" s="51"/>
    </row>
    <row r="6090">
      <c r="A6090" s="54"/>
      <c r="B6090" s="71"/>
      <c r="C6090" s="51"/>
      <c r="D6090" s="114"/>
      <c r="E6090" s="114"/>
      <c r="F6090" s="54"/>
      <c r="G6090" s="54"/>
      <c r="I6090" s="54"/>
      <c r="K6090" s="54"/>
      <c r="M6090" s="114"/>
      <c r="N6090" s="1"/>
      <c r="O6090" s="1"/>
      <c r="P6090" s="51"/>
    </row>
    <row r="6091">
      <c r="A6091" s="54"/>
      <c r="B6091" s="71"/>
      <c r="C6091" s="51"/>
      <c r="D6091" s="114"/>
      <c r="E6091" s="114"/>
      <c r="F6091" s="54"/>
      <c r="G6091" s="54"/>
      <c r="I6091" s="54"/>
      <c r="K6091" s="54"/>
      <c r="M6091" s="114"/>
      <c r="N6091" s="1"/>
      <c r="O6091" s="1"/>
      <c r="P6091" s="51"/>
    </row>
    <row r="6092">
      <c r="A6092" s="54"/>
      <c r="B6092" s="71"/>
      <c r="C6092" s="51"/>
      <c r="D6092" s="114"/>
      <c r="E6092" s="114"/>
      <c r="F6092" s="54"/>
      <c r="G6092" s="54"/>
      <c r="I6092" s="54"/>
      <c r="K6092" s="54"/>
      <c r="M6092" s="114"/>
      <c r="N6092" s="1"/>
      <c r="O6092" s="1"/>
      <c r="P6092" s="51"/>
    </row>
    <row r="6093">
      <c r="A6093" s="54"/>
      <c r="B6093" s="71"/>
      <c r="C6093" s="51"/>
      <c r="D6093" s="114"/>
      <c r="E6093" s="114"/>
      <c r="F6093" s="54"/>
      <c r="G6093" s="54"/>
      <c r="I6093" s="54"/>
      <c r="K6093" s="54"/>
      <c r="M6093" s="114"/>
      <c r="N6093" s="1"/>
      <c r="O6093" s="1"/>
      <c r="P6093" s="51"/>
    </row>
    <row r="6094">
      <c r="A6094" s="54"/>
      <c r="B6094" s="71"/>
      <c r="C6094" s="51"/>
      <c r="D6094" s="114"/>
      <c r="E6094" s="114"/>
      <c r="F6094" s="54"/>
      <c r="G6094" s="54"/>
      <c r="I6094" s="54"/>
      <c r="K6094" s="54"/>
      <c r="M6094" s="114"/>
      <c r="N6094" s="1"/>
      <c r="O6094" s="1"/>
      <c r="P6094" s="51"/>
    </row>
    <row r="6095">
      <c r="A6095" s="54"/>
      <c r="B6095" s="71"/>
      <c r="C6095" s="51"/>
      <c r="D6095" s="114"/>
      <c r="E6095" s="114"/>
      <c r="F6095" s="54"/>
      <c r="G6095" s="54"/>
      <c r="I6095" s="54"/>
      <c r="K6095" s="54"/>
      <c r="M6095" s="114"/>
      <c r="N6095" s="1"/>
      <c r="O6095" s="1"/>
      <c r="P6095" s="51"/>
    </row>
    <row r="6096">
      <c r="A6096" s="54"/>
      <c r="B6096" s="71"/>
      <c r="C6096" s="51"/>
      <c r="D6096" s="114"/>
      <c r="E6096" s="114"/>
      <c r="F6096" s="54"/>
      <c r="G6096" s="54"/>
      <c r="I6096" s="54"/>
      <c r="K6096" s="54"/>
      <c r="M6096" s="114"/>
      <c r="N6096" s="1"/>
      <c r="O6096" s="1"/>
      <c r="P6096" s="51"/>
    </row>
    <row r="6097">
      <c r="A6097" s="54"/>
      <c r="B6097" s="71"/>
      <c r="C6097" s="51"/>
      <c r="D6097" s="114"/>
      <c r="E6097" s="114"/>
      <c r="F6097" s="54"/>
      <c r="G6097" s="54"/>
      <c r="I6097" s="54"/>
      <c r="K6097" s="54"/>
      <c r="M6097" s="114"/>
      <c r="N6097" s="1"/>
      <c r="O6097" s="1"/>
      <c r="P6097" s="51"/>
    </row>
    <row r="6098">
      <c r="A6098" s="54"/>
      <c r="B6098" s="71"/>
      <c r="C6098" s="51"/>
      <c r="D6098" s="114"/>
      <c r="E6098" s="114"/>
      <c r="F6098" s="54"/>
      <c r="G6098" s="54"/>
      <c r="I6098" s="54"/>
      <c r="K6098" s="54"/>
      <c r="M6098" s="114"/>
      <c r="N6098" s="1"/>
      <c r="O6098" s="1"/>
      <c r="P6098" s="51"/>
    </row>
    <row r="6099">
      <c r="A6099" s="54"/>
      <c r="B6099" s="71"/>
      <c r="C6099" s="51"/>
      <c r="D6099" s="114"/>
      <c r="E6099" s="114"/>
      <c r="F6099" s="54"/>
      <c r="G6099" s="54"/>
      <c r="I6099" s="54"/>
      <c r="K6099" s="54"/>
      <c r="M6099" s="114"/>
      <c r="N6099" s="1"/>
      <c r="O6099" s="1"/>
      <c r="P6099" s="51"/>
    </row>
    <row r="6100">
      <c r="A6100" s="54"/>
      <c r="B6100" s="71"/>
      <c r="C6100" s="51"/>
      <c r="D6100" s="114"/>
      <c r="E6100" s="114"/>
      <c r="F6100" s="54"/>
      <c r="G6100" s="54"/>
      <c r="I6100" s="54"/>
      <c r="K6100" s="54"/>
      <c r="M6100" s="114"/>
      <c r="N6100" s="1"/>
      <c r="O6100" s="1"/>
      <c r="P6100" s="51"/>
    </row>
    <row r="6101">
      <c r="A6101" s="54"/>
      <c r="B6101" s="71"/>
      <c r="C6101" s="51"/>
      <c r="D6101" s="114"/>
      <c r="E6101" s="114"/>
      <c r="F6101" s="54"/>
      <c r="G6101" s="54"/>
      <c r="I6101" s="54"/>
      <c r="K6101" s="54"/>
      <c r="M6101" s="114"/>
      <c r="N6101" s="1"/>
      <c r="O6101" s="1"/>
      <c r="P6101" s="51"/>
    </row>
    <row r="6102">
      <c r="A6102" s="54"/>
      <c r="B6102" s="71"/>
      <c r="C6102" s="51"/>
      <c r="D6102" s="114"/>
      <c r="E6102" s="114"/>
      <c r="F6102" s="54"/>
      <c r="G6102" s="54"/>
      <c r="I6102" s="54"/>
      <c r="K6102" s="54"/>
      <c r="M6102" s="114"/>
      <c r="N6102" s="1"/>
      <c r="O6102" s="1"/>
      <c r="P6102" s="51"/>
    </row>
    <row r="6103">
      <c r="A6103" s="54"/>
      <c r="B6103" s="71"/>
      <c r="C6103" s="51"/>
      <c r="D6103" s="114"/>
      <c r="E6103" s="114"/>
      <c r="F6103" s="54"/>
      <c r="G6103" s="54"/>
      <c r="I6103" s="54"/>
      <c r="K6103" s="54"/>
      <c r="M6103" s="114"/>
      <c r="N6103" s="1"/>
      <c r="O6103" s="1"/>
      <c r="P6103" s="51"/>
    </row>
    <row r="6104">
      <c r="A6104" s="54"/>
      <c r="B6104" s="71"/>
      <c r="C6104" s="51"/>
      <c r="D6104" s="114"/>
      <c r="E6104" s="114"/>
      <c r="F6104" s="54"/>
      <c r="G6104" s="54"/>
      <c r="I6104" s="54"/>
      <c r="K6104" s="54"/>
      <c r="M6104" s="114"/>
      <c r="N6104" s="1"/>
      <c r="O6104" s="1"/>
      <c r="P6104" s="51"/>
    </row>
    <row r="6105">
      <c r="A6105" s="54"/>
      <c r="B6105" s="71"/>
      <c r="C6105" s="51"/>
      <c r="D6105" s="114"/>
      <c r="E6105" s="114"/>
      <c r="F6105" s="54"/>
      <c r="G6105" s="54"/>
      <c r="I6105" s="54"/>
      <c r="K6105" s="54"/>
      <c r="M6105" s="114"/>
      <c r="N6105" s="1"/>
      <c r="O6105" s="1"/>
      <c r="P6105" s="51"/>
    </row>
    <row r="6106">
      <c r="A6106" s="54"/>
      <c r="B6106" s="71"/>
      <c r="C6106" s="51"/>
      <c r="D6106" s="114"/>
      <c r="E6106" s="114"/>
      <c r="F6106" s="54"/>
      <c r="G6106" s="54"/>
      <c r="I6106" s="54"/>
      <c r="K6106" s="54"/>
      <c r="M6106" s="114"/>
      <c r="N6106" s="1"/>
      <c r="O6106" s="1"/>
      <c r="P6106" s="51"/>
    </row>
    <row r="6107">
      <c r="A6107" s="54"/>
      <c r="B6107" s="71"/>
      <c r="C6107" s="51"/>
      <c r="D6107" s="114"/>
      <c r="E6107" s="114"/>
      <c r="F6107" s="54"/>
      <c r="G6107" s="54"/>
      <c r="I6107" s="54"/>
      <c r="K6107" s="54"/>
      <c r="M6107" s="114"/>
      <c r="N6107" s="1"/>
      <c r="O6107" s="1"/>
      <c r="P6107" s="51"/>
    </row>
    <row r="6108">
      <c r="A6108" s="54"/>
      <c r="B6108" s="71"/>
      <c r="C6108" s="51"/>
      <c r="D6108" s="114"/>
      <c r="E6108" s="114"/>
      <c r="F6108" s="54"/>
      <c r="G6108" s="54"/>
      <c r="I6108" s="54"/>
      <c r="K6108" s="54"/>
      <c r="M6108" s="114"/>
      <c r="N6108" s="1"/>
      <c r="O6108" s="1"/>
      <c r="P6108" s="51"/>
    </row>
    <row r="6109">
      <c r="A6109" s="54"/>
      <c r="B6109" s="71"/>
      <c r="C6109" s="51"/>
      <c r="D6109" s="114"/>
      <c r="E6109" s="114"/>
      <c r="F6109" s="54"/>
      <c r="G6109" s="54"/>
      <c r="I6109" s="54"/>
      <c r="K6109" s="54"/>
      <c r="M6109" s="114"/>
      <c r="N6109" s="1"/>
      <c r="O6109" s="1"/>
      <c r="P6109" s="51"/>
    </row>
    <row r="6110">
      <c r="A6110" s="54"/>
      <c r="B6110" s="71"/>
      <c r="C6110" s="51"/>
      <c r="D6110" s="114"/>
      <c r="E6110" s="114"/>
      <c r="F6110" s="54"/>
      <c r="G6110" s="54"/>
      <c r="I6110" s="54"/>
      <c r="K6110" s="54"/>
      <c r="M6110" s="114"/>
      <c r="N6110" s="1"/>
      <c r="O6110" s="1"/>
      <c r="P6110" s="51"/>
    </row>
    <row r="6111">
      <c r="A6111" s="54"/>
      <c r="B6111" s="71"/>
      <c r="C6111" s="51"/>
      <c r="D6111" s="114"/>
      <c r="E6111" s="114"/>
      <c r="F6111" s="54"/>
      <c r="G6111" s="54"/>
      <c r="I6111" s="54"/>
      <c r="K6111" s="54"/>
      <c r="M6111" s="114"/>
      <c r="N6111" s="1"/>
      <c r="O6111" s="1"/>
      <c r="P6111" s="51"/>
    </row>
    <row r="6112">
      <c r="A6112" s="54"/>
      <c r="B6112" s="71"/>
      <c r="C6112" s="51"/>
      <c r="D6112" s="114"/>
      <c r="E6112" s="114"/>
      <c r="F6112" s="54"/>
      <c r="G6112" s="54"/>
      <c r="I6112" s="54"/>
      <c r="K6112" s="54"/>
      <c r="M6112" s="114"/>
      <c r="N6112" s="1"/>
      <c r="O6112" s="1"/>
      <c r="P6112" s="51"/>
    </row>
    <row r="6113">
      <c r="A6113" s="54"/>
      <c r="B6113" s="71"/>
      <c r="C6113" s="51"/>
      <c r="D6113" s="114"/>
      <c r="E6113" s="114"/>
      <c r="F6113" s="54"/>
      <c r="G6113" s="54"/>
      <c r="I6113" s="54"/>
      <c r="K6113" s="54"/>
      <c r="M6113" s="114"/>
      <c r="N6113" s="1"/>
      <c r="O6113" s="1"/>
      <c r="P6113" s="51"/>
    </row>
    <row r="6114">
      <c r="A6114" s="54"/>
      <c r="B6114" s="71"/>
      <c r="C6114" s="51"/>
      <c r="D6114" s="114"/>
      <c r="E6114" s="114"/>
      <c r="F6114" s="54"/>
      <c r="G6114" s="54"/>
      <c r="I6114" s="54"/>
      <c r="K6114" s="54"/>
      <c r="M6114" s="114"/>
      <c r="N6114" s="1"/>
      <c r="O6114" s="1"/>
      <c r="P6114" s="51"/>
    </row>
    <row r="6115">
      <c r="A6115" s="54"/>
      <c r="B6115" s="71"/>
      <c r="C6115" s="51"/>
      <c r="D6115" s="114"/>
      <c r="E6115" s="114"/>
      <c r="F6115" s="54"/>
      <c r="G6115" s="54"/>
      <c r="I6115" s="54"/>
      <c r="K6115" s="54"/>
      <c r="M6115" s="114"/>
      <c r="N6115" s="1"/>
      <c r="O6115" s="1"/>
      <c r="P6115" s="51"/>
    </row>
    <row r="6116">
      <c r="A6116" s="54"/>
      <c r="B6116" s="71"/>
      <c r="C6116" s="51"/>
      <c r="D6116" s="114"/>
      <c r="E6116" s="114"/>
      <c r="F6116" s="54"/>
      <c r="G6116" s="54"/>
      <c r="I6116" s="54"/>
      <c r="K6116" s="54"/>
      <c r="M6116" s="114"/>
      <c r="N6116" s="1"/>
      <c r="O6116" s="1"/>
      <c r="P6116" s="51"/>
    </row>
    <row r="6117">
      <c r="A6117" s="54"/>
      <c r="B6117" s="71"/>
      <c r="C6117" s="51"/>
      <c r="D6117" s="114"/>
      <c r="E6117" s="114"/>
      <c r="F6117" s="54"/>
      <c r="G6117" s="54"/>
      <c r="I6117" s="54"/>
      <c r="K6117" s="54"/>
      <c r="M6117" s="114"/>
      <c r="N6117" s="1"/>
      <c r="O6117" s="1"/>
      <c r="P6117" s="51"/>
    </row>
    <row r="6118">
      <c r="A6118" s="54"/>
      <c r="B6118" s="71"/>
      <c r="C6118" s="51"/>
      <c r="D6118" s="114"/>
      <c r="E6118" s="114"/>
      <c r="F6118" s="54"/>
      <c r="G6118" s="54"/>
      <c r="I6118" s="54"/>
      <c r="K6118" s="54"/>
      <c r="M6118" s="114"/>
      <c r="N6118" s="1"/>
      <c r="O6118" s="1"/>
      <c r="P6118" s="51"/>
    </row>
    <row r="6119">
      <c r="A6119" s="54"/>
      <c r="B6119" s="71"/>
      <c r="C6119" s="51"/>
      <c r="D6119" s="114"/>
      <c r="E6119" s="114"/>
      <c r="F6119" s="54"/>
      <c r="G6119" s="54"/>
      <c r="I6119" s="54"/>
      <c r="K6119" s="54"/>
      <c r="M6119" s="114"/>
      <c r="N6119" s="1"/>
      <c r="O6119" s="1"/>
      <c r="P6119" s="51"/>
    </row>
    <row r="6120">
      <c r="A6120" s="54"/>
      <c r="B6120" s="71"/>
      <c r="C6120" s="51"/>
      <c r="D6120" s="114"/>
      <c r="E6120" s="114"/>
      <c r="F6120" s="54"/>
      <c r="G6120" s="54"/>
      <c r="I6120" s="54"/>
      <c r="K6120" s="54"/>
      <c r="M6120" s="114"/>
      <c r="N6120" s="1"/>
      <c r="O6120" s="1"/>
      <c r="P6120" s="51"/>
    </row>
    <row r="6121">
      <c r="A6121" s="54"/>
      <c r="B6121" s="71"/>
      <c r="C6121" s="51"/>
      <c r="D6121" s="114"/>
      <c r="E6121" s="114"/>
      <c r="F6121" s="54"/>
      <c r="G6121" s="54"/>
      <c r="I6121" s="54"/>
      <c r="K6121" s="54"/>
      <c r="M6121" s="114"/>
      <c r="N6121" s="1"/>
      <c r="O6121" s="1"/>
      <c r="P6121" s="51"/>
    </row>
    <row r="6122">
      <c r="A6122" s="54"/>
      <c r="B6122" s="71"/>
      <c r="C6122" s="51"/>
      <c r="D6122" s="114"/>
      <c r="E6122" s="114"/>
      <c r="F6122" s="54"/>
      <c r="G6122" s="54"/>
      <c r="I6122" s="54"/>
      <c r="K6122" s="54"/>
      <c r="M6122" s="114"/>
      <c r="N6122" s="1"/>
      <c r="O6122" s="1"/>
      <c r="P6122" s="51"/>
    </row>
    <row r="6123">
      <c r="A6123" s="54"/>
      <c r="B6123" s="71"/>
      <c r="C6123" s="51"/>
      <c r="D6123" s="114"/>
      <c r="E6123" s="114"/>
      <c r="F6123" s="54"/>
      <c r="G6123" s="54"/>
      <c r="I6123" s="54"/>
      <c r="K6123" s="54"/>
      <c r="M6123" s="114"/>
      <c r="N6123" s="1"/>
      <c r="O6123" s="1"/>
      <c r="P6123" s="51"/>
    </row>
    <row r="6124">
      <c r="A6124" s="54"/>
      <c r="B6124" s="71"/>
      <c r="C6124" s="51"/>
      <c r="D6124" s="114"/>
      <c r="E6124" s="114"/>
      <c r="F6124" s="54"/>
      <c r="G6124" s="54"/>
      <c r="I6124" s="54"/>
      <c r="K6124" s="54"/>
      <c r="M6124" s="114"/>
      <c r="N6124" s="1"/>
      <c r="O6124" s="1"/>
      <c r="P6124" s="51"/>
    </row>
    <row r="6125">
      <c r="A6125" s="54"/>
      <c r="B6125" s="71"/>
      <c r="C6125" s="51"/>
      <c r="D6125" s="114"/>
      <c r="E6125" s="114"/>
      <c r="F6125" s="54"/>
      <c r="G6125" s="54"/>
      <c r="I6125" s="54"/>
      <c r="K6125" s="54"/>
      <c r="M6125" s="114"/>
      <c r="N6125" s="1"/>
      <c r="O6125" s="1"/>
      <c r="P6125" s="51"/>
    </row>
    <row r="6126">
      <c r="A6126" s="54"/>
      <c r="B6126" s="71"/>
      <c r="C6126" s="51"/>
      <c r="D6126" s="114"/>
      <c r="E6126" s="114"/>
      <c r="F6126" s="54"/>
      <c r="G6126" s="54"/>
      <c r="I6126" s="54"/>
      <c r="K6126" s="54"/>
      <c r="M6126" s="114"/>
      <c r="N6126" s="1"/>
      <c r="O6126" s="1"/>
      <c r="P6126" s="51"/>
    </row>
    <row r="6127">
      <c r="A6127" s="54"/>
      <c r="B6127" s="71"/>
      <c r="C6127" s="51"/>
      <c r="D6127" s="114"/>
      <c r="E6127" s="114"/>
      <c r="F6127" s="54"/>
      <c r="G6127" s="54"/>
      <c r="I6127" s="54"/>
      <c r="K6127" s="54"/>
      <c r="M6127" s="114"/>
      <c r="N6127" s="1"/>
      <c r="O6127" s="1"/>
      <c r="P6127" s="51"/>
    </row>
    <row r="6128">
      <c r="A6128" s="54"/>
      <c r="B6128" s="71"/>
      <c r="C6128" s="51"/>
      <c r="D6128" s="114"/>
      <c r="E6128" s="114"/>
      <c r="F6128" s="54"/>
      <c r="G6128" s="54"/>
      <c r="I6128" s="54"/>
      <c r="K6128" s="54"/>
      <c r="M6128" s="114"/>
      <c r="N6128" s="1"/>
      <c r="O6128" s="1"/>
      <c r="P6128" s="51"/>
    </row>
    <row r="6129">
      <c r="A6129" s="54"/>
      <c r="B6129" s="71"/>
      <c r="C6129" s="51"/>
      <c r="D6129" s="114"/>
      <c r="E6129" s="114"/>
      <c r="F6129" s="54"/>
      <c r="G6129" s="54"/>
      <c r="I6129" s="54"/>
      <c r="K6129" s="54"/>
      <c r="M6129" s="114"/>
      <c r="N6129" s="1"/>
      <c r="O6129" s="1"/>
      <c r="P6129" s="51"/>
    </row>
    <row r="6130">
      <c r="A6130" s="54"/>
      <c r="B6130" s="71"/>
      <c r="C6130" s="51"/>
      <c r="D6130" s="114"/>
      <c r="E6130" s="114"/>
      <c r="F6130" s="54"/>
      <c r="G6130" s="54"/>
      <c r="I6130" s="54"/>
      <c r="K6130" s="54"/>
      <c r="M6130" s="114"/>
      <c r="N6130" s="1"/>
      <c r="O6130" s="1"/>
      <c r="P6130" s="51"/>
    </row>
    <row r="6131">
      <c r="A6131" s="54"/>
      <c r="B6131" s="71"/>
      <c r="C6131" s="51"/>
      <c r="D6131" s="114"/>
      <c r="E6131" s="114"/>
      <c r="F6131" s="54"/>
      <c r="G6131" s="54"/>
      <c r="I6131" s="54"/>
      <c r="K6131" s="54"/>
      <c r="M6131" s="114"/>
      <c r="N6131" s="1"/>
      <c r="O6131" s="1"/>
      <c r="P6131" s="51"/>
    </row>
    <row r="6132">
      <c r="A6132" s="54"/>
      <c r="B6132" s="71"/>
      <c r="C6132" s="51"/>
      <c r="D6132" s="114"/>
      <c r="E6132" s="114"/>
      <c r="F6132" s="54"/>
      <c r="G6132" s="54"/>
      <c r="I6132" s="54"/>
      <c r="K6132" s="54"/>
      <c r="M6132" s="114"/>
      <c r="N6132" s="1"/>
      <c r="O6132" s="1"/>
      <c r="P6132" s="51"/>
    </row>
    <row r="6133">
      <c r="A6133" s="54"/>
      <c r="B6133" s="71"/>
      <c r="C6133" s="51"/>
      <c r="D6133" s="114"/>
      <c r="E6133" s="114"/>
      <c r="F6133" s="54"/>
      <c r="G6133" s="54"/>
      <c r="I6133" s="54"/>
      <c r="K6133" s="54"/>
      <c r="M6133" s="114"/>
      <c r="N6133" s="1"/>
      <c r="O6133" s="1"/>
      <c r="P6133" s="51"/>
    </row>
    <row r="6134">
      <c r="A6134" s="54"/>
      <c r="B6134" s="71"/>
      <c r="C6134" s="51"/>
      <c r="D6134" s="114"/>
      <c r="E6134" s="114"/>
      <c r="F6134" s="54"/>
      <c r="G6134" s="54"/>
      <c r="I6134" s="54"/>
      <c r="K6134" s="54"/>
      <c r="M6134" s="114"/>
      <c r="N6134" s="1"/>
      <c r="O6134" s="1"/>
      <c r="P6134" s="51"/>
    </row>
    <row r="6135">
      <c r="A6135" s="54"/>
      <c r="B6135" s="71"/>
      <c r="C6135" s="51"/>
      <c r="D6135" s="114"/>
      <c r="E6135" s="114"/>
      <c r="F6135" s="54"/>
      <c r="G6135" s="54"/>
      <c r="I6135" s="54"/>
      <c r="K6135" s="54"/>
      <c r="M6135" s="114"/>
      <c r="N6135" s="1"/>
      <c r="O6135" s="1"/>
      <c r="P6135" s="51"/>
    </row>
    <row r="6136">
      <c r="A6136" s="54"/>
      <c r="B6136" s="71"/>
      <c r="C6136" s="51"/>
      <c r="D6136" s="114"/>
      <c r="E6136" s="114"/>
      <c r="F6136" s="54"/>
      <c r="G6136" s="54"/>
      <c r="I6136" s="54"/>
      <c r="K6136" s="54"/>
      <c r="M6136" s="114"/>
      <c r="N6136" s="1"/>
      <c r="O6136" s="1"/>
      <c r="P6136" s="51"/>
    </row>
    <row r="6137">
      <c r="A6137" s="54"/>
      <c r="B6137" s="71"/>
      <c r="C6137" s="51"/>
      <c r="D6137" s="114"/>
      <c r="E6137" s="114"/>
      <c r="F6137" s="54"/>
      <c r="G6137" s="54"/>
      <c r="I6137" s="54"/>
      <c r="K6137" s="54"/>
      <c r="M6137" s="114"/>
      <c r="N6137" s="1"/>
      <c r="O6137" s="1"/>
      <c r="P6137" s="51"/>
    </row>
    <row r="6138">
      <c r="A6138" s="54"/>
      <c r="B6138" s="71"/>
      <c r="C6138" s="51"/>
      <c r="D6138" s="114"/>
      <c r="E6138" s="114"/>
      <c r="F6138" s="54"/>
      <c r="G6138" s="54"/>
      <c r="I6138" s="54"/>
      <c r="K6138" s="54"/>
      <c r="M6138" s="114"/>
      <c r="N6138" s="1"/>
      <c r="O6138" s="1"/>
      <c r="P6138" s="51"/>
    </row>
    <row r="6139">
      <c r="A6139" s="54"/>
      <c r="B6139" s="71"/>
      <c r="C6139" s="51"/>
      <c r="D6139" s="114"/>
      <c r="E6139" s="114"/>
      <c r="F6139" s="54"/>
      <c r="G6139" s="54"/>
      <c r="I6139" s="54"/>
      <c r="K6139" s="54"/>
      <c r="M6139" s="114"/>
      <c r="N6139" s="1"/>
      <c r="O6139" s="1"/>
      <c r="P6139" s="51"/>
    </row>
    <row r="6140">
      <c r="A6140" s="54"/>
      <c r="B6140" s="71"/>
      <c r="C6140" s="51"/>
      <c r="D6140" s="114"/>
      <c r="E6140" s="114"/>
      <c r="F6140" s="54"/>
      <c r="G6140" s="54"/>
      <c r="I6140" s="54"/>
      <c r="K6140" s="54"/>
      <c r="M6140" s="114"/>
      <c r="N6140" s="1"/>
      <c r="O6140" s="1"/>
      <c r="P6140" s="51"/>
    </row>
    <row r="6141">
      <c r="A6141" s="54"/>
      <c r="B6141" s="71"/>
      <c r="C6141" s="51"/>
      <c r="D6141" s="114"/>
      <c r="E6141" s="114"/>
      <c r="F6141" s="54"/>
      <c r="G6141" s="54"/>
      <c r="I6141" s="54"/>
      <c r="K6141" s="54"/>
      <c r="M6141" s="114"/>
      <c r="N6141" s="1"/>
      <c r="O6141" s="1"/>
      <c r="P6141" s="51"/>
    </row>
    <row r="6142">
      <c r="A6142" s="54"/>
      <c r="B6142" s="71"/>
      <c r="C6142" s="51"/>
      <c r="D6142" s="114"/>
      <c r="E6142" s="114"/>
      <c r="F6142" s="54"/>
      <c r="G6142" s="54"/>
      <c r="I6142" s="54"/>
      <c r="K6142" s="54"/>
      <c r="M6142" s="114"/>
      <c r="N6142" s="1"/>
      <c r="O6142" s="1"/>
      <c r="P6142" s="51"/>
    </row>
    <row r="6143">
      <c r="A6143" s="54"/>
      <c r="B6143" s="71"/>
      <c r="C6143" s="51"/>
      <c r="D6143" s="114"/>
      <c r="E6143" s="114"/>
      <c r="F6143" s="54"/>
      <c r="G6143" s="54"/>
      <c r="I6143" s="54"/>
      <c r="K6143" s="54"/>
      <c r="M6143" s="114"/>
      <c r="N6143" s="1"/>
      <c r="O6143" s="1"/>
      <c r="P6143" s="51"/>
    </row>
    <row r="6144">
      <c r="A6144" s="54"/>
      <c r="B6144" s="71"/>
      <c r="C6144" s="51"/>
      <c r="D6144" s="114"/>
      <c r="E6144" s="114"/>
      <c r="F6144" s="54"/>
      <c r="G6144" s="54"/>
      <c r="I6144" s="54"/>
      <c r="K6144" s="54"/>
      <c r="M6144" s="114"/>
      <c r="N6144" s="1"/>
      <c r="O6144" s="1"/>
      <c r="P6144" s="51"/>
    </row>
    <row r="6145">
      <c r="A6145" s="54"/>
      <c r="B6145" s="71"/>
      <c r="C6145" s="51"/>
      <c r="D6145" s="114"/>
      <c r="E6145" s="114"/>
      <c r="F6145" s="54"/>
      <c r="G6145" s="54"/>
      <c r="I6145" s="54"/>
      <c r="K6145" s="54"/>
      <c r="M6145" s="114"/>
      <c r="N6145" s="1"/>
      <c r="O6145" s="1"/>
      <c r="P6145" s="51"/>
    </row>
    <row r="6146">
      <c r="A6146" s="54"/>
      <c r="B6146" s="71"/>
      <c r="C6146" s="51"/>
      <c r="D6146" s="114"/>
      <c r="E6146" s="114"/>
      <c r="F6146" s="54"/>
      <c r="G6146" s="54"/>
      <c r="I6146" s="54"/>
      <c r="K6146" s="54"/>
      <c r="M6146" s="114"/>
      <c r="N6146" s="1"/>
      <c r="O6146" s="1"/>
      <c r="P6146" s="51"/>
    </row>
    <row r="6147">
      <c r="A6147" s="54"/>
      <c r="B6147" s="71"/>
      <c r="C6147" s="51"/>
      <c r="D6147" s="114"/>
      <c r="E6147" s="114"/>
      <c r="F6147" s="54"/>
      <c r="G6147" s="54"/>
      <c r="I6147" s="54"/>
      <c r="K6147" s="54"/>
      <c r="M6147" s="114"/>
      <c r="N6147" s="1"/>
      <c r="O6147" s="1"/>
      <c r="P6147" s="51"/>
    </row>
    <row r="6148">
      <c r="A6148" s="54"/>
      <c r="B6148" s="71"/>
      <c r="C6148" s="51"/>
      <c r="D6148" s="114"/>
      <c r="E6148" s="114"/>
      <c r="F6148" s="54"/>
      <c r="G6148" s="54"/>
      <c r="I6148" s="54"/>
      <c r="K6148" s="54"/>
      <c r="M6148" s="114"/>
      <c r="N6148" s="1"/>
      <c r="O6148" s="1"/>
      <c r="P6148" s="51"/>
    </row>
    <row r="6149">
      <c r="A6149" s="54"/>
      <c r="B6149" s="71"/>
      <c r="C6149" s="51"/>
      <c r="D6149" s="114"/>
      <c r="E6149" s="114"/>
      <c r="F6149" s="54"/>
      <c r="G6149" s="54"/>
      <c r="I6149" s="54"/>
      <c r="K6149" s="54"/>
      <c r="M6149" s="114"/>
      <c r="N6149" s="1"/>
      <c r="O6149" s="1"/>
      <c r="P6149" s="51"/>
    </row>
    <row r="6150">
      <c r="A6150" s="54"/>
      <c r="B6150" s="71"/>
      <c r="C6150" s="51"/>
      <c r="D6150" s="114"/>
      <c r="E6150" s="114"/>
      <c r="F6150" s="54"/>
      <c r="G6150" s="54"/>
      <c r="I6150" s="54"/>
      <c r="K6150" s="54"/>
      <c r="M6150" s="114"/>
      <c r="N6150" s="1"/>
      <c r="O6150" s="1"/>
      <c r="P6150" s="51"/>
    </row>
    <row r="6151">
      <c r="A6151" s="54"/>
      <c r="B6151" s="71"/>
      <c r="C6151" s="51"/>
      <c r="D6151" s="114"/>
      <c r="E6151" s="114"/>
      <c r="F6151" s="54"/>
      <c r="G6151" s="54"/>
      <c r="I6151" s="54"/>
      <c r="K6151" s="54"/>
      <c r="M6151" s="114"/>
      <c r="N6151" s="1"/>
      <c r="O6151" s="1"/>
      <c r="P6151" s="51"/>
    </row>
    <row r="6152">
      <c r="A6152" s="54"/>
      <c r="B6152" s="71"/>
      <c r="C6152" s="51"/>
      <c r="D6152" s="114"/>
      <c r="E6152" s="114"/>
      <c r="F6152" s="54"/>
      <c r="G6152" s="54"/>
      <c r="I6152" s="54"/>
      <c r="K6152" s="54"/>
      <c r="M6152" s="114"/>
      <c r="N6152" s="1"/>
      <c r="O6152" s="1"/>
      <c r="P6152" s="51"/>
    </row>
    <row r="6153">
      <c r="A6153" s="54"/>
      <c r="B6153" s="71"/>
      <c r="C6153" s="51"/>
      <c r="D6153" s="114"/>
      <c r="E6153" s="114"/>
      <c r="F6153" s="54"/>
      <c r="G6153" s="54"/>
      <c r="I6153" s="54"/>
      <c r="K6153" s="54"/>
      <c r="M6153" s="114"/>
      <c r="N6153" s="1"/>
      <c r="O6153" s="1"/>
      <c r="P6153" s="51"/>
    </row>
    <row r="6154">
      <c r="A6154" s="54"/>
      <c r="B6154" s="71"/>
      <c r="C6154" s="51"/>
      <c r="D6154" s="114"/>
      <c r="E6154" s="114"/>
      <c r="F6154" s="54"/>
      <c r="G6154" s="54"/>
      <c r="I6154" s="54"/>
      <c r="K6154" s="54"/>
      <c r="M6154" s="114"/>
      <c r="N6154" s="1"/>
      <c r="O6154" s="1"/>
      <c r="P6154" s="51"/>
    </row>
    <row r="6155">
      <c r="A6155" s="54"/>
      <c r="B6155" s="71"/>
      <c r="C6155" s="51"/>
      <c r="D6155" s="114"/>
      <c r="E6155" s="114"/>
      <c r="F6155" s="54"/>
      <c r="G6155" s="54"/>
      <c r="I6155" s="54"/>
      <c r="K6155" s="54"/>
      <c r="M6155" s="114"/>
      <c r="N6155" s="1"/>
      <c r="O6155" s="1"/>
      <c r="P6155" s="51"/>
    </row>
    <row r="6156">
      <c r="A6156" s="54"/>
      <c r="B6156" s="71"/>
      <c r="C6156" s="51"/>
      <c r="D6156" s="114"/>
      <c r="E6156" s="114"/>
      <c r="F6156" s="54"/>
      <c r="G6156" s="54"/>
      <c r="I6156" s="54"/>
      <c r="K6156" s="54"/>
      <c r="M6156" s="114"/>
      <c r="N6156" s="1"/>
      <c r="O6156" s="1"/>
      <c r="P6156" s="51"/>
    </row>
    <row r="6157">
      <c r="A6157" s="54"/>
      <c r="B6157" s="71"/>
      <c r="C6157" s="51"/>
      <c r="D6157" s="114"/>
      <c r="E6157" s="114"/>
      <c r="F6157" s="54"/>
      <c r="G6157" s="54"/>
      <c r="I6157" s="54"/>
      <c r="K6157" s="54"/>
      <c r="M6157" s="114"/>
      <c r="N6157" s="1"/>
      <c r="O6157" s="1"/>
      <c r="P6157" s="51"/>
    </row>
    <row r="6158">
      <c r="A6158" s="54"/>
      <c r="B6158" s="71"/>
      <c r="C6158" s="51"/>
      <c r="D6158" s="114"/>
      <c r="E6158" s="114"/>
      <c r="F6158" s="54"/>
      <c r="G6158" s="54"/>
      <c r="I6158" s="54"/>
      <c r="K6158" s="54"/>
      <c r="M6158" s="114"/>
      <c r="N6158" s="1"/>
      <c r="O6158" s="1"/>
      <c r="P6158" s="51"/>
    </row>
    <row r="6159">
      <c r="A6159" s="54"/>
      <c r="B6159" s="71"/>
      <c r="C6159" s="51"/>
      <c r="D6159" s="114"/>
      <c r="E6159" s="114"/>
      <c r="F6159" s="54"/>
      <c r="G6159" s="54"/>
      <c r="I6159" s="54"/>
      <c r="K6159" s="54"/>
      <c r="M6159" s="114"/>
      <c r="N6159" s="1"/>
      <c r="O6159" s="1"/>
      <c r="P6159" s="51"/>
    </row>
    <row r="6160">
      <c r="A6160" s="54"/>
      <c r="B6160" s="71"/>
      <c r="C6160" s="51"/>
      <c r="D6160" s="114"/>
      <c r="E6160" s="114"/>
      <c r="F6160" s="54"/>
      <c r="G6160" s="54"/>
      <c r="I6160" s="54"/>
      <c r="K6160" s="54"/>
      <c r="M6160" s="114"/>
      <c r="N6160" s="1"/>
      <c r="O6160" s="1"/>
      <c r="P6160" s="51"/>
    </row>
    <row r="6161">
      <c r="A6161" s="54"/>
      <c r="B6161" s="71"/>
      <c r="C6161" s="51"/>
      <c r="D6161" s="114"/>
      <c r="E6161" s="114"/>
      <c r="F6161" s="54"/>
      <c r="G6161" s="54"/>
      <c r="I6161" s="54"/>
      <c r="K6161" s="54"/>
      <c r="M6161" s="114"/>
      <c r="N6161" s="1"/>
      <c r="O6161" s="1"/>
      <c r="P6161" s="51"/>
    </row>
    <row r="6162">
      <c r="A6162" s="54"/>
      <c r="B6162" s="71"/>
      <c r="C6162" s="51"/>
      <c r="D6162" s="114"/>
      <c r="E6162" s="114"/>
      <c r="F6162" s="54"/>
      <c r="G6162" s="54"/>
      <c r="I6162" s="54"/>
      <c r="K6162" s="54"/>
      <c r="M6162" s="114"/>
      <c r="N6162" s="1"/>
      <c r="O6162" s="1"/>
      <c r="P6162" s="51"/>
    </row>
    <row r="6163">
      <c r="A6163" s="54"/>
      <c r="B6163" s="71"/>
      <c r="C6163" s="51"/>
      <c r="D6163" s="114"/>
      <c r="E6163" s="114"/>
      <c r="F6163" s="54"/>
      <c r="G6163" s="54"/>
      <c r="I6163" s="54"/>
      <c r="K6163" s="54"/>
      <c r="M6163" s="114"/>
      <c r="N6163" s="1"/>
      <c r="O6163" s="1"/>
      <c r="P6163" s="51"/>
    </row>
    <row r="6164">
      <c r="A6164" s="54"/>
      <c r="B6164" s="71"/>
      <c r="C6164" s="51"/>
      <c r="D6164" s="114"/>
      <c r="E6164" s="114"/>
      <c r="F6164" s="54"/>
      <c r="G6164" s="54"/>
      <c r="I6164" s="54"/>
      <c r="K6164" s="54"/>
      <c r="M6164" s="114"/>
      <c r="N6164" s="1"/>
      <c r="O6164" s="1"/>
      <c r="P6164" s="51"/>
    </row>
    <row r="6165">
      <c r="A6165" s="54"/>
      <c r="B6165" s="71"/>
      <c r="C6165" s="51"/>
      <c r="D6165" s="114"/>
      <c r="E6165" s="114"/>
      <c r="F6165" s="54"/>
      <c r="G6165" s="54"/>
      <c r="I6165" s="54"/>
      <c r="K6165" s="54"/>
      <c r="M6165" s="114"/>
      <c r="N6165" s="1"/>
      <c r="O6165" s="1"/>
      <c r="P6165" s="51"/>
    </row>
    <row r="6166">
      <c r="A6166" s="54"/>
      <c r="B6166" s="71"/>
      <c r="C6166" s="51"/>
      <c r="D6166" s="114"/>
      <c r="E6166" s="114"/>
      <c r="F6166" s="54"/>
      <c r="G6166" s="54"/>
      <c r="I6166" s="54"/>
      <c r="K6166" s="54"/>
      <c r="M6166" s="114"/>
      <c r="N6166" s="1"/>
      <c r="O6166" s="1"/>
      <c r="P6166" s="51"/>
    </row>
    <row r="6167">
      <c r="A6167" s="54"/>
      <c r="B6167" s="71"/>
      <c r="C6167" s="51"/>
      <c r="D6167" s="114"/>
      <c r="E6167" s="114"/>
      <c r="F6167" s="54"/>
      <c r="G6167" s="54"/>
      <c r="I6167" s="54"/>
      <c r="K6167" s="54"/>
      <c r="M6167" s="114"/>
      <c r="N6167" s="1"/>
      <c r="O6167" s="1"/>
      <c r="P6167" s="51"/>
    </row>
    <row r="6168">
      <c r="A6168" s="54"/>
      <c r="B6168" s="71"/>
      <c r="C6168" s="51"/>
      <c r="D6168" s="114"/>
      <c r="E6168" s="114"/>
      <c r="F6168" s="54"/>
      <c r="G6168" s="54"/>
      <c r="I6168" s="54"/>
      <c r="K6168" s="54"/>
      <c r="M6168" s="114"/>
      <c r="N6168" s="1"/>
      <c r="O6168" s="1"/>
      <c r="P6168" s="51"/>
    </row>
    <row r="6169">
      <c r="A6169" s="54"/>
      <c r="B6169" s="71"/>
      <c r="C6169" s="51"/>
      <c r="D6169" s="114"/>
      <c r="E6169" s="114"/>
      <c r="F6169" s="54"/>
      <c r="G6169" s="54"/>
      <c r="I6169" s="54"/>
      <c r="K6169" s="54"/>
      <c r="M6169" s="114"/>
      <c r="N6169" s="1"/>
      <c r="O6169" s="1"/>
      <c r="P6169" s="51"/>
    </row>
    <row r="6170">
      <c r="A6170" s="54"/>
      <c r="B6170" s="71"/>
      <c r="C6170" s="51"/>
      <c r="D6170" s="114"/>
      <c r="E6170" s="114"/>
      <c r="F6170" s="54"/>
      <c r="G6170" s="54"/>
      <c r="I6170" s="54"/>
      <c r="K6170" s="54"/>
      <c r="M6170" s="114"/>
      <c r="N6170" s="1"/>
      <c r="O6170" s="1"/>
      <c r="P6170" s="51"/>
    </row>
    <row r="6171">
      <c r="A6171" s="54"/>
      <c r="B6171" s="71"/>
      <c r="C6171" s="51"/>
      <c r="D6171" s="114"/>
      <c r="E6171" s="114"/>
      <c r="F6171" s="54"/>
      <c r="G6171" s="54"/>
      <c r="I6171" s="54"/>
      <c r="K6171" s="54"/>
      <c r="M6171" s="114"/>
      <c r="N6171" s="1"/>
      <c r="O6171" s="1"/>
      <c r="P6171" s="51"/>
    </row>
    <row r="6172">
      <c r="A6172" s="54"/>
      <c r="B6172" s="71"/>
      <c r="C6172" s="51"/>
      <c r="D6172" s="114"/>
      <c r="E6172" s="114"/>
      <c r="F6172" s="54"/>
      <c r="G6172" s="54"/>
      <c r="I6172" s="54"/>
      <c r="K6172" s="54"/>
      <c r="M6172" s="114"/>
      <c r="N6172" s="1"/>
      <c r="O6172" s="1"/>
      <c r="P6172" s="51"/>
    </row>
    <row r="6173">
      <c r="A6173" s="54"/>
      <c r="B6173" s="71"/>
      <c r="C6173" s="51"/>
      <c r="D6173" s="114"/>
      <c r="E6173" s="114"/>
      <c r="F6173" s="54"/>
      <c r="G6173" s="54"/>
      <c r="I6173" s="54"/>
      <c r="K6173" s="54"/>
      <c r="M6173" s="114"/>
      <c r="N6173" s="1"/>
      <c r="O6173" s="1"/>
      <c r="P6173" s="51"/>
    </row>
    <row r="6174">
      <c r="A6174" s="54"/>
      <c r="B6174" s="71"/>
      <c r="C6174" s="51"/>
      <c r="D6174" s="114"/>
      <c r="E6174" s="114"/>
      <c r="F6174" s="54"/>
      <c r="G6174" s="54"/>
      <c r="I6174" s="54"/>
      <c r="K6174" s="54"/>
      <c r="M6174" s="114"/>
      <c r="N6174" s="1"/>
      <c r="O6174" s="1"/>
      <c r="P6174" s="51"/>
    </row>
    <row r="6175">
      <c r="A6175" s="54"/>
      <c r="B6175" s="71"/>
      <c r="C6175" s="51"/>
      <c r="D6175" s="114"/>
      <c r="E6175" s="114"/>
      <c r="F6175" s="54"/>
      <c r="G6175" s="54"/>
      <c r="I6175" s="54"/>
      <c r="K6175" s="54"/>
      <c r="M6175" s="114"/>
      <c r="N6175" s="1"/>
      <c r="O6175" s="1"/>
      <c r="P6175" s="51"/>
    </row>
    <row r="6176">
      <c r="A6176" s="54"/>
      <c r="B6176" s="71"/>
      <c r="C6176" s="51"/>
      <c r="D6176" s="114"/>
      <c r="E6176" s="114"/>
      <c r="F6176" s="54"/>
      <c r="G6176" s="54"/>
      <c r="I6176" s="54"/>
      <c r="K6176" s="54"/>
      <c r="M6176" s="114"/>
      <c r="N6176" s="1"/>
      <c r="O6176" s="1"/>
      <c r="P6176" s="51"/>
    </row>
    <row r="6177">
      <c r="A6177" s="54"/>
      <c r="B6177" s="71"/>
      <c r="C6177" s="51"/>
      <c r="D6177" s="114"/>
      <c r="E6177" s="114"/>
      <c r="F6177" s="54"/>
      <c r="G6177" s="54"/>
      <c r="I6177" s="54"/>
      <c r="K6177" s="54"/>
      <c r="M6177" s="114"/>
      <c r="N6177" s="1"/>
      <c r="O6177" s="1"/>
      <c r="P6177" s="51"/>
    </row>
    <row r="6178">
      <c r="A6178" s="54"/>
      <c r="B6178" s="71"/>
      <c r="C6178" s="51"/>
      <c r="D6178" s="114"/>
      <c r="E6178" s="114"/>
      <c r="F6178" s="54"/>
      <c r="G6178" s="54"/>
      <c r="I6178" s="54"/>
      <c r="K6178" s="54"/>
      <c r="M6178" s="114"/>
      <c r="N6178" s="1"/>
      <c r="O6178" s="1"/>
      <c r="P6178" s="51"/>
    </row>
    <row r="6179">
      <c r="A6179" s="54"/>
      <c r="B6179" s="71"/>
      <c r="C6179" s="51"/>
      <c r="D6179" s="114"/>
      <c r="E6179" s="114"/>
      <c r="F6179" s="54"/>
      <c r="G6179" s="54"/>
      <c r="I6179" s="54"/>
      <c r="K6179" s="54"/>
      <c r="M6179" s="114"/>
      <c r="N6179" s="1"/>
      <c r="O6179" s="1"/>
      <c r="P6179" s="51"/>
    </row>
    <row r="6180">
      <c r="A6180" s="54"/>
      <c r="B6180" s="71"/>
      <c r="C6180" s="51"/>
      <c r="D6180" s="114"/>
      <c r="E6180" s="114"/>
      <c r="F6180" s="54"/>
      <c r="G6180" s="54"/>
      <c r="I6180" s="54"/>
      <c r="K6180" s="54"/>
      <c r="M6180" s="114"/>
      <c r="N6180" s="1"/>
      <c r="O6180" s="1"/>
      <c r="P6180" s="51"/>
    </row>
    <row r="6181">
      <c r="A6181" s="54"/>
      <c r="B6181" s="71"/>
      <c r="C6181" s="51"/>
      <c r="D6181" s="114"/>
      <c r="E6181" s="114"/>
      <c r="F6181" s="54"/>
      <c r="G6181" s="54"/>
      <c r="I6181" s="54"/>
      <c r="K6181" s="54"/>
      <c r="M6181" s="114"/>
      <c r="N6181" s="1"/>
      <c r="O6181" s="1"/>
      <c r="P6181" s="51"/>
    </row>
    <row r="6182">
      <c r="A6182" s="54"/>
      <c r="B6182" s="71"/>
      <c r="C6182" s="51"/>
      <c r="D6182" s="114"/>
      <c r="E6182" s="114"/>
      <c r="F6182" s="54"/>
      <c r="G6182" s="54"/>
      <c r="I6182" s="54"/>
      <c r="K6182" s="54"/>
      <c r="M6182" s="114"/>
      <c r="N6182" s="1"/>
      <c r="O6182" s="1"/>
      <c r="P6182" s="51"/>
    </row>
    <row r="6183">
      <c r="A6183" s="54"/>
      <c r="B6183" s="71"/>
      <c r="C6183" s="51"/>
      <c r="D6183" s="114"/>
      <c r="E6183" s="114"/>
      <c r="F6183" s="54"/>
      <c r="G6183" s="54"/>
      <c r="I6183" s="54"/>
      <c r="K6183" s="54"/>
      <c r="M6183" s="114"/>
      <c r="N6183" s="1"/>
      <c r="O6183" s="1"/>
      <c r="P6183" s="51"/>
    </row>
    <row r="6184">
      <c r="A6184" s="54"/>
      <c r="B6184" s="71"/>
      <c r="C6184" s="51"/>
      <c r="D6184" s="114"/>
      <c r="E6184" s="114"/>
      <c r="F6184" s="54"/>
      <c r="G6184" s="54"/>
      <c r="I6184" s="54"/>
      <c r="K6184" s="54"/>
      <c r="M6184" s="114"/>
      <c r="N6184" s="1"/>
      <c r="O6184" s="1"/>
      <c r="P6184" s="51"/>
    </row>
    <row r="6185">
      <c r="A6185" s="54"/>
      <c r="B6185" s="71"/>
      <c r="C6185" s="51"/>
      <c r="D6185" s="114"/>
      <c r="E6185" s="114"/>
      <c r="F6185" s="54"/>
      <c r="G6185" s="54"/>
      <c r="I6185" s="54"/>
      <c r="K6185" s="54"/>
      <c r="M6185" s="114"/>
      <c r="N6185" s="1"/>
      <c r="O6185" s="1"/>
      <c r="P6185" s="51"/>
    </row>
    <row r="6186">
      <c r="A6186" s="54"/>
      <c r="B6186" s="71"/>
      <c r="C6186" s="51"/>
      <c r="D6186" s="114"/>
      <c r="E6186" s="114"/>
      <c r="F6186" s="54"/>
      <c r="G6186" s="54"/>
      <c r="I6186" s="54"/>
      <c r="K6186" s="54"/>
      <c r="M6186" s="114"/>
      <c r="N6186" s="1"/>
      <c r="O6186" s="1"/>
      <c r="P6186" s="51"/>
    </row>
    <row r="6187">
      <c r="A6187" s="54"/>
      <c r="B6187" s="71"/>
      <c r="C6187" s="51"/>
      <c r="D6187" s="114"/>
      <c r="E6187" s="114"/>
      <c r="F6187" s="54"/>
      <c r="G6187" s="54"/>
      <c r="I6187" s="54"/>
      <c r="K6187" s="54"/>
      <c r="M6187" s="114"/>
      <c r="N6187" s="1"/>
      <c r="O6187" s="1"/>
      <c r="P6187" s="51"/>
    </row>
    <row r="6188">
      <c r="A6188" s="54"/>
      <c r="B6188" s="71"/>
      <c r="C6188" s="51"/>
      <c r="D6188" s="114"/>
      <c r="E6188" s="114"/>
      <c r="F6188" s="54"/>
      <c r="G6188" s="54"/>
      <c r="I6188" s="54"/>
      <c r="K6188" s="54"/>
      <c r="M6188" s="114"/>
      <c r="N6188" s="1"/>
      <c r="O6188" s="1"/>
      <c r="P6188" s="51"/>
    </row>
    <row r="6189">
      <c r="A6189" s="54"/>
      <c r="B6189" s="71"/>
      <c r="C6189" s="51"/>
      <c r="D6189" s="114"/>
      <c r="E6189" s="114"/>
      <c r="F6189" s="54"/>
      <c r="G6189" s="54"/>
      <c r="I6189" s="54"/>
      <c r="K6189" s="54"/>
      <c r="M6189" s="114"/>
      <c r="N6189" s="1"/>
      <c r="O6189" s="1"/>
      <c r="P6189" s="51"/>
    </row>
    <row r="6190">
      <c r="A6190" s="54"/>
      <c r="B6190" s="71"/>
      <c r="C6190" s="51"/>
      <c r="D6190" s="114"/>
      <c r="E6190" s="114"/>
      <c r="F6190" s="54"/>
      <c r="G6190" s="54"/>
      <c r="I6190" s="54"/>
      <c r="K6190" s="54"/>
      <c r="M6190" s="114"/>
      <c r="N6190" s="1"/>
      <c r="O6190" s="1"/>
      <c r="P6190" s="51"/>
    </row>
    <row r="6191">
      <c r="A6191" s="54"/>
      <c r="B6191" s="71"/>
      <c r="C6191" s="51"/>
      <c r="D6191" s="114"/>
      <c r="E6191" s="114"/>
      <c r="F6191" s="54"/>
      <c r="G6191" s="54"/>
      <c r="I6191" s="54"/>
      <c r="K6191" s="54"/>
      <c r="M6191" s="114"/>
      <c r="N6191" s="1"/>
      <c r="O6191" s="1"/>
      <c r="P6191" s="51"/>
    </row>
    <row r="6192">
      <c r="A6192" s="54"/>
      <c r="B6192" s="71"/>
      <c r="C6192" s="51"/>
      <c r="D6192" s="114"/>
      <c r="E6192" s="114"/>
      <c r="F6192" s="54"/>
      <c r="G6192" s="54"/>
      <c r="I6192" s="54"/>
      <c r="K6192" s="54"/>
      <c r="M6192" s="114"/>
      <c r="N6192" s="1"/>
      <c r="O6192" s="1"/>
      <c r="P6192" s="51"/>
    </row>
    <row r="6193">
      <c r="A6193" s="54"/>
      <c r="B6193" s="71"/>
      <c r="C6193" s="51"/>
      <c r="D6193" s="114"/>
      <c r="E6193" s="114"/>
      <c r="F6193" s="54"/>
      <c r="G6193" s="54"/>
      <c r="I6193" s="54"/>
      <c r="K6193" s="54"/>
      <c r="M6193" s="114"/>
      <c r="N6193" s="1"/>
      <c r="O6193" s="1"/>
      <c r="P6193" s="51"/>
    </row>
    <row r="6194">
      <c r="A6194" s="54"/>
      <c r="B6194" s="71"/>
      <c r="C6194" s="51"/>
      <c r="D6194" s="114"/>
      <c r="E6194" s="114"/>
      <c r="F6194" s="54"/>
      <c r="G6194" s="54"/>
      <c r="I6194" s="54"/>
      <c r="K6194" s="54"/>
      <c r="M6194" s="114"/>
      <c r="N6194" s="1"/>
      <c r="O6194" s="1"/>
      <c r="P6194" s="51"/>
    </row>
    <row r="6195">
      <c r="A6195" s="54"/>
      <c r="B6195" s="71"/>
      <c r="C6195" s="51"/>
      <c r="D6195" s="114"/>
      <c r="E6195" s="114"/>
      <c r="F6195" s="54"/>
      <c r="G6195" s="54"/>
      <c r="I6195" s="54"/>
      <c r="K6195" s="54"/>
      <c r="M6195" s="114"/>
      <c r="N6195" s="1"/>
      <c r="O6195" s="1"/>
      <c r="P6195" s="51"/>
    </row>
    <row r="6196">
      <c r="A6196" s="54"/>
      <c r="B6196" s="71"/>
      <c r="C6196" s="51"/>
      <c r="D6196" s="114"/>
      <c r="E6196" s="114"/>
      <c r="F6196" s="54"/>
      <c r="G6196" s="54"/>
      <c r="I6196" s="54"/>
      <c r="K6196" s="54"/>
      <c r="M6196" s="114"/>
      <c r="N6196" s="1"/>
      <c r="O6196" s="1"/>
      <c r="P6196" s="51"/>
    </row>
    <row r="6197">
      <c r="A6197" s="54"/>
      <c r="B6197" s="71"/>
      <c r="C6197" s="51"/>
      <c r="D6197" s="114"/>
      <c r="E6197" s="114"/>
      <c r="F6197" s="54"/>
      <c r="G6197" s="54"/>
      <c r="I6197" s="54"/>
      <c r="K6197" s="54"/>
      <c r="M6197" s="114"/>
      <c r="N6197" s="1"/>
      <c r="O6197" s="1"/>
      <c r="P6197" s="51"/>
    </row>
    <row r="6198">
      <c r="A6198" s="54"/>
      <c r="B6198" s="71"/>
      <c r="C6198" s="51"/>
      <c r="D6198" s="114"/>
      <c r="E6198" s="114"/>
      <c r="F6198" s="54"/>
      <c r="G6198" s="54"/>
      <c r="I6198" s="54"/>
      <c r="K6198" s="54"/>
      <c r="M6198" s="114"/>
      <c r="N6198" s="1"/>
      <c r="O6198" s="1"/>
      <c r="P6198" s="51"/>
    </row>
    <row r="6199">
      <c r="A6199" s="54"/>
      <c r="B6199" s="71"/>
      <c r="C6199" s="51"/>
      <c r="D6199" s="114"/>
      <c r="E6199" s="114"/>
      <c r="F6199" s="54"/>
      <c r="G6199" s="54"/>
      <c r="I6199" s="54"/>
      <c r="K6199" s="54"/>
      <c r="M6199" s="114"/>
      <c r="N6199" s="1"/>
      <c r="O6199" s="1"/>
      <c r="P6199" s="51"/>
    </row>
    <row r="6200">
      <c r="A6200" s="54"/>
      <c r="B6200" s="71"/>
      <c r="C6200" s="51"/>
      <c r="D6200" s="114"/>
      <c r="E6200" s="114"/>
      <c r="F6200" s="54"/>
      <c r="G6200" s="54"/>
      <c r="I6200" s="54"/>
      <c r="K6200" s="54"/>
      <c r="M6200" s="114"/>
      <c r="N6200" s="1"/>
      <c r="O6200" s="1"/>
      <c r="P6200" s="51"/>
    </row>
    <row r="6201">
      <c r="A6201" s="54"/>
      <c r="B6201" s="71"/>
      <c r="C6201" s="51"/>
      <c r="D6201" s="114"/>
      <c r="E6201" s="114"/>
      <c r="F6201" s="54"/>
      <c r="G6201" s="54"/>
      <c r="I6201" s="54"/>
      <c r="K6201" s="54"/>
      <c r="M6201" s="114"/>
      <c r="N6201" s="1"/>
      <c r="O6201" s="1"/>
      <c r="P6201" s="51"/>
    </row>
    <row r="6202">
      <c r="A6202" s="54"/>
      <c r="B6202" s="71"/>
      <c r="C6202" s="51"/>
      <c r="D6202" s="114"/>
      <c r="E6202" s="114"/>
      <c r="F6202" s="54"/>
      <c r="G6202" s="54"/>
      <c r="I6202" s="54"/>
      <c r="K6202" s="54"/>
      <c r="M6202" s="114"/>
      <c r="N6202" s="1"/>
      <c r="O6202" s="1"/>
      <c r="P6202" s="51"/>
    </row>
    <row r="6203">
      <c r="A6203" s="54"/>
      <c r="B6203" s="71"/>
      <c r="C6203" s="51"/>
      <c r="D6203" s="114"/>
      <c r="E6203" s="114"/>
      <c r="F6203" s="54"/>
      <c r="G6203" s="54"/>
      <c r="I6203" s="54"/>
      <c r="K6203" s="54"/>
      <c r="M6203" s="114"/>
      <c r="N6203" s="1"/>
      <c r="O6203" s="1"/>
      <c r="P6203" s="51"/>
    </row>
    <row r="6204">
      <c r="A6204" s="54"/>
      <c r="B6204" s="71"/>
      <c r="C6204" s="51"/>
      <c r="D6204" s="114"/>
      <c r="E6204" s="114"/>
      <c r="F6204" s="54"/>
      <c r="G6204" s="54"/>
      <c r="I6204" s="54"/>
      <c r="K6204" s="54"/>
      <c r="M6204" s="114"/>
      <c r="N6204" s="1"/>
      <c r="O6204" s="1"/>
      <c r="P6204" s="51"/>
    </row>
    <row r="6205">
      <c r="A6205" s="54"/>
      <c r="B6205" s="71"/>
      <c r="C6205" s="51"/>
      <c r="D6205" s="114"/>
      <c r="E6205" s="114"/>
      <c r="F6205" s="54"/>
      <c r="G6205" s="54"/>
      <c r="I6205" s="54"/>
      <c r="K6205" s="54"/>
      <c r="M6205" s="114"/>
      <c r="N6205" s="1"/>
      <c r="O6205" s="1"/>
      <c r="P6205" s="51"/>
    </row>
    <row r="6206">
      <c r="A6206" s="54"/>
      <c r="B6206" s="71"/>
      <c r="C6206" s="51"/>
      <c r="D6206" s="114"/>
      <c r="E6206" s="114"/>
      <c r="F6206" s="54"/>
      <c r="G6206" s="54"/>
      <c r="I6206" s="54"/>
      <c r="K6206" s="54"/>
      <c r="M6206" s="114"/>
      <c r="N6206" s="1"/>
      <c r="O6206" s="1"/>
      <c r="P6206" s="51"/>
    </row>
    <row r="6207">
      <c r="A6207" s="54"/>
      <c r="B6207" s="71"/>
      <c r="C6207" s="51"/>
      <c r="D6207" s="114"/>
      <c r="E6207" s="114"/>
      <c r="F6207" s="54"/>
      <c r="G6207" s="54"/>
      <c r="I6207" s="54"/>
      <c r="K6207" s="54"/>
      <c r="M6207" s="114"/>
      <c r="N6207" s="1"/>
      <c r="O6207" s="1"/>
      <c r="P6207" s="51"/>
    </row>
    <row r="6208">
      <c r="A6208" s="54"/>
      <c r="B6208" s="71"/>
      <c r="C6208" s="51"/>
      <c r="D6208" s="114"/>
      <c r="E6208" s="114"/>
      <c r="F6208" s="54"/>
      <c r="G6208" s="54"/>
      <c r="I6208" s="54"/>
      <c r="K6208" s="54"/>
      <c r="M6208" s="114"/>
      <c r="N6208" s="1"/>
      <c r="O6208" s="1"/>
      <c r="P6208" s="51"/>
    </row>
    <row r="6209">
      <c r="A6209" s="54"/>
      <c r="B6209" s="71"/>
      <c r="C6209" s="51"/>
      <c r="D6209" s="114"/>
      <c r="E6209" s="114"/>
      <c r="F6209" s="54"/>
      <c r="G6209" s="54"/>
      <c r="I6209" s="54"/>
      <c r="K6209" s="54"/>
      <c r="M6209" s="114"/>
      <c r="N6209" s="1"/>
      <c r="O6209" s="1"/>
      <c r="P6209" s="51"/>
    </row>
    <row r="6210">
      <c r="A6210" s="54"/>
      <c r="B6210" s="71"/>
      <c r="C6210" s="51"/>
      <c r="D6210" s="114"/>
      <c r="E6210" s="114"/>
      <c r="F6210" s="54"/>
      <c r="G6210" s="54"/>
      <c r="I6210" s="54"/>
      <c r="K6210" s="54"/>
      <c r="M6210" s="114"/>
      <c r="N6210" s="1"/>
      <c r="O6210" s="1"/>
      <c r="P6210" s="51"/>
    </row>
    <row r="6211">
      <c r="A6211" s="54"/>
      <c r="B6211" s="71"/>
      <c r="C6211" s="51"/>
      <c r="D6211" s="114"/>
      <c r="E6211" s="114"/>
      <c r="F6211" s="54"/>
      <c r="G6211" s="54"/>
      <c r="I6211" s="54"/>
      <c r="K6211" s="54"/>
      <c r="M6211" s="114"/>
      <c r="N6211" s="1"/>
      <c r="O6211" s="1"/>
      <c r="P6211" s="51"/>
    </row>
    <row r="6212">
      <c r="A6212" s="54"/>
      <c r="B6212" s="71"/>
      <c r="C6212" s="51"/>
      <c r="D6212" s="114"/>
      <c r="E6212" s="114"/>
      <c r="F6212" s="54"/>
      <c r="G6212" s="54"/>
      <c r="I6212" s="54"/>
      <c r="K6212" s="54"/>
      <c r="M6212" s="114"/>
      <c r="N6212" s="1"/>
      <c r="O6212" s="1"/>
      <c r="P6212" s="51"/>
    </row>
    <row r="6213">
      <c r="A6213" s="54"/>
      <c r="B6213" s="71"/>
      <c r="C6213" s="51"/>
      <c r="D6213" s="114"/>
      <c r="E6213" s="114"/>
      <c r="F6213" s="54"/>
      <c r="G6213" s="54"/>
      <c r="I6213" s="54"/>
      <c r="K6213" s="54"/>
      <c r="M6213" s="114"/>
      <c r="N6213" s="1"/>
      <c r="O6213" s="1"/>
      <c r="P6213" s="51"/>
    </row>
    <row r="6214">
      <c r="A6214" s="54"/>
      <c r="B6214" s="71"/>
      <c r="C6214" s="51"/>
      <c r="D6214" s="114"/>
      <c r="E6214" s="114"/>
      <c r="F6214" s="54"/>
      <c r="G6214" s="54"/>
      <c r="I6214" s="54"/>
      <c r="K6214" s="54"/>
      <c r="M6214" s="114"/>
      <c r="N6214" s="1"/>
      <c r="O6214" s="1"/>
      <c r="P6214" s="51"/>
    </row>
    <row r="6215">
      <c r="A6215" s="54"/>
      <c r="B6215" s="71"/>
      <c r="C6215" s="51"/>
      <c r="D6215" s="114"/>
      <c r="E6215" s="114"/>
      <c r="F6215" s="54"/>
      <c r="G6215" s="54"/>
      <c r="I6215" s="54"/>
      <c r="K6215" s="54"/>
      <c r="M6215" s="114"/>
      <c r="N6215" s="1"/>
      <c r="O6215" s="1"/>
      <c r="P6215" s="51"/>
    </row>
    <row r="6216">
      <c r="A6216" s="54"/>
      <c r="B6216" s="71"/>
      <c r="C6216" s="51"/>
      <c r="D6216" s="114"/>
      <c r="E6216" s="114"/>
      <c r="F6216" s="54"/>
      <c r="G6216" s="54"/>
      <c r="I6216" s="54"/>
      <c r="K6216" s="54"/>
      <c r="M6216" s="114"/>
      <c r="N6216" s="1"/>
      <c r="O6216" s="1"/>
      <c r="P6216" s="51"/>
    </row>
    <row r="6217">
      <c r="A6217" s="54"/>
      <c r="B6217" s="71"/>
      <c r="C6217" s="51"/>
      <c r="D6217" s="114"/>
      <c r="E6217" s="114"/>
      <c r="F6217" s="54"/>
      <c r="G6217" s="54"/>
      <c r="I6217" s="54"/>
      <c r="K6217" s="54"/>
      <c r="M6217" s="114"/>
      <c r="N6217" s="1"/>
      <c r="O6217" s="1"/>
      <c r="P6217" s="51"/>
    </row>
    <row r="6218">
      <c r="A6218" s="54"/>
      <c r="B6218" s="71"/>
      <c r="C6218" s="51"/>
      <c r="D6218" s="114"/>
      <c r="E6218" s="114"/>
      <c r="F6218" s="54"/>
      <c r="G6218" s="54"/>
      <c r="I6218" s="54"/>
      <c r="K6218" s="54"/>
      <c r="M6218" s="114"/>
      <c r="N6218" s="1"/>
      <c r="O6218" s="1"/>
      <c r="P6218" s="51"/>
    </row>
    <row r="6219">
      <c r="A6219" s="54"/>
      <c r="B6219" s="71"/>
      <c r="C6219" s="51"/>
      <c r="D6219" s="114"/>
      <c r="E6219" s="114"/>
      <c r="F6219" s="54"/>
      <c r="G6219" s="54"/>
      <c r="I6219" s="54"/>
      <c r="K6219" s="54"/>
      <c r="M6219" s="114"/>
      <c r="N6219" s="1"/>
      <c r="O6219" s="1"/>
      <c r="P6219" s="51"/>
    </row>
    <row r="6220">
      <c r="A6220" s="54"/>
      <c r="B6220" s="71"/>
      <c r="C6220" s="51"/>
      <c r="D6220" s="114"/>
      <c r="E6220" s="114"/>
      <c r="F6220" s="54"/>
      <c r="G6220" s="54"/>
      <c r="I6220" s="54"/>
      <c r="K6220" s="54"/>
      <c r="M6220" s="114"/>
      <c r="N6220" s="1"/>
      <c r="O6220" s="1"/>
      <c r="P6220" s="51"/>
    </row>
    <row r="6221">
      <c r="A6221" s="54"/>
      <c r="B6221" s="71"/>
      <c r="C6221" s="51"/>
      <c r="D6221" s="114"/>
      <c r="E6221" s="114"/>
      <c r="F6221" s="54"/>
      <c r="G6221" s="54"/>
      <c r="I6221" s="54"/>
      <c r="K6221" s="54"/>
      <c r="M6221" s="114"/>
      <c r="N6221" s="1"/>
      <c r="O6221" s="1"/>
      <c r="P6221" s="51"/>
    </row>
    <row r="6222">
      <c r="A6222" s="54"/>
      <c r="B6222" s="71"/>
      <c r="C6222" s="51"/>
      <c r="D6222" s="114"/>
      <c r="E6222" s="114"/>
      <c r="F6222" s="54"/>
      <c r="G6222" s="54"/>
      <c r="I6222" s="54"/>
      <c r="K6222" s="54"/>
      <c r="M6222" s="114"/>
      <c r="N6222" s="1"/>
      <c r="O6222" s="1"/>
      <c r="P6222" s="51"/>
    </row>
    <row r="6223">
      <c r="A6223" s="54"/>
      <c r="B6223" s="71"/>
      <c r="C6223" s="51"/>
      <c r="D6223" s="114"/>
      <c r="E6223" s="114"/>
      <c r="F6223" s="54"/>
      <c r="G6223" s="54"/>
      <c r="I6223" s="54"/>
      <c r="K6223" s="54"/>
      <c r="M6223" s="114"/>
      <c r="N6223" s="1"/>
      <c r="O6223" s="1"/>
      <c r="P6223" s="51"/>
    </row>
    <row r="6224">
      <c r="A6224" s="54"/>
      <c r="B6224" s="71"/>
      <c r="C6224" s="51"/>
      <c r="D6224" s="114"/>
      <c r="E6224" s="114"/>
      <c r="F6224" s="54"/>
      <c r="G6224" s="54"/>
      <c r="I6224" s="54"/>
      <c r="K6224" s="54"/>
      <c r="M6224" s="114"/>
      <c r="N6224" s="1"/>
      <c r="O6224" s="1"/>
      <c r="P6224" s="51"/>
    </row>
    <row r="6225">
      <c r="A6225" s="54"/>
      <c r="B6225" s="71"/>
      <c r="C6225" s="51"/>
      <c r="D6225" s="114"/>
      <c r="E6225" s="114"/>
      <c r="F6225" s="54"/>
      <c r="G6225" s="54"/>
      <c r="I6225" s="54"/>
      <c r="K6225" s="54"/>
      <c r="M6225" s="114"/>
      <c r="N6225" s="1"/>
      <c r="O6225" s="1"/>
      <c r="P6225" s="51"/>
    </row>
    <row r="6226">
      <c r="A6226" s="54"/>
      <c r="B6226" s="71"/>
      <c r="C6226" s="51"/>
      <c r="D6226" s="114"/>
      <c r="E6226" s="114"/>
      <c r="F6226" s="54"/>
      <c r="G6226" s="54"/>
      <c r="I6226" s="54"/>
      <c r="K6226" s="54"/>
      <c r="M6226" s="114"/>
      <c r="N6226" s="1"/>
      <c r="O6226" s="1"/>
      <c r="P6226" s="51"/>
    </row>
    <row r="6227">
      <c r="A6227" s="54"/>
      <c r="B6227" s="71"/>
      <c r="C6227" s="51"/>
      <c r="D6227" s="114"/>
      <c r="E6227" s="114"/>
      <c r="F6227" s="54"/>
      <c r="G6227" s="54"/>
      <c r="I6227" s="54"/>
      <c r="K6227" s="54"/>
      <c r="M6227" s="114"/>
      <c r="N6227" s="1"/>
      <c r="O6227" s="1"/>
      <c r="P6227" s="51"/>
    </row>
    <row r="6228">
      <c r="A6228" s="54"/>
      <c r="B6228" s="71"/>
      <c r="C6228" s="51"/>
      <c r="D6228" s="114"/>
      <c r="E6228" s="114"/>
      <c r="F6228" s="54"/>
      <c r="G6228" s="54"/>
      <c r="I6228" s="54"/>
      <c r="K6228" s="54"/>
      <c r="M6228" s="114"/>
      <c r="N6228" s="1"/>
      <c r="O6228" s="1"/>
      <c r="P6228" s="51"/>
    </row>
    <row r="6229">
      <c r="A6229" s="54"/>
      <c r="B6229" s="71"/>
      <c r="C6229" s="51"/>
      <c r="D6229" s="114"/>
      <c r="E6229" s="114"/>
      <c r="F6229" s="54"/>
      <c r="G6229" s="54"/>
      <c r="I6229" s="54"/>
      <c r="K6229" s="54"/>
      <c r="M6229" s="114"/>
      <c r="N6229" s="1"/>
      <c r="O6229" s="1"/>
      <c r="P6229" s="51"/>
    </row>
    <row r="6230">
      <c r="A6230" s="54"/>
      <c r="B6230" s="71"/>
      <c r="C6230" s="51"/>
      <c r="D6230" s="114"/>
      <c r="E6230" s="114"/>
      <c r="F6230" s="54"/>
      <c r="G6230" s="54"/>
      <c r="I6230" s="54"/>
      <c r="K6230" s="54"/>
      <c r="M6230" s="114"/>
      <c r="N6230" s="1"/>
      <c r="O6230" s="1"/>
      <c r="P6230" s="51"/>
    </row>
    <row r="6231">
      <c r="A6231" s="54"/>
      <c r="B6231" s="71"/>
      <c r="C6231" s="51"/>
      <c r="D6231" s="114"/>
      <c r="E6231" s="114"/>
      <c r="F6231" s="54"/>
      <c r="G6231" s="54"/>
      <c r="I6231" s="54"/>
      <c r="K6231" s="54"/>
      <c r="M6231" s="114"/>
      <c r="N6231" s="1"/>
      <c r="O6231" s="1"/>
      <c r="P6231" s="51"/>
    </row>
    <row r="6232">
      <c r="A6232" s="54"/>
      <c r="B6232" s="71"/>
      <c r="C6232" s="51"/>
      <c r="D6232" s="114"/>
      <c r="E6232" s="114"/>
      <c r="F6232" s="54"/>
      <c r="G6232" s="54"/>
      <c r="I6232" s="54"/>
      <c r="K6232" s="54"/>
      <c r="M6232" s="114"/>
      <c r="N6232" s="1"/>
      <c r="O6232" s="1"/>
      <c r="P6232" s="51"/>
    </row>
    <row r="6233">
      <c r="A6233" s="54"/>
      <c r="B6233" s="71"/>
      <c r="C6233" s="51"/>
      <c r="D6233" s="114"/>
      <c r="E6233" s="114"/>
      <c r="F6233" s="54"/>
      <c r="G6233" s="54"/>
      <c r="I6233" s="54"/>
      <c r="K6233" s="54"/>
      <c r="M6233" s="114"/>
      <c r="N6233" s="1"/>
      <c r="O6233" s="1"/>
      <c r="P6233" s="51"/>
    </row>
    <row r="6234">
      <c r="A6234" s="54"/>
      <c r="B6234" s="71"/>
      <c r="C6234" s="51"/>
      <c r="D6234" s="114"/>
      <c r="E6234" s="114"/>
      <c r="F6234" s="54"/>
      <c r="G6234" s="54"/>
      <c r="I6234" s="54"/>
      <c r="K6234" s="54"/>
      <c r="M6234" s="114"/>
      <c r="N6234" s="1"/>
      <c r="O6234" s="1"/>
      <c r="P6234" s="51"/>
    </row>
    <row r="6235">
      <c r="A6235" s="54"/>
      <c r="B6235" s="71"/>
      <c r="C6235" s="51"/>
      <c r="D6235" s="114"/>
      <c r="E6235" s="114"/>
      <c r="F6235" s="54"/>
      <c r="G6235" s="54"/>
      <c r="I6235" s="54"/>
      <c r="K6235" s="54"/>
      <c r="M6235" s="114"/>
      <c r="N6235" s="1"/>
      <c r="O6235" s="1"/>
      <c r="P6235" s="51"/>
    </row>
    <row r="6236">
      <c r="A6236" s="54"/>
      <c r="B6236" s="71"/>
      <c r="C6236" s="51"/>
      <c r="D6236" s="114"/>
      <c r="E6236" s="114"/>
      <c r="F6236" s="54"/>
      <c r="G6236" s="54"/>
      <c r="I6236" s="54"/>
      <c r="K6236" s="54"/>
      <c r="M6236" s="114"/>
      <c r="N6236" s="1"/>
      <c r="O6236" s="1"/>
      <c r="P6236" s="51"/>
    </row>
    <row r="6237">
      <c r="A6237" s="54"/>
      <c r="B6237" s="71"/>
      <c r="C6237" s="51"/>
      <c r="D6237" s="114"/>
      <c r="E6237" s="114"/>
      <c r="F6237" s="54"/>
      <c r="G6237" s="54"/>
      <c r="I6237" s="54"/>
      <c r="K6237" s="54"/>
      <c r="M6237" s="114"/>
      <c r="N6237" s="1"/>
      <c r="O6237" s="1"/>
      <c r="P6237" s="51"/>
    </row>
    <row r="6238">
      <c r="A6238" s="54"/>
      <c r="B6238" s="71"/>
      <c r="C6238" s="51"/>
      <c r="D6238" s="114"/>
      <c r="E6238" s="114"/>
      <c r="F6238" s="54"/>
      <c r="G6238" s="54"/>
      <c r="I6238" s="54"/>
      <c r="K6238" s="54"/>
      <c r="M6238" s="114"/>
      <c r="N6238" s="1"/>
      <c r="O6238" s="1"/>
      <c r="P6238" s="51"/>
    </row>
    <row r="6239">
      <c r="A6239" s="54"/>
      <c r="B6239" s="71"/>
      <c r="C6239" s="51"/>
      <c r="D6239" s="114"/>
      <c r="E6239" s="114"/>
      <c r="F6239" s="54"/>
      <c r="G6239" s="54"/>
      <c r="I6239" s="54"/>
      <c r="K6239" s="54"/>
      <c r="M6239" s="114"/>
      <c r="N6239" s="1"/>
      <c r="O6239" s="1"/>
      <c r="P6239" s="51"/>
    </row>
    <row r="6240">
      <c r="A6240" s="54"/>
      <c r="B6240" s="71"/>
      <c r="C6240" s="51"/>
      <c r="D6240" s="114"/>
      <c r="E6240" s="114"/>
      <c r="F6240" s="54"/>
      <c r="G6240" s="54"/>
      <c r="I6240" s="54"/>
      <c r="K6240" s="54"/>
      <c r="M6240" s="114"/>
      <c r="N6240" s="1"/>
      <c r="O6240" s="1"/>
      <c r="P6240" s="51"/>
    </row>
    <row r="6241">
      <c r="A6241" s="54"/>
      <c r="B6241" s="71"/>
      <c r="C6241" s="51"/>
      <c r="D6241" s="114"/>
      <c r="E6241" s="114"/>
      <c r="F6241" s="54"/>
      <c r="G6241" s="54"/>
      <c r="I6241" s="54"/>
      <c r="K6241" s="54"/>
      <c r="M6241" s="114"/>
      <c r="N6241" s="1"/>
      <c r="O6241" s="1"/>
      <c r="P6241" s="51"/>
    </row>
    <row r="6242">
      <c r="A6242" s="54"/>
      <c r="B6242" s="71"/>
      <c r="C6242" s="51"/>
      <c r="D6242" s="114"/>
      <c r="E6242" s="114"/>
      <c r="F6242" s="54"/>
      <c r="G6242" s="54"/>
      <c r="I6242" s="54"/>
      <c r="K6242" s="54"/>
      <c r="M6242" s="114"/>
      <c r="N6242" s="1"/>
      <c r="O6242" s="1"/>
      <c r="P6242" s="51"/>
    </row>
    <row r="6243">
      <c r="A6243" s="54"/>
      <c r="B6243" s="71"/>
      <c r="C6243" s="51"/>
      <c r="D6243" s="114"/>
      <c r="E6243" s="114"/>
      <c r="F6243" s="54"/>
      <c r="G6243" s="54"/>
      <c r="I6243" s="54"/>
      <c r="K6243" s="54"/>
      <c r="M6243" s="114"/>
      <c r="N6243" s="1"/>
      <c r="O6243" s="1"/>
      <c r="P6243" s="51"/>
    </row>
    <row r="6244">
      <c r="A6244" s="54"/>
      <c r="B6244" s="71"/>
      <c r="C6244" s="51"/>
      <c r="D6244" s="114"/>
      <c r="E6244" s="114"/>
      <c r="F6244" s="54"/>
      <c r="G6244" s="54"/>
      <c r="I6244" s="54"/>
      <c r="K6244" s="54"/>
      <c r="M6244" s="114"/>
      <c r="N6244" s="1"/>
      <c r="O6244" s="1"/>
      <c r="P6244" s="51"/>
    </row>
    <row r="6245">
      <c r="A6245" s="54"/>
      <c r="B6245" s="71"/>
      <c r="C6245" s="51"/>
      <c r="D6245" s="114"/>
      <c r="E6245" s="114"/>
      <c r="F6245" s="54"/>
      <c r="G6245" s="54"/>
      <c r="I6245" s="54"/>
      <c r="K6245" s="54"/>
      <c r="M6245" s="114"/>
      <c r="N6245" s="1"/>
      <c r="O6245" s="1"/>
      <c r="P6245" s="51"/>
    </row>
    <row r="6246">
      <c r="A6246" s="54"/>
      <c r="B6246" s="71"/>
      <c r="C6246" s="51"/>
      <c r="D6246" s="114"/>
      <c r="E6246" s="114"/>
      <c r="F6246" s="54"/>
      <c r="G6246" s="54"/>
      <c r="I6246" s="54"/>
      <c r="K6246" s="54"/>
      <c r="M6246" s="114"/>
      <c r="N6246" s="1"/>
      <c r="O6246" s="1"/>
      <c r="P6246" s="51"/>
    </row>
    <row r="6247">
      <c r="A6247" s="54"/>
      <c r="B6247" s="71"/>
      <c r="C6247" s="51"/>
      <c r="D6247" s="114"/>
      <c r="E6247" s="114"/>
      <c r="F6247" s="54"/>
      <c r="G6247" s="54"/>
      <c r="I6247" s="54"/>
      <c r="K6247" s="54"/>
      <c r="M6247" s="114"/>
      <c r="N6247" s="1"/>
      <c r="O6247" s="1"/>
      <c r="P6247" s="51"/>
    </row>
    <row r="6248">
      <c r="A6248" s="54"/>
      <c r="B6248" s="71"/>
      <c r="C6248" s="51"/>
      <c r="D6248" s="114"/>
      <c r="E6248" s="114"/>
      <c r="F6248" s="54"/>
      <c r="G6248" s="54"/>
      <c r="I6248" s="54"/>
      <c r="K6248" s="54"/>
      <c r="M6248" s="114"/>
      <c r="N6248" s="1"/>
      <c r="O6248" s="1"/>
      <c r="P6248" s="51"/>
    </row>
    <row r="6249">
      <c r="A6249" s="54"/>
      <c r="B6249" s="71"/>
      <c r="C6249" s="51"/>
      <c r="D6249" s="114"/>
      <c r="E6249" s="114"/>
      <c r="F6249" s="54"/>
      <c r="G6249" s="54"/>
      <c r="I6249" s="54"/>
      <c r="K6249" s="54"/>
      <c r="M6249" s="114"/>
      <c r="N6249" s="1"/>
      <c r="O6249" s="1"/>
      <c r="P6249" s="51"/>
    </row>
    <row r="6250">
      <c r="A6250" s="54"/>
      <c r="B6250" s="71"/>
      <c r="C6250" s="51"/>
      <c r="D6250" s="114"/>
      <c r="E6250" s="114"/>
      <c r="F6250" s="54"/>
      <c r="G6250" s="54"/>
      <c r="I6250" s="54"/>
      <c r="K6250" s="54"/>
      <c r="M6250" s="114"/>
      <c r="N6250" s="1"/>
      <c r="O6250" s="1"/>
      <c r="P6250" s="51"/>
    </row>
    <row r="6251">
      <c r="A6251" s="54"/>
      <c r="B6251" s="71"/>
      <c r="C6251" s="51"/>
      <c r="D6251" s="114"/>
      <c r="E6251" s="114"/>
      <c r="F6251" s="54"/>
      <c r="G6251" s="54"/>
      <c r="I6251" s="54"/>
      <c r="K6251" s="54"/>
      <c r="M6251" s="114"/>
      <c r="N6251" s="1"/>
      <c r="O6251" s="1"/>
      <c r="P6251" s="51"/>
    </row>
    <row r="6252">
      <c r="A6252" s="54"/>
      <c r="B6252" s="71"/>
      <c r="C6252" s="51"/>
      <c r="D6252" s="114"/>
      <c r="E6252" s="114"/>
      <c r="F6252" s="54"/>
      <c r="G6252" s="54"/>
      <c r="I6252" s="54"/>
      <c r="K6252" s="54"/>
      <c r="M6252" s="114"/>
      <c r="N6252" s="1"/>
      <c r="O6252" s="1"/>
      <c r="P6252" s="51"/>
    </row>
    <row r="6253">
      <c r="A6253" s="54"/>
      <c r="B6253" s="71"/>
      <c r="C6253" s="51"/>
      <c r="D6253" s="114"/>
      <c r="E6253" s="114"/>
      <c r="F6253" s="54"/>
      <c r="G6253" s="54"/>
      <c r="I6253" s="54"/>
      <c r="K6253" s="54"/>
      <c r="M6253" s="114"/>
      <c r="N6253" s="1"/>
      <c r="O6253" s="1"/>
      <c r="P6253" s="51"/>
    </row>
    <row r="6254">
      <c r="A6254" s="54"/>
      <c r="B6254" s="71"/>
      <c r="C6254" s="51"/>
      <c r="D6254" s="114"/>
      <c r="E6254" s="114"/>
      <c r="F6254" s="54"/>
      <c r="G6254" s="54"/>
      <c r="I6254" s="54"/>
      <c r="K6254" s="54"/>
      <c r="M6254" s="114"/>
      <c r="N6254" s="1"/>
      <c r="O6254" s="1"/>
      <c r="P6254" s="51"/>
    </row>
    <row r="6255">
      <c r="A6255" s="54"/>
      <c r="B6255" s="71"/>
      <c r="C6255" s="51"/>
      <c r="D6255" s="114"/>
      <c r="E6255" s="114"/>
      <c r="F6255" s="54"/>
      <c r="G6255" s="54"/>
      <c r="I6255" s="54"/>
      <c r="K6255" s="54"/>
      <c r="M6255" s="114"/>
      <c r="N6255" s="1"/>
      <c r="O6255" s="1"/>
      <c r="P6255" s="51"/>
    </row>
    <row r="6256">
      <c r="A6256" s="54"/>
      <c r="B6256" s="71"/>
      <c r="C6256" s="51"/>
      <c r="D6256" s="114"/>
      <c r="E6256" s="114"/>
      <c r="F6256" s="54"/>
      <c r="G6256" s="54"/>
      <c r="I6256" s="54"/>
      <c r="K6256" s="54"/>
      <c r="M6256" s="114"/>
      <c r="N6256" s="1"/>
      <c r="O6256" s="1"/>
      <c r="P6256" s="51"/>
    </row>
    <row r="6257">
      <c r="A6257" s="54"/>
      <c r="B6257" s="71"/>
      <c r="C6257" s="51"/>
      <c r="D6257" s="114"/>
      <c r="E6257" s="114"/>
      <c r="F6257" s="54"/>
      <c r="G6257" s="54"/>
      <c r="I6257" s="54"/>
      <c r="K6257" s="54"/>
      <c r="M6257" s="114"/>
      <c r="N6257" s="1"/>
      <c r="O6257" s="1"/>
      <c r="P6257" s="51"/>
    </row>
    <row r="6258">
      <c r="A6258" s="54"/>
      <c r="B6258" s="71"/>
      <c r="C6258" s="51"/>
      <c r="D6258" s="114"/>
      <c r="E6258" s="114"/>
      <c r="F6258" s="54"/>
      <c r="G6258" s="54"/>
      <c r="I6258" s="54"/>
      <c r="K6258" s="54"/>
      <c r="M6258" s="114"/>
      <c r="N6258" s="1"/>
      <c r="O6258" s="1"/>
      <c r="P6258" s="51"/>
    </row>
    <row r="6259">
      <c r="A6259" s="54"/>
      <c r="B6259" s="71"/>
      <c r="C6259" s="51"/>
      <c r="D6259" s="114"/>
      <c r="E6259" s="114"/>
      <c r="F6259" s="54"/>
      <c r="G6259" s="54"/>
      <c r="I6259" s="54"/>
      <c r="K6259" s="54"/>
      <c r="M6259" s="114"/>
      <c r="N6259" s="1"/>
      <c r="O6259" s="1"/>
      <c r="P6259" s="51"/>
    </row>
    <row r="6260">
      <c r="A6260" s="54"/>
      <c r="B6260" s="71"/>
      <c r="C6260" s="51"/>
      <c r="D6260" s="114"/>
      <c r="E6260" s="114"/>
      <c r="F6260" s="54"/>
      <c r="G6260" s="54"/>
      <c r="I6260" s="54"/>
      <c r="K6260" s="54"/>
      <c r="M6260" s="114"/>
      <c r="N6260" s="1"/>
      <c r="O6260" s="1"/>
      <c r="P6260" s="51"/>
    </row>
    <row r="6261">
      <c r="A6261" s="54"/>
      <c r="B6261" s="71"/>
      <c r="C6261" s="51"/>
      <c r="D6261" s="114"/>
      <c r="E6261" s="114"/>
      <c r="F6261" s="54"/>
      <c r="G6261" s="54"/>
      <c r="I6261" s="54"/>
      <c r="K6261" s="54"/>
      <c r="M6261" s="114"/>
      <c r="N6261" s="1"/>
      <c r="O6261" s="1"/>
      <c r="P6261" s="51"/>
    </row>
    <row r="6262">
      <c r="A6262" s="54"/>
      <c r="B6262" s="71"/>
      <c r="C6262" s="51"/>
      <c r="D6262" s="114"/>
      <c r="E6262" s="114"/>
      <c r="F6262" s="54"/>
      <c r="G6262" s="54"/>
      <c r="I6262" s="54"/>
      <c r="K6262" s="54"/>
      <c r="M6262" s="114"/>
      <c r="N6262" s="1"/>
      <c r="O6262" s="1"/>
      <c r="P6262" s="51"/>
    </row>
    <row r="6263">
      <c r="A6263" s="54"/>
      <c r="B6263" s="71"/>
      <c r="C6263" s="51"/>
      <c r="D6263" s="114"/>
      <c r="E6263" s="114"/>
      <c r="F6263" s="54"/>
      <c r="G6263" s="54"/>
      <c r="I6263" s="54"/>
      <c r="K6263" s="54"/>
      <c r="M6263" s="114"/>
      <c r="N6263" s="1"/>
      <c r="O6263" s="1"/>
      <c r="P6263" s="51"/>
    </row>
    <row r="6264">
      <c r="A6264" s="54"/>
      <c r="B6264" s="71"/>
      <c r="C6264" s="51"/>
      <c r="D6264" s="114"/>
      <c r="E6264" s="114"/>
      <c r="F6264" s="54"/>
      <c r="G6264" s="54"/>
      <c r="I6264" s="54"/>
      <c r="K6264" s="54"/>
      <c r="M6264" s="114"/>
      <c r="N6264" s="1"/>
      <c r="O6264" s="1"/>
      <c r="P6264" s="51"/>
    </row>
    <row r="6265">
      <c r="A6265" s="54"/>
      <c r="B6265" s="71"/>
      <c r="C6265" s="51"/>
      <c r="D6265" s="114"/>
      <c r="E6265" s="114"/>
      <c r="F6265" s="54"/>
      <c r="G6265" s="54"/>
      <c r="I6265" s="54"/>
      <c r="K6265" s="54"/>
      <c r="M6265" s="114"/>
      <c r="N6265" s="1"/>
      <c r="O6265" s="1"/>
      <c r="P6265" s="51"/>
    </row>
    <row r="6266">
      <c r="A6266" s="54"/>
      <c r="B6266" s="71"/>
      <c r="C6266" s="51"/>
      <c r="D6266" s="114"/>
      <c r="E6266" s="114"/>
      <c r="F6266" s="54"/>
      <c r="G6266" s="54"/>
      <c r="I6266" s="54"/>
      <c r="K6266" s="54"/>
      <c r="M6266" s="114"/>
      <c r="N6266" s="1"/>
      <c r="O6266" s="1"/>
      <c r="P6266" s="51"/>
    </row>
    <row r="6267">
      <c r="A6267" s="54"/>
      <c r="B6267" s="71"/>
      <c r="C6267" s="51"/>
      <c r="D6267" s="114"/>
      <c r="E6267" s="114"/>
      <c r="F6267" s="54"/>
      <c r="G6267" s="54"/>
      <c r="I6267" s="54"/>
      <c r="K6267" s="54"/>
      <c r="M6267" s="114"/>
      <c r="N6267" s="1"/>
      <c r="O6267" s="1"/>
      <c r="P6267" s="51"/>
    </row>
    <row r="6268">
      <c r="A6268" s="54"/>
      <c r="B6268" s="71"/>
      <c r="C6268" s="51"/>
      <c r="D6268" s="114"/>
      <c r="E6268" s="114"/>
      <c r="F6268" s="54"/>
      <c r="G6268" s="54"/>
      <c r="I6268" s="54"/>
      <c r="K6268" s="54"/>
      <c r="M6268" s="114"/>
      <c r="N6268" s="1"/>
      <c r="O6268" s="1"/>
      <c r="P6268" s="51"/>
    </row>
    <row r="6269">
      <c r="A6269" s="54"/>
      <c r="B6269" s="71"/>
      <c r="C6269" s="51"/>
      <c r="D6269" s="114"/>
      <c r="E6269" s="114"/>
      <c r="F6269" s="54"/>
      <c r="G6269" s="54"/>
      <c r="I6269" s="54"/>
      <c r="K6269" s="54"/>
      <c r="M6269" s="114"/>
      <c r="N6269" s="1"/>
      <c r="O6269" s="1"/>
      <c r="P6269" s="51"/>
    </row>
    <row r="6270">
      <c r="A6270" s="54"/>
      <c r="B6270" s="71"/>
      <c r="C6270" s="51"/>
      <c r="D6270" s="114"/>
      <c r="E6270" s="114"/>
      <c r="F6270" s="54"/>
      <c r="G6270" s="54"/>
      <c r="I6270" s="54"/>
      <c r="K6270" s="54"/>
      <c r="M6270" s="114"/>
      <c r="N6270" s="1"/>
      <c r="O6270" s="1"/>
      <c r="P6270" s="51"/>
    </row>
    <row r="6271">
      <c r="A6271" s="54"/>
      <c r="B6271" s="71"/>
      <c r="C6271" s="51"/>
      <c r="D6271" s="114"/>
      <c r="E6271" s="114"/>
      <c r="F6271" s="54"/>
      <c r="G6271" s="54"/>
      <c r="I6271" s="54"/>
      <c r="K6271" s="54"/>
      <c r="M6271" s="114"/>
      <c r="N6271" s="1"/>
      <c r="O6271" s="1"/>
      <c r="P6271" s="51"/>
    </row>
    <row r="6272">
      <c r="A6272" s="54"/>
      <c r="B6272" s="71"/>
      <c r="C6272" s="51"/>
      <c r="D6272" s="114"/>
      <c r="E6272" s="114"/>
      <c r="F6272" s="54"/>
      <c r="G6272" s="54"/>
      <c r="I6272" s="54"/>
      <c r="K6272" s="54"/>
      <c r="M6272" s="114"/>
      <c r="N6272" s="1"/>
      <c r="O6272" s="1"/>
      <c r="P6272" s="51"/>
    </row>
    <row r="6273">
      <c r="A6273" s="54"/>
      <c r="B6273" s="71"/>
      <c r="C6273" s="51"/>
      <c r="D6273" s="114"/>
      <c r="E6273" s="114"/>
      <c r="F6273" s="54"/>
      <c r="G6273" s="54"/>
      <c r="I6273" s="54"/>
      <c r="K6273" s="54"/>
      <c r="M6273" s="114"/>
      <c r="N6273" s="1"/>
      <c r="O6273" s="1"/>
      <c r="P6273" s="51"/>
    </row>
    <row r="6274">
      <c r="A6274" s="54"/>
      <c r="B6274" s="71"/>
      <c r="C6274" s="51"/>
      <c r="D6274" s="114"/>
      <c r="E6274" s="114"/>
      <c r="F6274" s="54"/>
      <c r="G6274" s="54"/>
      <c r="I6274" s="54"/>
      <c r="K6274" s="54"/>
      <c r="M6274" s="114"/>
      <c r="N6274" s="1"/>
      <c r="O6274" s="1"/>
      <c r="P6274" s="51"/>
    </row>
    <row r="6275">
      <c r="A6275" s="54"/>
      <c r="B6275" s="71"/>
      <c r="C6275" s="51"/>
      <c r="D6275" s="114"/>
      <c r="E6275" s="114"/>
      <c r="F6275" s="54"/>
      <c r="G6275" s="54"/>
      <c r="I6275" s="54"/>
      <c r="K6275" s="54"/>
      <c r="M6275" s="114"/>
      <c r="N6275" s="1"/>
      <c r="O6275" s="1"/>
      <c r="P6275" s="51"/>
    </row>
    <row r="6276">
      <c r="A6276" s="54"/>
      <c r="B6276" s="71"/>
      <c r="C6276" s="51"/>
      <c r="D6276" s="114"/>
      <c r="E6276" s="114"/>
      <c r="F6276" s="54"/>
      <c r="G6276" s="54"/>
      <c r="I6276" s="54"/>
      <c r="K6276" s="54"/>
      <c r="M6276" s="114"/>
      <c r="N6276" s="1"/>
      <c r="O6276" s="1"/>
      <c r="P6276" s="51"/>
    </row>
    <row r="6277">
      <c r="A6277" s="54"/>
      <c r="B6277" s="71"/>
      <c r="C6277" s="51"/>
      <c r="D6277" s="114"/>
      <c r="E6277" s="114"/>
      <c r="F6277" s="54"/>
      <c r="G6277" s="54"/>
      <c r="I6277" s="54"/>
      <c r="K6277" s="54"/>
      <c r="M6277" s="114"/>
      <c r="N6277" s="1"/>
      <c r="O6277" s="1"/>
      <c r="P6277" s="51"/>
    </row>
    <row r="6278">
      <c r="A6278" s="54"/>
      <c r="B6278" s="71"/>
      <c r="C6278" s="51"/>
      <c r="D6278" s="114"/>
      <c r="E6278" s="114"/>
      <c r="F6278" s="54"/>
      <c r="G6278" s="54"/>
      <c r="I6278" s="54"/>
      <c r="K6278" s="54"/>
      <c r="M6278" s="114"/>
      <c r="N6278" s="1"/>
      <c r="O6278" s="1"/>
      <c r="P6278" s="51"/>
    </row>
    <row r="6279">
      <c r="A6279" s="54"/>
      <c r="B6279" s="71"/>
      <c r="C6279" s="51"/>
      <c r="D6279" s="114"/>
      <c r="E6279" s="114"/>
      <c r="F6279" s="54"/>
      <c r="G6279" s="54"/>
      <c r="I6279" s="54"/>
      <c r="K6279" s="54"/>
      <c r="M6279" s="114"/>
      <c r="N6279" s="1"/>
      <c r="O6279" s="1"/>
      <c r="P6279" s="51"/>
    </row>
    <row r="6280">
      <c r="A6280" s="54"/>
      <c r="B6280" s="71"/>
      <c r="C6280" s="51"/>
      <c r="D6280" s="114"/>
      <c r="E6280" s="114"/>
      <c r="F6280" s="54"/>
      <c r="G6280" s="54"/>
      <c r="I6280" s="54"/>
      <c r="K6280" s="54"/>
      <c r="M6280" s="114"/>
      <c r="N6280" s="1"/>
      <c r="O6280" s="1"/>
      <c r="P6280" s="51"/>
    </row>
    <row r="6281">
      <c r="A6281" s="54"/>
      <c r="B6281" s="71"/>
      <c r="C6281" s="51"/>
      <c r="D6281" s="114"/>
      <c r="E6281" s="114"/>
      <c r="F6281" s="54"/>
      <c r="G6281" s="54"/>
      <c r="I6281" s="54"/>
      <c r="K6281" s="54"/>
      <c r="M6281" s="114"/>
      <c r="N6281" s="1"/>
      <c r="O6281" s="1"/>
      <c r="P6281" s="51"/>
    </row>
    <row r="6282">
      <c r="A6282" s="54"/>
      <c r="B6282" s="71"/>
      <c r="C6282" s="51"/>
      <c r="D6282" s="114"/>
      <c r="E6282" s="114"/>
      <c r="F6282" s="54"/>
      <c r="G6282" s="54"/>
      <c r="I6282" s="54"/>
      <c r="K6282" s="54"/>
      <c r="M6282" s="114"/>
      <c r="N6282" s="1"/>
      <c r="O6282" s="1"/>
      <c r="P6282" s="51"/>
    </row>
    <row r="6283">
      <c r="A6283" s="54"/>
      <c r="B6283" s="71"/>
      <c r="C6283" s="51"/>
      <c r="D6283" s="114"/>
      <c r="E6283" s="114"/>
      <c r="F6283" s="54"/>
      <c r="G6283" s="54"/>
      <c r="I6283" s="54"/>
      <c r="K6283" s="54"/>
      <c r="M6283" s="114"/>
      <c r="N6283" s="1"/>
      <c r="O6283" s="1"/>
      <c r="P6283" s="51"/>
    </row>
    <row r="6284">
      <c r="A6284" s="54"/>
      <c r="B6284" s="71"/>
      <c r="C6284" s="51"/>
      <c r="D6284" s="114"/>
      <c r="E6284" s="114"/>
      <c r="F6284" s="54"/>
      <c r="G6284" s="54"/>
      <c r="I6284" s="54"/>
      <c r="K6284" s="54"/>
      <c r="M6284" s="114"/>
      <c r="N6284" s="1"/>
      <c r="O6284" s="1"/>
      <c r="P6284" s="51"/>
    </row>
    <row r="6285">
      <c r="A6285" s="54"/>
      <c r="B6285" s="71"/>
      <c r="C6285" s="51"/>
      <c r="D6285" s="114"/>
      <c r="E6285" s="114"/>
      <c r="F6285" s="54"/>
      <c r="G6285" s="54"/>
      <c r="I6285" s="54"/>
      <c r="K6285" s="54"/>
      <c r="M6285" s="114"/>
      <c r="N6285" s="1"/>
      <c r="O6285" s="1"/>
      <c r="P6285" s="51"/>
    </row>
    <row r="6286">
      <c r="A6286" s="54"/>
      <c r="B6286" s="71"/>
      <c r="C6286" s="51"/>
      <c r="D6286" s="114"/>
      <c r="E6286" s="114"/>
      <c r="F6286" s="54"/>
      <c r="G6286" s="54"/>
      <c r="I6286" s="54"/>
      <c r="K6286" s="54"/>
      <c r="M6286" s="114"/>
      <c r="N6286" s="1"/>
      <c r="O6286" s="1"/>
      <c r="P6286" s="51"/>
    </row>
    <row r="6287">
      <c r="A6287" s="54"/>
      <c r="B6287" s="71"/>
      <c r="C6287" s="51"/>
      <c r="D6287" s="114"/>
      <c r="E6287" s="114"/>
      <c r="F6287" s="54"/>
      <c r="G6287" s="54"/>
      <c r="I6287" s="54"/>
      <c r="K6287" s="54"/>
      <c r="M6287" s="114"/>
      <c r="N6287" s="1"/>
      <c r="O6287" s="1"/>
      <c r="P6287" s="51"/>
    </row>
    <row r="6288">
      <c r="A6288" s="54"/>
      <c r="B6288" s="71"/>
      <c r="C6288" s="51"/>
      <c r="D6288" s="114"/>
      <c r="E6288" s="114"/>
      <c r="F6288" s="54"/>
      <c r="G6288" s="54"/>
      <c r="I6288" s="54"/>
      <c r="K6288" s="54"/>
      <c r="M6288" s="114"/>
      <c r="N6288" s="1"/>
      <c r="O6288" s="1"/>
      <c r="P6288" s="51"/>
    </row>
    <row r="6289">
      <c r="A6289" s="54"/>
      <c r="B6289" s="71"/>
      <c r="C6289" s="51"/>
      <c r="D6289" s="114"/>
      <c r="E6289" s="114"/>
      <c r="F6289" s="54"/>
      <c r="G6289" s="54"/>
      <c r="I6289" s="54"/>
      <c r="K6289" s="54"/>
      <c r="M6289" s="114"/>
      <c r="N6289" s="1"/>
      <c r="O6289" s="1"/>
      <c r="P6289" s="51"/>
    </row>
    <row r="6290">
      <c r="A6290" s="54"/>
      <c r="B6290" s="71"/>
      <c r="C6290" s="51"/>
      <c r="D6290" s="114"/>
      <c r="E6290" s="114"/>
      <c r="F6290" s="54"/>
      <c r="G6290" s="54"/>
      <c r="I6290" s="54"/>
      <c r="K6290" s="54"/>
      <c r="M6290" s="114"/>
      <c r="N6290" s="1"/>
      <c r="O6290" s="1"/>
      <c r="P6290" s="51"/>
    </row>
    <row r="6291">
      <c r="A6291" s="54"/>
      <c r="B6291" s="71"/>
      <c r="C6291" s="51"/>
      <c r="D6291" s="114"/>
      <c r="E6291" s="114"/>
      <c r="F6291" s="54"/>
      <c r="G6291" s="54"/>
      <c r="I6291" s="54"/>
      <c r="K6291" s="54"/>
      <c r="M6291" s="114"/>
      <c r="N6291" s="1"/>
      <c r="O6291" s="1"/>
      <c r="P6291" s="51"/>
    </row>
    <row r="6292">
      <c r="A6292" s="54"/>
      <c r="B6292" s="71"/>
      <c r="C6292" s="51"/>
      <c r="D6292" s="114"/>
      <c r="E6292" s="114"/>
      <c r="F6292" s="54"/>
      <c r="G6292" s="54"/>
      <c r="I6292" s="54"/>
      <c r="K6292" s="54"/>
      <c r="M6292" s="114"/>
      <c r="N6292" s="1"/>
      <c r="O6292" s="1"/>
      <c r="P6292" s="51"/>
    </row>
    <row r="6293">
      <c r="A6293" s="54"/>
      <c r="B6293" s="71"/>
      <c r="C6293" s="51"/>
      <c r="D6293" s="114"/>
      <c r="E6293" s="114"/>
      <c r="F6293" s="54"/>
      <c r="G6293" s="54"/>
      <c r="I6293" s="54"/>
      <c r="K6293" s="54"/>
      <c r="M6293" s="114"/>
      <c r="N6293" s="1"/>
      <c r="O6293" s="1"/>
      <c r="P6293" s="51"/>
    </row>
    <row r="6294">
      <c r="A6294" s="54"/>
      <c r="B6294" s="71"/>
      <c r="C6294" s="51"/>
      <c r="D6294" s="114"/>
      <c r="E6294" s="114"/>
      <c r="F6294" s="54"/>
      <c r="G6294" s="54"/>
      <c r="I6294" s="54"/>
      <c r="K6294" s="54"/>
      <c r="M6294" s="114"/>
      <c r="N6294" s="1"/>
      <c r="O6294" s="1"/>
      <c r="P6294" s="51"/>
    </row>
    <row r="6295">
      <c r="A6295" s="54"/>
      <c r="B6295" s="71"/>
      <c r="C6295" s="51"/>
      <c r="D6295" s="114"/>
      <c r="E6295" s="114"/>
      <c r="F6295" s="54"/>
      <c r="G6295" s="54"/>
      <c r="I6295" s="54"/>
      <c r="K6295" s="54"/>
      <c r="M6295" s="114"/>
      <c r="N6295" s="1"/>
      <c r="O6295" s="1"/>
      <c r="P6295" s="51"/>
    </row>
    <row r="6296">
      <c r="A6296" s="54"/>
      <c r="B6296" s="71"/>
      <c r="C6296" s="51"/>
      <c r="D6296" s="114"/>
      <c r="E6296" s="114"/>
      <c r="F6296" s="54"/>
      <c r="G6296" s="54"/>
      <c r="I6296" s="54"/>
      <c r="K6296" s="54"/>
      <c r="M6296" s="114"/>
      <c r="N6296" s="1"/>
      <c r="O6296" s="1"/>
      <c r="P6296" s="51"/>
    </row>
    <row r="6297">
      <c r="A6297" s="54"/>
      <c r="B6297" s="71"/>
      <c r="C6297" s="51"/>
      <c r="D6297" s="114"/>
      <c r="E6297" s="114"/>
      <c r="F6297" s="54"/>
      <c r="G6297" s="54"/>
      <c r="I6297" s="54"/>
      <c r="K6297" s="54"/>
      <c r="M6297" s="114"/>
      <c r="N6297" s="1"/>
      <c r="O6297" s="1"/>
      <c r="P6297" s="51"/>
    </row>
    <row r="6298">
      <c r="A6298" s="54"/>
      <c r="B6298" s="71"/>
      <c r="C6298" s="51"/>
      <c r="D6298" s="114"/>
      <c r="E6298" s="114"/>
      <c r="F6298" s="54"/>
      <c r="G6298" s="54"/>
      <c r="I6298" s="54"/>
      <c r="K6298" s="54"/>
      <c r="M6298" s="114"/>
      <c r="N6298" s="1"/>
      <c r="O6298" s="1"/>
      <c r="P6298" s="51"/>
    </row>
    <row r="6299">
      <c r="A6299" s="54"/>
      <c r="B6299" s="71"/>
      <c r="C6299" s="51"/>
      <c r="D6299" s="114"/>
      <c r="E6299" s="114"/>
      <c r="F6299" s="54"/>
      <c r="G6299" s="54"/>
      <c r="I6299" s="54"/>
      <c r="K6299" s="54"/>
      <c r="M6299" s="114"/>
      <c r="N6299" s="1"/>
      <c r="O6299" s="1"/>
      <c r="P6299" s="51"/>
    </row>
    <row r="6300">
      <c r="A6300" s="54"/>
      <c r="B6300" s="71"/>
      <c r="C6300" s="51"/>
      <c r="D6300" s="114"/>
      <c r="E6300" s="114"/>
      <c r="F6300" s="54"/>
      <c r="G6300" s="54"/>
      <c r="I6300" s="54"/>
      <c r="K6300" s="54"/>
      <c r="M6300" s="114"/>
      <c r="N6300" s="1"/>
      <c r="O6300" s="1"/>
      <c r="P6300" s="51"/>
    </row>
    <row r="6301">
      <c r="A6301" s="54"/>
      <c r="B6301" s="71"/>
      <c r="C6301" s="51"/>
      <c r="D6301" s="114"/>
      <c r="E6301" s="114"/>
      <c r="F6301" s="54"/>
      <c r="G6301" s="54"/>
      <c r="I6301" s="54"/>
      <c r="K6301" s="54"/>
      <c r="M6301" s="114"/>
      <c r="N6301" s="1"/>
      <c r="O6301" s="1"/>
      <c r="P6301" s="51"/>
    </row>
    <row r="6302">
      <c r="A6302" s="54"/>
      <c r="B6302" s="71"/>
      <c r="C6302" s="51"/>
      <c r="D6302" s="114"/>
      <c r="E6302" s="114"/>
      <c r="F6302" s="54"/>
      <c r="G6302" s="54"/>
      <c r="I6302" s="54"/>
      <c r="K6302" s="54"/>
      <c r="M6302" s="114"/>
      <c r="N6302" s="1"/>
      <c r="O6302" s="1"/>
      <c r="P6302" s="51"/>
    </row>
    <row r="6303">
      <c r="A6303" s="54"/>
      <c r="B6303" s="71"/>
      <c r="C6303" s="51"/>
      <c r="D6303" s="114"/>
      <c r="E6303" s="114"/>
      <c r="F6303" s="54"/>
      <c r="G6303" s="54"/>
      <c r="I6303" s="54"/>
      <c r="K6303" s="54"/>
      <c r="M6303" s="114"/>
      <c r="N6303" s="1"/>
      <c r="O6303" s="1"/>
      <c r="P6303" s="51"/>
    </row>
    <row r="6304">
      <c r="A6304" s="54"/>
      <c r="B6304" s="71"/>
      <c r="C6304" s="51"/>
      <c r="D6304" s="114"/>
      <c r="E6304" s="114"/>
      <c r="F6304" s="54"/>
      <c r="G6304" s="54"/>
      <c r="I6304" s="54"/>
      <c r="K6304" s="54"/>
      <c r="M6304" s="114"/>
      <c r="N6304" s="1"/>
      <c r="O6304" s="1"/>
      <c r="P6304" s="51"/>
    </row>
    <row r="6305">
      <c r="A6305" s="54"/>
      <c r="B6305" s="71"/>
      <c r="C6305" s="51"/>
      <c r="D6305" s="114"/>
      <c r="E6305" s="114"/>
      <c r="F6305" s="54"/>
      <c r="G6305" s="54"/>
      <c r="I6305" s="54"/>
      <c r="K6305" s="54"/>
      <c r="M6305" s="114"/>
      <c r="N6305" s="1"/>
      <c r="O6305" s="1"/>
      <c r="P6305" s="51"/>
    </row>
    <row r="6306">
      <c r="A6306" s="54"/>
      <c r="B6306" s="71"/>
      <c r="C6306" s="51"/>
      <c r="D6306" s="114"/>
      <c r="E6306" s="114"/>
      <c r="F6306" s="54"/>
      <c r="G6306" s="54"/>
      <c r="I6306" s="54"/>
      <c r="K6306" s="54"/>
      <c r="M6306" s="114"/>
      <c r="N6306" s="1"/>
      <c r="O6306" s="1"/>
      <c r="P6306" s="51"/>
    </row>
    <row r="6307">
      <c r="A6307" s="54"/>
      <c r="B6307" s="71"/>
      <c r="C6307" s="51"/>
      <c r="D6307" s="114"/>
      <c r="E6307" s="114"/>
      <c r="F6307" s="54"/>
      <c r="G6307" s="54"/>
      <c r="I6307" s="54"/>
      <c r="K6307" s="54"/>
      <c r="M6307" s="114"/>
      <c r="N6307" s="1"/>
      <c r="O6307" s="1"/>
      <c r="P6307" s="51"/>
    </row>
    <row r="6308">
      <c r="A6308" s="54"/>
      <c r="B6308" s="71"/>
      <c r="C6308" s="51"/>
      <c r="D6308" s="114"/>
      <c r="E6308" s="114"/>
      <c r="F6308" s="54"/>
      <c r="G6308" s="54"/>
      <c r="I6308" s="54"/>
      <c r="K6308" s="54"/>
      <c r="M6308" s="114"/>
      <c r="N6308" s="1"/>
      <c r="O6308" s="1"/>
      <c r="P6308" s="51"/>
    </row>
    <row r="6309">
      <c r="A6309" s="54"/>
      <c r="B6309" s="71"/>
      <c r="C6309" s="51"/>
      <c r="D6309" s="114"/>
      <c r="E6309" s="114"/>
      <c r="F6309" s="54"/>
      <c r="G6309" s="54"/>
      <c r="I6309" s="54"/>
      <c r="K6309" s="54"/>
      <c r="M6309" s="114"/>
      <c r="N6309" s="1"/>
      <c r="O6309" s="1"/>
      <c r="P6309" s="51"/>
    </row>
    <row r="6310">
      <c r="A6310" s="54"/>
      <c r="B6310" s="71"/>
      <c r="C6310" s="51"/>
      <c r="D6310" s="114"/>
      <c r="E6310" s="114"/>
      <c r="F6310" s="54"/>
      <c r="G6310" s="54"/>
      <c r="I6310" s="54"/>
      <c r="K6310" s="54"/>
      <c r="M6310" s="114"/>
      <c r="N6310" s="1"/>
      <c r="O6310" s="1"/>
      <c r="P6310" s="51"/>
    </row>
    <row r="6311">
      <c r="A6311" s="54"/>
      <c r="B6311" s="71"/>
      <c r="C6311" s="51"/>
      <c r="D6311" s="114"/>
      <c r="E6311" s="114"/>
      <c r="F6311" s="54"/>
      <c r="G6311" s="54"/>
      <c r="I6311" s="54"/>
      <c r="K6311" s="54"/>
      <c r="M6311" s="114"/>
      <c r="N6311" s="1"/>
      <c r="O6311" s="1"/>
      <c r="P6311" s="51"/>
    </row>
    <row r="6312">
      <c r="A6312" s="54"/>
      <c r="B6312" s="71"/>
      <c r="C6312" s="51"/>
      <c r="D6312" s="114"/>
      <c r="E6312" s="114"/>
      <c r="F6312" s="54"/>
      <c r="G6312" s="54"/>
      <c r="I6312" s="54"/>
      <c r="K6312" s="54"/>
      <c r="M6312" s="114"/>
      <c r="N6312" s="1"/>
      <c r="O6312" s="1"/>
      <c r="P6312" s="51"/>
    </row>
    <row r="6313">
      <c r="A6313" s="54"/>
      <c r="B6313" s="71"/>
      <c r="C6313" s="51"/>
      <c r="D6313" s="114"/>
      <c r="E6313" s="114"/>
      <c r="F6313" s="54"/>
      <c r="G6313" s="54"/>
      <c r="I6313" s="54"/>
      <c r="K6313" s="54"/>
      <c r="M6313" s="114"/>
      <c r="N6313" s="1"/>
      <c r="O6313" s="1"/>
      <c r="P6313" s="51"/>
    </row>
    <row r="6314">
      <c r="A6314" s="54"/>
      <c r="B6314" s="71"/>
      <c r="C6314" s="51"/>
      <c r="D6314" s="114"/>
      <c r="E6314" s="114"/>
      <c r="F6314" s="54"/>
      <c r="G6314" s="54"/>
      <c r="I6314" s="54"/>
      <c r="K6314" s="54"/>
      <c r="M6314" s="114"/>
      <c r="N6314" s="1"/>
      <c r="O6314" s="1"/>
      <c r="P6314" s="51"/>
    </row>
    <row r="6315">
      <c r="A6315" s="54"/>
      <c r="B6315" s="71"/>
      <c r="C6315" s="51"/>
      <c r="D6315" s="114"/>
      <c r="E6315" s="114"/>
      <c r="F6315" s="54"/>
      <c r="G6315" s="54"/>
      <c r="I6315" s="54"/>
      <c r="K6315" s="54"/>
      <c r="M6315" s="114"/>
      <c r="N6315" s="1"/>
      <c r="O6315" s="1"/>
      <c r="P6315" s="51"/>
    </row>
    <row r="6316">
      <c r="A6316" s="54"/>
      <c r="B6316" s="71"/>
      <c r="C6316" s="51"/>
      <c r="D6316" s="114"/>
      <c r="E6316" s="114"/>
      <c r="F6316" s="54"/>
      <c r="G6316" s="54"/>
      <c r="I6316" s="54"/>
      <c r="K6316" s="54"/>
      <c r="M6316" s="114"/>
      <c r="N6316" s="1"/>
      <c r="O6316" s="1"/>
      <c r="P6316" s="51"/>
    </row>
    <row r="6317">
      <c r="A6317" s="54"/>
      <c r="B6317" s="71"/>
      <c r="C6317" s="51"/>
      <c r="D6317" s="114"/>
      <c r="E6317" s="114"/>
      <c r="F6317" s="54"/>
      <c r="G6317" s="54"/>
      <c r="I6317" s="54"/>
      <c r="K6317" s="54"/>
      <c r="M6317" s="114"/>
      <c r="N6317" s="1"/>
      <c r="O6317" s="1"/>
      <c r="P6317" s="51"/>
    </row>
    <row r="6318">
      <c r="A6318" s="54"/>
      <c r="B6318" s="71"/>
      <c r="C6318" s="51"/>
      <c r="D6318" s="114"/>
      <c r="E6318" s="114"/>
      <c r="F6318" s="54"/>
      <c r="G6318" s="54"/>
      <c r="I6318" s="54"/>
      <c r="K6318" s="54"/>
      <c r="M6318" s="114"/>
      <c r="N6318" s="1"/>
      <c r="O6318" s="1"/>
      <c r="P6318" s="51"/>
    </row>
    <row r="6319">
      <c r="A6319" s="54"/>
      <c r="B6319" s="71"/>
      <c r="C6319" s="51"/>
      <c r="D6319" s="114"/>
      <c r="E6319" s="114"/>
      <c r="F6319" s="54"/>
      <c r="G6319" s="54"/>
      <c r="I6319" s="54"/>
      <c r="K6319" s="54"/>
      <c r="M6319" s="114"/>
      <c r="N6319" s="1"/>
      <c r="O6319" s="1"/>
      <c r="P6319" s="51"/>
    </row>
    <row r="6320">
      <c r="A6320" s="54"/>
      <c r="B6320" s="71"/>
      <c r="C6320" s="51"/>
      <c r="D6320" s="114"/>
      <c r="E6320" s="114"/>
      <c r="F6320" s="54"/>
      <c r="G6320" s="54"/>
      <c r="I6320" s="54"/>
      <c r="K6320" s="54"/>
      <c r="M6320" s="114"/>
      <c r="N6320" s="1"/>
      <c r="O6320" s="1"/>
      <c r="P6320" s="51"/>
    </row>
    <row r="6321">
      <c r="A6321" s="54"/>
      <c r="B6321" s="71"/>
      <c r="C6321" s="51"/>
      <c r="D6321" s="114"/>
      <c r="E6321" s="114"/>
      <c r="F6321" s="54"/>
      <c r="G6321" s="54"/>
      <c r="I6321" s="54"/>
      <c r="K6321" s="54"/>
      <c r="M6321" s="114"/>
      <c r="N6321" s="1"/>
      <c r="O6321" s="1"/>
      <c r="P6321" s="51"/>
    </row>
    <row r="6322">
      <c r="A6322" s="54"/>
      <c r="B6322" s="71"/>
      <c r="C6322" s="51"/>
      <c r="D6322" s="114"/>
      <c r="E6322" s="114"/>
      <c r="F6322" s="54"/>
      <c r="G6322" s="54"/>
      <c r="I6322" s="54"/>
      <c r="K6322" s="54"/>
      <c r="M6322" s="114"/>
      <c r="N6322" s="1"/>
      <c r="O6322" s="1"/>
      <c r="P6322" s="51"/>
    </row>
    <row r="6323">
      <c r="A6323" s="54"/>
      <c r="B6323" s="71"/>
      <c r="C6323" s="51"/>
      <c r="D6323" s="114"/>
      <c r="E6323" s="114"/>
      <c r="F6323" s="54"/>
      <c r="G6323" s="54"/>
      <c r="I6323" s="54"/>
      <c r="K6323" s="54"/>
      <c r="M6323" s="114"/>
      <c r="N6323" s="1"/>
      <c r="O6323" s="1"/>
      <c r="P6323" s="51"/>
    </row>
    <row r="6324">
      <c r="A6324" s="54"/>
      <c r="B6324" s="71"/>
      <c r="C6324" s="51"/>
      <c r="D6324" s="114"/>
      <c r="E6324" s="114"/>
      <c r="F6324" s="54"/>
      <c r="G6324" s="54"/>
      <c r="I6324" s="54"/>
      <c r="K6324" s="54"/>
      <c r="M6324" s="114"/>
      <c r="N6324" s="1"/>
      <c r="O6324" s="1"/>
      <c r="P6324" s="51"/>
    </row>
    <row r="6325">
      <c r="A6325" s="54"/>
      <c r="B6325" s="71"/>
      <c r="C6325" s="51"/>
      <c r="D6325" s="114"/>
      <c r="E6325" s="114"/>
      <c r="F6325" s="54"/>
      <c r="G6325" s="54"/>
      <c r="I6325" s="54"/>
      <c r="K6325" s="54"/>
      <c r="M6325" s="114"/>
      <c r="N6325" s="1"/>
      <c r="O6325" s="1"/>
      <c r="P6325" s="51"/>
    </row>
    <row r="6326">
      <c r="A6326" s="54"/>
      <c r="B6326" s="71"/>
      <c r="C6326" s="51"/>
      <c r="D6326" s="114"/>
      <c r="E6326" s="114"/>
      <c r="F6326" s="54"/>
      <c r="G6326" s="54"/>
      <c r="I6326" s="54"/>
      <c r="K6326" s="54"/>
      <c r="M6326" s="114"/>
      <c r="N6326" s="1"/>
      <c r="O6326" s="1"/>
      <c r="P6326" s="51"/>
    </row>
    <row r="6327">
      <c r="A6327" s="54"/>
      <c r="B6327" s="71"/>
      <c r="C6327" s="51"/>
      <c r="D6327" s="114"/>
      <c r="E6327" s="114"/>
      <c r="F6327" s="54"/>
      <c r="G6327" s="54"/>
      <c r="I6327" s="54"/>
      <c r="K6327" s="54"/>
      <c r="M6327" s="114"/>
      <c r="N6327" s="1"/>
      <c r="O6327" s="1"/>
      <c r="P6327" s="51"/>
    </row>
    <row r="6328">
      <c r="A6328" s="54"/>
      <c r="B6328" s="71"/>
      <c r="C6328" s="51"/>
      <c r="D6328" s="114"/>
      <c r="E6328" s="114"/>
      <c r="F6328" s="54"/>
      <c r="G6328" s="54"/>
      <c r="I6328" s="54"/>
      <c r="K6328" s="54"/>
      <c r="M6328" s="114"/>
      <c r="N6328" s="1"/>
      <c r="O6328" s="1"/>
      <c r="P6328" s="51"/>
    </row>
    <row r="6329">
      <c r="A6329" s="54"/>
      <c r="B6329" s="71"/>
      <c r="C6329" s="51"/>
      <c r="D6329" s="114"/>
      <c r="E6329" s="114"/>
      <c r="F6329" s="54"/>
      <c r="G6329" s="54"/>
      <c r="I6329" s="54"/>
      <c r="K6329" s="54"/>
      <c r="M6329" s="114"/>
      <c r="N6329" s="1"/>
      <c r="O6329" s="1"/>
      <c r="P6329" s="51"/>
    </row>
    <row r="6330">
      <c r="A6330" s="54"/>
      <c r="B6330" s="71"/>
      <c r="C6330" s="51"/>
      <c r="D6330" s="114"/>
      <c r="E6330" s="114"/>
      <c r="F6330" s="54"/>
      <c r="G6330" s="54"/>
      <c r="I6330" s="54"/>
      <c r="K6330" s="54"/>
      <c r="M6330" s="114"/>
      <c r="N6330" s="1"/>
      <c r="O6330" s="1"/>
      <c r="P6330" s="51"/>
    </row>
    <row r="6331">
      <c r="A6331" s="54"/>
      <c r="B6331" s="71"/>
      <c r="C6331" s="51"/>
      <c r="D6331" s="114"/>
      <c r="E6331" s="114"/>
      <c r="F6331" s="54"/>
      <c r="G6331" s="54"/>
      <c r="I6331" s="54"/>
      <c r="K6331" s="54"/>
      <c r="M6331" s="114"/>
      <c r="N6331" s="1"/>
      <c r="O6331" s="1"/>
      <c r="P6331" s="51"/>
    </row>
    <row r="6332">
      <c r="A6332" s="54"/>
      <c r="B6332" s="71"/>
      <c r="C6332" s="51"/>
      <c r="D6332" s="114"/>
      <c r="E6332" s="114"/>
      <c r="F6332" s="54"/>
      <c r="G6332" s="54"/>
      <c r="I6332" s="54"/>
      <c r="K6332" s="54"/>
      <c r="M6332" s="114"/>
      <c r="N6332" s="1"/>
      <c r="O6332" s="1"/>
      <c r="P6332" s="51"/>
    </row>
    <row r="6333">
      <c r="A6333" s="54"/>
      <c r="B6333" s="71"/>
      <c r="C6333" s="51"/>
      <c r="D6333" s="114"/>
      <c r="E6333" s="114"/>
      <c r="F6333" s="54"/>
      <c r="G6333" s="54"/>
      <c r="I6333" s="54"/>
      <c r="K6333" s="54"/>
      <c r="M6333" s="114"/>
      <c r="N6333" s="1"/>
      <c r="O6333" s="1"/>
      <c r="P6333" s="51"/>
    </row>
    <row r="6334">
      <c r="A6334" s="54"/>
      <c r="B6334" s="71"/>
      <c r="C6334" s="51"/>
      <c r="D6334" s="114"/>
      <c r="E6334" s="114"/>
      <c r="F6334" s="54"/>
      <c r="G6334" s="54"/>
      <c r="I6334" s="54"/>
      <c r="K6334" s="54"/>
      <c r="M6334" s="114"/>
      <c r="N6334" s="1"/>
      <c r="O6334" s="1"/>
      <c r="P6334" s="51"/>
    </row>
    <row r="6335">
      <c r="A6335" s="54"/>
      <c r="B6335" s="71"/>
      <c r="C6335" s="51"/>
      <c r="D6335" s="114"/>
      <c r="E6335" s="114"/>
      <c r="F6335" s="54"/>
      <c r="G6335" s="54"/>
      <c r="I6335" s="54"/>
      <c r="K6335" s="54"/>
      <c r="M6335" s="114"/>
      <c r="N6335" s="1"/>
      <c r="O6335" s="1"/>
      <c r="P6335" s="51"/>
    </row>
    <row r="6336">
      <c r="A6336" s="54"/>
      <c r="B6336" s="71"/>
      <c r="C6336" s="51"/>
      <c r="D6336" s="114"/>
      <c r="E6336" s="114"/>
      <c r="F6336" s="54"/>
      <c r="G6336" s="54"/>
      <c r="I6336" s="54"/>
      <c r="K6336" s="54"/>
      <c r="M6336" s="114"/>
      <c r="N6336" s="1"/>
      <c r="O6336" s="1"/>
      <c r="P6336" s="51"/>
    </row>
    <row r="6337">
      <c r="A6337" s="54"/>
      <c r="B6337" s="71"/>
      <c r="C6337" s="51"/>
      <c r="D6337" s="114"/>
      <c r="E6337" s="114"/>
      <c r="F6337" s="54"/>
      <c r="G6337" s="54"/>
      <c r="I6337" s="54"/>
      <c r="K6337" s="54"/>
      <c r="M6337" s="114"/>
      <c r="N6337" s="1"/>
      <c r="O6337" s="1"/>
      <c r="P6337" s="51"/>
    </row>
    <row r="6338">
      <c r="A6338" s="54"/>
      <c r="B6338" s="71"/>
      <c r="C6338" s="51"/>
      <c r="D6338" s="114"/>
      <c r="E6338" s="114"/>
      <c r="F6338" s="54"/>
      <c r="G6338" s="54"/>
      <c r="I6338" s="54"/>
      <c r="K6338" s="54"/>
      <c r="M6338" s="114"/>
      <c r="N6338" s="1"/>
      <c r="O6338" s="1"/>
      <c r="P6338" s="51"/>
    </row>
    <row r="6339">
      <c r="A6339" s="54"/>
      <c r="B6339" s="71"/>
      <c r="C6339" s="51"/>
      <c r="D6339" s="114"/>
      <c r="E6339" s="114"/>
      <c r="F6339" s="54"/>
      <c r="G6339" s="54"/>
      <c r="I6339" s="54"/>
      <c r="K6339" s="54"/>
      <c r="M6339" s="114"/>
      <c r="N6339" s="1"/>
      <c r="O6339" s="1"/>
      <c r="P6339" s="51"/>
    </row>
    <row r="6340">
      <c r="A6340" s="54"/>
      <c r="B6340" s="71"/>
      <c r="C6340" s="51"/>
      <c r="D6340" s="114"/>
      <c r="E6340" s="114"/>
      <c r="F6340" s="54"/>
      <c r="G6340" s="54"/>
      <c r="I6340" s="54"/>
      <c r="K6340" s="54"/>
      <c r="M6340" s="114"/>
      <c r="N6340" s="1"/>
      <c r="O6340" s="1"/>
      <c r="P6340" s="51"/>
    </row>
    <row r="6341">
      <c r="A6341" s="54"/>
      <c r="B6341" s="71"/>
      <c r="C6341" s="51"/>
      <c r="D6341" s="114"/>
      <c r="E6341" s="114"/>
      <c r="F6341" s="54"/>
      <c r="G6341" s="54"/>
      <c r="I6341" s="54"/>
      <c r="K6341" s="54"/>
      <c r="M6341" s="114"/>
      <c r="N6341" s="1"/>
      <c r="O6341" s="1"/>
      <c r="P6341" s="51"/>
    </row>
    <row r="6342">
      <c r="A6342" s="54"/>
      <c r="B6342" s="71"/>
      <c r="C6342" s="51"/>
      <c r="D6342" s="114"/>
      <c r="E6342" s="114"/>
      <c r="F6342" s="54"/>
      <c r="G6342" s="54"/>
      <c r="I6342" s="54"/>
      <c r="K6342" s="54"/>
      <c r="M6342" s="114"/>
      <c r="N6342" s="1"/>
      <c r="O6342" s="1"/>
      <c r="P6342" s="51"/>
    </row>
    <row r="6343">
      <c r="A6343" s="54"/>
      <c r="B6343" s="71"/>
      <c r="C6343" s="51"/>
      <c r="D6343" s="114"/>
      <c r="E6343" s="114"/>
      <c r="F6343" s="54"/>
      <c r="G6343" s="54"/>
      <c r="I6343" s="54"/>
      <c r="K6343" s="54"/>
      <c r="M6343" s="114"/>
      <c r="N6343" s="1"/>
      <c r="O6343" s="1"/>
      <c r="P6343" s="51"/>
    </row>
    <row r="6344">
      <c r="A6344" s="54"/>
      <c r="B6344" s="71"/>
      <c r="C6344" s="51"/>
      <c r="D6344" s="114"/>
      <c r="E6344" s="114"/>
      <c r="F6344" s="54"/>
      <c r="G6344" s="54"/>
      <c r="I6344" s="54"/>
      <c r="K6344" s="54"/>
      <c r="M6344" s="114"/>
      <c r="N6344" s="1"/>
      <c r="O6344" s="1"/>
      <c r="P6344" s="51"/>
    </row>
    <row r="6345">
      <c r="A6345" s="54"/>
      <c r="B6345" s="71"/>
      <c r="C6345" s="51"/>
      <c r="D6345" s="114"/>
      <c r="E6345" s="114"/>
      <c r="F6345" s="54"/>
      <c r="G6345" s="54"/>
      <c r="I6345" s="54"/>
      <c r="K6345" s="54"/>
      <c r="M6345" s="114"/>
      <c r="N6345" s="1"/>
      <c r="O6345" s="1"/>
      <c r="P6345" s="51"/>
    </row>
    <row r="6346">
      <c r="A6346" s="54"/>
      <c r="B6346" s="71"/>
      <c r="C6346" s="51"/>
      <c r="D6346" s="114"/>
      <c r="E6346" s="114"/>
      <c r="F6346" s="54"/>
      <c r="G6346" s="54"/>
      <c r="I6346" s="54"/>
      <c r="K6346" s="54"/>
      <c r="M6346" s="114"/>
      <c r="N6346" s="1"/>
      <c r="O6346" s="1"/>
      <c r="P6346" s="51"/>
    </row>
    <row r="6347">
      <c r="A6347" s="54"/>
      <c r="B6347" s="71"/>
      <c r="C6347" s="51"/>
      <c r="D6347" s="114"/>
      <c r="E6347" s="114"/>
      <c r="F6347" s="54"/>
      <c r="G6347" s="54"/>
      <c r="I6347" s="54"/>
      <c r="K6347" s="54"/>
      <c r="M6347" s="114"/>
      <c r="N6347" s="1"/>
      <c r="O6347" s="1"/>
      <c r="P6347" s="51"/>
    </row>
    <row r="6348">
      <c r="A6348" s="54"/>
      <c r="B6348" s="71"/>
      <c r="C6348" s="51"/>
      <c r="D6348" s="114"/>
      <c r="E6348" s="114"/>
      <c r="F6348" s="54"/>
      <c r="G6348" s="54"/>
      <c r="I6348" s="54"/>
      <c r="K6348" s="54"/>
      <c r="M6348" s="114"/>
      <c r="N6348" s="1"/>
      <c r="O6348" s="1"/>
      <c r="P6348" s="51"/>
    </row>
    <row r="6349">
      <c r="A6349" s="54"/>
      <c r="B6349" s="71"/>
      <c r="C6349" s="51"/>
      <c r="D6349" s="114"/>
      <c r="E6349" s="114"/>
      <c r="F6349" s="54"/>
      <c r="G6349" s="54"/>
      <c r="I6349" s="54"/>
      <c r="K6349" s="54"/>
      <c r="M6349" s="114"/>
      <c r="N6349" s="1"/>
      <c r="O6349" s="1"/>
      <c r="P6349" s="51"/>
    </row>
    <row r="6350">
      <c r="A6350" s="54"/>
      <c r="B6350" s="71"/>
      <c r="C6350" s="51"/>
      <c r="D6350" s="114"/>
      <c r="E6350" s="114"/>
      <c r="F6350" s="54"/>
      <c r="G6350" s="54"/>
      <c r="I6350" s="54"/>
      <c r="K6350" s="54"/>
      <c r="M6350" s="114"/>
      <c r="N6350" s="1"/>
      <c r="O6350" s="1"/>
      <c r="P6350" s="51"/>
    </row>
    <row r="6351">
      <c r="A6351" s="54"/>
      <c r="B6351" s="71"/>
      <c r="C6351" s="51"/>
      <c r="D6351" s="114"/>
      <c r="E6351" s="114"/>
      <c r="F6351" s="54"/>
      <c r="G6351" s="54"/>
      <c r="I6351" s="54"/>
      <c r="K6351" s="54"/>
      <c r="M6351" s="114"/>
      <c r="N6351" s="1"/>
      <c r="O6351" s="1"/>
      <c r="P6351" s="51"/>
    </row>
    <row r="6352">
      <c r="A6352" s="54"/>
      <c r="B6352" s="71"/>
      <c r="C6352" s="51"/>
      <c r="D6352" s="114"/>
      <c r="E6352" s="114"/>
      <c r="F6352" s="54"/>
      <c r="G6352" s="54"/>
      <c r="I6352" s="54"/>
      <c r="K6352" s="54"/>
      <c r="M6352" s="114"/>
      <c r="N6352" s="1"/>
      <c r="O6352" s="1"/>
      <c r="P6352" s="51"/>
    </row>
    <row r="6353">
      <c r="A6353" s="54"/>
      <c r="B6353" s="71"/>
      <c r="C6353" s="51"/>
      <c r="D6353" s="114"/>
      <c r="E6353" s="114"/>
      <c r="F6353" s="54"/>
      <c r="G6353" s="54"/>
      <c r="I6353" s="54"/>
      <c r="K6353" s="54"/>
      <c r="M6353" s="114"/>
      <c r="N6353" s="1"/>
      <c r="O6353" s="1"/>
      <c r="P6353" s="51"/>
    </row>
    <row r="6354">
      <c r="A6354" s="54"/>
      <c r="B6354" s="71"/>
      <c r="C6354" s="51"/>
      <c r="D6354" s="114"/>
      <c r="E6354" s="114"/>
      <c r="F6354" s="54"/>
      <c r="G6354" s="54"/>
      <c r="I6354" s="54"/>
      <c r="K6354" s="54"/>
      <c r="M6354" s="114"/>
      <c r="N6354" s="1"/>
      <c r="O6354" s="1"/>
      <c r="P6354" s="51"/>
    </row>
    <row r="6355">
      <c r="A6355" s="54"/>
      <c r="B6355" s="71"/>
      <c r="C6355" s="51"/>
      <c r="D6355" s="114"/>
      <c r="E6355" s="114"/>
      <c r="F6355" s="54"/>
      <c r="G6355" s="54"/>
      <c r="I6355" s="54"/>
      <c r="K6355" s="54"/>
      <c r="M6355" s="114"/>
      <c r="N6355" s="1"/>
      <c r="O6355" s="1"/>
      <c r="P6355" s="51"/>
    </row>
    <row r="6356">
      <c r="A6356" s="54"/>
      <c r="B6356" s="71"/>
      <c r="C6356" s="51"/>
      <c r="D6356" s="114"/>
      <c r="E6356" s="114"/>
      <c r="F6356" s="54"/>
      <c r="G6356" s="54"/>
      <c r="I6356" s="54"/>
      <c r="K6356" s="54"/>
      <c r="M6356" s="114"/>
      <c r="N6356" s="1"/>
      <c r="O6356" s="1"/>
      <c r="P6356" s="51"/>
    </row>
    <row r="6357">
      <c r="A6357" s="54"/>
      <c r="B6357" s="71"/>
      <c r="C6357" s="51"/>
      <c r="D6357" s="114"/>
      <c r="E6357" s="114"/>
      <c r="F6357" s="54"/>
      <c r="G6357" s="54"/>
      <c r="I6357" s="54"/>
      <c r="K6357" s="54"/>
      <c r="M6357" s="114"/>
      <c r="N6357" s="1"/>
      <c r="O6357" s="1"/>
      <c r="P6357" s="51"/>
    </row>
    <row r="6358">
      <c r="A6358" s="54"/>
      <c r="B6358" s="71"/>
      <c r="C6358" s="51"/>
      <c r="D6358" s="114"/>
      <c r="E6358" s="114"/>
      <c r="F6358" s="54"/>
      <c r="G6358" s="54"/>
      <c r="I6358" s="54"/>
      <c r="K6358" s="54"/>
      <c r="M6358" s="114"/>
      <c r="N6358" s="1"/>
      <c r="O6358" s="1"/>
      <c r="P6358" s="51"/>
    </row>
    <row r="6359">
      <c r="A6359" s="54"/>
      <c r="B6359" s="71"/>
      <c r="C6359" s="51"/>
      <c r="D6359" s="114"/>
      <c r="E6359" s="114"/>
      <c r="F6359" s="54"/>
      <c r="G6359" s="54"/>
      <c r="I6359" s="54"/>
      <c r="K6359" s="54"/>
      <c r="M6359" s="114"/>
      <c r="N6359" s="1"/>
      <c r="O6359" s="1"/>
      <c r="P6359" s="51"/>
    </row>
    <row r="6360">
      <c r="A6360" s="54"/>
      <c r="B6360" s="71"/>
      <c r="C6360" s="51"/>
      <c r="D6360" s="114"/>
      <c r="E6360" s="114"/>
      <c r="F6360" s="54"/>
      <c r="G6360" s="54"/>
      <c r="I6360" s="54"/>
      <c r="K6360" s="54"/>
      <c r="M6360" s="114"/>
      <c r="N6360" s="1"/>
      <c r="O6360" s="1"/>
      <c r="P6360" s="51"/>
    </row>
    <row r="6361">
      <c r="A6361" s="54"/>
      <c r="B6361" s="71"/>
      <c r="C6361" s="51"/>
      <c r="D6361" s="114"/>
      <c r="E6361" s="114"/>
      <c r="F6361" s="54"/>
      <c r="G6361" s="54"/>
      <c r="I6361" s="54"/>
      <c r="K6361" s="54"/>
      <c r="M6361" s="114"/>
      <c r="N6361" s="1"/>
      <c r="O6361" s="1"/>
      <c r="P6361" s="51"/>
    </row>
    <row r="6362">
      <c r="A6362" s="54"/>
      <c r="B6362" s="71"/>
      <c r="C6362" s="51"/>
      <c r="D6362" s="114"/>
      <c r="E6362" s="114"/>
      <c r="F6362" s="54"/>
      <c r="G6362" s="54"/>
      <c r="I6362" s="54"/>
      <c r="K6362" s="54"/>
      <c r="M6362" s="114"/>
      <c r="N6362" s="1"/>
      <c r="O6362" s="1"/>
      <c r="P6362" s="51"/>
    </row>
    <row r="6363">
      <c r="A6363" s="54"/>
      <c r="B6363" s="71"/>
      <c r="C6363" s="51"/>
      <c r="D6363" s="114"/>
      <c r="E6363" s="114"/>
      <c r="F6363" s="54"/>
      <c r="G6363" s="54"/>
      <c r="I6363" s="54"/>
      <c r="K6363" s="54"/>
      <c r="M6363" s="114"/>
      <c r="N6363" s="1"/>
      <c r="O6363" s="1"/>
      <c r="P6363" s="51"/>
    </row>
    <row r="6364">
      <c r="A6364" s="54"/>
      <c r="B6364" s="71"/>
      <c r="C6364" s="51"/>
      <c r="D6364" s="114"/>
      <c r="E6364" s="114"/>
      <c r="F6364" s="54"/>
      <c r="G6364" s="54"/>
      <c r="I6364" s="54"/>
      <c r="K6364" s="54"/>
      <c r="M6364" s="114"/>
      <c r="N6364" s="1"/>
      <c r="O6364" s="1"/>
      <c r="P6364" s="51"/>
    </row>
    <row r="6365">
      <c r="A6365" s="54"/>
      <c r="B6365" s="71"/>
      <c r="C6365" s="51"/>
      <c r="D6365" s="114"/>
      <c r="E6365" s="114"/>
      <c r="F6365" s="54"/>
      <c r="G6365" s="54"/>
      <c r="I6365" s="54"/>
      <c r="K6365" s="54"/>
      <c r="M6365" s="114"/>
      <c r="N6365" s="1"/>
      <c r="O6365" s="1"/>
      <c r="P6365" s="51"/>
    </row>
    <row r="6366">
      <c r="A6366" s="54"/>
      <c r="B6366" s="71"/>
      <c r="C6366" s="51"/>
      <c r="D6366" s="114"/>
      <c r="E6366" s="114"/>
      <c r="F6366" s="54"/>
      <c r="G6366" s="54"/>
      <c r="I6366" s="54"/>
      <c r="K6366" s="54"/>
      <c r="M6366" s="114"/>
      <c r="N6366" s="1"/>
      <c r="O6366" s="1"/>
      <c r="P6366" s="51"/>
    </row>
    <row r="6367">
      <c r="A6367" s="54"/>
      <c r="B6367" s="71"/>
      <c r="C6367" s="51"/>
      <c r="D6367" s="114"/>
      <c r="E6367" s="114"/>
      <c r="F6367" s="54"/>
      <c r="G6367" s="54"/>
      <c r="I6367" s="54"/>
      <c r="K6367" s="54"/>
      <c r="M6367" s="114"/>
      <c r="N6367" s="1"/>
      <c r="O6367" s="1"/>
      <c r="P6367" s="51"/>
    </row>
    <row r="6368">
      <c r="A6368" s="54"/>
      <c r="B6368" s="71"/>
      <c r="C6368" s="51"/>
      <c r="D6368" s="114"/>
      <c r="E6368" s="114"/>
      <c r="F6368" s="54"/>
      <c r="G6368" s="54"/>
      <c r="I6368" s="54"/>
      <c r="K6368" s="54"/>
      <c r="M6368" s="114"/>
      <c r="N6368" s="1"/>
      <c r="O6368" s="1"/>
      <c r="P6368" s="51"/>
    </row>
    <row r="6369">
      <c r="A6369" s="54"/>
      <c r="B6369" s="71"/>
      <c r="C6369" s="51"/>
      <c r="D6369" s="114"/>
      <c r="E6369" s="114"/>
      <c r="F6369" s="54"/>
      <c r="G6369" s="54"/>
      <c r="I6369" s="54"/>
      <c r="K6369" s="54"/>
      <c r="M6369" s="114"/>
      <c r="N6369" s="1"/>
      <c r="O6369" s="1"/>
      <c r="P6369" s="51"/>
    </row>
    <row r="6370">
      <c r="A6370" s="54"/>
      <c r="B6370" s="71"/>
      <c r="C6370" s="51"/>
      <c r="D6370" s="114"/>
      <c r="E6370" s="114"/>
      <c r="F6370" s="54"/>
      <c r="G6370" s="54"/>
      <c r="I6370" s="54"/>
      <c r="K6370" s="54"/>
      <c r="M6370" s="114"/>
      <c r="N6370" s="1"/>
      <c r="O6370" s="1"/>
      <c r="P6370" s="51"/>
    </row>
    <row r="6371">
      <c r="A6371" s="54"/>
      <c r="B6371" s="71"/>
      <c r="C6371" s="51"/>
      <c r="D6371" s="114"/>
      <c r="E6371" s="114"/>
      <c r="F6371" s="54"/>
      <c r="G6371" s="54"/>
      <c r="I6371" s="54"/>
      <c r="K6371" s="54"/>
      <c r="M6371" s="114"/>
      <c r="N6371" s="1"/>
      <c r="O6371" s="1"/>
      <c r="P6371" s="51"/>
    </row>
    <row r="6372">
      <c r="A6372" s="54"/>
      <c r="B6372" s="71"/>
      <c r="C6372" s="51"/>
      <c r="D6372" s="114"/>
      <c r="E6372" s="114"/>
      <c r="F6372" s="54"/>
      <c r="G6372" s="54"/>
      <c r="I6372" s="54"/>
      <c r="K6372" s="54"/>
      <c r="M6372" s="114"/>
      <c r="N6372" s="1"/>
      <c r="O6372" s="1"/>
      <c r="P6372" s="51"/>
    </row>
    <row r="6373">
      <c r="A6373" s="54"/>
      <c r="B6373" s="71"/>
      <c r="C6373" s="51"/>
      <c r="D6373" s="114"/>
      <c r="E6373" s="114"/>
      <c r="F6373" s="54"/>
      <c r="G6373" s="54"/>
      <c r="I6373" s="54"/>
      <c r="K6373" s="54"/>
      <c r="M6373" s="114"/>
      <c r="N6373" s="1"/>
      <c r="O6373" s="1"/>
      <c r="P6373" s="51"/>
    </row>
    <row r="6374">
      <c r="A6374" s="54"/>
      <c r="B6374" s="71"/>
      <c r="C6374" s="51"/>
      <c r="D6374" s="114"/>
      <c r="E6374" s="114"/>
      <c r="F6374" s="54"/>
      <c r="G6374" s="54"/>
      <c r="I6374" s="54"/>
      <c r="K6374" s="54"/>
      <c r="M6374" s="114"/>
      <c r="N6374" s="1"/>
      <c r="O6374" s="1"/>
      <c r="P6374" s="51"/>
    </row>
    <row r="6375">
      <c r="A6375" s="54"/>
      <c r="B6375" s="71"/>
      <c r="C6375" s="51"/>
      <c r="D6375" s="114"/>
      <c r="E6375" s="114"/>
      <c r="F6375" s="54"/>
      <c r="G6375" s="54"/>
      <c r="I6375" s="54"/>
      <c r="K6375" s="54"/>
      <c r="M6375" s="114"/>
      <c r="N6375" s="1"/>
      <c r="O6375" s="1"/>
      <c r="P6375" s="51"/>
    </row>
    <row r="6376">
      <c r="A6376" s="54"/>
      <c r="B6376" s="71"/>
      <c r="C6376" s="51"/>
      <c r="D6376" s="114"/>
      <c r="E6376" s="114"/>
      <c r="F6376" s="54"/>
      <c r="G6376" s="54"/>
      <c r="I6376" s="54"/>
      <c r="K6376" s="54"/>
      <c r="M6376" s="114"/>
      <c r="N6376" s="1"/>
      <c r="O6376" s="1"/>
      <c r="P6376" s="51"/>
    </row>
    <row r="6377">
      <c r="A6377" s="54"/>
      <c r="B6377" s="71"/>
      <c r="C6377" s="51"/>
      <c r="D6377" s="114"/>
      <c r="E6377" s="114"/>
      <c r="F6377" s="54"/>
      <c r="G6377" s="54"/>
      <c r="I6377" s="54"/>
      <c r="K6377" s="54"/>
      <c r="M6377" s="114"/>
      <c r="N6377" s="1"/>
      <c r="O6377" s="1"/>
      <c r="P6377" s="51"/>
    </row>
    <row r="6378">
      <c r="A6378" s="54"/>
      <c r="B6378" s="71"/>
      <c r="C6378" s="51"/>
      <c r="D6378" s="114"/>
      <c r="E6378" s="114"/>
      <c r="F6378" s="54"/>
      <c r="G6378" s="54"/>
      <c r="I6378" s="54"/>
      <c r="K6378" s="54"/>
      <c r="M6378" s="114"/>
      <c r="N6378" s="1"/>
      <c r="O6378" s="1"/>
      <c r="P6378" s="51"/>
    </row>
    <row r="6379">
      <c r="A6379" s="54"/>
      <c r="B6379" s="71"/>
      <c r="C6379" s="51"/>
      <c r="D6379" s="114"/>
      <c r="E6379" s="114"/>
      <c r="F6379" s="54"/>
      <c r="G6379" s="54"/>
      <c r="I6379" s="54"/>
      <c r="K6379" s="54"/>
      <c r="M6379" s="114"/>
      <c r="N6379" s="1"/>
      <c r="O6379" s="1"/>
      <c r="P6379" s="51"/>
    </row>
    <row r="6380">
      <c r="A6380" s="54"/>
      <c r="B6380" s="71"/>
      <c r="C6380" s="51"/>
      <c r="D6380" s="114"/>
      <c r="E6380" s="114"/>
      <c r="F6380" s="54"/>
      <c r="G6380" s="54"/>
      <c r="I6380" s="54"/>
      <c r="K6380" s="54"/>
      <c r="M6380" s="114"/>
      <c r="N6380" s="1"/>
      <c r="O6380" s="1"/>
      <c r="P6380" s="51"/>
    </row>
    <row r="6381">
      <c r="A6381" s="54"/>
      <c r="B6381" s="71"/>
      <c r="C6381" s="51"/>
      <c r="D6381" s="114"/>
      <c r="E6381" s="114"/>
      <c r="F6381" s="54"/>
      <c r="G6381" s="54"/>
      <c r="I6381" s="54"/>
      <c r="K6381" s="54"/>
      <c r="M6381" s="114"/>
      <c r="N6381" s="1"/>
      <c r="O6381" s="1"/>
      <c r="P6381" s="51"/>
    </row>
    <row r="6382">
      <c r="A6382" s="54"/>
      <c r="B6382" s="71"/>
      <c r="C6382" s="51"/>
      <c r="D6382" s="114"/>
      <c r="E6382" s="114"/>
      <c r="F6382" s="54"/>
      <c r="G6382" s="54"/>
      <c r="I6382" s="54"/>
      <c r="K6382" s="54"/>
      <c r="M6382" s="114"/>
      <c r="N6382" s="1"/>
      <c r="O6382" s="1"/>
      <c r="P6382" s="51"/>
    </row>
    <row r="6383">
      <c r="A6383" s="54"/>
      <c r="B6383" s="71"/>
      <c r="C6383" s="51"/>
      <c r="D6383" s="114"/>
      <c r="E6383" s="114"/>
      <c r="F6383" s="54"/>
      <c r="G6383" s="54"/>
      <c r="I6383" s="54"/>
      <c r="K6383" s="54"/>
      <c r="M6383" s="114"/>
      <c r="N6383" s="1"/>
      <c r="O6383" s="1"/>
      <c r="P6383" s="51"/>
    </row>
    <row r="6384">
      <c r="A6384" s="54"/>
      <c r="B6384" s="71"/>
      <c r="C6384" s="51"/>
      <c r="D6384" s="114"/>
      <c r="E6384" s="114"/>
      <c r="F6384" s="54"/>
      <c r="G6384" s="54"/>
      <c r="I6384" s="54"/>
      <c r="K6384" s="54"/>
      <c r="M6384" s="114"/>
      <c r="N6384" s="1"/>
      <c r="O6384" s="1"/>
      <c r="P6384" s="51"/>
    </row>
    <row r="6385">
      <c r="A6385" s="54"/>
      <c r="B6385" s="71"/>
      <c r="C6385" s="51"/>
      <c r="D6385" s="114"/>
      <c r="E6385" s="114"/>
      <c r="F6385" s="54"/>
      <c r="G6385" s="54"/>
      <c r="I6385" s="54"/>
      <c r="K6385" s="54"/>
      <c r="M6385" s="114"/>
      <c r="N6385" s="1"/>
      <c r="O6385" s="1"/>
      <c r="P6385" s="51"/>
    </row>
    <row r="6386">
      <c r="A6386" s="54"/>
      <c r="B6386" s="71"/>
      <c r="C6386" s="51"/>
      <c r="D6386" s="114"/>
      <c r="E6386" s="114"/>
      <c r="F6386" s="54"/>
      <c r="G6386" s="54"/>
      <c r="I6386" s="54"/>
      <c r="K6386" s="54"/>
      <c r="M6386" s="114"/>
      <c r="N6386" s="1"/>
      <c r="O6386" s="1"/>
      <c r="P6386" s="51"/>
    </row>
    <row r="6387">
      <c r="A6387" s="54"/>
      <c r="B6387" s="71"/>
      <c r="C6387" s="51"/>
      <c r="D6387" s="114"/>
      <c r="E6387" s="114"/>
      <c r="F6387" s="54"/>
      <c r="G6387" s="54"/>
      <c r="I6387" s="54"/>
      <c r="K6387" s="54"/>
      <c r="M6387" s="114"/>
      <c r="N6387" s="1"/>
      <c r="O6387" s="1"/>
      <c r="P6387" s="51"/>
    </row>
    <row r="6388">
      <c r="A6388" s="54"/>
      <c r="B6388" s="71"/>
      <c r="C6388" s="51"/>
      <c r="D6388" s="114"/>
      <c r="E6388" s="114"/>
      <c r="F6388" s="54"/>
      <c r="G6388" s="54"/>
      <c r="I6388" s="54"/>
      <c r="K6388" s="54"/>
      <c r="M6388" s="114"/>
      <c r="N6388" s="1"/>
      <c r="O6388" s="1"/>
      <c r="P6388" s="51"/>
    </row>
    <row r="6389">
      <c r="A6389" s="54"/>
      <c r="B6389" s="71"/>
      <c r="C6389" s="51"/>
      <c r="D6389" s="114"/>
      <c r="E6389" s="114"/>
      <c r="F6389" s="54"/>
      <c r="G6389" s="54"/>
      <c r="I6389" s="54"/>
      <c r="K6389" s="54"/>
      <c r="M6389" s="114"/>
      <c r="N6389" s="1"/>
      <c r="O6389" s="1"/>
      <c r="P6389" s="51"/>
    </row>
    <row r="6390">
      <c r="A6390" s="54"/>
      <c r="B6390" s="71"/>
      <c r="C6390" s="51"/>
      <c r="D6390" s="114"/>
      <c r="E6390" s="114"/>
      <c r="F6390" s="54"/>
      <c r="G6390" s="54"/>
      <c r="I6390" s="54"/>
      <c r="K6390" s="54"/>
      <c r="M6390" s="114"/>
      <c r="N6390" s="1"/>
      <c r="O6390" s="1"/>
      <c r="P6390" s="51"/>
    </row>
    <row r="6391">
      <c r="A6391" s="54"/>
      <c r="B6391" s="71"/>
      <c r="C6391" s="51"/>
      <c r="D6391" s="114"/>
      <c r="E6391" s="114"/>
      <c r="F6391" s="54"/>
      <c r="G6391" s="54"/>
      <c r="I6391" s="54"/>
      <c r="K6391" s="54"/>
      <c r="M6391" s="114"/>
      <c r="N6391" s="1"/>
      <c r="O6391" s="1"/>
      <c r="P6391" s="51"/>
    </row>
    <row r="6392">
      <c r="A6392" s="54"/>
      <c r="B6392" s="71"/>
      <c r="C6392" s="51"/>
      <c r="D6392" s="114"/>
      <c r="E6392" s="114"/>
      <c r="F6392" s="54"/>
      <c r="G6392" s="54"/>
      <c r="I6392" s="54"/>
      <c r="K6392" s="54"/>
      <c r="M6392" s="114"/>
      <c r="N6392" s="1"/>
      <c r="O6392" s="1"/>
      <c r="P6392" s="51"/>
    </row>
    <row r="6393">
      <c r="A6393" s="54"/>
      <c r="B6393" s="71"/>
      <c r="C6393" s="51"/>
      <c r="D6393" s="114"/>
      <c r="E6393" s="114"/>
      <c r="F6393" s="54"/>
      <c r="G6393" s="54"/>
      <c r="I6393" s="54"/>
      <c r="K6393" s="54"/>
      <c r="M6393" s="114"/>
      <c r="N6393" s="1"/>
      <c r="O6393" s="1"/>
      <c r="P6393" s="51"/>
    </row>
    <row r="6394">
      <c r="A6394" s="54"/>
      <c r="B6394" s="71"/>
      <c r="C6394" s="51"/>
      <c r="D6394" s="114"/>
      <c r="E6394" s="114"/>
      <c r="F6394" s="54"/>
      <c r="G6394" s="54"/>
      <c r="I6394" s="54"/>
      <c r="K6394" s="54"/>
      <c r="M6394" s="114"/>
      <c r="N6394" s="1"/>
      <c r="O6394" s="1"/>
      <c r="P6394" s="51"/>
    </row>
    <row r="6395">
      <c r="A6395" s="54"/>
      <c r="B6395" s="71"/>
      <c r="C6395" s="51"/>
      <c r="D6395" s="114"/>
      <c r="E6395" s="114"/>
      <c r="F6395" s="54"/>
      <c r="G6395" s="54"/>
      <c r="I6395" s="54"/>
      <c r="K6395" s="54"/>
      <c r="M6395" s="114"/>
      <c r="N6395" s="1"/>
      <c r="O6395" s="1"/>
      <c r="P6395" s="51"/>
    </row>
    <row r="6396">
      <c r="A6396" s="54"/>
      <c r="B6396" s="71"/>
      <c r="C6396" s="51"/>
      <c r="D6396" s="114"/>
      <c r="E6396" s="114"/>
      <c r="F6396" s="54"/>
      <c r="G6396" s="54"/>
      <c r="I6396" s="54"/>
      <c r="K6396" s="54"/>
      <c r="M6396" s="114"/>
      <c r="N6396" s="1"/>
      <c r="O6396" s="1"/>
      <c r="P6396" s="51"/>
    </row>
    <row r="6397">
      <c r="A6397" s="54"/>
      <c r="B6397" s="71"/>
      <c r="C6397" s="51"/>
      <c r="D6397" s="114"/>
      <c r="E6397" s="114"/>
      <c r="F6397" s="54"/>
      <c r="G6397" s="54"/>
      <c r="I6397" s="54"/>
      <c r="K6397" s="54"/>
      <c r="M6397" s="114"/>
      <c r="N6397" s="1"/>
      <c r="O6397" s="1"/>
      <c r="P6397" s="51"/>
    </row>
    <row r="6398">
      <c r="A6398" s="54"/>
      <c r="B6398" s="71"/>
      <c r="C6398" s="51"/>
      <c r="D6398" s="114"/>
      <c r="E6398" s="114"/>
      <c r="F6398" s="54"/>
      <c r="G6398" s="54"/>
      <c r="I6398" s="54"/>
      <c r="K6398" s="54"/>
      <c r="M6398" s="114"/>
      <c r="N6398" s="1"/>
      <c r="O6398" s="1"/>
      <c r="P6398" s="51"/>
    </row>
    <row r="6399">
      <c r="A6399" s="54"/>
      <c r="B6399" s="71"/>
      <c r="C6399" s="51"/>
      <c r="D6399" s="114"/>
      <c r="E6399" s="114"/>
      <c r="F6399" s="54"/>
      <c r="G6399" s="54"/>
      <c r="I6399" s="54"/>
      <c r="K6399" s="54"/>
      <c r="M6399" s="114"/>
      <c r="N6399" s="1"/>
      <c r="O6399" s="1"/>
      <c r="P6399" s="51"/>
    </row>
    <row r="6400">
      <c r="A6400" s="54"/>
      <c r="B6400" s="71"/>
      <c r="C6400" s="51"/>
      <c r="D6400" s="114"/>
      <c r="E6400" s="114"/>
      <c r="F6400" s="54"/>
      <c r="G6400" s="54"/>
      <c r="I6400" s="54"/>
      <c r="K6400" s="54"/>
      <c r="M6400" s="114"/>
      <c r="N6400" s="1"/>
      <c r="O6400" s="1"/>
      <c r="P6400" s="51"/>
    </row>
    <row r="6401">
      <c r="A6401" s="54"/>
      <c r="B6401" s="71"/>
      <c r="C6401" s="51"/>
      <c r="D6401" s="114"/>
      <c r="E6401" s="114"/>
      <c r="F6401" s="54"/>
      <c r="G6401" s="54"/>
      <c r="I6401" s="54"/>
      <c r="K6401" s="54"/>
      <c r="M6401" s="114"/>
      <c r="N6401" s="1"/>
      <c r="O6401" s="1"/>
      <c r="P6401" s="51"/>
    </row>
    <row r="6402">
      <c r="A6402" s="54"/>
      <c r="B6402" s="71"/>
      <c r="C6402" s="51"/>
      <c r="D6402" s="114"/>
      <c r="E6402" s="114"/>
      <c r="F6402" s="54"/>
      <c r="G6402" s="54"/>
      <c r="I6402" s="54"/>
      <c r="K6402" s="54"/>
      <c r="M6402" s="114"/>
      <c r="N6402" s="1"/>
      <c r="O6402" s="1"/>
      <c r="P6402" s="51"/>
    </row>
    <row r="6403">
      <c r="A6403" s="54"/>
      <c r="B6403" s="71"/>
      <c r="C6403" s="51"/>
      <c r="D6403" s="114"/>
      <c r="E6403" s="114"/>
      <c r="F6403" s="54"/>
      <c r="G6403" s="54"/>
      <c r="I6403" s="54"/>
      <c r="K6403" s="54"/>
      <c r="M6403" s="114"/>
      <c r="N6403" s="1"/>
      <c r="O6403" s="1"/>
      <c r="P6403" s="51"/>
    </row>
    <row r="6404">
      <c r="A6404" s="54"/>
      <c r="B6404" s="71"/>
      <c r="C6404" s="51"/>
      <c r="D6404" s="114"/>
      <c r="E6404" s="114"/>
      <c r="F6404" s="54"/>
      <c r="G6404" s="54"/>
      <c r="I6404" s="54"/>
      <c r="K6404" s="54"/>
      <c r="M6404" s="114"/>
      <c r="N6404" s="1"/>
      <c r="O6404" s="1"/>
      <c r="P6404" s="51"/>
    </row>
    <row r="6405">
      <c r="A6405" s="54"/>
      <c r="B6405" s="71"/>
      <c r="C6405" s="51"/>
      <c r="D6405" s="114"/>
      <c r="E6405" s="114"/>
      <c r="F6405" s="54"/>
      <c r="G6405" s="54"/>
      <c r="I6405" s="54"/>
      <c r="K6405" s="54"/>
      <c r="M6405" s="114"/>
      <c r="N6405" s="1"/>
      <c r="O6405" s="1"/>
      <c r="P6405" s="51"/>
    </row>
    <row r="6406">
      <c r="A6406" s="54"/>
      <c r="B6406" s="71"/>
      <c r="C6406" s="51"/>
      <c r="D6406" s="114"/>
      <c r="E6406" s="114"/>
      <c r="F6406" s="54"/>
      <c r="G6406" s="54"/>
      <c r="I6406" s="54"/>
      <c r="K6406" s="54"/>
      <c r="M6406" s="114"/>
      <c r="N6406" s="1"/>
      <c r="O6406" s="1"/>
      <c r="P6406" s="51"/>
    </row>
    <row r="6407">
      <c r="A6407" s="54"/>
      <c r="B6407" s="71"/>
      <c r="C6407" s="51"/>
      <c r="D6407" s="114"/>
      <c r="E6407" s="114"/>
      <c r="F6407" s="54"/>
      <c r="G6407" s="54"/>
      <c r="I6407" s="54"/>
      <c r="K6407" s="54"/>
      <c r="M6407" s="114"/>
      <c r="N6407" s="1"/>
      <c r="O6407" s="1"/>
      <c r="P6407" s="51"/>
    </row>
    <row r="6408">
      <c r="A6408" s="54"/>
      <c r="B6408" s="71"/>
      <c r="C6408" s="51"/>
      <c r="D6408" s="114"/>
      <c r="E6408" s="114"/>
      <c r="F6408" s="54"/>
      <c r="G6408" s="54"/>
      <c r="I6408" s="54"/>
      <c r="K6408" s="54"/>
      <c r="M6408" s="114"/>
      <c r="N6408" s="1"/>
      <c r="O6408" s="1"/>
      <c r="P6408" s="51"/>
    </row>
    <row r="6409">
      <c r="A6409" s="54"/>
      <c r="B6409" s="71"/>
      <c r="C6409" s="51"/>
      <c r="D6409" s="114"/>
      <c r="E6409" s="114"/>
      <c r="F6409" s="54"/>
      <c r="G6409" s="54"/>
      <c r="I6409" s="54"/>
      <c r="K6409" s="54"/>
      <c r="M6409" s="114"/>
      <c r="N6409" s="1"/>
      <c r="O6409" s="1"/>
      <c r="P6409" s="51"/>
    </row>
    <row r="6410">
      <c r="A6410" s="54"/>
      <c r="B6410" s="71"/>
      <c r="C6410" s="51"/>
      <c r="D6410" s="114"/>
      <c r="E6410" s="114"/>
      <c r="F6410" s="54"/>
      <c r="G6410" s="54"/>
      <c r="I6410" s="54"/>
      <c r="K6410" s="54"/>
      <c r="M6410" s="114"/>
      <c r="N6410" s="1"/>
      <c r="O6410" s="1"/>
      <c r="P6410" s="51"/>
    </row>
    <row r="6411">
      <c r="A6411" s="54"/>
      <c r="B6411" s="71"/>
      <c r="C6411" s="51"/>
      <c r="D6411" s="114"/>
      <c r="E6411" s="114"/>
      <c r="F6411" s="54"/>
      <c r="G6411" s="54"/>
      <c r="I6411" s="54"/>
      <c r="K6411" s="54"/>
      <c r="M6411" s="114"/>
      <c r="N6411" s="1"/>
      <c r="O6411" s="1"/>
      <c r="P6411" s="51"/>
    </row>
    <row r="6412">
      <c r="A6412" s="54"/>
      <c r="B6412" s="71"/>
      <c r="C6412" s="51"/>
      <c r="D6412" s="114"/>
      <c r="E6412" s="114"/>
      <c r="F6412" s="54"/>
      <c r="G6412" s="54"/>
      <c r="I6412" s="54"/>
      <c r="K6412" s="54"/>
      <c r="M6412" s="114"/>
      <c r="N6412" s="1"/>
      <c r="O6412" s="1"/>
      <c r="P6412" s="51"/>
    </row>
    <row r="6413">
      <c r="A6413" s="54"/>
      <c r="B6413" s="71"/>
      <c r="C6413" s="51"/>
      <c r="D6413" s="114"/>
      <c r="E6413" s="114"/>
      <c r="F6413" s="54"/>
      <c r="G6413" s="54"/>
      <c r="I6413" s="54"/>
      <c r="K6413" s="54"/>
      <c r="M6413" s="114"/>
      <c r="N6413" s="1"/>
      <c r="O6413" s="1"/>
      <c r="P6413" s="51"/>
    </row>
    <row r="6414">
      <c r="A6414" s="54"/>
      <c r="B6414" s="71"/>
      <c r="C6414" s="51"/>
      <c r="D6414" s="114"/>
      <c r="E6414" s="114"/>
      <c r="F6414" s="54"/>
      <c r="G6414" s="54"/>
      <c r="I6414" s="54"/>
      <c r="K6414" s="54"/>
      <c r="M6414" s="114"/>
      <c r="N6414" s="1"/>
      <c r="O6414" s="1"/>
      <c r="P6414" s="51"/>
    </row>
    <row r="6415">
      <c r="A6415" s="54"/>
      <c r="B6415" s="71"/>
      <c r="C6415" s="51"/>
      <c r="D6415" s="114"/>
      <c r="E6415" s="114"/>
      <c r="F6415" s="54"/>
      <c r="G6415" s="54"/>
      <c r="I6415" s="54"/>
      <c r="K6415" s="54"/>
      <c r="M6415" s="114"/>
      <c r="N6415" s="1"/>
      <c r="O6415" s="1"/>
      <c r="P6415" s="51"/>
    </row>
    <row r="6416">
      <c r="A6416" s="54"/>
      <c r="B6416" s="71"/>
      <c r="C6416" s="51"/>
      <c r="D6416" s="114"/>
      <c r="E6416" s="114"/>
      <c r="F6416" s="54"/>
      <c r="G6416" s="54"/>
      <c r="I6416" s="54"/>
      <c r="K6416" s="54"/>
      <c r="M6416" s="114"/>
      <c r="N6416" s="1"/>
      <c r="O6416" s="1"/>
      <c r="P6416" s="51"/>
    </row>
    <row r="6417">
      <c r="A6417" s="54"/>
      <c r="B6417" s="71"/>
      <c r="C6417" s="51"/>
      <c r="D6417" s="114"/>
      <c r="E6417" s="114"/>
      <c r="F6417" s="54"/>
      <c r="G6417" s="54"/>
      <c r="I6417" s="54"/>
      <c r="K6417" s="54"/>
      <c r="M6417" s="114"/>
      <c r="N6417" s="1"/>
      <c r="O6417" s="1"/>
      <c r="P6417" s="51"/>
    </row>
    <row r="6418">
      <c r="A6418" s="54"/>
      <c r="B6418" s="71"/>
      <c r="C6418" s="51"/>
      <c r="D6418" s="114"/>
      <c r="E6418" s="114"/>
      <c r="F6418" s="54"/>
      <c r="G6418" s="54"/>
      <c r="I6418" s="54"/>
      <c r="K6418" s="54"/>
      <c r="M6418" s="114"/>
      <c r="N6418" s="1"/>
      <c r="O6418" s="1"/>
      <c r="P6418" s="51"/>
    </row>
    <row r="6419">
      <c r="A6419" s="54"/>
      <c r="B6419" s="71"/>
      <c r="C6419" s="51"/>
      <c r="D6419" s="114"/>
      <c r="E6419" s="114"/>
      <c r="F6419" s="54"/>
      <c r="G6419" s="54"/>
      <c r="I6419" s="54"/>
      <c r="K6419" s="54"/>
      <c r="M6419" s="114"/>
      <c r="N6419" s="1"/>
      <c r="O6419" s="1"/>
      <c r="P6419" s="51"/>
    </row>
    <row r="6420">
      <c r="A6420" s="54"/>
      <c r="B6420" s="71"/>
      <c r="C6420" s="51"/>
      <c r="D6420" s="114"/>
      <c r="E6420" s="114"/>
      <c r="F6420" s="54"/>
      <c r="G6420" s="54"/>
      <c r="I6420" s="54"/>
      <c r="K6420" s="54"/>
      <c r="M6420" s="114"/>
      <c r="N6420" s="1"/>
      <c r="O6420" s="1"/>
      <c r="P6420" s="51"/>
    </row>
    <row r="6421">
      <c r="A6421" s="54"/>
      <c r="B6421" s="71"/>
      <c r="C6421" s="51"/>
      <c r="D6421" s="114"/>
      <c r="E6421" s="114"/>
      <c r="F6421" s="54"/>
      <c r="G6421" s="54"/>
      <c r="I6421" s="54"/>
      <c r="K6421" s="54"/>
      <c r="M6421" s="114"/>
      <c r="N6421" s="1"/>
      <c r="O6421" s="1"/>
      <c r="P6421" s="51"/>
    </row>
    <row r="6422">
      <c r="A6422" s="54"/>
      <c r="B6422" s="71"/>
      <c r="C6422" s="51"/>
      <c r="D6422" s="114"/>
      <c r="E6422" s="114"/>
      <c r="F6422" s="54"/>
      <c r="G6422" s="54"/>
      <c r="I6422" s="54"/>
      <c r="K6422" s="54"/>
      <c r="M6422" s="114"/>
      <c r="N6422" s="1"/>
      <c r="O6422" s="1"/>
      <c r="P6422" s="51"/>
    </row>
    <row r="6423">
      <c r="A6423" s="54"/>
      <c r="B6423" s="71"/>
      <c r="C6423" s="51"/>
      <c r="D6423" s="114"/>
      <c r="E6423" s="114"/>
      <c r="F6423" s="54"/>
      <c r="G6423" s="54"/>
      <c r="I6423" s="54"/>
      <c r="K6423" s="54"/>
      <c r="M6423" s="114"/>
      <c r="N6423" s="1"/>
      <c r="O6423" s="1"/>
      <c r="P6423" s="51"/>
    </row>
    <row r="6424">
      <c r="A6424" s="54"/>
      <c r="B6424" s="71"/>
      <c r="C6424" s="51"/>
      <c r="D6424" s="114"/>
      <c r="E6424" s="114"/>
      <c r="F6424" s="54"/>
      <c r="G6424" s="54"/>
      <c r="I6424" s="54"/>
      <c r="K6424" s="54"/>
      <c r="M6424" s="114"/>
      <c r="N6424" s="1"/>
      <c r="O6424" s="1"/>
      <c r="P6424" s="51"/>
    </row>
    <row r="6425">
      <c r="A6425" s="54"/>
      <c r="B6425" s="71"/>
      <c r="C6425" s="51"/>
      <c r="D6425" s="114"/>
      <c r="E6425" s="114"/>
      <c r="F6425" s="54"/>
      <c r="G6425" s="54"/>
      <c r="I6425" s="54"/>
      <c r="K6425" s="54"/>
      <c r="M6425" s="114"/>
      <c r="N6425" s="1"/>
      <c r="O6425" s="1"/>
      <c r="P6425" s="51"/>
    </row>
    <row r="6426">
      <c r="A6426" s="54"/>
      <c r="B6426" s="71"/>
      <c r="C6426" s="51"/>
      <c r="D6426" s="114"/>
      <c r="E6426" s="114"/>
      <c r="F6426" s="54"/>
      <c r="G6426" s="54"/>
      <c r="I6426" s="54"/>
      <c r="K6426" s="54"/>
      <c r="M6426" s="114"/>
      <c r="N6426" s="1"/>
      <c r="O6426" s="1"/>
      <c r="P6426" s="51"/>
    </row>
    <row r="6427">
      <c r="A6427" s="54"/>
      <c r="B6427" s="71"/>
      <c r="C6427" s="51"/>
      <c r="D6427" s="114"/>
      <c r="E6427" s="114"/>
      <c r="F6427" s="54"/>
      <c r="G6427" s="54"/>
      <c r="I6427" s="54"/>
      <c r="K6427" s="54"/>
      <c r="M6427" s="114"/>
      <c r="N6427" s="1"/>
      <c r="O6427" s="1"/>
      <c r="P6427" s="51"/>
    </row>
    <row r="6428">
      <c r="A6428" s="54"/>
      <c r="B6428" s="71"/>
      <c r="C6428" s="51"/>
      <c r="D6428" s="114"/>
      <c r="E6428" s="114"/>
      <c r="F6428" s="54"/>
      <c r="G6428" s="54"/>
      <c r="I6428" s="54"/>
      <c r="K6428" s="54"/>
      <c r="M6428" s="114"/>
      <c r="N6428" s="1"/>
      <c r="O6428" s="1"/>
      <c r="P6428" s="51"/>
    </row>
    <row r="6429">
      <c r="A6429" s="54"/>
      <c r="B6429" s="71"/>
      <c r="C6429" s="51"/>
      <c r="D6429" s="114"/>
      <c r="E6429" s="114"/>
      <c r="F6429" s="54"/>
      <c r="G6429" s="54"/>
      <c r="I6429" s="54"/>
      <c r="K6429" s="54"/>
      <c r="M6429" s="114"/>
      <c r="N6429" s="1"/>
      <c r="O6429" s="1"/>
      <c r="P6429" s="51"/>
    </row>
    <row r="6430">
      <c r="A6430" s="54"/>
      <c r="B6430" s="71"/>
      <c r="C6430" s="51"/>
      <c r="D6430" s="114"/>
      <c r="E6430" s="114"/>
      <c r="F6430" s="54"/>
      <c r="G6430" s="54"/>
      <c r="I6430" s="54"/>
      <c r="K6430" s="54"/>
      <c r="M6430" s="114"/>
      <c r="N6430" s="1"/>
      <c r="O6430" s="1"/>
      <c r="P6430" s="51"/>
    </row>
    <row r="6431">
      <c r="A6431" s="54"/>
      <c r="B6431" s="71"/>
      <c r="C6431" s="51"/>
      <c r="D6431" s="114"/>
      <c r="E6431" s="114"/>
      <c r="F6431" s="54"/>
      <c r="G6431" s="54"/>
      <c r="I6431" s="54"/>
      <c r="K6431" s="54"/>
      <c r="M6431" s="114"/>
      <c r="N6431" s="1"/>
      <c r="O6431" s="1"/>
      <c r="P6431" s="51"/>
    </row>
    <row r="6432">
      <c r="A6432" s="54"/>
      <c r="B6432" s="71"/>
      <c r="C6432" s="51"/>
      <c r="D6432" s="114"/>
      <c r="E6432" s="114"/>
      <c r="F6432" s="54"/>
      <c r="G6432" s="54"/>
      <c r="I6432" s="54"/>
      <c r="K6432" s="54"/>
      <c r="M6432" s="114"/>
      <c r="N6432" s="1"/>
      <c r="O6432" s="1"/>
      <c r="P6432" s="51"/>
    </row>
    <row r="6433">
      <c r="A6433" s="54"/>
      <c r="B6433" s="71"/>
      <c r="C6433" s="51"/>
      <c r="D6433" s="114"/>
      <c r="E6433" s="114"/>
      <c r="F6433" s="54"/>
      <c r="G6433" s="54"/>
      <c r="I6433" s="54"/>
      <c r="K6433" s="54"/>
      <c r="M6433" s="114"/>
      <c r="N6433" s="1"/>
      <c r="O6433" s="1"/>
      <c r="P6433" s="51"/>
    </row>
    <row r="6434">
      <c r="A6434" s="54"/>
      <c r="B6434" s="71"/>
      <c r="C6434" s="51"/>
      <c r="D6434" s="114"/>
      <c r="E6434" s="114"/>
      <c r="F6434" s="54"/>
      <c r="G6434" s="54"/>
      <c r="I6434" s="54"/>
      <c r="K6434" s="54"/>
      <c r="M6434" s="114"/>
      <c r="N6434" s="1"/>
      <c r="O6434" s="1"/>
      <c r="P6434" s="51"/>
    </row>
    <row r="6435">
      <c r="A6435" s="54"/>
      <c r="B6435" s="71"/>
      <c r="C6435" s="51"/>
      <c r="D6435" s="114"/>
      <c r="E6435" s="114"/>
      <c r="F6435" s="54"/>
      <c r="G6435" s="54"/>
      <c r="I6435" s="54"/>
      <c r="K6435" s="54"/>
      <c r="M6435" s="114"/>
      <c r="N6435" s="1"/>
      <c r="O6435" s="1"/>
      <c r="P6435" s="51"/>
    </row>
    <row r="6436">
      <c r="A6436" s="54"/>
      <c r="B6436" s="71"/>
      <c r="C6436" s="51"/>
      <c r="D6436" s="114"/>
      <c r="E6436" s="114"/>
      <c r="F6436" s="54"/>
      <c r="G6436" s="54"/>
      <c r="I6436" s="54"/>
      <c r="K6436" s="54"/>
      <c r="M6436" s="114"/>
      <c r="N6436" s="1"/>
      <c r="O6436" s="1"/>
      <c r="P6436" s="51"/>
    </row>
    <row r="6437">
      <c r="A6437" s="54"/>
      <c r="B6437" s="71"/>
      <c r="C6437" s="51"/>
      <c r="D6437" s="114"/>
      <c r="E6437" s="114"/>
      <c r="F6437" s="54"/>
      <c r="G6437" s="54"/>
      <c r="I6437" s="54"/>
      <c r="K6437" s="54"/>
      <c r="M6437" s="114"/>
      <c r="N6437" s="1"/>
      <c r="O6437" s="1"/>
      <c r="P6437" s="51"/>
    </row>
    <row r="6438">
      <c r="A6438" s="54"/>
      <c r="B6438" s="71"/>
      <c r="C6438" s="51"/>
      <c r="D6438" s="114"/>
      <c r="E6438" s="114"/>
      <c r="F6438" s="54"/>
      <c r="G6438" s="54"/>
      <c r="I6438" s="54"/>
      <c r="K6438" s="54"/>
      <c r="M6438" s="114"/>
      <c r="N6438" s="1"/>
      <c r="O6438" s="1"/>
      <c r="P6438" s="51"/>
    </row>
    <row r="6439">
      <c r="A6439" s="54"/>
      <c r="B6439" s="71"/>
      <c r="C6439" s="51"/>
      <c r="D6439" s="114"/>
      <c r="E6439" s="114"/>
      <c r="F6439" s="54"/>
      <c r="G6439" s="54"/>
      <c r="I6439" s="54"/>
      <c r="K6439" s="54"/>
      <c r="M6439" s="114"/>
      <c r="N6439" s="1"/>
      <c r="O6439" s="1"/>
      <c r="P6439" s="51"/>
    </row>
    <row r="6440">
      <c r="A6440" s="54"/>
      <c r="B6440" s="71"/>
      <c r="C6440" s="51"/>
      <c r="D6440" s="114"/>
      <c r="E6440" s="114"/>
      <c r="F6440" s="54"/>
      <c r="G6440" s="54"/>
      <c r="I6440" s="54"/>
      <c r="K6440" s="54"/>
      <c r="M6440" s="114"/>
      <c r="N6440" s="1"/>
      <c r="O6440" s="1"/>
      <c r="P6440" s="51"/>
    </row>
    <row r="6441">
      <c r="A6441" s="54"/>
      <c r="B6441" s="71"/>
      <c r="C6441" s="51"/>
      <c r="D6441" s="114"/>
      <c r="E6441" s="114"/>
      <c r="F6441" s="54"/>
      <c r="G6441" s="54"/>
      <c r="I6441" s="54"/>
      <c r="K6441" s="54"/>
      <c r="M6441" s="114"/>
      <c r="N6441" s="1"/>
      <c r="O6441" s="1"/>
      <c r="P6441" s="51"/>
    </row>
    <row r="6442">
      <c r="A6442" s="54"/>
      <c r="B6442" s="71"/>
      <c r="C6442" s="51"/>
      <c r="D6442" s="114"/>
      <c r="E6442" s="114"/>
      <c r="F6442" s="54"/>
      <c r="G6442" s="54"/>
      <c r="I6442" s="54"/>
      <c r="K6442" s="54"/>
      <c r="M6442" s="114"/>
      <c r="N6442" s="1"/>
      <c r="O6442" s="1"/>
      <c r="P6442" s="51"/>
    </row>
    <row r="6443">
      <c r="A6443" s="54"/>
      <c r="B6443" s="71"/>
      <c r="C6443" s="51"/>
      <c r="D6443" s="114"/>
      <c r="E6443" s="114"/>
      <c r="F6443" s="54"/>
      <c r="G6443" s="54"/>
      <c r="I6443" s="54"/>
      <c r="K6443" s="54"/>
      <c r="M6443" s="114"/>
      <c r="N6443" s="1"/>
      <c r="O6443" s="1"/>
      <c r="P6443" s="51"/>
    </row>
    <row r="6444">
      <c r="A6444" s="54"/>
      <c r="B6444" s="71"/>
      <c r="C6444" s="51"/>
      <c r="D6444" s="114"/>
      <c r="E6444" s="114"/>
      <c r="F6444" s="54"/>
      <c r="G6444" s="54"/>
      <c r="I6444" s="54"/>
      <c r="K6444" s="54"/>
      <c r="M6444" s="114"/>
      <c r="N6444" s="1"/>
      <c r="O6444" s="1"/>
      <c r="P6444" s="51"/>
    </row>
    <row r="6445">
      <c r="A6445" s="54"/>
      <c r="B6445" s="71"/>
      <c r="C6445" s="51"/>
      <c r="D6445" s="114"/>
      <c r="E6445" s="114"/>
      <c r="F6445" s="54"/>
      <c r="G6445" s="54"/>
      <c r="I6445" s="54"/>
      <c r="K6445" s="54"/>
      <c r="M6445" s="114"/>
      <c r="N6445" s="1"/>
      <c r="O6445" s="1"/>
      <c r="P6445" s="51"/>
    </row>
    <row r="6446">
      <c r="A6446" s="54"/>
      <c r="B6446" s="71"/>
      <c r="C6446" s="51"/>
      <c r="D6446" s="114"/>
      <c r="E6446" s="114"/>
      <c r="F6446" s="54"/>
      <c r="G6446" s="54"/>
      <c r="I6446" s="54"/>
      <c r="K6446" s="54"/>
      <c r="M6446" s="114"/>
      <c r="N6446" s="1"/>
      <c r="O6446" s="1"/>
      <c r="P6446" s="51"/>
    </row>
    <row r="6447">
      <c r="A6447" s="54"/>
      <c r="B6447" s="71"/>
      <c r="C6447" s="51"/>
      <c r="D6447" s="114"/>
      <c r="E6447" s="114"/>
      <c r="F6447" s="54"/>
      <c r="G6447" s="54"/>
      <c r="I6447" s="54"/>
      <c r="K6447" s="54"/>
      <c r="M6447" s="114"/>
      <c r="N6447" s="1"/>
      <c r="O6447" s="1"/>
      <c r="P6447" s="51"/>
    </row>
    <row r="6448">
      <c r="A6448" s="54"/>
      <c r="B6448" s="71"/>
      <c r="C6448" s="51"/>
      <c r="D6448" s="114"/>
      <c r="E6448" s="114"/>
      <c r="F6448" s="54"/>
      <c r="G6448" s="54"/>
      <c r="I6448" s="54"/>
      <c r="K6448" s="54"/>
      <c r="M6448" s="114"/>
      <c r="N6448" s="1"/>
      <c r="O6448" s="1"/>
      <c r="P6448" s="51"/>
    </row>
    <row r="6449">
      <c r="A6449" s="54"/>
      <c r="B6449" s="71"/>
      <c r="C6449" s="51"/>
      <c r="D6449" s="114"/>
      <c r="E6449" s="114"/>
      <c r="F6449" s="54"/>
      <c r="G6449" s="54"/>
      <c r="I6449" s="54"/>
      <c r="K6449" s="54"/>
      <c r="M6449" s="114"/>
      <c r="N6449" s="1"/>
      <c r="O6449" s="1"/>
      <c r="P6449" s="51"/>
    </row>
    <row r="6450">
      <c r="A6450" s="54"/>
      <c r="B6450" s="71"/>
      <c r="C6450" s="51"/>
      <c r="D6450" s="114"/>
      <c r="E6450" s="114"/>
      <c r="F6450" s="54"/>
      <c r="G6450" s="54"/>
      <c r="I6450" s="54"/>
      <c r="K6450" s="54"/>
      <c r="M6450" s="114"/>
      <c r="N6450" s="1"/>
      <c r="O6450" s="1"/>
      <c r="P6450" s="51"/>
    </row>
    <row r="6451">
      <c r="A6451" s="54"/>
      <c r="B6451" s="71"/>
      <c r="C6451" s="51"/>
      <c r="D6451" s="114"/>
      <c r="E6451" s="114"/>
      <c r="F6451" s="54"/>
      <c r="G6451" s="54"/>
      <c r="I6451" s="54"/>
      <c r="K6451" s="54"/>
      <c r="M6451" s="114"/>
      <c r="N6451" s="1"/>
      <c r="O6451" s="1"/>
      <c r="P6451" s="51"/>
    </row>
    <row r="6452">
      <c r="A6452" s="54"/>
      <c r="B6452" s="71"/>
      <c r="C6452" s="51"/>
      <c r="D6452" s="114"/>
      <c r="E6452" s="114"/>
      <c r="F6452" s="54"/>
      <c r="G6452" s="54"/>
      <c r="I6452" s="54"/>
      <c r="K6452" s="54"/>
      <c r="M6452" s="114"/>
      <c r="N6452" s="1"/>
      <c r="O6452" s="1"/>
      <c r="P6452" s="51"/>
    </row>
    <row r="6453">
      <c r="A6453" s="54"/>
      <c r="B6453" s="71"/>
      <c r="C6453" s="51"/>
      <c r="D6453" s="114"/>
      <c r="E6453" s="114"/>
      <c r="F6453" s="54"/>
      <c r="G6453" s="54"/>
      <c r="I6453" s="54"/>
      <c r="K6453" s="54"/>
      <c r="M6453" s="114"/>
      <c r="N6453" s="1"/>
      <c r="O6453" s="1"/>
      <c r="P6453" s="51"/>
    </row>
    <row r="6454">
      <c r="A6454" s="54"/>
      <c r="B6454" s="71"/>
      <c r="C6454" s="51"/>
      <c r="D6454" s="114"/>
      <c r="E6454" s="114"/>
      <c r="F6454" s="54"/>
      <c r="G6454" s="54"/>
      <c r="I6454" s="54"/>
      <c r="K6454" s="54"/>
      <c r="M6454" s="114"/>
      <c r="N6454" s="1"/>
      <c r="O6454" s="1"/>
      <c r="P6454" s="51"/>
    </row>
    <row r="6455">
      <c r="A6455" s="54"/>
      <c r="B6455" s="71"/>
      <c r="C6455" s="51"/>
      <c r="D6455" s="114"/>
      <c r="E6455" s="114"/>
      <c r="F6455" s="54"/>
      <c r="G6455" s="54"/>
      <c r="I6455" s="54"/>
      <c r="K6455" s="54"/>
      <c r="M6455" s="114"/>
      <c r="N6455" s="1"/>
      <c r="O6455" s="1"/>
      <c r="P6455" s="51"/>
    </row>
    <row r="6456">
      <c r="A6456" s="54"/>
      <c r="B6456" s="71"/>
      <c r="C6456" s="51"/>
      <c r="D6456" s="114"/>
      <c r="E6456" s="114"/>
      <c r="F6456" s="54"/>
      <c r="G6456" s="54"/>
      <c r="I6456" s="54"/>
      <c r="K6456" s="54"/>
      <c r="M6456" s="114"/>
      <c r="N6456" s="1"/>
      <c r="O6456" s="1"/>
      <c r="P6456" s="51"/>
    </row>
    <row r="6457">
      <c r="A6457" s="54"/>
      <c r="B6457" s="71"/>
      <c r="C6457" s="51"/>
      <c r="D6457" s="114"/>
      <c r="E6457" s="114"/>
      <c r="F6457" s="54"/>
      <c r="G6457" s="54"/>
      <c r="I6457" s="54"/>
      <c r="K6457" s="54"/>
      <c r="M6457" s="114"/>
      <c r="N6457" s="1"/>
      <c r="O6457" s="1"/>
      <c r="P6457" s="51"/>
    </row>
    <row r="6458">
      <c r="A6458" s="54"/>
      <c r="B6458" s="71"/>
      <c r="C6458" s="51"/>
      <c r="D6458" s="114"/>
      <c r="E6458" s="114"/>
      <c r="F6458" s="54"/>
      <c r="G6458" s="54"/>
      <c r="I6458" s="54"/>
      <c r="K6458" s="54"/>
      <c r="M6458" s="114"/>
      <c r="N6458" s="1"/>
      <c r="O6458" s="1"/>
      <c r="P6458" s="51"/>
    </row>
    <row r="6459">
      <c r="A6459" s="54"/>
      <c r="B6459" s="71"/>
      <c r="C6459" s="51"/>
      <c r="D6459" s="114"/>
      <c r="E6459" s="114"/>
      <c r="F6459" s="54"/>
      <c r="G6459" s="54"/>
      <c r="I6459" s="54"/>
      <c r="K6459" s="54"/>
      <c r="M6459" s="114"/>
      <c r="N6459" s="1"/>
      <c r="O6459" s="1"/>
      <c r="P6459" s="51"/>
    </row>
    <row r="6460">
      <c r="A6460" s="54"/>
      <c r="B6460" s="71"/>
      <c r="C6460" s="51"/>
      <c r="D6460" s="114"/>
      <c r="E6460" s="114"/>
      <c r="F6460" s="54"/>
      <c r="G6460" s="54"/>
      <c r="I6460" s="54"/>
      <c r="K6460" s="54"/>
      <c r="M6460" s="114"/>
      <c r="N6460" s="1"/>
      <c r="O6460" s="1"/>
      <c r="P6460" s="51"/>
    </row>
    <row r="6461">
      <c r="A6461" s="54"/>
      <c r="B6461" s="71"/>
      <c r="C6461" s="51"/>
      <c r="D6461" s="114"/>
      <c r="E6461" s="114"/>
      <c r="F6461" s="54"/>
      <c r="G6461" s="54"/>
      <c r="I6461" s="54"/>
      <c r="K6461" s="54"/>
      <c r="M6461" s="114"/>
      <c r="N6461" s="1"/>
      <c r="O6461" s="1"/>
      <c r="P6461" s="51"/>
    </row>
    <row r="6462">
      <c r="A6462" s="54"/>
      <c r="B6462" s="71"/>
      <c r="C6462" s="51"/>
      <c r="D6462" s="114"/>
      <c r="E6462" s="114"/>
      <c r="F6462" s="54"/>
      <c r="G6462" s="54"/>
      <c r="I6462" s="54"/>
      <c r="K6462" s="54"/>
      <c r="M6462" s="114"/>
      <c r="N6462" s="1"/>
      <c r="O6462" s="1"/>
      <c r="P6462" s="51"/>
    </row>
    <row r="6463">
      <c r="A6463" s="54"/>
      <c r="B6463" s="71"/>
      <c r="C6463" s="51"/>
      <c r="D6463" s="114"/>
      <c r="E6463" s="114"/>
      <c r="F6463" s="54"/>
      <c r="G6463" s="54"/>
      <c r="I6463" s="54"/>
      <c r="K6463" s="54"/>
      <c r="M6463" s="114"/>
      <c r="N6463" s="1"/>
      <c r="O6463" s="1"/>
      <c r="P6463" s="51"/>
    </row>
    <row r="6464">
      <c r="A6464" s="54"/>
      <c r="B6464" s="71"/>
      <c r="C6464" s="51"/>
      <c r="D6464" s="114"/>
      <c r="E6464" s="114"/>
      <c r="F6464" s="54"/>
      <c r="G6464" s="54"/>
      <c r="I6464" s="54"/>
      <c r="K6464" s="54"/>
      <c r="M6464" s="114"/>
      <c r="N6464" s="1"/>
      <c r="O6464" s="1"/>
      <c r="P6464" s="51"/>
    </row>
    <row r="6465">
      <c r="A6465" s="54"/>
      <c r="B6465" s="71"/>
      <c r="C6465" s="51"/>
      <c r="D6465" s="114"/>
      <c r="E6465" s="114"/>
      <c r="F6465" s="54"/>
      <c r="G6465" s="54"/>
      <c r="I6465" s="54"/>
      <c r="K6465" s="54"/>
      <c r="M6465" s="114"/>
      <c r="N6465" s="1"/>
      <c r="O6465" s="1"/>
      <c r="P6465" s="51"/>
    </row>
    <row r="6466">
      <c r="A6466" s="54"/>
      <c r="B6466" s="71"/>
      <c r="C6466" s="51"/>
      <c r="D6466" s="114"/>
      <c r="E6466" s="114"/>
      <c r="F6466" s="54"/>
      <c r="G6466" s="54"/>
      <c r="I6466" s="54"/>
      <c r="K6466" s="54"/>
      <c r="M6466" s="114"/>
      <c r="N6466" s="1"/>
      <c r="O6466" s="1"/>
      <c r="P6466" s="51"/>
    </row>
    <row r="6467">
      <c r="A6467" s="54"/>
      <c r="B6467" s="71"/>
      <c r="C6467" s="51"/>
      <c r="D6467" s="114"/>
      <c r="E6467" s="114"/>
      <c r="F6467" s="54"/>
      <c r="G6467" s="54"/>
      <c r="I6467" s="54"/>
      <c r="K6467" s="54"/>
      <c r="M6467" s="114"/>
      <c r="N6467" s="1"/>
      <c r="O6467" s="1"/>
      <c r="P6467" s="51"/>
    </row>
    <row r="6468">
      <c r="A6468" s="54"/>
      <c r="B6468" s="71"/>
      <c r="C6468" s="51"/>
      <c r="D6468" s="114"/>
      <c r="E6468" s="114"/>
      <c r="F6468" s="54"/>
      <c r="G6468" s="54"/>
      <c r="I6468" s="54"/>
      <c r="K6468" s="54"/>
      <c r="M6468" s="114"/>
      <c r="N6468" s="1"/>
      <c r="O6468" s="1"/>
      <c r="P6468" s="51"/>
    </row>
    <row r="6469">
      <c r="A6469" s="54"/>
      <c r="B6469" s="71"/>
      <c r="C6469" s="51"/>
      <c r="D6469" s="114"/>
      <c r="E6469" s="114"/>
      <c r="F6469" s="54"/>
      <c r="G6469" s="54"/>
      <c r="I6469" s="54"/>
      <c r="K6469" s="54"/>
      <c r="M6469" s="114"/>
      <c r="N6469" s="1"/>
      <c r="O6469" s="1"/>
      <c r="P6469" s="51"/>
    </row>
    <row r="6470">
      <c r="A6470" s="54"/>
      <c r="B6470" s="71"/>
      <c r="C6470" s="51"/>
      <c r="D6470" s="114"/>
      <c r="E6470" s="114"/>
      <c r="F6470" s="54"/>
      <c r="G6470" s="54"/>
      <c r="I6470" s="54"/>
      <c r="K6470" s="54"/>
      <c r="M6470" s="114"/>
      <c r="N6470" s="1"/>
      <c r="O6470" s="1"/>
      <c r="P6470" s="51"/>
    </row>
    <row r="6471">
      <c r="A6471" s="54"/>
      <c r="B6471" s="71"/>
      <c r="C6471" s="51"/>
      <c r="D6471" s="114"/>
      <c r="E6471" s="114"/>
      <c r="F6471" s="54"/>
      <c r="G6471" s="54"/>
      <c r="I6471" s="54"/>
      <c r="K6471" s="54"/>
      <c r="M6471" s="114"/>
      <c r="N6471" s="1"/>
      <c r="O6471" s="1"/>
      <c r="P6471" s="51"/>
    </row>
    <row r="6472">
      <c r="A6472" s="54"/>
      <c r="B6472" s="71"/>
      <c r="C6472" s="51"/>
      <c r="D6472" s="114"/>
      <c r="E6472" s="114"/>
      <c r="F6472" s="54"/>
      <c r="G6472" s="54"/>
      <c r="I6472" s="54"/>
      <c r="K6472" s="54"/>
      <c r="M6472" s="114"/>
      <c r="N6472" s="1"/>
      <c r="O6472" s="1"/>
      <c r="P6472" s="51"/>
    </row>
    <row r="6473">
      <c r="A6473" s="54"/>
      <c r="B6473" s="71"/>
      <c r="C6473" s="51"/>
      <c r="D6473" s="114"/>
      <c r="E6473" s="114"/>
      <c r="F6473" s="54"/>
      <c r="G6473" s="54"/>
      <c r="I6473" s="54"/>
      <c r="K6473" s="54"/>
      <c r="M6473" s="114"/>
      <c r="N6473" s="1"/>
      <c r="O6473" s="1"/>
      <c r="P6473" s="51"/>
    </row>
    <row r="6474">
      <c r="A6474" s="54"/>
      <c r="B6474" s="71"/>
      <c r="C6474" s="51"/>
      <c r="D6474" s="114"/>
      <c r="E6474" s="114"/>
      <c r="F6474" s="54"/>
      <c r="G6474" s="54"/>
      <c r="I6474" s="54"/>
      <c r="K6474" s="54"/>
      <c r="M6474" s="114"/>
      <c r="N6474" s="1"/>
      <c r="O6474" s="1"/>
      <c r="P6474" s="51"/>
    </row>
    <row r="6475">
      <c r="A6475" s="54"/>
      <c r="B6475" s="71"/>
      <c r="C6475" s="51"/>
      <c r="D6475" s="114"/>
      <c r="E6475" s="114"/>
      <c r="F6475" s="54"/>
      <c r="G6475" s="54"/>
      <c r="I6475" s="54"/>
      <c r="K6475" s="54"/>
      <c r="M6475" s="114"/>
      <c r="N6475" s="1"/>
      <c r="O6475" s="1"/>
      <c r="P6475" s="51"/>
    </row>
    <row r="6476">
      <c r="A6476" s="54"/>
      <c r="B6476" s="71"/>
      <c r="C6476" s="51"/>
      <c r="D6476" s="114"/>
      <c r="E6476" s="114"/>
      <c r="F6476" s="54"/>
      <c r="G6476" s="54"/>
      <c r="I6476" s="54"/>
      <c r="K6476" s="54"/>
      <c r="M6476" s="114"/>
      <c r="N6476" s="1"/>
      <c r="O6476" s="1"/>
      <c r="P6476" s="51"/>
    </row>
    <row r="6477">
      <c r="A6477" s="54"/>
      <c r="B6477" s="71"/>
      <c r="C6477" s="51"/>
      <c r="D6477" s="114"/>
      <c r="E6477" s="114"/>
      <c r="F6477" s="54"/>
      <c r="G6477" s="54"/>
      <c r="I6477" s="54"/>
      <c r="K6477" s="54"/>
      <c r="M6477" s="114"/>
      <c r="N6477" s="1"/>
      <c r="O6477" s="1"/>
      <c r="P6477" s="51"/>
    </row>
    <row r="6478">
      <c r="A6478" s="54"/>
      <c r="B6478" s="71"/>
      <c r="C6478" s="51"/>
      <c r="D6478" s="114"/>
      <c r="E6478" s="114"/>
      <c r="F6478" s="54"/>
      <c r="G6478" s="54"/>
      <c r="I6478" s="54"/>
      <c r="K6478" s="54"/>
      <c r="M6478" s="114"/>
      <c r="N6478" s="1"/>
      <c r="O6478" s="1"/>
      <c r="P6478" s="51"/>
    </row>
    <row r="6479">
      <c r="A6479" s="54"/>
      <c r="B6479" s="71"/>
      <c r="C6479" s="51"/>
      <c r="D6479" s="114"/>
      <c r="E6479" s="114"/>
      <c r="F6479" s="54"/>
      <c r="G6479" s="54"/>
      <c r="I6479" s="54"/>
      <c r="K6479" s="54"/>
      <c r="M6479" s="114"/>
      <c r="N6479" s="1"/>
      <c r="O6479" s="1"/>
      <c r="P6479" s="51"/>
    </row>
    <row r="6480">
      <c r="A6480" s="54"/>
      <c r="B6480" s="71"/>
      <c r="C6480" s="51"/>
      <c r="D6480" s="114"/>
      <c r="E6480" s="114"/>
      <c r="F6480" s="54"/>
      <c r="G6480" s="54"/>
      <c r="I6480" s="54"/>
      <c r="K6480" s="54"/>
      <c r="M6480" s="114"/>
      <c r="N6480" s="1"/>
      <c r="O6480" s="1"/>
      <c r="P6480" s="51"/>
    </row>
    <row r="6481">
      <c r="A6481" s="54"/>
      <c r="B6481" s="71"/>
      <c r="C6481" s="51"/>
      <c r="D6481" s="114"/>
      <c r="E6481" s="114"/>
      <c r="F6481" s="54"/>
      <c r="G6481" s="54"/>
      <c r="I6481" s="54"/>
      <c r="K6481" s="54"/>
      <c r="M6481" s="114"/>
      <c r="N6481" s="1"/>
      <c r="O6481" s="1"/>
      <c r="P6481" s="51"/>
    </row>
    <row r="6482">
      <c r="A6482" s="54"/>
      <c r="B6482" s="71"/>
      <c r="C6482" s="51"/>
      <c r="D6482" s="114"/>
      <c r="E6482" s="114"/>
      <c r="F6482" s="54"/>
      <c r="G6482" s="54"/>
      <c r="I6482" s="54"/>
      <c r="K6482" s="54"/>
      <c r="M6482" s="114"/>
      <c r="N6482" s="1"/>
      <c r="O6482" s="1"/>
      <c r="P6482" s="51"/>
    </row>
    <row r="6483">
      <c r="A6483" s="54"/>
      <c r="B6483" s="71"/>
      <c r="C6483" s="51"/>
      <c r="D6483" s="114"/>
      <c r="E6483" s="114"/>
      <c r="F6483" s="54"/>
      <c r="G6483" s="54"/>
      <c r="I6483" s="54"/>
      <c r="K6483" s="54"/>
      <c r="M6483" s="114"/>
      <c r="N6483" s="1"/>
      <c r="O6483" s="1"/>
      <c r="P6483" s="51"/>
    </row>
    <row r="6484">
      <c r="A6484" s="54"/>
      <c r="B6484" s="71"/>
      <c r="C6484" s="51"/>
      <c r="D6484" s="114"/>
      <c r="E6484" s="114"/>
      <c r="F6484" s="54"/>
      <c r="G6484" s="54"/>
      <c r="I6484" s="54"/>
      <c r="K6484" s="54"/>
      <c r="M6484" s="114"/>
      <c r="N6484" s="1"/>
      <c r="O6484" s="1"/>
      <c r="P6484" s="51"/>
    </row>
    <row r="6485">
      <c r="A6485" s="54"/>
      <c r="B6485" s="71"/>
      <c r="C6485" s="51"/>
      <c r="D6485" s="114"/>
      <c r="E6485" s="114"/>
      <c r="F6485" s="54"/>
      <c r="G6485" s="54"/>
      <c r="I6485" s="54"/>
      <c r="K6485" s="54"/>
      <c r="M6485" s="114"/>
      <c r="N6485" s="1"/>
      <c r="O6485" s="1"/>
      <c r="P6485" s="51"/>
    </row>
    <row r="6486">
      <c r="A6486" s="54"/>
      <c r="B6486" s="71"/>
      <c r="C6486" s="51"/>
      <c r="D6486" s="114"/>
      <c r="E6486" s="114"/>
      <c r="F6486" s="54"/>
      <c r="G6486" s="54"/>
      <c r="I6486" s="54"/>
      <c r="K6486" s="54"/>
      <c r="M6486" s="114"/>
      <c r="N6486" s="1"/>
      <c r="O6486" s="1"/>
      <c r="P6486" s="51"/>
    </row>
    <row r="6487">
      <c r="A6487" s="54"/>
      <c r="B6487" s="71"/>
      <c r="C6487" s="51"/>
      <c r="D6487" s="114"/>
      <c r="E6487" s="114"/>
      <c r="F6487" s="54"/>
      <c r="G6487" s="54"/>
      <c r="I6487" s="54"/>
      <c r="K6487" s="54"/>
      <c r="M6487" s="114"/>
      <c r="N6487" s="1"/>
      <c r="O6487" s="1"/>
      <c r="P6487" s="51"/>
    </row>
    <row r="6488">
      <c r="A6488" s="54"/>
      <c r="B6488" s="71"/>
      <c r="C6488" s="51"/>
      <c r="D6488" s="114"/>
      <c r="E6488" s="114"/>
      <c r="F6488" s="54"/>
      <c r="G6488" s="54"/>
      <c r="I6488" s="54"/>
      <c r="K6488" s="54"/>
      <c r="M6488" s="114"/>
      <c r="N6488" s="1"/>
      <c r="O6488" s="1"/>
      <c r="P6488" s="51"/>
    </row>
    <row r="6489">
      <c r="A6489" s="54"/>
      <c r="B6489" s="71"/>
      <c r="C6489" s="51"/>
      <c r="D6489" s="114"/>
      <c r="E6489" s="114"/>
      <c r="F6489" s="54"/>
      <c r="G6489" s="54"/>
      <c r="I6489" s="54"/>
      <c r="K6489" s="54"/>
      <c r="M6489" s="114"/>
      <c r="N6489" s="1"/>
      <c r="O6489" s="1"/>
      <c r="P6489" s="51"/>
    </row>
    <row r="6490">
      <c r="A6490" s="54"/>
      <c r="B6490" s="71"/>
      <c r="C6490" s="51"/>
      <c r="D6490" s="114"/>
      <c r="E6490" s="114"/>
      <c r="F6490" s="54"/>
      <c r="G6490" s="54"/>
      <c r="I6490" s="54"/>
      <c r="K6490" s="54"/>
      <c r="M6490" s="114"/>
      <c r="N6490" s="1"/>
      <c r="O6490" s="1"/>
      <c r="P6490" s="51"/>
    </row>
    <row r="6491">
      <c r="A6491" s="54"/>
      <c r="B6491" s="71"/>
      <c r="C6491" s="51"/>
      <c r="D6491" s="114"/>
      <c r="E6491" s="114"/>
      <c r="F6491" s="54"/>
      <c r="G6491" s="54"/>
      <c r="I6491" s="54"/>
      <c r="K6491" s="54"/>
      <c r="M6491" s="114"/>
      <c r="N6491" s="1"/>
      <c r="O6491" s="1"/>
      <c r="P6491" s="51"/>
    </row>
    <row r="6492">
      <c r="A6492" s="54"/>
      <c r="B6492" s="71"/>
      <c r="C6492" s="51"/>
      <c r="D6492" s="114"/>
      <c r="E6492" s="114"/>
      <c r="F6492" s="54"/>
      <c r="G6492" s="54"/>
      <c r="I6492" s="54"/>
      <c r="K6492" s="54"/>
      <c r="M6492" s="114"/>
      <c r="N6492" s="1"/>
      <c r="O6492" s="1"/>
      <c r="P6492" s="51"/>
    </row>
    <row r="6493">
      <c r="A6493" s="54"/>
      <c r="B6493" s="71"/>
      <c r="C6493" s="51"/>
      <c r="D6493" s="114"/>
      <c r="E6493" s="114"/>
      <c r="F6493" s="54"/>
      <c r="G6493" s="54"/>
      <c r="I6493" s="54"/>
      <c r="K6493" s="54"/>
      <c r="M6493" s="114"/>
      <c r="N6493" s="1"/>
      <c r="O6493" s="1"/>
      <c r="P6493" s="51"/>
    </row>
    <row r="6494">
      <c r="A6494" s="54"/>
      <c r="B6494" s="71"/>
      <c r="C6494" s="51"/>
      <c r="D6494" s="114"/>
      <c r="E6494" s="114"/>
      <c r="F6494" s="54"/>
      <c r="G6494" s="54"/>
      <c r="I6494" s="54"/>
      <c r="K6494" s="54"/>
      <c r="M6494" s="114"/>
      <c r="N6494" s="1"/>
      <c r="O6494" s="1"/>
      <c r="P6494" s="51"/>
    </row>
    <row r="6495">
      <c r="A6495" s="54"/>
      <c r="B6495" s="71"/>
      <c r="C6495" s="51"/>
      <c r="D6495" s="114"/>
      <c r="E6495" s="114"/>
      <c r="F6495" s="54"/>
      <c r="G6495" s="54"/>
      <c r="I6495" s="54"/>
      <c r="K6495" s="54"/>
      <c r="M6495" s="114"/>
      <c r="N6495" s="1"/>
      <c r="O6495" s="1"/>
      <c r="P6495" s="51"/>
    </row>
    <row r="6496">
      <c r="A6496" s="54"/>
      <c r="B6496" s="71"/>
      <c r="C6496" s="51"/>
      <c r="D6496" s="114"/>
      <c r="E6496" s="114"/>
      <c r="F6496" s="54"/>
      <c r="G6496" s="54"/>
      <c r="I6496" s="54"/>
      <c r="K6496" s="54"/>
      <c r="M6496" s="114"/>
      <c r="N6496" s="1"/>
      <c r="O6496" s="1"/>
      <c r="P6496" s="51"/>
    </row>
    <row r="6497">
      <c r="A6497" s="54"/>
      <c r="B6497" s="71"/>
      <c r="C6497" s="51"/>
      <c r="D6497" s="114"/>
      <c r="E6497" s="114"/>
      <c r="F6497" s="54"/>
      <c r="G6497" s="54"/>
      <c r="I6497" s="54"/>
      <c r="K6497" s="54"/>
      <c r="M6497" s="114"/>
      <c r="N6497" s="1"/>
      <c r="O6497" s="1"/>
      <c r="P6497" s="51"/>
    </row>
    <row r="6498">
      <c r="A6498" s="54"/>
      <c r="B6498" s="71"/>
      <c r="C6498" s="51"/>
      <c r="D6498" s="114"/>
      <c r="E6498" s="114"/>
      <c r="F6498" s="54"/>
      <c r="G6498" s="54"/>
      <c r="I6498" s="54"/>
      <c r="K6498" s="54"/>
      <c r="M6498" s="114"/>
      <c r="N6498" s="1"/>
      <c r="O6498" s="1"/>
      <c r="P6498" s="51"/>
    </row>
    <row r="6499">
      <c r="A6499" s="54"/>
      <c r="B6499" s="71"/>
      <c r="C6499" s="51"/>
      <c r="D6499" s="114"/>
      <c r="E6499" s="114"/>
      <c r="F6499" s="54"/>
      <c r="G6499" s="54"/>
      <c r="I6499" s="54"/>
      <c r="K6499" s="54"/>
      <c r="M6499" s="114"/>
      <c r="N6499" s="1"/>
      <c r="O6499" s="1"/>
      <c r="P6499" s="51"/>
    </row>
    <row r="6500">
      <c r="A6500" s="54"/>
      <c r="B6500" s="71"/>
      <c r="C6500" s="51"/>
      <c r="D6500" s="114"/>
      <c r="E6500" s="114"/>
      <c r="F6500" s="54"/>
      <c r="G6500" s="54"/>
      <c r="I6500" s="54"/>
      <c r="K6500" s="54"/>
      <c r="M6500" s="114"/>
      <c r="N6500" s="1"/>
      <c r="O6500" s="1"/>
      <c r="P6500" s="51"/>
    </row>
    <row r="6501">
      <c r="A6501" s="54"/>
      <c r="B6501" s="71"/>
      <c r="C6501" s="51"/>
      <c r="D6501" s="114"/>
      <c r="E6501" s="114"/>
      <c r="F6501" s="54"/>
      <c r="G6501" s="54"/>
      <c r="I6501" s="54"/>
      <c r="K6501" s="54"/>
      <c r="M6501" s="114"/>
      <c r="N6501" s="1"/>
      <c r="O6501" s="1"/>
      <c r="P6501" s="51"/>
    </row>
    <row r="6502">
      <c r="A6502" s="54"/>
      <c r="B6502" s="71"/>
      <c r="C6502" s="51"/>
      <c r="D6502" s="114"/>
      <c r="E6502" s="114"/>
      <c r="F6502" s="54"/>
      <c r="G6502" s="54"/>
      <c r="I6502" s="54"/>
      <c r="K6502" s="54"/>
      <c r="M6502" s="114"/>
      <c r="N6502" s="1"/>
      <c r="O6502" s="1"/>
      <c r="P6502" s="51"/>
    </row>
    <row r="6503">
      <c r="A6503" s="54"/>
      <c r="B6503" s="71"/>
      <c r="C6503" s="51"/>
      <c r="D6503" s="114"/>
      <c r="E6503" s="114"/>
      <c r="F6503" s="54"/>
      <c r="G6503" s="54"/>
      <c r="I6503" s="54"/>
      <c r="K6503" s="54"/>
      <c r="M6503" s="114"/>
      <c r="N6503" s="1"/>
      <c r="O6503" s="1"/>
      <c r="P6503" s="51"/>
    </row>
    <row r="6504">
      <c r="A6504" s="54"/>
      <c r="B6504" s="71"/>
      <c r="C6504" s="51"/>
      <c r="D6504" s="114"/>
      <c r="E6504" s="114"/>
      <c r="F6504" s="54"/>
      <c r="G6504" s="54"/>
      <c r="I6504" s="54"/>
      <c r="K6504" s="54"/>
      <c r="M6504" s="114"/>
      <c r="N6504" s="1"/>
      <c r="O6504" s="1"/>
      <c r="P6504" s="51"/>
    </row>
    <row r="6505">
      <c r="A6505" s="54"/>
      <c r="B6505" s="71"/>
      <c r="C6505" s="51"/>
      <c r="D6505" s="114"/>
      <c r="E6505" s="114"/>
      <c r="F6505" s="54"/>
      <c r="G6505" s="54"/>
      <c r="I6505" s="54"/>
      <c r="K6505" s="54"/>
      <c r="M6505" s="114"/>
      <c r="N6505" s="1"/>
      <c r="O6505" s="1"/>
      <c r="P6505" s="51"/>
    </row>
    <row r="6506">
      <c r="A6506" s="54"/>
      <c r="B6506" s="71"/>
      <c r="C6506" s="51"/>
      <c r="D6506" s="114"/>
      <c r="E6506" s="114"/>
      <c r="F6506" s="54"/>
      <c r="G6506" s="54"/>
      <c r="I6506" s="54"/>
      <c r="K6506" s="54"/>
      <c r="M6506" s="114"/>
      <c r="N6506" s="1"/>
      <c r="O6506" s="1"/>
      <c r="P6506" s="51"/>
    </row>
    <row r="6507">
      <c r="A6507" s="54"/>
      <c r="B6507" s="71"/>
      <c r="C6507" s="51"/>
      <c r="D6507" s="114"/>
      <c r="E6507" s="114"/>
      <c r="F6507" s="54"/>
      <c r="G6507" s="54"/>
      <c r="I6507" s="54"/>
      <c r="K6507" s="54"/>
      <c r="M6507" s="114"/>
      <c r="N6507" s="1"/>
      <c r="O6507" s="1"/>
      <c r="P6507" s="51"/>
    </row>
    <row r="6508">
      <c r="A6508" s="54"/>
      <c r="B6508" s="71"/>
      <c r="C6508" s="51"/>
      <c r="D6508" s="114"/>
      <c r="E6508" s="114"/>
      <c r="F6508" s="54"/>
      <c r="G6508" s="54"/>
      <c r="I6508" s="54"/>
      <c r="K6508" s="54"/>
      <c r="M6508" s="114"/>
      <c r="N6508" s="1"/>
      <c r="O6508" s="1"/>
      <c r="P6508" s="51"/>
    </row>
    <row r="6509">
      <c r="A6509" s="54"/>
      <c r="B6509" s="71"/>
      <c r="C6509" s="51"/>
      <c r="D6509" s="114"/>
      <c r="E6509" s="114"/>
      <c r="F6509" s="54"/>
      <c r="G6509" s="54"/>
      <c r="I6509" s="54"/>
      <c r="K6509" s="54"/>
      <c r="M6509" s="114"/>
      <c r="N6509" s="1"/>
      <c r="O6509" s="1"/>
      <c r="P6509" s="51"/>
    </row>
    <row r="6510">
      <c r="A6510" s="54"/>
      <c r="B6510" s="71"/>
      <c r="C6510" s="51"/>
      <c r="D6510" s="114"/>
      <c r="E6510" s="114"/>
      <c r="F6510" s="54"/>
      <c r="G6510" s="54"/>
      <c r="I6510" s="54"/>
      <c r="K6510" s="54"/>
      <c r="M6510" s="114"/>
      <c r="N6510" s="1"/>
      <c r="O6510" s="1"/>
      <c r="P6510" s="51"/>
    </row>
    <row r="6511">
      <c r="A6511" s="54"/>
      <c r="B6511" s="71"/>
      <c r="C6511" s="51"/>
      <c r="D6511" s="114"/>
      <c r="E6511" s="114"/>
      <c r="F6511" s="54"/>
      <c r="G6511" s="54"/>
      <c r="I6511" s="54"/>
      <c r="K6511" s="54"/>
      <c r="M6511" s="114"/>
      <c r="N6511" s="1"/>
      <c r="O6511" s="1"/>
      <c r="P6511" s="51"/>
    </row>
    <row r="6512">
      <c r="A6512" s="54"/>
      <c r="B6512" s="71"/>
      <c r="C6512" s="51"/>
      <c r="D6512" s="114"/>
      <c r="E6512" s="114"/>
      <c r="F6512" s="54"/>
      <c r="G6512" s="54"/>
      <c r="I6512" s="54"/>
      <c r="K6512" s="54"/>
      <c r="M6512" s="114"/>
      <c r="N6512" s="1"/>
      <c r="O6512" s="1"/>
      <c r="P6512" s="51"/>
    </row>
    <row r="6513">
      <c r="A6513" s="54"/>
      <c r="B6513" s="71"/>
      <c r="C6513" s="51"/>
      <c r="D6513" s="114"/>
      <c r="E6513" s="114"/>
      <c r="F6513" s="54"/>
      <c r="G6513" s="54"/>
      <c r="I6513" s="54"/>
      <c r="K6513" s="54"/>
      <c r="M6513" s="114"/>
      <c r="N6513" s="1"/>
      <c r="O6513" s="1"/>
      <c r="P6513" s="51"/>
    </row>
    <row r="6514">
      <c r="A6514" s="54"/>
      <c r="B6514" s="71"/>
      <c r="C6514" s="51"/>
      <c r="D6514" s="114"/>
      <c r="E6514" s="114"/>
      <c r="F6514" s="54"/>
      <c r="G6514" s="54"/>
      <c r="I6514" s="54"/>
      <c r="K6514" s="54"/>
      <c r="M6514" s="114"/>
      <c r="N6514" s="1"/>
      <c r="O6514" s="1"/>
      <c r="P6514" s="51"/>
    </row>
    <row r="6515">
      <c r="A6515" s="54"/>
      <c r="B6515" s="71"/>
      <c r="C6515" s="51"/>
      <c r="D6515" s="114"/>
      <c r="E6515" s="114"/>
      <c r="F6515" s="54"/>
      <c r="G6515" s="54"/>
      <c r="I6515" s="54"/>
      <c r="K6515" s="54"/>
      <c r="M6515" s="114"/>
      <c r="N6515" s="1"/>
      <c r="O6515" s="1"/>
      <c r="P6515" s="51"/>
    </row>
    <row r="6516">
      <c r="A6516" s="54"/>
      <c r="B6516" s="71"/>
      <c r="C6516" s="51"/>
      <c r="D6516" s="114"/>
      <c r="E6516" s="114"/>
      <c r="F6516" s="54"/>
      <c r="G6516" s="54"/>
      <c r="I6516" s="54"/>
      <c r="K6516" s="54"/>
      <c r="M6516" s="114"/>
      <c r="N6516" s="1"/>
      <c r="O6516" s="1"/>
      <c r="P6516" s="51"/>
    </row>
    <row r="6517">
      <c r="A6517" s="54"/>
      <c r="B6517" s="71"/>
      <c r="C6517" s="51"/>
      <c r="D6517" s="114"/>
      <c r="E6517" s="114"/>
      <c r="F6517" s="54"/>
      <c r="G6517" s="54"/>
      <c r="I6517" s="54"/>
      <c r="K6517" s="54"/>
      <c r="M6517" s="114"/>
      <c r="N6517" s="1"/>
      <c r="O6517" s="1"/>
      <c r="P6517" s="51"/>
    </row>
    <row r="6518">
      <c r="A6518" s="54"/>
      <c r="B6518" s="71"/>
      <c r="C6518" s="51"/>
      <c r="D6518" s="114"/>
      <c r="E6518" s="114"/>
      <c r="F6518" s="54"/>
      <c r="G6518" s="54"/>
      <c r="I6518" s="54"/>
      <c r="K6518" s="54"/>
      <c r="M6518" s="114"/>
      <c r="N6518" s="1"/>
      <c r="O6518" s="1"/>
      <c r="P6518" s="51"/>
    </row>
    <row r="6519">
      <c r="A6519" s="54"/>
      <c r="B6519" s="71"/>
      <c r="C6519" s="51"/>
      <c r="D6519" s="114"/>
      <c r="E6519" s="114"/>
      <c r="F6519" s="54"/>
      <c r="G6519" s="54"/>
      <c r="I6519" s="54"/>
      <c r="K6519" s="54"/>
      <c r="M6519" s="114"/>
      <c r="N6519" s="1"/>
      <c r="O6519" s="1"/>
      <c r="P6519" s="51"/>
    </row>
    <row r="6520">
      <c r="A6520" s="54"/>
      <c r="B6520" s="71"/>
      <c r="C6520" s="51"/>
      <c r="D6520" s="114"/>
      <c r="E6520" s="114"/>
      <c r="F6520" s="54"/>
      <c r="G6520" s="54"/>
      <c r="I6520" s="54"/>
      <c r="K6520" s="54"/>
      <c r="M6520" s="114"/>
      <c r="N6520" s="1"/>
      <c r="O6520" s="1"/>
      <c r="P6520" s="51"/>
    </row>
    <row r="6521">
      <c r="A6521" s="54"/>
      <c r="B6521" s="71"/>
      <c r="C6521" s="51"/>
      <c r="D6521" s="114"/>
      <c r="E6521" s="114"/>
      <c r="F6521" s="54"/>
      <c r="G6521" s="54"/>
      <c r="I6521" s="54"/>
      <c r="K6521" s="54"/>
      <c r="M6521" s="114"/>
      <c r="N6521" s="1"/>
      <c r="O6521" s="1"/>
      <c r="P6521" s="51"/>
    </row>
    <row r="6522">
      <c r="A6522" s="54"/>
      <c r="B6522" s="71"/>
      <c r="C6522" s="51"/>
      <c r="D6522" s="114"/>
      <c r="E6522" s="114"/>
      <c r="F6522" s="54"/>
      <c r="G6522" s="54"/>
      <c r="I6522" s="54"/>
      <c r="K6522" s="54"/>
      <c r="M6522" s="114"/>
      <c r="N6522" s="1"/>
      <c r="O6522" s="1"/>
      <c r="P6522" s="51"/>
    </row>
    <row r="6523">
      <c r="A6523" s="54"/>
      <c r="B6523" s="71"/>
      <c r="C6523" s="51"/>
      <c r="D6523" s="114"/>
      <c r="E6523" s="114"/>
      <c r="F6523" s="54"/>
      <c r="G6523" s="54"/>
      <c r="I6523" s="54"/>
      <c r="K6523" s="54"/>
      <c r="M6523" s="114"/>
      <c r="N6523" s="1"/>
      <c r="O6523" s="1"/>
      <c r="P6523" s="51"/>
    </row>
    <row r="6524">
      <c r="A6524" s="54"/>
      <c r="B6524" s="71"/>
      <c r="C6524" s="51"/>
      <c r="D6524" s="114"/>
      <c r="E6524" s="114"/>
      <c r="F6524" s="54"/>
      <c r="G6524" s="54"/>
      <c r="I6524" s="54"/>
      <c r="K6524" s="54"/>
      <c r="M6524" s="114"/>
      <c r="N6524" s="1"/>
      <c r="O6524" s="1"/>
      <c r="P6524" s="51"/>
    </row>
    <row r="6525">
      <c r="A6525" s="54"/>
      <c r="B6525" s="71"/>
      <c r="C6525" s="51"/>
      <c r="D6525" s="114"/>
      <c r="E6525" s="114"/>
      <c r="F6525" s="54"/>
      <c r="G6525" s="54"/>
      <c r="I6525" s="54"/>
      <c r="K6525" s="54"/>
      <c r="M6525" s="114"/>
      <c r="N6525" s="1"/>
      <c r="O6525" s="1"/>
      <c r="P6525" s="51"/>
    </row>
    <row r="6526">
      <c r="A6526" s="54"/>
      <c r="B6526" s="71"/>
      <c r="C6526" s="51"/>
      <c r="D6526" s="114"/>
      <c r="E6526" s="114"/>
      <c r="F6526" s="54"/>
      <c r="G6526" s="54"/>
      <c r="I6526" s="54"/>
      <c r="K6526" s="54"/>
      <c r="M6526" s="114"/>
      <c r="N6526" s="1"/>
      <c r="O6526" s="1"/>
      <c r="P6526" s="51"/>
    </row>
    <row r="6527">
      <c r="A6527" s="54"/>
      <c r="B6527" s="71"/>
      <c r="C6527" s="51"/>
      <c r="D6527" s="114"/>
      <c r="E6527" s="114"/>
      <c r="F6527" s="54"/>
      <c r="G6527" s="54"/>
      <c r="I6527" s="54"/>
      <c r="K6527" s="54"/>
      <c r="M6527" s="114"/>
      <c r="N6527" s="1"/>
      <c r="O6527" s="1"/>
      <c r="P6527" s="51"/>
    </row>
    <row r="6528">
      <c r="A6528" s="54"/>
      <c r="B6528" s="71"/>
      <c r="C6528" s="51"/>
      <c r="D6528" s="114"/>
      <c r="E6528" s="114"/>
      <c r="F6528" s="54"/>
      <c r="G6528" s="54"/>
      <c r="I6528" s="54"/>
      <c r="K6528" s="54"/>
      <c r="M6528" s="114"/>
      <c r="N6528" s="1"/>
      <c r="O6528" s="1"/>
      <c r="P6528" s="51"/>
    </row>
    <row r="6529">
      <c r="A6529" s="54"/>
      <c r="B6529" s="71"/>
      <c r="C6529" s="51"/>
      <c r="D6529" s="114"/>
      <c r="E6529" s="114"/>
      <c r="F6529" s="54"/>
      <c r="G6529" s="54"/>
      <c r="I6529" s="54"/>
      <c r="K6529" s="54"/>
      <c r="M6529" s="114"/>
      <c r="N6529" s="1"/>
      <c r="O6529" s="1"/>
      <c r="P6529" s="51"/>
    </row>
    <row r="6530">
      <c r="A6530" s="54"/>
      <c r="B6530" s="71"/>
      <c r="C6530" s="51"/>
      <c r="D6530" s="114"/>
      <c r="E6530" s="114"/>
      <c r="F6530" s="54"/>
      <c r="G6530" s="54"/>
      <c r="I6530" s="54"/>
      <c r="K6530" s="54"/>
      <c r="M6530" s="114"/>
      <c r="N6530" s="1"/>
      <c r="O6530" s="1"/>
      <c r="P6530" s="51"/>
    </row>
    <row r="6531">
      <c r="A6531" s="54"/>
      <c r="B6531" s="71"/>
      <c r="C6531" s="51"/>
      <c r="D6531" s="114"/>
      <c r="E6531" s="114"/>
      <c r="F6531" s="54"/>
      <c r="G6531" s="54"/>
      <c r="I6531" s="54"/>
      <c r="K6531" s="54"/>
      <c r="M6531" s="114"/>
      <c r="N6531" s="1"/>
      <c r="O6531" s="1"/>
      <c r="P6531" s="51"/>
    </row>
    <row r="6532">
      <c r="A6532" s="54"/>
      <c r="B6532" s="71"/>
      <c r="C6532" s="51"/>
      <c r="D6532" s="114"/>
      <c r="E6532" s="114"/>
      <c r="F6532" s="54"/>
      <c r="G6532" s="54"/>
      <c r="I6532" s="54"/>
      <c r="K6532" s="54"/>
      <c r="M6532" s="114"/>
      <c r="N6532" s="1"/>
      <c r="O6532" s="1"/>
      <c r="P6532" s="51"/>
    </row>
    <row r="6533">
      <c r="A6533" s="54"/>
      <c r="B6533" s="71"/>
      <c r="C6533" s="51"/>
      <c r="D6533" s="114"/>
      <c r="E6533" s="114"/>
      <c r="F6533" s="54"/>
      <c r="G6533" s="54"/>
      <c r="I6533" s="54"/>
      <c r="K6533" s="54"/>
      <c r="M6533" s="114"/>
      <c r="N6533" s="1"/>
      <c r="O6533" s="1"/>
      <c r="P6533" s="51"/>
    </row>
    <row r="6534">
      <c r="A6534" s="54"/>
      <c r="B6534" s="71"/>
      <c r="C6534" s="51"/>
      <c r="D6534" s="114"/>
      <c r="E6534" s="114"/>
      <c r="F6534" s="54"/>
      <c r="G6534" s="54"/>
      <c r="I6534" s="54"/>
      <c r="K6534" s="54"/>
      <c r="M6534" s="114"/>
      <c r="N6534" s="1"/>
      <c r="O6534" s="1"/>
      <c r="P6534" s="51"/>
    </row>
    <row r="6535">
      <c r="A6535" s="54"/>
      <c r="B6535" s="71"/>
      <c r="C6535" s="51"/>
      <c r="D6535" s="114"/>
      <c r="E6535" s="114"/>
      <c r="F6535" s="54"/>
      <c r="G6535" s="54"/>
      <c r="I6535" s="54"/>
      <c r="K6535" s="54"/>
      <c r="M6535" s="114"/>
      <c r="N6535" s="1"/>
      <c r="O6535" s="1"/>
      <c r="P6535" s="51"/>
    </row>
    <row r="6536">
      <c r="A6536" s="54"/>
      <c r="B6536" s="71"/>
      <c r="C6536" s="51"/>
      <c r="D6536" s="114"/>
      <c r="E6536" s="114"/>
      <c r="F6536" s="54"/>
      <c r="G6536" s="54"/>
      <c r="I6536" s="54"/>
      <c r="K6536" s="54"/>
      <c r="M6536" s="114"/>
      <c r="N6536" s="1"/>
      <c r="O6536" s="1"/>
      <c r="P6536" s="51"/>
    </row>
    <row r="6537">
      <c r="A6537" s="54"/>
      <c r="B6537" s="71"/>
      <c r="C6537" s="51"/>
      <c r="D6537" s="114"/>
      <c r="E6537" s="114"/>
      <c r="F6537" s="54"/>
      <c r="G6537" s="54"/>
      <c r="I6537" s="54"/>
      <c r="K6537" s="54"/>
      <c r="M6537" s="114"/>
      <c r="N6537" s="1"/>
      <c r="O6537" s="1"/>
      <c r="P6537" s="51"/>
    </row>
    <row r="6538">
      <c r="A6538" s="54"/>
      <c r="B6538" s="71"/>
      <c r="C6538" s="51"/>
      <c r="D6538" s="114"/>
      <c r="E6538" s="114"/>
      <c r="F6538" s="54"/>
      <c r="G6538" s="54"/>
      <c r="I6538" s="54"/>
      <c r="K6538" s="54"/>
      <c r="M6538" s="114"/>
      <c r="N6538" s="1"/>
      <c r="O6538" s="1"/>
      <c r="P6538" s="51"/>
    </row>
    <row r="6539">
      <c r="A6539" s="54"/>
      <c r="B6539" s="71"/>
      <c r="C6539" s="51"/>
      <c r="D6539" s="114"/>
      <c r="E6539" s="114"/>
      <c r="F6539" s="54"/>
      <c r="G6539" s="54"/>
      <c r="I6539" s="54"/>
      <c r="K6539" s="54"/>
      <c r="M6539" s="114"/>
      <c r="N6539" s="1"/>
      <c r="O6539" s="1"/>
      <c r="P6539" s="51"/>
    </row>
    <row r="6540">
      <c r="A6540" s="54"/>
      <c r="B6540" s="71"/>
      <c r="C6540" s="51"/>
      <c r="D6540" s="114"/>
      <c r="E6540" s="114"/>
      <c r="F6540" s="54"/>
      <c r="G6540" s="54"/>
      <c r="I6540" s="54"/>
      <c r="K6540" s="54"/>
      <c r="M6540" s="114"/>
      <c r="N6540" s="1"/>
      <c r="O6540" s="1"/>
      <c r="P6540" s="51"/>
    </row>
    <row r="6541">
      <c r="A6541" s="54"/>
      <c r="B6541" s="71"/>
      <c r="C6541" s="51"/>
      <c r="D6541" s="114"/>
      <c r="E6541" s="114"/>
      <c r="F6541" s="54"/>
      <c r="G6541" s="54"/>
      <c r="I6541" s="54"/>
      <c r="K6541" s="54"/>
      <c r="M6541" s="114"/>
      <c r="N6541" s="1"/>
      <c r="O6541" s="1"/>
      <c r="P6541" s="51"/>
    </row>
    <row r="6542">
      <c r="A6542" s="54"/>
      <c r="B6542" s="71"/>
      <c r="C6542" s="51"/>
      <c r="D6542" s="114"/>
      <c r="E6542" s="114"/>
      <c r="F6542" s="54"/>
      <c r="G6542" s="54"/>
      <c r="I6542" s="54"/>
      <c r="K6542" s="54"/>
      <c r="M6542" s="114"/>
      <c r="N6542" s="1"/>
      <c r="O6542" s="1"/>
      <c r="P6542" s="51"/>
    </row>
    <row r="6543">
      <c r="A6543" s="54"/>
      <c r="B6543" s="71"/>
      <c r="C6543" s="51"/>
      <c r="D6543" s="114"/>
      <c r="E6543" s="114"/>
      <c r="F6543" s="54"/>
      <c r="G6543" s="54"/>
      <c r="I6543" s="54"/>
      <c r="K6543" s="54"/>
      <c r="M6543" s="114"/>
      <c r="N6543" s="1"/>
      <c r="O6543" s="1"/>
      <c r="P6543" s="51"/>
    </row>
    <row r="6544">
      <c r="A6544" s="54"/>
      <c r="B6544" s="71"/>
      <c r="C6544" s="51"/>
      <c r="D6544" s="114"/>
      <c r="E6544" s="114"/>
      <c r="F6544" s="54"/>
      <c r="G6544" s="54"/>
      <c r="I6544" s="54"/>
      <c r="K6544" s="54"/>
      <c r="M6544" s="114"/>
      <c r="N6544" s="1"/>
      <c r="O6544" s="1"/>
      <c r="P6544" s="51"/>
    </row>
    <row r="6545">
      <c r="A6545" s="54"/>
      <c r="B6545" s="71"/>
      <c r="C6545" s="51"/>
      <c r="D6545" s="114"/>
      <c r="E6545" s="114"/>
      <c r="F6545" s="54"/>
      <c r="G6545" s="54"/>
      <c r="I6545" s="54"/>
      <c r="K6545" s="54"/>
      <c r="M6545" s="114"/>
      <c r="N6545" s="1"/>
      <c r="O6545" s="1"/>
      <c r="P6545" s="51"/>
    </row>
    <row r="6546">
      <c r="A6546" s="54"/>
      <c r="B6546" s="71"/>
      <c r="C6546" s="51"/>
      <c r="D6546" s="114"/>
      <c r="E6546" s="114"/>
      <c r="F6546" s="54"/>
      <c r="G6546" s="54"/>
      <c r="I6546" s="54"/>
      <c r="K6546" s="54"/>
      <c r="M6546" s="114"/>
      <c r="N6546" s="1"/>
      <c r="O6546" s="1"/>
      <c r="P6546" s="51"/>
    </row>
    <row r="6547">
      <c r="A6547" s="54"/>
      <c r="B6547" s="71"/>
      <c r="C6547" s="51"/>
      <c r="D6547" s="114"/>
      <c r="E6547" s="114"/>
      <c r="F6547" s="54"/>
      <c r="G6547" s="54"/>
      <c r="I6547" s="54"/>
      <c r="K6547" s="54"/>
      <c r="M6547" s="114"/>
      <c r="N6547" s="1"/>
      <c r="O6547" s="1"/>
      <c r="P6547" s="51"/>
    </row>
    <row r="6548">
      <c r="A6548" s="54"/>
      <c r="B6548" s="71"/>
      <c r="C6548" s="51"/>
      <c r="D6548" s="114"/>
      <c r="E6548" s="114"/>
      <c r="F6548" s="54"/>
      <c r="G6548" s="54"/>
      <c r="I6548" s="54"/>
      <c r="K6548" s="54"/>
      <c r="M6548" s="114"/>
      <c r="N6548" s="1"/>
      <c r="O6548" s="1"/>
      <c r="P6548" s="51"/>
    </row>
    <row r="6549">
      <c r="A6549" s="54"/>
      <c r="B6549" s="71"/>
      <c r="C6549" s="51"/>
      <c r="D6549" s="114"/>
      <c r="E6549" s="114"/>
      <c r="F6549" s="54"/>
      <c r="G6549" s="54"/>
      <c r="I6549" s="54"/>
      <c r="K6549" s="54"/>
      <c r="M6549" s="114"/>
      <c r="N6549" s="1"/>
      <c r="O6549" s="1"/>
      <c r="P6549" s="51"/>
    </row>
    <row r="6550">
      <c r="A6550" s="54"/>
      <c r="B6550" s="71"/>
      <c r="C6550" s="51"/>
      <c r="D6550" s="114"/>
      <c r="E6550" s="114"/>
      <c r="F6550" s="54"/>
      <c r="G6550" s="54"/>
      <c r="I6550" s="54"/>
      <c r="K6550" s="54"/>
      <c r="M6550" s="114"/>
      <c r="N6550" s="1"/>
      <c r="O6550" s="1"/>
      <c r="P6550" s="51"/>
    </row>
    <row r="6551">
      <c r="A6551" s="54"/>
      <c r="B6551" s="71"/>
      <c r="C6551" s="51"/>
      <c r="D6551" s="114"/>
      <c r="E6551" s="114"/>
      <c r="F6551" s="54"/>
      <c r="G6551" s="54"/>
      <c r="I6551" s="54"/>
      <c r="K6551" s="54"/>
      <c r="M6551" s="114"/>
      <c r="N6551" s="1"/>
      <c r="O6551" s="1"/>
      <c r="P6551" s="51"/>
    </row>
    <row r="6552">
      <c r="A6552" s="54"/>
      <c r="B6552" s="71"/>
      <c r="C6552" s="51"/>
      <c r="D6552" s="114"/>
      <c r="E6552" s="114"/>
      <c r="F6552" s="54"/>
      <c r="G6552" s="54"/>
      <c r="I6552" s="54"/>
      <c r="K6552" s="54"/>
      <c r="M6552" s="114"/>
      <c r="N6552" s="1"/>
      <c r="O6552" s="1"/>
      <c r="P6552" s="51"/>
    </row>
    <row r="6553">
      <c r="A6553" s="54"/>
      <c r="B6553" s="71"/>
      <c r="C6553" s="51"/>
      <c r="D6553" s="114"/>
      <c r="E6553" s="114"/>
      <c r="F6553" s="54"/>
      <c r="G6553" s="54"/>
      <c r="I6553" s="54"/>
      <c r="K6553" s="54"/>
      <c r="M6553" s="114"/>
      <c r="N6553" s="1"/>
      <c r="O6553" s="1"/>
      <c r="P6553" s="51"/>
    </row>
    <row r="6554">
      <c r="A6554" s="54"/>
      <c r="B6554" s="71"/>
      <c r="C6554" s="51"/>
      <c r="D6554" s="114"/>
      <c r="E6554" s="114"/>
      <c r="F6554" s="54"/>
      <c r="G6554" s="54"/>
      <c r="I6554" s="54"/>
      <c r="K6554" s="54"/>
      <c r="M6554" s="114"/>
      <c r="N6554" s="1"/>
      <c r="O6554" s="1"/>
      <c r="P6554" s="51"/>
    </row>
    <row r="6555">
      <c r="A6555" s="54"/>
      <c r="B6555" s="71"/>
      <c r="C6555" s="51"/>
      <c r="D6555" s="114"/>
      <c r="E6555" s="114"/>
      <c r="F6555" s="54"/>
      <c r="G6555" s="54"/>
      <c r="I6555" s="54"/>
      <c r="K6555" s="54"/>
      <c r="M6555" s="114"/>
      <c r="N6555" s="1"/>
      <c r="O6555" s="1"/>
      <c r="P6555" s="51"/>
    </row>
    <row r="6556">
      <c r="A6556" s="54"/>
      <c r="B6556" s="71"/>
      <c r="C6556" s="51"/>
      <c r="D6556" s="114"/>
      <c r="E6556" s="114"/>
      <c r="F6556" s="54"/>
      <c r="G6556" s="54"/>
      <c r="I6556" s="54"/>
      <c r="K6556" s="54"/>
      <c r="M6556" s="114"/>
      <c r="N6556" s="1"/>
      <c r="O6556" s="1"/>
      <c r="P6556" s="51"/>
    </row>
    <row r="6557">
      <c r="A6557" s="54"/>
      <c r="B6557" s="71"/>
      <c r="C6557" s="51"/>
      <c r="D6557" s="114"/>
      <c r="E6557" s="114"/>
      <c r="F6557" s="54"/>
      <c r="G6557" s="54"/>
      <c r="I6557" s="54"/>
      <c r="K6557" s="54"/>
      <c r="M6557" s="114"/>
      <c r="N6557" s="1"/>
      <c r="O6557" s="1"/>
      <c r="P6557" s="51"/>
    </row>
    <row r="6558">
      <c r="A6558" s="54"/>
      <c r="B6558" s="71"/>
      <c r="C6558" s="51"/>
      <c r="D6558" s="114"/>
      <c r="E6558" s="114"/>
      <c r="F6558" s="54"/>
      <c r="G6558" s="54"/>
      <c r="I6558" s="54"/>
      <c r="K6558" s="54"/>
      <c r="M6558" s="114"/>
      <c r="N6558" s="1"/>
      <c r="O6558" s="1"/>
      <c r="P6558" s="51"/>
    </row>
    <row r="6559">
      <c r="A6559" s="54"/>
      <c r="B6559" s="71"/>
      <c r="C6559" s="51"/>
      <c r="D6559" s="114"/>
      <c r="E6559" s="114"/>
      <c r="F6559" s="54"/>
      <c r="G6559" s="54"/>
      <c r="I6559" s="54"/>
      <c r="K6559" s="54"/>
      <c r="M6559" s="114"/>
      <c r="N6559" s="1"/>
      <c r="O6559" s="1"/>
      <c r="P6559" s="51"/>
    </row>
    <row r="6560">
      <c r="A6560" s="54"/>
      <c r="B6560" s="71"/>
      <c r="C6560" s="51"/>
      <c r="D6560" s="114"/>
      <c r="E6560" s="114"/>
      <c r="F6560" s="54"/>
      <c r="G6560" s="54"/>
      <c r="I6560" s="54"/>
      <c r="K6560" s="54"/>
      <c r="M6560" s="114"/>
      <c r="N6560" s="1"/>
      <c r="O6560" s="1"/>
      <c r="P6560" s="51"/>
    </row>
    <row r="6561">
      <c r="A6561" s="54"/>
      <c r="B6561" s="71"/>
      <c r="C6561" s="51"/>
      <c r="D6561" s="114"/>
      <c r="E6561" s="114"/>
      <c r="F6561" s="54"/>
      <c r="G6561" s="54"/>
      <c r="I6561" s="54"/>
      <c r="K6561" s="54"/>
      <c r="M6561" s="114"/>
      <c r="N6561" s="1"/>
      <c r="O6561" s="1"/>
      <c r="P6561" s="51"/>
    </row>
    <row r="6562">
      <c r="A6562" s="54"/>
      <c r="B6562" s="71"/>
      <c r="C6562" s="51"/>
      <c r="D6562" s="114"/>
      <c r="E6562" s="114"/>
      <c r="F6562" s="54"/>
      <c r="G6562" s="54"/>
      <c r="I6562" s="54"/>
      <c r="K6562" s="54"/>
      <c r="M6562" s="114"/>
      <c r="N6562" s="1"/>
      <c r="O6562" s="1"/>
      <c r="P6562" s="51"/>
    </row>
    <row r="6563">
      <c r="A6563" s="54"/>
      <c r="B6563" s="71"/>
      <c r="C6563" s="51"/>
      <c r="D6563" s="114"/>
      <c r="E6563" s="114"/>
      <c r="F6563" s="54"/>
      <c r="G6563" s="54"/>
      <c r="I6563" s="54"/>
      <c r="K6563" s="54"/>
      <c r="M6563" s="114"/>
      <c r="N6563" s="1"/>
      <c r="O6563" s="1"/>
      <c r="P6563" s="51"/>
    </row>
    <row r="6564">
      <c r="A6564" s="54"/>
      <c r="B6564" s="71"/>
      <c r="C6564" s="51"/>
      <c r="D6564" s="114"/>
      <c r="E6564" s="114"/>
      <c r="F6564" s="54"/>
      <c r="G6564" s="54"/>
      <c r="I6564" s="54"/>
      <c r="K6564" s="54"/>
      <c r="M6564" s="114"/>
      <c r="N6564" s="1"/>
      <c r="O6564" s="1"/>
      <c r="P6564" s="51"/>
    </row>
    <row r="6565">
      <c r="A6565" s="54"/>
      <c r="B6565" s="71"/>
      <c r="C6565" s="51"/>
      <c r="D6565" s="114"/>
      <c r="E6565" s="114"/>
      <c r="F6565" s="54"/>
      <c r="G6565" s="54"/>
      <c r="I6565" s="54"/>
      <c r="K6565" s="54"/>
      <c r="M6565" s="114"/>
      <c r="N6565" s="1"/>
      <c r="O6565" s="1"/>
      <c r="P6565" s="51"/>
    </row>
    <row r="6566">
      <c r="A6566" s="54"/>
      <c r="B6566" s="71"/>
      <c r="C6566" s="51"/>
      <c r="D6566" s="114"/>
      <c r="E6566" s="114"/>
      <c r="F6566" s="54"/>
      <c r="G6566" s="54"/>
      <c r="I6566" s="54"/>
      <c r="K6566" s="54"/>
      <c r="M6566" s="114"/>
      <c r="N6566" s="1"/>
      <c r="O6566" s="1"/>
      <c r="P6566" s="51"/>
    </row>
    <row r="6567">
      <c r="A6567" s="54"/>
      <c r="B6567" s="71"/>
      <c r="C6567" s="51"/>
      <c r="D6567" s="114"/>
      <c r="E6567" s="114"/>
      <c r="F6567" s="54"/>
      <c r="G6567" s="54"/>
      <c r="I6567" s="54"/>
      <c r="K6567" s="54"/>
      <c r="M6567" s="114"/>
      <c r="N6567" s="1"/>
      <c r="O6567" s="1"/>
      <c r="P6567" s="51"/>
    </row>
    <row r="6568">
      <c r="A6568" s="54"/>
      <c r="B6568" s="71"/>
      <c r="C6568" s="51"/>
      <c r="D6568" s="114"/>
      <c r="E6568" s="114"/>
      <c r="F6568" s="54"/>
      <c r="G6568" s="54"/>
      <c r="I6568" s="54"/>
      <c r="K6568" s="54"/>
      <c r="M6568" s="114"/>
      <c r="N6568" s="1"/>
      <c r="O6568" s="1"/>
      <c r="P6568" s="51"/>
    </row>
    <row r="6569">
      <c r="A6569" s="54"/>
      <c r="B6569" s="71"/>
      <c r="C6569" s="51"/>
      <c r="D6569" s="114"/>
      <c r="E6569" s="114"/>
      <c r="F6569" s="54"/>
      <c r="G6569" s="54"/>
      <c r="I6569" s="54"/>
      <c r="K6569" s="54"/>
      <c r="M6569" s="114"/>
      <c r="N6569" s="1"/>
      <c r="O6569" s="1"/>
      <c r="P6569" s="51"/>
    </row>
    <row r="6570">
      <c r="A6570" s="54"/>
      <c r="B6570" s="71"/>
      <c r="C6570" s="51"/>
      <c r="D6570" s="114"/>
      <c r="E6570" s="114"/>
      <c r="F6570" s="54"/>
      <c r="G6570" s="54"/>
      <c r="I6570" s="54"/>
      <c r="K6570" s="54"/>
      <c r="M6570" s="114"/>
      <c r="N6570" s="1"/>
      <c r="O6570" s="1"/>
      <c r="P6570" s="51"/>
    </row>
    <row r="6571">
      <c r="A6571" s="54"/>
      <c r="B6571" s="71"/>
      <c r="C6571" s="51"/>
      <c r="D6571" s="114"/>
      <c r="E6571" s="114"/>
      <c r="F6571" s="54"/>
      <c r="G6571" s="54"/>
      <c r="I6571" s="54"/>
      <c r="K6571" s="54"/>
      <c r="M6571" s="114"/>
      <c r="N6571" s="1"/>
      <c r="O6571" s="1"/>
      <c r="P6571" s="51"/>
    </row>
    <row r="6572">
      <c r="A6572" s="54"/>
      <c r="B6572" s="71"/>
      <c r="C6572" s="51"/>
      <c r="D6572" s="114"/>
      <c r="E6572" s="114"/>
      <c r="F6572" s="54"/>
      <c r="G6572" s="54"/>
      <c r="I6572" s="54"/>
      <c r="K6572" s="54"/>
      <c r="M6572" s="114"/>
      <c r="N6572" s="1"/>
      <c r="O6572" s="1"/>
      <c r="P6572" s="51"/>
    </row>
    <row r="6573">
      <c r="A6573" s="54"/>
      <c r="B6573" s="71"/>
      <c r="C6573" s="51"/>
      <c r="D6573" s="114"/>
      <c r="E6573" s="114"/>
      <c r="F6573" s="54"/>
      <c r="G6573" s="54"/>
      <c r="I6573" s="54"/>
      <c r="K6573" s="54"/>
      <c r="M6573" s="114"/>
      <c r="N6573" s="1"/>
      <c r="O6573" s="1"/>
      <c r="P6573" s="51"/>
    </row>
    <row r="6574">
      <c r="A6574" s="54"/>
      <c r="B6574" s="71"/>
      <c r="C6574" s="51"/>
      <c r="D6574" s="114"/>
      <c r="E6574" s="114"/>
      <c r="F6574" s="54"/>
      <c r="G6574" s="54"/>
      <c r="I6574" s="54"/>
      <c r="K6574" s="54"/>
      <c r="M6574" s="114"/>
      <c r="N6574" s="1"/>
      <c r="O6574" s="1"/>
      <c r="P6574" s="51"/>
    </row>
    <row r="6575">
      <c r="A6575" s="54"/>
      <c r="B6575" s="71"/>
      <c r="C6575" s="51"/>
      <c r="D6575" s="114"/>
      <c r="E6575" s="114"/>
      <c r="F6575" s="54"/>
      <c r="G6575" s="54"/>
      <c r="I6575" s="54"/>
      <c r="K6575" s="54"/>
      <c r="M6575" s="114"/>
      <c r="N6575" s="1"/>
      <c r="O6575" s="1"/>
      <c r="P6575" s="51"/>
    </row>
    <row r="6576">
      <c r="A6576" s="54"/>
      <c r="B6576" s="71"/>
      <c r="C6576" s="51"/>
      <c r="D6576" s="114"/>
      <c r="E6576" s="114"/>
      <c r="F6576" s="54"/>
      <c r="G6576" s="54"/>
      <c r="I6576" s="54"/>
      <c r="K6576" s="54"/>
      <c r="M6576" s="114"/>
      <c r="N6576" s="1"/>
      <c r="O6576" s="1"/>
      <c r="P6576" s="51"/>
    </row>
    <row r="6577">
      <c r="A6577" s="54"/>
      <c r="B6577" s="71"/>
      <c r="C6577" s="51"/>
      <c r="D6577" s="114"/>
      <c r="E6577" s="114"/>
      <c r="F6577" s="54"/>
      <c r="G6577" s="54"/>
      <c r="I6577" s="54"/>
      <c r="K6577" s="54"/>
      <c r="M6577" s="114"/>
      <c r="N6577" s="1"/>
      <c r="O6577" s="1"/>
      <c r="P6577" s="51"/>
    </row>
    <row r="6578">
      <c r="A6578" s="54"/>
      <c r="B6578" s="71"/>
      <c r="C6578" s="51"/>
      <c r="D6578" s="114"/>
      <c r="E6578" s="114"/>
      <c r="F6578" s="54"/>
      <c r="G6578" s="54"/>
      <c r="I6578" s="54"/>
      <c r="K6578" s="54"/>
      <c r="M6578" s="114"/>
      <c r="N6578" s="1"/>
      <c r="O6578" s="1"/>
      <c r="P6578" s="51"/>
    </row>
    <row r="6579">
      <c r="A6579" s="54"/>
      <c r="B6579" s="71"/>
      <c r="C6579" s="51"/>
      <c r="D6579" s="114"/>
      <c r="E6579" s="114"/>
      <c r="F6579" s="54"/>
      <c r="G6579" s="54"/>
      <c r="I6579" s="54"/>
      <c r="K6579" s="54"/>
      <c r="M6579" s="114"/>
      <c r="N6579" s="1"/>
      <c r="O6579" s="1"/>
      <c r="P6579" s="51"/>
    </row>
    <row r="6580">
      <c r="A6580" s="54"/>
      <c r="B6580" s="71"/>
      <c r="C6580" s="51"/>
      <c r="D6580" s="114"/>
      <c r="E6580" s="114"/>
      <c r="F6580" s="54"/>
      <c r="G6580" s="54"/>
      <c r="I6580" s="54"/>
      <c r="K6580" s="54"/>
      <c r="M6580" s="114"/>
      <c r="N6580" s="1"/>
      <c r="O6580" s="1"/>
      <c r="P6580" s="51"/>
    </row>
    <row r="6581">
      <c r="A6581" s="54"/>
      <c r="B6581" s="71"/>
      <c r="C6581" s="51"/>
      <c r="D6581" s="114"/>
      <c r="E6581" s="114"/>
      <c r="F6581" s="54"/>
      <c r="G6581" s="54"/>
      <c r="I6581" s="54"/>
      <c r="K6581" s="54"/>
      <c r="M6581" s="114"/>
      <c r="N6581" s="1"/>
      <c r="O6581" s="1"/>
      <c r="P6581" s="51"/>
    </row>
    <row r="6582">
      <c r="A6582" s="54"/>
      <c r="B6582" s="71"/>
      <c r="C6582" s="51"/>
      <c r="D6582" s="114"/>
      <c r="E6582" s="114"/>
      <c r="F6582" s="54"/>
      <c r="G6582" s="54"/>
      <c r="I6582" s="54"/>
      <c r="K6582" s="54"/>
      <c r="M6582" s="114"/>
      <c r="N6582" s="1"/>
      <c r="O6582" s="1"/>
      <c r="P6582" s="51"/>
    </row>
    <row r="6583">
      <c r="A6583" s="54"/>
      <c r="B6583" s="71"/>
      <c r="C6583" s="51"/>
      <c r="D6583" s="114"/>
      <c r="E6583" s="114"/>
      <c r="F6583" s="54"/>
      <c r="G6583" s="54"/>
      <c r="I6583" s="54"/>
      <c r="K6583" s="54"/>
      <c r="M6583" s="114"/>
      <c r="N6583" s="1"/>
      <c r="O6583" s="1"/>
      <c r="P6583" s="51"/>
    </row>
    <row r="6584">
      <c r="A6584" s="54"/>
      <c r="B6584" s="71"/>
      <c r="C6584" s="51"/>
      <c r="D6584" s="114"/>
      <c r="E6584" s="114"/>
      <c r="F6584" s="54"/>
      <c r="G6584" s="54"/>
      <c r="I6584" s="54"/>
      <c r="K6584" s="54"/>
      <c r="M6584" s="114"/>
      <c r="N6584" s="1"/>
      <c r="O6584" s="1"/>
      <c r="P6584" s="51"/>
    </row>
    <row r="6585">
      <c r="A6585" s="54"/>
      <c r="B6585" s="71"/>
      <c r="C6585" s="51"/>
      <c r="D6585" s="114"/>
      <c r="E6585" s="114"/>
      <c r="F6585" s="54"/>
      <c r="G6585" s="54"/>
      <c r="I6585" s="54"/>
      <c r="K6585" s="54"/>
      <c r="M6585" s="114"/>
      <c r="N6585" s="1"/>
      <c r="O6585" s="1"/>
      <c r="P6585" s="51"/>
    </row>
    <row r="6586">
      <c r="A6586" s="54"/>
      <c r="B6586" s="71"/>
      <c r="C6586" s="51"/>
      <c r="D6586" s="114"/>
      <c r="E6586" s="114"/>
      <c r="F6586" s="54"/>
      <c r="G6586" s="54"/>
      <c r="I6586" s="54"/>
      <c r="K6586" s="54"/>
      <c r="M6586" s="114"/>
      <c r="N6586" s="1"/>
      <c r="O6586" s="1"/>
      <c r="P6586" s="51"/>
    </row>
    <row r="6587">
      <c r="A6587" s="54"/>
      <c r="B6587" s="71"/>
      <c r="C6587" s="51"/>
      <c r="D6587" s="114"/>
      <c r="E6587" s="114"/>
      <c r="F6587" s="54"/>
      <c r="G6587" s="54"/>
      <c r="I6587" s="54"/>
      <c r="K6587" s="54"/>
      <c r="M6587" s="114"/>
      <c r="N6587" s="1"/>
      <c r="O6587" s="1"/>
      <c r="P6587" s="51"/>
    </row>
    <row r="6588">
      <c r="A6588" s="54"/>
      <c r="B6588" s="71"/>
      <c r="C6588" s="51"/>
      <c r="D6588" s="114"/>
      <c r="E6588" s="114"/>
      <c r="F6588" s="54"/>
      <c r="G6588" s="54"/>
      <c r="I6588" s="54"/>
      <c r="K6588" s="54"/>
      <c r="M6588" s="114"/>
      <c r="N6588" s="1"/>
      <c r="O6588" s="1"/>
      <c r="P6588" s="51"/>
    </row>
    <row r="6589">
      <c r="A6589" s="54"/>
      <c r="B6589" s="71"/>
      <c r="C6589" s="51"/>
      <c r="D6589" s="114"/>
      <c r="E6589" s="114"/>
      <c r="F6589" s="54"/>
      <c r="G6589" s="54"/>
      <c r="I6589" s="54"/>
      <c r="K6589" s="54"/>
      <c r="M6589" s="114"/>
      <c r="N6589" s="1"/>
      <c r="O6589" s="1"/>
      <c r="P6589" s="51"/>
    </row>
    <row r="6590">
      <c r="A6590" s="54"/>
      <c r="B6590" s="71"/>
      <c r="C6590" s="51"/>
      <c r="D6590" s="114"/>
      <c r="E6590" s="114"/>
      <c r="F6590" s="54"/>
      <c r="G6590" s="54"/>
      <c r="I6590" s="54"/>
      <c r="K6590" s="54"/>
      <c r="M6590" s="114"/>
      <c r="N6590" s="1"/>
      <c r="O6590" s="1"/>
      <c r="P6590" s="51"/>
    </row>
    <row r="6591">
      <c r="A6591" s="54"/>
      <c r="B6591" s="71"/>
      <c r="C6591" s="51"/>
      <c r="D6591" s="114"/>
      <c r="E6591" s="114"/>
      <c r="F6591" s="54"/>
      <c r="G6591" s="54"/>
      <c r="I6591" s="54"/>
      <c r="K6591" s="54"/>
      <c r="M6591" s="114"/>
      <c r="N6591" s="1"/>
      <c r="O6591" s="1"/>
      <c r="P6591" s="51"/>
    </row>
    <row r="6592">
      <c r="A6592" s="54"/>
      <c r="B6592" s="71"/>
      <c r="C6592" s="51"/>
      <c r="D6592" s="114"/>
      <c r="E6592" s="114"/>
      <c r="F6592" s="54"/>
      <c r="G6592" s="54"/>
      <c r="I6592" s="54"/>
      <c r="K6592" s="54"/>
      <c r="M6592" s="114"/>
      <c r="N6592" s="1"/>
      <c r="O6592" s="1"/>
      <c r="P6592" s="51"/>
    </row>
    <row r="6593">
      <c r="A6593" s="54"/>
      <c r="B6593" s="71"/>
      <c r="C6593" s="51"/>
      <c r="D6593" s="114"/>
      <c r="E6593" s="114"/>
      <c r="F6593" s="54"/>
      <c r="G6593" s="54"/>
      <c r="I6593" s="54"/>
      <c r="K6593" s="54"/>
      <c r="M6593" s="114"/>
      <c r="N6593" s="1"/>
      <c r="O6593" s="1"/>
      <c r="P6593" s="51"/>
    </row>
    <row r="6594">
      <c r="A6594" s="54"/>
      <c r="B6594" s="71"/>
      <c r="C6594" s="51"/>
      <c r="D6594" s="114"/>
      <c r="E6594" s="114"/>
      <c r="F6594" s="54"/>
      <c r="G6594" s="54"/>
      <c r="I6594" s="54"/>
      <c r="K6594" s="54"/>
      <c r="M6594" s="114"/>
      <c r="N6594" s="1"/>
      <c r="O6594" s="1"/>
      <c r="P6594" s="51"/>
    </row>
    <row r="6595">
      <c r="A6595" s="54"/>
      <c r="B6595" s="71"/>
      <c r="C6595" s="51"/>
      <c r="D6595" s="114"/>
      <c r="E6595" s="114"/>
      <c r="F6595" s="54"/>
      <c r="G6595" s="54"/>
      <c r="I6595" s="54"/>
      <c r="K6595" s="54"/>
      <c r="M6595" s="114"/>
      <c r="N6595" s="1"/>
      <c r="O6595" s="1"/>
      <c r="P6595" s="51"/>
    </row>
    <row r="6596">
      <c r="A6596" s="54"/>
      <c r="B6596" s="71"/>
      <c r="C6596" s="51"/>
      <c r="D6596" s="114"/>
      <c r="E6596" s="114"/>
      <c r="F6596" s="54"/>
      <c r="G6596" s="54"/>
      <c r="I6596" s="54"/>
      <c r="K6596" s="54"/>
      <c r="M6596" s="114"/>
      <c r="N6596" s="1"/>
      <c r="O6596" s="1"/>
      <c r="P6596" s="51"/>
    </row>
    <row r="6597">
      <c r="A6597" s="54"/>
      <c r="B6597" s="71"/>
      <c r="C6597" s="51"/>
      <c r="D6597" s="114"/>
      <c r="E6597" s="114"/>
      <c r="F6597" s="54"/>
      <c r="G6597" s="54"/>
      <c r="I6597" s="54"/>
      <c r="K6597" s="54"/>
      <c r="M6597" s="114"/>
      <c r="N6597" s="1"/>
      <c r="O6597" s="1"/>
      <c r="P6597" s="51"/>
    </row>
    <row r="6598">
      <c r="A6598" s="54"/>
      <c r="B6598" s="71"/>
      <c r="C6598" s="51"/>
      <c r="D6598" s="114"/>
      <c r="E6598" s="114"/>
      <c r="F6598" s="54"/>
      <c r="G6598" s="54"/>
      <c r="I6598" s="54"/>
      <c r="K6598" s="54"/>
      <c r="M6598" s="114"/>
      <c r="N6598" s="1"/>
      <c r="O6598" s="1"/>
      <c r="P6598" s="51"/>
    </row>
    <row r="6599">
      <c r="A6599" s="54"/>
      <c r="B6599" s="71"/>
      <c r="C6599" s="51"/>
      <c r="D6599" s="114"/>
      <c r="E6599" s="114"/>
      <c r="F6599" s="54"/>
      <c r="G6599" s="54"/>
      <c r="I6599" s="54"/>
      <c r="K6599" s="54"/>
      <c r="M6599" s="114"/>
      <c r="N6599" s="1"/>
      <c r="O6599" s="1"/>
      <c r="P6599" s="51"/>
    </row>
    <row r="6600">
      <c r="A6600" s="54"/>
      <c r="B6600" s="71"/>
      <c r="C6600" s="51"/>
      <c r="D6600" s="114"/>
      <c r="E6600" s="114"/>
      <c r="F6600" s="54"/>
      <c r="G6600" s="54"/>
      <c r="I6600" s="54"/>
      <c r="K6600" s="54"/>
      <c r="M6600" s="114"/>
      <c r="N6600" s="1"/>
      <c r="O6600" s="1"/>
      <c r="P6600" s="51"/>
    </row>
    <row r="6601">
      <c r="A6601" s="54"/>
      <c r="B6601" s="71"/>
      <c r="C6601" s="51"/>
      <c r="D6601" s="114"/>
      <c r="E6601" s="114"/>
      <c r="F6601" s="54"/>
      <c r="G6601" s="54"/>
      <c r="I6601" s="54"/>
      <c r="K6601" s="54"/>
      <c r="M6601" s="114"/>
      <c r="N6601" s="1"/>
      <c r="O6601" s="1"/>
      <c r="P6601" s="51"/>
    </row>
    <row r="6602">
      <c r="A6602" s="54"/>
      <c r="B6602" s="71"/>
      <c r="C6602" s="51"/>
      <c r="D6602" s="114"/>
      <c r="E6602" s="114"/>
      <c r="F6602" s="54"/>
      <c r="G6602" s="54"/>
      <c r="I6602" s="54"/>
      <c r="K6602" s="54"/>
      <c r="M6602" s="114"/>
      <c r="N6602" s="1"/>
      <c r="O6602" s="1"/>
      <c r="P6602" s="51"/>
    </row>
    <row r="6603">
      <c r="A6603" s="54"/>
      <c r="B6603" s="71"/>
      <c r="C6603" s="51"/>
      <c r="D6603" s="114"/>
      <c r="E6603" s="114"/>
      <c r="F6603" s="54"/>
      <c r="G6603" s="54"/>
      <c r="I6603" s="54"/>
      <c r="K6603" s="54"/>
      <c r="M6603" s="114"/>
      <c r="N6603" s="1"/>
      <c r="O6603" s="1"/>
      <c r="P6603" s="51"/>
    </row>
    <row r="6604">
      <c r="A6604" s="54"/>
      <c r="B6604" s="71"/>
      <c r="C6604" s="51"/>
      <c r="D6604" s="114"/>
      <c r="E6604" s="114"/>
      <c r="F6604" s="54"/>
      <c r="G6604" s="54"/>
      <c r="I6604" s="54"/>
      <c r="K6604" s="54"/>
      <c r="M6604" s="114"/>
      <c r="N6604" s="1"/>
      <c r="O6604" s="1"/>
      <c r="P6604" s="51"/>
    </row>
    <row r="6605">
      <c r="A6605" s="54"/>
      <c r="B6605" s="71"/>
      <c r="C6605" s="51"/>
      <c r="D6605" s="114"/>
      <c r="E6605" s="114"/>
      <c r="F6605" s="54"/>
      <c r="G6605" s="54"/>
      <c r="I6605" s="54"/>
      <c r="K6605" s="54"/>
      <c r="M6605" s="114"/>
      <c r="N6605" s="1"/>
      <c r="O6605" s="1"/>
      <c r="P6605" s="51"/>
    </row>
    <row r="6606">
      <c r="A6606" s="54"/>
      <c r="B6606" s="71"/>
      <c r="C6606" s="51"/>
      <c r="D6606" s="114"/>
      <c r="E6606" s="114"/>
      <c r="F6606" s="54"/>
      <c r="G6606" s="54"/>
      <c r="I6606" s="54"/>
      <c r="K6606" s="54"/>
      <c r="M6606" s="114"/>
      <c r="N6606" s="1"/>
      <c r="O6606" s="1"/>
      <c r="P6606" s="51"/>
    </row>
    <row r="6607">
      <c r="A6607" s="54"/>
      <c r="B6607" s="71"/>
      <c r="C6607" s="51"/>
      <c r="D6607" s="114"/>
      <c r="E6607" s="114"/>
      <c r="F6607" s="54"/>
      <c r="G6607" s="54"/>
      <c r="I6607" s="54"/>
      <c r="K6607" s="54"/>
      <c r="M6607" s="114"/>
      <c r="N6607" s="1"/>
      <c r="O6607" s="1"/>
      <c r="P6607" s="51"/>
    </row>
    <row r="6608">
      <c r="A6608" s="54"/>
      <c r="B6608" s="71"/>
      <c r="C6608" s="51"/>
      <c r="D6608" s="114"/>
      <c r="E6608" s="114"/>
      <c r="F6608" s="54"/>
      <c r="G6608" s="54"/>
      <c r="I6608" s="54"/>
      <c r="K6608" s="54"/>
      <c r="M6608" s="114"/>
      <c r="N6608" s="1"/>
      <c r="O6608" s="1"/>
      <c r="P6608" s="51"/>
    </row>
    <row r="6609">
      <c r="A6609" s="54"/>
      <c r="B6609" s="71"/>
      <c r="C6609" s="51"/>
      <c r="D6609" s="114"/>
      <c r="E6609" s="114"/>
      <c r="F6609" s="54"/>
      <c r="G6609" s="54"/>
      <c r="I6609" s="54"/>
      <c r="K6609" s="54"/>
      <c r="M6609" s="114"/>
      <c r="N6609" s="1"/>
      <c r="O6609" s="1"/>
      <c r="P6609" s="51"/>
    </row>
    <row r="6610">
      <c r="A6610" s="54"/>
      <c r="B6610" s="71"/>
      <c r="C6610" s="51"/>
      <c r="D6610" s="114"/>
      <c r="E6610" s="114"/>
      <c r="F6610" s="54"/>
      <c r="G6610" s="54"/>
      <c r="I6610" s="54"/>
      <c r="K6610" s="54"/>
      <c r="M6610" s="114"/>
      <c r="N6610" s="1"/>
      <c r="O6610" s="1"/>
      <c r="P6610" s="51"/>
    </row>
    <row r="6611">
      <c r="A6611" s="54"/>
      <c r="B6611" s="71"/>
      <c r="C6611" s="51"/>
      <c r="D6611" s="114"/>
      <c r="E6611" s="114"/>
      <c r="F6611" s="54"/>
      <c r="G6611" s="54"/>
      <c r="I6611" s="54"/>
      <c r="K6611" s="54"/>
      <c r="M6611" s="114"/>
      <c r="N6611" s="1"/>
      <c r="O6611" s="1"/>
      <c r="P6611" s="51"/>
    </row>
    <row r="6612">
      <c r="A6612" s="54"/>
      <c r="B6612" s="71"/>
      <c r="C6612" s="51"/>
      <c r="D6612" s="114"/>
      <c r="E6612" s="114"/>
      <c r="F6612" s="54"/>
      <c r="G6612" s="54"/>
      <c r="I6612" s="54"/>
      <c r="K6612" s="54"/>
      <c r="M6612" s="114"/>
      <c r="N6612" s="1"/>
      <c r="O6612" s="1"/>
      <c r="P6612" s="51"/>
    </row>
    <row r="6613">
      <c r="A6613" s="54"/>
      <c r="B6613" s="71"/>
      <c r="C6613" s="51"/>
      <c r="D6613" s="114"/>
      <c r="E6613" s="114"/>
      <c r="F6613" s="54"/>
      <c r="G6613" s="54"/>
      <c r="I6613" s="54"/>
      <c r="K6613" s="54"/>
      <c r="M6613" s="114"/>
      <c r="N6613" s="1"/>
      <c r="O6613" s="1"/>
      <c r="P6613" s="51"/>
    </row>
    <row r="6614">
      <c r="A6614" s="54"/>
      <c r="B6614" s="71"/>
      <c r="C6614" s="51"/>
      <c r="D6614" s="114"/>
      <c r="E6614" s="114"/>
      <c r="F6614" s="54"/>
      <c r="G6614" s="54"/>
      <c r="I6614" s="54"/>
      <c r="K6614" s="54"/>
      <c r="M6614" s="114"/>
      <c r="N6614" s="1"/>
      <c r="O6614" s="1"/>
      <c r="P6614" s="51"/>
    </row>
    <row r="6615">
      <c r="A6615" s="54"/>
      <c r="B6615" s="71"/>
      <c r="C6615" s="51"/>
      <c r="D6615" s="114"/>
      <c r="E6615" s="114"/>
      <c r="F6615" s="54"/>
      <c r="G6615" s="54"/>
      <c r="I6615" s="54"/>
      <c r="K6615" s="54"/>
      <c r="M6615" s="114"/>
      <c r="N6615" s="1"/>
      <c r="O6615" s="1"/>
      <c r="P6615" s="51"/>
    </row>
    <row r="6616">
      <c r="A6616" s="54"/>
      <c r="B6616" s="71"/>
      <c r="C6616" s="51"/>
      <c r="D6616" s="114"/>
      <c r="E6616" s="114"/>
      <c r="F6616" s="54"/>
      <c r="G6616" s="54"/>
      <c r="I6616" s="54"/>
      <c r="K6616" s="54"/>
      <c r="M6616" s="114"/>
      <c r="N6616" s="1"/>
      <c r="O6616" s="1"/>
      <c r="P6616" s="51"/>
    </row>
    <row r="6617">
      <c r="A6617" s="54"/>
      <c r="B6617" s="71"/>
      <c r="C6617" s="51"/>
      <c r="D6617" s="114"/>
      <c r="E6617" s="114"/>
      <c r="F6617" s="54"/>
      <c r="G6617" s="54"/>
      <c r="I6617" s="54"/>
      <c r="K6617" s="54"/>
      <c r="M6617" s="114"/>
      <c r="N6617" s="1"/>
      <c r="O6617" s="1"/>
      <c r="P6617" s="51"/>
    </row>
    <row r="6618">
      <c r="A6618" s="54"/>
      <c r="B6618" s="71"/>
      <c r="C6618" s="51"/>
      <c r="D6618" s="114"/>
      <c r="E6618" s="114"/>
      <c r="F6618" s="54"/>
      <c r="G6618" s="54"/>
      <c r="I6618" s="54"/>
      <c r="K6618" s="54"/>
      <c r="M6618" s="114"/>
      <c r="N6618" s="1"/>
      <c r="O6618" s="1"/>
      <c r="P6618" s="51"/>
    </row>
    <row r="6619">
      <c r="A6619" s="54"/>
      <c r="B6619" s="71"/>
      <c r="C6619" s="51"/>
      <c r="D6619" s="114"/>
      <c r="E6619" s="114"/>
      <c r="F6619" s="54"/>
      <c r="G6619" s="54"/>
      <c r="I6619" s="54"/>
      <c r="K6619" s="54"/>
      <c r="M6619" s="114"/>
      <c r="N6619" s="1"/>
      <c r="O6619" s="1"/>
      <c r="P6619" s="51"/>
    </row>
    <row r="6620">
      <c r="A6620" s="54"/>
      <c r="B6620" s="71"/>
      <c r="C6620" s="51"/>
      <c r="D6620" s="114"/>
      <c r="E6620" s="114"/>
      <c r="F6620" s="54"/>
      <c r="G6620" s="54"/>
      <c r="I6620" s="54"/>
      <c r="K6620" s="54"/>
      <c r="M6620" s="114"/>
      <c r="N6620" s="1"/>
      <c r="O6620" s="1"/>
      <c r="P6620" s="51"/>
    </row>
    <row r="6621">
      <c r="A6621" s="54"/>
      <c r="B6621" s="71"/>
      <c r="C6621" s="51"/>
      <c r="D6621" s="114"/>
      <c r="E6621" s="114"/>
      <c r="F6621" s="54"/>
      <c r="G6621" s="54"/>
      <c r="I6621" s="54"/>
      <c r="K6621" s="54"/>
      <c r="M6621" s="114"/>
      <c r="N6621" s="1"/>
      <c r="O6621" s="1"/>
      <c r="P6621" s="51"/>
    </row>
    <row r="6622">
      <c r="A6622" s="54"/>
      <c r="B6622" s="71"/>
      <c r="C6622" s="51"/>
      <c r="D6622" s="114"/>
      <c r="E6622" s="114"/>
      <c r="F6622" s="54"/>
      <c r="G6622" s="54"/>
      <c r="I6622" s="54"/>
      <c r="K6622" s="54"/>
      <c r="M6622" s="114"/>
      <c r="N6622" s="1"/>
      <c r="O6622" s="1"/>
      <c r="P6622" s="51"/>
    </row>
    <row r="6623">
      <c r="A6623" s="54"/>
      <c r="B6623" s="71"/>
      <c r="C6623" s="51"/>
      <c r="D6623" s="114"/>
      <c r="E6623" s="114"/>
      <c r="F6623" s="54"/>
      <c r="G6623" s="54"/>
      <c r="I6623" s="54"/>
      <c r="K6623" s="54"/>
      <c r="M6623" s="114"/>
      <c r="N6623" s="1"/>
      <c r="O6623" s="1"/>
      <c r="P6623" s="51"/>
    </row>
    <row r="6624">
      <c r="A6624" s="54"/>
      <c r="B6624" s="71"/>
      <c r="C6624" s="51"/>
      <c r="D6624" s="114"/>
      <c r="E6624" s="114"/>
      <c r="F6624" s="54"/>
      <c r="G6624" s="54"/>
      <c r="I6624" s="54"/>
      <c r="K6624" s="54"/>
      <c r="M6624" s="114"/>
      <c r="N6624" s="1"/>
      <c r="O6624" s="1"/>
      <c r="P6624" s="51"/>
    </row>
    <row r="6625">
      <c r="A6625" s="54"/>
      <c r="B6625" s="71"/>
      <c r="C6625" s="51"/>
      <c r="D6625" s="114"/>
      <c r="E6625" s="114"/>
      <c r="F6625" s="54"/>
      <c r="G6625" s="54"/>
      <c r="I6625" s="54"/>
      <c r="K6625" s="54"/>
      <c r="M6625" s="114"/>
      <c r="N6625" s="1"/>
      <c r="O6625" s="1"/>
      <c r="P6625" s="51"/>
    </row>
    <row r="6626">
      <c r="A6626" s="54"/>
      <c r="B6626" s="71"/>
      <c r="C6626" s="51"/>
      <c r="D6626" s="114"/>
      <c r="E6626" s="114"/>
      <c r="F6626" s="54"/>
      <c r="G6626" s="54"/>
      <c r="I6626" s="54"/>
      <c r="K6626" s="54"/>
      <c r="M6626" s="114"/>
      <c r="N6626" s="1"/>
      <c r="O6626" s="1"/>
      <c r="P6626" s="51"/>
    </row>
    <row r="6627">
      <c r="A6627" s="54"/>
      <c r="B6627" s="71"/>
      <c r="C6627" s="51"/>
      <c r="D6627" s="114"/>
      <c r="E6627" s="114"/>
      <c r="F6627" s="54"/>
      <c r="G6627" s="54"/>
      <c r="I6627" s="54"/>
      <c r="K6627" s="54"/>
      <c r="M6627" s="114"/>
      <c r="N6627" s="1"/>
      <c r="O6627" s="1"/>
      <c r="P6627" s="51"/>
    </row>
    <row r="6628">
      <c r="A6628" s="54"/>
      <c r="B6628" s="71"/>
      <c r="C6628" s="51"/>
      <c r="D6628" s="114"/>
      <c r="E6628" s="114"/>
      <c r="F6628" s="54"/>
      <c r="G6628" s="54"/>
      <c r="I6628" s="54"/>
      <c r="K6628" s="54"/>
      <c r="M6628" s="114"/>
      <c r="N6628" s="1"/>
      <c r="O6628" s="1"/>
      <c r="P6628" s="51"/>
    </row>
    <row r="6629">
      <c r="A6629" s="54"/>
      <c r="B6629" s="71"/>
      <c r="C6629" s="51"/>
      <c r="D6629" s="114"/>
      <c r="E6629" s="114"/>
      <c r="F6629" s="54"/>
      <c r="G6629" s="54"/>
      <c r="I6629" s="54"/>
      <c r="K6629" s="54"/>
      <c r="M6629" s="114"/>
      <c r="N6629" s="1"/>
      <c r="O6629" s="1"/>
      <c r="P6629" s="51"/>
    </row>
    <row r="6630">
      <c r="A6630" s="54"/>
      <c r="B6630" s="71"/>
      <c r="C6630" s="51"/>
      <c r="D6630" s="114"/>
      <c r="E6630" s="114"/>
      <c r="F6630" s="54"/>
      <c r="G6630" s="54"/>
      <c r="I6630" s="54"/>
      <c r="K6630" s="54"/>
      <c r="M6630" s="114"/>
      <c r="N6630" s="1"/>
      <c r="O6630" s="1"/>
      <c r="P6630" s="51"/>
    </row>
    <row r="6631">
      <c r="A6631" s="54"/>
      <c r="B6631" s="71"/>
      <c r="C6631" s="51"/>
      <c r="D6631" s="114"/>
      <c r="E6631" s="114"/>
      <c r="F6631" s="54"/>
      <c r="G6631" s="54"/>
      <c r="I6631" s="54"/>
      <c r="K6631" s="54"/>
      <c r="M6631" s="114"/>
      <c r="N6631" s="1"/>
      <c r="O6631" s="1"/>
      <c r="P6631" s="51"/>
    </row>
    <row r="6632">
      <c r="A6632" s="54"/>
      <c r="B6632" s="71"/>
      <c r="C6632" s="51"/>
      <c r="D6632" s="114"/>
      <c r="E6632" s="114"/>
      <c r="F6632" s="54"/>
      <c r="G6632" s="54"/>
      <c r="I6632" s="54"/>
      <c r="K6632" s="54"/>
      <c r="M6632" s="114"/>
      <c r="N6632" s="1"/>
      <c r="O6632" s="1"/>
      <c r="P6632" s="51"/>
    </row>
    <row r="6633">
      <c r="A6633" s="54"/>
      <c r="B6633" s="71"/>
      <c r="C6633" s="51"/>
      <c r="D6633" s="114"/>
      <c r="E6633" s="114"/>
      <c r="F6633" s="54"/>
      <c r="G6633" s="54"/>
      <c r="I6633" s="54"/>
      <c r="K6633" s="54"/>
      <c r="M6633" s="114"/>
      <c r="N6633" s="1"/>
      <c r="O6633" s="1"/>
      <c r="P6633" s="51"/>
    </row>
    <row r="6634">
      <c r="A6634" s="54"/>
      <c r="B6634" s="71"/>
      <c r="C6634" s="51"/>
      <c r="D6634" s="114"/>
      <c r="E6634" s="114"/>
      <c r="F6634" s="54"/>
      <c r="G6634" s="54"/>
      <c r="I6634" s="54"/>
      <c r="K6634" s="54"/>
      <c r="M6634" s="114"/>
      <c r="N6634" s="1"/>
      <c r="O6634" s="1"/>
      <c r="P6634" s="51"/>
    </row>
    <row r="6635">
      <c r="A6635" s="54"/>
      <c r="B6635" s="71"/>
      <c r="C6635" s="51"/>
      <c r="D6635" s="114"/>
      <c r="E6635" s="114"/>
      <c r="F6635" s="54"/>
      <c r="G6635" s="54"/>
      <c r="I6635" s="54"/>
      <c r="K6635" s="54"/>
      <c r="M6635" s="114"/>
      <c r="N6635" s="1"/>
      <c r="O6635" s="1"/>
      <c r="P6635" s="51"/>
    </row>
    <row r="6636">
      <c r="A6636" s="54"/>
      <c r="B6636" s="71"/>
      <c r="C6636" s="51"/>
      <c r="D6636" s="114"/>
      <c r="E6636" s="114"/>
      <c r="F6636" s="54"/>
      <c r="G6636" s="54"/>
      <c r="I6636" s="54"/>
      <c r="K6636" s="54"/>
      <c r="M6636" s="114"/>
      <c r="N6636" s="1"/>
      <c r="O6636" s="1"/>
      <c r="P6636" s="51"/>
    </row>
    <row r="6637">
      <c r="A6637" s="54"/>
      <c r="B6637" s="71"/>
      <c r="C6637" s="51"/>
      <c r="D6637" s="114"/>
      <c r="E6637" s="114"/>
      <c r="F6637" s="54"/>
      <c r="G6637" s="54"/>
      <c r="I6637" s="54"/>
      <c r="K6637" s="54"/>
      <c r="M6637" s="114"/>
      <c r="N6637" s="1"/>
      <c r="O6637" s="1"/>
      <c r="P6637" s="51"/>
    </row>
    <row r="6638">
      <c r="A6638" s="54"/>
      <c r="B6638" s="71"/>
      <c r="C6638" s="51"/>
      <c r="D6638" s="114"/>
      <c r="E6638" s="114"/>
      <c r="F6638" s="54"/>
      <c r="G6638" s="54"/>
      <c r="I6638" s="54"/>
      <c r="K6638" s="54"/>
      <c r="M6638" s="114"/>
      <c r="N6638" s="1"/>
      <c r="O6638" s="1"/>
      <c r="P6638" s="51"/>
    </row>
    <row r="6639">
      <c r="A6639" s="54"/>
      <c r="B6639" s="71"/>
      <c r="C6639" s="51"/>
      <c r="D6639" s="114"/>
      <c r="E6639" s="114"/>
      <c r="F6639" s="54"/>
      <c r="G6639" s="54"/>
      <c r="I6639" s="54"/>
      <c r="K6639" s="54"/>
      <c r="M6639" s="114"/>
      <c r="N6639" s="1"/>
      <c r="O6639" s="1"/>
      <c r="P6639" s="51"/>
    </row>
    <row r="6640">
      <c r="A6640" s="54"/>
      <c r="B6640" s="71"/>
      <c r="C6640" s="51"/>
      <c r="D6640" s="114"/>
      <c r="E6640" s="114"/>
      <c r="F6640" s="54"/>
      <c r="G6640" s="54"/>
      <c r="I6640" s="54"/>
      <c r="K6640" s="54"/>
      <c r="M6640" s="114"/>
      <c r="N6640" s="1"/>
      <c r="O6640" s="1"/>
      <c r="P6640" s="51"/>
    </row>
    <row r="6641">
      <c r="A6641" s="54"/>
      <c r="B6641" s="71"/>
      <c r="C6641" s="51"/>
      <c r="D6641" s="114"/>
      <c r="E6641" s="114"/>
      <c r="F6641" s="54"/>
      <c r="G6641" s="54"/>
      <c r="I6641" s="54"/>
      <c r="K6641" s="54"/>
      <c r="M6641" s="114"/>
      <c r="N6641" s="1"/>
      <c r="O6641" s="1"/>
      <c r="P6641" s="51"/>
    </row>
    <row r="6642">
      <c r="A6642" s="54"/>
      <c r="B6642" s="71"/>
      <c r="C6642" s="51"/>
      <c r="D6642" s="114"/>
      <c r="E6642" s="114"/>
      <c r="F6642" s="54"/>
      <c r="G6642" s="54"/>
      <c r="I6642" s="54"/>
      <c r="K6642" s="54"/>
      <c r="M6642" s="114"/>
      <c r="N6642" s="1"/>
      <c r="O6642" s="1"/>
      <c r="P6642" s="51"/>
    </row>
    <row r="6643">
      <c r="A6643" s="54"/>
      <c r="B6643" s="71"/>
      <c r="C6643" s="51"/>
      <c r="D6643" s="114"/>
      <c r="E6643" s="114"/>
      <c r="F6643" s="54"/>
      <c r="G6643" s="54"/>
      <c r="I6643" s="54"/>
      <c r="K6643" s="54"/>
      <c r="M6643" s="114"/>
      <c r="N6643" s="1"/>
      <c r="O6643" s="1"/>
      <c r="P6643" s="51"/>
    </row>
    <row r="6644">
      <c r="A6644" s="54"/>
      <c r="B6644" s="71"/>
      <c r="C6644" s="51"/>
      <c r="D6644" s="114"/>
      <c r="E6644" s="114"/>
      <c r="F6644" s="54"/>
      <c r="G6644" s="54"/>
      <c r="I6644" s="54"/>
      <c r="K6644" s="54"/>
      <c r="M6644" s="114"/>
      <c r="N6644" s="1"/>
      <c r="O6644" s="1"/>
      <c r="P6644" s="51"/>
    </row>
    <row r="6645">
      <c r="A6645" s="54"/>
      <c r="B6645" s="71"/>
      <c r="C6645" s="51"/>
      <c r="D6645" s="114"/>
      <c r="E6645" s="114"/>
      <c r="F6645" s="54"/>
      <c r="G6645" s="54"/>
      <c r="I6645" s="54"/>
      <c r="K6645" s="54"/>
      <c r="M6645" s="114"/>
      <c r="N6645" s="1"/>
      <c r="O6645" s="1"/>
      <c r="P6645" s="51"/>
    </row>
    <row r="6646">
      <c r="A6646" s="54"/>
      <c r="B6646" s="71"/>
      <c r="C6646" s="51"/>
      <c r="D6646" s="114"/>
      <c r="E6646" s="114"/>
      <c r="F6646" s="54"/>
      <c r="G6646" s="54"/>
      <c r="I6646" s="54"/>
      <c r="K6646" s="54"/>
      <c r="M6646" s="114"/>
      <c r="N6646" s="1"/>
      <c r="O6646" s="1"/>
      <c r="P6646" s="51"/>
    </row>
    <row r="6647">
      <c r="A6647" s="54"/>
      <c r="B6647" s="71"/>
      <c r="C6647" s="51"/>
      <c r="D6647" s="114"/>
      <c r="E6647" s="114"/>
      <c r="F6647" s="54"/>
      <c r="G6647" s="54"/>
      <c r="I6647" s="54"/>
      <c r="K6647" s="54"/>
      <c r="M6647" s="114"/>
      <c r="N6647" s="1"/>
      <c r="O6647" s="1"/>
      <c r="P6647" s="51"/>
    </row>
    <row r="6648">
      <c r="A6648" s="54"/>
      <c r="B6648" s="71"/>
      <c r="C6648" s="51"/>
      <c r="D6648" s="114"/>
      <c r="E6648" s="114"/>
      <c r="F6648" s="54"/>
      <c r="G6648" s="54"/>
      <c r="I6648" s="54"/>
      <c r="K6648" s="54"/>
      <c r="M6648" s="114"/>
      <c r="N6648" s="1"/>
      <c r="O6648" s="1"/>
      <c r="P6648" s="51"/>
    </row>
    <row r="6649">
      <c r="A6649" s="54"/>
      <c r="B6649" s="71"/>
      <c r="C6649" s="51"/>
      <c r="D6649" s="114"/>
      <c r="E6649" s="114"/>
      <c r="F6649" s="54"/>
      <c r="G6649" s="54"/>
      <c r="I6649" s="54"/>
      <c r="K6649" s="54"/>
      <c r="M6649" s="114"/>
      <c r="N6649" s="1"/>
      <c r="O6649" s="1"/>
      <c r="P6649" s="51"/>
    </row>
    <row r="6650">
      <c r="A6650" s="54"/>
      <c r="B6650" s="71"/>
      <c r="C6650" s="51"/>
      <c r="D6650" s="114"/>
      <c r="E6650" s="114"/>
      <c r="F6650" s="54"/>
      <c r="G6650" s="54"/>
      <c r="I6650" s="54"/>
      <c r="K6650" s="54"/>
      <c r="M6650" s="114"/>
      <c r="N6650" s="1"/>
      <c r="O6650" s="1"/>
      <c r="P6650" s="51"/>
    </row>
    <row r="6651">
      <c r="A6651" s="54"/>
      <c r="B6651" s="71"/>
      <c r="C6651" s="51"/>
      <c r="D6651" s="114"/>
      <c r="E6651" s="114"/>
      <c r="F6651" s="54"/>
      <c r="G6651" s="54"/>
      <c r="I6651" s="54"/>
      <c r="K6651" s="54"/>
      <c r="M6651" s="114"/>
      <c r="N6651" s="1"/>
      <c r="O6651" s="1"/>
      <c r="P6651" s="51"/>
    </row>
    <row r="6652">
      <c r="A6652" s="54"/>
      <c r="B6652" s="71"/>
      <c r="C6652" s="51"/>
      <c r="D6652" s="114"/>
      <c r="E6652" s="114"/>
      <c r="F6652" s="54"/>
      <c r="G6652" s="54"/>
      <c r="I6652" s="54"/>
      <c r="K6652" s="54"/>
      <c r="M6652" s="114"/>
      <c r="N6652" s="1"/>
      <c r="O6652" s="1"/>
      <c r="P6652" s="51"/>
    </row>
    <row r="6653">
      <c r="A6653" s="54"/>
      <c r="B6653" s="71"/>
      <c r="C6653" s="51"/>
      <c r="D6653" s="114"/>
      <c r="E6653" s="114"/>
      <c r="F6653" s="54"/>
      <c r="G6653" s="54"/>
      <c r="I6653" s="54"/>
      <c r="K6653" s="54"/>
      <c r="M6653" s="114"/>
      <c r="N6653" s="1"/>
      <c r="O6653" s="1"/>
      <c r="P6653" s="51"/>
    </row>
    <row r="6654">
      <c r="A6654" s="54"/>
      <c r="B6654" s="71"/>
      <c r="C6654" s="51"/>
      <c r="D6654" s="114"/>
      <c r="E6654" s="114"/>
      <c r="F6654" s="54"/>
      <c r="G6654" s="54"/>
      <c r="I6654" s="54"/>
      <c r="K6654" s="54"/>
      <c r="M6654" s="114"/>
      <c r="N6654" s="1"/>
      <c r="O6654" s="1"/>
      <c r="P6654" s="51"/>
    </row>
    <row r="6655">
      <c r="A6655" s="54"/>
      <c r="B6655" s="71"/>
      <c r="C6655" s="51"/>
      <c r="D6655" s="114"/>
      <c r="E6655" s="114"/>
      <c r="F6655" s="54"/>
      <c r="G6655" s="54"/>
      <c r="I6655" s="54"/>
      <c r="K6655" s="54"/>
      <c r="M6655" s="114"/>
      <c r="N6655" s="1"/>
      <c r="O6655" s="1"/>
      <c r="P6655" s="51"/>
    </row>
    <row r="6656">
      <c r="A6656" s="54"/>
      <c r="B6656" s="71"/>
      <c r="C6656" s="51"/>
      <c r="D6656" s="114"/>
      <c r="E6656" s="114"/>
      <c r="F6656" s="54"/>
      <c r="G6656" s="54"/>
      <c r="I6656" s="54"/>
      <c r="K6656" s="54"/>
      <c r="M6656" s="114"/>
      <c r="N6656" s="1"/>
      <c r="O6656" s="1"/>
      <c r="P6656" s="51"/>
    </row>
    <row r="6657">
      <c r="A6657" s="54"/>
      <c r="B6657" s="71"/>
      <c r="C6657" s="51"/>
      <c r="D6657" s="114"/>
      <c r="E6657" s="114"/>
      <c r="F6657" s="54"/>
      <c r="G6657" s="54"/>
      <c r="I6657" s="54"/>
      <c r="K6657" s="54"/>
      <c r="M6657" s="114"/>
      <c r="N6657" s="1"/>
      <c r="O6657" s="1"/>
      <c r="P6657" s="51"/>
    </row>
    <row r="6658">
      <c r="A6658" s="54"/>
      <c r="B6658" s="71"/>
      <c r="C6658" s="51"/>
      <c r="D6658" s="114"/>
      <c r="E6658" s="114"/>
      <c r="F6658" s="54"/>
      <c r="G6658" s="54"/>
      <c r="I6658" s="54"/>
      <c r="K6658" s="54"/>
      <c r="M6658" s="114"/>
      <c r="N6658" s="1"/>
      <c r="O6658" s="1"/>
      <c r="P6658" s="51"/>
    </row>
    <row r="6659">
      <c r="A6659" s="54"/>
      <c r="B6659" s="71"/>
      <c r="C6659" s="51"/>
      <c r="D6659" s="114"/>
      <c r="E6659" s="114"/>
      <c r="F6659" s="54"/>
      <c r="G6659" s="54"/>
      <c r="I6659" s="54"/>
      <c r="K6659" s="54"/>
      <c r="M6659" s="114"/>
      <c r="N6659" s="1"/>
      <c r="O6659" s="1"/>
      <c r="P6659" s="51"/>
    </row>
    <row r="6660">
      <c r="A6660" s="54"/>
      <c r="B6660" s="71"/>
      <c r="C6660" s="51"/>
      <c r="D6660" s="114"/>
      <c r="E6660" s="114"/>
      <c r="F6660" s="54"/>
      <c r="G6660" s="54"/>
      <c r="I6660" s="54"/>
      <c r="K6660" s="54"/>
      <c r="M6660" s="114"/>
      <c r="N6660" s="1"/>
      <c r="O6660" s="1"/>
      <c r="P6660" s="51"/>
    </row>
    <row r="6661">
      <c r="A6661" s="54"/>
      <c r="B6661" s="71"/>
      <c r="C6661" s="51"/>
      <c r="D6661" s="114"/>
      <c r="E6661" s="114"/>
      <c r="F6661" s="54"/>
      <c r="G6661" s="54"/>
      <c r="I6661" s="54"/>
      <c r="K6661" s="54"/>
      <c r="M6661" s="114"/>
      <c r="N6661" s="1"/>
      <c r="O6661" s="1"/>
      <c r="P6661" s="51"/>
    </row>
    <row r="6662">
      <c r="A6662" s="54"/>
      <c r="B6662" s="71"/>
      <c r="C6662" s="51"/>
      <c r="D6662" s="114"/>
      <c r="E6662" s="114"/>
      <c r="F6662" s="54"/>
      <c r="G6662" s="54"/>
      <c r="I6662" s="54"/>
      <c r="K6662" s="54"/>
      <c r="M6662" s="114"/>
      <c r="N6662" s="1"/>
      <c r="O6662" s="1"/>
      <c r="P6662" s="51"/>
    </row>
    <row r="6663">
      <c r="A6663" s="54"/>
      <c r="B6663" s="71"/>
      <c r="C6663" s="51"/>
      <c r="D6663" s="114"/>
      <c r="E6663" s="114"/>
      <c r="F6663" s="54"/>
      <c r="G6663" s="54"/>
      <c r="I6663" s="54"/>
      <c r="K6663" s="54"/>
      <c r="M6663" s="114"/>
      <c r="N6663" s="1"/>
      <c r="O6663" s="1"/>
      <c r="P6663" s="51"/>
    </row>
    <row r="6664">
      <c r="A6664" s="54"/>
      <c r="B6664" s="71"/>
      <c r="C6664" s="51"/>
      <c r="D6664" s="114"/>
      <c r="E6664" s="114"/>
      <c r="F6664" s="54"/>
      <c r="G6664" s="54"/>
      <c r="I6664" s="54"/>
      <c r="K6664" s="54"/>
      <c r="M6664" s="114"/>
      <c r="N6664" s="1"/>
      <c r="O6664" s="1"/>
      <c r="P6664" s="51"/>
    </row>
    <row r="6665">
      <c r="A6665" s="54"/>
      <c r="B6665" s="71"/>
      <c r="C6665" s="51"/>
      <c r="D6665" s="114"/>
      <c r="E6665" s="114"/>
      <c r="F6665" s="54"/>
      <c r="G6665" s="54"/>
      <c r="I6665" s="54"/>
      <c r="K6665" s="54"/>
      <c r="M6665" s="114"/>
      <c r="N6665" s="1"/>
      <c r="O6665" s="1"/>
      <c r="P6665" s="51"/>
    </row>
    <row r="6666">
      <c r="A6666" s="54"/>
      <c r="B6666" s="71"/>
      <c r="C6666" s="51"/>
      <c r="D6666" s="114"/>
      <c r="E6666" s="114"/>
      <c r="F6666" s="54"/>
      <c r="G6666" s="54"/>
      <c r="I6666" s="54"/>
      <c r="K6666" s="54"/>
      <c r="M6666" s="114"/>
      <c r="N6666" s="1"/>
      <c r="O6666" s="1"/>
      <c r="P6666" s="51"/>
    </row>
    <row r="6667">
      <c r="A6667" s="54"/>
      <c r="B6667" s="71"/>
      <c r="C6667" s="51"/>
      <c r="D6667" s="114"/>
      <c r="E6667" s="114"/>
      <c r="F6667" s="54"/>
      <c r="G6667" s="54"/>
      <c r="I6667" s="54"/>
      <c r="K6667" s="54"/>
      <c r="M6667" s="114"/>
      <c r="N6667" s="1"/>
      <c r="O6667" s="1"/>
      <c r="P6667" s="51"/>
    </row>
    <row r="6668">
      <c r="A6668" s="54"/>
      <c r="B6668" s="71"/>
      <c r="C6668" s="51"/>
      <c r="D6668" s="114"/>
      <c r="E6668" s="114"/>
      <c r="F6668" s="54"/>
      <c r="G6668" s="54"/>
      <c r="I6668" s="54"/>
      <c r="K6668" s="54"/>
      <c r="M6668" s="114"/>
      <c r="N6668" s="1"/>
      <c r="O6668" s="1"/>
      <c r="P6668" s="51"/>
    </row>
    <row r="6669">
      <c r="A6669" s="54"/>
      <c r="B6669" s="71"/>
      <c r="C6669" s="51"/>
      <c r="D6669" s="114"/>
      <c r="E6669" s="114"/>
      <c r="F6669" s="54"/>
      <c r="G6669" s="54"/>
      <c r="I6669" s="54"/>
      <c r="K6669" s="54"/>
      <c r="M6669" s="114"/>
      <c r="N6669" s="1"/>
      <c r="O6669" s="1"/>
      <c r="P6669" s="51"/>
    </row>
    <row r="6670">
      <c r="A6670" s="54"/>
      <c r="B6670" s="71"/>
      <c r="C6670" s="51"/>
      <c r="D6670" s="114"/>
      <c r="E6670" s="114"/>
      <c r="F6670" s="54"/>
      <c r="G6670" s="54"/>
      <c r="I6670" s="54"/>
      <c r="K6670" s="54"/>
      <c r="M6670" s="114"/>
      <c r="N6670" s="1"/>
      <c r="O6670" s="1"/>
      <c r="P6670" s="51"/>
    </row>
    <row r="6671">
      <c r="A6671" s="54"/>
      <c r="B6671" s="71"/>
      <c r="C6671" s="51"/>
      <c r="D6671" s="114"/>
      <c r="E6671" s="114"/>
      <c r="F6671" s="54"/>
      <c r="G6671" s="54"/>
      <c r="I6671" s="54"/>
      <c r="K6671" s="54"/>
      <c r="M6671" s="114"/>
      <c r="N6671" s="1"/>
      <c r="O6671" s="1"/>
      <c r="P6671" s="51"/>
    </row>
    <row r="6672">
      <c r="A6672" s="54"/>
      <c r="B6672" s="71"/>
      <c r="C6672" s="51"/>
      <c r="D6672" s="114"/>
      <c r="E6672" s="114"/>
      <c r="F6672" s="54"/>
      <c r="G6672" s="54"/>
      <c r="I6672" s="54"/>
      <c r="K6672" s="54"/>
      <c r="M6672" s="114"/>
      <c r="N6672" s="1"/>
      <c r="O6672" s="1"/>
      <c r="P6672" s="51"/>
    </row>
    <row r="6673">
      <c r="A6673" s="54"/>
      <c r="B6673" s="71"/>
      <c r="C6673" s="51"/>
      <c r="D6673" s="114"/>
      <c r="E6673" s="114"/>
      <c r="F6673" s="54"/>
      <c r="G6673" s="54"/>
      <c r="I6673" s="54"/>
      <c r="K6673" s="54"/>
      <c r="M6673" s="114"/>
      <c r="N6673" s="1"/>
      <c r="O6673" s="1"/>
      <c r="P6673" s="51"/>
    </row>
    <row r="6674">
      <c r="A6674" s="54"/>
      <c r="B6674" s="71"/>
      <c r="C6674" s="51"/>
      <c r="D6674" s="114"/>
      <c r="E6674" s="114"/>
      <c r="F6674" s="54"/>
      <c r="G6674" s="54"/>
      <c r="I6674" s="54"/>
      <c r="K6674" s="54"/>
      <c r="M6674" s="114"/>
      <c r="N6674" s="1"/>
      <c r="O6674" s="1"/>
      <c r="P6674" s="51"/>
    </row>
    <row r="6675">
      <c r="A6675" s="54"/>
      <c r="B6675" s="71"/>
      <c r="C6675" s="51"/>
      <c r="D6675" s="114"/>
      <c r="E6675" s="114"/>
      <c r="F6675" s="54"/>
      <c r="G6675" s="54"/>
      <c r="I6675" s="54"/>
      <c r="K6675" s="54"/>
      <c r="M6675" s="114"/>
      <c r="N6675" s="1"/>
      <c r="O6675" s="1"/>
      <c r="P6675" s="51"/>
    </row>
    <row r="6676">
      <c r="A6676" s="54"/>
      <c r="B6676" s="71"/>
      <c r="C6676" s="51"/>
      <c r="D6676" s="114"/>
      <c r="E6676" s="114"/>
      <c r="F6676" s="54"/>
      <c r="G6676" s="54"/>
      <c r="I6676" s="54"/>
      <c r="K6676" s="54"/>
      <c r="M6676" s="114"/>
      <c r="N6676" s="1"/>
      <c r="O6676" s="1"/>
      <c r="P6676" s="51"/>
    </row>
    <row r="6677">
      <c r="A6677" s="54"/>
      <c r="B6677" s="71"/>
      <c r="C6677" s="51"/>
      <c r="D6677" s="114"/>
      <c r="E6677" s="114"/>
      <c r="F6677" s="54"/>
      <c r="G6677" s="54"/>
      <c r="I6677" s="54"/>
      <c r="K6677" s="54"/>
      <c r="M6677" s="114"/>
      <c r="N6677" s="1"/>
      <c r="O6677" s="1"/>
      <c r="P6677" s="51"/>
    </row>
    <row r="6678">
      <c r="A6678" s="54"/>
      <c r="B6678" s="71"/>
      <c r="C6678" s="51"/>
      <c r="D6678" s="114"/>
      <c r="E6678" s="114"/>
      <c r="F6678" s="54"/>
      <c r="G6678" s="54"/>
      <c r="I6678" s="54"/>
      <c r="K6678" s="54"/>
      <c r="M6678" s="114"/>
      <c r="N6678" s="1"/>
      <c r="O6678" s="1"/>
      <c r="P6678" s="51"/>
    </row>
    <row r="6679">
      <c r="A6679" s="54"/>
      <c r="B6679" s="71"/>
      <c r="C6679" s="51"/>
      <c r="D6679" s="114"/>
      <c r="E6679" s="114"/>
      <c r="F6679" s="54"/>
      <c r="G6679" s="54"/>
      <c r="I6679" s="54"/>
      <c r="K6679" s="54"/>
      <c r="M6679" s="114"/>
      <c r="N6679" s="1"/>
      <c r="O6679" s="1"/>
      <c r="P6679" s="51"/>
    </row>
    <row r="6680">
      <c r="A6680" s="54"/>
      <c r="B6680" s="71"/>
      <c r="C6680" s="51"/>
      <c r="D6680" s="114"/>
      <c r="E6680" s="114"/>
      <c r="F6680" s="54"/>
      <c r="G6680" s="54"/>
      <c r="I6680" s="54"/>
      <c r="K6680" s="54"/>
      <c r="M6680" s="114"/>
      <c r="N6680" s="1"/>
      <c r="O6680" s="1"/>
      <c r="P6680" s="51"/>
    </row>
    <row r="6681">
      <c r="A6681" s="54"/>
      <c r="B6681" s="71"/>
      <c r="C6681" s="51"/>
      <c r="D6681" s="114"/>
      <c r="E6681" s="114"/>
      <c r="F6681" s="54"/>
      <c r="G6681" s="54"/>
      <c r="I6681" s="54"/>
      <c r="K6681" s="54"/>
      <c r="M6681" s="114"/>
      <c r="N6681" s="1"/>
      <c r="O6681" s="1"/>
      <c r="P6681" s="51"/>
    </row>
    <row r="6682">
      <c r="A6682" s="54"/>
      <c r="B6682" s="71"/>
      <c r="C6682" s="51"/>
      <c r="D6682" s="114"/>
      <c r="E6682" s="114"/>
      <c r="F6682" s="54"/>
      <c r="G6682" s="54"/>
      <c r="I6682" s="54"/>
      <c r="K6682" s="54"/>
      <c r="M6682" s="114"/>
      <c r="N6682" s="1"/>
      <c r="O6682" s="1"/>
      <c r="P6682" s="51"/>
    </row>
    <row r="6683">
      <c r="A6683" s="54"/>
      <c r="B6683" s="71"/>
      <c r="C6683" s="51"/>
      <c r="D6683" s="114"/>
      <c r="E6683" s="114"/>
      <c r="F6683" s="54"/>
      <c r="G6683" s="54"/>
      <c r="I6683" s="54"/>
      <c r="K6683" s="54"/>
      <c r="M6683" s="114"/>
      <c r="N6683" s="1"/>
      <c r="O6683" s="1"/>
      <c r="P6683" s="51"/>
    </row>
    <row r="6684">
      <c r="A6684" s="54"/>
      <c r="B6684" s="71"/>
      <c r="C6684" s="51"/>
      <c r="D6684" s="114"/>
      <c r="E6684" s="114"/>
      <c r="F6684" s="54"/>
      <c r="G6684" s="54"/>
      <c r="I6684" s="54"/>
      <c r="K6684" s="54"/>
      <c r="M6684" s="114"/>
      <c r="N6684" s="1"/>
      <c r="O6684" s="1"/>
      <c r="P6684" s="51"/>
    </row>
    <row r="6685">
      <c r="A6685" s="54"/>
      <c r="B6685" s="71"/>
      <c r="C6685" s="51"/>
      <c r="D6685" s="114"/>
      <c r="E6685" s="114"/>
      <c r="F6685" s="54"/>
      <c r="G6685" s="54"/>
      <c r="I6685" s="54"/>
      <c r="K6685" s="54"/>
      <c r="M6685" s="114"/>
      <c r="N6685" s="1"/>
      <c r="O6685" s="1"/>
      <c r="P6685" s="51"/>
    </row>
    <row r="6686">
      <c r="A6686" s="54"/>
      <c r="B6686" s="71"/>
      <c r="C6686" s="51"/>
      <c r="D6686" s="114"/>
      <c r="E6686" s="114"/>
      <c r="F6686" s="54"/>
      <c r="G6686" s="54"/>
      <c r="I6686" s="54"/>
      <c r="K6686" s="54"/>
      <c r="M6686" s="114"/>
      <c r="N6686" s="1"/>
      <c r="O6686" s="1"/>
      <c r="P6686" s="51"/>
    </row>
    <row r="6687">
      <c r="A6687" s="54"/>
      <c r="B6687" s="71"/>
      <c r="C6687" s="51"/>
      <c r="D6687" s="114"/>
      <c r="E6687" s="114"/>
      <c r="F6687" s="54"/>
      <c r="G6687" s="54"/>
      <c r="I6687" s="54"/>
      <c r="K6687" s="54"/>
      <c r="M6687" s="114"/>
      <c r="N6687" s="1"/>
      <c r="O6687" s="1"/>
      <c r="P6687" s="51"/>
    </row>
    <row r="6688">
      <c r="A6688" s="54"/>
      <c r="B6688" s="71"/>
      <c r="C6688" s="51"/>
      <c r="D6688" s="114"/>
      <c r="E6688" s="114"/>
      <c r="F6688" s="54"/>
      <c r="G6688" s="54"/>
      <c r="I6688" s="54"/>
      <c r="K6688" s="54"/>
      <c r="M6688" s="114"/>
      <c r="N6688" s="1"/>
      <c r="O6688" s="1"/>
      <c r="P6688" s="51"/>
    </row>
    <row r="6689">
      <c r="A6689" s="54"/>
      <c r="B6689" s="71"/>
      <c r="C6689" s="51"/>
      <c r="D6689" s="114"/>
      <c r="E6689" s="114"/>
      <c r="F6689" s="54"/>
      <c r="G6689" s="54"/>
      <c r="I6689" s="54"/>
      <c r="K6689" s="54"/>
      <c r="M6689" s="114"/>
      <c r="N6689" s="1"/>
      <c r="O6689" s="1"/>
      <c r="P6689" s="51"/>
    </row>
    <row r="6690">
      <c r="A6690" s="54"/>
      <c r="B6690" s="71"/>
      <c r="C6690" s="51"/>
      <c r="D6690" s="114"/>
      <c r="E6690" s="114"/>
      <c r="F6690" s="54"/>
      <c r="G6690" s="54"/>
      <c r="I6690" s="54"/>
      <c r="K6690" s="54"/>
      <c r="M6690" s="114"/>
      <c r="N6690" s="1"/>
      <c r="O6690" s="1"/>
      <c r="P6690" s="51"/>
    </row>
    <row r="6691">
      <c r="A6691" s="54"/>
      <c r="B6691" s="71"/>
      <c r="C6691" s="51"/>
      <c r="D6691" s="114"/>
      <c r="E6691" s="114"/>
      <c r="F6691" s="54"/>
      <c r="G6691" s="54"/>
      <c r="I6691" s="54"/>
      <c r="K6691" s="54"/>
      <c r="M6691" s="114"/>
      <c r="N6691" s="1"/>
      <c r="O6691" s="1"/>
      <c r="P6691" s="51"/>
    </row>
    <row r="6692">
      <c r="A6692" s="54"/>
      <c r="B6692" s="71"/>
      <c r="C6692" s="51"/>
      <c r="D6692" s="114"/>
      <c r="E6692" s="114"/>
      <c r="F6692" s="54"/>
      <c r="G6692" s="54"/>
      <c r="I6692" s="54"/>
      <c r="K6692" s="54"/>
      <c r="M6692" s="114"/>
      <c r="N6692" s="1"/>
      <c r="O6692" s="1"/>
      <c r="P6692" s="51"/>
    </row>
    <row r="6693">
      <c r="A6693" s="54"/>
      <c r="B6693" s="71"/>
      <c r="C6693" s="51"/>
      <c r="D6693" s="114"/>
      <c r="E6693" s="114"/>
      <c r="F6693" s="54"/>
      <c r="G6693" s="54"/>
      <c r="I6693" s="54"/>
      <c r="K6693" s="54"/>
      <c r="M6693" s="114"/>
      <c r="N6693" s="1"/>
      <c r="O6693" s="1"/>
      <c r="P6693" s="51"/>
    </row>
    <row r="6694">
      <c r="A6694" s="54"/>
      <c r="B6694" s="71"/>
      <c r="C6694" s="51"/>
      <c r="D6694" s="114"/>
      <c r="E6694" s="114"/>
      <c r="F6694" s="54"/>
      <c r="G6694" s="54"/>
      <c r="I6694" s="54"/>
      <c r="K6694" s="54"/>
      <c r="M6694" s="114"/>
      <c r="N6694" s="1"/>
      <c r="O6694" s="1"/>
      <c r="P6694" s="51"/>
    </row>
    <row r="6695">
      <c r="A6695" s="54"/>
      <c r="B6695" s="71"/>
      <c r="C6695" s="51"/>
      <c r="D6695" s="114"/>
      <c r="E6695" s="114"/>
      <c r="F6695" s="54"/>
      <c r="G6695" s="54"/>
      <c r="I6695" s="54"/>
      <c r="K6695" s="54"/>
      <c r="M6695" s="114"/>
      <c r="N6695" s="1"/>
      <c r="O6695" s="1"/>
      <c r="P6695" s="51"/>
    </row>
    <row r="6696">
      <c r="A6696" s="54"/>
      <c r="B6696" s="71"/>
      <c r="C6696" s="51"/>
      <c r="D6696" s="114"/>
      <c r="E6696" s="114"/>
      <c r="F6696" s="54"/>
      <c r="G6696" s="54"/>
      <c r="I6696" s="54"/>
      <c r="K6696" s="54"/>
      <c r="M6696" s="114"/>
      <c r="N6696" s="1"/>
      <c r="O6696" s="1"/>
      <c r="P6696" s="51"/>
    </row>
    <row r="6697">
      <c r="A6697" s="54"/>
      <c r="B6697" s="71"/>
      <c r="C6697" s="51"/>
      <c r="D6697" s="114"/>
      <c r="E6697" s="114"/>
      <c r="F6697" s="54"/>
      <c r="G6697" s="54"/>
      <c r="I6697" s="54"/>
      <c r="K6697" s="54"/>
      <c r="M6697" s="114"/>
      <c r="N6697" s="1"/>
      <c r="O6697" s="1"/>
      <c r="P6697" s="51"/>
    </row>
    <row r="6698">
      <c r="A6698" s="54"/>
      <c r="B6698" s="71"/>
      <c r="C6698" s="51"/>
      <c r="D6698" s="114"/>
      <c r="E6698" s="114"/>
      <c r="F6698" s="54"/>
      <c r="G6698" s="54"/>
      <c r="I6698" s="54"/>
      <c r="K6698" s="54"/>
      <c r="M6698" s="114"/>
      <c r="N6698" s="1"/>
      <c r="O6698" s="1"/>
      <c r="P6698" s="51"/>
    </row>
    <row r="6699">
      <c r="A6699" s="54"/>
      <c r="B6699" s="71"/>
      <c r="C6699" s="51"/>
      <c r="D6699" s="114"/>
      <c r="E6699" s="114"/>
      <c r="F6699" s="54"/>
      <c r="G6699" s="54"/>
      <c r="I6699" s="54"/>
      <c r="K6699" s="54"/>
      <c r="M6699" s="114"/>
      <c r="N6699" s="1"/>
      <c r="O6699" s="1"/>
      <c r="P6699" s="51"/>
    </row>
    <row r="6700">
      <c r="A6700" s="54"/>
      <c r="B6700" s="71"/>
      <c r="C6700" s="51"/>
      <c r="D6700" s="114"/>
      <c r="E6700" s="114"/>
      <c r="F6700" s="54"/>
      <c r="G6700" s="54"/>
      <c r="I6700" s="54"/>
      <c r="K6700" s="54"/>
      <c r="M6700" s="114"/>
      <c r="N6700" s="1"/>
      <c r="O6700" s="1"/>
      <c r="P6700" s="51"/>
    </row>
    <row r="6701">
      <c r="A6701" s="54"/>
      <c r="B6701" s="71"/>
      <c r="C6701" s="51"/>
      <c r="D6701" s="114"/>
      <c r="E6701" s="114"/>
      <c r="F6701" s="54"/>
      <c r="G6701" s="54"/>
      <c r="I6701" s="54"/>
      <c r="K6701" s="54"/>
      <c r="M6701" s="114"/>
      <c r="N6701" s="1"/>
      <c r="O6701" s="1"/>
      <c r="P6701" s="51"/>
    </row>
    <row r="6702">
      <c r="A6702" s="54"/>
      <c r="B6702" s="71"/>
      <c r="C6702" s="51"/>
      <c r="D6702" s="114"/>
      <c r="E6702" s="114"/>
      <c r="F6702" s="54"/>
      <c r="G6702" s="54"/>
      <c r="I6702" s="54"/>
      <c r="K6702" s="54"/>
      <c r="M6702" s="114"/>
      <c r="N6702" s="1"/>
      <c r="O6702" s="1"/>
      <c r="P6702" s="51"/>
    </row>
    <row r="6703">
      <c r="A6703" s="54"/>
      <c r="B6703" s="71"/>
      <c r="C6703" s="51"/>
      <c r="D6703" s="114"/>
      <c r="E6703" s="114"/>
      <c r="F6703" s="54"/>
      <c r="G6703" s="54"/>
      <c r="I6703" s="54"/>
      <c r="K6703" s="54"/>
      <c r="M6703" s="114"/>
      <c r="N6703" s="1"/>
      <c r="O6703" s="1"/>
      <c r="P6703" s="51"/>
    </row>
    <row r="6704">
      <c r="A6704" s="54"/>
      <c r="B6704" s="71"/>
      <c r="C6704" s="51"/>
      <c r="D6704" s="114"/>
      <c r="E6704" s="114"/>
      <c r="F6704" s="54"/>
      <c r="G6704" s="54"/>
      <c r="I6704" s="54"/>
      <c r="K6704" s="54"/>
      <c r="M6704" s="114"/>
      <c r="N6704" s="1"/>
      <c r="O6704" s="1"/>
      <c r="P6704" s="51"/>
    </row>
    <row r="6705">
      <c r="A6705" s="54"/>
      <c r="B6705" s="71"/>
      <c r="C6705" s="51"/>
      <c r="D6705" s="114"/>
      <c r="E6705" s="114"/>
      <c r="F6705" s="54"/>
      <c r="G6705" s="54"/>
      <c r="I6705" s="54"/>
      <c r="K6705" s="54"/>
      <c r="M6705" s="114"/>
      <c r="N6705" s="1"/>
      <c r="O6705" s="1"/>
      <c r="P6705" s="51"/>
    </row>
    <row r="6706">
      <c r="A6706" s="54"/>
      <c r="B6706" s="71"/>
      <c r="C6706" s="51"/>
      <c r="D6706" s="114"/>
      <c r="E6706" s="114"/>
      <c r="F6706" s="54"/>
      <c r="G6706" s="54"/>
      <c r="I6706" s="54"/>
      <c r="K6706" s="54"/>
      <c r="M6706" s="114"/>
      <c r="N6706" s="1"/>
      <c r="O6706" s="1"/>
      <c r="P6706" s="51"/>
    </row>
    <row r="6707">
      <c r="A6707" s="54"/>
      <c r="B6707" s="71"/>
      <c r="C6707" s="51"/>
      <c r="D6707" s="114"/>
      <c r="E6707" s="114"/>
      <c r="F6707" s="54"/>
      <c r="G6707" s="54"/>
      <c r="I6707" s="54"/>
      <c r="K6707" s="54"/>
      <c r="M6707" s="114"/>
      <c r="N6707" s="1"/>
      <c r="O6707" s="1"/>
      <c r="P6707" s="51"/>
    </row>
    <row r="6708">
      <c r="A6708" s="54"/>
      <c r="B6708" s="71"/>
      <c r="C6708" s="51"/>
      <c r="D6708" s="114"/>
      <c r="E6708" s="114"/>
      <c r="F6708" s="54"/>
      <c r="G6708" s="54"/>
      <c r="I6708" s="54"/>
      <c r="K6708" s="54"/>
      <c r="M6708" s="114"/>
      <c r="N6708" s="1"/>
      <c r="O6708" s="1"/>
      <c r="P6708" s="51"/>
    </row>
    <row r="6709">
      <c r="A6709" s="54"/>
      <c r="B6709" s="71"/>
      <c r="C6709" s="51"/>
      <c r="D6709" s="114"/>
      <c r="E6709" s="114"/>
      <c r="F6709" s="54"/>
      <c r="G6709" s="54"/>
      <c r="I6709" s="54"/>
      <c r="K6709" s="54"/>
      <c r="M6709" s="114"/>
      <c r="N6709" s="1"/>
      <c r="O6709" s="1"/>
      <c r="P6709" s="51"/>
    </row>
    <row r="6710">
      <c r="A6710" s="54"/>
      <c r="B6710" s="71"/>
      <c r="C6710" s="51"/>
      <c r="D6710" s="114"/>
      <c r="E6710" s="114"/>
      <c r="F6710" s="54"/>
      <c r="G6710" s="54"/>
      <c r="I6710" s="54"/>
      <c r="K6710" s="54"/>
      <c r="M6710" s="114"/>
      <c r="N6710" s="1"/>
      <c r="O6710" s="1"/>
      <c r="P6710" s="51"/>
    </row>
    <row r="6711">
      <c r="A6711" s="54"/>
      <c r="B6711" s="71"/>
      <c r="C6711" s="51"/>
      <c r="D6711" s="114"/>
      <c r="E6711" s="114"/>
      <c r="F6711" s="54"/>
      <c r="G6711" s="54"/>
      <c r="I6711" s="54"/>
      <c r="K6711" s="54"/>
      <c r="M6711" s="114"/>
      <c r="N6711" s="1"/>
      <c r="O6711" s="1"/>
      <c r="P6711" s="51"/>
    </row>
    <row r="6712">
      <c r="A6712" s="54"/>
      <c r="B6712" s="71"/>
      <c r="C6712" s="51"/>
      <c r="D6712" s="114"/>
      <c r="E6712" s="114"/>
      <c r="F6712" s="54"/>
      <c r="G6712" s="54"/>
      <c r="I6712" s="54"/>
      <c r="K6712" s="54"/>
      <c r="M6712" s="114"/>
      <c r="N6712" s="1"/>
      <c r="O6712" s="1"/>
      <c r="P6712" s="51"/>
    </row>
    <row r="6713">
      <c r="A6713" s="54"/>
      <c r="B6713" s="71"/>
      <c r="C6713" s="51"/>
      <c r="D6713" s="114"/>
      <c r="E6713" s="114"/>
      <c r="F6713" s="54"/>
      <c r="G6713" s="54"/>
      <c r="I6713" s="54"/>
      <c r="K6713" s="54"/>
      <c r="M6713" s="114"/>
      <c r="N6713" s="1"/>
      <c r="O6713" s="1"/>
      <c r="P6713" s="51"/>
    </row>
    <row r="6714">
      <c r="A6714" s="54"/>
      <c r="B6714" s="71"/>
      <c r="C6714" s="51"/>
      <c r="D6714" s="114"/>
      <c r="E6714" s="114"/>
      <c r="F6714" s="54"/>
      <c r="G6714" s="54"/>
      <c r="I6714" s="54"/>
      <c r="K6714" s="54"/>
      <c r="M6714" s="114"/>
      <c r="N6714" s="1"/>
      <c r="O6714" s="1"/>
      <c r="P6714" s="51"/>
    </row>
    <row r="6715">
      <c r="A6715" s="54"/>
      <c r="B6715" s="71"/>
      <c r="C6715" s="51"/>
      <c r="D6715" s="114"/>
      <c r="E6715" s="114"/>
      <c r="F6715" s="54"/>
      <c r="G6715" s="54"/>
      <c r="I6715" s="54"/>
      <c r="K6715" s="54"/>
      <c r="M6715" s="114"/>
      <c r="N6715" s="1"/>
      <c r="O6715" s="1"/>
      <c r="P6715" s="51"/>
    </row>
    <row r="6716">
      <c r="A6716" s="54"/>
      <c r="B6716" s="71"/>
      <c r="C6716" s="51"/>
      <c r="D6716" s="114"/>
      <c r="E6716" s="114"/>
      <c r="F6716" s="54"/>
      <c r="G6716" s="54"/>
      <c r="I6716" s="54"/>
      <c r="K6716" s="54"/>
      <c r="M6716" s="114"/>
      <c r="N6716" s="1"/>
      <c r="O6716" s="1"/>
      <c r="P6716" s="51"/>
    </row>
    <row r="6717">
      <c r="A6717" s="54"/>
      <c r="B6717" s="71"/>
      <c r="C6717" s="51"/>
      <c r="D6717" s="114"/>
      <c r="E6717" s="114"/>
      <c r="F6717" s="54"/>
      <c r="G6717" s="54"/>
      <c r="I6717" s="54"/>
      <c r="K6717" s="54"/>
      <c r="M6717" s="114"/>
      <c r="N6717" s="1"/>
      <c r="O6717" s="1"/>
      <c r="P6717" s="51"/>
    </row>
    <row r="6718">
      <c r="A6718" s="54"/>
      <c r="B6718" s="71"/>
      <c r="C6718" s="51"/>
      <c r="D6718" s="114"/>
      <c r="E6718" s="114"/>
      <c r="F6718" s="54"/>
      <c r="G6718" s="54"/>
      <c r="I6718" s="54"/>
      <c r="K6718" s="54"/>
      <c r="M6718" s="114"/>
      <c r="N6718" s="1"/>
      <c r="O6718" s="1"/>
      <c r="P6718" s="51"/>
    </row>
    <row r="6719">
      <c r="A6719" s="54"/>
      <c r="B6719" s="71"/>
      <c r="C6719" s="51"/>
      <c r="D6719" s="114"/>
      <c r="E6719" s="114"/>
      <c r="F6719" s="54"/>
      <c r="G6719" s="54"/>
      <c r="I6719" s="54"/>
      <c r="K6719" s="54"/>
      <c r="M6719" s="114"/>
      <c r="N6719" s="1"/>
      <c r="O6719" s="1"/>
      <c r="P6719" s="51"/>
    </row>
    <row r="6720">
      <c r="A6720" s="54"/>
      <c r="B6720" s="71"/>
      <c r="C6720" s="51"/>
      <c r="D6720" s="114"/>
      <c r="E6720" s="114"/>
      <c r="F6720" s="54"/>
      <c r="G6720" s="54"/>
      <c r="I6720" s="54"/>
      <c r="K6720" s="54"/>
      <c r="M6720" s="114"/>
      <c r="N6720" s="1"/>
      <c r="O6720" s="1"/>
      <c r="P6720" s="51"/>
    </row>
    <row r="6721">
      <c r="A6721" s="54"/>
      <c r="B6721" s="71"/>
      <c r="C6721" s="51"/>
      <c r="D6721" s="114"/>
      <c r="E6721" s="114"/>
      <c r="F6721" s="54"/>
      <c r="G6721" s="54"/>
      <c r="I6721" s="54"/>
      <c r="K6721" s="54"/>
      <c r="M6721" s="114"/>
      <c r="N6721" s="1"/>
      <c r="O6721" s="1"/>
      <c r="P6721" s="51"/>
    </row>
    <row r="6722">
      <c r="A6722" s="54"/>
      <c r="B6722" s="71"/>
      <c r="C6722" s="51"/>
      <c r="D6722" s="114"/>
      <c r="E6722" s="114"/>
      <c r="F6722" s="54"/>
      <c r="G6722" s="54"/>
      <c r="I6722" s="54"/>
      <c r="K6722" s="54"/>
      <c r="M6722" s="114"/>
      <c r="N6722" s="1"/>
      <c r="O6722" s="1"/>
      <c r="P6722" s="51"/>
    </row>
    <row r="6723">
      <c r="A6723" s="54"/>
      <c r="B6723" s="71"/>
      <c r="C6723" s="51"/>
      <c r="D6723" s="114"/>
      <c r="E6723" s="114"/>
      <c r="F6723" s="54"/>
      <c r="G6723" s="54"/>
      <c r="I6723" s="54"/>
      <c r="K6723" s="54"/>
      <c r="M6723" s="114"/>
      <c r="N6723" s="1"/>
      <c r="O6723" s="1"/>
      <c r="P6723" s="51"/>
    </row>
    <row r="6724">
      <c r="A6724" s="54"/>
      <c r="B6724" s="71"/>
      <c r="C6724" s="51"/>
      <c r="D6724" s="114"/>
      <c r="E6724" s="114"/>
      <c r="F6724" s="54"/>
      <c r="G6724" s="54"/>
      <c r="I6724" s="54"/>
      <c r="K6724" s="54"/>
      <c r="M6724" s="114"/>
      <c r="N6724" s="1"/>
      <c r="O6724" s="1"/>
      <c r="P6724" s="51"/>
    </row>
    <row r="6725">
      <c r="A6725" s="54"/>
      <c r="B6725" s="71"/>
      <c r="C6725" s="51"/>
      <c r="D6725" s="114"/>
      <c r="E6725" s="114"/>
      <c r="F6725" s="54"/>
      <c r="G6725" s="54"/>
      <c r="I6725" s="54"/>
      <c r="K6725" s="54"/>
      <c r="M6725" s="114"/>
      <c r="N6725" s="1"/>
      <c r="O6725" s="1"/>
      <c r="P6725" s="51"/>
    </row>
    <row r="6726">
      <c r="A6726" s="54"/>
      <c r="B6726" s="71"/>
      <c r="C6726" s="51"/>
      <c r="D6726" s="114"/>
      <c r="E6726" s="114"/>
      <c r="F6726" s="54"/>
      <c r="G6726" s="54"/>
      <c r="I6726" s="54"/>
      <c r="K6726" s="54"/>
      <c r="M6726" s="114"/>
      <c r="N6726" s="1"/>
      <c r="O6726" s="1"/>
      <c r="P6726" s="51"/>
    </row>
    <row r="6727">
      <c r="A6727" s="54"/>
      <c r="B6727" s="71"/>
      <c r="C6727" s="51"/>
      <c r="D6727" s="114"/>
      <c r="E6727" s="114"/>
      <c r="F6727" s="54"/>
      <c r="G6727" s="54"/>
      <c r="I6727" s="54"/>
      <c r="K6727" s="54"/>
      <c r="M6727" s="114"/>
      <c r="N6727" s="1"/>
      <c r="O6727" s="1"/>
      <c r="P6727" s="51"/>
    </row>
    <row r="6728">
      <c r="A6728" s="54"/>
      <c r="B6728" s="71"/>
      <c r="C6728" s="51"/>
      <c r="D6728" s="114"/>
      <c r="E6728" s="114"/>
      <c r="F6728" s="54"/>
      <c r="G6728" s="54"/>
      <c r="I6728" s="54"/>
      <c r="K6728" s="54"/>
      <c r="M6728" s="114"/>
      <c r="N6728" s="1"/>
      <c r="O6728" s="1"/>
      <c r="P6728" s="51"/>
    </row>
    <row r="6729">
      <c r="A6729" s="54"/>
      <c r="B6729" s="71"/>
      <c r="C6729" s="51"/>
      <c r="D6729" s="114"/>
      <c r="E6729" s="114"/>
      <c r="F6729" s="54"/>
      <c r="G6729" s="54"/>
      <c r="I6729" s="54"/>
      <c r="K6729" s="54"/>
      <c r="M6729" s="114"/>
      <c r="N6729" s="1"/>
      <c r="O6729" s="1"/>
      <c r="P6729" s="51"/>
    </row>
    <row r="6730">
      <c r="A6730" s="54"/>
      <c r="B6730" s="71"/>
      <c r="C6730" s="51"/>
      <c r="D6730" s="114"/>
      <c r="E6730" s="114"/>
      <c r="F6730" s="54"/>
      <c r="G6730" s="54"/>
      <c r="I6730" s="54"/>
      <c r="K6730" s="54"/>
      <c r="M6730" s="114"/>
      <c r="N6730" s="1"/>
      <c r="O6730" s="1"/>
      <c r="P6730" s="51"/>
    </row>
    <row r="6731">
      <c r="A6731" s="54"/>
      <c r="B6731" s="71"/>
      <c r="C6731" s="51"/>
      <c r="D6731" s="114"/>
      <c r="E6731" s="114"/>
      <c r="F6731" s="54"/>
      <c r="G6731" s="54"/>
      <c r="I6731" s="54"/>
      <c r="K6731" s="54"/>
      <c r="M6731" s="114"/>
      <c r="N6731" s="1"/>
      <c r="O6731" s="1"/>
      <c r="P6731" s="51"/>
    </row>
    <row r="6732">
      <c r="A6732" s="54"/>
      <c r="B6732" s="71"/>
      <c r="C6732" s="51"/>
      <c r="D6732" s="114"/>
      <c r="E6732" s="114"/>
      <c r="F6732" s="54"/>
      <c r="G6732" s="54"/>
      <c r="I6732" s="54"/>
      <c r="K6732" s="54"/>
      <c r="M6732" s="114"/>
      <c r="N6732" s="1"/>
      <c r="O6732" s="1"/>
      <c r="P6732" s="51"/>
    </row>
    <row r="6733">
      <c r="A6733" s="54"/>
      <c r="B6733" s="71"/>
      <c r="C6733" s="51"/>
      <c r="D6733" s="114"/>
      <c r="E6733" s="114"/>
      <c r="F6733" s="54"/>
      <c r="G6733" s="54"/>
      <c r="I6733" s="54"/>
      <c r="K6733" s="54"/>
      <c r="M6733" s="114"/>
      <c r="N6733" s="1"/>
      <c r="O6733" s="1"/>
      <c r="P6733" s="51"/>
    </row>
    <row r="6734">
      <c r="A6734" s="54"/>
      <c r="B6734" s="71"/>
      <c r="C6734" s="51"/>
      <c r="D6734" s="114"/>
      <c r="E6734" s="114"/>
      <c r="F6734" s="54"/>
      <c r="G6734" s="54"/>
      <c r="I6734" s="54"/>
      <c r="K6734" s="54"/>
      <c r="M6734" s="114"/>
      <c r="N6734" s="1"/>
      <c r="O6734" s="1"/>
      <c r="P6734" s="51"/>
    </row>
    <row r="6735">
      <c r="A6735" s="54"/>
      <c r="B6735" s="71"/>
      <c r="C6735" s="51"/>
      <c r="D6735" s="114"/>
      <c r="E6735" s="114"/>
      <c r="F6735" s="54"/>
      <c r="G6735" s="54"/>
      <c r="I6735" s="54"/>
      <c r="K6735" s="54"/>
      <c r="M6735" s="114"/>
      <c r="N6735" s="1"/>
      <c r="O6735" s="1"/>
      <c r="P6735" s="51"/>
    </row>
    <row r="6736">
      <c r="A6736" s="54"/>
      <c r="B6736" s="71"/>
      <c r="C6736" s="51"/>
      <c r="D6736" s="114"/>
      <c r="E6736" s="114"/>
      <c r="F6736" s="54"/>
      <c r="G6736" s="54"/>
      <c r="I6736" s="54"/>
      <c r="K6736" s="54"/>
      <c r="M6736" s="114"/>
      <c r="N6736" s="1"/>
      <c r="O6736" s="1"/>
      <c r="P6736" s="51"/>
    </row>
    <row r="6737">
      <c r="A6737" s="54"/>
      <c r="B6737" s="71"/>
      <c r="C6737" s="51"/>
      <c r="D6737" s="114"/>
      <c r="E6737" s="114"/>
      <c r="F6737" s="54"/>
      <c r="G6737" s="54"/>
      <c r="I6737" s="54"/>
      <c r="K6737" s="54"/>
      <c r="M6737" s="114"/>
      <c r="N6737" s="1"/>
      <c r="O6737" s="1"/>
      <c r="P6737" s="51"/>
    </row>
    <row r="6738">
      <c r="A6738" s="54"/>
      <c r="B6738" s="71"/>
      <c r="C6738" s="51"/>
      <c r="D6738" s="114"/>
      <c r="E6738" s="114"/>
      <c r="F6738" s="54"/>
      <c r="G6738" s="54"/>
      <c r="I6738" s="54"/>
      <c r="K6738" s="54"/>
      <c r="M6738" s="114"/>
      <c r="N6738" s="1"/>
      <c r="O6738" s="1"/>
      <c r="P6738" s="51"/>
    </row>
    <row r="6739">
      <c r="A6739" s="54"/>
      <c r="B6739" s="71"/>
      <c r="C6739" s="51"/>
      <c r="D6739" s="114"/>
      <c r="E6739" s="114"/>
      <c r="F6739" s="54"/>
      <c r="G6739" s="54"/>
      <c r="I6739" s="54"/>
      <c r="K6739" s="54"/>
      <c r="M6739" s="114"/>
      <c r="N6739" s="1"/>
      <c r="O6739" s="1"/>
      <c r="P6739" s="51"/>
    </row>
    <row r="6740">
      <c r="A6740" s="54"/>
      <c r="B6740" s="71"/>
      <c r="C6740" s="51"/>
      <c r="D6740" s="114"/>
      <c r="E6740" s="114"/>
      <c r="F6740" s="54"/>
      <c r="G6740" s="54"/>
      <c r="I6740" s="54"/>
      <c r="K6740" s="54"/>
      <c r="M6740" s="114"/>
      <c r="N6740" s="1"/>
      <c r="O6740" s="1"/>
      <c r="P6740" s="51"/>
    </row>
    <row r="6741">
      <c r="A6741" s="54"/>
      <c r="B6741" s="71"/>
      <c r="C6741" s="51"/>
      <c r="D6741" s="114"/>
      <c r="E6741" s="114"/>
      <c r="F6741" s="54"/>
      <c r="G6741" s="54"/>
      <c r="I6741" s="54"/>
      <c r="K6741" s="54"/>
      <c r="M6741" s="114"/>
      <c r="N6741" s="1"/>
      <c r="O6741" s="1"/>
      <c r="P6741" s="51"/>
    </row>
    <row r="6742">
      <c r="A6742" s="54"/>
      <c r="B6742" s="71"/>
      <c r="C6742" s="51"/>
      <c r="D6742" s="114"/>
      <c r="E6742" s="114"/>
      <c r="F6742" s="54"/>
      <c r="G6742" s="54"/>
      <c r="I6742" s="54"/>
      <c r="K6742" s="54"/>
      <c r="M6742" s="114"/>
      <c r="N6742" s="1"/>
      <c r="O6742" s="1"/>
      <c r="P6742" s="51"/>
    </row>
    <row r="6743">
      <c r="A6743" s="54"/>
      <c r="B6743" s="71"/>
      <c r="C6743" s="51"/>
      <c r="D6743" s="114"/>
      <c r="E6743" s="114"/>
      <c r="F6743" s="54"/>
      <c r="G6743" s="54"/>
      <c r="I6743" s="54"/>
      <c r="K6743" s="54"/>
      <c r="M6743" s="114"/>
      <c r="N6743" s="1"/>
      <c r="O6743" s="1"/>
      <c r="P6743" s="51"/>
    </row>
    <row r="6744">
      <c r="A6744" s="54"/>
      <c r="B6744" s="71"/>
      <c r="C6744" s="51"/>
      <c r="D6744" s="114"/>
      <c r="E6744" s="114"/>
      <c r="F6744" s="54"/>
      <c r="G6744" s="54"/>
      <c r="I6744" s="54"/>
      <c r="K6744" s="54"/>
      <c r="M6744" s="114"/>
      <c r="N6744" s="1"/>
      <c r="O6744" s="1"/>
      <c r="P6744" s="51"/>
    </row>
    <row r="6745">
      <c r="A6745" s="54"/>
      <c r="B6745" s="71"/>
      <c r="C6745" s="51"/>
      <c r="D6745" s="114"/>
      <c r="E6745" s="114"/>
      <c r="F6745" s="54"/>
      <c r="G6745" s="54"/>
      <c r="I6745" s="54"/>
      <c r="K6745" s="54"/>
      <c r="M6745" s="114"/>
      <c r="N6745" s="1"/>
      <c r="O6745" s="1"/>
      <c r="P6745" s="51"/>
    </row>
    <row r="6746">
      <c r="A6746" s="54"/>
      <c r="B6746" s="71"/>
      <c r="C6746" s="51"/>
      <c r="D6746" s="114"/>
      <c r="E6746" s="114"/>
      <c r="F6746" s="54"/>
      <c r="G6746" s="54"/>
      <c r="I6746" s="54"/>
      <c r="K6746" s="54"/>
      <c r="M6746" s="114"/>
      <c r="N6746" s="1"/>
      <c r="O6746" s="1"/>
      <c r="P6746" s="51"/>
    </row>
    <row r="6747">
      <c r="A6747" s="54"/>
      <c r="B6747" s="71"/>
      <c r="C6747" s="51"/>
      <c r="D6747" s="114"/>
      <c r="E6747" s="114"/>
      <c r="F6747" s="54"/>
      <c r="G6747" s="54"/>
      <c r="I6747" s="54"/>
      <c r="K6747" s="54"/>
      <c r="M6747" s="114"/>
      <c r="N6747" s="1"/>
      <c r="O6747" s="1"/>
      <c r="P6747" s="51"/>
    </row>
    <row r="6748">
      <c r="A6748" s="54"/>
      <c r="B6748" s="71"/>
      <c r="C6748" s="51"/>
      <c r="D6748" s="114"/>
      <c r="E6748" s="114"/>
      <c r="F6748" s="54"/>
      <c r="G6748" s="54"/>
      <c r="I6748" s="54"/>
      <c r="K6748" s="54"/>
      <c r="M6748" s="114"/>
      <c r="N6748" s="1"/>
      <c r="O6748" s="1"/>
      <c r="P6748" s="51"/>
    </row>
    <row r="6749">
      <c r="A6749" s="54"/>
      <c r="B6749" s="71"/>
      <c r="C6749" s="51"/>
      <c r="D6749" s="114"/>
      <c r="E6749" s="114"/>
      <c r="F6749" s="54"/>
      <c r="G6749" s="54"/>
      <c r="I6749" s="54"/>
      <c r="K6749" s="54"/>
      <c r="M6749" s="114"/>
      <c r="N6749" s="1"/>
      <c r="O6749" s="1"/>
      <c r="P6749" s="51"/>
    </row>
    <row r="6750">
      <c r="A6750" s="54"/>
      <c r="B6750" s="71"/>
      <c r="C6750" s="51"/>
      <c r="D6750" s="114"/>
      <c r="E6750" s="114"/>
      <c r="F6750" s="54"/>
      <c r="G6750" s="54"/>
      <c r="I6750" s="54"/>
      <c r="K6750" s="54"/>
      <c r="M6750" s="114"/>
      <c r="N6750" s="1"/>
      <c r="O6750" s="1"/>
      <c r="P6750" s="51"/>
    </row>
    <row r="6751">
      <c r="A6751" s="54"/>
      <c r="B6751" s="71"/>
      <c r="C6751" s="51"/>
      <c r="D6751" s="114"/>
      <c r="E6751" s="114"/>
      <c r="F6751" s="54"/>
      <c r="G6751" s="54"/>
      <c r="I6751" s="54"/>
      <c r="K6751" s="54"/>
      <c r="M6751" s="114"/>
      <c r="N6751" s="1"/>
      <c r="O6751" s="1"/>
      <c r="P6751" s="51"/>
    </row>
    <row r="6752">
      <c r="A6752" s="54"/>
      <c r="B6752" s="71"/>
      <c r="C6752" s="51"/>
      <c r="D6752" s="114"/>
      <c r="E6752" s="114"/>
      <c r="F6752" s="54"/>
      <c r="G6752" s="54"/>
      <c r="I6752" s="54"/>
      <c r="K6752" s="54"/>
      <c r="M6752" s="114"/>
      <c r="N6752" s="1"/>
      <c r="O6752" s="1"/>
      <c r="P6752" s="51"/>
    </row>
    <row r="6753">
      <c r="A6753" s="54"/>
      <c r="B6753" s="71"/>
      <c r="C6753" s="51"/>
      <c r="D6753" s="114"/>
      <c r="E6753" s="114"/>
      <c r="F6753" s="54"/>
      <c r="G6753" s="54"/>
      <c r="I6753" s="54"/>
      <c r="K6753" s="54"/>
      <c r="M6753" s="114"/>
      <c r="N6753" s="1"/>
      <c r="O6753" s="1"/>
      <c r="P6753" s="51"/>
    </row>
    <row r="6754">
      <c r="A6754" s="54"/>
      <c r="B6754" s="71"/>
      <c r="C6754" s="51"/>
      <c r="D6754" s="114"/>
      <c r="E6754" s="114"/>
      <c r="F6754" s="54"/>
      <c r="G6754" s="54"/>
      <c r="I6754" s="54"/>
      <c r="K6754" s="54"/>
      <c r="M6754" s="114"/>
      <c r="N6754" s="1"/>
      <c r="O6754" s="1"/>
      <c r="P6754" s="51"/>
    </row>
    <row r="6755">
      <c r="A6755" s="54"/>
      <c r="B6755" s="71"/>
      <c r="C6755" s="51"/>
      <c r="D6755" s="114"/>
      <c r="E6755" s="114"/>
      <c r="F6755" s="54"/>
      <c r="G6755" s="54"/>
      <c r="I6755" s="54"/>
      <c r="K6755" s="54"/>
      <c r="M6755" s="114"/>
      <c r="N6755" s="1"/>
      <c r="O6755" s="1"/>
      <c r="P6755" s="51"/>
    </row>
    <row r="6756">
      <c r="A6756" s="54"/>
      <c r="B6756" s="71"/>
      <c r="C6756" s="51"/>
      <c r="D6756" s="114"/>
      <c r="E6756" s="114"/>
      <c r="F6756" s="54"/>
      <c r="G6756" s="54"/>
      <c r="I6756" s="54"/>
      <c r="K6756" s="54"/>
      <c r="M6756" s="114"/>
      <c r="N6756" s="1"/>
      <c r="O6756" s="1"/>
      <c r="P6756" s="51"/>
    </row>
    <row r="6757">
      <c r="A6757" s="54"/>
      <c r="B6757" s="71"/>
      <c r="C6757" s="51"/>
      <c r="D6757" s="114"/>
      <c r="E6757" s="114"/>
      <c r="F6757" s="54"/>
      <c r="G6757" s="54"/>
      <c r="I6757" s="54"/>
      <c r="K6757" s="54"/>
      <c r="M6757" s="114"/>
      <c r="N6757" s="1"/>
      <c r="O6757" s="1"/>
      <c r="P6757" s="51"/>
    </row>
    <row r="6758">
      <c r="A6758" s="54"/>
      <c r="B6758" s="71"/>
      <c r="C6758" s="51"/>
      <c r="D6758" s="114"/>
      <c r="E6758" s="114"/>
      <c r="F6758" s="54"/>
      <c r="G6758" s="54"/>
      <c r="I6758" s="54"/>
      <c r="K6758" s="54"/>
      <c r="M6758" s="114"/>
      <c r="N6758" s="1"/>
      <c r="O6758" s="1"/>
      <c r="P6758" s="51"/>
    </row>
    <row r="6759">
      <c r="A6759" s="54"/>
      <c r="B6759" s="71"/>
      <c r="C6759" s="51"/>
      <c r="D6759" s="114"/>
      <c r="E6759" s="114"/>
      <c r="F6759" s="54"/>
      <c r="G6759" s="54"/>
      <c r="I6759" s="54"/>
      <c r="K6759" s="54"/>
      <c r="M6759" s="114"/>
      <c r="N6759" s="1"/>
      <c r="O6759" s="1"/>
      <c r="P6759" s="51"/>
    </row>
    <row r="6760">
      <c r="A6760" s="54"/>
      <c r="B6760" s="71"/>
      <c r="C6760" s="51"/>
      <c r="D6760" s="114"/>
      <c r="E6760" s="114"/>
      <c r="F6760" s="54"/>
      <c r="G6760" s="54"/>
      <c r="I6760" s="54"/>
      <c r="K6760" s="54"/>
      <c r="M6760" s="114"/>
      <c r="N6760" s="1"/>
      <c r="O6760" s="1"/>
      <c r="P6760" s="51"/>
    </row>
    <row r="6761">
      <c r="A6761" s="54"/>
      <c r="B6761" s="71"/>
      <c r="C6761" s="51"/>
      <c r="D6761" s="114"/>
      <c r="E6761" s="114"/>
      <c r="F6761" s="54"/>
      <c r="G6761" s="54"/>
      <c r="I6761" s="54"/>
      <c r="K6761" s="54"/>
      <c r="M6761" s="114"/>
      <c r="N6761" s="1"/>
      <c r="O6761" s="1"/>
      <c r="P6761" s="51"/>
    </row>
    <row r="6762">
      <c r="A6762" s="54"/>
      <c r="B6762" s="71"/>
      <c r="C6762" s="51"/>
      <c r="D6762" s="114"/>
      <c r="E6762" s="114"/>
      <c r="F6762" s="54"/>
      <c r="G6762" s="54"/>
      <c r="I6762" s="54"/>
      <c r="K6762" s="54"/>
      <c r="M6762" s="114"/>
      <c r="N6762" s="1"/>
      <c r="O6762" s="1"/>
      <c r="P6762" s="51"/>
    </row>
    <row r="6763">
      <c r="A6763" s="54"/>
      <c r="B6763" s="71"/>
      <c r="C6763" s="51"/>
      <c r="D6763" s="114"/>
      <c r="E6763" s="114"/>
      <c r="F6763" s="54"/>
      <c r="G6763" s="54"/>
      <c r="I6763" s="54"/>
      <c r="K6763" s="54"/>
      <c r="M6763" s="114"/>
      <c r="N6763" s="1"/>
      <c r="O6763" s="1"/>
      <c r="P6763" s="51"/>
    </row>
    <row r="6764">
      <c r="A6764" s="54"/>
      <c r="B6764" s="71"/>
      <c r="C6764" s="51"/>
      <c r="D6764" s="114"/>
      <c r="E6764" s="114"/>
      <c r="F6764" s="54"/>
      <c r="G6764" s="54"/>
      <c r="I6764" s="54"/>
      <c r="K6764" s="54"/>
      <c r="M6764" s="114"/>
      <c r="N6764" s="1"/>
      <c r="O6764" s="1"/>
      <c r="P6764" s="51"/>
    </row>
    <row r="6765">
      <c r="A6765" s="54"/>
      <c r="B6765" s="71"/>
      <c r="C6765" s="51"/>
      <c r="D6765" s="114"/>
      <c r="E6765" s="114"/>
      <c r="F6765" s="54"/>
      <c r="G6765" s="54"/>
      <c r="I6765" s="54"/>
      <c r="K6765" s="54"/>
      <c r="M6765" s="114"/>
      <c r="N6765" s="1"/>
      <c r="O6765" s="1"/>
      <c r="P6765" s="51"/>
    </row>
    <row r="6766">
      <c r="A6766" s="54"/>
      <c r="B6766" s="71"/>
      <c r="C6766" s="51"/>
      <c r="D6766" s="114"/>
      <c r="E6766" s="114"/>
      <c r="F6766" s="54"/>
      <c r="G6766" s="54"/>
      <c r="I6766" s="54"/>
      <c r="K6766" s="54"/>
      <c r="M6766" s="114"/>
      <c r="N6766" s="1"/>
      <c r="O6766" s="1"/>
      <c r="P6766" s="51"/>
    </row>
    <row r="6767">
      <c r="A6767" s="54"/>
      <c r="B6767" s="71"/>
      <c r="C6767" s="51"/>
      <c r="D6767" s="114"/>
      <c r="E6767" s="114"/>
      <c r="F6767" s="54"/>
      <c r="G6767" s="54"/>
      <c r="I6767" s="54"/>
      <c r="K6767" s="54"/>
      <c r="M6767" s="114"/>
      <c r="N6767" s="1"/>
      <c r="O6767" s="1"/>
      <c r="P6767" s="51"/>
    </row>
    <row r="6768">
      <c r="A6768" s="54"/>
      <c r="B6768" s="71"/>
      <c r="C6768" s="51"/>
      <c r="D6768" s="114"/>
      <c r="E6768" s="114"/>
      <c r="F6768" s="54"/>
      <c r="G6768" s="54"/>
      <c r="I6768" s="54"/>
      <c r="K6768" s="54"/>
      <c r="M6768" s="114"/>
      <c r="N6768" s="1"/>
      <c r="O6768" s="1"/>
      <c r="P6768" s="51"/>
    </row>
    <row r="6769">
      <c r="A6769" s="54"/>
      <c r="B6769" s="71"/>
      <c r="C6769" s="51"/>
      <c r="D6769" s="114"/>
      <c r="E6769" s="114"/>
      <c r="F6769" s="54"/>
      <c r="G6769" s="54"/>
      <c r="I6769" s="54"/>
      <c r="K6769" s="54"/>
      <c r="M6769" s="114"/>
      <c r="N6769" s="1"/>
      <c r="O6769" s="1"/>
      <c r="P6769" s="51"/>
    </row>
    <row r="6770">
      <c r="A6770" s="54"/>
      <c r="B6770" s="71"/>
      <c r="C6770" s="51"/>
      <c r="D6770" s="114"/>
      <c r="E6770" s="114"/>
      <c r="F6770" s="54"/>
      <c r="G6770" s="54"/>
      <c r="I6770" s="54"/>
      <c r="K6770" s="54"/>
      <c r="M6770" s="114"/>
      <c r="N6770" s="1"/>
      <c r="O6770" s="1"/>
      <c r="P6770" s="51"/>
    </row>
    <row r="6771">
      <c r="A6771" s="54"/>
      <c r="B6771" s="71"/>
      <c r="C6771" s="51"/>
      <c r="D6771" s="114"/>
      <c r="E6771" s="114"/>
      <c r="F6771" s="54"/>
      <c r="G6771" s="54"/>
      <c r="I6771" s="54"/>
      <c r="K6771" s="54"/>
      <c r="M6771" s="114"/>
      <c r="N6771" s="1"/>
      <c r="O6771" s="1"/>
      <c r="P6771" s="51"/>
    </row>
    <row r="6772">
      <c r="A6772" s="54"/>
      <c r="B6772" s="71"/>
      <c r="C6772" s="51"/>
      <c r="D6772" s="114"/>
      <c r="E6772" s="114"/>
      <c r="F6772" s="54"/>
      <c r="G6772" s="54"/>
      <c r="I6772" s="54"/>
      <c r="K6772" s="54"/>
      <c r="M6772" s="114"/>
      <c r="N6772" s="1"/>
      <c r="O6772" s="1"/>
      <c r="P6772" s="51"/>
    </row>
    <row r="6773">
      <c r="A6773" s="54"/>
      <c r="B6773" s="71"/>
      <c r="C6773" s="51"/>
      <c r="D6773" s="114"/>
      <c r="E6773" s="114"/>
      <c r="F6773" s="54"/>
      <c r="G6773" s="54"/>
      <c r="I6773" s="54"/>
      <c r="K6773" s="54"/>
      <c r="M6773" s="114"/>
      <c r="N6773" s="1"/>
      <c r="O6773" s="1"/>
      <c r="P6773" s="51"/>
    </row>
    <row r="6774">
      <c r="A6774" s="54"/>
      <c r="B6774" s="71"/>
      <c r="C6774" s="51"/>
      <c r="D6774" s="114"/>
      <c r="E6774" s="114"/>
      <c r="F6774" s="54"/>
      <c r="G6774" s="54"/>
      <c r="I6774" s="54"/>
      <c r="K6774" s="54"/>
      <c r="M6774" s="114"/>
      <c r="N6774" s="1"/>
      <c r="O6774" s="1"/>
      <c r="P6774" s="51"/>
    </row>
    <row r="6775">
      <c r="A6775" s="54"/>
      <c r="B6775" s="71"/>
      <c r="C6775" s="51"/>
      <c r="D6775" s="114"/>
      <c r="E6775" s="114"/>
      <c r="F6775" s="54"/>
      <c r="G6775" s="54"/>
      <c r="I6775" s="54"/>
      <c r="K6775" s="54"/>
      <c r="M6775" s="114"/>
      <c r="N6775" s="1"/>
      <c r="O6775" s="1"/>
      <c r="P6775" s="51"/>
    </row>
    <row r="6776">
      <c r="A6776" s="54"/>
      <c r="B6776" s="71"/>
      <c r="C6776" s="51"/>
      <c r="D6776" s="114"/>
      <c r="E6776" s="114"/>
      <c r="F6776" s="54"/>
      <c r="G6776" s="54"/>
      <c r="I6776" s="54"/>
      <c r="K6776" s="54"/>
      <c r="M6776" s="114"/>
      <c r="N6776" s="1"/>
      <c r="O6776" s="1"/>
      <c r="P6776" s="51"/>
    </row>
    <row r="6777">
      <c r="A6777" s="54"/>
      <c r="B6777" s="71"/>
      <c r="C6777" s="51"/>
      <c r="D6777" s="114"/>
      <c r="E6777" s="114"/>
      <c r="F6777" s="54"/>
      <c r="G6777" s="54"/>
      <c r="I6777" s="54"/>
      <c r="K6777" s="54"/>
      <c r="M6777" s="114"/>
      <c r="N6777" s="1"/>
      <c r="O6777" s="1"/>
      <c r="P6777" s="51"/>
    </row>
    <row r="6778">
      <c r="A6778" s="54"/>
      <c r="B6778" s="71"/>
      <c r="C6778" s="51"/>
      <c r="D6778" s="114"/>
      <c r="E6778" s="114"/>
      <c r="F6778" s="54"/>
      <c r="G6778" s="54"/>
      <c r="I6778" s="54"/>
      <c r="K6778" s="54"/>
      <c r="M6778" s="114"/>
      <c r="N6778" s="1"/>
      <c r="O6778" s="1"/>
      <c r="P6778" s="51"/>
    </row>
    <row r="6779">
      <c r="A6779" s="54"/>
      <c r="B6779" s="71"/>
      <c r="C6779" s="51"/>
      <c r="D6779" s="114"/>
      <c r="E6779" s="114"/>
      <c r="F6779" s="54"/>
      <c r="G6779" s="54"/>
      <c r="I6779" s="54"/>
      <c r="K6779" s="54"/>
      <c r="M6779" s="114"/>
      <c r="N6779" s="1"/>
      <c r="O6779" s="1"/>
      <c r="P6779" s="51"/>
    </row>
    <row r="6780">
      <c r="A6780" s="54"/>
      <c r="B6780" s="71"/>
      <c r="C6780" s="51"/>
      <c r="D6780" s="114"/>
      <c r="E6780" s="114"/>
      <c r="F6780" s="54"/>
      <c r="G6780" s="54"/>
      <c r="I6780" s="54"/>
      <c r="K6780" s="54"/>
      <c r="M6780" s="114"/>
      <c r="N6780" s="1"/>
      <c r="O6780" s="1"/>
      <c r="P6780" s="51"/>
    </row>
    <row r="6781">
      <c r="A6781" s="54"/>
      <c r="B6781" s="71"/>
      <c r="C6781" s="51"/>
      <c r="D6781" s="114"/>
      <c r="E6781" s="114"/>
      <c r="F6781" s="54"/>
      <c r="G6781" s="54"/>
      <c r="I6781" s="54"/>
      <c r="K6781" s="54"/>
      <c r="M6781" s="114"/>
      <c r="N6781" s="1"/>
      <c r="O6781" s="1"/>
      <c r="P6781" s="51"/>
    </row>
    <row r="6782">
      <c r="A6782" s="54"/>
      <c r="B6782" s="71"/>
      <c r="C6782" s="51"/>
      <c r="D6782" s="114"/>
      <c r="E6782" s="114"/>
      <c r="F6782" s="54"/>
      <c r="G6782" s="54"/>
      <c r="I6782" s="54"/>
      <c r="K6782" s="54"/>
      <c r="M6782" s="114"/>
      <c r="N6782" s="1"/>
      <c r="O6782" s="1"/>
      <c r="P6782" s="51"/>
    </row>
    <row r="6783">
      <c r="A6783" s="54"/>
      <c r="B6783" s="71"/>
      <c r="C6783" s="51"/>
      <c r="D6783" s="114"/>
      <c r="E6783" s="114"/>
      <c r="F6783" s="54"/>
      <c r="G6783" s="54"/>
      <c r="I6783" s="54"/>
      <c r="K6783" s="54"/>
      <c r="M6783" s="114"/>
      <c r="N6783" s="1"/>
      <c r="O6783" s="1"/>
      <c r="P6783" s="51"/>
    </row>
    <row r="6784">
      <c r="A6784" s="54"/>
      <c r="B6784" s="71"/>
      <c r="C6784" s="51"/>
      <c r="D6784" s="114"/>
      <c r="E6784" s="114"/>
      <c r="F6784" s="54"/>
      <c r="G6784" s="54"/>
      <c r="I6784" s="54"/>
      <c r="K6784" s="54"/>
      <c r="M6784" s="114"/>
      <c r="N6784" s="1"/>
      <c r="O6784" s="1"/>
      <c r="P6784" s="51"/>
    </row>
    <row r="6785">
      <c r="A6785" s="54"/>
      <c r="B6785" s="71"/>
      <c r="C6785" s="51"/>
      <c r="D6785" s="114"/>
      <c r="E6785" s="114"/>
      <c r="F6785" s="54"/>
      <c r="G6785" s="54"/>
      <c r="I6785" s="54"/>
      <c r="K6785" s="54"/>
      <c r="M6785" s="114"/>
      <c r="N6785" s="1"/>
      <c r="O6785" s="1"/>
      <c r="P6785" s="51"/>
    </row>
    <row r="6786">
      <c r="A6786" s="54"/>
      <c r="B6786" s="71"/>
      <c r="C6786" s="51"/>
      <c r="D6786" s="114"/>
      <c r="E6786" s="114"/>
      <c r="F6786" s="54"/>
      <c r="G6786" s="54"/>
      <c r="I6786" s="54"/>
      <c r="K6786" s="54"/>
      <c r="M6786" s="114"/>
      <c r="N6786" s="1"/>
      <c r="O6786" s="1"/>
      <c r="P6786" s="51"/>
    </row>
    <row r="6787">
      <c r="A6787" s="54"/>
      <c r="B6787" s="71"/>
      <c r="C6787" s="51"/>
      <c r="D6787" s="114"/>
      <c r="E6787" s="114"/>
      <c r="F6787" s="54"/>
      <c r="G6787" s="54"/>
      <c r="I6787" s="54"/>
      <c r="K6787" s="54"/>
      <c r="M6787" s="114"/>
      <c r="N6787" s="1"/>
      <c r="O6787" s="1"/>
      <c r="P6787" s="51"/>
    </row>
    <row r="6788">
      <c r="A6788" s="54"/>
      <c r="B6788" s="71"/>
      <c r="C6788" s="51"/>
      <c r="D6788" s="114"/>
      <c r="E6788" s="114"/>
      <c r="F6788" s="54"/>
      <c r="G6788" s="54"/>
      <c r="I6788" s="54"/>
      <c r="K6788" s="54"/>
      <c r="M6788" s="114"/>
      <c r="N6788" s="1"/>
      <c r="O6788" s="1"/>
      <c r="P6788" s="51"/>
    </row>
    <row r="6789">
      <c r="A6789" s="54"/>
      <c r="B6789" s="71"/>
      <c r="C6789" s="51"/>
      <c r="D6789" s="114"/>
      <c r="E6789" s="114"/>
      <c r="F6789" s="54"/>
      <c r="G6789" s="54"/>
      <c r="I6789" s="54"/>
      <c r="K6789" s="54"/>
      <c r="M6789" s="114"/>
      <c r="N6789" s="1"/>
      <c r="O6789" s="1"/>
      <c r="P6789" s="51"/>
    </row>
    <row r="6790">
      <c r="A6790" s="54"/>
      <c r="B6790" s="71"/>
      <c r="C6790" s="51"/>
      <c r="D6790" s="114"/>
      <c r="E6790" s="114"/>
      <c r="F6790" s="54"/>
      <c r="G6790" s="54"/>
      <c r="I6790" s="54"/>
      <c r="K6790" s="54"/>
      <c r="M6790" s="114"/>
      <c r="N6790" s="1"/>
      <c r="O6790" s="1"/>
      <c r="P6790" s="51"/>
    </row>
    <row r="6791">
      <c r="A6791" s="54"/>
      <c r="B6791" s="71"/>
      <c r="C6791" s="51"/>
      <c r="D6791" s="114"/>
      <c r="E6791" s="114"/>
      <c r="F6791" s="54"/>
      <c r="G6791" s="54"/>
      <c r="I6791" s="54"/>
      <c r="K6791" s="54"/>
      <c r="M6791" s="114"/>
      <c r="N6791" s="1"/>
      <c r="O6791" s="1"/>
      <c r="P6791" s="51"/>
    </row>
    <row r="6792">
      <c r="A6792" s="54"/>
      <c r="B6792" s="71"/>
      <c r="C6792" s="51"/>
      <c r="D6792" s="114"/>
      <c r="E6792" s="114"/>
      <c r="F6792" s="54"/>
      <c r="G6792" s="54"/>
      <c r="I6792" s="54"/>
      <c r="K6792" s="54"/>
      <c r="M6792" s="114"/>
      <c r="N6792" s="1"/>
      <c r="O6792" s="1"/>
      <c r="P6792" s="51"/>
    </row>
    <row r="6793">
      <c r="A6793" s="54"/>
      <c r="B6793" s="71"/>
      <c r="C6793" s="51"/>
      <c r="D6793" s="114"/>
      <c r="E6793" s="114"/>
      <c r="F6793" s="54"/>
      <c r="G6793" s="54"/>
      <c r="I6793" s="54"/>
      <c r="K6793" s="54"/>
      <c r="M6793" s="114"/>
      <c r="N6793" s="1"/>
      <c r="O6793" s="1"/>
      <c r="P6793" s="51"/>
    </row>
    <row r="6794">
      <c r="A6794" s="54"/>
      <c r="B6794" s="71"/>
      <c r="C6794" s="51"/>
      <c r="D6794" s="114"/>
      <c r="E6794" s="114"/>
      <c r="F6794" s="54"/>
      <c r="G6794" s="54"/>
      <c r="I6794" s="54"/>
      <c r="K6794" s="54"/>
      <c r="M6794" s="114"/>
      <c r="N6794" s="1"/>
      <c r="O6794" s="1"/>
      <c r="P6794" s="51"/>
    </row>
    <row r="6795">
      <c r="A6795" s="54"/>
      <c r="B6795" s="71"/>
      <c r="C6795" s="51"/>
      <c r="D6795" s="114"/>
      <c r="E6795" s="114"/>
      <c r="F6795" s="54"/>
      <c r="G6795" s="54"/>
      <c r="I6795" s="54"/>
      <c r="K6795" s="54"/>
      <c r="M6795" s="114"/>
      <c r="N6795" s="1"/>
      <c r="O6795" s="1"/>
      <c r="P6795" s="51"/>
    </row>
    <row r="6796">
      <c r="A6796" s="54"/>
      <c r="B6796" s="71"/>
      <c r="C6796" s="51"/>
      <c r="D6796" s="114"/>
      <c r="E6796" s="114"/>
      <c r="F6796" s="54"/>
      <c r="G6796" s="54"/>
      <c r="I6796" s="54"/>
      <c r="K6796" s="54"/>
      <c r="M6796" s="114"/>
      <c r="N6796" s="1"/>
      <c r="O6796" s="1"/>
      <c r="P6796" s="51"/>
    </row>
    <row r="6797">
      <c r="A6797" s="54"/>
      <c r="B6797" s="71"/>
      <c r="C6797" s="51"/>
      <c r="D6797" s="114"/>
      <c r="E6797" s="114"/>
      <c r="F6797" s="54"/>
      <c r="G6797" s="54"/>
      <c r="I6797" s="54"/>
      <c r="K6797" s="54"/>
      <c r="M6797" s="114"/>
      <c r="N6797" s="1"/>
      <c r="O6797" s="1"/>
      <c r="P6797" s="51"/>
    </row>
    <row r="6798">
      <c r="A6798" s="54"/>
      <c r="B6798" s="71"/>
      <c r="C6798" s="51"/>
      <c r="D6798" s="114"/>
      <c r="E6798" s="114"/>
      <c r="F6798" s="54"/>
      <c r="G6798" s="54"/>
      <c r="I6798" s="54"/>
      <c r="K6798" s="54"/>
      <c r="M6798" s="114"/>
      <c r="N6798" s="1"/>
      <c r="O6798" s="1"/>
      <c r="P6798" s="51"/>
    </row>
    <row r="6799">
      <c r="A6799" s="54"/>
      <c r="B6799" s="71"/>
      <c r="C6799" s="51"/>
      <c r="D6799" s="114"/>
      <c r="E6799" s="114"/>
      <c r="F6799" s="54"/>
      <c r="G6799" s="54"/>
      <c r="I6799" s="54"/>
      <c r="K6799" s="54"/>
      <c r="M6799" s="114"/>
      <c r="N6799" s="1"/>
      <c r="O6799" s="1"/>
      <c r="P6799" s="51"/>
    </row>
    <row r="6800">
      <c r="A6800" s="54"/>
      <c r="B6800" s="71"/>
      <c r="C6800" s="51"/>
      <c r="D6800" s="114"/>
      <c r="E6800" s="114"/>
      <c r="F6800" s="54"/>
      <c r="G6800" s="54"/>
      <c r="I6800" s="54"/>
      <c r="K6800" s="54"/>
      <c r="M6800" s="114"/>
      <c r="N6800" s="1"/>
      <c r="O6800" s="1"/>
      <c r="P6800" s="51"/>
    </row>
    <row r="6801">
      <c r="A6801" s="54"/>
      <c r="B6801" s="71"/>
      <c r="C6801" s="51"/>
      <c r="D6801" s="114"/>
      <c r="E6801" s="114"/>
      <c r="F6801" s="54"/>
      <c r="G6801" s="54"/>
      <c r="I6801" s="54"/>
      <c r="K6801" s="54"/>
      <c r="M6801" s="114"/>
      <c r="N6801" s="1"/>
      <c r="O6801" s="1"/>
      <c r="P6801" s="51"/>
    </row>
    <row r="6802">
      <c r="A6802" s="54"/>
      <c r="B6802" s="71"/>
      <c r="C6802" s="51"/>
      <c r="D6802" s="114"/>
      <c r="E6802" s="114"/>
      <c r="F6802" s="54"/>
      <c r="G6802" s="54"/>
      <c r="I6802" s="54"/>
      <c r="K6802" s="54"/>
      <c r="M6802" s="114"/>
      <c r="N6802" s="1"/>
      <c r="O6802" s="1"/>
      <c r="P6802" s="51"/>
    </row>
    <row r="6803">
      <c r="A6803" s="54"/>
      <c r="B6803" s="71"/>
      <c r="C6803" s="51"/>
      <c r="D6803" s="114"/>
      <c r="E6803" s="114"/>
      <c r="F6803" s="54"/>
      <c r="G6803" s="54"/>
      <c r="I6803" s="54"/>
      <c r="K6803" s="54"/>
      <c r="M6803" s="114"/>
      <c r="N6803" s="1"/>
      <c r="O6803" s="1"/>
      <c r="P6803" s="51"/>
    </row>
    <row r="6804">
      <c r="A6804" s="54"/>
      <c r="B6804" s="71"/>
      <c r="C6804" s="51"/>
      <c r="D6804" s="114"/>
      <c r="E6804" s="114"/>
      <c r="F6804" s="54"/>
      <c r="G6804" s="54"/>
      <c r="I6804" s="54"/>
      <c r="K6804" s="54"/>
      <c r="M6804" s="114"/>
      <c r="N6804" s="1"/>
      <c r="O6804" s="1"/>
      <c r="P6804" s="51"/>
    </row>
    <row r="6805">
      <c r="A6805" s="54"/>
      <c r="B6805" s="71"/>
      <c r="C6805" s="51"/>
      <c r="D6805" s="114"/>
      <c r="E6805" s="114"/>
      <c r="F6805" s="54"/>
      <c r="G6805" s="54"/>
      <c r="I6805" s="54"/>
      <c r="K6805" s="54"/>
      <c r="M6805" s="114"/>
      <c r="N6805" s="1"/>
      <c r="O6805" s="1"/>
      <c r="P6805" s="51"/>
    </row>
    <row r="6806">
      <c r="A6806" s="54"/>
      <c r="B6806" s="71"/>
      <c r="C6806" s="51"/>
      <c r="D6806" s="114"/>
      <c r="E6806" s="114"/>
      <c r="F6806" s="54"/>
      <c r="G6806" s="54"/>
      <c r="I6806" s="54"/>
      <c r="K6806" s="54"/>
      <c r="M6806" s="114"/>
      <c r="N6806" s="1"/>
      <c r="O6806" s="1"/>
      <c r="P6806" s="51"/>
    </row>
    <row r="6807">
      <c r="A6807" s="54"/>
      <c r="B6807" s="71"/>
      <c r="C6807" s="51"/>
      <c r="D6807" s="114"/>
      <c r="E6807" s="114"/>
      <c r="F6807" s="54"/>
      <c r="G6807" s="54"/>
      <c r="I6807" s="54"/>
      <c r="K6807" s="54"/>
      <c r="M6807" s="114"/>
      <c r="N6807" s="1"/>
      <c r="O6807" s="1"/>
      <c r="P6807" s="51"/>
    </row>
    <row r="6808">
      <c r="A6808" s="54"/>
      <c r="B6808" s="71"/>
      <c r="C6808" s="51"/>
      <c r="D6808" s="114"/>
      <c r="E6808" s="114"/>
      <c r="F6808" s="54"/>
      <c r="G6808" s="54"/>
      <c r="I6808" s="54"/>
      <c r="K6808" s="54"/>
      <c r="M6808" s="114"/>
      <c r="N6808" s="1"/>
      <c r="O6808" s="1"/>
      <c r="P6808" s="51"/>
    </row>
    <row r="6809">
      <c r="A6809" s="54"/>
      <c r="B6809" s="71"/>
      <c r="C6809" s="51"/>
      <c r="D6809" s="114"/>
      <c r="E6809" s="114"/>
      <c r="F6809" s="54"/>
      <c r="G6809" s="54"/>
      <c r="I6809" s="54"/>
      <c r="K6809" s="54"/>
      <c r="M6809" s="114"/>
      <c r="N6809" s="1"/>
      <c r="O6809" s="1"/>
      <c r="P6809" s="51"/>
    </row>
    <row r="6810">
      <c r="A6810" s="54"/>
      <c r="B6810" s="71"/>
      <c r="C6810" s="51"/>
      <c r="D6810" s="114"/>
      <c r="E6810" s="114"/>
      <c r="F6810" s="54"/>
      <c r="G6810" s="54"/>
      <c r="I6810" s="54"/>
      <c r="K6810" s="54"/>
      <c r="M6810" s="114"/>
      <c r="N6810" s="1"/>
      <c r="O6810" s="1"/>
      <c r="P6810" s="51"/>
    </row>
    <row r="6811">
      <c r="A6811" s="54"/>
      <c r="B6811" s="71"/>
      <c r="C6811" s="51"/>
      <c r="D6811" s="114"/>
      <c r="E6811" s="114"/>
      <c r="F6811" s="54"/>
      <c r="G6811" s="54"/>
      <c r="I6811" s="54"/>
      <c r="K6811" s="54"/>
      <c r="M6811" s="114"/>
      <c r="N6811" s="1"/>
      <c r="O6811" s="1"/>
      <c r="P6811" s="51"/>
    </row>
    <row r="6812">
      <c r="A6812" s="54"/>
      <c r="B6812" s="71"/>
      <c r="C6812" s="51"/>
      <c r="D6812" s="114"/>
      <c r="E6812" s="114"/>
      <c r="F6812" s="54"/>
      <c r="G6812" s="54"/>
      <c r="I6812" s="54"/>
      <c r="K6812" s="54"/>
      <c r="M6812" s="114"/>
      <c r="N6812" s="1"/>
      <c r="O6812" s="1"/>
      <c r="P6812" s="51"/>
    </row>
    <row r="6813">
      <c r="A6813" s="54"/>
      <c r="B6813" s="71"/>
      <c r="C6813" s="51"/>
      <c r="D6813" s="114"/>
      <c r="E6813" s="114"/>
      <c r="F6813" s="54"/>
      <c r="G6813" s="54"/>
      <c r="I6813" s="54"/>
      <c r="K6813" s="54"/>
      <c r="M6813" s="114"/>
      <c r="N6813" s="1"/>
      <c r="O6813" s="1"/>
      <c r="P6813" s="51"/>
    </row>
    <row r="6814">
      <c r="A6814" s="54"/>
      <c r="B6814" s="71"/>
      <c r="C6814" s="51"/>
      <c r="D6814" s="114"/>
      <c r="E6814" s="114"/>
      <c r="F6814" s="54"/>
      <c r="G6814" s="54"/>
      <c r="I6814" s="54"/>
      <c r="K6814" s="54"/>
      <c r="M6814" s="114"/>
      <c r="N6814" s="1"/>
      <c r="O6814" s="1"/>
      <c r="P6814" s="51"/>
    </row>
    <row r="6815">
      <c r="A6815" s="54"/>
      <c r="B6815" s="71"/>
      <c r="C6815" s="51"/>
      <c r="D6815" s="114"/>
      <c r="E6815" s="114"/>
      <c r="F6815" s="54"/>
      <c r="G6815" s="54"/>
      <c r="I6815" s="54"/>
      <c r="K6815" s="54"/>
      <c r="M6815" s="114"/>
      <c r="N6815" s="1"/>
      <c r="O6815" s="1"/>
      <c r="P6815" s="51"/>
    </row>
    <row r="6816">
      <c r="A6816" s="54"/>
      <c r="B6816" s="71"/>
      <c r="C6816" s="51"/>
      <c r="D6816" s="114"/>
      <c r="E6816" s="114"/>
      <c r="F6816" s="54"/>
      <c r="G6816" s="54"/>
      <c r="I6816" s="54"/>
      <c r="K6816" s="54"/>
      <c r="M6816" s="114"/>
      <c r="N6816" s="1"/>
      <c r="O6816" s="1"/>
      <c r="P6816" s="51"/>
    </row>
    <row r="6817">
      <c r="A6817" s="54"/>
      <c r="B6817" s="71"/>
      <c r="C6817" s="51"/>
      <c r="D6817" s="114"/>
      <c r="E6817" s="114"/>
      <c r="F6817" s="54"/>
      <c r="G6817" s="54"/>
      <c r="I6817" s="54"/>
      <c r="K6817" s="54"/>
      <c r="M6817" s="114"/>
      <c r="N6817" s="1"/>
      <c r="O6817" s="1"/>
      <c r="P6817" s="51"/>
    </row>
    <row r="6818">
      <c r="A6818" s="54"/>
      <c r="B6818" s="71"/>
      <c r="C6818" s="51"/>
      <c r="D6818" s="114"/>
      <c r="E6818" s="114"/>
      <c r="F6818" s="54"/>
      <c r="G6818" s="54"/>
      <c r="I6818" s="54"/>
      <c r="K6818" s="54"/>
      <c r="M6818" s="114"/>
      <c r="N6818" s="1"/>
      <c r="O6818" s="1"/>
      <c r="P6818" s="51"/>
    </row>
    <row r="6819">
      <c r="A6819" s="54"/>
      <c r="B6819" s="71"/>
      <c r="C6819" s="51"/>
      <c r="D6819" s="114"/>
      <c r="E6819" s="114"/>
      <c r="F6819" s="54"/>
      <c r="G6819" s="54"/>
      <c r="I6819" s="54"/>
      <c r="K6819" s="54"/>
      <c r="M6819" s="114"/>
      <c r="N6819" s="1"/>
      <c r="O6819" s="1"/>
      <c r="P6819" s="51"/>
    </row>
    <row r="6820">
      <c r="A6820" s="54"/>
      <c r="B6820" s="71"/>
      <c r="C6820" s="51"/>
      <c r="D6820" s="114"/>
      <c r="E6820" s="114"/>
      <c r="F6820" s="54"/>
      <c r="G6820" s="54"/>
      <c r="I6820" s="54"/>
      <c r="K6820" s="54"/>
      <c r="M6820" s="114"/>
      <c r="N6820" s="1"/>
      <c r="O6820" s="1"/>
      <c r="P6820" s="51"/>
    </row>
    <row r="6821">
      <c r="A6821" s="54"/>
      <c r="B6821" s="71"/>
      <c r="C6821" s="51"/>
      <c r="D6821" s="114"/>
      <c r="E6821" s="114"/>
      <c r="F6821" s="54"/>
      <c r="G6821" s="54"/>
      <c r="I6821" s="54"/>
      <c r="K6821" s="54"/>
      <c r="M6821" s="114"/>
      <c r="N6821" s="1"/>
      <c r="O6821" s="1"/>
      <c r="P6821" s="51"/>
    </row>
    <row r="6822">
      <c r="A6822" s="54"/>
      <c r="B6822" s="71"/>
      <c r="C6822" s="51"/>
      <c r="D6822" s="114"/>
      <c r="E6822" s="114"/>
      <c r="F6822" s="54"/>
      <c r="G6822" s="54"/>
      <c r="I6822" s="54"/>
      <c r="K6822" s="54"/>
      <c r="M6822" s="114"/>
      <c r="N6822" s="1"/>
      <c r="O6822" s="1"/>
      <c r="P6822" s="51"/>
    </row>
    <row r="6823">
      <c r="A6823" s="54"/>
      <c r="B6823" s="71"/>
      <c r="C6823" s="51"/>
      <c r="D6823" s="114"/>
      <c r="E6823" s="114"/>
      <c r="F6823" s="54"/>
      <c r="G6823" s="54"/>
      <c r="I6823" s="54"/>
      <c r="K6823" s="54"/>
      <c r="M6823" s="114"/>
      <c r="N6823" s="1"/>
      <c r="O6823" s="1"/>
      <c r="P6823" s="51"/>
    </row>
    <row r="6824">
      <c r="A6824" s="54"/>
      <c r="B6824" s="71"/>
      <c r="C6824" s="51"/>
      <c r="D6824" s="114"/>
      <c r="E6824" s="114"/>
      <c r="F6824" s="54"/>
      <c r="G6824" s="54"/>
      <c r="I6824" s="54"/>
      <c r="K6824" s="54"/>
      <c r="M6824" s="114"/>
      <c r="N6824" s="1"/>
      <c r="O6824" s="1"/>
      <c r="P6824" s="51"/>
    </row>
    <row r="6825">
      <c r="A6825" s="54"/>
      <c r="B6825" s="71"/>
      <c r="C6825" s="51"/>
      <c r="D6825" s="114"/>
      <c r="E6825" s="114"/>
      <c r="F6825" s="54"/>
      <c r="G6825" s="54"/>
      <c r="I6825" s="54"/>
      <c r="K6825" s="54"/>
      <c r="M6825" s="114"/>
      <c r="N6825" s="1"/>
      <c r="O6825" s="1"/>
      <c r="P6825" s="51"/>
    </row>
    <row r="6826">
      <c r="A6826" s="54"/>
      <c r="B6826" s="71"/>
      <c r="C6826" s="51"/>
      <c r="D6826" s="114"/>
      <c r="E6826" s="114"/>
      <c r="F6826" s="54"/>
      <c r="G6826" s="54"/>
      <c r="I6826" s="54"/>
      <c r="K6826" s="54"/>
      <c r="M6826" s="114"/>
      <c r="N6826" s="1"/>
      <c r="O6826" s="1"/>
      <c r="P6826" s="51"/>
    </row>
    <row r="6827">
      <c r="A6827" s="54"/>
      <c r="B6827" s="71"/>
      <c r="C6827" s="51"/>
      <c r="D6827" s="114"/>
      <c r="E6827" s="114"/>
      <c r="F6827" s="54"/>
      <c r="G6827" s="54"/>
      <c r="I6827" s="54"/>
      <c r="K6827" s="54"/>
      <c r="M6827" s="114"/>
      <c r="N6827" s="1"/>
      <c r="O6827" s="1"/>
      <c r="P6827" s="51"/>
    </row>
    <row r="6828">
      <c r="A6828" s="54"/>
      <c r="B6828" s="71"/>
      <c r="C6828" s="51"/>
      <c r="D6828" s="114"/>
      <c r="E6828" s="114"/>
      <c r="F6828" s="54"/>
      <c r="G6828" s="54"/>
      <c r="I6828" s="54"/>
      <c r="K6828" s="54"/>
      <c r="M6828" s="114"/>
      <c r="N6828" s="1"/>
      <c r="O6828" s="1"/>
      <c r="P6828" s="51"/>
    </row>
    <row r="6829">
      <c r="A6829" s="54"/>
      <c r="B6829" s="71"/>
      <c r="C6829" s="51"/>
      <c r="D6829" s="114"/>
      <c r="E6829" s="114"/>
      <c r="F6829" s="54"/>
      <c r="G6829" s="54"/>
      <c r="I6829" s="54"/>
      <c r="K6829" s="54"/>
      <c r="M6829" s="114"/>
      <c r="N6829" s="1"/>
      <c r="O6829" s="1"/>
      <c r="P6829" s="51"/>
    </row>
    <row r="6830">
      <c r="A6830" s="54"/>
      <c r="B6830" s="71"/>
      <c r="C6830" s="51"/>
      <c r="D6830" s="114"/>
      <c r="E6830" s="114"/>
      <c r="F6830" s="54"/>
      <c r="G6830" s="54"/>
      <c r="I6830" s="54"/>
      <c r="K6830" s="54"/>
      <c r="M6830" s="114"/>
      <c r="N6830" s="1"/>
      <c r="O6830" s="1"/>
      <c r="P6830" s="51"/>
    </row>
    <row r="6831">
      <c r="A6831" s="54"/>
      <c r="B6831" s="71"/>
      <c r="C6831" s="51"/>
      <c r="D6831" s="114"/>
      <c r="E6831" s="114"/>
      <c r="F6831" s="54"/>
      <c r="G6831" s="54"/>
      <c r="I6831" s="54"/>
      <c r="K6831" s="54"/>
      <c r="M6831" s="114"/>
      <c r="N6831" s="1"/>
      <c r="O6831" s="1"/>
      <c r="P6831" s="51"/>
    </row>
    <row r="6832">
      <c r="A6832" s="54"/>
      <c r="B6832" s="71"/>
      <c r="C6832" s="51"/>
      <c r="D6832" s="114"/>
      <c r="E6832" s="114"/>
      <c r="F6832" s="54"/>
      <c r="G6832" s="54"/>
      <c r="I6832" s="54"/>
      <c r="K6832" s="54"/>
      <c r="M6832" s="114"/>
      <c r="N6832" s="1"/>
      <c r="O6832" s="1"/>
      <c r="P6832" s="51"/>
    </row>
    <row r="6833">
      <c r="A6833" s="54"/>
      <c r="B6833" s="71"/>
      <c r="C6833" s="51"/>
      <c r="D6833" s="114"/>
      <c r="E6833" s="114"/>
      <c r="F6833" s="54"/>
      <c r="G6833" s="54"/>
      <c r="I6833" s="54"/>
      <c r="K6833" s="54"/>
      <c r="M6833" s="114"/>
      <c r="N6833" s="1"/>
      <c r="O6833" s="1"/>
      <c r="P6833" s="51"/>
    </row>
    <row r="6834">
      <c r="A6834" s="54"/>
      <c r="B6834" s="71"/>
      <c r="C6834" s="51"/>
      <c r="D6834" s="114"/>
      <c r="E6834" s="114"/>
      <c r="F6834" s="54"/>
      <c r="G6834" s="54"/>
      <c r="I6834" s="54"/>
      <c r="K6834" s="54"/>
      <c r="M6834" s="114"/>
      <c r="N6834" s="1"/>
      <c r="O6834" s="1"/>
      <c r="P6834" s="51"/>
    </row>
    <row r="6835">
      <c r="A6835" s="54"/>
      <c r="B6835" s="71"/>
      <c r="C6835" s="51"/>
      <c r="D6835" s="114"/>
      <c r="E6835" s="114"/>
      <c r="F6835" s="54"/>
      <c r="G6835" s="54"/>
      <c r="I6835" s="54"/>
      <c r="K6835" s="54"/>
      <c r="M6835" s="114"/>
      <c r="N6835" s="1"/>
      <c r="O6835" s="1"/>
      <c r="P6835" s="51"/>
    </row>
    <row r="6836">
      <c r="A6836" s="54"/>
      <c r="B6836" s="71"/>
      <c r="C6836" s="51"/>
      <c r="D6836" s="114"/>
      <c r="E6836" s="114"/>
      <c r="F6836" s="54"/>
      <c r="G6836" s="54"/>
      <c r="I6836" s="54"/>
      <c r="K6836" s="54"/>
      <c r="M6836" s="114"/>
      <c r="N6836" s="1"/>
      <c r="O6836" s="1"/>
      <c r="P6836" s="51"/>
    </row>
    <row r="6837">
      <c r="A6837" s="54"/>
      <c r="B6837" s="71"/>
      <c r="C6837" s="51"/>
      <c r="D6837" s="114"/>
      <c r="E6837" s="114"/>
      <c r="F6837" s="54"/>
      <c r="G6837" s="54"/>
      <c r="I6837" s="54"/>
      <c r="K6837" s="54"/>
      <c r="M6837" s="114"/>
      <c r="N6837" s="1"/>
      <c r="O6837" s="1"/>
      <c r="P6837" s="51"/>
    </row>
    <row r="6838">
      <c r="A6838" s="54"/>
      <c r="B6838" s="71"/>
      <c r="C6838" s="51"/>
      <c r="D6838" s="114"/>
      <c r="E6838" s="114"/>
      <c r="F6838" s="54"/>
      <c r="G6838" s="54"/>
      <c r="I6838" s="54"/>
      <c r="K6838" s="54"/>
      <c r="M6838" s="114"/>
      <c r="N6838" s="1"/>
      <c r="O6838" s="1"/>
      <c r="P6838" s="51"/>
    </row>
    <row r="6839">
      <c r="A6839" s="54"/>
      <c r="B6839" s="71"/>
      <c r="C6839" s="51"/>
      <c r="D6839" s="114"/>
      <c r="E6839" s="114"/>
      <c r="F6839" s="54"/>
      <c r="G6839" s="54"/>
      <c r="I6839" s="54"/>
      <c r="K6839" s="54"/>
      <c r="M6839" s="114"/>
      <c r="N6839" s="1"/>
      <c r="O6839" s="1"/>
      <c r="P6839" s="51"/>
    </row>
    <row r="6840">
      <c r="A6840" s="54"/>
      <c r="B6840" s="71"/>
      <c r="C6840" s="51"/>
      <c r="D6840" s="114"/>
      <c r="E6840" s="114"/>
      <c r="F6840" s="54"/>
      <c r="G6840" s="54"/>
      <c r="I6840" s="54"/>
      <c r="K6840" s="54"/>
      <c r="M6840" s="114"/>
      <c r="N6840" s="1"/>
      <c r="O6840" s="1"/>
      <c r="P6840" s="51"/>
    </row>
    <row r="6841">
      <c r="A6841" s="54"/>
      <c r="B6841" s="71"/>
      <c r="C6841" s="51"/>
      <c r="D6841" s="114"/>
      <c r="E6841" s="114"/>
      <c r="F6841" s="54"/>
      <c r="G6841" s="54"/>
      <c r="I6841" s="54"/>
      <c r="K6841" s="54"/>
      <c r="M6841" s="114"/>
      <c r="N6841" s="1"/>
      <c r="O6841" s="1"/>
      <c r="P6841" s="51"/>
    </row>
    <row r="6842">
      <c r="A6842" s="54"/>
      <c r="B6842" s="71"/>
      <c r="C6842" s="51"/>
      <c r="D6842" s="114"/>
      <c r="E6842" s="114"/>
      <c r="F6842" s="54"/>
      <c r="G6842" s="54"/>
      <c r="I6842" s="54"/>
      <c r="K6842" s="54"/>
      <c r="M6842" s="114"/>
      <c r="N6842" s="1"/>
      <c r="O6842" s="1"/>
      <c r="P6842" s="51"/>
    </row>
    <row r="6843">
      <c r="A6843" s="54"/>
      <c r="B6843" s="71"/>
      <c r="C6843" s="51"/>
      <c r="D6843" s="114"/>
      <c r="E6843" s="114"/>
      <c r="F6843" s="54"/>
      <c r="G6843" s="54"/>
      <c r="I6843" s="54"/>
      <c r="K6843" s="54"/>
      <c r="M6843" s="114"/>
      <c r="N6843" s="1"/>
      <c r="O6843" s="1"/>
      <c r="P6843" s="51"/>
    </row>
    <row r="6844">
      <c r="A6844" s="54"/>
      <c r="B6844" s="71"/>
      <c r="C6844" s="51"/>
      <c r="D6844" s="114"/>
      <c r="E6844" s="114"/>
      <c r="F6844" s="54"/>
      <c r="G6844" s="54"/>
      <c r="I6844" s="54"/>
      <c r="K6844" s="54"/>
      <c r="M6844" s="114"/>
      <c r="N6844" s="1"/>
      <c r="O6844" s="1"/>
      <c r="P6844" s="51"/>
    </row>
    <row r="6845">
      <c r="A6845" s="54"/>
      <c r="B6845" s="71"/>
      <c r="C6845" s="51"/>
      <c r="D6845" s="114"/>
      <c r="E6845" s="114"/>
      <c r="F6845" s="54"/>
      <c r="G6845" s="54"/>
      <c r="I6845" s="54"/>
      <c r="K6845" s="54"/>
      <c r="M6845" s="114"/>
      <c r="N6845" s="1"/>
      <c r="O6845" s="1"/>
      <c r="P6845" s="51"/>
    </row>
    <row r="6846">
      <c r="A6846" s="54"/>
      <c r="B6846" s="71"/>
      <c r="C6846" s="51"/>
      <c r="D6846" s="114"/>
      <c r="E6846" s="114"/>
      <c r="F6846" s="54"/>
      <c r="G6846" s="54"/>
      <c r="I6846" s="54"/>
      <c r="K6846" s="54"/>
      <c r="M6846" s="114"/>
      <c r="N6846" s="1"/>
      <c r="O6846" s="1"/>
      <c r="P6846" s="51"/>
    </row>
    <row r="6847">
      <c r="A6847" s="54"/>
      <c r="B6847" s="71"/>
      <c r="C6847" s="51"/>
      <c r="D6847" s="114"/>
      <c r="E6847" s="114"/>
      <c r="F6847" s="54"/>
      <c r="G6847" s="54"/>
      <c r="I6847" s="54"/>
      <c r="K6847" s="54"/>
      <c r="M6847" s="114"/>
      <c r="N6847" s="1"/>
      <c r="O6847" s="1"/>
      <c r="P6847" s="51"/>
    </row>
    <row r="6848">
      <c r="A6848" s="54"/>
      <c r="B6848" s="71"/>
      <c r="C6848" s="51"/>
      <c r="D6848" s="114"/>
      <c r="E6848" s="114"/>
      <c r="F6848" s="54"/>
      <c r="G6848" s="54"/>
      <c r="I6848" s="54"/>
      <c r="K6848" s="54"/>
      <c r="M6848" s="114"/>
      <c r="N6848" s="1"/>
      <c r="O6848" s="1"/>
      <c r="P6848" s="51"/>
    </row>
    <row r="6849">
      <c r="A6849" s="54"/>
      <c r="B6849" s="71"/>
      <c r="C6849" s="51"/>
      <c r="D6849" s="114"/>
      <c r="E6849" s="114"/>
      <c r="F6849" s="54"/>
      <c r="G6849" s="54"/>
      <c r="I6849" s="54"/>
      <c r="K6849" s="54"/>
      <c r="M6849" s="114"/>
      <c r="N6849" s="1"/>
      <c r="O6849" s="1"/>
      <c r="P6849" s="51"/>
    </row>
    <row r="6850">
      <c r="A6850" s="54"/>
      <c r="B6850" s="71"/>
      <c r="C6850" s="51"/>
      <c r="D6850" s="114"/>
      <c r="E6850" s="114"/>
      <c r="F6850" s="54"/>
      <c r="G6850" s="54"/>
      <c r="I6850" s="54"/>
      <c r="K6850" s="54"/>
      <c r="M6850" s="114"/>
      <c r="N6850" s="1"/>
      <c r="O6850" s="1"/>
      <c r="P6850" s="51"/>
    </row>
    <row r="6851">
      <c r="A6851" s="54"/>
      <c r="B6851" s="71"/>
      <c r="C6851" s="51"/>
      <c r="D6851" s="114"/>
      <c r="E6851" s="114"/>
      <c r="F6851" s="54"/>
      <c r="G6851" s="54"/>
      <c r="I6851" s="54"/>
      <c r="K6851" s="54"/>
      <c r="M6851" s="114"/>
      <c r="N6851" s="1"/>
      <c r="O6851" s="1"/>
      <c r="P6851" s="51"/>
    </row>
    <row r="6852">
      <c r="A6852" s="54"/>
      <c r="B6852" s="71"/>
      <c r="C6852" s="51"/>
      <c r="D6852" s="114"/>
      <c r="E6852" s="114"/>
      <c r="F6852" s="54"/>
      <c r="G6852" s="54"/>
      <c r="I6852" s="54"/>
      <c r="K6852" s="54"/>
      <c r="M6852" s="114"/>
      <c r="N6852" s="1"/>
      <c r="O6852" s="1"/>
      <c r="P6852" s="51"/>
    </row>
    <row r="6853">
      <c r="A6853" s="54"/>
      <c r="B6853" s="71"/>
      <c r="C6853" s="51"/>
      <c r="D6853" s="114"/>
      <c r="E6853" s="114"/>
      <c r="F6853" s="54"/>
      <c r="G6853" s="54"/>
      <c r="I6853" s="54"/>
      <c r="K6853" s="54"/>
      <c r="M6853" s="114"/>
      <c r="N6853" s="1"/>
      <c r="O6853" s="1"/>
      <c r="P6853" s="51"/>
    </row>
    <row r="6854">
      <c r="A6854" s="54"/>
      <c r="B6854" s="71"/>
      <c r="C6854" s="51"/>
      <c r="D6854" s="114"/>
      <c r="E6854" s="114"/>
      <c r="F6854" s="54"/>
      <c r="G6854" s="54"/>
      <c r="I6854" s="54"/>
      <c r="K6854" s="54"/>
      <c r="M6854" s="114"/>
      <c r="N6854" s="1"/>
      <c r="O6854" s="1"/>
      <c r="P6854" s="51"/>
    </row>
    <row r="6855">
      <c r="A6855" s="54"/>
      <c r="B6855" s="71"/>
      <c r="C6855" s="51"/>
      <c r="D6855" s="114"/>
      <c r="E6855" s="114"/>
      <c r="F6855" s="54"/>
      <c r="G6855" s="54"/>
      <c r="I6855" s="54"/>
      <c r="K6855" s="54"/>
      <c r="M6855" s="114"/>
      <c r="N6855" s="1"/>
      <c r="O6855" s="1"/>
      <c r="P6855" s="51"/>
    </row>
    <row r="6856">
      <c r="A6856" s="54"/>
      <c r="B6856" s="71"/>
      <c r="C6856" s="51"/>
      <c r="D6856" s="114"/>
      <c r="E6856" s="114"/>
      <c r="F6856" s="54"/>
      <c r="G6856" s="54"/>
      <c r="I6856" s="54"/>
      <c r="K6856" s="54"/>
      <c r="M6856" s="114"/>
      <c r="N6856" s="1"/>
      <c r="O6856" s="1"/>
      <c r="P6856" s="51"/>
    </row>
    <row r="6857">
      <c r="A6857" s="54"/>
      <c r="B6857" s="71"/>
      <c r="C6857" s="51"/>
      <c r="D6857" s="114"/>
      <c r="E6857" s="114"/>
      <c r="F6857" s="54"/>
      <c r="G6857" s="54"/>
      <c r="I6857" s="54"/>
      <c r="K6857" s="54"/>
      <c r="M6857" s="114"/>
      <c r="N6857" s="1"/>
      <c r="O6857" s="1"/>
      <c r="P6857" s="51"/>
    </row>
    <row r="6858">
      <c r="A6858" s="54"/>
      <c r="B6858" s="71"/>
      <c r="C6858" s="51"/>
      <c r="D6858" s="114"/>
      <c r="E6858" s="114"/>
      <c r="F6858" s="54"/>
      <c r="G6858" s="54"/>
      <c r="I6858" s="54"/>
      <c r="K6858" s="54"/>
      <c r="M6858" s="114"/>
      <c r="N6858" s="1"/>
      <c r="O6858" s="1"/>
      <c r="P6858" s="51"/>
    </row>
    <row r="6859">
      <c r="A6859" s="54"/>
      <c r="B6859" s="71"/>
      <c r="C6859" s="51"/>
      <c r="D6859" s="114"/>
      <c r="E6859" s="114"/>
      <c r="F6859" s="54"/>
      <c r="G6859" s="54"/>
      <c r="I6859" s="54"/>
      <c r="K6859" s="54"/>
      <c r="M6859" s="114"/>
      <c r="N6859" s="1"/>
      <c r="O6859" s="1"/>
      <c r="P6859" s="51"/>
    </row>
    <row r="6860">
      <c r="A6860" s="54"/>
      <c r="B6860" s="71"/>
      <c r="C6860" s="51"/>
      <c r="D6860" s="114"/>
      <c r="E6860" s="114"/>
      <c r="F6860" s="54"/>
      <c r="G6860" s="54"/>
      <c r="I6860" s="54"/>
      <c r="K6860" s="54"/>
      <c r="M6860" s="114"/>
      <c r="N6860" s="1"/>
      <c r="O6860" s="1"/>
      <c r="P6860" s="51"/>
    </row>
    <row r="6861">
      <c r="A6861" s="54"/>
      <c r="B6861" s="71"/>
      <c r="C6861" s="51"/>
      <c r="D6861" s="114"/>
      <c r="E6861" s="114"/>
      <c r="F6861" s="54"/>
      <c r="G6861" s="54"/>
      <c r="I6861" s="54"/>
      <c r="K6861" s="54"/>
      <c r="M6861" s="114"/>
      <c r="N6861" s="1"/>
      <c r="O6861" s="1"/>
      <c r="P6861" s="51"/>
    </row>
    <row r="6862">
      <c r="A6862" s="54"/>
      <c r="B6862" s="71"/>
      <c r="C6862" s="51"/>
      <c r="D6862" s="114"/>
      <c r="E6862" s="114"/>
      <c r="F6862" s="54"/>
      <c r="G6862" s="54"/>
      <c r="I6862" s="54"/>
      <c r="K6862" s="54"/>
      <c r="M6862" s="114"/>
      <c r="N6862" s="1"/>
      <c r="O6862" s="1"/>
      <c r="P6862" s="51"/>
    </row>
    <row r="6863">
      <c r="A6863" s="54"/>
      <c r="B6863" s="71"/>
      <c r="C6863" s="51"/>
      <c r="D6863" s="114"/>
      <c r="E6863" s="114"/>
      <c r="F6863" s="54"/>
      <c r="G6863" s="54"/>
      <c r="I6863" s="54"/>
      <c r="K6863" s="54"/>
      <c r="M6863" s="114"/>
      <c r="N6863" s="1"/>
      <c r="O6863" s="1"/>
      <c r="P6863" s="51"/>
    </row>
    <row r="6864">
      <c r="A6864" s="54"/>
      <c r="B6864" s="71"/>
      <c r="C6864" s="51"/>
      <c r="D6864" s="114"/>
      <c r="E6864" s="114"/>
      <c r="F6864" s="54"/>
      <c r="G6864" s="54"/>
      <c r="I6864" s="54"/>
      <c r="K6864" s="54"/>
      <c r="M6864" s="114"/>
      <c r="N6864" s="1"/>
      <c r="O6864" s="1"/>
      <c r="P6864" s="51"/>
    </row>
    <row r="6865">
      <c r="A6865" s="54"/>
      <c r="B6865" s="71"/>
      <c r="C6865" s="51"/>
      <c r="D6865" s="114"/>
      <c r="E6865" s="114"/>
      <c r="F6865" s="54"/>
      <c r="G6865" s="54"/>
      <c r="I6865" s="54"/>
      <c r="K6865" s="54"/>
      <c r="M6865" s="114"/>
      <c r="N6865" s="1"/>
      <c r="O6865" s="1"/>
      <c r="P6865" s="51"/>
    </row>
    <row r="6866">
      <c r="A6866" s="54"/>
      <c r="B6866" s="71"/>
      <c r="C6866" s="51"/>
      <c r="D6866" s="114"/>
      <c r="E6866" s="114"/>
      <c r="F6866" s="54"/>
      <c r="G6866" s="54"/>
      <c r="I6866" s="54"/>
      <c r="K6866" s="54"/>
      <c r="M6866" s="114"/>
      <c r="N6866" s="1"/>
      <c r="O6866" s="1"/>
      <c r="P6866" s="51"/>
    </row>
    <row r="6867">
      <c r="A6867" s="54"/>
      <c r="B6867" s="71"/>
      <c r="C6867" s="51"/>
      <c r="D6867" s="114"/>
      <c r="E6867" s="114"/>
      <c r="F6867" s="54"/>
      <c r="G6867" s="54"/>
      <c r="I6867" s="54"/>
      <c r="K6867" s="54"/>
      <c r="M6867" s="114"/>
      <c r="N6867" s="1"/>
      <c r="O6867" s="1"/>
      <c r="P6867" s="51"/>
    </row>
    <row r="6868">
      <c r="A6868" s="54"/>
      <c r="B6868" s="71"/>
      <c r="C6868" s="51"/>
      <c r="D6868" s="114"/>
      <c r="E6868" s="114"/>
      <c r="F6868" s="54"/>
      <c r="G6868" s="54"/>
      <c r="I6868" s="54"/>
      <c r="K6868" s="54"/>
      <c r="M6868" s="114"/>
      <c r="N6868" s="1"/>
      <c r="O6868" s="1"/>
      <c r="P6868" s="51"/>
    </row>
    <row r="6869">
      <c r="A6869" s="54"/>
      <c r="B6869" s="71"/>
      <c r="C6869" s="51"/>
      <c r="D6869" s="114"/>
      <c r="E6869" s="114"/>
      <c r="F6869" s="54"/>
      <c r="G6869" s="54"/>
      <c r="I6869" s="54"/>
      <c r="K6869" s="54"/>
      <c r="M6869" s="114"/>
      <c r="N6869" s="1"/>
      <c r="O6869" s="1"/>
      <c r="P6869" s="51"/>
    </row>
    <row r="6870">
      <c r="A6870" s="54"/>
      <c r="B6870" s="71"/>
      <c r="C6870" s="51"/>
      <c r="D6870" s="114"/>
      <c r="E6870" s="114"/>
      <c r="F6870" s="54"/>
      <c r="G6870" s="54"/>
      <c r="I6870" s="54"/>
      <c r="K6870" s="54"/>
      <c r="M6870" s="114"/>
      <c r="N6870" s="1"/>
      <c r="O6870" s="1"/>
      <c r="P6870" s="51"/>
    </row>
    <row r="6871">
      <c r="A6871" s="54"/>
      <c r="B6871" s="71"/>
      <c r="C6871" s="51"/>
      <c r="D6871" s="114"/>
      <c r="E6871" s="114"/>
      <c r="F6871" s="54"/>
      <c r="G6871" s="54"/>
      <c r="I6871" s="54"/>
      <c r="K6871" s="54"/>
      <c r="M6871" s="114"/>
      <c r="N6871" s="1"/>
      <c r="O6871" s="1"/>
      <c r="P6871" s="51"/>
    </row>
    <row r="6872">
      <c r="A6872" s="54"/>
      <c r="B6872" s="71"/>
      <c r="C6872" s="51"/>
      <c r="D6872" s="114"/>
      <c r="E6872" s="114"/>
      <c r="F6872" s="54"/>
      <c r="G6872" s="54"/>
      <c r="I6872" s="54"/>
      <c r="K6872" s="54"/>
      <c r="M6872" s="114"/>
      <c r="N6872" s="1"/>
      <c r="O6872" s="1"/>
      <c r="P6872" s="51"/>
    </row>
    <row r="6873">
      <c r="A6873" s="54"/>
      <c r="B6873" s="71"/>
      <c r="C6873" s="51"/>
      <c r="D6873" s="114"/>
      <c r="E6873" s="114"/>
      <c r="F6873" s="54"/>
      <c r="G6873" s="54"/>
      <c r="I6873" s="54"/>
      <c r="K6873" s="54"/>
      <c r="M6873" s="114"/>
      <c r="N6873" s="1"/>
      <c r="O6873" s="1"/>
      <c r="P6873" s="51"/>
    </row>
    <row r="6874">
      <c r="A6874" s="54"/>
      <c r="B6874" s="71"/>
      <c r="C6874" s="51"/>
      <c r="D6874" s="114"/>
      <c r="E6874" s="114"/>
      <c r="F6874" s="54"/>
      <c r="G6874" s="54"/>
      <c r="I6874" s="54"/>
      <c r="K6874" s="54"/>
      <c r="M6874" s="114"/>
      <c r="N6874" s="1"/>
      <c r="O6874" s="1"/>
      <c r="P6874" s="51"/>
    </row>
    <row r="6875">
      <c r="A6875" s="54"/>
      <c r="B6875" s="71"/>
      <c r="C6875" s="51"/>
      <c r="D6875" s="114"/>
      <c r="E6875" s="114"/>
      <c r="F6875" s="54"/>
      <c r="G6875" s="54"/>
      <c r="I6875" s="54"/>
      <c r="K6875" s="54"/>
      <c r="M6875" s="114"/>
      <c r="N6875" s="1"/>
      <c r="O6875" s="1"/>
      <c r="P6875" s="51"/>
    </row>
    <row r="6876">
      <c r="A6876" s="54"/>
      <c r="B6876" s="71"/>
      <c r="C6876" s="51"/>
      <c r="D6876" s="114"/>
      <c r="E6876" s="114"/>
      <c r="F6876" s="54"/>
      <c r="G6876" s="54"/>
      <c r="I6876" s="54"/>
      <c r="K6876" s="54"/>
      <c r="M6876" s="114"/>
      <c r="N6876" s="1"/>
      <c r="O6876" s="1"/>
      <c r="P6876" s="51"/>
    </row>
    <row r="6877">
      <c r="A6877" s="54"/>
      <c r="B6877" s="71"/>
      <c r="C6877" s="51"/>
      <c r="D6877" s="114"/>
      <c r="E6877" s="114"/>
      <c r="F6877" s="54"/>
      <c r="G6877" s="54"/>
      <c r="I6877" s="54"/>
      <c r="K6877" s="54"/>
      <c r="M6877" s="114"/>
      <c r="N6877" s="1"/>
      <c r="O6877" s="1"/>
      <c r="P6877" s="51"/>
    </row>
    <row r="6878">
      <c r="A6878" s="54"/>
      <c r="B6878" s="71"/>
      <c r="C6878" s="51"/>
      <c r="D6878" s="114"/>
      <c r="E6878" s="114"/>
      <c r="F6878" s="54"/>
      <c r="G6878" s="54"/>
      <c r="I6878" s="54"/>
      <c r="K6878" s="54"/>
      <c r="M6878" s="114"/>
      <c r="N6878" s="1"/>
      <c r="O6878" s="1"/>
      <c r="P6878" s="51"/>
    </row>
    <row r="6879">
      <c r="A6879" s="54"/>
      <c r="B6879" s="71"/>
      <c r="C6879" s="51"/>
      <c r="D6879" s="114"/>
      <c r="E6879" s="114"/>
      <c r="F6879" s="54"/>
      <c r="G6879" s="54"/>
      <c r="I6879" s="54"/>
      <c r="K6879" s="54"/>
      <c r="M6879" s="114"/>
      <c r="N6879" s="1"/>
      <c r="O6879" s="1"/>
      <c r="P6879" s="51"/>
    </row>
    <row r="6880">
      <c r="A6880" s="54"/>
      <c r="B6880" s="71"/>
      <c r="C6880" s="51"/>
      <c r="D6880" s="114"/>
      <c r="E6880" s="114"/>
      <c r="F6880" s="54"/>
      <c r="G6880" s="54"/>
      <c r="I6880" s="54"/>
      <c r="K6880" s="54"/>
      <c r="M6880" s="114"/>
      <c r="N6880" s="1"/>
      <c r="O6880" s="1"/>
      <c r="P6880" s="51"/>
    </row>
    <row r="6881">
      <c r="A6881" s="54"/>
      <c r="B6881" s="71"/>
      <c r="C6881" s="51"/>
      <c r="D6881" s="114"/>
      <c r="E6881" s="114"/>
      <c r="F6881" s="54"/>
      <c r="G6881" s="54"/>
      <c r="I6881" s="54"/>
      <c r="K6881" s="54"/>
      <c r="M6881" s="114"/>
      <c r="N6881" s="1"/>
      <c r="O6881" s="1"/>
      <c r="P6881" s="51"/>
    </row>
    <row r="6882">
      <c r="A6882" s="54"/>
      <c r="B6882" s="71"/>
      <c r="C6882" s="51"/>
      <c r="D6882" s="114"/>
      <c r="E6882" s="114"/>
      <c r="F6882" s="54"/>
      <c r="G6882" s="54"/>
      <c r="I6882" s="54"/>
      <c r="K6882" s="54"/>
      <c r="M6882" s="114"/>
      <c r="N6882" s="1"/>
      <c r="O6882" s="1"/>
      <c r="P6882" s="51"/>
    </row>
    <row r="6883">
      <c r="A6883" s="54"/>
      <c r="B6883" s="71"/>
      <c r="C6883" s="51"/>
      <c r="D6883" s="114"/>
      <c r="E6883" s="114"/>
      <c r="F6883" s="54"/>
      <c r="G6883" s="54"/>
      <c r="I6883" s="54"/>
      <c r="K6883" s="54"/>
      <c r="M6883" s="114"/>
      <c r="N6883" s="1"/>
      <c r="O6883" s="1"/>
      <c r="P6883" s="51"/>
    </row>
    <row r="6884">
      <c r="A6884" s="54"/>
      <c r="B6884" s="71"/>
      <c r="C6884" s="51"/>
      <c r="D6884" s="114"/>
      <c r="E6884" s="114"/>
      <c r="F6884" s="54"/>
      <c r="G6884" s="54"/>
      <c r="I6884" s="54"/>
      <c r="K6884" s="54"/>
      <c r="M6884" s="114"/>
      <c r="N6884" s="1"/>
      <c r="O6884" s="1"/>
      <c r="P6884" s="51"/>
    </row>
    <row r="6885">
      <c r="A6885" s="54"/>
      <c r="B6885" s="71"/>
      <c r="C6885" s="51"/>
      <c r="D6885" s="114"/>
      <c r="E6885" s="114"/>
      <c r="F6885" s="54"/>
      <c r="G6885" s="54"/>
      <c r="I6885" s="54"/>
      <c r="K6885" s="54"/>
      <c r="M6885" s="114"/>
      <c r="N6885" s="1"/>
      <c r="O6885" s="1"/>
      <c r="P6885" s="51"/>
    </row>
    <row r="6886">
      <c r="A6886" s="54"/>
      <c r="B6886" s="71"/>
      <c r="C6886" s="51"/>
      <c r="D6886" s="114"/>
      <c r="E6886" s="114"/>
      <c r="F6886" s="54"/>
      <c r="G6886" s="54"/>
      <c r="I6886" s="54"/>
      <c r="K6886" s="54"/>
      <c r="M6886" s="114"/>
      <c r="N6886" s="1"/>
      <c r="O6886" s="1"/>
      <c r="P6886" s="51"/>
    </row>
    <row r="6887">
      <c r="A6887" s="54"/>
      <c r="B6887" s="71"/>
      <c r="C6887" s="51"/>
      <c r="D6887" s="114"/>
      <c r="E6887" s="114"/>
      <c r="F6887" s="54"/>
      <c r="G6887" s="54"/>
      <c r="I6887" s="54"/>
      <c r="K6887" s="54"/>
      <c r="M6887" s="114"/>
      <c r="N6887" s="1"/>
      <c r="O6887" s="1"/>
      <c r="P6887" s="51"/>
    </row>
    <row r="6888">
      <c r="A6888" s="54"/>
      <c r="B6888" s="71"/>
      <c r="C6888" s="51"/>
      <c r="D6888" s="114"/>
      <c r="E6888" s="114"/>
      <c r="F6888" s="54"/>
      <c r="G6888" s="54"/>
      <c r="I6888" s="54"/>
      <c r="K6888" s="54"/>
      <c r="M6888" s="114"/>
      <c r="N6888" s="1"/>
      <c r="O6888" s="1"/>
      <c r="P6888" s="51"/>
    </row>
    <row r="6889">
      <c r="A6889" s="54"/>
      <c r="B6889" s="71"/>
      <c r="C6889" s="51"/>
      <c r="D6889" s="114"/>
      <c r="E6889" s="114"/>
      <c r="F6889" s="54"/>
      <c r="G6889" s="54"/>
      <c r="I6889" s="54"/>
      <c r="K6889" s="54"/>
      <c r="M6889" s="114"/>
      <c r="N6889" s="1"/>
      <c r="O6889" s="1"/>
      <c r="P6889" s="51"/>
    </row>
    <row r="6890">
      <c r="A6890" s="54"/>
      <c r="B6890" s="71"/>
      <c r="C6890" s="51"/>
      <c r="D6890" s="114"/>
      <c r="E6890" s="114"/>
      <c r="F6890" s="54"/>
      <c r="G6890" s="54"/>
      <c r="I6890" s="54"/>
      <c r="K6890" s="54"/>
      <c r="M6890" s="114"/>
      <c r="N6890" s="1"/>
      <c r="O6890" s="1"/>
      <c r="P6890" s="51"/>
    </row>
    <row r="6891">
      <c r="A6891" s="54"/>
      <c r="B6891" s="71"/>
      <c r="C6891" s="51"/>
      <c r="D6891" s="114"/>
      <c r="E6891" s="114"/>
      <c r="F6891" s="54"/>
      <c r="G6891" s="54"/>
      <c r="I6891" s="54"/>
      <c r="K6891" s="54"/>
      <c r="M6891" s="114"/>
      <c r="N6891" s="1"/>
      <c r="O6891" s="1"/>
      <c r="P6891" s="51"/>
    </row>
    <row r="6892">
      <c r="A6892" s="54"/>
      <c r="B6892" s="71"/>
      <c r="C6892" s="51"/>
      <c r="D6892" s="114"/>
      <c r="E6892" s="114"/>
      <c r="F6892" s="54"/>
      <c r="G6892" s="54"/>
      <c r="I6892" s="54"/>
      <c r="K6892" s="54"/>
      <c r="M6892" s="114"/>
      <c r="N6892" s="1"/>
      <c r="O6892" s="1"/>
      <c r="P6892" s="51"/>
    </row>
    <row r="6893">
      <c r="A6893" s="54"/>
      <c r="B6893" s="71"/>
      <c r="C6893" s="51"/>
      <c r="D6893" s="114"/>
      <c r="E6893" s="114"/>
      <c r="F6893" s="54"/>
      <c r="G6893" s="54"/>
      <c r="I6893" s="54"/>
      <c r="K6893" s="54"/>
      <c r="M6893" s="114"/>
      <c r="N6893" s="1"/>
      <c r="O6893" s="1"/>
      <c r="P6893" s="51"/>
    </row>
    <row r="6894">
      <c r="A6894" s="54"/>
      <c r="B6894" s="71"/>
      <c r="C6894" s="51"/>
      <c r="D6894" s="114"/>
      <c r="E6894" s="114"/>
      <c r="F6894" s="54"/>
      <c r="G6894" s="54"/>
      <c r="I6894" s="54"/>
      <c r="K6894" s="54"/>
      <c r="M6894" s="114"/>
      <c r="N6894" s="1"/>
      <c r="O6894" s="1"/>
      <c r="P6894" s="51"/>
    </row>
    <row r="6895">
      <c r="A6895" s="54"/>
      <c r="B6895" s="71"/>
      <c r="C6895" s="51"/>
      <c r="D6895" s="114"/>
      <c r="E6895" s="114"/>
      <c r="F6895" s="54"/>
      <c r="G6895" s="54"/>
      <c r="I6895" s="54"/>
      <c r="K6895" s="54"/>
      <c r="M6895" s="114"/>
      <c r="N6895" s="1"/>
      <c r="O6895" s="1"/>
      <c r="P6895" s="51"/>
    </row>
    <row r="6896">
      <c r="A6896" s="54"/>
      <c r="B6896" s="71"/>
      <c r="C6896" s="51"/>
      <c r="D6896" s="114"/>
      <c r="E6896" s="114"/>
      <c r="F6896" s="54"/>
      <c r="G6896" s="54"/>
      <c r="I6896" s="54"/>
      <c r="K6896" s="54"/>
      <c r="M6896" s="114"/>
      <c r="N6896" s="1"/>
      <c r="O6896" s="1"/>
      <c r="P6896" s="51"/>
    </row>
    <row r="6897">
      <c r="A6897" s="54"/>
      <c r="B6897" s="71"/>
      <c r="C6897" s="51"/>
      <c r="D6897" s="114"/>
      <c r="E6897" s="114"/>
      <c r="F6897" s="54"/>
      <c r="G6897" s="54"/>
      <c r="I6897" s="54"/>
      <c r="K6897" s="54"/>
      <c r="M6897" s="114"/>
      <c r="N6897" s="1"/>
      <c r="O6897" s="1"/>
      <c r="P6897" s="51"/>
    </row>
    <row r="6898">
      <c r="A6898" s="54"/>
      <c r="B6898" s="71"/>
      <c r="C6898" s="51"/>
      <c r="D6898" s="114"/>
      <c r="E6898" s="114"/>
      <c r="F6898" s="54"/>
      <c r="G6898" s="54"/>
      <c r="I6898" s="54"/>
      <c r="K6898" s="54"/>
      <c r="M6898" s="114"/>
      <c r="N6898" s="1"/>
      <c r="O6898" s="1"/>
      <c r="P6898" s="51"/>
    </row>
    <row r="6899">
      <c r="A6899" s="54"/>
      <c r="B6899" s="71"/>
      <c r="C6899" s="51"/>
      <c r="D6899" s="114"/>
      <c r="E6899" s="114"/>
      <c r="F6899" s="54"/>
      <c r="G6899" s="54"/>
      <c r="I6899" s="54"/>
      <c r="K6899" s="54"/>
      <c r="M6899" s="114"/>
      <c r="N6899" s="1"/>
      <c r="O6899" s="1"/>
      <c r="P6899" s="51"/>
    </row>
    <row r="6900">
      <c r="A6900" s="54"/>
      <c r="B6900" s="71"/>
      <c r="C6900" s="51"/>
      <c r="D6900" s="114"/>
      <c r="E6900" s="114"/>
      <c r="F6900" s="54"/>
      <c r="G6900" s="54"/>
      <c r="I6900" s="54"/>
      <c r="K6900" s="54"/>
      <c r="M6900" s="114"/>
      <c r="N6900" s="1"/>
      <c r="O6900" s="1"/>
      <c r="P6900" s="51"/>
    </row>
    <row r="6901">
      <c r="A6901" s="54"/>
      <c r="B6901" s="71"/>
      <c r="C6901" s="51"/>
      <c r="D6901" s="114"/>
      <c r="E6901" s="114"/>
      <c r="F6901" s="54"/>
      <c r="G6901" s="54"/>
      <c r="I6901" s="54"/>
      <c r="K6901" s="54"/>
      <c r="M6901" s="114"/>
      <c r="N6901" s="1"/>
      <c r="O6901" s="1"/>
      <c r="P6901" s="51"/>
    </row>
    <row r="6902">
      <c r="A6902" s="54"/>
      <c r="B6902" s="71"/>
      <c r="C6902" s="51"/>
      <c r="D6902" s="114"/>
      <c r="E6902" s="114"/>
      <c r="F6902" s="54"/>
      <c r="G6902" s="54"/>
      <c r="I6902" s="54"/>
      <c r="K6902" s="54"/>
      <c r="M6902" s="114"/>
      <c r="N6902" s="1"/>
      <c r="O6902" s="1"/>
      <c r="P6902" s="51"/>
    </row>
    <row r="6903">
      <c r="A6903" s="54"/>
      <c r="B6903" s="71"/>
      <c r="C6903" s="51"/>
      <c r="D6903" s="114"/>
      <c r="E6903" s="114"/>
      <c r="F6903" s="54"/>
      <c r="G6903" s="54"/>
      <c r="I6903" s="54"/>
      <c r="K6903" s="54"/>
      <c r="M6903" s="114"/>
      <c r="N6903" s="1"/>
      <c r="O6903" s="1"/>
      <c r="P6903" s="51"/>
    </row>
    <row r="6904">
      <c r="A6904" s="54"/>
      <c r="B6904" s="71"/>
      <c r="C6904" s="51"/>
      <c r="D6904" s="114"/>
      <c r="E6904" s="114"/>
      <c r="F6904" s="54"/>
      <c r="G6904" s="54"/>
      <c r="I6904" s="54"/>
      <c r="K6904" s="54"/>
      <c r="M6904" s="114"/>
      <c r="N6904" s="1"/>
      <c r="O6904" s="1"/>
      <c r="P6904" s="51"/>
    </row>
    <row r="6905">
      <c r="A6905" s="54"/>
      <c r="B6905" s="71"/>
      <c r="C6905" s="51"/>
      <c r="D6905" s="114"/>
      <c r="E6905" s="114"/>
      <c r="F6905" s="54"/>
      <c r="G6905" s="54"/>
      <c r="I6905" s="54"/>
      <c r="K6905" s="54"/>
      <c r="M6905" s="114"/>
      <c r="N6905" s="1"/>
      <c r="O6905" s="1"/>
      <c r="P6905" s="51"/>
    </row>
    <row r="6906">
      <c r="A6906" s="54"/>
      <c r="B6906" s="71"/>
      <c r="C6906" s="51"/>
      <c r="D6906" s="114"/>
      <c r="E6906" s="114"/>
      <c r="F6906" s="54"/>
      <c r="G6906" s="54"/>
      <c r="I6906" s="54"/>
      <c r="K6906" s="54"/>
      <c r="M6906" s="114"/>
      <c r="N6906" s="1"/>
      <c r="O6906" s="1"/>
      <c r="P6906" s="51"/>
    </row>
    <row r="6907">
      <c r="A6907" s="54"/>
      <c r="B6907" s="71"/>
      <c r="C6907" s="51"/>
      <c r="D6907" s="114"/>
      <c r="E6907" s="114"/>
      <c r="F6907" s="54"/>
      <c r="G6907" s="54"/>
      <c r="I6907" s="54"/>
      <c r="K6907" s="54"/>
      <c r="M6907" s="114"/>
      <c r="N6907" s="1"/>
      <c r="O6907" s="1"/>
      <c r="P6907" s="51"/>
    </row>
    <row r="6908">
      <c r="A6908" s="54"/>
      <c r="B6908" s="71"/>
      <c r="C6908" s="51"/>
      <c r="D6908" s="114"/>
      <c r="E6908" s="114"/>
      <c r="F6908" s="54"/>
      <c r="G6908" s="54"/>
      <c r="I6908" s="54"/>
      <c r="K6908" s="54"/>
      <c r="M6908" s="114"/>
      <c r="N6908" s="1"/>
      <c r="O6908" s="1"/>
      <c r="P6908" s="51"/>
    </row>
    <row r="6909">
      <c r="A6909" s="54"/>
      <c r="B6909" s="71"/>
      <c r="C6909" s="51"/>
      <c r="D6909" s="114"/>
      <c r="E6909" s="114"/>
      <c r="F6909" s="54"/>
      <c r="G6909" s="54"/>
      <c r="I6909" s="54"/>
      <c r="K6909" s="54"/>
      <c r="M6909" s="114"/>
      <c r="N6909" s="1"/>
      <c r="O6909" s="1"/>
      <c r="P6909" s="51"/>
    </row>
    <row r="6910">
      <c r="A6910" s="54"/>
      <c r="B6910" s="71"/>
      <c r="C6910" s="51"/>
      <c r="D6910" s="114"/>
      <c r="E6910" s="114"/>
      <c r="F6910" s="54"/>
      <c r="G6910" s="54"/>
      <c r="I6910" s="54"/>
      <c r="K6910" s="54"/>
      <c r="M6910" s="114"/>
      <c r="N6910" s="1"/>
      <c r="O6910" s="1"/>
      <c r="P6910" s="51"/>
    </row>
    <row r="6911">
      <c r="A6911" s="54"/>
      <c r="B6911" s="71"/>
      <c r="C6911" s="51"/>
      <c r="D6911" s="114"/>
      <c r="E6911" s="114"/>
      <c r="F6911" s="54"/>
      <c r="G6911" s="54"/>
      <c r="I6911" s="54"/>
      <c r="K6911" s="54"/>
      <c r="M6911" s="114"/>
      <c r="N6911" s="1"/>
      <c r="O6911" s="1"/>
      <c r="P6911" s="51"/>
    </row>
    <row r="6912">
      <c r="A6912" s="54"/>
      <c r="B6912" s="71"/>
      <c r="C6912" s="51"/>
      <c r="D6912" s="114"/>
      <c r="E6912" s="114"/>
      <c r="F6912" s="54"/>
      <c r="G6912" s="54"/>
      <c r="I6912" s="54"/>
      <c r="K6912" s="54"/>
      <c r="M6912" s="114"/>
      <c r="N6912" s="1"/>
      <c r="O6912" s="1"/>
      <c r="P6912" s="51"/>
    </row>
    <row r="6913">
      <c r="A6913" s="54"/>
      <c r="B6913" s="71"/>
      <c r="C6913" s="51"/>
      <c r="D6913" s="114"/>
      <c r="E6913" s="114"/>
      <c r="F6913" s="54"/>
      <c r="G6913" s="54"/>
      <c r="I6913" s="54"/>
      <c r="K6913" s="54"/>
      <c r="M6913" s="114"/>
      <c r="N6913" s="1"/>
      <c r="O6913" s="1"/>
      <c r="P6913" s="51"/>
    </row>
    <row r="6914">
      <c r="A6914" s="54"/>
      <c r="B6914" s="71"/>
      <c r="C6914" s="51"/>
      <c r="D6914" s="114"/>
      <c r="E6914" s="114"/>
      <c r="F6914" s="54"/>
      <c r="G6914" s="54"/>
      <c r="I6914" s="54"/>
      <c r="K6914" s="54"/>
      <c r="M6914" s="114"/>
      <c r="N6914" s="1"/>
      <c r="O6914" s="1"/>
      <c r="P6914" s="51"/>
    </row>
    <row r="6915">
      <c r="A6915" s="54"/>
      <c r="B6915" s="71"/>
      <c r="C6915" s="51"/>
      <c r="D6915" s="114"/>
      <c r="E6915" s="114"/>
      <c r="F6915" s="54"/>
      <c r="G6915" s="54"/>
      <c r="I6915" s="54"/>
      <c r="K6915" s="54"/>
      <c r="M6915" s="114"/>
      <c r="N6915" s="1"/>
      <c r="O6915" s="1"/>
      <c r="P6915" s="51"/>
    </row>
    <row r="6916">
      <c r="A6916" s="54"/>
      <c r="B6916" s="71"/>
      <c r="C6916" s="51"/>
      <c r="D6916" s="114"/>
      <c r="E6916" s="114"/>
      <c r="F6916" s="54"/>
      <c r="G6916" s="54"/>
      <c r="I6916" s="54"/>
      <c r="K6916" s="54"/>
      <c r="M6916" s="114"/>
      <c r="N6916" s="1"/>
      <c r="O6916" s="1"/>
      <c r="P6916" s="51"/>
    </row>
    <row r="6917">
      <c r="A6917" s="54"/>
      <c r="B6917" s="71"/>
      <c r="C6917" s="51"/>
      <c r="D6917" s="114"/>
      <c r="E6917" s="114"/>
      <c r="F6917" s="54"/>
      <c r="G6917" s="54"/>
      <c r="I6917" s="54"/>
      <c r="K6917" s="54"/>
      <c r="M6917" s="114"/>
      <c r="N6917" s="1"/>
      <c r="O6917" s="1"/>
      <c r="P6917" s="51"/>
    </row>
    <row r="6918">
      <c r="A6918" s="54"/>
      <c r="B6918" s="71"/>
      <c r="C6918" s="51"/>
      <c r="D6918" s="114"/>
      <c r="E6918" s="114"/>
      <c r="F6918" s="54"/>
      <c r="G6918" s="54"/>
      <c r="I6918" s="54"/>
      <c r="K6918" s="54"/>
      <c r="M6918" s="114"/>
      <c r="N6918" s="1"/>
      <c r="O6918" s="1"/>
      <c r="P6918" s="51"/>
    </row>
    <row r="6919">
      <c r="A6919" s="54"/>
      <c r="B6919" s="71"/>
      <c r="C6919" s="51"/>
      <c r="D6919" s="114"/>
      <c r="E6919" s="114"/>
      <c r="F6919" s="54"/>
      <c r="G6919" s="54"/>
      <c r="I6919" s="54"/>
      <c r="K6919" s="54"/>
      <c r="M6919" s="114"/>
      <c r="N6919" s="1"/>
      <c r="O6919" s="1"/>
      <c r="P6919" s="51"/>
    </row>
    <row r="6920">
      <c r="A6920" s="54"/>
      <c r="B6920" s="71"/>
      <c r="C6920" s="51"/>
      <c r="D6920" s="114"/>
      <c r="E6920" s="114"/>
      <c r="F6920" s="54"/>
      <c r="G6920" s="54"/>
      <c r="I6920" s="54"/>
      <c r="K6920" s="54"/>
      <c r="M6920" s="114"/>
      <c r="N6920" s="1"/>
      <c r="O6920" s="1"/>
      <c r="P6920" s="51"/>
    </row>
    <row r="6921">
      <c r="A6921" s="54"/>
      <c r="B6921" s="71"/>
      <c r="C6921" s="51"/>
      <c r="D6921" s="114"/>
      <c r="E6921" s="114"/>
      <c r="F6921" s="54"/>
      <c r="G6921" s="54"/>
      <c r="I6921" s="54"/>
      <c r="K6921" s="54"/>
      <c r="M6921" s="114"/>
      <c r="N6921" s="1"/>
      <c r="O6921" s="1"/>
      <c r="P6921" s="51"/>
    </row>
    <row r="6922">
      <c r="A6922" s="54"/>
      <c r="B6922" s="71"/>
      <c r="C6922" s="51"/>
      <c r="D6922" s="114"/>
      <c r="E6922" s="114"/>
      <c r="F6922" s="54"/>
      <c r="G6922" s="54"/>
      <c r="I6922" s="54"/>
      <c r="K6922" s="54"/>
      <c r="M6922" s="114"/>
      <c r="N6922" s="1"/>
      <c r="O6922" s="1"/>
      <c r="P6922" s="51"/>
    </row>
    <row r="6923">
      <c r="A6923" s="54"/>
      <c r="B6923" s="71"/>
      <c r="C6923" s="51"/>
      <c r="D6923" s="114"/>
      <c r="E6923" s="114"/>
      <c r="F6923" s="54"/>
      <c r="G6923" s="54"/>
      <c r="I6923" s="54"/>
      <c r="K6923" s="54"/>
      <c r="M6923" s="114"/>
      <c r="N6923" s="1"/>
      <c r="O6923" s="1"/>
      <c r="P6923" s="51"/>
    </row>
    <row r="6924">
      <c r="A6924" s="54"/>
      <c r="B6924" s="71"/>
      <c r="C6924" s="51"/>
      <c r="D6924" s="114"/>
      <c r="E6924" s="114"/>
      <c r="F6924" s="54"/>
      <c r="G6924" s="54"/>
      <c r="I6924" s="54"/>
      <c r="K6924" s="54"/>
      <c r="M6924" s="114"/>
      <c r="N6924" s="1"/>
      <c r="O6924" s="1"/>
      <c r="P6924" s="51"/>
    </row>
    <row r="6925">
      <c r="A6925" s="54"/>
      <c r="B6925" s="71"/>
      <c r="C6925" s="51"/>
      <c r="D6925" s="114"/>
      <c r="E6925" s="114"/>
      <c r="F6925" s="54"/>
      <c r="G6925" s="54"/>
      <c r="I6925" s="54"/>
      <c r="K6925" s="54"/>
      <c r="M6925" s="114"/>
      <c r="N6925" s="1"/>
      <c r="O6925" s="1"/>
      <c r="P6925" s="51"/>
    </row>
    <row r="6926">
      <c r="A6926" s="54"/>
      <c r="B6926" s="71"/>
      <c r="C6926" s="51"/>
      <c r="D6926" s="114"/>
      <c r="E6926" s="114"/>
      <c r="F6926" s="54"/>
      <c r="G6926" s="54"/>
      <c r="I6926" s="54"/>
      <c r="K6926" s="54"/>
      <c r="M6926" s="114"/>
      <c r="N6926" s="1"/>
      <c r="O6926" s="1"/>
      <c r="P6926" s="51"/>
    </row>
    <row r="6927">
      <c r="A6927" s="54"/>
      <c r="B6927" s="71"/>
      <c r="C6927" s="51"/>
      <c r="D6927" s="114"/>
      <c r="E6927" s="114"/>
      <c r="F6927" s="54"/>
      <c r="G6927" s="54"/>
      <c r="I6927" s="54"/>
      <c r="K6927" s="54"/>
      <c r="M6927" s="114"/>
      <c r="N6927" s="1"/>
      <c r="O6927" s="1"/>
      <c r="P6927" s="51"/>
    </row>
    <row r="6928">
      <c r="A6928" s="54"/>
      <c r="B6928" s="71"/>
      <c r="C6928" s="51"/>
      <c r="D6928" s="114"/>
      <c r="E6928" s="114"/>
      <c r="F6928" s="54"/>
      <c r="G6928" s="54"/>
      <c r="I6928" s="54"/>
      <c r="K6928" s="54"/>
      <c r="M6928" s="114"/>
      <c r="N6928" s="1"/>
      <c r="O6928" s="1"/>
      <c r="P6928" s="51"/>
    </row>
    <row r="6929">
      <c r="A6929" s="54"/>
      <c r="B6929" s="71"/>
      <c r="C6929" s="51"/>
      <c r="D6929" s="114"/>
      <c r="E6929" s="114"/>
      <c r="F6929" s="54"/>
      <c r="G6929" s="54"/>
      <c r="I6929" s="54"/>
      <c r="K6929" s="54"/>
      <c r="M6929" s="114"/>
      <c r="N6929" s="1"/>
      <c r="O6929" s="1"/>
      <c r="P6929" s="51"/>
    </row>
    <row r="6930">
      <c r="A6930" s="54"/>
      <c r="B6930" s="71"/>
      <c r="C6930" s="51"/>
      <c r="D6930" s="114"/>
      <c r="E6930" s="114"/>
      <c r="F6930" s="54"/>
      <c r="G6930" s="54"/>
      <c r="I6930" s="54"/>
      <c r="K6930" s="54"/>
      <c r="M6930" s="114"/>
      <c r="N6930" s="1"/>
      <c r="O6930" s="1"/>
      <c r="P6930" s="51"/>
    </row>
    <row r="6931">
      <c r="A6931" s="54"/>
      <c r="B6931" s="71"/>
      <c r="C6931" s="51"/>
      <c r="D6931" s="114"/>
      <c r="E6931" s="114"/>
      <c r="F6931" s="54"/>
      <c r="G6931" s="54"/>
      <c r="I6931" s="54"/>
      <c r="K6931" s="54"/>
      <c r="M6931" s="114"/>
      <c r="N6931" s="1"/>
      <c r="O6931" s="1"/>
      <c r="P6931" s="51"/>
    </row>
    <row r="6932">
      <c r="A6932" s="54"/>
      <c r="B6932" s="71"/>
      <c r="C6932" s="51"/>
      <c r="D6932" s="114"/>
      <c r="E6932" s="114"/>
      <c r="F6932" s="54"/>
      <c r="G6932" s="54"/>
      <c r="I6932" s="54"/>
      <c r="K6932" s="54"/>
      <c r="M6932" s="114"/>
      <c r="N6932" s="1"/>
      <c r="O6932" s="1"/>
      <c r="P6932" s="51"/>
    </row>
    <row r="6933">
      <c r="A6933" s="54"/>
      <c r="B6933" s="71"/>
      <c r="C6933" s="51"/>
      <c r="D6933" s="114"/>
      <c r="E6933" s="114"/>
      <c r="F6933" s="54"/>
      <c r="G6933" s="54"/>
      <c r="I6933" s="54"/>
      <c r="K6933" s="54"/>
      <c r="M6933" s="114"/>
      <c r="N6933" s="1"/>
      <c r="O6933" s="1"/>
      <c r="P6933" s="51"/>
    </row>
    <row r="6934">
      <c r="A6934" s="54"/>
      <c r="B6934" s="71"/>
      <c r="C6934" s="51"/>
      <c r="D6934" s="114"/>
      <c r="E6934" s="114"/>
      <c r="F6934" s="54"/>
      <c r="G6934" s="54"/>
      <c r="I6934" s="54"/>
      <c r="K6934" s="54"/>
      <c r="M6934" s="114"/>
      <c r="N6934" s="1"/>
      <c r="O6934" s="1"/>
      <c r="P6934" s="51"/>
    </row>
    <row r="6935">
      <c r="A6935" s="54"/>
      <c r="B6935" s="71"/>
      <c r="C6935" s="51"/>
      <c r="D6935" s="114"/>
      <c r="E6935" s="114"/>
      <c r="F6935" s="54"/>
      <c r="G6935" s="54"/>
      <c r="I6935" s="54"/>
      <c r="K6935" s="54"/>
      <c r="M6935" s="114"/>
      <c r="N6935" s="1"/>
      <c r="O6935" s="1"/>
      <c r="P6935" s="51"/>
    </row>
    <row r="6936">
      <c r="A6936" s="54"/>
      <c r="B6936" s="71"/>
      <c r="C6936" s="51"/>
      <c r="D6936" s="114"/>
      <c r="E6936" s="114"/>
      <c r="F6936" s="54"/>
      <c r="G6936" s="54"/>
      <c r="I6936" s="54"/>
      <c r="K6936" s="54"/>
      <c r="M6936" s="114"/>
      <c r="N6936" s="1"/>
      <c r="O6936" s="1"/>
      <c r="P6936" s="51"/>
    </row>
    <row r="6937">
      <c r="A6937" s="54"/>
      <c r="B6937" s="71"/>
      <c r="C6937" s="51"/>
      <c r="D6937" s="114"/>
      <c r="E6937" s="114"/>
      <c r="F6937" s="54"/>
      <c r="G6937" s="54"/>
      <c r="I6937" s="54"/>
      <c r="K6937" s="54"/>
      <c r="M6937" s="114"/>
      <c r="N6937" s="1"/>
      <c r="O6937" s="1"/>
      <c r="P6937" s="51"/>
    </row>
    <row r="6938">
      <c r="A6938" s="54"/>
      <c r="B6938" s="71"/>
      <c r="C6938" s="51"/>
      <c r="D6938" s="114"/>
      <c r="E6938" s="114"/>
      <c r="F6938" s="54"/>
      <c r="G6938" s="54"/>
      <c r="I6938" s="54"/>
      <c r="K6938" s="54"/>
      <c r="M6938" s="114"/>
      <c r="N6938" s="1"/>
      <c r="O6938" s="1"/>
      <c r="P6938" s="51"/>
    </row>
    <row r="6939">
      <c r="A6939" s="54"/>
      <c r="B6939" s="71"/>
      <c r="C6939" s="51"/>
      <c r="D6939" s="114"/>
      <c r="E6939" s="114"/>
      <c r="F6939" s="54"/>
      <c r="G6939" s="54"/>
      <c r="I6939" s="54"/>
      <c r="K6939" s="54"/>
      <c r="M6939" s="114"/>
      <c r="N6939" s="1"/>
      <c r="O6939" s="1"/>
      <c r="P6939" s="51"/>
    </row>
    <row r="6940">
      <c r="A6940" s="54"/>
      <c r="B6940" s="71"/>
      <c r="C6940" s="51"/>
      <c r="D6940" s="114"/>
      <c r="E6940" s="114"/>
      <c r="F6940" s="54"/>
      <c r="G6940" s="54"/>
      <c r="I6940" s="54"/>
      <c r="K6940" s="54"/>
      <c r="M6940" s="114"/>
      <c r="N6940" s="1"/>
      <c r="O6940" s="1"/>
      <c r="P6940" s="51"/>
    </row>
    <row r="6941">
      <c r="A6941" s="54"/>
      <c r="B6941" s="71"/>
      <c r="C6941" s="51"/>
      <c r="D6941" s="114"/>
      <c r="E6941" s="114"/>
      <c r="F6941" s="54"/>
      <c r="G6941" s="54"/>
      <c r="I6941" s="54"/>
      <c r="K6941" s="54"/>
      <c r="M6941" s="114"/>
      <c r="N6941" s="1"/>
      <c r="O6941" s="1"/>
      <c r="P6941" s="51"/>
    </row>
    <row r="6942">
      <c r="A6942" s="54"/>
      <c r="B6942" s="71"/>
      <c r="C6942" s="51"/>
      <c r="D6942" s="114"/>
      <c r="E6942" s="114"/>
      <c r="F6942" s="54"/>
      <c r="G6942" s="54"/>
      <c r="I6942" s="54"/>
      <c r="K6942" s="54"/>
      <c r="M6942" s="114"/>
      <c r="N6942" s="1"/>
      <c r="O6942" s="1"/>
      <c r="P6942" s="51"/>
    </row>
    <row r="6943">
      <c r="A6943" s="54"/>
      <c r="B6943" s="71"/>
      <c r="C6943" s="51"/>
      <c r="D6943" s="114"/>
      <c r="E6943" s="114"/>
      <c r="F6943" s="54"/>
      <c r="G6943" s="54"/>
      <c r="I6943" s="54"/>
      <c r="K6943" s="54"/>
      <c r="M6943" s="114"/>
      <c r="N6943" s="1"/>
      <c r="O6943" s="1"/>
      <c r="P6943" s="51"/>
    </row>
    <row r="6944">
      <c r="A6944" s="54"/>
      <c r="B6944" s="71"/>
      <c r="C6944" s="51"/>
      <c r="D6944" s="114"/>
      <c r="E6944" s="114"/>
      <c r="F6944" s="54"/>
      <c r="G6944" s="54"/>
      <c r="I6944" s="54"/>
      <c r="K6944" s="54"/>
      <c r="M6944" s="114"/>
      <c r="N6944" s="1"/>
      <c r="O6944" s="1"/>
      <c r="P6944" s="51"/>
    </row>
    <row r="6945">
      <c r="A6945" s="54"/>
      <c r="B6945" s="71"/>
      <c r="C6945" s="51"/>
      <c r="D6945" s="114"/>
      <c r="E6945" s="114"/>
      <c r="F6945" s="54"/>
      <c r="G6945" s="54"/>
      <c r="I6945" s="54"/>
      <c r="K6945" s="54"/>
      <c r="M6945" s="114"/>
      <c r="N6945" s="1"/>
      <c r="O6945" s="1"/>
      <c r="P6945" s="51"/>
    </row>
    <row r="6946">
      <c r="A6946" s="54"/>
      <c r="B6946" s="71"/>
      <c r="C6946" s="51"/>
      <c r="D6946" s="114"/>
      <c r="E6946" s="114"/>
      <c r="F6946" s="54"/>
      <c r="G6946" s="54"/>
      <c r="I6946" s="54"/>
      <c r="K6946" s="54"/>
      <c r="M6946" s="114"/>
      <c r="N6946" s="1"/>
      <c r="O6946" s="1"/>
      <c r="P6946" s="51"/>
    </row>
    <row r="6947">
      <c r="A6947" s="54"/>
      <c r="B6947" s="71"/>
      <c r="C6947" s="51"/>
      <c r="D6947" s="114"/>
      <c r="E6947" s="114"/>
      <c r="F6947" s="54"/>
      <c r="G6947" s="54"/>
      <c r="I6947" s="54"/>
      <c r="K6947" s="54"/>
      <c r="M6947" s="114"/>
      <c r="N6947" s="1"/>
      <c r="O6947" s="1"/>
      <c r="P6947" s="51"/>
    </row>
    <row r="6948">
      <c r="A6948" s="54"/>
      <c r="B6948" s="71"/>
      <c r="C6948" s="51"/>
      <c r="D6948" s="114"/>
      <c r="E6948" s="114"/>
      <c r="F6948" s="54"/>
      <c r="G6948" s="54"/>
      <c r="I6948" s="54"/>
      <c r="K6948" s="54"/>
      <c r="M6948" s="114"/>
      <c r="N6948" s="1"/>
      <c r="O6948" s="1"/>
      <c r="P6948" s="51"/>
    </row>
    <row r="6949">
      <c r="A6949" s="54"/>
      <c r="B6949" s="71"/>
      <c r="C6949" s="51"/>
      <c r="D6949" s="114"/>
      <c r="E6949" s="114"/>
      <c r="F6949" s="54"/>
      <c r="G6949" s="54"/>
      <c r="I6949" s="54"/>
      <c r="K6949" s="54"/>
      <c r="M6949" s="114"/>
      <c r="N6949" s="1"/>
      <c r="O6949" s="1"/>
      <c r="P6949" s="51"/>
    </row>
    <row r="6950">
      <c r="A6950" s="54"/>
      <c r="B6950" s="71"/>
      <c r="C6950" s="51"/>
      <c r="D6950" s="114"/>
      <c r="E6950" s="114"/>
      <c r="F6950" s="54"/>
      <c r="G6950" s="54"/>
      <c r="I6950" s="54"/>
      <c r="K6950" s="54"/>
      <c r="M6950" s="114"/>
      <c r="N6950" s="1"/>
      <c r="O6950" s="1"/>
      <c r="P6950" s="51"/>
    </row>
    <row r="6951">
      <c r="A6951" s="54"/>
      <c r="B6951" s="71"/>
      <c r="C6951" s="51"/>
      <c r="D6951" s="114"/>
      <c r="E6951" s="114"/>
      <c r="F6951" s="54"/>
      <c r="G6951" s="54"/>
      <c r="I6951" s="54"/>
      <c r="K6951" s="54"/>
      <c r="M6951" s="114"/>
      <c r="N6951" s="1"/>
      <c r="O6951" s="1"/>
      <c r="P6951" s="51"/>
    </row>
    <row r="6952">
      <c r="A6952" s="54"/>
      <c r="B6952" s="71"/>
      <c r="C6952" s="51"/>
      <c r="D6952" s="114"/>
      <c r="E6952" s="114"/>
      <c r="F6952" s="54"/>
      <c r="G6952" s="54"/>
      <c r="I6952" s="54"/>
      <c r="K6952" s="54"/>
      <c r="M6952" s="114"/>
      <c r="N6952" s="1"/>
      <c r="O6952" s="1"/>
      <c r="P6952" s="51"/>
    </row>
    <row r="6953">
      <c r="A6953" s="54"/>
      <c r="B6953" s="71"/>
      <c r="C6953" s="51"/>
      <c r="D6953" s="114"/>
      <c r="E6953" s="114"/>
      <c r="F6953" s="54"/>
      <c r="G6953" s="54"/>
      <c r="I6953" s="54"/>
      <c r="K6953" s="54"/>
      <c r="M6953" s="114"/>
      <c r="N6953" s="1"/>
      <c r="O6953" s="1"/>
      <c r="P6953" s="51"/>
    </row>
    <row r="6954">
      <c r="A6954" s="54"/>
      <c r="B6954" s="71"/>
      <c r="C6954" s="51"/>
      <c r="D6954" s="114"/>
      <c r="E6954" s="114"/>
      <c r="F6954" s="54"/>
      <c r="G6954" s="54"/>
      <c r="I6954" s="54"/>
      <c r="K6954" s="54"/>
      <c r="M6954" s="114"/>
      <c r="N6954" s="1"/>
      <c r="O6954" s="1"/>
      <c r="P6954" s="51"/>
    </row>
    <row r="6955">
      <c r="A6955" s="54"/>
      <c r="B6955" s="71"/>
      <c r="C6955" s="51"/>
      <c r="D6955" s="114"/>
      <c r="E6955" s="114"/>
      <c r="F6955" s="54"/>
      <c r="G6955" s="54"/>
      <c r="I6955" s="54"/>
      <c r="K6955" s="54"/>
      <c r="M6955" s="114"/>
      <c r="N6955" s="1"/>
      <c r="O6955" s="1"/>
      <c r="P6955" s="51"/>
    </row>
    <row r="6956">
      <c r="A6956" s="54"/>
      <c r="B6956" s="71"/>
      <c r="C6956" s="51"/>
      <c r="D6956" s="114"/>
      <c r="E6956" s="114"/>
      <c r="F6956" s="54"/>
      <c r="G6956" s="54"/>
      <c r="I6956" s="54"/>
      <c r="K6956" s="54"/>
      <c r="M6956" s="114"/>
      <c r="N6956" s="1"/>
      <c r="O6956" s="1"/>
      <c r="P6956" s="51"/>
    </row>
    <row r="6957">
      <c r="A6957" s="54"/>
      <c r="B6957" s="71"/>
      <c r="C6957" s="51"/>
      <c r="D6957" s="114"/>
      <c r="E6957" s="114"/>
      <c r="F6957" s="54"/>
      <c r="G6957" s="54"/>
      <c r="I6957" s="54"/>
      <c r="K6957" s="54"/>
      <c r="M6957" s="114"/>
      <c r="N6957" s="1"/>
      <c r="O6957" s="1"/>
      <c r="P6957" s="51"/>
    </row>
    <row r="6958">
      <c r="A6958" s="54"/>
      <c r="B6958" s="71"/>
      <c r="C6958" s="51"/>
      <c r="D6958" s="114"/>
      <c r="E6958" s="114"/>
      <c r="F6958" s="54"/>
      <c r="G6958" s="54"/>
      <c r="I6958" s="54"/>
      <c r="K6958" s="54"/>
      <c r="M6958" s="114"/>
      <c r="N6958" s="1"/>
      <c r="O6958" s="1"/>
      <c r="P6958" s="51"/>
    </row>
    <row r="6959">
      <c r="A6959" s="54"/>
      <c r="B6959" s="71"/>
      <c r="C6959" s="51"/>
      <c r="D6959" s="114"/>
      <c r="E6959" s="114"/>
      <c r="F6959" s="54"/>
      <c r="G6959" s="54"/>
      <c r="I6959" s="54"/>
      <c r="K6959" s="54"/>
      <c r="M6959" s="114"/>
      <c r="N6959" s="1"/>
      <c r="O6959" s="1"/>
      <c r="P6959" s="51"/>
    </row>
    <row r="6960">
      <c r="A6960" s="54"/>
      <c r="B6960" s="71"/>
      <c r="C6960" s="51"/>
      <c r="D6960" s="114"/>
      <c r="E6960" s="114"/>
      <c r="F6960" s="54"/>
      <c r="G6960" s="54"/>
      <c r="I6960" s="54"/>
      <c r="K6960" s="54"/>
      <c r="M6960" s="114"/>
      <c r="N6960" s="1"/>
      <c r="O6960" s="1"/>
      <c r="P6960" s="51"/>
    </row>
    <row r="6961">
      <c r="A6961" s="54"/>
      <c r="B6961" s="71"/>
      <c r="C6961" s="51"/>
      <c r="D6961" s="114"/>
      <c r="E6961" s="114"/>
      <c r="F6961" s="54"/>
      <c r="G6961" s="54"/>
      <c r="I6961" s="54"/>
      <c r="K6961" s="54"/>
      <c r="M6961" s="114"/>
      <c r="N6961" s="1"/>
      <c r="O6961" s="1"/>
      <c r="P6961" s="51"/>
    </row>
    <row r="6962">
      <c r="A6962" s="54"/>
      <c r="B6962" s="71"/>
      <c r="C6962" s="51"/>
      <c r="D6962" s="114"/>
      <c r="E6962" s="114"/>
      <c r="F6962" s="54"/>
      <c r="G6962" s="54"/>
      <c r="I6962" s="54"/>
      <c r="K6962" s="54"/>
      <c r="M6962" s="114"/>
      <c r="N6962" s="1"/>
      <c r="O6962" s="1"/>
      <c r="P6962" s="51"/>
    </row>
    <row r="6963">
      <c r="A6963" s="54"/>
      <c r="B6963" s="71"/>
      <c r="C6963" s="51"/>
      <c r="D6963" s="114"/>
      <c r="E6963" s="114"/>
      <c r="F6963" s="54"/>
      <c r="G6963" s="54"/>
      <c r="I6963" s="54"/>
      <c r="K6963" s="54"/>
      <c r="M6963" s="114"/>
      <c r="N6963" s="1"/>
      <c r="O6963" s="1"/>
      <c r="P6963" s="51"/>
    </row>
    <row r="6964">
      <c r="A6964" s="54"/>
      <c r="B6964" s="71"/>
      <c r="C6964" s="51"/>
      <c r="D6964" s="114"/>
      <c r="E6964" s="114"/>
      <c r="F6964" s="54"/>
      <c r="G6964" s="54"/>
      <c r="I6964" s="54"/>
      <c r="K6964" s="54"/>
      <c r="M6964" s="114"/>
      <c r="N6964" s="1"/>
      <c r="O6964" s="1"/>
      <c r="P6964" s="51"/>
    </row>
    <row r="6965">
      <c r="A6965" s="54"/>
      <c r="B6965" s="71"/>
      <c r="C6965" s="51"/>
      <c r="D6965" s="114"/>
      <c r="E6965" s="114"/>
      <c r="F6965" s="54"/>
      <c r="G6965" s="54"/>
      <c r="I6965" s="54"/>
      <c r="K6965" s="54"/>
      <c r="M6965" s="114"/>
      <c r="N6965" s="1"/>
      <c r="O6965" s="1"/>
      <c r="P6965" s="51"/>
    </row>
    <row r="6966">
      <c r="A6966" s="54"/>
      <c r="B6966" s="71"/>
      <c r="C6966" s="51"/>
      <c r="D6966" s="114"/>
      <c r="E6966" s="114"/>
      <c r="F6966" s="54"/>
      <c r="G6966" s="54"/>
      <c r="I6966" s="54"/>
      <c r="K6966" s="54"/>
      <c r="M6966" s="114"/>
      <c r="N6966" s="1"/>
      <c r="O6966" s="1"/>
      <c r="P6966" s="51"/>
    </row>
    <row r="6967">
      <c r="A6967" s="54"/>
      <c r="B6967" s="71"/>
      <c r="C6967" s="51"/>
      <c r="D6967" s="114"/>
      <c r="E6967" s="114"/>
      <c r="F6967" s="54"/>
      <c r="G6967" s="54"/>
      <c r="I6967" s="54"/>
      <c r="K6967" s="54"/>
      <c r="M6967" s="114"/>
      <c r="N6967" s="1"/>
      <c r="O6967" s="1"/>
      <c r="P6967" s="51"/>
    </row>
    <row r="6968">
      <c r="A6968" s="54"/>
      <c r="B6968" s="71"/>
      <c r="C6968" s="51"/>
      <c r="D6968" s="114"/>
      <c r="E6968" s="114"/>
      <c r="F6968" s="54"/>
      <c r="G6968" s="54"/>
      <c r="I6968" s="54"/>
      <c r="K6968" s="54"/>
      <c r="M6968" s="114"/>
      <c r="N6968" s="1"/>
      <c r="O6968" s="1"/>
      <c r="P6968" s="51"/>
    </row>
    <row r="6969">
      <c r="A6969" s="54"/>
      <c r="B6969" s="71"/>
      <c r="C6969" s="51"/>
      <c r="D6969" s="114"/>
      <c r="E6969" s="114"/>
      <c r="F6969" s="54"/>
      <c r="G6969" s="54"/>
      <c r="I6969" s="54"/>
      <c r="K6969" s="54"/>
      <c r="M6969" s="114"/>
      <c r="N6969" s="1"/>
      <c r="O6969" s="1"/>
      <c r="P6969" s="51"/>
    </row>
    <row r="6970">
      <c r="A6970" s="54"/>
      <c r="B6970" s="71"/>
      <c r="C6970" s="51"/>
      <c r="D6970" s="114"/>
      <c r="E6970" s="114"/>
      <c r="F6970" s="54"/>
      <c r="G6970" s="54"/>
      <c r="I6970" s="54"/>
      <c r="K6970" s="54"/>
      <c r="M6970" s="114"/>
      <c r="N6970" s="1"/>
      <c r="O6970" s="1"/>
      <c r="P6970" s="51"/>
    </row>
    <row r="6971">
      <c r="A6971" s="54"/>
      <c r="B6971" s="71"/>
      <c r="C6971" s="51"/>
      <c r="D6971" s="114"/>
      <c r="E6971" s="114"/>
      <c r="F6971" s="54"/>
      <c r="G6971" s="54"/>
      <c r="I6971" s="54"/>
      <c r="K6971" s="54"/>
      <c r="M6971" s="114"/>
      <c r="N6971" s="1"/>
      <c r="O6971" s="1"/>
      <c r="P6971" s="51"/>
    </row>
    <row r="6972">
      <c r="A6972" s="54"/>
      <c r="B6972" s="71"/>
      <c r="C6972" s="51"/>
      <c r="D6972" s="114"/>
      <c r="E6972" s="114"/>
      <c r="F6972" s="54"/>
      <c r="G6972" s="54"/>
      <c r="I6972" s="54"/>
      <c r="K6972" s="54"/>
      <c r="M6972" s="114"/>
      <c r="N6972" s="1"/>
      <c r="O6972" s="1"/>
      <c r="P6972" s="51"/>
    </row>
    <row r="6973">
      <c r="A6973" s="54"/>
      <c r="B6973" s="71"/>
      <c r="C6973" s="51"/>
      <c r="D6973" s="114"/>
      <c r="E6973" s="114"/>
      <c r="F6973" s="54"/>
      <c r="G6973" s="54"/>
      <c r="I6973" s="54"/>
      <c r="K6973" s="54"/>
      <c r="M6973" s="114"/>
      <c r="N6973" s="1"/>
      <c r="O6973" s="1"/>
      <c r="P6973" s="51"/>
    </row>
    <row r="6974">
      <c r="A6974" s="54"/>
      <c r="B6974" s="71"/>
      <c r="C6974" s="51"/>
      <c r="D6974" s="114"/>
      <c r="E6974" s="114"/>
      <c r="F6974" s="54"/>
      <c r="G6974" s="54"/>
      <c r="I6974" s="54"/>
      <c r="K6974" s="54"/>
      <c r="M6974" s="114"/>
      <c r="N6974" s="1"/>
      <c r="O6974" s="1"/>
      <c r="P6974" s="51"/>
    </row>
    <row r="6975">
      <c r="A6975" s="54"/>
      <c r="B6975" s="71"/>
      <c r="C6975" s="51"/>
      <c r="D6975" s="114"/>
      <c r="E6975" s="114"/>
      <c r="F6975" s="54"/>
      <c r="G6975" s="54"/>
      <c r="I6975" s="54"/>
      <c r="K6975" s="54"/>
      <c r="M6975" s="114"/>
      <c r="N6975" s="1"/>
      <c r="O6975" s="1"/>
      <c r="P6975" s="51"/>
    </row>
    <row r="6976">
      <c r="A6976" s="54"/>
      <c r="B6976" s="71"/>
      <c r="C6976" s="51"/>
      <c r="D6976" s="114"/>
      <c r="E6976" s="114"/>
      <c r="F6976" s="54"/>
      <c r="G6976" s="54"/>
      <c r="I6976" s="54"/>
      <c r="K6976" s="54"/>
      <c r="M6976" s="114"/>
      <c r="N6976" s="1"/>
      <c r="O6976" s="1"/>
      <c r="P6976" s="51"/>
    </row>
    <row r="6977">
      <c r="A6977" s="54"/>
      <c r="B6977" s="71"/>
      <c r="C6977" s="51"/>
      <c r="D6977" s="114"/>
      <c r="E6977" s="114"/>
      <c r="F6977" s="54"/>
      <c r="G6977" s="54"/>
      <c r="I6977" s="54"/>
      <c r="K6977" s="54"/>
      <c r="M6977" s="114"/>
      <c r="N6977" s="1"/>
      <c r="O6977" s="1"/>
      <c r="P6977" s="51"/>
    </row>
    <row r="6978">
      <c r="A6978" s="54"/>
      <c r="B6978" s="71"/>
      <c r="C6978" s="51"/>
      <c r="D6978" s="114"/>
      <c r="E6978" s="114"/>
      <c r="F6978" s="54"/>
      <c r="G6978" s="54"/>
      <c r="I6978" s="54"/>
      <c r="K6978" s="54"/>
      <c r="M6978" s="114"/>
      <c r="N6978" s="1"/>
      <c r="O6978" s="1"/>
      <c r="P6978" s="51"/>
    </row>
    <row r="6979">
      <c r="A6979" s="54"/>
      <c r="B6979" s="71"/>
      <c r="C6979" s="51"/>
      <c r="D6979" s="114"/>
      <c r="E6979" s="114"/>
      <c r="F6979" s="54"/>
      <c r="G6979" s="54"/>
      <c r="I6979" s="54"/>
      <c r="K6979" s="54"/>
      <c r="M6979" s="114"/>
      <c r="N6979" s="1"/>
      <c r="O6979" s="1"/>
      <c r="P6979" s="51"/>
    </row>
    <row r="6980">
      <c r="A6980" s="54"/>
      <c r="B6980" s="71"/>
      <c r="C6980" s="51"/>
      <c r="D6980" s="114"/>
      <c r="E6980" s="114"/>
      <c r="F6980" s="54"/>
      <c r="G6980" s="54"/>
      <c r="I6980" s="54"/>
      <c r="K6980" s="54"/>
      <c r="M6980" s="114"/>
      <c r="N6980" s="1"/>
      <c r="O6980" s="1"/>
      <c r="P6980" s="51"/>
    </row>
    <row r="6981">
      <c r="A6981" s="54"/>
      <c r="B6981" s="71"/>
      <c r="C6981" s="51"/>
      <c r="D6981" s="114"/>
      <c r="E6981" s="114"/>
      <c r="F6981" s="54"/>
      <c r="G6981" s="54"/>
      <c r="I6981" s="54"/>
      <c r="K6981" s="54"/>
      <c r="M6981" s="114"/>
      <c r="N6981" s="1"/>
      <c r="O6981" s="1"/>
      <c r="P6981" s="51"/>
    </row>
    <row r="6982">
      <c r="A6982" s="54"/>
      <c r="B6982" s="71"/>
      <c r="C6982" s="51"/>
      <c r="D6982" s="114"/>
      <c r="E6982" s="114"/>
      <c r="F6982" s="54"/>
      <c r="G6982" s="54"/>
      <c r="I6982" s="54"/>
      <c r="K6982" s="54"/>
      <c r="M6982" s="114"/>
      <c r="N6982" s="1"/>
      <c r="O6982" s="1"/>
      <c r="P6982" s="51"/>
    </row>
    <row r="6983">
      <c r="A6983" s="54"/>
      <c r="B6983" s="71"/>
      <c r="C6983" s="51"/>
      <c r="D6983" s="114"/>
      <c r="E6983" s="114"/>
      <c r="F6983" s="54"/>
      <c r="G6983" s="54"/>
      <c r="I6983" s="54"/>
      <c r="K6983" s="54"/>
      <c r="M6983" s="114"/>
      <c r="N6983" s="1"/>
      <c r="O6983" s="1"/>
      <c r="P6983" s="51"/>
    </row>
    <row r="6984">
      <c r="A6984" s="54"/>
      <c r="B6984" s="71"/>
      <c r="C6984" s="51"/>
      <c r="D6984" s="114"/>
      <c r="E6984" s="114"/>
      <c r="F6984" s="54"/>
      <c r="G6984" s="54"/>
      <c r="I6984" s="54"/>
      <c r="K6984" s="54"/>
      <c r="M6984" s="114"/>
      <c r="N6984" s="1"/>
      <c r="O6984" s="1"/>
      <c r="P6984" s="51"/>
    </row>
    <row r="6985">
      <c r="A6985" s="54"/>
      <c r="B6985" s="71"/>
      <c r="C6985" s="51"/>
      <c r="D6985" s="114"/>
      <c r="E6985" s="114"/>
      <c r="F6985" s="54"/>
      <c r="G6985" s="54"/>
      <c r="I6985" s="54"/>
      <c r="K6985" s="54"/>
      <c r="M6985" s="114"/>
      <c r="N6985" s="1"/>
      <c r="O6985" s="1"/>
      <c r="P6985" s="51"/>
    </row>
    <row r="6986">
      <c r="A6986" s="54"/>
      <c r="B6986" s="71"/>
      <c r="C6986" s="51"/>
      <c r="D6986" s="114"/>
      <c r="E6986" s="114"/>
      <c r="F6986" s="54"/>
      <c r="G6986" s="54"/>
      <c r="I6986" s="54"/>
      <c r="K6986" s="54"/>
      <c r="M6986" s="114"/>
      <c r="N6986" s="1"/>
      <c r="O6986" s="1"/>
      <c r="P6986" s="51"/>
    </row>
    <row r="6987">
      <c r="A6987" s="54"/>
      <c r="B6987" s="71"/>
      <c r="C6987" s="51"/>
      <c r="D6987" s="114"/>
      <c r="E6987" s="114"/>
      <c r="F6987" s="54"/>
      <c r="G6987" s="54"/>
      <c r="I6987" s="54"/>
      <c r="K6987" s="54"/>
      <c r="M6987" s="114"/>
      <c r="N6987" s="1"/>
      <c r="O6987" s="1"/>
      <c r="P6987" s="51"/>
    </row>
    <row r="6988">
      <c r="A6988" s="54"/>
      <c r="B6988" s="71"/>
      <c r="C6988" s="51"/>
      <c r="D6988" s="114"/>
      <c r="E6988" s="114"/>
      <c r="F6988" s="54"/>
      <c r="G6988" s="54"/>
      <c r="I6988" s="54"/>
      <c r="K6988" s="54"/>
      <c r="M6988" s="114"/>
      <c r="N6988" s="1"/>
      <c r="O6988" s="1"/>
      <c r="P6988" s="51"/>
    </row>
    <row r="6989">
      <c r="A6989" s="54"/>
      <c r="B6989" s="71"/>
      <c r="C6989" s="51"/>
      <c r="D6989" s="114"/>
      <c r="E6989" s="114"/>
      <c r="F6989" s="54"/>
      <c r="G6989" s="54"/>
      <c r="I6989" s="54"/>
      <c r="K6989" s="54"/>
      <c r="M6989" s="114"/>
      <c r="N6989" s="1"/>
      <c r="O6989" s="1"/>
      <c r="P6989" s="51"/>
    </row>
    <row r="6990">
      <c r="A6990" s="54"/>
      <c r="B6990" s="71"/>
      <c r="C6990" s="51"/>
      <c r="D6990" s="114"/>
      <c r="E6990" s="114"/>
      <c r="F6990" s="54"/>
      <c r="G6990" s="54"/>
      <c r="I6990" s="54"/>
      <c r="K6990" s="54"/>
      <c r="M6990" s="114"/>
      <c r="N6990" s="1"/>
      <c r="O6990" s="1"/>
      <c r="P6990" s="51"/>
    </row>
    <row r="6991">
      <c r="A6991" s="54"/>
      <c r="B6991" s="71"/>
      <c r="C6991" s="51"/>
      <c r="D6991" s="114"/>
      <c r="E6991" s="114"/>
      <c r="F6991" s="54"/>
      <c r="G6991" s="54"/>
      <c r="I6991" s="54"/>
      <c r="K6991" s="54"/>
      <c r="M6991" s="114"/>
      <c r="N6991" s="1"/>
      <c r="O6991" s="1"/>
      <c r="P6991" s="51"/>
    </row>
    <row r="6992">
      <c r="A6992" s="54"/>
      <c r="B6992" s="71"/>
      <c r="C6992" s="51"/>
      <c r="D6992" s="114"/>
      <c r="E6992" s="114"/>
      <c r="F6992" s="54"/>
      <c r="G6992" s="54"/>
      <c r="I6992" s="54"/>
      <c r="K6992" s="54"/>
      <c r="M6992" s="114"/>
      <c r="N6992" s="1"/>
      <c r="O6992" s="1"/>
      <c r="P6992" s="51"/>
    </row>
    <row r="6993">
      <c r="A6993" s="54"/>
      <c r="B6993" s="71"/>
      <c r="C6993" s="51"/>
      <c r="D6993" s="114"/>
      <c r="E6993" s="114"/>
      <c r="F6993" s="54"/>
      <c r="G6993" s="54"/>
      <c r="I6993" s="54"/>
      <c r="K6993" s="54"/>
      <c r="M6993" s="114"/>
      <c r="N6993" s="1"/>
      <c r="O6993" s="1"/>
      <c r="P6993" s="51"/>
    </row>
    <row r="6994">
      <c r="A6994" s="54"/>
      <c r="B6994" s="71"/>
      <c r="C6994" s="51"/>
      <c r="D6994" s="114"/>
      <c r="E6994" s="114"/>
      <c r="F6994" s="54"/>
      <c r="G6994" s="54"/>
      <c r="I6994" s="54"/>
      <c r="K6994" s="54"/>
      <c r="M6994" s="114"/>
      <c r="N6994" s="1"/>
      <c r="O6994" s="1"/>
      <c r="P6994" s="51"/>
    </row>
    <row r="6995">
      <c r="A6995" s="54"/>
      <c r="B6995" s="71"/>
      <c r="C6995" s="51"/>
      <c r="D6995" s="114"/>
      <c r="E6995" s="114"/>
      <c r="F6995" s="54"/>
      <c r="G6995" s="54"/>
      <c r="I6995" s="54"/>
      <c r="K6995" s="54"/>
      <c r="M6995" s="114"/>
      <c r="N6995" s="1"/>
      <c r="O6995" s="1"/>
      <c r="P6995" s="51"/>
    </row>
    <row r="6996">
      <c r="A6996" s="54"/>
      <c r="B6996" s="71"/>
      <c r="C6996" s="51"/>
      <c r="D6996" s="114"/>
      <c r="E6996" s="114"/>
      <c r="F6996" s="54"/>
      <c r="G6996" s="54"/>
      <c r="I6996" s="54"/>
      <c r="K6996" s="54"/>
      <c r="M6996" s="114"/>
      <c r="N6996" s="1"/>
      <c r="O6996" s="1"/>
      <c r="P6996" s="51"/>
    </row>
    <row r="6997">
      <c r="A6997" s="54"/>
      <c r="B6997" s="71"/>
      <c r="C6997" s="51"/>
      <c r="D6997" s="114"/>
      <c r="E6997" s="114"/>
      <c r="F6997" s="54"/>
      <c r="G6997" s="54"/>
      <c r="I6997" s="54"/>
      <c r="K6997" s="54"/>
      <c r="M6997" s="114"/>
      <c r="N6997" s="1"/>
      <c r="O6997" s="1"/>
      <c r="P6997" s="51"/>
    </row>
    <row r="6998">
      <c r="A6998" s="54"/>
      <c r="B6998" s="71"/>
      <c r="C6998" s="51"/>
      <c r="D6998" s="114"/>
      <c r="E6998" s="114"/>
      <c r="F6998" s="54"/>
      <c r="G6998" s="54"/>
      <c r="I6998" s="54"/>
      <c r="K6998" s="54"/>
      <c r="M6998" s="114"/>
      <c r="N6998" s="1"/>
      <c r="O6998" s="1"/>
      <c r="P6998" s="51"/>
    </row>
    <row r="6999">
      <c r="A6999" s="54"/>
      <c r="B6999" s="71"/>
      <c r="C6999" s="51"/>
      <c r="D6999" s="114"/>
      <c r="E6999" s="114"/>
      <c r="F6999" s="54"/>
      <c r="G6999" s="54"/>
      <c r="I6999" s="54"/>
      <c r="K6999" s="54"/>
      <c r="M6999" s="114"/>
      <c r="N6999" s="1"/>
      <c r="O6999" s="1"/>
      <c r="P6999" s="51"/>
    </row>
    <row r="7000">
      <c r="A7000" s="54"/>
      <c r="B7000" s="71"/>
      <c r="C7000" s="51"/>
      <c r="D7000" s="114"/>
      <c r="E7000" s="114"/>
      <c r="F7000" s="54"/>
      <c r="G7000" s="54"/>
      <c r="I7000" s="54"/>
      <c r="K7000" s="54"/>
      <c r="M7000" s="114"/>
      <c r="N7000" s="1"/>
      <c r="O7000" s="1"/>
      <c r="P7000" s="51"/>
    </row>
    <row r="7001">
      <c r="A7001" s="54"/>
      <c r="B7001" s="71"/>
      <c r="C7001" s="51"/>
      <c r="D7001" s="114"/>
      <c r="E7001" s="114"/>
      <c r="F7001" s="54"/>
      <c r="G7001" s="54"/>
      <c r="I7001" s="54"/>
      <c r="K7001" s="54"/>
      <c r="M7001" s="114"/>
      <c r="N7001" s="1"/>
      <c r="O7001" s="1"/>
      <c r="P7001" s="51"/>
    </row>
    <row r="7002">
      <c r="A7002" s="54"/>
      <c r="B7002" s="71"/>
      <c r="C7002" s="51"/>
      <c r="D7002" s="114"/>
      <c r="E7002" s="114"/>
      <c r="F7002" s="54"/>
      <c r="G7002" s="54"/>
      <c r="I7002" s="54"/>
      <c r="K7002" s="54"/>
      <c r="M7002" s="114"/>
      <c r="N7002" s="1"/>
      <c r="O7002" s="1"/>
      <c r="P7002" s="51"/>
    </row>
    <row r="7003">
      <c r="A7003" s="54"/>
      <c r="B7003" s="71"/>
      <c r="C7003" s="51"/>
      <c r="D7003" s="114"/>
      <c r="E7003" s="114"/>
      <c r="F7003" s="54"/>
      <c r="G7003" s="54"/>
      <c r="I7003" s="54"/>
      <c r="K7003" s="54"/>
      <c r="M7003" s="114"/>
      <c r="N7003" s="1"/>
      <c r="O7003" s="1"/>
      <c r="P7003" s="51"/>
    </row>
    <row r="7004">
      <c r="A7004" s="54"/>
      <c r="B7004" s="71"/>
      <c r="C7004" s="51"/>
      <c r="D7004" s="114"/>
      <c r="E7004" s="114"/>
      <c r="F7004" s="54"/>
      <c r="G7004" s="54"/>
      <c r="I7004" s="54"/>
      <c r="K7004" s="54"/>
      <c r="M7004" s="114"/>
      <c r="N7004" s="1"/>
      <c r="O7004" s="1"/>
      <c r="P7004" s="51"/>
    </row>
    <row r="7005">
      <c r="A7005" s="54"/>
      <c r="B7005" s="71"/>
      <c r="C7005" s="51"/>
      <c r="D7005" s="114"/>
      <c r="E7005" s="114"/>
      <c r="F7005" s="54"/>
      <c r="G7005" s="54"/>
      <c r="I7005" s="54"/>
      <c r="K7005" s="54"/>
      <c r="M7005" s="114"/>
      <c r="N7005" s="1"/>
      <c r="O7005" s="1"/>
      <c r="P7005" s="51"/>
    </row>
    <row r="7006">
      <c r="A7006" s="54"/>
      <c r="B7006" s="71"/>
      <c r="C7006" s="51"/>
      <c r="D7006" s="114"/>
      <c r="E7006" s="114"/>
      <c r="F7006" s="54"/>
      <c r="G7006" s="54"/>
      <c r="I7006" s="54"/>
      <c r="K7006" s="54"/>
      <c r="M7006" s="114"/>
      <c r="N7006" s="1"/>
      <c r="O7006" s="1"/>
      <c r="P7006" s="51"/>
    </row>
    <row r="7007">
      <c r="A7007" s="54"/>
      <c r="B7007" s="71"/>
      <c r="C7007" s="51"/>
      <c r="D7007" s="114"/>
      <c r="E7007" s="114"/>
      <c r="F7007" s="54"/>
      <c r="G7007" s="54"/>
      <c r="I7007" s="54"/>
      <c r="K7007" s="54"/>
      <c r="M7007" s="114"/>
      <c r="N7007" s="1"/>
      <c r="O7007" s="1"/>
      <c r="P7007" s="51"/>
    </row>
    <row r="7008">
      <c r="A7008" s="54"/>
      <c r="B7008" s="71"/>
      <c r="C7008" s="51"/>
      <c r="D7008" s="114"/>
      <c r="E7008" s="114"/>
      <c r="F7008" s="54"/>
      <c r="G7008" s="54"/>
      <c r="I7008" s="54"/>
      <c r="K7008" s="54"/>
      <c r="M7008" s="114"/>
      <c r="N7008" s="1"/>
      <c r="O7008" s="1"/>
      <c r="P7008" s="51"/>
    </row>
    <row r="7009">
      <c r="A7009" s="54"/>
      <c r="B7009" s="71"/>
      <c r="C7009" s="51"/>
      <c r="D7009" s="114"/>
      <c r="E7009" s="114"/>
      <c r="F7009" s="54"/>
      <c r="G7009" s="54"/>
      <c r="I7009" s="54"/>
      <c r="K7009" s="54"/>
      <c r="M7009" s="114"/>
      <c r="N7009" s="1"/>
      <c r="O7009" s="1"/>
      <c r="P7009" s="51"/>
    </row>
    <row r="7010">
      <c r="A7010" s="54"/>
      <c r="B7010" s="71"/>
      <c r="C7010" s="51"/>
      <c r="D7010" s="114"/>
      <c r="E7010" s="114"/>
      <c r="F7010" s="54"/>
      <c r="G7010" s="54"/>
      <c r="I7010" s="54"/>
      <c r="K7010" s="54"/>
      <c r="M7010" s="114"/>
      <c r="N7010" s="1"/>
      <c r="O7010" s="1"/>
      <c r="P7010" s="51"/>
    </row>
    <row r="7011">
      <c r="A7011" s="54"/>
      <c r="B7011" s="71"/>
      <c r="C7011" s="51"/>
      <c r="D7011" s="114"/>
      <c r="E7011" s="114"/>
      <c r="F7011" s="54"/>
      <c r="G7011" s="54"/>
      <c r="I7011" s="54"/>
      <c r="K7011" s="54"/>
      <c r="M7011" s="114"/>
      <c r="N7011" s="1"/>
      <c r="O7011" s="1"/>
      <c r="P7011" s="51"/>
    </row>
    <row r="7012">
      <c r="A7012" s="54"/>
      <c r="B7012" s="71"/>
      <c r="C7012" s="51"/>
      <c r="D7012" s="114"/>
      <c r="E7012" s="114"/>
      <c r="F7012" s="54"/>
      <c r="G7012" s="54"/>
      <c r="I7012" s="54"/>
      <c r="K7012" s="54"/>
      <c r="M7012" s="114"/>
      <c r="N7012" s="1"/>
      <c r="O7012" s="1"/>
      <c r="P7012" s="51"/>
    </row>
    <row r="7013">
      <c r="A7013" s="54"/>
      <c r="B7013" s="71"/>
      <c r="C7013" s="51"/>
      <c r="D7013" s="114"/>
      <c r="E7013" s="114"/>
      <c r="F7013" s="54"/>
      <c r="G7013" s="54"/>
      <c r="I7013" s="54"/>
      <c r="K7013" s="54"/>
      <c r="M7013" s="114"/>
      <c r="N7013" s="1"/>
      <c r="O7013" s="1"/>
      <c r="P7013" s="51"/>
    </row>
    <row r="7014">
      <c r="A7014" s="54"/>
      <c r="B7014" s="71"/>
      <c r="C7014" s="51"/>
      <c r="D7014" s="114"/>
      <c r="E7014" s="114"/>
      <c r="F7014" s="54"/>
      <c r="G7014" s="54"/>
      <c r="I7014" s="54"/>
      <c r="K7014" s="54"/>
      <c r="M7014" s="114"/>
      <c r="N7014" s="1"/>
      <c r="O7014" s="1"/>
      <c r="P7014" s="51"/>
    </row>
    <row r="7015">
      <c r="A7015" s="54"/>
      <c r="B7015" s="71"/>
      <c r="C7015" s="51"/>
      <c r="D7015" s="114"/>
      <c r="E7015" s="114"/>
      <c r="F7015" s="54"/>
      <c r="G7015" s="54"/>
      <c r="I7015" s="54"/>
      <c r="K7015" s="54"/>
      <c r="M7015" s="114"/>
      <c r="N7015" s="1"/>
      <c r="O7015" s="1"/>
      <c r="P7015" s="51"/>
    </row>
    <row r="7016">
      <c r="A7016" s="54"/>
      <c r="B7016" s="71"/>
      <c r="C7016" s="51"/>
      <c r="D7016" s="114"/>
      <c r="E7016" s="114"/>
      <c r="F7016" s="54"/>
      <c r="G7016" s="54"/>
      <c r="I7016" s="54"/>
      <c r="K7016" s="54"/>
      <c r="M7016" s="114"/>
      <c r="N7016" s="1"/>
      <c r="O7016" s="1"/>
      <c r="P7016" s="51"/>
    </row>
    <row r="7017">
      <c r="A7017" s="54"/>
      <c r="B7017" s="71"/>
      <c r="C7017" s="51"/>
      <c r="D7017" s="114"/>
      <c r="E7017" s="114"/>
      <c r="F7017" s="54"/>
      <c r="G7017" s="54"/>
      <c r="I7017" s="54"/>
      <c r="K7017" s="54"/>
      <c r="M7017" s="114"/>
      <c r="N7017" s="1"/>
      <c r="O7017" s="1"/>
      <c r="P7017" s="51"/>
    </row>
    <row r="7018">
      <c r="A7018" s="54"/>
      <c r="B7018" s="71"/>
      <c r="C7018" s="51"/>
      <c r="D7018" s="114"/>
      <c r="E7018" s="114"/>
      <c r="F7018" s="54"/>
      <c r="G7018" s="54"/>
      <c r="I7018" s="54"/>
      <c r="K7018" s="54"/>
      <c r="M7018" s="114"/>
      <c r="N7018" s="1"/>
      <c r="O7018" s="1"/>
      <c r="P7018" s="51"/>
    </row>
    <row r="7019">
      <c r="A7019" s="54"/>
      <c r="B7019" s="71"/>
      <c r="C7019" s="51"/>
      <c r="D7019" s="114"/>
      <c r="E7019" s="114"/>
      <c r="F7019" s="54"/>
      <c r="G7019" s="54"/>
      <c r="I7019" s="54"/>
      <c r="K7019" s="54"/>
      <c r="M7019" s="114"/>
      <c r="N7019" s="1"/>
      <c r="O7019" s="1"/>
      <c r="P7019" s="51"/>
    </row>
    <row r="7020">
      <c r="A7020" s="54"/>
      <c r="B7020" s="71"/>
      <c r="C7020" s="51"/>
      <c r="D7020" s="114"/>
      <c r="E7020" s="114"/>
      <c r="F7020" s="54"/>
      <c r="G7020" s="54"/>
      <c r="I7020" s="54"/>
      <c r="K7020" s="54"/>
      <c r="M7020" s="114"/>
      <c r="N7020" s="1"/>
      <c r="O7020" s="1"/>
      <c r="P7020" s="51"/>
    </row>
    <row r="7021">
      <c r="A7021" s="54"/>
      <c r="B7021" s="71"/>
      <c r="C7021" s="51"/>
      <c r="D7021" s="114"/>
      <c r="E7021" s="114"/>
      <c r="F7021" s="54"/>
      <c r="G7021" s="54"/>
      <c r="I7021" s="54"/>
      <c r="K7021" s="54"/>
      <c r="M7021" s="114"/>
      <c r="N7021" s="1"/>
      <c r="O7021" s="1"/>
      <c r="P7021" s="51"/>
    </row>
    <row r="7022">
      <c r="A7022" s="54"/>
      <c r="B7022" s="71"/>
      <c r="C7022" s="51"/>
      <c r="D7022" s="114"/>
      <c r="E7022" s="114"/>
      <c r="F7022" s="54"/>
      <c r="G7022" s="54"/>
      <c r="I7022" s="54"/>
      <c r="K7022" s="54"/>
      <c r="M7022" s="114"/>
      <c r="N7022" s="1"/>
      <c r="O7022" s="1"/>
      <c r="P7022" s="51"/>
    </row>
    <row r="7023">
      <c r="A7023" s="54"/>
      <c r="B7023" s="71"/>
      <c r="C7023" s="51"/>
      <c r="D7023" s="114"/>
      <c r="E7023" s="114"/>
      <c r="F7023" s="54"/>
      <c r="G7023" s="54"/>
      <c r="I7023" s="54"/>
      <c r="K7023" s="54"/>
      <c r="M7023" s="114"/>
      <c r="N7023" s="1"/>
      <c r="O7023" s="1"/>
      <c r="P7023" s="51"/>
    </row>
    <row r="7024">
      <c r="A7024" s="54"/>
      <c r="B7024" s="71"/>
      <c r="C7024" s="51"/>
      <c r="D7024" s="114"/>
      <c r="E7024" s="114"/>
      <c r="F7024" s="54"/>
      <c r="G7024" s="54"/>
      <c r="I7024" s="54"/>
      <c r="K7024" s="54"/>
      <c r="M7024" s="114"/>
      <c r="N7024" s="1"/>
      <c r="O7024" s="1"/>
      <c r="P7024" s="51"/>
    </row>
    <row r="7025">
      <c r="A7025" s="54"/>
      <c r="B7025" s="71"/>
      <c r="C7025" s="51"/>
      <c r="D7025" s="114"/>
      <c r="E7025" s="114"/>
      <c r="F7025" s="54"/>
      <c r="G7025" s="54"/>
      <c r="I7025" s="54"/>
      <c r="K7025" s="54"/>
      <c r="M7025" s="114"/>
      <c r="N7025" s="1"/>
      <c r="O7025" s="1"/>
      <c r="P7025" s="51"/>
    </row>
    <row r="7026">
      <c r="A7026" s="54"/>
      <c r="B7026" s="71"/>
      <c r="C7026" s="51"/>
      <c r="D7026" s="114"/>
      <c r="E7026" s="114"/>
      <c r="F7026" s="54"/>
      <c r="G7026" s="54"/>
      <c r="I7026" s="54"/>
      <c r="K7026" s="54"/>
      <c r="M7026" s="114"/>
      <c r="N7026" s="1"/>
      <c r="O7026" s="1"/>
      <c r="P7026" s="51"/>
    </row>
    <row r="7027">
      <c r="A7027" s="54"/>
      <c r="B7027" s="71"/>
      <c r="C7027" s="51"/>
      <c r="D7027" s="114"/>
      <c r="E7027" s="114"/>
      <c r="F7027" s="54"/>
      <c r="G7027" s="54"/>
      <c r="I7027" s="54"/>
      <c r="K7027" s="54"/>
      <c r="M7027" s="114"/>
      <c r="N7027" s="1"/>
      <c r="O7027" s="1"/>
      <c r="P7027" s="51"/>
    </row>
    <row r="7028">
      <c r="A7028" s="54"/>
      <c r="B7028" s="71"/>
      <c r="C7028" s="51"/>
      <c r="D7028" s="114"/>
      <c r="E7028" s="114"/>
      <c r="F7028" s="54"/>
      <c r="G7028" s="54"/>
      <c r="I7028" s="54"/>
      <c r="K7028" s="54"/>
      <c r="M7028" s="114"/>
      <c r="N7028" s="1"/>
      <c r="O7028" s="1"/>
      <c r="P7028" s="51"/>
    </row>
    <row r="7029">
      <c r="A7029" s="54"/>
      <c r="B7029" s="71"/>
      <c r="C7029" s="51"/>
      <c r="D7029" s="114"/>
      <c r="E7029" s="114"/>
      <c r="F7029" s="54"/>
      <c r="G7029" s="54"/>
      <c r="I7029" s="54"/>
      <c r="K7029" s="54"/>
      <c r="M7029" s="114"/>
      <c r="N7029" s="1"/>
      <c r="O7029" s="1"/>
      <c r="P7029" s="51"/>
    </row>
    <row r="7030">
      <c r="A7030" s="54"/>
      <c r="B7030" s="71"/>
      <c r="C7030" s="51"/>
      <c r="D7030" s="114"/>
      <c r="E7030" s="114"/>
      <c r="F7030" s="54"/>
      <c r="G7030" s="54"/>
      <c r="I7030" s="54"/>
      <c r="K7030" s="54"/>
      <c r="M7030" s="114"/>
      <c r="N7030" s="1"/>
      <c r="O7030" s="1"/>
      <c r="P7030" s="51"/>
    </row>
    <row r="7031">
      <c r="A7031" s="54"/>
      <c r="B7031" s="71"/>
      <c r="C7031" s="51"/>
      <c r="D7031" s="114"/>
      <c r="E7031" s="114"/>
      <c r="F7031" s="54"/>
      <c r="G7031" s="54"/>
      <c r="I7031" s="54"/>
      <c r="K7031" s="54"/>
      <c r="M7031" s="114"/>
      <c r="N7031" s="1"/>
      <c r="O7031" s="1"/>
      <c r="P7031" s="51"/>
    </row>
    <row r="7032">
      <c r="A7032" s="54"/>
      <c r="B7032" s="71"/>
      <c r="C7032" s="51"/>
      <c r="D7032" s="114"/>
      <c r="E7032" s="114"/>
      <c r="F7032" s="54"/>
      <c r="G7032" s="54"/>
      <c r="I7032" s="54"/>
      <c r="K7032" s="54"/>
      <c r="M7032" s="114"/>
      <c r="N7032" s="1"/>
      <c r="O7032" s="1"/>
      <c r="P7032" s="51"/>
    </row>
    <row r="7033">
      <c r="A7033" s="54"/>
      <c r="B7033" s="71"/>
      <c r="C7033" s="51"/>
      <c r="D7033" s="114"/>
      <c r="E7033" s="114"/>
      <c r="F7033" s="54"/>
      <c r="G7033" s="54"/>
      <c r="I7033" s="54"/>
      <c r="K7033" s="54"/>
      <c r="M7033" s="114"/>
      <c r="N7033" s="1"/>
      <c r="O7033" s="1"/>
      <c r="P7033" s="51"/>
    </row>
    <row r="7034">
      <c r="A7034" s="54"/>
      <c r="B7034" s="71"/>
      <c r="C7034" s="51"/>
      <c r="D7034" s="114"/>
      <c r="E7034" s="114"/>
      <c r="F7034" s="54"/>
      <c r="G7034" s="54"/>
      <c r="I7034" s="54"/>
      <c r="K7034" s="54"/>
      <c r="M7034" s="114"/>
      <c r="N7034" s="1"/>
      <c r="O7034" s="1"/>
      <c r="P7034" s="51"/>
    </row>
    <row r="7035">
      <c r="A7035" s="54"/>
      <c r="B7035" s="71"/>
      <c r="C7035" s="51"/>
      <c r="D7035" s="114"/>
      <c r="E7035" s="114"/>
      <c r="F7035" s="54"/>
      <c r="G7035" s="54"/>
      <c r="I7035" s="54"/>
      <c r="K7035" s="54"/>
      <c r="M7035" s="114"/>
      <c r="N7035" s="1"/>
      <c r="O7035" s="1"/>
      <c r="P7035" s="51"/>
    </row>
    <row r="7036">
      <c r="A7036" s="54"/>
      <c r="B7036" s="71"/>
      <c r="C7036" s="51"/>
      <c r="D7036" s="114"/>
      <c r="E7036" s="114"/>
      <c r="F7036" s="54"/>
      <c r="G7036" s="54"/>
      <c r="I7036" s="54"/>
      <c r="K7036" s="54"/>
      <c r="M7036" s="114"/>
      <c r="N7036" s="1"/>
      <c r="O7036" s="1"/>
      <c r="P7036" s="51"/>
    </row>
    <row r="7037">
      <c r="A7037" s="54"/>
      <c r="B7037" s="71"/>
      <c r="C7037" s="51"/>
      <c r="D7037" s="114"/>
      <c r="E7037" s="114"/>
      <c r="F7037" s="54"/>
      <c r="G7037" s="54"/>
      <c r="I7037" s="54"/>
      <c r="K7037" s="54"/>
      <c r="M7037" s="114"/>
      <c r="N7037" s="1"/>
      <c r="O7037" s="1"/>
      <c r="P7037" s="51"/>
    </row>
    <row r="7038">
      <c r="A7038" s="54"/>
      <c r="B7038" s="71"/>
      <c r="C7038" s="51"/>
      <c r="D7038" s="114"/>
      <c r="E7038" s="114"/>
      <c r="F7038" s="54"/>
      <c r="G7038" s="54"/>
      <c r="I7038" s="54"/>
      <c r="K7038" s="54"/>
      <c r="M7038" s="114"/>
      <c r="N7038" s="1"/>
      <c r="O7038" s="1"/>
      <c r="P7038" s="51"/>
    </row>
    <row r="7039">
      <c r="A7039" s="54"/>
      <c r="B7039" s="71"/>
      <c r="C7039" s="51"/>
      <c r="D7039" s="114"/>
      <c r="E7039" s="114"/>
      <c r="F7039" s="54"/>
      <c r="G7039" s="54"/>
      <c r="I7039" s="54"/>
      <c r="K7039" s="54"/>
      <c r="M7039" s="114"/>
      <c r="N7039" s="1"/>
      <c r="O7039" s="1"/>
      <c r="P7039" s="51"/>
    </row>
    <row r="7040">
      <c r="A7040" s="54"/>
      <c r="B7040" s="71"/>
      <c r="C7040" s="51"/>
      <c r="D7040" s="114"/>
      <c r="E7040" s="114"/>
      <c r="F7040" s="54"/>
      <c r="G7040" s="54"/>
      <c r="I7040" s="54"/>
      <c r="K7040" s="54"/>
      <c r="M7040" s="114"/>
      <c r="N7040" s="1"/>
      <c r="O7040" s="1"/>
      <c r="P7040" s="51"/>
    </row>
    <row r="7041">
      <c r="A7041" s="54"/>
      <c r="B7041" s="71"/>
      <c r="C7041" s="51"/>
      <c r="D7041" s="114"/>
      <c r="E7041" s="114"/>
      <c r="F7041" s="54"/>
      <c r="G7041" s="54"/>
      <c r="I7041" s="54"/>
      <c r="K7041" s="54"/>
      <c r="M7041" s="114"/>
      <c r="N7041" s="1"/>
      <c r="O7041" s="1"/>
      <c r="P7041" s="51"/>
    </row>
    <row r="7042">
      <c r="A7042" s="54"/>
      <c r="B7042" s="71"/>
      <c r="C7042" s="51"/>
      <c r="D7042" s="114"/>
      <c r="E7042" s="114"/>
      <c r="F7042" s="54"/>
      <c r="G7042" s="54"/>
      <c r="I7042" s="54"/>
      <c r="K7042" s="54"/>
      <c r="M7042" s="114"/>
      <c r="N7042" s="1"/>
      <c r="O7042" s="1"/>
      <c r="P7042" s="51"/>
    </row>
    <row r="7043">
      <c r="A7043" s="54"/>
      <c r="B7043" s="71"/>
      <c r="C7043" s="51"/>
      <c r="D7043" s="114"/>
      <c r="E7043" s="114"/>
      <c r="F7043" s="54"/>
      <c r="G7043" s="54"/>
      <c r="I7043" s="54"/>
      <c r="K7043" s="54"/>
      <c r="M7043" s="114"/>
      <c r="N7043" s="1"/>
      <c r="O7043" s="1"/>
      <c r="P7043" s="51"/>
    </row>
    <row r="7044">
      <c r="A7044" s="54"/>
      <c r="B7044" s="71"/>
      <c r="C7044" s="51"/>
      <c r="D7044" s="114"/>
      <c r="E7044" s="114"/>
      <c r="F7044" s="54"/>
      <c r="G7044" s="54"/>
      <c r="I7044" s="54"/>
      <c r="K7044" s="54"/>
      <c r="M7044" s="114"/>
      <c r="N7044" s="1"/>
      <c r="O7044" s="1"/>
      <c r="P7044" s="51"/>
    </row>
    <row r="7045">
      <c r="A7045" s="54"/>
      <c r="B7045" s="71"/>
      <c r="C7045" s="51"/>
      <c r="D7045" s="114"/>
      <c r="E7045" s="114"/>
      <c r="F7045" s="54"/>
      <c r="G7045" s="54"/>
      <c r="I7045" s="54"/>
      <c r="K7045" s="54"/>
      <c r="M7045" s="114"/>
      <c r="N7045" s="1"/>
      <c r="O7045" s="1"/>
      <c r="P7045" s="51"/>
    </row>
    <row r="7046">
      <c r="A7046" s="54"/>
      <c r="B7046" s="71"/>
      <c r="C7046" s="51"/>
      <c r="D7046" s="114"/>
      <c r="E7046" s="114"/>
      <c r="F7046" s="54"/>
      <c r="G7046" s="54"/>
      <c r="I7046" s="54"/>
      <c r="K7046" s="54"/>
      <c r="M7046" s="114"/>
      <c r="N7046" s="1"/>
      <c r="O7046" s="1"/>
      <c r="P7046" s="51"/>
    </row>
    <row r="7047">
      <c r="A7047" s="54"/>
      <c r="B7047" s="71"/>
      <c r="C7047" s="51"/>
      <c r="D7047" s="114"/>
      <c r="E7047" s="114"/>
      <c r="F7047" s="54"/>
      <c r="G7047" s="54"/>
      <c r="I7047" s="54"/>
      <c r="K7047" s="54"/>
      <c r="M7047" s="114"/>
      <c r="N7047" s="1"/>
      <c r="O7047" s="1"/>
      <c r="P7047" s="51"/>
    </row>
    <row r="7048">
      <c r="A7048" s="54"/>
      <c r="B7048" s="71"/>
      <c r="C7048" s="51"/>
      <c r="D7048" s="114"/>
      <c r="E7048" s="114"/>
      <c r="F7048" s="54"/>
      <c r="G7048" s="54"/>
      <c r="I7048" s="54"/>
      <c r="K7048" s="54"/>
      <c r="M7048" s="114"/>
      <c r="N7048" s="1"/>
      <c r="O7048" s="1"/>
      <c r="P7048" s="51"/>
    </row>
    <row r="7049">
      <c r="A7049" s="54"/>
      <c r="B7049" s="71"/>
      <c r="C7049" s="51"/>
      <c r="D7049" s="114"/>
      <c r="E7049" s="114"/>
      <c r="F7049" s="54"/>
      <c r="G7049" s="54"/>
      <c r="I7049" s="54"/>
      <c r="K7049" s="54"/>
      <c r="M7049" s="114"/>
      <c r="N7049" s="1"/>
      <c r="O7049" s="1"/>
      <c r="P7049" s="51"/>
    </row>
    <row r="7050">
      <c r="A7050" s="54"/>
      <c r="B7050" s="71"/>
      <c r="C7050" s="51"/>
      <c r="D7050" s="114"/>
      <c r="E7050" s="114"/>
      <c r="F7050" s="54"/>
      <c r="G7050" s="54"/>
      <c r="I7050" s="54"/>
      <c r="K7050" s="54"/>
      <c r="M7050" s="114"/>
      <c r="N7050" s="1"/>
      <c r="O7050" s="1"/>
      <c r="P7050" s="51"/>
    </row>
    <row r="7051">
      <c r="A7051" s="54"/>
      <c r="B7051" s="71"/>
      <c r="C7051" s="51"/>
      <c r="D7051" s="114"/>
      <c r="E7051" s="114"/>
      <c r="F7051" s="54"/>
      <c r="G7051" s="54"/>
      <c r="I7051" s="54"/>
      <c r="K7051" s="54"/>
      <c r="M7051" s="114"/>
      <c r="N7051" s="1"/>
      <c r="O7051" s="1"/>
      <c r="P7051" s="51"/>
    </row>
    <row r="7052">
      <c r="A7052" s="54"/>
      <c r="B7052" s="71"/>
      <c r="C7052" s="51"/>
      <c r="D7052" s="114"/>
      <c r="E7052" s="114"/>
      <c r="F7052" s="54"/>
      <c r="G7052" s="54"/>
      <c r="I7052" s="54"/>
      <c r="K7052" s="54"/>
      <c r="M7052" s="114"/>
      <c r="N7052" s="1"/>
      <c r="O7052" s="1"/>
      <c r="P7052" s="51"/>
    </row>
    <row r="7053">
      <c r="A7053" s="54"/>
      <c r="B7053" s="71"/>
      <c r="C7053" s="51"/>
      <c r="D7053" s="114"/>
      <c r="E7053" s="114"/>
      <c r="F7053" s="54"/>
      <c r="G7053" s="54"/>
      <c r="I7053" s="54"/>
      <c r="K7053" s="54"/>
      <c r="M7053" s="114"/>
      <c r="N7053" s="1"/>
      <c r="O7053" s="1"/>
      <c r="P7053" s="51"/>
    </row>
    <row r="7054">
      <c r="A7054" s="54"/>
      <c r="B7054" s="71"/>
      <c r="C7054" s="51"/>
      <c r="D7054" s="114"/>
      <c r="E7054" s="114"/>
      <c r="F7054" s="54"/>
      <c r="G7054" s="54"/>
      <c r="I7054" s="54"/>
      <c r="K7054" s="54"/>
      <c r="M7054" s="114"/>
      <c r="N7054" s="1"/>
      <c r="O7054" s="1"/>
      <c r="P7054" s="51"/>
    </row>
    <row r="7055">
      <c r="A7055" s="54"/>
      <c r="B7055" s="71"/>
      <c r="C7055" s="51"/>
      <c r="D7055" s="114"/>
      <c r="E7055" s="114"/>
      <c r="F7055" s="54"/>
      <c r="G7055" s="54"/>
      <c r="I7055" s="54"/>
      <c r="K7055" s="54"/>
      <c r="M7055" s="114"/>
      <c r="N7055" s="1"/>
      <c r="O7055" s="1"/>
      <c r="P7055" s="51"/>
    </row>
    <row r="7056">
      <c r="A7056" s="54"/>
      <c r="B7056" s="71"/>
      <c r="C7056" s="51"/>
      <c r="D7056" s="114"/>
      <c r="E7056" s="114"/>
      <c r="F7056" s="54"/>
      <c r="G7056" s="54"/>
      <c r="I7056" s="54"/>
      <c r="K7056" s="54"/>
      <c r="M7056" s="114"/>
      <c r="N7056" s="1"/>
      <c r="O7056" s="1"/>
      <c r="P7056" s="51"/>
    </row>
    <row r="7057">
      <c r="A7057" s="54"/>
      <c r="B7057" s="71"/>
      <c r="C7057" s="51"/>
      <c r="D7057" s="114"/>
      <c r="E7057" s="114"/>
      <c r="F7057" s="54"/>
      <c r="G7057" s="54"/>
      <c r="I7057" s="54"/>
      <c r="K7057" s="54"/>
      <c r="M7057" s="114"/>
      <c r="N7057" s="1"/>
      <c r="O7057" s="1"/>
      <c r="P7057" s="51"/>
    </row>
    <row r="7058">
      <c r="A7058" s="54"/>
      <c r="B7058" s="71"/>
      <c r="C7058" s="51"/>
      <c r="D7058" s="114"/>
      <c r="E7058" s="114"/>
      <c r="F7058" s="54"/>
      <c r="G7058" s="54"/>
      <c r="I7058" s="54"/>
      <c r="K7058" s="54"/>
      <c r="M7058" s="114"/>
      <c r="N7058" s="1"/>
      <c r="O7058" s="1"/>
      <c r="P7058" s="51"/>
    </row>
    <row r="7059">
      <c r="A7059" s="54"/>
      <c r="B7059" s="71"/>
      <c r="C7059" s="51"/>
      <c r="D7059" s="114"/>
      <c r="E7059" s="114"/>
      <c r="F7059" s="54"/>
      <c r="G7059" s="54"/>
      <c r="I7059" s="54"/>
      <c r="K7059" s="54"/>
      <c r="M7059" s="114"/>
      <c r="N7059" s="1"/>
      <c r="O7059" s="1"/>
      <c r="P7059" s="51"/>
    </row>
    <row r="7060">
      <c r="A7060" s="54"/>
      <c r="B7060" s="71"/>
      <c r="C7060" s="51"/>
      <c r="D7060" s="114"/>
      <c r="E7060" s="114"/>
      <c r="F7060" s="54"/>
      <c r="G7060" s="54"/>
      <c r="I7060" s="54"/>
      <c r="K7060" s="54"/>
      <c r="M7060" s="114"/>
      <c r="N7060" s="1"/>
      <c r="O7060" s="1"/>
      <c r="P7060" s="51"/>
    </row>
    <row r="7061">
      <c r="A7061" s="54"/>
      <c r="B7061" s="71"/>
      <c r="C7061" s="51"/>
      <c r="D7061" s="114"/>
      <c r="E7061" s="114"/>
      <c r="F7061" s="54"/>
      <c r="G7061" s="54"/>
      <c r="I7061" s="54"/>
      <c r="K7061" s="54"/>
      <c r="M7061" s="114"/>
      <c r="N7061" s="1"/>
      <c r="O7061" s="1"/>
      <c r="P7061" s="51"/>
    </row>
    <row r="7062">
      <c r="A7062" s="54"/>
      <c r="B7062" s="71"/>
      <c r="C7062" s="51"/>
      <c r="D7062" s="114"/>
      <c r="E7062" s="114"/>
      <c r="F7062" s="54"/>
      <c r="G7062" s="54"/>
      <c r="I7062" s="54"/>
      <c r="K7062" s="54"/>
      <c r="M7062" s="114"/>
      <c r="N7062" s="1"/>
      <c r="O7062" s="1"/>
      <c r="P7062" s="51"/>
    </row>
    <row r="7063">
      <c r="A7063" s="54"/>
      <c r="B7063" s="71"/>
      <c r="C7063" s="51"/>
      <c r="D7063" s="114"/>
      <c r="E7063" s="114"/>
      <c r="F7063" s="54"/>
      <c r="G7063" s="54"/>
      <c r="I7063" s="54"/>
      <c r="K7063" s="54"/>
      <c r="M7063" s="114"/>
      <c r="N7063" s="1"/>
      <c r="O7063" s="1"/>
      <c r="P7063" s="51"/>
    </row>
    <row r="7064">
      <c r="A7064" s="54"/>
      <c r="B7064" s="71"/>
      <c r="C7064" s="51"/>
      <c r="D7064" s="114"/>
      <c r="E7064" s="114"/>
      <c r="F7064" s="54"/>
      <c r="G7064" s="54"/>
      <c r="I7064" s="54"/>
      <c r="K7064" s="54"/>
      <c r="M7064" s="114"/>
      <c r="N7064" s="1"/>
      <c r="O7064" s="1"/>
      <c r="P7064" s="51"/>
    </row>
    <row r="7065">
      <c r="A7065" s="54"/>
      <c r="B7065" s="71"/>
      <c r="C7065" s="51"/>
      <c r="D7065" s="114"/>
      <c r="E7065" s="114"/>
      <c r="F7065" s="54"/>
      <c r="G7065" s="54"/>
      <c r="I7065" s="54"/>
      <c r="K7065" s="54"/>
      <c r="M7065" s="114"/>
      <c r="N7065" s="1"/>
      <c r="O7065" s="1"/>
      <c r="P7065" s="51"/>
    </row>
    <row r="7066">
      <c r="A7066" s="54"/>
      <c r="B7066" s="71"/>
      <c r="C7066" s="51"/>
      <c r="D7066" s="114"/>
      <c r="E7066" s="114"/>
      <c r="F7066" s="54"/>
      <c r="G7066" s="54"/>
      <c r="I7066" s="54"/>
      <c r="K7066" s="54"/>
      <c r="M7066" s="114"/>
      <c r="N7066" s="1"/>
      <c r="O7066" s="1"/>
      <c r="P7066" s="51"/>
    </row>
    <row r="7067">
      <c r="A7067" s="54"/>
      <c r="B7067" s="71"/>
      <c r="C7067" s="51"/>
      <c r="D7067" s="114"/>
      <c r="E7067" s="114"/>
      <c r="F7067" s="54"/>
      <c r="G7067" s="54"/>
      <c r="I7067" s="54"/>
      <c r="K7067" s="54"/>
      <c r="M7067" s="114"/>
      <c r="N7067" s="1"/>
      <c r="O7067" s="1"/>
      <c r="P7067" s="51"/>
    </row>
    <row r="7068">
      <c r="A7068" s="54"/>
      <c r="B7068" s="71"/>
      <c r="C7068" s="51"/>
      <c r="D7068" s="114"/>
      <c r="E7068" s="114"/>
      <c r="F7068" s="54"/>
      <c r="G7068" s="54"/>
      <c r="I7068" s="54"/>
      <c r="K7068" s="54"/>
      <c r="M7068" s="114"/>
      <c r="N7068" s="1"/>
      <c r="O7068" s="1"/>
      <c r="P7068" s="51"/>
    </row>
    <row r="7069">
      <c r="A7069" s="54"/>
      <c r="B7069" s="71"/>
      <c r="C7069" s="51"/>
      <c r="D7069" s="114"/>
      <c r="E7069" s="114"/>
      <c r="F7069" s="54"/>
      <c r="G7069" s="54"/>
      <c r="I7069" s="54"/>
      <c r="K7069" s="54"/>
      <c r="M7069" s="114"/>
      <c r="N7069" s="1"/>
      <c r="O7069" s="1"/>
      <c r="P7069" s="51"/>
    </row>
    <row r="7070">
      <c r="A7070" s="54"/>
      <c r="B7070" s="71"/>
      <c r="C7070" s="51"/>
      <c r="D7070" s="114"/>
      <c r="E7070" s="114"/>
      <c r="F7070" s="54"/>
      <c r="G7070" s="54"/>
      <c r="I7070" s="54"/>
      <c r="K7070" s="54"/>
      <c r="M7070" s="114"/>
      <c r="N7070" s="1"/>
      <c r="O7070" s="1"/>
      <c r="P7070" s="51"/>
    </row>
    <row r="7071">
      <c r="A7071" s="54"/>
      <c r="B7071" s="71"/>
      <c r="C7071" s="51"/>
      <c r="D7071" s="114"/>
      <c r="E7071" s="114"/>
      <c r="F7071" s="54"/>
      <c r="G7071" s="54"/>
      <c r="I7071" s="54"/>
      <c r="K7071" s="54"/>
      <c r="M7071" s="114"/>
      <c r="N7071" s="1"/>
      <c r="O7071" s="1"/>
      <c r="P7071" s="51"/>
    </row>
    <row r="7072">
      <c r="A7072" s="54"/>
      <c r="B7072" s="71"/>
      <c r="C7072" s="51"/>
      <c r="D7072" s="114"/>
      <c r="E7072" s="114"/>
      <c r="F7072" s="54"/>
      <c r="G7072" s="54"/>
      <c r="I7072" s="54"/>
      <c r="K7072" s="54"/>
      <c r="M7072" s="114"/>
      <c r="N7072" s="1"/>
      <c r="O7072" s="1"/>
      <c r="P7072" s="51"/>
    </row>
    <row r="7073">
      <c r="A7073" s="54"/>
      <c r="B7073" s="71"/>
      <c r="C7073" s="51"/>
      <c r="D7073" s="114"/>
      <c r="E7073" s="114"/>
      <c r="F7073" s="54"/>
      <c r="G7073" s="54"/>
      <c r="I7073" s="54"/>
      <c r="K7073" s="54"/>
      <c r="M7073" s="114"/>
      <c r="N7073" s="1"/>
      <c r="O7073" s="1"/>
      <c r="P7073" s="51"/>
    </row>
    <row r="7074">
      <c r="A7074" s="54"/>
      <c r="B7074" s="71"/>
      <c r="C7074" s="51"/>
      <c r="D7074" s="114"/>
      <c r="E7074" s="114"/>
      <c r="F7074" s="54"/>
      <c r="G7074" s="54"/>
      <c r="I7074" s="54"/>
      <c r="K7074" s="54"/>
      <c r="M7074" s="114"/>
      <c r="N7074" s="1"/>
      <c r="O7074" s="1"/>
      <c r="P7074" s="51"/>
    </row>
    <row r="7075">
      <c r="A7075" s="54"/>
      <c r="B7075" s="71"/>
      <c r="C7075" s="51"/>
      <c r="D7075" s="114"/>
      <c r="E7075" s="114"/>
      <c r="F7075" s="54"/>
      <c r="G7075" s="54"/>
      <c r="I7075" s="54"/>
      <c r="K7075" s="54"/>
      <c r="M7075" s="114"/>
      <c r="N7075" s="1"/>
      <c r="O7075" s="1"/>
      <c r="P7075" s="51"/>
    </row>
    <row r="7076">
      <c r="A7076" s="54"/>
      <c r="B7076" s="71"/>
      <c r="C7076" s="51"/>
      <c r="D7076" s="114"/>
      <c r="E7076" s="114"/>
      <c r="F7076" s="54"/>
      <c r="G7076" s="54"/>
      <c r="I7076" s="54"/>
      <c r="K7076" s="54"/>
      <c r="M7076" s="114"/>
      <c r="N7076" s="1"/>
      <c r="O7076" s="1"/>
      <c r="P7076" s="51"/>
    </row>
    <row r="7077">
      <c r="A7077" s="54"/>
      <c r="B7077" s="71"/>
      <c r="C7077" s="51"/>
      <c r="D7077" s="114"/>
      <c r="E7077" s="114"/>
      <c r="F7077" s="54"/>
      <c r="G7077" s="54"/>
      <c r="I7077" s="54"/>
      <c r="K7077" s="54"/>
      <c r="M7077" s="114"/>
      <c r="N7077" s="1"/>
      <c r="O7077" s="1"/>
      <c r="P7077" s="51"/>
    </row>
    <row r="7078">
      <c r="A7078" s="54"/>
      <c r="B7078" s="71"/>
      <c r="C7078" s="51"/>
      <c r="D7078" s="114"/>
      <c r="E7078" s="114"/>
      <c r="F7078" s="54"/>
      <c r="G7078" s="54"/>
      <c r="I7078" s="54"/>
      <c r="K7078" s="54"/>
      <c r="M7078" s="114"/>
      <c r="N7078" s="1"/>
      <c r="O7078" s="1"/>
      <c r="P7078" s="51"/>
    </row>
    <row r="7079">
      <c r="A7079" s="54"/>
      <c r="B7079" s="71"/>
      <c r="C7079" s="51"/>
      <c r="D7079" s="114"/>
      <c r="E7079" s="114"/>
      <c r="F7079" s="54"/>
      <c r="G7079" s="54"/>
      <c r="I7079" s="54"/>
      <c r="K7079" s="54"/>
      <c r="M7079" s="114"/>
      <c r="N7079" s="1"/>
      <c r="O7079" s="1"/>
      <c r="P7079" s="51"/>
    </row>
    <row r="7080">
      <c r="A7080" s="54"/>
      <c r="B7080" s="71"/>
      <c r="C7080" s="51"/>
      <c r="D7080" s="114"/>
      <c r="E7080" s="114"/>
      <c r="F7080" s="54"/>
      <c r="G7080" s="54"/>
      <c r="I7080" s="54"/>
      <c r="K7080" s="54"/>
      <c r="M7080" s="114"/>
      <c r="N7080" s="1"/>
      <c r="O7080" s="1"/>
      <c r="P7080" s="51"/>
    </row>
    <row r="7081">
      <c r="A7081" s="54"/>
      <c r="B7081" s="71"/>
      <c r="C7081" s="51"/>
      <c r="D7081" s="114"/>
      <c r="E7081" s="114"/>
      <c r="F7081" s="54"/>
      <c r="G7081" s="54"/>
      <c r="I7081" s="54"/>
      <c r="K7081" s="54"/>
      <c r="M7081" s="114"/>
      <c r="N7081" s="1"/>
      <c r="O7081" s="1"/>
      <c r="P7081" s="51"/>
    </row>
    <row r="7082">
      <c r="A7082" s="54"/>
      <c r="B7082" s="71"/>
      <c r="C7082" s="51"/>
      <c r="D7082" s="114"/>
      <c r="E7082" s="114"/>
      <c r="F7082" s="54"/>
      <c r="G7082" s="54"/>
      <c r="I7082" s="54"/>
      <c r="K7082" s="54"/>
      <c r="M7082" s="114"/>
      <c r="N7082" s="1"/>
      <c r="O7082" s="1"/>
      <c r="P7082" s="51"/>
    </row>
    <row r="7083">
      <c r="A7083" s="54"/>
      <c r="B7083" s="71"/>
      <c r="C7083" s="51"/>
      <c r="D7083" s="114"/>
      <c r="E7083" s="114"/>
      <c r="F7083" s="54"/>
      <c r="G7083" s="54"/>
      <c r="I7083" s="54"/>
      <c r="K7083" s="54"/>
      <c r="M7083" s="114"/>
      <c r="N7083" s="1"/>
      <c r="O7083" s="1"/>
      <c r="P7083" s="51"/>
    </row>
    <row r="7084">
      <c r="A7084" s="54"/>
      <c r="B7084" s="71"/>
      <c r="C7084" s="51"/>
      <c r="D7084" s="114"/>
      <c r="E7084" s="114"/>
      <c r="F7084" s="54"/>
      <c r="G7084" s="54"/>
      <c r="I7084" s="54"/>
      <c r="K7084" s="54"/>
      <c r="M7084" s="114"/>
      <c r="N7084" s="1"/>
      <c r="O7084" s="1"/>
      <c r="P7084" s="51"/>
    </row>
    <row r="7085">
      <c r="A7085" s="54"/>
      <c r="B7085" s="71"/>
      <c r="C7085" s="51"/>
      <c r="D7085" s="114"/>
      <c r="E7085" s="114"/>
      <c r="F7085" s="54"/>
      <c r="G7085" s="54"/>
      <c r="I7085" s="54"/>
      <c r="K7085" s="54"/>
      <c r="M7085" s="114"/>
      <c r="N7085" s="1"/>
      <c r="O7085" s="1"/>
      <c r="P7085" s="51"/>
    </row>
    <row r="7086">
      <c r="A7086" s="54"/>
      <c r="B7086" s="71"/>
      <c r="C7086" s="51"/>
      <c r="D7086" s="114"/>
      <c r="E7086" s="114"/>
      <c r="F7086" s="54"/>
      <c r="G7086" s="54"/>
      <c r="I7086" s="54"/>
      <c r="K7086" s="54"/>
      <c r="M7086" s="114"/>
      <c r="N7086" s="1"/>
      <c r="O7086" s="1"/>
      <c r="P7086" s="51"/>
    </row>
    <row r="7087">
      <c r="A7087" s="54"/>
      <c r="B7087" s="71"/>
      <c r="C7087" s="51"/>
      <c r="D7087" s="114"/>
      <c r="E7087" s="114"/>
      <c r="F7087" s="54"/>
      <c r="G7087" s="54"/>
      <c r="I7087" s="54"/>
      <c r="K7087" s="54"/>
      <c r="M7087" s="114"/>
      <c r="N7087" s="1"/>
      <c r="O7087" s="1"/>
      <c r="P7087" s="51"/>
    </row>
    <row r="7088">
      <c r="A7088" s="54"/>
      <c r="B7088" s="71"/>
      <c r="C7088" s="51"/>
      <c r="D7088" s="114"/>
      <c r="E7088" s="114"/>
      <c r="F7088" s="54"/>
      <c r="G7088" s="54"/>
      <c r="I7088" s="54"/>
      <c r="K7088" s="54"/>
      <c r="M7088" s="114"/>
      <c r="N7088" s="1"/>
      <c r="O7088" s="1"/>
      <c r="P7088" s="51"/>
    </row>
    <row r="7089">
      <c r="A7089" s="54"/>
      <c r="B7089" s="71"/>
      <c r="C7089" s="51"/>
      <c r="D7089" s="114"/>
      <c r="E7089" s="114"/>
      <c r="F7089" s="54"/>
      <c r="G7089" s="54"/>
      <c r="I7089" s="54"/>
      <c r="K7089" s="54"/>
      <c r="M7089" s="114"/>
      <c r="N7089" s="1"/>
      <c r="O7089" s="1"/>
      <c r="P7089" s="51"/>
    </row>
    <row r="7090">
      <c r="A7090" s="54"/>
      <c r="B7090" s="71"/>
      <c r="C7090" s="51"/>
      <c r="D7090" s="114"/>
      <c r="E7090" s="114"/>
      <c r="F7090" s="54"/>
      <c r="G7090" s="54"/>
      <c r="I7090" s="54"/>
      <c r="K7090" s="54"/>
      <c r="M7090" s="114"/>
      <c r="N7090" s="1"/>
      <c r="O7090" s="1"/>
      <c r="P7090" s="51"/>
    </row>
    <row r="7091">
      <c r="A7091" s="54"/>
      <c r="B7091" s="71"/>
      <c r="C7091" s="51"/>
      <c r="D7091" s="114"/>
      <c r="E7091" s="114"/>
      <c r="F7091" s="54"/>
      <c r="G7091" s="54"/>
      <c r="I7091" s="54"/>
      <c r="K7091" s="54"/>
      <c r="M7091" s="114"/>
      <c r="N7091" s="1"/>
      <c r="O7091" s="1"/>
      <c r="P7091" s="51"/>
    </row>
    <row r="7092">
      <c r="A7092" s="54"/>
      <c r="B7092" s="71"/>
      <c r="C7092" s="51"/>
      <c r="D7092" s="114"/>
      <c r="E7092" s="114"/>
      <c r="F7092" s="54"/>
      <c r="G7092" s="54"/>
      <c r="I7092" s="54"/>
      <c r="K7092" s="54"/>
      <c r="M7092" s="114"/>
      <c r="N7092" s="1"/>
      <c r="O7092" s="1"/>
      <c r="P7092" s="51"/>
    </row>
    <row r="7093">
      <c r="A7093" s="54"/>
      <c r="B7093" s="71"/>
      <c r="C7093" s="51"/>
      <c r="D7093" s="114"/>
      <c r="E7093" s="114"/>
      <c r="F7093" s="54"/>
      <c r="G7093" s="54"/>
      <c r="I7093" s="54"/>
      <c r="K7093" s="54"/>
      <c r="M7093" s="114"/>
      <c r="N7093" s="1"/>
      <c r="O7093" s="1"/>
      <c r="P7093" s="51"/>
    </row>
    <row r="7094">
      <c r="A7094" s="54"/>
      <c r="B7094" s="71"/>
      <c r="C7094" s="51"/>
      <c r="D7094" s="114"/>
      <c r="E7094" s="114"/>
      <c r="F7094" s="54"/>
      <c r="G7094" s="54"/>
      <c r="I7094" s="54"/>
      <c r="K7094" s="54"/>
      <c r="M7094" s="114"/>
      <c r="N7094" s="1"/>
      <c r="O7094" s="1"/>
      <c r="P7094" s="51"/>
    </row>
    <row r="7095">
      <c r="A7095" s="54"/>
      <c r="B7095" s="71"/>
      <c r="C7095" s="51"/>
      <c r="D7095" s="114"/>
      <c r="E7095" s="114"/>
      <c r="F7095" s="54"/>
      <c r="G7095" s="54"/>
      <c r="I7095" s="54"/>
      <c r="K7095" s="54"/>
      <c r="M7095" s="114"/>
      <c r="N7095" s="1"/>
      <c r="O7095" s="1"/>
      <c r="P7095" s="51"/>
    </row>
    <row r="7096">
      <c r="A7096" s="54"/>
      <c r="B7096" s="71"/>
      <c r="C7096" s="51"/>
      <c r="D7096" s="114"/>
      <c r="E7096" s="114"/>
      <c r="F7096" s="54"/>
      <c r="G7096" s="54"/>
      <c r="I7096" s="54"/>
      <c r="K7096" s="54"/>
      <c r="M7096" s="114"/>
      <c r="N7096" s="1"/>
      <c r="O7096" s="1"/>
      <c r="P7096" s="51"/>
    </row>
    <row r="7097">
      <c r="A7097" s="54"/>
      <c r="B7097" s="71"/>
      <c r="C7097" s="51"/>
      <c r="D7097" s="114"/>
      <c r="E7097" s="114"/>
      <c r="F7097" s="54"/>
      <c r="G7097" s="54"/>
      <c r="I7097" s="54"/>
      <c r="K7097" s="54"/>
      <c r="M7097" s="114"/>
      <c r="N7097" s="1"/>
      <c r="O7097" s="1"/>
      <c r="P7097" s="51"/>
    </row>
    <row r="7098">
      <c r="A7098" s="54"/>
      <c r="B7098" s="71"/>
      <c r="C7098" s="51"/>
      <c r="D7098" s="114"/>
      <c r="E7098" s="114"/>
      <c r="F7098" s="54"/>
      <c r="G7098" s="54"/>
      <c r="I7098" s="54"/>
      <c r="K7098" s="54"/>
      <c r="M7098" s="114"/>
      <c r="N7098" s="1"/>
      <c r="O7098" s="1"/>
      <c r="P7098" s="51"/>
    </row>
    <row r="7099">
      <c r="A7099" s="54"/>
      <c r="B7099" s="71"/>
      <c r="C7099" s="51"/>
      <c r="D7099" s="114"/>
      <c r="E7099" s="114"/>
      <c r="F7099" s="54"/>
      <c r="G7099" s="54"/>
      <c r="I7099" s="54"/>
      <c r="K7099" s="54"/>
      <c r="M7099" s="114"/>
      <c r="N7099" s="1"/>
      <c r="O7099" s="1"/>
      <c r="P7099" s="51"/>
    </row>
    <row r="7100">
      <c r="A7100" s="54"/>
      <c r="B7100" s="71"/>
      <c r="C7100" s="51"/>
      <c r="D7100" s="114"/>
      <c r="E7100" s="114"/>
      <c r="F7100" s="54"/>
      <c r="G7100" s="54"/>
      <c r="I7100" s="54"/>
      <c r="K7100" s="54"/>
      <c r="M7100" s="114"/>
      <c r="N7100" s="1"/>
      <c r="O7100" s="1"/>
      <c r="P7100" s="51"/>
    </row>
    <row r="7101">
      <c r="A7101" s="54"/>
      <c r="B7101" s="71"/>
      <c r="C7101" s="51"/>
      <c r="D7101" s="114"/>
      <c r="E7101" s="114"/>
      <c r="F7101" s="54"/>
      <c r="G7101" s="54"/>
      <c r="I7101" s="54"/>
      <c r="K7101" s="54"/>
      <c r="M7101" s="114"/>
      <c r="N7101" s="1"/>
      <c r="O7101" s="1"/>
      <c r="P7101" s="51"/>
    </row>
    <row r="7102">
      <c r="A7102" s="54"/>
      <c r="B7102" s="71"/>
      <c r="C7102" s="51"/>
      <c r="D7102" s="114"/>
      <c r="E7102" s="114"/>
      <c r="F7102" s="54"/>
      <c r="G7102" s="54"/>
      <c r="I7102" s="54"/>
      <c r="K7102" s="54"/>
      <c r="M7102" s="114"/>
      <c r="N7102" s="1"/>
      <c r="O7102" s="1"/>
      <c r="P7102" s="51"/>
    </row>
    <row r="7103">
      <c r="A7103" s="54"/>
      <c r="B7103" s="71"/>
      <c r="C7103" s="51"/>
      <c r="D7103" s="114"/>
      <c r="E7103" s="114"/>
      <c r="F7103" s="54"/>
      <c r="G7103" s="54"/>
      <c r="I7103" s="54"/>
      <c r="K7103" s="54"/>
      <c r="M7103" s="114"/>
      <c r="N7103" s="1"/>
      <c r="O7103" s="1"/>
      <c r="P7103" s="51"/>
    </row>
    <row r="7104">
      <c r="A7104" s="54"/>
      <c r="B7104" s="71"/>
      <c r="C7104" s="51"/>
      <c r="D7104" s="114"/>
      <c r="E7104" s="114"/>
      <c r="F7104" s="54"/>
      <c r="G7104" s="54"/>
      <c r="I7104" s="54"/>
      <c r="K7104" s="54"/>
      <c r="M7104" s="114"/>
      <c r="N7104" s="1"/>
      <c r="O7104" s="1"/>
      <c r="P7104" s="51"/>
    </row>
    <row r="7105">
      <c r="A7105" s="54"/>
      <c r="B7105" s="71"/>
      <c r="C7105" s="51"/>
      <c r="D7105" s="114"/>
      <c r="E7105" s="114"/>
      <c r="F7105" s="54"/>
      <c r="G7105" s="54"/>
      <c r="I7105" s="54"/>
      <c r="K7105" s="54"/>
      <c r="M7105" s="114"/>
      <c r="N7105" s="1"/>
      <c r="O7105" s="1"/>
      <c r="P7105" s="51"/>
    </row>
    <row r="7106">
      <c r="A7106" s="54"/>
      <c r="B7106" s="71"/>
      <c r="C7106" s="51"/>
      <c r="D7106" s="114"/>
      <c r="E7106" s="114"/>
      <c r="F7106" s="54"/>
      <c r="G7106" s="54"/>
      <c r="I7106" s="54"/>
      <c r="K7106" s="54"/>
      <c r="M7106" s="114"/>
      <c r="N7106" s="1"/>
      <c r="O7106" s="1"/>
      <c r="P7106" s="51"/>
    </row>
    <row r="7107">
      <c r="A7107" s="54"/>
      <c r="B7107" s="71"/>
      <c r="C7107" s="51"/>
      <c r="D7107" s="114"/>
      <c r="E7107" s="114"/>
      <c r="F7107" s="54"/>
      <c r="G7107" s="54"/>
      <c r="I7107" s="54"/>
      <c r="K7107" s="54"/>
      <c r="M7107" s="114"/>
      <c r="N7107" s="1"/>
      <c r="O7107" s="1"/>
      <c r="P7107" s="51"/>
    </row>
    <row r="7108">
      <c r="A7108" s="54"/>
      <c r="B7108" s="71"/>
      <c r="C7108" s="51"/>
      <c r="D7108" s="114"/>
      <c r="E7108" s="114"/>
      <c r="F7108" s="54"/>
      <c r="G7108" s="54"/>
      <c r="I7108" s="54"/>
      <c r="K7108" s="54"/>
      <c r="M7108" s="114"/>
      <c r="N7108" s="1"/>
      <c r="O7108" s="1"/>
      <c r="P7108" s="51"/>
    </row>
    <row r="7109">
      <c r="A7109" s="54"/>
      <c r="B7109" s="71"/>
      <c r="C7109" s="51"/>
      <c r="D7109" s="114"/>
      <c r="E7109" s="114"/>
      <c r="F7109" s="54"/>
      <c r="G7109" s="54"/>
      <c r="I7109" s="54"/>
      <c r="K7109" s="54"/>
      <c r="M7109" s="114"/>
      <c r="N7109" s="1"/>
      <c r="O7109" s="1"/>
      <c r="P7109" s="51"/>
    </row>
    <row r="7110">
      <c r="A7110" s="54"/>
      <c r="B7110" s="71"/>
      <c r="C7110" s="51"/>
      <c r="D7110" s="114"/>
      <c r="E7110" s="114"/>
      <c r="F7110" s="54"/>
      <c r="G7110" s="54"/>
      <c r="I7110" s="54"/>
      <c r="K7110" s="54"/>
      <c r="M7110" s="114"/>
      <c r="N7110" s="1"/>
      <c r="O7110" s="1"/>
      <c r="P7110" s="51"/>
    </row>
    <row r="7111">
      <c r="A7111" s="54"/>
      <c r="B7111" s="71"/>
      <c r="C7111" s="51"/>
      <c r="D7111" s="114"/>
      <c r="E7111" s="114"/>
      <c r="F7111" s="54"/>
      <c r="G7111" s="54"/>
      <c r="I7111" s="54"/>
      <c r="K7111" s="54"/>
      <c r="M7111" s="114"/>
      <c r="N7111" s="1"/>
      <c r="O7111" s="1"/>
      <c r="P7111" s="51"/>
    </row>
    <row r="7112">
      <c r="A7112" s="54"/>
      <c r="B7112" s="71"/>
      <c r="C7112" s="51"/>
      <c r="D7112" s="114"/>
      <c r="E7112" s="114"/>
      <c r="F7112" s="54"/>
      <c r="G7112" s="54"/>
      <c r="I7112" s="54"/>
      <c r="K7112" s="54"/>
      <c r="M7112" s="114"/>
      <c r="N7112" s="1"/>
      <c r="O7112" s="1"/>
      <c r="P7112" s="51"/>
    </row>
    <row r="7113">
      <c r="A7113" s="54"/>
      <c r="B7113" s="71"/>
      <c r="C7113" s="51"/>
      <c r="D7113" s="114"/>
      <c r="E7113" s="114"/>
      <c r="F7113" s="54"/>
      <c r="G7113" s="54"/>
      <c r="I7113" s="54"/>
      <c r="K7113" s="54"/>
      <c r="M7113" s="114"/>
      <c r="N7113" s="1"/>
      <c r="O7113" s="1"/>
      <c r="P7113" s="51"/>
    </row>
    <row r="7114">
      <c r="A7114" s="54"/>
      <c r="B7114" s="71"/>
      <c r="C7114" s="51"/>
      <c r="D7114" s="114"/>
      <c r="E7114" s="114"/>
      <c r="F7114" s="54"/>
      <c r="G7114" s="54"/>
      <c r="I7114" s="54"/>
      <c r="K7114" s="54"/>
      <c r="M7114" s="114"/>
      <c r="N7114" s="1"/>
      <c r="O7114" s="1"/>
      <c r="P7114" s="51"/>
    </row>
    <row r="7115">
      <c r="A7115" s="54"/>
      <c r="B7115" s="71"/>
      <c r="C7115" s="51"/>
      <c r="D7115" s="114"/>
      <c r="E7115" s="114"/>
      <c r="F7115" s="54"/>
      <c r="G7115" s="54"/>
      <c r="I7115" s="54"/>
      <c r="K7115" s="54"/>
      <c r="M7115" s="114"/>
      <c r="N7115" s="1"/>
      <c r="O7115" s="1"/>
      <c r="P7115" s="51"/>
    </row>
    <row r="7116">
      <c r="A7116" s="54"/>
      <c r="B7116" s="71"/>
      <c r="C7116" s="51"/>
      <c r="D7116" s="114"/>
      <c r="E7116" s="114"/>
      <c r="F7116" s="54"/>
      <c r="G7116" s="54"/>
      <c r="I7116" s="54"/>
      <c r="K7116" s="54"/>
      <c r="M7116" s="114"/>
      <c r="N7116" s="1"/>
      <c r="O7116" s="1"/>
      <c r="P7116" s="51"/>
    </row>
    <row r="7117">
      <c r="A7117" s="54"/>
      <c r="B7117" s="71"/>
      <c r="C7117" s="51"/>
      <c r="D7117" s="114"/>
      <c r="E7117" s="114"/>
      <c r="F7117" s="54"/>
      <c r="G7117" s="54"/>
      <c r="I7117" s="54"/>
      <c r="K7117" s="54"/>
      <c r="M7117" s="114"/>
      <c r="N7117" s="1"/>
      <c r="O7117" s="1"/>
      <c r="P7117" s="51"/>
    </row>
    <row r="7118">
      <c r="A7118" s="54"/>
      <c r="B7118" s="71"/>
      <c r="C7118" s="51"/>
      <c r="D7118" s="114"/>
      <c r="E7118" s="114"/>
      <c r="F7118" s="54"/>
      <c r="G7118" s="54"/>
      <c r="I7118" s="54"/>
      <c r="K7118" s="54"/>
      <c r="M7118" s="114"/>
      <c r="N7118" s="1"/>
      <c r="O7118" s="1"/>
      <c r="P7118" s="51"/>
    </row>
    <row r="7119">
      <c r="A7119" s="54"/>
      <c r="B7119" s="71"/>
      <c r="C7119" s="51"/>
      <c r="D7119" s="114"/>
      <c r="E7119" s="114"/>
      <c r="F7119" s="54"/>
      <c r="G7119" s="54"/>
      <c r="I7119" s="54"/>
      <c r="K7119" s="54"/>
      <c r="M7119" s="114"/>
      <c r="N7119" s="1"/>
      <c r="O7119" s="1"/>
      <c r="P7119" s="51"/>
    </row>
    <row r="7120">
      <c r="A7120" s="54"/>
      <c r="B7120" s="71"/>
      <c r="C7120" s="51"/>
      <c r="D7120" s="114"/>
      <c r="E7120" s="114"/>
      <c r="F7120" s="54"/>
      <c r="G7120" s="54"/>
      <c r="I7120" s="54"/>
      <c r="K7120" s="54"/>
      <c r="M7120" s="114"/>
      <c r="N7120" s="1"/>
      <c r="O7120" s="1"/>
      <c r="P7120" s="51"/>
    </row>
    <row r="7121">
      <c r="A7121" s="54"/>
      <c r="B7121" s="71"/>
      <c r="C7121" s="51"/>
      <c r="D7121" s="114"/>
      <c r="E7121" s="114"/>
      <c r="F7121" s="54"/>
      <c r="G7121" s="54"/>
      <c r="I7121" s="54"/>
      <c r="K7121" s="54"/>
      <c r="M7121" s="114"/>
      <c r="N7121" s="1"/>
      <c r="O7121" s="1"/>
      <c r="P7121" s="51"/>
    </row>
    <row r="7122">
      <c r="A7122" s="54"/>
      <c r="B7122" s="71"/>
      <c r="C7122" s="51"/>
      <c r="D7122" s="114"/>
      <c r="E7122" s="114"/>
      <c r="F7122" s="54"/>
      <c r="G7122" s="54"/>
      <c r="I7122" s="54"/>
      <c r="K7122" s="54"/>
      <c r="M7122" s="114"/>
      <c r="N7122" s="1"/>
      <c r="O7122" s="1"/>
      <c r="P7122" s="51"/>
    </row>
    <row r="7123">
      <c r="A7123" s="54"/>
      <c r="B7123" s="71"/>
      <c r="C7123" s="51"/>
      <c r="D7123" s="114"/>
      <c r="E7123" s="114"/>
      <c r="F7123" s="54"/>
      <c r="G7123" s="54"/>
      <c r="I7123" s="54"/>
      <c r="K7123" s="54"/>
      <c r="M7123" s="114"/>
      <c r="N7123" s="1"/>
      <c r="O7123" s="1"/>
      <c r="P7123" s="51"/>
    </row>
    <row r="7124">
      <c r="A7124" s="54"/>
      <c r="B7124" s="71"/>
      <c r="C7124" s="51"/>
      <c r="D7124" s="114"/>
      <c r="E7124" s="114"/>
      <c r="F7124" s="54"/>
      <c r="G7124" s="54"/>
      <c r="I7124" s="54"/>
      <c r="K7124" s="54"/>
      <c r="M7124" s="114"/>
      <c r="N7124" s="1"/>
      <c r="O7124" s="1"/>
      <c r="P7124" s="51"/>
    </row>
    <row r="7125">
      <c r="A7125" s="54"/>
      <c r="B7125" s="71"/>
      <c r="C7125" s="51"/>
      <c r="D7125" s="114"/>
      <c r="E7125" s="114"/>
      <c r="F7125" s="54"/>
      <c r="G7125" s="54"/>
      <c r="I7125" s="54"/>
      <c r="K7125" s="54"/>
      <c r="M7125" s="114"/>
      <c r="N7125" s="1"/>
      <c r="O7125" s="1"/>
      <c r="P7125" s="51"/>
    </row>
    <row r="7126">
      <c r="A7126" s="54"/>
      <c r="B7126" s="71"/>
      <c r="C7126" s="51"/>
      <c r="D7126" s="114"/>
      <c r="E7126" s="114"/>
      <c r="F7126" s="54"/>
      <c r="G7126" s="54"/>
      <c r="I7126" s="54"/>
      <c r="K7126" s="54"/>
      <c r="M7126" s="114"/>
      <c r="N7126" s="1"/>
      <c r="O7126" s="1"/>
      <c r="P7126" s="51"/>
    </row>
    <row r="7127">
      <c r="A7127" s="54"/>
      <c r="B7127" s="71"/>
      <c r="C7127" s="51"/>
      <c r="D7127" s="114"/>
      <c r="E7127" s="114"/>
      <c r="F7127" s="54"/>
      <c r="G7127" s="54"/>
      <c r="I7127" s="54"/>
      <c r="K7127" s="54"/>
      <c r="M7127" s="114"/>
      <c r="N7127" s="1"/>
      <c r="O7127" s="1"/>
      <c r="P7127" s="51"/>
    </row>
    <row r="7128">
      <c r="A7128" s="54"/>
      <c r="B7128" s="71"/>
      <c r="C7128" s="51"/>
      <c r="D7128" s="114"/>
      <c r="E7128" s="114"/>
      <c r="F7128" s="54"/>
      <c r="G7128" s="54"/>
      <c r="I7128" s="54"/>
      <c r="K7128" s="54"/>
      <c r="M7128" s="114"/>
      <c r="N7128" s="1"/>
      <c r="O7128" s="1"/>
      <c r="P7128" s="51"/>
    </row>
    <row r="7129">
      <c r="A7129" s="54"/>
      <c r="B7129" s="71"/>
      <c r="C7129" s="51"/>
      <c r="D7129" s="114"/>
      <c r="E7129" s="114"/>
      <c r="F7129" s="54"/>
      <c r="G7129" s="54"/>
      <c r="I7129" s="54"/>
      <c r="K7129" s="54"/>
      <c r="M7129" s="114"/>
      <c r="N7129" s="1"/>
      <c r="O7129" s="1"/>
      <c r="P7129" s="51"/>
    </row>
    <row r="7130">
      <c r="A7130" s="54"/>
      <c r="B7130" s="71"/>
      <c r="C7130" s="51"/>
      <c r="D7130" s="114"/>
      <c r="E7130" s="114"/>
      <c r="F7130" s="54"/>
      <c r="G7130" s="54"/>
      <c r="I7130" s="54"/>
      <c r="K7130" s="54"/>
      <c r="M7130" s="114"/>
      <c r="N7130" s="1"/>
      <c r="O7130" s="1"/>
      <c r="P7130" s="51"/>
    </row>
    <row r="7131">
      <c r="A7131" s="54"/>
      <c r="B7131" s="71"/>
      <c r="C7131" s="51"/>
      <c r="D7131" s="114"/>
      <c r="E7131" s="114"/>
      <c r="F7131" s="54"/>
      <c r="G7131" s="54"/>
      <c r="I7131" s="54"/>
      <c r="K7131" s="54"/>
      <c r="M7131" s="114"/>
      <c r="N7131" s="1"/>
      <c r="O7131" s="1"/>
      <c r="P7131" s="51"/>
    </row>
    <row r="7132">
      <c r="A7132" s="54"/>
      <c r="B7132" s="71"/>
      <c r="C7132" s="51"/>
      <c r="D7132" s="114"/>
      <c r="E7132" s="114"/>
      <c r="F7132" s="54"/>
      <c r="G7132" s="54"/>
      <c r="I7132" s="54"/>
      <c r="K7132" s="54"/>
      <c r="M7132" s="114"/>
      <c r="N7132" s="1"/>
      <c r="O7132" s="1"/>
      <c r="P7132" s="51"/>
    </row>
    <row r="7133">
      <c r="A7133" s="54"/>
      <c r="B7133" s="71"/>
      <c r="C7133" s="51"/>
      <c r="D7133" s="114"/>
      <c r="E7133" s="114"/>
      <c r="F7133" s="54"/>
      <c r="G7133" s="54"/>
      <c r="I7133" s="54"/>
      <c r="K7133" s="54"/>
      <c r="M7133" s="114"/>
      <c r="N7133" s="1"/>
      <c r="O7133" s="1"/>
      <c r="P7133" s="51"/>
    </row>
    <row r="7134">
      <c r="A7134" s="54"/>
      <c r="B7134" s="71"/>
      <c r="C7134" s="51"/>
      <c r="D7134" s="114"/>
      <c r="E7134" s="114"/>
      <c r="F7134" s="54"/>
      <c r="G7134" s="54"/>
      <c r="I7134" s="54"/>
      <c r="K7134" s="54"/>
      <c r="M7134" s="114"/>
      <c r="N7134" s="1"/>
      <c r="O7134" s="1"/>
      <c r="P7134" s="51"/>
    </row>
    <row r="7135">
      <c r="A7135" s="54"/>
      <c r="B7135" s="71"/>
      <c r="C7135" s="51"/>
      <c r="D7135" s="114"/>
      <c r="E7135" s="114"/>
      <c r="F7135" s="54"/>
      <c r="G7135" s="54"/>
      <c r="I7135" s="54"/>
      <c r="K7135" s="54"/>
      <c r="M7135" s="114"/>
      <c r="N7135" s="1"/>
      <c r="O7135" s="1"/>
      <c r="P7135" s="51"/>
    </row>
    <row r="7136">
      <c r="A7136" s="54"/>
      <c r="B7136" s="71"/>
      <c r="C7136" s="51"/>
      <c r="D7136" s="114"/>
      <c r="E7136" s="114"/>
      <c r="F7136" s="54"/>
      <c r="G7136" s="54"/>
      <c r="I7136" s="54"/>
      <c r="K7136" s="54"/>
      <c r="M7136" s="114"/>
      <c r="N7136" s="1"/>
      <c r="O7136" s="1"/>
      <c r="P7136" s="51"/>
    </row>
    <row r="7137">
      <c r="A7137" s="54"/>
      <c r="B7137" s="71"/>
      <c r="C7137" s="51"/>
      <c r="D7137" s="114"/>
      <c r="E7137" s="114"/>
      <c r="F7137" s="54"/>
      <c r="G7137" s="54"/>
      <c r="I7137" s="54"/>
      <c r="K7137" s="54"/>
      <c r="M7137" s="114"/>
      <c r="N7137" s="1"/>
      <c r="O7137" s="1"/>
      <c r="P7137" s="51"/>
    </row>
    <row r="7138">
      <c r="A7138" s="54"/>
      <c r="B7138" s="71"/>
      <c r="C7138" s="51"/>
      <c r="D7138" s="114"/>
      <c r="E7138" s="114"/>
      <c r="F7138" s="54"/>
      <c r="G7138" s="54"/>
      <c r="I7138" s="54"/>
      <c r="K7138" s="54"/>
      <c r="M7138" s="114"/>
      <c r="N7138" s="1"/>
      <c r="O7138" s="1"/>
      <c r="P7138" s="51"/>
    </row>
    <row r="7139">
      <c r="A7139" s="54"/>
      <c r="B7139" s="71"/>
      <c r="C7139" s="51"/>
      <c r="D7139" s="114"/>
      <c r="E7139" s="114"/>
      <c r="F7139" s="54"/>
      <c r="G7139" s="54"/>
      <c r="I7139" s="54"/>
      <c r="K7139" s="54"/>
      <c r="M7139" s="114"/>
      <c r="N7139" s="1"/>
      <c r="O7139" s="1"/>
      <c r="P7139" s="51"/>
    </row>
    <row r="7140">
      <c r="A7140" s="54"/>
      <c r="B7140" s="71"/>
      <c r="C7140" s="51"/>
      <c r="D7140" s="114"/>
      <c r="E7140" s="114"/>
      <c r="F7140" s="54"/>
      <c r="G7140" s="54"/>
      <c r="I7140" s="54"/>
      <c r="K7140" s="54"/>
      <c r="M7140" s="114"/>
      <c r="N7140" s="1"/>
      <c r="O7140" s="1"/>
      <c r="P7140" s="51"/>
    </row>
    <row r="7141">
      <c r="A7141" s="54"/>
      <c r="B7141" s="71"/>
      <c r="C7141" s="51"/>
      <c r="D7141" s="114"/>
      <c r="E7141" s="114"/>
      <c r="F7141" s="54"/>
      <c r="G7141" s="54"/>
      <c r="I7141" s="54"/>
      <c r="K7141" s="54"/>
      <c r="M7141" s="114"/>
      <c r="N7141" s="1"/>
      <c r="O7141" s="1"/>
      <c r="P7141" s="51"/>
    </row>
    <row r="7142">
      <c r="A7142" s="54"/>
      <c r="B7142" s="71"/>
      <c r="C7142" s="51"/>
      <c r="D7142" s="114"/>
      <c r="E7142" s="114"/>
      <c r="F7142" s="54"/>
      <c r="G7142" s="54"/>
      <c r="I7142" s="54"/>
      <c r="K7142" s="54"/>
      <c r="M7142" s="114"/>
      <c r="N7142" s="1"/>
      <c r="O7142" s="1"/>
      <c r="P7142" s="51"/>
    </row>
    <row r="7143">
      <c r="A7143" s="54"/>
      <c r="B7143" s="71"/>
      <c r="C7143" s="51"/>
      <c r="D7143" s="114"/>
      <c r="E7143" s="114"/>
      <c r="F7143" s="54"/>
      <c r="G7143" s="54"/>
      <c r="I7143" s="54"/>
      <c r="K7143" s="54"/>
      <c r="M7143" s="114"/>
      <c r="N7143" s="1"/>
      <c r="O7143" s="1"/>
      <c r="P7143" s="51"/>
    </row>
    <row r="7144">
      <c r="A7144" s="54"/>
      <c r="B7144" s="71"/>
      <c r="C7144" s="51"/>
      <c r="D7144" s="114"/>
      <c r="E7144" s="114"/>
      <c r="F7144" s="54"/>
      <c r="G7144" s="54"/>
      <c r="I7144" s="54"/>
      <c r="K7144" s="54"/>
      <c r="M7144" s="114"/>
      <c r="N7144" s="1"/>
      <c r="O7144" s="1"/>
      <c r="P7144" s="51"/>
    </row>
    <row r="7145">
      <c r="A7145" s="54"/>
      <c r="B7145" s="71"/>
      <c r="C7145" s="51"/>
      <c r="D7145" s="114"/>
      <c r="E7145" s="114"/>
      <c r="F7145" s="54"/>
      <c r="G7145" s="54"/>
      <c r="I7145" s="54"/>
      <c r="K7145" s="54"/>
      <c r="M7145" s="114"/>
      <c r="N7145" s="1"/>
      <c r="O7145" s="1"/>
      <c r="P7145" s="51"/>
    </row>
    <row r="7146">
      <c r="A7146" s="54"/>
      <c r="B7146" s="71"/>
      <c r="C7146" s="51"/>
      <c r="D7146" s="114"/>
      <c r="E7146" s="114"/>
      <c r="F7146" s="54"/>
      <c r="G7146" s="54"/>
      <c r="I7146" s="54"/>
      <c r="K7146" s="54"/>
      <c r="M7146" s="114"/>
      <c r="N7146" s="1"/>
      <c r="O7146" s="1"/>
      <c r="P7146" s="51"/>
    </row>
    <row r="7147">
      <c r="A7147" s="54"/>
      <c r="B7147" s="71"/>
      <c r="C7147" s="51"/>
      <c r="D7147" s="114"/>
      <c r="E7147" s="114"/>
      <c r="F7147" s="54"/>
      <c r="G7147" s="54"/>
      <c r="I7147" s="54"/>
      <c r="K7147" s="54"/>
      <c r="M7147" s="114"/>
      <c r="N7147" s="1"/>
      <c r="O7147" s="1"/>
      <c r="P7147" s="51"/>
    </row>
    <row r="7148">
      <c r="A7148" s="54"/>
      <c r="B7148" s="71"/>
      <c r="C7148" s="51"/>
      <c r="D7148" s="114"/>
      <c r="E7148" s="114"/>
      <c r="F7148" s="54"/>
      <c r="G7148" s="54"/>
      <c r="I7148" s="54"/>
      <c r="K7148" s="54"/>
      <c r="M7148" s="114"/>
      <c r="N7148" s="1"/>
      <c r="O7148" s="1"/>
      <c r="P7148" s="51"/>
    </row>
    <row r="7149">
      <c r="A7149" s="54"/>
      <c r="B7149" s="71"/>
      <c r="C7149" s="51"/>
      <c r="D7149" s="114"/>
      <c r="E7149" s="114"/>
      <c r="F7149" s="54"/>
      <c r="G7149" s="54"/>
      <c r="I7149" s="54"/>
      <c r="K7149" s="54"/>
      <c r="M7149" s="114"/>
      <c r="N7149" s="1"/>
      <c r="O7149" s="1"/>
      <c r="P7149" s="51"/>
    </row>
    <row r="7150">
      <c r="A7150" s="54"/>
      <c r="B7150" s="71"/>
      <c r="C7150" s="51"/>
      <c r="D7150" s="114"/>
      <c r="E7150" s="114"/>
      <c r="F7150" s="54"/>
      <c r="G7150" s="54"/>
      <c r="I7150" s="54"/>
      <c r="K7150" s="54"/>
      <c r="M7150" s="114"/>
      <c r="N7150" s="1"/>
      <c r="O7150" s="1"/>
      <c r="P7150" s="51"/>
    </row>
    <row r="7151">
      <c r="A7151" s="54"/>
      <c r="B7151" s="71"/>
      <c r="C7151" s="51"/>
      <c r="D7151" s="114"/>
      <c r="E7151" s="114"/>
      <c r="F7151" s="54"/>
      <c r="G7151" s="54"/>
      <c r="I7151" s="54"/>
      <c r="K7151" s="54"/>
      <c r="M7151" s="114"/>
      <c r="N7151" s="1"/>
      <c r="O7151" s="1"/>
      <c r="P7151" s="51"/>
    </row>
    <row r="7152">
      <c r="A7152" s="54"/>
      <c r="B7152" s="71"/>
      <c r="C7152" s="51"/>
      <c r="D7152" s="114"/>
      <c r="E7152" s="114"/>
      <c r="F7152" s="54"/>
      <c r="G7152" s="54"/>
      <c r="I7152" s="54"/>
      <c r="K7152" s="54"/>
      <c r="M7152" s="114"/>
      <c r="N7152" s="1"/>
      <c r="O7152" s="1"/>
      <c r="P7152" s="51"/>
    </row>
    <row r="7153">
      <c r="A7153" s="54"/>
      <c r="B7153" s="71"/>
      <c r="C7153" s="51"/>
      <c r="D7153" s="114"/>
      <c r="E7153" s="114"/>
      <c r="F7153" s="54"/>
      <c r="G7153" s="54"/>
      <c r="I7153" s="54"/>
      <c r="K7153" s="54"/>
      <c r="M7153" s="114"/>
      <c r="N7153" s="1"/>
      <c r="O7153" s="1"/>
      <c r="P7153" s="51"/>
    </row>
    <row r="7154">
      <c r="A7154" s="54"/>
      <c r="B7154" s="71"/>
      <c r="C7154" s="51"/>
      <c r="D7154" s="114"/>
      <c r="E7154" s="114"/>
      <c r="F7154" s="54"/>
      <c r="G7154" s="54"/>
      <c r="I7154" s="54"/>
      <c r="K7154" s="54"/>
      <c r="M7154" s="114"/>
      <c r="N7154" s="1"/>
      <c r="O7154" s="1"/>
      <c r="P7154" s="51"/>
    </row>
    <row r="7155">
      <c r="A7155" s="54"/>
      <c r="B7155" s="71"/>
      <c r="C7155" s="51"/>
      <c r="D7155" s="114"/>
      <c r="E7155" s="114"/>
      <c r="F7155" s="54"/>
      <c r="G7155" s="54"/>
      <c r="I7155" s="54"/>
      <c r="K7155" s="54"/>
      <c r="M7155" s="114"/>
      <c r="N7155" s="1"/>
      <c r="O7155" s="1"/>
      <c r="P7155" s="51"/>
    </row>
    <row r="7156">
      <c r="A7156" s="54"/>
      <c r="B7156" s="71"/>
      <c r="C7156" s="51"/>
      <c r="D7156" s="114"/>
      <c r="E7156" s="114"/>
      <c r="F7156" s="54"/>
      <c r="G7156" s="54"/>
      <c r="I7156" s="54"/>
      <c r="K7156" s="54"/>
      <c r="M7156" s="114"/>
      <c r="N7156" s="1"/>
      <c r="O7156" s="1"/>
      <c r="P7156" s="51"/>
    </row>
    <row r="7157">
      <c r="A7157" s="54"/>
      <c r="B7157" s="71"/>
      <c r="C7157" s="51"/>
      <c r="D7157" s="114"/>
      <c r="E7157" s="114"/>
      <c r="F7157" s="54"/>
      <c r="G7157" s="54"/>
      <c r="I7157" s="54"/>
      <c r="K7157" s="54"/>
      <c r="M7157" s="114"/>
      <c r="N7157" s="1"/>
      <c r="O7157" s="1"/>
      <c r="P7157" s="51"/>
    </row>
    <row r="7158">
      <c r="A7158" s="54"/>
      <c r="B7158" s="71"/>
      <c r="C7158" s="51"/>
      <c r="D7158" s="114"/>
      <c r="E7158" s="114"/>
      <c r="F7158" s="54"/>
      <c r="G7158" s="54"/>
      <c r="I7158" s="54"/>
      <c r="K7158" s="54"/>
      <c r="M7158" s="114"/>
      <c r="N7158" s="1"/>
      <c r="O7158" s="1"/>
      <c r="P7158" s="51"/>
    </row>
    <row r="7159">
      <c r="A7159" s="54"/>
      <c r="B7159" s="71"/>
      <c r="C7159" s="51"/>
      <c r="D7159" s="114"/>
      <c r="E7159" s="114"/>
      <c r="F7159" s="54"/>
      <c r="G7159" s="54"/>
      <c r="I7159" s="54"/>
      <c r="K7159" s="54"/>
      <c r="M7159" s="114"/>
      <c r="N7159" s="1"/>
      <c r="O7159" s="1"/>
      <c r="P7159" s="51"/>
    </row>
    <row r="7160">
      <c r="A7160" s="54"/>
      <c r="B7160" s="71"/>
      <c r="C7160" s="51"/>
      <c r="D7160" s="114"/>
      <c r="E7160" s="114"/>
      <c r="F7160" s="54"/>
      <c r="G7160" s="54"/>
      <c r="I7160" s="54"/>
      <c r="K7160" s="54"/>
      <c r="M7160" s="114"/>
      <c r="N7160" s="1"/>
      <c r="O7160" s="1"/>
      <c r="P7160" s="51"/>
    </row>
    <row r="7161">
      <c r="A7161" s="54"/>
      <c r="B7161" s="71"/>
      <c r="C7161" s="51"/>
      <c r="D7161" s="114"/>
      <c r="E7161" s="114"/>
      <c r="F7161" s="54"/>
      <c r="G7161" s="54"/>
      <c r="I7161" s="54"/>
      <c r="K7161" s="54"/>
      <c r="M7161" s="114"/>
      <c r="N7161" s="1"/>
      <c r="O7161" s="1"/>
      <c r="P7161" s="51"/>
    </row>
    <row r="7162">
      <c r="A7162" s="54"/>
      <c r="B7162" s="71"/>
      <c r="C7162" s="51"/>
      <c r="D7162" s="114"/>
      <c r="E7162" s="114"/>
      <c r="F7162" s="54"/>
      <c r="G7162" s="54"/>
      <c r="I7162" s="54"/>
      <c r="K7162" s="54"/>
      <c r="M7162" s="114"/>
      <c r="N7162" s="1"/>
      <c r="O7162" s="1"/>
      <c r="P7162" s="51"/>
    </row>
    <row r="7163">
      <c r="A7163" s="54"/>
      <c r="B7163" s="71"/>
      <c r="C7163" s="51"/>
      <c r="D7163" s="114"/>
      <c r="E7163" s="114"/>
      <c r="F7163" s="54"/>
      <c r="G7163" s="54"/>
      <c r="I7163" s="54"/>
      <c r="K7163" s="54"/>
      <c r="M7163" s="114"/>
      <c r="N7163" s="1"/>
      <c r="O7163" s="1"/>
      <c r="P7163" s="51"/>
    </row>
    <row r="7164">
      <c r="A7164" s="54"/>
      <c r="B7164" s="71"/>
      <c r="C7164" s="51"/>
      <c r="D7164" s="114"/>
      <c r="E7164" s="114"/>
      <c r="F7164" s="54"/>
      <c r="G7164" s="54"/>
      <c r="I7164" s="54"/>
      <c r="K7164" s="54"/>
      <c r="M7164" s="114"/>
      <c r="N7164" s="1"/>
      <c r="O7164" s="1"/>
      <c r="P7164" s="51"/>
    </row>
    <row r="7165">
      <c r="A7165" s="54"/>
      <c r="B7165" s="71"/>
      <c r="C7165" s="51"/>
      <c r="D7165" s="114"/>
      <c r="E7165" s="114"/>
      <c r="F7165" s="54"/>
      <c r="G7165" s="54"/>
      <c r="I7165" s="54"/>
      <c r="K7165" s="54"/>
      <c r="M7165" s="114"/>
      <c r="N7165" s="1"/>
      <c r="O7165" s="1"/>
      <c r="P7165" s="51"/>
    </row>
    <row r="7166">
      <c r="A7166" s="54"/>
      <c r="B7166" s="71"/>
      <c r="C7166" s="51"/>
      <c r="D7166" s="114"/>
      <c r="E7166" s="114"/>
      <c r="F7166" s="54"/>
      <c r="G7166" s="54"/>
      <c r="I7166" s="54"/>
      <c r="K7166" s="54"/>
      <c r="M7166" s="114"/>
      <c r="N7166" s="1"/>
      <c r="O7166" s="1"/>
      <c r="P7166" s="51"/>
    </row>
    <row r="7167">
      <c r="A7167" s="54"/>
      <c r="B7167" s="71"/>
      <c r="C7167" s="51"/>
      <c r="D7167" s="114"/>
      <c r="E7167" s="114"/>
      <c r="F7167" s="54"/>
      <c r="G7167" s="54"/>
      <c r="I7167" s="54"/>
      <c r="K7167" s="54"/>
      <c r="M7167" s="114"/>
      <c r="N7167" s="1"/>
      <c r="O7167" s="1"/>
      <c r="P7167" s="51"/>
    </row>
    <row r="7168">
      <c r="A7168" s="54"/>
      <c r="B7168" s="71"/>
      <c r="C7168" s="51"/>
      <c r="D7168" s="114"/>
      <c r="E7168" s="114"/>
      <c r="F7168" s="54"/>
      <c r="G7168" s="54"/>
      <c r="I7168" s="54"/>
      <c r="K7168" s="54"/>
      <c r="M7168" s="114"/>
      <c r="N7168" s="1"/>
      <c r="O7168" s="1"/>
      <c r="P7168" s="51"/>
    </row>
    <row r="7169">
      <c r="A7169" s="54"/>
      <c r="B7169" s="71"/>
      <c r="C7169" s="51"/>
      <c r="D7169" s="114"/>
      <c r="E7169" s="114"/>
      <c r="F7169" s="54"/>
      <c r="G7169" s="54"/>
      <c r="I7169" s="54"/>
      <c r="K7169" s="54"/>
      <c r="M7169" s="114"/>
      <c r="N7169" s="1"/>
      <c r="O7169" s="1"/>
      <c r="P7169" s="51"/>
    </row>
    <row r="7170">
      <c r="A7170" s="54"/>
      <c r="B7170" s="71"/>
      <c r="C7170" s="51"/>
      <c r="D7170" s="114"/>
      <c r="E7170" s="114"/>
      <c r="F7170" s="54"/>
      <c r="G7170" s="54"/>
      <c r="I7170" s="54"/>
      <c r="K7170" s="54"/>
      <c r="M7170" s="114"/>
      <c r="N7170" s="1"/>
      <c r="O7170" s="1"/>
      <c r="P7170" s="51"/>
    </row>
    <row r="7171">
      <c r="A7171" s="54"/>
      <c r="B7171" s="71"/>
      <c r="C7171" s="51"/>
      <c r="D7171" s="114"/>
      <c r="E7171" s="114"/>
      <c r="F7171" s="54"/>
      <c r="G7171" s="54"/>
      <c r="I7171" s="54"/>
      <c r="K7171" s="54"/>
      <c r="M7171" s="114"/>
      <c r="N7171" s="1"/>
      <c r="O7171" s="1"/>
      <c r="P7171" s="51"/>
    </row>
    <row r="7172">
      <c r="A7172" s="54"/>
      <c r="B7172" s="71"/>
      <c r="C7172" s="51"/>
      <c r="D7172" s="114"/>
      <c r="E7172" s="114"/>
      <c r="F7172" s="54"/>
      <c r="G7172" s="54"/>
      <c r="I7172" s="54"/>
      <c r="K7172" s="54"/>
      <c r="M7172" s="114"/>
      <c r="N7172" s="1"/>
      <c r="O7172" s="1"/>
      <c r="P7172" s="51"/>
    </row>
    <row r="7173">
      <c r="A7173" s="54"/>
      <c r="B7173" s="71"/>
      <c r="C7173" s="51"/>
      <c r="D7173" s="114"/>
      <c r="E7173" s="114"/>
      <c r="F7173" s="54"/>
      <c r="G7173" s="54"/>
      <c r="I7173" s="54"/>
      <c r="K7173" s="54"/>
      <c r="M7173" s="114"/>
      <c r="N7173" s="1"/>
      <c r="O7173" s="1"/>
      <c r="P7173" s="51"/>
    </row>
    <row r="7174">
      <c r="A7174" s="54"/>
      <c r="B7174" s="71"/>
      <c r="C7174" s="51"/>
      <c r="D7174" s="114"/>
      <c r="E7174" s="114"/>
      <c r="F7174" s="54"/>
      <c r="G7174" s="54"/>
      <c r="I7174" s="54"/>
      <c r="K7174" s="54"/>
      <c r="M7174" s="114"/>
      <c r="N7174" s="1"/>
      <c r="O7174" s="1"/>
      <c r="P7174" s="51"/>
    </row>
    <row r="7175">
      <c r="A7175" s="54"/>
      <c r="B7175" s="71"/>
      <c r="C7175" s="51"/>
      <c r="D7175" s="114"/>
      <c r="E7175" s="114"/>
      <c r="F7175" s="54"/>
      <c r="G7175" s="54"/>
      <c r="I7175" s="54"/>
      <c r="K7175" s="54"/>
      <c r="M7175" s="114"/>
      <c r="N7175" s="1"/>
      <c r="O7175" s="1"/>
      <c r="P7175" s="51"/>
    </row>
    <row r="7176">
      <c r="A7176" s="54"/>
      <c r="B7176" s="71"/>
      <c r="C7176" s="51"/>
      <c r="D7176" s="114"/>
      <c r="E7176" s="114"/>
      <c r="F7176" s="54"/>
      <c r="G7176" s="54"/>
      <c r="I7176" s="54"/>
      <c r="K7176" s="54"/>
      <c r="M7176" s="114"/>
      <c r="N7176" s="1"/>
      <c r="O7176" s="1"/>
      <c r="P7176" s="51"/>
    </row>
    <row r="7177">
      <c r="A7177" s="54"/>
      <c r="B7177" s="71"/>
      <c r="C7177" s="51"/>
      <c r="D7177" s="114"/>
      <c r="E7177" s="114"/>
      <c r="F7177" s="54"/>
      <c r="G7177" s="54"/>
      <c r="I7177" s="54"/>
      <c r="K7177" s="54"/>
      <c r="M7177" s="114"/>
      <c r="N7177" s="1"/>
      <c r="O7177" s="1"/>
      <c r="P7177" s="51"/>
    </row>
    <row r="7178">
      <c r="A7178" s="54"/>
      <c r="B7178" s="71"/>
      <c r="C7178" s="51"/>
      <c r="D7178" s="114"/>
      <c r="E7178" s="114"/>
      <c r="F7178" s="54"/>
      <c r="G7178" s="54"/>
      <c r="I7178" s="54"/>
      <c r="K7178" s="54"/>
      <c r="M7178" s="114"/>
      <c r="N7178" s="1"/>
      <c r="O7178" s="1"/>
      <c r="P7178" s="51"/>
    </row>
    <row r="7179">
      <c r="A7179" s="54"/>
      <c r="B7179" s="71"/>
      <c r="C7179" s="51"/>
      <c r="D7179" s="114"/>
      <c r="E7179" s="114"/>
      <c r="F7179" s="54"/>
      <c r="G7179" s="54"/>
      <c r="I7179" s="54"/>
      <c r="K7179" s="54"/>
      <c r="M7179" s="114"/>
      <c r="N7179" s="1"/>
      <c r="O7179" s="1"/>
      <c r="P7179" s="51"/>
    </row>
    <row r="7180">
      <c r="A7180" s="54"/>
      <c r="B7180" s="71"/>
      <c r="C7180" s="51"/>
      <c r="D7180" s="114"/>
      <c r="E7180" s="114"/>
      <c r="F7180" s="54"/>
      <c r="G7180" s="54"/>
      <c r="I7180" s="54"/>
      <c r="K7180" s="54"/>
      <c r="M7180" s="114"/>
      <c r="N7180" s="1"/>
      <c r="O7180" s="1"/>
      <c r="P7180" s="51"/>
    </row>
    <row r="7181">
      <c r="A7181" s="54"/>
      <c r="B7181" s="71"/>
      <c r="C7181" s="51"/>
      <c r="D7181" s="114"/>
      <c r="E7181" s="114"/>
      <c r="F7181" s="54"/>
      <c r="G7181" s="54"/>
      <c r="I7181" s="54"/>
      <c r="K7181" s="54"/>
      <c r="M7181" s="114"/>
      <c r="N7181" s="1"/>
      <c r="O7181" s="1"/>
      <c r="P7181" s="51"/>
    </row>
    <row r="7182">
      <c r="A7182" s="54"/>
      <c r="B7182" s="71"/>
      <c r="C7182" s="51"/>
      <c r="D7182" s="114"/>
      <c r="E7182" s="114"/>
      <c r="F7182" s="54"/>
      <c r="G7182" s="54"/>
      <c r="I7182" s="54"/>
      <c r="K7182" s="54"/>
      <c r="M7182" s="114"/>
      <c r="N7182" s="1"/>
      <c r="O7182" s="1"/>
      <c r="P7182" s="51"/>
    </row>
    <row r="7183">
      <c r="A7183" s="54"/>
      <c r="B7183" s="71"/>
      <c r="C7183" s="51"/>
      <c r="D7183" s="114"/>
      <c r="E7183" s="114"/>
      <c r="F7183" s="54"/>
      <c r="G7183" s="54"/>
      <c r="I7183" s="54"/>
      <c r="K7183" s="54"/>
      <c r="M7183" s="114"/>
      <c r="N7183" s="1"/>
      <c r="O7183" s="1"/>
      <c r="P7183" s="51"/>
    </row>
    <row r="7184">
      <c r="A7184" s="54"/>
      <c r="B7184" s="71"/>
      <c r="C7184" s="51"/>
      <c r="D7184" s="114"/>
      <c r="E7184" s="114"/>
      <c r="F7184" s="54"/>
      <c r="G7184" s="54"/>
      <c r="I7184" s="54"/>
      <c r="K7184" s="54"/>
      <c r="M7184" s="114"/>
      <c r="N7184" s="1"/>
      <c r="O7184" s="1"/>
      <c r="P7184" s="51"/>
    </row>
    <row r="7185">
      <c r="A7185" s="54"/>
      <c r="B7185" s="71"/>
      <c r="C7185" s="51"/>
      <c r="D7185" s="114"/>
      <c r="E7185" s="114"/>
      <c r="F7185" s="54"/>
      <c r="G7185" s="54"/>
      <c r="I7185" s="54"/>
      <c r="K7185" s="54"/>
      <c r="M7185" s="114"/>
      <c r="N7185" s="1"/>
      <c r="O7185" s="1"/>
      <c r="P7185" s="51"/>
    </row>
    <row r="7186">
      <c r="A7186" s="54"/>
      <c r="B7186" s="71"/>
      <c r="C7186" s="51"/>
      <c r="D7186" s="114"/>
      <c r="E7186" s="114"/>
      <c r="F7186" s="54"/>
      <c r="G7186" s="54"/>
      <c r="I7186" s="54"/>
      <c r="K7186" s="54"/>
      <c r="M7186" s="114"/>
      <c r="N7186" s="1"/>
      <c r="O7186" s="1"/>
      <c r="P7186" s="51"/>
    </row>
    <row r="7187">
      <c r="A7187" s="54"/>
      <c r="B7187" s="71"/>
      <c r="C7187" s="51"/>
      <c r="D7187" s="114"/>
      <c r="E7187" s="114"/>
      <c r="F7187" s="54"/>
      <c r="G7187" s="54"/>
      <c r="I7187" s="54"/>
      <c r="K7187" s="54"/>
      <c r="M7187" s="114"/>
      <c r="N7187" s="1"/>
      <c r="O7187" s="1"/>
      <c r="P7187" s="51"/>
    </row>
    <row r="7188">
      <c r="A7188" s="54"/>
      <c r="B7188" s="71"/>
      <c r="C7188" s="51"/>
      <c r="D7188" s="114"/>
      <c r="E7188" s="114"/>
      <c r="F7188" s="54"/>
      <c r="G7188" s="54"/>
      <c r="I7188" s="54"/>
      <c r="K7188" s="54"/>
      <c r="M7188" s="114"/>
      <c r="N7188" s="1"/>
      <c r="O7188" s="1"/>
      <c r="P7188" s="51"/>
    </row>
    <row r="7189">
      <c r="A7189" s="54"/>
      <c r="B7189" s="71"/>
      <c r="C7189" s="51"/>
      <c r="D7189" s="114"/>
      <c r="E7189" s="114"/>
      <c r="F7189" s="54"/>
      <c r="G7189" s="54"/>
      <c r="I7189" s="54"/>
      <c r="K7189" s="54"/>
      <c r="M7189" s="114"/>
      <c r="N7189" s="1"/>
      <c r="O7189" s="1"/>
      <c r="P7189" s="51"/>
    </row>
    <row r="7190">
      <c r="A7190" s="54"/>
      <c r="B7190" s="71"/>
      <c r="C7190" s="51"/>
      <c r="D7190" s="114"/>
      <c r="E7190" s="114"/>
      <c r="F7190" s="54"/>
      <c r="G7190" s="54"/>
      <c r="I7190" s="54"/>
      <c r="K7190" s="54"/>
      <c r="M7190" s="114"/>
      <c r="N7190" s="1"/>
      <c r="O7190" s="1"/>
      <c r="P7190" s="51"/>
    </row>
    <row r="7191">
      <c r="A7191" s="54"/>
      <c r="B7191" s="71"/>
      <c r="C7191" s="51"/>
      <c r="D7191" s="114"/>
      <c r="E7191" s="114"/>
      <c r="F7191" s="54"/>
      <c r="G7191" s="54"/>
      <c r="I7191" s="54"/>
      <c r="K7191" s="54"/>
      <c r="M7191" s="114"/>
      <c r="N7191" s="1"/>
      <c r="O7191" s="1"/>
      <c r="P7191" s="51"/>
    </row>
    <row r="7192">
      <c r="A7192" s="54"/>
      <c r="B7192" s="71"/>
      <c r="C7192" s="51"/>
      <c r="D7192" s="114"/>
      <c r="E7192" s="114"/>
      <c r="F7192" s="54"/>
      <c r="G7192" s="54"/>
      <c r="I7192" s="54"/>
      <c r="K7192" s="54"/>
      <c r="M7192" s="114"/>
      <c r="N7192" s="1"/>
      <c r="O7192" s="1"/>
      <c r="P7192" s="51"/>
    </row>
    <row r="7193">
      <c r="A7193" s="54"/>
      <c r="B7193" s="71"/>
      <c r="C7193" s="51"/>
      <c r="D7193" s="114"/>
      <c r="E7193" s="114"/>
      <c r="F7193" s="54"/>
      <c r="G7193" s="54"/>
      <c r="I7193" s="54"/>
      <c r="K7193" s="54"/>
      <c r="M7193" s="114"/>
      <c r="N7193" s="1"/>
      <c r="O7193" s="1"/>
      <c r="P7193" s="51"/>
    </row>
    <row r="7194">
      <c r="A7194" s="54"/>
      <c r="B7194" s="71"/>
      <c r="C7194" s="51"/>
      <c r="D7194" s="114"/>
      <c r="E7194" s="114"/>
      <c r="F7194" s="54"/>
      <c r="G7194" s="54"/>
      <c r="I7194" s="54"/>
      <c r="K7194" s="54"/>
      <c r="M7194" s="114"/>
      <c r="N7194" s="1"/>
      <c r="O7194" s="1"/>
      <c r="P7194" s="51"/>
    </row>
    <row r="7195">
      <c r="A7195" s="54"/>
      <c r="B7195" s="71"/>
      <c r="C7195" s="51"/>
      <c r="D7195" s="114"/>
      <c r="E7195" s="114"/>
      <c r="F7195" s="54"/>
      <c r="G7195" s="54"/>
      <c r="I7195" s="54"/>
      <c r="K7195" s="54"/>
      <c r="M7195" s="114"/>
      <c r="N7195" s="1"/>
      <c r="O7195" s="1"/>
      <c r="P7195" s="51"/>
    </row>
    <row r="7196">
      <c r="A7196" s="54"/>
      <c r="B7196" s="71"/>
      <c r="C7196" s="51"/>
      <c r="D7196" s="114"/>
      <c r="E7196" s="114"/>
      <c r="F7196" s="54"/>
      <c r="G7196" s="54"/>
      <c r="I7196" s="54"/>
      <c r="K7196" s="54"/>
      <c r="M7196" s="114"/>
      <c r="N7196" s="1"/>
      <c r="O7196" s="1"/>
      <c r="P7196" s="51"/>
    </row>
    <row r="7197">
      <c r="A7197" s="54"/>
      <c r="B7197" s="71"/>
      <c r="C7197" s="51"/>
      <c r="D7197" s="114"/>
      <c r="E7197" s="114"/>
      <c r="F7197" s="54"/>
      <c r="G7197" s="54"/>
      <c r="I7197" s="54"/>
      <c r="K7197" s="54"/>
      <c r="M7197" s="114"/>
      <c r="N7197" s="1"/>
      <c r="O7197" s="1"/>
      <c r="P7197" s="51"/>
    </row>
    <row r="7198">
      <c r="A7198" s="54"/>
      <c r="B7198" s="71"/>
      <c r="C7198" s="51"/>
      <c r="D7198" s="114"/>
      <c r="E7198" s="114"/>
      <c r="F7198" s="54"/>
      <c r="G7198" s="54"/>
      <c r="I7198" s="54"/>
      <c r="K7198" s="54"/>
      <c r="M7198" s="114"/>
      <c r="N7198" s="1"/>
      <c r="O7198" s="1"/>
      <c r="P7198" s="51"/>
    </row>
    <row r="7199">
      <c r="A7199" s="54"/>
      <c r="B7199" s="71"/>
      <c r="C7199" s="51"/>
      <c r="D7199" s="114"/>
      <c r="E7199" s="114"/>
      <c r="F7199" s="54"/>
      <c r="G7199" s="54"/>
      <c r="I7199" s="54"/>
      <c r="K7199" s="54"/>
      <c r="M7199" s="114"/>
      <c r="N7199" s="1"/>
      <c r="O7199" s="1"/>
      <c r="P7199" s="51"/>
    </row>
    <row r="7200">
      <c r="A7200" s="54"/>
      <c r="B7200" s="71"/>
      <c r="C7200" s="51"/>
      <c r="D7200" s="114"/>
      <c r="E7200" s="114"/>
      <c r="F7200" s="54"/>
      <c r="G7200" s="54"/>
      <c r="I7200" s="54"/>
      <c r="K7200" s="54"/>
      <c r="M7200" s="114"/>
      <c r="N7200" s="1"/>
      <c r="O7200" s="1"/>
      <c r="P7200" s="51"/>
    </row>
    <row r="7201">
      <c r="A7201" s="54"/>
      <c r="B7201" s="71"/>
      <c r="C7201" s="51"/>
      <c r="D7201" s="114"/>
      <c r="E7201" s="114"/>
      <c r="F7201" s="54"/>
      <c r="G7201" s="54"/>
      <c r="I7201" s="54"/>
      <c r="K7201" s="54"/>
      <c r="M7201" s="114"/>
      <c r="N7201" s="1"/>
      <c r="O7201" s="1"/>
      <c r="P7201" s="51"/>
    </row>
    <row r="7202">
      <c r="A7202" s="54"/>
      <c r="B7202" s="71"/>
      <c r="C7202" s="51"/>
      <c r="D7202" s="114"/>
      <c r="E7202" s="114"/>
      <c r="F7202" s="54"/>
      <c r="G7202" s="54"/>
      <c r="I7202" s="54"/>
      <c r="K7202" s="54"/>
      <c r="M7202" s="114"/>
      <c r="N7202" s="1"/>
      <c r="O7202" s="1"/>
      <c r="P7202" s="51"/>
    </row>
    <row r="7203">
      <c r="A7203" s="54"/>
      <c r="B7203" s="71"/>
      <c r="C7203" s="51"/>
      <c r="D7203" s="114"/>
      <c r="E7203" s="114"/>
      <c r="F7203" s="54"/>
      <c r="G7203" s="54"/>
      <c r="I7203" s="54"/>
      <c r="K7203" s="54"/>
      <c r="M7203" s="114"/>
      <c r="N7203" s="1"/>
      <c r="O7203" s="1"/>
      <c r="P7203" s="51"/>
    </row>
    <row r="7204">
      <c r="A7204" s="54"/>
      <c r="B7204" s="71"/>
      <c r="C7204" s="51"/>
      <c r="D7204" s="114"/>
      <c r="E7204" s="114"/>
      <c r="F7204" s="54"/>
      <c r="G7204" s="54"/>
      <c r="I7204" s="54"/>
      <c r="K7204" s="54"/>
      <c r="M7204" s="114"/>
      <c r="N7204" s="1"/>
      <c r="O7204" s="1"/>
      <c r="P7204" s="51"/>
    </row>
    <row r="7205">
      <c r="A7205" s="54"/>
      <c r="B7205" s="71"/>
      <c r="C7205" s="51"/>
      <c r="D7205" s="114"/>
      <c r="E7205" s="114"/>
      <c r="F7205" s="54"/>
      <c r="G7205" s="54"/>
      <c r="I7205" s="54"/>
      <c r="K7205" s="54"/>
      <c r="M7205" s="114"/>
      <c r="N7205" s="1"/>
      <c r="O7205" s="1"/>
      <c r="P7205" s="51"/>
    </row>
    <row r="7206">
      <c r="A7206" s="54"/>
      <c r="B7206" s="71"/>
      <c r="C7206" s="51"/>
      <c r="D7206" s="114"/>
      <c r="E7206" s="114"/>
      <c r="F7206" s="54"/>
      <c r="G7206" s="54"/>
      <c r="I7206" s="54"/>
      <c r="K7206" s="54"/>
      <c r="M7206" s="114"/>
      <c r="N7206" s="1"/>
      <c r="O7206" s="1"/>
      <c r="P7206" s="51"/>
    </row>
    <row r="7207">
      <c r="A7207" s="54"/>
      <c r="B7207" s="71"/>
      <c r="C7207" s="51"/>
      <c r="D7207" s="114"/>
      <c r="E7207" s="114"/>
      <c r="F7207" s="54"/>
      <c r="G7207" s="54"/>
      <c r="I7207" s="54"/>
      <c r="K7207" s="54"/>
      <c r="M7207" s="114"/>
      <c r="N7207" s="1"/>
      <c r="O7207" s="1"/>
      <c r="P7207" s="51"/>
    </row>
    <row r="7208">
      <c r="A7208" s="54"/>
      <c r="B7208" s="71"/>
      <c r="C7208" s="51"/>
      <c r="D7208" s="114"/>
      <c r="E7208" s="114"/>
      <c r="F7208" s="54"/>
      <c r="G7208" s="54"/>
      <c r="I7208" s="54"/>
      <c r="K7208" s="54"/>
      <c r="M7208" s="114"/>
      <c r="N7208" s="1"/>
      <c r="O7208" s="1"/>
      <c r="P7208" s="51"/>
    </row>
    <row r="7209">
      <c r="A7209" s="54"/>
      <c r="B7209" s="71"/>
      <c r="C7209" s="51"/>
      <c r="D7209" s="114"/>
      <c r="E7209" s="114"/>
      <c r="F7209" s="54"/>
      <c r="G7209" s="54"/>
      <c r="I7209" s="54"/>
      <c r="K7209" s="54"/>
      <c r="M7209" s="114"/>
      <c r="N7209" s="1"/>
      <c r="O7209" s="1"/>
      <c r="P7209" s="51"/>
    </row>
    <row r="7210">
      <c r="A7210" s="54"/>
      <c r="B7210" s="71"/>
      <c r="C7210" s="51"/>
      <c r="D7210" s="114"/>
      <c r="E7210" s="114"/>
      <c r="F7210" s="54"/>
      <c r="G7210" s="54"/>
      <c r="I7210" s="54"/>
      <c r="K7210" s="54"/>
      <c r="M7210" s="114"/>
      <c r="N7210" s="1"/>
      <c r="O7210" s="1"/>
      <c r="P7210" s="51"/>
    </row>
    <row r="7211">
      <c r="A7211" s="54"/>
      <c r="B7211" s="71"/>
      <c r="C7211" s="51"/>
      <c r="D7211" s="114"/>
      <c r="E7211" s="114"/>
      <c r="F7211" s="54"/>
      <c r="G7211" s="54"/>
      <c r="I7211" s="54"/>
      <c r="K7211" s="54"/>
      <c r="M7211" s="114"/>
      <c r="N7211" s="1"/>
      <c r="O7211" s="1"/>
      <c r="P7211" s="51"/>
    </row>
    <row r="7212">
      <c r="A7212" s="54"/>
      <c r="B7212" s="71"/>
      <c r="C7212" s="51"/>
      <c r="D7212" s="114"/>
      <c r="E7212" s="114"/>
      <c r="F7212" s="54"/>
      <c r="G7212" s="54"/>
      <c r="I7212" s="54"/>
      <c r="K7212" s="54"/>
      <c r="M7212" s="114"/>
      <c r="N7212" s="1"/>
      <c r="O7212" s="1"/>
      <c r="P7212" s="51"/>
    </row>
    <row r="7213">
      <c r="A7213" s="54"/>
      <c r="B7213" s="71"/>
      <c r="C7213" s="51"/>
      <c r="D7213" s="114"/>
      <c r="E7213" s="114"/>
      <c r="F7213" s="54"/>
      <c r="G7213" s="54"/>
      <c r="I7213" s="54"/>
      <c r="K7213" s="54"/>
      <c r="M7213" s="114"/>
      <c r="N7213" s="1"/>
      <c r="O7213" s="1"/>
      <c r="P7213" s="51"/>
    </row>
    <row r="7214">
      <c r="A7214" s="54"/>
      <c r="B7214" s="71"/>
      <c r="C7214" s="51"/>
      <c r="D7214" s="114"/>
      <c r="E7214" s="114"/>
      <c r="F7214" s="54"/>
      <c r="G7214" s="54"/>
      <c r="I7214" s="54"/>
      <c r="K7214" s="54"/>
      <c r="M7214" s="114"/>
      <c r="N7214" s="1"/>
      <c r="O7214" s="1"/>
      <c r="P7214" s="51"/>
    </row>
    <row r="7215">
      <c r="A7215" s="54"/>
      <c r="B7215" s="71"/>
      <c r="C7215" s="51"/>
      <c r="D7215" s="114"/>
      <c r="E7215" s="114"/>
      <c r="F7215" s="54"/>
      <c r="G7215" s="54"/>
      <c r="I7215" s="54"/>
      <c r="K7215" s="54"/>
      <c r="M7215" s="114"/>
      <c r="N7215" s="1"/>
      <c r="O7215" s="1"/>
      <c r="P7215" s="51"/>
    </row>
    <row r="7216">
      <c r="A7216" s="54"/>
      <c r="B7216" s="71"/>
      <c r="C7216" s="51"/>
      <c r="D7216" s="114"/>
      <c r="E7216" s="114"/>
      <c r="F7216" s="54"/>
      <c r="G7216" s="54"/>
      <c r="I7216" s="54"/>
      <c r="K7216" s="54"/>
      <c r="M7216" s="114"/>
      <c r="N7216" s="1"/>
      <c r="O7216" s="1"/>
      <c r="P7216" s="51"/>
    </row>
    <row r="7217">
      <c r="A7217" s="54"/>
      <c r="B7217" s="71"/>
      <c r="C7217" s="51"/>
      <c r="D7217" s="114"/>
      <c r="E7217" s="114"/>
      <c r="F7217" s="54"/>
      <c r="G7217" s="54"/>
      <c r="I7217" s="54"/>
      <c r="K7217" s="54"/>
      <c r="M7217" s="114"/>
      <c r="N7217" s="1"/>
      <c r="O7217" s="1"/>
      <c r="P7217" s="51"/>
    </row>
    <row r="7218">
      <c r="A7218" s="54"/>
      <c r="B7218" s="71"/>
      <c r="C7218" s="51"/>
      <c r="D7218" s="114"/>
      <c r="E7218" s="114"/>
      <c r="F7218" s="54"/>
      <c r="G7218" s="54"/>
      <c r="I7218" s="54"/>
      <c r="K7218" s="54"/>
      <c r="M7218" s="114"/>
      <c r="N7218" s="1"/>
      <c r="O7218" s="1"/>
      <c r="P7218" s="51"/>
    </row>
    <row r="7219">
      <c r="A7219" s="54"/>
      <c r="B7219" s="71"/>
      <c r="C7219" s="51"/>
      <c r="D7219" s="114"/>
      <c r="E7219" s="114"/>
      <c r="F7219" s="54"/>
      <c r="G7219" s="54"/>
      <c r="I7219" s="54"/>
      <c r="K7219" s="54"/>
      <c r="M7219" s="114"/>
      <c r="N7219" s="1"/>
      <c r="O7219" s="1"/>
      <c r="P7219" s="51"/>
    </row>
    <row r="7220">
      <c r="A7220" s="54"/>
      <c r="B7220" s="71"/>
      <c r="C7220" s="51"/>
      <c r="D7220" s="114"/>
      <c r="E7220" s="114"/>
      <c r="F7220" s="54"/>
      <c r="G7220" s="54"/>
      <c r="I7220" s="54"/>
      <c r="K7220" s="54"/>
      <c r="M7220" s="114"/>
      <c r="N7220" s="1"/>
      <c r="O7220" s="1"/>
      <c r="P7220" s="51"/>
    </row>
    <row r="7221">
      <c r="A7221" s="54"/>
      <c r="B7221" s="71"/>
      <c r="C7221" s="51"/>
      <c r="D7221" s="114"/>
      <c r="E7221" s="114"/>
      <c r="F7221" s="54"/>
      <c r="G7221" s="54"/>
      <c r="I7221" s="54"/>
      <c r="K7221" s="54"/>
      <c r="M7221" s="114"/>
      <c r="N7221" s="1"/>
      <c r="O7221" s="1"/>
      <c r="P7221" s="51"/>
    </row>
    <row r="7222">
      <c r="A7222" s="54"/>
      <c r="B7222" s="71"/>
      <c r="C7222" s="51"/>
      <c r="D7222" s="114"/>
      <c r="E7222" s="114"/>
      <c r="F7222" s="54"/>
      <c r="G7222" s="54"/>
      <c r="I7222" s="54"/>
      <c r="K7222" s="54"/>
      <c r="M7222" s="114"/>
      <c r="N7222" s="1"/>
      <c r="O7222" s="1"/>
      <c r="P7222" s="51"/>
    </row>
    <row r="7223">
      <c r="A7223" s="54"/>
      <c r="B7223" s="71"/>
      <c r="C7223" s="51"/>
      <c r="D7223" s="114"/>
      <c r="E7223" s="114"/>
      <c r="F7223" s="54"/>
      <c r="G7223" s="54"/>
      <c r="I7223" s="54"/>
      <c r="K7223" s="54"/>
      <c r="M7223" s="114"/>
      <c r="N7223" s="1"/>
      <c r="O7223" s="1"/>
      <c r="P7223" s="51"/>
    </row>
    <row r="7224">
      <c r="A7224" s="54"/>
      <c r="B7224" s="71"/>
      <c r="C7224" s="51"/>
      <c r="D7224" s="114"/>
      <c r="E7224" s="114"/>
      <c r="F7224" s="54"/>
      <c r="G7224" s="54"/>
      <c r="I7224" s="54"/>
      <c r="K7224" s="54"/>
      <c r="M7224" s="114"/>
      <c r="N7224" s="1"/>
      <c r="O7224" s="1"/>
      <c r="P7224" s="51"/>
    </row>
    <row r="7225">
      <c r="A7225" s="54"/>
      <c r="B7225" s="71"/>
      <c r="C7225" s="51"/>
      <c r="D7225" s="114"/>
      <c r="E7225" s="114"/>
      <c r="F7225" s="54"/>
      <c r="G7225" s="54"/>
      <c r="I7225" s="54"/>
      <c r="K7225" s="54"/>
      <c r="M7225" s="114"/>
      <c r="N7225" s="1"/>
      <c r="O7225" s="1"/>
      <c r="P7225" s="51"/>
    </row>
    <row r="7226">
      <c r="A7226" s="54"/>
      <c r="B7226" s="71"/>
      <c r="C7226" s="51"/>
      <c r="D7226" s="114"/>
      <c r="E7226" s="114"/>
      <c r="F7226" s="54"/>
      <c r="G7226" s="54"/>
      <c r="I7226" s="54"/>
      <c r="K7226" s="54"/>
      <c r="M7226" s="114"/>
      <c r="N7226" s="1"/>
      <c r="O7226" s="1"/>
      <c r="P7226" s="51"/>
    </row>
    <row r="7227">
      <c r="A7227" s="54"/>
      <c r="B7227" s="71"/>
      <c r="C7227" s="51"/>
      <c r="D7227" s="114"/>
      <c r="E7227" s="114"/>
      <c r="F7227" s="54"/>
      <c r="G7227" s="54"/>
      <c r="I7227" s="54"/>
      <c r="K7227" s="54"/>
      <c r="M7227" s="114"/>
      <c r="N7227" s="1"/>
      <c r="O7227" s="1"/>
      <c r="P7227" s="51"/>
    </row>
    <row r="7228">
      <c r="A7228" s="54"/>
      <c r="B7228" s="71"/>
      <c r="C7228" s="51"/>
      <c r="D7228" s="114"/>
      <c r="E7228" s="114"/>
      <c r="F7228" s="54"/>
      <c r="G7228" s="54"/>
      <c r="I7228" s="54"/>
      <c r="K7228" s="54"/>
      <c r="M7228" s="114"/>
      <c r="N7228" s="1"/>
      <c r="O7228" s="1"/>
      <c r="P7228" s="51"/>
    </row>
    <row r="7229">
      <c r="A7229" s="54"/>
      <c r="B7229" s="71"/>
      <c r="C7229" s="51"/>
      <c r="D7229" s="114"/>
      <c r="E7229" s="114"/>
      <c r="F7229" s="54"/>
      <c r="G7229" s="54"/>
      <c r="I7229" s="54"/>
      <c r="K7229" s="54"/>
      <c r="M7229" s="114"/>
      <c r="N7229" s="1"/>
      <c r="O7229" s="1"/>
      <c r="P7229" s="51"/>
    </row>
    <row r="7230">
      <c r="A7230" s="54"/>
      <c r="B7230" s="71"/>
      <c r="C7230" s="51"/>
      <c r="D7230" s="114"/>
      <c r="E7230" s="114"/>
      <c r="F7230" s="54"/>
      <c r="G7230" s="54"/>
      <c r="I7230" s="54"/>
      <c r="K7230" s="54"/>
      <c r="M7230" s="114"/>
      <c r="N7230" s="1"/>
      <c r="O7230" s="1"/>
      <c r="P7230" s="51"/>
    </row>
    <row r="7231">
      <c r="A7231" s="54"/>
      <c r="B7231" s="71"/>
      <c r="C7231" s="51"/>
      <c r="D7231" s="114"/>
      <c r="E7231" s="114"/>
      <c r="F7231" s="54"/>
      <c r="G7231" s="54"/>
      <c r="I7231" s="54"/>
      <c r="K7231" s="54"/>
      <c r="M7231" s="114"/>
      <c r="N7231" s="1"/>
      <c r="O7231" s="1"/>
      <c r="P7231" s="51"/>
    </row>
    <row r="7232">
      <c r="A7232" s="54"/>
      <c r="B7232" s="71"/>
      <c r="C7232" s="51"/>
      <c r="D7232" s="114"/>
      <c r="E7232" s="114"/>
      <c r="F7232" s="54"/>
      <c r="G7232" s="54"/>
      <c r="I7232" s="54"/>
      <c r="K7232" s="54"/>
      <c r="M7232" s="114"/>
      <c r="N7232" s="1"/>
      <c r="O7232" s="1"/>
      <c r="P7232" s="51"/>
    </row>
    <row r="7233">
      <c r="A7233" s="54"/>
      <c r="B7233" s="71"/>
      <c r="C7233" s="51"/>
      <c r="D7233" s="114"/>
      <c r="E7233" s="114"/>
      <c r="F7233" s="54"/>
      <c r="G7233" s="54"/>
      <c r="I7233" s="54"/>
      <c r="K7233" s="54"/>
      <c r="M7233" s="114"/>
      <c r="N7233" s="1"/>
      <c r="O7233" s="1"/>
      <c r="P7233" s="51"/>
    </row>
    <row r="7234">
      <c r="A7234" s="54"/>
      <c r="B7234" s="71"/>
      <c r="C7234" s="51"/>
      <c r="D7234" s="114"/>
      <c r="E7234" s="114"/>
      <c r="F7234" s="54"/>
      <c r="G7234" s="54"/>
      <c r="I7234" s="54"/>
      <c r="K7234" s="54"/>
      <c r="M7234" s="114"/>
      <c r="N7234" s="1"/>
      <c r="O7234" s="1"/>
      <c r="P7234" s="51"/>
    </row>
    <row r="7235">
      <c r="A7235" s="54"/>
      <c r="B7235" s="71"/>
      <c r="C7235" s="51"/>
      <c r="D7235" s="114"/>
      <c r="E7235" s="114"/>
      <c r="F7235" s="54"/>
      <c r="G7235" s="54"/>
      <c r="I7235" s="54"/>
      <c r="K7235" s="54"/>
      <c r="M7235" s="114"/>
      <c r="N7235" s="1"/>
      <c r="O7235" s="1"/>
      <c r="P7235" s="51"/>
    </row>
    <row r="7236">
      <c r="A7236" s="54"/>
      <c r="B7236" s="71"/>
      <c r="C7236" s="51"/>
      <c r="D7236" s="114"/>
      <c r="E7236" s="114"/>
      <c r="F7236" s="54"/>
      <c r="G7236" s="54"/>
      <c r="I7236" s="54"/>
      <c r="K7236" s="54"/>
      <c r="M7236" s="114"/>
      <c r="N7236" s="1"/>
      <c r="O7236" s="1"/>
      <c r="P7236" s="51"/>
    </row>
    <row r="7237">
      <c r="A7237" s="54"/>
      <c r="B7237" s="71"/>
      <c r="C7237" s="51"/>
      <c r="D7237" s="114"/>
      <c r="E7237" s="114"/>
      <c r="F7237" s="54"/>
      <c r="G7237" s="54"/>
      <c r="I7237" s="54"/>
      <c r="K7237" s="54"/>
      <c r="M7237" s="114"/>
      <c r="N7237" s="1"/>
      <c r="O7237" s="1"/>
      <c r="P7237" s="51"/>
    </row>
    <row r="7238">
      <c r="A7238" s="54"/>
      <c r="B7238" s="71"/>
      <c r="C7238" s="51"/>
      <c r="D7238" s="114"/>
      <c r="E7238" s="114"/>
      <c r="F7238" s="54"/>
      <c r="G7238" s="54"/>
      <c r="I7238" s="54"/>
      <c r="K7238" s="54"/>
      <c r="M7238" s="114"/>
      <c r="N7238" s="1"/>
      <c r="O7238" s="1"/>
      <c r="P7238" s="51"/>
    </row>
    <row r="7239">
      <c r="A7239" s="54"/>
      <c r="B7239" s="71"/>
      <c r="C7239" s="51"/>
      <c r="D7239" s="114"/>
      <c r="E7239" s="114"/>
      <c r="F7239" s="54"/>
      <c r="G7239" s="54"/>
      <c r="I7239" s="54"/>
      <c r="K7239" s="54"/>
      <c r="M7239" s="114"/>
      <c r="N7239" s="1"/>
      <c r="O7239" s="1"/>
      <c r="P7239" s="51"/>
    </row>
    <row r="7240">
      <c r="A7240" s="54"/>
      <c r="B7240" s="71"/>
      <c r="C7240" s="51"/>
      <c r="D7240" s="114"/>
      <c r="E7240" s="114"/>
      <c r="F7240" s="54"/>
      <c r="G7240" s="54"/>
      <c r="I7240" s="54"/>
      <c r="K7240" s="54"/>
      <c r="M7240" s="114"/>
      <c r="N7240" s="1"/>
      <c r="O7240" s="1"/>
      <c r="P7240" s="51"/>
    </row>
    <row r="7241">
      <c r="A7241" s="54"/>
      <c r="B7241" s="71"/>
      <c r="C7241" s="51"/>
      <c r="D7241" s="114"/>
      <c r="E7241" s="114"/>
      <c r="F7241" s="54"/>
      <c r="G7241" s="54"/>
      <c r="I7241" s="54"/>
      <c r="K7241" s="54"/>
      <c r="M7241" s="114"/>
      <c r="N7241" s="1"/>
      <c r="O7241" s="1"/>
      <c r="P7241" s="51"/>
    </row>
    <row r="7242">
      <c r="A7242" s="54"/>
      <c r="B7242" s="71"/>
      <c r="C7242" s="51"/>
      <c r="D7242" s="114"/>
      <c r="E7242" s="114"/>
      <c r="F7242" s="54"/>
      <c r="G7242" s="54"/>
      <c r="I7242" s="54"/>
      <c r="K7242" s="54"/>
      <c r="M7242" s="114"/>
      <c r="N7242" s="1"/>
      <c r="O7242" s="1"/>
      <c r="P7242" s="51"/>
    </row>
    <row r="7243">
      <c r="A7243" s="54"/>
      <c r="B7243" s="71"/>
      <c r="C7243" s="51"/>
      <c r="D7243" s="114"/>
      <c r="E7243" s="114"/>
      <c r="F7243" s="54"/>
      <c r="G7243" s="54"/>
      <c r="I7243" s="54"/>
      <c r="K7243" s="54"/>
      <c r="M7243" s="114"/>
      <c r="N7243" s="1"/>
      <c r="O7243" s="1"/>
      <c r="P7243" s="51"/>
    </row>
    <row r="7244">
      <c r="A7244" s="54"/>
      <c r="B7244" s="71"/>
      <c r="C7244" s="51"/>
      <c r="D7244" s="114"/>
      <c r="E7244" s="114"/>
      <c r="F7244" s="54"/>
      <c r="G7244" s="54"/>
      <c r="I7244" s="54"/>
      <c r="K7244" s="54"/>
      <c r="M7244" s="114"/>
      <c r="N7244" s="1"/>
      <c r="O7244" s="1"/>
      <c r="P7244" s="51"/>
    </row>
    <row r="7245">
      <c r="A7245" s="54"/>
      <c r="B7245" s="71"/>
      <c r="C7245" s="51"/>
      <c r="D7245" s="114"/>
      <c r="E7245" s="114"/>
      <c r="F7245" s="54"/>
      <c r="G7245" s="54"/>
      <c r="I7245" s="54"/>
      <c r="K7245" s="54"/>
      <c r="M7245" s="114"/>
      <c r="N7245" s="1"/>
      <c r="O7245" s="1"/>
      <c r="P7245" s="51"/>
    </row>
    <row r="7246">
      <c r="A7246" s="54"/>
      <c r="B7246" s="71"/>
      <c r="C7246" s="51"/>
      <c r="D7246" s="114"/>
      <c r="E7246" s="114"/>
      <c r="F7246" s="54"/>
      <c r="G7246" s="54"/>
      <c r="I7246" s="54"/>
      <c r="K7246" s="54"/>
      <c r="M7246" s="114"/>
      <c r="N7246" s="1"/>
      <c r="O7246" s="1"/>
      <c r="P7246" s="51"/>
    </row>
    <row r="7247">
      <c r="A7247" s="54"/>
      <c r="B7247" s="71"/>
      <c r="C7247" s="51"/>
      <c r="D7247" s="114"/>
      <c r="E7247" s="114"/>
      <c r="F7247" s="54"/>
      <c r="G7247" s="54"/>
      <c r="I7247" s="54"/>
      <c r="K7247" s="54"/>
      <c r="M7247" s="114"/>
      <c r="N7247" s="1"/>
      <c r="O7247" s="1"/>
      <c r="P7247" s="51"/>
    </row>
    <row r="7248">
      <c r="A7248" s="54"/>
      <c r="B7248" s="71"/>
      <c r="C7248" s="51"/>
      <c r="D7248" s="114"/>
      <c r="E7248" s="114"/>
      <c r="F7248" s="54"/>
      <c r="G7248" s="54"/>
      <c r="I7248" s="54"/>
      <c r="K7248" s="54"/>
      <c r="M7248" s="114"/>
      <c r="N7248" s="1"/>
      <c r="O7248" s="1"/>
      <c r="P7248" s="51"/>
    </row>
    <row r="7249">
      <c r="A7249" s="54"/>
      <c r="B7249" s="71"/>
      <c r="C7249" s="51"/>
      <c r="D7249" s="114"/>
      <c r="E7249" s="114"/>
      <c r="F7249" s="54"/>
      <c r="G7249" s="54"/>
      <c r="I7249" s="54"/>
      <c r="K7249" s="54"/>
      <c r="M7249" s="114"/>
      <c r="N7249" s="1"/>
      <c r="O7249" s="1"/>
      <c r="P7249" s="51"/>
    </row>
    <row r="7250">
      <c r="A7250" s="54"/>
      <c r="B7250" s="71"/>
      <c r="C7250" s="51"/>
      <c r="D7250" s="114"/>
      <c r="E7250" s="114"/>
      <c r="F7250" s="54"/>
      <c r="G7250" s="54"/>
      <c r="I7250" s="54"/>
      <c r="K7250" s="54"/>
      <c r="M7250" s="114"/>
      <c r="N7250" s="1"/>
      <c r="O7250" s="1"/>
      <c r="P7250" s="51"/>
    </row>
    <row r="7251">
      <c r="A7251" s="54"/>
      <c r="B7251" s="71"/>
      <c r="C7251" s="51"/>
      <c r="D7251" s="114"/>
      <c r="E7251" s="114"/>
      <c r="F7251" s="54"/>
      <c r="G7251" s="54"/>
      <c r="I7251" s="54"/>
      <c r="K7251" s="54"/>
      <c r="M7251" s="114"/>
      <c r="N7251" s="1"/>
      <c r="O7251" s="1"/>
      <c r="P7251" s="51"/>
    </row>
    <row r="7252">
      <c r="A7252" s="54"/>
      <c r="B7252" s="71"/>
      <c r="C7252" s="51"/>
      <c r="D7252" s="114"/>
      <c r="E7252" s="114"/>
      <c r="F7252" s="54"/>
      <c r="G7252" s="54"/>
      <c r="I7252" s="54"/>
      <c r="K7252" s="54"/>
      <c r="M7252" s="114"/>
      <c r="N7252" s="1"/>
      <c r="O7252" s="1"/>
      <c r="P7252" s="51"/>
    </row>
    <row r="7253">
      <c r="A7253" s="54"/>
      <c r="B7253" s="71"/>
      <c r="C7253" s="51"/>
      <c r="D7253" s="114"/>
      <c r="E7253" s="114"/>
      <c r="F7253" s="54"/>
      <c r="G7253" s="54"/>
      <c r="I7253" s="54"/>
      <c r="K7253" s="54"/>
      <c r="M7253" s="114"/>
      <c r="N7253" s="1"/>
      <c r="O7253" s="1"/>
      <c r="P7253" s="51"/>
    </row>
    <row r="7254">
      <c r="A7254" s="54"/>
      <c r="B7254" s="71"/>
      <c r="C7254" s="51"/>
      <c r="D7254" s="114"/>
      <c r="E7254" s="114"/>
      <c r="F7254" s="54"/>
      <c r="G7254" s="54"/>
      <c r="I7254" s="54"/>
      <c r="K7254" s="54"/>
      <c r="M7254" s="114"/>
      <c r="N7254" s="1"/>
      <c r="O7254" s="1"/>
      <c r="P7254" s="51"/>
    </row>
    <row r="7255">
      <c r="A7255" s="54"/>
      <c r="B7255" s="71"/>
      <c r="C7255" s="51"/>
      <c r="D7255" s="114"/>
      <c r="E7255" s="114"/>
      <c r="F7255" s="54"/>
      <c r="G7255" s="54"/>
      <c r="I7255" s="54"/>
      <c r="K7255" s="54"/>
      <c r="M7255" s="114"/>
      <c r="N7255" s="1"/>
      <c r="O7255" s="1"/>
      <c r="P7255" s="51"/>
    </row>
    <row r="7256">
      <c r="A7256" s="54"/>
      <c r="B7256" s="71"/>
      <c r="C7256" s="51"/>
      <c r="D7256" s="114"/>
      <c r="E7256" s="114"/>
      <c r="F7256" s="54"/>
      <c r="G7256" s="54"/>
      <c r="I7256" s="54"/>
      <c r="K7256" s="54"/>
      <c r="M7256" s="114"/>
      <c r="N7256" s="1"/>
      <c r="O7256" s="1"/>
      <c r="P7256" s="51"/>
    </row>
    <row r="7257">
      <c r="A7257" s="54"/>
      <c r="B7257" s="71"/>
      <c r="C7257" s="51"/>
      <c r="D7257" s="114"/>
      <c r="E7257" s="114"/>
      <c r="F7257" s="54"/>
      <c r="G7257" s="54"/>
      <c r="I7257" s="54"/>
      <c r="K7257" s="54"/>
      <c r="M7257" s="114"/>
      <c r="N7257" s="1"/>
      <c r="O7257" s="1"/>
      <c r="P7257" s="51"/>
    </row>
    <row r="7258">
      <c r="A7258" s="54"/>
      <c r="B7258" s="71"/>
      <c r="C7258" s="51"/>
      <c r="D7258" s="114"/>
      <c r="E7258" s="114"/>
      <c r="F7258" s="54"/>
      <c r="G7258" s="54"/>
      <c r="I7258" s="54"/>
      <c r="K7258" s="54"/>
      <c r="M7258" s="114"/>
      <c r="N7258" s="1"/>
      <c r="O7258" s="1"/>
      <c r="P7258" s="51"/>
    </row>
    <row r="7259">
      <c r="A7259" s="54"/>
      <c r="B7259" s="71"/>
      <c r="C7259" s="51"/>
      <c r="D7259" s="114"/>
      <c r="E7259" s="114"/>
      <c r="F7259" s="54"/>
      <c r="G7259" s="54"/>
      <c r="I7259" s="54"/>
      <c r="K7259" s="54"/>
      <c r="M7259" s="114"/>
      <c r="N7259" s="1"/>
      <c r="O7259" s="1"/>
      <c r="P7259" s="51"/>
    </row>
    <row r="7260">
      <c r="A7260" s="54"/>
      <c r="B7260" s="71"/>
      <c r="C7260" s="51"/>
      <c r="D7260" s="114"/>
      <c r="E7260" s="114"/>
      <c r="F7260" s="54"/>
      <c r="G7260" s="54"/>
      <c r="I7260" s="54"/>
      <c r="K7260" s="54"/>
      <c r="M7260" s="114"/>
      <c r="N7260" s="1"/>
      <c r="O7260" s="1"/>
      <c r="P7260" s="51"/>
    </row>
    <row r="7261">
      <c r="A7261" s="54"/>
      <c r="B7261" s="71"/>
      <c r="C7261" s="51"/>
      <c r="D7261" s="114"/>
      <c r="E7261" s="114"/>
      <c r="F7261" s="54"/>
      <c r="G7261" s="54"/>
      <c r="I7261" s="54"/>
      <c r="K7261" s="54"/>
      <c r="M7261" s="114"/>
      <c r="N7261" s="1"/>
      <c r="O7261" s="1"/>
      <c r="P7261" s="51"/>
    </row>
    <row r="7262">
      <c r="A7262" s="54"/>
      <c r="B7262" s="71"/>
      <c r="C7262" s="51"/>
      <c r="D7262" s="114"/>
      <c r="E7262" s="114"/>
      <c r="F7262" s="54"/>
      <c r="G7262" s="54"/>
      <c r="I7262" s="54"/>
      <c r="K7262" s="54"/>
      <c r="M7262" s="114"/>
      <c r="N7262" s="1"/>
      <c r="O7262" s="1"/>
      <c r="P7262" s="51"/>
    </row>
    <row r="7263">
      <c r="A7263" s="54"/>
      <c r="B7263" s="71"/>
      <c r="C7263" s="51"/>
      <c r="D7263" s="114"/>
      <c r="E7263" s="114"/>
      <c r="F7263" s="54"/>
      <c r="G7263" s="54"/>
      <c r="I7263" s="54"/>
      <c r="K7263" s="54"/>
      <c r="M7263" s="114"/>
      <c r="N7263" s="1"/>
      <c r="O7263" s="1"/>
      <c r="P7263" s="51"/>
    </row>
    <row r="7264">
      <c r="A7264" s="54"/>
      <c r="B7264" s="71"/>
      <c r="C7264" s="51"/>
      <c r="D7264" s="114"/>
      <c r="E7264" s="114"/>
      <c r="F7264" s="54"/>
      <c r="G7264" s="54"/>
      <c r="I7264" s="54"/>
      <c r="K7264" s="54"/>
      <c r="M7264" s="114"/>
      <c r="N7264" s="1"/>
      <c r="O7264" s="1"/>
      <c r="P7264" s="51"/>
    </row>
    <row r="7265">
      <c r="A7265" s="54"/>
      <c r="B7265" s="71"/>
      <c r="C7265" s="51"/>
      <c r="D7265" s="114"/>
      <c r="E7265" s="114"/>
      <c r="F7265" s="54"/>
      <c r="G7265" s="54"/>
      <c r="I7265" s="54"/>
      <c r="K7265" s="54"/>
      <c r="M7265" s="114"/>
      <c r="N7265" s="1"/>
      <c r="O7265" s="1"/>
      <c r="P7265" s="51"/>
    </row>
    <row r="7266">
      <c r="A7266" s="54"/>
      <c r="B7266" s="71"/>
      <c r="C7266" s="51"/>
      <c r="D7266" s="114"/>
      <c r="E7266" s="114"/>
      <c r="F7266" s="54"/>
      <c r="G7266" s="54"/>
      <c r="I7266" s="54"/>
      <c r="K7266" s="54"/>
      <c r="M7266" s="114"/>
      <c r="N7266" s="1"/>
      <c r="O7266" s="1"/>
      <c r="P7266" s="51"/>
    </row>
    <row r="7267">
      <c r="A7267" s="54"/>
      <c r="B7267" s="71"/>
      <c r="C7267" s="51"/>
      <c r="D7267" s="114"/>
      <c r="E7267" s="114"/>
      <c r="F7267" s="54"/>
      <c r="G7267" s="54"/>
      <c r="I7267" s="54"/>
      <c r="K7267" s="54"/>
      <c r="M7267" s="114"/>
      <c r="N7267" s="1"/>
      <c r="O7267" s="1"/>
      <c r="P7267" s="51"/>
    </row>
    <row r="7268">
      <c r="A7268" s="54"/>
      <c r="B7268" s="71"/>
      <c r="C7268" s="51"/>
      <c r="D7268" s="114"/>
      <c r="E7268" s="114"/>
      <c r="F7268" s="54"/>
      <c r="G7268" s="54"/>
      <c r="I7268" s="54"/>
      <c r="K7268" s="54"/>
      <c r="M7268" s="114"/>
      <c r="N7268" s="1"/>
      <c r="O7268" s="1"/>
      <c r="P7268" s="51"/>
    </row>
    <row r="7269">
      <c r="A7269" s="54"/>
      <c r="B7269" s="71"/>
      <c r="C7269" s="51"/>
      <c r="D7269" s="114"/>
      <c r="E7269" s="114"/>
      <c r="F7269" s="54"/>
      <c r="G7269" s="54"/>
      <c r="I7269" s="54"/>
      <c r="K7269" s="54"/>
      <c r="M7269" s="114"/>
      <c r="N7269" s="1"/>
      <c r="O7269" s="1"/>
      <c r="P7269" s="51"/>
    </row>
    <row r="7270">
      <c r="A7270" s="54"/>
      <c r="B7270" s="71"/>
      <c r="C7270" s="51"/>
      <c r="D7270" s="114"/>
      <c r="E7270" s="114"/>
      <c r="F7270" s="54"/>
      <c r="G7270" s="54"/>
      <c r="I7270" s="54"/>
      <c r="K7270" s="54"/>
      <c r="M7270" s="114"/>
      <c r="N7270" s="1"/>
      <c r="O7270" s="1"/>
      <c r="P7270" s="51"/>
    </row>
    <row r="7271">
      <c r="A7271" s="54"/>
      <c r="B7271" s="71"/>
      <c r="C7271" s="51"/>
      <c r="D7271" s="114"/>
      <c r="E7271" s="114"/>
      <c r="F7271" s="54"/>
      <c r="G7271" s="54"/>
      <c r="I7271" s="54"/>
      <c r="K7271" s="54"/>
      <c r="M7271" s="114"/>
      <c r="N7271" s="1"/>
      <c r="O7271" s="1"/>
      <c r="P7271" s="51"/>
    </row>
    <row r="7272">
      <c r="A7272" s="54"/>
      <c r="B7272" s="71"/>
      <c r="C7272" s="51"/>
      <c r="D7272" s="114"/>
      <c r="E7272" s="114"/>
      <c r="F7272" s="54"/>
      <c r="G7272" s="54"/>
      <c r="I7272" s="54"/>
      <c r="K7272" s="54"/>
      <c r="M7272" s="114"/>
      <c r="N7272" s="1"/>
      <c r="O7272" s="1"/>
      <c r="P7272" s="51"/>
    </row>
    <row r="7273">
      <c r="A7273" s="54"/>
      <c r="B7273" s="71"/>
      <c r="C7273" s="51"/>
      <c r="D7273" s="114"/>
      <c r="E7273" s="114"/>
      <c r="F7273" s="54"/>
      <c r="G7273" s="54"/>
      <c r="I7273" s="54"/>
      <c r="K7273" s="54"/>
      <c r="M7273" s="114"/>
      <c r="N7273" s="1"/>
      <c r="O7273" s="1"/>
      <c r="P7273" s="51"/>
    </row>
    <row r="7274">
      <c r="A7274" s="54"/>
      <c r="B7274" s="71"/>
      <c r="C7274" s="51"/>
      <c r="D7274" s="114"/>
      <c r="E7274" s="114"/>
      <c r="F7274" s="54"/>
      <c r="G7274" s="54"/>
      <c r="I7274" s="54"/>
      <c r="K7274" s="54"/>
      <c r="M7274" s="114"/>
      <c r="N7274" s="1"/>
      <c r="O7274" s="1"/>
      <c r="P7274" s="51"/>
    </row>
    <row r="7275">
      <c r="A7275" s="54"/>
      <c r="B7275" s="71"/>
      <c r="C7275" s="51"/>
      <c r="D7275" s="114"/>
      <c r="E7275" s="114"/>
      <c r="F7275" s="54"/>
      <c r="G7275" s="54"/>
      <c r="I7275" s="54"/>
      <c r="K7275" s="54"/>
      <c r="M7275" s="114"/>
      <c r="N7275" s="1"/>
      <c r="O7275" s="1"/>
      <c r="P7275" s="51"/>
    </row>
    <row r="7276">
      <c r="A7276" s="54"/>
      <c r="B7276" s="71"/>
      <c r="C7276" s="51"/>
      <c r="D7276" s="114"/>
      <c r="E7276" s="114"/>
      <c r="F7276" s="54"/>
      <c r="G7276" s="54"/>
      <c r="I7276" s="54"/>
      <c r="K7276" s="54"/>
      <c r="M7276" s="114"/>
      <c r="N7276" s="1"/>
      <c r="O7276" s="1"/>
      <c r="P7276" s="51"/>
    </row>
    <row r="7277">
      <c r="A7277" s="54"/>
      <c r="B7277" s="71"/>
      <c r="C7277" s="51"/>
      <c r="D7277" s="114"/>
      <c r="E7277" s="114"/>
      <c r="F7277" s="54"/>
      <c r="G7277" s="54"/>
      <c r="I7277" s="54"/>
      <c r="K7277" s="54"/>
      <c r="M7277" s="114"/>
      <c r="N7277" s="1"/>
      <c r="O7277" s="1"/>
      <c r="P7277" s="51"/>
    </row>
    <row r="7278">
      <c r="A7278" s="54"/>
      <c r="B7278" s="71"/>
      <c r="C7278" s="51"/>
      <c r="D7278" s="114"/>
      <c r="E7278" s="114"/>
      <c r="F7278" s="54"/>
      <c r="G7278" s="54"/>
      <c r="I7278" s="54"/>
      <c r="K7278" s="54"/>
      <c r="M7278" s="114"/>
      <c r="N7278" s="1"/>
      <c r="O7278" s="1"/>
      <c r="P7278" s="51"/>
    </row>
    <row r="7279">
      <c r="A7279" s="54"/>
      <c r="B7279" s="71"/>
      <c r="C7279" s="51"/>
      <c r="D7279" s="114"/>
      <c r="E7279" s="114"/>
      <c r="F7279" s="54"/>
      <c r="G7279" s="54"/>
      <c r="I7279" s="54"/>
      <c r="K7279" s="54"/>
      <c r="M7279" s="114"/>
      <c r="N7279" s="1"/>
      <c r="O7279" s="1"/>
      <c r="P7279" s="51"/>
    </row>
    <row r="7280">
      <c r="A7280" s="54"/>
      <c r="B7280" s="71"/>
      <c r="C7280" s="51"/>
      <c r="D7280" s="114"/>
      <c r="E7280" s="114"/>
      <c r="F7280" s="54"/>
      <c r="G7280" s="54"/>
      <c r="I7280" s="54"/>
      <c r="K7280" s="54"/>
      <c r="M7280" s="114"/>
      <c r="N7280" s="1"/>
      <c r="O7280" s="1"/>
      <c r="P7280" s="51"/>
    </row>
    <row r="7281">
      <c r="A7281" s="54"/>
      <c r="B7281" s="71"/>
      <c r="C7281" s="51"/>
      <c r="D7281" s="114"/>
      <c r="E7281" s="114"/>
      <c r="F7281" s="54"/>
      <c r="G7281" s="54"/>
      <c r="I7281" s="54"/>
      <c r="K7281" s="54"/>
      <c r="M7281" s="114"/>
      <c r="N7281" s="1"/>
      <c r="O7281" s="1"/>
      <c r="P7281" s="51"/>
    </row>
    <row r="7282">
      <c r="A7282" s="54"/>
      <c r="B7282" s="71"/>
      <c r="C7282" s="51"/>
      <c r="D7282" s="114"/>
      <c r="E7282" s="114"/>
      <c r="F7282" s="54"/>
      <c r="G7282" s="54"/>
      <c r="I7282" s="54"/>
      <c r="K7282" s="54"/>
      <c r="M7282" s="114"/>
      <c r="N7282" s="1"/>
      <c r="O7282" s="1"/>
      <c r="P7282" s="51"/>
    </row>
    <row r="7283">
      <c r="A7283" s="54"/>
      <c r="B7283" s="71"/>
      <c r="C7283" s="51"/>
      <c r="D7283" s="114"/>
      <c r="E7283" s="114"/>
      <c r="F7283" s="54"/>
      <c r="G7283" s="54"/>
      <c r="I7283" s="54"/>
      <c r="K7283" s="54"/>
      <c r="M7283" s="114"/>
      <c r="N7283" s="1"/>
      <c r="O7283" s="1"/>
      <c r="P7283" s="51"/>
    </row>
    <row r="7284">
      <c r="A7284" s="54"/>
      <c r="B7284" s="71"/>
      <c r="C7284" s="51"/>
      <c r="D7284" s="114"/>
      <c r="E7284" s="114"/>
      <c r="F7284" s="54"/>
      <c r="G7284" s="54"/>
      <c r="I7284" s="54"/>
      <c r="K7284" s="54"/>
      <c r="M7284" s="114"/>
      <c r="N7284" s="1"/>
      <c r="O7284" s="1"/>
      <c r="P7284" s="51"/>
    </row>
    <row r="7285">
      <c r="A7285" s="54"/>
      <c r="B7285" s="71"/>
      <c r="C7285" s="51"/>
      <c r="D7285" s="114"/>
      <c r="E7285" s="114"/>
      <c r="F7285" s="54"/>
      <c r="G7285" s="54"/>
      <c r="I7285" s="54"/>
      <c r="K7285" s="54"/>
      <c r="M7285" s="114"/>
      <c r="N7285" s="1"/>
      <c r="O7285" s="1"/>
      <c r="P7285" s="51"/>
    </row>
    <row r="7286">
      <c r="A7286" s="54"/>
      <c r="B7286" s="71"/>
      <c r="C7286" s="51"/>
      <c r="D7286" s="114"/>
      <c r="E7286" s="114"/>
      <c r="F7286" s="54"/>
      <c r="G7286" s="54"/>
      <c r="I7286" s="54"/>
      <c r="K7286" s="54"/>
      <c r="M7286" s="114"/>
      <c r="N7286" s="1"/>
      <c r="O7286" s="1"/>
      <c r="P7286" s="51"/>
    </row>
    <row r="7287">
      <c r="A7287" s="54"/>
      <c r="B7287" s="71"/>
      <c r="C7287" s="51"/>
      <c r="D7287" s="114"/>
      <c r="E7287" s="114"/>
      <c r="F7287" s="54"/>
      <c r="G7287" s="54"/>
      <c r="I7287" s="54"/>
      <c r="K7287" s="54"/>
      <c r="M7287" s="114"/>
      <c r="N7287" s="1"/>
      <c r="O7287" s="1"/>
      <c r="P7287" s="51"/>
    </row>
    <row r="7288">
      <c r="A7288" s="54"/>
      <c r="B7288" s="71"/>
      <c r="C7288" s="51"/>
      <c r="D7288" s="114"/>
      <c r="E7288" s="114"/>
      <c r="F7288" s="54"/>
      <c r="G7288" s="54"/>
      <c r="I7288" s="54"/>
      <c r="K7288" s="54"/>
      <c r="M7288" s="114"/>
      <c r="N7288" s="1"/>
      <c r="O7288" s="1"/>
      <c r="P7288" s="51"/>
    </row>
    <row r="7289">
      <c r="A7289" s="54"/>
      <c r="B7289" s="71"/>
      <c r="C7289" s="51"/>
      <c r="D7289" s="114"/>
      <c r="E7289" s="114"/>
      <c r="F7289" s="54"/>
      <c r="G7289" s="54"/>
      <c r="I7289" s="54"/>
      <c r="K7289" s="54"/>
      <c r="M7289" s="114"/>
      <c r="N7289" s="1"/>
      <c r="O7289" s="1"/>
      <c r="P7289" s="51"/>
    </row>
    <row r="7290">
      <c r="A7290" s="54"/>
      <c r="B7290" s="71"/>
      <c r="C7290" s="51"/>
      <c r="D7290" s="114"/>
      <c r="E7290" s="114"/>
      <c r="F7290" s="54"/>
      <c r="G7290" s="54"/>
      <c r="I7290" s="54"/>
      <c r="K7290" s="54"/>
      <c r="M7290" s="114"/>
      <c r="N7290" s="1"/>
      <c r="O7290" s="1"/>
      <c r="P7290" s="51"/>
    </row>
    <row r="7291">
      <c r="A7291" s="54"/>
      <c r="B7291" s="71"/>
      <c r="C7291" s="51"/>
      <c r="D7291" s="114"/>
      <c r="E7291" s="114"/>
      <c r="F7291" s="54"/>
      <c r="G7291" s="54"/>
      <c r="I7291" s="54"/>
      <c r="K7291" s="54"/>
      <c r="M7291" s="114"/>
      <c r="N7291" s="1"/>
      <c r="O7291" s="1"/>
      <c r="P7291" s="51"/>
    </row>
    <row r="7292">
      <c r="A7292" s="54"/>
      <c r="B7292" s="71"/>
      <c r="C7292" s="51"/>
      <c r="D7292" s="114"/>
      <c r="E7292" s="114"/>
      <c r="F7292" s="54"/>
      <c r="G7292" s="54"/>
      <c r="I7292" s="54"/>
      <c r="K7292" s="54"/>
      <c r="M7292" s="114"/>
      <c r="N7292" s="1"/>
      <c r="O7292" s="1"/>
      <c r="P7292" s="51"/>
    </row>
    <row r="7293">
      <c r="A7293" s="54"/>
      <c r="B7293" s="71"/>
      <c r="C7293" s="51"/>
      <c r="D7293" s="114"/>
      <c r="E7293" s="114"/>
      <c r="F7293" s="54"/>
      <c r="G7293" s="54"/>
      <c r="I7293" s="54"/>
      <c r="K7293" s="54"/>
      <c r="M7293" s="114"/>
      <c r="N7293" s="1"/>
      <c r="O7293" s="1"/>
      <c r="P7293" s="51"/>
    </row>
    <row r="7294">
      <c r="A7294" s="54"/>
      <c r="B7294" s="71"/>
      <c r="C7294" s="51"/>
      <c r="D7294" s="114"/>
      <c r="E7294" s="114"/>
      <c r="F7294" s="54"/>
      <c r="G7294" s="54"/>
      <c r="I7294" s="54"/>
      <c r="K7294" s="54"/>
      <c r="M7294" s="114"/>
      <c r="N7294" s="1"/>
      <c r="O7294" s="1"/>
      <c r="P7294" s="51"/>
    </row>
    <row r="7295">
      <c r="A7295" s="54"/>
      <c r="B7295" s="71"/>
      <c r="C7295" s="51"/>
      <c r="D7295" s="114"/>
      <c r="E7295" s="114"/>
      <c r="F7295" s="54"/>
      <c r="G7295" s="54"/>
      <c r="I7295" s="54"/>
      <c r="K7295" s="54"/>
      <c r="M7295" s="114"/>
      <c r="N7295" s="1"/>
      <c r="O7295" s="1"/>
      <c r="P7295" s="51"/>
    </row>
    <row r="7296">
      <c r="A7296" s="54"/>
      <c r="B7296" s="71"/>
      <c r="C7296" s="51"/>
      <c r="D7296" s="114"/>
      <c r="E7296" s="114"/>
      <c r="F7296" s="54"/>
      <c r="G7296" s="54"/>
      <c r="I7296" s="54"/>
      <c r="K7296" s="54"/>
      <c r="M7296" s="114"/>
      <c r="N7296" s="1"/>
      <c r="O7296" s="1"/>
      <c r="P7296" s="51"/>
    </row>
    <row r="7297">
      <c r="A7297" s="54"/>
      <c r="B7297" s="71"/>
      <c r="C7297" s="51"/>
      <c r="D7297" s="114"/>
      <c r="E7297" s="114"/>
      <c r="F7297" s="54"/>
      <c r="G7297" s="54"/>
      <c r="I7297" s="54"/>
      <c r="K7297" s="54"/>
      <c r="M7297" s="114"/>
      <c r="N7297" s="1"/>
      <c r="O7297" s="1"/>
      <c r="P7297" s="51"/>
    </row>
    <row r="7298">
      <c r="A7298" s="54"/>
      <c r="B7298" s="71"/>
      <c r="C7298" s="51"/>
      <c r="D7298" s="114"/>
      <c r="E7298" s="114"/>
      <c r="F7298" s="54"/>
      <c r="G7298" s="54"/>
      <c r="I7298" s="54"/>
      <c r="K7298" s="54"/>
      <c r="M7298" s="114"/>
      <c r="N7298" s="1"/>
      <c r="O7298" s="1"/>
      <c r="P7298" s="51"/>
    </row>
    <row r="7299">
      <c r="A7299" s="54"/>
      <c r="B7299" s="71"/>
      <c r="C7299" s="51"/>
      <c r="D7299" s="114"/>
      <c r="E7299" s="114"/>
      <c r="F7299" s="54"/>
      <c r="G7299" s="54"/>
      <c r="I7299" s="54"/>
      <c r="K7299" s="54"/>
      <c r="M7299" s="114"/>
      <c r="N7299" s="1"/>
      <c r="O7299" s="1"/>
      <c r="P7299" s="51"/>
    </row>
    <row r="7300">
      <c r="A7300" s="54"/>
      <c r="B7300" s="71"/>
      <c r="C7300" s="51"/>
      <c r="D7300" s="114"/>
      <c r="E7300" s="114"/>
      <c r="F7300" s="54"/>
      <c r="G7300" s="54"/>
      <c r="I7300" s="54"/>
      <c r="K7300" s="54"/>
      <c r="M7300" s="114"/>
      <c r="N7300" s="1"/>
      <c r="O7300" s="1"/>
      <c r="P7300" s="51"/>
    </row>
    <row r="7301">
      <c r="A7301" s="54"/>
      <c r="B7301" s="71"/>
      <c r="C7301" s="51"/>
      <c r="D7301" s="114"/>
      <c r="E7301" s="114"/>
      <c r="F7301" s="54"/>
      <c r="G7301" s="54"/>
      <c r="I7301" s="54"/>
      <c r="K7301" s="54"/>
      <c r="M7301" s="114"/>
      <c r="N7301" s="1"/>
      <c r="O7301" s="1"/>
      <c r="P7301" s="51"/>
    </row>
    <row r="7302">
      <c r="A7302" s="54"/>
      <c r="B7302" s="71"/>
      <c r="C7302" s="51"/>
      <c r="D7302" s="114"/>
      <c r="E7302" s="114"/>
      <c r="F7302" s="54"/>
      <c r="G7302" s="54"/>
      <c r="I7302" s="54"/>
      <c r="K7302" s="54"/>
      <c r="M7302" s="114"/>
      <c r="N7302" s="1"/>
      <c r="O7302" s="1"/>
      <c r="P7302" s="51"/>
    </row>
    <row r="7303">
      <c r="A7303" s="54"/>
      <c r="B7303" s="71"/>
      <c r="C7303" s="51"/>
      <c r="D7303" s="114"/>
      <c r="E7303" s="114"/>
      <c r="F7303" s="54"/>
      <c r="G7303" s="54"/>
      <c r="I7303" s="54"/>
      <c r="K7303" s="54"/>
      <c r="M7303" s="114"/>
      <c r="N7303" s="1"/>
      <c r="O7303" s="1"/>
      <c r="P7303" s="51"/>
    </row>
    <row r="7304">
      <c r="A7304" s="54"/>
      <c r="B7304" s="71"/>
      <c r="C7304" s="51"/>
      <c r="D7304" s="114"/>
      <c r="E7304" s="114"/>
      <c r="F7304" s="54"/>
      <c r="G7304" s="54"/>
      <c r="I7304" s="54"/>
      <c r="K7304" s="54"/>
      <c r="M7304" s="114"/>
      <c r="N7304" s="1"/>
      <c r="O7304" s="1"/>
      <c r="P7304" s="51"/>
    </row>
    <row r="7305">
      <c r="A7305" s="54"/>
      <c r="B7305" s="71"/>
      <c r="C7305" s="51"/>
      <c r="D7305" s="114"/>
      <c r="E7305" s="114"/>
      <c r="F7305" s="54"/>
      <c r="G7305" s="54"/>
      <c r="I7305" s="54"/>
      <c r="K7305" s="54"/>
      <c r="M7305" s="114"/>
      <c r="N7305" s="1"/>
      <c r="O7305" s="1"/>
      <c r="P7305" s="51"/>
    </row>
    <row r="7306">
      <c r="A7306" s="54"/>
      <c r="B7306" s="71"/>
      <c r="C7306" s="51"/>
      <c r="D7306" s="114"/>
      <c r="E7306" s="114"/>
      <c r="F7306" s="54"/>
      <c r="G7306" s="54"/>
      <c r="I7306" s="54"/>
      <c r="K7306" s="54"/>
      <c r="M7306" s="114"/>
      <c r="N7306" s="1"/>
      <c r="O7306" s="1"/>
      <c r="P7306" s="51"/>
    </row>
    <row r="7307">
      <c r="A7307" s="54"/>
      <c r="B7307" s="71"/>
      <c r="C7307" s="51"/>
      <c r="D7307" s="114"/>
      <c r="E7307" s="114"/>
      <c r="F7307" s="54"/>
      <c r="G7307" s="54"/>
      <c r="I7307" s="54"/>
      <c r="K7307" s="54"/>
      <c r="M7307" s="114"/>
      <c r="N7307" s="1"/>
      <c r="O7307" s="1"/>
      <c r="P7307" s="51"/>
    </row>
    <row r="7308">
      <c r="A7308" s="54"/>
      <c r="B7308" s="71"/>
      <c r="C7308" s="51"/>
      <c r="D7308" s="114"/>
      <c r="E7308" s="114"/>
      <c r="F7308" s="54"/>
      <c r="G7308" s="54"/>
      <c r="I7308" s="54"/>
      <c r="K7308" s="54"/>
      <c r="M7308" s="114"/>
      <c r="N7308" s="1"/>
      <c r="O7308" s="1"/>
      <c r="P7308" s="51"/>
    </row>
    <row r="7309">
      <c r="A7309" s="54"/>
      <c r="B7309" s="71"/>
      <c r="C7309" s="51"/>
      <c r="D7309" s="114"/>
      <c r="E7309" s="114"/>
      <c r="F7309" s="54"/>
      <c r="G7309" s="54"/>
      <c r="I7309" s="54"/>
      <c r="K7309" s="54"/>
      <c r="M7309" s="114"/>
      <c r="N7309" s="1"/>
      <c r="O7309" s="1"/>
      <c r="P7309" s="51"/>
    </row>
    <row r="7310">
      <c r="A7310" s="54"/>
      <c r="B7310" s="71"/>
      <c r="C7310" s="51"/>
      <c r="D7310" s="114"/>
      <c r="E7310" s="114"/>
      <c r="F7310" s="54"/>
      <c r="G7310" s="54"/>
      <c r="I7310" s="54"/>
      <c r="K7310" s="54"/>
      <c r="M7310" s="114"/>
      <c r="N7310" s="1"/>
      <c r="O7310" s="1"/>
      <c r="P7310" s="51"/>
    </row>
    <row r="7311">
      <c r="A7311" s="54"/>
      <c r="B7311" s="71"/>
      <c r="C7311" s="51"/>
      <c r="D7311" s="114"/>
      <c r="E7311" s="114"/>
      <c r="F7311" s="54"/>
      <c r="G7311" s="54"/>
      <c r="I7311" s="54"/>
      <c r="K7311" s="54"/>
      <c r="M7311" s="114"/>
      <c r="N7311" s="1"/>
      <c r="O7311" s="1"/>
      <c r="P7311" s="51"/>
    </row>
    <row r="7312">
      <c r="A7312" s="54"/>
      <c r="B7312" s="71"/>
      <c r="C7312" s="51"/>
      <c r="D7312" s="114"/>
      <c r="E7312" s="114"/>
      <c r="F7312" s="54"/>
      <c r="G7312" s="54"/>
      <c r="I7312" s="54"/>
      <c r="K7312" s="54"/>
      <c r="M7312" s="114"/>
      <c r="N7312" s="1"/>
      <c r="O7312" s="1"/>
      <c r="P7312" s="51"/>
    </row>
    <row r="7313">
      <c r="A7313" s="54"/>
      <c r="B7313" s="71"/>
      <c r="C7313" s="51"/>
      <c r="D7313" s="114"/>
      <c r="E7313" s="114"/>
      <c r="F7313" s="54"/>
      <c r="G7313" s="54"/>
      <c r="I7313" s="54"/>
      <c r="K7313" s="54"/>
      <c r="M7313" s="114"/>
      <c r="N7313" s="1"/>
      <c r="O7313" s="1"/>
      <c r="P7313" s="51"/>
    </row>
    <row r="7314">
      <c r="A7314" s="54"/>
      <c r="B7314" s="71"/>
      <c r="C7314" s="51"/>
      <c r="D7314" s="114"/>
      <c r="E7314" s="114"/>
      <c r="F7314" s="54"/>
      <c r="G7314" s="54"/>
      <c r="I7314" s="54"/>
      <c r="K7314" s="54"/>
      <c r="M7314" s="114"/>
      <c r="N7314" s="1"/>
      <c r="O7314" s="1"/>
      <c r="P7314" s="51"/>
    </row>
    <row r="7315">
      <c r="A7315" s="54"/>
      <c r="B7315" s="71"/>
      <c r="C7315" s="51"/>
      <c r="D7315" s="114"/>
      <c r="E7315" s="114"/>
      <c r="F7315" s="54"/>
      <c r="G7315" s="54"/>
      <c r="I7315" s="54"/>
      <c r="K7315" s="54"/>
      <c r="M7315" s="114"/>
      <c r="N7315" s="1"/>
      <c r="O7315" s="1"/>
      <c r="P7315" s="51"/>
    </row>
    <row r="7316">
      <c r="A7316" s="54"/>
      <c r="B7316" s="71"/>
      <c r="C7316" s="51"/>
      <c r="D7316" s="114"/>
      <c r="E7316" s="114"/>
      <c r="F7316" s="54"/>
      <c r="G7316" s="54"/>
      <c r="I7316" s="54"/>
      <c r="K7316" s="54"/>
      <c r="M7316" s="114"/>
      <c r="N7316" s="1"/>
      <c r="O7316" s="1"/>
      <c r="P7316" s="51"/>
    </row>
    <row r="7317">
      <c r="A7317" s="54"/>
      <c r="B7317" s="71"/>
      <c r="C7317" s="51"/>
      <c r="D7317" s="114"/>
      <c r="E7317" s="114"/>
      <c r="F7317" s="54"/>
      <c r="G7317" s="54"/>
      <c r="I7317" s="54"/>
      <c r="K7317" s="54"/>
      <c r="M7317" s="114"/>
      <c r="N7317" s="1"/>
      <c r="O7317" s="1"/>
      <c r="P7317" s="51"/>
    </row>
    <row r="7318">
      <c r="A7318" s="54"/>
      <c r="B7318" s="71"/>
      <c r="C7318" s="51"/>
      <c r="D7318" s="114"/>
      <c r="E7318" s="114"/>
      <c r="F7318" s="54"/>
      <c r="G7318" s="54"/>
      <c r="I7318" s="54"/>
      <c r="K7318" s="54"/>
      <c r="M7318" s="114"/>
      <c r="N7318" s="1"/>
      <c r="O7318" s="1"/>
      <c r="P7318" s="51"/>
    </row>
    <row r="7319">
      <c r="A7319" s="54"/>
      <c r="B7319" s="71"/>
      <c r="C7319" s="51"/>
      <c r="D7319" s="114"/>
      <c r="E7319" s="114"/>
      <c r="F7319" s="54"/>
      <c r="G7319" s="54"/>
      <c r="I7319" s="54"/>
      <c r="K7319" s="54"/>
      <c r="M7319" s="114"/>
      <c r="N7319" s="1"/>
      <c r="O7319" s="1"/>
      <c r="P7319" s="51"/>
    </row>
    <row r="7320">
      <c r="A7320" s="54"/>
      <c r="B7320" s="71"/>
      <c r="C7320" s="51"/>
      <c r="D7320" s="114"/>
      <c r="E7320" s="114"/>
      <c r="F7320" s="54"/>
      <c r="G7320" s="54"/>
      <c r="I7320" s="54"/>
      <c r="K7320" s="54"/>
      <c r="M7320" s="114"/>
      <c r="N7320" s="1"/>
      <c r="O7320" s="1"/>
      <c r="P7320" s="51"/>
    </row>
    <row r="7321">
      <c r="A7321" s="54"/>
      <c r="B7321" s="71"/>
      <c r="C7321" s="51"/>
      <c r="D7321" s="114"/>
      <c r="E7321" s="114"/>
      <c r="F7321" s="54"/>
      <c r="G7321" s="54"/>
      <c r="I7321" s="54"/>
      <c r="K7321" s="54"/>
      <c r="M7321" s="114"/>
      <c r="N7321" s="1"/>
      <c r="O7321" s="1"/>
      <c r="P7321" s="51"/>
    </row>
    <row r="7322">
      <c r="A7322" s="54"/>
      <c r="B7322" s="71"/>
      <c r="C7322" s="51"/>
      <c r="D7322" s="114"/>
      <c r="E7322" s="114"/>
      <c r="F7322" s="54"/>
      <c r="G7322" s="54"/>
      <c r="I7322" s="54"/>
      <c r="K7322" s="54"/>
      <c r="M7322" s="114"/>
      <c r="N7322" s="1"/>
      <c r="O7322" s="1"/>
      <c r="P7322" s="51"/>
    </row>
    <row r="7323">
      <c r="A7323" s="54"/>
      <c r="B7323" s="71"/>
      <c r="C7323" s="51"/>
      <c r="D7323" s="114"/>
      <c r="E7323" s="114"/>
      <c r="F7323" s="54"/>
      <c r="G7323" s="54"/>
      <c r="I7323" s="54"/>
      <c r="K7323" s="54"/>
      <c r="M7323" s="114"/>
      <c r="N7323" s="1"/>
      <c r="O7323" s="1"/>
      <c r="P7323" s="51"/>
    </row>
    <row r="7324">
      <c r="A7324" s="54"/>
      <c r="B7324" s="71"/>
      <c r="C7324" s="51"/>
      <c r="D7324" s="114"/>
      <c r="E7324" s="114"/>
      <c r="F7324" s="54"/>
      <c r="G7324" s="54"/>
      <c r="I7324" s="54"/>
      <c r="K7324" s="54"/>
      <c r="M7324" s="114"/>
      <c r="N7324" s="1"/>
      <c r="O7324" s="1"/>
      <c r="P7324" s="51"/>
    </row>
    <row r="7325">
      <c r="A7325" s="54"/>
      <c r="B7325" s="71"/>
      <c r="C7325" s="51"/>
      <c r="D7325" s="114"/>
      <c r="E7325" s="114"/>
      <c r="F7325" s="54"/>
      <c r="G7325" s="54"/>
      <c r="I7325" s="54"/>
      <c r="K7325" s="54"/>
      <c r="M7325" s="114"/>
      <c r="N7325" s="1"/>
      <c r="O7325" s="1"/>
      <c r="P7325" s="51"/>
    </row>
    <row r="7326">
      <c r="A7326" s="54"/>
      <c r="B7326" s="71"/>
      <c r="C7326" s="51"/>
      <c r="D7326" s="114"/>
      <c r="E7326" s="114"/>
      <c r="F7326" s="54"/>
      <c r="G7326" s="54"/>
      <c r="I7326" s="54"/>
      <c r="K7326" s="54"/>
      <c r="M7326" s="114"/>
      <c r="N7326" s="1"/>
      <c r="O7326" s="1"/>
      <c r="P7326" s="51"/>
    </row>
    <row r="7327">
      <c r="A7327" s="54"/>
      <c r="B7327" s="71"/>
      <c r="C7327" s="51"/>
      <c r="D7327" s="114"/>
      <c r="E7327" s="114"/>
      <c r="F7327" s="54"/>
      <c r="G7327" s="54"/>
      <c r="I7327" s="54"/>
      <c r="K7327" s="54"/>
      <c r="M7327" s="114"/>
      <c r="N7327" s="1"/>
      <c r="O7327" s="1"/>
      <c r="P7327" s="51"/>
    </row>
    <row r="7328">
      <c r="A7328" s="54"/>
      <c r="B7328" s="71"/>
      <c r="C7328" s="51"/>
      <c r="D7328" s="114"/>
      <c r="E7328" s="114"/>
      <c r="F7328" s="54"/>
      <c r="G7328" s="54"/>
      <c r="I7328" s="54"/>
      <c r="K7328" s="54"/>
      <c r="M7328" s="114"/>
      <c r="N7328" s="1"/>
      <c r="O7328" s="1"/>
      <c r="P7328" s="51"/>
    </row>
    <row r="7329">
      <c r="A7329" s="54"/>
      <c r="B7329" s="71"/>
      <c r="C7329" s="51"/>
      <c r="D7329" s="114"/>
      <c r="E7329" s="114"/>
      <c r="F7329" s="54"/>
      <c r="G7329" s="54"/>
      <c r="I7329" s="54"/>
      <c r="K7329" s="54"/>
      <c r="M7329" s="114"/>
      <c r="N7329" s="1"/>
      <c r="O7329" s="1"/>
      <c r="P7329" s="51"/>
    </row>
    <row r="7330">
      <c r="A7330" s="54"/>
      <c r="B7330" s="71"/>
      <c r="C7330" s="51"/>
      <c r="D7330" s="114"/>
      <c r="E7330" s="114"/>
      <c r="F7330" s="54"/>
      <c r="G7330" s="54"/>
      <c r="I7330" s="54"/>
      <c r="K7330" s="54"/>
      <c r="M7330" s="114"/>
      <c r="N7330" s="1"/>
      <c r="O7330" s="1"/>
      <c r="P7330" s="51"/>
    </row>
    <row r="7331">
      <c r="A7331" s="54"/>
      <c r="B7331" s="71"/>
      <c r="C7331" s="51"/>
      <c r="D7331" s="114"/>
      <c r="E7331" s="114"/>
      <c r="F7331" s="54"/>
      <c r="G7331" s="54"/>
      <c r="I7331" s="54"/>
      <c r="K7331" s="54"/>
      <c r="M7331" s="114"/>
      <c r="N7331" s="1"/>
      <c r="O7331" s="1"/>
      <c r="P7331" s="51"/>
    </row>
    <row r="7332">
      <c r="A7332" s="54"/>
      <c r="B7332" s="71"/>
      <c r="C7332" s="51"/>
      <c r="D7332" s="114"/>
      <c r="E7332" s="114"/>
      <c r="F7332" s="54"/>
      <c r="G7332" s="54"/>
      <c r="I7332" s="54"/>
      <c r="K7332" s="54"/>
      <c r="M7332" s="114"/>
      <c r="N7332" s="1"/>
      <c r="O7332" s="1"/>
      <c r="P7332" s="51"/>
    </row>
    <row r="7333">
      <c r="A7333" s="54"/>
      <c r="B7333" s="71"/>
      <c r="C7333" s="51"/>
      <c r="D7333" s="114"/>
      <c r="E7333" s="114"/>
      <c r="F7333" s="54"/>
      <c r="G7333" s="54"/>
      <c r="I7333" s="54"/>
      <c r="K7333" s="54"/>
      <c r="M7333" s="114"/>
      <c r="N7333" s="1"/>
      <c r="O7333" s="1"/>
      <c r="P7333" s="51"/>
    </row>
    <row r="7334">
      <c r="A7334" s="54"/>
      <c r="B7334" s="71"/>
      <c r="C7334" s="51"/>
      <c r="D7334" s="114"/>
      <c r="E7334" s="114"/>
      <c r="F7334" s="54"/>
      <c r="G7334" s="54"/>
      <c r="I7334" s="54"/>
      <c r="K7334" s="54"/>
      <c r="M7334" s="114"/>
      <c r="N7334" s="1"/>
      <c r="O7334" s="1"/>
      <c r="P7334" s="51"/>
    </row>
    <row r="7335">
      <c r="A7335" s="54"/>
      <c r="B7335" s="71"/>
      <c r="C7335" s="51"/>
      <c r="D7335" s="114"/>
      <c r="E7335" s="114"/>
      <c r="F7335" s="54"/>
      <c r="G7335" s="54"/>
      <c r="I7335" s="54"/>
      <c r="K7335" s="54"/>
      <c r="M7335" s="114"/>
      <c r="N7335" s="1"/>
      <c r="O7335" s="1"/>
      <c r="P7335" s="51"/>
    </row>
    <row r="7336">
      <c r="A7336" s="54"/>
      <c r="B7336" s="71"/>
      <c r="C7336" s="51"/>
      <c r="D7336" s="114"/>
      <c r="E7336" s="114"/>
      <c r="F7336" s="54"/>
      <c r="G7336" s="54"/>
      <c r="I7336" s="54"/>
      <c r="K7336" s="54"/>
      <c r="M7336" s="114"/>
      <c r="N7336" s="1"/>
      <c r="O7336" s="1"/>
      <c r="P7336" s="51"/>
    </row>
    <row r="7337">
      <c r="A7337" s="54"/>
      <c r="B7337" s="71"/>
      <c r="C7337" s="51"/>
      <c r="D7337" s="114"/>
      <c r="E7337" s="114"/>
      <c r="F7337" s="54"/>
      <c r="G7337" s="54"/>
      <c r="I7337" s="54"/>
      <c r="K7337" s="54"/>
      <c r="M7337" s="114"/>
      <c r="N7337" s="1"/>
      <c r="O7337" s="1"/>
      <c r="P7337" s="51"/>
    </row>
    <row r="7338">
      <c r="A7338" s="54"/>
      <c r="B7338" s="71"/>
      <c r="C7338" s="51"/>
      <c r="D7338" s="114"/>
      <c r="E7338" s="114"/>
      <c r="F7338" s="54"/>
      <c r="G7338" s="54"/>
      <c r="I7338" s="54"/>
      <c r="K7338" s="54"/>
      <c r="M7338" s="114"/>
      <c r="N7338" s="1"/>
      <c r="O7338" s="1"/>
      <c r="P7338" s="51"/>
    </row>
    <row r="7339">
      <c r="A7339" s="54"/>
      <c r="B7339" s="71"/>
      <c r="C7339" s="51"/>
      <c r="D7339" s="114"/>
      <c r="E7339" s="114"/>
      <c r="F7339" s="54"/>
      <c r="G7339" s="54"/>
      <c r="I7339" s="54"/>
      <c r="K7339" s="54"/>
      <c r="M7339" s="114"/>
      <c r="N7339" s="1"/>
      <c r="O7339" s="1"/>
      <c r="P7339" s="51"/>
    </row>
    <row r="7340">
      <c r="A7340" s="54"/>
      <c r="B7340" s="71"/>
      <c r="C7340" s="51"/>
      <c r="D7340" s="114"/>
      <c r="E7340" s="114"/>
      <c r="F7340" s="54"/>
      <c r="G7340" s="54"/>
      <c r="I7340" s="54"/>
      <c r="K7340" s="54"/>
      <c r="M7340" s="114"/>
      <c r="N7340" s="1"/>
      <c r="O7340" s="1"/>
      <c r="P7340" s="51"/>
    </row>
    <row r="7341">
      <c r="A7341" s="54"/>
      <c r="B7341" s="71"/>
      <c r="C7341" s="51"/>
      <c r="D7341" s="114"/>
      <c r="E7341" s="114"/>
      <c r="F7341" s="54"/>
      <c r="G7341" s="54"/>
      <c r="I7341" s="54"/>
      <c r="K7341" s="54"/>
      <c r="M7341" s="114"/>
      <c r="N7341" s="1"/>
      <c r="O7341" s="1"/>
      <c r="P7341" s="51"/>
    </row>
    <row r="7342">
      <c r="A7342" s="54"/>
      <c r="B7342" s="71"/>
      <c r="C7342" s="51"/>
      <c r="D7342" s="114"/>
      <c r="E7342" s="114"/>
      <c r="F7342" s="54"/>
      <c r="G7342" s="54"/>
      <c r="I7342" s="54"/>
      <c r="K7342" s="54"/>
      <c r="M7342" s="114"/>
      <c r="N7342" s="1"/>
      <c r="O7342" s="1"/>
      <c r="P7342" s="51"/>
    </row>
    <row r="7343">
      <c r="A7343" s="54"/>
      <c r="B7343" s="71"/>
      <c r="C7343" s="51"/>
      <c r="D7343" s="114"/>
      <c r="E7343" s="114"/>
      <c r="F7343" s="54"/>
      <c r="G7343" s="54"/>
      <c r="I7343" s="54"/>
      <c r="K7343" s="54"/>
      <c r="M7343" s="114"/>
      <c r="N7343" s="1"/>
      <c r="O7343" s="1"/>
      <c r="P7343" s="51"/>
    </row>
    <row r="7344">
      <c r="A7344" s="54"/>
      <c r="B7344" s="71"/>
      <c r="C7344" s="51"/>
      <c r="D7344" s="114"/>
      <c r="E7344" s="114"/>
      <c r="F7344" s="54"/>
      <c r="G7344" s="54"/>
      <c r="I7344" s="54"/>
      <c r="K7344" s="54"/>
      <c r="M7344" s="114"/>
      <c r="N7344" s="1"/>
      <c r="O7344" s="1"/>
      <c r="P7344" s="51"/>
    </row>
    <row r="7345">
      <c r="A7345" s="54"/>
      <c r="B7345" s="71"/>
      <c r="C7345" s="51"/>
      <c r="D7345" s="114"/>
      <c r="E7345" s="114"/>
      <c r="F7345" s="54"/>
      <c r="G7345" s="54"/>
      <c r="I7345" s="54"/>
      <c r="K7345" s="54"/>
      <c r="M7345" s="114"/>
      <c r="N7345" s="1"/>
      <c r="O7345" s="1"/>
      <c r="P7345" s="51"/>
    </row>
    <row r="7346">
      <c r="A7346" s="54"/>
      <c r="B7346" s="71"/>
      <c r="C7346" s="51"/>
      <c r="D7346" s="114"/>
      <c r="E7346" s="114"/>
      <c r="F7346" s="54"/>
      <c r="G7346" s="54"/>
      <c r="I7346" s="54"/>
      <c r="K7346" s="54"/>
      <c r="M7346" s="114"/>
      <c r="N7346" s="1"/>
      <c r="O7346" s="1"/>
      <c r="P7346" s="51"/>
    </row>
    <row r="7347">
      <c r="A7347" s="54"/>
      <c r="B7347" s="71"/>
      <c r="C7347" s="51"/>
      <c r="D7347" s="114"/>
      <c r="E7347" s="114"/>
      <c r="F7347" s="54"/>
      <c r="G7347" s="54"/>
      <c r="I7347" s="54"/>
      <c r="K7347" s="54"/>
      <c r="M7347" s="114"/>
      <c r="N7347" s="1"/>
      <c r="O7347" s="1"/>
      <c r="P7347" s="51"/>
    </row>
    <row r="7348">
      <c r="A7348" s="54"/>
      <c r="B7348" s="71"/>
      <c r="C7348" s="51"/>
      <c r="D7348" s="114"/>
      <c r="E7348" s="114"/>
      <c r="F7348" s="54"/>
      <c r="G7348" s="54"/>
      <c r="I7348" s="54"/>
      <c r="K7348" s="54"/>
      <c r="M7348" s="114"/>
      <c r="N7348" s="1"/>
      <c r="O7348" s="1"/>
      <c r="P7348" s="51"/>
    </row>
    <row r="7349">
      <c r="A7349" s="54"/>
      <c r="B7349" s="71"/>
      <c r="C7349" s="51"/>
      <c r="D7349" s="114"/>
      <c r="E7349" s="114"/>
      <c r="F7349" s="54"/>
      <c r="G7349" s="54"/>
      <c r="I7349" s="54"/>
      <c r="K7349" s="54"/>
      <c r="M7349" s="114"/>
      <c r="N7349" s="1"/>
      <c r="O7349" s="1"/>
      <c r="P7349" s="51"/>
    </row>
    <row r="7350">
      <c r="A7350" s="54"/>
      <c r="B7350" s="71"/>
      <c r="C7350" s="51"/>
      <c r="D7350" s="114"/>
      <c r="E7350" s="114"/>
      <c r="F7350" s="54"/>
      <c r="G7350" s="54"/>
      <c r="I7350" s="54"/>
      <c r="K7350" s="54"/>
      <c r="M7350" s="114"/>
      <c r="N7350" s="1"/>
      <c r="O7350" s="1"/>
      <c r="P7350" s="51"/>
    </row>
    <row r="7351">
      <c r="A7351" s="54"/>
      <c r="B7351" s="71"/>
      <c r="C7351" s="51"/>
      <c r="D7351" s="114"/>
      <c r="E7351" s="114"/>
      <c r="F7351" s="54"/>
      <c r="G7351" s="54"/>
      <c r="I7351" s="54"/>
      <c r="K7351" s="54"/>
      <c r="M7351" s="114"/>
      <c r="N7351" s="1"/>
      <c r="O7351" s="1"/>
      <c r="P7351" s="51"/>
    </row>
    <row r="7352">
      <c r="A7352" s="54"/>
      <c r="B7352" s="71"/>
      <c r="C7352" s="51"/>
      <c r="D7352" s="114"/>
      <c r="E7352" s="114"/>
      <c r="F7352" s="54"/>
      <c r="G7352" s="54"/>
      <c r="I7352" s="54"/>
      <c r="K7352" s="54"/>
      <c r="M7352" s="114"/>
      <c r="N7352" s="1"/>
      <c r="O7352" s="1"/>
      <c r="P7352" s="51"/>
    </row>
    <row r="7353">
      <c r="A7353" s="54"/>
      <c r="B7353" s="71"/>
      <c r="C7353" s="51"/>
      <c r="D7353" s="114"/>
      <c r="E7353" s="114"/>
      <c r="F7353" s="54"/>
      <c r="G7353" s="54"/>
      <c r="I7353" s="54"/>
      <c r="K7353" s="54"/>
      <c r="M7353" s="114"/>
      <c r="N7353" s="1"/>
      <c r="O7353" s="1"/>
      <c r="P7353" s="51"/>
    </row>
    <row r="7354">
      <c r="A7354" s="54"/>
      <c r="B7354" s="71"/>
      <c r="C7354" s="51"/>
      <c r="D7354" s="114"/>
      <c r="E7354" s="114"/>
      <c r="F7354" s="54"/>
      <c r="G7354" s="54"/>
      <c r="I7354" s="54"/>
      <c r="K7354" s="54"/>
      <c r="M7354" s="114"/>
      <c r="N7354" s="1"/>
      <c r="O7354" s="1"/>
      <c r="P7354" s="51"/>
    </row>
    <row r="7355">
      <c r="A7355" s="54"/>
      <c r="B7355" s="71"/>
      <c r="C7355" s="51"/>
      <c r="D7355" s="114"/>
      <c r="E7355" s="114"/>
      <c r="F7355" s="54"/>
      <c r="G7355" s="54"/>
      <c r="I7355" s="54"/>
      <c r="K7355" s="54"/>
      <c r="M7355" s="114"/>
      <c r="N7355" s="1"/>
      <c r="O7355" s="1"/>
      <c r="P7355" s="51"/>
    </row>
    <row r="7356">
      <c r="A7356" s="54"/>
      <c r="B7356" s="71"/>
      <c r="C7356" s="51"/>
      <c r="D7356" s="114"/>
      <c r="E7356" s="114"/>
      <c r="F7356" s="54"/>
      <c r="G7356" s="54"/>
      <c r="I7356" s="54"/>
      <c r="K7356" s="54"/>
      <c r="M7356" s="114"/>
      <c r="N7356" s="1"/>
      <c r="O7356" s="1"/>
      <c r="P7356" s="51"/>
    </row>
    <row r="7357">
      <c r="A7357" s="54"/>
      <c r="B7357" s="71"/>
      <c r="C7357" s="51"/>
      <c r="D7357" s="114"/>
      <c r="E7357" s="114"/>
      <c r="F7357" s="54"/>
      <c r="G7357" s="54"/>
      <c r="I7357" s="54"/>
      <c r="K7357" s="54"/>
      <c r="M7357" s="114"/>
      <c r="N7357" s="1"/>
      <c r="O7357" s="1"/>
      <c r="P7357" s="51"/>
    </row>
    <row r="7358">
      <c r="A7358" s="54"/>
      <c r="B7358" s="71"/>
      <c r="C7358" s="51"/>
      <c r="D7358" s="114"/>
      <c r="E7358" s="114"/>
      <c r="F7358" s="54"/>
      <c r="G7358" s="54"/>
      <c r="I7358" s="54"/>
      <c r="K7358" s="54"/>
      <c r="M7358" s="114"/>
      <c r="N7358" s="1"/>
      <c r="O7358" s="1"/>
      <c r="P7358" s="51"/>
    </row>
    <row r="7359">
      <c r="A7359" s="54"/>
      <c r="B7359" s="71"/>
      <c r="C7359" s="51"/>
      <c r="D7359" s="114"/>
      <c r="E7359" s="114"/>
      <c r="F7359" s="54"/>
      <c r="G7359" s="54"/>
      <c r="I7359" s="54"/>
      <c r="K7359" s="54"/>
      <c r="M7359" s="114"/>
      <c r="N7359" s="1"/>
      <c r="O7359" s="1"/>
      <c r="P7359" s="51"/>
    </row>
    <row r="7360">
      <c r="A7360" s="54"/>
      <c r="B7360" s="71"/>
      <c r="C7360" s="51"/>
      <c r="D7360" s="114"/>
      <c r="E7360" s="114"/>
      <c r="F7360" s="54"/>
      <c r="G7360" s="54"/>
      <c r="I7360" s="54"/>
      <c r="K7360" s="54"/>
      <c r="M7360" s="114"/>
      <c r="N7360" s="1"/>
      <c r="O7360" s="1"/>
      <c r="P7360" s="51"/>
    </row>
    <row r="7361">
      <c r="A7361" s="54"/>
      <c r="B7361" s="71"/>
      <c r="C7361" s="51"/>
      <c r="D7361" s="114"/>
      <c r="E7361" s="114"/>
      <c r="F7361" s="54"/>
      <c r="G7361" s="54"/>
      <c r="I7361" s="54"/>
      <c r="K7361" s="54"/>
      <c r="M7361" s="114"/>
      <c r="N7361" s="1"/>
      <c r="O7361" s="1"/>
      <c r="P7361" s="51"/>
    </row>
    <row r="7362">
      <c r="A7362" s="54"/>
      <c r="B7362" s="71"/>
      <c r="C7362" s="51"/>
      <c r="D7362" s="114"/>
      <c r="E7362" s="114"/>
      <c r="F7362" s="54"/>
      <c r="G7362" s="54"/>
      <c r="I7362" s="54"/>
      <c r="K7362" s="54"/>
      <c r="M7362" s="114"/>
      <c r="N7362" s="1"/>
      <c r="O7362" s="1"/>
      <c r="P7362" s="51"/>
    </row>
    <row r="7363">
      <c r="A7363" s="54"/>
      <c r="B7363" s="71"/>
      <c r="C7363" s="51"/>
      <c r="D7363" s="114"/>
      <c r="E7363" s="114"/>
      <c r="F7363" s="54"/>
      <c r="G7363" s="54"/>
      <c r="I7363" s="54"/>
      <c r="K7363" s="54"/>
      <c r="M7363" s="114"/>
      <c r="N7363" s="1"/>
      <c r="O7363" s="1"/>
      <c r="P7363" s="51"/>
    </row>
    <row r="7364">
      <c r="A7364" s="54"/>
      <c r="B7364" s="71"/>
      <c r="C7364" s="51"/>
      <c r="D7364" s="114"/>
      <c r="E7364" s="114"/>
      <c r="F7364" s="54"/>
      <c r="G7364" s="54"/>
      <c r="I7364" s="54"/>
      <c r="K7364" s="54"/>
      <c r="M7364" s="114"/>
      <c r="N7364" s="1"/>
      <c r="O7364" s="1"/>
      <c r="P7364" s="51"/>
    </row>
    <row r="7365">
      <c r="A7365" s="54"/>
      <c r="B7365" s="71"/>
      <c r="C7365" s="51"/>
      <c r="D7365" s="114"/>
      <c r="E7365" s="114"/>
      <c r="F7365" s="54"/>
      <c r="G7365" s="54"/>
      <c r="I7365" s="54"/>
      <c r="K7365" s="54"/>
      <c r="M7365" s="114"/>
      <c r="N7365" s="1"/>
      <c r="O7365" s="1"/>
      <c r="P7365" s="51"/>
    </row>
    <row r="7366">
      <c r="A7366" s="54"/>
      <c r="B7366" s="71"/>
      <c r="C7366" s="51"/>
      <c r="D7366" s="114"/>
      <c r="E7366" s="114"/>
      <c r="F7366" s="54"/>
      <c r="G7366" s="54"/>
      <c r="I7366" s="54"/>
      <c r="K7366" s="54"/>
      <c r="M7366" s="114"/>
      <c r="N7366" s="1"/>
      <c r="O7366" s="1"/>
      <c r="P7366" s="51"/>
    </row>
    <row r="7367">
      <c r="A7367" s="54"/>
      <c r="B7367" s="71"/>
      <c r="C7367" s="51"/>
      <c r="D7367" s="114"/>
      <c r="E7367" s="114"/>
      <c r="F7367" s="54"/>
      <c r="G7367" s="54"/>
      <c r="I7367" s="54"/>
      <c r="K7367" s="54"/>
      <c r="M7367" s="114"/>
      <c r="N7367" s="1"/>
      <c r="O7367" s="1"/>
      <c r="P7367" s="51"/>
    </row>
    <row r="7368">
      <c r="A7368" s="54"/>
      <c r="B7368" s="71"/>
      <c r="C7368" s="51"/>
      <c r="D7368" s="114"/>
      <c r="E7368" s="114"/>
      <c r="F7368" s="54"/>
      <c r="G7368" s="54"/>
      <c r="I7368" s="54"/>
      <c r="K7368" s="54"/>
      <c r="M7368" s="114"/>
      <c r="N7368" s="1"/>
      <c r="O7368" s="1"/>
      <c r="P7368" s="51"/>
    </row>
    <row r="7369">
      <c r="A7369" s="54"/>
      <c r="B7369" s="71"/>
      <c r="C7369" s="51"/>
      <c r="D7369" s="114"/>
      <c r="E7369" s="114"/>
      <c r="F7369" s="54"/>
      <c r="G7369" s="54"/>
      <c r="I7369" s="54"/>
      <c r="K7369" s="54"/>
      <c r="M7369" s="114"/>
      <c r="N7369" s="1"/>
      <c r="O7369" s="1"/>
      <c r="P7369" s="51"/>
    </row>
    <row r="7370">
      <c r="A7370" s="54"/>
      <c r="B7370" s="71"/>
      <c r="C7370" s="51"/>
      <c r="D7370" s="114"/>
      <c r="E7370" s="114"/>
      <c r="F7370" s="54"/>
      <c r="G7370" s="54"/>
      <c r="I7370" s="54"/>
      <c r="K7370" s="54"/>
      <c r="M7370" s="114"/>
      <c r="N7370" s="1"/>
      <c r="O7370" s="1"/>
      <c r="P7370" s="51"/>
    </row>
    <row r="7371">
      <c r="A7371" s="54"/>
      <c r="B7371" s="71"/>
      <c r="C7371" s="51"/>
      <c r="D7371" s="114"/>
      <c r="E7371" s="114"/>
      <c r="F7371" s="54"/>
      <c r="G7371" s="54"/>
      <c r="I7371" s="54"/>
      <c r="K7371" s="54"/>
      <c r="M7371" s="114"/>
      <c r="N7371" s="1"/>
      <c r="O7371" s="1"/>
      <c r="P7371" s="51"/>
    </row>
    <row r="7372">
      <c r="A7372" s="54"/>
      <c r="B7372" s="71"/>
      <c r="C7372" s="51"/>
      <c r="D7372" s="114"/>
      <c r="E7372" s="114"/>
      <c r="F7372" s="54"/>
      <c r="G7372" s="54"/>
      <c r="I7372" s="54"/>
      <c r="K7372" s="54"/>
      <c r="M7372" s="114"/>
      <c r="N7372" s="1"/>
      <c r="O7372" s="1"/>
      <c r="P7372" s="51"/>
    </row>
    <row r="7373">
      <c r="A7373" s="54"/>
      <c r="B7373" s="71"/>
      <c r="C7373" s="51"/>
      <c r="D7373" s="114"/>
      <c r="E7373" s="114"/>
      <c r="F7373" s="54"/>
      <c r="G7373" s="54"/>
      <c r="I7373" s="54"/>
      <c r="K7373" s="54"/>
      <c r="M7373" s="114"/>
      <c r="N7373" s="1"/>
      <c r="O7373" s="1"/>
      <c r="P7373" s="51"/>
    </row>
    <row r="7374">
      <c r="A7374" s="54"/>
      <c r="B7374" s="71"/>
      <c r="C7374" s="51"/>
      <c r="D7374" s="114"/>
      <c r="E7374" s="114"/>
      <c r="F7374" s="54"/>
      <c r="G7374" s="54"/>
      <c r="I7374" s="54"/>
      <c r="K7374" s="54"/>
      <c r="M7374" s="114"/>
      <c r="N7374" s="1"/>
      <c r="O7374" s="1"/>
      <c r="P7374" s="51"/>
    </row>
    <row r="7375">
      <c r="A7375" s="54"/>
      <c r="B7375" s="71"/>
      <c r="C7375" s="51"/>
      <c r="D7375" s="114"/>
      <c r="E7375" s="114"/>
      <c r="F7375" s="54"/>
      <c r="G7375" s="54"/>
      <c r="I7375" s="54"/>
      <c r="K7375" s="54"/>
      <c r="M7375" s="114"/>
      <c r="N7375" s="1"/>
      <c r="O7375" s="1"/>
      <c r="P7375" s="51"/>
    </row>
    <row r="7376">
      <c r="A7376" s="54"/>
      <c r="B7376" s="71"/>
      <c r="C7376" s="51"/>
      <c r="D7376" s="114"/>
      <c r="E7376" s="114"/>
      <c r="F7376" s="54"/>
      <c r="G7376" s="54"/>
      <c r="I7376" s="54"/>
      <c r="K7376" s="54"/>
      <c r="M7376" s="114"/>
      <c r="N7376" s="1"/>
      <c r="O7376" s="1"/>
      <c r="P7376" s="51"/>
    </row>
    <row r="7377">
      <c r="A7377" s="54"/>
      <c r="B7377" s="71"/>
      <c r="C7377" s="51"/>
      <c r="D7377" s="114"/>
      <c r="E7377" s="114"/>
      <c r="F7377" s="54"/>
      <c r="G7377" s="54"/>
      <c r="I7377" s="54"/>
      <c r="K7377" s="54"/>
      <c r="M7377" s="114"/>
      <c r="N7377" s="1"/>
      <c r="O7377" s="1"/>
      <c r="P7377" s="51"/>
    </row>
    <row r="7378">
      <c r="A7378" s="54"/>
      <c r="B7378" s="71"/>
      <c r="C7378" s="51"/>
      <c r="D7378" s="114"/>
      <c r="E7378" s="114"/>
      <c r="F7378" s="54"/>
      <c r="G7378" s="54"/>
      <c r="I7378" s="54"/>
      <c r="K7378" s="54"/>
      <c r="M7378" s="114"/>
      <c r="N7378" s="1"/>
      <c r="O7378" s="1"/>
      <c r="P7378" s="51"/>
    </row>
    <row r="7379">
      <c r="A7379" s="54"/>
      <c r="B7379" s="71"/>
      <c r="C7379" s="51"/>
      <c r="D7379" s="114"/>
      <c r="E7379" s="114"/>
      <c r="F7379" s="54"/>
      <c r="G7379" s="54"/>
      <c r="I7379" s="54"/>
      <c r="K7379" s="54"/>
      <c r="M7379" s="114"/>
      <c r="N7379" s="1"/>
      <c r="O7379" s="1"/>
      <c r="P7379" s="51"/>
    </row>
    <row r="7380">
      <c r="A7380" s="54"/>
      <c r="B7380" s="71"/>
      <c r="C7380" s="51"/>
      <c r="D7380" s="114"/>
      <c r="E7380" s="114"/>
      <c r="F7380" s="54"/>
      <c r="G7380" s="54"/>
      <c r="I7380" s="54"/>
      <c r="K7380" s="54"/>
      <c r="M7380" s="114"/>
      <c r="N7380" s="1"/>
      <c r="O7380" s="1"/>
      <c r="P7380" s="51"/>
    </row>
    <row r="7381">
      <c r="A7381" s="54"/>
      <c r="B7381" s="71"/>
      <c r="C7381" s="51"/>
      <c r="D7381" s="114"/>
      <c r="E7381" s="114"/>
      <c r="F7381" s="54"/>
      <c r="G7381" s="54"/>
      <c r="I7381" s="54"/>
      <c r="K7381" s="54"/>
      <c r="M7381" s="114"/>
      <c r="N7381" s="1"/>
      <c r="O7381" s="1"/>
      <c r="P7381" s="51"/>
    </row>
    <row r="7382">
      <c r="A7382" s="54"/>
      <c r="B7382" s="71"/>
      <c r="C7382" s="51"/>
      <c r="D7382" s="114"/>
      <c r="E7382" s="114"/>
      <c r="F7382" s="54"/>
      <c r="G7382" s="54"/>
      <c r="I7382" s="54"/>
      <c r="K7382" s="54"/>
      <c r="M7382" s="114"/>
      <c r="N7382" s="1"/>
      <c r="O7382" s="1"/>
      <c r="P7382" s="51"/>
    </row>
    <row r="7383">
      <c r="A7383" s="54"/>
      <c r="B7383" s="71"/>
      <c r="C7383" s="51"/>
      <c r="D7383" s="114"/>
      <c r="E7383" s="114"/>
      <c r="F7383" s="54"/>
      <c r="G7383" s="54"/>
      <c r="I7383" s="54"/>
      <c r="K7383" s="54"/>
      <c r="M7383" s="114"/>
      <c r="N7383" s="1"/>
      <c r="O7383" s="1"/>
      <c r="P7383" s="51"/>
    </row>
    <row r="7384">
      <c r="A7384" s="54"/>
      <c r="B7384" s="71"/>
      <c r="C7384" s="51"/>
      <c r="D7384" s="114"/>
      <c r="E7384" s="114"/>
      <c r="F7384" s="54"/>
      <c r="G7384" s="54"/>
      <c r="I7384" s="54"/>
      <c r="K7384" s="54"/>
      <c r="M7384" s="114"/>
      <c r="N7384" s="1"/>
      <c r="O7384" s="1"/>
      <c r="P7384" s="51"/>
    </row>
    <row r="7385">
      <c r="A7385" s="54"/>
      <c r="B7385" s="71"/>
      <c r="C7385" s="51"/>
      <c r="D7385" s="114"/>
      <c r="E7385" s="114"/>
      <c r="F7385" s="54"/>
      <c r="G7385" s="54"/>
      <c r="I7385" s="54"/>
      <c r="K7385" s="54"/>
      <c r="M7385" s="114"/>
      <c r="N7385" s="1"/>
      <c r="O7385" s="1"/>
      <c r="P7385" s="51"/>
    </row>
    <row r="7386">
      <c r="A7386" s="54"/>
      <c r="B7386" s="71"/>
      <c r="C7386" s="51"/>
      <c r="D7386" s="114"/>
      <c r="E7386" s="114"/>
      <c r="F7386" s="54"/>
      <c r="G7386" s="54"/>
      <c r="I7386" s="54"/>
      <c r="K7386" s="54"/>
      <c r="M7386" s="114"/>
      <c r="N7386" s="1"/>
      <c r="O7386" s="1"/>
      <c r="P7386" s="51"/>
    </row>
    <row r="7387">
      <c r="A7387" s="54"/>
      <c r="B7387" s="71"/>
      <c r="C7387" s="51"/>
      <c r="D7387" s="114"/>
      <c r="E7387" s="114"/>
      <c r="F7387" s="54"/>
      <c r="G7387" s="54"/>
      <c r="I7387" s="54"/>
      <c r="K7387" s="54"/>
      <c r="M7387" s="114"/>
      <c r="N7387" s="1"/>
      <c r="O7387" s="1"/>
      <c r="P7387" s="51"/>
    </row>
    <row r="7388">
      <c r="A7388" s="54"/>
      <c r="B7388" s="71"/>
      <c r="C7388" s="51"/>
      <c r="D7388" s="114"/>
      <c r="E7388" s="114"/>
      <c r="F7388" s="54"/>
      <c r="G7388" s="54"/>
      <c r="I7388" s="54"/>
      <c r="K7388" s="54"/>
      <c r="M7388" s="114"/>
      <c r="N7388" s="1"/>
      <c r="O7388" s="1"/>
      <c r="P7388" s="51"/>
    </row>
    <row r="7389">
      <c r="A7389" s="54"/>
      <c r="B7389" s="71"/>
      <c r="C7389" s="51"/>
      <c r="D7389" s="114"/>
      <c r="E7389" s="114"/>
      <c r="F7389" s="54"/>
      <c r="G7389" s="54"/>
      <c r="I7389" s="54"/>
      <c r="K7389" s="54"/>
      <c r="M7389" s="114"/>
      <c r="N7389" s="1"/>
      <c r="O7389" s="1"/>
      <c r="P7389" s="51"/>
    </row>
    <row r="7390">
      <c r="A7390" s="54"/>
      <c r="B7390" s="71"/>
      <c r="C7390" s="51"/>
      <c r="D7390" s="114"/>
      <c r="E7390" s="114"/>
      <c r="F7390" s="54"/>
      <c r="G7390" s="54"/>
      <c r="I7390" s="54"/>
      <c r="K7390" s="54"/>
      <c r="M7390" s="114"/>
      <c r="N7390" s="1"/>
      <c r="O7390" s="1"/>
      <c r="P7390" s="51"/>
    </row>
    <row r="7391">
      <c r="A7391" s="54"/>
      <c r="B7391" s="71"/>
      <c r="C7391" s="51"/>
      <c r="D7391" s="114"/>
      <c r="E7391" s="114"/>
      <c r="F7391" s="54"/>
      <c r="G7391" s="54"/>
      <c r="I7391" s="54"/>
      <c r="K7391" s="54"/>
      <c r="M7391" s="114"/>
      <c r="N7391" s="1"/>
      <c r="O7391" s="1"/>
      <c r="P7391" s="51"/>
    </row>
    <row r="7392">
      <c r="A7392" s="54"/>
      <c r="B7392" s="71"/>
      <c r="C7392" s="51"/>
      <c r="D7392" s="114"/>
      <c r="E7392" s="114"/>
      <c r="F7392" s="54"/>
      <c r="G7392" s="54"/>
      <c r="I7392" s="54"/>
      <c r="K7392" s="54"/>
      <c r="M7392" s="114"/>
      <c r="N7392" s="1"/>
      <c r="O7392" s="1"/>
      <c r="P7392" s="51"/>
    </row>
    <row r="7393">
      <c r="A7393" s="54"/>
      <c r="B7393" s="71"/>
      <c r="C7393" s="51"/>
      <c r="D7393" s="114"/>
      <c r="E7393" s="114"/>
      <c r="F7393" s="54"/>
      <c r="G7393" s="54"/>
      <c r="I7393" s="54"/>
      <c r="K7393" s="54"/>
      <c r="M7393" s="114"/>
      <c r="N7393" s="1"/>
      <c r="O7393" s="1"/>
      <c r="P7393" s="51"/>
    </row>
    <row r="7394">
      <c r="A7394" s="54"/>
      <c r="B7394" s="71"/>
      <c r="C7394" s="51"/>
      <c r="D7394" s="114"/>
      <c r="E7394" s="114"/>
      <c r="F7394" s="54"/>
      <c r="G7394" s="54"/>
      <c r="I7394" s="54"/>
      <c r="K7394" s="54"/>
      <c r="M7394" s="114"/>
      <c r="N7394" s="1"/>
      <c r="O7394" s="1"/>
      <c r="P7394" s="51"/>
    </row>
    <row r="7395">
      <c r="A7395" s="54"/>
      <c r="B7395" s="71"/>
      <c r="C7395" s="51"/>
      <c r="D7395" s="114"/>
      <c r="E7395" s="114"/>
      <c r="F7395" s="54"/>
      <c r="G7395" s="54"/>
      <c r="I7395" s="54"/>
      <c r="K7395" s="54"/>
      <c r="M7395" s="114"/>
      <c r="N7395" s="1"/>
      <c r="O7395" s="1"/>
      <c r="P7395" s="51"/>
    </row>
    <row r="7396">
      <c r="A7396" s="54"/>
      <c r="B7396" s="71"/>
      <c r="C7396" s="51"/>
      <c r="D7396" s="114"/>
      <c r="E7396" s="114"/>
      <c r="F7396" s="54"/>
      <c r="G7396" s="54"/>
      <c r="I7396" s="54"/>
      <c r="K7396" s="54"/>
      <c r="M7396" s="114"/>
      <c r="N7396" s="1"/>
      <c r="O7396" s="1"/>
      <c r="P7396" s="51"/>
    </row>
    <row r="7397">
      <c r="A7397" s="54"/>
      <c r="B7397" s="71"/>
      <c r="C7397" s="51"/>
      <c r="D7397" s="114"/>
      <c r="E7397" s="114"/>
      <c r="F7397" s="54"/>
      <c r="G7397" s="54"/>
      <c r="I7397" s="54"/>
      <c r="K7397" s="54"/>
      <c r="M7397" s="114"/>
      <c r="N7397" s="1"/>
      <c r="O7397" s="1"/>
      <c r="P7397" s="51"/>
    </row>
    <row r="7398">
      <c r="A7398" s="54"/>
      <c r="B7398" s="71"/>
      <c r="C7398" s="51"/>
      <c r="D7398" s="114"/>
      <c r="E7398" s="114"/>
      <c r="F7398" s="54"/>
      <c r="G7398" s="54"/>
      <c r="I7398" s="54"/>
      <c r="K7398" s="54"/>
      <c r="M7398" s="114"/>
      <c r="N7398" s="1"/>
      <c r="O7398" s="1"/>
      <c r="P7398" s="51"/>
    </row>
    <row r="7399">
      <c r="A7399" s="54"/>
      <c r="B7399" s="71"/>
      <c r="C7399" s="51"/>
      <c r="D7399" s="114"/>
      <c r="E7399" s="114"/>
      <c r="F7399" s="54"/>
      <c r="G7399" s="54"/>
      <c r="I7399" s="54"/>
      <c r="K7399" s="54"/>
      <c r="M7399" s="114"/>
      <c r="N7399" s="1"/>
      <c r="O7399" s="1"/>
      <c r="P7399" s="51"/>
    </row>
    <row r="7400">
      <c r="A7400" s="54"/>
      <c r="B7400" s="71"/>
      <c r="C7400" s="51"/>
      <c r="D7400" s="114"/>
      <c r="E7400" s="114"/>
      <c r="F7400" s="54"/>
      <c r="G7400" s="54"/>
      <c r="I7400" s="54"/>
      <c r="K7400" s="54"/>
      <c r="M7400" s="114"/>
      <c r="N7400" s="1"/>
      <c r="O7400" s="1"/>
      <c r="P7400" s="51"/>
    </row>
    <row r="7401">
      <c r="A7401" s="54"/>
      <c r="B7401" s="71"/>
      <c r="C7401" s="51"/>
      <c r="D7401" s="114"/>
      <c r="E7401" s="114"/>
      <c r="F7401" s="54"/>
      <c r="G7401" s="54"/>
      <c r="I7401" s="54"/>
      <c r="K7401" s="54"/>
      <c r="M7401" s="114"/>
      <c r="N7401" s="1"/>
      <c r="O7401" s="1"/>
      <c r="P7401" s="51"/>
    </row>
    <row r="7402">
      <c r="A7402" s="54"/>
      <c r="B7402" s="71"/>
      <c r="C7402" s="51"/>
      <c r="D7402" s="114"/>
      <c r="E7402" s="114"/>
      <c r="F7402" s="54"/>
      <c r="G7402" s="54"/>
      <c r="I7402" s="54"/>
      <c r="K7402" s="54"/>
      <c r="M7402" s="114"/>
      <c r="N7402" s="1"/>
      <c r="O7402" s="1"/>
      <c r="P7402" s="51"/>
    </row>
    <row r="7403">
      <c r="A7403" s="54"/>
      <c r="B7403" s="71"/>
      <c r="C7403" s="51"/>
      <c r="D7403" s="114"/>
      <c r="E7403" s="114"/>
      <c r="F7403" s="54"/>
      <c r="G7403" s="54"/>
      <c r="I7403" s="54"/>
      <c r="K7403" s="54"/>
      <c r="M7403" s="114"/>
      <c r="N7403" s="1"/>
      <c r="O7403" s="1"/>
      <c r="P7403" s="51"/>
    </row>
    <row r="7404">
      <c r="A7404" s="54"/>
      <c r="B7404" s="71"/>
      <c r="C7404" s="51"/>
      <c r="D7404" s="114"/>
      <c r="E7404" s="114"/>
      <c r="F7404" s="54"/>
      <c r="G7404" s="54"/>
      <c r="I7404" s="54"/>
      <c r="K7404" s="54"/>
      <c r="M7404" s="114"/>
      <c r="N7404" s="1"/>
      <c r="O7404" s="1"/>
      <c r="P7404" s="51"/>
    </row>
    <row r="7405">
      <c r="A7405" s="54"/>
      <c r="B7405" s="71"/>
      <c r="C7405" s="51"/>
      <c r="D7405" s="114"/>
      <c r="E7405" s="114"/>
      <c r="F7405" s="54"/>
      <c r="G7405" s="54"/>
      <c r="I7405" s="54"/>
      <c r="K7405" s="54"/>
      <c r="M7405" s="114"/>
      <c r="N7405" s="1"/>
      <c r="O7405" s="1"/>
      <c r="P7405" s="51"/>
    </row>
    <row r="7406">
      <c r="A7406" s="54"/>
      <c r="B7406" s="71"/>
      <c r="C7406" s="51"/>
      <c r="D7406" s="114"/>
      <c r="E7406" s="114"/>
      <c r="F7406" s="54"/>
      <c r="G7406" s="54"/>
      <c r="I7406" s="54"/>
      <c r="K7406" s="54"/>
      <c r="M7406" s="114"/>
      <c r="N7406" s="1"/>
      <c r="O7406" s="1"/>
      <c r="P7406" s="51"/>
    </row>
    <row r="7407">
      <c r="A7407" s="54"/>
      <c r="B7407" s="71"/>
      <c r="C7407" s="51"/>
      <c r="D7407" s="114"/>
      <c r="E7407" s="114"/>
      <c r="F7407" s="54"/>
      <c r="G7407" s="54"/>
      <c r="I7407" s="54"/>
      <c r="K7407" s="54"/>
      <c r="M7407" s="114"/>
      <c r="N7407" s="1"/>
      <c r="O7407" s="1"/>
      <c r="P7407" s="51"/>
    </row>
    <row r="7408">
      <c r="A7408" s="54"/>
      <c r="B7408" s="71"/>
      <c r="C7408" s="51"/>
      <c r="D7408" s="114"/>
      <c r="E7408" s="114"/>
      <c r="F7408" s="54"/>
      <c r="G7408" s="54"/>
      <c r="I7408" s="54"/>
      <c r="K7408" s="54"/>
      <c r="M7408" s="114"/>
      <c r="N7408" s="1"/>
      <c r="O7408" s="1"/>
      <c r="P7408" s="51"/>
    </row>
    <row r="7409">
      <c r="A7409" s="54"/>
      <c r="B7409" s="71"/>
      <c r="C7409" s="51"/>
      <c r="D7409" s="114"/>
      <c r="E7409" s="114"/>
      <c r="F7409" s="54"/>
      <c r="G7409" s="54"/>
      <c r="I7409" s="54"/>
      <c r="K7409" s="54"/>
      <c r="M7409" s="114"/>
      <c r="N7409" s="1"/>
      <c r="O7409" s="1"/>
      <c r="P7409" s="51"/>
    </row>
    <row r="7410">
      <c r="A7410" s="54"/>
      <c r="B7410" s="71"/>
      <c r="C7410" s="51"/>
      <c r="D7410" s="114"/>
      <c r="E7410" s="114"/>
      <c r="F7410" s="54"/>
      <c r="G7410" s="54"/>
      <c r="I7410" s="54"/>
      <c r="K7410" s="54"/>
      <c r="M7410" s="114"/>
      <c r="N7410" s="1"/>
      <c r="O7410" s="1"/>
      <c r="P7410" s="51"/>
    </row>
    <row r="7411">
      <c r="A7411" s="54"/>
      <c r="B7411" s="71"/>
      <c r="C7411" s="51"/>
      <c r="D7411" s="114"/>
      <c r="E7411" s="114"/>
      <c r="F7411" s="54"/>
      <c r="G7411" s="54"/>
      <c r="I7411" s="54"/>
      <c r="K7411" s="54"/>
      <c r="M7411" s="114"/>
      <c r="N7411" s="1"/>
      <c r="O7411" s="1"/>
      <c r="P7411" s="51"/>
    </row>
    <row r="7412">
      <c r="A7412" s="54"/>
      <c r="B7412" s="71"/>
      <c r="C7412" s="51"/>
      <c r="D7412" s="114"/>
      <c r="E7412" s="114"/>
      <c r="F7412" s="54"/>
      <c r="G7412" s="54"/>
      <c r="I7412" s="54"/>
      <c r="K7412" s="54"/>
      <c r="M7412" s="114"/>
      <c r="N7412" s="1"/>
      <c r="O7412" s="1"/>
      <c r="P7412" s="51"/>
    </row>
    <row r="7413">
      <c r="A7413" s="54"/>
      <c r="B7413" s="71"/>
      <c r="C7413" s="51"/>
      <c r="D7413" s="114"/>
      <c r="E7413" s="114"/>
      <c r="F7413" s="54"/>
      <c r="G7413" s="54"/>
      <c r="I7413" s="54"/>
      <c r="K7413" s="54"/>
      <c r="M7413" s="114"/>
      <c r="N7413" s="1"/>
      <c r="O7413" s="1"/>
      <c r="P7413" s="51"/>
    </row>
    <row r="7414">
      <c r="A7414" s="54"/>
      <c r="B7414" s="71"/>
      <c r="C7414" s="51"/>
      <c r="D7414" s="114"/>
      <c r="E7414" s="114"/>
      <c r="F7414" s="54"/>
      <c r="G7414" s="54"/>
      <c r="I7414" s="54"/>
      <c r="K7414" s="54"/>
      <c r="M7414" s="114"/>
      <c r="N7414" s="1"/>
      <c r="O7414" s="1"/>
      <c r="P7414" s="51"/>
    </row>
    <row r="7415">
      <c r="A7415" s="54"/>
      <c r="B7415" s="71"/>
      <c r="C7415" s="51"/>
      <c r="D7415" s="114"/>
      <c r="E7415" s="114"/>
      <c r="F7415" s="54"/>
      <c r="G7415" s="54"/>
      <c r="I7415" s="54"/>
      <c r="K7415" s="54"/>
      <c r="M7415" s="114"/>
      <c r="N7415" s="1"/>
      <c r="O7415" s="1"/>
      <c r="P7415" s="51"/>
    </row>
    <row r="7416">
      <c r="A7416" s="54"/>
      <c r="B7416" s="71"/>
      <c r="C7416" s="51"/>
      <c r="D7416" s="114"/>
      <c r="E7416" s="114"/>
      <c r="F7416" s="54"/>
      <c r="G7416" s="54"/>
      <c r="I7416" s="54"/>
      <c r="K7416" s="54"/>
      <c r="M7416" s="114"/>
      <c r="N7416" s="1"/>
      <c r="O7416" s="1"/>
      <c r="P7416" s="51"/>
    </row>
    <row r="7417">
      <c r="A7417" s="54"/>
      <c r="B7417" s="71"/>
      <c r="C7417" s="51"/>
      <c r="D7417" s="114"/>
      <c r="E7417" s="114"/>
      <c r="F7417" s="54"/>
      <c r="G7417" s="54"/>
      <c r="I7417" s="54"/>
      <c r="K7417" s="54"/>
      <c r="M7417" s="114"/>
      <c r="N7417" s="1"/>
      <c r="O7417" s="1"/>
      <c r="P7417" s="51"/>
    </row>
    <row r="7418">
      <c r="A7418" s="54"/>
      <c r="B7418" s="71"/>
      <c r="C7418" s="51"/>
      <c r="D7418" s="114"/>
      <c r="E7418" s="114"/>
      <c r="F7418" s="54"/>
      <c r="G7418" s="54"/>
      <c r="I7418" s="54"/>
      <c r="K7418" s="54"/>
      <c r="M7418" s="114"/>
      <c r="N7418" s="1"/>
      <c r="O7418" s="1"/>
      <c r="P7418" s="51"/>
    </row>
    <row r="7419">
      <c r="A7419" s="54"/>
      <c r="B7419" s="71"/>
      <c r="C7419" s="51"/>
      <c r="D7419" s="114"/>
      <c r="E7419" s="114"/>
      <c r="F7419" s="54"/>
      <c r="G7419" s="54"/>
      <c r="I7419" s="54"/>
      <c r="K7419" s="54"/>
      <c r="M7419" s="114"/>
      <c r="N7419" s="1"/>
      <c r="O7419" s="1"/>
      <c r="P7419" s="51"/>
    </row>
    <row r="7420">
      <c r="A7420" s="54"/>
      <c r="B7420" s="71"/>
      <c r="C7420" s="51"/>
      <c r="D7420" s="114"/>
      <c r="E7420" s="114"/>
      <c r="F7420" s="54"/>
      <c r="G7420" s="54"/>
      <c r="I7420" s="54"/>
      <c r="K7420" s="54"/>
      <c r="M7420" s="114"/>
      <c r="N7420" s="1"/>
      <c r="O7420" s="1"/>
      <c r="P7420" s="51"/>
    </row>
    <row r="7421">
      <c r="A7421" s="54"/>
      <c r="B7421" s="71"/>
      <c r="C7421" s="51"/>
      <c r="D7421" s="114"/>
      <c r="E7421" s="114"/>
      <c r="F7421" s="54"/>
      <c r="G7421" s="54"/>
      <c r="I7421" s="54"/>
      <c r="K7421" s="54"/>
      <c r="M7421" s="114"/>
      <c r="N7421" s="1"/>
      <c r="O7421" s="1"/>
      <c r="P7421" s="51"/>
    </row>
    <row r="7422">
      <c r="A7422" s="54"/>
      <c r="B7422" s="71"/>
      <c r="C7422" s="51"/>
      <c r="D7422" s="114"/>
      <c r="E7422" s="114"/>
      <c r="F7422" s="54"/>
      <c r="G7422" s="54"/>
      <c r="I7422" s="54"/>
      <c r="K7422" s="54"/>
      <c r="M7422" s="114"/>
      <c r="N7422" s="1"/>
      <c r="O7422" s="1"/>
      <c r="P7422" s="51"/>
    </row>
    <row r="7423">
      <c r="A7423" s="54"/>
      <c r="B7423" s="71"/>
      <c r="C7423" s="51"/>
      <c r="D7423" s="114"/>
      <c r="E7423" s="114"/>
      <c r="F7423" s="54"/>
      <c r="G7423" s="54"/>
      <c r="I7423" s="54"/>
      <c r="K7423" s="54"/>
      <c r="M7423" s="114"/>
      <c r="N7423" s="1"/>
      <c r="O7423" s="1"/>
      <c r="P7423" s="51"/>
    </row>
    <row r="7424">
      <c r="A7424" s="54"/>
      <c r="B7424" s="71"/>
      <c r="C7424" s="51"/>
      <c r="D7424" s="114"/>
      <c r="E7424" s="114"/>
      <c r="F7424" s="54"/>
      <c r="G7424" s="54"/>
      <c r="I7424" s="54"/>
      <c r="K7424" s="54"/>
      <c r="M7424" s="114"/>
      <c r="N7424" s="1"/>
      <c r="O7424" s="1"/>
      <c r="P7424" s="51"/>
    </row>
    <row r="7425">
      <c r="A7425" s="54"/>
      <c r="B7425" s="71"/>
      <c r="C7425" s="51"/>
      <c r="D7425" s="114"/>
      <c r="E7425" s="114"/>
      <c r="F7425" s="54"/>
      <c r="G7425" s="54"/>
      <c r="I7425" s="54"/>
      <c r="K7425" s="54"/>
      <c r="M7425" s="114"/>
      <c r="N7425" s="1"/>
      <c r="O7425" s="1"/>
      <c r="P7425" s="51"/>
    </row>
    <row r="7426">
      <c r="A7426" s="54"/>
      <c r="B7426" s="71"/>
      <c r="C7426" s="51"/>
      <c r="D7426" s="114"/>
      <c r="E7426" s="114"/>
      <c r="F7426" s="54"/>
      <c r="G7426" s="54"/>
      <c r="I7426" s="54"/>
      <c r="K7426" s="54"/>
      <c r="M7426" s="114"/>
      <c r="N7426" s="1"/>
      <c r="O7426" s="1"/>
      <c r="P7426" s="51"/>
    </row>
    <row r="7427">
      <c r="A7427" s="54"/>
      <c r="B7427" s="71"/>
      <c r="C7427" s="51"/>
      <c r="D7427" s="114"/>
      <c r="E7427" s="114"/>
      <c r="F7427" s="54"/>
      <c r="G7427" s="54"/>
      <c r="I7427" s="54"/>
      <c r="K7427" s="54"/>
      <c r="M7427" s="114"/>
      <c r="N7427" s="1"/>
      <c r="O7427" s="1"/>
      <c r="P7427" s="51"/>
    </row>
    <row r="7428">
      <c r="A7428" s="54"/>
      <c r="B7428" s="71"/>
      <c r="C7428" s="51"/>
      <c r="D7428" s="114"/>
      <c r="E7428" s="114"/>
      <c r="F7428" s="54"/>
      <c r="G7428" s="54"/>
      <c r="I7428" s="54"/>
      <c r="K7428" s="54"/>
      <c r="M7428" s="114"/>
      <c r="N7428" s="1"/>
      <c r="O7428" s="1"/>
      <c r="P7428" s="51"/>
    </row>
    <row r="7429">
      <c r="A7429" s="54"/>
      <c r="B7429" s="71"/>
      <c r="C7429" s="51"/>
      <c r="D7429" s="114"/>
      <c r="E7429" s="114"/>
      <c r="F7429" s="54"/>
      <c r="G7429" s="54"/>
      <c r="I7429" s="54"/>
      <c r="K7429" s="54"/>
      <c r="M7429" s="114"/>
      <c r="N7429" s="1"/>
      <c r="O7429" s="1"/>
      <c r="P7429" s="51"/>
    </row>
    <row r="7430">
      <c r="A7430" s="54"/>
      <c r="B7430" s="71"/>
      <c r="C7430" s="51"/>
      <c r="D7430" s="114"/>
      <c r="E7430" s="114"/>
      <c r="F7430" s="54"/>
      <c r="G7430" s="54"/>
      <c r="I7430" s="54"/>
      <c r="K7430" s="54"/>
      <c r="M7430" s="114"/>
      <c r="N7430" s="1"/>
      <c r="O7430" s="1"/>
      <c r="P7430" s="51"/>
    </row>
    <row r="7431">
      <c r="A7431" s="54"/>
      <c r="B7431" s="71"/>
      <c r="C7431" s="51"/>
      <c r="D7431" s="114"/>
      <c r="E7431" s="114"/>
      <c r="F7431" s="54"/>
      <c r="G7431" s="54"/>
      <c r="I7431" s="54"/>
      <c r="K7431" s="54"/>
      <c r="M7431" s="114"/>
      <c r="N7431" s="1"/>
      <c r="O7431" s="1"/>
      <c r="P7431" s="51"/>
    </row>
    <row r="7432">
      <c r="A7432" s="54"/>
      <c r="B7432" s="71"/>
      <c r="C7432" s="51"/>
      <c r="D7432" s="114"/>
      <c r="E7432" s="114"/>
      <c r="F7432" s="54"/>
      <c r="G7432" s="54"/>
      <c r="I7432" s="54"/>
      <c r="K7432" s="54"/>
      <c r="M7432" s="114"/>
      <c r="N7432" s="1"/>
      <c r="O7432" s="1"/>
      <c r="P7432" s="51"/>
    </row>
    <row r="7433">
      <c r="A7433" s="54"/>
      <c r="B7433" s="71"/>
      <c r="C7433" s="51"/>
      <c r="D7433" s="114"/>
      <c r="E7433" s="114"/>
      <c r="F7433" s="54"/>
      <c r="G7433" s="54"/>
      <c r="I7433" s="54"/>
      <c r="K7433" s="54"/>
      <c r="M7433" s="114"/>
      <c r="N7433" s="1"/>
      <c r="O7433" s="1"/>
      <c r="P7433" s="51"/>
    </row>
    <row r="7434">
      <c r="A7434" s="54"/>
      <c r="B7434" s="71"/>
      <c r="C7434" s="51"/>
      <c r="D7434" s="114"/>
      <c r="E7434" s="114"/>
      <c r="F7434" s="54"/>
      <c r="G7434" s="54"/>
      <c r="I7434" s="54"/>
      <c r="K7434" s="54"/>
      <c r="M7434" s="114"/>
      <c r="N7434" s="1"/>
      <c r="O7434" s="1"/>
      <c r="P7434" s="51"/>
    </row>
    <row r="7435">
      <c r="A7435" s="54"/>
      <c r="B7435" s="71"/>
      <c r="C7435" s="51"/>
      <c r="D7435" s="114"/>
      <c r="E7435" s="114"/>
      <c r="F7435" s="54"/>
      <c r="G7435" s="54"/>
      <c r="I7435" s="54"/>
      <c r="K7435" s="54"/>
      <c r="M7435" s="114"/>
      <c r="N7435" s="1"/>
      <c r="O7435" s="1"/>
      <c r="P7435" s="51"/>
    </row>
    <row r="7436">
      <c r="A7436" s="54"/>
      <c r="B7436" s="71"/>
      <c r="C7436" s="51"/>
      <c r="D7436" s="114"/>
      <c r="E7436" s="114"/>
      <c r="F7436" s="54"/>
      <c r="G7436" s="54"/>
      <c r="I7436" s="54"/>
      <c r="K7436" s="54"/>
      <c r="M7436" s="114"/>
      <c r="N7436" s="1"/>
      <c r="O7436" s="1"/>
      <c r="P7436" s="51"/>
    </row>
    <row r="7437">
      <c r="A7437" s="54"/>
      <c r="B7437" s="71"/>
      <c r="C7437" s="51"/>
      <c r="D7437" s="114"/>
      <c r="E7437" s="114"/>
      <c r="F7437" s="54"/>
      <c r="G7437" s="54"/>
      <c r="I7437" s="54"/>
      <c r="K7437" s="54"/>
      <c r="M7437" s="114"/>
      <c r="N7437" s="1"/>
      <c r="O7437" s="1"/>
      <c r="P7437" s="51"/>
    </row>
    <row r="7438">
      <c r="A7438" s="54"/>
      <c r="B7438" s="71"/>
      <c r="C7438" s="51"/>
      <c r="D7438" s="114"/>
      <c r="E7438" s="114"/>
      <c r="F7438" s="54"/>
      <c r="G7438" s="54"/>
      <c r="I7438" s="54"/>
      <c r="K7438" s="54"/>
      <c r="M7438" s="114"/>
      <c r="N7438" s="1"/>
      <c r="O7438" s="1"/>
      <c r="P7438" s="51"/>
    </row>
    <row r="7439">
      <c r="A7439" s="54"/>
      <c r="B7439" s="71"/>
      <c r="C7439" s="51"/>
      <c r="D7439" s="114"/>
      <c r="E7439" s="114"/>
      <c r="F7439" s="54"/>
      <c r="G7439" s="54"/>
      <c r="I7439" s="54"/>
      <c r="K7439" s="54"/>
      <c r="M7439" s="114"/>
      <c r="N7439" s="1"/>
      <c r="O7439" s="1"/>
      <c r="P7439" s="51"/>
    </row>
    <row r="7440">
      <c r="A7440" s="54"/>
      <c r="B7440" s="71"/>
      <c r="C7440" s="51"/>
      <c r="D7440" s="114"/>
      <c r="E7440" s="114"/>
      <c r="F7440" s="54"/>
      <c r="G7440" s="54"/>
      <c r="I7440" s="54"/>
      <c r="K7440" s="54"/>
      <c r="M7440" s="114"/>
      <c r="N7440" s="1"/>
      <c r="O7440" s="1"/>
      <c r="P7440" s="51"/>
    </row>
    <row r="7441">
      <c r="A7441" s="54"/>
      <c r="B7441" s="71"/>
      <c r="C7441" s="51"/>
      <c r="D7441" s="114"/>
      <c r="E7441" s="114"/>
      <c r="F7441" s="54"/>
      <c r="G7441" s="54"/>
      <c r="I7441" s="54"/>
      <c r="K7441" s="54"/>
      <c r="M7441" s="114"/>
      <c r="N7441" s="1"/>
      <c r="O7441" s="1"/>
      <c r="P7441" s="51"/>
    </row>
    <row r="7442">
      <c r="A7442" s="54"/>
      <c r="B7442" s="71"/>
      <c r="C7442" s="51"/>
      <c r="D7442" s="114"/>
      <c r="E7442" s="114"/>
      <c r="F7442" s="54"/>
      <c r="G7442" s="54"/>
      <c r="I7442" s="54"/>
      <c r="K7442" s="54"/>
      <c r="M7442" s="114"/>
      <c r="N7442" s="1"/>
      <c r="O7442" s="1"/>
      <c r="P7442" s="51"/>
    </row>
    <row r="7443">
      <c r="A7443" s="54"/>
      <c r="B7443" s="71"/>
      <c r="C7443" s="51"/>
      <c r="D7443" s="114"/>
      <c r="E7443" s="114"/>
      <c r="F7443" s="54"/>
      <c r="G7443" s="54"/>
      <c r="I7443" s="54"/>
      <c r="K7443" s="54"/>
      <c r="M7443" s="114"/>
      <c r="N7443" s="1"/>
      <c r="O7443" s="1"/>
      <c r="P7443" s="51"/>
    </row>
    <row r="7444">
      <c r="A7444" s="54"/>
      <c r="B7444" s="71"/>
      <c r="C7444" s="51"/>
      <c r="D7444" s="114"/>
      <c r="E7444" s="114"/>
      <c r="F7444" s="54"/>
      <c r="G7444" s="54"/>
      <c r="I7444" s="54"/>
      <c r="K7444" s="54"/>
      <c r="M7444" s="114"/>
      <c r="N7444" s="1"/>
      <c r="O7444" s="1"/>
      <c r="P7444" s="51"/>
    </row>
    <row r="7445">
      <c r="A7445" s="54"/>
      <c r="B7445" s="71"/>
      <c r="C7445" s="51"/>
      <c r="D7445" s="114"/>
      <c r="E7445" s="114"/>
      <c r="F7445" s="54"/>
      <c r="G7445" s="54"/>
      <c r="I7445" s="54"/>
      <c r="K7445" s="54"/>
      <c r="M7445" s="114"/>
      <c r="N7445" s="1"/>
      <c r="O7445" s="1"/>
      <c r="P7445" s="51"/>
    </row>
    <row r="7446">
      <c r="A7446" s="54"/>
      <c r="B7446" s="71"/>
      <c r="C7446" s="51"/>
      <c r="D7446" s="114"/>
      <c r="E7446" s="114"/>
      <c r="F7446" s="54"/>
      <c r="G7446" s="54"/>
      <c r="I7446" s="54"/>
      <c r="K7446" s="54"/>
      <c r="M7446" s="114"/>
      <c r="N7446" s="1"/>
      <c r="O7446" s="1"/>
      <c r="P7446" s="51"/>
    </row>
    <row r="7447">
      <c r="A7447" s="54"/>
      <c r="B7447" s="71"/>
      <c r="C7447" s="51"/>
      <c r="D7447" s="114"/>
      <c r="E7447" s="114"/>
      <c r="F7447" s="54"/>
      <c r="G7447" s="54"/>
      <c r="I7447" s="54"/>
      <c r="K7447" s="54"/>
      <c r="M7447" s="114"/>
      <c r="N7447" s="1"/>
      <c r="O7447" s="1"/>
      <c r="P7447" s="51"/>
    </row>
    <row r="7448">
      <c r="A7448" s="54"/>
      <c r="B7448" s="71"/>
      <c r="C7448" s="51"/>
      <c r="D7448" s="114"/>
      <c r="E7448" s="114"/>
      <c r="F7448" s="54"/>
      <c r="G7448" s="54"/>
      <c r="I7448" s="54"/>
      <c r="K7448" s="54"/>
      <c r="M7448" s="114"/>
      <c r="N7448" s="1"/>
      <c r="O7448" s="1"/>
      <c r="P7448" s="51"/>
    </row>
    <row r="7449">
      <c r="A7449" s="54"/>
      <c r="B7449" s="71"/>
      <c r="C7449" s="51"/>
      <c r="D7449" s="114"/>
      <c r="E7449" s="114"/>
      <c r="F7449" s="54"/>
      <c r="G7449" s="54"/>
      <c r="I7449" s="54"/>
      <c r="K7449" s="54"/>
      <c r="M7449" s="114"/>
      <c r="N7449" s="1"/>
      <c r="O7449" s="1"/>
      <c r="P7449" s="51"/>
    </row>
    <row r="7450">
      <c r="A7450" s="54"/>
      <c r="B7450" s="71"/>
      <c r="C7450" s="51"/>
      <c r="D7450" s="114"/>
      <c r="E7450" s="114"/>
      <c r="F7450" s="54"/>
      <c r="G7450" s="54"/>
      <c r="I7450" s="54"/>
      <c r="K7450" s="54"/>
      <c r="M7450" s="114"/>
      <c r="N7450" s="1"/>
      <c r="O7450" s="1"/>
      <c r="P7450" s="51"/>
    </row>
    <row r="7451">
      <c r="A7451" s="54"/>
      <c r="B7451" s="71"/>
      <c r="C7451" s="51"/>
      <c r="D7451" s="114"/>
      <c r="E7451" s="114"/>
      <c r="F7451" s="54"/>
      <c r="G7451" s="54"/>
      <c r="I7451" s="54"/>
      <c r="K7451" s="54"/>
      <c r="M7451" s="114"/>
      <c r="N7451" s="1"/>
      <c r="O7451" s="1"/>
      <c r="P7451" s="51"/>
    </row>
    <row r="7452">
      <c r="A7452" s="54"/>
      <c r="B7452" s="71"/>
      <c r="C7452" s="51"/>
      <c r="D7452" s="114"/>
      <c r="E7452" s="114"/>
      <c r="F7452" s="54"/>
      <c r="G7452" s="54"/>
      <c r="I7452" s="54"/>
      <c r="K7452" s="54"/>
      <c r="M7452" s="114"/>
      <c r="N7452" s="1"/>
      <c r="O7452" s="1"/>
      <c r="P7452" s="51"/>
    </row>
    <row r="7453">
      <c r="A7453" s="54"/>
      <c r="B7453" s="71"/>
      <c r="C7453" s="51"/>
      <c r="D7453" s="114"/>
      <c r="E7453" s="114"/>
      <c r="F7453" s="54"/>
      <c r="G7453" s="54"/>
      <c r="I7453" s="54"/>
      <c r="K7453" s="54"/>
      <c r="M7453" s="114"/>
      <c r="N7453" s="1"/>
      <c r="O7453" s="1"/>
      <c r="P7453" s="51"/>
    </row>
    <row r="7454">
      <c r="A7454" s="54"/>
      <c r="B7454" s="71"/>
      <c r="C7454" s="51"/>
      <c r="D7454" s="114"/>
      <c r="E7454" s="114"/>
      <c r="F7454" s="54"/>
      <c r="G7454" s="54"/>
      <c r="I7454" s="54"/>
      <c r="K7454" s="54"/>
      <c r="M7454" s="114"/>
      <c r="N7454" s="1"/>
      <c r="O7454" s="1"/>
      <c r="P7454" s="51"/>
    </row>
    <row r="7455">
      <c r="A7455" s="54"/>
      <c r="B7455" s="71"/>
      <c r="C7455" s="51"/>
      <c r="D7455" s="114"/>
      <c r="E7455" s="114"/>
      <c r="F7455" s="54"/>
      <c r="G7455" s="54"/>
      <c r="I7455" s="54"/>
      <c r="K7455" s="54"/>
      <c r="M7455" s="114"/>
      <c r="N7455" s="1"/>
      <c r="O7455" s="1"/>
      <c r="P7455" s="51"/>
    </row>
    <row r="7456">
      <c r="A7456" s="54"/>
      <c r="B7456" s="71"/>
      <c r="C7456" s="51"/>
      <c r="D7456" s="114"/>
      <c r="E7456" s="114"/>
      <c r="F7456" s="54"/>
      <c r="G7456" s="54"/>
      <c r="I7456" s="54"/>
      <c r="K7456" s="54"/>
      <c r="M7456" s="114"/>
      <c r="N7456" s="1"/>
      <c r="O7456" s="1"/>
      <c r="P7456" s="51"/>
    </row>
    <row r="7457">
      <c r="A7457" s="54"/>
      <c r="B7457" s="71"/>
      <c r="C7457" s="51"/>
      <c r="D7457" s="114"/>
      <c r="E7457" s="114"/>
      <c r="F7457" s="54"/>
      <c r="G7457" s="54"/>
      <c r="I7457" s="54"/>
      <c r="K7457" s="54"/>
      <c r="M7457" s="114"/>
      <c r="N7457" s="1"/>
      <c r="O7457" s="1"/>
      <c r="P7457" s="51"/>
    </row>
    <row r="7458">
      <c r="A7458" s="54"/>
      <c r="B7458" s="71"/>
      <c r="C7458" s="51"/>
      <c r="D7458" s="114"/>
      <c r="E7458" s="114"/>
      <c r="F7458" s="54"/>
      <c r="G7458" s="54"/>
      <c r="I7458" s="54"/>
      <c r="K7458" s="54"/>
      <c r="M7458" s="114"/>
      <c r="N7458" s="1"/>
      <c r="O7458" s="1"/>
      <c r="P7458" s="51"/>
    </row>
    <row r="7459">
      <c r="A7459" s="54"/>
      <c r="B7459" s="71"/>
      <c r="C7459" s="51"/>
      <c r="D7459" s="114"/>
      <c r="E7459" s="114"/>
      <c r="F7459" s="54"/>
      <c r="G7459" s="54"/>
      <c r="I7459" s="54"/>
      <c r="K7459" s="54"/>
      <c r="M7459" s="114"/>
      <c r="N7459" s="1"/>
      <c r="O7459" s="1"/>
      <c r="P7459" s="51"/>
    </row>
    <row r="7460">
      <c r="A7460" s="54"/>
      <c r="B7460" s="71"/>
      <c r="C7460" s="51"/>
      <c r="D7460" s="114"/>
      <c r="E7460" s="114"/>
      <c r="F7460" s="54"/>
      <c r="G7460" s="54"/>
      <c r="I7460" s="54"/>
      <c r="K7460" s="54"/>
      <c r="M7460" s="114"/>
      <c r="N7460" s="1"/>
      <c r="O7460" s="1"/>
      <c r="P7460" s="51"/>
    </row>
    <row r="7461">
      <c r="A7461" s="54"/>
      <c r="B7461" s="71"/>
      <c r="C7461" s="51"/>
      <c r="D7461" s="114"/>
      <c r="E7461" s="114"/>
      <c r="F7461" s="54"/>
      <c r="G7461" s="54"/>
      <c r="I7461" s="54"/>
      <c r="K7461" s="54"/>
      <c r="M7461" s="114"/>
      <c r="N7461" s="1"/>
      <c r="O7461" s="1"/>
      <c r="P7461" s="51"/>
    </row>
    <row r="7462">
      <c r="A7462" s="54"/>
      <c r="B7462" s="71"/>
      <c r="C7462" s="51"/>
      <c r="D7462" s="114"/>
      <c r="E7462" s="114"/>
      <c r="F7462" s="54"/>
      <c r="G7462" s="54"/>
      <c r="I7462" s="54"/>
      <c r="K7462" s="54"/>
      <c r="M7462" s="114"/>
      <c r="N7462" s="1"/>
      <c r="O7462" s="1"/>
      <c r="P7462" s="51"/>
    </row>
    <row r="7463">
      <c r="A7463" s="54"/>
      <c r="B7463" s="71"/>
      <c r="C7463" s="51"/>
      <c r="D7463" s="114"/>
      <c r="E7463" s="114"/>
      <c r="F7463" s="54"/>
      <c r="G7463" s="54"/>
      <c r="I7463" s="54"/>
      <c r="K7463" s="54"/>
      <c r="M7463" s="114"/>
      <c r="N7463" s="1"/>
      <c r="O7463" s="1"/>
      <c r="P7463" s="51"/>
    </row>
    <row r="7464">
      <c r="A7464" s="54"/>
      <c r="B7464" s="71"/>
      <c r="C7464" s="51"/>
      <c r="D7464" s="114"/>
      <c r="E7464" s="114"/>
      <c r="F7464" s="54"/>
      <c r="G7464" s="54"/>
      <c r="I7464" s="54"/>
      <c r="K7464" s="54"/>
      <c r="M7464" s="114"/>
      <c r="N7464" s="1"/>
      <c r="O7464" s="1"/>
      <c r="P7464" s="51"/>
    </row>
    <row r="7465">
      <c r="A7465" s="54"/>
      <c r="B7465" s="71"/>
      <c r="C7465" s="51"/>
      <c r="D7465" s="114"/>
      <c r="E7465" s="114"/>
      <c r="F7465" s="54"/>
      <c r="G7465" s="54"/>
      <c r="I7465" s="54"/>
      <c r="K7465" s="54"/>
      <c r="M7465" s="114"/>
      <c r="N7465" s="1"/>
      <c r="O7465" s="1"/>
      <c r="P7465" s="51"/>
    </row>
    <row r="7466">
      <c r="A7466" s="54"/>
      <c r="B7466" s="71"/>
      <c r="C7466" s="51"/>
      <c r="D7466" s="114"/>
      <c r="E7466" s="114"/>
      <c r="F7466" s="54"/>
      <c r="G7466" s="54"/>
      <c r="I7466" s="54"/>
      <c r="K7466" s="54"/>
      <c r="M7466" s="114"/>
      <c r="N7466" s="1"/>
      <c r="O7466" s="1"/>
      <c r="P7466" s="51"/>
    </row>
    <row r="7467">
      <c r="A7467" s="54"/>
      <c r="B7467" s="71"/>
      <c r="C7467" s="51"/>
      <c r="D7467" s="114"/>
      <c r="E7467" s="114"/>
      <c r="F7467" s="54"/>
      <c r="G7467" s="54"/>
      <c r="I7467" s="54"/>
      <c r="K7467" s="54"/>
      <c r="M7467" s="114"/>
      <c r="N7467" s="1"/>
      <c r="O7467" s="1"/>
      <c r="P7467" s="51"/>
    </row>
    <row r="7468">
      <c r="A7468" s="54"/>
      <c r="B7468" s="71"/>
      <c r="C7468" s="51"/>
      <c r="D7468" s="114"/>
      <c r="E7468" s="114"/>
      <c r="F7468" s="54"/>
      <c r="G7468" s="54"/>
      <c r="I7468" s="54"/>
      <c r="K7468" s="54"/>
      <c r="M7468" s="114"/>
      <c r="N7468" s="1"/>
      <c r="O7468" s="1"/>
      <c r="P7468" s="51"/>
    </row>
    <row r="7469">
      <c r="A7469" s="54"/>
      <c r="B7469" s="71"/>
      <c r="C7469" s="51"/>
      <c r="D7469" s="114"/>
      <c r="E7469" s="114"/>
      <c r="F7469" s="54"/>
      <c r="G7469" s="54"/>
      <c r="I7469" s="54"/>
      <c r="K7469" s="54"/>
      <c r="M7469" s="114"/>
      <c r="N7469" s="1"/>
      <c r="O7469" s="1"/>
      <c r="P7469" s="51"/>
    </row>
    <row r="7470">
      <c r="A7470" s="54"/>
      <c r="B7470" s="71"/>
      <c r="C7470" s="51"/>
      <c r="D7470" s="114"/>
      <c r="E7470" s="114"/>
      <c r="F7470" s="54"/>
      <c r="G7470" s="54"/>
      <c r="I7470" s="54"/>
      <c r="K7470" s="54"/>
      <c r="M7470" s="114"/>
      <c r="N7470" s="1"/>
      <c r="O7470" s="1"/>
      <c r="P7470" s="51"/>
    </row>
    <row r="7471">
      <c r="A7471" s="54"/>
      <c r="B7471" s="71"/>
      <c r="C7471" s="51"/>
      <c r="D7471" s="114"/>
      <c r="E7471" s="114"/>
      <c r="F7471" s="54"/>
      <c r="G7471" s="54"/>
      <c r="I7471" s="54"/>
      <c r="K7471" s="54"/>
      <c r="M7471" s="114"/>
      <c r="N7471" s="1"/>
      <c r="O7471" s="1"/>
      <c r="P7471" s="51"/>
    </row>
    <row r="7472">
      <c r="A7472" s="54"/>
      <c r="B7472" s="71"/>
      <c r="C7472" s="51"/>
      <c r="D7472" s="114"/>
      <c r="E7472" s="114"/>
      <c r="F7472" s="54"/>
      <c r="G7472" s="54"/>
      <c r="I7472" s="54"/>
      <c r="K7472" s="54"/>
      <c r="M7472" s="114"/>
      <c r="N7472" s="1"/>
      <c r="O7472" s="1"/>
      <c r="P7472" s="51"/>
    </row>
    <row r="7473">
      <c r="A7473" s="54"/>
      <c r="B7473" s="71"/>
      <c r="C7473" s="51"/>
      <c r="D7473" s="114"/>
      <c r="E7473" s="114"/>
      <c r="F7473" s="54"/>
      <c r="G7473" s="54"/>
      <c r="I7473" s="54"/>
      <c r="K7473" s="54"/>
      <c r="M7473" s="114"/>
      <c r="N7473" s="1"/>
      <c r="O7473" s="1"/>
      <c r="P7473" s="51"/>
    </row>
    <row r="7474">
      <c r="A7474" s="54"/>
      <c r="B7474" s="71"/>
      <c r="C7474" s="51"/>
      <c r="D7474" s="114"/>
      <c r="E7474" s="114"/>
      <c r="F7474" s="54"/>
      <c r="G7474" s="54"/>
      <c r="I7474" s="54"/>
      <c r="K7474" s="54"/>
      <c r="M7474" s="114"/>
      <c r="N7474" s="1"/>
      <c r="O7474" s="1"/>
      <c r="P7474" s="51"/>
    </row>
    <row r="7475">
      <c r="A7475" s="54"/>
      <c r="B7475" s="71"/>
      <c r="C7475" s="51"/>
      <c r="D7475" s="114"/>
      <c r="E7475" s="114"/>
      <c r="F7475" s="54"/>
      <c r="G7475" s="54"/>
      <c r="I7475" s="54"/>
      <c r="K7475" s="54"/>
      <c r="M7475" s="114"/>
      <c r="N7475" s="1"/>
      <c r="O7475" s="1"/>
      <c r="P7475" s="51"/>
    </row>
    <row r="7476">
      <c r="A7476" s="54"/>
      <c r="B7476" s="71"/>
      <c r="C7476" s="51"/>
      <c r="D7476" s="114"/>
      <c r="E7476" s="114"/>
      <c r="F7476" s="54"/>
      <c r="G7476" s="54"/>
      <c r="I7476" s="54"/>
      <c r="K7476" s="54"/>
      <c r="M7476" s="114"/>
      <c r="N7476" s="1"/>
      <c r="O7476" s="1"/>
      <c r="P7476" s="51"/>
    </row>
    <row r="7477">
      <c r="A7477" s="54"/>
      <c r="B7477" s="71"/>
      <c r="C7477" s="51"/>
      <c r="D7477" s="114"/>
      <c r="E7477" s="114"/>
      <c r="F7477" s="54"/>
      <c r="G7477" s="54"/>
      <c r="I7477" s="54"/>
      <c r="K7477" s="54"/>
      <c r="M7477" s="114"/>
      <c r="N7477" s="1"/>
      <c r="O7477" s="1"/>
      <c r="P7477" s="51"/>
    </row>
    <row r="7478">
      <c r="A7478" s="54"/>
      <c r="B7478" s="71"/>
      <c r="C7478" s="51"/>
      <c r="D7478" s="114"/>
      <c r="E7478" s="114"/>
      <c r="F7478" s="54"/>
      <c r="G7478" s="54"/>
      <c r="I7478" s="54"/>
      <c r="K7478" s="54"/>
      <c r="M7478" s="114"/>
      <c r="N7478" s="1"/>
      <c r="O7478" s="1"/>
      <c r="P7478" s="51"/>
    </row>
    <row r="7479">
      <c r="A7479" s="54"/>
      <c r="B7479" s="71"/>
      <c r="C7479" s="51"/>
      <c r="D7479" s="114"/>
      <c r="E7479" s="114"/>
      <c r="F7479" s="54"/>
      <c r="G7479" s="54"/>
      <c r="I7479" s="54"/>
      <c r="K7479" s="54"/>
      <c r="M7479" s="114"/>
      <c r="N7479" s="1"/>
      <c r="O7479" s="1"/>
      <c r="P7479" s="51"/>
    </row>
    <row r="7480">
      <c r="A7480" s="54"/>
      <c r="B7480" s="71"/>
      <c r="C7480" s="51"/>
      <c r="D7480" s="114"/>
      <c r="E7480" s="114"/>
      <c r="F7480" s="54"/>
      <c r="G7480" s="54"/>
      <c r="I7480" s="54"/>
      <c r="K7480" s="54"/>
      <c r="M7480" s="114"/>
      <c r="N7480" s="1"/>
      <c r="O7480" s="1"/>
      <c r="P7480" s="51"/>
    </row>
    <row r="7481">
      <c r="A7481" s="54"/>
      <c r="B7481" s="71"/>
      <c r="C7481" s="51"/>
      <c r="D7481" s="114"/>
      <c r="E7481" s="114"/>
      <c r="F7481" s="54"/>
      <c r="G7481" s="54"/>
      <c r="I7481" s="54"/>
      <c r="K7481" s="54"/>
      <c r="M7481" s="114"/>
      <c r="N7481" s="1"/>
      <c r="O7481" s="1"/>
      <c r="P7481" s="51"/>
    </row>
    <row r="7482">
      <c r="A7482" s="54"/>
      <c r="B7482" s="71"/>
      <c r="C7482" s="51"/>
      <c r="D7482" s="114"/>
      <c r="E7482" s="114"/>
      <c r="F7482" s="54"/>
      <c r="G7482" s="54"/>
      <c r="I7482" s="54"/>
      <c r="K7482" s="54"/>
      <c r="M7482" s="114"/>
      <c r="N7482" s="1"/>
      <c r="O7482" s="1"/>
      <c r="P7482" s="51"/>
    </row>
    <row r="7483">
      <c r="A7483" s="54"/>
      <c r="B7483" s="71"/>
      <c r="C7483" s="51"/>
      <c r="D7483" s="114"/>
      <c r="E7483" s="114"/>
      <c r="F7483" s="54"/>
      <c r="G7483" s="54"/>
      <c r="I7483" s="54"/>
      <c r="K7483" s="54"/>
      <c r="M7483" s="114"/>
      <c r="N7483" s="1"/>
      <c r="O7483" s="1"/>
      <c r="P7483" s="51"/>
    </row>
    <row r="7484">
      <c r="A7484" s="54"/>
      <c r="B7484" s="71"/>
      <c r="C7484" s="51"/>
      <c r="D7484" s="114"/>
      <c r="E7484" s="114"/>
      <c r="F7484" s="54"/>
      <c r="G7484" s="54"/>
      <c r="I7484" s="54"/>
      <c r="K7484" s="54"/>
      <c r="M7484" s="114"/>
      <c r="N7484" s="1"/>
      <c r="O7484" s="1"/>
      <c r="P7484" s="51"/>
    </row>
    <row r="7485">
      <c r="A7485" s="54"/>
      <c r="B7485" s="71"/>
      <c r="C7485" s="51"/>
      <c r="D7485" s="114"/>
      <c r="E7485" s="114"/>
      <c r="F7485" s="54"/>
      <c r="G7485" s="54"/>
      <c r="I7485" s="54"/>
      <c r="K7485" s="54"/>
      <c r="M7485" s="114"/>
      <c r="N7485" s="1"/>
      <c r="O7485" s="1"/>
      <c r="P7485" s="51"/>
    </row>
    <row r="7486">
      <c r="A7486" s="54"/>
      <c r="B7486" s="71"/>
      <c r="C7486" s="51"/>
      <c r="D7486" s="114"/>
      <c r="E7486" s="114"/>
      <c r="F7486" s="54"/>
      <c r="G7486" s="54"/>
      <c r="I7486" s="54"/>
      <c r="K7486" s="54"/>
      <c r="M7486" s="114"/>
      <c r="N7486" s="1"/>
      <c r="O7486" s="1"/>
      <c r="P7486" s="51"/>
    </row>
    <row r="7487">
      <c r="A7487" s="54"/>
      <c r="B7487" s="71"/>
      <c r="C7487" s="51"/>
      <c r="D7487" s="114"/>
      <c r="E7487" s="114"/>
      <c r="F7487" s="54"/>
      <c r="G7487" s="54"/>
      <c r="I7487" s="54"/>
      <c r="K7487" s="54"/>
      <c r="M7487" s="114"/>
      <c r="N7487" s="1"/>
      <c r="O7487" s="1"/>
      <c r="P7487" s="51"/>
    </row>
    <row r="7488">
      <c r="A7488" s="54"/>
      <c r="B7488" s="71"/>
      <c r="C7488" s="51"/>
      <c r="D7488" s="114"/>
      <c r="E7488" s="114"/>
      <c r="F7488" s="54"/>
      <c r="G7488" s="54"/>
      <c r="I7488" s="54"/>
      <c r="K7488" s="54"/>
      <c r="M7488" s="114"/>
      <c r="N7488" s="1"/>
      <c r="O7488" s="1"/>
      <c r="P7488" s="51"/>
    </row>
    <row r="7489">
      <c r="A7489" s="54"/>
      <c r="B7489" s="71"/>
      <c r="C7489" s="51"/>
      <c r="D7489" s="114"/>
      <c r="E7489" s="114"/>
      <c r="F7489" s="54"/>
      <c r="G7489" s="54"/>
      <c r="I7489" s="54"/>
      <c r="K7489" s="54"/>
      <c r="M7489" s="114"/>
      <c r="N7489" s="1"/>
      <c r="O7489" s="1"/>
      <c r="P7489" s="51"/>
    </row>
    <row r="7490">
      <c r="A7490" s="54"/>
      <c r="B7490" s="71"/>
      <c r="C7490" s="51"/>
      <c r="D7490" s="114"/>
      <c r="E7490" s="114"/>
      <c r="F7490" s="54"/>
      <c r="G7490" s="54"/>
      <c r="I7490" s="54"/>
      <c r="K7490" s="54"/>
      <c r="M7490" s="114"/>
      <c r="N7490" s="1"/>
      <c r="O7490" s="1"/>
      <c r="P7490" s="51"/>
    </row>
    <row r="7491">
      <c r="A7491" s="54"/>
      <c r="B7491" s="71"/>
      <c r="C7491" s="51"/>
      <c r="D7491" s="114"/>
      <c r="E7491" s="114"/>
      <c r="F7491" s="54"/>
      <c r="G7491" s="54"/>
      <c r="I7491" s="54"/>
      <c r="K7491" s="54"/>
      <c r="M7491" s="114"/>
      <c r="N7491" s="1"/>
      <c r="O7491" s="1"/>
      <c r="P7491" s="51"/>
    </row>
    <row r="7492">
      <c r="A7492" s="54"/>
      <c r="B7492" s="71"/>
      <c r="C7492" s="51"/>
      <c r="D7492" s="114"/>
      <c r="E7492" s="114"/>
      <c r="F7492" s="54"/>
      <c r="G7492" s="54"/>
      <c r="I7492" s="54"/>
      <c r="K7492" s="54"/>
      <c r="M7492" s="114"/>
      <c r="N7492" s="1"/>
      <c r="O7492" s="1"/>
      <c r="P7492" s="51"/>
    </row>
    <row r="7493">
      <c r="A7493" s="54"/>
      <c r="B7493" s="71"/>
      <c r="C7493" s="51"/>
      <c r="D7493" s="114"/>
      <c r="E7493" s="114"/>
      <c r="F7493" s="54"/>
      <c r="G7493" s="54"/>
      <c r="I7493" s="54"/>
      <c r="K7493" s="54"/>
      <c r="M7493" s="114"/>
      <c r="N7493" s="1"/>
      <c r="O7493" s="1"/>
      <c r="P7493" s="51"/>
    </row>
    <row r="7494">
      <c r="A7494" s="54"/>
      <c r="B7494" s="71"/>
      <c r="C7494" s="51"/>
      <c r="D7494" s="114"/>
      <c r="E7494" s="114"/>
      <c r="F7494" s="54"/>
      <c r="G7494" s="54"/>
      <c r="I7494" s="54"/>
      <c r="K7494" s="54"/>
      <c r="M7494" s="114"/>
      <c r="N7494" s="1"/>
      <c r="O7494" s="1"/>
      <c r="P7494" s="51"/>
    </row>
    <row r="7495">
      <c r="A7495" s="54"/>
      <c r="B7495" s="71"/>
      <c r="C7495" s="51"/>
      <c r="D7495" s="114"/>
      <c r="E7495" s="114"/>
      <c r="F7495" s="54"/>
      <c r="G7495" s="54"/>
      <c r="I7495" s="54"/>
      <c r="K7495" s="54"/>
      <c r="M7495" s="114"/>
      <c r="N7495" s="1"/>
      <c r="O7495" s="1"/>
      <c r="P7495" s="51"/>
    </row>
    <row r="7496">
      <c r="A7496" s="54"/>
      <c r="B7496" s="71"/>
      <c r="C7496" s="51"/>
      <c r="D7496" s="114"/>
      <c r="E7496" s="114"/>
      <c r="F7496" s="54"/>
      <c r="G7496" s="54"/>
      <c r="I7496" s="54"/>
      <c r="K7496" s="54"/>
      <c r="M7496" s="114"/>
      <c r="N7496" s="1"/>
      <c r="O7496" s="1"/>
      <c r="P7496" s="51"/>
    </row>
    <row r="7497">
      <c r="A7497" s="54"/>
      <c r="B7497" s="71"/>
      <c r="C7497" s="51"/>
      <c r="D7497" s="114"/>
      <c r="E7497" s="114"/>
      <c r="F7497" s="54"/>
      <c r="G7497" s="54"/>
      <c r="I7497" s="54"/>
      <c r="K7497" s="54"/>
      <c r="M7497" s="114"/>
      <c r="N7497" s="1"/>
      <c r="O7497" s="1"/>
      <c r="P7497" s="51"/>
    </row>
    <row r="7498">
      <c r="A7498" s="54"/>
      <c r="B7498" s="71"/>
      <c r="C7498" s="51"/>
      <c r="D7498" s="114"/>
      <c r="E7498" s="114"/>
      <c r="F7498" s="54"/>
      <c r="G7498" s="54"/>
      <c r="I7498" s="54"/>
      <c r="K7498" s="54"/>
      <c r="M7498" s="114"/>
      <c r="N7498" s="1"/>
      <c r="O7498" s="1"/>
      <c r="P7498" s="51"/>
    </row>
    <row r="7499">
      <c r="A7499" s="54"/>
      <c r="B7499" s="71"/>
      <c r="C7499" s="51"/>
      <c r="D7499" s="114"/>
      <c r="E7499" s="114"/>
      <c r="F7499" s="54"/>
      <c r="G7499" s="54"/>
      <c r="I7499" s="54"/>
      <c r="K7499" s="54"/>
      <c r="M7499" s="114"/>
      <c r="N7499" s="1"/>
      <c r="O7499" s="1"/>
      <c r="P7499" s="51"/>
    </row>
    <row r="7500">
      <c r="A7500" s="54"/>
      <c r="B7500" s="71"/>
      <c r="C7500" s="51"/>
      <c r="D7500" s="114"/>
      <c r="E7500" s="114"/>
      <c r="F7500" s="54"/>
      <c r="G7500" s="54"/>
      <c r="I7500" s="54"/>
      <c r="K7500" s="54"/>
      <c r="M7500" s="114"/>
      <c r="N7500" s="1"/>
      <c r="O7500" s="1"/>
      <c r="P7500" s="51"/>
    </row>
    <row r="7501">
      <c r="A7501" s="54"/>
      <c r="B7501" s="71"/>
      <c r="C7501" s="51"/>
      <c r="D7501" s="114"/>
      <c r="E7501" s="114"/>
      <c r="F7501" s="54"/>
      <c r="G7501" s="54"/>
      <c r="I7501" s="54"/>
      <c r="K7501" s="54"/>
      <c r="M7501" s="114"/>
      <c r="N7501" s="1"/>
      <c r="O7501" s="1"/>
      <c r="P7501" s="51"/>
    </row>
    <row r="7502">
      <c r="A7502" s="54"/>
      <c r="B7502" s="71"/>
      <c r="C7502" s="51"/>
      <c r="D7502" s="114"/>
      <c r="E7502" s="114"/>
      <c r="F7502" s="54"/>
      <c r="G7502" s="54"/>
      <c r="I7502" s="54"/>
      <c r="K7502" s="54"/>
      <c r="M7502" s="114"/>
      <c r="N7502" s="1"/>
      <c r="O7502" s="1"/>
      <c r="P7502" s="51"/>
    </row>
    <row r="7503">
      <c r="A7503" s="54"/>
      <c r="B7503" s="71"/>
      <c r="C7503" s="51"/>
      <c r="D7503" s="114"/>
      <c r="E7503" s="114"/>
      <c r="F7503" s="54"/>
      <c r="G7503" s="54"/>
      <c r="I7503" s="54"/>
      <c r="K7503" s="54"/>
      <c r="M7503" s="114"/>
      <c r="N7503" s="1"/>
      <c r="O7503" s="1"/>
      <c r="P7503" s="51"/>
    </row>
    <row r="7504">
      <c r="A7504" s="54"/>
      <c r="B7504" s="71"/>
      <c r="C7504" s="51"/>
      <c r="D7504" s="114"/>
      <c r="E7504" s="114"/>
      <c r="F7504" s="54"/>
      <c r="G7504" s="54"/>
      <c r="I7504" s="54"/>
      <c r="K7504" s="54"/>
      <c r="M7504" s="114"/>
      <c r="N7504" s="1"/>
      <c r="O7504" s="1"/>
      <c r="P7504" s="51"/>
    </row>
    <row r="7505">
      <c r="A7505" s="54"/>
      <c r="B7505" s="71"/>
      <c r="C7505" s="51"/>
      <c r="D7505" s="114"/>
      <c r="E7505" s="114"/>
      <c r="F7505" s="54"/>
      <c r="G7505" s="54"/>
      <c r="I7505" s="54"/>
      <c r="K7505" s="54"/>
      <c r="M7505" s="114"/>
      <c r="N7505" s="1"/>
      <c r="O7505" s="1"/>
      <c r="P7505" s="51"/>
    </row>
    <row r="7506">
      <c r="A7506" s="54"/>
      <c r="B7506" s="71"/>
      <c r="C7506" s="51"/>
      <c r="D7506" s="114"/>
      <c r="E7506" s="114"/>
      <c r="F7506" s="54"/>
      <c r="G7506" s="54"/>
      <c r="I7506" s="54"/>
      <c r="K7506" s="54"/>
      <c r="M7506" s="114"/>
      <c r="N7506" s="1"/>
      <c r="O7506" s="1"/>
      <c r="P7506" s="51"/>
    </row>
    <row r="7507">
      <c r="A7507" s="54"/>
      <c r="B7507" s="71"/>
      <c r="C7507" s="51"/>
      <c r="D7507" s="114"/>
      <c r="E7507" s="114"/>
      <c r="F7507" s="54"/>
      <c r="G7507" s="54"/>
      <c r="I7507" s="54"/>
      <c r="K7507" s="54"/>
      <c r="M7507" s="114"/>
      <c r="N7507" s="1"/>
      <c r="O7507" s="1"/>
      <c r="P7507" s="51"/>
    </row>
    <row r="7508">
      <c r="A7508" s="54"/>
      <c r="B7508" s="71"/>
      <c r="C7508" s="51"/>
      <c r="D7508" s="114"/>
      <c r="E7508" s="114"/>
      <c r="F7508" s="54"/>
      <c r="G7508" s="54"/>
      <c r="I7508" s="54"/>
      <c r="K7508" s="54"/>
      <c r="M7508" s="114"/>
      <c r="N7508" s="1"/>
      <c r="O7508" s="1"/>
      <c r="P7508" s="51"/>
    </row>
    <row r="7509">
      <c r="A7509" s="54"/>
      <c r="B7509" s="71"/>
      <c r="C7509" s="51"/>
      <c r="D7509" s="114"/>
      <c r="E7509" s="114"/>
      <c r="F7509" s="54"/>
      <c r="G7509" s="54"/>
      <c r="I7509" s="54"/>
      <c r="K7509" s="54"/>
      <c r="M7509" s="114"/>
      <c r="N7509" s="1"/>
      <c r="O7509" s="1"/>
      <c r="P7509" s="51"/>
    </row>
    <row r="7510">
      <c r="A7510" s="54"/>
      <c r="B7510" s="71"/>
      <c r="C7510" s="51"/>
      <c r="D7510" s="114"/>
      <c r="E7510" s="114"/>
      <c r="F7510" s="54"/>
      <c r="G7510" s="54"/>
      <c r="I7510" s="54"/>
      <c r="K7510" s="54"/>
      <c r="M7510" s="114"/>
      <c r="N7510" s="1"/>
      <c r="O7510" s="1"/>
      <c r="P7510" s="51"/>
    </row>
    <row r="7511">
      <c r="A7511" s="54"/>
      <c r="B7511" s="71"/>
      <c r="C7511" s="51"/>
      <c r="D7511" s="114"/>
      <c r="E7511" s="114"/>
      <c r="F7511" s="54"/>
      <c r="G7511" s="54"/>
      <c r="I7511" s="54"/>
      <c r="K7511" s="54"/>
      <c r="M7511" s="114"/>
      <c r="N7511" s="1"/>
      <c r="O7511" s="1"/>
      <c r="P7511" s="51"/>
    </row>
    <row r="7512">
      <c r="A7512" s="54"/>
      <c r="B7512" s="71"/>
      <c r="C7512" s="51"/>
      <c r="D7512" s="114"/>
      <c r="E7512" s="114"/>
      <c r="F7512" s="54"/>
      <c r="G7512" s="54"/>
      <c r="I7512" s="54"/>
      <c r="K7512" s="54"/>
      <c r="M7512" s="114"/>
      <c r="N7512" s="1"/>
      <c r="O7512" s="1"/>
      <c r="P7512" s="51"/>
    </row>
    <row r="7513">
      <c r="A7513" s="54"/>
      <c r="B7513" s="71"/>
      <c r="C7513" s="51"/>
      <c r="D7513" s="114"/>
      <c r="E7513" s="114"/>
      <c r="F7513" s="54"/>
      <c r="G7513" s="54"/>
      <c r="I7513" s="54"/>
      <c r="K7513" s="54"/>
      <c r="M7513" s="114"/>
      <c r="N7513" s="1"/>
      <c r="O7513" s="1"/>
      <c r="P7513" s="51"/>
    </row>
    <row r="7514">
      <c r="A7514" s="54"/>
      <c r="B7514" s="71"/>
      <c r="C7514" s="51"/>
      <c r="D7514" s="114"/>
      <c r="E7514" s="114"/>
      <c r="F7514" s="54"/>
      <c r="G7514" s="54"/>
      <c r="I7514" s="54"/>
      <c r="K7514" s="54"/>
      <c r="M7514" s="114"/>
      <c r="N7514" s="1"/>
      <c r="O7514" s="1"/>
      <c r="P7514" s="51"/>
    </row>
    <row r="7515">
      <c r="A7515" s="54"/>
      <c r="B7515" s="71"/>
      <c r="C7515" s="51"/>
      <c r="D7515" s="114"/>
      <c r="E7515" s="114"/>
      <c r="F7515" s="54"/>
      <c r="G7515" s="54"/>
      <c r="I7515" s="54"/>
      <c r="K7515" s="54"/>
      <c r="M7515" s="114"/>
      <c r="N7515" s="1"/>
      <c r="O7515" s="1"/>
      <c r="P7515" s="51"/>
    </row>
    <row r="7516">
      <c r="A7516" s="54"/>
      <c r="B7516" s="71"/>
      <c r="C7516" s="51"/>
      <c r="D7516" s="114"/>
      <c r="E7516" s="114"/>
      <c r="F7516" s="54"/>
      <c r="G7516" s="54"/>
      <c r="I7516" s="54"/>
      <c r="K7516" s="54"/>
      <c r="M7516" s="114"/>
      <c r="N7516" s="1"/>
      <c r="O7516" s="1"/>
      <c r="P7516" s="51"/>
    </row>
    <row r="7517">
      <c r="A7517" s="54"/>
      <c r="B7517" s="71"/>
      <c r="C7517" s="51"/>
      <c r="D7517" s="114"/>
      <c r="E7517" s="114"/>
      <c r="F7517" s="54"/>
      <c r="G7517" s="54"/>
      <c r="I7517" s="54"/>
      <c r="K7517" s="54"/>
      <c r="M7517" s="114"/>
      <c r="N7517" s="1"/>
      <c r="O7517" s="1"/>
      <c r="P7517" s="51"/>
    </row>
    <row r="7518">
      <c r="A7518" s="54"/>
      <c r="B7518" s="71"/>
      <c r="C7518" s="51"/>
      <c r="D7518" s="114"/>
      <c r="E7518" s="114"/>
      <c r="F7518" s="54"/>
      <c r="G7518" s="54"/>
      <c r="I7518" s="54"/>
      <c r="K7518" s="54"/>
      <c r="M7518" s="114"/>
      <c r="N7518" s="1"/>
      <c r="O7518" s="1"/>
      <c r="P7518" s="51"/>
    </row>
    <row r="7519">
      <c r="A7519" s="54"/>
      <c r="B7519" s="71"/>
      <c r="C7519" s="51"/>
      <c r="D7519" s="114"/>
      <c r="E7519" s="114"/>
      <c r="F7519" s="54"/>
      <c r="G7519" s="54"/>
      <c r="I7519" s="54"/>
      <c r="K7519" s="54"/>
      <c r="M7519" s="114"/>
      <c r="N7519" s="1"/>
      <c r="O7519" s="1"/>
      <c r="P7519" s="51"/>
    </row>
    <row r="7520">
      <c r="A7520" s="54"/>
      <c r="B7520" s="71"/>
      <c r="C7520" s="51"/>
      <c r="D7520" s="114"/>
      <c r="E7520" s="114"/>
      <c r="F7520" s="54"/>
      <c r="G7520" s="54"/>
      <c r="I7520" s="54"/>
      <c r="K7520" s="54"/>
      <c r="M7520" s="114"/>
      <c r="N7520" s="1"/>
      <c r="O7520" s="1"/>
      <c r="P7520" s="51"/>
    </row>
    <row r="7521">
      <c r="A7521" s="54"/>
      <c r="B7521" s="71"/>
      <c r="C7521" s="51"/>
      <c r="D7521" s="114"/>
      <c r="E7521" s="114"/>
      <c r="F7521" s="54"/>
      <c r="G7521" s="54"/>
      <c r="I7521" s="54"/>
      <c r="K7521" s="54"/>
      <c r="M7521" s="114"/>
      <c r="N7521" s="1"/>
      <c r="O7521" s="1"/>
      <c r="P7521" s="51"/>
    </row>
    <row r="7522">
      <c r="A7522" s="54"/>
      <c r="B7522" s="71"/>
      <c r="C7522" s="51"/>
      <c r="D7522" s="114"/>
      <c r="E7522" s="114"/>
      <c r="F7522" s="54"/>
      <c r="G7522" s="54"/>
      <c r="I7522" s="54"/>
      <c r="K7522" s="54"/>
      <c r="M7522" s="114"/>
      <c r="N7522" s="1"/>
      <c r="O7522" s="1"/>
      <c r="P7522" s="51"/>
    </row>
    <row r="7523">
      <c r="A7523" s="54"/>
      <c r="B7523" s="71"/>
      <c r="C7523" s="51"/>
      <c r="D7523" s="114"/>
      <c r="E7523" s="114"/>
      <c r="F7523" s="54"/>
      <c r="G7523" s="54"/>
      <c r="I7523" s="54"/>
      <c r="K7523" s="54"/>
      <c r="M7523" s="114"/>
      <c r="N7523" s="1"/>
      <c r="O7523" s="1"/>
      <c r="P7523" s="51"/>
    </row>
    <row r="7524">
      <c r="A7524" s="54"/>
      <c r="B7524" s="71"/>
      <c r="C7524" s="51"/>
      <c r="D7524" s="114"/>
      <c r="E7524" s="114"/>
      <c r="F7524" s="54"/>
      <c r="G7524" s="54"/>
      <c r="I7524" s="54"/>
      <c r="K7524" s="54"/>
      <c r="M7524" s="114"/>
      <c r="N7524" s="1"/>
      <c r="O7524" s="1"/>
      <c r="P7524" s="51"/>
    </row>
    <row r="7525">
      <c r="A7525" s="54"/>
      <c r="B7525" s="71"/>
      <c r="C7525" s="51"/>
      <c r="D7525" s="114"/>
      <c r="E7525" s="114"/>
      <c r="F7525" s="54"/>
      <c r="G7525" s="54"/>
      <c r="I7525" s="54"/>
      <c r="K7525" s="54"/>
      <c r="M7525" s="114"/>
      <c r="N7525" s="1"/>
      <c r="O7525" s="1"/>
      <c r="P7525" s="51"/>
    </row>
    <row r="7526">
      <c r="A7526" s="54"/>
      <c r="B7526" s="71"/>
      <c r="C7526" s="51"/>
      <c r="D7526" s="114"/>
      <c r="E7526" s="114"/>
      <c r="F7526" s="54"/>
      <c r="G7526" s="54"/>
      <c r="I7526" s="54"/>
      <c r="K7526" s="54"/>
      <c r="M7526" s="114"/>
      <c r="N7526" s="1"/>
      <c r="O7526" s="1"/>
      <c r="P7526" s="51"/>
    </row>
    <row r="7527">
      <c r="A7527" s="54"/>
      <c r="B7527" s="71"/>
      <c r="C7527" s="51"/>
      <c r="D7527" s="114"/>
      <c r="E7527" s="114"/>
      <c r="F7527" s="54"/>
      <c r="G7527" s="54"/>
      <c r="I7527" s="54"/>
      <c r="K7527" s="54"/>
      <c r="M7527" s="114"/>
      <c r="N7527" s="1"/>
      <c r="O7527" s="1"/>
      <c r="P7527" s="51"/>
    </row>
    <row r="7528">
      <c r="A7528" s="54"/>
      <c r="B7528" s="71"/>
      <c r="C7528" s="51"/>
      <c r="D7528" s="114"/>
      <c r="E7528" s="114"/>
      <c r="F7528" s="54"/>
      <c r="G7528" s="54"/>
      <c r="I7528" s="54"/>
      <c r="K7528" s="54"/>
      <c r="M7528" s="114"/>
      <c r="N7528" s="1"/>
      <c r="O7528" s="1"/>
      <c r="P7528" s="51"/>
    </row>
    <row r="7529">
      <c r="A7529" s="54"/>
      <c r="B7529" s="71"/>
      <c r="C7529" s="51"/>
      <c r="D7529" s="114"/>
      <c r="E7529" s="114"/>
      <c r="F7529" s="54"/>
      <c r="G7529" s="54"/>
      <c r="I7529" s="54"/>
      <c r="K7529" s="54"/>
      <c r="M7529" s="114"/>
      <c r="N7529" s="1"/>
      <c r="O7529" s="1"/>
      <c r="P7529" s="51"/>
    </row>
    <row r="7530">
      <c r="A7530" s="54"/>
      <c r="B7530" s="71"/>
      <c r="C7530" s="51"/>
      <c r="D7530" s="114"/>
      <c r="E7530" s="114"/>
      <c r="F7530" s="54"/>
      <c r="G7530" s="54"/>
      <c r="I7530" s="54"/>
      <c r="K7530" s="54"/>
      <c r="M7530" s="114"/>
      <c r="N7530" s="1"/>
      <c r="O7530" s="1"/>
      <c r="P7530" s="51"/>
    </row>
    <row r="7531">
      <c r="A7531" s="54"/>
      <c r="B7531" s="71"/>
      <c r="C7531" s="51"/>
      <c r="D7531" s="114"/>
      <c r="E7531" s="114"/>
      <c r="F7531" s="54"/>
      <c r="G7531" s="54"/>
      <c r="I7531" s="54"/>
      <c r="K7531" s="54"/>
      <c r="M7531" s="114"/>
      <c r="N7531" s="1"/>
      <c r="O7531" s="1"/>
      <c r="P7531" s="51"/>
    </row>
    <row r="7532">
      <c r="A7532" s="54"/>
      <c r="B7532" s="71"/>
      <c r="C7532" s="51"/>
      <c r="D7532" s="114"/>
      <c r="E7532" s="114"/>
      <c r="F7532" s="54"/>
      <c r="G7532" s="54"/>
      <c r="I7532" s="54"/>
      <c r="K7532" s="54"/>
      <c r="M7532" s="114"/>
      <c r="N7532" s="1"/>
      <c r="O7532" s="1"/>
      <c r="P7532" s="51"/>
    </row>
    <row r="7533">
      <c r="A7533" s="54"/>
      <c r="B7533" s="71"/>
      <c r="C7533" s="51"/>
      <c r="D7533" s="114"/>
      <c r="E7533" s="114"/>
      <c r="F7533" s="54"/>
      <c r="G7533" s="54"/>
      <c r="I7533" s="54"/>
      <c r="K7533" s="54"/>
      <c r="M7533" s="114"/>
      <c r="N7533" s="1"/>
      <c r="O7533" s="1"/>
      <c r="P7533" s="51"/>
    </row>
    <row r="7534">
      <c r="A7534" s="54"/>
      <c r="B7534" s="71"/>
      <c r="C7534" s="51"/>
      <c r="D7534" s="114"/>
      <c r="E7534" s="114"/>
      <c r="F7534" s="54"/>
      <c r="G7534" s="54"/>
      <c r="I7534" s="54"/>
      <c r="K7534" s="54"/>
      <c r="M7534" s="114"/>
      <c r="N7534" s="1"/>
      <c r="O7534" s="1"/>
      <c r="P7534" s="51"/>
    </row>
    <row r="7535">
      <c r="A7535" s="54"/>
      <c r="B7535" s="71"/>
      <c r="C7535" s="51"/>
      <c r="D7535" s="114"/>
      <c r="E7535" s="114"/>
      <c r="F7535" s="54"/>
      <c r="G7535" s="54"/>
      <c r="I7535" s="54"/>
      <c r="K7535" s="54"/>
      <c r="M7535" s="114"/>
      <c r="N7535" s="1"/>
      <c r="O7535" s="1"/>
      <c r="P7535" s="51"/>
    </row>
    <row r="7536">
      <c r="A7536" s="54"/>
      <c r="B7536" s="71"/>
      <c r="C7536" s="51"/>
      <c r="D7536" s="114"/>
      <c r="E7536" s="114"/>
      <c r="F7536" s="54"/>
      <c r="G7536" s="54"/>
      <c r="I7536" s="54"/>
      <c r="K7536" s="54"/>
      <c r="M7536" s="114"/>
      <c r="N7536" s="1"/>
      <c r="O7536" s="1"/>
      <c r="P7536" s="51"/>
    </row>
    <row r="7537">
      <c r="A7537" s="54"/>
      <c r="B7537" s="71"/>
      <c r="C7537" s="51"/>
      <c r="D7537" s="114"/>
      <c r="E7537" s="114"/>
      <c r="F7537" s="54"/>
      <c r="G7537" s="54"/>
      <c r="I7537" s="54"/>
      <c r="K7537" s="54"/>
      <c r="M7537" s="114"/>
      <c r="N7537" s="1"/>
      <c r="O7537" s="1"/>
      <c r="P7537" s="51"/>
    </row>
    <row r="7538">
      <c r="A7538" s="54"/>
      <c r="B7538" s="71"/>
      <c r="C7538" s="51"/>
      <c r="D7538" s="114"/>
      <c r="E7538" s="114"/>
      <c r="F7538" s="54"/>
      <c r="G7538" s="54"/>
      <c r="I7538" s="54"/>
      <c r="K7538" s="54"/>
      <c r="M7538" s="114"/>
      <c r="N7538" s="1"/>
      <c r="O7538" s="1"/>
      <c r="P7538" s="51"/>
    </row>
    <row r="7539">
      <c r="A7539" s="54"/>
      <c r="B7539" s="71"/>
      <c r="C7539" s="51"/>
      <c r="D7539" s="114"/>
      <c r="E7539" s="114"/>
      <c r="F7539" s="54"/>
      <c r="G7539" s="54"/>
      <c r="I7539" s="54"/>
      <c r="K7539" s="54"/>
      <c r="M7539" s="114"/>
      <c r="N7539" s="1"/>
      <c r="O7539" s="1"/>
      <c r="P7539" s="51"/>
    </row>
    <row r="7540">
      <c r="A7540" s="54"/>
      <c r="B7540" s="71"/>
      <c r="C7540" s="51"/>
      <c r="D7540" s="114"/>
      <c r="E7540" s="114"/>
      <c r="F7540" s="54"/>
      <c r="G7540" s="54"/>
      <c r="I7540" s="54"/>
      <c r="K7540" s="54"/>
      <c r="M7540" s="114"/>
      <c r="N7540" s="1"/>
      <c r="O7540" s="1"/>
      <c r="P7540" s="51"/>
    </row>
    <row r="7541">
      <c r="A7541" s="54"/>
      <c r="B7541" s="71"/>
      <c r="C7541" s="51"/>
      <c r="D7541" s="114"/>
      <c r="E7541" s="114"/>
      <c r="F7541" s="54"/>
      <c r="G7541" s="54"/>
      <c r="I7541" s="54"/>
      <c r="K7541" s="54"/>
      <c r="M7541" s="114"/>
      <c r="N7541" s="1"/>
      <c r="O7541" s="1"/>
      <c r="P7541" s="51"/>
    </row>
    <row r="7542">
      <c r="A7542" s="54"/>
      <c r="B7542" s="71"/>
      <c r="C7542" s="51"/>
      <c r="D7542" s="114"/>
      <c r="E7542" s="114"/>
      <c r="F7542" s="54"/>
      <c r="G7542" s="54"/>
      <c r="I7542" s="54"/>
      <c r="K7542" s="54"/>
      <c r="M7542" s="114"/>
      <c r="N7542" s="1"/>
      <c r="O7542" s="1"/>
      <c r="P7542" s="51"/>
    </row>
    <row r="7543">
      <c r="A7543" s="54"/>
      <c r="B7543" s="71"/>
      <c r="C7543" s="51"/>
      <c r="D7543" s="114"/>
      <c r="E7543" s="114"/>
      <c r="F7543" s="54"/>
      <c r="G7543" s="54"/>
      <c r="I7543" s="54"/>
      <c r="K7543" s="54"/>
      <c r="M7543" s="114"/>
      <c r="N7543" s="1"/>
      <c r="O7543" s="1"/>
      <c r="P7543" s="51"/>
    </row>
    <row r="7544">
      <c r="A7544" s="54"/>
      <c r="B7544" s="71"/>
      <c r="C7544" s="51"/>
      <c r="D7544" s="114"/>
      <c r="E7544" s="114"/>
      <c r="F7544" s="54"/>
      <c r="G7544" s="54"/>
      <c r="I7544" s="54"/>
      <c r="K7544" s="54"/>
      <c r="M7544" s="114"/>
      <c r="N7544" s="1"/>
      <c r="O7544" s="1"/>
      <c r="P7544" s="51"/>
    </row>
    <row r="7545">
      <c r="A7545" s="54"/>
      <c r="B7545" s="71"/>
      <c r="C7545" s="51"/>
      <c r="D7545" s="114"/>
      <c r="E7545" s="114"/>
      <c r="F7545" s="54"/>
      <c r="G7545" s="54"/>
      <c r="I7545" s="54"/>
      <c r="K7545" s="54"/>
      <c r="M7545" s="114"/>
      <c r="N7545" s="1"/>
      <c r="O7545" s="1"/>
      <c r="P7545" s="51"/>
    </row>
    <row r="7546">
      <c r="A7546" s="54"/>
      <c r="B7546" s="71"/>
      <c r="C7546" s="51"/>
      <c r="D7546" s="114"/>
      <c r="E7546" s="114"/>
      <c r="F7546" s="54"/>
      <c r="G7546" s="54"/>
      <c r="I7546" s="54"/>
      <c r="K7546" s="54"/>
      <c r="M7546" s="114"/>
      <c r="N7546" s="1"/>
      <c r="O7546" s="1"/>
      <c r="P7546" s="51"/>
    </row>
    <row r="7547">
      <c r="A7547" s="54"/>
      <c r="B7547" s="71"/>
      <c r="C7547" s="51"/>
      <c r="D7547" s="114"/>
      <c r="E7547" s="114"/>
      <c r="F7547" s="54"/>
      <c r="G7547" s="54"/>
      <c r="I7547" s="54"/>
      <c r="K7547" s="54"/>
      <c r="M7547" s="114"/>
      <c r="N7547" s="1"/>
      <c r="O7547" s="1"/>
      <c r="P7547" s="51"/>
    </row>
    <row r="7548">
      <c r="A7548" s="54"/>
      <c r="B7548" s="71"/>
      <c r="C7548" s="51"/>
      <c r="D7548" s="114"/>
      <c r="E7548" s="114"/>
      <c r="F7548" s="54"/>
      <c r="G7548" s="54"/>
      <c r="I7548" s="54"/>
      <c r="K7548" s="54"/>
      <c r="M7548" s="114"/>
      <c r="N7548" s="1"/>
      <c r="O7548" s="1"/>
      <c r="P7548" s="51"/>
    </row>
    <row r="7549">
      <c r="A7549" s="54"/>
      <c r="B7549" s="71"/>
      <c r="C7549" s="51"/>
      <c r="D7549" s="114"/>
      <c r="E7549" s="114"/>
      <c r="F7549" s="54"/>
      <c r="G7549" s="54"/>
      <c r="I7549" s="54"/>
      <c r="K7549" s="54"/>
      <c r="M7549" s="114"/>
      <c r="N7549" s="1"/>
      <c r="O7549" s="1"/>
      <c r="P7549" s="51"/>
    </row>
    <row r="7550">
      <c r="A7550" s="54"/>
      <c r="B7550" s="71"/>
      <c r="C7550" s="51"/>
      <c r="D7550" s="114"/>
      <c r="E7550" s="114"/>
      <c r="F7550" s="54"/>
      <c r="G7550" s="54"/>
      <c r="I7550" s="54"/>
      <c r="K7550" s="54"/>
      <c r="M7550" s="114"/>
      <c r="N7550" s="1"/>
      <c r="O7550" s="1"/>
      <c r="P7550" s="51"/>
    </row>
    <row r="7551">
      <c r="A7551" s="54"/>
      <c r="B7551" s="71"/>
      <c r="C7551" s="51"/>
      <c r="D7551" s="114"/>
      <c r="E7551" s="114"/>
      <c r="F7551" s="54"/>
      <c r="G7551" s="54"/>
      <c r="I7551" s="54"/>
      <c r="K7551" s="54"/>
      <c r="M7551" s="114"/>
      <c r="N7551" s="1"/>
      <c r="O7551" s="1"/>
      <c r="P7551" s="51"/>
    </row>
    <row r="7552">
      <c r="A7552" s="54"/>
      <c r="B7552" s="71"/>
      <c r="C7552" s="51"/>
      <c r="D7552" s="114"/>
      <c r="E7552" s="114"/>
      <c r="F7552" s="54"/>
      <c r="G7552" s="54"/>
      <c r="I7552" s="54"/>
      <c r="K7552" s="54"/>
      <c r="M7552" s="114"/>
      <c r="N7552" s="1"/>
      <c r="O7552" s="1"/>
      <c r="P7552" s="51"/>
    </row>
    <row r="7553">
      <c r="A7553" s="54"/>
      <c r="B7553" s="71"/>
      <c r="C7553" s="51"/>
      <c r="D7553" s="114"/>
      <c r="E7553" s="114"/>
      <c r="F7553" s="54"/>
      <c r="G7553" s="54"/>
      <c r="I7553" s="54"/>
      <c r="K7553" s="54"/>
      <c r="M7553" s="114"/>
      <c r="N7553" s="1"/>
      <c r="O7553" s="1"/>
      <c r="P7553" s="51"/>
    </row>
    <row r="7554">
      <c r="A7554" s="54"/>
      <c r="B7554" s="71"/>
      <c r="C7554" s="51"/>
      <c r="D7554" s="114"/>
      <c r="E7554" s="114"/>
      <c r="F7554" s="54"/>
      <c r="G7554" s="54"/>
      <c r="I7554" s="54"/>
      <c r="K7554" s="54"/>
      <c r="M7554" s="114"/>
      <c r="N7554" s="1"/>
      <c r="O7554" s="1"/>
      <c r="P7554" s="51"/>
    </row>
    <row r="7555">
      <c r="A7555" s="54"/>
      <c r="B7555" s="71"/>
      <c r="C7555" s="51"/>
      <c r="D7555" s="114"/>
      <c r="E7555" s="114"/>
      <c r="F7555" s="54"/>
      <c r="G7555" s="54"/>
      <c r="I7555" s="54"/>
      <c r="K7555" s="54"/>
      <c r="M7555" s="114"/>
      <c r="N7555" s="1"/>
      <c r="O7555" s="1"/>
      <c r="P7555" s="51"/>
    </row>
    <row r="7556">
      <c r="A7556" s="54"/>
      <c r="B7556" s="71"/>
      <c r="C7556" s="51"/>
      <c r="D7556" s="114"/>
      <c r="E7556" s="114"/>
      <c r="F7556" s="54"/>
      <c r="G7556" s="54"/>
      <c r="I7556" s="54"/>
      <c r="K7556" s="54"/>
      <c r="M7556" s="114"/>
      <c r="N7556" s="1"/>
      <c r="O7556" s="1"/>
      <c r="P7556" s="51"/>
    </row>
    <row r="7557">
      <c r="A7557" s="54"/>
      <c r="B7557" s="71"/>
      <c r="C7557" s="51"/>
      <c r="D7557" s="114"/>
      <c r="E7557" s="114"/>
      <c r="F7557" s="54"/>
      <c r="G7557" s="54"/>
      <c r="I7557" s="54"/>
      <c r="K7557" s="54"/>
      <c r="M7557" s="114"/>
      <c r="N7557" s="1"/>
      <c r="O7557" s="1"/>
      <c r="P7557" s="51"/>
    </row>
    <row r="7558">
      <c r="A7558" s="54"/>
      <c r="B7558" s="71"/>
      <c r="C7558" s="51"/>
      <c r="D7558" s="114"/>
      <c r="E7558" s="114"/>
      <c r="F7558" s="54"/>
      <c r="G7558" s="54"/>
      <c r="I7558" s="54"/>
      <c r="K7558" s="54"/>
      <c r="M7558" s="114"/>
      <c r="N7558" s="1"/>
      <c r="O7558" s="1"/>
      <c r="P7558" s="51"/>
    </row>
    <row r="7559">
      <c r="A7559" s="54"/>
      <c r="B7559" s="71"/>
      <c r="C7559" s="51"/>
      <c r="D7559" s="114"/>
      <c r="E7559" s="114"/>
      <c r="F7559" s="54"/>
      <c r="G7559" s="54"/>
      <c r="I7559" s="54"/>
      <c r="K7559" s="54"/>
      <c r="M7559" s="114"/>
      <c r="N7559" s="1"/>
      <c r="O7559" s="1"/>
      <c r="P7559" s="51"/>
    </row>
    <row r="7560">
      <c r="A7560" s="54"/>
      <c r="B7560" s="71"/>
      <c r="C7560" s="51"/>
      <c r="D7560" s="114"/>
      <c r="E7560" s="114"/>
      <c r="F7560" s="54"/>
      <c r="G7560" s="54"/>
      <c r="I7560" s="54"/>
      <c r="K7560" s="54"/>
      <c r="M7560" s="114"/>
      <c r="N7560" s="1"/>
      <c r="O7560" s="1"/>
      <c r="P7560" s="51"/>
    </row>
    <row r="7561">
      <c r="A7561" s="54"/>
      <c r="B7561" s="71"/>
      <c r="C7561" s="51"/>
      <c r="D7561" s="114"/>
      <c r="E7561" s="114"/>
      <c r="F7561" s="54"/>
      <c r="G7561" s="54"/>
      <c r="I7561" s="54"/>
      <c r="K7561" s="54"/>
      <c r="M7561" s="114"/>
      <c r="N7561" s="1"/>
      <c r="O7561" s="1"/>
      <c r="P7561" s="51"/>
    </row>
    <row r="7562">
      <c r="A7562" s="54"/>
      <c r="B7562" s="71"/>
      <c r="C7562" s="51"/>
      <c r="D7562" s="114"/>
      <c r="E7562" s="114"/>
      <c r="F7562" s="54"/>
      <c r="G7562" s="54"/>
      <c r="I7562" s="54"/>
      <c r="K7562" s="54"/>
      <c r="M7562" s="114"/>
      <c r="N7562" s="1"/>
      <c r="O7562" s="1"/>
      <c r="P7562" s="51"/>
    </row>
    <row r="7563">
      <c r="A7563" s="54"/>
      <c r="B7563" s="71"/>
      <c r="C7563" s="51"/>
      <c r="D7563" s="114"/>
      <c r="E7563" s="114"/>
      <c r="F7563" s="54"/>
      <c r="G7563" s="54"/>
      <c r="I7563" s="54"/>
      <c r="K7563" s="54"/>
      <c r="M7563" s="114"/>
      <c r="N7563" s="1"/>
      <c r="O7563" s="1"/>
      <c r="P7563" s="51"/>
    </row>
    <row r="7564">
      <c r="A7564" s="54"/>
      <c r="B7564" s="71"/>
      <c r="C7564" s="51"/>
      <c r="D7564" s="114"/>
      <c r="E7564" s="114"/>
      <c r="F7564" s="54"/>
      <c r="G7564" s="54"/>
      <c r="I7564" s="54"/>
      <c r="K7564" s="54"/>
      <c r="M7564" s="114"/>
      <c r="N7564" s="1"/>
      <c r="O7564" s="1"/>
      <c r="P7564" s="51"/>
    </row>
    <row r="7565">
      <c r="A7565" s="54"/>
      <c r="B7565" s="71"/>
      <c r="C7565" s="51"/>
      <c r="D7565" s="114"/>
      <c r="E7565" s="114"/>
      <c r="F7565" s="54"/>
      <c r="G7565" s="54"/>
      <c r="I7565" s="54"/>
      <c r="K7565" s="54"/>
      <c r="M7565" s="114"/>
      <c r="N7565" s="1"/>
      <c r="O7565" s="1"/>
      <c r="P7565" s="51"/>
    </row>
    <row r="7566">
      <c r="A7566" s="54"/>
      <c r="B7566" s="71"/>
      <c r="C7566" s="51"/>
      <c r="D7566" s="114"/>
      <c r="E7566" s="114"/>
      <c r="F7566" s="54"/>
      <c r="G7566" s="54"/>
      <c r="I7566" s="54"/>
      <c r="K7566" s="54"/>
      <c r="M7566" s="114"/>
      <c r="N7566" s="1"/>
      <c r="O7566" s="1"/>
      <c r="P7566" s="51"/>
    </row>
    <row r="7567">
      <c r="A7567" s="54"/>
      <c r="B7567" s="71"/>
      <c r="C7567" s="51"/>
      <c r="D7567" s="114"/>
      <c r="E7567" s="114"/>
      <c r="F7567" s="54"/>
      <c r="G7567" s="54"/>
      <c r="I7567" s="54"/>
      <c r="K7567" s="54"/>
      <c r="M7567" s="114"/>
      <c r="N7567" s="1"/>
      <c r="O7567" s="1"/>
      <c r="P7567" s="51"/>
    </row>
    <row r="7568">
      <c r="A7568" s="54"/>
      <c r="B7568" s="71"/>
      <c r="C7568" s="51"/>
      <c r="D7568" s="114"/>
      <c r="E7568" s="114"/>
      <c r="F7568" s="54"/>
      <c r="G7568" s="54"/>
      <c r="I7568" s="54"/>
      <c r="K7568" s="54"/>
      <c r="M7568" s="114"/>
      <c r="N7568" s="1"/>
      <c r="O7568" s="1"/>
      <c r="P7568" s="51"/>
    </row>
    <row r="7569">
      <c r="A7569" s="54"/>
      <c r="B7569" s="71"/>
      <c r="C7569" s="51"/>
      <c r="D7569" s="114"/>
      <c r="E7569" s="114"/>
      <c r="F7569" s="54"/>
      <c r="G7569" s="54"/>
      <c r="I7569" s="54"/>
      <c r="K7569" s="54"/>
      <c r="M7569" s="114"/>
      <c r="N7569" s="1"/>
      <c r="O7569" s="1"/>
      <c r="P7569" s="51"/>
    </row>
    <row r="7570">
      <c r="A7570" s="54"/>
      <c r="B7570" s="71"/>
      <c r="C7570" s="51"/>
      <c r="D7570" s="114"/>
      <c r="E7570" s="114"/>
      <c r="F7570" s="54"/>
      <c r="G7570" s="54"/>
      <c r="I7570" s="54"/>
      <c r="K7570" s="54"/>
      <c r="M7570" s="114"/>
      <c r="N7570" s="1"/>
      <c r="O7570" s="1"/>
      <c r="P7570" s="51"/>
    </row>
    <row r="7571">
      <c r="A7571" s="54"/>
      <c r="B7571" s="71"/>
      <c r="C7571" s="51"/>
      <c r="D7571" s="114"/>
      <c r="E7571" s="114"/>
      <c r="F7571" s="54"/>
      <c r="G7571" s="54"/>
      <c r="I7571" s="54"/>
      <c r="K7571" s="54"/>
      <c r="M7571" s="114"/>
      <c r="N7571" s="1"/>
      <c r="O7571" s="1"/>
      <c r="P7571" s="51"/>
    </row>
    <row r="7572">
      <c r="A7572" s="54"/>
      <c r="B7572" s="71"/>
      <c r="C7572" s="51"/>
      <c r="D7572" s="114"/>
      <c r="E7572" s="114"/>
      <c r="F7572" s="54"/>
      <c r="G7572" s="54"/>
      <c r="I7572" s="54"/>
      <c r="K7572" s="54"/>
      <c r="M7572" s="114"/>
      <c r="N7572" s="1"/>
      <c r="O7572" s="1"/>
      <c r="P7572" s="51"/>
    </row>
    <row r="7573">
      <c r="A7573" s="54"/>
      <c r="B7573" s="71"/>
      <c r="C7573" s="51"/>
      <c r="D7573" s="114"/>
      <c r="E7573" s="114"/>
      <c r="F7573" s="54"/>
      <c r="G7573" s="54"/>
      <c r="I7573" s="54"/>
      <c r="K7573" s="54"/>
      <c r="M7573" s="114"/>
      <c r="N7573" s="1"/>
      <c r="O7573" s="1"/>
      <c r="P7573" s="51"/>
    </row>
    <row r="7574">
      <c r="A7574" s="54"/>
      <c r="B7574" s="71"/>
      <c r="C7574" s="51"/>
      <c r="D7574" s="114"/>
      <c r="E7574" s="114"/>
      <c r="F7574" s="54"/>
      <c r="G7574" s="54"/>
      <c r="I7574" s="54"/>
      <c r="K7574" s="54"/>
      <c r="M7574" s="114"/>
      <c r="N7574" s="1"/>
      <c r="O7574" s="1"/>
      <c r="P7574" s="51"/>
    </row>
    <row r="7575">
      <c r="A7575" s="54"/>
      <c r="B7575" s="71"/>
      <c r="C7575" s="51"/>
      <c r="D7575" s="114"/>
      <c r="E7575" s="114"/>
      <c r="F7575" s="54"/>
      <c r="G7575" s="54"/>
      <c r="I7575" s="54"/>
      <c r="K7575" s="54"/>
      <c r="M7575" s="114"/>
      <c r="N7575" s="1"/>
      <c r="O7575" s="1"/>
      <c r="P7575" s="51"/>
    </row>
    <row r="7576">
      <c r="A7576" s="54"/>
      <c r="B7576" s="71"/>
      <c r="C7576" s="51"/>
      <c r="D7576" s="114"/>
      <c r="E7576" s="114"/>
      <c r="F7576" s="54"/>
      <c r="G7576" s="54"/>
      <c r="I7576" s="54"/>
      <c r="K7576" s="54"/>
      <c r="M7576" s="114"/>
      <c r="N7576" s="1"/>
      <c r="O7576" s="1"/>
      <c r="P7576" s="51"/>
    </row>
    <row r="7577">
      <c r="A7577" s="54"/>
      <c r="B7577" s="71"/>
      <c r="C7577" s="51"/>
      <c r="D7577" s="114"/>
      <c r="E7577" s="114"/>
      <c r="F7577" s="54"/>
      <c r="G7577" s="54"/>
      <c r="I7577" s="54"/>
      <c r="K7577" s="54"/>
      <c r="M7577" s="114"/>
      <c r="N7577" s="1"/>
      <c r="O7577" s="1"/>
      <c r="P7577" s="51"/>
    </row>
    <row r="7578">
      <c r="A7578" s="54"/>
      <c r="B7578" s="71"/>
      <c r="C7578" s="51"/>
      <c r="D7578" s="114"/>
      <c r="E7578" s="114"/>
      <c r="F7578" s="54"/>
      <c r="G7578" s="54"/>
      <c r="I7578" s="54"/>
      <c r="K7578" s="54"/>
      <c r="M7578" s="114"/>
      <c r="N7578" s="1"/>
      <c r="O7578" s="1"/>
      <c r="P7578" s="51"/>
    </row>
    <row r="7579">
      <c r="A7579" s="54"/>
      <c r="B7579" s="71"/>
      <c r="C7579" s="51"/>
      <c r="D7579" s="114"/>
      <c r="E7579" s="114"/>
      <c r="F7579" s="54"/>
      <c r="G7579" s="54"/>
      <c r="I7579" s="54"/>
      <c r="K7579" s="54"/>
      <c r="M7579" s="114"/>
      <c r="N7579" s="1"/>
      <c r="O7579" s="1"/>
      <c r="P7579" s="51"/>
    </row>
    <row r="7580">
      <c r="A7580" s="54"/>
      <c r="B7580" s="71"/>
      <c r="C7580" s="51"/>
      <c r="D7580" s="114"/>
      <c r="E7580" s="114"/>
      <c r="F7580" s="54"/>
      <c r="G7580" s="54"/>
      <c r="I7580" s="54"/>
      <c r="K7580" s="54"/>
      <c r="M7580" s="114"/>
      <c r="N7580" s="1"/>
      <c r="O7580" s="1"/>
      <c r="P7580" s="51"/>
    </row>
    <row r="7581">
      <c r="A7581" s="54"/>
      <c r="B7581" s="71"/>
      <c r="C7581" s="51"/>
      <c r="D7581" s="114"/>
      <c r="E7581" s="114"/>
      <c r="F7581" s="54"/>
      <c r="G7581" s="54"/>
      <c r="I7581" s="54"/>
      <c r="K7581" s="54"/>
      <c r="M7581" s="114"/>
      <c r="N7581" s="1"/>
      <c r="O7581" s="1"/>
      <c r="P7581" s="51"/>
    </row>
    <row r="7582">
      <c r="A7582" s="54"/>
      <c r="B7582" s="71"/>
      <c r="C7582" s="51"/>
      <c r="D7582" s="114"/>
      <c r="E7582" s="114"/>
      <c r="F7582" s="54"/>
      <c r="G7582" s="54"/>
      <c r="I7582" s="54"/>
      <c r="K7582" s="54"/>
      <c r="M7582" s="114"/>
      <c r="N7582" s="1"/>
      <c r="O7582" s="1"/>
      <c r="P7582" s="51"/>
    </row>
    <row r="7583">
      <c r="A7583" s="54"/>
      <c r="B7583" s="71"/>
      <c r="C7583" s="51"/>
      <c r="D7583" s="114"/>
      <c r="E7583" s="114"/>
      <c r="F7583" s="54"/>
      <c r="G7583" s="54"/>
      <c r="I7583" s="54"/>
      <c r="K7583" s="54"/>
      <c r="M7583" s="114"/>
      <c r="N7583" s="1"/>
      <c r="O7583" s="1"/>
      <c r="P7583" s="51"/>
    </row>
    <row r="7584">
      <c r="A7584" s="54"/>
      <c r="B7584" s="71"/>
      <c r="C7584" s="51"/>
      <c r="D7584" s="114"/>
      <c r="E7584" s="114"/>
      <c r="F7584" s="54"/>
      <c r="G7584" s="54"/>
      <c r="I7584" s="54"/>
      <c r="K7584" s="54"/>
      <c r="M7584" s="114"/>
      <c r="N7584" s="1"/>
      <c r="O7584" s="1"/>
      <c r="P7584" s="51"/>
    </row>
    <row r="7585">
      <c r="A7585" s="54"/>
      <c r="B7585" s="71"/>
      <c r="C7585" s="51"/>
      <c r="D7585" s="114"/>
      <c r="E7585" s="114"/>
      <c r="F7585" s="54"/>
      <c r="G7585" s="54"/>
      <c r="I7585" s="54"/>
      <c r="K7585" s="54"/>
      <c r="M7585" s="114"/>
      <c r="N7585" s="1"/>
      <c r="O7585" s="1"/>
      <c r="P7585" s="51"/>
    </row>
    <row r="7586">
      <c r="A7586" s="54"/>
      <c r="B7586" s="71"/>
      <c r="C7586" s="51"/>
      <c r="D7586" s="114"/>
      <c r="E7586" s="114"/>
      <c r="F7586" s="54"/>
      <c r="G7586" s="54"/>
      <c r="I7586" s="54"/>
      <c r="K7586" s="54"/>
      <c r="M7586" s="114"/>
      <c r="N7586" s="1"/>
      <c r="O7586" s="1"/>
      <c r="P7586" s="51"/>
    </row>
    <row r="7587">
      <c r="A7587" s="54"/>
      <c r="B7587" s="71"/>
      <c r="C7587" s="51"/>
      <c r="D7587" s="114"/>
      <c r="E7587" s="114"/>
      <c r="F7587" s="54"/>
      <c r="G7587" s="54"/>
      <c r="I7587" s="54"/>
      <c r="K7587" s="54"/>
      <c r="M7587" s="114"/>
      <c r="N7587" s="1"/>
      <c r="O7587" s="1"/>
      <c r="P7587" s="51"/>
    </row>
    <row r="7588">
      <c r="A7588" s="54"/>
      <c r="B7588" s="71"/>
      <c r="C7588" s="51"/>
      <c r="D7588" s="114"/>
      <c r="E7588" s="114"/>
      <c r="F7588" s="54"/>
      <c r="G7588" s="54"/>
      <c r="I7588" s="54"/>
      <c r="K7588" s="54"/>
      <c r="M7588" s="114"/>
      <c r="N7588" s="1"/>
      <c r="O7588" s="1"/>
      <c r="P7588" s="51"/>
    </row>
    <row r="7589">
      <c r="A7589" s="54"/>
      <c r="B7589" s="71"/>
      <c r="C7589" s="51"/>
      <c r="D7589" s="114"/>
      <c r="E7589" s="114"/>
      <c r="F7589" s="54"/>
      <c r="G7589" s="54"/>
      <c r="I7589" s="54"/>
      <c r="K7589" s="54"/>
      <c r="M7589" s="114"/>
      <c r="N7589" s="1"/>
      <c r="O7589" s="1"/>
      <c r="P7589" s="51"/>
    </row>
    <row r="7590">
      <c r="A7590" s="54"/>
      <c r="B7590" s="71"/>
      <c r="C7590" s="51"/>
      <c r="D7590" s="114"/>
      <c r="E7590" s="114"/>
      <c r="F7590" s="54"/>
      <c r="G7590" s="54"/>
      <c r="I7590" s="54"/>
      <c r="K7590" s="54"/>
      <c r="M7590" s="114"/>
      <c r="N7590" s="1"/>
      <c r="O7590" s="1"/>
      <c r="P7590" s="51"/>
    </row>
    <row r="7591">
      <c r="A7591" s="54"/>
      <c r="B7591" s="71"/>
      <c r="C7591" s="51"/>
      <c r="D7591" s="114"/>
      <c r="E7591" s="114"/>
      <c r="F7591" s="54"/>
      <c r="G7591" s="54"/>
      <c r="I7591" s="54"/>
      <c r="K7591" s="54"/>
      <c r="M7591" s="114"/>
      <c r="N7591" s="1"/>
      <c r="O7591" s="1"/>
      <c r="P7591" s="51"/>
    </row>
    <row r="7592">
      <c r="A7592" s="54"/>
      <c r="B7592" s="71"/>
      <c r="C7592" s="51"/>
      <c r="D7592" s="114"/>
      <c r="E7592" s="114"/>
      <c r="F7592" s="54"/>
      <c r="G7592" s="54"/>
      <c r="I7592" s="54"/>
      <c r="K7592" s="54"/>
      <c r="M7592" s="114"/>
      <c r="N7592" s="1"/>
      <c r="O7592" s="1"/>
      <c r="P7592" s="51"/>
    </row>
    <row r="7593">
      <c r="A7593" s="54"/>
      <c r="B7593" s="71"/>
      <c r="C7593" s="51"/>
      <c r="D7593" s="114"/>
      <c r="E7593" s="114"/>
      <c r="F7593" s="54"/>
      <c r="G7593" s="54"/>
      <c r="I7593" s="54"/>
      <c r="K7593" s="54"/>
      <c r="M7593" s="114"/>
      <c r="N7593" s="1"/>
      <c r="O7593" s="1"/>
      <c r="P7593" s="51"/>
    </row>
    <row r="7594">
      <c r="A7594" s="54"/>
      <c r="B7594" s="71"/>
      <c r="C7594" s="51"/>
      <c r="D7594" s="114"/>
      <c r="E7594" s="114"/>
      <c r="F7594" s="54"/>
      <c r="G7594" s="54"/>
      <c r="I7594" s="54"/>
      <c r="K7594" s="54"/>
      <c r="M7594" s="114"/>
      <c r="N7594" s="1"/>
      <c r="O7594" s="1"/>
      <c r="P7594" s="51"/>
    </row>
    <row r="7595">
      <c r="A7595" s="54"/>
      <c r="B7595" s="71"/>
      <c r="C7595" s="51"/>
      <c r="D7595" s="114"/>
      <c r="E7595" s="114"/>
      <c r="F7595" s="54"/>
      <c r="G7595" s="54"/>
      <c r="I7595" s="54"/>
      <c r="K7595" s="54"/>
      <c r="M7595" s="114"/>
      <c r="N7595" s="1"/>
      <c r="O7595" s="1"/>
      <c r="P7595" s="51"/>
    </row>
    <row r="7596">
      <c r="A7596" s="54"/>
      <c r="B7596" s="71"/>
      <c r="C7596" s="51"/>
      <c r="D7596" s="114"/>
      <c r="E7596" s="114"/>
      <c r="F7596" s="54"/>
      <c r="G7596" s="54"/>
      <c r="I7596" s="54"/>
      <c r="K7596" s="54"/>
      <c r="M7596" s="114"/>
      <c r="N7596" s="1"/>
      <c r="O7596" s="1"/>
      <c r="P7596" s="51"/>
    </row>
    <row r="7597">
      <c r="A7597" s="54"/>
      <c r="B7597" s="71"/>
      <c r="C7597" s="51"/>
      <c r="D7597" s="114"/>
      <c r="E7597" s="114"/>
      <c r="F7597" s="54"/>
      <c r="G7597" s="54"/>
      <c r="I7597" s="54"/>
      <c r="K7597" s="54"/>
      <c r="M7597" s="114"/>
      <c r="N7597" s="1"/>
      <c r="O7597" s="1"/>
      <c r="P7597" s="51"/>
    </row>
    <row r="7598">
      <c r="A7598" s="54"/>
      <c r="B7598" s="71"/>
      <c r="C7598" s="51"/>
      <c r="D7598" s="114"/>
      <c r="E7598" s="114"/>
      <c r="F7598" s="54"/>
      <c r="G7598" s="54"/>
      <c r="I7598" s="54"/>
      <c r="K7598" s="54"/>
      <c r="M7598" s="114"/>
      <c r="N7598" s="1"/>
      <c r="O7598" s="1"/>
      <c r="P7598" s="51"/>
    </row>
    <row r="7599">
      <c r="A7599" s="54"/>
      <c r="B7599" s="71"/>
      <c r="C7599" s="51"/>
      <c r="D7599" s="114"/>
      <c r="E7599" s="114"/>
      <c r="F7599" s="54"/>
      <c r="G7599" s="54"/>
      <c r="I7599" s="54"/>
      <c r="K7599" s="54"/>
      <c r="M7599" s="114"/>
      <c r="N7599" s="1"/>
      <c r="O7599" s="1"/>
      <c r="P7599" s="51"/>
    </row>
    <row r="7600">
      <c r="A7600" s="54"/>
      <c r="B7600" s="71"/>
      <c r="C7600" s="51"/>
      <c r="D7600" s="114"/>
      <c r="E7600" s="114"/>
      <c r="F7600" s="54"/>
      <c r="G7600" s="54"/>
      <c r="I7600" s="54"/>
      <c r="K7600" s="54"/>
      <c r="M7600" s="114"/>
      <c r="N7600" s="1"/>
      <c r="O7600" s="1"/>
      <c r="P7600" s="51"/>
    </row>
    <row r="7601">
      <c r="A7601" s="54"/>
      <c r="B7601" s="71"/>
      <c r="C7601" s="51"/>
      <c r="D7601" s="114"/>
      <c r="E7601" s="114"/>
      <c r="F7601" s="54"/>
      <c r="G7601" s="54"/>
      <c r="I7601" s="54"/>
      <c r="K7601" s="54"/>
      <c r="M7601" s="114"/>
      <c r="N7601" s="1"/>
      <c r="O7601" s="1"/>
      <c r="P7601" s="51"/>
    </row>
    <row r="7602">
      <c r="A7602" s="54"/>
      <c r="B7602" s="71"/>
      <c r="C7602" s="51"/>
      <c r="D7602" s="114"/>
      <c r="E7602" s="114"/>
      <c r="F7602" s="54"/>
      <c r="G7602" s="54"/>
      <c r="I7602" s="54"/>
      <c r="K7602" s="54"/>
      <c r="M7602" s="114"/>
      <c r="N7602" s="1"/>
      <c r="O7602" s="1"/>
      <c r="P7602" s="51"/>
    </row>
    <row r="7603">
      <c r="A7603" s="54"/>
      <c r="B7603" s="71"/>
      <c r="C7603" s="51"/>
      <c r="D7603" s="114"/>
      <c r="E7603" s="114"/>
      <c r="F7603" s="54"/>
      <c r="G7603" s="54"/>
      <c r="I7603" s="54"/>
      <c r="K7603" s="54"/>
      <c r="M7603" s="114"/>
      <c r="N7603" s="1"/>
      <c r="O7603" s="1"/>
      <c r="P7603" s="51"/>
    </row>
    <row r="7604">
      <c r="A7604" s="54"/>
      <c r="B7604" s="71"/>
      <c r="C7604" s="51"/>
      <c r="D7604" s="114"/>
      <c r="E7604" s="114"/>
      <c r="F7604" s="54"/>
      <c r="G7604" s="54"/>
      <c r="I7604" s="54"/>
      <c r="K7604" s="54"/>
      <c r="M7604" s="114"/>
      <c r="N7604" s="1"/>
      <c r="O7604" s="1"/>
      <c r="P7604" s="51"/>
    </row>
    <row r="7605">
      <c r="A7605" s="54"/>
      <c r="B7605" s="71"/>
      <c r="C7605" s="51"/>
      <c r="D7605" s="114"/>
      <c r="E7605" s="114"/>
      <c r="F7605" s="54"/>
      <c r="G7605" s="54"/>
      <c r="I7605" s="54"/>
      <c r="K7605" s="54"/>
      <c r="M7605" s="114"/>
      <c r="N7605" s="1"/>
      <c r="O7605" s="1"/>
      <c r="P7605" s="51"/>
    </row>
    <row r="7606">
      <c r="A7606" s="54"/>
      <c r="B7606" s="71"/>
      <c r="C7606" s="51"/>
      <c r="D7606" s="114"/>
      <c r="E7606" s="114"/>
      <c r="F7606" s="54"/>
      <c r="G7606" s="54"/>
      <c r="I7606" s="54"/>
      <c r="K7606" s="54"/>
      <c r="M7606" s="114"/>
      <c r="N7606" s="1"/>
      <c r="O7606" s="1"/>
      <c r="P7606" s="51"/>
    </row>
    <row r="7607">
      <c r="A7607" s="54"/>
      <c r="B7607" s="71"/>
      <c r="C7607" s="51"/>
      <c r="D7607" s="114"/>
      <c r="E7607" s="114"/>
      <c r="F7607" s="54"/>
      <c r="G7607" s="54"/>
      <c r="I7607" s="54"/>
      <c r="K7607" s="54"/>
      <c r="M7607" s="114"/>
      <c r="N7607" s="1"/>
      <c r="O7607" s="1"/>
      <c r="P7607" s="51"/>
    </row>
    <row r="7608">
      <c r="A7608" s="54"/>
      <c r="B7608" s="71"/>
      <c r="C7608" s="51"/>
      <c r="D7608" s="114"/>
      <c r="E7608" s="114"/>
      <c r="F7608" s="54"/>
      <c r="G7608" s="54"/>
      <c r="I7608" s="54"/>
      <c r="K7608" s="54"/>
      <c r="M7608" s="114"/>
      <c r="N7608" s="1"/>
      <c r="O7608" s="1"/>
      <c r="P7608" s="51"/>
    </row>
    <row r="7609">
      <c r="A7609" s="54"/>
      <c r="B7609" s="71"/>
      <c r="C7609" s="51"/>
      <c r="D7609" s="114"/>
      <c r="E7609" s="114"/>
      <c r="F7609" s="54"/>
      <c r="G7609" s="54"/>
      <c r="I7609" s="54"/>
      <c r="K7609" s="54"/>
      <c r="M7609" s="114"/>
      <c r="N7609" s="1"/>
      <c r="O7609" s="1"/>
      <c r="P7609" s="51"/>
    </row>
    <row r="7610">
      <c r="A7610" s="54"/>
      <c r="B7610" s="71"/>
      <c r="C7610" s="51"/>
      <c r="D7610" s="114"/>
      <c r="E7610" s="114"/>
      <c r="F7610" s="54"/>
      <c r="G7610" s="54"/>
      <c r="I7610" s="54"/>
      <c r="K7610" s="54"/>
      <c r="M7610" s="114"/>
      <c r="N7610" s="1"/>
      <c r="O7610" s="1"/>
      <c r="P7610" s="51"/>
    </row>
    <row r="7611">
      <c r="A7611" s="54"/>
      <c r="B7611" s="71"/>
      <c r="C7611" s="51"/>
      <c r="D7611" s="114"/>
      <c r="E7611" s="114"/>
      <c r="F7611" s="54"/>
      <c r="G7611" s="54"/>
      <c r="I7611" s="54"/>
      <c r="K7611" s="54"/>
      <c r="M7611" s="114"/>
      <c r="N7611" s="1"/>
      <c r="O7611" s="1"/>
      <c r="P7611" s="51"/>
    </row>
    <row r="7612">
      <c r="A7612" s="54"/>
      <c r="B7612" s="71"/>
      <c r="C7612" s="51"/>
      <c r="D7612" s="114"/>
      <c r="E7612" s="114"/>
      <c r="F7612" s="54"/>
      <c r="G7612" s="54"/>
      <c r="I7612" s="54"/>
      <c r="K7612" s="54"/>
      <c r="M7612" s="114"/>
      <c r="N7612" s="1"/>
      <c r="O7612" s="1"/>
      <c r="P7612" s="51"/>
    </row>
    <row r="7613">
      <c r="A7613" s="54"/>
      <c r="B7613" s="71"/>
      <c r="C7613" s="51"/>
      <c r="D7613" s="114"/>
      <c r="E7613" s="114"/>
      <c r="F7613" s="54"/>
      <c r="G7613" s="54"/>
      <c r="I7613" s="54"/>
      <c r="K7613" s="54"/>
      <c r="M7613" s="114"/>
      <c r="N7613" s="1"/>
      <c r="O7613" s="1"/>
      <c r="P7613" s="51"/>
    </row>
    <row r="7614">
      <c r="A7614" s="54"/>
      <c r="B7614" s="71"/>
      <c r="C7614" s="51"/>
      <c r="D7614" s="114"/>
      <c r="E7614" s="114"/>
      <c r="F7614" s="54"/>
      <c r="G7614" s="54"/>
      <c r="I7614" s="54"/>
      <c r="K7614" s="54"/>
      <c r="M7614" s="114"/>
      <c r="N7614" s="1"/>
      <c r="O7614" s="1"/>
      <c r="P7614" s="51"/>
    </row>
    <row r="7615">
      <c r="A7615" s="54"/>
      <c r="B7615" s="71"/>
      <c r="C7615" s="51"/>
      <c r="D7615" s="114"/>
      <c r="E7615" s="114"/>
      <c r="F7615" s="54"/>
      <c r="G7615" s="54"/>
      <c r="I7615" s="54"/>
      <c r="K7615" s="54"/>
      <c r="M7615" s="114"/>
      <c r="N7615" s="1"/>
      <c r="O7615" s="1"/>
      <c r="P7615" s="51"/>
    </row>
    <row r="7616">
      <c r="A7616" s="54"/>
      <c r="B7616" s="71"/>
      <c r="C7616" s="51"/>
      <c r="D7616" s="114"/>
      <c r="E7616" s="114"/>
      <c r="F7616" s="54"/>
      <c r="G7616" s="54"/>
      <c r="I7616" s="54"/>
      <c r="K7616" s="54"/>
      <c r="M7616" s="114"/>
      <c r="N7616" s="1"/>
      <c r="O7616" s="1"/>
      <c r="P7616" s="51"/>
    </row>
    <row r="7617">
      <c r="A7617" s="54"/>
      <c r="B7617" s="71"/>
      <c r="C7617" s="51"/>
      <c r="D7617" s="114"/>
      <c r="E7617" s="114"/>
      <c r="F7617" s="54"/>
      <c r="G7617" s="54"/>
      <c r="I7617" s="54"/>
      <c r="K7617" s="54"/>
      <c r="M7617" s="114"/>
      <c r="N7617" s="1"/>
      <c r="O7617" s="1"/>
      <c r="P7617" s="51"/>
    </row>
    <row r="7618">
      <c r="A7618" s="54"/>
      <c r="B7618" s="71"/>
      <c r="C7618" s="51"/>
      <c r="D7618" s="114"/>
      <c r="E7618" s="114"/>
      <c r="F7618" s="54"/>
      <c r="G7618" s="54"/>
      <c r="I7618" s="54"/>
      <c r="K7618" s="54"/>
      <c r="M7618" s="114"/>
      <c r="N7618" s="1"/>
      <c r="O7618" s="1"/>
      <c r="P7618" s="51"/>
    </row>
    <row r="7619">
      <c r="A7619" s="54"/>
      <c r="B7619" s="71"/>
      <c r="C7619" s="51"/>
      <c r="D7619" s="114"/>
      <c r="E7619" s="114"/>
      <c r="F7619" s="54"/>
      <c r="G7619" s="54"/>
      <c r="I7619" s="54"/>
      <c r="K7619" s="54"/>
      <c r="M7619" s="114"/>
      <c r="N7619" s="1"/>
      <c r="O7619" s="1"/>
      <c r="P7619" s="51"/>
    </row>
    <row r="7620">
      <c r="A7620" s="54"/>
      <c r="B7620" s="71"/>
      <c r="C7620" s="51"/>
      <c r="D7620" s="114"/>
      <c r="E7620" s="114"/>
      <c r="F7620" s="54"/>
      <c r="G7620" s="54"/>
      <c r="I7620" s="54"/>
      <c r="K7620" s="54"/>
      <c r="M7620" s="114"/>
      <c r="N7620" s="1"/>
      <c r="O7620" s="1"/>
      <c r="P7620" s="51"/>
    </row>
    <row r="7621">
      <c r="A7621" s="54"/>
      <c r="B7621" s="71"/>
      <c r="C7621" s="51"/>
      <c r="D7621" s="114"/>
      <c r="E7621" s="114"/>
      <c r="F7621" s="54"/>
      <c r="G7621" s="54"/>
      <c r="I7621" s="54"/>
      <c r="K7621" s="54"/>
      <c r="M7621" s="114"/>
      <c r="N7621" s="1"/>
      <c r="O7621" s="1"/>
      <c r="P7621" s="51"/>
    </row>
    <row r="7622">
      <c r="A7622" s="54"/>
      <c r="B7622" s="71"/>
      <c r="C7622" s="51"/>
      <c r="D7622" s="114"/>
      <c r="E7622" s="114"/>
      <c r="F7622" s="54"/>
      <c r="G7622" s="54"/>
      <c r="I7622" s="54"/>
      <c r="K7622" s="54"/>
      <c r="M7622" s="114"/>
      <c r="N7622" s="1"/>
      <c r="O7622" s="1"/>
      <c r="P7622" s="51"/>
    </row>
    <row r="7623">
      <c r="A7623" s="54"/>
      <c r="B7623" s="71"/>
      <c r="C7623" s="51"/>
      <c r="D7623" s="114"/>
      <c r="E7623" s="114"/>
      <c r="F7623" s="54"/>
      <c r="G7623" s="54"/>
      <c r="I7623" s="54"/>
      <c r="K7623" s="54"/>
      <c r="M7623" s="114"/>
      <c r="N7623" s="1"/>
      <c r="O7623" s="1"/>
      <c r="P7623" s="51"/>
    </row>
    <row r="7624">
      <c r="A7624" s="54"/>
      <c r="B7624" s="71"/>
      <c r="C7624" s="51"/>
      <c r="D7624" s="114"/>
      <c r="E7624" s="114"/>
      <c r="F7624" s="54"/>
      <c r="G7624" s="54"/>
      <c r="I7624" s="54"/>
      <c r="K7624" s="54"/>
      <c r="M7624" s="114"/>
      <c r="N7624" s="1"/>
      <c r="O7624" s="1"/>
      <c r="P7624" s="51"/>
    </row>
    <row r="7625">
      <c r="A7625" s="54"/>
      <c r="B7625" s="71"/>
      <c r="C7625" s="51"/>
      <c r="D7625" s="114"/>
      <c r="E7625" s="114"/>
      <c r="F7625" s="54"/>
      <c r="G7625" s="54"/>
      <c r="I7625" s="54"/>
      <c r="K7625" s="54"/>
      <c r="M7625" s="114"/>
      <c r="N7625" s="1"/>
      <c r="O7625" s="1"/>
      <c r="P7625" s="51"/>
    </row>
    <row r="7626">
      <c r="A7626" s="54"/>
      <c r="B7626" s="71"/>
      <c r="C7626" s="51"/>
      <c r="D7626" s="114"/>
      <c r="E7626" s="114"/>
      <c r="F7626" s="54"/>
      <c r="G7626" s="54"/>
      <c r="I7626" s="54"/>
      <c r="K7626" s="54"/>
      <c r="M7626" s="114"/>
      <c r="N7626" s="1"/>
      <c r="O7626" s="1"/>
      <c r="P7626" s="51"/>
    </row>
    <row r="7627">
      <c r="A7627" s="54"/>
      <c r="B7627" s="71"/>
      <c r="C7627" s="51"/>
      <c r="D7627" s="114"/>
      <c r="E7627" s="114"/>
      <c r="F7627" s="54"/>
      <c r="G7627" s="54"/>
      <c r="I7627" s="54"/>
      <c r="K7627" s="54"/>
      <c r="M7627" s="114"/>
      <c r="N7627" s="1"/>
      <c r="O7627" s="1"/>
      <c r="P7627" s="51"/>
    </row>
    <row r="7628">
      <c r="A7628" s="54"/>
      <c r="B7628" s="71"/>
      <c r="C7628" s="51"/>
      <c r="D7628" s="114"/>
      <c r="E7628" s="114"/>
      <c r="F7628" s="54"/>
      <c r="G7628" s="54"/>
      <c r="I7628" s="54"/>
      <c r="K7628" s="54"/>
      <c r="M7628" s="114"/>
      <c r="N7628" s="1"/>
      <c r="O7628" s="1"/>
      <c r="P7628" s="51"/>
    </row>
    <row r="7629">
      <c r="A7629" s="54"/>
      <c r="B7629" s="71"/>
      <c r="C7629" s="51"/>
      <c r="D7629" s="114"/>
      <c r="E7629" s="114"/>
      <c r="F7629" s="54"/>
      <c r="G7629" s="54"/>
      <c r="I7629" s="54"/>
      <c r="K7629" s="54"/>
      <c r="M7629" s="114"/>
      <c r="N7629" s="1"/>
      <c r="O7629" s="1"/>
      <c r="P7629" s="51"/>
    </row>
    <row r="7630">
      <c r="A7630" s="54"/>
      <c r="B7630" s="71"/>
      <c r="C7630" s="51"/>
      <c r="D7630" s="114"/>
      <c r="E7630" s="114"/>
      <c r="F7630" s="54"/>
      <c r="G7630" s="54"/>
      <c r="I7630" s="54"/>
      <c r="K7630" s="54"/>
      <c r="M7630" s="114"/>
      <c r="N7630" s="1"/>
      <c r="O7630" s="1"/>
      <c r="P7630" s="51"/>
    </row>
    <row r="7631">
      <c r="A7631" s="54"/>
      <c r="B7631" s="71"/>
      <c r="C7631" s="51"/>
      <c r="D7631" s="114"/>
      <c r="E7631" s="114"/>
      <c r="F7631" s="54"/>
      <c r="G7631" s="54"/>
      <c r="I7631" s="54"/>
      <c r="K7631" s="54"/>
      <c r="M7631" s="114"/>
      <c r="N7631" s="1"/>
      <c r="O7631" s="1"/>
      <c r="P7631" s="51"/>
    </row>
    <row r="7632">
      <c r="A7632" s="54"/>
      <c r="B7632" s="71"/>
      <c r="C7632" s="51"/>
      <c r="D7632" s="114"/>
      <c r="E7632" s="114"/>
      <c r="F7632" s="54"/>
      <c r="G7632" s="54"/>
      <c r="I7632" s="54"/>
      <c r="K7632" s="54"/>
      <c r="M7632" s="114"/>
      <c r="N7632" s="1"/>
      <c r="O7632" s="1"/>
      <c r="P7632" s="51"/>
    </row>
    <row r="7633">
      <c r="A7633" s="54"/>
      <c r="B7633" s="71"/>
      <c r="C7633" s="51"/>
      <c r="D7633" s="114"/>
      <c r="E7633" s="114"/>
      <c r="F7633" s="54"/>
      <c r="G7633" s="54"/>
      <c r="I7633" s="54"/>
      <c r="K7633" s="54"/>
      <c r="M7633" s="114"/>
      <c r="N7633" s="1"/>
      <c r="O7633" s="1"/>
      <c r="P7633" s="51"/>
    </row>
    <row r="7634">
      <c r="A7634" s="54"/>
      <c r="B7634" s="71"/>
      <c r="C7634" s="51"/>
      <c r="D7634" s="114"/>
      <c r="E7634" s="114"/>
      <c r="F7634" s="54"/>
      <c r="G7634" s="54"/>
      <c r="I7634" s="54"/>
      <c r="K7634" s="54"/>
      <c r="M7634" s="114"/>
      <c r="N7634" s="1"/>
      <c r="O7634" s="1"/>
      <c r="P7634" s="51"/>
    </row>
    <row r="7635">
      <c r="A7635" s="54"/>
      <c r="B7635" s="71"/>
      <c r="C7635" s="51"/>
      <c r="D7635" s="114"/>
      <c r="E7635" s="114"/>
      <c r="F7635" s="54"/>
      <c r="G7635" s="54"/>
      <c r="I7635" s="54"/>
      <c r="K7635" s="54"/>
      <c r="M7635" s="114"/>
      <c r="N7635" s="1"/>
      <c r="O7635" s="1"/>
      <c r="P7635" s="51"/>
    </row>
    <row r="7636">
      <c r="A7636" s="54"/>
      <c r="B7636" s="71"/>
      <c r="C7636" s="51"/>
      <c r="D7636" s="114"/>
      <c r="E7636" s="114"/>
      <c r="F7636" s="54"/>
      <c r="G7636" s="54"/>
      <c r="I7636" s="54"/>
      <c r="K7636" s="54"/>
      <c r="M7636" s="114"/>
      <c r="N7636" s="1"/>
      <c r="O7636" s="1"/>
      <c r="P7636" s="51"/>
    </row>
    <row r="7637">
      <c r="A7637" s="54"/>
      <c r="B7637" s="71"/>
      <c r="C7637" s="51"/>
      <c r="D7637" s="114"/>
      <c r="E7637" s="114"/>
      <c r="F7637" s="54"/>
      <c r="G7637" s="54"/>
      <c r="I7637" s="54"/>
      <c r="K7637" s="54"/>
      <c r="M7637" s="114"/>
      <c r="N7637" s="1"/>
      <c r="O7637" s="1"/>
      <c r="P7637" s="51"/>
    </row>
    <row r="7638">
      <c r="A7638" s="54"/>
      <c r="B7638" s="71"/>
      <c r="C7638" s="51"/>
      <c r="D7638" s="114"/>
      <c r="E7638" s="114"/>
      <c r="F7638" s="54"/>
      <c r="G7638" s="54"/>
      <c r="I7638" s="54"/>
      <c r="K7638" s="54"/>
      <c r="M7638" s="114"/>
      <c r="N7638" s="1"/>
      <c r="O7638" s="1"/>
      <c r="P7638" s="51"/>
    </row>
    <row r="7639">
      <c r="A7639" s="54"/>
      <c r="B7639" s="71"/>
      <c r="C7639" s="51"/>
      <c r="D7639" s="114"/>
      <c r="E7639" s="114"/>
      <c r="F7639" s="54"/>
      <c r="G7639" s="54"/>
      <c r="I7639" s="54"/>
      <c r="K7639" s="54"/>
      <c r="M7639" s="114"/>
      <c r="N7639" s="1"/>
      <c r="O7639" s="1"/>
      <c r="P7639" s="51"/>
    </row>
    <row r="7640">
      <c r="A7640" s="54"/>
      <c r="B7640" s="71"/>
      <c r="C7640" s="51"/>
      <c r="D7640" s="114"/>
      <c r="E7640" s="114"/>
      <c r="F7640" s="54"/>
      <c r="G7640" s="54"/>
      <c r="I7640" s="54"/>
      <c r="K7640" s="54"/>
      <c r="M7640" s="114"/>
      <c r="N7640" s="1"/>
      <c r="O7640" s="1"/>
      <c r="P7640" s="51"/>
    </row>
    <row r="7641">
      <c r="A7641" s="54"/>
      <c r="B7641" s="71"/>
      <c r="C7641" s="51"/>
      <c r="D7641" s="114"/>
      <c r="E7641" s="114"/>
      <c r="F7641" s="54"/>
      <c r="G7641" s="54"/>
      <c r="I7641" s="54"/>
      <c r="K7641" s="54"/>
      <c r="M7641" s="114"/>
      <c r="N7641" s="1"/>
      <c r="O7641" s="1"/>
      <c r="P7641" s="51"/>
    </row>
    <row r="7642">
      <c r="A7642" s="54"/>
      <c r="B7642" s="71"/>
      <c r="C7642" s="51"/>
      <c r="D7642" s="114"/>
      <c r="E7642" s="114"/>
      <c r="F7642" s="54"/>
      <c r="G7642" s="54"/>
      <c r="I7642" s="54"/>
      <c r="K7642" s="54"/>
      <c r="M7642" s="114"/>
      <c r="N7642" s="1"/>
      <c r="O7642" s="1"/>
      <c r="P7642" s="51"/>
    </row>
    <row r="7643">
      <c r="A7643" s="54"/>
      <c r="B7643" s="71"/>
      <c r="C7643" s="51"/>
      <c r="D7643" s="114"/>
      <c r="E7643" s="114"/>
      <c r="F7643" s="54"/>
      <c r="G7643" s="54"/>
      <c r="I7643" s="54"/>
      <c r="K7643" s="54"/>
      <c r="M7643" s="114"/>
      <c r="N7643" s="1"/>
      <c r="O7643" s="1"/>
      <c r="P7643" s="51"/>
    </row>
    <row r="7644">
      <c r="A7644" s="54"/>
      <c r="B7644" s="71"/>
      <c r="C7644" s="51"/>
      <c r="D7644" s="114"/>
      <c r="E7644" s="114"/>
      <c r="F7644" s="54"/>
      <c r="G7644" s="54"/>
      <c r="I7644" s="54"/>
      <c r="K7644" s="54"/>
      <c r="M7644" s="114"/>
      <c r="N7644" s="1"/>
      <c r="O7644" s="1"/>
      <c r="P7644" s="51"/>
    </row>
    <row r="7645">
      <c r="A7645" s="54"/>
      <c r="B7645" s="71"/>
      <c r="C7645" s="51"/>
      <c r="D7645" s="114"/>
      <c r="E7645" s="114"/>
      <c r="F7645" s="54"/>
      <c r="G7645" s="54"/>
      <c r="I7645" s="54"/>
      <c r="K7645" s="54"/>
      <c r="M7645" s="114"/>
      <c r="N7645" s="1"/>
      <c r="O7645" s="1"/>
      <c r="P7645" s="51"/>
    </row>
    <row r="7646">
      <c r="A7646" s="54"/>
      <c r="B7646" s="71"/>
      <c r="C7646" s="51"/>
      <c r="D7646" s="114"/>
      <c r="E7646" s="114"/>
      <c r="F7646" s="54"/>
      <c r="G7646" s="54"/>
      <c r="I7646" s="54"/>
      <c r="K7646" s="54"/>
      <c r="M7646" s="114"/>
      <c r="N7646" s="1"/>
      <c r="O7646" s="1"/>
      <c r="P7646" s="51"/>
    </row>
    <row r="7647">
      <c r="A7647" s="54"/>
      <c r="B7647" s="71"/>
      <c r="C7647" s="51"/>
      <c r="D7647" s="114"/>
      <c r="E7647" s="114"/>
      <c r="F7647" s="54"/>
      <c r="G7647" s="54"/>
      <c r="I7647" s="54"/>
      <c r="K7647" s="54"/>
      <c r="M7647" s="114"/>
      <c r="N7647" s="1"/>
      <c r="O7647" s="1"/>
      <c r="P7647" s="51"/>
    </row>
    <row r="7648">
      <c r="A7648" s="54"/>
      <c r="B7648" s="71"/>
      <c r="C7648" s="51"/>
      <c r="D7648" s="114"/>
      <c r="E7648" s="114"/>
      <c r="F7648" s="54"/>
      <c r="G7648" s="54"/>
      <c r="I7648" s="54"/>
      <c r="K7648" s="54"/>
      <c r="M7648" s="114"/>
      <c r="N7648" s="1"/>
      <c r="O7648" s="1"/>
      <c r="P7648" s="51"/>
    </row>
    <row r="7649">
      <c r="A7649" s="54"/>
      <c r="B7649" s="71"/>
      <c r="C7649" s="51"/>
      <c r="D7649" s="114"/>
      <c r="E7649" s="114"/>
      <c r="F7649" s="54"/>
      <c r="G7649" s="54"/>
      <c r="I7649" s="54"/>
      <c r="K7649" s="54"/>
      <c r="M7649" s="114"/>
      <c r="N7649" s="1"/>
      <c r="O7649" s="1"/>
      <c r="P7649" s="51"/>
    </row>
    <row r="7650">
      <c r="A7650" s="54"/>
      <c r="B7650" s="71"/>
      <c r="C7650" s="51"/>
      <c r="D7650" s="114"/>
      <c r="E7650" s="114"/>
      <c r="F7650" s="54"/>
      <c r="G7650" s="54"/>
      <c r="I7650" s="54"/>
      <c r="K7650" s="54"/>
      <c r="M7650" s="114"/>
      <c r="N7650" s="1"/>
      <c r="O7650" s="1"/>
      <c r="P7650" s="51"/>
    </row>
    <row r="7651">
      <c r="A7651" s="54"/>
      <c r="B7651" s="71"/>
      <c r="C7651" s="51"/>
      <c r="D7651" s="114"/>
      <c r="E7651" s="114"/>
      <c r="F7651" s="54"/>
      <c r="G7651" s="54"/>
      <c r="I7651" s="54"/>
      <c r="K7651" s="54"/>
      <c r="M7651" s="114"/>
      <c r="N7651" s="1"/>
      <c r="O7651" s="1"/>
      <c r="P7651" s="51"/>
    </row>
    <row r="7652">
      <c r="A7652" s="54"/>
      <c r="B7652" s="71"/>
      <c r="C7652" s="51"/>
      <c r="D7652" s="114"/>
      <c r="E7652" s="114"/>
      <c r="F7652" s="54"/>
      <c r="G7652" s="54"/>
      <c r="I7652" s="54"/>
      <c r="K7652" s="54"/>
      <c r="M7652" s="114"/>
      <c r="N7652" s="1"/>
      <c r="O7652" s="1"/>
      <c r="P7652" s="51"/>
    </row>
    <row r="7653">
      <c r="A7653" s="54"/>
      <c r="B7653" s="71"/>
      <c r="C7653" s="51"/>
      <c r="D7653" s="114"/>
      <c r="E7653" s="114"/>
      <c r="F7653" s="54"/>
      <c r="G7653" s="54"/>
      <c r="I7653" s="54"/>
      <c r="K7653" s="54"/>
      <c r="M7653" s="114"/>
      <c r="N7653" s="1"/>
      <c r="O7653" s="1"/>
      <c r="P7653" s="51"/>
    </row>
    <row r="7654">
      <c r="A7654" s="54"/>
      <c r="B7654" s="71"/>
      <c r="C7654" s="51"/>
      <c r="D7654" s="114"/>
      <c r="E7654" s="114"/>
      <c r="F7654" s="54"/>
      <c r="G7654" s="54"/>
      <c r="I7654" s="54"/>
      <c r="K7654" s="54"/>
      <c r="M7654" s="114"/>
      <c r="N7654" s="1"/>
      <c r="O7654" s="1"/>
      <c r="P7654" s="51"/>
    </row>
    <row r="7655">
      <c r="A7655" s="54"/>
      <c r="B7655" s="71"/>
      <c r="C7655" s="51"/>
      <c r="D7655" s="114"/>
      <c r="E7655" s="114"/>
      <c r="F7655" s="54"/>
      <c r="G7655" s="54"/>
      <c r="I7655" s="54"/>
      <c r="K7655" s="54"/>
      <c r="M7655" s="114"/>
      <c r="N7655" s="1"/>
      <c r="O7655" s="1"/>
      <c r="P7655" s="51"/>
    </row>
    <row r="7656">
      <c r="A7656" s="54"/>
      <c r="B7656" s="71"/>
      <c r="C7656" s="51"/>
      <c r="D7656" s="114"/>
      <c r="E7656" s="114"/>
      <c r="F7656" s="54"/>
      <c r="G7656" s="54"/>
      <c r="I7656" s="54"/>
      <c r="K7656" s="54"/>
      <c r="M7656" s="114"/>
      <c r="N7656" s="1"/>
      <c r="O7656" s="1"/>
      <c r="P7656" s="51"/>
    </row>
    <row r="7657">
      <c r="A7657" s="54"/>
      <c r="B7657" s="71"/>
      <c r="C7657" s="51"/>
      <c r="D7657" s="114"/>
      <c r="E7657" s="114"/>
      <c r="F7657" s="54"/>
      <c r="G7657" s="54"/>
      <c r="I7657" s="54"/>
      <c r="K7657" s="54"/>
      <c r="M7657" s="114"/>
      <c r="N7657" s="1"/>
      <c r="O7657" s="1"/>
      <c r="P7657" s="51"/>
    </row>
    <row r="7658">
      <c r="A7658" s="54"/>
      <c r="B7658" s="71"/>
      <c r="C7658" s="51"/>
      <c r="D7658" s="114"/>
      <c r="E7658" s="114"/>
      <c r="F7658" s="54"/>
      <c r="G7658" s="54"/>
      <c r="I7658" s="54"/>
      <c r="K7658" s="54"/>
      <c r="M7658" s="114"/>
      <c r="N7658" s="1"/>
      <c r="O7658" s="1"/>
      <c r="P7658" s="51"/>
    </row>
    <row r="7659">
      <c r="A7659" s="54"/>
      <c r="B7659" s="71"/>
      <c r="C7659" s="51"/>
      <c r="D7659" s="114"/>
      <c r="E7659" s="114"/>
      <c r="F7659" s="54"/>
      <c r="G7659" s="54"/>
      <c r="I7659" s="54"/>
      <c r="K7659" s="54"/>
      <c r="M7659" s="114"/>
      <c r="N7659" s="1"/>
      <c r="O7659" s="1"/>
      <c r="P7659" s="51"/>
    </row>
    <row r="7660">
      <c r="A7660" s="54"/>
      <c r="B7660" s="71"/>
      <c r="C7660" s="51"/>
      <c r="D7660" s="114"/>
      <c r="E7660" s="114"/>
      <c r="F7660" s="54"/>
      <c r="G7660" s="54"/>
      <c r="I7660" s="54"/>
      <c r="K7660" s="54"/>
      <c r="M7660" s="114"/>
      <c r="N7660" s="1"/>
      <c r="O7660" s="1"/>
      <c r="P7660" s="51"/>
    </row>
    <row r="7661">
      <c r="A7661" s="54"/>
      <c r="B7661" s="71"/>
      <c r="C7661" s="51"/>
      <c r="D7661" s="114"/>
      <c r="E7661" s="114"/>
      <c r="F7661" s="54"/>
      <c r="G7661" s="54"/>
      <c r="I7661" s="54"/>
      <c r="K7661" s="54"/>
      <c r="M7661" s="114"/>
      <c r="N7661" s="1"/>
      <c r="O7661" s="1"/>
      <c r="P7661" s="51"/>
    </row>
    <row r="7662">
      <c r="A7662" s="54"/>
      <c r="B7662" s="71"/>
      <c r="C7662" s="51"/>
      <c r="D7662" s="114"/>
      <c r="E7662" s="114"/>
      <c r="F7662" s="54"/>
      <c r="G7662" s="54"/>
      <c r="I7662" s="54"/>
      <c r="K7662" s="54"/>
      <c r="M7662" s="114"/>
      <c r="N7662" s="1"/>
      <c r="O7662" s="1"/>
      <c r="P7662" s="51"/>
    </row>
    <row r="7663">
      <c r="A7663" s="54"/>
      <c r="B7663" s="71"/>
      <c r="C7663" s="51"/>
      <c r="D7663" s="114"/>
      <c r="E7663" s="114"/>
      <c r="F7663" s="54"/>
      <c r="G7663" s="54"/>
      <c r="I7663" s="54"/>
      <c r="K7663" s="54"/>
      <c r="M7663" s="114"/>
      <c r="N7663" s="1"/>
      <c r="O7663" s="1"/>
      <c r="P7663" s="51"/>
    </row>
    <row r="7664">
      <c r="A7664" s="54"/>
      <c r="B7664" s="71"/>
      <c r="C7664" s="51"/>
      <c r="D7664" s="114"/>
      <c r="E7664" s="114"/>
      <c r="F7664" s="54"/>
      <c r="G7664" s="54"/>
      <c r="I7664" s="54"/>
      <c r="K7664" s="54"/>
      <c r="M7664" s="114"/>
      <c r="N7664" s="1"/>
      <c r="O7664" s="1"/>
      <c r="P7664" s="51"/>
    </row>
    <row r="7665">
      <c r="A7665" s="54"/>
      <c r="B7665" s="71"/>
      <c r="C7665" s="51"/>
      <c r="D7665" s="114"/>
      <c r="E7665" s="114"/>
      <c r="F7665" s="54"/>
      <c r="G7665" s="54"/>
      <c r="I7665" s="54"/>
      <c r="K7665" s="54"/>
      <c r="M7665" s="114"/>
      <c r="N7665" s="1"/>
      <c r="O7665" s="1"/>
      <c r="P7665" s="51"/>
    </row>
    <row r="7666">
      <c r="A7666" s="54"/>
      <c r="B7666" s="71"/>
      <c r="C7666" s="51"/>
      <c r="D7666" s="114"/>
      <c r="E7666" s="114"/>
      <c r="F7666" s="54"/>
      <c r="G7666" s="54"/>
      <c r="I7666" s="54"/>
      <c r="K7666" s="54"/>
      <c r="M7666" s="114"/>
      <c r="N7666" s="1"/>
      <c r="O7666" s="1"/>
      <c r="P7666" s="51"/>
    </row>
    <row r="7667">
      <c r="A7667" s="54"/>
      <c r="B7667" s="71"/>
      <c r="C7667" s="51"/>
      <c r="D7667" s="114"/>
      <c r="E7667" s="114"/>
      <c r="F7667" s="54"/>
      <c r="G7667" s="54"/>
      <c r="I7667" s="54"/>
      <c r="K7667" s="54"/>
      <c r="M7667" s="114"/>
      <c r="N7667" s="1"/>
      <c r="O7667" s="1"/>
      <c r="P7667" s="51"/>
    </row>
    <row r="7668">
      <c r="A7668" s="54"/>
      <c r="B7668" s="71"/>
      <c r="C7668" s="51"/>
      <c r="D7668" s="114"/>
      <c r="E7668" s="114"/>
      <c r="F7668" s="54"/>
      <c r="G7668" s="54"/>
      <c r="I7668" s="54"/>
      <c r="K7668" s="54"/>
      <c r="M7668" s="114"/>
      <c r="N7668" s="1"/>
      <c r="O7668" s="1"/>
      <c r="P7668" s="51"/>
    </row>
    <row r="7669">
      <c r="A7669" s="54"/>
      <c r="B7669" s="71"/>
      <c r="C7669" s="51"/>
      <c r="D7669" s="114"/>
      <c r="E7669" s="114"/>
      <c r="F7669" s="54"/>
      <c r="G7669" s="54"/>
      <c r="I7669" s="54"/>
      <c r="K7669" s="54"/>
      <c r="M7669" s="114"/>
      <c r="N7669" s="1"/>
      <c r="O7669" s="1"/>
      <c r="P7669" s="51"/>
    </row>
    <row r="7670">
      <c r="A7670" s="54"/>
      <c r="B7670" s="71"/>
      <c r="C7670" s="51"/>
      <c r="D7670" s="114"/>
      <c r="E7670" s="114"/>
      <c r="F7670" s="54"/>
      <c r="G7670" s="54"/>
      <c r="I7670" s="54"/>
      <c r="K7670" s="54"/>
      <c r="M7670" s="114"/>
      <c r="N7670" s="1"/>
      <c r="O7670" s="1"/>
      <c r="P7670" s="51"/>
    </row>
    <row r="7671">
      <c r="A7671" s="54"/>
      <c r="B7671" s="71"/>
      <c r="C7671" s="51"/>
      <c r="D7671" s="114"/>
      <c r="E7671" s="114"/>
      <c r="F7671" s="54"/>
      <c r="G7671" s="54"/>
      <c r="I7671" s="54"/>
      <c r="K7671" s="54"/>
      <c r="M7671" s="114"/>
      <c r="N7671" s="1"/>
      <c r="O7671" s="1"/>
      <c r="P7671" s="51"/>
    </row>
    <row r="7672">
      <c r="A7672" s="54"/>
      <c r="B7672" s="71"/>
      <c r="C7672" s="51"/>
      <c r="D7672" s="114"/>
      <c r="E7672" s="114"/>
      <c r="F7672" s="54"/>
      <c r="G7672" s="54"/>
      <c r="I7672" s="54"/>
      <c r="K7672" s="54"/>
      <c r="M7672" s="114"/>
      <c r="N7672" s="1"/>
      <c r="O7672" s="1"/>
      <c r="P7672" s="51"/>
    </row>
    <row r="7673">
      <c r="A7673" s="54"/>
      <c r="B7673" s="71"/>
      <c r="C7673" s="51"/>
      <c r="D7673" s="114"/>
      <c r="E7673" s="114"/>
      <c r="F7673" s="54"/>
      <c r="G7673" s="54"/>
      <c r="I7673" s="54"/>
      <c r="K7673" s="54"/>
      <c r="M7673" s="114"/>
      <c r="N7673" s="1"/>
      <c r="O7673" s="1"/>
      <c r="P7673" s="51"/>
    </row>
    <row r="7674">
      <c r="A7674" s="54"/>
      <c r="B7674" s="71"/>
      <c r="C7674" s="51"/>
      <c r="D7674" s="114"/>
      <c r="E7674" s="114"/>
      <c r="F7674" s="54"/>
      <c r="G7674" s="54"/>
      <c r="I7674" s="54"/>
      <c r="K7674" s="54"/>
      <c r="M7674" s="114"/>
      <c r="N7674" s="1"/>
      <c r="O7674" s="1"/>
      <c r="P7674" s="51"/>
    </row>
    <row r="7675">
      <c r="A7675" s="54"/>
      <c r="B7675" s="71"/>
      <c r="C7675" s="51"/>
      <c r="D7675" s="114"/>
      <c r="E7675" s="114"/>
      <c r="F7675" s="54"/>
      <c r="G7675" s="54"/>
      <c r="I7675" s="54"/>
      <c r="K7675" s="54"/>
      <c r="M7675" s="114"/>
      <c r="N7675" s="1"/>
      <c r="O7675" s="1"/>
      <c r="P7675" s="51"/>
    </row>
    <row r="7676">
      <c r="A7676" s="54"/>
      <c r="B7676" s="71"/>
      <c r="C7676" s="51"/>
      <c r="D7676" s="114"/>
      <c r="E7676" s="114"/>
      <c r="F7676" s="54"/>
      <c r="G7676" s="54"/>
      <c r="I7676" s="54"/>
      <c r="K7676" s="54"/>
      <c r="M7676" s="114"/>
      <c r="N7676" s="1"/>
      <c r="O7676" s="1"/>
      <c r="P7676" s="51"/>
    </row>
    <row r="7677">
      <c r="A7677" s="54"/>
      <c r="B7677" s="71"/>
      <c r="C7677" s="51"/>
      <c r="D7677" s="114"/>
      <c r="E7677" s="114"/>
      <c r="F7677" s="54"/>
      <c r="G7677" s="54"/>
      <c r="I7677" s="54"/>
      <c r="K7677" s="54"/>
      <c r="M7677" s="114"/>
      <c r="N7677" s="1"/>
      <c r="O7677" s="1"/>
      <c r="P7677" s="51"/>
    </row>
    <row r="7678">
      <c r="A7678" s="54"/>
      <c r="B7678" s="71"/>
      <c r="C7678" s="51"/>
      <c r="D7678" s="114"/>
      <c r="E7678" s="114"/>
      <c r="F7678" s="54"/>
      <c r="G7678" s="54"/>
      <c r="I7678" s="54"/>
      <c r="K7678" s="54"/>
      <c r="M7678" s="114"/>
      <c r="N7678" s="1"/>
      <c r="O7678" s="1"/>
      <c r="P7678" s="51"/>
    </row>
    <row r="7679">
      <c r="A7679" s="54"/>
      <c r="B7679" s="71"/>
      <c r="C7679" s="51"/>
      <c r="D7679" s="114"/>
      <c r="E7679" s="114"/>
      <c r="F7679" s="54"/>
      <c r="G7679" s="54"/>
      <c r="I7679" s="54"/>
      <c r="K7679" s="54"/>
      <c r="M7679" s="114"/>
      <c r="N7679" s="1"/>
      <c r="O7679" s="1"/>
      <c r="P7679" s="51"/>
    </row>
    <row r="7680">
      <c r="A7680" s="54"/>
      <c r="B7680" s="71"/>
      <c r="C7680" s="51"/>
      <c r="D7680" s="114"/>
      <c r="E7680" s="114"/>
      <c r="F7680" s="54"/>
      <c r="G7680" s="54"/>
      <c r="I7680" s="54"/>
      <c r="K7680" s="54"/>
      <c r="M7680" s="114"/>
      <c r="N7680" s="1"/>
      <c r="O7680" s="1"/>
      <c r="P7680" s="51"/>
    </row>
    <row r="7681">
      <c r="A7681" s="54"/>
      <c r="B7681" s="71"/>
      <c r="C7681" s="51"/>
      <c r="D7681" s="114"/>
      <c r="E7681" s="114"/>
      <c r="F7681" s="54"/>
      <c r="G7681" s="54"/>
      <c r="I7681" s="54"/>
      <c r="K7681" s="54"/>
      <c r="M7681" s="114"/>
      <c r="N7681" s="1"/>
      <c r="O7681" s="1"/>
      <c r="P7681" s="51"/>
    </row>
    <row r="7682">
      <c r="A7682" s="54"/>
      <c r="B7682" s="71"/>
      <c r="C7682" s="51"/>
      <c r="D7682" s="114"/>
      <c r="E7682" s="114"/>
      <c r="F7682" s="54"/>
      <c r="G7682" s="54"/>
      <c r="I7682" s="54"/>
      <c r="K7682" s="54"/>
      <c r="M7682" s="114"/>
      <c r="N7682" s="1"/>
      <c r="O7682" s="1"/>
      <c r="P7682" s="51"/>
    </row>
    <row r="7683">
      <c r="A7683" s="54"/>
      <c r="B7683" s="71"/>
      <c r="C7683" s="51"/>
      <c r="D7683" s="114"/>
      <c r="E7683" s="114"/>
      <c r="F7683" s="54"/>
      <c r="G7683" s="54"/>
      <c r="I7683" s="54"/>
      <c r="K7683" s="54"/>
      <c r="M7683" s="114"/>
      <c r="N7683" s="1"/>
      <c r="O7683" s="1"/>
      <c r="P7683" s="51"/>
    </row>
    <row r="7684">
      <c r="A7684" s="54"/>
      <c r="B7684" s="71"/>
      <c r="C7684" s="51"/>
      <c r="D7684" s="114"/>
      <c r="E7684" s="114"/>
      <c r="F7684" s="54"/>
      <c r="G7684" s="54"/>
      <c r="I7684" s="54"/>
      <c r="K7684" s="54"/>
      <c r="M7684" s="114"/>
      <c r="N7684" s="1"/>
      <c r="O7684" s="1"/>
      <c r="P7684" s="51"/>
    </row>
    <row r="7685">
      <c r="A7685" s="54"/>
      <c r="B7685" s="71"/>
      <c r="C7685" s="51"/>
      <c r="D7685" s="114"/>
      <c r="E7685" s="114"/>
      <c r="F7685" s="54"/>
      <c r="G7685" s="54"/>
      <c r="I7685" s="54"/>
      <c r="K7685" s="54"/>
      <c r="M7685" s="114"/>
      <c r="N7685" s="1"/>
      <c r="O7685" s="1"/>
      <c r="P7685" s="51"/>
    </row>
    <row r="7686">
      <c r="A7686" s="54"/>
      <c r="B7686" s="71"/>
      <c r="C7686" s="51"/>
      <c r="D7686" s="114"/>
      <c r="E7686" s="114"/>
      <c r="F7686" s="54"/>
      <c r="G7686" s="54"/>
      <c r="I7686" s="54"/>
      <c r="K7686" s="54"/>
      <c r="M7686" s="114"/>
      <c r="N7686" s="1"/>
      <c r="O7686" s="1"/>
      <c r="P7686" s="51"/>
    </row>
    <row r="7687">
      <c r="A7687" s="54"/>
      <c r="B7687" s="71"/>
      <c r="C7687" s="51"/>
      <c r="D7687" s="114"/>
      <c r="E7687" s="114"/>
      <c r="F7687" s="54"/>
      <c r="G7687" s="54"/>
      <c r="I7687" s="54"/>
      <c r="K7687" s="54"/>
      <c r="M7687" s="114"/>
      <c r="N7687" s="1"/>
      <c r="O7687" s="1"/>
      <c r="P7687" s="51"/>
    </row>
    <row r="7688">
      <c r="A7688" s="54"/>
      <c r="B7688" s="71"/>
      <c r="C7688" s="51"/>
      <c r="D7688" s="114"/>
      <c r="E7688" s="114"/>
      <c r="F7688" s="54"/>
      <c r="G7688" s="54"/>
      <c r="I7688" s="54"/>
      <c r="K7688" s="54"/>
      <c r="M7688" s="114"/>
      <c r="N7688" s="1"/>
      <c r="O7688" s="1"/>
      <c r="P7688" s="51"/>
    </row>
    <row r="7689">
      <c r="A7689" s="54"/>
      <c r="B7689" s="71"/>
      <c r="C7689" s="51"/>
      <c r="D7689" s="114"/>
      <c r="E7689" s="114"/>
      <c r="F7689" s="54"/>
      <c r="G7689" s="54"/>
      <c r="I7689" s="54"/>
      <c r="K7689" s="54"/>
      <c r="M7689" s="114"/>
      <c r="N7689" s="1"/>
      <c r="O7689" s="1"/>
      <c r="P7689" s="51"/>
    </row>
    <row r="7690">
      <c r="A7690" s="54"/>
      <c r="B7690" s="71"/>
      <c r="C7690" s="51"/>
      <c r="D7690" s="114"/>
      <c r="E7690" s="114"/>
      <c r="F7690" s="54"/>
      <c r="G7690" s="54"/>
      <c r="I7690" s="54"/>
      <c r="K7690" s="54"/>
      <c r="M7690" s="114"/>
      <c r="N7690" s="1"/>
      <c r="O7690" s="1"/>
      <c r="P7690" s="51"/>
    </row>
    <row r="7691">
      <c r="A7691" s="54"/>
      <c r="B7691" s="71"/>
      <c r="C7691" s="51"/>
      <c r="D7691" s="114"/>
      <c r="E7691" s="114"/>
      <c r="F7691" s="54"/>
      <c r="G7691" s="54"/>
      <c r="I7691" s="54"/>
      <c r="K7691" s="54"/>
      <c r="M7691" s="114"/>
      <c r="N7691" s="1"/>
      <c r="O7691" s="1"/>
      <c r="P7691" s="51"/>
    </row>
    <row r="7692">
      <c r="A7692" s="54"/>
      <c r="B7692" s="71"/>
      <c r="C7692" s="51"/>
      <c r="D7692" s="114"/>
      <c r="E7692" s="114"/>
      <c r="F7692" s="54"/>
      <c r="G7692" s="54"/>
      <c r="I7692" s="54"/>
      <c r="K7692" s="54"/>
      <c r="M7692" s="114"/>
      <c r="N7692" s="1"/>
      <c r="O7692" s="1"/>
      <c r="P7692" s="51"/>
    </row>
    <row r="7693">
      <c r="A7693" s="54"/>
      <c r="B7693" s="71"/>
      <c r="C7693" s="51"/>
      <c r="D7693" s="114"/>
      <c r="E7693" s="114"/>
      <c r="F7693" s="54"/>
      <c r="G7693" s="54"/>
      <c r="I7693" s="54"/>
      <c r="K7693" s="54"/>
      <c r="M7693" s="114"/>
      <c r="N7693" s="1"/>
      <c r="O7693" s="1"/>
      <c r="P7693" s="51"/>
    </row>
    <row r="7694">
      <c r="A7694" s="54"/>
      <c r="B7694" s="71"/>
      <c r="C7694" s="51"/>
      <c r="D7694" s="114"/>
      <c r="E7694" s="114"/>
      <c r="F7694" s="54"/>
      <c r="G7694" s="54"/>
      <c r="I7694" s="54"/>
      <c r="K7694" s="54"/>
      <c r="M7694" s="114"/>
      <c r="N7694" s="1"/>
      <c r="O7694" s="1"/>
      <c r="P7694" s="51"/>
    </row>
    <row r="7695">
      <c r="A7695" s="54"/>
      <c r="B7695" s="71"/>
      <c r="C7695" s="51"/>
      <c r="D7695" s="114"/>
      <c r="E7695" s="114"/>
      <c r="F7695" s="54"/>
      <c r="G7695" s="54"/>
      <c r="I7695" s="54"/>
      <c r="K7695" s="54"/>
      <c r="M7695" s="114"/>
      <c r="N7695" s="1"/>
      <c r="O7695" s="1"/>
      <c r="P7695" s="51"/>
    </row>
    <row r="7696">
      <c r="A7696" s="54"/>
      <c r="B7696" s="71"/>
      <c r="C7696" s="51"/>
      <c r="D7696" s="114"/>
      <c r="E7696" s="114"/>
      <c r="F7696" s="54"/>
      <c r="G7696" s="54"/>
      <c r="I7696" s="54"/>
      <c r="K7696" s="54"/>
      <c r="M7696" s="114"/>
      <c r="N7696" s="1"/>
      <c r="O7696" s="1"/>
      <c r="P7696" s="51"/>
    </row>
    <row r="7697">
      <c r="A7697" s="54"/>
      <c r="B7697" s="71"/>
      <c r="C7697" s="51"/>
      <c r="D7697" s="114"/>
      <c r="E7697" s="114"/>
      <c r="F7697" s="54"/>
      <c r="G7697" s="54"/>
      <c r="I7697" s="54"/>
      <c r="K7697" s="54"/>
      <c r="M7697" s="114"/>
      <c r="N7697" s="1"/>
      <c r="O7697" s="1"/>
      <c r="P7697" s="51"/>
    </row>
    <row r="7698">
      <c r="A7698" s="54"/>
      <c r="B7698" s="71"/>
      <c r="C7698" s="51"/>
      <c r="D7698" s="114"/>
      <c r="E7698" s="114"/>
      <c r="F7698" s="54"/>
      <c r="G7698" s="54"/>
      <c r="I7698" s="54"/>
      <c r="K7698" s="54"/>
      <c r="M7698" s="114"/>
      <c r="N7698" s="1"/>
      <c r="O7698" s="1"/>
      <c r="P7698" s="51"/>
    </row>
    <row r="7699">
      <c r="A7699" s="54"/>
      <c r="B7699" s="71"/>
      <c r="C7699" s="51"/>
      <c r="D7699" s="114"/>
      <c r="E7699" s="114"/>
      <c r="F7699" s="54"/>
      <c r="G7699" s="54"/>
      <c r="I7699" s="54"/>
      <c r="K7699" s="54"/>
      <c r="M7699" s="114"/>
      <c r="N7699" s="1"/>
      <c r="O7699" s="1"/>
      <c r="P7699" s="51"/>
    </row>
    <row r="7700">
      <c r="A7700" s="54"/>
      <c r="B7700" s="71"/>
      <c r="C7700" s="51"/>
      <c r="D7700" s="114"/>
      <c r="E7700" s="114"/>
      <c r="F7700" s="54"/>
      <c r="G7700" s="54"/>
      <c r="I7700" s="54"/>
      <c r="K7700" s="54"/>
      <c r="M7700" s="114"/>
      <c r="N7700" s="1"/>
      <c r="O7700" s="1"/>
      <c r="P7700" s="51"/>
    </row>
    <row r="7701">
      <c r="A7701" s="54"/>
      <c r="B7701" s="71"/>
      <c r="C7701" s="51"/>
      <c r="D7701" s="114"/>
      <c r="E7701" s="114"/>
      <c r="F7701" s="54"/>
      <c r="G7701" s="54"/>
      <c r="I7701" s="54"/>
      <c r="K7701" s="54"/>
      <c r="M7701" s="114"/>
      <c r="N7701" s="1"/>
      <c r="O7701" s="1"/>
      <c r="P7701" s="51"/>
    </row>
    <row r="7702">
      <c r="A7702" s="54"/>
      <c r="B7702" s="71"/>
      <c r="C7702" s="51"/>
      <c r="D7702" s="114"/>
      <c r="E7702" s="114"/>
      <c r="F7702" s="54"/>
      <c r="G7702" s="54"/>
      <c r="I7702" s="54"/>
      <c r="K7702" s="54"/>
      <c r="M7702" s="114"/>
      <c r="N7702" s="1"/>
      <c r="O7702" s="1"/>
      <c r="P7702" s="51"/>
    </row>
    <row r="7703">
      <c r="A7703" s="54"/>
      <c r="B7703" s="71"/>
      <c r="C7703" s="51"/>
      <c r="D7703" s="114"/>
      <c r="E7703" s="114"/>
      <c r="F7703" s="54"/>
      <c r="G7703" s="54"/>
      <c r="I7703" s="54"/>
      <c r="K7703" s="54"/>
      <c r="M7703" s="114"/>
      <c r="N7703" s="1"/>
      <c r="O7703" s="1"/>
      <c r="P7703" s="51"/>
    </row>
    <row r="7704">
      <c r="A7704" s="54"/>
      <c r="B7704" s="71"/>
      <c r="C7704" s="51"/>
      <c r="D7704" s="114"/>
      <c r="E7704" s="114"/>
      <c r="F7704" s="54"/>
      <c r="G7704" s="54"/>
      <c r="I7704" s="54"/>
      <c r="K7704" s="54"/>
      <c r="M7704" s="114"/>
      <c r="N7704" s="1"/>
      <c r="O7704" s="1"/>
      <c r="P7704" s="51"/>
    </row>
    <row r="7705">
      <c r="A7705" s="54"/>
      <c r="B7705" s="71"/>
      <c r="C7705" s="51"/>
      <c r="D7705" s="114"/>
      <c r="E7705" s="114"/>
      <c r="F7705" s="54"/>
      <c r="G7705" s="54"/>
      <c r="I7705" s="54"/>
      <c r="K7705" s="54"/>
      <c r="M7705" s="114"/>
      <c r="N7705" s="1"/>
      <c r="O7705" s="1"/>
      <c r="P7705" s="51"/>
    </row>
    <row r="7706">
      <c r="A7706" s="54"/>
      <c r="B7706" s="71"/>
      <c r="C7706" s="51"/>
      <c r="D7706" s="114"/>
      <c r="E7706" s="114"/>
      <c r="F7706" s="54"/>
      <c r="G7706" s="54"/>
      <c r="I7706" s="54"/>
      <c r="K7706" s="54"/>
      <c r="M7706" s="114"/>
      <c r="N7706" s="1"/>
      <c r="O7706" s="1"/>
      <c r="P7706" s="51"/>
    </row>
    <row r="7707">
      <c r="A7707" s="54"/>
      <c r="B7707" s="71"/>
      <c r="C7707" s="51"/>
      <c r="D7707" s="114"/>
      <c r="E7707" s="114"/>
      <c r="F7707" s="54"/>
      <c r="G7707" s="54"/>
      <c r="I7707" s="54"/>
      <c r="K7707" s="54"/>
      <c r="M7707" s="114"/>
      <c r="N7707" s="1"/>
      <c r="O7707" s="1"/>
      <c r="P7707" s="51"/>
    </row>
    <row r="7708">
      <c r="A7708" s="54"/>
      <c r="B7708" s="71"/>
      <c r="C7708" s="51"/>
      <c r="D7708" s="114"/>
      <c r="E7708" s="114"/>
      <c r="F7708" s="54"/>
      <c r="G7708" s="54"/>
      <c r="I7708" s="54"/>
      <c r="K7708" s="54"/>
      <c r="M7708" s="114"/>
      <c r="N7708" s="1"/>
      <c r="O7708" s="1"/>
      <c r="P7708" s="51"/>
    </row>
    <row r="7709">
      <c r="A7709" s="54"/>
      <c r="B7709" s="71"/>
      <c r="C7709" s="51"/>
      <c r="D7709" s="114"/>
      <c r="E7709" s="114"/>
      <c r="F7709" s="54"/>
      <c r="G7709" s="54"/>
      <c r="I7709" s="54"/>
      <c r="K7709" s="54"/>
      <c r="M7709" s="114"/>
      <c r="N7709" s="1"/>
      <c r="O7709" s="1"/>
      <c r="P7709" s="51"/>
    </row>
    <row r="7710">
      <c r="A7710" s="54"/>
      <c r="B7710" s="71"/>
      <c r="C7710" s="51"/>
      <c r="D7710" s="114"/>
      <c r="E7710" s="114"/>
      <c r="F7710" s="54"/>
      <c r="G7710" s="54"/>
      <c r="I7710" s="54"/>
      <c r="K7710" s="54"/>
      <c r="M7710" s="114"/>
      <c r="N7710" s="1"/>
      <c r="O7710" s="1"/>
      <c r="P7710" s="51"/>
    </row>
    <row r="7711">
      <c r="A7711" s="54"/>
      <c r="B7711" s="71"/>
      <c r="C7711" s="51"/>
      <c r="D7711" s="114"/>
      <c r="E7711" s="114"/>
      <c r="F7711" s="54"/>
      <c r="G7711" s="54"/>
      <c r="I7711" s="54"/>
      <c r="K7711" s="54"/>
      <c r="M7711" s="114"/>
      <c r="N7711" s="1"/>
      <c r="O7711" s="1"/>
      <c r="P7711" s="51"/>
    </row>
    <row r="7712">
      <c r="A7712" s="54"/>
      <c r="B7712" s="71"/>
      <c r="C7712" s="51"/>
      <c r="D7712" s="114"/>
      <c r="E7712" s="114"/>
      <c r="F7712" s="54"/>
      <c r="G7712" s="54"/>
      <c r="I7712" s="54"/>
      <c r="K7712" s="54"/>
      <c r="M7712" s="114"/>
      <c r="N7712" s="1"/>
      <c r="O7712" s="1"/>
      <c r="P7712" s="51"/>
    </row>
    <row r="7713">
      <c r="A7713" s="54"/>
      <c r="B7713" s="71"/>
      <c r="C7713" s="51"/>
      <c r="D7713" s="114"/>
      <c r="E7713" s="114"/>
      <c r="F7713" s="54"/>
      <c r="G7713" s="54"/>
      <c r="I7713" s="54"/>
      <c r="K7713" s="54"/>
      <c r="M7713" s="114"/>
      <c r="N7713" s="1"/>
      <c r="O7713" s="1"/>
      <c r="P7713" s="51"/>
    </row>
    <row r="7714">
      <c r="A7714" s="54"/>
      <c r="B7714" s="71"/>
      <c r="C7714" s="51"/>
      <c r="D7714" s="114"/>
      <c r="E7714" s="114"/>
      <c r="F7714" s="54"/>
      <c r="G7714" s="54"/>
      <c r="I7714" s="54"/>
      <c r="K7714" s="54"/>
      <c r="M7714" s="114"/>
      <c r="N7714" s="1"/>
      <c r="O7714" s="1"/>
      <c r="P7714" s="51"/>
    </row>
    <row r="7715">
      <c r="A7715" s="54"/>
      <c r="B7715" s="71"/>
      <c r="C7715" s="51"/>
      <c r="D7715" s="114"/>
      <c r="E7715" s="114"/>
      <c r="F7715" s="54"/>
      <c r="G7715" s="54"/>
      <c r="I7715" s="54"/>
      <c r="K7715" s="54"/>
      <c r="M7715" s="114"/>
      <c r="N7715" s="1"/>
      <c r="O7715" s="1"/>
      <c r="P7715" s="51"/>
    </row>
    <row r="7716">
      <c r="A7716" s="54"/>
      <c r="B7716" s="71"/>
      <c r="C7716" s="51"/>
      <c r="D7716" s="114"/>
      <c r="E7716" s="114"/>
      <c r="F7716" s="54"/>
      <c r="G7716" s="54"/>
      <c r="I7716" s="54"/>
      <c r="K7716" s="54"/>
      <c r="M7716" s="114"/>
      <c r="N7716" s="1"/>
      <c r="O7716" s="1"/>
      <c r="P7716" s="51"/>
    </row>
    <row r="7717">
      <c r="A7717" s="54"/>
      <c r="B7717" s="71"/>
      <c r="C7717" s="51"/>
      <c r="D7717" s="114"/>
      <c r="E7717" s="114"/>
      <c r="F7717" s="54"/>
      <c r="G7717" s="54"/>
      <c r="I7717" s="54"/>
      <c r="K7717" s="54"/>
      <c r="M7717" s="114"/>
      <c r="N7717" s="1"/>
      <c r="O7717" s="1"/>
      <c r="P7717" s="51"/>
    </row>
    <row r="7718">
      <c r="A7718" s="54"/>
      <c r="B7718" s="71"/>
      <c r="C7718" s="51"/>
      <c r="D7718" s="114"/>
      <c r="E7718" s="114"/>
      <c r="F7718" s="54"/>
      <c r="G7718" s="54"/>
      <c r="I7718" s="54"/>
      <c r="K7718" s="54"/>
      <c r="M7718" s="114"/>
      <c r="N7718" s="1"/>
      <c r="O7718" s="1"/>
      <c r="P7718" s="51"/>
    </row>
    <row r="7719">
      <c r="A7719" s="54"/>
      <c r="B7719" s="71"/>
      <c r="C7719" s="51"/>
      <c r="D7719" s="114"/>
      <c r="E7719" s="114"/>
      <c r="F7719" s="54"/>
      <c r="G7719" s="54"/>
      <c r="I7719" s="54"/>
      <c r="K7719" s="54"/>
      <c r="M7719" s="114"/>
      <c r="N7719" s="1"/>
      <c r="O7719" s="1"/>
      <c r="P7719" s="51"/>
    </row>
    <row r="7720">
      <c r="A7720" s="54"/>
      <c r="B7720" s="71"/>
      <c r="C7720" s="51"/>
      <c r="D7720" s="114"/>
      <c r="E7720" s="114"/>
      <c r="F7720" s="54"/>
      <c r="G7720" s="54"/>
      <c r="I7720" s="54"/>
      <c r="K7720" s="54"/>
      <c r="M7720" s="114"/>
      <c r="N7720" s="1"/>
      <c r="O7720" s="1"/>
      <c r="P7720" s="51"/>
    </row>
    <row r="7721">
      <c r="A7721" s="54"/>
      <c r="B7721" s="71"/>
      <c r="C7721" s="51"/>
      <c r="D7721" s="114"/>
      <c r="E7721" s="114"/>
      <c r="F7721" s="54"/>
      <c r="G7721" s="54"/>
      <c r="I7721" s="54"/>
      <c r="K7721" s="54"/>
      <c r="M7721" s="114"/>
      <c r="N7721" s="1"/>
      <c r="O7721" s="1"/>
      <c r="P7721" s="51"/>
    </row>
    <row r="7722">
      <c r="A7722" s="54"/>
      <c r="B7722" s="71"/>
      <c r="C7722" s="51"/>
      <c r="D7722" s="114"/>
      <c r="E7722" s="114"/>
      <c r="F7722" s="54"/>
      <c r="G7722" s="54"/>
      <c r="I7722" s="54"/>
      <c r="K7722" s="54"/>
      <c r="M7722" s="114"/>
      <c r="N7722" s="1"/>
      <c r="O7722" s="1"/>
      <c r="P7722" s="51"/>
    </row>
    <row r="7723">
      <c r="A7723" s="54"/>
      <c r="B7723" s="71"/>
      <c r="C7723" s="51"/>
      <c r="D7723" s="114"/>
      <c r="E7723" s="114"/>
      <c r="F7723" s="54"/>
      <c r="G7723" s="54"/>
      <c r="I7723" s="54"/>
      <c r="K7723" s="54"/>
      <c r="M7723" s="114"/>
      <c r="N7723" s="1"/>
      <c r="O7723" s="1"/>
      <c r="P7723" s="51"/>
    </row>
    <row r="7724">
      <c r="A7724" s="54"/>
      <c r="B7724" s="71"/>
      <c r="C7724" s="51"/>
      <c r="D7724" s="114"/>
      <c r="E7724" s="114"/>
      <c r="F7724" s="54"/>
      <c r="G7724" s="54"/>
      <c r="I7724" s="54"/>
      <c r="K7724" s="54"/>
      <c r="M7724" s="114"/>
      <c r="N7724" s="1"/>
      <c r="O7724" s="1"/>
      <c r="P7724" s="51"/>
    </row>
    <row r="7725">
      <c r="A7725" s="54"/>
      <c r="B7725" s="71"/>
      <c r="C7725" s="51"/>
      <c r="D7725" s="114"/>
      <c r="E7725" s="114"/>
      <c r="F7725" s="54"/>
      <c r="G7725" s="54"/>
      <c r="I7725" s="54"/>
      <c r="K7725" s="54"/>
      <c r="M7725" s="114"/>
      <c r="N7725" s="1"/>
      <c r="O7725" s="1"/>
      <c r="P7725" s="51"/>
    </row>
    <row r="7726">
      <c r="A7726" s="54"/>
      <c r="B7726" s="71"/>
      <c r="C7726" s="51"/>
      <c r="D7726" s="114"/>
      <c r="E7726" s="114"/>
      <c r="F7726" s="54"/>
      <c r="G7726" s="54"/>
      <c r="I7726" s="54"/>
      <c r="K7726" s="54"/>
      <c r="M7726" s="114"/>
      <c r="N7726" s="1"/>
      <c r="O7726" s="1"/>
      <c r="P7726" s="51"/>
    </row>
    <row r="7727">
      <c r="A7727" s="54"/>
      <c r="B7727" s="71"/>
      <c r="C7727" s="51"/>
      <c r="D7727" s="114"/>
      <c r="E7727" s="114"/>
      <c r="F7727" s="54"/>
      <c r="G7727" s="54"/>
      <c r="I7727" s="54"/>
      <c r="K7727" s="54"/>
      <c r="M7727" s="114"/>
      <c r="N7727" s="1"/>
      <c r="O7727" s="1"/>
      <c r="P7727" s="51"/>
    </row>
    <row r="7728">
      <c r="A7728" s="54"/>
      <c r="B7728" s="71"/>
      <c r="C7728" s="51"/>
      <c r="D7728" s="114"/>
      <c r="E7728" s="114"/>
      <c r="F7728" s="54"/>
      <c r="G7728" s="54"/>
      <c r="I7728" s="54"/>
      <c r="K7728" s="54"/>
      <c r="M7728" s="114"/>
      <c r="N7728" s="1"/>
      <c r="O7728" s="1"/>
      <c r="P7728" s="51"/>
    </row>
    <row r="7729">
      <c r="A7729" s="54"/>
      <c r="B7729" s="71"/>
      <c r="C7729" s="51"/>
      <c r="D7729" s="114"/>
      <c r="E7729" s="114"/>
      <c r="F7729" s="54"/>
      <c r="G7729" s="54"/>
      <c r="I7729" s="54"/>
      <c r="K7729" s="54"/>
      <c r="M7729" s="114"/>
      <c r="N7729" s="1"/>
      <c r="O7729" s="1"/>
      <c r="P7729" s="51"/>
    </row>
    <row r="7730">
      <c r="A7730" s="54"/>
      <c r="B7730" s="71"/>
      <c r="C7730" s="51"/>
      <c r="D7730" s="114"/>
      <c r="E7730" s="114"/>
      <c r="F7730" s="54"/>
      <c r="G7730" s="54"/>
      <c r="I7730" s="54"/>
      <c r="K7730" s="54"/>
      <c r="M7730" s="114"/>
      <c r="N7730" s="1"/>
      <c r="O7730" s="1"/>
      <c r="P7730" s="51"/>
    </row>
    <row r="7731">
      <c r="A7731" s="54"/>
      <c r="B7731" s="71"/>
      <c r="C7731" s="51"/>
      <c r="D7731" s="114"/>
      <c r="E7731" s="114"/>
      <c r="F7731" s="54"/>
      <c r="G7731" s="54"/>
      <c r="I7731" s="54"/>
      <c r="K7731" s="54"/>
      <c r="M7731" s="114"/>
      <c r="N7731" s="1"/>
      <c r="O7731" s="1"/>
      <c r="P7731" s="51"/>
    </row>
    <row r="7732">
      <c r="A7732" s="54"/>
      <c r="B7732" s="71"/>
      <c r="C7732" s="51"/>
      <c r="D7732" s="114"/>
      <c r="E7732" s="114"/>
      <c r="F7732" s="54"/>
      <c r="G7732" s="54"/>
      <c r="I7732" s="54"/>
      <c r="K7732" s="54"/>
      <c r="M7732" s="114"/>
      <c r="N7732" s="1"/>
      <c r="O7732" s="1"/>
      <c r="P7732" s="51"/>
    </row>
    <row r="7733">
      <c r="A7733" s="54"/>
      <c r="B7733" s="71"/>
      <c r="C7733" s="51"/>
      <c r="D7733" s="114"/>
      <c r="E7733" s="114"/>
      <c r="F7733" s="54"/>
      <c r="G7733" s="54"/>
      <c r="I7733" s="54"/>
      <c r="K7733" s="54"/>
      <c r="M7733" s="114"/>
      <c r="N7733" s="1"/>
      <c r="O7733" s="1"/>
      <c r="P7733" s="51"/>
    </row>
    <row r="7734">
      <c r="A7734" s="54"/>
      <c r="B7734" s="71"/>
      <c r="C7734" s="51"/>
      <c r="D7734" s="114"/>
      <c r="E7734" s="114"/>
      <c r="F7734" s="54"/>
      <c r="G7734" s="54"/>
      <c r="I7734" s="54"/>
      <c r="K7734" s="54"/>
      <c r="M7734" s="114"/>
      <c r="N7734" s="1"/>
      <c r="O7734" s="1"/>
      <c r="P7734" s="51"/>
    </row>
    <row r="7735">
      <c r="A7735" s="54"/>
      <c r="B7735" s="71"/>
      <c r="C7735" s="51"/>
      <c r="D7735" s="114"/>
      <c r="E7735" s="114"/>
      <c r="F7735" s="54"/>
      <c r="G7735" s="54"/>
      <c r="I7735" s="54"/>
      <c r="K7735" s="54"/>
      <c r="M7735" s="114"/>
      <c r="N7735" s="1"/>
      <c r="O7735" s="1"/>
      <c r="P7735" s="51"/>
    </row>
    <row r="7736">
      <c r="A7736" s="54"/>
      <c r="B7736" s="71"/>
      <c r="C7736" s="51"/>
      <c r="D7736" s="114"/>
      <c r="E7736" s="114"/>
      <c r="F7736" s="54"/>
      <c r="G7736" s="54"/>
      <c r="I7736" s="54"/>
      <c r="K7736" s="54"/>
      <c r="M7736" s="114"/>
      <c r="N7736" s="1"/>
      <c r="O7736" s="1"/>
      <c r="P7736" s="51"/>
    </row>
    <row r="7737">
      <c r="A7737" s="54"/>
      <c r="B7737" s="71"/>
      <c r="C7737" s="51"/>
      <c r="D7737" s="114"/>
      <c r="E7737" s="114"/>
      <c r="F7737" s="54"/>
      <c r="G7737" s="54"/>
      <c r="I7737" s="54"/>
      <c r="K7737" s="54"/>
      <c r="M7737" s="114"/>
      <c r="N7737" s="1"/>
      <c r="O7737" s="1"/>
      <c r="P7737" s="51"/>
    </row>
    <row r="7738">
      <c r="A7738" s="54"/>
      <c r="B7738" s="71"/>
      <c r="C7738" s="51"/>
      <c r="D7738" s="114"/>
      <c r="E7738" s="114"/>
      <c r="F7738" s="54"/>
      <c r="G7738" s="54"/>
      <c r="I7738" s="54"/>
      <c r="K7738" s="54"/>
      <c r="M7738" s="114"/>
      <c r="N7738" s="1"/>
      <c r="O7738" s="1"/>
      <c r="P7738" s="51"/>
    </row>
    <row r="7739">
      <c r="A7739" s="54"/>
      <c r="B7739" s="71"/>
      <c r="C7739" s="51"/>
      <c r="D7739" s="114"/>
      <c r="E7739" s="114"/>
      <c r="F7739" s="54"/>
      <c r="G7739" s="54"/>
      <c r="I7739" s="54"/>
      <c r="K7739" s="54"/>
      <c r="M7739" s="114"/>
      <c r="N7739" s="1"/>
      <c r="O7739" s="1"/>
      <c r="P7739" s="51"/>
    </row>
    <row r="7740">
      <c r="A7740" s="54"/>
      <c r="B7740" s="71"/>
      <c r="C7740" s="51"/>
      <c r="D7740" s="114"/>
      <c r="E7740" s="114"/>
      <c r="F7740" s="54"/>
      <c r="G7740" s="54"/>
      <c r="I7740" s="54"/>
      <c r="K7740" s="54"/>
      <c r="M7740" s="114"/>
      <c r="N7740" s="1"/>
      <c r="O7740" s="1"/>
      <c r="P7740" s="51"/>
    </row>
    <row r="7741">
      <c r="A7741" s="54"/>
      <c r="B7741" s="71"/>
      <c r="C7741" s="51"/>
      <c r="D7741" s="114"/>
      <c r="E7741" s="114"/>
      <c r="F7741" s="54"/>
      <c r="G7741" s="54"/>
      <c r="I7741" s="54"/>
      <c r="K7741" s="54"/>
      <c r="M7741" s="114"/>
      <c r="N7741" s="1"/>
      <c r="O7741" s="1"/>
      <c r="P7741" s="51"/>
    </row>
    <row r="7742">
      <c r="A7742" s="54"/>
      <c r="B7742" s="71"/>
      <c r="C7742" s="51"/>
      <c r="D7742" s="114"/>
      <c r="E7742" s="114"/>
      <c r="F7742" s="54"/>
      <c r="G7742" s="54"/>
      <c r="I7742" s="54"/>
      <c r="K7742" s="54"/>
      <c r="M7742" s="114"/>
      <c r="N7742" s="1"/>
      <c r="O7742" s="1"/>
      <c r="P7742" s="51"/>
    </row>
    <row r="7743">
      <c r="A7743" s="54"/>
      <c r="B7743" s="71"/>
      <c r="C7743" s="51"/>
      <c r="D7743" s="114"/>
      <c r="E7743" s="114"/>
      <c r="F7743" s="54"/>
      <c r="G7743" s="54"/>
      <c r="I7743" s="54"/>
      <c r="K7743" s="54"/>
      <c r="M7743" s="114"/>
      <c r="N7743" s="1"/>
      <c r="O7743" s="1"/>
      <c r="P7743" s="51"/>
    </row>
    <row r="7744">
      <c r="A7744" s="54"/>
      <c r="B7744" s="71"/>
      <c r="C7744" s="51"/>
      <c r="D7744" s="114"/>
      <c r="E7744" s="114"/>
      <c r="F7744" s="54"/>
      <c r="G7744" s="54"/>
      <c r="I7744" s="54"/>
      <c r="K7744" s="54"/>
      <c r="M7744" s="114"/>
      <c r="N7744" s="1"/>
      <c r="O7744" s="1"/>
      <c r="P7744" s="51"/>
    </row>
    <row r="7745">
      <c r="A7745" s="54"/>
      <c r="B7745" s="71"/>
      <c r="C7745" s="51"/>
      <c r="D7745" s="114"/>
      <c r="E7745" s="114"/>
      <c r="F7745" s="54"/>
      <c r="G7745" s="54"/>
      <c r="I7745" s="54"/>
      <c r="K7745" s="54"/>
      <c r="M7745" s="114"/>
      <c r="N7745" s="1"/>
      <c r="O7745" s="1"/>
      <c r="P7745" s="51"/>
    </row>
    <row r="7746">
      <c r="A7746" s="54"/>
      <c r="B7746" s="71"/>
      <c r="C7746" s="51"/>
      <c r="D7746" s="114"/>
      <c r="E7746" s="114"/>
      <c r="F7746" s="54"/>
      <c r="G7746" s="54"/>
      <c r="I7746" s="54"/>
      <c r="K7746" s="54"/>
      <c r="M7746" s="114"/>
      <c r="N7746" s="1"/>
      <c r="O7746" s="1"/>
      <c r="P7746" s="51"/>
    </row>
    <row r="7747">
      <c r="A7747" s="54"/>
      <c r="B7747" s="71"/>
      <c r="C7747" s="51"/>
      <c r="D7747" s="114"/>
      <c r="E7747" s="114"/>
      <c r="F7747" s="54"/>
      <c r="G7747" s="54"/>
      <c r="I7747" s="54"/>
      <c r="K7747" s="54"/>
      <c r="M7747" s="114"/>
      <c r="N7747" s="1"/>
      <c r="O7747" s="1"/>
      <c r="P7747" s="51"/>
    </row>
    <row r="7748">
      <c r="A7748" s="54"/>
      <c r="B7748" s="71"/>
      <c r="C7748" s="51"/>
      <c r="D7748" s="114"/>
      <c r="E7748" s="114"/>
      <c r="F7748" s="54"/>
      <c r="G7748" s="54"/>
      <c r="I7748" s="54"/>
      <c r="K7748" s="54"/>
      <c r="M7748" s="114"/>
      <c r="N7748" s="1"/>
      <c r="O7748" s="1"/>
      <c r="P7748" s="51"/>
    </row>
    <row r="7749">
      <c r="A7749" s="54"/>
      <c r="B7749" s="71"/>
      <c r="C7749" s="51"/>
      <c r="D7749" s="114"/>
      <c r="E7749" s="114"/>
      <c r="F7749" s="54"/>
      <c r="G7749" s="54"/>
      <c r="I7749" s="54"/>
      <c r="K7749" s="54"/>
      <c r="M7749" s="114"/>
      <c r="N7749" s="1"/>
      <c r="O7749" s="1"/>
      <c r="P7749" s="51"/>
    </row>
    <row r="7750">
      <c r="A7750" s="54"/>
      <c r="B7750" s="71"/>
      <c r="C7750" s="51"/>
      <c r="D7750" s="114"/>
      <c r="E7750" s="114"/>
      <c r="F7750" s="54"/>
      <c r="G7750" s="54"/>
      <c r="I7750" s="54"/>
      <c r="K7750" s="54"/>
      <c r="M7750" s="114"/>
      <c r="N7750" s="1"/>
      <c r="O7750" s="1"/>
      <c r="P7750" s="51"/>
    </row>
    <row r="7751">
      <c r="A7751" s="54"/>
      <c r="B7751" s="71"/>
      <c r="C7751" s="51"/>
      <c r="D7751" s="114"/>
      <c r="E7751" s="114"/>
      <c r="F7751" s="54"/>
      <c r="G7751" s="54"/>
      <c r="I7751" s="54"/>
      <c r="K7751" s="54"/>
      <c r="M7751" s="114"/>
      <c r="N7751" s="1"/>
      <c r="O7751" s="1"/>
      <c r="P7751" s="51"/>
    </row>
    <row r="7752">
      <c r="A7752" s="54"/>
      <c r="B7752" s="71"/>
      <c r="C7752" s="51"/>
      <c r="D7752" s="114"/>
      <c r="E7752" s="114"/>
      <c r="F7752" s="54"/>
      <c r="G7752" s="54"/>
      <c r="I7752" s="54"/>
      <c r="K7752" s="54"/>
      <c r="M7752" s="114"/>
      <c r="N7752" s="1"/>
      <c r="O7752" s="1"/>
      <c r="P7752" s="51"/>
    </row>
    <row r="7753">
      <c r="A7753" s="54"/>
      <c r="B7753" s="71"/>
      <c r="C7753" s="51"/>
      <c r="D7753" s="114"/>
      <c r="E7753" s="114"/>
      <c r="F7753" s="54"/>
      <c r="G7753" s="54"/>
      <c r="I7753" s="54"/>
      <c r="K7753" s="54"/>
      <c r="M7753" s="114"/>
      <c r="N7753" s="1"/>
      <c r="O7753" s="1"/>
      <c r="P7753" s="51"/>
    </row>
    <row r="7754">
      <c r="A7754" s="54"/>
      <c r="B7754" s="71"/>
      <c r="C7754" s="51"/>
      <c r="D7754" s="114"/>
      <c r="E7754" s="114"/>
      <c r="F7754" s="54"/>
      <c r="G7754" s="54"/>
      <c r="I7754" s="54"/>
      <c r="K7754" s="54"/>
      <c r="M7754" s="114"/>
      <c r="N7754" s="1"/>
      <c r="O7754" s="1"/>
      <c r="P7754" s="51"/>
    </row>
    <row r="7755">
      <c r="A7755" s="54"/>
      <c r="B7755" s="71"/>
      <c r="C7755" s="51"/>
      <c r="D7755" s="114"/>
      <c r="E7755" s="114"/>
      <c r="F7755" s="54"/>
      <c r="G7755" s="54"/>
      <c r="I7755" s="54"/>
      <c r="K7755" s="54"/>
      <c r="M7755" s="114"/>
      <c r="N7755" s="1"/>
      <c r="O7755" s="1"/>
      <c r="P7755" s="51"/>
    </row>
    <row r="7756">
      <c r="A7756" s="54"/>
      <c r="B7756" s="71"/>
      <c r="C7756" s="51"/>
      <c r="D7756" s="114"/>
      <c r="E7756" s="114"/>
      <c r="F7756" s="54"/>
      <c r="G7756" s="54"/>
      <c r="I7756" s="54"/>
      <c r="K7756" s="54"/>
      <c r="M7756" s="114"/>
      <c r="N7756" s="1"/>
      <c r="O7756" s="1"/>
      <c r="P7756" s="51"/>
    </row>
    <row r="7757">
      <c r="A7757" s="54"/>
      <c r="B7757" s="71"/>
      <c r="C7757" s="51"/>
      <c r="D7757" s="114"/>
      <c r="E7757" s="114"/>
      <c r="F7757" s="54"/>
      <c r="G7757" s="54"/>
      <c r="I7757" s="54"/>
      <c r="K7757" s="54"/>
      <c r="M7757" s="114"/>
      <c r="N7757" s="1"/>
      <c r="O7757" s="1"/>
      <c r="P7757" s="51"/>
    </row>
    <row r="7758">
      <c r="A7758" s="54"/>
      <c r="B7758" s="71"/>
      <c r="C7758" s="51"/>
      <c r="D7758" s="114"/>
      <c r="E7758" s="114"/>
      <c r="F7758" s="54"/>
      <c r="G7758" s="54"/>
      <c r="I7758" s="54"/>
      <c r="K7758" s="54"/>
      <c r="M7758" s="114"/>
      <c r="N7758" s="1"/>
      <c r="O7758" s="1"/>
      <c r="P7758" s="51"/>
    </row>
    <row r="7759">
      <c r="A7759" s="54"/>
      <c r="B7759" s="71"/>
      <c r="C7759" s="51"/>
      <c r="D7759" s="114"/>
      <c r="E7759" s="114"/>
      <c r="F7759" s="54"/>
      <c r="G7759" s="54"/>
      <c r="I7759" s="54"/>
      <c r="K7759" s="54"/>
      <c r="M7759" s="114"/>
      <c r="N7759" s="1"/>
      <c r="O7759" s="1"/>
      <c r="P7759" s="51"/>
    </row>
    <row r="7760">
      <c r="A7760" s="54"/>
      <c r="B7760" s="71"/>
      <c r="C7760" s="51"/>
      <c r="D7760" s="114"/>
      <c r="E7760" s="114"/>
      <c r="F7760" s="54"/>
      <c r="G7760" s="54"/>
      <c r="I7760" s="54"/>
      <c r="K7760" s="54"/>
      <c r="M7760" s="114"/>
      <c r="N7760" s="1"/>
      <c r="O7760" s="1"/>
      <c r="P7760" s="51"/>
    </row>
    <row r="7761">
      <c r="A7761" s="54"/>
      <c r="B7761" s="71"/>
      <c r="C7761" s="51"/>
      <c r="D7761" s="114"/>
      <c r="E7761" s="114"/>
      <c r="F7761" s="54"/>
      <c r="G7761" s="54"/>
      <c r="I7761" s="54"/>
      <c r="K7761" s="54"/>
      <c r="M7761" s="114"/>
      <c r="N7761" s="1"/>
      <c r="O7761" s="1"/>
      <c r="P7761" s="51"/>
    </row>
    <row r="7762">
      <c r="A7762" s="54"/>
      <c r="B7762" s="71"/>
      <c r="C7762" s="51"/>
      <c r="D7762" s="114"/>
      <c r="E7762" s="114"/>
      <c r="F7762" s="54"/>
      <c r="G7762" s="54"/>
      <c r="I7762" s="54"/>
      <c r="K7762" s="54"/>
      <c r="M7762" s="114"/>
      <c r="N7762" s="1"/>
      <c r="O7762" s="1"/>
      <c r="P7762" s="51"/>
    </row>
    <row r="7763">
      <c r="A7763" s="54"/>
      <c r="B7763" s="71"/>
      <c r="C7763" s="51"/>
      <c r="D7763" s="114"/>
      <c r="E7763" s="114"/>
      <c r="F7763" s="54"/>
      <c r="G7763" s="54"/>
      <c r="I7763" s="54"/>
      <c r="K7763" s="54"/>
      <c r="M7763" s="114"/>
      <c r="N7763" s="1"/>
      <c r="O7763" s="1"/>
      <c r="P7763" s="51"/>
    </row>
    <row r="7764">
      <c r="A7764" s="54"/>
      <c r="B7764" s="71"/>
      <c r="C7764" s="51"/>
      <c r="D7764" s="114"/>
      <c r="E7764" s="114"/>
      <c r="F7764" s="54"/>
      <c r="G7764" s="54"/>
      <c r="I7764" s="54"/>
      <c r="K7764" s="54"/>
      <c r="M7764" s="114"/>
      <c r="N7764" s="1"/>
      <c r="O7764" s="1"/>
      <c r="P7764" s="51"/>
    </row>
    <row r="7765">
      <c r="A7765" s="54"/>
      <c r="B7765" s="71"/>
      <c r="C7765" s="51"/>
      <c r="D7765" s="114"/>
      <c r="E7765" s="114"/>
      <c r="F7765" s="54"/>
      <c r="G7765" s="54"/>
      <c r="I7765" s="54"/>
      <c r="K7765" s="54"/>
      <c r="M7765" s="114"/>
      <c r="N7765" s="1"/>
      <c r="O7765" s="1"/>
      <c r="P7765" s="51"/>
    </row>
    <row r="7766">
      <c r="A7766" s="54"/>
      <c r="B7766" s="71"/>
      <c r="C7766" s="51"/>
      <c r="D7766" s="114"/>
      <c r="E7766" s="114"/>
      <c r="F7766" s="54"/>
      <c r="G7766" s="54"/>
      <c r="I7766" s="54"/>
      <c r="K7766" s="54"/>
      <c r="M7766" s="114"/>
      <c r="N7766" s="1"/>
      <c r="O7766" s="1"/>
      <c r="P7766" s="51"/>
    </row>
    <row r="7767">
      <c r="A7767" s="54"/>
      <c r="B7767" s="71"/>
      <c r="C7767" s="51"/>
      <c r="D7767" s="114"/>
      <c r="E7767" s="114"/>
      <c r="F7767" s="54"/>
      <c r="G7767" s="54"/>
      <c r="I7767" s="54"/>
      <c r="K7767" s="54"/>
      <c r="M7767" s="114"/>
      <c r="N7767" s="1"/>
      <c r="O7767" s="1"/>
      <c r="P7767" s="51"/>
    </row>
    <row r="7768">
      <c r="A7768" s="54"/>
      <c r="B7768" s="71"/>
      <c r="C7768" s="51"/>
      <c r="D7768" s="114"/>
      <c r="E7768" s="114"/>
      <c r="F7768" s="54"/>
      <c r="G7768" s="54"/>
      <c r="I7768" s="54"/>
      <c r="K7768" s="54"/>
      <c r="M7768" s="114"/>
      <c r="N7768" s="1"/>
      <c r="O7768" s="1"/>
      <c r="P7768" s="51"/>
    </row>
    <row r="7769">
      <c r="A7769" s="54"/>
      <c r="B7769" s="71"/>
      <c r="C7769" s="51"/>
      <c r="D7769" s="114"/>
      <c r="E7769" s="114"/>
      <c r="F7769" s="54"/>
      <c r="G7769" s="54"/>
      <c r="I7769" s="54"/>
      <c r="K7769" s="54"/>
      <c r="M7769" s="114"/>
      <c r="N7769" s="1"/>
      <c r="O7769" s="1"/>
      <c r="P7769" s="51"/>
    </row>
    <row r="7770">
      <c r="A7770" s="54"/>
      <c r="B7770" s="71"/>
      <c r="C7770" s="51"/>
      <c r="D7770" s="114"/>
      <c r="E7770" s="114"/>
      <c r="F7770" s="54"/>
      <c r="G7770" s="54"/>
      <c r="I7770" s="54"/>
      <c r="K7770" s="54"/>
      <c r="M7770" s="114"/>
      <c r="N7770" s="1"/>
      <c r="O7770" s="1"/>
      <c r="P7770" s="51"/>
    </row>
    <row r="7771">
      <c r="A7771" s="54"/>
      <c r="B7771" s="71"/>
      <c r="C7771" s="51"/>
      <c r="D7771" s="114"/>
      <c r="E7771" s="114"/>
      <c r="F7771" s="54"/>
      <c r="G7771" s="54"/>
      <c r="I7771" s="54"/>
      <c r="K7771" s="54"/>
      <c r="M7771" s="114"/>
      <c r="N7771" s="1"/>
      <c r="O7771" s="1"/>
      <c r="P7771" s="51"/>
    </row>
    <row r="7772">
      <c r="A7772" s="54"/>
      <c r="B7772" s="71"/>
      <c r="C7772" s="51"/>
      <c r="D7772" s="114"/>
      <c r="E7772" s="114"/>
      <c r="F7772" s="54"/>
      <c r="G7772" s="54"/>
      <c r="I7772" s="54"/>
      <c r="K7772" s="54"/>
      <c r="M7772" s="114"/>
      <c r="N7772" s="1"/>
      <c r="O7772" s="1"/>
      <c r="P7772" s="51"/>
    </row>
    <row r="7773">
      <c r="A7773" s="54"/>
      <c r="B7773" s="71"/>
      <c r="C7773" s="51"/>
      <c r="D7773" s="114"/>
      <c r="E7773" s="114"/>
      <c r="F7773" s="54"/>
      <c r="G7773" s="54"/>
      <c r="I7773" s="54"/>
      <c r="K7773" s="54"/>
      <c r="M7773" s="114"/>
      <c r="N7773" s="1"/>
      <c r="O7773" s="1"/>
      <c r="P7773" s="51"/>
    </row>
    <row r="7774">
      <c r="A7774" s="54"/>
      <c r="B7774" s="71"/>
      <c r="C7774" s="51"/>
      <c r="D7774" s="114"/>
      <c r="E7774" s="114"/>
      <c r="F7774" s="54"/>
      <c r="G7774" s="54"/>
      <c r="I7774" s="54"/>
      <c r="K7774" s="54"/>
      <c r="M7774" s="114"/>
      <c r="N7774" s="1"/>
      <c r="O7774" s="1"/>
      <c r="P7774" s="51"/>
    </row>
    <row r="7775">
      <c r="A7775" s="54"/>
      <c r="B7775" s="71"/>
      <c r="C7775" s="51"/>
      <c r="D7775" s="114"/>
      <c r="E7775" s="114"/>
      <c r="F7775" s="54"/>
      <c r="G7775" s="54"/>
      <c r="I7775" s="54"/>
      <c r="K7775" s="54"/>
      <c r="M7775" s="114"/>
      <c r="N7775" s="1"/>
      <c r="O7775" s="1"/>
      <c r="P7775" s="51"/>
    </row>
    <row r="7776">
      <c r="A7776" s="54"/>
      <c r="B7776" s="71"/>
      <c r="C7776" s="51"/>
      <c r="D7776" s="114"/>
      <c r="E7776" s="114"/>
      <c r="F7776" s="54"/>
      <c r="G7776" s="54"/>
      <c r="I7776" s="54"/>
      <c r="K7776" s="54"/>
      <c r="M7776" s="114"/>
      <c r="N7776" s="1"/>
      <c r="O7776" s="1"/>
      <c r="P7776" s="51"/>
    </row>
    <row r="7777">
      <c r="A7777" s="54"/>
      <c r="B7777" s="71"/>
      <c r="C7777" s="51"/>
      <c r="D7777" s="114"/>
      <c r="E7777" s="114"/>
      <c r="F7777" s="54"/>
      <c r="G7777" s="54"/>
      <c r="I7777" s="54"/>
      <c r="K7777" s="54"/>
      <c r="M7777" s="114"/>
      <c r="N7777" s="1"/>
      <c r="O7777" s="1"/>
      <c r="P7777" s="51"/>
    </row>
    <row r="7778">
      <c r="A7778" s="54"/>
      <c r="B7778" s="71"/>
      <c r="C7778" s="51"/>
      <c r="D7778" s="114"/>
      <c r="E7778" s="114"/>
      <c r="F7778" s="54"/>
      <c r="G7778" s="54"/>
      <c r="I7778" s="54"/>
      <c r="K7778" s="54"/>
      <c r="M7778" s="114"/>
      <c r="N7778" s="1"/>
      <c r="O7778" s="1"/>
      <c r="P7778" s="51"/>
    </row>
    <row r="7779">
      <c r="A7779" s="54"/>
      <c r="B7779" s="71"/>
      <c r="C7779" s="51"/>
      <c r="D7779" s="114"/>
      <c r="E7779" s="114"/>
      <c r="F7779" s="54"/>
      <c r="G7779" s="54"/>
      <c r="I7779" s="54"/>
      <c r="K7779" s="54"/>
      <c r="M7779" s="114"/>
      <c r="N7779" s="1"/>
      <c r="O7779" s="1"/>
      <c r="P7779" s="51"/>
    </row>
    <row r="7780">
      <c r="A7780" s="54"/>
      <c r="B7780" s="71"/>
      <c r="C7780" s="51"/>
      <c r="D7780" s="114"/>
      <c r="E7780" s="114"/>
      <c r="F7780" s="54"/>
      <c r="G7780" s="54"/>
      <c r="I7780" s="54"/>
      <c r="K7780" s="54"/>
      <c r="M7780" s="114"/>
      <c r="N7780" s="1"/>
      <c r="O7780" s="1"/>
      <c r="P7780" s="51"/>
    </row>
    <row r="7781">
      <c r="A7781" s="54"/>
      <c r="B7781" s="71"/>
      <c r="C7781" s="51"/>
      <c r="D7781" s="114"/>
      <c r="E7781" s="114"/>
      <c r="F7781" s="54"/>
      <c r="G7781" s="54"/>
      <c r="I7781" s="54"/>
      <c r="K7781" s="54"/>
      <c r="M7781" s="114"/>
      <c r="N7781" s="1"/>
      <c r="O7781" s="1"/>
      <c r="P7781" s="51"/>
    </row>
    <row r="7782">
      <c r="A7782" s="54"/>
      <c r="B7782" s="71"/>
      <c r="C7782" s="51"/>
      <c r="D7782" s="114"/>
      <c r="E7782" s="114"/>
      <c r="F7782" s="54"/>
      <c r="G7782" s="54"/>
      <c r="I7782" s="54"/>
      <c r="K7782" s="54"/>
      <c r="M7782" s="114"/>
      <c r="N7782" s="1"/>
      <c r="O7782" s="1"/>
      <c r="P7782" s="51"/>
    </row>
    <row r="7783">
      <c r="A7783" s="54"/>
      <c r="B7783" s="71"/>
      <c r="C7783" s="51"/>
      <c r="D7783" s="114"/>
      <c r="E7783" s="114"/>
      <c r="F7783" s="54"/>
      <c r="G7783" s="54"/>
      <c r="I7783" s="54"/>
      <c r="K7783" s="54"/>
      <c r="M7783" s="114"/>
      <c r="N7783" s="1"/>
      <c r="O7783" s="1"/>
      <c r="P7783" s="51"/>
    </row>
    <row r="7784">
      <c r="A7784" s="54"/>
      <c r="B7784" s="71"/>
      <c r="C7784" s="51"/>
      <c r="D7784" s="114"/>
      <c r="E7784" s="114"/>
      <c r="F7784" s="54"/>
      <c r="G7784" s="54"/>
      <c r="I7784" s="54"/>
      <c r="K7784" s="54"/>
      <c r="M7784" s="114"/>
      <c r="N7784" s="1"/>
      <c r="O7784" s="1"/>
      <c r="P7784" s="51"/>
    </row>
    <row r="7785">
      <c r="A7785" s="54"/>
      <c r="B7785" s="71"/>
      <c r="C7785" s="51"/>
      <c r="D7785" s="114"/>
      <c r="E7785" s="114"/>
      <c r="F7785" s="54"/>
      <c r="G7785" s="54"/>
      <c r="I7785" s="54"/>
      <c r="K7785" s="54"/>
      <c r="M7785" s="114"/>
      <c r="N7785" s="1"/>
      <c r="O7785" s="1"/>
      <c r="P7785" s="51"/>
    </row>
    <row r="7786">
      <c r="A7786" s="54"/>
      <c r="B7786" s="71"/>
      <c r="C7786" s="51"/>
      <c r="D7786" s="114"/>
      <c r="E7786" s="114"/>
      <c r="F7786" s="54"/>
      <c r="G7786" s="54"/>
      <c r="I7786" s="54"/>
      <c r="K7786" s="54"/>
      <c r="M7786" s="114"/>
      <c r="N7786" s="1"/>
      <c r="O7786" s="1"/>
      <c r="P7786" s="51"/>
    </row>
    <row r="7787">
      <c r="A7787" s="54"/>
      <c r="B7787" s="71"/>
      <c r="C7787" s="51"/>
      <c r="D7787" s="114"/>
      <c r="E7787" s="114"/>
      <c r="F7787" s="54"/>
      <c r="G7787" s="54"/>
      <c r="I7787" s="54"/>
      <c r="K7787" s="54"/>
      <c r="M7787" s="114"/>
      <c r="N7787" s="1"/>
      <c r="O7787" s="1"/>
      <c r="P7787" s="51"/>
    </row>
    <row r="7788">
      <c r="A7788" s="54"/>
      <c r="B7788" s="71"/>
      <c r="C7788" s="51"/>
      <c r="D7788" s="114"/>
      <c r="E7788" s="114"/>
      <c r="F7788" s="54"/>
      <c r="G7788" s="54"/>
      <c r="I7788" s="54"/>
      <c r="K7788" s="54"/>
      <c r="M7788" s="114"/>
      <c r="N7788" s="1"/>
      <c r="O7788" s="1"/>
      <c r="P7788" s="51"/>
    </row>
    <row r="7789">
      <c r="A7789" s="54"/>
      <c r="B7789" s="71"/>
      <c r="C7789" s="51"/>
      <c r="D7789" s="114"/>
      <c r="E7789" s="114"/>
      <c r="F7789" s="54"/>
      <c r="G7789" s="54"/>
      <c r="I7789" s="54"/>
      <c r="K7789" s="54"/>
      <c r="M7789" s="114"/>
      <c r="N7789" s="1"/>
      <c r="O7789" s="1"/>
      <c r="P7789" s="51"/>
    </row>
    <row r="7790">
      <c r="A7790" s="54"/>
      <c r="B7790" s="71"/>
      <c r="C7790" s="51"/>
      <c r="D7790" s="114"/>
      <c r="E7790" s="114"/>
      <c r="F7790" s="54"/>
      <c r="G7790" s="54"/>
      <c r="I7790" s="54"/>
      <c r="K7790" s="54"/>
      <c r="M7790" s="114"/>
      <c r="N7790" s="1"/>
      <c r="O7790" s="1"/>
      <c r="P7790" s="51"/>
    </row>
    <row r="7791">
      <c r="A7791" s="54"/>
      <c r="B7791" s="71"/>
      <c r="C7791" s="51"/>
      <c r="D7791" s="114"/>
      <c r="E7791" s="114"/>
      <c r="F7791" s="54"/>
      <c r="G7791" s="54"/>
      <c r="I7791" s="54"/>
      <c r="K7791" s="54"/>
      <c r="M7791" s="114"/>
      <c r="N7791" s="1"/>
      <c r="O7791" s="1"/>
      <c r="P7791" s="51"/>
    </row>
    <row r="7792">
      <c r="A7792" s="54"/>
      <c r="B7792" s="71"/>
      <c r="C7792" s="51"/>
      <c r="D7792" s="114"/>
      <c r="E7792" s="114"/>
      <c r="F7792" s="54"/>
      <c r="G7792" s="54"/>
      <c r="I7792" s="54"/>
      <c r="K7792" s="54"/>
      <c r="M7792" s="114"/>
      <c r="N7792" s="1"/>
      <c r="O7792" s="1"/>
      <c r="P7792" s="51"/>
    </row>
    <row r="7793">
      <c r="A7793" s="54"/>
      <c r="B7793" s="71"/>
      <c r="C7793" s="51"/>
      <c r="D7793" s="114"/>
      <c r="E7793" s="114"/>
      <c r="F7793" s="54"/>
      <c r="G7793" s="54"/>
      <c r="I7793" s="54"/>
      <c r="K7793" s="54"/>
      <c r="M7793" s="114"/>
      <c r="N7793" s="1"/>
      <c r="O7793" s="1"/>
      <c r="P7793" s="51"/>
    </row>
    <row r="7794">
      <c r="A7794" s="54"/>
      <c r="B7794" s="71"/>
      <c r="C7794" s="51"/>
      <c r="D7794" s="114"/>
      <c r="E7794" s="114"/>
      <c r="F7794" s="54"/>
      <c r="G7794" s="54"/>
      <c r="I7794" s="54"/>
      <c r="K7794" s="54"/>
      <c r="M7794" s="114"/>
      <c r="N7794" s="1"/>
      <c r="O7794" s="1"/>
      <c r="P7794" s="51"/>
    </row>
    <row r="7795">
      <c r="A7795" s="54"/>
      <c r="B7795" s="71"/>
      <c r="C7795" s="51"/>
      <c r="D7795" s="114"/>
      <c r="E7795" s="114"/>
      <c r="F7795" s="54"/>
      <c r="G7795" s="54"/>
      <c r="I7795" s="54"/>
      <c r="K7795" s="54"/>
      <c r="M7795" s="114"/>
      <c r="N7795" s="1"/>
      <c r="O7795" s="1"/>
      <c r="P7795" s="51"/>
    </row>
    <row r="7796">
      <c r="A7796" s="54"/>
      <c r="B7796" s="71"/>
      <c r="C7796" s="51"/>
      <c r="D7796" s="114"/>
      <c r="E7796" s="114"/>
      <c r="F7796" s="54"/>
      <c r="G7796" s="54"/>
      <c r="I7796" s="54"/>
      <c r="K7796" s="54"/>
      <c r="M7796" s="114"/>
      <c r="N7796" s="1"/>
      <c r="O7796" s="1"/>
      <c r="P7796" s="51"/>
    </row>
    <row r="7797">
      <c r="A7797" s="54"/>
      <c r="B7797" s="71"/>
      <c r="C7797" s="51"/>
      <c r="D7797" s="114"/>
      <c r="E7797" s="114"/>
      <c r="F7797" s="54"/>
      <c r="G7797" s="54"/>
      <c r="I7797" s="54"/>
      <c r="K7797" s="54"/>
      <c r="M7797" s="114"/>
      <c r="N7797" s="1"/>
      <c r="O7797" s="1"/>
      <c r="P7797" s="51"/>
    </row>
    <row r="7798">
      <c r="A7798" s="54"/>
      <c r="B7798" s="71"/>
      <c r="C7798" s="51"/>
      <c r="D7798" s="114"/>
      <c r="E7798" s="114"/>
      <c r="F7798" s="54"/>
      <c r="G7798" s="54"/>
      <c r="I7798" s="54"/>
      <c r="K7798" s="54"/>
      <c r="M7798" s="114"/>
      <c r="N7798" s="1"/>
      <c r="O7798" s="1"/>
      <c r="P7798" s="51"/>
    </row>
    <row r="7799">
      <c r="A7799" s="54"/>
      <c r="B7799" s="71"/>
      <c r="C7799" s="51"/>
      <c r="D7799" s="114"/>
      <c r="E7799" s="114"/>
      <c r="F7799" s="54"/>
      <c r="G7799" s="54"/>
      <c r="I7799" s="54"/>
      <c r="K7799" s="54"/>
      <c r="M7799" s="114"/>
      <c r="N7799" s="1"/>
      <c r="O7799" s="1"/>
      <c r="P7799" s="51"/>
    </row>
    <row r="7800">
      <c r="A7800" s="54"/>
      <c r="B7800" s="71"/>
      <c r="C7800" s="51"/>
      <c r="D7800" s="114"/>
      <c r="E7800" s="114"/>
      <c r="F7800" s="54"/>
      <c r="G7800" s="54"/>
      <c r="I7800" s="54"/>
      <c r="K7800" s="54"/>
      <c r="M7800" s="114"/>
      <c r="N7800" s="1"/>
      <c r="O7800" s="1"/>
      <c r="P7800" s="51"/>
    </row>
    <row r="7801">
      <c r="A7801" s="54"/>
      <c r="B7801" s="71"/>
      <c r="C7801" s="51"/>
      <c r="D7801" s="114"/>
      <c r="E7801" s="114"/>
      <c r="F7801" s="54"/>
      <c r="G7801" s="54"/>
      <c r="I7801" s="54"/>
      <c r="K7801" s="54"/>
      <c r="M7801" s="114"/>
      <c r="N7801" s="1"/>
      <c r="O7801" s="1"/>
      <c r="P7801" s="51"/>
    </row>
    <row r="7802">
      <c r="A7802" s="54"/>
      <c r="B7802" s="71"/>
      <c r="C7802" s="51"/>
      <c r="D7802" s="114"/>
      <c r="E7802" s="114"/>
      <c r="F7802" s="54"/>
      <c r="G7802" s="54"/>
      <c r="I7802" s="54"/>
      <c r="K7802" s="54"/>
      <c r="M7802" s="114"/>
      <c r="N7802" s="1"/>
      <c r="O7802" s="1"/>
      <c r="P7802" s="51"/>
    </row>
    <row r="7803">
      <c r="A7803" s="54"/>
      <c r="B7803" s="71"/>
      <c r="C7803" s="51"/>
      <c r="D7803" s="114"/>
      <c r="E7803" s="114"/>
      <c r="F7803" s="54"/>
      <c r="G7803" s="54"/>
      <c r="I7803" s="54"/>
      <c r="K7803" s="54"/>
      <c r="M7803" s="114"/>
      <c r="N7803" s="1"/>
      <c r="O7803" s="1"/>
      <c r="P7803" s="51"/>
    </row>
    <row r="7804">
      <c r="A7804" s="54"/>
      <c r="B7804" s="71"/>
      <c r="C7804" s="51"/>
      <c r="D7804" s="114"/>
      <c r="E7804" s="114"/>
      <c r="F7804" s="54"/>
      <c r="G7804" s="54"/>
      <c r="I7804" s="54"/>
      <c r="K7804" s="54"/>
      <c r="M7804" s="114"/>
      <c r="N7804" s="1"/>
      <c r="O7804" s="1"/>
      <c r="P7804" s="51"/>
    </row>
    <row r="7805">
      <c r="A7805" s="54"/>
      <c r="B7805" s="71"/>
      <c r="C7805" s="51"/>
      <c r="D7805" s="114"/>
      <c r="E7805" s="114"/>
      <c r="F7805" s="54"/>
      <c r="G7805" s="54"/>
      <c r="I7805" s="54"/>
      <c r="K7805" s="54"/>
      <c r="M7805" s="114"/>
      <c r="N7805" s="1"/>
      <c r="O7805" s="1"/>
      <c r="P7805" s="51"/>
    </row>
    <row r="7806">
      <c r="A7806" s="54"/>
      <c r="B7806" s="71"/>
      <c r="C7806" s="51"/>
      <c r="D7806" s="114"/>
      <c r="E7806" s="114"/>
      <c r="F7806" s="54"/>
      <c r="G7806" s="54"/>
      <c r="I7806" s="54"/>
      <c r="K7806" s="54"/>
      <c r="M7806" s="114"/>
      <c r="N7806" s="1"/>
      <c r="O7806" s="1"/>
      <c r="P7806" s="51"/>
    </row>
    <row r="7807">
      <c r="A7807" s="54"/>
      <c r="B7807" s="71"/>
      <c r="C7807" s="51"/>
      <c r="D7807" s="114"/>
      <c r="E7807" s="114"/>
      <c r="F7807" s="54"/>
      <c r="G7807" s="54"/>
      <c r="I7807" s="54"/>
      <c r="K7807" s="54"/>
      <c r="M7807" s="114"/>
      <c r="N7807" s="1"/>
      <c r="O7807" s="1"/>
      <c r="P7807" s="51"/>
    </row>
    <row r="7808">
      <c r="A7808" s="54"/>
      <c r="B7808" s="71"/>
      <c r="C7808" s="51"/>
      <c r="D7808" s="114"/>
      <c r="E7808" s="114"/>
      <c r="F7808" s="54"/>
      <c r="G7808" s="54"/>
      <c r="I7808" s="54"/>
      <c r="K7808" s="54"/>
      <c r="M7808" s="114"/>
      <c r="N7808" s="1"/>
      <c r="O7808" s="1"/>
      <c r="P7808" s="51"/>
    </row>
    <row r="7809">
      <c r="A7809" s="54"/>
      <c r="B7809" s="71"/>
      <c r="C7809" s="51"/>
      <c r="D7809" s="114"/>
      <c r="E7809" s="114"/>
      <c r="F7809" s="54"/>
      <c r="G7809" s="54"/>
      <c r="I7809" s="54"/>
      <c r="K7809" s="54"/>
      <c r="M7809" s="114"/>
      <c r="N7809" s="1"/>
      <c r="O7809" s="1"/>
      <c r="P7809" s="51"/>
    </row>
    <row r="7810">
      <c r="A7810" s="54"/>
      <c r="B7810" s="71"/>
      <c r="C7810" s="51"/>
      <c r="D7810" s="114"/>
      <c r="E7810" s="114"/>
      <c r="F7810" s="54"/>
      <c r="G7810" s="54"/>
      <c r="I7810" s="54"/>
      <c r="K7810" s="54"/>
      <c r="M7810" s="114"/>
      <c r="N7810" s="1"/>
      <c r="O7810" s="1"/>
      <c r="P7810" s="51"/>
    </row>
    <row r="7811">
      <c r="A7811" s="54"/>
      <c r="B7811" s="71"/>
      <c r="C7811" s="51"/>
      <c r="D7811" s="114"/>
      <c r="E7811" s="114"/>
      <c r="F7811" s="54"/>
      <c r="G7811" s="54"/>
      <c r="I7811" s="54"/>
      <c r="K7811" s="54"/>
      <c r="M7811" s="114"/>
      <c r="N7811" s="1"/>
      <c r="O7811" s="1"/>
      <c r="P7811" s="51"/>
    </row>
    <row r="7812">
      <c r="A7812" s="54"/>
      <c r="B7812" s="71"/>
      <c r="C7812" s="51"/>
      <c r="D7812" s="114"/>
      <c r="E7812" s="114"/>
      <c r="F7812" s="54"/>
      <c r="G7812" s="54"/>
      <c r="I7812" s="54"/>
      <c r="K7812" s="54"/>
      <c r="M7812" s="114"/>
      <c r="N7812" s="1"/>
      <c r="O7812" s="1"/>
      <c r="P7812" s="51"/>
    </row>
    <row r="7813">
      <c r="A7813" s="54"/>
      <c r="B7813" s="71"/>
      <c r="C7813" s="51"/>
      <c r="D7813" s="114"/>
      <c r="E7813" s="114"/>
      <c r="F7813" s="54"/>
      <c r="G7813" s="54"/>
      <c r="I7813" s="54"/>
      <c r="K7813" s="54"/>
      <c r="M7813" s="114"/>
      <c r="N7813" s="1"/>
      <c r="O7813" s="1"/>
      <c r="P7813" s="51"/>
    </row>
    <row r="7814">
      <c r="A7814" s="54"/>
      <c r="B7814" s="71"/>
      <c r="C7814" s="51"/>
      <c r="D7814" s="114"/>
      <c r="E7814" s="114"/>
      <c r="F7814" s="54"/>
      <c r="G7814" s="54"/>
      <c r="I7814" s="54"/>
      <c r="K7814" s="54"/>
      <c r="M7814" s="114"/>
      <c r="N7814" s="1"/>
      <c r="O7814" s="1"/>
      <c r="P7814" s="51"/>
    </row>
    <row r="7815">
      <c r="A7815" s="54"/>
      <c r="B7815" s="71"/>
      <c r="C7815" s="51"/>
      <c r="D7815" s="114"/>
      <c r="E7815" s="114"/>
      <c r="F7815" s="54"/>
      <c r="G7815" s="54"/>
      <c r="I7815" s="54"/>
      <c r="K7815" s="54"/>
      <c r="M7815" s="114"/>
      <c r="N7815" s="1"/>
      <c r="O7815" s="1"/>
      <c r="P7815" s="51"/>
    </row>
    <row r="7816">
      <c r="A7816" s="54"/>
      <c r="B7816" s="71"/>
      <c r="C7816" s="51"/>
      <c r="D7816" s="114"/>
      <c r="E7816" s="114"/>
      <c r="F7816" s="54"/>
      <c r="G7816" s="54"/>
      <c r="I7816" s="54"/>
      <c r="K7816" s="54"/>
      <c r="M7816" s="114"/>
      <c r="N7816" s="1"/>
      <c r="O7816" s="1"/>
      <c r="P7816" s="51"/>
    </row>
    <row r="7817">
      <c r="A7817" s="54"/>
      <c r="B7817" s="71"/>
      <c r="C7817" s="51"/>
      <c r="D7817" s="114"/>
      <c r="E7817" s="114"/>
      <c r="F7817" s="54"/>
      <c r="G7817" s="54"/>
      <c r="I7817" s="54"/>
      <c r="K7817" s="54"/>
      <c r="M7817" s="114"/>
      <c r="N7817" s="1"/>
      <c r="O7817" s="1"/>
      <c r="P7817" s="51"/>
    </row>
    <row r="7818">
      <c r="A7818" s="54"/>
      <c r="B7818" s="71"/>
      <c r="C7818" s="51"/>
      <c r="D7818" s="114"/>
      <c r="E7818" s="114"/>
      <c r="F7818" s="54"/>
      <c r="G7818" s="54"/>
      <c r="I7818" s="54"/>
      <c r="K7818" s="54"/>
      <c r="M7818" s="114"/>
      <c r="N7818" s="1"/>
      <c r="O7818" s="1"/>
      <c r="P7818" s="51"/>
    </row>
    <row r="7819">
      <c r="A7819" s="54"/>
      <c r="B7819" s="71"/>
      <c r="C7819" s="51"/>
      <c r="D7819" s="114"/>
      <c r="E7819" s="114"/>
      <c r="F7819" s="54"/>
      <c r="G7819" s="54"/>
      <c r="I7819" s="54"/>
      <c r="K7819" s="54"/>
      <c r="M7819" s="114"/>
      <c r="N7819" s="1"/>
      <c r="O7819" s="1"/>
      <c r="P7819" s="51"/>
    </row>
    <row r="7820">
      <c r="A7820" s="54"/>
      <c r="B7820" s="71"/>
      <c r="C7820" s="51"/>
      <c r="D7820" s="114"/>
      <c r="E7820" s="114"/>
      <c r="F7820" s="54"/>
      <c r="G7820" s="54"/>
      <c r="I7820" s="54"/>
      <c r="K7820" s="54"/>
      <c r="M7820" s="114"/>
      <c r="N7820" s="1"/>
      <c r="O7820" s="1"/>
      <c r="P7820" s="51"/>
    </row>
    <row r="7821">
      <c r="A7821" s="54"/>
      <c r="B7821" s="71"/>
      <c r="C7821" s="51"/>
      <c r="D7821" s="114"/>
      <c r="E7821" s="114"/>
      <c r="F7821" s="54"/>
      <c r="G7821" s="54"/>
      <c r="I7821" s="54"/>
      <c r="K7821" s="54"/>
      <c r="M7821" s="114"/>
      <c r="N7821" s="1"/>
      <c r="O7821" s="1"/>
      <c r="P7821" s="51"/>
    </row>
    <row r="7822">
      <c r="A7822" s="54"/>
      <c r="B7822" s="71"/>
      <c r="C7822" s="51"/>
      <c r="D7822" s="114"/>
      <c r="E7822" s="114"/>
      <c r="F7822" s="54"/>
      <c r="G7822" s="54"/>
      <c r="I7822" s="54"/>
      <c r="K7822" s="54"/>
      <c r="M7822" s="114"/>
      <c r="N7822" s="1"/>
      <c r="O7822" s="1"/>
      <c r="P7822" s="51"/>
    </row>
    <row r="7823">
      <c r="A7823" s="54"/>
      <c r="B7823" s="71"/>
      <c r="C7823" s="51"/>
      <c r="D7823" s="114"/>
      <c r="E7823" s="114"/>
      <c r="F7823" s="54"/>
      <c r="G7823" s="54"/>
      <c r="I7823" s="54"/>
      <c r="K7823" s="54"/>
      <c r="M7823" s="114"/>
      <c r="N7823" s="1"/>
      <c r="O7823" s="1"/>
      <c r="P7823" s="51"/>
    </row>
    <row r="7824">
      <c r="A7824" s="54"/>
      <c r="B7824" s="71"/>
      <c r="C7824" s="51"/>
      <c r="D7824" s="114"/>
      <c r="E7824" s="114"/>
      <c r="F7824" s="54"/>
      <c r="G7824" s="54"/>
      <c r="I7824" s="54"/>
      <c r="K7824" s="54"/>
      <c r="M7824" s="114"/>
      <c r="N7824" s="1"/>
      <c r="O7824" s="1"/>
      <c r="P7824" s="51"/>
    </row>
    <row r="7825">
      <c r="A7825" s="54"/>
      <c r="B7825" s="71"/>
      <c r="C7825" s="51"/>
      <c r="D7825" s="114"/>
      <c r="E7825" s="114"/>
      <c r="F7825" s="54"/>
      <c r="G7825" s="54"/>
      <c r="I7825" s="54"/>
      <c r="K7825" s="54"/>
      <c r="M7825" s="114"/>
      <c r="N7825" s="1"/>
      <c r="O7825" s="1"/>
      <c r="P7825" s="51"/>
    </row>
    <row r="7826">
      <c r="A7826" s="54"/>
      <c r="B7826" s="71"/>
      <c r="C7826" s="51"/>
      <c r="D7826" s="114"/>
      <c r="E7826" s="114"/>
      <c r="F7826" s="54"/>
      <c r="G7826" s="54"/>
      <c r="I7826" s="54"/>
      <c r="K7826" s="54"/>
      <c r="M7826" s="114"/>
      <c r="N7826" s="1"/>
      <c r="O7826" s="1"/>
      <c r="P7826" s="51"/>
    </row>
    <row r="7827">
      <c r="A7827" s="54"/>
      <c r="B7827" s="71"/>
      <c r="C7827" s="51"/>
      <c r="D7827" s="114"/>
      <c r="E7827" s="114"/>
      <c r="F7827" s="54"/>
      <c r="G7827" s="54"/>
      <c r="I7827" s="54"/>
      <c r="K7827" s="54"/>
      <c r="M7827" s="114"/>
      <c r="N7827" s="1"/>
      <c r="O7827" s="1"/>
      <c r="P7827" s="51"/>
    </row>
    <row r="7828">
      <c r="A7828" s="54"/>
      <c r="B7828" s="71"/>
      <c r="C7828" s="51"/>
      <c r="D7828" s="114"/>
      <c r="E7828" s="114"/>
      <c r="F7828" s="54"/>
      <c r="G7828" s="54"/>
      <c r="I7828" s="54"/>
      <c r="K7828" s="54"/>
      <c r="M7828" s="114"/>
      <c r="N7828" s="1"/>
      <c r="O7828" s="1"/>
      <c r="P7828" s="51"/>
    </row>
    <row r="7829">
      <c r="A7829" s="54"/>
      <c r="B7829" s="71"/>
      <c r="C7829" s="51"/>
      <c r="D7829" s="114"/>
      <c r="E7829" s="114"/>
      <c r="F7829" s="54"/>
      <c r="G7829" s="54"/>
      <c r="I7829" s="54"/>
      <c r="K7829" s="54"/>
      <c r="M7829" s="114"/>
      <c r="N7829" s="1"/>
      <c r="O7829" s="1"/>
      <c r="P7829" s="51"/>
    </row>
    <row r="7830">
      <c r="A7830" s="54"/>
      <c r="B7830" s="71"/>
      <c r="C7830" s="51"/>
      <c r="D7830" s="114"/>
      <c r="E7830" s="114"/>
      <c r="F7830" s="54"/>
      <c r="G7830" s="54"/>
      <c r="I7830" s="54"/>
      <c r="K7830" s="54"/>
      <c r="M7830" s="114"/>
      <c r="N7830" s="1"/>
      <c r="O7830" s="1"/>
      <c r="P7830" s="51"/>
    </row>
    <row r="7831">
      <c r="A7831" s="54"/>
      <c r="B7831" s="71"/>
      <c r="C7831" s="51"/>
      <c r="D7831" s="114"/>
      <c r="E7831" s="114"/>
      <c r="F7831" s="54"/>
      <c r="G7831" s="54"/>
      <c r="I7831" s="54"/>
      <c r="K7831" s="54"/>
      <c r="M7831" s="114"/>
      <c r="N7831" s="1"/>
      <c r="O7831" s="1"/>
      <c r="P7831" s="51"/>
    </row>
    <row r="7832">
      <c r="A7832" s="54"/>
      <c r="B7832" s="71"/>
      <c r="C7832" s="51"/>
      <c r="D7832" s="114"/>
      <c r="E7832" s="114"/>
      <c r="F7832" s="54"/>
      <c r="G7832" s="54"/>
      <c r="I7832" s="54"/>
      <c r="K7832" s="54"/>
      <c r="M7832" s="114"/>
      <c r="N7832" s="1"/>
      <c r="O7832" s="1"/>
      <c r="P7832" s="51"/>
    </row>
    <row r="7833">
      <c r="A7833" s="54"/>
      <c r="B7833" s="71"/>
      <c r="C7833" s="51"/>
      <c r="D7833" s="114"/>
      <c r="E7833" s="114"/>
      <c r="F7833" s="54"/>
      <c r="G7833" s="54"/>
      <c r="I7833" s="54"/>
      <c r="K7833" s="54"/>
      <c r="M7833" s="114"/>
      <c r="N7833" s="1"/>
      <c r="O7833" s="1"/>
      <c r="P7833" s="51"/>
    </row>
    <row r="7834">
      <c r="A7834" s="54"/>
      <c r="B7834" s="71"/>
      <c r="C7834" s="51"/>
      <c r="D7834" s="114"/>
      <c r="E7834" s="114"/>
      <c r="F7834" s="54"/>
      <c r="G7834" s="54"/>
      <c r="I7834" s="54"/>
      <c r="K7834" s="54"/>
      <c r="M7834" s="114"/>
      <c r="N7834" s="1"/>
      <c r="O7834" s="1"/>
      <c r="P7834" s="51"/>
    </row>
    <row r="7835">
      <c r="A7835" s="54"/>
      <c r="B7835" s="71"/>
      <c r="C7835" s="51"/>
      <c r="D7835" s="114"/>
      <c r="E7835" s="114"/>
      <c r="F7835" s="54"/>
      <c r="G7835" s="54"/>
      <c r="I7835" s="54"/>
      <c r="K7835" s="54"/>
      <c r="M7835" s="114"/>
      <c r="N7835" s="1"/>
      <c r="O7835" s="1"/>
      <c r="P7835" s="51"/>
    </row>
    <row r="7836">
      <c r="A7836" s="54"/>
      <c r="B7836" s="71"/>
      <c r="C7836" s="51"/>
      <c r="D7836" s="114"/>
      <c r="E7836" s="114"/>
      <c r="F7836" s="54"/>
      <c r="G7836" s="54"/>
      <c r="I7836" s="54"/>
      <c r="K7836" s="54"/>
      <c r="M7836" s="114"/>
      <c r="N7836" s="1"/>
      <c r="O7836" s="1"/>
      <c r="P7836" s="51"/>
    </row>
    <row r="7837">
      <c r="A7837" s="54"/>
      <c r="B7837" s="71"/>
      <c r="C7837" s="51"/>
      <c r="D7837" s="114"/>
      <c r="E7837" s="114"/>
      <c r="F7837" s="54"/>
      <c r="G7837" s="54"/>
      <c r="I7837" s="54"/>
      <c r="K7837" s="54"/>
      <c r="M7837" s="114"/>
      <c r="N7837" s="1"/>
      <c r="O7837" s="1"/>
      <c r="P7837" s="51"/>
    </row>
    <row r="7838">
      <c r="A7838" s="54"/>
      <c r="B7838" s="71"/>
      <c r="C7838" s="51"/>
      <c r="D7838" s="114"/>
      <c r="E7838" s="114"/>
      <c r="F7838" s="54"/>
      <c r="G7838" s="54"/>
      <c r="I7838" s="54"/>
      <c r="K7838" s="54"/>
      <c r="M7838" s="114"/>
      <c r="N7838" s="1"/>
      <c r="O7838" s="1"/>
      <c r="P7838" s="51"/>
    </row>
    <row r="7839">
      <c r="A7839" s="54"/>
      <c r="B7839" s="71"/>
      <c r="C7839" s="51"/>
      <c r="D7839" s="114"/>
      <c r="E7839" s="114"/>
      <c r="F7839" s="54"/>
      <c r="G7839" s="54"/>
      <c r="I7839" s="54"/>
      <c r="K7839" s="54"/>
      <c r="M7839" s="114"/>
      <c r="N7839" s="1"/>
      <c r="O7839" s="1"/>
      <c r="P7839" s="51"/>
    </row>
    <row r="7840">
      <c r="A7840" s="54"/>
      <c r="B7840" s="71"/>
      <c r="C7840" s="51"/>
      <c r="D7840" s="114"/>
      <c r="E7840" s="114"/>
      <c r="F7840" s="54"/>
      <c r="G7840" s="54"/>
      <c r="I7840" s="54"/>
      <c r="K7840" s="54"/>
      <c r="M7840" s="114"/>
      <c r="N7840" s="1"/>
      <c r="O7840" s="1"/>
      <c r="P7840" s="51"/>
    </row>
    <row r="7841">
      <c r="A7841" s="54"/>
      <c r="B7841" s="71"/>
      <c r="C7841" s="51"/>
      <c r="D7841" s="114"/>
      <c r="E7841" s="114"/>
      <c r="F7841" s="54"/>
      <c r="G7841" s="54"/>
      <c r="I7841" s="54"/>
      <c r="K7841" s="54"/>
      <c r="M7841" s="114"/>
      <c r="N7841" s="1"/>
      <c r="O7841" s="1"/>
      <c r="P7841" s="51"/>
    </row>
    <row r="7842">
      <c r="A7842" s="54"/>
      <c r="B7842" s="71"/>
      <c r="C7842" s="51"/>
      <c r="D7842" s="114"/>
      <c r="E7842" s="114"/>
      <c r="F7842" s="54"/>
      <c r="G7842" s="54"/>
      <c r="I7842" s="54"/>
      <c r="K7842" s="54"/>
      <c r="M7842" s="114"/>
      <c r="N7842" s="1"/>
      <c r="O7842" s="1"/>
      <c r="P7842" s="51"/>
    </row>
    <row r="7843">
      <c r="A7843" s="54"/>
      <c r="B7843" s="71"/>
      <c r="C7843" s="51"/>
      <c r="D7843" s="114"/>
      <c r="E7843" s="114"/>
      <c r="F7843" s="54"/>
      <c r="G7843" s="54"/>
      <c r="I7843" s="54"/>
      <c r="K7843" s="54"/>
      <c r="M7843" s="114"/>
      <c r="N7843" s="1"/>
      <c r="O7843" s="1"/>
      <c r="P7843" s="51"/>
    </row>
    <row r="7844">
      <c r="A7844" s="54"/>
      <c r="B7844" s="71"/>
      <c r="C7844" s="51"/>
      <c r="D7844" s="114"/>
      <c r="E7844" s="114"/>
      <c r="F7844" s="54"/>
      <c r="G7844" s="54"/>
      <c r="I7844" s="54"/>
      <c r="K7844" s="54"/>
      <c r="M7844" s="114"/>
      <c r="N7844" s="1"/>
      <c r="O7844" s="1"/>
      <c r="P7844" s="51"/>
    </row>
    <row r="7845">
      <c r="A7845" s="54"/>
      <c r="B7845" s="71"/>
      <c r="C7845" s="51"/>
      <c r="D7845" s="114"/>
      <c r="E7845" s="114"/>
      <c r="F7845" s="54"/>
      <c r="G7845" s="54"/>
      <c r="I7845" s="54"/>
      <c r="K7845" s="54"/>
      <c r="M7845" s="114"/>
      <c r="N7845" s="1"/>
      <c r="O7845" s="1"/>
      <c r="P7845" s="51"/>
    </row>
    <row r="7846">
      <c r="A7846" s="54"/>
      <c r="B7846" s="71"/>
      <c r="C7846" s="51"/>
      <c r="D7846" s="114"/>
      <c r="E7846" s="114"/>
      <c r="F7846" s="54"/>
      <c r="G7846" s="54"/>
      <c r="I7846" s="54"/>
      <c r="K7846" s="54"/>
      <c r="M7846" s="114"/>
      <c r="N7846" s="1"/>
      <c r="O7846" s="1"/>
      <c r="P7846" s="51"/>
    </row>
    <row r="7847">
      <c r="A7847" s="54"/>
      <c r="B7847" s="71"/>
      <c r="C7847" s="51"/>
      <c r="D7847" s="114"/>
      <c r="E7847" s="114"/>
      <c r="F7847" s="54"/>
      <c r="G7847" s="54"/>
      <c r="I7847" s="54"/>
      <c r="K7847" s="54"/>
      <c r="M7847" s="114"/>
      <c r="N7847" s="1"/>
      <c r="O7847" s="1"/>
      <c r="P7847" s="51"/>
    </row>
    <row r="7848">
      <c r="A7848" s="54"/>
      <c r="B7848" s="71"/>
      <c r="C7848" s="51"/>
      <c r="D7848" s="114"/>
      <c r="E7848" s="114"/>
      <c r="F7848" s="54"/>
      <c r="G7848" s="54"/>
      <c r="I7848" s="54"/>
      <c r="K7848" s="54"/>
      <c r="M7848" s="114"/>
      <c r="N7848" s="1"/>
      <c r="O7848" s="1"/>
      <c r="P7848" s="51"/>
    </row>
    <row r="7849">
      <c r="A7849" s="54"/>
      <c r="B7849" s="71"/>
      <c r="C7849" s="51"/>
      <c r="D7849" s="114"/>
      <c r="E7849" s="114"/>
      <c r="F7849" s="54"/>
      <c r="G7849" s="54"/>
      <c r="I7849" s="54"/>
      <c r="K7849" s="54"/>
      <c r="M7849" s="114"/>
      <c r="N7849" s="1"/>
      <c r="O7849" s="1"/>
      <c r="P7849" s="51"/>
    </row>
    <row r="7850">
      <c r="A7850" s="54"/>
      <c r="B7850" s="71"/>
      <c r="C7850" s="51"/>
      <c r="D7850" s="114"/>
      <c r="E7850" s="114"/>
      <c r="F7850" s="54"/>
      <c r="G7850" s="54"/>
      <c r="I7850" s="54"/>
      <c r="K7850" s="54"/>
      <c r="M7850" s="114"/>
      <c r="N7850" s="1"/>
      <c r="O7850" s="1"/>
      <c r="P7850" s="51"/>
    </row>
    <row r="7851">
      <c r="A7851" s="54"/>
      <c r="B7851" s="71"/>
      <c r="C7851" s="51"/>
      <c r="D7851" s="114"/>
      <c r="E7851" s="114"/>
      <c r="F7851" s="54"/>
      <c r="G7851" s="54"/>
      <c r="I7851" s="54"/>
      <c r="K7851" s="54"/>
      <c r="M7851" s="114"/>
      <c r="N7851" s="1"/>
      <c r="O7851" s="1"/>
      <c r="P7851" s="51"/>
    </row>
    <row r="7852">
      <c r="A7852" s="54"/>
      <c r="B7852" s="71"/>
      <c r="C7852" s="51"/>
      <c r="D7852" s="114"/>
      <c r="E7852" s="114"/>
      <c r="F7852" s="54"/>
      <c r="G7852" s="54"/>
      <c r="I7852" s="54"/>
      <c r="K7852" s="54"/>
      <c r="M7852" s="114"/>
      <c r="N7852" s="1"/>
      <c r="O7852" s="1"/>
      <c r="P7852" s="51"/>
    </row>
    <row r="7853">
      <c r="A7853" s="54"/>
      <c r="B7853" s="71"/>
      <c r="C7853" s="51"/>
      <c r="D7853" s="114"/>
      <c r="E7853" s="114"/>
      <c r="F7853" s="54"/>
      <c r="G7853" s="54"/>
      <c r="I7853" s="54"/>
      <c r="K7853" s="54"/>
      <c r="M7853" s="114"/>
      <c r="N7853" s="1"/>
      <c r="O7853" s="1"/>
      <c r="P7853" s="51"/>
    </row>
    <row r="7854">
      <c r="A7854" s="54"/>
      <c r="B7854" s="71"/>
      <c r="C7854" s="51"/>
      <c r="D7854" s="114"/>
      <c r="E7854" s="114"/>
      <c r="F7854" s="54"/>
      <c r="G7854" s="54"/>
      <c r="I7854" s="54"/>
      <c r="K7854" s="54"/>
      <c r="M7854" s="114"/>
      <c r="N7854" s="1"/>
      <c r="O7854" s="1"/>
      <c r="P7854" s="51"/>
    </row>
    <row r="7855">
      <c r="A7855" s="54"/>
      <c r="B7855" s="71"/>
      <c r="C7855" s="51"/>
      <c r="D7855" s="114"/>
      <c r="E7855" s="114"/>
      <c r="F7855" s="54"/>
      <c r="G7855" s="54"/>
      <c r="I7855" s="54"/>
      <c r="K7855" s="54"/>
      <c r="M7855" s="114"/>
      <c r="N7855" s="1"/>
      <c r="O7855" s="1"/>
      <c r="P7855" s="51"/>
    </row>
    <row r="7856">
      <c r="A7856" s="54"/>
      <c r="B7856" s="71"/>
      <c r="C7856" s="51"/>
      <c r="D7856" s="114"/>
      <c r="E7856" s="114"/>
      <c r="F7856" s="54"/>
      <c r="G7856" s="54"/>
      <c r="I7856" s="54"/>
      <c r="K7856" s="54"/>
      <c r="M7856" s="114"/>
      <c r="N7856" s="1"/>
      <c r="O7856" s="1"/>
      <c r="P7856" s="51"/>
    </row>
    <row r="7857">
      <c r="A7857" s="54"/>
      <c r="B7857" s="71"/>
      <c r="C7857" s="51"/>
      <c r="D7857" s="114"/>
      <c r="E7857" s="114"/>
      <c r="F7857" s="54"/>
      <c r="G7857" s="54"/>
      <c r="I7857" s="54"/>
      <c r="K7857" s="54"/>
      <c r="M7857" s="114"/>
      <c r="N7857" s="1"/>
      <c r="O7857" s="1"/>
      <c r="P7857" s="51"/>
    </row>
    <row r="7858">
      <c r="A7858" s="54"/>
      <c r="B7858" s="71"/>
      <c r="C7858" s="51"/>
      <c r="D7858" s="114"/>
      <c r="E7858" s="114"/>
      <c r="F7858" s="54"/>
      <c r="G7858" s="54"/>
      <c r="I7858" s="54"/>
      <c r="K7858" s="54"/>
      <c r="M7858" s="114"/>
      <c r="N7858" s="1"/>
      <c r="O7858" s="1"/>
      <c r="P7858" s="51"/>
    </row>
    <row r="7859">
      <c r="A7859" s="54"/>
      <c r="B7859" s="71"/>
      <c r="C7859" s="51"/>
      <c r="D7859" s="114"/>
      <c r="E7859" s="114"/>
      <c r="F7859" s="54"/>
      <c r="G7859" s="54"/>
      <c r="I7859" s="54"/>
      <c r="K7859" s="54"/>
      <c r="M7859" s="114"/>
      <c r="N7859" s="1"/>
      <c r="O7859" s="1"/>
      <c r="P7859" s="51"/>
    </row>
    <row r="7860">
      <c r="A7860" s="54"/>
      <c r="B7860" s="71"/>
      <c r="C7860" s="51"/>
      <c r="D7860" s="114"/>
      <c r="E7860" s="114"/>
      <c r="F7860" s="54"/>
      <c r="G7860" s="54"/>
      <c r="I7860" s="54"/>
      <c r="K7860" s="54"/>
      <c r="M7860" s="114"/>
      <c r="N7860" s="1"/>
      <c r="O7860" s="1"/>
      <c r="P7860" s="51"/>
    </row>
    <row r="7861">
      <c r="A7861" s="54"/>
      <c r="B7861" s="71"/>
      <c r="C7861" s="51"/>
      <c r="D7861" s="114"/>
      <c r="E7861" s="114"/>
      <c r="F7861" s="54"/>
      <c r="G7861" s="54"/>
      <c r="I7861" s="54"/>
      <c r="K7861" s="54"/>
      <c r="M7861" s="114"/>
      <c r="N7861" s="1"/>
      <c r="O7861" s="1"/>
      <c r="P7861" s="51"/>
    </row>
    <row r="7862">
      <c r="A7862" s="54"/>
      <c r="B7862" s="71"/>
      <c r="C7862" s="51"/>
      <c r="D7862" s="114"/>
      <c r="E7862" s="114"/>
      <c r="F7862" s="54"/>
      <c r="G7862" s="54"/>
      <c r="I7862" s="54"/>
      <c r="K7862" s="54"/>
      <c r="M7862" s="114"/>
      <c r="N7862" s="1"/>
      <c r="O7862" s="1"/>
      <c r="P7862" s="51"/>
    </row>
    <row r="7863">
      <c r="A7863" s="54"/>
      <c r="B7863" s="71"/>
      <c r="C7863" s="51"/>
      <c r="D7863" s="114"/>
      <c r="E7863" s="114"/>
      <c r="F7863" s="54"/>
      <c r="G7863" s="54"/>
      <c r="I7863" s="54"/>
      <c r="K7863" s="54"/>
      <c r="M7863" s="114"/>
      <c r="N7863" s="1"/>
      <c r="O7863" s="1"/>
      <c r="P7863" s="51"/>
    </row>
    <row r="7864">
      <c r="A7864" s="54"/>
      <c r="B7864" s="71"/>
      <c r="C7864" s="51"/>
      <c r="D7864" s="114"/>
      <c r="E7864" s="114"/>
      <c r="F7864" s="54"/>
      <c r="G7864" s="54"/>
      <c r="I7864" s="54"/>
      <c r="K7864" s="54"/>
      <c r="M7864" s="114"/>
      <c r="N7864" s="1"/>
      <c r="O7864" s="1"/>
      <c r="P7864" s="51"/>
    </row>
    <row r="7865">
      <c r="A7865" s="54"/>
      <c r="B7865" s="71"/>
      <c r="C7865" s="51"/>
      <c r="D7865" s="114"/>
      <c r="E7865" s="114"/>
      <c r="F7865" s="54"/>
      <c r="G7865" s="54"/>
      <c r="I7865" s="54"/>
      <c r="K7865" s="54"/>
      <c r="M7865" s="114"/>
      <c r="N7865" s="1"/>
      <c r="O7865" s="1"/>
      <c r="P7865" s="51"/>
    </row>
    <row r="7866">
      <c r="A7866" s="54"/>
      <c r="B7866" s="71"/>
      <c r="C7866" s="51"/>
      <c r="D7866" s="114"/>
      <c r="E7866" s="114"/>
      <c r="F7866" s="54"/>
      <c r="G7866" s="54"/>
      <c r="I7866" s="54"/>
      <c r="K7866" s="54"/>
      <c r="M7866" s="114"/>
      <c r="N7866" s="1"/>
      <c r="O7866" s="1"/>
      <c r="P7866" s="51"/>
    </row>
    <row r="7867">
      <c r="A7867" s="54"/>
      <c r="B7867" s="71"/>
      <c r="C7867" s="51"/>
      <c r="D7867" s="114"/>
      <c r="E7867" s="114"/>
      <c r="F7867" s="54"/>
      <c r="G7867" s="54"/>
      <c r="I7867" s="54"/>
      <c r="K7867" s="54"/>
      <c r="M7867" s="114"/>
      <c r="N7867" s="1"/>
      <c r="O7867" s="1"/>
      <c r="P7867" s="51"/>
    </row>
    <row r="7868">
      <c r="A7868" s="54"/>
      <c r="B7868" s="71"/>
      <c r="C7868" s="51"/>
      <c r="D7868" s="114"/>
      <c r="E7868" s="114"/>
      <c r="F7868" s="54"/>
      <c r="G7868" s="54"/>
      <c r="I7868" s="54"/>
      <c r="K7868" s="54"/>
      <c r="M7868" s="114"/>
      <c r="N7868" s="1"/>
      <c r="O7868" s="1"/>
      <c r="P7868" s="51"/>
    </row>
    <row r="7869">
      <c r="A7869" s="54"/>
      <c r="B7869" s="71"/>
      <c r="C7869" s="51"/>
      <c r="D7869" s="114"/>
      <c r="E7869" s="114"/>
      <c r="F7869" s="54"/>
      <c r="G7869" s="54"/>
      <c r="I7869" s="54"/>
      <c r="K7869" s="54"/>
      <c r="M7869" s="114"/>
      <c r="N7869" s="1"/>
      <c r="O7869" s="1"/>
      <c r="P7869" s="51"/>
    </row>
    <row r="7870">
      <c r="A7870" s="54"/>
      <c r="B7870" s="71"/>
      <c r="C7870" s="51"/>
      <c r="D7870" s="114"/>
      <c r="E7870" s="114"/>
      <c r="F7870" s="54"/>
      <c r="G7870" s="54"/>
      <c r="I7870" s="54"/>
      <c r="K7870" s="54"/>
      <c r="M7870" s="114"/>
      <c r="N7870" s="1"/>
      <c r="O7870" s="1"/>
      <c r="P7870" s="51"/>
    </row>
    <row r="7871">
      <c r="A7871" s="54"/>
      <c r="B7871" s="71"/>
      <c r="C7871" s="51"/>
      <c r="D7871" s="114"/>
      <c r="E7871" s="114"/>
      <c r="F7871" s="54"/>
      <c r="G7871" s="54"/>
      <c r="I7871" s="54"/>
      <c r="K7871" s="54"/>
      <c r="M7871" s="114"/>
      <c r="N7871" s="1"/>
      <c r="O7871" s="1"/>
      <c r="P7871" s="51"/>
    </row>
    <row r="7872">
      <c r="A7872" s="54"/>
      <c r="B7872" s="71"/>
      <c r="C7872" s="51"/>
      <c r="D7872" s="114"/>
      <c r="E7872" s="114"/>
      <c r="F7872" s="54"/>
      <c r="G7872" s="54"/>
      <c r="I7872" s="54"/>
      <c r="K7872" s="54"/>
      <c r="M7872" s="114"/>
      <c r="N7872" s="1"/>
      <c r="O7872" s="1"/>
      <c r="P7872" s="51"/>
    </row>
    <row r="7873">
      <c r="A7873" s="54"/>
      <c r="B7873" s="71"/>
      <c r="C7873" s="51"/>
      <c r="D7873" s="114"/>
      <c r="E7873" s="114"/>
      <c r="F7873" s="54"/>
      <c r="G7873" s="54"/>
      <c r="I7873" s="54"/>
      <c r="K7873" s="54"/>
      <c r="M7873" s="114"/>
      <c r="N7873" s="1"/>
      <c r="O7873" s="1"/>
      <c r="P7873" s="51"/>
    </row>
    <row r="7874">
      <c r="A7874" s="54"/>
      <c r="B7874" s="71"/>
      <c r="C7874" s="51"/>
      <c r="D7874" s="114"/>
      <c r="E7874" s="114"/>
      <c r="F7874" s="54"/>
      <c r="G7874" s="54"/>
      <c r="I7874" s="54"/>
      <c r="K7874" s="54"/>
      <c r="M7874" s="114"/>
      <c r="N7874" s="1"/>
      <c r="O7874" s="1"/>
      <c r="P7874" s="51"/>
    </row>
    <row r="7875">
      <c r="A7875" s="54"/>
      <c r="B7875" s="71"/>
      <c r="C7875" s="51"/>
      <c r="D7875" s="114"/>
      <c r="E7875" s="114"/>
      <c r="F7875" s="54"/>
      <c r="G7875" s="54"/>
      <c r="I7875" s="54"/>
      <c r="K7875" s="54"/>
      <c r="M7875" s="114"/>
      <c r="N7875" s="1"/>
      <c r="O7875" s="1"/>
      <c r="P7875" s="51"/>
    </row>
    <row r="7876">
      <c r="A7876" s="54"/>
      <c r="B7876" s="71"/>
      <c r="C7876" s="51"/>
      <c r="D7876" s="114"/>
      <c r="E7876" s="114"/>
      <c r="F7876" s="54"/>
      <c r="G7876" s="54"/>
      <c r="I7876" s="54"/>
      <c r="K7876" s="54"/>
      <c r="M7876" s="114"/>
      <c r="N7876" s="1"/>
      <c r="O7876" s="1"/>
      <c r="P7876" s="51"/>
    </row>
    <row r="7877">
      <c r="A7877" s="54"/>
      <c r="B7877" s="71"/>
      <c r="C7877" s="51"/>
      <c r="D7877" s="114"/>
      <c r="E7877" s="114"/>
      <c r="F7877" s="54"/>
      <c r="G7877" s="54"/>
      <c r="I7877" s="54"/>
      <c r="K7877" s="54"/>
      <c r="M7877" s="114"/>
      <c r="N7877" s="1"/>
      <c r="O7877" s="1"/>
      <c r="P7877" s="51"/>
    </row>
    <row r="7878">
      <c r="A7878" s="54"/>
      <c r="B7878" s="71"/>
      <c r="C7878" s="51"/>
      <c r="D7878" s="114"/>
      <c r="E7878" s="114"/>
      <c r="F7878" s="54"/>
      <c r="G7878" s="54"/>
      <c r="I7878" s="54"/>
      <c r="K7878" s="54"/>
      <c r="M7878" s="114"/>
      <c r="N7878" s="1"/>
      <c r="O7878" s="1"/>
      <c r="P7878" s="51"/>
    </row>
    <row r="7879">
      <c r="A7879" s="54"/>
      <c r="B7879" s="71"/>
      <c r="C7879" s="51"/>
      <c r="D7879" s="114"/>
      <c r="E7879" s="114"/>
      <c r="F7879" s="54"/>
      <c r="G7879" s="54"/>
      <c r="I7879" s="54"/>
      <c r="K7879" s="54"/>
      <c r="M7879" s="114"/>
      <c r="N7879" s="1"/>
      <c r="O7879" s="1"/>
      <c r="P7879" s="51"/>
    </row>
    <row r="7880">
      <c r="A7880" s="54"/>
      <c r="B7880" s="71"/>
      <c r="C7880" s="51"/>
      <c r="D7880" s="114"/>
      <c r="E7880" s="114"/>
      <c r="F7880" s="54"/>
      <c r="G7880" s="54"/>
      <c r="I7880" s="54"/>
      <c r="K7880" s="54"/>
      <c r="M7880" s="114"/>
      <c r="N7880" s="1"/>
      <c r="O7880" s="1"/>
      <c r="P7880" s="51"/>
    </row>
    <row r="7881">
      <c r="A7881" s="54"/>
      <c r="B7881" s="71"/>
      <c r="C7881" s="51"/>
      <c r="D7881" s="114"/>
      <c r="E7881" s="114"/>
      <c r="F7881" s="54"/>
      <c r="G7881" s="54"/>
      <c r="I7881" s="54"/>
      <c r="K7881" s="54"/>
      <c r="M7881" s="114"/>
      <c r="N7881" s="1"/>
      <c r="O7881" s="1"/>
      <c r="P7881" s="51"/>
    </row>
    <row r="7882">
      <c r="A7882" s="54"/>
      <c r="B7882" s="71"/>
      <c r="C7882" s="51"/>
      <c r="D7882" s="114"/>
      <c r="E7882" s="114"/>
      <c r="F7882" s="54"/>
      <c r="G7882" s="54"/>
      <c r="I7882" s="54"/>
      <c r="K7882" s="54"/>
      <c r="M7882" s="114"/>
      <c r="N7882" s="1"/>
      <c r="O7882" s="1"/>
      <c r="P7882" s="51"/>
    </row>
    <row r="7883">
      <c r="A7883" s="54"/>
      <c r="B7883" s="71"/>
      <c r="C7883" s="51"/>
      <c r="D7883" s="114"/>
      <c r="E7883" s="114"/>
      <c r="F7883" s="54"/>
      <c r="G7883" s="54"/>
      <c r="I7883" s="54"/>
      <c r="K7883" s="54"/>
      <c r="M7883" s="114"/>
      <c r="N7883" s="1"/>
      <c r="O7883" s="1"/>
      <c r="P7883" s="51"/>
    </row>
    <row r="7884">
      <c r="A7884" s="54"/>
      <c r="B7884" s="71"/>
      <c r="C7884" s="51"/>
      <c r="D7884" s="114"/>
      <c r="E7884" s="114"/>
      <c r="F7884" s="54"/>
      <c r="G7884" s="54"/>
      <c r="I7884" s="54"/>
      <c r="K7884" s="54"/>
      <c r="M7884" s="114"/>
      <c r="N7884" s="1"/>
      <c r="O7884" s="1"/>
      <c r="P7884" s="51"/>
    </row>
    <row r="7885">
      <c r="A7885" s="54"/>
      <c r="B7885" s="71"/>
      <c r="C7885" s="51"/>
      <c r="D7885" s="114"/>
      <c r="E7885" s="114"/>
      <c r="F7885" s="54"/>
      <c r="G7885" s="54"/>
      <c r="I7885" s="54"/>
      <c r="K7885" s="54"/>
      <c r="M7885" s="114"/>
      <c r="N7885" s="1"/>
      <c r="O7885" s="1"/>
      <c r="P7885" s="51"/>
    </row>
    <row r="7886">
      <c r="A7886" s="54"/>
      <c r="B7886" s="71"/>
      <c r="C7886" s="51"/>
      <c r="D7886" s="114"/>
      <c r="E7886" s="114"/>
      <c r="F7886" s="54"/>
      <c r="G7886" s="54"/>
      <c r="I7886" s="54"/>
      <c r="K7886" s="54"/>
      <c r="M7886" s="114"/>
      <c r="N7886" s="1"/>
      <c r="O7886" s="1"/>
      <c r="P7886" s="51"/>
    </row>
    <row r="7887">
      <c r="A7887" s="54"/>
      <c r="B7887" s="71"/>
      <c r="C7887" s="51"/>
      <c r="D7887" s="114"/>
      <c r="E7887" s="114"/>
      <c r="F7887" s="54"/>
      <c r="G7887" s="54"/>
      <c r="I7887" s="54"/>
      <c r="K7887" s="54"/>
      <c r="M7887" s="114"/>
      <c r="N7887" s="1"/>
      <c r="O7887" s="1"/>
      <c r="P7887" s="51"/>
    </row>
    <row r="7888">
      <c r="A7888" s="54"/>
      <c r="B7888" s="71"/>
      <c r="C7888" s="51"/>
      <c r="D7888" s="114"/>
      <c r="E7888" s="114"/>
      <c r="F7888" s="54"/>
      <c r="G7888" s="54"/>
      <c r="I7888" s="54"/>
      <c r="K7888" s="54"/>
      <c r="M7888" s="114"/>
      <c r="N7888" s="1"/>
      <c r="O7888" s="1"/>
      <c r="P7888" s="51"/>
    </row>
    <row r="7889">
      <c r="A7889" s="54"/>
      <c r="B7889" s="71"/>
      <c r="C7889" s="51"/>
      <c r="D7889" s="114"/>
      <c r="E7889" s="114"/>
      <c r="F7889" s="54"/>
      <c r="G7889" s="54"/>
      <c r="I7889" s="54"/>
      <c r="K7889" s="54"/>
      <c r="M7889" s="114"/>
      <c r="N7889" s="1"/>
      <c r="O7889" s="1"/>
      <c r="P7889" s="51"/>
    </row>
    <row r="7890">
      <c r="A7890" s="54"/>
      <c r="B7890" s="71"/>
      <c r="C7890" s="51"/>
      <c r="D7890" s="114"/>
      <c r="E7890" s="114"/>
      <c r="F7890" s="54"/>
      <c r="G7890" s="54"/>
      <c r="I7890" s="54"/>
      <c r="K7890" s="54"/>
      <c r="M7890" s="114"/>
      <c r="N7890" s="1"/>
      <c r="O7890" s="1"/>
      <c r="P7890" s="51"/>
    </row>
    <row r="7891">
      <c r="A7891" s="54"/>
      <c r="B7891" s="71"/>
      <c r="C7891" s="51"/>
      <c r="D7891" s="114"/>
      <c r="E7891" s="114"/>
      <c r="F7891" s="54"/>
      <c r="G7891" s="54"/>
      <c r="I7891" s="54"/>
      <c r="K7891" s="54"/>
      <c r="M7891" s="114"/>
      <c r="N7891" s="1"/>
      <c r="O7891" s="1"/>
      <c r="P7891" s="51"/>
    </row>
    <row r="7892">
      <c r="A7892" s="54"/>
      <c r="B7892" s="71"/>
      <c r="C7892" s="51"/>
      <c r="D7892" s="114"/>
      <c r="E7892" s="114"/>
      <c r="F7892" s="54"/>
      <c r="G7892" s="54"/>
      <c r="I7892" s="54"/>
      <c r="K7892" s="54"/>
      <c r="M7892" s="114"/>
      <c r="N7892" s="1"/>
      <c r="O7892" s="1"/>
      <c r="P7892" s="51"/>
    </row>
    <row r="7893">
      <c r="A7893" s="54"/>
      <c r="B7893" s="71"/>
      <c r="C7893" s="51"/>
      <c r="D7893" s="114"/>
      <c r="E7893" s="114"/>
      <c r="F7893" s="54"/>
      <c r="G7893" s="54"/>
      <c r="I7893" s="54"/>
      <c r="K7893" s="54"/>
      <c r="M7893" s="114"/>
      <c r="N7893" s="1"/>
      <c r="O7893" s="1"/>
      <c r="P7893" s="51"/>
    </row>
    <row r="7894">
      <c r="A7894" s="54"/>
      <c r="B7894" s="71"/>
      <c r="C7894" s="51"/>
      <c r="D7894" s="114"/>
      <c r="E7894" s="114"/>
      <c r="F7894" s="54"/>
      <c r="G7894" s="54"/>
      <c r="I7894" s="54"/>
      <c r="K7894" s="54"/>
      <c r="M7894" s="114"/>
      <c r="N7894" s="1"/>
      <c r="O7894" s="1"/>
      <c r="P7894" s="51"/>
    </row>
    <row r="7895">
      <c r="A7895" s="54"/>
      <c r="B7895" s="71"/>
      <c r="C7895" s="51"/>
      <c r="D7895" s="114"/>
      <c r="E7895" s="114"/>
      <c r="F7895" s="54"/>
      <c r="G7895" s="54"/>
      <c r="I7895" s="54"/>
      <c r="K7895" s="54"/>
      <c r="M7895" s="114"/>
      <c r="N7895" s="1"/>
      <c r="O7895" s="1"/>
      <c r="P7895" s="51"/>
    </row>
    <row r="7896">
      <c r="A7896" s="54"/>
      <c r="B7896" s="71"/>
      <c r="C7896" s="51"/>
      <c r="D7896" s="114"/>
      <c r="E7896" s="114"/>
      <c r="F7896" s="54"/>
      <c r="G7896" s="54"/>
      <c r="I7896" s="54"/>
      <c r="K7896" s="54"/>
      <c r="M7896" s="114"/>
      <c r="N7896" s="1"/>
      <c r="O7896" s="1"/>
      <c r="P7896" s="51"/>
    </row>
    <row r="7897">
      <c r="A7897" s="54"/>
      <c r="B7897" s="71"/>
      <c r="C7897" s="51"/>
      <c r="D7897" s="114"/>
      <c r="E7897" s="114"/>
      <c r="F7897" s="54"/>
      <c r="G7897" s="54"/>
      <c r="I7897" s="54"/>
      <c r="K7897" s="54"/>
      <c r="M7897" s="114"/>
      <c r="N7897" s="1"/>
      <c r="O7897" s="1"/>
      <c r="P7897" s="51"/>
    </row>
    <row r="7898">
      <c r="A7898" s="54"/>
      <c r="B7898" s="71"/>
      <c r="C7898" s="51"/>
      <c r="D7898" s="114"/>
      <c r="E7898" s="114"/>
      <c r="F7898" s="54"/>
      <c r="G7898" s="54"/>
      <c r="I7898" s="54"/>
      <c r="K7898" s="54"/>
      <c r="M7898" s="114"/>
      <c r="N7898" s="1"/>
      <c r="O7898" s="1"/>
      <c r="P7898" s="51"/>
    </row>
    <row r="7899">
      <c r="A7899" s="54"/>
      <c r="B7899" s="71"/>
      <c r="C7899" s="51"/>
      <c r="D7899" s="114"/>
      <c r="E7899" s="114"/>
      <c r="F7899" s="54"/>
      <c r="G7899" s="54"/>
      <c r="I7899" s="54"/>
      <c r="K7899" s="54"/>
      <c r="M7899" s="114"/>
      <c r="N7899" s="1"/>
      <c r="O7899" s="1"/>
      <c r="P7899" s="51"/>
    </row>
    <row r="7900">
      <c r="A7900" s="54"/>
      <c r="B7900" s="71"/>
      <c r="C7900" s="51"/>
      <c r="D7900" s="114"/>
      <c r="E7900" s="114"/>
      <c r="F7900" s="54"/>
      <c r="G7900" s="54"/>
      <c r="I7900" s="54"/>
      <c r="K7900" s="54"/>
      <c r="M7900" s="114"/>
      <c r="N7900" s="1"/>
      <c r="O7900" s="1"/>
      <c r="P7900" s="51"/>
    </row>
    <row r="7901">
      <c r="A7901" s="54"/>
      <c r="B7901" s="71"/>
      <c r="C7901" s="51"/>
      <c r="D7901" s="114"/>
      <c r="E7901" s="114"/>
      <c r="F7901" s="54"/>
      <c r="G7901" s="54"/>
      <c r="I7901" s="54"/>
      <c r="K7901" s="54"/>
      <c r="M7901" s="114"/>
      <c r="N7901" s="1"/>
      <c r="O7901" s="1"/>
      <c r="P7901" s="51"/>
    </row>
    <row r="7902">
      <c r="A7902" s="54"/>
      <c r="B7902" s="71"/>
      <c r="C7902" s="51"/>
      <c r="D7902" s="114"/>
      <c r="E7902" s="114"/>
      <c r="F7902" s="54"/>
      <c r="G7902" s="54"/>
      <c r="I7902" s="54"/>
      <c r="K7902" s="54"/>
      <c r="M7902" s="114"/>
      <c r="N7902" s="1"/>
      <c r="O7902" s="1"/>
      <c r="P7902" s="51"/>
    </row>
    <row r="7903">
      <c r="A7903" s="54"/>
      <c r="B7903" s="71"/>
      <c r="C7903" s="51"/>
      <c r="D7903" s="114"/>
      <c r="E7903" s="114"/>
      <c r="F7903" s="54"/>
      <c r="G7903" s="54"/>
      <c r="I7903" s="54"/>
      <c r="K7903" s="54"/>
      <c r="M7903" s="114"/>
      <c r="N7903" s="1"/>
      <c r="O7903" s="1"/>
      <c r="P7903" s="51"/>
    </row>
    <row r="7904">
      <c r="A7904" s="54"/>
      <c r="B7904" s="71"/>
      <c r="C7904" s="51"/>
      <c r="D7904" s="114"/>
      <c r="E7904" s="114"/>
      <c r="F7904" s="54"/>
      <c r="G7904" s="54"/>
      <c r="I7904" s="54"/>
      <c r="K7904" s="54"/>
      <c r="M7904" s="114"/>
      <c r="N7904" s="1"/>
      <c r="O7904" s="1"/>
      <c r="P7904" s="51"/>
    </row>
    <row r="7905">
      <c r="A7905" s="54"/>
      <c r="B7905" s="71"/>
      <c r="C7905" s="51"/>
      <c r="D7905" s="114"/>
      <c r="E7905" s="114"/>
      <c r="F7905" s="54"/>
      <c r="G7905" s="54"/>
      <c r="I7905" s="54"/>
      <c r="K7905" s="54"/>
      <c r="M7905" s="114"/>
      <c r="N7905" s="1"/>
      <c r="O7905" s="1"/>
      <c r="P7905" s="51"/>
    </row>
    <row r="7906">
      <c r="A7906" s="54"/>
      <c r="B7906" s="71"/>
      <c r="C7906" s="51"/>
      <c r="D7906" s="114"/>
      <c r="E7906" s="114"/>
      <c r="F7906" s="54"/>
      <c r="G7906" s="54"/>
      <c r="I7906" s="54"/>
      <c r="K7906" s="54"/>
      <c r="M7906" s="114"/>
      <c r="N7906" s="1"/>
      <c r="O7906" s="1"/>
      <c r="P7906" s="51"/>
    </row>
    <row r="7907">
      <c r="A7907" s="54"/>
      <c r="B7907" s="71"/>
      <c r="C7907" s="51"/>
      <c r="D7907" s="114"/>
      <c r="E7907" s="114"/>
      <c r="F7907" s="54"/>
      <c r="G7907" s="54"/>
      <c r="I7907" s="54"/>
      <c r="K7907" s="54"/>
      <c r="M7907" s="114"/>
      <c r="N7907" s="1"/>
      <c r="O7907" s="1"/>
      <c r="P7907" s="51"/>
    </row>
    <row r="7908">
      <c r="A7908" s="54"/>
      <c r="B7908" s="71"/>
      <c r="C7908" s="51"/>
      <c r="D7908" s="114"/>
      <c r="E7908" s="114"/>
      <c r="F7908" s="54"/>
      <c r="G7908" s="54"/>
      <c r="I7908" s="54"/>
      <c r="K7908" s="54"/>
      <c r="M7908" s="114"/>
      <c r="N7908" s="1"/>
      <c r="O7908" s="1"/>
      <c r="P7908" s="51"/>
    </row>
    <row r="7909">
      <c r="A7909" s="54"/>
      <c r="B7909" s="71"/>
      <c r="C7909" s="51"/>
      <c r="D7909" s="114"/>
      <c r="E7909" s="114"/>
      <c r="F7909" s="54"/>
      <c r="G7909" s="54"/>
      <c r="I7909" s="54"/>
      <c r="K7909" s="54"/>
      <c r="M7909" s="114"/>
      <c r="N7909" s="1"/>
      <c r="O7909" s="1"/>
      <c r="P7909" s="51"/>
    </row>
    <row r="7910">
      <c r="A7910" s="54"/>
      <c r="B7910" s="71"/>
      <c r="C7910" s="51"/>
      <c r="D7910" s="114"/>
      <c r="E7910" s="114"/>
      <c r="F7910" s="54"/>
      <c r="G7910" s="54"/>
      <c r="I7910" s="54"/>
      <c r="K7910" s="54"/>
      <c r="M7910" s="114"/>
      <c r="N7910" s="1"/>
      <c r="O7910" s="1"/>
      <c r="P7910" s="51"/>
    </row>
    <row r="7911">
      <c r="A7911" s="54"/>
      <c r="B7911" s="71"/>
      <c r="C7911" s="51"/>
      <c r="D7911" s="114"/>
      <c r="E7911" s="114"/>
      <c r="F7911" s="54"/>
      <c r="G7911" s="54"/>
      <c r="I7911" s="54"/>
      <c r="K7911" s="54"/>
      <c r="M7911" s="114"/>
      <c r="N7911" s="1"/>
      <c r="O7911" s="1"/>
      <c r="P7911" s="51"/>
    </row>
    <row r="7912">
      <c r="A7912" s="54"/>
      <c r="B7912" s="71"/>
      <c r="C7912" s="51"/>
      <c r="D7912" s="114"/>
      <c r="E7912" s="114"/>
      <c r="F7912" s="54"/>
      <c r="G7912" s="54"/>
      <c r="I7912" s="54"/>
      <c r="K7912" s="54"/>
      <c r="M7912" s="114"/>
      <c r="N7912" s="1"/>
      <c r="O7912" s="1"/>
      <c r="P7912" s="51"/>
    </row>
    <row r="7913">
      <c r="A7913" s="54"/>
      <c r="B7913" s="71"/>
      <c r="C7913" s="51"/>
      <c r="D7913" s="114"/>
      <c r="E7913" s="114"/>
      <c r="F7913" s="54"/>
      <c r="G7913" s="54"/>
      <c r="I7913" s="54"/>
      <c r="K7913" s="54"/>
      <c r="M7913" s="114"/>
      <c r="N7913" s="1"/>
      <c r="O7913" s="1"/>
      <c r="P7913" s="51"/>
    </row>
    <row r="7914">
      <c r="A7914" s="54"/>
      <c r="B7914" s="71"/>
      <c r="C7914" s="51"/>
      <c r="D7914" s="114"/>
      <c r="E7914" s="114"/>
      <c r="F7914" s="54"/>
      <c r="G7914" s="54"/>
      <c r="I7914" s="54"/>
      <c r="K7914" s="54"/>
      <c r="M7914" s="114"/>
      <c r="N7914" s="1"/>
      <c r="O7914" s="1"/>
      <c r="P7914" s="51"/>
    </row>
    <row r="7915">
      <c r="A7915" s="54"/>
      <c r="B7915" s="71"/>
      <c r="C7915" s="51"/>
      <c r="D7915" s="114"/>
      <c r="E7915" s="114"/>
      <c r="F7915" s="54"/>
      <c r="G7915" s="54"/>
      <c r="I7915" s="54"/>
      <c r="K7915" s="54"/>
      <c r="M7915" s="114"/>
      <c r="N7915" s="1"/>
      <c r="O7915" s="1"/>
      <c r="P7915" s="51"/>
    </row>
    <row r="7916">
      <c r="A7916" s="54"/>
      <c r="B7916" s="71"/>
      <c r="C7916" s="51"/>
      <c r="D7916" s="114"/>
      <c r="E7916" s="114"/>
      <c r="F7916" s="54"/>
      <c r="G7916" s="54"/>
      <c r="I7916" s="54"/>
      <c r="K7916" s="54"/>
      <c r="M7916" s="114"/>
      <c r="N7916" s="1"/>
      <c r="O7916" s="1"/>
      <c r="P7916" s="51"/>
    </row>
    <row r="7917">
      <c r="A7917" s="54"/>
      <c r="B7917" s="71"/>
      <c r="C7917" s="51"/>
      <c r="D7917" s="114"/>
      <c r="E7917" s="114"/>
      <c r="F7917" s="54"/>
      <c r="G7917" s="54"/>
      <c r="I7917" s="54"/>
      <c r="K7917" s="54"/>
      <c r="M7917" s="114"/>
      <c r="N7917" s="1"/>
      <c r="O7917" s="1"/>
      <c r="P7917" s="51"/>
    </row>
    <row r="7918">
      <c r="A7918" s="54"/>
      <c r="B7918" s="71"/>
      <c r="C7918" s="51"/>
      <c r="D7918" s="114"/>
      <c r="E7918" s="114"/>
      <c r="F7918" s="54"/>
      <c r="G7918" s="54"/>
      <c r="I7918" s="54"/>
      <c r="K7918" s="54"/>
      <c r="M7918" s="114"/>
      <c r="N7918" s="1"/>
      <c r="O7918" s="1"/>
      <c r="P7918" s="51"/>
    </row>
    <row r="7919">
      <c r="A7919" s="54"/>
      <c r="B7919" s="71"/>
      <c r="C7919" s="51"/>
      <c r="D7919" s="114"/>
      <c r="E7919" s="114"/>
      <c r="F7919" s="54"/>
      <c r="G7919" s="54"/>
      <c r="I7919" s="54"/>
      <c r="K7919" s="54"/>
      <c r="M7919" s="114"/>
      <c r="N7919" s="1"/>
      <c r="O7919" s="1"/>
      <c r="P7919" s="51"/>
    </row>
    <row r="7920">
      <c r="A7920" s="54"/>
      <c r="B7920" s="71"/>
      <c r="C7920" s="51"/>
      <c r="D7920" s="114"/>
      <c r="E7920" s="114"/>
      <c r="F7920" s="54"/>
      <c r="G7920" s="54"/>
      <c r="I7920" s="54"/>
      <c r="K7920" s="54"/>
      <c r="M7920" s="114"/>
      <c r="N7920" s="1"/>
      <c r="O7920" s="1"/>
      <c r="P7920" s="51"/>
    </row>
    <row r="7921">
      <c r="A7921" s="54"/>
      <c r="B7921" s="71"/>
      <c r="C7921" s="51"/>
      <c r="D7921" s="114"/>
      <c r="E7921" s="114"/>
      <c r="F7921" s="54"/>
      <c r="G7921" s="54"/>
      <c r="I7921" s="54"/>
      <c r="K7921" s="54"/>
      <c r="M7921" s="114"/>
      <c r="N7921" s="1"/>
      <c r="O7921" s="1"/>
      <c r="P7921" s="51"/>
    </row>
    <row r="7922">
      <c r="A7922" s="54"/>
      <c r="B7922" s="71"/>
      <c r="C7922" s="51"/>
      <c r="D7922" s="114"/>
      <c r="E7922" s="114"/>
      <c r="F7922" s="54"/>
      <c r="G7922" s="54"/>
      <c r="I7922" s="54"/>
      <c r="K7922" s="54"/>
      <c r="M7922" s="114"/>
      <c r="N7922" s="1"/>
      <c r="O7922" s="1"/>
      <c r="P7922" s="51"/>
    </row>
    <row r="7923">
      <c r="A7923" s="54"/>
      <c r="B7923" s="71"/>
      <c r="C7923" s="51"/>
      <c r="D7923" s="114"/>
      <c r="E7923" s="114"/>
      <c r="F7923" s="54"/>
      <c r="G7923" s="54"/>
      <c r="I7923" s="54"/>
      <c r="K7923" s="54"/>
      <c r="M7923" s="114"/>
      <c r="N7923" s="1"/>
      <c r="O7923" s="1"/>
      <c r="P7923" s="51"/>
    </row>
    <row r="7924">
      <c r="A7924" s="54"/>
      <c r="B7924" s="71"/>
      <c r="C7924" s="51"/>
      <c r="D7924" s="114"/>
      <c r="E7924" s="114"/>
      <c r="F7924" s="54"/>
      <c r="G7924" s="54"/>
      <c r="I7924" s="54"/>
      <c r="K7924" s="54"/>
      <c r="M7924" s="114"/>
      <c r="N7924" s="1"/>
      <c r="O7924" s="1"/>
      <c r="P7924" s="51"/>
    </row>
    <row r="7925">
      <c r="A7925" s="54"/>
      <c r="B7925" s="71"/>
      <c r="C7925" s="51"/>
      <c r="D7925" s="114"/>
      <c r="E7925" s="114"/>
      <c r="F7925" s="54"/>
      <c r="G7925" s="54"/>
      <c r="I7925" s="54"/>
      <c r="K7925" s="54"/>
      <c r="M7925" s="114"/>
      <c r="N7925" s="1"/>
      <c r="O7925" s="1"/>
      <c r="P7925" s="51"/>
    </row>
    <row r="7926">
      <c r="A7926" s="54"/>
      <c r="B7926" s="71"/>
      <c r="C7926" s="51"/>
      <c r="D7926" s="114"/>
      <c r="E7926" s="114"/>
      <c r="F7926" s="54"/>
      <c r="G7926" s="54"/>
      <c r="I7926" s="54"/>
      <c r="K7926" s="54"/>
      <c r="M7926" s="114"/>
      <c r="N7926" s="1"/>
      <c r="O7926" s="1"/>
      <c r="P7926" s="51"/>
    </row>
    <row r="7927">
      <c r="A7927" s="54"/>
      <c r="B7927" s="71"/>
      <c r="C7927" s="51"/>
      <c r="D7927" s="114"/>
      <c r="E7927" s="114"/>
      <c r="F7927" s="54"/>
      <c r="G7927" s="54"/>
      <c r="I7927" s="54"/>
      <c r="K7927" s="54"/>
      <c r="M7927" s="114"/>
      <c r="N7927" s="1"/>
      <c r="O7927" s="1"/>
      <c r="P7927" s="51"/>
    </row>
    <row r="7928">
      <c r="A7928" s="54"/>
      <c r="B7928" s="71"/>
      <c r="C7928" s="51"/>
      <c r="D7928" s="114"/>
      <c r="E7928" s="114"/>
      <c r="F7928" s="54"/>
      <c r="G7928" s="54"/>
      <c r="I7928" s="54"/>
      <c r="K7928" s="54"/>
      <c r="M7928" s="114"/>
      <c r="N7928" s="1"/>
      <c r="O7928" s="1"/>
      <c r="P7928" s="51"/>
    </row>
    <row r="7929">
      <c r="A7929" s="54"/>
      <c r="B7929" s="71"/>
      <c r="C7929" s="51"/>
      <c r="D7929" s="114"/>
      <c r="E7929" s="114"/>
      <c r="F7929" s="54"/>
      <c r="G7929" s="54"/>
      <c r="I7929" s="54"/>
      <c r="K7929" s="54"/>
      <c r="M7929" s="114"/>
      <c r="N7929" s="1"/>
      <c r="O7929" s="1"/>
      <c r="P7929" s="51"/>
    </row>
    <row r="7930">
      <c r="A7930" s="54"/>
      <c r="B7930" s="71"/>
      <c r="C7930" s="51"/>
      <c r="D7930" s="114"/>
      <c r="E7930" s="114"/>
      <c r="F7930" s="54"/>
      <c r="G7930" s="54"/>
      <c r="I7930" s="54"/>
      <c r="K7930" s="54"/>
      <c r="M7930" s="114"/>
      <c r="N7930" s="1"/>
      <c r="O7930" s="1"/>
      <c r="P7930" s="51"/>
    </row>
    <row r="7931">
      <c r="A7931" s="54"/>
      <c r="B7931" s="71"/>
      <c r="C7931" s="51"/>
      <c r="D7931" s="114"/>
      <c r="E7931" s="114"/>
      <c r="F7931" s="54"/>
      <c r="G7931" s="54"/>
      <c r="I7931" s="54"/>
      <c r="K7931" s="54"/>
      <c r="M7931" s="114"/>
      <c r="N7931" s="1"/>
      <c r="O7931" s="1"/>
      <c r="P7931" s="51"/>
    </row>
    <row r="7932">
      <c r="A7932" s="54"/>
      <c r="B7932" s="71"/>
      <c r="C7932" s="51"/>
      <c r="D7932" s="114"/>
      <c r="E7932" s="114"/>
      <c r="F7932" s="54"/>
      <c r="G7932" s="54"/>
      <c r="I7932" s="54"/>
      <c r="K7932" s="54"/>
      <c r="M7932" s="114"/>
      <c r="N7932" s="1"/>
      <c r="O7932" s="1"/>
      <c r="P7932" s="51"/>
    </row>
    <row r="7933">
      <c r="A7933" s="54"/>
      <c r="B7933" s="71"/>
      <c r="C7933" s="51"/>
      <c r="D7933" s="114"/>
      <c r="E7933" s="114"/>
      <c r="F7933" s="54"/>
      <c r="G7933" s="54"/>
      <c r="I7933" s="54"/>
      <c r="K7933" s="54"/>
      <c r="M7933" s="114"/>
      <c r="N7933" s="1"/>
      <c r="O7933" s="1"/>
      <c r="P7933" s="51"/>
    </row>
    <row r="7934">
      <c r="A7934" s="54"/>
      <c r="B7934" s="71"/>
      <c r="C7934" s="51"/>
      <c r="D7934" s="114"/>
      <c r="E7934" s="114"/>
      <c r="F7934" s="54"/>
      <c r="G7934" s="54"/>
      <c r="I7934" s="54"/>
      <c r="K7934" s="54"/>
      <c r="M7934" s="114"/>
      <c r="N7934" s="1"/>
      <c r="O7934" s="1"/>
      <c r="P7934" s="51"/>
    </row>
    <row r="7935">
      <c r="A7935" s="54"/>
      <c r="B7935" s="71"/>
      <c r="C7935" s="51"/>
      <c r="D7935" s="114"/>
      <c r="E7935" s="114"/>
      <c r="F7935" s="54"/>
      <c r="G7935" s="54"/>
      <c r="I7935" s="54"/>
      <c r="K7935" s="54"/>
      <c r="M7935" s="114"/>
      <c r="N7935" s="1"/>
      <c r="O7935" s="1"/>
      <c r="P7935" s="51"/>
    </row>
    <row r="7936">
      <c r="A7936" s="54"/>
      <c r="B7936" s="71"/>
      <c r="C7936" s="51"/>
      <c r="D7936" s="114"/>
      <c r="E7936" s="114"/>
      <c r="F7936" s="54"/>
      <c r="G7936" s="54"/>
      <c r="I7936" s="54"/>
      <c r="K7936" s="54"/>
      <c r="M7936" s="114"/>
      <c r="N7936" s="1"/>
      <c r="O7936" s="1"/>
      <c r="P7936" s="51"/>
    </row>
    <row r="7937">
      <c r="A7937" s="54"/>
      <c r="B7937" s="71"/>
      <c r="C7937" s="51"/>
      <c r="D7937" s="114"/>
      <c r="E7937" s="114"/>
      <c r="F7937" s="54"/>
      <c r="G7937" s="54"/>
      <c r="I7937" s="54"/>
      <c r="K7937" s="54"/>
      <c r="M7937" s="114"/>
      <c r="N7937" s="1"/>
      <c r="O7937" s="1"/>
      <c r="P7937" s="51"/>
    </row>
    <row r="7938">
      <c r="A7938" s="54"/>
      <c r="B7938" s="71"/>
      <c r="C7938" s="51"/>
      <c r="D7938" s="114"/>
      <c r="E7938" s="114"/>
      <c r="F7938" s="54"/>
      <c r="G7938" s="54"/>
      <c r="I7938" s="54"/>
      <c r="K7938" s="54"/>
      <c r="M7938" s="114"/>
      <c r="N7938" s="1"/>
      <c r="O7938" s="1"/>
      <c r="P7938" s="51"/>
    </row>
    <row r="7939">
      <c r="A7939" s="54"/>
      <c r="B7939" s="71"/>
      <c r="C7939" s="51"/>
      <c r="D7939" s="114"/>
      <c r="E7939" s="114"/>
      <c r="F7939" s="54"/>
      <c r="G7939" s="54"/>
      <c r="I7939" s="54"/>
      <c r="K7939" s="54"/>
      <c r="M7939" s="114"/>
      <c r="N7939" s="1"/>
      <c r="O7939" s="1"/>
      <c r="P7939" s="51"/>
    </row>
    <row r="7940">
      <c r="A7940" s="54"/>
      <c r="B7940" s="71"/>
      <c r="C7940" s="51"/>
      <c r="D7940" s="114"/>
      <c r="E7940" s="114"/>
      <c r="F7940" s="54"/>
      <c r="G7940" s="54"/>
      <c r="I7940" s="54"/>
      <c r="K7940" s="54"/>
      <c r="M7940" s="114"/>
      <c r="N7940" s="1"/>
      <c r="O7940" s="1"/>
      <c r="P7940" s="51"/>
    </row>
    <row r="7941">
      <c r="A7941" s="54"/>
      <c r="B7941" s="71"/>
      <c r="C7941" s="51"/>
      <c r="D7941" s="114"/>
      <c r="E7941" s="114"/>
      <c r="F7941" s="54"/>
      <c r="G7941" s="54"/>
      <c r="I7941" s="54"/>
      <c r="K7941" s="54"/>
      <c r="M7941" s="114"/>
      <c r="N7941" s="1"/>
      <c r="O7941" s="1"/>
      <c r="P7941" s="51"/>
    </row>
    <row r="7942">
      <c r="A7942" s="54"/>
      <c r="B7942" s="71"/>
      <c r="C7942" s="51"/>
      <c r="D7942" s="114"/>
      <c r="E7942" s="114"/>
      <c r="F7942" s="54"/>
      <c r="G7942" s="54"/>
      <c r="I7942" s="54"/>
      <c r="K7942" s="54"/>
      <c r="M7942" s="114"/>
      <c r="N7942" s="1"/>
      <c r="O7942" s="1"/>
      <c r="P7942" s="51"/>
    </row>
    <row r="7943">
      <c r="A7943" s="54"/>
      <c r="B7943" s="71"/>
      <c r="C7943" s="51"/>
      <c r="D7943" s="114"/>
      <c r="E7943" s="114"/>
      <c r="F7943" s="54"/>
      <c r="G7943" s="54"/>
      <c r="I7943" s="54"/>
      <c r="K7943" s="54"/>
      <c r="M7943" s="114"/>
      <c r="N7943" s="1"/>
      <c r="O7943" s="1"/>
      <c r="P7943" s="51"/>
    </row>
    <row r="7944">
      <c r="A7944" s="54"/>
      <c r="B7944" s="71"/>
      <c r="C7944" s="51"/>
      <c r="D7944" s="114"/>
      <c r="E7944" s="114"/>
      <c r="F7944" s="54"/>
      <c r="G7944" s="54"/>
      <c r="I7944" s="54"/>
      <c r="K7944" s="54"/>
      <c r="M7944" s="114"/>
      <c r="N7944" s="1"/>
      <c r="O7944" s="1"/>
      <c r="P7944" s="51"/>
    </row>
    <row r="7945">
      <c r="A7945" s="54"/>
      <c r="B7945" s="71"/>
      <c r="C7945" s="51"/>
      <c r="D7945" s="114"/>
      <c r="E7945" s="114"/>
      <c r="F7945" s="54"/>
      <c r="G7945" s="54"/>
      <c r="I7945" s="54"/>
      <c r="K7945" s="54"/>
      <c r="M7945" s="114"/>
      <c r="N7945" s="1"/>
      <c r="O7945" s="1"/>
      <c r="P7945" s="51"/>
    </row>
    <row r="7946">
      <c r="A7946" s="54"/>
      <c r="B7946" s="71"/>
      <c r="C7946" s="51"/>
      <c r="D7946" s="114"/>
      <c r="E7946" s="114"/>
      <c r="F7946" s="54"/>
      <c r="G7946" s="54"/>
      <c r="I7946" s="54"/>
      <c r="K7946" s="54"/>
      <c r="M7946" s="114"/>
      <c r="N7946" s="1"/>
      <c r="O7946" s="1"/>
      <c r="P7946" s="51"/>
    </row>
    <row r="7947">
      <c r="A7947" s="54"/>
      <c r="B7947" s="71"/>
      <c r="C7947" s="51"/>
      <c r="D7947" s="114"/>
      <c r="E7947" s="114"/>
      <c r="F7947" s="54"/>
      <c r="G7947" s="54"/>
      <c r="I7947" s="54"/>
      <c r="K7947" s="54"/>
      <c r="M7947" s="114"/>
      <c r="N7947" s="1"/>
      <c r="O7947" s="1"/>
      <c r="P7947" s="51"/>
    </row>
    <row r="7948">
      <c r="A7948" s="54"/>
      <c r="B7948" s="71"/>
      <c r="C7948" s="51"/>
      <c r="D7948" s="114"/>
      <c r="E7948" s="114"/>
      <c r="F7948" s="54"/>
      <c r="G7948" s="54"/>
      <c r="I7948" s="54"/>
      <c r="K7948" s="54"/>
      <c r="M7948" s="114"/>
      <c r="N7948" s="1"/>
      <c r="O7948" s="1"/>
      <c r="P7948" s="51"/>
    </row>
    <row r="7949">
      <c r="A7949" s="54"/>
      <c r="B7949" s="71"/>
      <c r="C7949" s="51"/>
      <c r="D7949" s="114"/>
      <c r="E7949" s="114"/>
      <c r="F7949" s="54"/>
      <c r="G7949" s="54"/>
      <c r="I7949" s="54"/>
      <c r="K7949" s="54"/>
      <c r="M7949" s="114"/>
      <c r="N7949" s="1"/>
      <c r="O7949" s="1"/>
      <c r="P7949" s="51"/>
    </row>
    <row r="7950">
      <c r="A7950" s="54"/>
      <c r="B7950" s="71"/>
      <c r="C7950" s="51"/>
      <c r="D7950" s="114"/>
      <c r="E7950" s="114"/>
      <c r="F7950" s="54"/>
      <c r="G7950" s="54"/>
      <c r="I7950" s="54"/>
      <c r="K7950" s="54"/>
      <c r="M7950" s="114"/>
      <c r="N7950" s="1"/>
      <c r="O7950" s="1"/>
      <c r="P7950" s="51"/>
    </row>
    <row r="7951">
      <c r="A7951" s="54"/>
      <c r="B7951" s="71"/>
      <c r="C7951" s="51"/>
      <c r="D7951" s="114"/>
      <c r="E7951" s="114"/>
      <c r="F7951" s="54"/>
      <c r="G7951" s="54"/>
      <c r="I7951" s="54"/>
      <c r="K7951" s="54"/>
      <c r="M7951" s="114"/>
      <c r="N7951" s="1"/>
      <c r="O7951" s="1"/>
      <c r="P7951" s="51"/>
    </row>
    <row r="7952">
      <c r="A7952" s="54"/>
      <c r="B7952" s="71"/>
      <c r="C7952" s="51"/>
      <c r="D7952" s="114"/>
      <c r="E7952" s="114"/>
      <c r="F7952" s="54"/>
      <c r="G7952" s="54"/>
      <c r="I7952" s="54"/>
      <c r="K7952" s="54"/>
      <c r="M7952" s="114"/>
      <c r="N7952" s="1"/>
      <c r="O7952" s="1"/>
      <c r="P7952" s="51"/>
    </row>
    <row r="7953">
      <c r="A7953" s="54"/>
      <c r="B7953" s="71"/>
      <c r="C7953" s="51"/>
      <c r="D7953" s="114"/>
      <c r="E7953" s="114"/>
      <c r="F7953" s="54"/>
      <c r="G7953" s="54"/>
      <c r="I7953" s="54"/>
      <c r="K7953" s="54"/>
      <c r="M7953" s="114"/>
      <c r="N7953" s="1"/>
      <c r="O7953" s="1"/>
      <c r="P7953" s="51"/>
    </row>
    <row r="7954">
      <c r="A7954" s="54"/>
      <c r="B7954" s="71"/>
      <c r="C7954" s="51"/>
      <c r="D7954" s="114"/>
      <c r="E7954" s="114"/>
      <c r="F7954" s="54"/>
      <c r="G7954" s="54"/>
      <c r="I7954" s="54"/>
      <c r="K7954" s="54"/>
      <c r="M7954" s="114"/>
      <c r="N7954" s="1"/>
      <c r="O7954" s="1"/>
      <c r="P7954" s="51"/>
    </row>
    <row r="7955">
      <c r="A7955" s="54"/>
      <c r="B7955" s="71"/>
      <c r="C7955" s="51"/>
      <c r="D7955" s="114"/>
      <c r="E7955" s="114"/>
      <c r="F7955" s="54"/>
      <c r="G7955" s="54"/>
      <c r="I7955" s="54"/>
      <c r="K7955" s="54"/>
      <c r="M7955" s="114"/>
      <c r="N7955" s="1"/>
      <c r="O7955" s="1"/>
      <c r="P7955" s="51"/>
    </row>
    <row r="7956">
      <c r="A7956" s="54"/>
      <c r="B7956" s="71"/>
      <c r="C7956" s="51"/>
      <c r="D7956" s="114"/>
      <c r="E7956" s="114"/>
      <c r="F7956" s="54"/>
      <c r="G7956" s="54"/>
      <c r="I7956" s="54"/>
      <c r="K7956" s="54"/>
      <c r="M7956" s="114"/>
      <c r="N7956" s="1"/>
      <c r="O7956" s="1"/>
      <c r="P7956" s="51"/>
    </row>
    <row r="7957">
      <c r="A7957" s="54"/>
      <c r="B7957" s="71"/>
      <c r="C7957" s="51"/>
      <c r="D7957" s="114"/>
      <c r="E7957" s="114"/>
      <c r="F7957" s="54"/>
      <c r="G7957" s="54"/>
      <c r="I7957" s="54"/>
      <c r="K7957" s="54"/>
      <c r="M7957" s="114"/>
      <c r="N7957" s="1"/>
      <c r="O7957" s="1"/>
      <c r="P7957" s="51"/>
    </row>
    <row r="7958">
      <c r="A7958" s="54"/>
      <c r="B7958" s="71"/>
      <c r="C7958" s="51"/>
      <c r="D7958" s="114"/>
      <c r="E7958" s="114"/>
      <c r="F7958" s="54"/>
      <c r="G7958" s="54"/>
      <c r="I7958" s="54"/>
      <c r="K7958" s="54"/>
      <c r="M7958" s="114"/>
      <c r="N7958" s="1"/>
      <c r="O7958" s="1"/>
      <c r="P7958" s="51"/>
    </row>
    <row r="7959">
      <c r="A7959" s="54"/>
      <c r="B7959" s="71"/>
      <c r="C7959" s="51"/>
      <c r="D7959" s="114"/>
      <c r="E7959" s="114"/>
      <c r="F7959" s="54"/>
      <c r="G7959" s="54"/>
      <c r="I7959" s="54"/>
      <c r="K7959" s="54"/>
      <c r="M7959" s="114"/>
      <c r="N7959" s="1"/>
      <c r="O7959" s="1"/>
      <c r="P7959" s="51"/>
    </row>
    <row r="7960">
      <c r="A7960" s="54"/>
      <c r="B7960" s="71"/>
      <c r="C7960" s="51"/>
      <c r="D7960" s="114"/>
      <c r="E7960" s="114"/>
      <c r="F7960" s="54"/>
      <c r="G7960" s="54"/>
      <c r="I7960" s="54"/>
      <c r="K7960" s="54"/>
      <c r="M7960" s="114"/>
      <c r="N7960" s="1"/>
      <c r="O7960" s="1"/>
      <c r="P7960" s="51"/>
    </row>
    <row r="7961">
      <c r="A7961" s="54"/>
      <c r="B7961" s="71"/>
      <c r="C7961" s="51"/>
      <c r="D7961" s="114"/>
      <c r="E7961" s="114"/>
      <c r="F7961" s="54"/>
      <c r="G7961" s="54"/>
      <c r="I7961" s="54"/>
      <c r="K7961" s="54"/>
      <c r="M7961" s="114"/>
      <c r="N7961" s="1"/>
      <c r="O7961" s="1"/>
      <c r="P7961" s="51"/>
    </row>
    <row r="7962">
      <c r="A7962" s="54"/>
      <c r="B7962" s="71"/>
      <c r="C7962" s="51"/>
      <c r="D7962" s="114"/>
      <c r="E7962" s="114"/>
      <c r="F7962" s="54"/>
      <c r="G7962" s="54"/>
      <c r="I7962" s="54"/>
      <c r="K7962" s="54"/>
      <c r="M7962" s="114"/>
      <c r="N7962" s="1"/>
      <c r="O7962" s="1"/>
      <c r="P7962" s="51"/>
    </row>
    <row r="7963">
      <c r="A7963" s="54"/>
      <c r="B7963" s="71"/>
      <c r="C7963" s="51"/>
      <c r="D7963" s="114"/>
      <c r="E7963" s="114"/>
      <c r="F7963" s="54"/>
      <c r="G7963" s="54"/>
      <c r="I7963" s="54"/>
      <c r="K7963" s="54"/>
      <c r="M7963" s="114"/>
      <c r="N7963" s="1"/>
      <c r="O7963" s="1"/>
      <c r="P7963" s="51"/>
    </row>
    <row r="7964">
      <c r="A7964" s="54"/>
      <c r="B7964" s="71"/>
      <c r="C7964" s="51"/>
      <c r="D7964" s="114"/>
      <c r="E7964" s="114"/>
      <c r="F7964" s="54"/>
      <c r="G7964" s="54"/>
      <c r="I7964" s="54"/>
      <c r="K7964" s="54"/>
      <c r="M7964" s="114"/>
      <c r="N7964" s="1"/>
      <c r="O7964" s="1"/>
      <c r="P7964" s="51"/>
    </row>
    <row r="7965">
      <c r="A7965" s="54"/>
      <c r="B7965" s="71"/>
      <c r="C7965" s="51"/>
      <c r="D7965" s="114"/>
      <c r="E7965" s="114"/>
      <c r="F7965" s="54"/>
      <c r="G7965" s="54"/>
      <c r="I7965" s="54"/>
      <c r="K7965" s="54"/>
      <c r="M7965" s="114"/>
      <c r="N7965" s="1"/>
      <c r="O7965" s="1"/>
      <c r="P7965" s="51"/>
    </row>
    <row r="7966">
      <c r="A7966" s="54"/>
      <c r="B7966" s="71"/>
      <c r="C7966" s="51"/>
      <c r="D7966" s="114"/>
      <c r="E7966" s="114"/>
      <c r="F7966" s="54"/>
      <c r="G7966" s="54"/>
      <c r="I7966" s="54"/>
      <c r="K7966" s="54"/>
      <c r="M7966" s="114"/>
      <c r="N7966" s="1"/>
      <c r="O7966" s="1"/>
      <c r="P7966" s="51"/>
    </row>
    <row r="7967">
      <c r="A7967" s="54"/>
      <c r="B7967" s="71"/>
      <c r="C7967" s="51"/>
      <c r="D7967" s="114"/>
      <c r="E7967" s="114"/>
      <c r="F7967" s="54"/>
      <c r="G7967" s="54"/>
      <c r="I7967" s="54"/>
      <c r="K7967" s="54"/>
      <c r="M7967" s="114"/>
      <c r="N7967" s="1"/>
      <c r="O7967" s="1"/>
      <c r="P7967" s="51"/>
    </row>
    <row r="7968">
      <c r="A7968" s="54"/>
      <c r="B7968" s="71"/>
      <c r="C7968" s="51"/>
      <c r="D7968" s="114"/>
      <c r="E7968" s="114"/>
      <c r="F7968" s="54"/>
      <c r="G7968" s="54"/>
      <c r="I7968" s="54"/>
      <c r="K7968" s="54"/>
      <c r="M7968" s="114"/>
      <c r="N7968" s="1"/>
      <c r="O7968" s="1"/>
      <c r="P7968" s="51"/>
    </row>
    <row r="7969">
      <c r="A7969" s="54"/>
      <c r="B7969" s="71"/>
      <c r="C7969" s="51"/>
      <c r="D7969" s="114"/>
      <c r="E7969" s="114"/>
      <c r="F7969" s="54"/>
      <c r="G7969" s="54"/>
      <c r="I7969" s="54"/>
      <c r="K7969" s="54"/>
      <c r="M7969" s="114"/>
      <c r="N7969" s="1"/>
      <c r="O7969" s="1"/>
      <c r="P7969" s="51"/>
    </row>
    <row r="7970">
      <c r="A7970" s="54"/>
      <c r="B7970" s="71"/>
      <c r="C7970" s="51"/>
      <c r="D7970" s="114"/>
      <c r="E7970" s="114"/>
      <c r="F7970" s="54"/>
      <c r="G7970" s="54"/>
      <c r="I7970" s="54"/>
      <c r="K7970" s="54"/>
      <c r="M7970" s="114"/>
      <c r="N7970" s="1"/>
      <c r="O7970" s="1"/>
      <c r="P7970" s="51"/>
    </row>
    <row r="7971">
      <c r="A7971" s="54"/>
      <c r="B7971" s="71"/>
      <c r="C7971" s="51"/>
      <c r="D7971" s="114"/>
      <c r="E7971" s="114"/>
      <c r="F7971" s="54"/>
      <c r="G7971" s="54"/>
      <c r="I7971" s="54"/>
      <c r="K7971" s="54"/>
      <c r="M7971" s="114"/>
      <c r="N7971" s="1"/>
      <c r="O7971" s="1"/>
      <c r="P7971" s="51"/>
    </row>
    <row r="7972">
      <c r="A7972" s="54"/>
      <c r="B7972" s="71"/>
      <c r="C7972" s="51"/>
      <c r="D7972" s="114"/>
      <c r="E7972" s="114"/>
      <c r="F7972" s="54"/>
      <c r="G7972" s="54"/>
      <c r="I7972" s="54"/>
      <c r="K7972" s="54"/>
      <c r="M7972" s="114"/>
      <c r="N7972" s="1"/>
      <c r="O7972" s="1"/>
      <c r="P7972" s="51"/>
    </row>
    <row r="7973">
      <c r="A7973" s="54"/>
      <c r="B7973" s="71"/>
      <c r="C7973" s="51"/>
      <c r="D7973" s="114"/>
      <c r="E7973" s="114"/>
      <c r="F7973" s="54"/>
      <c r="G7973" s="54"/>
      <c r="I7973" s="54"/>
      <c r="K7973" s="54"/>
      <c r="M7973" s="114"/>
      <c r="N7973" s="1"/>
      <c r="O7973" s="1"/>
      <c r="P7973" s="51"/>
    </row>
    <row r="7974">
      <c r="A7974" s="54"/>
      <c r="B7974" s="71"/>
      <c r="C7974" s="51"/>
      <c r="D7974" s="114"/>
      <c r="E7974" s="114"/>
      <c r="F7974" s="54"/>
      <c r="G7974" s="54"/>
      <c r="I7974" s="54"/>
      <c r="K7974" s="54"/>
      <c r="M7974" s="114"/>
      <c r="N7974" s="1"/>
      <c r="O7974" s="1"/>
      <c r="P7974" s="51"/>
    </row>
    <row r="7975">
      <c r="A7975" s="54"/>
      <c r="B7975" s="71"/>
      <c r="C7975" s="51"/>
      <c r="D7975" s="114"/>
      <c r="E7975" s="114"/>
      <c r="F7975" s="54"/>
      <c r="G7975" s="54"/>
      <c r="I7975" s="54"/>
      <c r="K7975" s="54"/>
      <c r="M7975" s="114"/>
      <c r="N7975" s="1"/>
      <c r="O7975" s="1"/>
      <c r="P7975" s="51"/>
    </row>
    <row r="7976">
      <c r="A7976" s="54"/>
      <c r="B7976" s="71"/>
      <c r="C7976" s="51"/>
      <c r="D7976" s="114"/>
      <c r="E7976" s="114"/>
      <c r="F7976" s="54"/>
      <c r="G7976" s="54"/>
      <c r="I7976" s="54"/>
      <c r="K7976" s="54"/>
      <c r="M7976" s="114"/>
      <c r="N7976" s="1"/>
      <c r="O7976" s="1"/>
      <c r="P7976" s="51"/>
    </row>
    <row r="7977">
      <c r="A7977" s="54"/>
      <c r="B7977" s="71"/>
      <c r="C7977" s="51"/>
      <c r="D7977" s="114"/>
      <c r="E7977" s="114"/>
      <c r="F7977" s="54"/>
      <c r="G7977" s="54"/>
      <c r="I7977" s="54"/>
      <c r="K7977" s="54"/>
      <c r="M7977" s="114"/>
      <c r="N7977" s="1"/>
      <c r="O7977" s="1"/>
      <c r="P7977" s="51"/>
    </row>
    <row r="7978">
      <c r="A7978" s="54"/>
      <c r="B7978" s="71"/>
      <c r="C7978" s="51"/>
      <c r="D7978" s="114"/>
      <c r="E7978" s="114"/>
      <c r="F7978" s="54"/>
      <c r="G7978" s="54"/>
      <c r="I7978" s="54"/>
      <c r="K7978" s="54"/>
      <c r="M7978" s="114"/>
      <c r="N7978" s="1"/>
      <c r="O7978" s="1"/>
      <c r="P7978" s="51"/>
    </row>
    <row r="7979">
      <c r="A7979" s="54"/>
      <c r="B7979" s="71"/>
      <c r="C7979" s="51"/>
      <c r="D7979" s="114"/>
      <c r="E7979" s="114"/>
      <c r="F7979" s="54"/>
      <c r="G7979" s="54"/>
      <c r="I7979" s="54"/>
      <c r="K7979" s="54"/>
      <c r="M7979" s="114"/>
      <c r="N7979" s="1"/>
      <c r="O7979" s="1"/>
      <c r="P7979" s="51"/>
    </row>
    <row r="7980">
      <c r="A7980" s="54"/>
      <c r="B7980" s="71"/>
      <c r="C7980" s="51"/>
      <c r="D7980" s="114"/>
      <c r="E7980" s="114"/>
      <c r="F7980" s="54"/>
      <c r="G7980" s="54"/>
      <c r="I7980" s="54"/>
      <c r="K7980" s="54"/>
      <c r="M7980" s="114"/>
      <c r="N7980" s="1"/>
      <c r="O7980" s="1"/>
      <c r="P7980" s="51"/>
    </row>
    <row r="7981">
      <c r="A7981" s="54"/>
      <c r="B7981" s="71"/>
      <c r="C7981" s="51"/>
      <c r="D7981" s="114"/>
      <c r="E7981" s="114"/>
      <c r="F7981" s="54"/>
      <c r="G7981" s="54"/>
      <c r="H7981" s="116"/>
      <c r="I7981" s="54"/>
      <c r="K7981" s="54"/>
      <c r="M7981" s="114"/>
      <c r="N7981" s="1"/>
      <c r="O7981" s="1"/>
      <c r="P7981" s="51"/>
    </row>
  </sheetData>
  <mergeCells count="4">
    <mergeCell ref="D1:E1"/>
    <mergeCell ref="G1:H1"/>
    <mergeCell ref="I1:J1"/>
    <mergeCell ref="K1:L1"/>
  </mergeCells>
  <dataValidations>
    <dataValidation type="list" allowBlank="1" sqref="D3:D7981">
      <formula1>Internal_lists_variables!$O$2:$O7981</formula1>
    </dataValidation>
    <dataValidation type="list" allowBlank="1" sqref="N3:O7981">
      <formula1>"Main,Secondary branch"</formula1>
    </dataValidation>
    <dataValidation type="list" allowBlank="1" showErrorMessage="1" sqref="F3:F7981 I3:I7981 K3:K7981">
      <formula1>"YES,NO,NA"</formula1>
    </dataValidation>
    <dataValidation type="list" allowBlank="1" sqref="G3:G119 G121:G161 G163:G7981">
      <formula1>Internal_lists_variables!$P$2:$P7981</formula1>
    </dataValidation>
    <dataValidation type="list" allowBlank="1" showInputMessage="1" showErrorMessage="1" prompt="Project BugID" sqref="A3:A32">
      <formula1>Internal_lists_bugs!$A$2:$A7981</formula1>
    </dataValidation>
    <dataValidation type="list" allowBlank="1" showInputMessage="1" prompt="Click and enter a value from range" sqref="A33:A7981">
      <formula1>Internal_lists_bugs!$A$2:$A7981</formula1>
    </dataValidation>
  </dataValidations>
  <hyperlinks>
    <hyperlink r:id="rId2" ref="A1"/>
    <hyperlink r:id="rId3" location="gid=405816964" ref="B1"/>
    <hyperlink r:id="rId4" ref="H90"/>
    <hyperlink r:id="rId5" ref="H91"/>
    <hyperlink r:id="rId6" ref="H315"/>
    <hyperlink r:id="rId7" ref="H342"/>
    <hyperlink r:id="rId8" location="/" ref="H409"/>
    <hyperlink r:id="rId9" ref="H577"/>
    <hyperlink r:id="rId10" ref="H579"/>
    <hyperlink r:id="rId11" ref="H843"/>
    <hyperlink r:id="rId12" ref="H1001"/>
    <hyperlink r:id="rId13" ref="H1002"/>
    <hyperlink r:id="rId14" location="/c/46323/" ref="H1018"/>
    <hyperlink r:id="rId15" location="Nova" ref="H1252"/>
    <hyperlink r:id="rId16" location="Nova" ref="H1253"/>
    <hyperlink r:id="rId17" ref="H1255"/>
    <hyperlink r:id="rId18" location="/c/94918/" ref="H1259"/>
    <hyperlink r:id="rId19" ref="H1262"/>
    <hyperlink r:id="rId20" ref="H1409"/>
    <hyperlink r:id="rId21" location="/c/156584/" ref="H1448"/>
    <hyperlink r:id="rId22" ref="H1512"/>
    <hyperlink r:id="rId23" ref="H1519"/>
    <hyperlink r:id="rId24" ref="H1520"/>
    <hyperlink r:id="rId25" ref="H1609"/>
    <hyperlink r:id="rId26" ref="H1610"/>
    <hyperlink r:id="rId27" location="import-order-template" ref="H1632"/>
    <hyperlink r:id="rId28" location="import-order-template" ref="H1633"/>
    <hyperlink r:id="rId29" ref="O1757"/>
    <hyperlink r:id="rId30" ref="O1758"/>
    <hyperlink r:id="rId31" ref="O1759"/>
    <hyperlink r:id="rId32" ref="O1760"/>
    <hyperlink r:id="rId33" ref="O1761"/>
    <hyperlink r:id="rId34" ref="O1762"/>
  </hyperlinks>
  <drawing r:id="rId35"/>
  <legacyDrawing r:id="rId3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outlineLevelCol="1"/>
  <cols>
    <col customWidth="1" min="1" max="1" width="24.63"/>
    <col customWidth="1" min="2" max="2" width="31.38"/>
    <col customWidth="1" min="3" max="3" width="34.88"/>
    <col customWidth="1" min="4" max="4" width="22.75" outlineLevel="1"/>
    <col customWidth="1" min="5" max="5" width="41.63" outlineLevel="1"/>
    <col customWidth="1" min="6" max="6" width="18.63" outlineLevel="1"/>
    <col customWidth="1" min="7" max="7" width="30.75" outlineLevel="1"/>
    <col customWidth="1" min="8" max="8" width="19.88" outlineLevel="1"/>
    <col customWidth="1" min="9" max="9" width="34.88" outlineLevel="1"/>
    <col min="10" max="10" width="12.63" outlineLevel="1"/>
    <col customWidth="1" min="11" max="11" width="20.0" outlineLevel="1"/>
    <col min="12" max="12" width="12.63" outlineLevel="1"/>
    <col customWidth="1" min="13" max="13" width="20.0" outlineLevel="1"/>
    <col min="14" max="14" width="12.63" outlineLevel="1"/>
    <col customWidth="1" min="15" max="15" width="20.0" outlineLevel="1"/>
    <col min="16" max="16" width="12.63" outlineLevel="1"/>
    <col customWidth="1" min="17" max="17" width="16.63" outlineLevel="1"/>
    <col min="18" max="18" width="12.63" outlineLevel="1"/>
    <col customWidth="1" min="19" max="19" width="16.63" outlineLevel="1"/>
    <col min="20" max="20" width="12.63" outlineLevel="1"/>
    <col customWidth="1" min="21" max="21" width="20.0" outlineLevel="1"/>
    <col min="22" max="22" width="12.63" outlineLevel="1"/>
    <col customWidth="1" min="23" max="23" width="20.0" outlineLevel="1"/>
    <col min="24" max="24" width="12.63" outlineLevel="1"/>
    <col customWidth="1" min="25" max="25" width="20.0" outlineLevel="1"/>
    <col min="26" max="26" width="12.63" outlineLevel="1"/>
    <col customWidth="1" min="27" max="27" width="24.5" outlineLevel="1"/>
    <col min="28" max="28" width="12.63" outlineLevel="1"/>
    <col customWidth="1" min="29" max="29" width="21.13" outlineLevel="1"/>
    <col min="30" max="30" width="12.63" outlineLevel="1"/>
    <col customWidth="1" min="31" max="31" width="21.13" outlineLevel="1"/>
    <col min="32" max="32" width="12.63" outlineLevel="1"/>
    <col customWidth="1" min="33" max="33" width="21.13" outlineLevel="1"/>
    <col min="34" max="34" width="12.63" outlineLevel="1"/>
    <col customWidth="1" min="35" max="35" width="21.13" outlineLevel="1"/>
    <col min="36" max="36" width="12.63" outlineLevel="1"/>
    <col customWidth="1" min="37" max="37" width="21.13" outlineLevel="1"/>
    <col min="38" max="38" width="12.63" outlineLevel="1"/>
    <col customWidth="1" min="39" max="39" width="21.13" outlineLevel="1"/>
    <col min="40" max="40" width="12.63" outlineLevel="1"/>
  </cols>
  <sheetData>
    <row r="1">
      <c r="A1" s="32" t="s">
        <v>103</v>
      </c>
      <c r="B1" s="32" t="s">
        <v>104</v>
      </c>
      <c r="C1" s="33" t="s">
        <v>105</v>
      </c>
      <c r="D1" s="108" t="s">
        <v>3595</v>
      </c>
      <c r="E1" s="36"/>
      <c r="F1" s="128" t="s">
        <v>3596</v>
      </c>
      <c r="G1" s="36"/>
      <c r="H1" s="108" t="s">
        <v>3597</v>
      </c>
      <c r="I1" s="36"/>
      <c r="J1" s="34" t="s">
        <v>3598</v>
      </c>
      <c r="K1" s="36"/>
      <c r="L1" s="34" t="s">
        <v>3599</v>
      </c>
      <c r="M1" s="36"/>
      <c r="N1" s="34" t="s">
        <v>3600</v>
      </c>
      <c r="O1" s="36"/>
      <c r="P1" s="34" t="s">
        <v>3601</v>
      </c>
      <c r="Q1" s="36"/>
      <c r="R1" s="37" t="s">
        <v>3602</v>
      </c>
      <c r="S1" s="36"/>
      <c r="T1" s="34" t="s">
        <v>3603</v>
      </c>
      <c r="U1" s="36"/>
      <c r="V1" s="34" t="s">
        <v>3604</v>
      </c>
      <c r="W1" s="36"/>
      <c r="X1" s="34" t="s">
        <v>3605</v>
      </c>
      <c r="Y1" s="36"/>
      <c r="Z1" s="34" t="s">
        <v>3606</v>
      </c>
      <c r="AA1" s="36"/>
      <c r="AB1" s="34" t="s">
        <v>3607</v>
      </c>
      <c r="AC1" s="36"/>
      <c r="AD1" s="34" t="s">
        <v>3608</v>
      </c>
      <c r="AE1" s="36"/>
      <c r="AF1" s="34" t="s">
        <v>3609</v>
      </c>
      <c r="AG1" s="36"/>
      <c r="AH1" s="34" t="s">
        <v>3610</v>
      </c>
      <c r="AI1" s="36"/>
      <c r="AJ1" s="34" t="s">
        <v>3611</v>
      </c>
      <c r="AK1" s="36"/>
      <c r="AL1" s="37" t="s">
        <v>3612</v>
      </c>
      <c r="AM1" s="36"/>
      <c r="AO1" s="128" t="s">
        <v>3613</v>
      </c>
      <c r="AP1" s="36"/>
      <c r="AQ1" s="128" t="s">
        <v>3614</v>
      </c>
      <c r="AR1" s="36"/>
      <c r="AS1" s="128"/>
      <c r="AT1" s="36"/>
      <c r="AU1" s="128"/>
    </row>
    <row r="2">
      <c r="A2" s="39" t="s">
        <v>111</v>
      </c>
      <c r="B2" s="40" t="s">
        <v>511</v>
      </c>
      <c r="C2" s="41" t="s">
        <v>3615</v>
      </c>
      <c r="D2" s="129" t="s">
        <v>114</v>
      </c>
      <c r="E2" s="44" t="s">
        <v>3616</v>
      </c>
      <c r="F2" s="42" t="s">
        <v>114</v>
      </c>
      <c r="G2" s="44" t="s">
        <v>115</v>
      </c>
      <c r="H2" s="42" t="s">
        <v>114</v>
      </c>
      <c r="I2" s="44" t="s">
        <v>115</v>
      </c>
      <c r="J2" s="42" t="s">
        <v>114</v>
      </c>
      <c r="K2" s="44" t="s">
        <v>115</v>
      </c>
      <c r="L2" s="42" t="s">
        <v>114</v>
      </c>
      <c r="M2" s="44" t="s">
        <v>115</v>
      </c>
      <c r="N2" s="42" t="s">
        <v>114</v>
      </c>
      <c r="O2" s="44" t="s">
        <v>115</v>
      </c>
      <c r="P2" s="42" t="s">
        <v>114</v>
      </c>
      <c r="Q2" s="44" t="s">
        <v>115</v>
      </c>
      <c r="R2" s="42" t="s">
        <v>114</v>
      </c>
      <c r="S2" s="44" t="s">
        <v>115</v>
      </c>
      <c r="T2" s="45" t="s">
        <v>114</v>
      </c>
      <c r="U2" s="44" t="s">
        <v>115</v>
      </c>
      <c r="V2" s="42" t="s">
        <v>114</v>
      </c>
      <c r="W2" s="44" t="s">
        <v>115</v>
      </c>
      <c r="X2" s="42" t="s">
        <v>114</v>
      </c>
      <c r="Y2" s="44" t="s">
        <v>115</v>
      </c>
      <c r="Z2" s="42" t="s">
        <v>114</v>
      </c>
      <c r="AA2" s="44" t="s">
        <v>115</v>
      </c>
      <c r="AB2" s="42" t="s">
        <v>114</v>
      </c>
      <c r="AC2" s="44" t="s">
        <v>115</v>
      </c>
      <c r="AD2" s="42" t="s">
        <v>114</v>
      </c>
      <c r="AE2" s="44" t="s">
        <v>115</v>
      </c>
      <c r="AF2" s="42" t="s">
        <v>114</v>
      </c>
      <c r="AG2" s="44" t="s">
        <v>115</v>
      </c>
      <c r="AH2" s="42" t="s">
        <v>114</v>
      </c>
      <c r="AI2" s="44" t="s">
        <v>115</v>
      </c>
      <c r="AJ2" s="42" t="s">
        <v>114</v>
      </c>
      <c r="AK2" s="44" t="s">
        <v>115</v>
      </c>
      <c r="AL2" s="42" t="s">
        <v>114</v>
      </c>
      <c r="AM2" s="44" t="s">
        <v>115</v>
      </c>
      <c r="AN2" s="44" t="s">
        <v>3617</v>
      </c>
      <c r="AO2" s="42" t="s">
        <v>114</v>
      </c>
      <c r="AP2" s="44" t="s">
        <v>115</v>
      </c>
      <c r="AQ2" s="42" t="s">
        <v>114</v>
      </c>
      <c r="AR2" s="75" t="s">
        <v>115</v>
      </c>
      <c r="AS2" s="42"/>
      <c r="AT2" s="44"/>
      <c r="AU2" s="42"/>
    </row>
    <row r="3" ht="66.75" customHeight="1">
      <c r="A3" s="54" t="s">
        <v>32</v>
      </c>
      <c r="B3" s="50" t="str">
        <f>IFERROR(HYPERLINK(VLOOKUP(A3,Internal_lists_bugs!$A$2:$I2002,9,FALSE()), VLOOKUP(A3,Internal_lists_bugs!$A$2:$C$73,3,FALSE())&amp;Char(10) &amp; Char(10) &amp; VLOOKUP(A3,Internal_lists_bugs!$A$2:$Z$73,26,FALSE())),"please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 s="81" t="str">
        <f>IFERROR(VLOOKUP(A3,Internal_lists_bugs!$A$2:$G2002,7,FALSE()),"please select a BUG ID")</f>
        <v>https://opendev.org/openstack/nova/commit/e7aa4022374fb35d2131a7c633212c5d6302db3d</v>
      </c>
      <c r="D3" s="16" t="s">
        <v>3618</v>
      </c>
      <c r="E3" s="53" t="s">
        <v>3619</v>
      </c>
      <c r="F3" s="16" t="s">
        <v>3620</v>
      </c>
      <c r="G3" s="53" t="s">
        <v>3621</v>
      </c>
      <c r="H3" s="16" t="s">
        <v>3620</v>
      </c>
      <c r="I3" s="53" t="s">
        <v>3622</v>
      </c>
      <c r="J3" s="16" t="s">
        <v>251</v>
      </c>
      <c r="K3" s="93" t="s">
        <v>3623</v>
      </c>
      <c r="L3" s="16" t="s">
        <v>3624</v>
      </c>
      <c r="M3" s="93" t="s">
        <v>3625</v>
      </c>
      <c r="N3" s="16" t="s">
        <v>251</v>
      </c>
      <c r="O3" s="94" t="s">
        <v>3626</v>
      </c>
      <c r="P3" s="16" t="s">
        <v>3627</v>
      </c>
      <c r="Q3" s="94" t="s">
        <v>3628</v>
      </c>
      <c r="R3" s="16" t="s">
        <v>3629</v>
      </c>
      <c r="S3" s="94" t="s">
        <v>3630</v>
      </c>
      <c r="T3" s="120" t="s">
        <v>3631</v>
      </c>
      <c r="U3" s="93"/>
      <c r="V3" s="16" t="s">
        <v>124</v>
      </c>
      <c r="W3" s="93" t="s">
        <v>3632</v>
      </c>
      <c r="X3" s="16" t="s">
        <v>251</v>
      </c>
      <c r="Y3" s="93" t="s">
        <v>3633</v>
      </c>
      <c r="Z3" s="16" t="s">
        <v>251</v>
      </c>
      <c r="AA3" s="93" t="s">
        <v>3634</v>
      </c>
      <c r="AB3" s="16" t="s">
        <v>251</v>
      </c>
      <c r="AC3" s="93" t="s">
        <v>3635</v>
      </c>
      <c r="AD3" s="16" t="s">
        <v>251</v>
      </c>
      <c r="AE3" s="93" t="s">
        <v>3635</v>
      </c>
      <c r="AF3" s="16" t="s">
        <v>251</v>
      </c>
      <c r="AG3" s="93" t="s">
        <v>3636</v>
      </c>
      <c r="AH3" s="16" t="s">
        <v>251</v>
      </c>
      <c r="AI3" s="93" t="s">
        <v>3636</v>
      </c>
      <c r="AJ3" s="16" t="s">
        <v>251</v>
      </c>
      <c r="AK3" s="93" t="s">
        <v>3637</v>
      </c>
      <c r="AL3" s="16" t="s">
        <v>123</v>
      </c>
      <c r="AM3" s="93" t="s">
        <v>3638</v>
      </c>
      <c r="AN3" s="116" t="s">
        <v>3639</v>
      </c>
      <c r="AO3" s="16" t="s">
        <v>3640</v>
      </c>
      <c r="AP3" s="116" t="s">
        <v>3641</v>
      </c>
      <c r="AQ3" s="16" t="s">
        <v>123</v>
      </c>
      <c r="AR3" s="130" t="s">
        <v>3642</v>
      </c>
      <c r="AS3" s="9" t="s">
        <v>3643</v>
      </c>
      <c r="AT3" s="131">
        <v>40863.0</v>
      </c>
      <c r="AU3" s="132">
        <f>VLOOKUP(AT3,'Hoja 10'!$A$1:$B$32,2,FALSE())</f>
        <v>3</v>
      </c>
    </row>
    <row r="4" ht="48.0" customHeight="1">
      <c r="A4" s="16" t="s">
        <v>33</v>
      </c>
      <c r="B4" s="50" t="str">
        <f>IFERROR(HYPERLINK(VLOOKUP(A4,Internal_lists_bugs!$A$2:$I2002,9,FALSE()), VLOOKUP(A4,Internal_lists_bugs!$A$2:$C$73,3,FALSE())&amp;Char(10) &amp; Char(10) &amp; VLOOKUP(A4,Internal_lists_bugs!$A$2:$Z$73,26,FALSE())),"please select a BUG ID")</f>
        <v>https://bugs.launchpad.net/nova/+bug/1367363
/libvirt/driver.py</v>
      </c>
      <c r="C4" s="81" t="str">
        <f>IFERROR(VLOOKUP(A4,Internal_lists_bugs!$A$2:$G2002,7,FALSE()),"please select a BUG ID")</f>
        <v>https://opendev.org/openstack/nova/commit/0fcbb7b</v>
      </c>
      <c r="D4" s="16" t="s">
        <v>3618</v>
      </c>
      <c r="E4" s="53" t="s">
        <v>3644</v>
      </c>
      <c r="F4" s="16" t="s">
        <v>3620</v>
      </c>
      <c r="G4" s="53" t="s">
        <v>3645</v>
      </c>
      <c r="H4" s="16" t="s">
        <v>3620</v>
      </c>
      <c r="I4" s="53" t="s">
        <v>3646</v>
      </c>
      <c r="J4" s="16" t="s">
        <v>123</v>
      </c>
      <c r="K4" s="93" t="s">
        <v>3647</v>
      </c>
      <c r="L4" s="16" t="s">
        <v>3648</v>
      </c>
      <c r="M4" s="93" t="s">
        <v>3649</v>
      </c>
      <c r="N4" s="16" t="s">
        <v>251</v>
      </c>
      <c r="O4" s="94" t="s">
        <v>3650</v>
      </c>
      <c r="P4" s="16" t="s">
        <v>3627</v>
      </c>
      <c r="Q4" s="94" t="s">
        <v>3651</v>
      </c>
      <c r="R4" s="16" t="s">
        <v>3629</v>
      </c>
      <c r="S4" s="99" t="s">
        <v>3652</v>
      </c>
      <c r="T4" s="120" t="s">
        <v>3653</v>
      </c>
      <c r="U4" s="93" t="s">
        <v>3654</v>
      </c>
      <c r="V4" s="16" t="s">
        <v>124</v>
      </c>
      <c r="W4" s="93" t="s">
        <v>3632</v>
      </c>
      <c r="X4" s="16" t="s">
        <v>251</v>
      </c>
      <c r="Y4" s="93" t="s">
        <v>3655</v>
      </c>
      <c r="Z4" s="16" t="s">
        <v>251</v>
      </c>
      <c r="AA4" s="93" t="s">
        <v>3655</v>
      </c>
      <c r="AB4" s="16" t="s">
        <v>123</v>
      </c>
      <c r="AC4" s="93" t="s">
        <v>3656</v>
      </c>
      <c r="AD4" s="16" t="s">
        <v>123</v>
      </c>
      <c r="AE4" s="93" t="s">
        <v>3656</v>
      </c>
      <c r="AF4" s="16" t="s">
        <v>123</v>
      </c>
      <c r="AG4" s="93" t="s">
        <v>3657</v>
      </c>
      <c r="AH4" s="16" t="s">
        <v>123</v>
      </c>
      <c r="AI4" s="93" t="s">
        <v>3657</v>
      </c>
      <c r="AJ4" s="16" t="s">
        <v>123</v>
      </c>
      <c r="AK4" s="93" t="s">
        <v>3658</v>
      </c>
      <c r="AL4" s="16" t="s">
        <v>123</v>
      </c>
      <c r="AM4" s="93" t="s">
        <v>3659</v>
      </c>
      <c r="AN4" s="116" t="s">
        <v>3660</v>
      </c>
      <c r="AO4" s="16" t="s">
        <v>3640</v>
      </c>
      <c r="AP4" s="130" t="s">
        <v>3661</v>
      </c>
      <c r="AQ4" s="16" t="s">
        <v>123</v>
      </c>
      <c r="AR4" s="130" t="s">
        <v>3662</v>
      </c>
      <c r="AS4" s="1"/>
      <c r="AT4" s="131">
        <v>41638.0</v>
      </c>
      <c r="AU4" s="132">
        <f>VLOOKUP(AT4,'Hoja 10'!$A$1:$B$32,2,FALSE())</f>
        <v>14</v>
      </c>
    </row>
    <row r="5" ht="63.0" customHeight="1">
      <c r="A5" s="16" t="s">
        <v>34</v>
      </c>
      <c r="B5" s="50" t="str">
        <f>IFERROR(HYPERLINK(VLOOKUP(A5,Internal_lists_bugs!$A$2:$I2002,9,FALSE()), VLOOKUP(A5,Internal_lists_bugs!$A$2:$C$73,3,FALSE())&amp;Char(10) &amp; Char(10) &amp; VLOOKUP(A5,Internal_lists_bugs!$A$2:$Z$73,26,FALSE())),"please select a BUG ID")</f>
        <v>https://bugs.launchpad.net/nova/+bug/1438331
/libvirt/rbd_utils.py</v>
      </c>
      <c r="C5" s="81" t="str">
        <f>IFERROR(VLOOKUP(A5,Internal_lists_bugs!$A$2:$G2002,7,FALSE()),"please select a BUG ID")</f>
        <v>https://opendev.org/openstack/nova/commit/13e2bd0</v>
      </c>
      <c r="D5" s="16" t="s">
        <v>3663</v>
      </c>
      <c r="E5" s="53" t="s">
        <v>3664</v>
      </c>
      <c r="F5" s="16" t="s">
        <v>3620</v>
      </c>
      <c r="G5" s="53" t="s">
        <v>3665</v>
      </c>
      <c r="H5" s="16" t="s">
        <v>3618</v>
      </c>
      <c r="I5" s="53" t="s">
        <v>3666</v>
      </c>
      <c r="J5" s="16" t="s">
        <v>251</v>
      </c>
      <c r="K5" s="93" t="s">
        <v>3667</v>
      </c>
      <c r="L5" s="16" t="s">
        <v>3624</v>
      </c>
      <c r="M5" s="93" t="s">
        <v>3668</v>
      </c>
      <c r="N5" s="16" t="s">
        <v>251</v>
      </c>
      <c r="O5" s="94" t="s">
        <v>3669</v>
      </c>
      <c r="P5" s="16" t="s">
        <v>3670</v>
      </c>
      <c r="Q5" s="93" t="s">
        <v>3671</v>
      </c>
      <c r="R5" s="16" t="s">
        <v>3672</v>
      </c>
      <c r="S5" s="93" t="s">
        <v>3673</v>
      </c>
      <c r="T5" s="120" t="s">
        <v>3674</v>
      </c>
      <c r="U5" s="93" t="s">
        <v>3675</v>
      </c>
      <c r="V5" s="16" t="s">
        <v>124</v>
      </c>
      <c r="W5" s="93" t="s">
        <v>3632</v>
      </c>
      <c r="X5" s="16" t="s">
        <v>251</v>
      </c>
      <c r="Y5" s="93" t="s">
        <v>3676</v>
      </c>
      <c r="Z5" s="16" t="s">
        <v>251</v>
      </c>
      <c r="AA5" s="93" t="s">
        <v>3676</v>
      </c>
      <c r="AB5" s="16" t="s">
        <v>123</v>
      </c>
      <c r="AC5" s="93" t="s">
        <v>3656</v>
      </c>
      <c r="AD5" s="16" t="s">
        <v>123</v>
      </c>
      <c r="AE5" s="93" t="s">
        <v>3656</v>
      </c>
      <c r="AF5" s="16" t="s">
        <v>251</v>
      </c>
      <c r="AG5" s="93" t="s">
        <v>3677</v>
      </c>
      <c r="AH5" s="16" t="s">
        <v>251</v>
      </c>
      <c r="AI5" s="93" t="s">
        <v>3677</v>
      </c>
      <c r="AJ5" s="16" t="s">
        <v>123</v>
      </c>
      <c r="AK5" s="93" t="s">
        <v>3658</v>
      </c>
      <c r="AL5" s="16" t="s">
        <v>123</v>
      </c>
      <c r="AM5" s="93" t="s">
        <v>3659</v>
      </c>
      <c r="AN5" s="116" t="s">
        <v>3678</v>
      </c>
      <c r="AO5" s="16" t="s">
        <v>3640</v>
      </c>
      <c r="AP5" s="116" t="s">
        <v>3679</v>
      </c>
      <c r="AQ5" s="16" t="s">
        <v>123</v>
      </c>
      <c r="AR5" s="130" t="s">
        <v>3680</v>
      </c>
      <c r="AS5" s="9" t="s">
        <v>3681</v>
      </c>
      <c r="AT5" s="133">
        <v>41847.0</v>
      </c>
      <c r="AU5" s="132">
        <f>VLOOKUP(AT5,'Hoja 10'!$A$1:$B$32,2,FALSE())</f>
        <v>20</v>
      </c>
    </row>
    <row r="6" ht="50.25" customHeight="1">
      <c r="A6" s="16" t="s">
        <v>35</v>
      </c>
      <c r="B6" s="50" t="str">
        <f>IFERROR(HYPERLINK(VLOOKUP(A6,Internal_lists_bugs!$A$2:$I2002,9,FALSE()), VLOOKUP(A6,Internal_lists_bugs!$A$2:$C$73,3,FALSE())&amp;Char(10) &amp; Char(10) &amp; VLOOKUP(A6,Internal_lists_bugs!$A$2:$Z$73,26,FALSE())),"please select a BUG ID")</f>
        <v>https://bugs.launchpad.net/nova/+bug/1375379
/console/websocketproxy.py</v>
      </c>
      <c r="C6" s="81" t="str">
        <f>IFERROR(VLOOKUP(A6,Internal_lists_bugs!$A$2:$G2002,7,FALSE()),"please select a BUG ID")</f>
        <v>https://opendev.org/openstack/nova/commit/e71e8c2</v>
      </c>
      <c r="D6" s="16" t="s">
        <v>3663</v>
      </c>
      <c r="E6" s="53" t="s">
        <v>3682</v>
      </c>
      <c r="F6" s="16" t="s">
        <v>3620</v>
      </c>
      <c r="G6" s="53" t="s">
        <v>3683</v>
      </c>
      <c r="H6" s="16" t="s">
        <v>3663</v>
      </c>
      <c r="I6" s="53" t="s">
        <v>3684</v>
      </c>
      <c r="J6" s="16" t="s">
        <v>123</v>
      </c>
      <c r="K6" s="93" t="s">
        <v>3685</v>
      </c>
      <c r="L6" s="16" t="s">
        <v>3686</v>
      </c>
      <c r="M6" s="93" t="s">
        <v>3687</v>
      </c>
      <c r="N6" s="16" t="s">
        <v>123</v>
      </c>
      <c r="O6" s="93" t="s">
        <v>3688</v>
      </c>
      <c r="P6" s="16" t="s">
        <v>3689</v>
      </c>
      <c r="Q6" s="93" t="s">
        <v>3688</v>
      </c>
      <c r="R6" s="16" t="s">
        <v>3690</v>
      </c>
      <c r="S6" s="93" t="s">
        <v>3691</v>
      </c>
      <c r="T6" s="120" t="s">
        <v>3653</v>
      </c>
      <c r="U6" s="93" t="s">
        <v>3675</v>
      </c>
      <c r="V6" s="16" t="s">
        <v>124</v>
      </c>
      <c r="W6" s="93" t="s">
        <v>3632</v>
      </c>
      <c r="X6" s="16" t="s">
        <v>251</v>
      </c>
      <c r="Y6" s="134" t="s">
        <v>3692</v>
      </c>
      <c r="Z6" s="16" t="s">
        <v>251</v>
      </c>
      <c r="AA6" s="134" t="s">
        <v>3692</v>
      </c>
      <c r="AB6" s="16" t="s">
        <v>251</v>
      </c>
      <c r="AC6" s="93" t="s">
        <v>3693</v>
      </c>
      <c r="AD6" s="16" t="s">
        <v>123</v>
      </c>
      <c r="AE6" s="93" t="s">
        <v>3694</v>
      </c>
      <c r="AF6" s="16" t="s">
        <v>251</v>
      </c>
      <c r="AG6" s="93" t="s">
        <v>3695</v>
      </c>
      <c r="AH6" s="16" t="s">
        <v>251</v>
      </c>
      <c r="AI6" s="93" t="s">
        <v>3695</v>
      </c>
      <c r="AJ6" s="16" t="s">
        <v>123</v>
      </c>
      <c r="AK6" s="93" t="s">
        <v>3696</v>
      </c>
      <c r="AL6" s="16" t="s">
        <v>123</v>
      </c>
      <c r="AM6" s="93" t="s">
        <v>3696</v>
      </c>
      <c r="AN6" s="116" t="s">
        <v>3697</v>
      </c>
      <c r="AO6" s="16" t="s">
        <v>3640</v>
      </c>
      <c r="AP6" s="116" t="s">
        <v>3698</v>
      </c>
      <c r="AQ6" s="16" t="s">
        <v>123</v>
      </c>
      <c r="AR6" s="130" t="s">
        <v>3699</v>
      </c>
      <c r="AS6" s="1"/>
      <c r="AT6" s="133">
        <v>41290.0</v>
      </c>
      <c r="AU6" s="132">
        <f>VLOOKUP(AT6,'Hoja 10'!$A$1:$B$32,2,FALSE())</f>
        <v>6</v>
      </c>
    </row>
    <row r="7" ht="75.75" customHeight="1">
      <c r="A7" s="135" t="s">
        <v>35</v>
      </c>
      <c r="B7" s="50" t="str">
        <f>IFERROR(HYPERLINK(VLOOKUP(A7,Internal_lists_bugs!$A$2:$I2002,9,FALSE()), VLOOKUP(A7,Internal_lists_bugs!$A$2:$C$73,3,FALSE())&amp;Char(10) &amp; Char(10) &amp; VLOOKUP(A7,Internal_lists_bugs!$A$2:$Z$73,26,FALSE())),"please select a BUG ID")</f>
        <v>https://bugs.launchpad.net/nova/+bug/1375379
/console/websocketproxy.py</v>
      </c>
      <c r="C7" s="81" t="str">
        <f>IFERROR(VLOOKUP(A7,Internal_lists_bugs!$A$2:$G2002,7,FALSE()),"please select a BUG ID")</f>
        <v>https://opendev.org/openstack/nova/commit/e71e8c2</v>
      </c>
      <c r="D7" s="54"/>
      <c r="E7" s="53"/>
      <c r="F7" s="16" t="s">
        <v>3618</v>
      </c>
      <c r="G7" s="53" t="s">
        <v>3700</v>
      </c>
      <c r="H7" s="54"/>
      <c r="I7" s="136"/>
      <c r="J7" s="137"/>
      <c r="K7" s="138"/>
      <c r="L7" s="137"/>
      <c r="M7" s="138"/>
      <c r="N7" s="137"/>
      <c r="O7" s="138"/>
      <c r="P7" s="137"/>
      <c r="Q7" s="138"/>
      <c r="R7" s="16" t="s">
        <v>3701</v>
      </c>
      <c r="S7" s="93" t="s">
        <v>3691</v>
      </c>
      <c r="T7" s="139"/>
      <c r="U7" s="138"/>
      <c r="V7" s="137"/>
      <c r="W7" s="138"/>
      <c r="X7" s="137"/>
      <c r="Y7" s="138"/>
      <c r="Z7" s="137"/>
      <c r="AA7" s="138"/>
      <c r="AB7" s="137"/>
      <c r="AC7" s="138"/>
      <c r="AD7" s="137"/>
      <c r="AE7" s="138"/>
      <c r="AF7" s="137"/>
      <c r="AG7" s="138"/>
      <c r="AH7" s="137"/>
      <c r="AI7" s="138"/>
      <c r="AJ7" s="137"/>
      <c r="AK7" s="138"/>
      <c r="AL7" s="137"/>
      <c r="AM7" s="138"/>
      <c r="AN7" s="140"/>
      <c r="AO7" s="137"/>
      <c r="AP7" s="141"/>
      <c r="AQ7" s="137"/>
      <c r="AR7" s="142"/>
      <c r="AS7" s="143"/>
      <c r="AT7" s="1"/>
      <c r="AU7" s="9"/>
    </row>
    <row r="8" ht="51.75" customHeight="1">
      <c r="A8" s="16" t="s">
        <v>36</v>
      </c>
      <c r="B8" s="50" t="str">
        <f>IFERROR(HYPERLINK(VLOOKUP(A8,Internal_lists_bugs!$A$2:$I2002,9,FALSE()), VLOOKUP(A8,Internal_lists_bugs!$A$2:$C$73,3,FALSE())&amp;Char(10) &amp; Char(10) &amp; VLOOKUP(A8,Internal_lists_bugs!$A$2:$Z$73,26,FALSE())),"please select a BUG ID")</f>
        <v>https://bugs.launchpad.net/nova/+bug/1486541
/compute/cells_api.py</v>
      </c>
      <c r="C8" s="81" t="str">
        <f>IFERROR(VLOOKUP(A8,Internal_lists_bugs!$A$2:$G2002,7,FALSE()),"please select a BUG ID")</f>
        <v>https://opendev.org/openstack/nova/commit/f5071bd1ac00ed68102d37c8025</v>
      </c>
      <c r="D8" s="16" t="s">
        <v>3618</v>
      </c>
      <c r="E8" s="53" t="s">
        <v>3702</v>
      </c>
      <c r="F8" s="16" t="s">
        <v>3618</v>
      </c>
      <c r="G8" s="53" t="s">
        <v>3703</v>
      </c>
      <c r="H8" s="16" t="s">
        <v>3620</v>
      </c>
      <c r="I8" s="53" t="s">
        <v>3704</v>
      </c>
      <c r="J8" s="16" t="s">
        <v>251</v>
      </c>
      <c r="K8" s="93" t="s">
        <v>3705</v>
      </c>
      <c r="L8" s="104" t="s">
        <v>3686</v>
      </c>
      <c r="M8" s="144" t="s">
        <v>3706</v>
      </c>
      <c r="N8" s="16" t="s">
        <v>251</v>
      </c>
      <c r="O8" s="94" t="s">
        <v>3707</v>
      </c>
      <c r="P8" s="16" t="s">
        <v>3708</v>
      </c>
      <c r="Q8" s="93" t="s">
        <v>3709</v>
      </c>
      <c r="R8" s="16" t="s">
        <v>3708</v>
      </c>
      <c r="S8" s="93" t="s">
        <v>3709</v>
      </c>
      <c r="T8" s="120" t="s">
        <v>3653</v>
      </c>
      <c r="U8" s="93" t="s">
        <v>3675</v>
      </c>
      <c r="V8" s="16" t="s">
        <v>124</v>
      </c>
      <c r="W8" s="93" t="s">
        <v>3632</v>
      </c>
      <c r="X8" s="16" t="s">
        <v>251</v>
      </c>
      <c r="Y8" s="93" t="s">
        <v>3710</v>
      </c>
      <c r="Z8" s="16" t="s">
        <v>124</v>
      </c>
      <c r="AA8" s="93" t="s">
        <v>3709</v>
      </c>
      <c r="AB8" s="16" t="s">
        <v>251</v>
      </c>
      <c r="AC8" s="94" t="s">
        <v>3711</v>
      </c>
      <c r="AD8" s="16" t="s">
        <v>124</v>
      </c>
      <c r="AE8" s="93" t="s">
        <v>3709</v>
      </c>
      <c r="AF8" s="95" t="s">
        <v>251</v>
      </c>
      <c r="AG8" s="98" t="s">
        <v>3712</v>
      </c>
      <c r="AH8" s="16" t="s">
        <v>124</v>
      </c>
      <c r="AI8" s="93" t="s">
        <v>3709</v>
      </c>
      <c r="AJ8" s="16" t="s">
        <v>251</v>
      </c>
      <c r="AK8" s="93" t="s">
        <v>3713</v>
      </c>
      <c r="AL8" s="16" t="s">
        <v>124</v>
      </c>
      <c r="AM8" s="93" t="s">
        <v>3709</v>
      </c>
      <c r="AN8" s="116" t="s">
        <v>3714</v>
      </c>
      <c r="AO8" s="16" t="s">
        <v>3640</v>
      </c>
      <c r="AP8" s="116" t="s">
        <v>3715</v>
      </c>
      <c r="AQ8" s="16" t="s">
        <v>123</v>
      </c>
      <c r="AR8" s="130" t="s">
        <v>3699</v>
      </c>
      <c r="AS8" s="9" t="s">
        <v>3716</v>
      </c>
      <c r="AT8" s="133">
        <v>41704.0</v>
      </c>
      <c r="AU8" s="132">
        <f>VLOOKUP(AT8,'Hoja 10'!$A$1:$B$32,2,FALSE())</f>
        <v>17</v>
      </c>
    </row>
    <row r="9" ht="58.5" customHeight="1">
      <c r="A9" s="16" t="s">
        <v>37</v>
      </c>
      <c r="B9" s="50" t="str">
        <f>IFERROR(HYPERLINK(VLOOKUP(A9,Internal_lists_bugs!$A$2:$I2002,9,FALSE()), VLOOKUP(A9,Internal_lists_bugs!$A$2:$C$73,3,FALSE())&amp;Char(10) &amp; Char(10) &amp; VLOOKUP(A9,Internal_lists_bugs!$A$2:$Z$73,26,FALSE())),"please select a BUG ID")</f>
        <v>https://bugs.launchpad.net/nova/+bug/1314677
/cells/state.py</v>
      </c>
      <c r="C9" s="81" t="str">
        <f>IFERROR(VLOOKUP(A9,Internal_lists_bugs!$A$2:$G2002,7,FALSE()),"please select a BUG ID")</f>
        <v>https://opendev.org/openstack/nova/commit/88ab936</v>
      </c>
      <c r="D9" s="16" t="s">
        <v>3663</v>
      </c>
      <c r="E9" s="53" t="s">
        <v>3717</v>
      </c>
      <c r="F9" s="16" t="s">
        <v>3620</v>
      </c>
      <c r="G9" s="53" t="s">
        <v>3718</v>
      </c>
      <c r="H9" s="16" t="s">
        <v>3620</v>
      </c>
      <c r="I9" s="53" t="s">
        <v>3719</v>
      </c>
      <c r="J9" s="16" t="s">
        <v>123</v>
      </c>
      <c r="K9" s="93" t="s">
        <v>3720</v>
      </c>
      <c r="L9" s="16" t="s">
        <v>3721</v>
      </c>
      <c r="M9" s="93" t="s">
        <v>3722</v>
      </c>
      <c r="N9" s="16" t="s">
        <v>251</v>
      </c>
      <c r="O9" s="93" t="s">
        <v>3723</v>
      </c>
      <c r="P9" s="16" t="s">
        <v>3627</v>
      </c>
      <c r="Q9" s="93" t="s">
        <v>3724</v>
      </c>
      <c r="R9" s="16" t="s">
        <v>3629</v>
      </c>
      <c r="S9" s="99" t="s">
        <v>3652</v>
      </c>
      <c r="T9" s="120" t="s">
        <v>3653</v>
      </c>
      <c r="U9" s="93" t="s">
        <v>3675</v>
      </c>
      <c r="V9" s="16" t="s">
        <v>124</v>
      </c>
      <c r="W9" s="93" t="s">
        <v>3632</v>
      </c>
      <c r="X9" s="25" t="s">
        <v>123</v>
      </c>
      <c r="Y9" s="145" t="s">
        <v>3725</v>
      </c>
      <c r="Z9" s="25" t="s">
        <v>123</v>
      </c>
      <c r="AA9" s="145" t="s">
        <v>3725</v>
      </c>
      <c r="AB9" s="146" t="s">
        <v>251</v>
      </c>
      <c r="AC9" s="147" t="s">
        <v>3726</v>
      </c>
      <c r="AD9" s="146" t="s">
        <v>251</v>
      </c>
      <c r="AE9" s="147" t="s">
        <v>3726</v>
      </c>
      <c r="AF9" s="16" t="s">
        <v>251</v>
      </c>
      <c r="AG9" s="93" t="s">
        <v>3727</v>
      </c>
      <c r="AH9" s="16" t="s">
        <v>251</v>
      </c>
      <c r="AI9" s="93" t="s">
        <v>3728</v>
      </c>
      <c r="AJ9" s="16" t="s">
        <v>123</v>
      </c>
      <c r="AK9" s="93" t="s">
        <v>3658</v>
      </c>
      <c r="AL9" s="16" t="s">
        <v>123</v>
      </c>
      <c r="AM9" s="93" t="s">
        <v>3658</v>
      </c>
      <c r="AN9" s="116" t="s">
        <v>3729</v>
      </c>
      <c r="AO9" s="16" t="s">
        <v>3640</v>
      </c>
      <c r="AP9" s="116" t="s">
        <v>3730</v>
      </c>
      <c r="AQ9" s="16" t="s">
        <v>123</v>
      </c>
      <c r="AR9" s="130" t="s">
        <v>3699</v>
      </c>
      <c r="AS9" s="1"/>
      <c r="AT9" s="133">
        <v>41470.0</v>
      </c>
      <c r="AU9" s="132">
        <f>VLOOKUP(AT9,'Hoja 10'!$A$1:$B$32,2,FALSE())</f>
        <v>11</v>
      </c>
    </row>
    <row r="10" ht="54.0" customHeight="1">
      <c r="A10" s="16" t="s">
        <v>38</v>
      </c>
      <c r="B10" s="50" t="str">
        <f>IFERROR(HYPERLINK(VLOOKUP(A10,Internal_lists_bugs!$A$2:$I2002,9,FALSE()), VLOOKUP(A10,Internal_lists_bugs!$A$2:$C$73,3,FALSE())&amp;Char(10) &amp; Char(10) &amp; VLOOKUP(A10,Internal_lists_bugs!$A$2:$Z$73,26,FALSE())),"please select a BUG ID")</f>
        <v>https://bugs.launchpad.net/nova/+bug/1294939
/network/manager.py</v>
      </c>
      <c r="C10" s="81" t="str">
        <f>IFERROR(VLOOKUP(A10,Internal_lists_bugs!$A$2:$G2002,7,FALSE()),"please select a BUG ID")</f>
        <v>https://opendev.org/openstack/nova/commit/542958fac7445a14dea</v>
      </c>
      <c r="D10" s="16" t="s">
        <v>3663</v>
      </c>
      <c r="E10" s="53" t="s">
        <v>3731</v>
      </c>
      <c r="F10" s="16" t="s">
        <v>3620</v>
      </c>
      <c r="G10" s="53" t="s">
        <v>3732</v>
      </c>
      <c r="H10" s="16" t="s">
        <v>3618</v>
      </c>
      <c r="I10" s="53" t="s">
        <v>3733</v>
      </c>
      <c r="J10" s="16" t="s">
        <v>123</v>
      </c>
      <c r="K10" s="93" t="s">
        <v>3734</v>
      </c>
      <c r="L10" s="16" t="s">
        <v>3686</v>
      </c>
      <c r="M10" s="93" t="s">
        <v>3735</v>
      </c>
      <c r="N10" s="16" t="s">
        <v>251</v>
      </c>
      <c r="O10" s="94" t="s">
        <v>3736</v>
      </c>
      <c r="P10" s="16" t="s">
        <v>3627</v>
      </c>
      <c r="Q10" s="93" t="s">
        <v>3737</v>
      </c>
      <c r="R10" s="16" t="s">
        <v>3629</v>
      </c>
      <c r="S10" s="99" t="s">
        <v>3652</v>
      </c>
      <c r="T10" s="120" t="s">
        <v>3674</v>
      </c>
      <c r="U10" s="93" t="s">
        <v>3738</v>
      </c>
      <c r="V10" s="16" t="s">
        <v>124</v>
      </c>
      <c r="W10" s="93" t="s">
        <v>3632</v>
      </c>
      <c r="X10" s="16" t="s">
        <v>123</v>
      </c>
      <c r="Y10" s="93" t="s">
        <v>3739</v>
      </c>
      <c r="Z10" s="16" t="s">
        <v>123</v>
      </c>
      <c r="AA10" s="93" t="s">
        <v>3739</v>
      </c>
      <c r="AB10" s="146" t="s">
        <v>251</v>
      </c>
      <c r="AC10" s="147" t="s">
        <v>3740</v>
      </c>
      <c r="AD10" s="146" t="s">
        <v>251</v>
      </c>
      <c r="AE10" s="147" t="s">
        <v>3741</v>
      </c>
      <c r="AF10" s="16" t="s">
        <v>123</v>
      </c>
      <c r="AG10" s="93" t="s">
        <v>3742</v>
      </c>
      <c r="AH10" s="16" t="s">
        <v>123</v>
      </c>
      <c r="AI10" s="93" t="s">
        <v>3742</v>
      </c>
      <c r="AJ10" s="16" t="s">
        <v>123</v>
      </c>
      <c r="AK10" s="93" t="s">
        <v>3658</v>
      </c>
      <c r="AL10" s="16" t="s">
        <v>123</v>
      </c>
      <c r="AM10" s="93" t="s">
        <v>3658</v>
      </c>
      <c r="AN10" s="116" t="s">
        <v>3743</v>
      </c>
      <c r="AO10" s="16" t="s">
        <v>3640</v>
      </c>
      <c r="AP10" s="116" t="s">
        <v>3744</v>
      </c>
      <c r="AQ10" s="16" t="s">
        <v>123</v>
      </c>
      <c r="AR10" s="130" t="s">
        <v>3699</v>
      </c>
      <c r="AS10" s="1"/>
      <c r="AT10" s="133">
        <v>41682.0</v>
      </c>
      <c r="AU10" s="132">
        <f>VLOOKUP(AT10,'Hoja 10'!$A$1:$B$32,2,FALSE())</f>
        <v>16</v>
      </c>
    </row>
    <row r="11" ht="22.5" customHeight="1">
      <c r="A11" s="135" t="s">
        <v>38</v>
      </c>
      <c r="B11" s="50" t="str">
        <f>IFERROR(HYPERLINK(VLOOKUP(A11,Internal_lists_bugs!$A$2:$I2002,9,FALSE()), VLOOKUP(A11,Internal_lists_bugs!$A$2:$C$73,3,FALSE())&amp;Char(10) &amp; Char(10) &amp; VLOOKUP(A11,Internal_lists_bugs!$A$2:$Z$73,26,FALSE())),"please select a BUG ID")</f>
        <v>https://bugs.launchpad.net/nova/+bug/1294939
/network/manager.py</v>
      </c>
      <c r="C11" s="81" t="str">
        <f>IFERROR(VLOOKUP(A11,Internal_lists_bugs!$A$2:$G2002,7,FALSE()),"please select a BUG ID")</f>
        <v>https://opendev.org/openstack/nova/commit/542958fac7445a14dea</v>
      </c>
      <c r="D11" s="54"/>
      <c r="E11" s="53"/>
      <c r="F11" s="16" t="s">
        <v>3663</v>
      </c>
      <c r="G11" s="53" t="s">
        <v>3745</v>
      </c>
      <c r="H11" s="54"/>
      <c r="I11" s="136"/>
      <c r="J11" s="148"/>
      <c r="K11" s="149"/>
      <c r="L11" s="148"/>
      <c r="M11" s="149"/>
      <c r="N11" s="148"/>
      <c r="O11" s="149"/>
      <c r="P11" s="148"/>
      <c r="Q11" s="149"/>
      <c r="R11" s="16" t="s">
        <v>3701</v>
      </c>
      <c r="S11" s="99" t="s">
        <v>3746</v>
      </c>
      <c r="T11" s="139"/>
      <c r="U11" s="149"/>
      <c r="V11" s="148"/>
      <c r="W11" s="149"/>
      <c r="X11" s="148"/>
      <c r="Y11" s="149"/>
      <c r="Z11" s="148"/>
      <c r="AA11" s="149"/>
      <c r="AB11" s="148"/>
      <c r="AC11" s="149"/>
      <c r="AD11" s="148"/>
      <c r="AE11" s="149"/>
      <c r="AF11" s="148"/>
      <c r="AG11" s="149"/>
      <c r="AH11" s="148"/>
      <c r="AI11" s="149"/>
      <c r="AJ11" s="148"/>
      <c r="AK11" s="149"/>
      <c r="AL11" s="148"/>
      <c r="AM11" s="149"/>
      <c r="AN11" s="150"/>
      <c r="AO11" s="148"/>
      <c r="AP11" s="151"/>
      <c r="AQ11" s="148"/>
      <c r="AR11" s="152"/>
      <c r="AS11" s="153"/>
      <c r="AT11" s="1"/>
      <c r="AU11" s="9"/>
    </row>
    <row r="12" ht="48.75" customHeight="1">
      <c r="A12" s="16" t="s">
        <v>39</v>
      </c>
      <c r="B12" s="50" t="str">
        <f>IFERROR(HYPERLINK(VLOOKUP(A12,Internal_lists_bugs!$A$2:$I2002,9,FALSE()), VLOOKUP(A12,Internal_lists_bugs!$A$2:$C$73,3,FALSE())&amp;Char(10) &amp; Char(10) &amp; VLOOKUP(A12,Internal_lists_bugs!$A$2:$Z$73,26,FALSE())),"please select a BUG ID")</f>
        <v>https://bugs.launchpad.net/nova/+bug/1443697
/vmwareapi/vmops.py</v>
      </c>
      <c r="C12" s="81" t="str">
        <f>IFERROR(VLOOKUP(A12,Internal_lists_bugs!$A$2:$G2002,7,FALSE()),"please select a BUG ID")</f>
        <v>https://opendev.org/openstack/nova/commit/f3f1a53f</v>
      </c>
      <c r="D12" s="16" t="s">
        <v>3618</v>
      </c>
      <c r="E12" s="53" t="s">
        <v>3747</v>
      </c>
      <c r="F12" s="16" t="s">
        <v>3620</v>
      </c>
      <c r="G12" s="53" t="s">
        <v>3748</v>
      </c>
      <c r="H12" s="16" t="s">
        <v>3620</v>
      </c>
      <c r="I12" s="53" t="s">
        <v>3749</v>
      </c>
      <c r="J12" s="16" t="s">
        <v>251</v>
      </c>
      <c r="K12" s="93" t="s">
        <v>3750</v>
      </c>
      <c r="L12" s="16" t="s">
        <v>3624</v>
      </c>
      <c r="M12" s="93" t="s">
        <v>3751</v>
      </c>
      <c r="N12" s="16" t="s">
        <v>251</v>
      </c>
      <c r="O12" s="94" t="s">
        <v>3752</v>
      </c>
      <c r="P12" s="16" t="s">
        <v>3627</v>
      </c>
      <c r="Q12" s="93" t="s">
        <v>3753</v>
      </c>
      <c r="R12" s="16" t="s">
        <v>3629</v>
      </c>
      <c r="S12" s="99" t="s">
        <v>3652</v>
      </c>
      <c r="T12" s="120" t="s">
        <v>3674</v>
      </c>
      <c r="U12" s="93" t="s">
        <v>3754</v>
      </c>
      <c r="V12" s="16" t="s">
        <v>124</v>
      </c>
      <c r="W12" s="93" t="s">
        <v>3632</v>
      </c>
      <c r="X12" s="16" t="s">
        <v>251</v>
      </c>
      <c r="Y12" s="93" t="s">
        <v>3755</v>
      </c>
      <c r="Z12" s="16" t="s">
        <v>251</v>
      </c>
      <c r="AA12" s="93" t="s">
        <v>3756</v>
      </c>
      <c r="AB12" s="16" t="s">
        <v>251</v>
      </c>
      <c r="AC12" s="93" t="s">
        <v>3757</v>
      </c>
      <c r="AD12" s="16" t="s">
        <v>123</v>
      </c>
      <c r="AE12" s="93" t="s">
        <v>3656</v>
      </c>
      <c r="AF12" s="16" t="s">
        <v>123</v>
      </c>
      <c r="AG12" s="92"/>
      <c r="AH12" s="16" t="s">
        <v>123</v>
      </c>
      <c r="AI12" s="92"/>
      <c r="AJ12" s="16" t="s">
        <v>123</v>
      </c>
      <c r="AK12" s="93" t="s">
        <v>3758</v>
      </c>
      <c r="AL12" s="16" t="s">
        <v>123</v>
      </c>
      <c r="AM12" s="93" t="s">
        <v>3758</v>
      </c>
      <c r="AN12" s="116" t="s">
        <v>3759</v>
      </c>
      <c r="AO12" s="16" t="s">
        <v>3640</v>
      </c>
      <c r="AP12" s="116" t="s">
        <v>3760</v>
      </c>
      <c r="AQ12" s="16" t="s">
        <v>123</v>
      </c>
      <c r="AR12" s="130"/>
      <c r="AS12" s="1"/>
      <c r="AT12" s="133">
        <v>42049.0</v>
      </c>
      <c r="AU12" s="132">
        <f>VLOOKUP(AT12,'Hoja 10'!$A$1:$B$32,2,FALSE())</f>
        <v>29</v>
      </c>
    </row>
    <row r="13" ht="42.0" customHeight="1">
      <c r="A13" s="135" t="s">
        <v>39</v>
      </c>
      <c r="B13" s="50" t="str">
        <f>IFERROR(HYPERLINK(VLOOKUP(A13,Internal_lists_bugs!$A$2:$I2002,9,FALSE()), VLOOKUP(A13,Internal_lists_bugs!$A$2:$C$73,3,FALSE())&amp;Char(10) &amp; Char(10) &amp; VLOOKUP(A13,Internal_lists_bugs!$A$2:$Z$73,26,FALSE())),"please select a BUG ID")</f>
        <v>https://bugs.launchpad.net/nova/+bug/1443697
/vmwareapi/vmops.py</v>
      </c>
      <c r="C13" s="81" t="str">
        <f>IFERROR(VLOOKUP(A13,Internal_lists_bugs!$A$2:$G2002,7,FALSE()),"please select a BUG ID")</f>
        <v>https://opendev.org/openstack/nova/commit/f3f1a53f</v>
      </c>
      <c r="D13" s="54"/>
      <c r="E13" s="53"/>
      <c r="F13" s="16" t="s">
        <v>3618</v>
      </c>
      <c r="G13" s="53" t="s">
        <v>3761</v>
      </c>
      <c r="H13" s="148"/>
      <c r="I13" s="136"/>
      <c r="J13" s="148"/>
      <c r="K13" s="149"/>
      <c r="L13" s="148"/>
      <c r="M13" s="149"/>
      <c r="N13" s="148"/>
      <c r="O13" s="149"/>
      <c r="P13" s="148"/>
      <c r="Q13" s="149"/>
      <c r="R13" s="16" t="s">
        <v>3701</v>
      </c>
      <c r="S13" s="93" t="s">
        <v>3691</v>
      </c>
      <c r="T13" s="139"/>
      <c r="U13" s="149"/>
      <c r="V13" s="148"/>
      <c r="W13" s="149"/>
      <c r="X13" s="148"/>
      <c r="Y13" s="149"/>
      <c r="Z13" s="148"/>
      <c r="AA13" s="149"/>
      <c r="AB13" s="148"/>
      <c r="AC13" s="149"/>
      <c r="AD13" s="148"/>
      <c r="AE13" s="149"/>
      <c r="AF13" s="148"/>
      <c r="AG13" s="149"/>
      <c r="AH13" s="148"/>
      <c r="AI13" s="149"/>
      <c r="AJ13" s="148"/>
      <c r="AK13" s="149"/>
      <c r="AL13" s="148"/>
      <c r="AM13" s="149"/>
      <c r="AN13" s="150"/>
      <c r="AO13" s="148"/>
      <c r="AP13" s="151"/>
      <c r="AQ13" s="148"/>
      <c r="AR13" s="152"/>
      <c r="AS13" s="153"/>
      <c r="AT13" s="1"/>
      <c r="AU13" s="9"/>
    </row>
    <row r="14" ht="48.0" customHeight="1">
      <c r="A14" s="16" t="s">
        <v>40</v>
      </c>
      <c r="B14" s="50" t="str">
        <f>IFERROR(HYPERLINK(VLOOKUP(A14,Internal_lists_bugs!$A$2:$I2002,9,FALSE()), VLOOKUP(A14,Internal_lists_bugs!$A$2:$C$73,3,FALSE())&amp;Char(10) &amp; Char(10) &amp; VLOOKUP(A14,Internal_lists_bugs!$A$2:$Z$73,26,FALSE())),"please select a BUG ID")</f>
        <v>https://bugs.launchpad.net/nova/+bug/1300788
/vmwareapi/vmops.py</v>
      </c>
      <c r="C14" s="81" t="str">
        <f>IFERROR(VLOOKUP(A14,Internal_lists_bugs!$A$2:$G2002,7,FALSE()),"please select a BUG ID")</f>
        <v>https://opendev.org/openstack/nova/commit/e517e5668ab</v>
      </c>
      <c r="D14" s="16" t="s">
        <v>3618</v>
      </c>
      <c r="E14" s="53" t="s">
        <v>3762</v>
      </c>
      <c r="F14" s="16" t="s">
        <v>3620</v>
      </c>
      <c r="G14" s="53" t="s">
        <v>3763</v>
      </c>
      <c r="H14" s="16" t="s">
        <v>3620</v>
      </c>
      <c r="I14" s="53" t="s">
        <v>3764</v>
      </c>
      <c r="J14" s="16" t="s">
        <v>123</v>
      </c>
      <c r="K14" s="93" t="s">
        <v>3765</v>
      </c>
      <c r="L14" s="16" t="s">
        <v>3648</v>
      </c>
      <c r="M14" s="93" t="s">
        <v>3766</v>
      </c>
      <c r="N14" s="16" t="s">
        <v>251</v>
      </c>
      <c r="O14" s="94" t="s">
        <v>3767</v>
      </c>
      <c r="P14" s="16" t="s">
        <v>3670</v>
      </c>
      <c r="Q14" s="93" t="s">
        <v>3768</v>
      </c>
      <c r="R14" s="16" t="s">
        <v>3672</v>
      </c>
      <c r="S14" s="99" t="s">
        <v>3769</v>
      </c>
      <c r="T14" s="120" t="s">
        <v>3653</v>
      </c>
      <c r="U14" s="93" t="s">
        <v>3675</v>
      </c>
      <c r="V14" s="16" t="s">
        <v>124</v>
      </c>
      <c r="W14" s="93" t="s">
        <v>3632</v>
      </c>
      <c r="X14" s="16" t="s">
        <v>251</v>
      </c>
      <c r="Y14" s="93" t="s">
        <v>3770</v>
      </c>
      <c r="Z14" s="16" t="s">
        <v>123</v>
      </c>
      <c r="AA14" s="93" t="s">
        <v>3771</v>
      </c>
      <c r="AB14" s="16" t="s">
        <v>251</v>
      </c>
      <c r="AC14" s="93" t="s">
        <v>3772</v>
      </c>
      <c r="AD14" s="16" t="s">
        <v>251</v>
      </c>
      <c r="AE14" s="93" t="s">
        <v>3772</v>
      </c>
      <c r="AF14" s="16" t="s">
        <v>123</v>
      </c>
      <c r="AG14" s="93" t="s">
        <v>3773</v>
      </c>
      <c r="AH14" s="16" t="s">
        <v>123</v>
      </c>
      <c r="AI14" s="93" t="s">
        <v>3773</v>
      </c>
      <c r="AJ14" s="16" t="s">
        <v>251</v>
      </c>
      <c r="AK14" s="93" t="s">
        <v>3774</v>
      </c>
      <c r="AL14" s="16" t="s">
        <v>123</v>
      </c>
      <c r="AM14" s="93" t="s">
        <v>3775</v>
      </c>
      <c r="AN14" s="116" t="s">
        <v>3776</v>
      </c>
      <c r="AO14" s="16" t="s">
        <v>3640</v>
      </c>
      <c r="AP14" s="116" t="s">
        <v>3777</v>
      </c>
      <c r="AQ14" s="16" t="s">
        <v>123</v>
      </c>
      <c r="AR14" s="130" t="s">
        <v>3642</v>
      </c>
      <c r="AS14" s="1"/>
      <c r="AT14" s="133">
        <v>41438.0</v>
      </c>
      <c r="AU14" s="132">
        <f>VLOOKUP(AT14,'Hoja 10'!$A$1:$B$32,2,FALSE())</f>
        <v>10</v>
      </c>
    </row>
    <row r="15" ht="60.75" customHeight="1">
      <c r="A15" s="16" t="s">
        <v>41</v>
      </c>
      <c r="B15" s="50" t="str">
        <f>IFERROR(HYPERLINK(VLOOKUP(A15,Internal_lists_bugs!$A$2:$I2002,9,FALSE()), VLOOKUP(A15,Internal_lists_bugs!$A$2:$C$73,3,FALSE())&amp;Char(10) &amp; Char(10) &amp; VLOOKUP(A15,Internal_lists_bugs!$A$2:$Z$73,26,FALSE())),"please select a BUG ID")</f>
        <v>https://bugs.launchpad.net/nova/+bug/1466390
/sqlalchemy/api.py</v>
      </c>
      <c r="C15" s="81" t="str">
        <f>IFERROR(VLOOKUP(A15,Internal_lists_bugs!$A$2:$G2002,7,FALSE()),"please select a BUG ID")</f>
        <v>https://opendev.org/openstack/nova/commit/501ff41</v>
      </c>
      <c r="D15" s="16" t="s">
        <v>3618</v>
      </c>
      <c r="E15" s="53" t="s">
        <v>3778</v>
      </c>
      <c r="F15" s="16" t="s">
        <v>3620</v>
      </c>
      <c r="G15" s="53" t="s">
        <v>3779</v>
      </c>
      <c r="H15" s="16" t="s">
        <v>3620</v>
      </c>
      <c r="I15" s="53" t="s">
        <v>3780</v>
      </c>
      <c r="J15" s="16" t="s">
        <v>123</v>
      </c>
      <c r="K15" s="93" t="s">
        <v>3781</v>
      </c>
      <c r="L15" s="16" t="s">
        <v>3782</v>
      </c>
      <c r="M15" s="93" t="s">
        <v>3783</v>
      </c>
      <c r="N15" s="16" t="s">
        <v>251</v>
      </c>
      <c r="O15" s="93" t="s">
        <v>3784</v>
      </c>
      <c r="P15" s="16" t="s">
        <v>3670</v>
      </c>
      <c r="Q15" s="93" t="s">
        <v>3785</v>
      </c>
      <c r="R15" s="16" t="s">
        <v>3786</v>
      </c>
      <c r="S15" s="99" t="s">
        <v>3787</v>
      </c>
      <c r="T15" s="120" t="s">
        <v>3653</v>
      </c>
      <c r="U15" s="93" t="s">
        <v>3675</v>
      </c>
      <c r="V15" s="16" t="s">
        <v>124</v>
      </c>
      <c r="W15" s="93" t="s">
        <v>3632</v>
      </c>
      <c r="X15" s="16" t="s">
        <v>251</v>
      </c>
      <c r="Y15" s="93" t="s">
        <v>3788</v>
      </c>
      <c r="Z15" s="16" t="s">
        <v>251</v>
      </c>
      <c r="AA15" s="93" t="s">
        <v>3789</v>
      </c>
      <c r="AB15" s="16" t="s">
        <v>123</v>
      </c>
      <c r="AC15" s="93" t="s">
        <v>3656</v>
      </c>
      <c r="AD15" s="16" t="s">
        <v>123</v>
      </c>
      <c r="AE15" s="93" t="s">
        <v>3656</v>
      </c>
      <c r="AF15" s="16" t="s">
        <v>251</v>
      </c>
      <c r="AG15" s="94" t="s">
        <v>3790</v>
      </c>
      <c r="AH15" s="16" t="s">
        <v>123</v>
      </c>
      <c r="AI15" s="93" t="s">
        <v>3791</v>
      </c>
      <c r="AJ15" s="16" t="s">
        <v>251</v>
      </c>
      <c r="AK15" s="93" t="s">
        <v>3792</v>
      </c>
      <c r="AL15" s="16" t="s">
        <v>123</v>
      </c>
      <c r="AM15" s="93" t="s">
        <v>3793</v>
      </c>
      <c r="AN15" s="116" t="s">
        <v>3794</v>
      </c>
      <c r="AO15" s="16" t="s">
        <v>3640</v>
      </c>
      <c r="AP15" s="116" t="s">
        <v>3795</v>
      </c>
      <c r="AQ15" s="16" t="s">
        <v>123</v>
      </c>
      <c r="AR15" s="154"/>
      <c r="AS15" s="1"/>
      <c r="AT15" s="133">
        <v>41436.0</v>
      </c>
      <c r="AU15" s="132">
        <f>VLOOKUP(AT15,'Hoja 10'!$A$1:$B$32,2,FALSE())</f>
        <v>9</v>
      </c>
    </row>
    <row r="16" ht="51.75" customHeight="1">
      <c r="A16" s="16" t="s">
        <v>42</v>
      </c>
      <c r="B16" s="50" t="str">
        <f>IFERROR(HYPERLINK(VLOOKUP(A16,Internal_lists_bugs!$A$2:$I2002,9,FALSE()), VLOOKUP(A16,Internal_lists_bugs!$A$2:$C$73,3,FALSE())&amp;Char(10) &amp; Char(10) &amp; VLOOKUP(A16,Internal_lists_bugs!$A$2:$Z$73,26,FALSE())),"please select a BUG ID")</f>
        <v>https://bugs.launchpad.net/nova/+bug/1467451
/hyperv/vmutils.py
/virt/hyperv/vmutilsv2.py </v>
      </c>
      <c r="C16" s="81" t="str">
        <f>IFERROR(VLOOKUP(A16,Internal_lists_bugs!$A$2:$G2002,7,FALSE()),"please select a BUG ID")</f>
        <v>https://opendev.org/openstack/nova/commit/0e02db2980dc4e76ef7949ba4ec131af9fc4a44d</v>
      </c>
      <c r="D16" s="16" t="s">
        <v>3618</v>
      </c>
      <c r="E16" s="53" t="s">
        <v>3796</v>
      </c>
      <c r="F16" s="16" t="s">
        <v>3620</v>
      </c>
      <c r="G16" s="53" t="s">
        <v>3797</v>
      </c>
      <c r="H16" s="16" t="s">
        <v>3620</v>
      </c>
      <c r="I16" s="53" t="s">
        <v>3798</v>
      </c>
      <c r="J16" s="16" t="s">
        <v>123</v>
      </c>
      <c r="K16" s="93" t="s">
        <v>3799</v>
      </c>
      <c r="L16" s="16" t="s">
        <v>3686</v>
      </c>
      <c r="M16" s="93" t="s">
        <v>3800</v>
      </c>
      <c r="N16" s="16" t="s">
        <v>251</v>
      </c>
      <c r="O16" s="93" t="s">
        <v>3801</v>
      </c>
      <c r="P16" s="16" t="s">
        <v>3627</v>
      </c>
      <c r="Q16" s="93" t="s">
        <v>3802</v>
      </c>
      <c r="R16" s="16" t="s">
        <v>3629</v>
      </c>
      <c r="S16" s="99" t="s">
        <v>3787</v>
      </c>
      <c r="T16" s="120" t="s">
        <v>3674</v>
      </c>
      <c r="U16" s="93" t="s">
        <v>3675</v>
      </c>
      <c r="V16" s="16" t="s">
        <v>124</v>
      </c>
      <c r="W16" s="93" t="s">
        <v>3632</v>
      </c>
      <c r="X16" s="16" t="s">
        <v>251</v>
      </c>
      <c r="Y16" s="93" t="s">
        <v>3803</v>
      </c>
      <c r="Z16" s="16" t="s">
        <v>123</v>
      </c>
      <c r="AA16" s="93" t="s">
        <v>3804</v>
      </c>
      <c r="AB16" s="16" t="s">
        <v>251</v>
      </c>
      <c r="AC16" s="93" t="s">
        <v>3805</v>
      </c>
      <c r="AD16" s="16" t="s">
        <v>251</v>
      </c>
      <c r="AE16" s="93" t="s">
        <v>3806</v>
      </c>
      <c r="AF16" s="16" t="s">
        <v>251</v>
      </c>
      <c r="AG16" s="93" t="s">
        <v>3807</v>
      </c>
      <c r="AH16" s="16" t="s">
        <v>123</v>
      </c>
      <c r="AI16" s="93" t="s">
        <v>3808</v>
      </c>
      <c r="AJ16" s="16" t="s">
        <v>251</v>
      </c>
      <c r="AK16" s="93" t="s">
        <v>3809</v>
      </c>
      <c r="AL16" s="16" t="s">
        <v>123</v>
      </c>
      <c r="AM16" s="93" t="s">
        <v>3793</v>
      </c>
      <c r="AN16" s="116" t="s">
        <v>3810</v>
      </c>
      <c r="AO16" s="16" t="s">
        <v>3640</v>
      </c>
      <c r="AP16" s="116" t="s">
        <v>3811</v>
      </c>
      <c r="AQ16" s="16" t="s">
        <v>123</v>
      </c>
      <c r="AR16" s="130" t="s">
        <v>3812</v>
      </c>
      <c r="AS16" s="1"/>
      <c r="AT16" s="133">
        <v>41981.0</v>
      </c>
      <c r="AU16" s="132">
        <f>VLOOKUP(AT16,'Hoja 10'!$A$1:$B$32,2,FALSE())</f>
        <v>26</v>
      </c>
    </row>
    <row r="17" ht="47.25" customHeight="1">
      <c r="A17" s="54" t="s">
        <v>43</v>
      </c>
      <c r="B17" s="50" t="str">
        <f>IFERROR(HYPERLINK(VLOOKUP(A17,Internal_lists_bugs!$A$2:$I2002,9,FALSE()), VLOOKUP(A17,Internal_lists_bugs!$A$2:$C$73,3,FALSE())&amp;Char(10) &amp; Char(10) &amp; VLOOKUP(A17,Internal_lists_bugs!$A$2:$Z$73,26,FALSE())),"please select a BUG ID")</f>
        <v>https://bugs.launchpad.net/nova/+bug/1392798
/compute/manager.py</v>
      </c>
      <c r="C17" s="81" t="str">
        <f>IFERROR(VLOOKUP(A17,Internal_lists_bugs!$A$2:$G2002,7,FALSE()),"please select a BUG ID")</f>
        <v>https://opendev.org/openstack/nova/commit/a9d0313c</v>
      </c>
      <c r="D17" s="16" t="s">
        <v>3618</v>
      </c>
      <c r="E17" s="53" t="s">
        <v>3813</v>
      </c>
      <c r="F17" s="16" t="s">
        <v>3620</v>
      </c>
      <c r="G17" s="53" t="s">
        <v>3814</v>
      </c>
      <c r="H17" s="16" t="s">
        <v>3620</v>
      </c>
      <c r="I17" s="53" t="s">
        <v>3815</v>
      </c>
      <c r="J17" s="16" t="s">
        <v>123</v>
      </c>
      <c r="K17" s="93" t="s">
        <v>3816</v>
      </c>
      <c r="L17" s="16" t="s">
        <v>3648</v>
      </c>
      <c r="M17" s="93" t="s">
        <v>3817</v>
      </c>
      <c r="N17" s="16" t="s">
        <v>251</v>
      </c>
      <c r="O17" s="93" t="s">
        <v>3818</v>
      </c>
      <c r="P17" s="16" t="s">
        <v>3627</v>
      </c>
      <c r="Q17" s="93" t="s">
        <v>3819</v>
      </c>
      <c r="R17" s="16" t="s">
        <v>3629</v>
      </c>
      <c r="S17" s="99" t="s">
        <v>3787</v>
      </c>
      <c r="T17" s="120" t="s">
        <v>3653</v>
      </c>
      <c r="U17" s="93" t="s">
        <v>3820</v>
      </c>
      <c r="V17" s="16" t="s">
        <v>124</v>
      </c>
      <c r="W17" s="93" t="s">
        <v>3632</v>
      </c>
      <c r="X17" s="16" t="s">
        <v>251</v>
      </c>
      <c r="Y17" s="93" t="s">
        <v>3821</v>
      </c>
      <c r="Z17" s="16" t="s">
        <v>251</v>
      </c>
      <c r="AA17" s="93" t="s">
        <v>3821</v>
      </c>
      <c r="AB17" s="16" t="s">
        <v>123</v>
      </c>
      <c r="AC17" s="93" t="s">
        <v>3822</v>
      </c>
      <c r="AD17" s="16" t="s">
        <v>123</v>
      </c>
      <c r="AE17" s="93" t="s">
        <v>3822</v>
      </c>
      <c r="AF17" s="16" t="s">
        <v>123</v>
      </c>
      <c r="AG17" s="92"/>
      <c r="AH17" s="16" t="s">
        <v>123</v>
      </c>
      <c r="AI17" s="92"/>
      <c r="AJ17" s="16" t="s">
        <v>123</v>
      </c>
      <c r="AK17" s="92"/>
      <c r="AL17" s="16" t="s">
        <v>123</v>
      </c>
      <c r="AM17" s="92"/>
      <c r="AN17" s="116" t="s">
        <v>3823</v>
      </c>
      <c r="AO17" s="16" t="s">
        <v>3640</v>
      </c>
      <c r="AP17" s="116" t="s">
        <v>3824</v>
      </c>
      <c r="AQ17" s="16" t="s">
        <v>123</v>
      </c>
      <c r="AR17" s="154"/>
      <c r="AS17" s="1"/>
      <c r="AT17" s="133">
        <v>41981.0</v>
      </c>
      <c r="AU17" s="132">
        <f>VLOOKUP(AT17,'Hoja 10'!$A$1:$B$32,2,FALSE())</f>
        <v>26</v>
      </c>
    </row>
    <row r="18" ht="65.25" customHeight="1">
      <c r="A18" s="16" t="s">
        <v>44</v>
      </c>
      <c r="B18" s="50" t="str">
        <f>IFERROR(HYPERLINK(VLOOKUP(A18,Internal_lists_bugs!$A$2:$I2002,9,FALSE()), VLOOKUP(A18,Internal_lists_bugs!$A$2:$C$73,3,FALSE())&amp;Char(10) &amp; Char(10) &amp; VLOOKUP(A18,Internal_lists_bugs!$A$2:$Z$73,26,FALSE())),"please select a BUG ID")</f>
        <v>https://bugs.launchpad.net/nova/+bug/1475911
cmd/idmapshift.py</v>
      </c>
      <c r="C18" s="81" t="str">
        <f>IFERROR(VLOOKUP(A18,Internal_lists_bugs!$A$2:$G2002,7,FALSE()),"please select a BUG ID")</f>
        <v>https://opendev.org/openstack/nova/commit/e310985</v>
      </c>
      <c r="D18" s="16" t="s">
        <v>3663</v>
      </c>
      <c r="E18" s="53" t="s">
        <v>3825</v>
      </c>
      <c r="F18" s="16" t="s">
        <v>3663</v>
      </c>
      <c r="G18" s="53" t="s">
        <v>3826</v>
      </c>
      <c r="H18" s="16" t="s">
        <v>3618</v>
      </c>
      <c r="I18" s="53" t="s">
        <v>3827</v>
      </c>
      <c r="J18" s="16" t="s">
        <v>123</v>
      </c>
      <c r="K18" s="93" t="s">
        <v>3828</v>
      </c>
      <c r="L18" s="16" t="s">
        <v>3686</v>
      </c>
      <c r="M18" s="93" t="s">
        <v>3829</v>
      </c>
      <c r="N18" s="16" t="s">
        <v>251</v>
      </c>
      <c r="O18" s="93" t="s">
        <v>3830</v>
      </c>
      <c r="P18" s="16" t="s">
        <v>3627</v>
      </c>
      <c r="Q18" s="93" t="s">
        <v>3831</v>
      </c>
      <c r="R18" s="16" t="s">
        <v>3690</v>
      </c>
      <c r="S18" s="99" t="s">
        <v>3832</v>
      </c>
      <c r="T18" s="120" t="s">
        <v>3674</v>
      </c>
      <c r="U18" s="93" t="s">
        <v>3754</v>
      </c>
      <c r="V18" s="16" t="s">
        <v>124</v>
      </c>
      <c r="W18" s="93" t="s">
        <v>3632</v>
      </c>
      <c r="X18" s="16" t="s">
        <v>251</v>
      </c>
      <c r="Y18" s="93" t="s">
        <v>3833</v>
      </c>
      <c r="Z18" s="16" t="s">
        <v>251</v>
      </c>
      <c r="AA18" s="93" t="s">
        <v>3834</v>
      </c>
      <c r="AB18" s="16" t="s">
        <v>123</v>
      </c>
      <c r="AC18" s="93" t="s">
        <v>3835</v>
      </c>
      <c r="AD18" s="16" t="s">
        <v>123</v>
      </c>
      <c r="AE18" s="93" t="s">
        <v>3835</v>
      </c>
      <c r="AF18" s="16" t="s">
        <v>251</v>
      </c>
      <c r="AG18" s="93" t="s">
        <v>3836</v>
      </c>
      <c r="AH18" s="16" t="s">
        <v>251</v>
      </c>
      <c r="AI18" s="93" t="s">
        <v>3837</v>
      </c>
      <c r="AJ18" s="16" t="s">
        <v>251</v>
      </c>
      <c r="AK18" s="93" t="s">
        <v>3838</v>
      </c>
      <c r="AL18" s="16" t="s">
        <v>251</v>
      </c>
      <c r="AM18" s="93" t="s">
        <v>3838</v>
      </c>
      <c r="AN18" s="116" t="s">
        <v>3839</v>
      </c>
      <c r="AO18" s="16" t="s">
        <v>3640</v>
      </c>
      <c r="AP18" s="116" t="s">
        <v>3840</v>
      </c>
      <c r="AQ18" s="16" t="s">
        <v>123</v>
      </c>
      <c r="AR18" s="155" t="s">
        <v>3841</v>
      </c>
      <c r="AS18" s="1"/>
      <c r="AT18" s="133">
        <v>41880.0</v>
      </c>
      <c r="AU18" s="132">
        <f>VLOOKUP(AT18,'Hoja 10'!$A$1:$B$32,2,FALSE())</f>
        <v>21</v>
      </c>
    </row>
    <row r="19" ht="22.5" customHeight="1">
      <c r="A19" s="135" t="s">
        <v>44</v>
      </c>
      <c r="B19" s="50" t="str">
        <f>IFERROR(HYPERLINK(VLOOKUP(A19,Internal_lists_bugs!$A$2:$I2002,9,FALSE()), VLOOKUP(A19,Internal_lists_bugs!$A$2:$C$73,3,FALSE())&amp;Char(10) &amp; Char(10) &amp; VLOOKUP(A19,Internal_lists_bugs!$A$2:$Z$73,26,FALSE())),"please select a BUG ID")</f>
        <v>https://bugs.launchpad.net/nova/+bug/1475911
cmd/idmapshift.py</v>
      </c>
      <c r="C19" s="81" t="str">
        <f>IFERROR(VLOOKUP(A19,Internal_lists_bugs!$A$2:$G2002,7,FALSE()),"please select a BUG ID")</f>
        <v>https://opendev.org/openstack/nova/commit/e310985</v>
      </c>
      <c r="D19" s="54"/>
      <c r="E19" s="53"/>
      <c r="F19" s="16" t="s">
        <v>3620</v>
      </c>
      <c r="G19" s="53" t="s">
        <v>3842</v>
      </c>
      <c r="H19" s="148"/>
      <c r="I19" s="136"/>
      <c r="J19" s="148"/>
      <c r="K19" s="149"/>
      <c r="L19" s="148"/>
      <c r="M19" s="149"/>
      <c r="N19" s="148"/>
      <c r="O19" s="149"/>
      <c r="P19" s="148"/>
      <c r="Q19" s="149"/>
      <c r="R19" s="16" t="s">
        <v>3843</v>
      </c>
      <c r="S19" s="99" t="s">
        <v>3844</v>
      </c>
      <c r="T19" s="139"/>
      <c r="U19" s="149"/>
      <c r="V19" s="148"/>
      <c r="W19" s="149"/>
      <c r="X19" s="148"/>
      <c r="Y19" s="149"/>
      <c r="Z19" s="148"/>
      <c r="AA19" s="149"/>
      <c r="AB19" s="148"/>
      <c r="AC19" s="149"/>
      <c r="AD19" s="148"/>
      <c r="AE19" s="149"/>
      <c r="AF19" s="148"/>
      <c r="AG19" s="149"/>
      <c r="AH19" s="148"/>
      <c r="AI19" s="149"/>
      <c r="AJ19" s="148"/>
      <c r="AK19" s="149"/>
      <c r="AL19" s="148"/>
      <c r="AM19" s="149"/>
      <c r="AN19" s="150"/>
      <c r="AO19" s="148"/>
      <c r="AP19" s="151"/>
      <c r="AQ19" s="148"/>
      <c r="AR19" s="152"/>
      <c r="AS19" s="153"/>
      <c r="AT19" s="1"/>
      <c r="AU19" s="9"/>
    </row>
    <row r="20" ht="60.75" customHeight="1">
      <c r="A20" s="16" t="s">
        <v>45</v>
      </c>
      <c r="B20" s="156" t="str">
        <f>IFERROR(HYPERLINK(VLOOKUP(A20,Internal_lists_bugs!$A$2:$I2002,9,FALSE()), VLOOKUP(A20,Internal_lists_bugs!$A$2:$C$73,3,FALSE())&amp;Char(10) &amp; Char(10) &amp; VLOOKUP(A20,Internal_lists_bugs!$A$2:$Z$73,26,FALSE())),"please select a BUG ID")</f>
        <v>https://bugs.launchpad.net/nova/+bug/1437855
/contrib/floating_ips.py
/v3/floating_ips.py </v>
      </c>
      <c r="C20" s="81" t="str">
        <f>IFERROR(VLOOKUP(A20,Internal_lists_bugs!$A$2:$G2002,7,FALSE()),"please select a BUG ID")</f>
        <v>https://opendev.org/openstack/nova/commit/1b2c121f133b1</v>
      </c>
      <c r="D20" s="16" t="s">
        <v>3618</v>
      </c>
      <c r="E20" s="53" t="s">
        <v>3845</v>
      </c>
      <c r="F20" s="16" t="s">
        <v>3620</v>
      </c>
      <c r="G20" s="53" t="s">
        <v>3846</v>
      </c>
      <c r="H20" s="16" t="s">
        <v>3847</v>
      </c>
      <c r="I20" s="53" t="s">
        <v>3848</v>
      </c>
      <c r="J20" s="16" t="s">
        <v>123</v>
      </c>
      <c r="K20" s="93" t="s">
        <v>3849</v>
      </c>
      <c r="L20" s="16" t="s">
        <v>3686</v>
      </c>
      <c r="M20" s="93" t="s">
        <v>3850</v>
      </c>
      <c r="N20" s="16" t="s">
        <v>251</v>
      </c>
      <c r="O20" s="94" t="s">
        <v>3851</v>
      </c>
      <c r="P20" s="16" t="s">
        <v>3627</v>
      </c>
      <c r="Q20" s="93" t="s">
        <v>3852</v>
      </c>
      <c r="R20" s="16" t="s">
        <v>3629</v>
      </c>
      <c r="S20" s="99" t="s">
        <v>3853</v>
      </c>
      <c r="T20" s="120" t="s">
        <v>3653</v>
      </c>
      <c r="U20" s="93" t="s">
        <v>3820</v>
      </c>
      <c r="V20" s="16" t="s">
        <v>124</v>
      </c>
      <c r="W20" s="93" t="s">
        <v>3632</v>
      </c>
      <c r="X20" s="16" t="s">
        <v>251</v>
      </c>
      <c r="Y20" s="93" t="s">
        <v>3854</v>
      </c>
      <c r="Z20" s="25" t="s">
        <v>123</v>
      </c>
      <c r="AA20" s="145" t="s">
        <v>3725</v>
      </c>
      <c r="AB20" s="16" t="s">
        <v>251</v>
      </c>
      <c r="AC20" s="93" t="s">
        <v>3855</v>
      </c>
      <c r="AD20" s="16" t="s">
        <v>251</v>
      </c>
      <c r="AE20" s="93" t="s">
        <v>3855</v>
      </c>
      <c r="AF20" s="16" t="s">
        <v>251</v>
      </c>
      <c r="AG20" s="93" t="s">
        <v>3856</v>
      </c>
      <c r="AH20" s="16" t="s">
        <v>123</v>
      </c>
      <c r="AI20" s="93" t="s">
        <v>3857</v>
      </c>
      <c r="AJ20" s="16" t="s">
        <v>123</v>
      </c>
      <c r="AK20" s="92"/>
      <c r="AL20" s="16" t="s">
        <v>123</v>
      </c>
      <c r="AM20" s="92"/>
      <c r="AN20" s="116" t="s">
        <v>3858</v>
      </c>
      <c r="AO20" s="16" t="s">
        <v>3640</v>
      </c>
      <c r="AP20" s="116" t="s">
        <v>3859</v>
      </c>
      <c r="AQ20" s="16" t="s">
        <v>123</v>
      </c>
      <c r="AR20" s="154"/>
      <c r="AS20" s="9" t="s">
        <v>3860</v>
      </c>
      <c r="AT20" s="133">
        <v>41404.0</v>
      </c>
      <c r="AU20" s="132">
        <f>VLOOKUP(AT20,'Hoja 10'!$A$1:$B$32,2,FALSE())</f>
        <v>8</v>
      </c>
    </row>
    <row r="21" ht="70.5" customHeight="1">
      <c r="A21" s="16" t="s">
        <v>46</v>
      </c>
      <c r="B21" s="50" t="str">
        <f>IFERROR(HYPERLINK(VLOOKUP(A21,Internal_lists_bugs!$A$2:$I2002,9,FALSE()), VLOOKUP(A21,Internal_lists_bugs!$A$2:$C$73,3,FALSE())&amp;Char(10) &amp; Char(10) &amp; VLOOKUP(A21,Internal_lists_bugs!$A$2:$Z$73,26,FALSE())),"please select a BUG ID")</f>
        <v>https://bugs.launchpad.net/nova/+bug/1434855
/os-extended-volumes/v2.3/server-get-resp.json
/os-extended-volumes/v2.3/servers-detail-resp.json </v>
      </c>
      <c r="C21" s="81" t="str">
        <f>IFERROR(VLOOKUP(A21,Internal_lists_bugs!$A$2:$G2002,7,FALSE()),"please select a BUG ID")</f>
        <v>https://opendev.org/openstack/nova/commit/abc656d</v>
      </c>
      <c r="D21" s="16" t="s">
        <v>3618</v>
      </c>
      <c r="E21" s="53" t="s">
        <v>3861</v>
      </c>
      <c r="F21" s="16" t="s">
        <v>3620</v>
      </c>
      <c r="G21" s="53" t="s">
        <v>3862</v>
      </c>
      <c r="H21" s="16" t="s">
        <v>3620</v>
      </c>
      <c r="I21" s="53" t="s">
        <v>3863</v>
      </c>
      <c r="J21" s="16" t="s">
        <v>251</v>
      </c>
      <c r="K21" s="93" t="s">
        <v>3864</v>
      </c>
      <c r="L21" s="16" t="s">
        <v>3686</v>
      </c>
      <c r="M21" s="93" t="s">
        <v>3850</v>
      </c>
      <c r="N21" s="16" t="s">
        <v>251</v>
      </c>
      <c r="O21" s="93" t="s">
        <v>3865</v>
      </c>
      <c r="P21" s="157" t="s">
        <v>3689</v>
      </c>
      <c r="Q21" s="158" t="s">
        <v>3866</v>
      </c>
      <c r="R21" s="16" t="s">
        <v>3690</v>
      </c>
      <c r="S21" s="158" t="s">
        <v>3866</v>
      </c>
      <c r="T21" s="120" t="s">
        <v>3674</v>
      </c>
      <c r="U21" s="93" t="s">
        <v>3867</v>
      </c>
      <c r="V21" s="16" t="s">
        <v>124</v>
      </c>
      <c r="W21" s="93" t="s">
        <v>3632</v>
      </c>
      <c r="X21" s="159" t="s">
        <v>251</v>
      </c>
      <c r="Y21" s="160" t="s">
        <v>3868</v>
      </c>
      <c r="Z21" s="159" t="s">
        <v>251</v>
      </c>
      <c r="AA21" s="160" t="s">
        <v>3868</v>
      </c>
      <c r="AB21" s="16" t="s">
        <v>251</v>
      </c>
      <c r="AC21" s="93" t="s">
        <v>3869</v>
      </c>
      <c r="AD21" s="16" t="s">
        <v>123</v>
      </c>
      <c r="AE21" s="93" t="s">
        <v>3870</v>
      </c>
      <c r="AF21" s="25" t="s">
        <v>251</v>
      </c>
      <c r="AG21" s="145" t="s">
        <v>3871</v>
      </c>
      <c r="AH21" s="16" t="s">
        <v>123</v>
      </c>
      <c r="AI21" s="93" t="s">
        <v>3857</v>
      </c>
      <c r="AJ21" s="16" t="s">
        <v>123</v>
      </c>
      <c r="AK21" s="93" t="s">
        <v>3872</v>
      </c>
      <c r="AL21" s="16" t="s">
        <v>123</v>
      </c>
      <c r="AM21" s="93" t="s">
        <v>3872</v>
      </c>
      <c r="AN21" s="116" t="s">
        <v>3873</v>
      </c>
      <c r="AO21" s="16" t="s">
        <v>3640</v>
      </c>
      <c r="AP21" s="116" t="s">
        <v>3874</v>
      </c>
      <c r="AQ21" s="16" t="s">
        <v>123</v>
      </c>
      <c r="AR21" s="154"/>
      <c r="AS21" s="1"/>
      <c r="AT21" s="133">
        <v>42068.0</v>
      </c>
      <c r="AU21" s="132">
        <f>VLOOKUP(AT21,'Hoja 10'!$A$1:$B$32,2,FALSE())</f>
        <v>31</v>
      </c>
    </row>
    <row r="22" ht="59.25" customHeight="1">
      <c r="A22" s="16" t="s">
        <v>47</v>
      </c>
      <c r="B22" s="50" t="str">
        <f>IFERROR(HYPERLINK(VLOOKUP(A22,Internal_lists_bugs!$A$2:$I2002,9,FALSE()), VLOOKUP(A22,Internal_lists_bugs!$A$2:$C$73,3,FALSE())&amp;Char(10) &amp; Char(10) &amp; VLOOKUP(A22,Internal_lists_bugs!$A$2:$Z$73,26,FALSE())),"please select a BUG ID")</f>
        <v>https://bugs.launchpad.net/nova/+bug/1447249
/virt/ironic/driver.py</v>
      </c>
      <c r="C22" s="81" t="str">
        <f>IFERROR(VLOOKUP(A22,Internal_lists_bugs!$A$2:$G2002,7,FALSE()),"please select a BUG ID")</f>
        <v>https://opendev.org/openstack/nova/commit/1682c5b</v>
      </c>
      <c r="D22" s="16" t="s">
        <v>3618</v>
      </c>
      <c r="E22" s="53" t="s">
        <v>3875</v>
      </c>
      <c r="F22" s="16" t="s">
        <v>3620</v>
      </c>
      <c r="G22" s="53" t="s">
        <v>3876</v>
      </c>
      <c r="H22" s="16" t="s">
        <v>3620</v>
      </c>
      <c r="I22" s="53" t="s">
        <v>3877</v>
      </c>
      <c r="J22" s="16" t="s">
        <v>123</v>
      </c>
      <c r="K22" s="93" t="s">
        <v>3878</v>
      </c>
      <c r="L22" s="16" t="s">
        <v>3686</v>
      </c>
      <c r="M22" s="93" t="s">
        <v>3850</v>
      </c>
      <c r="N22" s="16" t="s">
        <v>251</v>
      </c>
      <c r="O22" s="161" t="s">
        <v>3879</v>
      </c>
      <c r="P22" s="16" t="s">
        <v>3627</v>
      </c>
      <c r="Q22" s="94" t="s">
        <v>3880</v>
      </c>
      <c r="R22" s="16" t="s">
        <v>3629</v>
      </c>
      <c r="S22" s="99" t="s">
        <v>3853</v>
      </c>
      <c r="T22" s="120" t="s">
        <v>3674</v>
      </c>
      <c r="U22" s="93" t="s">
        <v>3820</v>
      </c>
      <c r="V22" s="16" t="s">
        <v>124</v>
      </c>
      <c r="W22" s="93" t="s">
        <v>3632</v>
      </c>
      <c r="X22" s="16" t="s">
        <v>251</v>
      </c>
      <c r="Y22" s="93" t="s">
        <v>3881</v>
      </c>
      <c r="Z22" s="16" t="s">
        <v>251</v>
      </c>
      <c r="AA22" s="93" t="s">
        <v>3881</v>
      </c>
      <c r="AB22" s="16" t="s">
        <v>123</v>
      </c>
      <c r="AC22" s="93" t="s">
        <v>3882</v>
      </c>
      <c r="AD22" s="16" t="s">
        <v>123</v>
      </c>
      <c r="AE22" s="93" t="s">
        <v>3882</v>
      </c>
      <c r="AF22" s="25" t="s">
        <v>251</v>
      </c>
      <c r="AG22" s="145" t="s">
        <v>3883</v>
      </c>
      <c r="AH22" s="16" t="s">
        <v>123</v>
      </c>
      <c r="AI22" s="93" t="s">
        <v>3857</v>
      </c>
      <c r="AJ22" s="16" t="s">
        <v>251</v>
      </c>
      <c r="AK22" s="93" t="s">
        <v>3884</v>
      </c>
      <c r="AL22" s="16" t="s">
        <v>251</v>
      </c>
      <c r="AM22" s="93" t="s">
        <v>3884</v>
      </c>
      <c r="AN22" s="116" t="s">
        <v>3885</v>
      </c>
      <c r="AO22" s="16" t="s">
        <v>3640</v>
      </c>
      <c r="AP22" s="116" t="s">
        <v>3886</v>
      </c>
      <c r="AQ22" s="16" t="s">
        <v>123</v>
      </c>
      <c r="AR22" s="154"/>
      <c r="AS22" s="1"/>
      <c r="AT22" s="133">
        <v>42038.0</v>
      </c>
      <c r="AU22" s="132">
        <f>VLOOKUP(AT22,'Hoja 10'!$A$1:$B$32,2,FALSE())</f>
        <v>28</v>
      </c>
    </row>
    <row r="23" ht="47.25" customHeight="1">
      <c r="A23" s="16" t="s">
        <v>48</v>
      </c>
      <c r="B23" s="50" t="str">
        <f>IFERROR(HYPERLINK(VLOOKUP(A23,Internal_lists_bugs!$A$2:$I2002,9,FALSE()), VLOOKUP(A23,Internal_lists_bugs!$A$2:$C$73,3,FALSE())&amp;Char(10) &amp; Char(10) &amp; VLOOKUP(A23,Internal_lists_bugs!$A$2:$Z$73,26,FALSE())),"please select a BUG ID")</f>
        <v>https://bugs.launchpad.net/nova/+bug/1475356
/objects/base.py</v>
      </c>
      <c r="C23" s="81" t="str">
        <f>IFERROR(VLOOKUP(A23,Internal_lists_bugs!$A$2:$G2002,7,FALSE()),"please select a BUG ID")</f>
        <v>https://opendev.org/openstack/nova/commit/0eb7e35fbf</v>
      </c>
      <c r="D23" s="16" t="s">
        <v>3663</v>
      </c>
      <c r="E23" s="53" t="s">
        <v>3887</v>
      </c>
      <c r="F23" s="16" t="s">
        <v>3620</v>
      </c>
      <c r="G23" s="53" t="s">
        <v>3888</v>
      </c>
      <c r="H23" s="16" t="s">
        <v>3618</v>
      </c>
      <c r="I23" s="53" t="s">
        <v>3889</v>
      </c>
      <c r="J23" s="16" t="s">
        <v>123</v>
      </c>
      <c r="K23" s="93" t="s">
        <v>3890</v>
      </c>
      <c r="L23" s="16" t="s">
        <v>3648</v>
      </c>
      <c r="M23" s="93" t="s">
        <v>3891</v>
      </c>
      <c r="N23" s="16" t="s">
        <v>251</v>
      </c>
      <c r="O23" s="161" t="s">
        <v>3892</v>
      </c>
      <c r="P23" s="16" t="s">
        <v>3627</v>
      </c>
      <c r="Q23" s="93" t="s">
        <v>3893</v>
      </c>
      <c r="R23" s="16" t="s">
        <v>3629</v>
      </c>
      <c r="S23" s="99" t="s">
        <v>3853</v>
      </c>
      <c r="T23" s="120" t="s">
        <v>3653</v>
      </c>
      <c r="U23" s="93" t="s">
        <v>3820</v>
      </c>
      <c r="V23" s="16" t="s">
        <v>124</v>
      </c>
      <c r="W23" s="93" t="s">
        <v>3632</v>
      </c>
      <c r="X23" s="16" t="s">
        <v>123</v>
      </c>
      <c r="Y23" s="93" t="s">
        <v>3739</v>
      </c>
      <c r="Z23" s="16" t="s">
        <v>123</v>
      </c>
      <c r="AA23" s="93" t="s">
        <v>3739</v>
      </c>
      <c r="AB23" s="16" t="s">
        <v>123</v>
      </c>
      <c r="AC23" s="93" t="s">
        <v>3822</v>
      </c>
      <c r="AD23" s="16" t="s">
        <v>123</v>
      </c>
      <c r="AE23" s="93" t="s">
        <v>3822</v>
      </c>
      <c r="AF23" s="16" t="s">
        <v>123</v>
      </c>
      <c r="AG23" s="93" t="s">
        <v>3857</v>
      </c>
      <c r="AH23" s="16" t="s">
        <v>123</v>
      </c>
      <c r="AI23" s="93" t="s">
        <v>3857</v>
      </c>
      <c r="AJ23" s="27" t="s">
        <v>251</v>
      </c>
      <c r="AK23" s="162" t="s">
        <v>3894</v>
      </c>
      <c r="AL23" s="16" t="s">
        <v>123</v>
      </c>
      <c r="AM23" s="93" t="s">
        <v>3895</v>
      </c>
      <c r="AN23" s="116" t="s">
        <v>3743</v>
      </c>
      <c r="AO23" s="16" t="s">
        <v>3640</v>
      </c>
      <c r="AP23" s="116" t="s">
        <v>3896</v>
      </c>
      <c r="AQ23" s="16" t="s">
        <v>123</v>
      </c>
      <c r="AR23" s="154"/>
      <c r="AS23" s="1"/>
      <c r="AT23" s="131">
        <v>41624.0</v>
      </c>
      <c r="AU23" s="132">
        <f>VLOOKUP(AT23,'Hoja 10'!$A$1:$B$32,2,FALSE())</f>
        <v>13</v>
      </c>
    </row>
    <row r="24" ht="48.0" customHeight="1">
      <c r="A24" s="54" t="s">
        <v>49</v>
      </c>
      <c r="B24" s="50" t="str">
        <f>IFERROR(HYPERLINK(VLOOKUP(A24,Internal_lists_bugs!$A$2:$I2002,9,FALSE()), VLOOKUP(A24,Internal_lists_bugs!$A$2:$C$73,3,FALSE())&amp;Char(10) &amp; Char(10) &amp; VLOOKUP(A24,Internal_lists_bugs!$A$2:$Z$73,26,FALSE())),"please select a BUG ID")</f>
        <v>https://bugs.launchpad.net/nova/+bug/1370177
nova/block_device.py</v>
      </c>
      <c r="C24" s="81" t="str">
        <f>IFERROR(VLOOKUP(A24,Internal_lists_bugs!$A$2:$G2002,7,FALSE()),"please select a BUG ID")</f>
        <v>https://opendev.org/openstack/nova/commit/33e3d4c6b9</v>
      </c>
      <c r="D24" s="16" t="s">
        <v>3663</v>
      </c>
      <c r="E24" s="53" t="s">
        <v>3897</v>
      </c>
      <c r="F24" s="16" t="s">
        <v>3620</v>
      </c>
      <c r="G24" s="53" t="s">
        <v>3898</v>
      </c>
      <c r="H24" s="16" t="s">
        <v>3663</v>
      </c>
      <c r="I24" s="53" t="s">
        <v>3899</v>
      </c>
      <c r="J24" s="16" t="s">
        <v>251</v>
      </c>
      <c r="K24" s="93" t="s">
        <v>3900</v>
      </c>
      <c r="L24" s="16" t="s">
        <v>3686</v>
      </c>
      <c r="M24" s="93" t="s">
        <v>3901</v>
      </c>
      <c r="N24" s="16" t="s">
        <v>251</v>
      </c>
      <c r="O24" s="94" t="s">
        <v>3902</v>
      </c>
      <c r="P24" s="16" t="s">
        <v>3627</v>
      </c>
      <c r="Q24" s="94" t="s">
        <v>3903</v>
      </c>
      <c r="R24" s="16" t="s">
        <v>3629</v>
      </c>
      <c r="S24" s="99" t="s">
        <v>3853</v>
      </c>
      <c r="T24" s="120" t="s">
        <v>3674</v>
      </c>
      <c r="U24" s="93" t="s">
        <v>3904</v>
      </c>
      <c r="V24" s="16" t="s">
        <v>124</v>
      </c>
      <c r="W24" s="93" t="s">
        <v>3632</v>
      </c>
      <c r="X24" s="16" t="s">
        <v>251</v>
      </c>
      <c r="Y24" s="93" t="s">
        <v>3905</v>
      </c>
      <c r="Z24" s="16" t="s">
        <v>251</v>
      </c>
      <c r="AA24" s="93" t="s">
        <v>3905</v>
      </c>
      <c r="AB24" s="16" t="s">
        <v>251</v>
      </c>
      <c r="AC24" s="93" t="s">
        <v>3906</v>
      </c>
      <c r="AD24" s="16" t="s">
        <v>251</v>
      </c>
      <c r="AE24" s="93" t="s">
        <v>3907</v>
      </c>
      <c r="AF24" s="16" t="s">
        <v>123</v>
      </c>
      <c r="AG24" s="93" t="s">
        <v>3908</v>
      </c>
      <c r="AH24" s="16" t="s">
        <v>123</v>
      </c>
      <c r="AI24" s="93" t="s">
        <v>3908</v>
      </c>
      <c r="AJ24" s="16" t="s">
        <v>123</v>
      </c>
      <c r="AK24" s="93" t="s">
        <v>3895</v>
      </c>
      <c r="AL24" s="16" t="s">
        <v>123</v>
      </c>
      <c r="AM24" s="93" t="s">
        <v>3895</v>
      </c>
      <c r="AN24" s="116" t="s">
        <v>3714</v>
      </c>
      <c r="AO24" s="16" t="s">
        <v>3640</v>
      </c>
      <c r="AP24" s="116" t="s">
        <v>3909</v>
      </c>
      <c r="AQ24" s="16" t="s">
        <v>123</v>
      </c>
      <c r="AR24" s="154"/>
      <c r="AS24" s="1"/>
      <c r="AT24" s="133">
        <v>41669.0</v>
      </c>
      <c r="AU24" s="132">
        <f>VLOOKUP(AT24,'Hoja 10'!$A$1:$B$32,2,FALSE())</f>
        <v>15</v>
      </c>
    </row>
    <row r="25" ht="22.5" customHeight="1">
      <c r="A25" s="135" t="s">
        <v>49</v>
      </c>
      <c r="B25" s="50" t="str">
        <f>IFERROR(HYPERLINK(VLOOKUP(A25,Internal_lists_bugs!$A$2:$I2002,9,FALSE()), VLOOKUP(A25,Internal_lists_bugs!$A$2:$C$73,3,FALSE())&amp;Char(10) &amp; Char(10) &amp; VLOOKUP(A25,Internal_lists_bugs!$A$2:$Z$73,26,FALSE())),"please select a BUG ID")</f>
        <v>https://bugs.launchpad.net/nova/+bug/1370177
nova/block_device.py</v>
      </c>
      <c r="C25" s="81" t="str">
        <f>IFERROR(VLOOKUP(A25,Internal_lists_bugs!$A$2:$G2002,7,FALSE()),"please select a BUG ID")</f>
        <v>https://opendev.org/openstack/nova/commit/33e3d4c6b9</v>
      </c>
      <c r="D25" s="54"/>
      <c r="E25" s="53"/>
      <c r="F25" s="16" t="s">
        <v>3663</v>
      </c>
      <c r="G25" s="53" t="s">
        <v>3910</v>
      </c>
      <c r="H25" s="54"/>
      <c r="I25" s="136"/>
      <c r="J25" s="148"/>
      <c r="K25" s="149"/>
      <c r="L25" s="148"/>
      <c r="M25" s="149"/>
      <c r="N25" s="148"/>
      <c r="O25" s="149"/>
      <c r="P25" s="148"/>
      <c r="Q25" s="149"/>
      <c r="R25" s="16" t="s">
        <v>3701</v>
      </c>
      <c r="S25" s="93" t="s">
        <v>3911</v>
      </c>
      <c r="T25" s="139"/>
      <c r="U25" s="149"/>
      <c r="V25" s="148"/>
      <c r="W25" s="149"/>
      <c r="X25" s="148"/>
      <c r="Y25" s="149"/>
      <c r="Z25" s="148"/>
      <c r="AA25" s="149"/>
      <c r="AB25" s="148"/>
      <c r="AC25" s="149"/>
      <c r="AD25" s="148"/>
      <c r="AE25" s="149"/>
      <c r="AF25" s="148"/>
      <c r="AG25" s="149"/>
      <c r="AH25" s="148"/>
      <c r="AI25" s="149"/>
      <c r="AJ25" s="148"/>
      <c r="AK25" s="149"/>
      <c r="AL25" s="148"/>
      <c r="AM25" s="149"/>
      <c r="AN25" s="150"/>
      <c r="AO25" s="148"/>
      <c r="AP25" s="151"/>
      <c r="AQ25" s="148"/>
      <c r="AR25" s="152"/>
      <c r="AS25" s="153"/>
      <c r="AT25" s="153"/>
      <c r="AU25" s="9"/>
    </row>
    <row r="26" ht="53.25" customHeight="1">
      <c r="A26" s="16" t="s">
        <v>50</v>
      </c>
      <c r="B26" s="50" t="str">
        <f>IFERROR(HYPERLINK(VLOOKUP(A26,Internal_lists_bugs!$A$2:$I2002,9,FALSE()), VLOOKUP(A26,Internal_lists_bugs!$A$2:$C$73,3,FALSE())&amp;Char(10) &amp; Char(10) &amp; VLOOKUP(A26,Internal_lists_bugs!$A$2:$Z$73,26,FALSE())),"please select a BUG ID")</f>
        <v>https://bugs.launchpad.net/nova/+bug/1403544
/compute/api.py</v>
      </c>
      <c r="C26" s="81" t="str">
        <f>IFERROR(VLOOKUP(A26,Internal_lists_bugs!$A$2:$G2002,7,FALSE()),"please select a BUG ID")</f>
        <v>https://opendev.org/openstack/nova/commit/6956057ac490c788</v>
      </c>
      <c r="D26" s="16" t="s">
        <v>3912</v>
      </c>
      <c r="E26" s="53" t="s">
        <v>3913</v>
      </c>
      <c r="F26" s="16" t="s">
        <v>3620</v>
      </c>
      <c r="G26" s="53" t="s">
        <v>3914</v>
      </c>
      <c r="H26" s="16" t="s">
        <v>3912</v>
      </c>
      <c r="I26" s="53" t="s">
        <v>3915</v>
      </c>
      <c r="J26" s="16" t="s">
        <v>123</v>
      </c>
      <c r="K26" s="93" t="s">
        <v>3916</v>
      </c>
      <c r="L26" s="16" t="s">
        <v>3686</v>
      </c>
      <c r="M26" s="93" t="s">
        <v>3917</v>
      </c>
      <c r="N26" s="16" t="s">
        <v>251</v>
      </c>
      <c r="O26" s="161" t="s">
        <v>3918</v>
      </c>
      <c r="P26" s="16" t="s">
        <v>3670</v>
      </c>
      <c r="Q26" s="93" t="s">
        <v>3919</v>
      </c>
      <c r="R26" s="163" t="s">
        <v>3690</v>
      </c>
      <c r="S26" s="98" t="s">
        <v>3920</v>
      </c>
      <c r="T26" s="120" t="s">
        <v>3921</v>
      </c>
      <c r="U26" s="93" t="s">
        <v>3922</v>
      </c>
      <c r="V26" s="16" t="s">
        <v>124</v>
      </c>
      <c r="W26" s="93" t="s">
        <v>3632</v>
      </c>
      <c r="X26" s="16" t="s">
        <v>251</v>
      </c>
      <c r="Y26" s="93" t="s">
        <v>3923</v>
      </c>
      <c r="Z26" s="16" t="s">
        <v>251</v>
      </c>
      <c r="AA26" s="93" t="s">
        <v>3924</v>
      </c>
      <c r="AB26" s="16" t="s">
        <v>251</v>
      </c>
      <c r="AC26" s="93" t="s">
        <v>3925</v>
      </c>
      <c r="AD26" s="16" t="s">
        <v>251</v>
      </c>
      <c r="AE26" s="93" t="s">
        <v>3926</v>
      </c>
      <c r="AF26" s="16" t="s">
        <v>251</v>
      </c>
      <c r="AG26" s="93" t="s">
        <v>3927</v>
      </c>
      <c r="AH26" s="16" t="s">
        <v>251</v>
      </c>
      <c r="AI26" s="93" t="s">
        <v>3928</v>
      </c>
      <c r="AJ26" s="16" t="s">
        <v>251</v>
      </c>
      <c r="AK26" s="93" t="s">
        <v>3929</v>
      </c>
      <c r="AL26" s="16" t="s">
        <v>251</v>
      </c>
      <c r="AM26" s="93" t="s">
        <v>3929</v>
      </c>
      <c r="AN26" s="116" t="s">
        <v>3930</v>
      </c>
      <c r="AO26" s="16" t="s">
        <v>124</v>
      </c>
      <c r="AP26" s="116" t="s">
        <v>3931</v>
      </c>
      <c r="AQ26" s="16" t="s">
        <v>124</v>
      </c>
      <c r="AR26" s="154"/>
      <c r="AS26" s="1"/>
      <c r="AT26" s="133">
        <v>40513.0</v>
      </c>
      <c r="AU26" s="132">
        <f>VLOOKUP(AT26,'Hoja 10'!$A$1:$B$32,2,FALSE())</f>
        <v>1</v>
      </c>
    </row>
    <row r="27" ht="51.75" customHeight="1">
      <c r="A27" s="16" t="s">
        <v>51</v>
      </c>
      <c r="B27" s="50" t="str">
        <f>IFERROR(HYPERLINK(VLOOKUP(A27,Internal_lists_bugs!$A$2:$I2002,9,FALSE()), VLOOKUP(A27,Internal_lists_bugs!$A$2:$C$73,3,FALSE())&amp;Char(10) &amp; Char(10) &amp; VLOOKUP(A27,Internal_lists_bugs!$A$2:$Z$73,26,FALSE())),"please select a BUG ID")</f>
        <v>https://bugs.launchpad.net/nova/+bug/1370590
/libvirt/driver.py</v>
      </c>
      <c r="C27" s="81" t="str">
        <f>IFERROR(VLOOKUP(A27,Internal_lists_bugs!$A$2:$G2002,7,FALSE()),"please select a BUG ID")</f>
        <v>https://opendev.org/openstack/nova/commit/7326bac8f95</v>
      </c>
      <c r="D27" s="16" t="s">
        <v>3618</v>
      </c>
      <c r="E27" s="53" t="s">
        <v>3932</v>
      </c>
      <c r="F27" s="16" t="s">
        <v>3620</v>
      </c>
      <c r="G27" s="53" t="s">
        <v>3933</v>
      </c>
      <c r="H27" s="16" t="s">
        <v>3620</v>
      </c>
      <c r="I27" s="53" t="s">
        <v>3934</v>
      </c>
      <c r="J27" s="16" t="s">
        <v>251</v>
      </c>
      <c r="K27" s="93" t="s">
        <v>3935</v>
      </c>
      <c r="L27" s="16" t="s">
        <v>3686</v>
      </c>
      <c r="M27" s="93" t="s">
        <v>3936</v>
      </c>
      <c r="N27" s="16" t="s">
        <v>251</v>
      </c>
      <c r="O27" s="161" t="s">
        <v>3879</v>
      </c>
      <c r="P27" s="16" t="s">
        <v>3627</v>
      </c>
      <c r="Q27" s="93" t="s">
        <v>3937</v>
      </c>
      <c r="R27" s="16" t="s">
        <v>3629</v>
      </c>
      <c r="S27" s="99" t="s">
        <v>3853</v>
      </c>
      <c r="T27" s="120" t="s">
        <v>3674</v>
      </c>
      <c r="U27" s="93" t="s">
        <v>3938</v>
      </c>
      <c r="V27" s="16" t="s">
        <v>124</v>
      </c>
      <c r="W27" s="93" t="s">
        <v>3632</v>
      </c>
      <c r="X27" s="16" t="s">
        <v>251</v>
      </c>
      <c r="Y27" s="93" t="s">
        <v>3939</v>
      </c>
      <c r="Z27" s="16" t="s">
        <v>251</v>
      </c>
      <c r="AA27" s="93" t="s">
        <v>3939</v>
      </c>
      <c r="AB27" s="16" t="s">
        <v>251</v>
      </c>
      <c r="AC27" s="93" t="s">
        <v>3940</v>
      </c>
      <c r="AD27" s="16" t="s">
        <v>251</v>
      </c>
      <c r="AE27" s="93" t="s">
        <v>3940</v>
      </c>
      <c r="AF27" s="16" t="s">
        <v>123</v>
      </c>
      <c r="AG27" s="93" t="s">
        <v>3857</v>
      </c>
      <c r="AH27" s="16" t="s">
        <v>123</v>
      </c>
      <c r="AI27" s="93" t="s">
        <v>3857</v>
      </c>
      <c r="AJ27" s="16" t="s">
        <v>251</v>
      </c>
      <c r="AK27" s="93" t="s">
        <v>3941</v>
      </c>
      <c r="AL27" s="16" t="s">
        <v>251</v>
      </c>
      <c r="AM27" s="93" t="s">
        <v>3941</v>
      </c>
      <c r="AN27" s="116" t="s">
        <v>3942</v>
      </c>
      <c r="AO27" s="16" t="s">
        <v>3640</v>
      </c>
      <c r="AP27" s="116" t="s">
        <v>3943</v>
      </c>
      <c r="AQ27" s="16" t="s">
        <v>123</v>
      </c>
      <c r="AR27" s="154"/>
      <c r="AS27" s="1"/>
      <c r="AT27" s="133">
        <v>41892.0</v>
      </c>
      <c r="AU27" s="132">
        <f>VLOOKUP(AT27,'Hoja 10'!$A$1:$B$32,2,FALSE())</f>
        <v>23</v>
      </c>
    </row>
    <row r="28" ht="54.0" customHeight="1">
      <c r="A28" s="16" t="s">
        <v>52</v>
      </c>
      <c r="B28" s="50" t="str">
        <f>IFERROR(HYPERLINK(VLOOKUP(A28,Internal_lists_bugs!$A$2:$I2002,9,FALSE()), VLOOKUP(A28,Internal_lists_bugs!$A$2:$C$73,3,FALSE())&amp;Char(10) &amp; Char(10) &amp; VLOOKUP(A28,Internal_lists_bugs!$A$2:$Z$73,26,FALSE())),"please select a BUG ID")</f>
        <v>https://bugs.launchpad.net/nova/+bug/1419002
/libvirt/driver.py
/compute/utils.py</v>
      </c>
      <c r="C28" s="81" t="str">
        <f>IFERROR(VLOOKUP(A28,Internal_lists_bugs!$A$2:$G2002,7,FALSE()),"please select a BUG ID")</f>
        <v>https://opendev.org/openstack/nova/commit/2ef03c6a0a8c5705</v>
      </c>
      <c r="D28" s="16" t="s">
        <v>3912</v>
      </c>
      <c r="E28" s="53" t="s">
        <v>3944</v>
      </c>
      <c r="F28" s="16" t="s">
        <v>3620</v>
      </c>
      <c r="G28" s="53" t="s">
        <v>3945</v>
      </c>
      <c r="H28" s="16" t="s">
        <v>3620</v>
      </c>
      <c r="I28" s="53" t="s">
        <v>3946</v>
      </c>
      <c r="J28" s="16" t="s">
        <v>123</v>
      </c>
      <c r="K28" s="93" t="s">
        <v>3947</v>
      </c>
      <c r="L28" s="16" t="s">
        <v>3686</v>
      </c>
      <c r="M28" s="93" t="s">
        <v>3829</v>
      </c>
      <c r="N28" s="16" t="s">
        <v>251</v>
      </c>
      <c r="O28" s="161" t="s">
        <v>3948</v>
      </c>
      <c r="P28" s="16" t="s">
        <v>3708</v>
      </c>
      <c r="Q28" s="93" t="s">
        <v>3709</v>
      </c>
      <c r="R28" s="16" t="s">
        <v>3708</v>
      </c>
      <c r="S28" s="93" t="s">
        <v>3709</v>
      </c>
      <c r="T28" s="120" t="s">
        <v>3921</v>
      </c>
      <c r="U28" s="93" t="s">
        <v>3922</v>
      </c>
      <c r="V28" s="16" t="s">
        <v>124</v>
      </c>
      <c r="W28" s="93" t="s">
        <v>3632</v>
      </c>
      <c r="X28" s="16" t="s">
        <v>123</v>
      </c>
      <c r="Y28" s="93" t="s">
        <v>3739</v>
      </c>
      <c r="Z28" s="16" t="s">
        <v>124</v>
      </c>
      <c r="AA28" s="93" t="s">
        <v>3709</v>
      </c>
      <c r="AB28" s="16" t="s">
        <v>123</v>
      </c>
      <c r="AC28" s="93" t="s">
        <v>3949</v>
      </c>
      <c r="AD28" s="16" t="s">
        <v>124</v>
      </c>
      <c r="AE28" s="93" t="s">
        <v>3709</v>
      </c>
      <c r="AF28" s="16" t="s">
        <v>123</v>
      </c>
      <c r="AG28" s="93" t="s">
        <v>3857</v>
      </c>
      <c r="AH28" s="16" t="s">
        <v>124</v>
      </c>
      <c r="AI28" s="93" t="s">
        <v>3709</v>
      </c>
      <c r="AJ28" s="16" t="s">
        <v>251</v>
      </c>
      <c r="AK28" s="93" t="s">
        <v>3950</v>
      </c>
      <c r="AL28" s="16" t="s">
        <v>124</v>
      </c>
      <c r="AM28" s="93" t="s">
        <v>3709</v>
      </c>
      <c r="AN28" s="116" t="s">
        <v>3951</v>
      </c>
      <c r="AO28" s="16" t="s">
        <v>124</v>
      </c>
      <c r="AP28" s="116" t="s">
        <v>3931</v>
      </c>
      <c r="AQ28" s="16" t="s">
        <v>124</v>
      </c>
      <c r="AR28" s="154"/>
      <c r="AS28" s="9" t="s">
        <v>3952</v>
      </c>
      <c r="AT28" s="133">
        <v>40652.0</v>
      </c>
      <c r="AU28" s="132">
        <f>VLOOKUP(AT28,'Hoja 10'!$A$1:$B$32,2,FALSE())</f>
        <v>2</v>
      </c>
    </row>
    <row r="29" ht="48.0" customHeight="1">
      <c r="A29" s="16" t="s">
        <v>53</v>
      </c>
      <c r="B29" s="50" t="str">
        <f>IFERROR(HYPERLINK(VLOOKUP(A29,Internal_lists_bugs!$A$2:$I2002,9,FALSE()), VLOOKUP(A29,Internal_lists_bugs!$A$2:$C$73,3,FALSE())&amp;Char(10) &amp; Char(10) &amp; VLOOKUP(A29,Internal_lists_bugs!$A$2:$Z$73,26,FALSE())),"please select a BUG ID")</f>
        <v>https://bugs.launchpad.net/nova/+bug/1336127
/compute/manager.py</v>
      </c>
      <c r="C29" s="81" t="str">
        <f>IFERROR(VLOOKUP(A29,Internal_lists_bugs!$A$2:$G2002,7,FALSE()),"please select a BUG ID")</f>
        <v>https://opendev.org/openstack/nova/commit/2c62e34</v>
      </c>
      <c r="D29" s="16" t="s">
        <v>3618</v>
      </c>
      <c r="E29" s="53" t="s">
        <v>3953</v>
      </c>
      <c r="F29" s="16" t="s">
        <v>3620</v>
      </c>
      <c r="G29" s="53" t="s">
        <v>3954</v>
      </c>
      <c r="H29" s="16" t="s">
        <v>3618</v>
      </c>
      <c r="I29" s="53" t="s">
        <v>3955</v>
      </c>
      <c r="J29" s="16" t="s">
        <v>123</v>
      </c>
      <c r="K29" s="93" t="s">
        <v>3956</v>
      </c>
      <c r="L29" s="16" t="s">
        <v>3686</v>
      </c>
      <c r="M29" s="93" t="s">
        <v>3829</v>
      </c>
      <c r="N29" s="16" t="s">
        <v>251</v>
      </c>
      <c r="O29" s="94" t="s">
        <v>3957</v>
      </c>
      <c r="P29" s="16" t="s">
        <v>3627</v>
      </c>
      <c r="Q29" s="93" t="s">
        <v>3958</v>
      </c>
      <c r="R29" s="16" t="s">
        <v>3629</v>
      </c>
      <c r="S29" s="99" t="s">
        <v>3853</v>
      </c>
      <c r="T29" s="120" t="s">
        <v>3674</v>
      </c>
      <c r="U29" s="93" t="s">
        <v>3959</v>
      </c>
      <c r="V29" s="16" t="s">
        <v>124</v>
      </c>
      <c r="W29" s="93" t="s">
        <v>3632</v>
      </c>
      <c r="X29" s="16" t="s">
        <v>251</v>
      </c>
      <c r="Y29" s="93" t="s">
        <v>3960</v>
      </c>
      <c r="Z29" s="16" t="s">
        <v>251</v>
      </c>
      <c r="AA29" s="93" t="s">
        <v>3960</v>
      </c>
      <c r="AB29" s="16" t="s">
        <v>123</v>
      </c>
      <c r="AC29" s="93" t="s">
        <v>3949</v>
      </c>
      <c r="AD29" s="16" t="s">
        <v>123</v>
      </c>
      <c r="AE29" s="93" t="s">
        <v>3949</v>
      </c>
      <c r="AF29" s="16" t="s">
        <v>123</v>
      </c>
      <c r="AG29" s="93" t="s">
        <v>3857</v>
      </c>
      <c r="AH29" s="16" t="s">
        <v>123</v>
      </c>
      <c r="AI29" s="93" t="s">
        <v>3857</v>
      </c>
      <c r="AJ29" s="16" t="s">
        <v>123</v>
      </c>
      <c r="AK29" s="93" t="s">
        <v>3961</v>
      </c>
      <c r="AL29" s="16" t="s">
        <v>123</v>
      </c>
      <c r="AM29" s="93" t="s">
        <v>3961</v>
      </c>
      <c r="AN29" s="116" t="s">
        <v>3962</v>
      </c>
      <c r="AO29" s="16" t="s">
        <v>3640</v>
      </c>
      <c r="AP29" s="116" t="s">
        <v>3963</v>
      </c>
      <c r="AQ29" s="16" t="s">
        <v>123</v>
      </c>
      <c r="AR29" s="130" t="s">
        <v>3964</v>
      </c>
      <c r="AS29" s="1"/>
      <c r="AT29" s="131">
        <v>41569.0</v>
      </c>
      <c r="AU29" s="132">
        <f>VLOOKUP(AT29,'Hoja 10'!$A$1:$B$32,2,FALSE())</f>
        <v>12</v>
      </c>
    </row>
    <row r="30" ht="49.5" customHeight="1">
      <c r="A30" s="16" t="s">
        <v>54</v>
      </c>
      <c r="B30" s="50" t="str">
        <f>IFERROR(HYPERLINK(VLOOKUP(A30,Internal_lists_bugs!$A$2:$I2002,9,FALSE()), VLOOKUP(A30,Internal_lists_bugs!$A$2:$C$73,3,FALSE())&amp;Char(10) &amp; Char(10) &amp; VLOOKUP(A30,Internal_lists_bugs!$A$2:$Z$73,26,FALSE())),"please select a BUG ID")</f>
        <v>https://bugs.launchpad.net/nova/+bug/1307791
/compute/api.py</v>
      </c>
      <c r="C30" s="81" t="str">
        <f>IFERROR(VLOOKUP(A30,Internal_lists_bugs!$A$2:$G2002,7,FALSE()),"please select a BUG ID")</f>
        <v>https://opendev.org/openstack/nova/commit/3dff4335661</v>
      </c>
      <c r="D30" s="16" t="s">
        <v>3618</v>
      </c>
      <c r="E30" s="53" t="s">
        <v>3965</v>
      </c>
      <c r="F30" s="16" t="s">
        <v>3620</v>
      </c>
      <c r="G30" s="53" t="s">
        <v>3966</v>
      </c>
      <c r="H30" s="16" t="s">
        <v>3620</v>
      </c>
      <c r="I30" s="53" t="s">
        <v>3967</v>
      </c>
      <c r="J30" s="16" t="s">
        <v>123</v>
      </c>
      <c r="K30" s="93" t="s">
        <v>3968</v>
      </c>
      <c r="L30" s="16" t="s">
        <v>3648</v>
      </c>
      <c r="M30" s="93" t="s">
        <v>3969</v>
      </c>
      <c r="N30" s="16" t="s">
        <v>251</v>
      </c>
      <c r="O30" s="161" t="s">
        <v>3970</v>
      </c>
      <c r="P30" s="16" t="s">
        <v>3627</v>
      </c>
      <c r="Q30" s="94" t="s">
        <v>3971</v>
      </c>
      <c r="R30" s="16" t="s">
        <v>3629</v>
      </c>
      <c r="S30" s="99" t="s">
        <v>3853</v>
      </c>
      <c r="T30" s="120" t="s">
        <v>3653</v>
      </c>
      <c r="U30" s="93" t="s">
        <v>3972</v>
      </c>
      <c r="V30" s="16" t="s">
        <v>124</v>
      </c>
      <c r="W30" s="93" t="s">
        <v>3632</v>
      </c>
      <c r="X30" s="16" t="s">
        <v>251</v>
      </c>
      <c r="Y30" s="93" t="s">
        <v>3973</v>
      </c>
      <c r="Z30" s="16" t="s">
        <v>251</v>
      </c>
      <c r="AA30" s="93" t="s">
        <v>3973</v>
      </c>
      <c r="AB30" s="16" t="s">
        <v>251</v>
      </c>
      <c r="AC30" s="93" t="s">
        <v>3974</v>
      </c>
      <c r="AD30" s="16" t="s">
        <v>251</v>
      </c>
      <c r="AE30" s="93" t="s">
        <v>3974</v>
      </c>
      <c r="AF30" s="16" t="s">
        <v>251</v>
      </c>
      <c r="AG30" s="93" t="s">
        <v>3975</v>
      </c>
      <c r="AH30" s="16" t="s">
        <v>251</v>
      </c>
      <c r="AI30" s="93" t="s">
        <v>3975</v>
      </c>
      <c r="AJ30" s="16" t="s">
        <v>123</v>
      </c>
      <c r="AK30" s="93" t="s">
        <v>3961</v>
      </c>
      <c r="AL30" s="16" t="s">
        <v>123</v>
      </c>
      <c r="AM30" s="93" t="s">
        <v>3961</v>
      </c>
      <c r="AN30" s="116" t="s">
        <v>3976</v>
      </c>
      <c r="AO30" s="16" t="s">
        <v>3640</v>
      </c>
      <c r="AP30" s="116" t="s">
        <v>3977</v>
      </c>
      <c r="AQ30" s="16" t="s">
        <v>123</v>
      </c>
      <c r="AR30" s="154"/>
      <c r="AS30" s="1"/>
      <c r="AT30" s="131">
        <v>41212.0</v>
      </c>
      <c r="AU30" s="132">
        <f>VLOOKUP(AT30,'Hoja 10'!$A$1:$B$32,2,FALSE())</f>
        <v>4</v>
      </c>
    </row>
    <row r="31" ht="47.25" customHeight="1">
      <c r="A31" s="16" t="s">
        <v>55</v>
      </c>
      <c r="B31" s="50" t="str">
        <f>IFERROR(HYPERLINK(VLOOKUP(A31,Internal_lists_bugs!$A$2:$I2002,9,FALSE()), VLOOKUP(A31,Internal_lists_bugs!$A$2:$C$73,3,FALSE())&amp;Char(10) &amp; Char(10) &amp; VLOOKUP(A31,Internal_lists_bugs!$A$2:$Z$73,26,FALSE())),"please select a BUG ID")</f>
        <v>https://bugs.launchpad.net/nova/+bug/1402535
/virt/libvirt/volume.py</v>
      </c>
      <c r="C31" s="81" t="str">
        <f>IFERROR(VLOOKUP(A31,Internal_lists_bugs!$A$2:$G2002,7,FALSE()),"please select a BUG ID")</f>
        <v>https://opendev.org/openstack/nova/commit/933365a58</v>
      </c>
      <c r="D31" s="16" t="s">
        <v>3618</v>
      </c>
      <c r="E31" s="53" t="s">
        <v>3978</v>
      </c>
      <c r="F31" s="16" t="s">
        <v>3620</v>
      </c>
      <c r="G31" s="53" t="s">
        <v>3979</v>
      </c>
      <c r="H31" s="16" t="s">
        <v>3620</v>
      </c>
      <c r="I31" s="53" t="s">
        <v>3980</v>
      </c>
      <c r="J31" s="16" t="s">
        <v>123</v>
      </c>
      <c r="K31" s="93" t="s">
        <v>3981</v>
      </c>
      <c r="L31" s="16" t="s">
        <v>3686</v>
      </c>
      <c r="M31" s="93" t="s">
        <v>3829</v>
      </c>
      <c r="N31" s="16" t="s">
        <v>251</v>
      </c>
      <c r="O31" s="161" t="s">
        <v>3982</v>
      </c>
      <c r="P31" s="16" t="s">
        <v>3627</v>
      </c>
      <c r="Q31" s="93" t="s">
        <v>3983</v>
      </c>
      <c r="R31" s="16" t="s">
        <v>3629</v>
      </c>
      <c r="S31" s="99" t="s">
        <v>3853</v>
      </c>
      <c r="T31" s="120" t="s">
        <v>3653</v>
      </c>
      <c r="U31" s="93" t="s">
        <v>3972</v>
      </c>
      <c r="V31" s="16" t="s">
        <v>124</v>
      </c>
      <c r="W31" s="93" t="s">
        <v>3632</v>
      </c>
      <c r="X31" s="16" t="s">
        <v>251</v>
      </c>
      <c r="Y31" s="93" t="s">
        <v>3984</v>
      </c>
      <c r="Z31" s="16" t="s">
        <v>251</v>
      </c>
      <c r="AA31" s="93" t="s">
        <v>3984</v>
      </c>
      <c r="AB31" s="16" t="s">
        <v>123</v>
      </c>
      <c r="AC31" s="93" t="s">
        <v>3949</v>
      </c>
      <c r="AD31" s="16" t="s">
        <v>123</v>
      </c>
      <c r="AE31" s="93" t="s">
        <v>3949</v>
      </c>
      <c r="AF31" s="16" t="s">
        <v>123</v>
      </c>
      <c r="AG31" s="93" t="s">
        <v>3857</v>
      </c>
      <c r="AH31" s="16" t="s">
        <v>123</v>
      </c>
      <c r="AI31" s="93" t="s">
        <v>3857</v>
      </c>
      <c r="AJ31" s="16" t="s">
        <v>123</v>
      </c>
      <c r="AK31" s="93" t="s">
        <v>3961</v>
      </c>
      <c r="AL31" s="16" t="s">
        <v>123</v>
      </c>
      <c r="AM31" s="93" t="s">
        <v>3961</v>
      </c>
      <c r="AN31" s="116" t="s">
        <v>3985</v>
      </c>
      <c r="AO31" s="16" t="s">
        <v>3640</v>
      </c>
      <c r="AP31" s="116" t="s">
        <v>3986</v>
      </c>
      <c r="AQ31" s="16" t="s">
        <v>123</v>
      </c>
      <c r="AR31" s="154"/>
      <c r="AS31" s="1"/>
      <c r="AT31" s="133">
        <v>41323.0</v>
      </c>
      <c r="AU31" s="132">
        <f>VLOOKUP(AT31,'Hoja 10'!$A$1:$B$32,2,FALSE())</f>
        <v>7</v>
      </c>
    </row>
    <row r="32" ht="53.25" customHeight="1">
      <c r="A32" s="16" t="s">
        <v>56</v>
      </c>
      <c r="B32" s="50" t="str">
        <f>IFERROR(HYPERLINK(VLOOKUP(A32,Internal_lists_bugs!$A$2:$I2002,9,FALSE()), VLOOKUP(A32,Internal_lists_bugs!$A$2:$C$73,3,FALSE())&amp;Char(10) &amp; Char(10) &amp; VLOOKUP(A32,Internal_lists_bugs!$A$2:$Z$73,26,FALSE())),"please select a BUG ID")</f>
        <v>https://bugs.launchpad.net/nova/+bug/1371677
/libvirt/driver.py</v>
      </c>
      <c r="C32" s="81" t="str">
        <f>IFERROR(VLOOKUP(A32,Internal_lists_bugs!$A$2:$G2002,7,FALSE()),"please select a BUG ID")</f>
        <v>https://opendev.org/openstack/nova/commit/5fa74bc</v>
      </c>
      <c r="D32" s="16" t="s">
        <v>3618</v>
      </c>
      <c r="E32" s="53" t="s">
        <v>3987</v>
      </c>
      <c r="F32" s="16" t="s">
        <v>3620</v>
      </c>
      <c r="G32" s="53" t="s">
        <v>3988</v>
      </c>
      <c r="H32" s="16" t="s">
        <v>3620</v>
      </c>
      <c r="I32" s="53" t="s">
        <v>3989</v>
      </c>
      <c r="J32" s="16" t="s">
        <v>123</v>
      </c>
      <c r="K32" s="93" t="s">
        <v>3990</v>
      </c>
      <c r="L32" s="16" t="s">
        <v>3686</v>
      </c>
      <c r="M32" s="93" t="s">
        <v>3829</v>
      </c>
      <c r="N32" s="16" t="s">
        <v>251</v>
      </c>
      <c r="O32" s="161" t="s">
        <v>3970</v>
      </c>
      <c r="P32" s="16" t="s">
        <v>3627</v>
      </c>
      <c r="Q32" s="93" t="s">
        <v>3991</v>
      </c>
      <c r="R32" s="16" t="s">
        <v>3629</v>
      </c>
      <c r="S32" s="99" t="s">
        <v>3853</v>
      </c>
      <c r="T32" s="120" t="s">
        <v>3674</v>
      </c>
      <c r="U32" s="93" t="s">
        <v>3992</v>
      </c>
      <c r="V32" s="16" t="s">
        <v>124</v>
      </c>
      <c r="W32" s="93" t="s">
        <v>3632</v>
      </c>
      <c r="X32" s="16" t="s">
        <v>251</v>
      </c>
      <c r="Y32" s="93" t="s">
        <v>3993</v>
      </c>
      <c r="Z32" s="16" t="s">
        <v>251</v>
      </c>
      <c r="AA32" s="93" t="s">
        <v>3993</v>
      </c>
      <c r="AB32" s="16" t="s">
        <v>123</v>
      </c>
      <c r="AC32" s="93" t="s">
        <v>3994</v>
      </c>
      <c r="AD32" s="16" t="s">
        <v>123</v>
      </c>
      <c r="AE32" s="93" t="s">
        <v>3994</v>
      </c>
      <c r="AF32" s="16" t="s">
        <v>251</v>
      </c>
      <c r="AG32" s="145" t="s">
        <v>3995</v>
      </c>
      <c r="AH32" s="16" t="s">
        <v>251</v>
      </c>
      <c r="AI32" s="94" t="s">
        <v>3996</v>
      </c>
      <c r="AJ32" s="27" t="s">
        <v>251</v>
      </c>
      <c r="AK32" s="162" t="s">
        <v>3997</v>
      </c>
      <c r="AL32" s="16" t="s">
        <v>123</v>
      </c>
      <c r="AM32" s="93" t="s">
        <v>3895</v>
      </c>
      <c r="AN32" s="116" t="s">
        <v>3998</v>
      </c>
      <c r="AO32" s="16" t="s">
        <v>3640</v>
      </c>
      <c r="AP32" s="116" t="s">
        <v>3999</v>
      </c>
      <c r="AQ32" s="16" t="s">
        <v>123</v>
      </c>
      <c r="AR32" s="154"/>
      <c r="AS32" s="1"/>
      <c r="AT32" s="133">
        <v>41888.0</v>
      </c>
      <c r="AU32" s="132">
        <f>VLOOKUP(AT32,'Hoja 10'!$A$1:$B$32,2,FALSE())</f>
        <v>22</v>
      </c>
    </row>
    <row r="33" ht="51.0" customHeight="1">
      <c r="A33" s="16" t="s">
        <v>57</v>
      </c>
      <c r="B33" s="50" t="str">
        <f>IFERROR(HYPERLINK(VLOOKUP(A33,Internal_lists_bugs!$A$2:$I2002,9,FALSE()), VLOOKUP(A33,Internal_lists_bugs!$A$2:$C$73,3,FALSE())&amp;Char(10) &amp; Char(10) &amp; VLOOKUP(A33,Internal_lists_bugs!$A$2:$Z$73,26,FALSE())),"please select a BUG ID")</f>
        <v>https://bugs.launchpad.net/nova/+bug/1481078
/xenapi/vmops.py</v>
      </c>
      <c r="C33" s="81" t="str">
        <f>IFERROR(VLOOKUP(A33,Internal_lists_bugs!$A$2:$G2002,7,FALSE()),"please select a BUG ID")</f>
        <v>https://opendev.org/openstack/nova/commit/31f208423405</v>
      </c>
      <c r="D33" s="16" t="s">
        <v>3618</v>
      </c>
      <c r="E33" s="53" t="s">
        <v>4000</v>
      </c>
      <c r="F33" s="16" t="s">
        <v>3620</v>
      </c>
      <c r="G33" s="53" t="s">
        <v>4001</v>
      </c>
      <c r="H33" s="16" t="s">
        <v>3620</v>
      </c>
      <c r="I33" s="53" t="s">
        <v>4002</v>
      </c>
      <c r="J33" s="16" t="s">
        <v>123</v>
      </c>
      <c r="K33" s="93" t="s">
        <v>4003</v>
      </c>
      <c r="L33" s="16" t="s">
        <v>3648</v>
      </c>
      <c r="M33" s="93" t="s">
        <v>3969</v>
      </c>
      <c r="N33" s="16" t="s">
        <v>251</v>
      </c>
      <c r="O33" s="93" t="s">
        <v>4004</v>
      </c>
      <c r="P33" s="16" t="s">
        <v>3627</v>
      </c>
      <c r="Q33" s="93" t="s">
        <v>4005</v>
      </c>
      <c r="R33" s="16" t="s">
        <v>3629</v>
      </c>
      <c r="S33" s="99" t="s">
        <v>3853</v>
      </c>
      <c r="T33" s="120" t="s">
        <v>3674</v>
      </c>
      <c r="U33" s="93" t="s">
        <v>3820</v>
      </c>
      <c r="V33" s="16" t="s">
        <v>124</v>
      </c>
      <c r="W33" s="93" t="s">
        <v>3632</v>
      </c>
      <c r="X33" s="16" t="s">
        <v>251</v>
      </c>
      <c r="Y33" s="93" t="s">
        <v>4006</v>
      </c>
      <c r="Z33" s="16" t="s">
        <v>251</v>
      </c>
      <c r="AA33" s="93" t="s">
        <v>4006</v>
      </c>
      <c r="AB33" s="16" t="s">
        <v>123</v>
      </c>
      <c r="AC33" s="93" t="s">
        <v>4007</v>
      </c>
      <c r="AD33" s="16" t="s">
        <v>123</v>
      </c>
      <c r="AE33" s="93" t="s">
        <v>4007</v>
      </c>
      <c r="AF33" s="16" t="s">
        <v>123</v>
      </c>
      <c r="AG33" s="93" t="s">
        <v>3857</v>
      </c>
      <c r="AH33" s="16" t="s">
        <v>123</v>
      </c>
      <c r="AI33" s="93" t="s">
        <v>3857</v>
      </c>
      <c r="AJ33" s="16" t="s">
        <v>123</v>
      </c>
      <c r="AK33" s="93" t="s">
        <v>3961</v>
      </c>
      <c r="AL33" s="16" t="s">
        <v>123</v>
      </c>
      <c r="AM33" s="93" t="s">
        <v>3961</v>
      </c>
      <c r="AN33" s="116" t="s">
        <v>4008</v>
      </c>
      <c r="AO33" s="16" t="s">
        <v>3640</v>
      </c>
      <c r="AP33" s="116" t="s">
        <v>4009</v>
      </c>
      <c r="AQ33" s="16" t="s">
        <v>123</v>
      </c>
      <c r="AR33" s="154"/>
      <c r="AS33" s="1"/>
      <c r="AT33" s="133">
        <v>42101.0</v>
      </c>
      <c r="AU33" s="132">
        <f>VLOOKUP(AT33,'Hoja 10'!$A$1:$B$32,2,FALSE())</f>
        <v>32</v>
      </c>
    </row>
    <row r="34" ht="52.5" customHeight="1">
      <c r="A34" s="16" t="s">
        <v>58</v>
      </c>
      <c r="B34" s="50" t="str">
        <f>IFERROR(HYPERLINK(VLOOKUP(A34,Internal_lists_bugs!$A$2:$I2002,9,FALSE()), VLOOKUP(A34,Internal_lists_bugs!$A$2:$C$73,3,FALSE())&amp;Char(10) &amp; Char(10) &amp; VLOOKUP(A34,Internal_lists_bugs!$A$2:$Z$73,26,FALSE())),"please select a BUG ID")</f>
        <v>https://bugs.launchpad.net/nova/+bug/1402728
/vmwareapi/vm_util.py
/vmwareapi/vmops.py </v>
      </c>
      <c r="C34" s="81" t="str">
        <f>IFERROR(VLOOKUP(A34,Internal_lists_bugs!$A$2:$G2002,7,FALSE()),"please select a BUG ID")</f>
        <v>https://opendev.org/openstack/nova/commit/2bcda65d512</v>
      </c>
      <c r="D34" s="16" t="s">
        <v>3618</v>
      </c>
      <c r="E34" s="53" t="s">
        <v>4010</v>
      </c>
      <c r="F34" s="16" t="s">
        <v>3620</v>
      </c>
      <c r="G34" s="53" t="s">
        <v>4011</v>
      </c>
      <c r="H34" s="16" t="s">
        <v>3620</v>
      </c>
      <c r="I34" s="53" t="s">
        <v>4012</v>
      </c>
      <c r="J34" s="16" t="s">
        <v>123</v>
      </c>
      <c r="K34" s="93" t="s">
        <v>4013</v>
      </c>
      <c r="L34" s="16" t="s">
        <v>3686</v>
      </c>
      <c r="M34" s="93" t="s">
        <v>3829</v>
      </c>
      <c r="N34" s="16" t="s">
        <v>251</v>
      </c>
      <c r="O34" s="93" t="s">
        <v>4014</v>
      </c>
      <c r="P34" s="16" t="s">
        <v>3627</v>
      </c>
      <c r="Q34" s="93" t="s">
        <v>4015</v>
      </c>
      <c r="R34" s="16" t="s">
        <v>3629</v>
      </c>
      <c r="S34" s="99" t="s">
        <v>3853</v>
      </c>
      <c r="T34" s="120" t="s">
        <v>3674</v>
      </c>
      <c r="U34" s="93" t="s">
        <v>3820</v>
      </c>
      <c r="V34" s="16" t="s">
        <v>124</v>
      </c>
      <c r="W34" s="93" t="s">
        <v>3632</v>
      </c>
      <c r="X34" s="16" t="s">
        <v>251</v>
      </c>
      <c r="Y34" s="93" t="s">
        <v>4016</v>
      </c>
      <c r="Z34" s="16" t="s">
        <v>251</v>
      </c>
      <c r="AA34" s="93" t="s">
        <v>4016</v>
      </c>
      <c r="AB34" s="16" t="s">
        <v>123</v>
      </c>
      <c r="AC34" s="93" t="s">
        <v>3994</v>
      </c>
      <c r="AD34" s="16" t="s">
        <v>123</v>
      </c>
      <c r="AE34" s="93" t="s">
        <v>3994</v>
      </c>
      <c r="AF34" s="16" t="s">
        <v>251</v>
      </c>
      <c r="AG34" s="93" t="s">
        <v>4017</v>
      </c>
      <c r="AH34" s="16" t="s">
        <v>251</v>
      </c>
      <c r="AI34" s="93" t="s">
        <v>4017</v>
      </c>
      <c r="AJ34" s="16" t="s">
        <v>123</v>
      </c>
      <c r="AK34" s="93" t="s">
        <v>3961</v>
      </c>
      <c r="AL34" s="16" t="s">
        <v>123</v>
      </c>
      <c r="AM34" s="93" t="s">
        <v>3961</v>
      </c>
      <c r="AN34" s="116" t="s">
        <v>3759</v>
      </c>
      <c r="AO34" s="16" t="s">
        <v>3640</v>
      </c>
      <c r="AP34" s="116" t="s">
        <v>4018</v>
      </c>
      <c r="AQ34" s="16" t="s">
        <v>123</v>
      </c>
      <c r="AR34" s="154"/>
      <c r="AS34" s="1"/>
      <c r="AT34" s="133">
        <v>41910.0</v>
      </c>
      <c r="AU34" s="132">
        <f>VLOOKUP(AT34,'Hoja 10'!$A$1:$B$32,2,FALSE())</f>
        <v>24</v>
      </c>
    </row>
    <row r="35" ht="22.5" customHeight="1">
      <c r="A35" s="135" t="s">
        <v>58</v>
      </c>
      <c r="B35" s="50" t="str">
        <f>IFERROR(HYPERLINK(VLOOKUP(A35,Internal_lists_bugs!$A$2:$I2002,9,FALSE()), VLOOKUP(A35,Internal_lists_bugs!$A$2:$C$73,3,FALSE())&amp;Char(10) &amp; Char(10) &amp; VLOOKUP(A35,Internal_lists_bugs!$A$2:$Z$73,26,FALSE())),"please select a BUG ID")</f>
        <v>https://bugs.launchpad.net/nova/+bug/1402728
/vmwareapi/vm_util.py
/vmwareapi/vmops.py </v>
      </c>
      <c r="C35" s="81" t="str">
        <f>IFERROR(VLOOKUP(A35,Internal_lists_bugs!$A$2:$G2002,7,FALSE()),"please select a BUG ID")</f>
        <v>https://opendev.org/openstack/nova/commit/2bcda65d512</v>
      </c>
      <c r="D35" s="54"/>
      <c r="E35" s="53"/>
      <c r="F35" s="16" t="s">
        <v>3663</v>
      </c>
      <c r="G35" s="53" t="s">
        <v>4019</v>
      </c>
      <c r="H35" s="148"/>
      <c r="I35" s="136"/>
      <c r="J35" s="148"/>
      <c r="K35" s="149"/>
      <c r="L35" s="148"/>
      <c r="M35" s="149"/>
      <c r="N35" s="148"/>
      <c r="O35" s="149"/>
      <c r="P35" s="148"/>
      <c r="Q35" s="149"/>
      <c r="R35" s="16" t="s">
        <v>3701</v>
      </c>
      <c r="S35" s="92" t="s">
        <v>4020</v>
      </c>
      <c r="T35" s="139"/>
      <c r="U35" s="149"/>
      <c r="V35" s="148"/>
      <c r="W35" s="149"/>
      <c r="X35" s="148"/>
      <c r="Y35" s="149"/>
      <c r="Z35" s="148"/>
      <c r="AA35" s="149"/>
      <c r="AB35" s="148"/>
      <c r="AC35" s="149"/>
      <c r="AD35" s="148"/>
      <c r="AE35" s="149"/>
      <c r="AF35" s="148"/>
      <c r="AG35" s="149"/>
      <c r="AH35" s="148"/>
      <c r="AI35" s="149"/>
      <c r="AJ35" s="148"/>
      <c r="AK35" s="149"/>
      <c r="AL35" s="148"/>
      <c r="AM35" s="149"/>
      <c r="AN35" s="150"/>
      <c r="AO35" s="148"/>
      <c r="AP35" s="151"/>
      <c r="AQ35" s="148"/>
      <c r="AR35" s="152"/>
      <c r="AS35" s="153"/>
      <c r="AT35" s="153"/>
      <c r="AU35" s="9"/>
    </row>
    <row r="36" ht="48.0" customHeight="1">
      <c r="A36" s="16" t="s">
        <v>59</v>
      </c>
      <c r="B36" s="50" t="str">
        <f>IFERROR(HYPERLINK(VLOOKUP(A36,Internal_lists_bugs!$A$2:$I2002,9,FALSE()), VLOOKUP(A36,Internal_lists_bugs!$A$2:$C$73,3,FALSE())&amp;Char(10) &amp; Char(10) &amp; VLOOKUP(A36,Internal_lists_bugs!$A$2:$Z$73,26,FALSE())),"please select a BUG ID")</f>
        <v>https://bugs.launchpad.net/nova/+bug/1441000
/libvirt/driver.py</v>
      </c>
      <c r="C36" s="81" t="str">
        <f>IFERROR(VLOOKUP(A36,Internal_lists_bugs!$A$2:$G2002,7,FALSE()),"please select a BUG ID")</f>
        <v>https://opendev.org/openstack/nova/commit/7dd6a4a</v>
      </c>
      <c r="D36" s="16" t="s">
        <v>3618</v>
      </c>
      <c r="E36" s="53" t="s">
        <v>4021</v>
      </c>
      <c r="F36" s="16" t="s">
        <v>3620</v>
      </c>
      <c r="G36" s="53" t="s">
        <v>4022</v>
      </c>
      <c r="H36" s="16" t="s">
        <v>3620</v>
      </c>
      <c r="I36" s="53" t="s">
        <v>4023</v>
      </c>
      <c r="J36" s="16" t="s">
        <v>123</v>
      </c>
      <c r="K36" s="93" t="s">
        <v>4024</v>
      </c>
      <c r="L36" s="16" t="s">
        <v>3648</v>
      </c>
      <c r="M36" s="93" t="s">
        <v>3969</v>
      </c>
      <c r="N36" s="16" t="s">
        <v>251</v>
      </c>
      <c r="O36" s="94" t="s">
        <v>4025</v>
      </c>
      <c r="P36" s="16" t="s">
        <v>3627</v>
      </c>
      <c r="Q36" s="93" t="s">
        <v>4026</v>
      </c>
      <c r="R36" s="16" t="s">
        <v>3629</v>
      </c>
      <c r="S36" s="99" t="s">
        <v>3853</v>
      </c>
      <c r="T36" s="120" t="s">
        <v>3674</v>
      </c>
      <c r="U36" s="93" t="s">
        <v>3820</v>
      </c>
      <c r="V36" s="16" t="s">
        <v>124</v>
      </c>
      <c r="W36" s="93" t="s">
        <v>3632</v>
      </c>
      <c r="X36" s="16" t="s">
        <v>251</v>
      </c>
      <c r="Y36" s="93" t="s">
        <v>4027</v>
      </c>
      <c r="Z36" s="16" t="s">
        <v>251</v>
      </c>
      <c r="AA36" s="93" t="s">
        <v>4027</v>
      </c>
      <c r="AB36" s="16" t="s">
        <v>123</v>
      </c>
      <c r="AC36" s="93" t="s">
        <v>4028</v>
      </c>
      <c r="AD36" s="16" t="s">
        <v>123</v>
      </c>
      <c r="AE36" s="93" t="s">
        <v>4028</v>
      </c>
      <c r="AF36" s="16" t="s">
        <v>251</v>
      </c>
      <c r="AG36" s="94" t="s">
        <v>4029</v>
      </c>
      <c r="AH36" s="16" t="s">
        <v>123</v>
      </c>
      <c r="AI36" s="93" t="s">
        <v>4030</v>
      </c>
      <c r="AJ36" s="16" t="s">
        <v>123</v>
      </c>
      <c r="AK36" s="93" t="s">
        <v>3961</v>
      </c>
      <c r="AL36" s="16" t="s">
        <v>123</v>
      </c>
      <c r="AM36" s="93" t="s">
        <v>3961</v>
      </c>
      <c r="AN36" s="116" t="s">
        <v>3697</v>
      </c>
      <c r="AO36" s="16" t="s">
        <v>3640</v>
      </c>
      <c r="AP36" s="116" t="s">
        <v>4031</v>
      </c>
      <c r="AQ36" s="16" t="s">
        <v>123</v>
      </c>
      <c r="AR36" s="154"/>
      <c r="AS36" s="1"/>
      <c r="AT36" s="133">
        <v>42053.0</v>
      </c>
      <c r="AU36" s="132">
        <f>VLOOKUP(AT36,'Hoja 10'!$A$1:$B$32,2,FALSE())</f>
        <v>30</v>
      </c>
    </row>
    <row r="37" ht="22.5" customHeight="1">
      <c r="A37" s="135" t="s">
        <v>59</v>
      </c>
      <c r="B37" s="50" t="str">
        <f>IFERROR(HYPERLINK(VLOOKUP(A37,Internal_lists_bugs!$A$2:$I2002,9,FALSE()), VLOOKUP(A37,Internal_lists_bugs!$A$2:$C$73,3,FALSE())&amp;Char(10) &amp; Char(10) &amp; VLOOKUP(A37,Internal_lists_bugs!$A$2:$Z$73,26,FALSE())),"please select a BUG ID")</f>
        <v>https://bugs.launchpad.net/nova/+bug/1441000
/libvirt/driver.py</v>
      </c>
      <c r="C37" s="81" t="str">
        <f>IFERROR(VLOOKUP(A37,Internal_lists_bugs!$A$2:$G2002,7,FALSE()),"please select a BUG ID")</f>
        <v>https://opendev.org/openstack/nova/commit/7dd6a4a</v>
      </c>
      <c r="D37" s="54"/>
      <c r="E37" s="53"/>
      <c r="F37" s="16" t="s">
        <v>3663</v>
      </c>
      <c r="G37" s="53" t="s">
        <v>4032</v>
      </c>
      <c r="H37" s="148"/>
      <c r="I37" s="136"/>
      <c r="J37" s="148"/>
      <c r="K37" s="149"/>
      <c r="L37" s="148"/>
      <c r="M37" s="149"/>
      <c r="N37" s="148"/>
      <c r="O37" s="149"/>
      <c r="P37" s="148"/>
      <c r="Q37" s="149"/>
      <c r="R37" s="16" t="s">
        <v>3701</v>
      </c>
      <c r="S37" s="92" t="s">
        <v>4020</v>
      </c>
      <c r="T37" s="139"/>
      <c r="U37" s="149"/>
      <c r="V37" s="148"/>
      <c r="W37" s="149"/>
      <c r="X37" s="148"/>
      <c r="Y37" s="149"/>
      <c r="Z37" s="148"/>
      <c r="AA37" s="149"/>
      <c r="AB37" s="148"/>
      <c r="AC37" s="149"/>
      <c r="AD37" s="148"/>
      <c r="AE37" s="149"/>
      <c r="AF37" s="148"/>
      <c r="AG37" s="149"/>
      <c r="AH37" s="148"/>
      <c r="AI37" s="149"/>
      <c r="AJ37" s="148"/>
      <c r="AK37" s="149"/>
      <c r="AL37" s="148"/>
      <c r="AM37" s="149"/>
      <c r="AN37" s="150"/>
      <c r="AO37" s="148"/>
      <c r="AP37" s="151"/>
      <c r="AQ37" s="148"/>
      <c r="AR37" s="152"/>
      <c r="AS37" s="153"/>
      <c r="AT37" s="153"/>
      <c r="AU37" s="9"/>
    </row>
    <row r="38" ht="50.25" customHeight="1">
      <c r="A38" s="16" t="s">
        <v>60</v>
      </c>
      <c r="B38" s="50" t="str">
        <f>IFERROR(HYPERLINK(VLOOKUP(A38,Internal_lists_bugs!$A$2:$I2002,9,FALSE()), VLOOKUP(A38,Internal_lists_bugs!$A$2:$C$73,3,FALSE())&amp;Char(10) &amp; Char(10) &amp; VLOOKUP(A38,Internal_lists_bugs!$A$2:$Z$73,26,FALSE())),"please select a BUG ID")</f>
        <v>https://bugs.launchpad.net/nova/+bug/1505471
/servicegroup/drivers/db.py</v>
      </c>
      <c r="C38" s="81" t="str">
        <f>IFERROR(VLOOKUP(A38,Internal_lists_bugs!$A$2:$G2002,7,FALSE()),"please select a BUG ID")</f>
        <v>https://opendev.org/openstack/nova/commit/64e167eb6</v>
      </c>
      <c r="D38" s="16" t="s">
        <v>3618</v>
      </c>
      <c r="E38" s="53" t="s">
        <v>4033</v>
      </c>
      <c r="F38" s="16" t="s">
        <v>3620</v>
      </c>
      <c r="G38" s="53" t="s">
        <v>4034</v>
      </c>
      <c r="H38" s="16" t="s">
        <v>3620</v>
      </c>
      <c r="I38" s="53" t="s">
        <v>4035</v>
      </c>
      <c r="J38" s="16" t="s">
        <v>251</v>
      </c>
      <c r="K38" s="93" t="s">
        <v>4036</v>
      </c>
      <c r="L38" s="16" t="s">
        <v>3686</v>
      </c>
      <c r="M38" s="93" t="s">
        <v>3829</v>
      </c>
      <c r="N38" s="16" t="s">
        <v>251</v>
      </c>
      <c r="O38" s="93" t="s">
        <v>4037</v>
      </c>
      <c r="P38" s="16" t="s">
        <v>3627</v>
      </c>
      <c r="Q38" s="94" t="s">
        <v>4038</v>
      </c>
      <c r="R38" s="16" t="s">
        <v>3629</v>
      </c>
      <c r="S38" s="99" t="s">
        <v>3853</v>
      </c>
      <c r="T38" s="120" t="s">
        <v>3653</v>
      </c>
      <c r="U38" s="93" t="s">
        <v>4039</v>
      </c>
      <c r="V38" s="16" t="s">
        <v>124</v>
      </c>
      <c r="W38" s="93" t="s">
        <v>3632</v>
      </c>
      <c r="X38" s="27" t="s">
        <v>251</v>
      </c>
      <c r="Y38" s="162" t="s">
        <v>4040</v>
      </c>
      <c r="Z38" s="16" t="s">
        <v>251</v>
      </c>
      <c r="AA38" s="93" t="s">
        <v>4041</v>
      </c>
      <c r="AB38" s="16" t="s">
        <v>251</v>
      </c>
      <c r="AC38" s="93" t="s">
        <v>4042</v>
      </c>
      <c r="AD38" s="16" t="s">
        <v>123</v>
      </c>
      <c r="AE38" s="93" t="s">
        <v>4043</v>
      </c>
      <c r="AF38" s="16" t="s">
        <v>251</v>
      </c>
      <c r="AG38" s="94" t="s">
        <v>4044</v>
      </c>
      <c r="AH38" s="16" t="s">
        <v>251</v>
      </c>
      <c r="AI38" s="94" t="s">
        <v>4045</v>
      </c>
      <c r="AJ38" s="16" t="s">
        <v>251</v>
      </c>
      <c r="AK38" s="93" t="s">
        <v>4046</v>
      </c>
      <c r="AL38" s="16" t="s">
        <v>123</v>
      </c>
      <c r="AM38" s="93" t="s">
        <v>3961</v>
      </c>
      <c r="AN38" s="116" t="s">
        <v>4047</v>
      </c>
      <c r="AO38" s="16" t="s">
        <v>3640</v>
      </c>
      <c r="AP38" s="116" t="s">
        <v>4048</v>
      </c>
      <c r="AQ38" s="16" t="s">
        <v>123</v>
      </c>
      <c r="AR38" s="154"/>
      <c r="AS38" s="9" t="s">
        <v>4049</v>
      </c>
      <c r="AT38" s="131">
        <v>41239.0</v>
      </c>
      <c r="AU38" s="132">
        <f>VLOOKUP(AT38,'Hoja 10'!$A$1:$B$32,2,FALSE())</f>
        <v>5</v>
      </c>
    </row>
    <row r="39" ht="49.5" customHeight="1">
      <c r="A39" s="16" t="s">
        <v>61</v>
      </c>
      <c r="B39" s="50" t="str">
        <f>IFERROR(HYPERLINK(VLOOKUP(A39,Internal_lists_bugs!$A$2:$I2002,9,FALSE()), VLOOKUP(A39,Internal_lists_bugs!$A$2:$C$73,3,FALSE())&amp;Char(10) &amp; Char(10) &amp; VLOOKUP(A39,Internal_lists_bugs!$A$2:$Z$73,26,FALSE())),"please select a BUG ID")</f>
        <v>https://bugs.launchpad.net/nova/+bug/1453274
/libvirt/driver.py</v>
      </c>
      <c r="C39" s="81" t="str">
        <f>IFERROR(VLOOKUP(A39,Internal_lists_bugs!$A$2:$G2002,7,FALSE()),"please select a BUG ID")</f>
        <v>https://opendev.org/openstack/nova/commit/60c90f7</v>
      </c>
      <c r="D39" s="16" t="s">
        <v>3618</v>
      </c>
      <c r="E39" s="53" t="s">
        <v>4050</v>
      </c>
      <c r="F39" s="16" t="s">
        <v>3620</v>
      </c>
      <c r="G39" s="53" t="s">
        <v>4051</v>
      </c>
      <c r="H39" s="16" t="s">
        <v>3620</v>
      </c>
      <c r="I39" s="53" t="s">
        <v>4052</v>
      </c>
      <c r="J39" s="16" t="s">
        <v>123</v>
      </c>
      <c r="K39" s="93" t="s">
        <v>4053</v>
      </c>
      <c r="L39" s="16" t="s">
        <v>3648</v>
      </c>
      <c r="M39" s="93" t="s">
        <v>3969</v>
      </c>
      <c r="N39" s="16" t="s">
        <v>251</v>
      </c>
      <c r="O39" s="94" t="s">
        <v>3879</v>
      </c>
      <c r="P39" s="16" t="s">
        <v>3627</v>
      </c>
      <c r="Q39" s="99" t="s">
        <v>4054</v>
      </c>
      <c r="R39" s="16" t="s">
        <v>3629</v>
      </c>
      <c r="S39" s="99" t="s">
        <v>3853</v>
      </c>
      <c r="T39" s="120" t="s">
        <v>3674</v>
      </c>
      <c r="U39" s="93" t="s">
        <v>4055</v>
      </c>
      <c r="V39" s="16" t="s">
        <v>124</v>
      </c>
      <c r="W39" s="93" t="s">
        <v>3632</v>
      </c>
      <c r="X39" s="16" t="s">
        <v>251</v>
      </c>
      <c r="Y39" s="93" t="s">
        <v>4056</v>
      </c>
      <c r="Z39" s="16" t="s">
        <v>251</v>
      </c>
      <c r="AA39" s="93" t="s">
        <v>4056</v>
      </c>
      <c r="AB39" s="16" t="s">
        <v>123</v>
      </c>
      <c r="AC39" s="93" t="s">
        <v>4028</v>
      </c>
      <c r="AD39" s="16" t="s">
        <v>123</v>
      </c>
      <c r="AE39" s="93" t="s">
        <v>4028</v>
      </c>
      <c r="AF39" s="16" t="s">
        <v>123</v>
      </c>
      <c r="AG39" s="93" t="s">
        <v>3857</v>
      </c>
      <c r="AH39" s="16" t="s">
        <v>123</v>
      </c>
      <c r="AI39" s="93" t="s">
        <v>3857</v>
      </c>
      <c r="AJ39" s="16" t="s">
        <v>123</v>
      </c>
      <c r="AK39" s="93" t="s">
        <v>3961</v>
      </c>
      <c r="AL39" s="16" t="s">
        <v>123</v>
      </c>
      <c r="AM39" s="93" t="s">
        <v>3961</v>
      </c>
      <c r="AN39" s="116" t="s">
        <v>4057</v>
      </c>
      <c r="AO39" s="16" t="s">
        <v>3640</v>
      </c>
      <c r="AP39" s="116" t="s">
        <v>4058</v>
      </c>
      <c r="AQ39" s="16" t="s">
        <v>123</v>
      </c>
      <c r="AR39" s="154"/>
      <c r="AS39" s="1"/>
      <c r="AT39" s="133">
        <v>41831.0</v>
      </c>
      <c r="AU39" s="132">
        <f>VLOOKUP(AT39,'Hoja 10'!$A$1:$B$32,2,FALSE())</f>
        <v>19</v>
      </c>
    </row>
    <row r="40" ht="49.5" customHeight="1">
      <c r="A40" s="16" t="s">
        <v>62</v>
      </c>
      <c r="B40" s="50" t="str">
        <f>IFERROR(HYPERLINK(VLOOKUP(A40,Internal_lists_bugs!$A$2:$I2002,9,FALSE()), VLOOKUP(A40,Internal_lists_bugs!$A$2:$C$73,3,FALSE())&amp;Char(10) &amp; Char(10) &amp; VLOOKUP(A40,Internal_lists_bugs!$A$2:$Z$73,26,FALSE())),"please select a BUG ID")</f>
        <v>https://bugs.launchpad.net/nova/+bug/1424647
/cmd/baseproxy.py
/cmd/novncproxy.py
/cmd/serialproxy.py
/cmd/spicehtml5proxy.py </v>
      </c>
      <c r="C40" s="81" t="str">
        <f>IFERROR(VLOOKUP(A40,Internal_lists_bugs!$A$2:$G2002,7,FALSE()),"please select a BUG ID")</f>
        <v>https://opendev.org/openstack/nova/commit/d2cbb9a</v>
      </c>
      <c r="D40" s="16" t="s">
        <v>3618</v>
      </c>
      <c r="E40" s="53" t="s">
        <v>4059</v>
      </c>
      <c r="F40" s="16" t="s">
        <v>3620</v>
      </c>
      <c r="G40" s="53" t="s">
        <v>4060</v>
      </c>
      <c r="H40" s="16" t="s">
        <v>3620</v>
      </c>
      <c r="I40" s="53" t="s">
        <v>4061</v>
      </c>
      <c r="J40" s="16" t="s">
        <v>123</v>
      </c>
      <c r="K40" s="93" t="s">
        <v>4062</v>
      </c>
      <c r="L40" s="16" t="s">
        <v>3686</v>
      </c>
      <c r="M40" s="93" t="s">
        <v>3829</v>
      </c>
      <c r="N40" s="16" t="s">
        <v>123</v>
      </c>
      <c r="O40" s="93" t="s">
        <v>4063</v>
      </c>
      <c r="P40" s="16" t="s">
        <v>3708</v>
      </c>
      <c r="Q40" s="93" t="s">
        <v>4064</v>
      </c>
      <c r="R40" s="16" t="s">
        <v>3708</v>
      </c>
      <c r="S40" s="93" t="s">
        <v>4064</v>
      </c>
      <c r="T40" s="120" t="s">
        <v>3674</v>
      </c>
      <c r="U40" s="93" t="s">
        <v>3675</v>
      </c>
      <c r="V40" s="16" t="s">
        <v>124</v>
      </c>
      <c r="W40" s="93" t="s">
        <v>3632</v>
      </c>
      <c r="X40" s="16" t="s">
        <v>251</v>
      </c>
      <c r="Y40" s="93" t="s">
        <v>4065</v>
      </c>
      <c r="Z40" s="16" t="s">
        <v>251</v>
      </c>
      <c r="AA40" s="93" t="s">
        <v>4066</v>
      </c>
      <c r="AB40" s="16" t="s">
        <v>251</v>
      </c>
      <c r="AC40" s="93" t="s">
        <v>4067</v>
      </c>
      <c r="AD40" s="16" t="s">
        <v>251</v>
      </c>
      <c r="AE40" s="93" t="s">
        <v>4068</v>
      </c>
      <c r="AF40" s="16" t="s">
        <v>251</v>
      </c>
      <c r="AG40" s="93" t="s">
        <v>4069</v>
      </c>
      <c r="AH40" s="16" t="s">
        <v>251</v>
      </c>
      <c r="AI40" s="93" t="s">
        <v>4070</v>
      </c>
      <c r="AJ40" s="16" t="s">
        <v>251</v>
      </c>
      <c r="AK40" s="93" t="s">
        <v>4071</v>
      </c>
      <c r="AL40" s="16" t="s">
        <v>251</v>
      </c>
      <c r="AM40" s="93" t="s">
        <v>4071</v>
      </c>
      <c r="AN40" s="116" t="s">
        <v>4072</v>
      </c>
      <c r="AO40" s="16" t="s">
        <v>3640</v>
      </c>
      <c r="AP40" s="116" t="s">
        <v>4073</v>
      </c>
      <c r="AQ40" s="16" t="s">
        <v>123</v>
      </c>
      <c r="AR40" s="154"/>
      <c r="AS40" s="1"/>
      <c r="AT40" s="133">
        <v>42024.0</v>
      </c>
      <c r="AU40" s="132">
        <f>VLOOKUP(AT40,'Hoja 10'!$A$1:$B$32,2,FALSE())</f>
        <v>27</v>
      </c>
    </row>
    <row r="41" ht="49.5" customHeight="1">
      <c r="A41" s="16" t="s">
        <v>63</v>
      </c>
      <c r="B41" s="50" t="str">
        <f>IFERROR(HYPERLINK(VLOOKUP(A41,Internal_lists_bugs!$A$2:$I2002,9,FALSE()), VLOOKUP(A41,Internal_lists_bugs!$A$2:$C$73,3,FALSE())&amp;Char(10) &amp; Char(10) &amp; VLOOKUP(A41,Internal_lists_bugs!$A$2:$Z$73,26,FALSE())),"please select a BUG ID")</f>
        <v>https://bugs.launchpad.net/nova/+bug/1443970
/network/manager.py</v>
      </c>
      <c r="C41" s="81" t="str">
        <f>IFERROR(VLOOKUP(A41,Internal_lists_bugs!$A$2:$G2002,7,FALSE()),"please select a BUG ID")</f>
        <v>https://opendev.org/openstack/nova/commit/447641972539f1</v>
      </c>
      <c r="D41" s="16" t="s">
        <v>3663</v>
      </c>
      <c r="E41" s="53" t="s">
        <v>4074</v>
      </c>
      <c r="F41" s="16" t="s">
        <v>3620</v>
      </c>
      <c r="G41" s="53" t="s">
        <v>4075</v>
      </c>
      <c r="H41" s="16" t="s">
        <v>3663</v>
      </c>
      <c r="I41" s="53" t="s">
        <v>4076</v>
      </c>
      <c r="J41" s="16" t="s">
        <v>123</v>
      </c>
      <c r="K41" s="93" t="s">
        <v>4077</v>
      </c>
      <c r="L41" s="16" t="s">
        <v>3686</v>
      </c>
      <c r="M41" s="93" t="s">
        <v>3829</v>
      </c>
      <c r="N41" s="16" t="s">
        <v>251</v>
      </c>
      <c r="O41" s="94" t="s">
        <v>4078</v>
      </c>
      <c r="P41" s="16" t="s">
        <v>3689</v>
      </c>
      <c r="Q41" s="93" t="s">
        <v>4079</v>
      </c>
      <c r="R41" s="16" t="s">
        <v>3690</v>
      </c>
      <c r="S41" s="93" t="s">
        <v>4080</v>
      </c>
      <c r="T41" s="120" t="s">
        <v>3674</v>
      </c>
      <c r="U41" s="93" t="s">
        <v>4081</v>
      </c>
      <c r="V41" s="16" t="s">
        <v>124</v>
      </c>
      <c r="W41" s="93" t="s">
        <v>3632</v>
      </c>
      <c r="X41" s="16" t="s">
        <v>123</v>
      </c>
      <c r="Y41" s="93" t="s">
        <v>3739</v>
      </c>
      <c r="Z41" s="16" t="s">
        <v>123</v>
      </c>
      <c r="AA41" s="93" t="s">
        <v>3739</v>
      </c>
      <c r="AB41" s="16" t="s">
        <v>123</v>
      </c>
      <c r="AC41" s="93" t="s">
        <v>3994</v>
      </c>
      <c r="AD41" s="16" t="s">
        <v>123</v>
      </c>
      <c r="AE41" s="93" t="s">
        <v>3994</v>
      </c>
      <c r="AF41" s="16" t="s">
        <v>123</v>
      </c>
      <c r="AG41" s="93" t="s">
        <v>3857</v>
      </c>
      <c r="AH41" s="16" t="s">
        <v>123</v>
      </c>
      <c r="AI41" s="93" t="s">
        <v>3857</v>
      </c>
      <c r="AJ41" s="16" t="s">
        <v>123</v>
      </c>
      <c r="AK41" s="93" t="s">
        <v>3961</v>
      </c>
      <c r="AL41" s="16" t="s">
        <v>123</v>
      </c>
      <c r="AM41" s="93" t="s">
        <v>3961</v>
      </c>
      <c r="AN41" s="116" t="s">
        <v>4082</v>
      </c>
      <c r="AO41" s="16" t="s">
        <v>3640</v>
      </c>
      <c r="AP41" s="116" t="s">
        <v>4083</v>
      </c>
      <c r="AQ41" s="16" t="s">
        <v>123</v>
      </c>
      <c r="AR41" s="154"/>
      <c r="AS41" s="1"/>
      <c r="AT41" s="133">
        <v>41809.0</v>
      </c>
      <c r="AU41" s="132">
        <f>VLOOKUP(AT41,'Hoja 10'!$A$1:$B$32,2,FALSE())</f>
        <v>18</v>
      </c>
    </row>
    <row r="42" ht="22.5" customHeight="1">
      <c r="A42" s="135" t="s">
        <v>63</v>
      </c>
      <c r="B42" s="50" t="str">
        <f>IFERROR(HYPERLINK(VLOOKUP(A42,Internal_lists_bugs!$A$2:$I2002,9,FALSE()), VLOOKUP(A42,Internal_lists_bugs!$A$2:$C$73,3,FALSE())&amp;Char(10) &amp; Char(10) &amp; VLOOKUP(A42,Internal_lists_bugs!$A$2:$Z$73,26,FALSE())),"please select a BUG ID")</f>
        <v>https://bugs.launchpad.net/nova/+bug/1443970
/network/manager.py</v>
      </c>
      <c r="C42" s="81" t="str">
        <f>IFERROR(VLOOKUP(A42,Internal_lists_bugs!$A$2:$G2002,7,FALSE()),"please select a BUG ID")</f>
        <v>https://opendev.org/openstack/nova/commit/447641972539f1</v>
      </c>
      <c r="D42" s="54"/>
      <c r="E42" s="53"/>
      <c r="F42" s="16" t="s">
        <v>3618</v>
      </c>
      <c r="G42" s="53" t="s">
        <v>4084</v>
      </c>
      <c r="H42" s="148"/>
      <c r="I42" s="136"/>
      <c r="J42" s="148"/>
      <c r="K42" s="149"/>
      <c r="L42" s="148"/>
      <c r="M42" s="149"/>
      <c r="N42" s="148"/>
      <c r="O42" s="149"/>
      <c r="P42" s="148"/>
      <c r="Q42" s="149"/>
      <c r="R42" s="16" t="s">
        <v>3701</v>
      </c>
      <c r="S42" s="92" t="s">
        <v>4020</v>
      </c>
      <c r="T42" s="139"/>
      <c r="U42" s="149"/>
      <c r="V42" s="148"/>
      <c r="W42" s="149"/>
      <c r="X42" s="148"/>
      <c r="Y42" s="149"/>
      <c r="Z42" s="148"/>
      <c r="AA42" s="149"/>
      <c r="AB42" s="148"/>
      <c r="AC42" s="149"/>
      <c r="AD42" s="148"/>
      <c r="AE42" s="149"/>
      <c r="AF42" s="148"/>
      <c r="AG42" s="149"/>
      <c r="AH42" s="148"/>
      <c r="AI42" s="149"/>
      <c r="AJ42" s="148"/>
      <c r="AK42" s="149"/>
      <c r="AL42" s="148"/>
      <c r="AM42" s="149"/>
      <c r="AN42" s="150"/>
      <c r="AO42" s="148"/>
      <c r="AP42" s="151"/>
      <c r="AQ42" s="148"/>
      <c r="AR42" s="152"/>
      <c r="AS42" s="153"/>
      <c r="AT42" s="153"/>
      <c r="AU42" s="9"/>
    </row>
    <row r="43" ht="51.75" customHeight="1">
      <c r="A43" s="54" t="s">
        <v>64</v>
      </c>
      <c r="B43" s="50" t="str">
        <f>IFERROR(HYPERLINK(VLOOKUP(A43,Internal_lists_bugs!$A$2:$I2002,9,FALSE()), VLOOKUP(A43,Internal_lists_bugs!$A$2:$C$73,3,FALSE())&amp;Char(10) &amp; Char(10) &amp; VLOOKUP(A43,Internal_lists_bugs!$A$2:$Z$73,26,FALSE())),"please select a BUG ID")</f>
        <v>https://bugs.launchpad.net/nova/+bug/1381468
/filters/trusted_filter.py</v>
      </c>
      <c r="C43" s="81" t="str">
        <f>IFERROR(VLOOKUP(A43,Internal_lists_bugs!$A$2:$G2002,7,FALSE()),"please select a BUG ID")</f>
        <v>https://opendev.org/openstack/nova/commit/30871e870</v>
      </c>
      <c r="D43" s="16" t="s">
        <v>3663</v>
      </c>
      <c r="E43" s="53" t="s">
        <v>4085</v>
      </c>
      <c r="F43" s="16" t="s">
        <v>3620</v>
      </c>
      <c r="G43" s="53" t="s">
        <v>4086</v>
      </c>
      <c r="H43" s="16" t="s">
        <v>3620</v>
      </c>
      <c r="I43" s="53" t="s">
        <v>4087</v>
      </c>
      <c r="J43" s="16" t="s">
        <v>123</v>
      </c>
      <c r="K43" s="93" t="s">
        <v>4088</v>
      </c>
      <c r="L43" s="16" t="s">
        <v>3648</v>
      </c>
      <c r="M43" s="93" t="s">
        <v>3969</v>
      </c>
      <c r="N43" s="16" t="s">
        <v>251</v>
      </c>
      <c r="O43" s="94" t="s">
        <v>4089</v>
      </c>
      <c r="P43" s="16" t="s">
        <v>3670</v>
      </c>
      <c r="Q43" s="93" t="s">
        <v>4079</v>
      </c>
      <c r="R43" s="16" t="s">
        <v>3786</v>
      </c>
      <c r="S43" s="93" t="s">
        <v>4090</v>
      </c>
      <c r="T43" s="120" t="s">
        <v>3674</v>
      </c>
      <c r="U43" s="93" t="s">
        <v>3675</v>
      </c>
      <c r="V43" s="16" t="s">
        <v>124</v>
      </c>
      <c r="W43" s="93" t="s">
        <v>3632</v>
      </c>
      <c r="X43" s="16" t="s">
        <v>251</v>
      </c>
      <c r="Y43" s="93" t="s">
        <v>4091</v>
      </c>
      <c r="Z43" s="16" t="s">
        <v>251</v>
      </c>
      <c r="AA43" s="93" t="s">
        <v>4091</v>
      </c>
      <c r="AB43" s="16" t="s">
        <v>251</v>
      </c>
      <c r="AC43" s="93" t="s">
        <v>4092</v>
      </c>
      <c r="AD43" s="16" t="s">
        <v>251</v>
      </c>
      <c r="AE43" s="93" t="s">
        <v>4092</v>
      </c>
      <c r="AF43" s="16" t="s">
        <v>251</v>
      </c>
      <c r="AG43" s="93" t="s">
        <v>4093</v>
      </c>
      <c r="AH43" s="16" t="s">
        <v>251</v>
      </c>
      <c r="AI43" s="93" t="s">
        <v>4093</v>
      </c>
      <c r="AJ43" s="16" t="s">
        <v>251</v>
      </c>
      <c r="AK43" s="93" t="s">
        <v>4094</v>
      </c>
      <c r="AL43" s="16" t="s">
        <v>251</v>
      </c>
      <c r="AM43" s="93" t="s">
        <v>4094</v>
      </c>
      <c r="AN43" s="116" t="s">
        <v>4095</v>
      </c>
      <c r="AO43" s="16" t="s">
        <v>3640</v>
      </c>
      <c r="AP43" s="116" t="s">
        <v>4096</v>
      </c>
      <c r="AQ43" s="16" t="s">
        <v>123</v>
      </c>
      <c r="AR43" s="154"/>
      <c r="AS43" s="1"/>
      <c r="AT43" s="133">
        <v>41912.0</v>
      </c>
      <c r="AU43" s="132">
        <f>VLOOKUP(AT43,'Hoja 10'!$A$1:$B$32,2,FALSE())</f>
        <v>25</v>
      </c>
    </row>
    <row r="44">
      <c r="A44" s="16" t="s">
        <v>65</v>
      </c>
      <c r="B44" s="50" t="str">
        <f>IFERROR(HYPERLINK(VLOOKUP(A44,Internal_lists_bugs!$A$2:$I2002,9,FALSE()), VLOOKUP(A44,Internal_lists_bugs!$A$2:$C$73,3,FALSE())&amp;Char(10) &amp; Char(10) &amp; VLOOKUP(A44,Internal_lists_bugs!$A$2:$Z$73,26,FALSE())),"please select a BUG ID")</f>
        <v>https://github.com/elastic/elasticsearch/issues/2566
/classic/MapperQueryParser.java</v>
      </c>
      <c r="C44" s="81" t="str">
        <f>IFERROR(VLOOKUP(A44,Internal_lists_bugs!$A$2:$G2002,7,FALSE()),"please select a BUG ID")</f>
        <v>https://github.com/elastic/elasticsearch/commit/2442e1fb</v>
      </c>
      <c r="D44" s="16" t="s">
        <v>3847</v>
      </c>
      <c r="E44" s="53"/>
      <c r="F44" s="16" t="s">
        <v>3847</v>
      </c>
      <c r="G44" s="53"/>
      <c r="H44" s="16" t="s">
        <v>3847</v>
      </c>
      <c r="I44" s="53"/>
      <c r="J44" s="16" t="s">
        <v>123</v>
      </c>
      <c r="K44" s="93" t="s">
        <v>4097</v>
      </c>
      <c r="L44" s="38" t="s">
        <v>3686</v>
      </c>
      <c r="M44" s="93" t="s">
        <v>4098</v>
      </c>
      <c r="N44" s="16" t="s">
        <v>123</v>
      </c>
      <c r="O44" s="92"/>
      <c r="P44" s="16" t="s">
        <v>3689</v>
      </c>
      <c r="Q44" s="92"/>
      <c r="R44" s="16" t="s">
        <v>3690</v>
      </c>
      <c r="S44" s="92"/>
      <c r="T44" s="120" t="s">
        <v>3708</v>
      </c>
      <c r="U44" s="164"/>
      <c r="V44" s="38" t="s">
        <v>124</v>
      </c>
      <c r="W44" s="92"/>
      <c r="X44" s="16" t="s">
        <v>251</v>
      </c>
      <c r="Y44" s="93" t="s">
        <v>4099</v>
      </c>
      <c r="Z44" s="16" t="s">
        <v>123</v>
      </c>
      <c r="AA44" s="92"/>
      <c r="AB44" s="16" t="s">
        <v>251</v>
      </c>
      <c r="AC44" s="93" t="s">
        <v>4100</v>
      </c>
      <c r="AD44" s="16" t="s">
        <v>251</v>
      </c>
      <c r="AE44" s="93" t="s">
        <v>4100</v>
      </c>
      <c r="AF44" s="16" t="s">
        <v>251</v>
      </c>
      <c r="AG44" s="93" t="s">
        <v>4101</v>
      </c>
      <c r="AH44" s="16" t="s">
        <v>251</v>
      </c>
      <c r="AI44" s="93" t="s">
        <v>4102</v>
      </c>
      <c r="AJ44" s="16" t="s">
        <v>251</v>
      </c>
      <c r="AK44" s="93" t="s">
        <v>4103</v>
      </c>
      <c r="AL44" s="16" t="s">
        <v>251</v>
      </c>
      <c r="AM44" s="93" t="s">
        <v>4103</v>
      </c>
      <c r="AN44" s="123"/>
      <c r="AO44" s="16" t="s">
        <v>4104</v>
      </c>
      <c r="AP44" s="123"/>
      <c r="AQ44" s="16" t="s">
        <v>123</v>
      </c>
      <c r="AR44" s="154"/>
      <c r="AS44" s="1"/>
      <c r="AT44" s="1"/>
      <c r="AU44" s="9"/>
    </row>
    <row r="45">
      <c r="A45" s="38" t="s">
        <v>66</v>
      </c>
      <c r="B45" s="165" t="str">
        <f>IFERROR(HYPERLINK(VLOOKUP(A45,Internal_lists_bugs!$A$2:$I2002,9,FALSE()), VLOOKUP(A45,Internal_lists_bugs!$A$2:$C$73,3,FALSE())&amp;CHAR(10) &amp; CHAR(10) &amp; VLOOKUP(A45,Internal_lists_bugs!$A$2:$Z$73,26,FALSE())),"please select a BUG ID")</f>
        <v>https://github.com/elastic/elasticsearch/issues/864
/ElasticSearchIllegalArgumentException.java
/alias/RestIndicesAliasesAction.java</v>
      </c>
      <c r="C45" s="166" t="str">
        <f>IFERROR(VLOOKUP(A45,Internal_lists_bugs!$A$2:$G2002,7,FALSE()),"please select a BUG ID")</f>
        <v>https://github.com/elastic/elasticsearch/commit/8f32467</v>
      </c>
      <c r="D45" s="38" t="s">
        <v>3847</v>
      </c>
      <c r="E45" s="164"/>
      <c r="F45" s="38" t="s">
        <v>3847</v>
      </c>
      <c r="G45" s="164"/>
      <c r="H45" s="38" t="s">
        <v>3847</v>
      </c>
      <c r="I45" s="164"/>
      <c r="J45" s="38" t="s">
        <v>123</v>
      </c>
      <c r="K45" s="164" t="s">
        <v>4105</v>
      </c>
      <c r="L45" s="38" t="s">
        <v>3686</v>
      </c>
      <c r="M45" s="123"/>
      <c r="N45" s="38" t="s">
        <v>251</v>
      </c>
      <c r="O45" s="164" t="s">
        <v>4106</v>
      </c>
      <c r="P45" s="9" t="s">
        <v>3689</v>
      </c>
      <c r="Q45" s="164" t="s">
        <v>4107</v>
      </c>
      <c r="R45" s="9" t="s">
        <v>3690</v>
      </c>
      <c r="S45" s="164"/>
      <c r="T45" s="120" t="s">
        <v>3708</v>
      </c>
      <c r="U45" s="164"/>
      <c r="V45" s="38" t="s">
        <v>124</v>
      </c>
      <c r="W45" s="164"/>
      <c r="X45" s="38" t="s">
        <v>251</v>
      </c>
      <c r="Y45" s="164" t="s">
        <v>4108</v>
      </c>
      <c r="Z45" s="38" t="s">
        <v>251</v>
      </c>
      <c r="AA45" s="164" t="s">
        <v>4109</v>
      </c>
      <c r="AB45" s="38" t="s">
        <v>251</v>
      </c>
      <c r="AC45" s="164" t="s">
        <v>4110</v>
      </c>
      <c r="AD45" s="38" t="s">
        <v>123</v>
      </c>
      <c r="AE45" s="164"/>
      <c r="AF45" s="38" t="s">
        <v>251</v>
      </c>
      <c r="AG45" s="164"/>
      <c r="AH45" s="38" t="s">
        <v>251</v>
      </c>
      <c r="AI45" s="164"/>
      <c r="AJ45" s="38" t="s">
        <v>251</v>
      </c>
      <c r="AK45" s="164" t="s">
        <v>4111</v>
      </c>
      <c r="AL45" s="38" t="s">
        <v>251</v>
      </c>
      <c r="AM45" s="123" t="s">
        <v>4111</v>
      </c>
      <c r="AN45" s="123"/>
      <c r="AO45" s="38" t="s">
        <v>4104</v>
      </c>
      <c r="AP45" s="123"/>
      <c r="AQ45" s="38" t="s">
        <v>123</v>
      </c>
      <c r="AR45" s="167"/>
      <c r="AS45" s="1"/>
      <c r="AT45" s="1"/>
      <c r="AU45" s="38"/>
    </row>
    <row r="46">
      <c r="A46" s="38" t="s">
        <v>67</v>
      </c>
      <c r="B46" s="165" t="str">
        <f>IFERROR(HYPERLINK(VLOOKUP(A46,Internal_lists_bugs!$A$2:$I2002,9,FALSE()), VLOOKUP(A46,Internal_lists_bugs!$A$2:$C$73,3,FALSE())&amp;Char(10) &amp; Char(10) &amp; VLOOKUP(A46,Internal_lists_bugs!$A$2:$Z$73,26,FALSE())),"please select a BUG ID")</f>
        <v>https://github.com/elastic/elasticsearch/issues/8526
/geo/GeoHashUtils.java</v>
      </c>
      <c r="C46" s="166" t="str">
        <f>IFERROR(VLOOKUP(A46,Internal_lists_bugs!$A$2:$G2002,7,FALSE()),"please select a BUG ID")</f>
        <v>https://github.com/elastic/elasticsearch/commit/5aa0a8438f</v>
      </c>
      <c r="D46" s="38" t="s">
        <v>4112</v>
      </c>
      <c r="E46" s="164"/>
      <c r="F46" s="38" t="s">
        <v>4113</v>
      </c>
      <c r="G46" s="164"/>
      <c r="H46" s="38" t="s">
        <v>3847</v>
      </c>
      <c r="I46" s="164"/>
      <c r="J46" s="38" t="s">
        <v>123</v>
      </c>
      <c r="K46" s="164" t="s">
        <v>4114</v>
      </c>
      <c r="L46" s="38" t="s">
        <v>3686</v>
      </c>
      <c r="M46" s="123"/>
      <c r="N46" s="38" t="s">
        <v>251</v>
      </c>
      <c r="O46" s="164" t="s">
        <v>4115</v>
      </c>
      <c r="P46" s="9" t="s">
        <v>3689</v>
      </c>
      <c r="Q46" s="164" t="s">
        <v>4107</v>
      </c>
      <c r="R46" s="9" t="s">
        <v>3690</v>
      </c>
      <c r="S46" s="164"/>
      <c r="T46" s="120" t="s">
        <v>3708</v>
      </c>
      <c r="U46" s="164"/>
      <c r="V46" s="38" t="s">
        <v>124</v>
      </c>
      <c r="W46" s="164"/>
      <c r="X46" s="38" t="s">
        <v>251</v>
      </c>
      <c r="Y46" s="164" t="s">
        <v>4116</v>
      </c>
      <c r="Z46" s="38" t="s">
        <v>251</v>
      </c>
      <c r="AA46" s="164" t="s">
        <v>4117</v>
      </c>
      <c r="AB46" s="38" t="s">
        <v>123</v>
      </c>
      <c r="AC46" s="164"/>
      <c r="AD46" s="38" t="s">
        <v>123</v>
      </c>
      <c r="AE46" s="164"/>
      <c r="AF46" s="38" t="s">
        <v>251</v>
      </c>
      <c r="AG46" s="164"/>
      <c r="AH46" s="38" t="s">
        <v>251</v>
      </c>
      <c r="AI46" s="164" t="s">
        <v>4118</v>
      </c>
      <c r="AJ46" s="38" t="s">
        <v>251</v>
      </c>
      <c r="AK46" s="164" t="s">
        <v>4119</v>
      </c>
      <c r="AL46" s="38" t="s">
        <v>251</v>
      </c>
      <c r="AM46" s="123" t="s">
        <v>4119</v>
      </c>
      <c r="AN46" s="123"/>
      <c r="AO46" s="38" t="s">
        <v>4104</v>
      </c>
      <c r="AP46" s="123"/>
      <c r="AQ46" s="38" t="s">
        <v>123</v>
      </c>
      <c r="AR46" s="167"/>
      <c r="AS46" s="1"/>
      <c r="AT46" s="1"/>
      <c r="AU46" s="38"/>
    </row>
    <row r="47">
      <c r="A47" s="38" t="s">
        <v>69</v>
      </c>
      <c r="B47" s="165" t="str">
        <f>IFERROR(HYPERLINK(VLOOKUP(A47,Internal_lists_bugs!$A$2:$I2002,9,FALSE()), VLOOKUP(A47,Internal_lists_bugs!$A$2:$C$73,3,FALSE())&amp;CHAR(10) &amp; CHAR(10) &amp; VLOOKUP(A47,Internal_lists_bugs!$A$2:$Z$73,26,FALSE())),"please select a BUG ID")</f>
        <v>https://github.com/elastic/elasticsearch/issues/1814
/internal/InternalSearchHit.java</v>
      </c>
      <c r="C47" s="166" t="str">
        <f>IFERROR(VLOOKUP(A47,Internal_lists_bugs!$A$2:$G2002,7,FALSE()),"please select a BUG ID")</f>
        <v>https://github.com/elastic/elasticsearch/commit/14237317fce</v>
      </c>
      <c r="D47" s="38" t="s">
        <v>3847</v>
      </c>
      <c r="E47" s="164"/>
      <c r="F47" s="38" t="s">
        <v>3847</v>
      </c>
      <c r="G47" s="164"/>
      <c r="H47" s="38" t="s">
        <v>3847</v>
      </c>
      <c r="I47" s="164"/>
      <c r="J47" s="38" t="s">
        <v>123</v>
      </c>
      <c r="K47" s="164" t="s">
        <v>4120</v>
      </c>
      <c r="L47" s="38" t="s">
        <v>3686</v>
      </c>
      <c r="M47" s="123" t="s">
        <v>4120</v>
      </c>
      <c r="N47" s="38" t="s">
        <v>251</v>
      </c>
      <c r="O47" s="164" t="s">
        <v>4121</v>
      </c>
      <c r="P47" s="9" t="s">
        <v>3689</v>
      </c>
      <c r="Q47" s="164" t="s">
        <v>4122</v>
      </c>
      <c r="R47" s="9" t="s">
        <v>3690</v>
      </c>
      <c r="S47" s="123"/>
      <c r="T47" s="120" t="s">
        <v>3708</v>
      </c>
      <c r="U47" s="123"/>
      <c r="V47" s="38" t="s">
        <v>124</v>
      </c>
      <c r="W47" s="123"/>
      <c r="X47" s="38" t="s">
        <v>251</v>
      </c>
      <c r="Y47" s="164" t="s">
        <v>4123</v>
      </c>
      <c r="Z47" s="38" t="s">
        <v>123</v>
      </c>
      <c r="AA47" s="164"/>
      <c r="AB47" s="38" t="s">
        <v>123</v>
      </c>
      <c r="AC47" s="164"/>
      <c r="AD47" s="38" t="s">
        <v>123</v>
      </c>
      <c r="AE47" s="164"/>
      <c r="AF47" s="38" t="s">
        <v>251</v>
      </c>
      <c r="AG47" s="164" t="s">
        <v>4124</v>
      </c>
      <c r="AH47" s="38" t="s">
        <v>251</v>
      </c>
      <c r="AI47" s="164" t="s">
        <v>4124</v>
      </c>
      <c r="AJ47" s="38" t="s">
        <v>251</v>
      </c>
      <c r="AK47" s="123" t="s">
        <v>4125</v>
      </c>
      <c r="AL47" s="38" t="s">
        <v>123</v>
      </c>
      <c r="AM47" s="123"/>
      <c r="AN47" s="123"/>
      <c r="AO47" s="38" t="s">
        <v>4104</v>
      </c>
      <c r="AP47" s="123"/>
      <c r="AQ47" s="38" t="s">
        <v>123</v>
      </c>
      <c r="AR47" s="167"/>
      <c r="AS47" s="1"/>
      <c r="AT47" s="1"/>
      <c r="AU47" s="38"/>
    </row>
    <row r="48">
      <c r="A48" s="16" t="s">
        <v>70</v>
      </c>
      <c r="B48" s="50" t="str">
        <f>IFERROR(HYPERLINK(VLOOKUP(A48,Internal_lists_bugs!$A$2:$I2002,9,FALSE()), VLOOKUP(A48,Internal_lists_bugs!$A$2:$C$73,3,FALSE())&amp;Char(10) &amp; Char(10) &amp; VLOOKUP(A48,Internal_lists_bugs!$A$2:$Z$73,26,FALSE())),"please select a BUG ID")</f>
        <v>https://github.com/elastic/elasticsearch/issues/16246
/core/IngestDocument.java</v>
      </c>
      <c r="C48" s="81" t="str">
        <f>IFERROR(VLOOKUP(A48,Internal_lists_bugs!$A$2:$G2002,7,FALSE()),"please select a BUG ID")</f>
        <v>https://github.com/elastic/elasticsearch/commit/57d6971</v>
      </c>
      <c r="D48" s="16" t="s">
        <v>4126</v>
      </c>
      <c r="E48" s="53"/>
      <c r="F48" s="16" t="s">
        <v>4126</v>
      </c>
      <c r="G48" s="168" t="s">
        <v>4127</v>
      </c>
      <c r="H48" s="16" t="s">
        <v>4126</v>
      </c>
      <c r="I48" s="53"/>
      <c r="J48" s="16" t="s">
        <v>251</v>
      </c>
      <c r="K48" s="164" t="s">
        <v>4120</v>
      </c>
      <c r="L48" s="16" t="s">
        <v>3686</v>
      </c>
      <c r="M48" s="164" t="s">
        <v>4120</v>
      </c>
      <c r="N48" s="16" t="s">
        <v>251</v>
      </c>
      <c r="O48" s="93" t="s">
        <v>4128</v>
      </c>
      <c r="P48" s="16" t="s">
        <v>3627</v>
      </c>
      <c r="Q48" s="93" t="s">
        <v>4129</v>
      </c>
      <c r="R48" s="16" t="s">
        <v>3786</v>
      </c>
      <c r="S48" s="92"/>
      <c r="T48" s="120" t="s">
        <v>3708</v>
      </c>
      <c r="U48" s="123"/>
      <c r="V48" s="38" t="s">
        <v>124</v>
      </c>
      <c r="W48" s="92"/>
      <c r="X48" s="16" t="s">
        <v>251</v>
      </c>
      <c r="Y48" s="93" t="s">
        <v>4130</v>
      </c>
      <c r="Z48" s="16" t="s">
        <v>251</v>
      </c>
      <c r="AA48" s="93" t="s">
        <v>4130</v>
      </c>
      <c r="AB48" s="16" t="s">
        <v>251</v>
      </c>
      <c r="AC48" s="93" t="s">
        <v>4131</v>
      </c>
      <c r="AD48" s="16" t="s">
        <v>251</v>
      </c>
      <c r="AE48" s="93" t="s">
        <v>4131</v>
      </c>
      <c r="AF48" s="16" t="s">
        <v>251</v>
      </c>
      <c r="AG48" s="93" t="s">
        <v>4132</v>
      </c>
      <c r="AH48" s="16" t="s">
        <v>251</v>
      </c>
      <c r="AI48" s="93" t="s">
        <v>4132</v>
      </c>
      <c r="AJ48" s="16" t="s">
        <v>123</v>
      </c>
      <c r="AK48" s="92"/>
      <c r="AL48" s="16" t="s">
        <v>123</v>
      </c>
      <c r="AM48" s="92"/>
      <c r="AN48" s="123"/>
      <c r="AO48" s="16" t="s">
        <v>4104</v>
      </c>
      <c r="AP48" s="123"/>
      <c r="AQ48" s="16" t="s">
        <v>251</v>
      </c>
      <c r="AR48" s="130" t="s">
        <v>4133</v>
      </c>
      <c r="AS48" s="1"/>
      <c r="AT48" s="1"/>
      <c r="AU48" s="9"/>
    </row>
    <row r="49">
      <c r="A49" s="38" t="s">
        <v>72</v>
      </c>
      <c r="B49" s="165" t="str">
        <f>IFERROR(HYPERLINK(VLOOKUP(A49,Internal_lists_bugs!$A$2:$I2002,9,FALSE()), VLOOKUP(A49,Internal_lists_bugs!$A$2:$C$73,3,FALSE())&amp;CHAR(10) &amp; CHAR(10) &amp; VLOOKUP(A49,Internal_lists_bugs!$A$2:$Z$73,26,FALSE())),"please select a BUG ID")</f>
        <v>https://github.com/elastic/elasticsearch/issues/1134
/network/NetworkService.java</v>
      </c>
      <c r="C49" s="166" t="str">
        <f>IFERROR(VLOOKUP(A49,Internal_lists_bugs!$A$2:$G2002,7,FALSE()),"please select a BUG ID")</f>
        <v>https://github.com/elastic/elasticsearch/commit/61ad8b6</v>
      </c>
      <c r="D49" s="38" t="s">
        <v>3847</v>
      </c>
      <c r="E49" s="164"/>
      <c r="F49" s="38" t="s">
        <v>3847</v>
      </c>
      <c r="G49" s="164"/>
      <c r="H49" s="38" t="s">
        <v>3847</v>
      </c>
      <c r="I49" s="164"/>
      <c r="J49" s="38" t="s">
        <v>123</v>
      </c>
      <c r="K49" s="164"/>
      <c r="L49" s="38" t="s">
        <v>3686</v>
      </c>
      <c r="M49" s="123" t="s">
        <v>4134</v>
      </c>
      <c r="N49" s="38" t="s">
        <v>123</v>
      </c>
      <c r="O49" s="164"/>
      <c r="P49" s="9" t="s">
        <v>3689</v>
      </c>
      <c r="Q49" s="123"/>
      <c r="R49" s="9" t="s">
        <v>3690</v>
      </c>
      <c r="S49" s="164"/>
      <c r="T49" s="120" t="s">
        <v>3708</v>
      </c>
      <c r="U49" s="123"/>
      <c r="V49" s="9" t="s">
        <v>124</v>
      </c>
      <c r="W49" s="123"/>
      <c r="X49" s="38" t="s">
        <v>123</v>
      </c>
      <c r="Y49" s="164"/>
      <c r="Z49" s="38" t="s">
        <v>123</v>
      </c>
      <c r="AA49" s="164"/>
      <c r="AB49" s="38" t="s">
        <v>123</v>
      </c>
      <c r="AC49" s="123"/>
      <c r="AD49" s="38" t="s">
        <v>123</v>
      </c>
      <c r="AE49" s="123"/>
      <c r="AF49" s="38" t="s">
        <v>123</v>
      </c>
      <c r="AG49" s="164"/>
      <c r="AH49" s="38" t="s">
        <v>123</v>
      </c>
      <c r="AI49" s="123"/>
      <c r="AJ49" s="38" t="s">
        <v>123</v>
      </c>
      <c r="AK49" s="164"/>
      <c r="AL49" s="38" t="s">
        <v>123</v>
      </c>
      <c r="AM49" s="123"/>
      <c r="AN49" s="123"/>
      <c r="AO49" s="38" t="s">
        <v>4104</v>
      </c>
      <c r="AP49" s="123"/>
      <c r="AQ49" s="38" t="s">
        <v>123</v>
      </c>
      <c r="AR49" s="169"/>
      <c r="AS49" s="1"/>
      <c r="AT49" s="1"/>
      <c r="AU49" s="38"/>
    </row>
    <row r="50">
      <c r="A50" s="16" t="s">
        <v>73</v>
      </c>
      <c r="B50" s="50" t="str">
        <f>IFERROR(HYPERLINK(VLOOKUP(A50,Internal_lists_bugs!$A$2:$I2002,9,FALSE()), VLOOKUP(A50,Internal_lists_bugs!$A$2:$C$73,3,FALSE())&amp;Char(10) &amp; Char(10) &amp; VLOOKUP(A50,Internal_lists_bugs!$A$2:$Z$73,26,FALSE())),"please select a BUG ID")</f>
        <v>https://github.com/elastic/elasticsearch/issues/7686
/query/IdsQueryParser.java</v>
      </c>
      <c r="C50" s="81" t="str">
        <f>IFERROR(VLOOKUP(A50,Internal_lists_bugs!$A$2:$G2002,7,FALSE()),"please select a BUG ID")</f>
        <v>https://github.com/elastic/elasticsearch/commit/c3f3c26</v>
      </c>
      <c r="D50" s="16" t="s">
        <v>3847</v>
      </c>
      <c r="E50" s="53"/>
      <c r="F50" s="16" t="s">
        <v>3847</v>
      </c>
      <c r="G50" s="53"/>
      <c r="H50" s="16" t="s">
        <v>3847</v>
      </c>
      <c r="I50" s="53"/>
      <c r="J50" s="16" t="s">
        <v>123</v>
      </c>
      <c r="K50" s="92"/>
      <c r="L50" s="16" t="s">
        <v>3686</v>
      </c>
      <c r="M50" s="93"/>
      <c r="N50" s="16" t="s">
        <v>251</v>
      </c>
      <c r="O50" s="93" t="s">
        <v>4135</v>
      </c>
      <c r="P50" s="16" t="s">
        <v>3689</v>
      </c>
      <c r="Q50" s="93" t="s">
        <v>4107</v>
      </c>
      <c r="R50" s="16" t="s">
        <v>3690</v>
      </c>
      <c r="S50" s="93"/>
      <c r="T50" s="120" t="s">
        <v>3708</v>
      </c>
      <c r="U50" s="92"/>
      <c r="V50" s="16" t="s">
        <v>124</v>
      </c>
      <c r="W50" s="92"/>
      <c r="X50" s="16" t="s">
        <v>251</v>
      </c>
      <c r="Y50" s="93" t="s">
        <v>4136</v>
      </c>
      <c r="Z50" s="16" t="s">
        <v>251</v>
      </c>
      <c r="AA50" s="93" t="s">
        <v>4137</v>
      </c>
      <c r="AB50" s="16" t="s">
        <v>123</v>
      </c>
      <c r="AC50" s="92"/>
      <c r="AD50" s="16" t="s">
        <v>123</v>
      </c>
      <c r="AE50" s="92"/>
      <c r="AF50" s="16" t="s">
        <v>251</v>
      </c>
      <c r="AG50" s="93" t="s">
        <v>4138</v>
      </c>
      <c r="AH50" s="16" t="s">
        <v>251</v>
      </c>
      <c r="AI50" s="93" t="s">
        <v>4138</v>
      </c>
      <c r="AJ50" s="16" t="s">
        <v>251</v>
      </c>
      <c r="AK50" s="93" t="s">
        <v>4139</v>
      </c>
      <c r="AL50" s="16" t="s">
        <v>251</v>
      </c>
      <c r="AM50" s="93" t="s">
        <v>4139</v>
      </c>
      <c r="AN50" s="123"/>
      <c r="AO50" s="16" t="s">
        <v>4104</v>
      </c>
      <c r="AP50" s="123"/>
      <c r="AQ50" s="16" t="s">
        <v>123</v>
      </c>
      <c r="AR50" s="154"/>
      <c r="AS50" s="1"/>
      <c r="AT50" s="1"/>
      <c r="AU50" s="9"/>
    </row>
    <row r="51">
      <c r="A51" s="16" t="s">
        <v>74</v>
      </c>
      <c r="B51" s="50" t="str">
        <f>IFERROR(HYPERLINK(VLOOKUP(A51,Internal_lists_bugs!$A$2:$I2002,9,FALSE()), VLOOKUP(A51,Internal_lists_bugs!$A$2:$C$73,3,FALSE())&amp;CHAR(10) &amp; CHAR(10) &amp; VLOOKUP(A51,Internal_lists_bugs!$A$2:$Z$73,26,FALSE())),"please select a BUG ID")</f>
        <v>https://github.com/elastic/elasticsearch/issues/1725
/search/DeletionAwareConstantScoreQuery.java
/search/NotDeletedFilter.java </v>
      </c>
      <c r="C51" s="81" t="str">
        <f>IFERROR(VLOOKUP(A51,Internal_lists_bugs!$A$2:$G2002,7,FALSE()),"please select a BUG ID")</f>
        <v>https://github.com/elastic/elasticsearch/commit/bd6b89f7cab39a</v>
      </c>
      <c r="D51" s="16" t="s">
        <v>3847</v>
      </c>
      <c r="E51" s="53"/>
      <c r="F51" s="16" t="s">
        <v>3847</v>
      </c>
      <c r="G51" s="53"/>
      <c r="H51" s="16" t="s">
        <v>3847</v>
      </c>
      <c r="I51" s="53"/>
      <c r="J51" s="16" t="s">
        <v>123</v>
      </c>
      <c r="K51" s="92" t="s">
        <v>4114</v>
      </c>
      <c r="L51" s="16" t="s">
        <v>3686</v>
      </c>
      <c r="M51" s="93" t="s">
        <v>4140</v>
      </c>
      <c r="N51" s="16" t="s">
        <v>251</v>
      </c>
      <c r="O51" s="93" t="s">
        <v>4141</v>
      </c>
      <c r="P51" s="16" t="s">
        <v>3708</v>
      </c>
      <c r="Q51" s="93"/>
      <c r="R51" s="16" t="s">
        <v>3708</v>
      </c>
      <c r="S51" s="93"/>
      <c r="T51" s="120" t="s">
        <v>3708</v>
      </c>
      <c r="U51" s="92"/>
      <c r="V51" s="16" t="s">
        <v>124</v>
      </c>
      <c r="W51" s="92"/>
      <c r="X51" s="16" t="s">
        <v>251</v>
      </c>
      <c r="Y51" s="93"/>
      <c r="Z51" s="16" t="s">
        <v>124</v>
      </c>
      <c r="AA51" s="93"/>
      <c r="AB51" s="16" t="s">
        <v>123</v>
      </c>
      <c r="AC51" s="92"/>
      <c r="AD51" s="16" t="s">
        <v>124</v>
      </c>
      <c r="AE51" s="92"/>
      <c r="AF51" s="16" t="s">
        <v>251</v>
      </c>
      <c r="AG51" s="93" t="s">
        <v>4101</v>
      </c>
      <c r="AH51" s="16" t="s">
        <v>124</v>
      </c>
      <c r="AI51" s="93"/>
      <c r="AJ51" s="16" t="s">
        <v>251</v>
      </c>
      <c r="AK51" s="93" t="s">
        <v>4142</v>
      </c>
      <c r="AL51" s="16" t="s">
        <v>124</v>
      </c>
      <c r="AM51" s="93"/>
      <c r="AN51" s="123"/>
      <c r="AO51" s="16" t="s">
        <v>4104</v>
      </c>
      <c r="AP51" s="123"/>
      <c r="AQ51" s="16" t="s">
        <v>123</v>
      </c>
      <c r="AR51" s="154"/>
      <c r="AS51" s="1"/>
      <c r="AT51" s="1"/>
      <c r="AU51" s="9"/>
    </row>
    <row r="52">
      <c r="A52" s="16" t="s">
        <v>75</v>
      </c>
      <c r="B52" s="50" t="str">
        <f>IFERROR(HYPERLINK(VLOOKUP(A52,Internal_lists_bugs!$A$2:$I2002,9,FALSE()), VLOOKUP(A52,Internal_lists_bugs!$A$2:$C$73,3,FALSE())&amp;Char(10) &amp; Char(10) &amp; VLOOKUP(A52,Internal_lists_bugs!$A$2:$Z$73,26,FALSE())),"please select a BUG ID")</f>
        <v>https://github.com/elastic/elasticsearch/issues/8438
/filter/FilterParser.java
/filters/FiltersParser.java</v>
      </c>
      <c r="C52" s="81" t="str">
        <f>IFERROR(VLOOKUP(A52,Internal_lists_bugs!$A$2:$G2002,7,FALSE()),"please select a BUG ID")</f>
        <v>https://github.com/elastic/elasticsearch/commit/3c9c9f33</v>
      </c>
      <c r="D52" s="16" t="s">
        <v>4143</v>
      </c>
      <c r="E52" s="53" t="s">
        <v>4144</v>
      </c>
      <c r="F52" s="16" t="s">
        <v>3847</v>
      </c>
      <c r="G52" s="53"/>
      <c r="H52" s="16" t="s">
        <v>4112</v>
      </c>
      <c r="I52" s="53" t="s">
        <v>4145</v>
      </c>
      <c r="J52" s="16" t="s">
        <v>123</v>
      </c>
      <c r="K52" s="93" t="s">
        <v>4146</v>
      </c>
      <c r="L52" s="16" t="s">
        <v>3686</v>
      </c>
      <c r="M52" s="92"/>
      <c r="N52" s="16" t="s">
        <v>251</v>
      </c>
      <c r="O52" s="93" t="s">
        <v>4147</v>
      </c>
      <c r="P52" s="16" t="s">
        <v>3670</v>
      </c>
      <c r="Q52" s="93" t="s">
        <v>4148</v>
      </c>
      <c r="R52" s="16" t="s">
        <v>3690</v>
      </c>
      <c r="S52" s="92"/>
      <c r="T52" s="120" t="s">
        <v>3708</v>
      </c>
      <c r="U52" s="92"/>
      <c r="V52" s="16" t="s">
        <v>124</v>
      </c>
      <c r="W52" s="92"/>
      <c r="X52" s="16" t="s">
        <v>251</v>
      </c>
      <c r="Y52" s="93" t="s">
        <v>4149</v>
      </c>
      <c r="Z52" s="16" t="s">
        <v>251</v>
      </c>
      <c r="AA52" s="93" t="s">
        <v>4150</v>
      </c>
      <c r="AB52" s="16" t="s">
        <v>123</v>
      </c>
      <c r="AC52" s="92"/>
      <c r="AD52" s="16" t="s">
        <v>123</v>
      </c>
      <c r="AE52" s="92"/>
      <c r="AF52" s="16" t="s">
        <v>251</v>
      </c>
      <c r="AG52" s="92"/>
      <c r="AH52" s="16" t="s">
        <v>251</v>
      </c>
      <c r="AI52" s="93" t="s">
        <v>4151</v>
      </c>
      <c r="AJ52" s="16" t="s">
        <v>251</v>
      </c>
      <c r="AK52" s="93" t="s">
        <v>4152</v>
      </c>
      <c r="AL52" s="16" t="s">
        <v>251</v>
      </c>
      <c r="AM52" s="93" t="s">
        <v>4152</v>
      </c>
      <c r="AN52" s="123"/>
      <c r="AO52" s="16" t="s">
        <v>4104</v>
      </c>
      <c r="AP52" s="123"/>
      <c r="AQ52" s="16" t="s">
        <v>123</v>
      </c>
      <c r="AR52" s="154"/>
      <c r="AS52" s="1"/>
      <c r="AT52" s="1"/>
      <c r="AU52" s="9"/>
    </row>
    <row r="53">
      <c r="A53" s="16" t="s">
        <v>76</v>
      </c>
      <c r="B53" s="71" t="str">
        <f>IFERROR(HYPERLINK(VLOOKUP(A53,Internal_lists_bugs!$A$2:$I2002,9,FALSE()), VLOOKUP(A53,Internal_lists_bugs!$A$2:$C$73,3,FALSE())&amp;Char(10) &amp; Char(10) &amp; VLOOKUP(A53,Internal_lists_bugs!$A$2:$Z$73,26,FALSE())),"please select a BUG ID")</f>
        <v>https://github.com/elastic/elasticsearch/issues/9317
/nested/NestedAggregator.java</v>
      </c>
      <c r="C53" s="81" t="str">
        <f>IFERROR(VLOOKUP(A53,Internal_lists_bugs!$A$2:$G2002,7,FALSE()),"please select a BUG ID")</f>
        <v>https://github.com/elastic/elasticsearch/commit/5714b0a</v>
      </c>
      <c r="D53" s="16" t="s">
        <v>4112</v>
      </c>
      <c r="E53" s="53"/>
      <c r="F53" s="16" t="s">
        <v>4143</v>
      </c>
      <c r="G53" s="168" t="s">
        <v>4144</v>
      </c>
      <c r="H53" s="16" t="s">
        <v>3847</v>
      </c>
      <c r="I53" s="53"/>
      <c r="J53" s="16" t="s">
        <v>123</v>
      </c>
      <c r="K53" s="93" t="s">
        <v>4153</v>
      </c>
      <c r="L53" s="16" t="s">
        <v>3648</v>
      </c>
      <c r="M53" s="92" t="s">
        <v>4153</v>
      </c>
      <c r="N53" s="16" t="s">
        <v>123</v>
      </c>
      <c r="O53" s="93"/>
      <c r="P53" s="16" t="s">
        <v>3689</v>
      </c>
      <c r="Q53" s="93"/>
      <c r="R53" s="16" t="s">
        <v>3690</v>
      </c>
      <c r="S53" s="92"/>
      <c r="T53" s="120" t="s">
        <v>3708</v>
      </c>
      <c r="U53" s="92"/>
      <c r="V53" s="16" t="s">
        <v>124</v>
      </c>
      <c r="W53" s="92"/>
      <c r="X53" s="16" t="s">
        <v>251</v>
      </c>
      <c r="Y53" s="93" t="s">
        <v>4154</v>
      </c>
      <c r="Z53" s="16" t="s">
        <v>251</v>
      </c>
      <c r="AA53" s="93" t="s">
        <v>4154</v>
      </c>
      <c r="AB53" s="16" t="s">
        <v>251</v>
      </c>
      <c r="AC53" s="92" t="s">
        <v>4155</v>
      </c>
      <c r="AD53" s="16" t="s">
        <v>251</v>
      </c>
      <c r="AE53" s="92" t="s">
        <v>4156</v>
      </c>
      <c r="AF53" s="16" t="s">
        <v>123</v>
      </c>
      <c r="AG53" s="92"/>
      <c r="AH53" s="16" t="s">
        <v>123</v>
      </c>
      <c r="AI53" s="93"/>
      <c r="AJ53" s="16" t="s">
        <v>251</v>
      </c>
      <c r="AK53" s="93" t="s">
        <v>4157</v>
      </c>
      <c r="AL53" s="16" t="s">
        <v>251</v>
      </c>
      <c r="AM53" s="93" t="s">
        <v>4157</v>
      </c>
      <c r="AN53" s="123"/>
      <c r="AO53" s="16" t="s">
        <v>4104</v>
      </c>
      <c r="AP53" s="123"/>
      <c r="AQ53" s="16" t="s">
        <v>123</v>
      </c>
      <c r="AR53" s="154"/>
      <c r="AS53" s="1"/>
      <c r="AT53" s="1"/>
      <c r="AU53" s="9"/>
    </row>
    <row r="54">
      <c r="A54" s="16" t="s">
        <v>71</v>
      </c>
      <c r="B54" s="50" t="str">
        <f>IFERROR(HYPERLINK(VLOOKUP(A54,Internal_lists_bugs!$A$2:$I2002,9,FALSE()), VLOOKUP(A54,Internal_lists_bugs!$A$2:$C$73,3,FALSE())&amp;Char(10) &amp; Char(10) &amp; VLOOKUP(A54,Internal_lists_bugs!$A$2:$Z$73,26,FALSE())),"please select a BUG ID")</f>
        <v>https://github.com/elastic/elasticsearch/issues/764
/xcontent/DynamicTemplate.java</v>
      </c>
      <c r="C54" s="81" t="str">
        <f>IFERROR(VLOOKUP(A54,Internal_lists_bugs!$A$2:$G2002,7,FALSE()),"please select a BUG ID")</f>
        <v>https://github.com/elastic/elasticsearch/commit/4c34840</v>
      </c>
      <c r="D54" s="16" t="s">
        <v>3847</v>
      </c>
      <c r="E54" s="53"/>
      <c r="F54" s="16" t="s">
        <v>3847</v>
      </c>
      <c r="G54" s="53"/>
      <c r="H54" s="16" t="s">
        <v>3847</v>
      </c>
      <c r="I54" s="53"/>
      <c r="J54" s="16" t="s">
        <v>251</v>
      </c>
      <c r="K54" s="93" t="s">
        <v>4158</v>
      </c>
      <c r="L54" s="16" t="s">
        <v>3648</v>
      </c>
      <c r="M54" s="92"/>
      <c r="N54" s="16" t="s">
        <v>123</v>
      </c>
      <c r="O54" s="93" t="s">
        <v>4159</v>
      </c>
      <c r="P54" s="16" t="s">
        <v>3689</v>
      </c>
      <c r="Q54" s="93"/>
      <c r="R54" s="16" t="s">
        <v>3690</v>
      </c>
      <c r="S54" s="92"/>
      <c r="T54" s="120" t="s">
        <v>3708</v>
      </c>
      <c r="U54" s="92"/>
      <c r="V54" s="16" t="s">
        <v>124</v>
      </c>
      <c r="W54" s="92"/>
      <c r="X54" s="16" t="s">
        <v>251</v>
      </c>
      <c r="Y54" s="93" t="s">
        <v>4160</v>
      </c>
      <c r="Z54" s="16" t="s">
        <v>251</v>
      </c>
      <c r="AA54" s="93" t="s">
        <v>4160</v>
      </c>
      <c r="AB54" s="16" t="s">
        <v>123</v>
      </c>
      <c r="AC54" s="92"/>
      <c r="AD54" s="16" t="s">
        <v>123</v>
      </c>
      <c r="AE54" s="92"/>
      <c r="AF54" s="16" t="s">
        <v>123</v>
      </c>
      <c r="AG54" s="92"/>
      <c r="AH54" s="16" t="s">
        <v>123</v>
      </c>
      <c r="AI54" s="93"/>
      <c r="AJ54" s="16" t="s">
        <v>251</v>
      </c>
      <c r="AK54" s="93" t="s">
        <v>4161</v>
      </c>
      <c r="AL54" s="16" t="s">
        <v>123</v>
      </c>
      <c r="AM54" s="93"/>
      <c r="AN54" s="123"/>
      <c r="AO54" s="16" t="s">
        <v>4104</v>
      </c>
      <c r="AP54" s="123"/>
      <c r="AQ54" s="16" t="s">
        <v>123</v>
      </c>
      <c r="AR54" s="154"/>
      <c r="AS54" s="1"/>
      <c r="AT54" s="1"/>
      <c r="AU54" s="9"/>
    </row>
    <row r="55">
      <c r="A55" s="16" t="s">
        <v>77</v>
      </c>
      <c r="B55" s="50" t="str">
        <f>IFERROR(HYPERLINK(VLOOKUP(A55,Internal_lists_bugs!$A$2:$I2002,9,FALSE()), VLOOKUP(A55,Internal_lists_bugs!$A$2:$C$73,3,FALSE())&amp;CHAR(10) &amp; CHAR(10) &amp; VLOOKUP(A55,Internal_lists_bugs!$A$2:$Z$73,26,FALSE())),"please select a BUG ID")</f>
        <v>https://github.com/elastic/elasticsearch/issues/8893
/core/AbstractFieldMapper.java
/internal/TimestampFieldMapper.java</v>
      </c>
      <c r="C55" s="81" t="str">
        <f>IFERROR(VLOOKUP(A55,Internal_lists_bugs!$A$2:$G2002,7,FALSE()),"please select a BUG ID")</f>
        <v>https://github.com/elastic/elasticsearch/commit/85eb0ea</v>
      </c>
      <c r="D55" s="16" t="s">
        <v>4112</v>
      </c>
      <c r="E55" s="53"/>
      <c r="F55" s="16" t="s">
        <v>4143</v>
      </c>
      <c r="G55" s="168" t="s">
        <v>4144</v>
      </c>
      <c r="H55" s="16" t="s">
        <v>3847</v>
      </c>
      <c r="I55" s="53"/>
      <c r="J55" s="16" t="s">
        <v>251</v>
      </c>
      <c r="K55" s="93" t="s">
        <v>4162</v>
      </c>
      <c r="L55" s="16" t="s">
        <v>3624</v>
      </c>
      <c r="M55" s="92" t="s">
        <v>4163</v>
      </c>
      <c r="N55" s="16" t="s">
        <v>251</v>
      </c>
      <c r="O55" s="93" t="s">
        <v>4164</v>
      </c>
      <c r="P55" s="16" t="s">
        <v>3670</v>
      </c>
      <c r="Q55" s="93" t="s">
        <v>4165</v>
      </c>
      <c r="R55" s="16" t="s">
        <v>3690</v>
      </c>
      <c r="S55" s="92"/>
      <c r="T55" s="120" t="s">
        <v>3708</v>
      </c>
      <c r="U55" s="92"/>
      <c r="V55" s="16" t="s">
        <v>124</v>
      </c>
      <c r="W55" s="92"/>
      <c r="X55" s="16" t="s">
        <v>251</v>
      </c>
      <c r="Y55" s="93" t="s">
        <v>4166</v>
      </c>
      <c r="Z55" s="16" t="s">
        <v>123</v>
      </c>
      <c r="AA55" s="93"/>
      <c r="AB55" s="16" t="s">
        <v>123</v>
      </c>
      <c r="AC55" s="92"/>
      <c r="AD55" s="16" t="s">
        <v>123</v>
      </c>
      <c r="AE55" s="92"/>
      <c r="AF55" s="16" t="s">
        <v>251</v>
      </c>
      <c r="AG55" s="92" t="s">
        <v>4124</v>
      </c>
      <c r="AH55" s="16" t="s">
        <v>123</v>
      </c>
      <c r="AI55" s="93"/>
      <c r="AJ55" s="16" t="s">
        <v>251</v>
      </c>
      <c r="AK55" s="93" t="s">
        <v>4111</v>
      </c>
      <c r="AL55" s="16" t="s">
        <v>123</v>
      </c>
      <c r="AM55" s="93"/>
      <c r="AN55" s="123"/>
      <c r="AO55" s="16" t="s">
        <v>4104</v>
      </c>
      <c r="AP55" s="123"/>
      <c r="AQ55" s="16" t="s">
        <v>123</v>
      </c>
      <c r="AR55" s="154"/>
      <c r="AS55" s="1"/>
      <c r="AT55" s="1"/>
      <c r="AU55" s="9"/>
    </row>
    <row r="56">
      <c r="A56" s="16" t="s">
        <v>78</v>
      </c>
      <c r="B56" s="50" t="str">
        <f>IFERROR(HYPERLINK(VLOOKUP(A56,Internal_lists_bugs!$A$2:$I2002,9,FALSE()), VLOOKUP(A56,Internal_lists_bugs!$A$2:$C$73,3,FALSE())&amp;Char(10) &amp; Char(10) &amp; VLOOKUP(A56,Internal_lists_bugs!$A$2:$Z$73,26,FALSE())),"please select a BUG ID")</f>
        <v>https://github.com/elastic/elasticsearch/issues/200
/zen/ZenDiscovery.java
/MasterFaultDetection.java
/zen/fd/NodesFaultDetection.java </v>
      </c>
      <c r="C56" s="81" t="str">
        <f>IFERROR(VLOOKUP(A56,Internal_lists_bugs!$A$2:$G2002,7,FALSE()),"please select a BUG ID")</f>
        <v>https://github.com/elastic/elasticsearch/commit/cb0d7d4</v>
      </c>
      <c r="D56" s="16" t="s">
        <v>3847</v>
      </c>
      <c r="E56" s="53"/>
      <c r="F56" s="16" t="s">
        <v>3847</v>
      </c>
      <c r="G56" s="53"/>
      <c r="H56" s="16" t="s">
        <v>3847</v>
      </c>
      <c r="I56" s="53"/>
      <c r="J56" s="16" t="s">
        <v>123</v>
      </c>
      <c r="K56" s="93" t="s">
        <v>4120</v>
      </c>
      <c r="L56" s="16" t="s">
        <v>3686</v>
      </c>
      <c r="M56" s="92" t="s">
        <v>4120</v>
      </c>
      <c r="N56" s="16" t="s">
        <v>251</v>
      </c>
      <c r="O56" s="93" t="s">
        <v>4167</v>
      </c>
      <c r="P56" s="16" t="s">
        <v>3689</v>
      </c>
      <c r="Q56" s="93" t="s">
        <v>4168</v>
      </c>
      <c r="R56" s="16" t="s">
        <v>3690</v>
      </c>
      <c r="S56" s="92"/>
      <c r="T56" s="120" t="s">
        <v>3708</v>
      </c>
      <c r="U56" s="92"/>
      <c r="V56" s="16" t="s">
        <v>124</v>
      </c>
      <c r="W56" s="92"/>
      <c r="X56" s="16" t="s">
        <v>251</v>
      </c>
      <c r="Y56" s="93" t="s">
        <v>4169</v>
      </c>
      <c r="Z56" s="16" t="s">
        <v>251</v>
      </c>
      <c r="AA56" s="93" t="s">
        <v>4169</v>
      </c>
      <c r="AB56" s="16" t="s">
        <v>123</v>
      </c>
      <c r="AC56" s="92"/>
      <c r="AD56" s="16" t="s">
        <v>123</v>
      </c>
      <c r="AE56" s="92"/>
      <c r="AF56" s="16" t="s">
        <v>251</v>
      </c>
      <c r="AG56" s="92" t="s">
        <v>4101</v>
      </c>
      <c r="AH56" s="16" t="s">
        <v>251</v>
      </c>
      <c r="AI56" s="93" t="s">
        <v>4101</v>
      </c>
      <c r="AJ56" s="16" t="s">
        <v>251</v>
      </c>
      <c r="AK56" s="93" t="s">
        <v>4170</v>
      </c>
      <c r="AL56" s="16" t="s">
        <v>251</v>
      </c>
      <c r="AM56" s="93" t="s">
        <v>4170</v>
      </c>
      <c r="AN56" s="123"/>
      <c r="AO56" s="16" t="s">
        <v>4104</v>
      </c>
      <c r="AP56" s="123"/>
      <c r="AQ56" s="16" t="s">
        <v>123</v>
      </c>
      <c r="AR56" s="154"/>
      <c r="AS56" s="1"/>
      <c r="AT56" s="1"/>
      <c r="AU56" s="9"/>
    </row>
    <row r="57">
      <c r="A57" s="16" t="s">
        <v>79</v>
      </c>
      <c r="B57" s="50" t="str">
        <f>IFERROR(HYPERLINK(VLOOKUP(A57,Internal_lists_bugs!$A$2:$I2002,9,FALSE()), VLOOKUP(A57,Internal_lists_bugs!$A$2:$C$73,3,FALSE())&amp;Char(10) &amp; Char(10) &amp; VLOOKUP(A57,Internal_lists_bugs!$A$2:$Z$73,26,FALSE())),"please select a BUG ID")</f>
        <v>https://github.com/elastic/elasticsearch/issues/1960
/metadata/IndexMetaData.java
/metadata/IndexTemplateMetaData.java
/metadata/MetaData.java
/loader/SettingsLoader.java
/loader/YamlSettingsLoader.java</v>
      </c>
      <c r="C57" s="81" t="str">
        <f>IFERROR(VLOOKUP(A57,Internal_lists_bugs!$A$2:$G2002,7,FALSE()),"please select a BUG ID")</f>
        <v>https://github.com/elastic/elasticsearch/commit/ebd6316</v>
      </c>
      <c r="D57" s="16" t="s">
        <v>3847</v>
      </c>
      <c r="E57" s="53"/>
      <c r="F57" s="16" t="s">
        <v>3847</v>
      </c>
      <c r="G57" s="53"/>
      <c r="H57" s="16" t="s">
        <v>3847</v>
      </c>
      <c r="I57" s="53"/>
      <c r="J57" s="16" t="s">
        <v>123</v>
      </c>
      <c r="K57" s="93" t="s">
        <v>4171</v>
      </c>
      <c r="L57" s="16" t="s">
        <v>3686</v>
      </c>
      <c r="M57" s="93" t="s">
        <v>4171</v>
      </c>
      <c r="N57" s="16" t="s">
        <v>251</v>
      </c>
      <c r="O57" s="93" t="s">
        <v>4147</v>
      </c>
      <c r="P57" s="16" t="s">
        <v>3670</v>
      </c>
      <c r="Q57" s="93" t="s">
        <v>4172</v>
      </c>
      <c r="R57" s="16" t="s">
        <v>3690</v>
      </c>
      <c r="S57" s="92"/>
      <c r="T57" s="120" t="s">
        <v>3708</v>
      </c>
      <c r="U57" s="92"/>
      <c r="V57" s="16" t="s">
        <v>124</v>
      </c>
      <c r="W57" s="92"/>
      <c r="X57" s="16" t="s">
        <v>251</v>
      </c>
      <c r="Y57" s="93" t="s">
        <v>4173</v>
      </c>
      <c r="Z57" s="16" t="s">
        <v>251</v>
      </c>
      <c r="AA57" s="93" t="s">
        <v>4173</v>
      </c>
      <c r="AB57" s="16" t="s">
        <v>123</v>
      </c>
      <c r="AC57" s="93"/>
      <c r="AD57" s="16" t="s">
        <v>123</v>
      </c>
      <c r="AE57" s="93" t="s">
        <v>4174</v>
      </c>
      <c r="AF57" s="16" t="s">
        <v>251</v>
      </c>
      <c r="AG57" s="92" t="s">
        <v>4101</v>
      </c>
      <c r="AH57" s="16" t="s">
        <v>251</v>
      </c>
      <c r="AI57" s="93" t="s">
        <v>4175</v>
      </c>
      <c r="AJ57" s="16" t="s">
        <v>251</v>
      </c>
      <c r="AK57" s="93" t="s">
        <v>4176</v>
      </c>
      <c r="AL57" s="16" t="s">
        <v>251</v>
      </c>
      <c r="AM57" s="93" t="s">
        <v>4176</v>
      </c>
      <c r="AN57" s="123"/>
      <c r="AO57" s="16" t="s">
        <v>4104</v>
      </c>
      <c r="AP57" s="123"/>
      <c r="AQ57" s="16" t="s">
        <v>123</v>
      </c>
      <c r="AR57" s="154"/>
      <c r="AS57" s="1"/>
      <c r="AT57" s="1"/>
      <c r="AU57" s="9"/>
    </row>
    <row r="58">
      <c r="A58" s="16" t="s">
        <v>80</v>
      </c>
      <c r="B58" s="50" t="str">
        <f>IFERROR(HYPERLINK(VLOOKUP(A58,Internal_lists_bugs!$A$2:$I2002,9,FALSE()), VLOOKUP(A58,Internal_lists_bugs!$A$2:$C$73,3,FALSE())&amp;Char(10) &amp; Char(10) &amp; VLOOKUP(A58,Internal_lists_bugs!$A$2:$Z$73,26,FALSE())),"please select a BUG ID")</f>
        <v>https://github.com/elastic/elasticsearch/issues/14782
/mapper/MappedFieldType.java</v>
      </c>
      <c r="C58" s="81" t="str">
        <f>IFERROR(VLOOKUP(A58,Internal_lists_bugs!$A$2:$G2002,7,FALSE()),"please select a BUG ID")</f>
        <v>https://github.com/elastic/elasticsearch/commit/904cbf534</v>
      </c>
      <c r="D58" s="16" t="s">
        <v>4177</v>
      </c>
      <c r="E58" s="53"/>
      <c r="F58" s="16" t="s">
        <v>4178</v>
      </c>
      <c r="G58" s="168" t="s">
        <v>4127</v>
      </c>
      <c r="H58" s="16" t="s">
        <v>4178</v>
      </c>
      <c r="I58" s="168" t="s">
        <v>4179</v>
      </c>
      <c r="J58" s="16" t="s">
        <v>123</v>
      </c>
      <c r="K58" s="93" t="s">
        <v>4180</v>
      </c>
      <c r="L58" s="16" t="s">
        <v>3686</v>
      </c>
      <c r="M58" s="92"/>
      <c r="N58" s="16" t="s">
        <v>251</v>
      </c>
      <c r="O58" s="93" t="s">
        <v>4147</v>
      </c>
      <c r="P58" s="16" t="s">
        <v>3670</v>
      </c>
      <c r="Q58" s="93" t="s">
        <v>4181</v>
      </c>
      <c r="R58" s="16" t="s">
        <v>3690</v>
      </c>
      <c r="S58" s="92"/>
      <c r="T58" s="120" t="s">
        <v>3708</v>
      </c>
      <c r="U58" s="92"/>
      <c r="V58" s="120" t="s">
        <v>124</v>
      </c>
      <c r="W58" s="92"/>
      <c r="X58" s="16" t="s">
        <v>251</v>
      </c>
      <c r="Y58" s="93" t="s">
        <v>4182</v>
      </c>
      <c r="Z58" s="16" t="s">
        <v>251</v>
      </c>
      <c r="AA58" s="93" t="s">
        <v>4182</v>
      </c>
      <c r="AB58" s="16" t="s">
        <v>251</v>
      </c>
      <c r="AC58" s="93" t="s">
        <v>4120</v>
      </c>
      <c r="AD58" s="16" t="s">
        <v>251</v>
      </c>
      <c r="AE58" s="93" t="s">
        <v>4183</v>
      </c>
      <c r="AF58" s="16" t="s">
        <v>251</v>
      </c>
      <c r="AG58" s="93" t="s">
        <v>4184</v>
      </c>
      <c r="AH58" s="16" t="s">
        <v>251</v>
      </c>
      <c r="AI58" s="93" t="s">
        <v>4184</v>
      </c>
      <c r="AJ58" s="16" t="s">
        <v>251</v>
      </c>
      <c r="AK58" s="92"/>
      <c r="AL58" s="16" t="s">
        <v>123</v>
      </c>
      <c r="AM58" s="92"/>
      <c r="AN58" s="123"/>
      <c r="AO58" s="16" t="s">
        <v>4104</v>
      </c>
      <c r="AP58" s="123"/>
      <c r="AQ58" s="16" t="s">
        <v>251</v>
      </c>
      <c r="AR58" s="130" t="s">
        <v>4133</v>
      </c>
      <c r="AS58" s="1"/>
      <c r="AT58" s="1"/>
      <c r="AU58" s="9"/>
    </row>
    <row r="59">
      <c r="A59" s="16" t="s">
        <v>81</v>
      </c>
      <c r="B59" s="50" t="str">
        <f>IFERROR(HYPERLINK(VLOOKUP(A59,Internal_lists_bugs!$A$2:$I2002,9,FALSE()), VLOOKUP(A59,Internal_lists_bugs!$A$2:$C$73,3,FALSE())&amp;Char(10) &amp; Char(10) &amp; VLOOKUP(A59,Internal_lists_bugs!$A$2:$Z$73,26,FALSE())),"please select a BUG ID")</f>
        <v>https://github.com/elastic/elasticsearch/issues/1380
/highlight/HighlightPhase.java</v>
      </c>
      <c r="C59" s="81" t="str">
        <f>IFERROR(VLOOKUP(A59,Internal_lists_bugs!$A$2:$G2002,7,FALSE()),"please select a BUG ID")</f>
        <v>https://github.com/elastic/elasticsearch/commit/adc3dc0</v>
      </c>
      <c r="D59" s="16" t="s">
        <v>3847</v>
      </c>
      <c r="E59" s="53"/>
      <c r="F59" s="16" t="s">
        <v>3620</v>
      </c>
      <c r="G59" s="53"/>
      <c r="H59" s="16" t="s">
        <v>3847</v>
      </c>
      <c r="I59" s="53"/>
      <c r="J59" s="16" t="s">
        <v>123</v>
      </c>
      <c r="K59" s="93" t="s">
        <v>4185</v>
      </c>
      <c r="L59" s="16" t="s">
        <v>3648</v>
      </c>
      <c r="M59" s="93" t="s">
        <v>4185</v>
      </c>
      <c r="N59" s="16" t="s">
        <v>251</v>
      </c>
      <c r="O59" s="93" t="s">
        <v>4186</v>
      </c>
      <c r="P59" s="16" t="s">
        <v>3627</v>
      </c>
      <c r="Q59" s="93" t="s">
        <v>4187</v>
      </c>
      <c r="R59" s="16" t="s">
        <v>3690</v>
      </c>
      <c r="S59" s="92"/>
      <c r="T59" s="120" t="s">
        <v>3708</v>
      </c>
      <c r="U59" s="92"/>
      <c r="V59" s="120" t="s">
        <v>124</v>
      </c>
      <c r="W59" s="92"/>
      <c r="X59" s="16" t="s">
        <v>251</v>
      </c>
      <c r="Y59" s="93" t="s">
        <v>4188</v>
      </c>
      <c r="Z59" s="16" t="s">
        <v>251</v>
      </c>
      <c r="AA59" s="93" t="s">
        <v>4188</v>
      </c>
      <c r="AB59" s="16" t="s">
        <v>123</v>
      </c>
      <c r="AC59" s="93"/>
      <c r="AD59" s="16" t="s">
        <v>123</v>
      </c>
      <c r="AE59" s="92"/>
      <c r="AF59" s="16" t="s">
        <v>123</v>
      </c>
      <c r="AG59" s="92"/>
      <c r="AH59" s="16" t="s">
        <v>123</v>
      </c>
      <c r="AI59" s="92"/>
      <c r="AJ59" s="16" t="s">
        <v>123</v>
      </c>
      <c r="AK59" s="92"/>
      <c r="AL59" s="16" t="s">
        <v>123</v>
      </c>
      <c r="AM59" s="92"/>
      <c r="AN59" s="123"/>
      <c r="AO59" s="16" t="s">
        <v>4104</v>
      </c>
      <c r="AP59" s="123"/>
      <c r="AQ59" s="16" t="s">
        <v>123</v>
      </c>
      <c r="AR59" s="154"/>
      <c r="AS59" s="1"/>
      <c r="AT59" s="1"/>
      <c r="AU59" s="9"/>
    </row>
    <row r="60">
      <c r="A60" s="16" t="s">
        <v>82</v>
      </c>
      <c r="B60" s="50" t="str">
        <f>IFERROR(HYPERLINK(VLOOKUP(A60,Internal_lists_bugs!$A$2:$I2002,9,FALSE()), VLOOKUP(A60,Internal_lists_bugs!$A$2:$C$73,3,FALSE())&amp;Char(10) &amp; Char(10) &amp; VLOOKUP(A60,Internal_lists_bugs!$A$2:$Z$73,26,FALSE())),"please select a BUG ID")</f>
        <v>https://github.com/elastic/elasticsearch/issues/1948
/percolator/PercolatorExecutor.java</v>
      </c>
      <c r="C60" s="81" t="str">
        <f>IFERROR(VLOOKUP(A60,Internal_lists_bugs!$A$2:$G2002,7,FALSE()),"please select a BUG ID")</f>
        <v>https://github.com/elastic/elasticsearch/commit/3b967040da2</v>
      </c>
      <c r="D60" s="16" t="s">
        <v>3847</v>
      </c>
      <c r="E60" s="53"/>
      <c r="F60" s="16" t="s">
        <v>3847</v>
      </c>
      <c r="G60" s="53"/>
      <c r="H60" s="16" t="s">
        <v>3847</v>
      </c>
      <c r="I60" s="53"/>
      <c r="J60" s="16" t="s">
        <v>123</v>
      </c>
      <c r="K60" s="93"/>
      <c r="L60" s="16" t="s">
        <v>3648</v>
      </c>
      <c r="M60" s="93" t="s">
        <v>4185</v>
      </c>
      <c r="N60" s="16" t="s">
        <v>251</v>
      </c>
      <c r="O60" s="92"/>
      <c r="P60" s="16" t="s">
        <v>3670</v>
      </c>
      <c r="Q60" s="92"/>
      <c r="R60" s="16" t="s">
        <v>3690</v>
      </c>
      <c r="S60" s="92"/>
      <c r="T60" s="120" t="s">
        <v>3708</v>
      </c>
      <c r="U60" s="92"/>
      <c r="V60" s="120" t="s">
        <v>124</v>
      </c>
      <c r="W60" s="92"/>
      <c r="X60" s="16" t="s">
        <v>123</v>
      </c>
      <c r="Y60" s="93"/>
      <c r="Z60" s="16" t="s">
        <v>123</v>
      </c>
      <c r="AA60" s="93"/>
      <c r="AB60" s="16" t="s">
        <v>123</v>
      </c>
      <c r="AC60" s="92"/>
      <c r="AD60" s="16" t="s">
        <v>123</v>
      </c>
      <c r="AE60" s="92"/>
      <c r="AF60" s="16" t="s">
        <v>251</v>
      </c>
      <c r="AG60" s="93" t="s">
        <v>4189</v>
      </c>
      <c r="AH60" s="16" t="s">
        <v>251</v>
      </c>
      <c r="AI60" s="93" t="s">
        <v>4189</v>
      </c>
      <c r="AJ60" s="16" t="s">
        <v>123</v>
      </c>
      <c r="AK60" s="92"/>
      <c r="AL60" s="16" t="s">
        <v>123</v>
      </c>
      <c r="AM60" s="92"/>
      <c r="AN60" s="123"/>
      <c r="AO60" s="16" t="s">
        <v>4104</v>
      </c>
      <c r="AP60" s="123"/>
      <c r="AQ60" s="16" t="s">
        <v>123</v>
      </c>
      <c r="AR60" s="154"/>
      <c r="AS60" s="1"/>
      <c r="AT60" s="1"/>
      <c r="AU60" s="9"/>
    </row>
    <row r="61">
      <c r="A61" s="38" t="s">
        <v>96</v>
      </c>
      <c r="B61" s="165" t="str">
        <f>IFERROR(HYPERLINK(VLOOKUP(A61,Internal_lists_bugs!$A$2:$I2002,9,FALSE()), VLOOKUP(A61,Internal_lists_bugs!$A$2:$C$73,3,FALSE())&amp;CHAR(10) &amp; CHAR(10) &amp; VLOOKUP(A61,Internal_lists_bugs!$A$2:$Z$73,26,FALSE())),"please select a BUG ID")</f>
        <v>https://github.com/elastic/elasticsearch/issues/8580
/index/fielddata/AbstractRandomAccessOrds.java</v>
      </c>
      <c r="C61" s="166" t="str">
        <f>IFERROR(VLOOKUP(A61,Internal_lists_bugs!$A$2:$G2002,7,FALSE()),"please select a BUG ID")</f>
        <v>https://github.com/elastic/elasticsearch/commit/3c142e5</v>
      </c>
      <c r="D61" s="38" t="s">
        <v>4112</v>
      </c>
      <c r="E61" s="164"/>
      <c r="F61" s="38" t="s">
        <v>3847</v>
      </c>
      <c r="G61" s="164"/>
      <c r="H61" s="38" t="s">
        <v>3847</v>
      </c>
      <c r="I61" s="164"/>
      <c r="J61" s="38" t="s">
        <v>123</v>
      </c>
      <c r="K61" s="164" t="s">
        <v>4190</v>
      </c>
      <c r="L61" s="38" t="s">
        <v>3782</v>
      </c>
      <c r="M61" s="123" t="s">
        <v>4191</v>
      </c>
      <c r="N61" s="38" t="s">
        <v>251</v>
      </c>
      <c r="O61" s="164" t="s">
        <v>4147</v>
      </c>
      <c r="P61" s="38" t="s">
        <v>3670</v>
      </c>
      <c r="Q61" s="164"/>
      <c r="R61" s="9" t="s">
        <v>3690</v>
      </c>
      <c r="S61" s="123"/>
      <c r="T61" s="120" t="s">
        <v>3708</v>
      </c>
      <c r="U61" s="123"/>
      <c r="V61" s="9" t="s">
        <v>124</v>
      </c>
      <c r="W61" s="123"/>
      <c r="X61" s="38" t="s">
        <v>251</v>
      </c>
      <c r="Y61" s="164" t="s">
        <v>4192</v>
      </c>
      <c r="Z61" s="38" t="s">
        <v>251</v>
      </c>
      <c r="AA61" s="164" t="s">
        <v>4192</v>
      </c>
      <c r="AB61" s="38" t="s">
        <v>251</v>
      </c>
      <c r="AC61" s="164" t="s">
        <v>4193</v>
      </c>
      <c r="AD61" s="38" t="s">
        <v>251</v>
      </c>
      <c r="AE61" s="164" t="s">
        <v>4193</v>
      </c>
      <c r="AF61" s="38" t="s">
        <v>251</v>
      </c>
      <c r="AG61" s="164" t="s">
        <v>4194</v>
      </c>
      <c r="AH61" s="38" t="s">
        <v>251</v>
      </c>
      <c r="AI61" s="164" t="s">
        <v>4194</v>
      </c>
      <c r="AJ61" s="38" t="s">
        <v>251</v>
      </c>
      <c r="AK61" s="123" t="s">
        <v>4195</v>
      </c>
      <c r="AL61" s="38" t="s">
        <v>251</v>
      </c>
      <c r="AM61" s="123" t="s">
        <v>4196</v>
      </c>
      <c r="AN61" s="123"/>
      <c r="AO61" s="38" t="s">
        <v>4104</v>
      </c>
      <c r="AP61" s="123"/>
      <c r="AQ61" s="38" t="s">
        <v>123</v>
      </c>
      <c r="AR61" s="167"/>
      <c r="AS61" s="1"/>
      <c r="AT61" s="1"/>
      <c r="AU61" s="38"/>
    </row>
    <row r="62">
      <c r="A62" s="16" t="s">
        <v>84</v>
      </c>
      <c r="B62" s="50" t="str">
        <f>IFERROR(HYPERLINK(VLOOKUP(A62,Internal_lists_bugs!$A$2:$I2002,9,FALSE()), VLOOKUP(A62,Internal_lists_bugs!$A$2:$C$73,3,FALSE())&amp;Char(10) &amp; Char(10) &amp; VLOOKUP(A62,Internal_lists_bugs!$A$2:$Z$73,26,FALSE())),"please select a BUG ID")</f>
        <v>https://github.com/elastic/elasticsearch/issues/8507
/fielddata/SortingNumericDocValues.java
/geogrid/GeoHashGridParser.java
/support/ValuesSource.java
/values/ScriptLongValues.java</v>
      </c>
      <c r="C62" s="81" t="str">
        <f>IFERROR(VLOOKUP(A62,Internal_lists_bugs!$A$2:$G2002,7,FALSE()),"please select a BUG ID")</f>
        <v>https://github.com/elastic/elasticsearch/commit/3c142e5</v>
      </c>
      <c r="D62" s="16" t="s">
        <v>4112</v>
      </c>
      <c r="E62" s="53"/>
      <c r="F62" s="16" t="s">
        <v>3847</v>
      </c>
      <c r="G62" s="53"/>
      <c r="H62" s="16" t="s">
        <v>3847</v>
      </c>
      <c r="I62" s="53"/>
      <c r="J62" s="16" t="s">
        <v>123</v>
      </c>
      <c r="K62" s="93" t="s">
        <v>4190</v>
      </c>
      <c r="L62" s="16" t="s">
        <v>3782</v>
      </c>
      <c r="M62" s="93" t="s">
        <v>4191</v>
      </c>
      <c r="N62" s="16" t="s">
        <v>251</v>
      </c>
      <c r="O62" s="93" t="s">
        <v>4147</v>
      </c>
      <c r="P62" s="16" t="s">
        <v>3670</v>
      </c>
      <c r="Q62" s="92"/>
      <c r="R62" s="16" t="s">
        <v>3690</v>
      </c>
      <c r="S62" s="92"/>
      <c r="T62" s="120" t="s">
        <v>3708</v>
      </c>
      <c r="U62" s="92"/>
      <c r="V62" s="16" t="s">
        <v>124</v>
      </c>
      <c r="W62" s="92"/>
      <c r="X62" s="16" t="s">
        <v>251</v>
      </c>
      <c r="Y62" s="93" t="s">
        <v>4192</v>
      </c>
      <c r="Z62" s="16" t="s">
        <v>251</v>
      </c>
      <c r="AA62" s="93" t="s">
        <v>4192</v>
      </c>
      <c r="AB62" s="16" t="s">
        <v>251</v>
      </c>
      <c r="AC62" s="93" t="s">
        <v>4193</v>
      </c>
      <c r="AD62" s="16" t="s">
        <v>251</v>
      </c>
      <c r="AE62" s="93" t="s">
        <v>4193</v>
      </c>
      <c r="AF62" s="16" t="s">
        <v>251</v>
      </c>
      <c r="AG62" s="93" t="s">
        <v>4194</v>
      </c>
      <c r="AH62" s="16" t="s">
        <v>251</v>
      </c>
      <c r="AI62" s="93" t="s">
        <v>4194</v>
      </c>
      <c r="AJ62" s="16" t="s">
        <v>251</v>
      </c>
      <c r="AK62" s="93" t="s">
        <v>4195</v>
      </c>
      <c r="AL62" s="16" t="s">
        <v>251</v>
      </c>
      <c r="AM62" s="93" t="s">
        <v>4196</v>
      </c>
      <c r="AN62" s="123"/>
      <c r="AO62" s="16" t="s">
        <v>4104</v>
      </c>
      <c r="AP62" s="123"/>
      <c r="AQ62" s="16" t="s">
        <v>123</v>
      </c>
      <c r="AR62" s="154"/>
      <c r="AS62" s="1"/>
      <c r="AT62" s="1"/>
      <c r="AU62" s="9"/>
    </row>
    <row r="63">
      <c r="A63" s="16" t="s">
        <v>68</v>
      </c>
      <c r="B63" s="50" t="str">
        <f>IFERROR(HYPERLINK(VLOOKUP(A63,Internal_lists_bugs!$A$2:$I2002,9,FALSE()), VLOOKUP(A63,Internal_lists_bugs!$A$2:$C$73,3,FALSE())&amp;Char(10) &amp; Char(10) &amp; VLOOKUP(A63,Internal_lists_bugs!$A$2:$Z$73,26,FALSE())),"please select a BUG ID")</f>
        <v>https://github.com/elastic/elasticsearch/issues/5048
/aggregations/AggregatorFactories.java</v>
      </c>
      <c r="C63" s="81" t="str">
        <f>IFERROR(VLOOKUP(A63,Internal_lists_bugs!$A$2:$G2002,7,FALSE()),"please select a BUG ID")</f>
        <v>https://github.com/elastic/elasticsearch/commit/c7f6c52</v>
      </c>
      <c r="D63" s="16" t="s">
        <v>3847</v>
      </c>
      <c r="E63" s="53"/>
      <c r="F63" s="16" t="s">
        <v>3847</v>
      </c>
      <c r="G63" s="53"/>
      <c r="H63" s="16" t="s">
        <v>3847</v>
      </c>
      <c r="I63" s="53"/>
      <c r="J63" s="16" t="s">
        <v>251</v>
      </c>
      <c r="K63" s="93" t="s">
        <v>4197</v>
      </c>
      <c r="L63" s="16" t="s">
        <v>3686</v>
      </c>
      <c r="M63" s="93" t="s">
        <v>4197</v>
      </c>
      <c r="N63" s="16" t="s">
        <v>251</v>
      </c>
      <c r="O63" s="93" t="s">
        <v>4198</v>
      </c>
      <c r="P63" s="16" t="s">
        <v>3689</v>
      </c>
      <c r="Q63" s="93" t="s">
        <v>4122</v>
      </c>
      <c r="R63" s="16" t="s">
        <v>3690</v>
      </c>
      <c r="S63" s="92"/>
      <c r="T63" s="120" t="s">
        <v>3708</v>
      </c>
      <c r="U63" s="92"/>
      <c r="V63" s="16" t="s">
        <v>124</v>
      </c>
      <c r="W63" s="92"/>
      <c r="X63" s="16" t="s">
        <v>251</v>
      </c>
      <c r="Y63" s="93" t="s">
        <v>4199</v>
      </c>
      <c r="Z63" s="16" t="s">
        <v>251</v>
      </c>
      <c r="AA63" s="92"/>
      <c r="AB63" s="16" t="s">
        <v>123</v>
      </c>
      <c r="AC63" s="92"/>
      <c r="AD63" s="16" t="s">
        <v>123</v>
      </c>
      <c r="AE63" s="92"/>
      <c r="AF63" s="16" t="s">
        <v>251</v>
      </c>
      <c r="AG63" s="92"/>
      <c r="AH63" s="16" t="s">
        <v>251</v>
      </c>
      <c r="AI63" s="116" t="s">
        <v>4200</v>
      </c>
      <c r="AJ63" s="16" t="s">
        <v>251</v>
      </c>
      <c r="AK63" s="93" t="s">
        <v>4201</v>
      </c>
      <c r="AL63" s="16" t="s">
        <v>251</v>
      </c>
      <c r="AM63" s="93" t="s">
        <v>4202</v>
      </c>
      <c r="AN63" s="123"/>
      <c r="AO63" s="16" t="s">
        <v>4104</v>
      </c>
      <c r="AP63" s="123"/>
      <c r="AQ63" s="16" t="s">
        <v>123</v>
      </c>
      <c r="AR63" s="154"/>
      <c r="AS63" s="1"/>
      <c r="AT63" s="1"/>
      <c r="AU63" s="9"/>
    </row>
    <row r="64">
      <c r="A64" s="16" t="s">
        <v>85</v>
      </c>
      <c r="B64" s="50" t="str">
        <f>IFERROR(HYPERLINK(VLOOKUP(A64,Internal_lists_bugs!$A$2:$I2002,9,FALSE()), VLOOKUP(A64,Internal_lists_bugs!$A$2:$C$73,3,FALSE())&amp;CHAR(10) &amp; CHAR(10) &amp; VLOOKUP(A64,Internal_lists_bugs!$A$2:$Z$73,26,FALSE())),"please select a BUG ID")</f>
        <v>https://github.com/elastic/elasticsearch/issues/5021
/terms/StringTerms.java
/terms/StringTerms.java
/terms/StringTermsAggregator.java </v>
      </c>
      <c r="C64" s="81" t="str">
        <f>IFERROR(VLOOKUP(A64,Internal_lists_bugs!$A$2:$G2002,7,FALSE()),"please select a BUG ID")</f>
        <v>https://github.com/elastic/elasticsearch/commit/c7f6c5266</v>
      </c>
      <c r="D64" s="16" t="s">
        <v>3847</v>
      </c>
      <c r="E64" s="53"/>
      <c r="F64" s="16" t="s">
        <v>3847</v>
      </c>
      <c r="G64" s="53"/>
      <c r="H64" s="16" t="s">
        <v>3847</v>
      </c>
      <c r="I64" s="53"/>
      <c r="J64" s="16" t="s">
        <v>251</v>
      </c>
      <c r="K64" s="93" t="s">
        <v>4197</v>
      </c>
      <c r="L64" s="16" t="s">
        <v>3686</v>
      </c>
      <c r="M64" s="93" t="s">
        <v>4197</v>
      </c>
      <c r="N64" s="16" t="s">
        <v>251</v>
      </c>
      <c r="O64" s="93" t="s">
        <v>4198</v>
      </c>
      <c r="P64" s="16" t="s">
        <v>3689</v>
      </c>
      <c r="Q64" s="93" t="s">
        <v>4122</v>
      </c>
      <c r="R64" s="16" t="s">
        <v>3690</v>
      </c>
      <c r="S64" s="92"/>
      <c r="T64" s="120" t="s">
        <v>3708</v>
      </c>
      <c r="U64" s="92"/>
      <c r="V64" s="16" t="s">
        <v>124</v>
      </c>
      <c r="W64" s="92"/>
      <c r="X64" s="16" t="s">
        <v>251</v>
      </c>
      <c r="Y64" s="93" t="s">
        <v>4199</v>
      </c>
      <c r="Z64" s="16" t="s">
        <v>251</v>
      </c>
      <c r="AA64" s="92"/>
      <c r="AB64" s="16" t="s">
        <v>123</v>
      </c>
      <c r="AC64" s="92"/>
      <c r="AD64" s="16" t="s">
        <v>123</v>
      </c>
      <c r="AE64" s="92"/>
      <c r="AF64" s="16" t="s">
        <v>251</v>
      </c>
      <c r="AG64" s="92"/>
      <c r="AH64" s="16" t="s">
        <v>251</v>
      </c>
      <c r="AI64" s="116" t="s">
        <v>4200</v>
      </c>
      <c r="AJ64" s="16" t="s">
        <v>251</v>
      </c>
      <c r="AK64" s="93" t="s">
        <v>4201</v>
      </c>
      <c r="AL64" s="16" t="s">
        <v>251</v>
      </c>
      <c r="AM64" s="93" t="s">
        <v>4202</v>
      </c>
      <c r="AN64" s="123"/>
      <c r="AO64" s="16" t="s">
        <v>4104</v>
      </c>
      <c r="AP64" s="123"/>
      <c r="AQ64" s="16" t="s">
        <v>123</v>
      </c>
      <c r="AR64" s="154"/>
      <c r="AS64" s="1"/>
      <c r="AT64" s="1"/>
      <c r="AU64" s="9"/>
    </row>
    <row r="65">
      <c r="A65" s="16" t="s">
        <v>86</v>
      </c>
      <c r="B65" s="50" t="str">
        <f>IFERROR(HYPERLINK(VLOOKUP(A65,Internal_lists_bugs!$A$2:$I2002,9,FALSE()), VLOOKUP(A65,Internal_lists_bugs!$A$2:$C$73,3,FALSE())&amp;Char(10) &amp; Char(10) &amp; VLOOKUP(A65,Internal_lists_bugs!$A$2:$Z$73,26,FALSE())),"please select a BUG ID")</f>
        <v>https://github.com/elastic/elasticsearch/issues/4581
/internal/AllFieldMapper.java</v>
      </c>
      <c r="C65" s="81" t="str">
        <f>IFERROR(VLOOKUP(A65,Internal_lists_bugs!$A$2:$G2002,7,FALSE()),"please select a BUG ID")</f>
        <v>https://github.com/elastic/elasticsearch/commit/f444ed4</v>
      </c>
      <c r="D65" s="16" t="s">
        <v>3847</v>
      </c>
      <c r="E65" s="53"/>
      <c r="F65" s="16" t="s">
        <v>3847</v>
      </c>
      <c r="G65" s="53"/>
      <c r="H65" s="16" t="s">
        <v>4112</v>
      </c>
      <c r="I65" s="53"/>
      <c r="J65" s="16" t="s">
        <v>123</v>
      </c>
      <c r="K65" s="93" t="s">
        <v>4140</v>
      </c>
      <c r="L65" s="16" t="s">
        <v>3686</v>
      </c>
      <c r="M65" s="93" t="s">
        <v>4203</v>
      </c>
      <c r="N65" s="16" t="s">
        <v>123</v>
      </c>
      <c r="O65" s="92"/>
      <c r="P65" s="16" t="s">
        <v>3689</v>
      </c>
      <c r="Q65" s="92"/>
      <c r="R65" s="16" t="s">
        <v>3690</v>
      </c>
      <c r="S65" s="92"/>
      <c r="T65" s="120" t="s">
        <v>3708</v>
      </c>
      <c r="U65" s="92"/>
      <c r="V65" s="16" t="s">
        <v>124</v>
      </c>
      <c r="W65" s="92"/>
      <c r="X65" s="16" t="s">
        <v>251</v>
      </c>
      <c r="Y65" s="93" t="s">
        <v>4204</v>
      </c>
      <c r="Z65" s="16" t="s">
        <v>251</v>
      </c>
      <c r="AA65" s="93" t="s">
        <v>4204</v>
      </c>
      <c r="AB65" s="16" t="s">
        <v>251</v>
      </c>
      <c r="AC65" s="93" t="s">
        <v>4205</v>
      </c>
      <c r="AD65" s="16" t="s">
        <v>251</v>
      </c>
      <c r="AE65" s="93" t="s">
        <v>4205</v>
      </c>
      <c r="AF65" s="16" t="s">
        <v>123</v>
      </c>
      <c r="AG65" s="92"/>
      <c r="AH65" s="16" t="s">
        <v>123</v>
      </c>
      <c r="AI65" s="92"/>
      <c r="AJ65" s="16" t="s">
        <v>251</v>
      </c>
      <c r="AK65" s="93" t="s">
        <v>4206</v>
      </c>
      <c r="AL65" s="16" t="s">
        <v>251</v>
      </c>
      <c r="AM65" s="93" t="s">
        <v>4206</v>
      </c>
      <c r="AN65" s="123"/>
      <c r="AO65" s="16" t="s">
        <v>4104</v>
      </c>
      <c r="AP65" s="123"/>
      <c r="AQ65" s="16" t="s">
        <v>123</v>
      </c>
      <c r="AR65" s="154"/>
      <c r="AS65" s="1"/>
      <c r="AT65" s="1"/>
      <c r="AU65" s="9"/>
    </row>
    <row r="66">
      <c r="A66" s="16" t="s">
        <v>87</v>
      </c>
      <c r="B66" s="50" t="str">
        <f>IFERROR(HYPERLINK(VLOOKUP(A66,Internal_lists_bugs!$A$2:$I2002,9,FALSE()), VLOOKUP(A66,Internal_lists_bugs!$A$2:$C$73,3,FALSE())&amp;Char(10) &amp; Char(10) &amp; VLOOKUP(A66,Internal_lists_bugs!$A$2:$Z$73,26,FALSE())),"please select a BUG ID")</f>
        <v>https://github.com/elastic/elasticsearch/issues/16790
/bin/elasticsearch-plugin
/bin/elasticsearch-plugin.bat </v>
      </c>
      <c r="C66" s="81" t="str">
        <f>IFERROR(VLOOKUP(A66,Internal_lists_bugs!$A$2:$G2002,7,FALSE()),"please select a BUG ID")</f>
        <v>https://github.com/elastic/elasticsearch/commit/1e209e3802</v>
      </c>
      <c r="D66" s="16" t="s">
        <v>4113</v>
      </c>
      <c r="E66" s="53"/>
      <c r="F66" s="16" t="s">
        <v>4143</v>
      </c>
      <c r="G66" s="53" t="s">
        <v>4144</v>
      </c>
      <c r="H66" s="16" t="s">
        <v>3847</v>
      </c>
      <c r="I66" s="53"/>
      <c r="J66" s="16" t="s">
        <v>123</v>
      </c>
      <c r="K66" s="93" t="s">
        <v>4207</v>
      </c>
      <c r="L66" s="16" t="s">
        <v>3648</v>
      </c>
      <c r="M66" s="93" t="s">
        <v>4207</v>
      </c>
      <c r="N66" s="16" t="s">
        <v>123</v>
      </c>
      <c r="O66" s="92"/>
      <c r="P66" s="16" t="s">
        <v>3689</v>
      </c>
      <c r="Q66" s="92"/>
      <c r="R66" s="16" t="s">
        <v>3690</v>
      </c>
      <c r="S66" s="92"/>
      <c r="T66" s="120" t="s">
        <v>3708</v>
      </c>
      <c r="U66" s="92"/>
      <c r="V66" s="16" t="s">
        <v>124</v>
      </c>
      <c r="W66" s="92"/>
      <c r="X66" s="16" t="s">
        <v>123</v>
      </c>
      <c r="Y66" s="92"/>
      <c r="Z66" s="16" t="s">
        <v>123</v>
      </c>
      <c r="AA66" s="92"/>
      <c r="AB66" s="16" t="s">
        <v>123</v>
      </c>
      <c r="AC66" s="92"/>
      <c r="AD66" s="16" t="s">
        <v>123</v>
      </c>
      <c r="AE66" s="92"/>
      <c r="AF66" s="16" t="s">
        <v>123</v>
      </c>
      <c r="AG66" s="92"/>
      <c r="AH66" s="16" t="s">
        <v>123</v>
      </c>
      <c r="AI66" s="92"/>
      <c r="AJ66" s="16" t="s">
        <v>123</v>
      </c>
      <c r="AK66" s="92"/>
      <c r="AL66" s="16" t="s">
        <v>123</v>
      </c>
      <c r="AM66" s="92"/>
      <c r="AN66" s="123"/>
      <c r="AO66" s="16" t="s">
        <v>4104</v>
      </c>
      <c r="AP66" s="123"/>
      <c r="AQ66" s="16" t="s">
        <v>123</v>
      </c>
      <c r="AR66" s="154"/>
      <c r="AS66" s="1"/>
      <c r="AT66" s="1"/>
      <c r="AU66" s="9"/>
    </row>
    <row r="67">
      <c r="A67" s="16" t="s">
        <v>88</v>
      </c>
      <c r="B67" s="50" t="str">
        <f>IFERROR(HYPERLINK(VLOOKUP(A67,Internal_lists_bugs!$A$2:$I2002,9,FALSE()), VLOOKUP(A67,Internal_lists_bugs!$A$2:$C$73,3,FALSE())&amp;Char(10) &amp; Char(10) &amp; VLOOKUP(A67,Internal_lists_bugs!$A$2:$Z$73,26,FALSE())),"please select a BUG ID")</f>
        <v>https://github.com/elastic/elasticsearch/issues/1626
/routing/RoutingNode.java
/routing/RoutingNodes.java
/routing/allocation/AllocationService.java </v>
      </c>
      <c r="C67" s="81" t="str">
        <f>IFERROR(VLOOKUP(A67,Internal_lists_bugs!$A$2:$G2002,7,FALSE()),"please select a BUG ID")</f>
        <v>https://github.com/elastic/elasticsearch/commit/4180a7f7</v>
      </c>
      <c r="D67" s="16" t="s">
        <v>3847</v>
      </c>
      <c r="E67" s="53"/>
      <c r="F67" s="16" t="s">
        <v>3847</v>
      </c>
      <c r="G67" s="53"/>
      <c r="H67" s="16" t="s">
        <v>3847</v>
      </c>
      <c r="I67" s="53"/>
      <c r="J67" s="16" t="s">
        <v>123</v>
      </c>
      <c r="K67" s="93" t="s">
        <v>4208</v>
      </c>
      <c r="L67" s="16" t="s">
        <v>3686</v>
      </c>
      <c r="M67" s="93" t="s">
        <v>4208</v>
      </c>
      <c r="N67" s="16" t="s">
        <v>123</v>
      </c>
      <c r="O67" s="92"/>
      <c r="P67" s="16" t="s">
        <v>3689</v>
      </c>
      <c r="Q67" s="92"/>
      <c r="R67" s="16" t="s">
        <v>3690</v>
      </c>
      <c r="S67" s="92"/>
      <c r="T67" s="120" t="s">
        <v>3708</v>
      </c>
      <c r="U67" s="92"/>
      <c r="V67" s="16" t="s">
        <v>124</v>
      </c>
      <c r="W67" s="92"/>
      <c r="X67" s="16" t="s">
        <v>123</v>
      </c>
      <c r="Y67" s="92"/>
      <c r="Z67" s="16" t="s">
        <v>123</v>
      </c>
      <c r="AA67" s="92"/>
      <c r="AB67" s="16" t="s">
        <v>251</v>
      </c>
      <c r="AC67" s="93" t="s">
        <v>4209</v>
      </c>
      <c r="AD67" s="16" t="s">
        <v>251</v>
      </c>
      <c r="AE67" s="93" t="s">
        <v>4210</v>
      </c>
      <c r="AF67" s="16" t="s">
        <v>123</v>
      </c>
      <c r="AG67" s="93" t="s">
        <v>4211</v>
      </c>
      <c r="AH67" s="16" t="s">
        <v>123</v>
      </c>
      <c r="AI67" s="93" t="s">
        <v>4211</v>
      </c>
      <c r="AJ67" s="16" t="s">
        <v>123</v>
      </c>
      <c r="AK67" s="92"/>
      <c r="AL67" s="16" t="s">
        <v>123</v>
      </c>
      <c r="AM67" s="92"/>
      <c r="AN67" s="123"/>
      <c r="AO67" s="16" t="s">
        <v>4104</v>
      </c>
      <c r="AP67" s="123"/>
      <c r="AQ67" s="16" t="s">
        <v>123</v>
      </c>
      <c r="AR67" s="154"/>
      <c r="AS67" s="1"/>
      <c r="AT67" s="1"/>
      <c r="AU67" s="9"/>
    </row>
    <row r="68">
      <c r="A68" s="16" t="s">
        <v>89</v>
      </c>
      <c r="B68" s="50" t="str">
        <f>IFERROR(HYPERLINK(VLOOKUP(A68,Internal_lists_bugs!$A$2:$I2002,9,FALSE()), VLOOKUP(A68,Internal_lists_bugs!$A$2:$C$73,3,FALSE())&amp;Char(10) &amp; Char(10) &amp; VLOOKUP(A68,Internal_lists_bugs!$A$2:$Z$73,26,FALSE())),"please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68" s="81" t="str">
        <f>IFERROR(VLOOKUP(A68,Internal_lists_bugs!$A$2:$G2002,7,FALSE()),"please select a BUG ID")</f>
        <v>https://github.com/elastic/elasticsearch/commit/575250e</v>
      </c>
      <c r="D68" s="16" t="s">
        <v>3847</v>
      </c>
      <c r="E68" s="53"/>
      <c r="F68" s="16" t="s">
        <v>3847</v>
      </c>
      <c r="G68" s="53"/>
      <c r="H68" s="16" t="s">
        <v>3847</v>
      </c>
      <c r="I68" s="53"/>
      <c r="J68" s="16" t="s">
        <v>123</v>
      </c>
      <c r="K68" s="93" t="s">
        <v>4212</v>
      </c>
      <c r="L68" s="16" t="s">
        <v>3648</v>
      </c>
      <c r="M68" s="93" t="s">
        <v>4212</v>
      </c>
      <c r="N68" s="16" t="s">
        <v>123</v>
      </c>
      <c r="O68" s="92"/>
      <c r="P68" s="16" t="s">
        <v>3689</v>
      </c>
      <c r="Q68" s="92"/>
      <c r="R68" s="16" t="s">
        <v>3690</v>
      </c>
      <c r="S68" s="92"/>
      <c r="T68" s="120" t="s">
        <v>3708</v>
      </c>
      <c r="U68" s="92"/>
      <c r="V68" s="16" t="s">
        <v>124</v>
      </c>
      <c r="W68" s="92"/>
      <c r="X68" s="16" t="s">
        <v>251</v>
      </c>
      <c r="Y68" s="93" t="s">
        <v>4213</v>
      </c>
      <c r="Z68" s="16" t="s">
        <v>123</v>
      </c>
      <c r="AA68" s="92"/>
      <c r="AB68" s="16" t="s">
        <v>251</v>
      </c>
      <c r="AC68" s="93" t="s">
        <v>4214</v>
      </c>
      <c r="AD68" s="16" t="s">
        <v>251</v>
      </c>
      <c r="AE68" s="93" t="s">
        <v>4214</v>
      </c>
      <c r="AF68" s="16" t="s">
        <v>251</v>
      </c>
      <c r="AG68" s="93" t="s">
        <v>4138</v>
      </c>
      <c r="AH68" s="16" t="s">
        <v>123</v>
      </c>
      <c r="AI68" s="92"/>
      <c r="AJ68" s="16" t="s">
        <v>123</v>
      </c>
      <c r="AK68" s="92"/>
      <c r="AL68" s="16" t="s">
        <v>123</v>
      </c>
      <c r="AM68" s="92"/>
      <c r="AN68" s="123"/>
      <c r="AO68" s="16" t="s">
        <v>4104</v>
      </c>
      <c r="AP68" s="123"/>
      <c r="AQ68" s="16" t="s">
        <v>123</v>
      </c>
      <c r="AR68" s="154"/>
      <c r="AS68" s="1"/>
      <c r="AT68" s="1"/>
      <c r="AU68" s="9"/>
    </row>
    <row r="69">
      <c r="A69" s="16" t="s">
        <v>90</v>
      </c>
      <c r="B69" s="50" t="str">
        <f>IFERROR(HYPERLINK(VLOOKUP(A69,Internal_lists_bugs!$A$2:$I2002,9,FALSE()), VLOOKUP(A69,Internal_lists_bugs!$A$2:$C$73,3,FALSE())&amp;Char(10) &amp; Char(10) &amp; VLOOKUP(A69,Internal_lists_bugs!$A$2:$Z$73,26,FALSE())),"please select a BUG ID")</f>
        <v>https://github.com/elastic/elasticsearch/issues/8125
/bulk/TransportBulkAction.java</v>
      </c>
      <c r="C69" s="81" t="str">
        <f>IFERROR(VLOOKUP(A69,Internal_lists_bugs!$A$2:$G2002,7,FALSE()),"please select a BUG ID")</f>
        <v>https://github.com/elastic/elasticsearch/commit/61c21f9</v>
      </c>
      <c r="D69" s="16" t="s">
        <v>4113</v>
      </c>
      <c r="E69" s="53"/>
      <c r="F69" s="16" t="s">
        <v>4177</v>
      </c>
      <c r="G69" s="53" t="s">
        <v>4127</v>
      </c>
      <c r="H69" s="16" t="s">
        <v>4113</v>
      </c>
      <c r="I69" s="53"/>
      <c r="J69" s="16" t="s">
        <v>123</v>
      </c>
      <c r="K69" s="93" t="s">
        <v>4215</v>
      </c>
      <c r="L69" s="16" t="s">
        <v>3648</v>
      </c>
      <c r="M69" s="93" t="s">
        <v>4215</v>
      </c>
      <c r="N69" s="16" t="s">
        <v>251</v>
      </c>
      <c r="O69" s="92"/>
      <c r="P69" s="16" t="s">
        <v>3670</v>
      </c>
      <c r="Q69" s="92"/>
      <c r="R69" s="16" t="s">
        <v>4216</v>
      </c>
      <c r="S69" s="93"/>
      <c r="T69" s="120" t="s">
        <v>3708</v>
      </c>
      <c r="U69" s="92"/>
      <c r="V69" s="16" t="s">
        <v>124</v>
      </c>
      <c r="W69" s="92"/>
      <c r="X69" s="16" t="s">
        <v>251</v>
      </c>
      <c r="Y69" s="93" t="s">
        <v>4217</v>
      </c>
      <c r="Z69" s="16" t="s">
        <v>251</v>
      </c>
      <c r="AA69" s="93" t="s">
        <v>4218</v>
      </c>
      <c r="AB69" s="16" t="s">
        <v>123</v>
      </c>
      <c r="AC69" s="92"/>
      <c r="AD69" s="16" t="s">
        <v>123</v>
      </c>
      <c r="AE69" s="92"/>
      <c r="AF69" s="16" t="s">
        <v>251</v>
      </c>
      <c r="AG69" s="93" t="s">
        <v>4138</v>
      </c>
      <c r="AH69" s="16" t="s">
        <v>251</v>
      </c>
      <c r="AI69" s="93" t="s">
        <v>4219</v>
      </c>
      <c r="AJ69" s="16" t="s">
        <v>123</v>
      </c>
      <c r="AK69" s="92"/>
      <c r="AL69" s="16" t="s">
        <v>123</v>
      </c>
      <c r="AM69" s="92"/>
      <c r="AN69" s="123"/>
      <c r="AO69" s="16" t="s">
        <v>4104</v>
      </c>
      <c r="AP69" s="123"/>
      <c r="AQ69" s="16" t="s">
        <v>123</v>
      </c>
      <c r="AR69" s="154"/>
      <c r="AS69" s="1"/>
      <c r="AT69" s="1"/>
      <c r="AU69" s="9"/>
    </row>
    <row r="70">
      <c r="A70" s="16" t="s">
        <v>91</v>
      </c>
      <c r="B70" s="50" t="str">
        <f>IFERROR(HYPERLINK(VLOOKUP(A70,Internal_lists_bugs!$A$2:$I2002,9,FALSE()), VLOOKUP(A70,Internal_lists_bugs!$A$2:$C$73,3,FALSE())&amp;Char(10) &amp; Char(10) &amp; VLOOKUP(A70,Internal_lists_bugs!$A$2:$Z$73,26,FALSE())),"please select a BUG ID")</f>
        <v>https://github.com/elastic/elasticsearch/issues/2608
/query/TermsQueryParser.java</v>
      </c>
      <c r="C70" s="81" t="str">
        <f>IFERROR(VLOOKUP(A70,Internal_lists_bugs!$A$2:$G2002,7,FALSE()),"please select a BUG ID")</f>
        <v>https://github.com/elastic/elasticsearch/commit/167d358</v>
      </c>
      <c r="D70" s="16" t="s">
        <v>3847</v>
      </c>
      <c r="E70" s="53"/>
      <c r="F70" s="16" t="s">
        <v>3847</v>
      </c>
      <c r="G70" s="53"/>
      <c r="H70" s="16" t="s">
        <v>3847</v>
      </c>
      <c r="I70" s="53"/>
      <c r="J70" s="16" t="s">
        <v>123</v>
      </c>
      <c r="K70" s="93" t="s">
        <v>4120</v>
      </c>
      <c r="L70" s="16" t="s">
        <v>3686</v>
      </c>
      <c r="M70" s="93" t="s">
        <v>4120</v>
      </c>
      <c r="N70" s="16" t="s">
        <v>251</v>
      </c>
      <c r="O70" s="93" t="s">
        <v>4147</v>
      </c>
      <c r="P70" s="16" t="s">
        <v>3627</v>
      </c>
      <c r="Q70" s="93" t="s">
        <v>4220</v>
      </c>
      <c r="R70" s="16" t="s">
        <v>3690</v>
      </c>
      <c r="S70" s="92"/>
      <c r="T70" s="120" t="s">
        <v>3708</v>
      </c>
      <c r="U70" s="92"/>
      <c r="V70" s="16" t="s">
        <v>124</v>
      </c>
      <c r="W70" s="92"/>
      <c r="X70" s="16" t="s">
        <v>251</v>
      </c>
      <c r="Y70" s="93" t="s">
        <v>4221</v>
      </c>
      <c r="Z70" s="16" t="s">
        <v>251</v>
      </c>
      <c r="AA70" s="93" t="s">
        <v>4221</v>
      </c>
      <c r="AB70" s="16" t="s">
        <v>123</v>
      </c>
      <c r="AC70" s="92"/>
      <c r="AD70" s="16" t="s">
        <v>123</v>
      </c>
      <c r="AE70" s="92"/>
      <c r="AF70" s="16" t="s">
        <v>251</v>
      </c>
      <c r="AG70" s="93" t="s">
        <v>4138</v>
      </c>
      <c r="AH70" s="16" t="s">
        <v>251</v>
      </c>
      <c r="AI70" s="93" t="s">
        <v>4138</v>
      </c>
      <c r="AJ70" s="16" t="s">
        <v>251</v>
      </c>
      <c r="AK70" s="93" t="s">
        <v>4170</v>
      </c>
      <c r="AL70" s="16" t="s">
        <v>251</v>
      </c>
      <c r="AM70" s="93" t="s">
        <v>4170</v>
      </c>
      <c r="AN70" s="123"/>
      <c r="AO70" s="16" t="s">
        <v>4104</v>
      </c>
      <c r="AP70" s="123"/>
      <c r="AQ70" s="16" t="s">
        <v>123</v>
      </c>
      <c r="AR70" s="154"/>
      <c r="AS70" s="1"/>
      <c r="AT70" s="1"/>
      <c r="AU70" s="9"/>
    </row>
    <row r="71">
      <c r="A71" s="16" t="s">
        <v>83</v>
      </c>
      <c r="B71" s="50" t="str">
        <f>IFERROR(HYPERLINK(VLOOKUP(A71,Internal_lists_bugs!$A$2:$I2002,9,FALSE()), VLOOKUP(A71,Internal_lists_bugs!$A$2:$C$73,3,FALSE())&amp;Char(10) &amp; Char(10) &amp; VLOOKUP(A71,Internal_lists_bugs!$A$2:$Z$73,26,FALSE())),"please select a BUG ID")</f>
        <v>https://github.com/elastic/elasticsearch/issues/3242
/shape/ShapeFetchService.java</v>
      </c>
      <c r="C71" s="81" t="str">
        <f>IFERROR(VLOOKUP(A71,Internal_lists_bugs!$A$2:$G2002,7,FALSE()),"please select a BUG ID")</f>
        <v>https://github.com/elastic/elasticsearch/commit/05e0b4d4e</v>
      </c>
      <c r="D71" s="16" t="s">
        <v>4143</v>
      </c>
      <c r="E71" s="53"/>
      <c r="F71" s="16" t="s">
        <v>4113</v>
      </c>
      <c r="G71" s="53" t="s">
        <v>4144</v>
      </c>
      <c r="H71" s="16" t="s">
        <v>4113</v>
      </c>
      <c r="I71" s="53"/>
      <c r="J71" s="16" t="s">
        <v>123</v>
      </c>
      <c r="K71" s="92"/>
      <c r="L71" s="16" t="s">
        <v>3686</v>
      </c>
      <c r="M71" s="93" t="s">
        <v>4120</v>
      </c>
      <c r="N71" s="16" t="s">
        <v>251</v>
      </c>
      <c r="O71" s="93" t="s">
        <v>4147</v>
      </c>
      <c r="P71" s="16" t="s">
        <v>3689</v>
      </c>
      <c r="Q71" s="93" t="s">
        <v>4222</v>
      </c>
      <c r="R71" s="16" t="s">
        <v>3690</v>
      </c>
      <c r="S71" s="92"/>
      <c r="T71" s="120" t="s">
        <v>3708</v>
      </c>
      <c r="U71" s="92"/>
      <c r="V71" s="16" t="s">
        <v>124</v>
      </c>
      <c r="W71" s="92"/>
      <c r="X71" s="16" t="s">
        <v>251</v>
      </c>
      <c r="Y71" s="93" t="s">
        <v>4223</v>
      </c>
      <c r="Z71" s="16" t="s">
        <v>251</v>
      </c>
      <c r="AA71" s="93" t="s">
        <v>4223</v>
      </c>
      <c r="AB71" s="16" t="s">
        <v>251</v>
      </c>
      <c r="AC71" s="93" t="s">
        <v>4224</v>
      </c>
      <c r="AD71" s="16" t="s">
        <v>123</v>
      </c>
      <c r="AE71" s="93" t="s">
        <v>4138</v>
      </c>
      <c r="AF71" s="16" t="s">
        <v>251</v>
      </c>
      <c r="AG71" s="93" t="s">
        <v>4138</v>
      </c>
      <c r="AH71" s="16" t="s">
        <v>251</v>
      </c>
      <c r="AI71" s="93" t="s">
        <v>4138</v>
      </c>
      <c r="AJ71" s="16" t="s">
        <v>251</v>
      </c>
      <c r="AK71" s="93" t="s">
        <v>4225</v>
      </c>
      <c r="AL71" s="16" t="s">
        <v>251</v>
      </c>
      <c r="AM71" s="93" t="s">
        <v>4225</v>
      </c>
      <c r="AN71" s="123"/>
      <c r="AO71" s="16" t="s">
        <v>4104</v>
      </c>
      <c r="AP71" s="123"/>
      <c r="AQ71" s="16" t="s">
        <v>123</v>
      </c>
      <c r="AR71" s="154"/>
      <c r="AS71" s="1"/>
      <c r="AT71" s="1"/>
      <c r="AU71" s="9"/>
    </row>
    <row r="72">
      <c r="A72" s="16" t="s">
        <v>92</v>
      </c>
      <c r="B72" s="50" t="str">
        <f>IFERROR(HYPERLINK(VLOOKUP(A72,Internal_lists_bugs!$A$2:$I2002,9,FALSE()), VLOOKUP(A72,Internal_lists_bugs!$A$2:$C$73,3,FALSE())&amp;Char(10) &amp; Char(10) &amp; VLOOKUP(A72,Internal_lists_bugs!$A$2:$Z$73,26,FALSE())),"please select a BUG ID")</f>
        <v>https://github.com/elastic/elasticsearch/issues/12193
core/pom.xml</v>
      </c>
      <c r="C72" s="81" t="str">
        <f>IFERROR(VLOOKUP(A72,Internal_lists_bugs!$A$2:$G2002,7,FALSE()),"please select a BUG ID")</f>
        <v>https://github.com/elastic/elasticsearch/commit/15a62448</v>
      </c>
      <c r="D72" s="16" t="s">
        <v>3847</v>
      </c>
      <c r="E72" s="53"/>
      <c r="F72" s="16" t="s">
        <v>3847</v>
      </c>
      <c r="G72" s="53"/>
      <c r="H72" s="16" t="s">
        <v>3620</v>
      </c>
      <c r="I72" s="53"/>
      <c r="J72" s="16" t="s">
        <v>251</v>
      </c>
      <c r="K72" s="93" t="s">
        <v>4226</v>
      </c>
      <c r="L72" s="16" t="s">
        <v>3686</v>
      </c>
      <c r="M72" s="92"/>
      <c r="N72" s="16" t="s">
        <v>123</v>
      </c>
      <c r="O72" s="92"/>
      <c r="P72" s="16" t="s">
        <v>3689</v>
      </c>
      <c r="Q72" s="92"/>
      <c r="R72" s="16" t="s">
        <v>3690</v>
      </c>
      <c r="S72" s="92"/>
      <c r="T72" s="120" t="s">
        <v>3708</v>
      </c>
      <c r="U72" s="92"/>
      <c r="V72" s="16" t="s">
        <v>124</v>
      </c>
      <c r="W72" s="92"/>
      <c r="X72" s="16" t="s">
        <v>251</v>
      </c>
      <c r="Y72" s="93" t="s">
        <v>4199</v>
      </c>
      <c r="Z72" s="16" t="s">
        <v>251</v>
      </c>
      <c r="AA72" s="93" t="s">
        <v>4227</v>
      </c>
      <c r="AB72" s="16" t="s">
        <v>123</v>
      </c>
      <c r="AC72" s="92"/>
      <c r="AD72" s="16" t="s">
        <v>123</v>
      </c>
      <c r="AE72" s="92"/>
      <c r="AF72" s="16" t="s">
        <v>251</v>
      </c>
      <c r="AG72" s="92"/>
      <c r="AH72" s="16" t="s">
        <v>251</v>
      </c>
      <c r="AI72" s="116" t="s">
        <v>4228</v>
      </c>
      <c r="AJ72" s="16" t="s">
        <v>251</v>
      </c>
      <c r="AK72" s="92"/>
      <c r="AL72" s="16" t="s">
        <v>251</v>
      </c>
      <c r="AM72" s="93" t="s">
        <v>4229</v>
      </c>
      <c r="AN72" s="123"/>
      <c r="AO72" s="16" t="s">
        <v>4104</v>
      </c>
      <c r="AP72" s="123"/>
      <c r="AQ72" s="16" t="s">
        <v>123</v>
      </c>
      <c r="AR72" s="154"/>
      <c r="AS72" s="1"/>
      <c r="AT72" s="1"/>
      <c r="AU72" s="9"/>
    </row>
    <row r="73">
      <c r="A73" s="16" t="s">
        <v>93</v>
      </c>
      <c r="B73" s="50" t="str">
        <f>IFERROR(HYPERLINK(VLOOKUP(A73,Internal_lists_bugs!$A$2:$I2002,9,FALSE()), VLOOKUP(A73,Internal_lists_bugs!$A$2:$C$73,3,FALSE())&amp;Char(10) &amp; Char(10) &amp; VLOOKUP(A73,Internal_lists_bugs!$A$2:$Z$73,26,FALSE())),"please select a BUG ID")</f>
        <v>https://github.com/elastic/elasticsearch/issues/15858
/lucene/search/Queries.java</v>
      </c>
      <c r="C73" s="81" t="str">
        <f>IFERROR(VLOOKUP(A73,Internal_lists_bugs!$A$2:$G2002,7,FALSE()),"please select a BUG ID")</f>
        <v>https://github.com/elastic/elasticsearch/commit/0cde90fcb10c9</v>
      </c>
      <c r="D73" s="16" t="s">
        <v>3847</v>
      </c>
      <c r="E73" s="53"/>
      <c r="F73" s="16" t="s">
        <v>3847</v>
      </c>
      <c r="G73" s="53"/>
      <c r="H73" s="16" t="s">
        <v>3847</v>
      </c>
      <c r="I73" s="53"/>
      <c r="J73" s="16" t="s">
        <v>123</v>
      </c>
      <c r="K73" s="93" t="s">
        <v>4114</v>
      </c>
      <c r="L73" s="16" t="s">
        <v>3686</v>
      </c>
      <c r="M73" s="93" t="s">
        <v>4114</v>
      </c>
      <c r="N73" s="16" t="s">
        <v>123</v>
      </c>
      <c r="O73" s="92"/>
      <c r="P73" s="16" t="s">
        <v>3689</v>
      </c>
      <c r="Q73" s="92"/>
      <c r="R73" s="16" t="s">
        <v>3690</v>
      </c>
      <c r="S73" s="92"/>
      <c r="T73" s="120" t="s">
        <v>3708</v>
      </c>
      <c r="U73" s="92"/>
      <c r="V73" s="16" t="s">
        <v>124</v>
      </c>
      <c r="W73" s="92"/>
      <c r="X73" s="16" t="s">
        <v>251</v>
      </c>
      <c r="Y73" s="93" t="s">
        <v>4230</v>
      </c>
      <c r="Z73" s="16" t="s">
        <v>251</v>
      </c>
      <c r="AA73" s="93" t="s">
        <v>4230</v>
      </c>
      <c r="AB73" s="16" t="s">
        <v>123</v>
      </c>
      <c r="AC73" s="92"/>
      <c r="AD73" s="16" t="s">
        <v>123</v>
      </c>
      <c r="AE73" s="92"/>
      <c r="AF73" s="16" t="s">
        <v>251</v>
      </c>
      <c r="AG73" s="93" t="s">
        <v>4231</v>
      </c>
      <c r="AH73" s="16" t="s">
        <v>251</v>
      </c>
      <c r="AI73" s="93" t="s">
        <v>4231</v>
      </c>
      <c r="AJ73" s="16" t="s">
        <v>251</v>
      </c>
      <c r="AK73" s="93" t="s">
        <v>4232</v>
      </c>
      <c r="AL73" s="16" t="s">
        <v>251</v>
      </c>
      <c r="AM73" s="93" t="s">
        <v>4232</v>
      </c>
      <c r="AN73" s="123"/>
      <c r="AO73" s="16" t="s">
        <v>4104</v>
      </c>
      <c r="AP73" s="123"/>
      <c r="AQ73" s="16" t="s">
        <v>123</v>
      </c>
      <c r="AR73" s="154"/>
      <c r="AS73" s="1"/>
      <c r="AT73" s="1"/>
      <c r="AU73" s="9"/>
    </row>
    <row r="74">
      <c r="A74" s="16" t="s">
        <v>94</v>
      </c>
      <c r="B74" s="50" t="str">
        <f>IFERROR(HYPERLINK(VLOOKUP(A74,Internal_lists_bugs!$A$2:$I2002,9,FALSE()), VLOOKUP(A74,Internal_lists_bugs!$A$2:$C$73,3,FALSE())&amp;Char(10) &amp; Char(10) &amp; VLOOKUP(A74,Internal_lists_bugs!$A$2:$Z$73,26,FALSE())),"please select a BUG ID")</f>
        <v>https://github.com/elastic/elasticsearch/issues/5165
/search/SearchService.java
/internal/DefaultSearchContext.java</v>
      </c>
      <c r="C74" s="81" t="str">
        <f>IFERROR(VLOOKUP(A74,Internal_lists_bugs!$A$2:$G2002,7,FALSE()),"please select a BUG ID")</f>
        <v>https://github.com/elastic/elasticsearch/commit/3ca0239</v>
      </c>
      <c r="D74" s="16" t="s">
        <v>3847</v>
      </c>
      <c r="E74" s="53"/>
      <c r="F74" s="16" t="s">
        <v>3847</v>
      </c>
      <c r="G74" s="53"/>
      <c r="H74" s="16" t="s">
        <v>3847</v>
      </c>
      <c r="I74" s="53"/>
      <c r="J74" s="16" t="s">
        <v>123</v>
      </c>
      <c r="K74" s="93" t="s">
        <v>4114</v>
      </c>
      <c r="L74" s="16" t="s">
        <v>3686</v>
      </c>
      <c r="M74" s="93" t="s">
        <v>4120</v>
      </c>
      <c r="N74" s="16" t="s">
        <v>251</v>
      </c>
      <c r="O74" s="93" t="s">
        <v>4115</v>
      </c>
      <c r="P74" s="16" t="s">
        <v>3689</v>
      </c>
      <c r="Q74" s="93" t="s">
        <v>4233</v>
      </c>
      <c r="R74" s="16" t="s">
        <v>3690</v>
      </c>
      <c r="S74" s="92"/>
      <c r="T74" s="120" t="s">
        <v>3708</v>
      </c>
      <c r="U74" s="92"/>
      <c r="V74" s="16" t="s">
        <v>124</v>
      </c>
      <c r="W74" s="92"/>
      <c r="X74" s="16" t="s">
        <v>251</v>
      </c>
      <c r="Y74" s="93" t="s">
        <v>4234</v>
      </c>
      <c r="Z74" s="16" t="s">
        <v>251</v>
      </c>
      <c r="AA74" s="93" t="s">
        <v>4235</v>
      </c>
      <c r="AB74" s="16" t="s">
        <v>251</v>
      </c>
      <c r="AC74" s="93" t="s">
        <v>4236</v>
      </c>
      <c r="AD74" s="16" t="s">
        <v>123</v>
      </c>
      <c r="AE74" s="93" t="s">
        <v>4237</v>
      </c>
      <c r="AF74" s="16" t="s">
        <v>251</v>
      </c>
      <c r="AG74" s="93" t="s">
        <v>4101</v>
      </c>
      <c r="AH74" s="16" t="s">
        <v>251</v>
      </c>
      <c r="AI74" s="93" t="s">
        <v>4101</v>
      </c>
      <c r="AJ74" s="16" t="s">
        <v>251</v>
      </c>
      <c r="AK74" s="93" t="s">
        <v>4101</v>
      </c>
      <c r="AL74" s="16" t="s">
        <v>251</v>
      </c>
      <c r="AM74" s="93" t="s">
        <v>4238</v>
      </c>
      <c r="AN74" s="123"/>
      <c r="AO74" s="16" t="s">
        <v>4104</v>
      </c>
      <c r="AP74" s="123"/>
      <c r="AQ74" s="16" t="s">
        <v>123</v>
      </c>
      <c r="AR74" s="154"/>
      <c r="AS74" s="1"/>
      <c r="AT74" s="1"/>
      <c r="AU74" s="9"/>
    </row>
    <row r="75">
      <c r="A75" s="16" t="s">
        <v>95</v>
      </c>
      <c r="B75" s="50" t="str">
        <f>IFERROR(HYPERLINK(VLOOKUP(A75,Internal_lists_bugs!$A$2:$I2002,9,FALSE()), VLOOKUP(A75,Internal_lists_bugs!$A$2:$C$73,3,FALSE())&amp;Char(10) &amp; Char(10) &amp; VLOOKUP(A75,Internal_lists_bugs!$A$2:$Z$73,26,FALSE())),"please select a BUG ID")</f>
        <v>https://github.com/elastic/elasticsearch/issues/1162
/MetaDataUpdateSettingsService.java</v>
      </c>
      <c r="C75" s="81" t="str">
        <f>IFERROR(VLOOKUP(A75,Internal_lists_bugs!$A$2:$G2002,7,FALSE()),"please select a BUG ID")</f>
        <v>https://github.com/elastic/elasticsearch/commit/d4547c629</v>
      </c>
      <c r="D75" s="16" t="s">
        <v>3847</v>
      </c>
      <c r="E75" s="53"/>
      <c r="F75" s="16" t="s">
        <v>3847</v>
      </c>
      <c r="G75" s="53"/>
      <c r="H75" s="16" t="s">
        <v>3847</v>
      </c>
      <c r="I75" s="53"/>
      <c r="J75" s="16" t="s">
        <v>251</v>
      </c>
      <c r="K75" s="93" t="s">
        <v>4239</v>
      </c>
      <c r="L75" s="16" t="s">
        <v>3686</v>
      </c>
      <c r="M75" s="92"/>
      <c r="N75" s="16" t="s">
        <v>251</v>
      </c>
      <c r="O75" s="93" t="s">
        <v>4240</v>
      </c>
      <c r="P75" s="16" t="s">
        <v>3689</v>
      </c>
      <c r="Q75" s="93" t="s">
        <v>4241</v>
      </c>
      <c r="R75" s="16" t="s">
        <v>3690</v>
      </c>
      <c r="S75" s="93"/>
      <c r="T75" s="120" t="s">
        <v>3708</v>
      </c>
      <c r="U75" s="93"/>
      <c r="V75" s="16" t="s">
        <v>124</v>
      </c>
      <c r="W75" s="93" t="s">
        <v>3632</v>
      </c>
      <c r="X75" s="16" t="s">
        <v>251</v>
      </c>
      <c r="Y75" s="93" t="s">
        <v>4242</v>
      </c>
      <c r="Z75" s="16" t="s">
        <v>251</v>
      </c>
      <c r="AA75" s="93" t="s">
        <v>4137</v>
      </c>
      <c r="AB75" s="16" t="s">
        <v>251</v>
      </c>
      <c r="AC75" s="93" t="s">
        <v>4243</v>
      </c>
      <c r="AD75" s="16" t="s">
        <v>123</v>
      </c>
      <c r="AE75" s="93" t="s">
        <v>4138</v>
      </c>
      <c r="AF75" s="16" t="s">
        <v>251</v>
      </c>
      <c r="AG75" s="93" t="s">
        <v>4244</v>
      </c>
      <c r="AH75" s="16" t="s">
        <v>251</v>
      </c>
      <c r="AI75" s="93" t="s">
        <v>4244</v>
      </c>
      <c r="AJ75" s="16" t="s">
        <v>251</v>
      </c>
      <c r="AK75" s="93" t="s">
        <v>4245</v>
      </c>
      <c r="AL75" s="16" t="s">
        <v>123</v>
      </c>
      <c r="AM75" s="92"/>
      <c r="AN75" s="123"/>
      <c r="AO75" s="16" t="s">
        <v>4104</v>
      </c>
      <c r="AP75" s="123"/>
      <c r="AQ75" s="16" t="s">
        <v>123</v>
      </c>
      <c r="AR75" s="130"/>
      <c r="AS75" s="1"/>
      <c r="AT75" s="1"/>
      <c r="AU75" s="9"/>
    </row>
    <row r="76">
      <c r="A76" s="16" t="s">
        <v>97</v>
      </c>
      <c r="B76" s="50" t="str">
        <f>IFERROR(HYPERLINK(VLOOKUP(A76,Internal_lists_bugs!$A$2:$I2002,9,FALSE()), VLOOKUP(A76,Internal_lists_bugs!$A$2:$C$73,3,FALSE())&amp;Char(10) &amp; Char(10) &amp; VLOOKUP(A76,Internal_lists_bugs!$A$2:$Z$73,26,FALSE())),"please select a BUG ID")</f>
        <v>https://github.com/elastic/elasticsearch/issues/1154
/RestSearchScrollAction.java 
/search/SearchOperationThreading.java
/search/RestSearchAction.java</v>
      </c>
      <c r="C76" s="81" t="str">
        <f>IFERROR(VLOOKUP(A76,Internal_lists_bugs!$A$2:$G2002,7,FALSE()),"please select a BUG ID")</f>
        <v>https://github.com/elastic/elasticsearch/commit/b3337c3</v>
      </c>
      <c r="D76" s="16" t="s">
        <v>3847</v>
      </c>
      <c r="E76" s="53"/>
      <c r="F76" s="16" t="s">
        <v>3847</v>
      </c>
      <c r="G76" s="53"/>
      <c r="H76" s="16" t="s">
        <v>3847</v>
      </c>
      <c r="I76" s="53"/>
      <c r="J76" s="16" t="s">
        <v>251</v>
      </c>
      <c r="K76" s="93" t="s">
        <v>4246</v>
      </c>
      <c r="L76" s="16" t="s">
        <v>3686</v>
      </c>
      <c r="M76" s="93" t="s">
        <v>4246</v>
      </c>
      <c r="N76" s="16" t="s">
        <v>251</v>
      </c>
      <c r="O76" s="93"/>
      <c r="P76" s="16" t="s">
        <v>3670</v>
      </c>
      <c r="Q76" s="93"/>
      <c r="R76" s="16" t="s">
        <v>3690</v>
      </c>
      <c r="S76" s="92"/>
      <c r="T76" s="120" t="s">
        <v>3708</v>
      </c>
      <c r="U76" s="93"/>
      <c r="V76" s="16" t="s">
        <v>124</v>
      </c>
      <c r="W76" s="92"/>
      <c r="X76" s="16" t="s">
        <v>251</v>
      </c>
      <c r="Y76" s="92"/>
      <c r="Z76" s="16" t="s">
        <v>251</v>
      </c>
      <c r="AA76" s="93" t="s">
        <v>4247</v>
      </c>
      <c r="AB76" s="16" t="s">
        <v>123</v>
      </c>
      <c r="AC76" s="93" t="s">
        <v>4248</v>
      </c>
      <c r="AD76" s="16" t="s">
        <v>123</v>
      </c>
      <c r="AE76" s="93" t="s">
        <v>4248</v>
      </c>
      <c r="AF76" s="16" t="s">
        <v>251</v>
      </c>
      <c r="AG76" s="93" t="s">
        <v>4101</v>
      </c>
      <c r="AH76" s="16" t="s">
        <v>251</v>
      </c>
      <c r="AI76" s="93" t="s">
        <v>4101</v>
      </c>
      <c r="AJ76" s="16" t="s">
        <v>251</v>
      </c>
      <c r="AK76" s="93" t="s">
        <v>4249</v>
      </c>
      <c r="AL76" s="16" t="s">
        <v>251</v>
      </c>
      <c r="AM76" s="93" t="s">
        <v>4250</v>
      </c>
      <c r="AN76" s="123"/>
      <c r="AO76" s="16" t="s">
        <v>4104</v>
      </c>
      <c r="AP76" s="123"/>
      <c r="AQ76" s="16" t="s">
        <v>123</v>
      </c>
      <c r="AR76" s="154"/>
      <c r="AS76" s="1"/>
      <c r="AT76" s="1"/>
      <c r="AU76" s="9"/>
    </row>
    <row r="77">
      <c r="A77" s="16" t="s">
        <v>98</v>
      </c>
      <c r="B77" s="50" t="str">
        <f>IFERROR(HYPERLINK(VLOOKUP(A77,Internal_lists_bugs!$A$2:$I2002,9,FALSE()), VLOOKUP(A77,Internal_lists_bugs!$A$2:$C$73,3,FALSE())&amp;Char(10) &amp; Char(10) &amp; VLOOKUP(A77,Internal_lists_bugs!$A$2:$Z$73,26,FALSE())),"please select a BUG ID")</f>
        <v>https://github.com/elastic/elasticsearch/issues/5948
/cat/RestAllocationAction.java</v>
      </c>
      <c r="C77" s="81" t="str">
        <f>IFERROR(VLOOKUP(A77,Internal_lists_bugs!$A$2:$G2002,7,FALSE()),"please select a BUG ID")</f>
        <v>https://github.com/elastic/elasticsearch/commit/b35ca1a</v>
      </c>
      <c r="D77" s="16" t="s">
        <v>3847</v>
      </c>
      <c r="E77" s="53"/>
      <c r="F77" s="16" t="s">
        <v>4113</v>
      </c>
      <c r="G77" s="53" t="s">
        <v>4144</v>
      </c>
      <c r="H77" s="16" t="s">
        <v>3847</v>
      </c>
      <c r="I77" s="53"/>
      <c r="J77" s="16" t="s">
        <v>123</v>
      </c>
      <c r="K77" s="92"/>
      <c r="L77" s="16" t="s">
        <v>3648</v>
      </c>
      <c r="M77" s="93" t="s">
        <v>4251</v>
      </c>
      <c r="N77" s="16" t="s">
        <v>123</v>
      </c>
      <c r="O77" s="92"/>
      <c r="P77" s="16" t="s">
        <v>3689</v>
      </c>
      <c r="Q77" s="92"/>
      <c r="R77" s="16" t="s">
        <v>3690</v>
      </c>
      <c r="S77" s="93"/>
      <c r="T77" s="120" t="s">
        <v>3708</v>
      </c>
      <c r="U77" s="92"/>
      <c r="V77" s="16" t="s">
        <v>124</v>
      </c>
      <c r="W77" s="92"/>
      <c r="X77" s="16" t="s">
        <v>123</v>
      </c>
      <c r="Y77" s="92"/>
      <c r="Z77" s="16" t="s">
        <v>123</v>
      </c>
      <c r="AA77" s="92"/>
      <c r="AB77" s="16" t="s">
        <v>251</v>
      </c>
      <c r="AC77" s="93" t="s">
        <v>4252</v>
      </c>
      <c r="AD77" s="16" t="s">
        <v>251</v>
      </c>
      <c r="AE77" s="93" t="s">
        <v>4252</v>
      </c>
      <c r="AF77" s="16" t="s">
        <v>123</v>
      </c>
      <c r="AG77" s="92"/>
      <c r="AH77" s="16" t="s">
        <v>123</v>
      </c>
      <c r="AI77" s="92"/>
      <c r="AJ77" s="16" t="s">
        <v>123</v>
      </c>
      <c r="AK77" s="92"/>
      <c r="AL77" s="16" t="s">
        <v>123</v>
      </c>
      <c r="AM77" s="92"/>
      <c r="AN77" s="123"/>
      <c r="AO77" s="16" t="s">
        <v>4104</v>
      </c>
      <c r="AP77" s="123"/>
      <c r="AQ77" s="16" t="s">
        <v>123</v>
      </c>
      <c r="AR77" s="154"/>
      <c r="AS77" s="1"/>
      <c r="AT77" s="1"/>
      <c r="AU77" s="9"/>
    </row>
    <row r="78">
      <c r="A78" s="16" t="s">
        <v>99</v>
      </c>
      <c r="B78" s="50" t="str">
        <f>IFERROR(HYPERLINK(VLOOKUP(A78,Internal_lists_bugs!$A$2:$I2002,9,FALSE()), VLOOKUP(A78,Internal_lists_bugs!$A$2:$C$73,3,FALSE())&amp;Char(10) &amp; Char(10) &amp; VLOOKUP(A78,Internal_lists_bugs!$A$2:$Z$73,26,FALSE())),"please select a BUG ID")</f>
        <v>https://github.com/elastic/elasticsearch/issues/3560
/settings/TransportClusterUpdateSettingsAction.java</v>
      </c>
      <c r="C78" s="81" t="str">
        <f>IFERROR(VLOOKUP(A78,Internal_lists_bugs!$A$2:$G2002,7,FALSE()),"please select a BUG ID")</f>
        <v>https://github.com/elastic/elasticsearch/commit/4930b93</v>
      </c>
      <c r="D78" s="16" t="s">
        <v>3847</v>
      </c>
      <c r="E78" s="53"/>
      <c r="F78" s="16" t="s">
        <v>3847</v>
      </c>
      <c r="G78" s="53"/>
      <c r="H78" s="16" t="s">
        <v>4112</v>
      </c>
      <c r="I78" s="53"/>
      <c r="J78" s="16" t="s">
        <v>251</v>
      </c>
      <c r="K78" s="93" t="s">
        <v>4253</v>
      </c>
      <c r="L78" s="16" t="s">
        <v>3686</v>
      </c>
      <c r="M78" s="93" t="s">
        <v>4254</v>
      </c>
      <c r="N78" s="16" t="s">
        <v>251</v>
      </c>
      <c r="O78" s="93" t="s">
        <v>4128</v>
      </c>
      <c r="P78" s="16" t="s">
        <v>3689</v>
      </c>
      <c r="Q78" s="92"/>
      <c r="R78" s="16" t="s">
        <v>3690</v>
      </c>
      <c r="S78" s="92"/>
      <c r="T78" s="120" t="s">
        <v>3708</v>
      </c>
      <c r="U78" s="92"/>
      <c r="V78" s="16" t="s">
        <v>124</v>
      </c>
      <c r="W78" s="92"/>
      <c r="X78" s="16" t="s">
        <v>251</v>
      </c>
      <c r="Y78" s="93" t="s">
        <v>4255</v>
      </c>
      <c r="Z78" s="16" t="s">
        <v>251</v>
      </c>
      <c r="AA78" s="93" t="s">
        <v>4256</v>
      </c>
      <c r="AB78" s="16" t="s">
        <v>123</v>
      </c>
      <c r="AC78" s="92"/>
      <c r="AD78" s="16" t="s">
        <v>123</v>
      </c>
      <c r="AE78" s="92"/>
      <c r="AF78" s="16" t="s">
        <v>251</v>
      </c>
      <c r="AG78" s="93" t="s">
        <v>4257</v>
      </c>
      <c r="AH78" s="16" t="s">
        <v>251</v>
      </c>
      <c r="AI78" s="93" t="s">
        <v>4258</v>
      </c>
      <c r="AJ78" s="16" t="s">
        <v>251</v>
      </c>
      <c r="AK78" s="93" t="s">
        <v>4259</v>
      </c>
      <c r="AL78" s="16" t="s">
        <v>251</v>
      </c>
      <c r="AM78" s="93" t="s">
        <v>4260</v>
      </c>
      <c r="AN78" s="123"/>
      <c r="AO78" s="16" t="s">
        <v>4104</v>
      </c>
      <c r="AP78" s="123"/>
      <c r="AQ78" s="16" t="s">
        <v>123</v>
      </c>
      <c r="AR78" s="154"/>
      <c r="AS78" s="1"/>
      <c r="AT78" s="1"/>
      <c r="AU78" s="9"/>
    </row>
    <row r="79">
      <c r="A79" s="16" t="s">
        <v>100</v>
      </c>
      <c r="B79" s="50" t="str">
        <f>IFERROR(HYPERLINK(VLOOKUP(A79,Internal_lists_bugs!$A$2:$I2002,9,FALSE()), VLOOKUP(A79,Internal_lists_bugs!$A$2:$C$73,3,FALSE())&amp;Char(10) &amp; Char(10) &amp; VLOOKUP(A79,Internal_lists_bugs!$A$2:$Z$73,26,FALSE())),"please select a BUG ID")</f>
        <v>https://github.com/elastic/elasticsearch/issues/4814
/bucket/BytesRefHash.java</v>
      </c>
      <c r="C79" s="81" t="str">
        <f>IFERROR(VLOOKUP(A79,Internal_lists_bugs!$A$2:$G2002,7,FALSE()),"please select a BUG ID")</f>
        <v>https://github.com/elastic/elasticsearch/commit/4271d57</v>
      </c>
      <c r="D79" s="16" t="s">
        <v>4112</v>
      </c>
      <c r="E79" s="53"/>
      <c r="F79" s="16" t="s">
        <v>3847</v>
      </c>
      <c r="G79" s="53"/>
      <c r="H79" s="16" t="s">
        <v>3847</v>
      </c>
      <c r="I79" s="53"/>
      <c r="J79" s="16" t="s">
        <v>123</v>
      </c>
      <c r="K79" s="93" t="s">
        <v>4261</v>
      </c>
      <c r="L79" s="16" t="s">
        <v>3686</v>
      </c>
      <c r="M79" s="93" t="s">
        <v>4120</v>
      </c>
      <c r="N79" s="16" t="s">
        <v>251</v>
      </c>
      <c r="O79" s="93" t="s">
        <v>4262</v>
      </c>
      <c r="P79" s="16" t="s">
        <v>3627</v>
      </c>
      <c r="Q79" s="93" t="s">
        <v>4138</v>
      </c>
      <c r="R79" s="16" t="s">
        <v>3690</v>
      </c>
      <c r="S79" s="92"/>
      <c r="T79" s="120" t="s">
        <v>3708</v>
      </c>
      <c r="U79" s="92"/>
      <c r="V79" s="16" t="s">
        <v>124</v>
      </c>
      <c r="W79" s="92"/>
      <c r="X79" s="16" t="s">
        <v>251</v>
      </c>
      <c r="Y79" s="93" t="s">
        <v>4263</v>
      </c>
      <c r="Z79" s="16" t="s">
        <v>251</v>
      </c>
      <c r="AA79" s="93" t="s">
        <v>4263</v>
      </c>
      <c r="AB79" s="16" t="s">
        <v>123</v>
      </c>
      <c r="AC79" s="92"/>
      <c r="AD79" s="16" t="s">
        <v>123</v>
      </c>
      <c r="AE79" s="92"/>
      <c r="AF79" s="16" t="s">
        <v>251</v>
      </c>
      <c r="AG79" s="93" t="s">
        <v>4263</v>
      </c>
      <c r="AH79" s="16" t="s">
        <v>251</v>
      </c>
      <c r="AI79" s="93" t="s">
        <v>4263</v>
      </c>
      <c r="AJ79" s="16" t="s">
        <v>251</v>
      </c>
      <c r="AK79" s="92"/>
      <c r="AL79" s="16" t="s">
        <v>251</v>
      </c>
      <c r="AM79" s="92"/>
      <c r="AN79" s="123"/>
      <c r="AO79" s="16" t="s">
        <v>4104</v>
      </c>
      <c r="AP79" s="123"/>
      <c r="AQ79" s="16" t="s">
        <v>123</v>
      </c>
      <c r="AR79" s="154"/>
      <c r="AS79" s="1"/>
      <c r="AT79" s="1"/>
      <c r="AU79" s="9"/>
    </row>
    <row r="80">
      <c r="A80" s="16" t="s">
        <v>101</v>
      </c>
      <c r="B80" s="50" t="str">
        <f>IFERROR(HYPERLINK(VLOOKUP(A80,Internal_lists_bugs!$A$2:$I2002,9,FALSE()), VLOOKUP(A80,Internal_lists_bugs!$A$2:$C$73,3,FALSE())&amp;Char(10) &amp; Char(10) &amp; VLOOKUP(A80,Internal_lists_bugs!$A$2:$Z$73,26,FALSE())),"please select a BUG ID")</f>
        <v>https://github.com/elastic/elasticsearch/issues/2991
/BytesRefOrdValComparator.java </v>
      </c>
      <c r="C80" s="81" t="str">
        <f>IFERROR(VLOOKUP(A80,Internal_lists_bugs!$A$2:$G2002,7,FALSE()),"please select a BUG ID")</f>
        <v>https://github.com/elastic/elasticsearch/commit/7397007</v>
      </c>
      <c r="D80" s="16" t="s">
        <v>4112</v>
      </c>
      <c r="E80" s="53"/>
      <c r="F80" s="16" t="s">
        <v>3847</v>
      </c>
      <c r="G80" s="53"/>
      <c r="H80" s="16" t="s">
        <v>3847</v>
      </c>
      <c r="I80" s="53"/>
      <c r="J80" s="16" t="s">
        <v>251</v>
      </c>
      <c r="K80" s="93" t="s">
        <v>4226</v>
      </c>
      <c r="L80" s="16" t="s">
        <v>3686</v>
      </c>
      <c r="M80" s="92"/>
      <c r="N80" s="16" t="s">
        <v>251</v>
      </c>
      <c r="O80" s="93" t="s">
        <v>4115</v>
      </c>
      <c r="P80" s="16" t="s">
        <v>3689</v>
      </c>
      <c r="Q80" s="93" t="s">
        <v>4233</v>
      </c>
      <c r="R80" s="16" t="s">
        <v>3690</v>
      </c>
      <c r="S80" s="92"/>
      <c r="T80" s="120" t="s">
        <v>3708</v>
      </c>
      <c r="U80" s="92"/>
      <c r="V80" s="16" t="s">
        <v>124</v>
      </c>
      <c r="W80" s="92"/>
      <c r="X80" s="16" t="s">
        <v>251</v>
      </c>
      <c r="Y80" s="93" t="s">
        <v>4264</v>
      </c>
      <c r="Z80" s="16" t="s">
        <v>251</v>
      </c>
      <c r="AA80" s="93" t="s">
        <v>4265</v>
      </c>
      <c r="AB80" s="16" t="s">
        <v>123</v>
      </c>
      <c r="AC80" s="93" t="s">
        <v>4248</v>
      </c>
      <c r="AD80" s="16" t="s">
        <v>123</v>
      </c>
      <c r="AE80" s="93" t="s">
        <v>4101</v>
      </c>
      <c r="AF80" s="16" t="s">
        <v>251</v>
      </c>
      <c r="AG80" s="93" t="s">
        <v>4101</v>
      </c>
      <c r="AH80" s="16" t="s">
        <v>251</v>
      </c>
      <c r="AI80" s="93" t="s">
        <v>4101</v>
      </c>
      <c r="AJ80" s="16" t="s">
        <v>251</v>
      </c>
      <c r="AK80" s="93" t="s">
        <v>4266</v>
      </c>
      <c r="AL80" s="16" t="s">
        <v>251</v>
      </c>
      <c r="AM80" s="93" t="s">
        <v>4266</v>
      </c>
      <c r="AN80" s="123"/>
      <c r="AO80" s="16" t="s">
        <v>4104</v>
      </c>
      <c r="AP80" s="123"/>
      <c r="AQ80" s="16" t="s">
        <v>123</v>
      </c>
      <c r="AR80" s="154"/>
      <c r="AS80" s="1"/>
      <c r="AT80" s="1"/>
      <c r="AU80" s="9"/>
    </row>
    <row r="81">
      <c r="A81" s="16" t="s">
        <v>102</v>
      </c>
      <c r="B81" s="50" t="str">
        <f>IFERROR(HYPERLINK(VLOOKUP(A81,Internal_lists_bugs!$A$2:$I2002,9,FALSE()), VLOOKUP(A81,Internal_lists_bugs!$A$2:$C$73,3,FALSE())&amp;Char(10) &amp; Char(10) &amp; VLOOKUP(A81,Internal_lists_bugs!$A$2:$Z$73,26,FALSE())),"please select a BUG ID")</f>
        <v>https://github.com/elastic/elasticsearch/issues/3267
/get/TransportMultiGetAction.java</v>
      </c>
      <c r="C81" s="81" t="str">
        <f>IFERROR(VLOOKUP(A81,Internal_lists_bugs!$A$2:$G2002,7,FALSE()),"please select a BUG ID")</f>
        <v>https://github.com/elastic/elasticsearch/commit/9bf686e</v>
      </c>
      <c r="D81" s="16" t="s">
        <v>3847</v>
      </c>
      <c r="E81" s="53"/>
      <c r="F81" s="16" t="s">
        <v>3847</v>
      </c>
      <c r="G81" s="53"/>
      <c r="H81" s="16" t="s">
        <v>3847</v>
      </c>
      <c r="I81" s="53"/>
      <c r="J81" s="16" t="s">
        <v>123</v>
      </c>
      <c r="K81" s="93" t="s">
        <v>4180</v>
      </c>
      <c r="L81" s="16" t="s">
        <v>3686</v>
      </c>
      <c r="M81" s="93" t="s">
        <v>4180</v>
      </c>
      <c r="N81" s="16" t="s">
        <v>251</v>
      </c>
      <c r="O81" s="93" t="s">
        <v>4267</v>
      </c>
      <c r="P81" s="16" t="s">
        <v>3689</v>
      </c>
      <c r="Q81" s="93" t="s">
        <v>4222</v>
      </c>
      <c r="R81" s="16" t="s">
        <v>3690</v>
      </c>
      <c r="S81" s="92"/>
      <c r="T81" s="120" t="s">
        <v>3708</v>
      </c>
      <c r="U81" s="92"/>
      <c r="V81" s="16" t="s">
        <v>124</v>
      </c>
      <c r="W81" s="92"/>
      <c r="X81" s="16" t="s">
        <v>251</v>
      </c>
      <c r="Y81" s="92"/>
      <c r="Z81" s="16" t="s">
        <v>251</v>
      </c>
      <c r="AA81" s="93" t="s">
        <v>4268</v>
      </c>
      <c r="AB81" s="16" t="s">
        <v>123</v>
      </c>
      <c r="AC81" s="92"/>
      <c r="AD81" s="16" t="s">
        <v>123</v>
      </c>
      <c r="AE81" s="92"/>
      <c r="AF81" s="16" t="s">
        <v>251</v>
      </c>
      <c r="AG81" s="93" t="s">
        <v>4101</v>
      </c>
      <c r="AH81" s="16" t="s">
        <v>251</v>
      </c>
      <c r="AI81" s="93" t="s">
        <v>4101</v>
      </c>
      <c r="AJ81" s="16" t="s">
        <v>251</v>
      </c>
      <c r="AK81" s="93" t="s">
        <v>4269</v>
      </c>
      <c r="AL81" s="16" t="s">
        <v>251</v>
      </c>
      <c r="AM81" s="93" t="s">
        <v>4269</v>
      </c>
      <c r="AN81" s="123"/>
      <c r="AO81" s="16" t="s">
        <v>4104</v>
      </c>
      <c r="AP81" s="123"/>
      <c r="AQ81" s="16" t="s">
        <v>123</v>
      </c>
      <c r="AR81" s="154"/>
      <c r="AS81" s="1"/>
      <c r="AT81" s="1"/>
      <c r="AU81" s="9"/>
    </row>
    <row r="82">
      <c r="A82" s="54"/>
      <c r="B82" s="71" t="str">
        <f>IFERROR(HYPERLINK(VLOOKUP(A82,Internal_lists_bugs!$A$2:$C$73,3,FALSE()), VLOOKUP(A82,Internal_lists_bugs!$A$2:$C$73,3,FALSE())&amp;Char(10) &amp; Char(10) &amp; VLOOKUP(A82,Internal_lists_bugs!$A$2:$Z$73,26,FALSE())),"please select a BUG ID")</f>
        <v>please select a BUG ID</v>
      </c>
      <c r="C82" s="51" t="str">
        <f>IFERROR(VLOOKUP(A82,Internal_lists_bugs!$A$2:$G2002,7,FALSE()),"please select a BUG ID")</f>
        <v>please select a BUG ID</v>
      </c>
      <c r="D82" s="54"/>
      <c r="E82" s="53"/>
      <c r="F82" s="54"/>
      <c r="G82" s="53"/>
      <c r="H82" s="54"/>
      <c r="I82" s="53"/>
      <c r="J82" s="54"/>
      <c r="K82" s="92"/>
      <c r="L82" s="54"/>
      <c r="M82" s="92"/>
      <c r="N82" s="54"/>
      <c r="O82" s="92"/>
      <c r="P82" s="54"/>
      <c r="Q82" s="92"/>
      <c r="R82" s="54"/>
      <c r="S82" s="92"/>
      <c r="T82" s="117"/>
      <c r="U82" s="92"/>
      <c r="V82" s="54"/>
      <c r="W82" s="92"/>
      <c r="X82" s="54"/>
      <c r="Y82" s="92"/>
      <c r="Z82" s="54"/>
      <c r="AA82" s="92"/>
      <c r="AB82" s="54"/>
      <c r="AC82" s="92"/>
      <c r="AD82" s="54"/>
      <c r="AE82" s="92"/>
      <c r="AF82" s="54"/>
      <c r="AG82" s="92"/>
      <c r="AH82" s="54"/>
      <c r="AI82" s="92"/>
      <c r="AJ82" s="54"/>
      <c r="AK82" s="92"/>
      <c r="AL82" s="54"/>
      <c r="AM82" s="92"/>
      <c r="AN82" s="123"/>
      <c r="AO82" s="54"/>
      <c r="AP82" s="123"/>
      <c r="AQ82" s="54"/>
      <c r="AR82" s="154"/>
      <c r="AS82" s="1"/>
      <c r="AT82" s="1"/>
      <c r="AU82" s="9"/>
    </row>
    <row r="83">
      <c r="A83" s="54"/>
      <c r="B83" s="71" t="str">
        <f>IFERROR(HYPERLINK(VLOOKUP(A83,Internal_lists_bugs!$A$2:$C$73,3,FALSE()), VLOOKUP(A83,Internal_lists_bugs!$A$2:$C$73,3,FALSE())&amp;Char(10) &amp; Char(10) &amp; VLOOKUP(A83,Internal_lists_bugs!$A$2:$Z$73,26,FALSE())),"please select a BUG ID")</f>
        <v>please select a BUG ID</v>
      </c>
      <c r="C83" s="51" t="str">
        <f>IFERROR(VLOOKUP(A83,Internal_lists_bugs!$A$2:$G2002,7,FALSE()),"please select a BUG ID")</f>
        <v>please select a BUG ID</v>
      </c>
      <c r="D83" s="54"/>
      <c r="E83" s="53"/>
      <c r="F83" s="54"/>
      <c r="G83" s="53"/>
      <c r="H83" s="54"/>
      <c r="I83" s="53"/>
      <c r="J83" s="54"/>
      <c r="K83" s="92"/>
      <c r="L83" s="54"/>
      <c r="M83" s="92"/>
      <c r="N83" s="54"/>
      <c r="O83" s="92"/>
      <c r="P83" s="54"/>
      <c r="Q83" s="92"/>
      <c r="R83" s="54"/>
      <c r="S83" s="92"/>
      <c r="T83" s="117"/>
      <c r="U83" s="92"/>
      <c r="V83" s="54"/>
      <c r="W83" s="92"/>
      <c r="X83" s="54"/>
      <c r="Y83" s="92"/>
      <c r="Z83" s="54"/>
      <c r="AA83" s="92"/>
      <c r="AB83" s="54"/>
      <c r="AC83" s="92"/>
      <c r="AD83" s="54"/>
      <c r="AE83" s="92"/>
      <c r="AF83" s="54"/>
      <c r="AG83" s="92"/>
      <c r="AH83" s="54"/>
      <c r="AI83" s="92"/>
      <c r="AJ83" s="54"/>
      <c r="AK83" s="92"/>
      <c r="AL83" s="54"/>
      <c r="AM83" s="92"/>
      <c r="AN83" s="123"/>
      <c r="AO83" s="54"/>
      <c r="AP83" s="123"/>
      <c r="AQ83" s="54"/>
      <c r="AR83" s="154"/>
      <c r="AS83" s="1"/>
      <c r="AT83" s="1"/>
      <c r="AU83" s="9"/>
    </row>
    <row r="84">
      <c r="A84" s="54"/>
      <c r="B84" s="71" t="str">
        <f>IFERROR(HYPERLINK(VLOOKUP(A84,Internal_lists_bugs!$A$2:$C$73,3,FALSE()), VLOOKUP(A84,Internal_lists_bugs!$A$2:$C$73,3,FALSE())&amp;Char(10) &amp; Char(10) &amp; VLOOKUP(A84,Internal_lists_bugs!$A$2:$Z$73,26,FALSE())),"please select a BUG ID")</f>
        <v>please select a BUG ID</v>
      </c>
      <c r="C84" s="51" t="str">
        <f>IFERROR(VLOOKUP(A84,Internal_lists_bugs!$A$2:$G2002,7,FALSE()),"please select a BUG ID")</f>
        <v>please select a BUG ID</v>
      </c>
      <c r="D84" s="54"/>
      <c r="E84" s="53"/>
      <c r="F84" s="54"/>
      <c r="G84" s="53"/>
      <c r="H84" s="54"/>
      <c r="I84" s="53"/>
      <c r="J84" s="54"/>
      <c r="K84" s="92"/>
      <c r="L84" s="54"/>
      <c r="M84" s="92"/>
      <c r="N84" s="54"/>
      <c r="O84" s="92"/>
      <c r="P84" s="54"/>
      <c r="Q84" s="92"/>
      <c r="R84" s="54"/>
      <c r="S84" s="92"/>
      <c r="T84" s="117"/>
      <c r="U84" s="92"/>
      <c r="V84" s="54"/>
      <c r="W84" s="92"/>
      <c r="X84" s="54"/>
      <c r="Y84" s="92"/>
      <c r="Z84" s="54"/>
      <c r="AA84" s="92"/>
      <c r="AB84" s="54"/>
      <c r="AC84" s="92"/>
      <c r="AD84" s="54"/>
      <c r="AE84" s="92"/>
      <c r="AF84" s="54"/>
      <c r="AG84" s="92"/>
      <c r="AH84" s="54"/>
      <c r="AI84" s="92"/>
      <c r="AJ84" s="54"/>
      <c r="AK84" s="92"/>
      <c r="AL84" s="54"/>
      <c r="AM84" s="92"/>
      <c r="AN84" s="123"/>
      <c r="AO84" s="54"/>
      <c r="AP84" s="123"/>
      <c r="AQ84" s="54"/>
      <c r="AR84" s="154"/>
      <c r="AS84" s="1"/>
      <c r="AT84" s="1"/>
      <c r="AU84" s="9"/>
    </row>
    <row r="85">
      <c r="A85" s="54"/>
      <c r="B85" s="71" t="str">
        <f>IFERROR(HYPERLINK(VLOOKUP(A85,Internal_lists_bugs!$A$2:$C$73,3,FALSE()), VLOOKUP(A85,Internal_lists_bugs!$A$2:$C$73,3,FALSE())&amp;Char(10) &amp; Char(10) &amp; VLOOKUP(A85,Internal_lists_bugs!$A$2:$Z$73,26,FALSE())),"please select a BUG ID")</f>
        <v>please select a BUG ID</v>
      </c>
      <c r="C85" s="51" t="str">
        <f>IFERROR(VLOOKUP(A85,Internal_lists_bugs!$A$2:$G2002,7,FALSE()),"please select a BUG ID")</f>
        <v>please select a BUG ID</v>
      </c>
      <c r="D85" s="54"/>
      <c r="E85" s="53"/>
      <c r="F85" s="54"/>
      <c r="G85" s="53"/>
      <c r="H85" s="54"/>
      <c r="I85" s="53"/>
      <c r="J85" s="54"/>
      <c r="K85" s="92"/>
      <c r="L85" s="54"/>
      <c r="M85" s="92"/>
      <c r="N85" s="54"/>
      <c r="O85" s="92"/>
      <c r="P85" s="54"/>
      <c r="Q85" s="92"/>
      <c r="R85" s="54"/>
      <c r="S85" s="92"/>
      <c r="T85" s="117"/>
      <c r="U85" s="92"/>
      <c r="V85" s="54"/>
      <c r="W85" s="92"/>
      <c r="X85" s="54"/>
      <c r="Y85" s="92"/>
      <c r="Z85" s="54"/>
      <c r="AA85" s="92"/>
      <c r="AB85" s="54"/>
      <c r="AC85" s="92"/>
      <c r="AD85" s="54"/>
      <c r="AE85" s="92"/>
      <c r="AF85" s="54"/>
      <c r="AG85" s="92"/>
      <c r="AH85" s="54"/>
      <c r="AI85" s="92"/>
      <c r="AJ85" s="54"/>
      <c r="AK85" s="92"/>
      <c r="AL85" s="54"/>
      <c r="AM85" s="92"/>
      <c r="AN85" s="123"/>
      <c r="AO85" s="54"/>
      <c r="AP85" s="123"/>
      <c r="AQ85" s="54"/>
      <c r="AR85" s="154"/>
      <c r="AS85" s="1"/>
      <c r="AT85" s="1"/>
      <c r="AU85" s="9"/>
    </row>
    <row r="86">
      <c r="A86" s="54"/>
      <c r="B86" s="71" t="str">
        <f>IFERROR(HYPERLINK(VLOOKUP(A86,Internal_lists_bugs!$A$2:$C$73,3,FALSE()), VLOOKUP(A86,Internal_lists_bugs!$A$2:$C$73,3,FALSE())&amp;Char(10) &amp; Char(10) &amp; VLOOKUP(A86,Internal_lists_bugs!$A$2:$Z$73,26,FALSE())),"please select a BUG ID")</f>
        <v>please select a BUG ID</v>
      </c>
      <c r="C86" s="51" t="str">
        <f>IFERROR(VLOOKUP(A86,Internal_lists_bugs!$A$2:$G2002,7,FALSE()),"please select a BUG ID")</f>
        <v>please select a BUG ID</v>
      </c>
      <c r="D86" s="54"/>
      <c r="E86" s="53"/>
      <c r="F86" s="54"/>
      <c r="G86" s="53"/>
      <c r="H86" s="54"/>
      <c r="I86" s="53"/>
      <c r="J86" s="54"/>
      <c r="K86" s="92"/>
      <c r="L86" s="54"/>
      <c r="M86" s="92"/>
      <c r="N86" s="54"/>
      <c r="O86" s="92"/>
      <c r="P86" s="54"/>
      <c r="Q86" s="92"/>
      <c r="R86" s="54"/>
      <c r="S86" s="92"/>
      <c r="T86" s="117"/>
      <c r="U86" s="92"/>
      <c r="V86" s="54"/>
      <c r="W86" s="92"/>
      <c r="X86" s="54"/>
      <c r="Y86" s="92"/>
      <c r="Z86" s="54"/>
      <c r="AA86" s="92"/>
      <c r="AB86" s="54"/>
      <c r="AC86" s="92"/>
      <c r="AD86" s="54"/>
      <c r="AE86" s="92"/>
      <c r="AF86" s="54"/>
      <c r="AG86" s="92"/>
      <c r="AH86" s="54"/>
      <c r="AI86" s="92"/>
      <c r="AJ86" s="54"/>
      <c r="AK86" s="92"/>
      <c r="AL86" s="54"/>
      <c r="AM86" s="92"/>
      <c r="AN86" s="123"/>
      <c r="AO86" s="54"/>
      <c r="AP86" s="123"/>
      <c r="AQ86" s="54"/>
      <c r="AR86" s="154"/>
      <c r="AS86" s="1"/>
      <c r="AT86" s="1"/>
      <c r="AU86" s="9"/>
    </row>
    <row r="87">
      <c r="A87" s="54"/>
      <c r="B87" s="71" t="str">
        <f>IFERROR(HYPERLINK(VLOOKUP(A87,Internal_lists_bugs!$A$2:$C$73,3,FALSE()), VLOOKUP(A87,Internal_lists_bugs!$A$2:$C$73,3,FALSE())&amp;Char(10) &amp; Char(10) &amp; VLOOKUP(A87,Internal_lists_bugs!$A$2:$Z$73,26,FALSE())),"please select a BUG ID")</f>
        <v>please select a BUG ID</v>
      </c>
      <c r="C87" s="51" t="str">
        <f>IFERROR(VLOOKUP(A87,Internal_lists_bugs!$A$2:$G2002,7,FALSE()),"please select a BUG ID")</f>
        <v>please select a BUG ID</v>
      </c>
      <c r="D87" s="54"/>
      <c r="E87" s="53"/>
      <c r="F87" s="54"/>
      <c r="G87" s="53"/>
      <c r="H87" s="54"/>
      <c r="I87" s="53"/>
      <c r="J87" s="54"/>
      <c r="K87" s="92"/>
      <c r="L87" s="54"/>
      <c r="M87" s="92"/>
      <c r="N87" s="54"/>
      <c r="O87" s="92"/>
      <c r="P87" s="54"/>
      <c r="Q87" s="92"/>
      <c r="R87" s="54"/>
      <c r="S87" s="92"/>
      <c r="T87" s="117"/>
      <c r="U87" s="92"/>
      <c r="V87" s="54"/>
      <c r="W87" s="92"/>
      <c r="X87" s="54"/>
      <c r="Y87" s="92"/>
      <c r="Z87" s="54"/>
      <c r="AA87" s="92"/>
      <c r="AB87" s="54"/>
      <c r="AC87" s="92"/>
      <c r="AD87" s="54"/>
      <c r="AE87" s="92"/>
      <c r="AF87" s="54"/>
      <c r="AG87" s="92"/>
      <c r="AH87" s="54"/>
      <c r="AI87" s="92"/>
      <c r="AJ87" s="54"/>
      <c r="AK87" s="92"/>
      <c r="AL87" s="54"/>
      <c r="AM87" s="92"/>
      <c r="AN87" s="123"/>
      <c r="AO87" s="54"/>
      <c r="AP87" s="123"/>
      <c r="AQ87" s="54"/>
      <c r="AR87" s="154"/>
      <c r="AS87" s="1"/>
      <c r="AT87" s="1"/>
      <c r="AU87" s="9"/>
    </row>
    <row r="88">
      <c r="A88" s="54"/>
      <c r="B88" s="71" t="str">
        <f>IFERROR(HYPERLINK(VLOOKUP(A88,Internal_lists_bugs!$A$2:$C$73,3,FALSE()), VLOOKUP(A88,Internal_lists_bugs!$A$2:$C$73,3,FALSE())&amp;Char(10) &amp; Char(10) &amp; VLOOKUP(A88,Internal_lists_bugs!$A$2:$Z$73,26,FALSE())),"please select a BUG ID")</f>
        <v>please select a BUG ID</v>
      </c>
      <c r="C88" s="51" t="str">
        <f>IFERROR(VLOOKUP(A88,Internal_lists_bugs!$A$2:$G2002,7,FALSE()),"please select a BUG ID")</f>
        <v>please select a BUG ID</v>
      </c>
      <c r="D88" s="54"/>
      <c r="E88" s="53"/>
      <c r="F88" s="54"/>
      <c r="G88" s="53"/>
      <c r="H88" s="54"/>
      <c r="I88" s="53"/>
      <c r="J88" s="54"/>
      <c r="K88" s="92"/>
      <c r="L88" s="54"/>
      <c r="M88" s="92"/>
      <c r="N88" s="54"/>
      <c r="O88" s="92"/>
      <c r="P88" s="54"/>
      <c r="Q88" s="92"/>
      <c r="R88" s="54"/>
      <c r="S88" s="92"/>
      <c r="T88" s="117"/>
      <c r="U88" s="92"/>
      <c r="V88" s="54"/>
      <c r="W88" s="92"/>
      <c r="X88" s="54"/>
      <c r="Y88" s="92"/>
      <c r="Z88" s="54"/>
      <c r="AA88" s="92"/>
      <c r="AB88" s="54"/>
      <c r="AC88" s="92"/>
      <c r="AD88" s="54"/>
      <c r="AE88" s="92"/>
      <c r="AF88" s="54"/>
      <c r="AG88" s="92"/>
      <c r="AH88" s="54"/>
      <c r="AI88" s="92"/>
      <c r="AJ88" s="54"/>
      <c r="AK88" s="92"/>
      <c r="AL88" s="54"/>
      <c r="AM88" s="92"/>
      <c r="AN88" s="123"/>
      <c r="AO88" s="54"/>
      <c r="AP88" s="123"/>
      <c r="AQ88" s="54"/>
      <c r="AR88" s="154"/>
      <c r="AS88" s="1"/>
      <c r="AT88" s="1"/>
      <c r="AU88" s="9"/>
    </row>
    <row r="89">
      <c r="A89" s="54"/>
      <c r="B89" s="71" t="str">
        <f>IFERROR(HYPERLINK(VLOOKUP(A89,Internal_lists_bugs!$A$2:$C$73,3,FALSE()), VLOOKUP(A89,Internal_lists_bugs!$A$2:$C$73,3,FALSE())&amp;Char(10) &amp; Char(10) &amp; VLOOKUP(A89,Internal_lists_bugs!$A$2:$Z$73,26,FALSE())),"please select a BUG ID")</f>
        <v>please select a BUG ID</v>
      </c>
      <c r="C89" s="51" t="str">
        <f>IFERROR(VLOOKUP(A89,Internal_lists_bugs!$A$2:$G2002,7,FALSE()),"please select a BUG ID")</f>
        <v>please select a BUG ID</v>
      </c>
      <c r="D89" s="54"/>
      <c r="E89" s="53"/>
      <c r="F89" s="54"/>
      <c r="G89" s="53"/>
      <c r="H89" s="54"/>
      <c r="I89" s="53"/>
      <c r="J89" s="54"/>
      <c r="K89" s="92"/>
      <c r="L89" s="54"/>
      <c r="M89" s="92"/>
      <c r="N89" s="54"/>
      <c r="O89" s="92"/>
      <c r="P89" s="54"/>
      <c r="Q89" s="92"/>
      <c r="R89" s="54"/>
      <c r="S89" s="92"/>
      <c r="T89" s="117"/>
      <c r="U89" s="92"/>
      <c r="V89" s="54"/>
      <c r="W89" s="92"/>
      <c r="X89" s="54"/>
      <c r="Y89" s="92"/>
      <c r="Z89" s="54"/>
      <c r="AA89" s="92"/>
      <c r="AB89" s="54"/>
      <c r="AC89" s="92"/>
      <c r="AD89" s="54"/>
      <c r="AE89" s="92"/>
      <c r="AF89" s="54"/>
      <c r="AG89" s="92"/>
      <c r="AH89" s="54"/>
      <c r="AI89" s="92"/>
      <c r="AJ89" s="54"/>
      <c r="AK89" s="92"/>
      <c r="AL89" s="54"/>
      <c r="AM89" s="92"/>
      <c r="AN89" s="123"/>
      <c r="AO89" s="54"/>
      <c r="AP89" s="123"/>
      <c r="AQ89" s="54"/>
      <c r="AR89" s="154"/>
      <c r="AS89" s="1"/>
      <c r="AT89" s="1"/>
      <c r="AU89" s="9"/>
    </row>
    <row r="90">
      <c r="A90" s="54"/>
      <c r="B90" s="71" t="str">
        <f>IFERROR(HYPERLINK(VLOOKUP(A90,Internal_lists_bugs!$A$2:$C$73,3,FALSE()), VLOOKUP(A90,Internal_lists_bugs!$A$2:$C$73,3,FALSE())&amp;Char(10) &amp; Char(10) &amp; VLOOKUP(A90,Internal_lists_bugs!$A$2:$Z$73,26,FALSE())),"please select a BUG ID")</f>
        <v>please select a BUG ID</v>
      </c>
      <c r="C90" s="51" t="str">
        <f>IFERROR(VLOOKUP(A90,Internal_lists_bugs!$A$2:$G2002,7,FALSE()),"please select a BUG ID")</f>
        <v>please select a BUG ID</v>
      </c>
      <c r="D90" s="54"/>
      <c r="E90" s="53"/>
      <c r="F90" s="54"/>
      <c r="G90" s="53"/>
      <c r="H90" s="54"/>
      <c r="I90" s="53"/>
      <c r="J90" s="54"/>
      <c r="K90" s="92"/>
      <c r="L90" s="54"/>
      <c r="M90" s="92"/>
      <c r="N90" s="54"/>
      <c r="O90" s="92"/>
      <c r="P90" s="54"/>
      <c r="Q90" s="92"/>
      <c r="R90" s="54"/>
      <c r="S90" s="92"/>
      <c r="T90" s="117"/>
      <c r="U90" s="92"/>
      <c r="V90" s="54"/>
      <c r="W90" s="92"/>
      <c r="X90" s="54"/>
      <c r="Y90" s="92"/>
      <c r="Z90" s="54"/>
      <c r="AA90" s="92"/>
      <c r="AB90" s="54"/>
      <c r="AC90" s="92"/>
      <c r="AD90" s="54"/>
      <c r="AE90" s="92"/>
      <c r="AF90" s="54"/>
      <c r="AG90" s="92"/>
      <c r="AH90" s="54"/>
      <c r="AI90" s="92"/>
      <c r="AJ90" s="54"/>
      <c r="AK90" s="92"/>
      <c r="AL90" s="54"/>
      <c r="AM90" s="92"/>
      <c r="AN90" s="123"/>
      <c r="AO90" s="54"/>
      <c r="AP90" s="123"/>
      <c r="AQ90" s="54"/>
      <c r="AR90" s="154"/>
      <c r="AS90" s="1"/>
      <c r="AT90" s="1"/>
      <c r="AU90" s="9"/>
    </row>
    <row r="91">
      <c r="A91" s="54"/>
      <c r="B91" s="71" t="str">
        <f>IFERROR(HYPERLINK(VLOOKUP(A91,Internal_lists_bugs!$A$2:$C$73,3,FALSE()), VLOOKUP(A91,Internal_lists_bugs!$A$2:$C$73,3,FALSE())&amp;Char(10) &amp; Char(10) &amp; VLOOKUP(A91,Internal_lists_bugs!$A$2:$Z$73,26,FALSE())),"please select a BUG ID")</f>
        <v>please select a BUG ID</v>
      </c>
      <c r="C91" s="51" t="str">
        <f>IFERROR(VLOOKUP(A91,Internal_lists_bugs!$A$2:$G2002,7,FALSE()),"please select a BUG ID")</f>
        <v>please select a BUG ID</v>
      </c>
      <c r="D91" s="54"/>
      <c r="E91" s="53"/>
      <c r="F91" s="54"/>
      <c r="G91" s="53"/>
      <c r="H91" s="54"/>
      <c r="I91" s="53"/>
      <c r="J91" s="54"/>
      <c r="K91" s="92"/>
      <c r="L91" s="54"/>
      <c r="M91" s="92"/>
      <c r="N91" s="54"/>
      <c r="O91" s="92"/>
      <c r="P91" s="54"/>
      <c r="Q91" s="92"/>
      <c r="R91" s="54"/>
      <c r="S91" s="92"/>
      <c r="T91" s="117"/>
      <c r="U91" s="92"/>
      <c r="V91" s="54"/>
      <c r="W91" s="92"/>
      <c r="X91" s="54"/>
      <c r="Y91" s="92"/>
      <c r="Z91" s="54"/>
      <c r="AA91" s="92"/>
      <c r="AB91" s="54"/>
      <c r="AC91" s="92"/>
      <c r="AD91" s="54"/>
      <c r="AE91" s="92"/>
      <c r="AF91" s="54"/>
      <c r="AG91" s="92"/>
      <c r="AH91" s="54"/>
      <c r="AI91" s="92"/>
      <c r="AJ91" s="54"/>
      <c r="AK91" s="92"/>
      <c r="AL91" s="54"/>
      <c r="AM91" s="92"/>
      <c r="AN91" s="123"/>
      <c r="AO91" s="54"/>
      <c r="AP91" s="123"/>
      <c r="AQ91" s="54"/>
      <c r="AR91" s="154"/>
      <c r="AS91" s="1"/>
      <c r="AT91" s="1"/>
      <c r="AU91" s="9"/>
    </row>
    <row r="92">
      <c r="A92" s="54"/>
      <c r="B92" s="71" t="str">
        <f>IFERROR(HYPERLINK(VLOOKUP(A92,Internal_lists_bugs!$A$2:$C$73,3,FALSE()), VLOOKUP(A92,Internal_lists_bugs!$A$2:$C$73,3,FALSE())&amp;Char(10) &amp; Char(10) &amp; VLOOKUP(A92,Internal_lists_bugs!$A$2:$Z$73,26,FALSE())),"please select a BUG ID")</f>
        <v>please select a BUG ID</v>
      </c>
      <c r="C92" s="51" t="str">
        <f>IFERROR(VLOOKUP(A92,Internal_lists_bugs!$A$2:$G2002,7,FALSE()),"please select a BUG ID")</f>
        <v>please select a BUG ID</v>
      </c>
      <c r="D92" s="54"/>
      <c r="E92" s="53"/>
      <c r="F92" s="54"/>
      <c r="G92" s="53"/>
      <c r="H92" s="54"/>
      <c r="I92" s="53"/>
      <c r="J92" s="54"/>
      <c r="K92" s="92"/>
      <c r="L92" s="54"/>
      <c r="M92" s="92"/>
      <c r="N92" s="54"/>
      <c r="O92" s="92"/>
      <c r="P92" s="54"/>
      <c r="Q92" s="92"/>
      <c r="R92" s="54"/>
      <c r="S92" s="92"/>
      <c r="T92" s="117"/>
      <c r="U92" s="92"/>
      <c r="V92" s="54"/>
      <c r="W92" s="92"/>
      <c r="X92" s="54"/>
      <c r="Y92" s="92"/>
      <c r="Z92" s="54"/>
      <c r="AA92" s="92"/>
      <c r="AB92" s="54"/>
      <c r="AC92" s="92"/>
      <c r="AD92" s="54"/>
      <c r="AE92" s="92"/>
      <c r="AF92" s="54"/>
      <c r="AG92" s="92"/>
      <c r="AH92" s="54"/>
      <c r="AI92" s="92"/>
      <c r="AJ92" s="54"/>
      <c r="AK92" s="92"/>
      <c r="AL92" s="54"/>
      <c r="AM92" s="92"/>
      <c r="AN92" s="123"/>
      <c r="AO92" s="54"/>
      <c r="AP92" s="123"/>
      <c r="AQ92" s="54"/>
      <c r="AR92" s="154"/>
      <c r="AS92" s="1"/>
      <c r="AT92" s="1"/>
      <c r="AU92" s="9"/>
    </row>
    <row r="93">
      <c r="A93" s="54"/>
      <c r="B93" s="71" t="str">
        <f>IFERROR(HYPERLINK(VLOOKUP(A93,Internal_lists_bugs!$A$2:$C$73,3,FALSE()), VLOOKUP(A93,Internal_lists_bugs!$A$2:$C$73,3,FALSE())&amp;Char(10) &amp; Char(10) &amp; VLOOKUP(A93,Internal_lists_bugs!$A$2:$Z$73,26,FALSE())),"please select a BUG ID")</f>
        <v>please select a BUG ID</v>
      </c>
      <c r="C93" s="51" t="str">
        <f>IFERROR(VLOOKUP(A93,Internal_lists_bugs!$A$2:$G2002,7,FALSE()),"please select a BUG ID")</f>
        <v>please select a BUG ID</v>
      </c>
      <c r="D93" s="54"/>
      <c r="E93" s="53"/>
      <c r="F93" s="54"/>
      <c r="G93" s="53"/>
      <c r="H93" s="54"/>
      <c r="I93" s="53"/>
      <c r="J93" s="54"/>
      <c r="K93" s="92"/>
      <c r="L93" s="54"/>
      <c r="M93" s="92"/>
      <c r="N93" s="54"/>
      <c r="O93" s="92"/>
      <c r="P93" s="54"/>
      <c r="Q93" s="92"/>
      <c r="R93" s="54"/>
      <c r="S93" s="92"/>
      <c r="T93" s="117"/>
      <c r="U93" s="92"/>
      <c r="V93" s="54"/>
      <c r="W93" s="92"/>
      <c r="X93" s="54"/>
      <c r="Y93" s="92"/>
      <c r="Z93" s="54"/>
      <c r="AA93" s="92"/>
      <c r="AB93" s="54"/>
      <c r="AC93" s="92"/>
      <c r="AD93" s="54"/>
      <c r="AE93" s="92"/>
      <c r="AF93" s="54"/>
      <c r="AG93" s="92"/>
      <c r="AH93" s="54"/>
      <c r="AI93" s="92"/>
      <c r="AJ93" s="54"/>
      <c r="AK93" s="92"/>
      <c r="AL93" s="54"/>
      <c r="AM93" s="92"/>
      <c r="AN93" s="123"/>
      <c r="AO93" s="54"/>
      <c r="AP93" s="123"/>
      <c r="AQ93" s="54"/>
      <c r="AR93" s="154"/>
      <c r="AS93" s="1"/>
      <c r="AT93" s="1"/>
      <c r="AU93" s="9"/>
    </row>
    <row r="94">
      <c r="A94" s="54"/>
      <c r="B94" s="71" t="str">
        <f>IFERROR(HYPERLINK(VLOOKUP(A94,Internal_lists_bugs!$A$2:$C$73,3,FALSE()), VLOOKUP(A94,Internal_lists_bugs!$A$2:$C$73,3,FALSE())&amp;Char(10) &amp; Char(10) &amp; VLOOKUP(A94,Internal_lists_bugs!$A$2:$Z$73,26,FALSE())),"please select a BUG ID")</f>
        <v>please select a BUG ID</v>
      </c>
      <c r="C94" s="51" t="str">
        <f>IFERROR(VLOOKUP(A94,Internal_lists_bugs!$A$2:$G2002,7,FALSE()),"please select a BUG ID")</f>
        <v>please select a BUG ID</v>
      </c>
      <c r="D94" s="54"/>
      <c r="E94" s="53"/>
      <c r="F94" s="54"/>
      <c r="G94" s="53"/>
      <c r="H94" s="54"/>
      <c r="I94" s="53"/>
      <c r="J94" s="54"/>
      <c r="K94" s="92"/>
      <c r="L94" s="54"/>
      <c r="M94" s="92"/>
      <c r="N94" s="54"/>
      <c r="O94" s="92"/>
      <c r="P94" s="54"/>
      <c r="Q94" s="92"/>
      <c r="R94" s="54"/>
      <c r="S94" s="92"/>
      <c r="T94" s="117"/>
      <c r="U94" s="92"/>
      <c r="V94" s="54"/>
      <c r="W94" s="92"/>
      <c r="X94" s="54"/>
      <c r="Y94" s="92"/>
      <c r="Z94" s="54"/>
      <c r="AA94" s="92"/>
      <c r="AB94" s="54"/>
      <c r="AC94" s="92"/>
      <c r="AD94" s="54"/>
      <c r="AE94" s="92"/>
      <c r="AF94" s="54"/>
      <c r="AG94" s="92"/>
      <c r="AH94" s="54"/>
      <c r="AI94" s="92"/>
      <c r="AJ94" s="54"/>
      <c r="AK94" s="92"/>
      <c r="AL94" s="54"/>
      <c r="AM94" s="92"/>
      <c r="AN94" s="123"/>
      <c r="AO94" s="54"/>
      <c r="AP94" s="123"/>
      <c r="AQ94" s="54"/>
      <c r="AR94" s="154"/>
      <c r="AS94" s="1"/>
      <c r="AT94" s="1"/>
      <c r="AU94" s="9"/>
    </row>
    <row r="95">
      <c r="A95" s="54"/>
      <c r="B95" s="71" t="str">
        <f>IFERROR(HYPERLINK(VLOOKUP(A95,Internal_lists_bugs!$A$2:$C$73,3,FALSE()), VLOOKUP(A95,Internal_lists_bugs!$A$2:$C$73,3,FALSE())&amp;Char(10) &amp; Char(10) &amp; VLOOKUP(A95,Internal_lists_bugs!$A$2:$Z$73,26,FALSE())),"please select a BUG ID")</f>
        <v>please select a BUG ID</v>
      </c>
      <c r="C95" s="51" t="str">
        <f>IFERROR(VLOOKUP(A95,Internal_lists_bugs!$A$2:$G2002,7,FALSE()),"please select a BUG ID")</f>
        <v>please select a BUG ID</v>
      </c>
      <c r="D95" s="54"/>
      <c r="E95" s="53"/>
      <c r="F95" s="54"/>
      <c r="G95" s="53"/>
      <c r="H95" s="54"/>
      <c r="I95" s="53"/>
      <c r="J95" s="54"/>
      <c r="K95" s="92"/>
      <c r="L95" s="54"/>
      <c r="M95" s="92"/>
      <c r="N95" s="54"/>
      <c r="O95" s="92"/>
      <c r="P95" s="54"/>
      <c r="Q95" s="92"/>
      <c r="R95" s="54"/>
      <c r="S95" s="92"/>
      <c r="T95" s="117"/>
      <c r="U95" s="92"/>
      <c r="V95" s="54"/>
      <c r="W95" s="92"/>
      <c r="X95" s="54"/>
      <c r="Y95" s="92"/>
      <c r="Z95" s="54"/>
      <c r="AA95" s="92"/>
      <c r="AB95" s="54"/>
      <c r="AC95" s="92"/>
      <c r="AD95" s="54"/>
      <c r="AE95" s="92"/>
      <c r="AF95" s="54"/>
      <c r="AG95" s="92"/>
      <c r="AH95" s="54"/>
      <c r="AI95" s="92"/>
      <c r="AJ95" s="54"/>
      <c r="AK95" s="92"/>
      <c r="AL95" s="54"/>
      <c r="AM95" s="92"/>
      <c r="AO95" s="54"/>
      <c r="AP95" s="123"/>
      <c r="AQ95" s="54"/>
      <c r="AR95" s="154"/>
      <c r="AS95" s="1"/>
      <c r="AT95" s="1"/>
      <c r="AU95" s="9"/>
    </row>
    <row r="96">
      <c r="A96" s="54"/>
      <c r="B96" s="71" t="str">
        <f>IFERROR(HYPERLINK(VLOOKUP(A96,Internal_lists_bugs!$A$2:$C$73,3,FALSE()), VLOOKUP(A96,Internal_lists_bugs!$A$2:$C$73,3,FALSE())&amp;Char(10) &amp; Char(10) &amp; VLOOKUP(A96,Internal_lists_bugs!$A$2:$Z$73,26,FALSE())),"please select a BUG ID")</f>
        <v>please select a BUG ID</v>
      </c>
      <c r="C96" s="51" t="str">
        <f>IFERROR(VLOOKUP(A96,Internal_lists_bugs!$A$2:$G2002,7,FALSE()),"please select a BUG ID")</f>
        <v>please select a BUG ID</v>
      </c>
      <c r="D96" s="54"/>
      <c r="E96" s="53"/>
      <c r="F96" s="54"/>
      <c r="G96" s="53"/>
      <c r="H96" s="54"/>
      <c r="I96" s="53"/>
      <c r="J96" s="54"/>
      <c r="K96" s="92"/>
      <c r="L96" s="54"/>
      <c r="M96" s="92"/>
      <c r="N96" s="54"/>
      <c r="O96" s="92"/>
      <c r="P96" s="54"/>
      <c r="Q96" s="92"/>
      <c r="R96" s="54"/>
      <c r="S96" s="92"/>
      <c r="T96" s="117"/>
      <c r="U96" s="92"/>
      <c r="V96" s="54"/>
      <c r="W96" s="92"/>
      <c r="X96" s="54"/>
      <c r="Y96" s="92"/>
      <c r="Z96" s="54"/>
      <c r="AA96" s="92"/>
      <c r="AB96" s="54"/>
      <c r="AC96" s="92"/>
      <c r="AD96" s="54"/>
      <c r="AE96" s="92"/>
      <c r="AF96" s="54"/>
      <c r="AG96" s="92"/>
      <c r="AH96" s="54"/>
      <c r="AI96" s="92"/>
      <c r="AJ96" s="54"/>
      <c r="AK96" s="92"/>
      <c r="AL96" s="54"/>
      <c r="AM96" s="92"/>
      <c r="AO96" s="54"/>
      <c r="AP96" s="123"/>
      <c r="AQ96" s="54"/>
      <c r="AR96" s="154"/>
      <c r="AS96" s="1"/>
      <c r="AT96" s="1"/>
      <c r="AU96" s="9"/>
    </row>
    <row r="97">
      <c r="A97" s="54"/>
      <c r="B97" s="71" t="str">
        <f>IFERROR(HYPERLINK(VLOOKUP(A97,Internal_lists_bugs!$A$2:$C$73,3,FALSE()), VLOOKUP(A97,Internal_lists_bugs!$A$2:$C$73,3,FALSE())&amp;Char(10) &amp; Char(10) &amp; VLOOKUP(A97,Internal_lists_bugs!$A$2:$Z$73,26,FALSE())),"please select a BUG ID")</f>
        <v>please select a BUG ID</v>
      </c>
      <c r="C97" s="51" t="str">
        <f>IFERROR(VLOOKUP(A97,Internal_lists_bugs!$A$2:$G2002,7,FALSE()),"please select a BUG ID")</f>
        <v>please select a BUG ID</v>
      </c>
      <c r="D97" s="54"/>
      <c r="E97" s="53"/>
      <c r="F97" s="54"/>
      <c r="G97" s="53"/>
      <c r="H97" s="54"/>
      <c r="I97" s="53"/>
      <c r="J97" s="54"/>
      <c r="K97" s="92"/>
      <c r="L97" s="54"/>
      <c r="M97" s="92"/>
      <c r="N97" s="54"/>
      <c r="O97" s="92"/>
      <c r="P97" s="54"/>
      <c r="Q97" s="92"/>
      <c r="R97" s="54"/>
      <c r="S97" s="92"/>
      <c r="T97" s="117"/>
      <c r="U97" s="92"/>
      <c r="V97" s="54"/>
      <c r="W97" s="92"/>
      <c r="X97" s="54"/>
      <c r="Y97" s="92"/>
      <c r="Z97" s="54"/>
      <c r="AA97" s="92"/>
      <c r="AB97" s="54"/>
      <c r="AC97" s="92"/>
      <c r="AD97" s="54"/>
      <c r="AE97" s="92"/>
      <c r="AF97" s="54"/>
      <c r="AG97" s="92"/>
      <c r="AH97" s="54"/>
      <c r="AI97" s="92"/>
      <c r="AJ97" s="54"/>
      <c r="AK97" s="92"/>
      <c r="AL97" s="54"/>
      <c r="AM97" s="92"/>
      <c r="AO97" s="54"/>
      <c r="AP97" s="123"/>
      <c r="AQ97" s="54"/>
      <c r="AR97" s="154"/>
      <c r="AS97" s="1"/>
      <c r="AT97" s="1"/>
      <c r="AU97" s="9"/>
    </row>
    <row r="98">
      <c r="A98" s="54"/>
      <c r="B98" s="71" t="str">
        <f>IFERROR(HYPERLINK(VLOOKUP(A98,Internal_lists_bugs!$A$2:$C$73,3,FALSE()), VLOOKUP(A98,Internal_lists_bugs!$A$2:$C$73,3,FALSE())&amp;Char(10) &amp; Char(10) &amp; VLOOKUP(A98,Internal_lists_bugs!$A$2:$Z$73,26,FALSE())),"please select a BUG ID")</f>
        <v>please select a BUG ID</v>
      </c>
      <c r="C98" s="51" t="str">
        <f>IFERROR(VLOOKUP(A98,Internal_lists_bugs!$A$2:$G2002,7,FALSE()),"please select a BUG ID")</f>
        <v>please select a BUG ID</v>
      </c>
      <c r="D98" s="54"/>
      <c r="E98" s="53"/>
      <c r="F98" s="54"/>
      <c r="G98" s="53"/>
      <c r="H98" s="54"/>
      <c r="I98" s="53"/>
      <c r="J98" s="54"/>
      <c r="K98" s="92"/>
      <c r="L98" s="54"/>
      <c r="M98" s="92"/>
      <c r="N98" s="54"/>
      <c r="O98" s="92"/>
      <c r="P98" s="54"/>
      <c r="Q98" s="92"/>
      <c r="R98" s="54"/>
      <c r="S98" s="92"/>
      <c r="T98" s="117"/>
      <c r="U98" s="92"/>
      <c r="V98" s="54"/>
      <c r="W98" s="92"/>
      <c r="X98" s="54"/>
      <c r="Y98" s="92"/>
      <c r="Z98" s="54"/>
      <c r="AA98" s="92"/>
      <c r="AB98" s="54"/>
      <c r="AC98" s="92"/>
      <c r="AD98" s="54"/>
      <c r="AE98" s="92"/>
      <c r="AF98" s="54"/>
      <c r="AG98" s="92"/>
      <c r="AH98" s="54"/>
      <c r="AI98" s="92"/>
      <c r="AJ98" s="54"/>
      <c r="AK98" s="92"/>
      <c r="AL98" s="54"/>
      <c r="AM98" s="92"/>
      <c r="AO98" s="54"/>
      <c r="AP98" s="123"/>
      <c r="AQ98" s="54"/>
      <c r="AR98" s="154"/>
      <c r="AS98" s="1"/>
      <c r="AT98" s="1"/>
      <c r="AU98" s="9"/>
    </row>
    <row r="99">
      <c r="A99" s="54"/>
      <c r="B99" s="71" t="str">
        <f>IFERROR(HYPERLINK(VLOOKUP(A99,Internal_lists_bugs!$A$2:$C$73,3,FALSE()), VLOOKUP(A99,Internal_lists_bugs!$A$2:$C$73,3,FALSE())&amp;Char(10) &amp; Char(10) &amp; VLOOKUP(A99,Internal_lists_bugs!$A$2:$Z$73,26,FALSE())),"please select a BUG ID")</f>
        <v>please select a BUG ID</v>
      </c>
      <c r="C99" s="51" t="str">
        <f>IFERROR(VLOOKUP(A99,Internal_lists_bugs!$A$2:$G2002,7,FALSE()),"please select a BUG ID")</f>
        <v>please select a BUG ID</v>
      </c>
      <c r="D99" s="54"/>
      <c r="E99" s="53"/>
      <c r="F99" s="54"/>
      <c r="G99" s="53"/>
      <c r="H99" s="54"/>
      <c r="I99" s="53"/>
      <c r="J99" s="54"/>
      <c r="K99" s="92"/>
      <c r="L99" s="54"/>
      <c r="M99" s="92"/>
      <c r="N99" s="54"/>
      <c r="O99" s="92"/>
      <c r="P99" s="54"/>
      <c r="Q99" s="92"/>
      <c r="R99" s="54"/>
      <c r="S99" s="92"/>
      <c r="T99" s="117"/>
      <c r="U99" s="92"/>
      <c r="V99" s="54"/>
      <c r="W99" s="92"/>
      <c r="X99" s="54"/>
      <c r="Y99" s="92"/>
      <c r="Z99" s="54"/>
      <c r="AA99" s="92"/>
      <c r="AB99" s="54"/>
      <c r="AC99" s="92"/>
      <c r="AD99" s="54"/>
      <c r="AE99" s="92"/>
      <c r="AF99" s="54"/>
      <c r="AG99" s="92"/>
      <c r="AH99" s="54"/>
      <c r="AI99" s="92"/>
      <c r="AJ99" s="54"/>
      <c r="AK99" s="92"/>
      <c r="AL99" s="54"/>
      <c r="AM99" s="92"/>
      <c r="AO99" s="54"/>
      <c r="AP99" s="123"/>
      <c r="AQ99" s="54"/>
      <c r="AR99" s="154"/>
      <c r="AS99" s="1"/>
      <c r="AT99" s="1"/>
      <c r="AU99" s="9"/>
    </row>
    <row r="100">
      <c r="A100" s="54"/>
      <c r="B100" s="71" t="str">
        <f>IFERROR(HYPERLINK(VLOOKUP(A100,Internal_lists_bugs!$A$2:$C$73,3,FALSE()), VLOOKUP(A100,Internal_lists_bugs!$A$2:$C$73,3,FALSE())&amp;Char(10) &amp; Char(10) &amp; VLOOKUP(A100,Internal_lists_bugs!$A$2:$Z$73,26,FALSE())),"please select a BUG ID")</f>
        <v>please select a BUG ID</v>
      </c>
      <c r="C100" s="51" t="str">
        <f>IFERROR(VLOOKUP(A100,Internal_lists_bugs!$A$2:$G2002,7,FALSE()),"please select a BUG ID")</f>
        <v>please select a BUG ID</v>
      </c>
      <c r="D100" s="54"/>
      <c r="E100" s="53"/>
      <c r="F100" s="54"/>
      <c r="G100" s="53"/>
      <c r="H100" s="54"/>
      <c r="I100" s="53"/>
      <c r="J100" s="54"/>
      <c r="K100" s="92"/>
      <c r="L100" s="54"/>
      <c r="M100" s="92"/>
      <c r="N100" s="54"/>
      <c r="O100" s="92"/>
      <c r="P100" s="54"/>
      <c r="Q100" s="92"/>
      <c r="R100" s="54"/>
      <c r="S100" s="92"/>
      <c r="T100" s="117"/>
      <c r="U100" s="92"/>
      <c r="V100" s="54"/>
      <c r="W100" s="92"/>
      <c r="X100" s="54"/>
      <c r="Y100" s="92"/>
      <c r="Z100" s="54"/>
      <c r="AA100" s="92"/>
      <c r="AB100" s="54"/>
      <c r="AC100" s="92"/>
      <c r="AD100" s="54"/>
      <c r="AE100" s="92"/>
      <c r="AF100" s="54"/>
      <c r="AG100" s="92"/>
      <c r="AH100" s="54"/>
      <c r="AI100" s="92"/>
      <c r="AJ100" s="54"/>
      <c r="AK100" s="92"/>
      <c r="AL100" s="54"/>
      <c r="AM100" s="92"/>
      <c r="AO100" s="54"/>
      <c r="AP100" s="123"/>
      <c r="AQ100" s="54"/>
      <c r="AR100" s="154"/>
      <c r="AS100" s="1"/>
      <c r="AT100" s="1"/>
      <c r="AU100" s="9"/>
    </row>
    <row r="101">
      <c r="A101" s="54"/>
      <c r="B101" s="71" t="str">
        <f>IFERROR(HYPERLINK(VLOOKUP(A101,Internal_lists_bugs!$A$2:$C$73,3,FALSE()), VLOOKUP(A101,Internal_lists_bugs!$A$2:$C$73,3,FALSE())&amp;Char(10) &amp; Char(10) &amp; VLOOKUP(A101,Internal_lists_bugs!$A$2:$Z$73,26,FALSE())),"please select a BUG ID")</f>
        <v>please select a BUG ID</v>
      </c>
      <c r="C101" s="51" t="str">
        <f>IFERROR(VLOOKUP(A101,Internal_lists_bugs!$A$2:$G2002,7,FALSE()),"please select a BUG ID")</f>
        <v>please select a BUG ID</v>
      </c>
      <c r="D101" s="54"/>
      <c r="E101" s="53"/>
      <c r="F101" s="54"/>
      <c r="G101" s="53"/>
      <c r="H101" s="54"/>
      <c r="I101" s="53"/>
      <c r="J101" s="54"/>
      <c r="K101" s="92"/>
      <c r="L101" s="54"/>
      <c r="M101" s="92"/>
      <c r="N101" s="54"/>
      <c r="O101" s="92"/>
      <c r="P101" s="54"/>
      <c r="Q101" s="92"/>
      <c r="R101" s="54"/>
      <c r="S101" s="92"/>
      <c r="T101" s="117"/>
      <c r="U101" s="92"/>
      <c r="V101" s="54"/>
      <c r="W101" s="92"/>
      <c r="X101" s="54"/>
      <c r="Y101" s="92"/>
      <c r="Z101" s="54"/>
      <c r="AA101" s="92"/>
      <c r="AB101" s="54"/>
      <c r="AC101" s="92"/>
      <c r="AD101" s="54"/>
      <c r="AE101" s="92"/>
      <c r="AF101" s="54"/>
      <c r="AG101" s="92"/>
      <c r="AH101" s="54"/>
      <c r="AI101" s="92"/>
      <c r="AJ101" s="54"/>
      <c r="AK101" s="92"/>
      <c r="AL101" s="54"/>
      <c r="AM101" s="92"/>
      <c r="AO101" s="54"/>
      <c r="AP101" s="123"/>
      <c r="AQ101" s="54"/>
      <c r="AR101" s="154"/>
      <c r="AS101" s="1"/>
      <c r="AT101" s="1"/>
      <c r="AU101" s="9"/>
    </row>
    <row r="102">
      <c r="A102" s="54"/>
      <c r="B102" s="71" t="str">
        <f>IFERROR(HYPERLINK(VLOOKUP(A102,Internal_lists_bugs!$A$2:$C$73,3,FALSE()), VLOOKUP(A102,Internal_lists_bugs!$A$2:$C$73,3,FALSE())&amp;Char(10) &amp; Char(10) &amp; VLOOKUP(A102,Internal_lists_bugs!$A$2:$Z$73,26,FALSE())),"please select a BUG ID")</f>
        <v>please select a BUG ID</v>
      </c>
      <c r="C102" s="51" t="str">
        <f>IFERROR(VLOOKUP(A102,Internal_lists_bugs!$A$2:$G2002,7,FALSE()),"please select a BUG ID")</f>
        <v>please select a BUG ID</v>
      </c>
      <c r="D102" s="54"/>
      <c r="E102" s="53"/>
      <c r="F102" s="54"/>
      <c r="G102" s="53"/>
      <c r="H102" s="54"/>
      <c r="I102" s="53"/>
      <c r="J102" s="54"/>
      <c r="K102" s="92"/>
      <c r="L102" s="54"/>
      <c r="M102" s="92"/>
      <c r="N102" s="54"/>
      <c r="O102" s="92"/>
      <c r="P102" s="54"/>
      <c r="Q102" s="92"/>
      <c r="R102" s="54"/>
      <c r="S102" s="92"/>
      <c r="T102" s="117"/>
      <c r="U102" s="92"/>
      <c r="V102" s="54"/>
      <c r="W102" s="92"/>
      <c r="X102" s="54"/>
      <c r="Y102" s="92"/>
      <c r="Z102" s="54"/>
      <c r="AA102" s="92"/>
      <c r="AB102" s="54"/>
      <c r="AC102" s="92"/>
      <c r="AD102" s="54"/>
      <c r="AE102" s="92"/>
      <c r="AF102" s="54"/>
      <c r="AG102" s="92"/>
      <c r="AH102" s="54"/>
      <c r="AI102" s="92"/>
      <c r="AJ102" s="54"/>
      <c r="AK102" s="92"/>
      <c r="AL102" s="54"/>
      <c r="AM102" s="92"/>
      <c r="AO102" s="54"/>
      <c r="AP102" s="123"/>
      <c r="AQ102" s="54"/>
      <c r="AR102" s="154"/>
      <c r="AS102" s="1"/>
      <c r="AT102" s="1"/>
      <c r="AU102" s="9"/>
    </row>
    <row r="103">
      <c r="A103" s="54"/>
      <c r="B103" s="71" t="str">
        <f>IFERROR(HYPERLINK(VLOOKUP(A103,Internal_lists_bugs!$A$2:$C$73,3,FALSE()), VLOOKUP(A103,Internal_lists_bugs!$A$2:$C$73,3,FALSE())&amp;Char(10) &amp; Char(10) &amp; VLOOKUP(A103,Internal_lists_bugs!$A$2:$Z$73,26,FALSE())),"please select a BUG ID")</f>
        <v>please select a BUG ID</v>
      </c>
      <c r="C103" s="51" t="str">
        <f>IFERROR(VLOOKUP(A103,Internal_lists_bugs!$A$2:$G2002,7,FALSE()),"please select a BUG ID")</f>
        <v>please select a BUG ID</v>
      </c>
      <c r="D103" s="54"/>
      <c r="E103" s="53"/>
      <c r="F103" s="54"/>
      <c r="G103" s="53"/>
      <c r="H103" s="54"/>
      <c r="I103" s="53"/>
      <c r="J103" s="54"/>
      <c r="K103" s="92"/>
      <c r="L103" s="54"/>
      <c r="M103" s="92"/>
      <c r="N103" s="54"/>
      <c r="O103" s="92"/>
      <c r="P103" s="54"/>
      <c r="Q103" s="92"/>
      <c r="R103" s="54"/>
      <c r="S103" s="92"/>
      <c r="T103" s="117"/>
      <c r="U103" s="92"/>
      <c r="V103" s="54"/>
      <c r="W103" s="92"/>
      <c r="X103" s="54"/>
      <c r="Y103" s="92"/>
      <c r="Z103" s="54"/>
      <c r="AA103" s="92"/>
      <c r="AB103" s="54"/>
      <c r="AC103" s="92"/>
      <c r="AD103" s="54"/>
      <c r="AE103" s="92"/>
      <c r="AF103" s="54"/>
      <c r="AG103" s="92"/>
      <c r="AH103" s="54"/>
      <c r="AI103" s="92"/>
      <c r="AJ103" s="54"/>
      <c r="AK103" s="92"/>
      <c r="AL103" s="54"/>
      <c r="AM103" s="92"/>
      <c r="AO103" s="54"/>
      <c r="AP103" s="123"/>
      <c r="AQ103" s="54"/>
      <c r="AR103" s="154"/>
      <c r="AS103" s="1"/>
      <c r="AT103" s="1"/>
      <c r="AU103" s="9"/>
    </row>
    <row r="104">
      <c r="A104" s="54"/>
      <c r="B104" s="71" t="str">
        <f>IFERROR(HYPERLINK(VLOOKUP(A104,Internal_lists_bugs!$A$2:$C$73,3,FALSE()), VLOOKUP(A104,Internal_lists_bugs!$A$2:$C$73,3,FALSE())&amp;Char(10) &amp; Char(10) &amp; VLOOKUP(A104,Internal_lists_bugs!$A$2:$Z$73,26,FALSE())),"please select a BUG ID")</f>
        <v>please select a BUG ID</v>
      </c>
      <c r="C104" s="51" t="str">
        <f>IFERROR(VLOOKUP(A104,Internal_lists_bugs!$A$2:$G2002,7,FALSE()),"please select a BUG ID")</f>
        <v>please select a BUG ID</v>
      </c>
      <c r="D104" s="54"/>
      <c r="E104" s="53"/>
      <c r="F104" s="54"/>
      <c r="G104" s="53"/>
      <c r="H104" s="54"/>
      <c r="I104" s="53"/>
      <c r="J104" s="54"/>
      <c r="K104" s="92"/>
      <c r="L104" s="54"/>
      <c r="M104" s="92"/>
      <c r="N104" s="54"/>
      <c r="O104" s="92"/>
      <c r="P104" s="54"/>
      <c r="Q104" s="92"/>
      <c r="R104" s="54"/>
      <c r="S104" s="92"/>
      <c r="T104" s="117"/>
      <c r="U104" s="92"/>
      <c r="V104" s="54"/>
      <c r="W104" s="92"/>
      <c r="X104" s="54"/>
      <c r="Y104" s="92"/>
      <c r="Z104" s="54"/>
      <c r="AA104" s="92"/>
      <c r="AB104" s="54"/>
      <c r="AC104" s="92"/>
      <c r="AD104" s="54"/>
      <c r="AE104" s="92"/>
      <c r="AF104" s="54"/>
      <c r="AG104" s="92"/>
      <c r="AH104" s="54"/>
      <c r="AI104" s="92"/>
      <c r="AJ104" s="54"/>
      <c r="AK104" s="92"/>
      <c r="AL104" s="54"/>
      <c r="AM104" s="92"/>
      <c r="AO104" s="54"/>
      <c r="AP104" s="123"/>
      <c r="AQ104" s="54"/>
      <c r="AR104" s="154"/>
      <c r="AS104" s="1"/>
      <c r="AT104" s="1"/>
      <c r="AU104" s="9"/>
    </row>
    <row r="105">
      <c r="A105" s="54"/>
      <c r="B105" s="71" t="str">
        <f>IFERROR(HYPERLINK(VLOOKUP(A105,Internal_lists_bugs!$A$2:$C$73,3,FALSE()), VLOOKUP(A105,Internal_lists_bugs!$A$2:$C$73,3,FALSE())&amp;Char(10) &amp; Char(10) &amp; VLOOKUP(A105,Internal_lists_bugs!$A$2:$Z$73,26,FALSE())),"please select a BUG ID")</f>
        <v>please select a BUG ID</v>
      </c>
      <c r="C105" s="51" t="str">
        <f>IFERROR(VLOOKUP(A105,Internal_lists_bugs!$A$2:$G2002,7,FALSE()),"please select a BUG ID")</f>
        <v>please select a BUG ID</v>
      </c>
      <c r="D105" s="54"/>
      <c r="E105" s="53"/>
      <c r="F105" s="54"/>
      <c r="G105" s="53"/>
      <c r="H105" s="54"/>
      <c r="I105" s="53"/>
      <c r="J105" s="54"/>
      <c r="K105" s="92"/>
      <c r="L105" s="54"/>
      <c r="M105" s="92"/>
      <c r="N105" s="54"/>
      <c r="O105" s="92"/>
      <c r="P105" s="54"/>
      <c r="Q105" s="92"/>
      <c r="R105" s="54"/>
      <c r="S105" s="92"/>
      <c r="T105" s="117"/>
      <c r="U105" s="92"/>
      <c r="V105" s="54"/>
      <c r="W105" s="92"/>
      <c r="X105" s="54"/>
      <c r="Y105" s="92"/>
      <c r="Z105" s="54"/>
      <c r="AA105" s="92"/>
      <c r="AB105" s="54"/>
      <c r="AC105" s="92"/>
      <c r="AD105" s="54"/>
      <c r="AE105" s="92"/>
      <c r="AF105" s="54"/>
      <c r="AG105" s="92"/>
      <c r="AH105" s="54"/>
      <c r="AI105" s="92"/>
      <c r="AJ105" s="54"/>
      <c r="AK105" s="92"/>
      <c r="AL105" s="54"/>
      <c r="AM105" s="92"/>
      <c r="AO105" s="54"/>
      <c r="AP105" s="123"/>
      <c r="AQ105" s="54"/>
      <c r="AR105" s="154"/>
      <c r="AS105" s="1"/>
      <c r="AT105" s="1"/>
      <c r="AU105" s="9"/>
    </row>
    <row r="106">
      <c r="A106" s="54"/>
      <c r="B106" s="71" t="str">
        <f>IFERROR(HYPERLINK(VLOOKUP(A106,Internal_lists_bugs!$A$2:$C$73,3,FALSE()), VLOOKUP(A106,Internal_lists_bugs!$A$2:$C$73,3,FALSE())&amp;Char(10) &amp; Char(10) &amp; VLOOKUP(A106,Internal_lists_bugs!$A$2:$Z$73,26,FALSE())),"please select a BUG ID")</f>
        <v>please select a BUG ID</v>
      </c>
      <c r="C106" s="51" t="str">
        <f>IFERROR(VLOOKUP(A106,Internal_lists_bugs!$A$2:$G2002,7,FALSE()),"please select a BUG ID")</f>
        <v>please select a BUG ID</v>
      </c>
      <c r="D106" s="54"/>
      <c r="E106" s="53"/>
      <c r="F106" s="54"/>
      <c r="G106" s="53"/>
      <c r="H106" s="54"/>
      <c r="I106" s="53"/>
      <c r="J106" s="54"/>
      <c r="K106" s="92"/>
      <c r="L106" s="54"/>
      <c r="M106" s="92"/>
      <c r="N106" s="54"/>
      <c r="O106" s="92"/>
      <c r="P106" s="54"/>
      <c r="Q106" s="92"/>
      <c r="R106" s="54"/>
      <c r="S106" s="92"/>
      <c r="T106" s="117"/>
      <c r="U106" s="92"/>
      <c r="V106" s="54"/>
      <c r="W106" s="92"/>
      <c r="X106" s="54"/>
      <c r="Y106" s="92"/>
      <c r="Z106" s="54"/>
      <c r="AA106" s="92"/>
      <c r="AB106" s="54"/>
      <c r="AC106" s="92"/>
      <c r="AD106" s="54"/>
      <c r="AE106" s="92"/>
      <c r="AF106" s="54"/>
      <c r="AG106" s="92"/>
      <c r="AH106" s="54"/>
      <c r="AI106" s="92"/>
      <c r="AJ106" s="54"/>
      <c r="AK106" s="92"/>
      <c r="AL106" s="54"/>
      <c r="AM106" s="92"/>
      <c r="AO106" s="54"/>
      <c r="AP106" s="123"/>
      <c r="AQ106" s="54"/>
      <c r="AR106" s="154"/>
      <c r="AS106" s="1"/>
      <c r="AT106" s="1"/>
      <c r="AU106" s="9"/>
    </row>
    <row r="107">
      <c r="A107" s="54"/>
      <c r="B107" s="71" t="str">
        <f>IFERROR(HYPERLINK(VLOOKUP(A107,Internal_lists_bugs!$A$2:$C$73,3,FALSE()), VLOOKUP(A107,Internal_lists_bugs!$A$2:$C$73,3,FALSE())&amp;Char(10) &amp; Char(10) &amp; VLOOKUP(A107,Internal_lists_bugs!$A$2:$Z$73,26,FALSE())),"please select a BUG ID")</f>
        <v>please select a BUG ID</v>
      </c>
      <c r="C107" s="51" t="str">
        <f>IFERROR(VLOOKUP(A107,Internal_lists_bugs!$A$2:$G2002,7,FALSE()),"please select a BUG ID")</f>
        <v>please select a BUG ID</v>
      </c>
      <c r="D107" s="54"/>
      <c r="E107" s="53"/>
      <c r="F107" s="54"/>
      <c r="G107" s="53"/>
      <c r="H107" s="54"/>
      <c r="I107" s="53"/>
      <c r="J107" s="54"/>
      <c r="K107" s="92"/>
      <c r="L107" s="54"/>
      <c r="M107" s="92"/>
      <c r="N107" s="54"/>
      <c r="O107" s="92"/>
      <c r="P107" s="54"/>
      <c r="Q107" s="92"/>
      <c r="R107" s="54"/>
      <c r="S107" s="92"/>
      <c r="T107" s="117"/>
      <c r="U107" s="92"/>
      <c r="V107" s="54"/>
      <c r="W107" s="92"/>
      <c r="X107" s="54"/>
      <c r="Y107" s="92"/>
      <c r="Z107" s="54"/>
      <c r="AA107" s="92"/>
      <c r="AB107" s="54"/>
      <c r="AC107" s="92"/>
      <c r="AD107" s="54"/>
      <c r="AE107" s="92"/>
      <c r="AF107" s="54"/>
      <c r="AG107" s="92"/>
      <c r="AH107" s="54"/>
      <c r="AI107" s="92"/>
      <c r="AJ107" s="54"/>
      <c r="AK107" s="92"/>
      <c r="AL107" s="54"/>
      <c r="AM107" s="92"/>
      <c r="AO107" s="54"/>
      <c r="AP107" s="123"/>
      <c r="AQ107" s="54"/>
      <c r="AR107" s="154"/>
      <c r="AS107" s="1"/>
      <c r="AT107" s="1"/>
      <c r="AU107" s="9"/>
    </row>
    <row r="108">
      <c r="A108" s="54"/>
      <c r="B108" s="71" t="str">
        <f>IFERROR(HYPERLINK(VLOOKUP(A108,Internal_lists_bugs!$A$2:$C$73,3,FALSE()), VLOOKUP(A108,Internal_lists_bugs!$A$2:$C$73,3,FALSE())&amp;Char(10) &amp; Char(10) &amp; VLOOKUP(A108,Internal_lists_bugs!$A$2:$Z$73,26,FALSE())),"please select a BUG ID")</f>
        <v>please select a BUG ID</v>
      </c>
      <c r="C108" s="51" t="str">
        <f>IFERROR(VLOOKUP(A108,Internal_lists_bugs!$A$2:$G2002,7,FALSE()),"please select a BUG ID")</f>
        <v>please select a BUG ID</v>
      </c>
      <c r="D108" s="54"/>
      <c r="E108" s="53"/>
      <c r="F108" s="54"/>
      <c r="G108" s="53"/>
      <c r="H108" s="54"/>
      <c r="I108" s="53"/>
      <c r="J108" s="54"/>
      <c r="K108" s="92"/>
      <c r="L108" s="54"/>
      <c r="M108" s="92"/>
      <c r="N108" s="54"/>
      <c r="O108" s="92"/>
      <c r="P108" s="54"/>
      <c r="Q108" s="92"/>
      <c r="R108" s="54"/>
      <c r="S108" s="92"/>
      <c r="T108" s="117"/>
      <c r="U108" s="92"/>
      <c r="V108" s="54"/>
      <c r="W108" s="92"/>
      <c r="X108" s="54"/>
      <c r="Y108" s="92"/>
      <c r="Z108" s="54"/>
      <c r="AA108" s="92"/>
      <c r="AB108" s="54"/>
      <c r="AC108" s="92"/>
      <c r="AD108" s="54"/>
      <c r="AE108" s="92"/>
      <c r="AF108" s="54"/>
      <c r="AG108" s="92"/>
      <c r="AH108" s="54"/>
      <c r="AI108" s="92"/>
      <c r="AJ108" s="54"/>
      <c r="AK108" s="92"/>
      <c r="AL108" s="54"/>
      <c r="AM108" s="92"/>
      <c r="AO108" s="54"/>
      <c r="AP108" s="123"/>
      <c r="AQ108" s="54"/>
      <c r="AR108" s="154"/>
      <c r="AS108" s="1"/>
      <c r="AT108" s="1"/>
      <c r="AU108" s="9"/>
    </row>
    <row r="109">
      <c r="A109" s="54"/>
      <c r="B109" s="71" t="str">
        <f>IFERROR(HYPERLINK(VLOOKUP(A109,Internal_lists_bugs!$A$2:$C$73,3,FALSE()), VLOOKUP(A109,Internal_lists_bugs!$A$2:$C$73,3,FALSE())&amp;Char(10) &amp; Char(10) &amp; VLOOKUP(A109,Internal_lists_bugs!$A$2:$Z$73,26,FALSE())),"please select a BUG ID")</f>
        <v>please select a BUG ID</v>
      </c>
      <c r="C109" s="51" t="str">
        <f>IFERROR(VLOOKUP(A109,Internal_lists_bugs!$A$2:$G2002,7,FALSE()),"please select a BUG ID")</f>
        <v>please select a BUG ID</v>
      </c>
      <c r="D109" s="54"/>
      <c r="E109" s="53"/>
      <c r="F109" s="54"/>
      <c r="G109" s="53"/>
      <c r="H109" s="54"/>
      <c r="I109" s="53"/>
      <c r="J109" s="54"/>
      <c r="K109" s="92"/>
      <c r="L109" s="54"/>
      <c r="M109" s="92"/>
      <c r="N109" s="54"/>
      <c r="O109" s="92"/>
      <c r="P109" s="54"/>
      <c r="Q109" s="92"/>
      <c r="R109" s="54"/>
      <c r="S109" s="92"/>
      <c r="T109" s="117"/>
      <c r="U109" s="92"/>
      <c r="V109" s="54"/>
      <c r="W109" s="92"/>
      <c r="X109" s="54"/>
      <c r="Y109" s="92"/>
      <c r="Z109" s="54"/>
      <c r="AA109" s="92"/>
      <c r="AB109" s="54"/>
      <c r="AC109" s="92"/>
      <c r="AD109" s="54"/>
      <c r="AE109" s="92"/>
      <c r="AF109" s="54"/>
      <c r="AG109" s="92"/>
      <c r="AH109" s="54"/>
      <c r="AI109" s="92"/>
      <c r="AJ109" s="54"/>
      <c r="AK109" s="92"/>
      <c r="AL109" s="54"/>
      <c r="AM109" s="92"/>
      <c r="AO109" s="54"/>
      <c r="AP109" s="123"/>
      <c r="AQ109" s="54"/>
      <c r="AR109" s="154"/>
      <c r="AS109" s="1"/>
      <c r="AT109" s="1"/>
      <c r="AU109" s="9"/>
    </row>
    <row r="110">
      <c r="A110" s="54"/>
      <c r="B110" s="71" t="str">
        <f>IFERROR(HYPERLINK(VLOOKUP(A110,Internal_lists_bugs!$A$2:$C$73,3,FALSE()), VLOOKUP(A110,Internal_lists_bugs!$A$2:$C$73,3,FALSE())&amp;Char(10) &amp; Char(10) &amp; VLOOKUP(A110,Internal_lists_bugs!$A$2:$Z$73,26,FALSE())),"please select a BUG ID")</f>
        <v>please select a BUG ID</v>
      </c>
      <c r="C110" s="51" t="str">
        <f>IFERROR(VLOOKUP(A110,Internal_lists_bugs!$A$2:$G2002,7,FALSE()),"please select a BUG ID")</f>
        <v>please select a BUG ID</v>
      </c>
      <c r="D110" s="54"/>
      <c r="E110" s="53"/>
      <c r="F110" s="54"/>
      <c r="G110" s="53"/>
      <c r="H110" s="54"/>
      <c r="I110" s="53"/>
      <c r="J110" s="54"/>
      <c r="K110" s="92"/>
      <c r="L110" s="54"/>
      <c r="M110" s="92"/>
      <c r="N110" s="54"/>
      <c r="O110" s="92"/>
      <c r="P110" s="54"/>
      <c r="Q110" s="92"/>
      <c r="R110" s="54"/>
      <c r="S110" s="92"/>
      <c r="T110" s="117"/>
      <c r="U110" s="92"/>
      <c r="V110" s="54"/>
      <c r="W110" s="92"/>
      <c r="X110" s="54"/>
      <c r="Y110" s="92"/>
      <c r="Z110" s="54"/>
      <c r="AA110" s="92"/>
      <c r="AB110" s="54"/>
      <c r="AC110" s="92"/>
      <c r="AD110" s="54"/>
      <c r="AE110" s="92"/>
      <c r="AF110" s="54"/>
      <c r="AG110" s="92"/>
      <c r="AH110" s="54"/>
      <c r="AI110" s="92"/>
      <c r="AJ110" s="54"/>
      <c r="AK110" s="92"/>
      <c r="AL110" s="54"/>
      <c r="AM110" s="92"/>
      <c r="AO110" s="54"/>
      <c r="AP110" s="123"/>
      <c r="AQ110" s="54"/>
      <c r="AR110" s="154"/>
      <c r="AS110" s="1"/>
      <c r="AT110" s="1"/>
      <c r="AU110" s="9"/>
    </row>
    <row r="111">
      <c r="A111" s="54"/>
      <c r="B111" s="71" t="str">
        <f>IFERROR(HYPERLINK(VLOOKUP(A111,Internal_lists_bugs!$A$2:$C$73,3,FALSE()), VLOOKUP(A111,Internal_lists_bugs!$A$2:$C$73,3,FALSE())&amp;Char(10) &amp; Char(10) &amp; VLOOKUP(A111,Internal_lists_bugs!$A$2:$Z$73,26,FALSE())),"please select a BUG ID")</f>
        <v>please select a BUG ID</v>
      </c>
      <c r="C111" s="51" t="str">
        <f>IFERROR(VLOOKUP(A111,Internal_lists_bugs!$A$2:$G2002,7,FALSE()),"please select a BUG ID")</f>
        <v>please select a BUG ID</v>
      </c>
      <c r="D111" s="54"/>
      <c r="E111" s="53"/>
      <c r="F111" s="54"/>
      <c r="G111" s="53"/>
      <c r="H111" s="54"/>
      <c r="I111" s="53"/>
      <c r="J111" s="54"/>
      <c r="K111" s="92"/>
      <c r="L111" s="54"/>
      <c r="M111" s="92"/>
      <c r="N111" s="54"/>
      <c r="O111" s="92"/>
      <c r="P111" s="54"/>
      <c r="Q111" s="92"/>
      <c r="R111" s="54"/>
      <c r="S111" s="92"/>
      <c r="T111" s="117"/>
      <c r="U111" s="92"/>
      <c r="V111" s="54"/>
      <c r="W111" s="92"/>
      <c r="X111" s="54"/>
      <c r="Y111" s="92"/>
      <c r="Z111" s="54"/>
      <c r="AA111" s="92"/>
      <c r="AB111" s="54"/>
      <c r="AC111" s="92"/>
      <c r="AD111" s="54"/>
      <c r="AE111" s="92"/>
      <c r="AF111" s="54"/>
      <c r="AG111" s="92"/>
      <c r="AH111" s="54"/>
      <c r="AI111" s="92"/>
      <c r="AJ111" s="54"/>
      <c r="AK111" s="92"/>
      <c r="AL111" s="54"/>
      <c r="AM111" s="92"/>
      <c r="AO111" s="54"/>
      <c r="AP111" s="123"/>
      <c r="AQ111" s="54"/>
      <c r="AR111" s="154"/>
      <c r="AS111" s="1"/>
      <c r="AT111" s="1"/>
      <c r="AU111" s="9"/>
    </row>
    <row r="112">
      <c r="A112" s="54"/>
      <c r="B112" s="71" t="str">
        <f>IFERROR(HYPERLINK(VLOOKUP(A112,Internal_lists_bugs!$A$2:$C$73,3,FALSE()), VLOOKUP(A112,Internal_lists_bugs!$A$2:$C$73,3,FALSE())&amp;Char(10) &amp; Char(10) &amp; VLOOKUP(A112,Internal_lists_bugs!$A$2:$Z$73,26,FALSE())),"please select a BUG ID")</f>
        <v>please select a BUG ID</v>
      </c>
      <c r="C112" s="51" t="str">
        <f>IFERROR(VLOOKUP(A112,Internal_lists_bugs!$A$2:$G2002,7,FALSE()),"please select a BUG ID")</f>
        <v>please select a BUG ID</v>
      </c>
      <c r="D112" s="54"/>
      <c r="E112" s="53"/>
      <c r="F112" s="54"/>
      <c r="G112" s="53"/>
      <c r="H112" s="54"/>
      <c r="I112" s="53"/>
      <c r="J112" s="54"/>
      <c r="K112" s="92"/>
      <c r="L112" s="54"/>
      <c r="M112" s="92"/>
      <c r="N112" s="54"/>
      <c r="O112" s="92"/>
      <c r="P112" s="54"/>
      <c r="Q112" s="92"/>
      <c r="R112" s="54"/>
      <c r="S112" s="92"/>
      <c r="T112" s="117"/>
      <c r="U112" s="92"/>
      <c r="V112" s="54"/>
      <c r="W112" s="92"/>
      <c r="X112" s="54"/>
      <c r="Y112" s="92"/>
      <c r="Z112" s="54"/>
      <c r="AA112" s="92"/>
      <c r="AB112" s="54"/>
      <c r="AC112" s="92"/>
      <c r="AD112" s="54"/>
      <c r="AE112" s="92"/>
      <c r="AF112" s="54"/>
      <c r="AG112" s="92"/>
      <c r="AH112" s="54"/>
      <c r="AI112" s="92"/>
      <c r="AJ112" s="54"/>
      <c r="AK112" s="92"/>
      <c r="AL112" s="54"/>
      <c r="AM112" s="92"/>
      <c r="AO112" s="54"/>
      <c r="AP112" s="123"/>
      <c r="AQ112" s="54"/>
      <c r="AR112" s="154"/>
      <c r="AS112" s="1"/>
      <c r="AT112" s="1"/>
      <c r="AU112" s="9"/>
    </row>
    <row r="113">
      <c r="A113" s="54"/>
      <c r="B113" s="71" t="str">
        <f>IFERROR(HYPERLINK(VLOOKUP(A113,Internal_lists_bugs!$A$2:$C$73,3,FALSE()), VLOOKUP(A113,Internal_lists_bugs!$A$2:$C$73,3,FALSE())&amp;Char(10) &amp; Char(10) &amp; VLOOKUP(A113,Internal_lists_bugs!$A$2:$Z$73,26,FALSE())),"please select a BUG ID")</f>
        <v>please select a BUG ID</v>
      </c>
      <c r="C113" s="51" t="str">
        <f>IFERROR(VLOOKUP(A113,Internal_lists_bugs!$A$2:$G2002,7,FALSE()),"please select a BUG ID")</f>
        <v>please select a BUG ID</v>
      </c>
      <c r="D113" s="54"/>
      <c r="E113" s="53"/>
      <c r="F113" s="54"/>
      <c r="G113" s="53"/>
      <c r="H113" s="54"/>
      <c r="I113" s="53"/>
      <c r="J113" s="54"/>
      <c r="K113" s="92"/>
      <c r="L113" s="54"/>
      <c r="M113" s="92"/>
      <c r="N113" s="54"/>
      <c r="O113" s="92"/>
      <c r="P113" s="54"/>
      <c r="Q113" s="92"/>
      <c r="R113" s="54"/>
      <c r="S113" s="92"/>
      <c r="T113" s="117"/>
      <c r="U113" s="92"/>
      <c r="V113" s="54"/>
      <c r="W113" s="92"/>
      <c r="X113" s="54"/>
      <c r="Y113" s="92"/>
      <c r="Z113" s="54"/>
      <c r="AA113" s="92"/>
      <c r="AB113" s="54"/>
      <c r="AC113" s="92"/>
      <c r="AD113" s="54"/>
      <c r="AE113" s="92"/>
      <c r="AF113" s="54"/>
      <c r="AG113" s="92"/>
      <c r="AH113" s="54"/>
      <c r="AI113" s="92"/>
      <c r="AJ113" s="54"/>
      <c r="AK113" s="92"/>
      <c r="AL113" s="54"/>
      <c r="AM113" s="92"/>
      <c r="AO113" s="54"/>
      <c r="AP113" s="123"/>
      <c r="AQ113" s="54"/>
      <c r="AR113" s="154"/>
      <c r="AS113" s="1"/>
      <c r="AT113" s="1"/>
      <c r="AU113" s="9"/>
    </row>
    <row r="114">
      <c r="A114" s="54"/>
      <c r="B114" s="71" t="str">
        <f>IFERROR(HYPERLINK(VLOOKUP(A114,Internal_lists_bugs!$A$2:$C$73,3,FALSE()), VLOOKUP(A114,Internal_lists_bugs!$A$2:$C$73,3,FALSE())&amp;Char(10) &amp; Char(10) &amp; VLOOKUP(A114,Internal_lists_bugs!$A$2:$Z$73,26,FALSE())),"please select a BUG ID")</f>
        <v>please select a BUG ID</v>
      </c>
      <c r="C114" s="51" t="str">
        <f>IFERROR(VLOOKUP(A114,Internal_lists_bugs!$A$2:$G2002,7,FALSE()),"please select a BUG ID")</f>
        <v>please select a BUG ID</v>
      </c>
      <c r="D114" s="54"/>
      <c r="E114" s="53"/>
      <c r="F114" s="54"/>
      <c r="G114" s="53"/>
      <c r="H114" s="54"/>
      <c r="I114" s="53"/>
      <c r="J114" s="54"/>
      <c r="K114" s="92"/>
      <c r="L114" s="54"/>
      <c r="M114" s="92"/>
      <c r="N114" s="54"/>
      <c r="O114" s="92"/>
      <c r="P114" s="54"/>
      <c r="Q114" s="92"/>
      <c r="R114" s="54"/>
      <c r="S114" s="92"/>
      <c r="T114" s="117"/>
      <c r="U114" s="92"/>
      <c r="V114" s="54"/>
      <c r="W114" s="92"/>
      <c r="X114" s="54"/>
      <c r="Y114" s="92"/>
      <c r="Z114" s="54"/>
      <c r="AA114" s="92"/>
      <c r="AB114" s="54"/>
      <c r="AC114" s="92"/>
      <c r="AD114" s="54"/>
      <c r="AE114" s="92"/>
      <c r="AF114" s="54"/>
      <c r="AG114" s="92"/>
      <c r="AH114" s="54"/>
      <c r="AI114" s="92"/>
      <c r="AJ114" s="54"/>
      <c r="AK114" s="92"/>
      <c r="AL114" s="54"/>
      <c r="AM114" s="92"/>
      <c r="AO114" s="54"/>
      <c r="AP114" s="123"/>
      <c r="AQ114" s="54"/>
      <c r="AR114" s="154"/>
      <c r="AS114" s="1"/>
      <c r="AT114" s="1"/>
      <c r="AU114" s="9"/>
    </row>
    <row r="115">
      <c r="A115" s="54"/>
      <c r="B115" s="71" t="str">
        <f>IFERROR(HYPERLINK(VLOOKUP(A115,Internal_lists_bugs!$A$2:$C$73,3,FALSE()), VLOOKUP(A115,Internal_lists_bugs!$A$2:$C$73,3,FALSE())&amp;Char(10) &amp; Char(10) &amp; VLOOKUP(A115,Internal_lists_bugs!$A$2:$Z$73,26,FALSE())),"please select a BUG ID")</f>
        <v>please select a BUG ID</v>
      </c>
      <c r="C115" s="51" t="str">
        <f>IFERROR(VLOOKUP(A115,Internal_lists_bugs!$A$2:$G2002,7,FALSE()),"please select a BUG ID")</f>
        <v>please select a BUG ID</v>
      </c>
      <c r="D115" s="54"/>
      <c r="E115" s="53"/>
      <c r="F115" s="54"/>
      <c r="G115" s="53"/>
      <c r="H115" s="54"/>
      <c r="I115" s="53"/>
      <c r="J115" s="54"/>
      <c r="K115" s="92"/>
      <c r="L115" s="54"/>
      <c r="M115" s="92"/>
      <c r="N115" s="54"/>
      <c r="O115" s="92"/>
      <c r="P115" s="54"/>
      <c r="Q115" s="92"/>
      <c r="R115" s="54"/>
      <c r="S115" s="92"/>
      <c r="T115" s="117"/>
      <c r="U115" s="92"/>
      <c r="V115" s="54"/>
      <c r="W115" s="92"/>
      <c r="X115" s="54"/>
      <c r="Y115" s="92"/>
      <c r="Z115" s="54"/>
      <c r="AA115" s="92"/>
      <c r="AB115" s="54"/>
      <c r="AC115" s="92"/>
      <c r="AD115" s="54"/>
      <c r="AE115" s="92"/>
      <c r="AF115" s="54"/>
      <c r="AG115" s="92"/>
      <c r="AH115" s="54"/>
      <c r="AI115" s="92"/>
      <c r="AJ115" s="54"/>
      <c r="AK115" s="92"/>
      <c r="AL115" s="54"/>
      <c r="AM115" s="92"/>
      <c r="AO115" s="54"/>
      <c r="AP115" s="123"/>
      <c r="AQ115" s="54"/>
      <c r="AR115" s="154"/>
      <c r="AS115" s="1"/>
      <c r="AT115" s="1"/>
      <c r="AU115" s="9"/>
    </row>
    <row r="116">
      <c r="A116" s="54"/>
      <c r="B116" s="71" t="str">
        <f>IFERROR(HYPERLINK(VLOOKUP(A116,Internal_lists_bugs!$A$2:$C$73,3,FALSE()), VLOOKUP(A116,Internal_lists_bugs!$A$2:$C$73,3,FALSE())&amp;Char(10) &amp; Char(10) &amp; VLOOKUP(A116,Internal_lists_bugs!$A$2:$Z$73,26,FALSE())),"please select a BUG ID")</f>
        <v>please select a BUG ID</v>
      </c>
      <c r="C116" s="51" t="str">
        <f>IFERROR(VLOOKUP(A116,Internal_lists_bugs!$A$2:$G2002,7,FALSE()),"please select a BUG ID")</f>
        <v>please select a BUG ID</v>
      </c>
      <c r="D116" s="54"/>
      <c r="E116" s="53"/>
      <c r="F116" s="54"/>
      <c r="G116" s="53"/>
      <c r="H116" s="54"/>
      <c r="I116" s="53"/>
      <c r="J116" s="54"/>
      <c r="K116" s="92"/>
      <c r="L116" s="54"/>
      <c r="M116" s="92"/>
      <c r="N116" s="54"/>
      <c r="O116" s="92"/>
      <c r="P116" s="54"/>
      <c r="Q116" s="92"/>
      <c r="R116" s="54"/>
      <c r="S116" s="92"/>
      <c r="T116" s="117"/>
      <c r="U116" s="92"/>
      <c r="V116" s="54"/>
      <c r="W116" s="92"/>
      <c r="X116" s="54"/>
      <c r="Y116" s="92"/>
      <c r="Z116" s="54"/>
      <c r="AA116" s="92"/>
      <c r="AB116" s="54"/>
      <c r="AC116" s="92"/>
      <c r="AD116" s="54"/>
      <c r="AE116" s="92"/>
      <c r="AF116" s="54"/>
      <c r="AG116" s="92"/>
      <c r="AH116" s="54"/>
      <c r="AI116" s="92"/>
      <c r="AJ116" s="54"/>
      <c r="AK116" s="92"/>
      <c r="AL116" s="54"/>
      <c r="AM116" s="92"/>
      <c r="AO116" s="54"/>
      <c r="AP116" s="123"/>
      <c r="AQ116" s="54"/>
      <c r="AR116" s="154"/>
      <c r="AS116" s="1"/>
      <c r="AT116" s="1"/>
      <c r="AU116" s="9"/>
    </row>
    <row r="117">
      <c r="A117" s="54"/>
      <c r="B117" s="71" t="str">
        <f>IFERROR(HYPERLINK(VLOOKUP(A117,Internal_lists_bugs!$A$2:$C$73,3,FALSE()), VLOOKUP(A117,Internal_lists_bugs!$A$2:$C$73,3,FALSE())&amp;Char(10) &amp; Char(10) &amp; VLOOKUP(A117,Internal_lists_bugs!$A$2:$Z$73,26,FALSE())),"please select a BUG ID")</f>
        <v>please select a BUG ID</v>
      </c>
      <c r="C117" s="51" t="str">
        <f>IFERROR(VLOOKUP(A117,Internal_lists_bugs!$A$2:$G2002,7,FALSE()),"please select a BUG ID")</f>
        <v>please select a BUG ID</v>
      </c>
      <c r="D117" s="54"/>
      <c r="E117" s="53"/>
      <c r="F117" s="54"/>
      <c r="G117" s="53"/>
      <c r="H117" s="54"/>
      <c r="I117" s="53"/>
      <c r="J117" s="54"/>
      <c r="K117" s="92"/>
      <c r="L117" s="54"/>
      <c r="M117" s="92"/>
      <c r="N117" s="54"/>
      <c r="O117" s="92"/>
      <c r="P117" s="54"/>
      <c r="Q117" s="92"/>
      <c r="R117" s="54"/>
      <c r="S117" s="92"/>
      <c r="T117" s="117"/>
      <c r="U117" s="92"/>
      <c r="V117" s="54"/>
      <c r="W117" s="92"/>
      <c r="X117" s="54"/>
      <c r="Y117" s="92"/>
      <c r="Z117" s="54"/>
      <c r="AA117" s="92"/>
      <c r="AB117" s="54"/>
      <c r="AC117" s="92"/>
      <c r="AD117" s="54"/>
      <c r="AE117" s="92"/>
      <c r="AF117" s="54"/>
      <c r="AG117" s="92"/>
      <c r="AH117" s="54"/>
      <c r="AI117" s="92"/>
      <c r="AJ117" s="54"/>
      <c r="AK117" s="92"/>
      <c r="AL117" s="54"/>
      <c r="AM117" s="92"/>
      <c r="AO117" s="54"/>
      <c r="AP117" s="123"/>
      <c r="AQ117" s="54"/>
      <c r="AR117" s="154"/>
      <c r="AS117" s="1"/>
      <c r="AT117" s="1"/>
      <c r="AU117" s="9"/>
    </row>
    <row r="118">
      <c r="A118" s="54"/>
      <c r="B118" s="71" t="str">
        <f>IFERROR(HYPERLINK(VLOOKUP(A118,Internal_lists_bugs!$A$2:$C$73,3,FALSE()), VLOOKUP(A118,Internal_lists_bugs!$A$2:$C$73,3,FALSE())&amp;Char(10) &amp; Char(10) &amp; VLOOKUP(A118,Internal_lists_bugs!$A$2:$Z$73,26,FALSE())),"please select a BUG ID")</f>
        <v>please select a BUG ID</v>
      </c>
      <c r="C118" s="51" t="str">
        <f>IFERROR(VLOOKUP(A118,Internal_lists_bugs!$A$2:$G2002,7,FALSE()),"please select a BUG ID")</f>
        <v>please select a BUG ID</v>
      </c>
      <c r="D118" s="54"/>
      <c r="E118" s="53"/>
      <c r="F118" s="54"/>
      <c r="G118" s="53"/>
      <c r="H118" s="54"/>
      <c r="I118" s="53"/>
      <c r="J118" s="54"/>
      <c r="K118" s="92"/>
      <c r="L118" s="54"/>
      <c r="M118" s="92"/>
      <c r="N118" s="54"/>
      <c r="O118" s="92"/>
      <c r="P118" s="54"/>
      <c r="Q118" s="92"/>
      <c r="R118" s="54"/>
      <c r="S118" s="92"/>
      <c r="T118" s="117"/>
      <c r="U118" s="92"/>
      <c r="V118" s="54"/>
      <c r="W118" s="92"/>
      <c r="X118" s="54"/>
      <c r="Y118" s="92"/>
      <c r="Z118" s="54"/>
      <c r="AA118" s="92"/>
      <c r="AB118" s="54"/>
      <c r="AC118" s="92"/>
      <c r="AD118" s="54"/>
      <c r="AE118" s="92"/>
      <c r="AF118" s="54"/>
      <c r="AG118" s="92"/>
      <c r="AH118" s="54"/>
      <c r="AI118" s="92"/>
      <c r="AJ118" s="54"/>
      <c r="AK118" s="92"/>
      <c r="AL118" s="54"/>
      <c r="AM118" s="92"/>
      <c r="AO118" s="54"/>
      <c r="AP118" s="123"/>
      <c r="AQ118" s="54"/>
      <c r="AR118" s="154"/>
      <c r="AS118" s="1"/>
      <c r="AT118" s="1"/>
      <c r="AU118" s="9"/>
    </row>
    <row r="119">
      <c r="A119" s="54"/>
      <c r="B119" s="71" t="str">
        <f>IFERROR(HYPERLINK(VLOOKUP(A119,Internal_lists_bugs!$A$2:$C$73,3,FALSE()), VLOOKUP(A119,Internal_lists_bugs!$A$2:$C$73,3,FALSE())&amp;Char(10) &amp; Char(10) &amp; VLOOKUP(A119,Internal_lists_bugs!$A$2:$Z$73,26,FALSE())),"please select a BUG ID")</f>
        <v>please select a BUG ID</v>
      </c>
      <c r="C119" s="51" t="str">
        <f>IFERROR(VLOOKUP(A119,Internal_lists_bugs!$A$2:$G2002,7,FALSE()),"please select a BUG ID")</f>
        <v>please select a BUG ID</v>
      </c>
      <c r="D119" s="54"/>
      <c r="E119" s="53"/>
      <c r="F119" s="54"/>
      <c r="G119" s="53"/>
      <c r="H119" s="54"/>
      <c r="I119" s="53"/>
      <c r="J119" s="54"/>
      <c r="K119" s="92"/>
      <c r="L119" s="54"/>
      <c r="M119" s="92"/>
      <c r="N119" s="54"/>
      <c r="O119" s="92"/>
      <c r="P119" s="54"/>
      <c r="Q119" s="92"/>
      <c r="R119" s="54"/>
      <c r="S119" s="92"/>
      <c r="T119" s="117"/>
      <c r="U119" s="92"/>
      <c r="V119" s="54"/>
      <c r="W119" s="92"/>
      <c r="X119" s="54"/>
      <c r="Y119" s="92"/>
      <c r="Z119" s="54"/>
      <c r="AA119" s="92"/>
      <c r="AB119" s="54"/>
      <c r="AC119" s="92"/>
      <c r="AD119" s="54"/>
      <c r="AE119" s="92"/>
      <c r="AF119" s="54"/>
      <c r="AG119" s="92"/>
      <c r="AH119" s="54"/>
      <c r="AI119" s="92"/>
      <c r="AJ119" s="54"/>
      <c r="AK119" s="92"/>
      <c r="AL119" s="54"/>
      <c r="AM119" s="92"/>
      <c r="AO119" s="54"/>
      <c r="AP119" s="123"/>
      <c r="AQ119" s="54"/>
      <c r="AR119" s="154"/>
      <c r="AS119" s="1"/>
      <c r="AT119" s="1"/>
      <c r="AU119" s="9"/>
    </row>
    <row r="120">
      <c r="A120" s="54"/>
      <c r="B120" s="71" t="str">
        <f>IFERROR(HYPERLINK(VLOOKUP(A120,Internal_lists_bugs!$A$2:$C$73,3,FALSE()), VLOOKUP(A120,Internal_lists_bugs!$A$2:$C$73,3,FALSE())&amp;Char(10) &amp; Char(10) &amp; VLOOKUP(A120,Internal_lists_bugs!$A$2:$Z$73,26,FALSE())),"please select a BUG ID")</f>
        <v>please select a BUG ID</v>
      </c>
      <c r="C120" s="51" t="str">
        <f>IFERROR(VLOOKUP(A120,Internal_lists_bugs!$A$2:$G2002,7,FALSE()),"please select a BUG ID")</f>
        <v>please select a BUG ID</v>
      </c>
      <c r="D120" s="54"/>
      <c r="E120" s="53"/>
      <c r="F120" s="54"/>
      <c r="G120" s="53"/>
      <c r="H120" s="54"/>
      <c r="I120" s="53"/>
      <c r="J120" s="54"/>
      <c r="K120" s="92"/>
      <c r="L120" s="54"/>
      <c r="M120" s="92"/>
      <c r="N120" s="54"/>
      <c r="O120" s="92"/>
      <c r="P120" s="54"/>
      <c r="Q120" s="92"/>
      <c r="R120" s="54"/>
      <c r="S120" s="92"/>
      <c r="T120" s="117"/>
      <c r="U120" s="92"/>
      <c r="V120" s="54"/>
      <c r="W120" s="92"/>
      <c r="X120" s="54"/>
      <c r="Y120" s="92"/>
      <c r="Z120" s="54"/>
      <c r="AA120" s="92"/>
      <c r="AB120" s="54"/>
      <c r="AC120" s="92"/>
      <c r="AD120" s="54"/>
      <c r="AE120" s="92"/>
      <c r="AF120" s="54"/>
      <c r="AG120" s="92"/>
      <c r="AH120" s="54"/>
      <c r="AI120" s="92"/>
      <c r="AJ120" s="54"/>
      <c r="AK120" s="92"/>
      <c r="AL120" s="54"/>
      <c r="AM120" s="92"/>
      <c r="AO120" s="54"/>
      <c r="AP120" s="123"/>
      <c r="AQ120" s="54"/>
      <c r="AR120" s="154"/>
      <c r="AS120" s="1"/>
      <c r="AT120" s="1"/>
      <c r="AU120" s="9"/>
    </row>
    <row r="121">
      <c r="A121" s="54"/>
      <c r="B121" s="71" t="str">
        <f>IFERROR(HYPERLINK(VLOOKUP(A121,Internal_lists_bugs!$A$2:$C$73,3,FALSE()), VLOOKUP(A121,Internal_lists_bugs!$A$2:$C$73,3,FALSE())&amp;Char(10) &amp; Char(10) &amp; VLOOKUP(A121,Internal_lists_bugs!$A$2:$Z$73,26,FALSE())),"please select a BUG ID")</f>
        <v>please select a BUG ID</v>
      </c>
      <c r="C121" s="51" t="str">
        <f>IFERROR(VLOOKUP(A121,Internal_lists_bugs!$A$2:$G2002,7,FALSE()),"please select a BUG ID")</f>
        <v>please select a BUG ID</v>
      </c>
      <c r="D121" s="54"/>
      <c r="E121" s="53"/>
      <c r="F121" s="54"/>
      <c r="G121" s="53"/>
      <c r="H121" s="54"/>
      <c r="I121" s="53"/>
      <c r="J121" s="54"/>
      <c r="K121" s="92"/>
      <c r="L121" s="54"/>
      <c r="M121" s="92"/>
      <c r="N121" s="54"/>
      <c r="O121" s="92"/>
      <c r="P121" s="54"/>
      <c r="Q121" s="92"/>
      <c r="R121" s="54"/>
      <c r="S121" s="92"/>
      <c r="T121" s="117"/>
      <c r="U121" s="92"/>
      <c r="V121" s="54"/>
      <c r="W121" s="92"/>
      <c r="X121" s="54"/>
      <c r="Y121" s="92"/>
      <c r="Z121" s="54"/>
      <c r="AA121" s="92"/>
      <c r="AB121" s="54"/>
      <c r="AC121" s="92"/>
      <c r="AD121" s="54"/>
      <c r="AE121" s="92"/>
      <c r="AF121" s="54"/>
      <c r="AG121" s="92"/>
      <c r="AH121" s="54"/>
      <c r="AI121" s="92"/>
      <c r="AJ121" s="54"/>
      <c r="AK121" s="92"/>
      <c r="AL121" s="54"/>
      <c r="AM121" s="92"/>
      <c r="AO121" s="54"/>
      <c r="AP121" s="123"/>
      <c r="AQ121" s="54"/>
      <c r="AR121" s="154"/>
      <c r="AS121" s="1"/>
      <c r="AT121" s="1"/>
      <c r="AU121" s="9"/>
    </row>
    <row r="122">
      <c r="A122" s="54"/>
      <c r="B122" s="71" t="str">
        <f>IFERROR(HYPERLINK(VLOOKUP(A122,Internal_lists_bugs!$A$2:$C$73,3,FALSE()), VLOOKUP(A122,Internal_lists_bugs!$A$2:$C$73,3,FALSE())&amp;Char(10) &amp; Char(10) &amp; VLOOKUP(A122,Internal_lists_bugs!$A$2:$Z$73,26,FALSE())),"please select a BUG ID")</f>
        <v>please select a BUG ID</v>
      </c>
      <c r="C122" s="51" t="str">
        <f>IFERROR(VLOOKUP(A122,Internal_lists_bugs!$A$2:$G2002,7,FALSE()),"please select a BUG ID")</f>
        <v>please select a BUG ID</v>
      </c>
      <c r="D122" s="54"/>
      <c r="E122" s="53"/>
      <c r="F122" s="54"/>
      <c r="G122" s="53"/>
      <c r="H122" s="54"/>
      <c r="I122" s="53"/>
      <c r="J122" s="54"/>
      <c r="K122" s="92"/>
      <c r="L122" s="54"/>
      <c r="M122" s="92"/>
      <c r="N122" s="54"/>
      <c r="O122" s="92"/>
      <c r="P122" s="54"/>
      <c r="Q122" s="92"/>
      <c r="R122" s="54"/>
      <c r="S122" s="92"/>
      <c r="T122" s="117"/>
      <c r="U122" s="92"/>
      <c r="V122" s="54"/>
      <c r="W122" s="92"/>
      <c r="X122" s="54"/>
      <c r="Y122" s="92"/>
      <c r="Z122" s="54"/>
      <c r="AA122" s="92"/>
      <c r="AB122" s="54"/>
      <c r="AC122" s="92"/>
      <c r="AD122" s="54"/>
      <c r="AE122" s="92"/>
      <c r="AF122" s="54"/>
      <c r="AG122" s="92"/>
      <c r="AH122" s="54"/>
      <c r="AI122" s="92"/>
      <c r="AJ122" s="54"/>
      <c r="AK122" s="92"/>
      <c r="AL122" s="54"/>
      <c r="AM122" s="92"/>
      <c r="AO122" s="54"/>
      <c r="AP122" s="123"/>
      <c r="AQ122" s="54"/>
      <c r="AR122" s="154"/>
      <c r="AS122" s="1"/>
      <c r="AT122" s="1"/>
      <c r="AU122" s="9"/>
    </row>
    <row r="123">
      <c r="A123" s="54"/>
      <c r="B123" s="71" t="str">
        <f>IFERROR(HYPERLINK(VLOOKUP(A123,Internal_lists_bugs!$A$2:$C$73,3,FALSE()), VLOOKUP(A123,Internal_lists_bugs!$A$2:$C$73,3,FALSE())&amp;Char(10) &amp; Char(10) &amp; VLOOKUP(A123,Internal_lists_bugs!$A$2:$Z$73,26,FALSE())),"please select a BUG ID")</f>
        <v>please select a BUG ID</v>
      </c>
      <c r="C123" s="51" t="str">
        <f>IFERROR(VLOOKUP(A123,Internal_lists_bugs!$A$2:$G2002,7,FALSE()),"please select a BUG ID")</f>
        <v>please select a BUG ID</v>
      </c>
      <c r="D123" s="54"/>
      <c r="E123" s="53"/>
      <c r="F123" s="54"/>
      <c r="G123" s="53"/>
      <c r="H123" s="54"/>
      <c r="I123" s="53"/>
      <c r="J123" s="54"/>
      <c r="K123" s="92"/>
      <c r="L123" s="54"/>
      <c r="M123" s="92"/>
      <c r="N123" s="54"/>
      <c r="O123" s="92"/>
      <c r="P123" s="54"/>
      <c r="Q123" s="92"/>
      <c r="R123" s="54"/>
      <c r="S123" s="92"/>
      <c r="T123" s="117"/>
      <c r="U123" s="92"/>
      <c r="V123" s="54"/>
      <c r="W123" s="92"/>
      <c r="X123" s="54"/>
      <c r="Y123" s="92"/>
      <c r="Z123" s="54"/>
      <c r="AA123" s="92"/>
      <c r="AB123" s="54"/>
      <c r="AC123" s="92"/>
      <c r="AD123" s="54"/>
      <c r="AE123" s="92"/>
      <c r="AF123" s="54"/>
      <c r="AG123" s="92"/>
      <c r="AH123" s="54"/>
      <c r="AI123" s="92"/>
      <c r="AJ123" s="54"/>
      <c r="AK123" s="92"/>
      <c r="AL123" s="54"/>
      <c r="AM123" s="92"/>
      <c r="AO123" s="54"/>
      <c r="AP123" s="123"/>
      <c r="AQ123" s="54"/>
      <c r="AR123" s="154"/>
      <c r="AS123" s="1"/>
      <c r="AT123" s="1"/>
      <c r="AU123" s="9"/>
    </row>
    <row r="124">
      <c r="A124" s="54"/>
      <c r="B124" s="71" t="str">
        <f>IFERROR(HYPERLINK(VLOOKUP(A124,Internal_lists_bugs!$A$2:$C$73,3,FALSE()), VLOOKUP(A124,Internal_lists_bugs!$A$2:$C$73,3,FALSE())&amp;Char(10) &amp; Char(10) &amp; VLOOKUP(A124,Internal_lists_bugs!$A$2:$Z$73,26,FALSE())),"please select a BUG ID")</f>
        <v>please select a BUG ID</v>
      </c>
      <c r="C124" s="51" t="str">
        <f>IFERROR(VLOOKUP(A124,Internal_lists_bugs!$A$2:$G2002,7,FALSE()),"please select a BUG ID")</f>
        <v>please select a BUG ID</v>
      </c>
      <c r="D124" s="54"/>
      <c r="E124" s="53"/>
      <c r="F124" s="54"/>
      <c r="G124" s="53"/>
      <c r="H124" s="54"/>
      <c r="I124" s="53"/>
      <c r="J124" s="54"/>
      <c r="K124" s="92"/>
      <c r="L124" s="54"/>
      <c r="M124" s="92"/>
      <c r="N124" s="54"/>
      <c r="O124" s="92"/>
      <c r="P124" s="54"/>
      <c r="Q124" s="92"/>
      <c r="R124" s="54"/>
      <c r="S124" s="92"/>
      <c r="T124" s="117"/>
      <c r="U124" s="92"/>
      <c r="V124" s="54"/>
      <c r="W124" s="92"/>
      <c r="X124" s="54"/>
      <c r="Y124" s="92"/>
      <c r="Z124" s="54"/>
      <c r="AA124" s="92"/>
      <c r="AB124" s="54"/>
      <c r="AC124" s="92"/>
      <c r="AD124" s="54"/>
      <c r="AE124" s="92"/>
      <c r="AF124" s="54"/>
      <c r="AG124" s="92"/>
      <c r="AH124" s="54"/>
      <c r="AI124" s="92"/>
      <c r="AJ124" s="54"/>
      <c r="AK124" s="92"/>
      <c r="AL124" s="54"/>
      <c r="AM124" s="92"/>
      <c r="AO124" s="54"/>
      <c r="AP124" s="123"/>
      <c r="AQ124" s="54"/>
      <c r="AR124" s="154"/>
      <c r="AS124" s="1"/>
      <c r="AT124" s="1"/>
      <c r="AU124" s="9"/>
    </row>
    <row r="125">
      <c r="A125" s="54"/>
      <c r="B125" s="71" t="str">
        <f>IFERROR(HYPERLINK(VLOOKUP(A125,Internal_lists_bugs!$A$2:$C$73,3,FALSE()), VLOOKUP(A125,Internal_lists_bugs!$A$2:$C$73,3,FALSE())&amp;Char(10) &amp; Char(10) &amp; VLOOKUP(A125,Internal_lists_bugs!$A$2:$Z$73,26,FALSE())),"please select a BUG ID")</f>
        <v>please select a BUG ID</v>
      </c>
      <c r="C125" s="51" t="str">
        <f>IFERROR(VLOOKUP(A125,Internal_lists_bugs!$A$2:$G2002,7,FALSE()),"please select a BUG ID")</f>
        <v>please select a BUG ID</v>
      </c>
      <c r="D125" s="54"/>
      <c r="E125" s="53"/>
      <c r="F125" s="54"/>
      <c r="G125" s="53"/>
      <c r="H125" s="54"/>
      <c r="I125" s="53"/>
      <c r="J125" s="54"/>
      <c r="K125" s="92"/>
      <c r="L125" s="54"/>
      <c r="M125" s="92"/>
      <c r="N125" s="54"/>
      <c r="O125" s="92"/>
      <c r="P125" s="54"/>
      <c r="Q125" s="92"/>
      <c r="R125" s="54"/>
      <c r="S125" s="92"/>
      <c r="T125" s="117"/>
      <c r="U125" s="92"/>
      <c r="V125" s="54"/>
      <c r="W125" s="92"/>
      <c r="X125" s="54"/>
      <c r="Y125" s="92"/>
      <c r="Z125" s="54"/>
      <c r="AA125" s="92"/>
      <c r="AB125" s="54"/>
      <c r="AC125" s="92"/>
      <c r="AD125" s="54"/>
      <c r="AE125" s="92"/>
      <c r="AF125" s="54"/>
      <c r="AG125" s="92"/>
      <c r="AH125" s="54"/>
      <c r="AI125" s="92"/>
      <c r="AJ125" s="54"/>
      <c r="AK125" s="92"/>
      <c r="AL125" s="54"/>
      <c r="AM125" s="92"/>
      <c r="AO125" s="54"/>
      <c r="AP125" s="123"/>
      <c r="AQ125" s="54"/>
      <c r="AR125" s="154"/>
      <c r="AS125" s="1"/>
      <c r="AT125" s="1"/>
      <c r="AU125" s="9"/>
    </row>
    <row r="126">
      <c r="A126" s="54"/>
      <c r="B126" s="71" t="str">
        <f>IFERROR(HYPERLINK(VLOOKUP(A126,Internal_lists_bugs!$A$2:$C$73,3,FALSE()), VLOOKUP(A126,Internal_lists_bugs!$A$2:$C$73,3,FALSE())&amp;Char(10) &amp; Char(10) &amp; VLOOKUP(A126,Internal_lists_bugs!$A$2:$Z$73,26,FALSE())),"please select a BUG ID")</f>
        <v>please select a BUG ID</v>
      </c>
      <c r="C126" s="51" t="str">
        <f>IFERROR(VLOOKUP(A126,Internal_lists_bugs!$A$2:$G2002,7,FALSE()),"please select a BUG ID")</f>
        <v>please select a BUG ID</v>
      </c>
      <c r="D126" s="54"/>
      <c r="E126" s="53"/>
      <c r="F126" s="54"/>
      <c r="G126" s="53"/>
      <c r="H126" s="54"/>
      <c r="I126" s="53"/>
      <c r="J126" s="54"/>
      <c r="K126" s="92"/>
      <c r="L126" s="54"/>
      <c r="M126" s="92"/>
      <c r="N126" s="54"/>
      <c r="O126" s="92"/>
      <c r="P126" s="54"/>
      <c r="Q126" s="92"/>
      <c r="R126" s="54"/>
      <c r="S126" s="92"/>
      <c r="T126" s="117"/>
      <c r="U126" s="92"/>
      <c r="V126" s="54"/>
      <c r="W126" s="92"/>
      <c r="X126" s="54"/>
      <c r="Y126" s="92"/>
      <c r="Z126" s="54"/>
      <c r="AA126" s="92"/>
      <c r="AB126" s="54"/>
      <c r="AC126" s="92"/>
      <c r="AD126" s="54"/>
      <c r="AE126" s="92"/>
      <c r="AF126" s="54"/>
      <c r="AG126" s="92"/>
      <c r="AH126" s="54"/>
      <c r="AI126" s="92"/>
      <c r="AJ126" s="54"/>
      <c r="AK126" s="92"/>
      <c r="AL126" s="54"/>
      <c r="AM126" s="92"/>
      <c r="AO126" s="54"/>
      <c r="AP126" s="123"/>
      <c r="AQ126" s="54"/>
      <c r="AR126" s="154"/>
      <c r="AS126" s="1"/>
      <c r="AT126" s="1"/>
      <c r="AU126" s="9"/>
    </row>
    <row r="127">
      <c r="A127" s="54"/>
      <c r="B127" s="71" t="str">
        <f>IFERROR(HYPERLINK(VLOOKUP(A127,Internal_lists_bugs!$A$2:$C$73,3,FALSE()), VLOOKUP(A127,Internal_lists_bugs!$A$2:$C$73,3,FALSE())&amp;Char(10) &amp; Char(10) &amp; VLOOKUP(A127,Internal_lists_bugs!$A$2:$Z$73,26,FALSE())),"please select a BUG ID")</f>
        <v>please select a BUG ID</v>
      </c>
      <c r="C127" s="51" t="str">
        <f>IFERROR(VLOOKUP(A127,Internal_lists_bugs!$A$2:$G2002,7,FALSE()),"please select a BUG ID")</f>
        <v>please select a BUG ID</v>
      </c>
      <c r="D127" s="54"/>
      <c r="E127" s="53"/>
      <c r="F127" s="54"/>
      <c r="G127" s="53"/>
      <c r="H127" s="54"/>
      <c r="I127" s="53"/>
      <c r="J127" s="54"/>
      <c r="K127" s="92"/>
      <c r="L127" s="54"/>
      <c r="M127" s="92"/>
      <c r="N127" s="54"/>
      <c r="O127" s="92"/>
      <c r="P127" s="54"/>
      <c r="Q127" s="92"/>
      <c r="R127" s="54"/>
      <c r="S127" s="92"/>
      <c r="T127" s="117"/>
      <c r="U127" s="92"/>
      <c r="V127" s="54"/>
      <c r="W127" s="92"/>
      <c r="X127" s="54"/>
      <c r="Y127" s="92"/>
      <c r="Z127" s="54"/>
      <c r="AA127" s="92"/>
      <c r="AB127" s="54"/>
      <c r="AC127" s="92"/>
      <c r="AD127" s="54"/>
      <c r="AE127" s="92"/>
      <c r="AF127" s="54"/>
      <c r="AG127" s="92"/>
      <c r="AH127" s="54"/>
      <c r="AI127" s="92"/>
      <c r="AJ127" s="54"/>
      <c r="AK127" s="92"/>
      <c r="AL127" s="54"/>
      <c r="AM127" s="92"/>
      <c r="AO127" s="54"/>
      <c r="AP127" s="123"/>
      <c r="AQ127" s="54"/>
      <c r="AR127" s="154"/>
      <c r="AS127" s="1"/>
      <c r="AT127" s="1"/>
      <c r="AU127" s="9"/>
    </row>
    <row r="128">
      <c r="A128" s="54"/>
      <c r="B128" s="71" t="str">
        <f>IFERROR(HYPERLINK(VLOOKUP(A128,Internal_lists_bugs!$A$2:$C$73,3,FALSE()), VLOOKUP(A128,Internal_lists_bugs!$A$2:$C$73,3,FALSE())&amp;Char(10) &amp; Char(10) &amp; VLOOKUP(A128,Internal_lists_bugs!$A$2:$Z$73,26,FALSE())),"please select a BUG ID")</f>
        <v>please select a BUG ID</v>
      </c>
      <c r="C128" s="51" t="str">
        <f>IFERROR(VLOOKUP(A128,Internal_lists_bugs!$A$2:$G2002,7,FALSE()),"please select a BUG ID")</f>
        <v>please select a BUG ID</v>
      </c>
      <c r="D128" s="54"/>
      <c r="E128" s="53"/>
      <c r="F128" s="54"/>
      <c r="G128" s="53"/>
      <c r="H128" s="54"/>
      <c r="I128" s="53"/>
      <c r="J128" s="54"/>
      <c r="K128" s="92"/>
      <c r="L128" s="54"/>
      <c r="M128" s="92"/>
      <c r="N128" s="54"/>
      <c r="O128" s="92"/>
      <c r="P128" s="54"/>
      <c r="Q128" s="92"/>
      <c r="R128" s="54"/>
      <c r="S128" s="92"/>
      <c r="T128" s="117"/>
      <c r="U128" s="92"/>
      <c r="V128" s="54"/>
      <c r="W128" s="92"/>
      <c r="X128" s="54"/>
      <c r="Y128" s="92"/>
      <c r="Z128" s="54"/>
      <c r="AA128" s="92"/>
      <c r="AB128" s="54"/>
      <c r="AC128" s="92"/>
      <c r="AD128" s="54"/>
      <c r="AE128" s="92"/>
      <c r="AF128" s="54"/>
      <c r="AG128" s="92"/>
      <c r="AH128" s="54"/>
      <c r="AI128" s="92"/>
      <c r="AJ128" s="54"/>
      <c r="AK128" s="92"/>
      <c r="AL128" s="54"/>
      <c r="AM128" s="92"/>
      <c r="AO128" s="54"/>
      <c r="AP128" s="123"/>
      <c r="AQ128" s="54"/>
      <c r="AR128" s="154"/>
      <c r="AS128" s="1"/>
      <c r="AT128" s="1"/>
      <c r="AU128" s="9"/>
    </row>
    <row r="129">
      <c r="A129" s="54"/>
      <c r="B129" s="71" t="str">
        <f>IFERROR(HYPERLINK(VLOOKUP(A129,Internal_lists_bugs!$A$2:$C$73,3,FALSE()), VLOOKUP(A129,Internal_lists_bugs!$A$2:$C$73,3,FALSE())&amp;Char(10) &amp; Char(10) &amp; VLOOKUP(A129,Internal_lists_bugs!$A$2:$Z$73,26,FALSE())),"please select a BUG ID")</f>
        <v>please select a BUG ID</v>
      </c>
      <c r="C129" s="51" t="str">
        <f>IFERROR(VLOOKUP(A129,Internal_lists_bugs!$A$2:$G2002,7,FALSE()),"please select a BUG ID")</f>
        <v>please select a BUG ID</v>
      </c>
      <c r="D129" s="54"/>
      <c r="E129" s="53"/>
      <c r="F129" s="54"/>
      <c r="G129" s="53"/>
      <c r="H129" s="54"/>
      <c r="I129" s="53"/>
      <c r="J129" s="54"/>
      <c r="K129" s="92"/>
      <c r="L129" s="54"/>
      <c r="M129" s="92"/>
      <c r="N129" s="54"/>
      <c r="O129" s="92"/>
      <c r="P129" s="54"/>
      <c r="Q129" s="92"/>
      <c r="R129" s="54"/>
      <c r="S129" s="92"/>
      <c r="T129" s="117"/>
      <c r="U129" s="92"/>
      <c r="V129" s="54"/>
      <c r="W129" s="92"/>
      <c r="X129" s="54"/>
      <c r="Y129" s="92"/>
      <c r="Z129" s="54"/>
      <c r="AA129" s="92"/>
      <c r="AB129" s="54"/>
      <c r="AC129" s="92"/>
      <c r="AD129" s="54"/>
      <c r="AE129" s="92"/>
      <c r="AF129" s="54"/>
      <c r="AG129" s="92"/>
      <c r="AH129" s="54"/>
      <c r="AI129" s="92"/>
      <c r="AJ129" s="54"/>
      <c r="AK129" s="92"/>
      <c r="AL129" s="54"/>
      <c r="AM129" s="92"/>
      <c r="AO129" s="54"/>
      <c r="AP129" s="123"/>
      <c r="AQ129" s="54"/>
      <c r="AR129" s="154"/>
      <c r="AS129" s="1"/>
      <c r="AT129" s="1"/>
      <c r="AU129" s="9"/>
    </row>
    <row r="130">
      <c r="A130" s="54"/>
      <c r="B130" s="71" t="str">
        <f>IFERROR(HYPERLINK(VLOOKUP(A130,Internal_lists_bugs!$A$2:$C$73,3,FALSE()), VLOOKUP(A130,Internal_lists_bugs!$A$2:$C$73,3,FALSE())&amp;Char(10) &amp; Char(10) &amp; VLOOKUP(A130,Internal_lists_bugs!$A$2:$Z$73,26,FALSE())),"please select a BUG ID")</f>
        <v>please select a BUG ID</v>
      </c>
      <c r="C130" s="51" t="str">
        <f>IFERROR(VLOOKUP(A130,Internal_lists_bugs!$A$2:$G2002,7,FALSE()),"please select a BUG ID")</f>
        <v>please select a BUG ID</v>
      </c>
      <c r="D130" s="54"/>
      <c r="E130" s="53"/>
      <c r="F130" s="54"/>
      <c r="G130" s="53"/>
      <c r="H130" s="54"/>
      <c r="I130" s="53"/>
      <c r="J130" s="54"/>
      <c r="K130" s="92"/>
      <c r="L130" s="54"/>
      <c r="M130" s="92"/>
      <c r="N130" s="54"/>
      <c r="O130" s="92"/>
      <c r="P130" s="54"/>
      <c r="Q130" s="92"/>
      <c r="R130" s="54"/>
      <c r="S130" s="92"/>
      <c r="T130" s="117"/>
      <c r="U130" s="92"/>
      <c r="V130" s="54"/>
      <c r="W130" s="92"/>
      <c r="X130" s="54"/>
      <c r="Y130" s="92"/>
      <c r="Z130" s="54"/>
      <c r="AA130" s="92"/>
      <c r="AB130" s="54"/>
      <c r="AC130" s="92"/>
      <c r="AD130" s="54"/>
      <c r="AE130" s="92"/>
      <c r="AF130" s="54"/>
      <c r="AG130" s="92"/>
      <c r="AH130" s="54"/>
      <c r="AI130" s="92"/>
      <c r="AJ130" s="54"/>
      <c r="AK130" s="92"/>
      <c r="AL130" s="54"/>
      <c r="AM130" s="92"/>
      <c r="AO130" s="54"/>
      <c r="AP130" s="123"/>
      <c r="AQ130" s="54"/>
      <c r="AR130" s="154"/>
      <c r="AS130" s="1"/>
      <c r="AT130" s="1"/>
      <c r="AU130" s="9"/>
    </row>
    <row r="131">
      <c r="A131" s="54"/>
      <c r="B131" s="71" t="str">
        <f>IFERROR(HYPERLINK(VLOOKUP(A131,Internal_lists_bugs!$A$2:$C$73,3,FALSE()), VLOOKUP(A131,Internal_lists_bugs!$A$2:$C$73,3,FALSE())&amp;Char(10) &amp; Char(10) &amp; VLOOKUP(A131,Internal_lists_bugs!$A$2:$Z$73,26,FALSE())),"please select a BUG ID")</f>
        <v>please select a BUG ID</v>
      </c>
      <c r="C131" s="51" t="str">
        <f>IFERROR(VLOOKUP(A131,Internal_lists_bugs!$A$2:$G2002,7,FALSE()),"please select a BUG ID")</f>
        <v>please select a BUG ID</v>
      </c>
      <c r="D131" s="54"/>
      <c r="E131" s="53"/>
      <c r="F131" s="54"/>
      <c r="G131" s="53"/>
      <c r="H131" s="54"/>
      <c r="I131" s="53"/>
      <c r="J131" s="54"/>
      <c r="K131" s="92"/>
      <c r="L131" s="54"/>
      <c r="M131" s="92"/>
      <c r="N131" s="54"/>
      <c r="O131" s="92"/>
      <c r="P131" s="54"/>
      <c r="Q131" s="92"/>
      <c r="R131" s="54"/>
      <c r="S131" s="92"/>
      <c r="T131" s="117"/>
      <c r="U131" s="92"/>
      <c r="V131" s="54"/>
      <c r="W131" s="92"/>
      <c r="X131" s="54"/>
      <c r="Y131" s="92"/>
      <c r="Z131" s="54"/>
      <c r="AA131" s="92"/>
      <c r="AB131" s="54"/>
      <c r="AC131" s="92"/>
      <c r="AD131" s="54"/>
      <c r="AE131" s="92"/>
      <c r="AF131" s="54"/>
      <c r="AG131" s="92"/>
      <c r="AH131" s="54"/>
      <c r="AI131" s="92"/>
      <c r="AJ131" s="54"/>
      <c r="AK131" s="92"/>
      <c r="AL131" s="54"/>
      <c r="AM131" s="92"/>
      <c r="AO131" s="54"/>
      <c r="AP131" s="123"/>
      <c r="AQ131" s="54"/>
      <c r="AR131" s="154"/>
      <c r="AS131" s="1"/>
      <c r="AT131" s="1"/>
      <c r="AU131" s="9"/>
    </row>
    <row r="132">
      <c r="A132" s="54"/>
      <c r="B132" s="71" t="str">
        <f>IFERROR(HYPERLINK(VLOOKUP(A132,Internal_lists_bugs!$A$2:$C$73,3,FALSE()), VLOOKUP(A132,Internal_lists_bugs!$A$2:$C$73,3,FALSE())&amp;Char(10) &amp; Char(10) &amp; VLOOKUP(A132,Internal_lists_bugs!$A$2:$Z$73,26,FALSE())),"please select a BUG ID")</f>
        <v>please select a BUG ID</v>
      </c>
      <c r="C132" s="51" t="str">
        <f>IFERROR(VLOOKUP(A132,Internal_lists_bugs!$A$2:$G2002,7,FALSE()),"please select a BUG ID")</f>
        <v>please select a BUG ID</v>
      </c>
      <c r="D132" s="54"/>
      <c r="E132" s="53"/>
      <c r="F132" s="54"/>
      <c r="G132" s="53"/>
      <c r="H132" s="54"/>
      <c r="I132" s="53"/>
      <c r="J132" s="54"/>
      <c r="K132" s="92"/>
      <c r="L132" s="54"/>
      <c r="M132" s="92"/>
      <c r="N132" s="54"/>
      <c r="O132" s="92"/>
      <c r="P132" s="54"/>
      <c r="Q132" s="92"/>
      <c r="R132" s="54"/>
      <c r="S132" s="92"/>
      <c r="T132" s="117"/>
      <c r="U132" s="92"/>
      <c r="V132" s="54"/>
      <c r="W132" s="92"/>
      <c r="X132" s="54"/>
      <c r="Y132" s="92"/>
      <c r="Z132" s="54"/>
      <c r="AA132" s="92"/>
      <c r="AB132" s="54"/>
      <c r="AC132" s="92"/>
      <c r="AD132" s="54"/>
      <c r="AE132" s="92"/>
      <c r="AF132" s="54"/>
      <c r="AG132" s="92"/>
      <c r="AH132" s="54"/>
      <c r="AI132" s="92"/>
      <c r="AJ132" s="54"/>
      <c r="AK132" s="92"/>
      <c r="AL132" s="54"/>
      <c r="AM132" s="92"/>
      <c r="AO132" s="54"/>
      <c r="AP132" s="123"/>
      <c r="AQ132" s="54"/>
      <c r="AR132" s="154"/>
      <c r="AS132" s="1"/>
      <c r="AT132" s="1"/>
      <c r="AU132" s="9"/>
    </row>
    <row r="133">
      <c r="A133" s="54"/>
      <c r="B133" s="71" t="str">
        <f>IFERROR(HYPERLINK(VLOOKUP(A133,Internal_lists_bugs!$A$2:$C$73,3,FALSE()), VLOOKUP(A133,Internal_lists_bugs!$A$2:$C$73,3,FALSE())&amp;Char(10) &amp; Char(10) &amp; VLOOKUP(A133,Internal_lists_bugs!$A$2:$Z$73,26,FALSE())),"please select a BUG ID")</f>
        <v>please select a BUG ID</v>
      </c>
      <c r="C133" s="51" t="str">
        <f>IFERROR(VLOOKUP(A133,Internal_lists_bugs!$A$2:$G2002,7,FALSE()),"please select a BUG ID")</f>
        <v>please select a BUG ID</v>
      </c>
      <c r="D133" s="54"/>
      <c r="E133" s="53"/>
      <c r="F133" s="54"/>
      <c r="G133" s="53"/>
      <c r="H133" s="54"/>
      <c r="I133" s="53"/>
      <c r="J133" s="54"/>
      <c r="K133" s="92"/>
      <c r="L133" s="54"/>
      <c r="M133" s="92"/>
      <c r="N133" s="54"/>
      <c r="O133" s="92"/>
      <c r="P133" s="54"/>
      <c r="Q133" s="92"/>
      <c r="R133" s="54"/>
      <c r="S133" s="92"/>
      <c r="T133" s="117"/>
      <c r="U133" s="92"/>
      <c r="V133" s="54"/>
      <c r="W133" s="92"/>
      <c r="X133" s="54"/>
      <c r="Y133" s="92"/>
      <c r="Z133" s="54"/>
      <c r="AA133" s="92"/>
      <c r="AB133" s="54"/>
      <c r="AC133" s="92"/>
      <c r="AD133" s="54"/>
      <c r="AE133" s="92"/>
      <c r="AF133" s="54"/>
      <c r="AG133" s="92"/>
      <c r="AH133" s="54"/>
      <c r="AI133" s="92"/>
      <c r="AJ133" s="54"/>
      <c r="AK133" s="92"/>
      <c r="AL133" s="54"/>
      <c r="AM133" s="92"/>
      <c r="AO133" s="54"/>
      <c r="AP133" s="123"/>
      <c r="AQ133" s="54"/>
      <c r="AR133" s="154"/>
      <c r="AS133" s="1"/>
      <c r="AT133" s="1"/>
      <c r="AU133" s="9"/>
    </row>
    <row r="134">
      <c r="A134" s="54"/>
      <c r="B134" s="71" t="str">
        <f>IFERROR(HYPERLINK(VLOOKUP(A134,Internal_lists_bugs!$A$2:$C$73,3,FALSE()), VLOOKUP(A134,Internal_lists_bugs!$A$2:$C$73,3,FALSE())&amp;Char(10) &amp; Char(10) &amp; VLOOKUP(A134,Internal_lists_bugs!$A$2:$Z$73,26,FALSE())),"please select a BUG ID")</f>
        <v>please select a BUG ID</v>
      </c>
      <c r="C134" s="51" t="str">
        <f>IFERROR(VLOOKUP(A134,Internal_lists_bugs!$A$2:$G2002,7,FALSE()),"please select a BUG ID")</f>
        <v>please select a BUG ID</v>
      </c>
      <c r="D134" s="54"/>
      <c r="E134" s="53"/>
      <c r="F134" s="54"/>
      <c r="G134" s="53"/>
      <c r="H134" s="54"/>
      <c r="I134" s="53"/>
      <c r="J134" s="54"/>
      <c r="K134" s="92"/>
      <c r="L134" s="54"/>
      <c r="M134" s="92"/>
      <c r="N134" s="54"/>
      <c r="O134" s="92"/>
      <c r="P134" s="54"/>
      <c r="Q134" s="92"/>
      <c r="R134" s="54"/>
      <c r="S134" s="92"/>
      <c r="T134" s="117"/>
      <c r="U134" s="92"/>
      <c r="V134" s="54"/>
      <c r="W134" s="92"/>
      <c r="X134" s="54"/>
      <c r="Y134" s="92"/>
      <c r="Z134" s="54"/>
      <c r="AA134" s="92"/>
      <c r="AB134" s="54"/>
      <c r="AC134" s="92"/>
      <c r="AD134" s="54"/>
      <c r="AE134" s="92"/>
      <c r="AF134" s="54"/>
      <c r="AG134" s="92"/>
      <c r="AH134" s="54"/>
      <c r="AI134" s="92"/>
      <c r="AJ134" s="54"/>
      <c r="AK134" s="92"/>
      <c r="AL134" s="54"/>
      <c r="AM134" s="92"/>
      <c r="AO134" s="54"/>
      <c r="AP134" s="123"/>
      <c r="AQ134" s="54"/>
      <c r="AR134" s="154"/>
      <c r="AS134" s="1"/>
      <c r="AT134" s="1"/>
      <c r="AU134" s="9"/>
    </row>
    <row r="135">
      <c r="A135" s="54"/>
      <c r="B135" s="71" t="str">
        <f>IFERROR(HYPERLINK(VLOOKUP(A135,Internal_lists_bugs!$A$2:$C$73,3,FALSE()), VLOOKUP(A135,Internal_lists_bugs!$A$2:$C$73,3,FALSE())&amp;Char(10) &amp; Char(10) &amp; VLOOKUP(A135,Internal_lists_bugs!$A$2:$Z$73,26,FALSE())),"please select a BUG ID")</f>
        <v>please select a BUG ID</v>
      </c>
      <c r="C135" s="51" t="str">
        <f>IFERROR(VLOOKUP(A135,Internal_lists_bugs!$A$2:$G2002,7,FALSE()),"please select a BUG ID")</f>
        <v>please select a BUG ID</v>
      </c>
      <c r="D135" s="54"/>
      <c r="E135" s="53"/>
      <c r="F135" s="54"/>
      <c r="G135" s="53"/>
      <c r="H135" s="54"/>
      <c r="I135" s="53"/>
      <c r="J135" s="54"/>
      <c r="K135" s="92"/>
      <c r="L135" s="54"/>
      <c r="M135" s="92"/>
      <c r="N135" s="54"/>
      <c r="O135" s="92"/>
      <c r="P135" s="54"/>
      <c r="Q135" s="92"/>
      <c r="R135" s="54"/>
      <c r="S135" s="92"/>
      <c r="T135" s="117"/>
      <c r="U135" s="92"/>
      <c r="V135" s="54"/>
      <c r="W135" s="92"/>
      <c r="X135" s="54"/>
      <c r="Y135" s="92"/>
      <c r="Z135" s="54"/>
      <c r="AA135" s="92"/>
      <c r="AB135" s="54"/>
      <c r="AC135" s="92"/>
      <c r="AD135" s="54"/>
      <c r="AE135" s="92"/>
      <c r="AF135" s="54"/>
      <c r="AG135" s="92"/>
      <c r="AH135" s="54"/>
      <c r="AI135" s="92"/>
      <c r="AJ135" s="54"/>
      <c r="AK135" s="92"/>
      <c r="AL135" s="54"/>
      <c r="AM135" s="92"/>
      <c r="AO135" s="54"/>
      <c r="AP135" s="123"/>
      <c r="AQ135" s="54"/>
      <c r="AR135" s="154"/>
      <c r="AS135" s="1"/>
      <c r="AT135" s="1"/>
      <c r="AU135" s="9"/>
    </row>
    <row r="136">
      <c r="A136" s="54"/>
      <c r="B136" s="71" t="str">
        <f>IFERROR(HYPERLINK(VLOOKUP(A136,Internal_lists_bugs!$A$2:$C$73,3,FALSE()), VLOOKUP(A136,Internal_lists_bugs!$A$2:$C$73,3,FALSE())&amp;Char(10) &amp; Char(10) &amp; VLOOKUP(A136,Internal_lists_bugs!$A$2:$Z$73,26,FALSE())),"please select a BUG ID")</f>
        <v>please select a BUG ID</v>
      </c>
      <c r="C136" s="51" t="str">
        <f>IFERROR(VLOOKUP(A136,Internal_lists_bugs!$A$2:$G2002,7,FALSE()),"please select a BUG ID")</f>
        <v>please select a BUG ID</v>
      </c>
      <c r="D136" s="54"/>
      <c r="E136" s="53"/>
      <c r="F136" s="54"/>
      <c r="G136" s="53"/>
      <c r="H136" s="54"/>
      <c r="I136" s="53"/>
      <c r="J136" s="54"/>
      <c r="K136" s="92"/>
      <c r="L136" s="54"/>
      <c r="M136" s="92"/>
      <c r="N136" s="54"/>
      <c r="O136" s="92"/>
      <c r="P136" s="54"/>
      <c r="Q136" s="92"/>
      <c r="R136" s="54"/>
      <c r="S136" s="92"/>
      <c r="T136" s="117"/>
      <c r="U136" s="92"/>
      <c r="V136" s="54"/>
      <c r="W136" s="92"/>
      <c r="X136" s="54"/>
      <c r="Y136" s="92"/>
      <c r="Z136" s="54"/>
      <c r="AA136" s="92"/>
      <c r="AB136" s="54"/>
      <c r="AC136" s="92"/>
      <c r="AD136" s="54"/>
      <c r="AE136" s="92"/>
      <c r="AF136" s="54"/>
      <c r="AG136" s="92"/>
      <c r="AH136" s="54"/>
      <c r="AI136" s="92"/>
      <c r="AJ136" s="54"/>
      <c r="AK136" s="92"/>
      <c r="AL136" s="54"/>
      <c r="AM136" s="92"/>
      <c r="AO136" s="54"/>
      <c r="AP136" s="123"/>
      <c r="AQ136" s="54"/>
      <c r="AR136" s="154"/>
      <c r="AS136" s="1"/>
      <c r="AT136" s="1"/>
      <c r="AU136" s="9"/>
    </row>
    <row r="137">
      <c r="A137" s="54"/>
      <c r="B137" s="71" t="str">
        <f>IFERROR(HYPERLINK(VLOOKUP(A137,Internal_lists_bugs!$A$2:$C$73,3,FALSE()), VLOOKUP(A137,Internal_lists_bugs!$A$2:$C$73,3,FALSE())&amp;Char(10) &amp; Char(10) &amp; VLOOKUP(A137,Internal_lists_bugs!$A$2:$Z$73,26,FALSE())),"please select a BUG ID")</f>
        <v>please select a BUG ID</v>
      </c>
      <c r="C137" s="51" t="str">
        <f>IFERROR(VLOOKUP(A137,Internal_lists_bugs!$A$2:$G2002,7,FALSE()),"please select a BUG ID")</f>
        <v>please select a BUG ID</v>
      </c>
      <c r="D137" s="54"/>
      <c r="E137" s="53"/>
      <c r="F137" s="54"/>
      <c r="G137" s="53"/>
      <c r="H137" s="54"/>
      <c r="I137" s="53"/>
      <c r="J137" s="54"/>
      <c r="K137" s="92"/>
      <c r="L137" s="54"/>
      <c r="M137" s="92"/>
      <c r="N137" s="54"/>
      <c r="O137" s="92"/>
      <c r="P137" s="54"/>
      <c r="Q137" s="92"/>
      <c r="R137" s="54"/>
      <c r="S137" s="92"/>
      <c r="T137" s="117"/>
      <c r="U137" s="92"/>
      <c r="V137" s="54"/>
      <c r="W137" s="92"/>
      <c r="X137" s="54"/>
      <c r="Y137" s="92"/>
      <c r="Z137" s="54"/>
      <c r="AA137" s="92"/>
      <c r="AB137" s="54"/>
      <c r="AC137" s="92"/>
      <c r="AD137" s="54"/>
      <c r="AE137" s="92"/>
      <c r="AF137" s="54"/>
      <c r="AG137" s="92"/>
      <c r="AH137" s="54"/>
      <c r="AI137" s="92"/>
      <c r="AJ137" s="54"/>
      <c r="AK137" s="92"/>
      <c r="AL137" s="54"/>
      <c r="AM137" s="92"/>
      <c r="AO137" s="54"/>
      <c r="AP137" s="123"/>
      <c r="AQ137" s="54"/>
      <c r="AR137" s="154"/>
      <c r="AS137" s="1"/>
      <c r="AT137" s="1"/>
      <c r="AU137" s="9"/>
    </row>
    <row r="138">
      <c r="A138" s="54"/>
      <c r="B138" s="71" t="str">
        <f>IFERROR(HYPERLINK(VLOOKUP(A138,Internal_lists_bugs!$A$2:$C$73,3,FALSE()), VLOOKUP(A138,Internal_lists_bugs!$A$2:$C$73,3,FALSE())&amp;Char(10) &amp; Char(10) &amp; VLOOKUP(A138,Internal_lists_bugs!$A$2:$Z$73,26,FALSE())),"please select a BUG ID")</f>
        <v>please select a BUG ID</v>
      </c>
      <c r="C138" s="51" t="str">
        <f>IFERROR(VLOOKUP(A138,Internal_lists_bugs!$A$2:$G2002,7,FALSE()),"please select a BUG ID")</f>
        <v>please select a BUG ID</v>
      </c>
      <c r="D138" s="54"/>
      <c r="E138" s="53"/>
      <c r="F138" s="54"/>
      <c r="G138" s="53"/>
      <c r="H138" s="54"/>
      <c r="I138" s="53"/>
      <c r="J138" s="54"/>
      <c r="K138" s="92"/>
      <c r="L138" s="54"/>
      <c r="M138" s="92"/>
      <c r="N138" s="54"/>
      <c r="O138" s="92"/>
      <c r="P138" s="54"/>
      <c r="Q138" s="92"/>
      <c r="R138" s="54"/>
      <c r="S138" s="92"/>
      <c r="T138" s="117"/>
      <c r="U138" s="92"/>
      <c r="V138" s="54"/>
      <c r="W138" s="92"/>
      <c r="X138" s="54"/>
      <c r="Y138" s="92"/>
      <c r="Z138" s="54"/>
      <c r="AA138" s="92"/>
      <c r="AB138" s="54"/>
      <c r="AC138" s="92"/>
      <c r="AD138" s="54"/>
      <c r="AE138" s="92"/>
      <c r="AF138" s="54"/>
      <c r="AG138" s="92"/>
      <c r="AH138" s="54"/>
      <c r="AI138" s="92"/>
      <c r="AJ138" s="54"/>
      <c r="AK138" s="92"/>
      <c r="AL138" s="54"/>
      <c r="AM138" s="92"/>
      <c r="AO138" s="54"/>
      <c r="AP138" s="123"/>
      <c r="AQ138" s="54"/>
      <c r="AR138" s="154"/>
      <c r="AS138" s="1"/>
      <c r="AT138" s="1"/>
      <c r="AU138" s="9"/>
    </row>
    <row r="139">
      <c r="A139" s="54"/>
      <c r="B139" s="71" t="str">
        <f>IFERROR(HYPERLINK(VLOOKUP(A139,Internal_lists_bugs!$A$2:$C$73,3,FALSE()), VLOOKUP(A139,Internal_lists_bugs!$A$2:$C$73,3,FALSE())&amp;Char(10) &amp; Char(10) &amp; VLOOKUP(A139,Internal_lists_bugs!$A$2:$Z$73,26,FALSE())),"please select a BUG ID")</f>
        <v>please select a BUG ID</v>
      </c>
      <c r="C139" s="51" t="str">
        <f>IFERROR(VLOOKUP(A139,Internal_lists_bugs!$A$2:$G2002,7,FALSE()),"please select a BUG ID")</f>
        <v>please select a BUG ID</v>
      </c>
      <c r="D139" s="54"/>
      <c r="E139" s="53"/>
      <c r="F139" s="54"/>
      <c r="G139" s="53"/>
      <c r="H139" s="54"/>
      <c r="I139" s="53"/>
      <c r="J139" s="54"/>
      <c r="K139" s="92"/>
      <c r="L139" s="54"/>
      <c r="M139" s="92"/>
      <c r="N139" s="54"/>
      <c r="O139" s="92"/>
      <c r="P139" s="54"/>
      <c r="Q139" s="92"/>
      <c r="R139" s="54"/>
      <c r="S139" s="92"/>
      <c r="T139" s="117"/>
      <c r="U139" s="92"/>
      <c r="V139" s="54"/>
      <c r="W139" s="92"/>
      <c r="X139" s="54"/>
      <c r="Y139" s="92"/>
      <c r="Z139" s="54"/>
      <c r="AA139" s="92"/>
      <c r="AB139" s="54"/>
      <c r="AC139" s="92"/>
      <c r="AD139" s="54"/>
      <c r="AE139" s="92"/>
      <c r="AF139" s="54"/>
      <c r="AG139" s="92"/>
      <c r="AH139" s="54"/>
      <c r="AI139" s="92"/>
      <c r="AJ139" s="54"/>
      <c r="AK139" s="92"/>
      <c r="AL139" s="54"/>
      <c r="AM139" s="92"/>
      <c r="AO139" s="54"/>
      <c r="AP139" s="123"/>
      <c r="AQ139" s="54"/>
      <c r="AR139" s="154"/>
      <c r="AS139" s="1"/>
      <c r="AT139" s="1"/>
      <c r="AU139" s="9"/>
    </row>
    <row r="140">
      <c r="A140" s="54"/>
      <c r="B140" s="71" t="str">
        <f>IFERROR(HYPERLINK(VLOOKUP(A140,Internal_lists_bugs!$A$2:$C$73,3,FALSE()), VLOOKUP(A140,Internal_lists_bugs!$A$2:$C$73,3,FALSE())&amp;Char(10) &amp; Char(10) &amp; VLOOKUP(A140,Internal_lists_bugs!$A$2:$Z$73,26,FALSE())),"please select a BUG ID")</f>
        <v>please select a BUG ID</v>
      </c>
      <c r="C140" s="51" t="str">
        <f>IFERROR(VLOOKUP(A140,Internal_lists_bugs!$A$2:$G2002,7,FALSE()),"please select a BUG ID")</f>
        <v>please select a BUG ID</v>
      </c>
      <c r="D140" s="54"/>
      <c r="E140" s="53"/>
      <c r="F140" s="54"/>
      <c r="G140" s="53"/>
      <c r="H140" s="54"/>
      <c r="I140" s="53"/>
      <c r="J140" s="54"/>
      <c r="K140" s="92"/>
      <c r="L140" s="54"/>
      <c r="M140" s="92"/>
      <c r="N140" s="54"/>
      <c r="O140" s="92"/>
      <c r="P140" s="54"/>
      <c r="Q140" s="92"/>
      <c r="R140" s="54"/>
      <c r="S140" s="92"/>
      <c r="T140" s="117"/>
      <c r="U140" s="92"/>
      <c r="V140" s="54"/>
      <c r="W140" s="92"/>
      <c r="X140" s="54"/>
      <c r="Y140" s="92"/>
      <c r="Z140" s="54"/>
      <c r="AA140" s="92"/>
      <c r="AB140" s="54"/>
      <c r="AC140" s="92"/>
      <c r="AD140" s="54"/>
      <c r="AE140" s="92"/>
      <c r="AF140" s="54"/>
      <c r="AG140" s="92"/>
      <c r="AH140" s="54"/>
      <c r="AI140" s="92"/>
      <c r="AJ140" s="54"/>
      <c r="AK140" s="92"/>
      <c r="AL140" s="54"/>
      <c r="AM140" s="92"/>
      <c r="AO140" s="54"/>
      <c r="AP140" s="123"/>
      <c r="AQ140" s="54"/>
      <c r="AR140" s="154"/>
      <c r="AS140" s="1"/>
      <c r="AT140" s="1"/>
      <c r="AU140" s="9"/>
    </row>
    <row r="141">
      <c r="A141" s="54"/>
      <c r="B141" s="71" t="str">
        <f>IFERROR(HYPERLINK(VLOOKUP(A141,Internal_lists_bugs!$A$2:$C$73,3,FALSE()), VLOOKUP(A141,Internal_lists_bugs!$A$2:$C$73,3,FALSE())&amp;Char(10) &amp; Char(10) &amp; VLOOKUP(A141,Internal_lists_bugs!$A$2:$Z$73,26,FALSE())),"please select a BUG ID")</f>
        <v>please select a BUG ID</v>
      </c>
      <c r="C141" s="51" t="str">
        <f>IFERROR(VLOOKUP(A141,Internal_lists_bugs!$A$2:$G2002,7,FALSE()),"please select a BUG ID")</f>
        <v>please select a BUG ID</v>
      </c>
      <c r="D141" s="54"/>
      <c r="E141" s="53"/>
      <c r="F141" s="54"/>
      <c r="G141" s="53"/>
      <c r="H141" s="54"/>
      <c r="I141" s="53"/>
      <c r="J141" s="54"/>
      <c r="K141" s="92"/>
      <c r="L141" s="54"/>
      <c r="M141" s="92"/>
      <c r="N141" s="54"/>
      <c r="O141" s="92"/>
      <c r="P141" s="54"/>
      <c r="Q141" s="92"/>
      <c r="R141" s="54"/>
      <c r="S141" s="92"/>
      <c r="T141" s="117"/>
      <c r="U141" s="92"/>
      <c r="V141" s="54"/>
      <c r="W141" s="92"/>
      <c r="X141" s="54"/>
      <c r="Y141" s="92"/>
      <c r="Z141" s="54"/>
      <c r="AA141" s="92"/>
      <c r="AB141" s="54"/>
      <c r="AC141" s="92"/>
      <c r="AD141" s="54"/>
      <c r="AE141" s="92"/>
      <c r="AF141" s="54"/>
      <c r="AG141" s="92"/>
      <c r="AH141" s="54"/>
      <c r="AI141" s="92"/>
      <c r="AJ141" s="54"/>
      <c r="AK141" s="92"/>
      <c r="AL141" s="54"/>
      <c r="AM141" s="92"/>
      <c r="AO141" s="54"/>
      <c r="AP141" s="123"/>
      <c r="AQ141" s="54"/>
      <c r="AR141" s="154"/>
      <c r="AS141" s="1"/>
      <c r="AT141" s="1"/>
      <c r="AU141" s="9"/>
    </row>
    <row r="142">
      <c r="A142" s="54"/>
      <c r="B142" s="71" t="str">
        <f>IFERROR(HYPERLINK(VLOOKUP(A142,Internal_lists_bugs!$A$2:$C$73,3,FALSE()), VLOOKUP(A142,Internal_lists_bugs!$A$2:$C$73,3,FALSE())&amp;Char(10) &amp; Char(10) &amp; VLOOKUP(A142,Internal_lists_bugs!$A$2:$Z$73,26,FALSE())),"please select a BUG ID")</f>
        <v>please select a BUG ID</v>
      </c>
      <c r="C142" s="51" t="str">
        <f>IFERROR(VLOOKUP(A142,Internal_lists_bugs!$A$2:$G2002,7,FALSE()),"please select a BUG ID")</f>
        <v>please select a BUG ID</v>
      </c>
      <c r="D142" s="54"/>
      <c r="E142" s="53"/>
      <c r="F142" s="54"/>
      <c r="G142" s="53"/>
      <c r="H142" s="54"/>
      <c r="I142" s="53"/>
      <c r="J142" s="54"/>
      <c r="K142" s="92"/>
      <c r="L142" s="54"/>
      <c r="M142" s="92"/>
      <c r="N142" s="54"/>
      <c r="O142" s="92"/>
      <c r="P142" s="54"/>
      <c r="Q142" s="92"/>
      <c r="R142" s="54"/>
      <c r="S142" s="92"/>
      <c r="T142" s="117"/>
      <c r="U142" s="92"/>
      <c r="V142" s="54"/>
      <c r="W142" s="92"/>
      <c r="X142" s="54"/>
      <c r="Y142" s="92"/>
      <c r="Z142" s="54"/>
      <c r="AA142" s="92"/>
      <c r="AB142" s="54"/>
      <c r="AC142" s="92"/>
      <c r="AD142" s="54"/>
      <c r="AE142" s="92"/>
      <c r="AF142" s="54"/>
      <c r="AG142" s="92"/>
      <c r="AH142" s="54"/>
      <c r="AI142" s="92"/>
      <c r="AJ142" s="54"/>
      <c r="AK142" s="92"/>
      <c r="AL142" s="54"/>
      <c r="AM142" s="92"/>
      <c r="AO142" s="54"/>
      <c r="AP142" s="123"/>
      <c r="AQ142" s="54"/>
      <c r="AR142" s="154"/>
      <c r="AS142" s="1"/>
      <c r="AT142" s="1"/>
      <c r="AU142" s="9"/>
    </row>
    <row r="143">
      <c r="A143" s="54"/>
      <c r="B143" s="71" t="str">
        <f>IFERROR(HYPERLINK(VLOOKUP(A143,Internal_lists_bugs!$A$2:$C$73,3,FALSE()), VLOOKUP(A143,Internal_lists_bugs!$A$2:$C$73,3,FALSE())&amp;Char(10) &amp; Char(10) &amp; VLOOKUP(A143,Internal_lists_bugs!$A$2:$Z$73,26,FALSE())),"please select a BUG ID")</f>
        <v>please select a BUG ID</v>
      </c>
      <c r="C143" s="51" t="str">
        <f>IFERROR(VLOOKUP(A143,Internal_lists_bugs!$A$2:$G2002,7,FALSE()),"please select a BUG ID")</f>
        <v>please select a BUG ID</v>
      </c>
      <c r="D143" s="54"/>
      <c r="E143" s="53"/>
      <c r="F143" s="54"/>
      <c r="G143" s="53"/>
      <c r="H143" s="54"/>
      <c r="I143" s="53"/>
      <c r="J143" s="54"/>
      <c r="K143" s="92"/>
      <c r="L143" s="54"/>
      <c r="M143" s="92"/>
      <c r="N143" s="54"/>
      <c r="O143" s="92"/>
      <c r="P143" s="54"/>
      <c r="Q143" s="92"/>
      <c r="R143" s="54"/>
      <c r="S143" s="92"/>
      <c r="T143" s="117"/>
      <c r="U143" s="92"/>
      <c r="V143" s="54"/>
      <c r="W143" s="92"/>
      <c r="X143" s="54"/>
      <c r="Y143" s="92"/>
      <c r="Z143" s="54"/>
      <c r="AA143" s="92"/>
      <c r="AB143" s="54"/>
      <c r="AC143" s="92"/>
      <c r="AD143" s="54"/>
      <c r="AE143" s="92"/>
      <c r="AF143" s="54"/>
      <c r="AG143" s="92"/>
      <c r="AH143" s="54"/>
      <c r="AI143" s="92"/>
      <c r="AJ143" s="54"/>
      <c r="AK143" s="92"/>
      <c r="AL143" s="54"/>
      <c r="AM143" s="92"/>
      <c r="AO143" s="54"/>
      <c r="AP143" s="123"/>
      <c r="AQ143" s="54"/>
      <c r="AR143" s="154"/>
      <c r="AS143" s="1"/>
      <c r="AT143" s="1"/>
      <c r="AU143" s="9"/>
    </row>
    <row r="144">
      <c r="A144" s="54"/>
      <c r="B144" s="71" t="str">
        <f>IFERROR(HYPERLINK(VLOOKUP(A144,Internal_lists_bugs!$A$2:$C$73,3,FALSE()), VLOOKUP(A144,Internal_lists_bugs!$A$2:$C$73,3,FALSE())&amp;Char(10) &amp; Char(10) &amp; VLOOKUP(A144,Internal_lists_bugs!$A$2:$Z$73,26,FALSE())),"please select a BUG ID")</f>
        <v>please select a BUG ID</v>
      </c>
      <c r="C144" s="51" t="str">
        <f>IFERROR(VLOOKUP(A144,Internal_lists_bugs!$A$2:$G2002,7,FALSE()),"please select a BUG ID")</f>
        <v>please select a BUG ID</v>
      </c>
      <c r="D144" s="54"/>
      <c r="E144" s="53"/>
      <c r="F144" s="54"/>
      <c r="G144" s="53"/>
      <c r="H144" s="54"/>
      <c r="I144" s="53"/>
      <c r="J144" s="54"/>
      <c r="K144" s="92"/>
      <c r="L144" s="54"/>
      <c r="M144" s="92"/>
      <c r="N144" s="54"/>
      <c r="O144" s="92"/>
      <c r="P144" s="54"/>
      <c r="Q144" s="92"/>
      <c r="R144" s="54"/>
      <c r="S144" s="92"/>
      <c r="T144" s="117"/>
      <c r="U144" s="92"/>
      <c r="V144" s="54"/>
      <c r="W144" s="92"/>
      <c r="X144" s="54"/>
      <c r="Y144" s="92"/>
      <c r="Z144" s="54"/>
      <c r="AA144" s="92"/>
      <c r="AB144" s="54"/>
      <c r="AC144" s="92"/>
      <c r="AD144" s="54"/>
      <c r="AE144" s="92"/>
      <c r="AF144" s="54"/>
      <c r="AG144" s="92"/>
      <c r="AH144" s="54"/>
      <c r="AI144" s="92"/>
      <c r="AJ144" s="54"/>
      <c r="AK144" s="92"/>
      <c r="AL144" s="54"/>
      <c r="AM144" s="92"/>
      <c r="AO144" s="54"/>
      <c r="AP144" s="123"/>
      <c r="AQ144" s="54"/>
      <c r="AR144" s="154"/>
      <c r="AS144" s="1"/>
      <c r="AT144" s="1"/>
      <c r="AU144" s="9"/>
    </row>
    <row r="145">
      <c r="A145" s="54"/>
      <c r="B145" s="71" t="str">
        <f>IFERROR(HYPERLINK(VLOOKUP(A145,Internal_lists_bugs!$A$2:$C$73,3,FALSE()), VLOOKUP(A145,Internal_lists_bugs!$A$2:$C$73,3,FALSE())&amp;Char(10) &amp; Char(10) &amp; VLOOKUP(A145,Internal_lists_bugs!$A$2:$Z$73,26,FALSE())),"please select a BUG ID")</f>
        <v>please select a BUG ID</v>
      </c>
      <c r="C145" s="51" t="str">
        <f>IFERROR(VLOOKUP(A145,Internal_lists_bugs!$A$2:$G2002,7,FALSE()),"please select a BUG ID")</f>
        <v>please select a BUG ID</v>
      </c>
      <c r="D145" s="54"/>
      <c r="E145" s="53"/>
      <c r="F145" s="54"/>
      <c r="G145" s="53"/>
      <c r="H145" s="54"/>
      <c r="I145" s="53"/>
      <c r="J145" s="54"/>
      <c r="K145" s="92"/>
      <c r="L145" s="54"/>
      <c r="M145" s="92"/>
      <c r="N145" s="54"/>
      <c r="O145" s="92"/>
      <c r="P145" s="54"/>
      <c r="Q145" s="92"/>
      <c r="R145" s="54"/>
      <c r="S145" s="92"/>
      <c r="T145" s="117"/>
      <c r="U145" s="92"/>
      <c r="V145" s="54"/>
      <c r="W145" s="92"/>
      <c r="X145" s="54"/>
      <c r="Y145" s="92"/>
      <c r="Z145" s="54"/>
      <c r="AA145" s="92"/>
      <c r="AB145" s="54"/>
      <c r="AC145" s="92"/>
      <c r="AD145" s="54"/>
      <c r="AE145" s="92"/>
      <c r="AF145" s="54"/>
      <c r="AG145" s="92"/>
      <c r="AH145" s="54"/>
      <c r="AI145" s="92"/>
      <c r="AJ145" s="54"/>
      <c r="AK145" s="92"/>
      <c r="AL145" s="54"/>
      <c r="AM145" s="92"/>
      <c r="AO145" s="54"/>
      <c r="AP145" s="123"/>
      <c r="AQ145" s="54"/>
      <c r="AR145" s="154"/>
      <c r="AS145" s="1"/>
      <c r="AT145" s="1"/>
      <c r="AU145" s="9"/>
    </row>
    <row r="146">
      <c r="A146" s="54"/>
      <c r="B146" s="71" t="str">
        <f>IFERROR(HYPERLINK(VLOOKUP(A146,Internal_lists_bugs!$A$2:$C$73,3,FALSE()), VLOOKUP(A146,Internal_lists_bugs!$A$2:$C$73,3,FALSE())&amp;Char(10) &amp; Char(10) &amp; VLOOKUP(A146,Internal_lists_bugs!$A$2:$Z$73,26,FALSE())),"please select a BUG ID")</f>
        <v>please select a BUG ID</v>
      </c>
      <c r="C146" s="51" t="str">
        <f>IFERROR(VLOOKUP(A146,Internal_lists_bugs!$A$2:$G2002,7,FALSE()),"please select a BUG ID")</f>
        <v>please select a BUG ID</v>
      </c>
      <c r="D146" s="54"/>
      <c r="E146" s="53"/>
      <c r="F146" s="54"/>
      <c r="G146" s="53"/>
      <c r="H146" s="54"/>
      <c r="I146" s="53"/>
      <c r="J146" s="54"/>
      <c r="K146" s="92"/>
      <c r="L146" s="54"/>
      <c r="M146" s="92"/>
      <c r="N146" s="54"/>
      <c r="O146" s="92"/>
      <c r="P146" s="54"/>
      <c r="Q146" s="92"/>
      <c r="R146" s="54"/>
      <c r="S146" s="92"/>
      <c r="T146" s="117"/>
      <c r="U146" s="92"/>
      <c r="V146" s="54"/>
      <c r="W146" s="92"/>
      <c r="X146" s="54"/>
      <c r="Y146" s="92"/>
      <c r="Z146" s="54"/>
      <c r="AA146" s="92"/>
      <c r="AB146" s="54"/>
      <c r="AC146" s="92"/>
      <c r="AD146" s="54"/>
      <c r="AE146" s="92"/>
      <c r="AF146" s="54"/>
      <c r="AG146" s="92"/>
      <c r="AH146" s="54"/>
      <c r="AI146" s="92"/>
      <c r="AJ146" s="54"/>
      <c r="AK146" s="92"/>
      <c r="AL146" s="54"/>
      <c r="AM146" s="92"/>
      <c r="AO146" s="54"/>
      <c r="AP146" s="123"/>
      <c r="AQ146" s="54"/>
      <c r="AR146" s="154"/>
      <c r="AS146" s="1"/>
      <c r="AT146" s="1"/>
      <c r="AU146" s="9"/>
    </row>
    <row r="147">
      <c r="A147" s="54"/>
      <c r="B147" s="71" t="str">
        <f>IFERROR(HYPERLINK(VLOOKUP(A147,Internal_lists_bugs!$A$2:$C$73,3,FALSE()), VLOOKUP(A147,Internal_lists_bugs!$A$2:$C$73,3,FALSE())&amp;Char(10) &amp; Char(10) &amp; VLOOKUP(A147,Internal_lists_bugs!$A$2:$Z$73,26,FALSE())),"please select a BUG ID")</f>
        <v>please select a BUG ID</v>
      </c>
      <c r="C147" s="51" t="str">
        <f>IFERROR(VLOOKUP(A147,Internal_lists_bugs!$A$2:$G2002,7,FALSE()),"please select a BUG ID")</f>
        <v>please select a BUG ID</v>
      </c>
      <c r="D147" s="54"/>
      <c r="E147" s="53"/>
      <c r="F147" s="54"/>
      <c r="G147" s="53"/>
      <c r="H147" s="54"/>
      <c r="I147" s="53"/>
      <c r="J147" s="54"/>
      <c r="K147" s="92"/>
      <c r="L147" s="54"/>
      <c r="M147" s="92"/>
      <c r="N147" s="54"/>
      <c r="O147" s="92"/>
      <c r="P147" s="54"/>
      <c r="Q147" s="92"/>
      <c r="R147" s="54"/>
      <c r="S147" s="92"/>
      <c r="T147" s="117"/>
      <c r="U147" s="92"/>
      <c r="V147" s="54"/>
      <c r="W147" s="92"/>
      <c r="X147" s="54"/>
      <c r="Y147" s="92"/>
      <c r="Z147" s="54"/>
      <c r="AA147" s="92"/>
      <c r="AB147" s="54"/>
      <c r="AC147" s="92"/>
      <c r="AD147" s="54"/>
      <c r="AE147" s="92"/>
      <c r="AF147" s="54"/>
      <c r="AG147" s="92"/>
      <c r="AH147" s="54"/>
      <c r="AI147" s="92"/>
      <c r="AJ147" s="54"/>
      <c r="AK147" s="92"/>
      <c r="AL147" s="54"/>
      <c r="AM147" s="92"/>
      <c r="AO147" s="54"/>
      <c r="AP147" s="123"/>
      <c r="AQ147" s="54"/>
      <c r="AR147" s="154"/>
      <c r="AS147" s="1"/>
      <c r="AT147" s="1"/>
      <c r="AU147" s="9"/>
    </row>
    <row r="148">
      <c r="A148" s="54"/>
      <c r="B148" s="71" t="str">
        <f>IFERROR(HYPERLINK(VLOOKUP(A148,Internal_lists_bugs!$A$2:$C$73,3,FALSE()), VLOOKUP(A148,Internal_lists_bugs!$A$2:$C$73,3,FALSE())&amp;Char(10) &amp; Char(10) &amp; VLOOKUP(A148,Internal_lists_bugs!$A$2:$Z$73,26,FALSE())),"please select a BUG ID")</f>
        <v>please select a BUG ID</v>
      </c>
      <c r="C148" s="51" t="str">
        <f>IFERROR(VLOOKUP(A148,Internal_lists_bugs!$A$2:$G2002,7,FALSE()),"please select a BUG ID")</f>
        <v>please select a BUG ID</v>
      </c>
      <c r="D148" s="54"/>
      <c r="E148" s="53"/>
      <c r="F148" s="54"/>
      <c r="G148" s="53"/>
      <c r="H148" s="54"/>
      <c r="I148" s="53"/>
      <c r="J148" s="54"/>
      <c r="K148" s="92"/>
      <c r="L148" s="54"/>
      <c r="M148" s="92"/>
      <c r="N148" s="54"/>
      <c r="O148" s="92"/>
      <c r="P148" s="54"/>
      <c r="Q148" s="92"/>
      <c r="R148" s="54"/>
      <c r="S148" s="92"/>
      <c r="T148" s="117"/>
      <c r="U148" s="92"/>
      <c r="V148" s="54"/>
      <c r="W148" s="92"/>
      <c r="X148" s="54"/>
      <c r="Y148" s="92"/>
      <c r="Z148" s="54"/>
      <c r="AA148" s="92"/>
      <c r="AB148" s="54"/>
      <c r="AC148" s="92"/>
      <c r="AD148" s="54"/>
      <c r="AE148" s="92"/>
      <c r="AF148" s="54"/>
      <c r="AG148" s="92"/>
      <c r="AH148" s="54"/>
      <c r="AI148" s="92"/>
      <c r="AJ148" s="54"/>
      <c r="AK148" s="92"/>
      <c r="AL148" s="54"/>
      <c r="AM148" s="92"/>
      <c r="AO148" s="54"/>
      <c r="AP148" s="123"/>
      <c r="AQ148" s="54"/>
      <c r="AR148" s="154"/>
      <c r="AS148" s="1"/>
      <c r="AT148" s="1"/>
      <c r="AU148" s="9"/>
    </row>
    <row r="149">
      <c r="A149" s="54"/>
      <c r="B149" s="71" t="str">
        <f>IFERROR(HYPERLINK(VLOOKUP(A149,Internal_lists_bugs!$A$2:$C$73,3,FALSE()), VLOOKUP(A149,Internal_lists_bugs!$A$2:$C$73,3,FALSE())&amp;Char(10) &amp; Char(10) &amp; VLOOKUP(A149,Internal_lists_bugs!$A$2:$Z$73,26,FALSE())),"please select a BUG ID")</f>
        <v>please select a BUG ID</v>
      </c>
      <c r="C149" s="51" t="str">
        <f>IFERROR(VLOOKUP(A149,Internal_lists_bugs!$A$2:$G2002,7,FALSE()),"please select a BUG ID")</f>
        <v>please select a BUG ID</v>
      </c>
      <c r="D149" s="54"/>
      <c r="E149" s="53"/>
      <c r="F149" s="54"/>
      <c r="G149" s="53"/>
      <c r="H149" s="54"/>
      <c r="I149" s="53"/>
      <c r="J149" s="54"/>
      <c r="K149" s="92"/>
      <c r="L149" s="54"/>
      <c r="M149" s="92"/>
      <c r="N149" s="54"/>
      <c r="O149" s="92"/>
      <c r="P149" s="54"/>
      <c r="Q149" s="92"/>
      <c r="R149" s="54"/>
      <c r="S149" s="92"/>
      <c r="T149" s="117"/>
      <c r="U149" s="92"/>
      <c r="V149" s="54"/>
      <c r="W149" s="92"/>
      <c r="X149" s="54"/>
      <c r="Y149" s="92"/>
      <c r="Z149" s="54"/>
      <c r="AA149" s="92"/>
      <c r="AB149" s="54"/>
      <c r="AC149" s="92"/>
      <c r="AD149" s="54"/>
      <c r="AE149" s="92"/>
      <c r="AF149" s="54"/>
      <c r="AG149" s="92"/>
      <c r="AH149" s="54"/>
      <c r="AI149" s="92"/>
      <c r="AJ149" s="54"/>
      <c r="AK149" s="92"/>
      <c r="AL149" s="54"/>
      <c r="AM149" s="92"/>
      <c r="AO149" s="54"/>
      <c r="AP149" s="123"/>
      <c r="AQ149" s="54"/>
      <c r="AR149" s="154"/>
      <c r="AS149" s="1"/>
      <c r="AT149" s="1"/>
      <c r="AU149" s="9"/>
    </row>
    <row r="150">
      <c r="A150" s="54"/>
      <c r="B150" s="71" t="str">
        <f>IFERROR(HYPERLINK(VLOOKUP(A150,Internal_lists_bugs!$A$2:$C$73,3,FALSE()), VLOOKUP(A150,Internal_lists_bugs!$A$2:$C$73,3,FALSE())&amp;Char(10) &amp; Char(10) &amp; VLOOKUP(A150,Internal_lists_bugs!$A$2:$Z$73,26,FALSE())),"please select a BUG ID")</f>
        <v>please select a BUG ID</v>
      </c>
      <c r="C150" s="51" t="str">
        <f>IFERROR(VLOOKUP(A150,Internal_lists_bugs!$A$2:$G2002,7,FALSE()),"please select a BUG ID")</f>
        <v>please select a BUG ID</v>
      </c>
      <c r="D150" s="54"/>
      <c r="E150" s="53"/>
      <c r="F150" s="54"/>
      <c r="G150" s="53"/>
      <c r="H150" s="54"/>
      <c r="I150" s="53"/>
      <c r="J150" s="54"/>
      <c r="K150" s="92"/>
      <c r="L150" s="54"/>
      <c r="M150" s="92"/>
      <c r="N150" s="54"/>
      <c r="O150" s="92"/>
      <c r="P150" s="54"/>
      <c r="Q150" s="92"/>
      <c r="R150" s="54"/>
      <c r="S150" s="92"/>
      <c r="T150" s="117"/>
      <c r="U150" s="92"/>
      <c r="V150" s="54"/>
      <c r="W150" s="92"/>
      <c r="X150" s="54"/>
      <c r="Y150" s="92"/>
      <c r="Z150" s="54"/>
      <c r="AA150" s="92"/>
      <c r="AB150" s="54"/>
      <c r="AC150" s="92"/>
      <c r="AD150" s="54"/>
      <c r="AE150" s="92"/>
      <c r="AF150" s="54"/>
      <c r="AG150" s="92"/>
      <c r="AH150" s="54"/>
      <c r="AI150" s="92"/>
      <c r="AJ150" s="54"/>
      <c r="AK150" s="92"/>
      <c r="AL150" s="54"/>
      <c r="AM150" s="92"/>
      <c r="AO150" s="54"/>
      <c r="AP150" s="123"/>
      <c r="AQ150" s="54"/>
      <c r="AR150" s="154"/>
      <c r="AS150" s="1"/>
      <c r="AT150" s="1"/>
      <c r="AU150" s="9"/>
    </row>
    <row r="151">
      <c r="A151" s="54"/>
      <c r="B151" s="71" t="str">
        <f>IFERROR(HYPERLINK(VLOOKUP(A151,Internal_lists_bugs!$A$2:$C$73,3,FALSE()), VLOOKUP(A151,Internal_lists_bugs!$A$2:$C$73,3,FALSE())&amp;Char(10) &amp; Char(10) &amp; VLOOKUP(A151,Internal_lists_bugs!$A$2:$Z$73,26,FALSE())),"please select a BUG ID")</f>
        <v>please select a BUG ID</v>
      </c>
      <c r="C151" s="51" t="str">
        <f>IFERROR(VLOOKUP(A151,Internal_lists_bugs!$A$2:$G2002,7,FALSE()),"please select a BUG ID")</f>
        <v>please select a BUG ID</v>
      </c>
      <c r="D151" s="54"/>
      <c r="E151" s="53"/>
      <c r="F151" s="54"/>
      <c r="G151" s="53"/>
      <c r="H151" s="54"/>
      <c r="I151" s="53"/>
      <c r="J151" s="54"/>
      <c r="K151" s="92"/>
      <c r="L151" s="54"/>
      <c r="M151" s="92"/>
      <c r="N151" s="54"/>
      <c r="O151" s="92"/>
      <c r="P151" s="54"/>
      <c r="Q151" s="92"/>
      <c r="R151" s="54"/>
      <c r="S151" s="92"/>
      <c r="T151" s="117"/>
      <c r="U151" s="92"/>
      <c r="V151" s="54"/>
      <c r="W151" s="92"/>
      <c r="X151" s="54"/>
      <c r="Y151" s="92"/>
      <c r="Z151" s="54"/>
      <c r="AA151" s="92"/>
      <c r="AB151" s="54"/>
      <c r="AC151" s="92"/>
      <c r="AD151" s="54"/>
      <c r="AE151" s="92"/>
      <c r="AF151" s="54"/>
      <c r="AG151" s="92"/>
      <c r="AH151" s="54"/>
      <c r="AI151" s="92"/>
      <c r="AJ151" s="54"/>
      <c r="AK151" s="92"/>
      <c r="AL151" s="54"/>
      <c r="AM151" s="92"/>
      <c r="AO151" s="54"/>
      <c r="AP151" s="123"/>
      <c r="AQ151" s="54"/>
      <c r="AR151" s="154"/>
      <c r="AS151" s="1"/>
      <c r="AT151" s="1"/>
      <c r="AU151" s="9"/>
    </row>
    <row r="152">
      <c r="A152" s="54"/>
      <c r="B152" s="71" t="str">
        <f>IFERROR(HYPERLINK(VLOOKUP(A152,Internal_lists_bugs!$A$2:$C$73,3,FALSE()), VLOOKUP(A152,Internal_lists_bugs!$A$2:$C$73,3,FALSE())&amp;Char(10) &amp; Char(10) &amp; VLOOKUP(A152,Internal_lists_bugs!$A$2:$Z$73,26,FALSE())),"please select a BUG ID")</f>
        <v>please select a BUG ID</v>
      </c>
      <c r="C152" s="51" t="str">
        <f>IFERROR(VLOOKUP(A152,Internal_lists_bugs!$A$2:$G2002,7,FALSE()),"please select a BUG ID")</f>
        <v>please select a BUG ID</v>
      </c>
      <c r="D152" s="54"/>
      <c r="E152" s="53"/>
      <c r="F152" s="54"/>
      <c r="G152" s="53"/>
      <c r="H152" s="54"/>
      <c r="I152" s="53"/>
      <c r="J152" s="54"/>
      <c r="K152" s="92"/>
      <c r="L152" s="54"/>
      <c r="M152" s="92"/>
      <c r="N152" s="54"/>
      <c r="O152" s="92"/>
      <c r="P152" s="54"/>
      <c r="Q152" s="92"/>
      <c r="R152" s="54"/>
      <c r="S152" s="92"/>
      <c r="T152" s="117"/>
      <c r="U152" s="92"/>
      <c r="V152" s="54"/>
      <c r="W152" s="92"/>
      <c r="X152" s="54"/>
      <c r="Y152" s="92"/>
      <c r="Z152" s="54"/>
      <c r="AA152" s="92"/>
      <c r="AB152" s="54"/>
      <c r="AC152" s="92"/>
      <c r="AD152" s="54"/>
      <c r="AE152" s="92"/>
      <c r="AF152" s="54"/>
      <c r="AG152" s="92"/>
      <c r="AH152" s="54"/>
      <c r="AI152" s="92"/>
      <c r="AJ152" s="54"/>
      <c r="AK152" s="92"/>
      <c r="AL152" s="54"/>
      <c r="AM152" s="92"/>
      <c r="AO152" s="54"/>
      <c r="AP152" s="123"/>
      <c r="AQ152" s="54"/>
      <c r="AR152" s="154"/>
      <c r="AS152" s="1"/>
      <c r="AT152" s="1"/>
      <c r="AU152" s="9"/>
    </row>
    <row r="153">
      <c r="A153" s="54"/>
      <c r="B153" s="71" t="str">
        <f>IFERROR(HYPERLINK(VLOOKUP(A153,Internal_lists_bugs!$A$2:$C$73,3,FALSE()), VLOOKUP(A153,Internal_lists_bugs!$A$2:$C$73,3,FALSE())&amp;Char(10) &amp; Char(10) &amp; VLOOKUP(A153,Internal_lists_bugs!$A$2:$Z$73,26,FALSE())),"please select a BUG ID")</f>
        <v>please select a BUG ID</v>
      </c>
      <c r="C153" s="51" t="str">
        <f>IFERROR(VLOOKUP(A153,Internal_lists_bugs!$A$2:$G2002,7,FALSE()),"please select a BUG ID")</f>
        <v>please select a BUG ID</v>
      </c>
      <c r="D153" s="54"/>
      <c r="E153" s="53"/>
      <c r="F153" s="54"/>
      <c r="G153" s="53"/>
      <c r="H153" s="54"/>
      <c r="I153" s="53"/>
      <c r="J153" s="54"/>
      <c r="K153" s="92"/>
      <c r="L153" s="54"/>
      <c r="M153" s="92"/>
      <c r="N153" s="54"/>
      <c r="O153" s="92"/>
      <c r="P153" s="54"/>
      <c r="Q153" s="92"/>
      <c r="R153" s="54"/>
      <c r="S153" s="92"/>
      <c r="T153" s="117"/>
      <c r="U153" s="92"/>
      <c r="V153" s="54"/>
      <c r="W153" s="92"/>
      <c r="X153" s="54"/>
      <c r="Y153" s="92"/>
      <c r="Z153" s="54"/>
      <c r="AA153" s="92"/>
      <c r="AB153" s="54"/>
      <c r="AC153" s="92"/>
      <c r="AD153" s="54"/>
      <c r="AE153" s="92"/>
      <c r="AF153" s="54"/>
      <c r="AG153" s="92"/>
      <c r="AH153" s="54"/>
      <c r="AI153" s="92"/>
      <c r="AJ153" s="54"/>
      <c r="AK153" s="92"/>
      <c r="AL153" s="54"/>
      <c r="AM153" s="92"/>
      <c r="AO153" s="54"/>
      <c r="AP153" s="123"/>
      <c r="AQ153" s="54"/>
      <c r="AR153" s="154"/>
      <c r="AS153" s="1"/>
      <c r="AT153" s="1"/>
      <c r="AU153" s="9"/>
    </row>
    <row r="154">
      <c r="A154" s="54"/>
      <c r="B154" s="71" t="str">
        <f>IFERROR(HYPERLINK(VLOOKUP(A154,Internal_lists_bugs!$A$2:$C$73,3,FALSE()), VLOOKUP(A154,Internal_lists_bugs!$A$2:$C$73,3,FALSE())&amp;Char(10) &amp; Char(10) &amp; VLOOKUP(A154,Internal_lists_bugs!$A$2:$Z$73,26,FALSE())),"please select a BUG ID")</f>
        <v>please select a BUG ID</v>
      </c>
      <c r="C154" s="51" t="str">
        <f>IFERROR(VLOOKUP(A154,Internal_lists_bugs!$A$2:$G2002,7,FALSE()),"please select a BUG ID")</f>
        <v>please select a BUG ID</v>
      </c>
      <c r="D154" s="54"/>
      <c r="E154" s="53"/>
      <c r="F154" s="54"/>
      <c r="G154" s="53"/>
      <c r="H154" s="54"/>
      <c r="I154" s="53"/>
      <c r="J154" s="54"/>
      <c r="K154" s="92"/>
      <c r="L154" s="54"/>
      <c r="M154" s="92"/>
      <c r="N154" s="54"/>
      <c r="O154" s="92"/>
      <c r="P154" s="54"/>
      <c r="Q154" s="92"/>
      <c r="R154" s="54"/>
      <c r="S154" s="92"/>
      <c r="T154" s="117"/>
      <c r="U154" s="92"/>
      <c r="V154" s="54"/>
      <c r="W154" s="92"/>
      <c r="X154" s="54"/>
      <c r="Y154" s="92"/>
      <c r="Z154" s="54"/>
      <c r="AA154" s="92"/>
      <c r="AB154" s="54"/>
      <c r="AC154" s="92"/>
      <c r="AD154" s="54"/>
      <c r="AE154" s="92"/>
      <c r="AF154" s="54"/>
      <c r="AG154" s="92"/>
      <c r="AH154" s="54"/>
      <c r="AI154" s="92"/>
      <c r="AJ154" s="54"/>
      <c r="AK154" s="92"/>
      <c r="AL154" s="54"/>
      <c r="AM154" s="92"/>
      <c r="AO154" s="54"/>
      <c r="AP154" s="123"/>
      <c r="AQ154" s="54"/>
      <c r="AR154" s="154"/>
      <c r="AS154" s="1"/>
      <c r="AT154" s="1"/>
      <c r="AU154" s="9"/>
    </row>
    <row r="155">
      <c r="A155" s="54"/>
      <c r="B155" s="71" t="str">
        <f>IFERROR(HYPERLINK(VLOOKUP(A155,Internal_lists_bugs!$A$2:$C$73,3,FALSE()), VLOOKUP(A155,Internal_lists_bugs!$A$2:$C$73,3,FALSE())&amp;Char(10) &amp; Char(10) &amp; VLOOKUP(A155,Internal_lists_bugs!$A$2:$Z$73,26,FALSE())),"please select a BUG ID")</f>
        <v>please select a BUG ID</v>
      </c>
      <c r="C155" s="51" t="str">
        <f>IFERROR(VLOOKUP(A155,Internal_lists_bugs!$A$2:$G2002,7,FALSE()),"please select a BUG ID")</f>
        <v>please select a BUG ID</v>
      </c>
      <c r="D155" s="54"/>
      <c r="E155" s="53"/>
      <c r="F155" s="54"/>
      <c r="G155" s="53"/>
      <c r="H155" s="54"/>
      <c r="I155" s="53"/>
      <c r="J155" s="54"/>
      <c r="K155" s="92"/>
      <c r="L155" s="54"/>
      <c r="M155" s="92"/>
      <c r="N155" s="54"/>
      <c r="O155" s="92"/>
      <c r="P155" s="54"/>
      <c r="Q155" s="92"/>
      <c r="R155" s="54"/>
      <c r="S155" s="92"/>
      <c r="T155" s="117"/>
      <c r="U155" s="92"/>
      <c r="V155" s="54"/>
      <c r="W155" s="92"/>
      <c r="X155" s="54"/>
      <c r="Y155" s="92"/>
      <c r="Z155" s="54"/>
      <c r="AA155" s="92"/>
      <c r="AB155" s="54"/>
      <c r="AC155" s="92"/>
      <c r="AD155" s="54"/>
      <c r="AE155" s="92"/>
      <c r="AF155" s="54"/>
      <c r="AG155" s="92"/>
      <c r="AH155" s="54"/>
      <c r="AI155" s="92"/>
      <c r="AJ155" s="54"/>
      <c r="AK155" s="92"/>
      <c r="AL155" s="54"/>
      <c r="AM155" s="92"/>
      <c r="AO155" s="54"/>
      <c r="AP155" s="123"/>
      <c r="AQ155" s="54"/>
      <c r="AR155" s="154"/>
      <c r="AS155" s="1"/>
      <c r="AT155" s="1"/>
      <c r="AU155" s="9"/>
    </row>
    <row r="156">
      <c r="A156" s="54"/>
      <c r="B156" s="71" t="str">
        <f>IFERROR(HYPERLINK(VLOOKUP(A156,Internal_lists_bugs!$A$2:$C$73,3,FALSE()), VLOOKUP(A156,Internal_lists_bugs!$A$2:$C$73,3,FALSE())&amp;Char(10) &amp; Char(10) &amp; VLOOKUP(A156,Internal_lists_bugs!$A$2:$Z$73,26,FALSE())),"please select a BUG ID")</f>
        <v>please select a BUG ID</v>
      </c>
      <c r="C156" s="51" t="str">
        <f>IFERROR(VLOOKUP(A156,Internal_lists_bugs!$A$2:$G2002,7,FALSE()),"please select a BUG ID")</f>
        <v>please select a BUG ID</v>
      </c>
      <c r="D156" s="54"/>
      <c r="E156" s="53"/>
      <c r="F156" s="54"/>
      <c r="G156" s="53"/>
      <c r="H156" s="54"/>
      <c r="I156" s="53"/>
      <c r="J156" s="54"/>
      <c r="K156" s="92"/>
      <c r="L156" s="54"/>
      <c r="M156" s="92"/>
      <c r="N156" s="54"/>
      <c r="O156" s="92"/>
      <c r="P156" s="54"/>
      <c r="Q156" s="92"/>
      <c r="R156" s="54"/>
      <c r="S156" s="92"/>
      <c r="T156" s="117"/>
      <c r="U156" s="92"/>
      <c r="V156" s="54"/>
      <c r="W156" s="92"/>
      <c r="X156" s="54"/>
      <c r="Y156" s="92"/>
      <c r="Z156" s="54"/>
      <c r="AA156" s="92"/>
      <c r="AB156" s="54"/>
      <c r="AC156" s="92"/>
      <c r="AD156" s="54"/>
      <c r="AE156" s="92"/>
      <c r="AF156" s="54"/>
      <c r="AG156" s="92"/>
      <c r="AH156" s="54"/>
      <c r="AI156" s="92"/>
      <c r="AJ156" s="54"/>
      <c r="AK156" s="92"/>
      <c r="AL156" s="54"/>
      <c r="AM156" s="92"/>
      <c r="AO156" s="54"/>
      <c r="AP156" s="123"/>
      <c r="AQ156" s="54"/>
      <c r="AR156" s="154"/>
      <c r="AS156" s="1"/>
      <c r="AT156" s="1"/>
      <c r="AU156" s="9"/>
    </row>
    <row r="157">
      <c r="A157" s="54"/>
      <c r="B157" s="71" t="str">
        <f>IFERROR(HYPERLINK(VLOOKUP(A157,Internal_lists_bugs!$A$2:$C$73,3,FALSE()), VLOOKUP(A157,Internal_lists_bugs!$A$2:$C$73,3,FALSE())&amp;Char(10) &amp; Char(10) &amp; VLOOKUP(A157,Internal_lists_bugs!$A$2:$Z$73,26,FALSE())),"please select a BUG ID")</f>
        <v>please select a BUG ID</v>
      </c>
      <c r="C157" s="51" t="str">
        <f>IFERROR(VLOOKUP(A157,Internal_lists_bugs!$A$2:$G2002,7,FALSE()),"please select a BUG ID")</f>
        <v>please select a BUG ID</v>
      </c>
      <c r="D157" s="54"/>
      <c r="E157" s="53"/>
      <c r="F157" s="54"/>
      <c r="G157" s="53"/>
      <c r="H157" s="54"/>
      <c r="I157" s="53"/>
      <c r="J157" s="54"/>
      <c r="K157" s="92"/>
      <c r="L157" s="54"/>
      <c r="M157" s="92"/>
      <c r="N157" s="54"/>
      <c r="O157" s="92"/>
      <c r="P157" s="54"/>
      <c r="Q157" s="92"/>
      <c r="R157" s="54"/>
      <c r="S157" s="92"/>
      <c r="T157" s="117"/>
      <c r="U157" s="92"/>
      <c r="V157" s="54"/>
      <c r="W157" s="92"/>
      <c r="X157" s="54"/>
      <c r="Y157" s="92"/>
      <c r="Z157" s="54"/>
      <c r="AA157" s="92"/>
      <c r="AB157" s="54"/>
      <c r="AC157" s="92"/>
      <c r="AD157" s="54"/>
      <c r="AE157" s="92"/>
      <c r="AF157" s="54"/>
      <c r="AG157" s="92"/>
      <c r="AH157" s="54"/>
      <c r="AI157" s="92"/>
      <c r="AJ157" s="54"/>
      <c r="AK157" s="92"/>
      <c r="AL157" s="54"/>
      <c r="AM157" s="92"/>
      <c r="AO157" s="54"/>
      <c r="AP157" s="123"/>
      <c r="AQ157" s="54"/>
      <c r="AR157" s="154"/>
      <c r="AS157" s="1"/>
      <c r="AT157" s="1"/>
      <c r="AU157" s="9"/>
    </row>
    <row r="158">
      <c r="A158" s="54"/>
      <c r="B158" s="71" t="str">
        <f>IFERROR(HYPERLINK(VLOOKUP(A158,Internal_lists_bugs!$A$2:$C$73,3,FALSE()), VLOOKUP(A158,Internal_lists_bugs!$A$2:$C$73,3,FALSE())&amp;Char(10) &amp; Char(10) &amp; VLOOKUP(A158,Internal_lists_bugs!$A$2:$Z$73,26,FALSE())),"please select a BUG ID")</f>
        <v>please select a BUG ID</v>
      </c>
      <c r="C158" s="51" t="str">
        <f>IFERROR(VLOOKUP(A158,Internal_lists_bugs!$A$2:$G2002,7,FALSE()),"please select a BUG ID")</f>
        <v>please select a BUG ID</v>
      </c>
      <c r="D158" s="54"/>
      <c r="E158" s="53"/>
      <c r="F158" s="54"/>
      <c r="G158" s="53"/>
      <c r="H158" s="54"/>
      <c r="I158" s="53"/>
      <c r="J158" s="54"/>
      <c r="K158" s="92"/>
      <c r="L158" s="54"/>
      <c r="M158" s="92"/>
      <c r="N158" s="54"/>
      <c r="O158" s="92"/>
      <c r="P158" s="54"/>
      <c r="Q158" s="92"/>
      <c r="R158" s="54"/>
      <c r="S158" s="92"/>
      <c r="T158" s="117"/>
      <c r="U158" s="92"/>
      <c r="V158" s="54"/>
      <c r="W158" s="92"/>
      <c r="X158" s="54"/>
      <c r="Y158" s="92"/>
      <c r="Z158" s="54"/>
      <c r="AA158" s="92"/>
      <c r="AB158" s="54"/>
      <c r="AC158" s="92"/>
      <c r="AD158" s="54"/>
      <c r="AE158" s="92"/>
      <c r="AF158" s="54"/>
      <c r="AG158" s="92"/>
      <c r="AH158" s="54"/>
      <c r="AI158" s="92"/>
      <c r="AJ158" s="54"/>
      <c r="AK158" s="92"/>
      <c r="AL158" s="54"/>
      <c r="AM158" s="92"/>
      <c r="AO158" s="54"/>
      <c r="AP158" s="123"/>
      <c r="AQ158" s="54"/>
      <c r="AR158" s="154"/>
      <c r="AS158" s="1"/>
      <c r="AT158" s="1"/>
      <c r="AU158" s="9"/>
    </row>
    <row r="159">
      <c r="A159" s="54"/>
      <c r="B159" s="71" t="str">
        <f>IFERROR(HYPERLINK(VLOOKUP(A159,Internal_lists_bugs!$A$2:$C$73,3,FALSE()), VLOOKUP(A159,Internal_lists_bugs!$A$2:$C$73,3,FALSE())&amp;Char(10) &amp; Char(10) &amp; VLOOKUP(A159,Internal_lists_bugs!$A$2:$Z$73,26,FALSE())),"please select a BUG ID")</f>
        <v>please select a BUG ID</v>
      </c>
      <c r="C159" s="51" t="str">
        <f>IFERROR(VLOOKUP(A159,Internal_lists_bugs!$A$2:$G2002,7,FALSE()),"please select a BUG ID")</f>
        <v>please select a BUG ID</v>
      </c>
      <c r="D159" s="54"/>
      <c r="E159" s="53"/>
      <c r="F159" s="54"/>
      <c r="G159" s="53"/>
      <c r="H159" s="54"/>
      <c r="I159" s="53"/>
      <c r="J159" s="54"/>
      <c r="K159" s="92"/>
      <c r="L159" s="54"/>
      <c r="M159" s="92"/>
      <c r="N159" s="54"/>
      <c r="O159" s="92"/>
      <c r="P159" s="54"/>
      <c r="Q159" s="92"/>
      <c r="R159" s="54"/>
      <c r="S159" s="92"/>
      <c r="T159" s="117"/>
      <c r="U159" s="92"/>
      <c r="V159" s="54"/>
      <c r="W159" s="92"/>
      <c r="X159" s="54"/>
      <c r="Y159" s="92"/>
      <c r="Z159" s="54"/>
      <c r="AA159" s="92"/>
      <c r="AB159" s="54"/>
      <c r="AC159" s="92"/>
      <c r="AD159" s="54"/>
      <c r="AE159" s="92"/>
      <c r="AF159" s="54"/>
      <c r="AG159" s="92"/>
      <c r="AH159" s="54"/>
      <c r="AI159" s="92"/>
      <c r="AJ159" s="54"/>
      <c r="AK159" s="92"/>
      <c r="AL159" s="54"/>
      <c r="AM159" s="92"/>
      <c r="AO159" s="54"/>
      <c r="AP159" s="123"/>
      <c r="AQ159" s="54"/>
      <c r="AR159" s="154"/>
      <c r="AS159" s="1"/>
      <c r="AT159" s="1"/>
      <c r="AU159" s="9"/>
    </row>
    <row r="160">
      <c r="A160" s="54"/>
      <c r="B160" s="71" t="str">
        <f>IFERROR(HYPERLINK(VLOOKUP(A160,Internal_lists_bugs!$A$2:$C$73,3,FALSE()), VLOOKUP(A160,Internal_lists_bugs!$A$2:$C$73,3,FALSE())&amp;Char(10) &amp; Char(10) &amp; VLOOKUP(A160,Internal_lists_bugs!$A$2:$Z$73,26,FALSE())),"please select a BUG ID")</f>
        <v>please select a BUG ID</v>
      </c>
      <c r="C160" s="51" t="str">
        <f>IFERROR(VLOOKUP(A160,Internal_lists_bugs!$A$2:$G2002,7,FALSE()),"please select a BUG ID")</f>
        <v>please select a BUG ID</v>
      </c>
      <c r="D160" s="54"/>
      <c r="E160" s="53"/>
      <c r="F160" s="54"/>
      <c r="G160" s="53"/>
      <c r="H160" s="54"/>
      <c r="I160" s="53"/>
      <c r="J160" s="54"/>
      <c r="K160" s="92"/>
      <c r="L160" s="54"/>
      <c r="M160" s="92"/>
      <c r="N160" s="54"/>
      <c r="O160" s="92"/>
      <c r="P160" s="54"/>
      <c r="Q160" s="92"/>
      <c r="R160" s="54"/>
      <c r="S160" s="92"/>
      <c r="T160" s="117"/>
      <c r="U160" s="92"/>
      <c r="V160" s="54"/>
      <c r="W160" s="92"/>
      <c r="X160" s="54"/>
      <c r="Y160" s="92"/>
      <c r="Z160" s="54"/>
      <c r="AA160" s="92"/>
      <c r="AB160" s="54"/>
      <c r="AC160" s="92"/>
      <c r="AD160" s="54"/>
      <c r="AE160" s="92"/>
      <c r="AF160" s="54"/>
      <c r="AG160" s="92"/>
      <c r="AH160" s="54"/>
      <c r="AI160" s="92"/>
      <c r="AJ160" s="54"/>
      <c r="AK160" s="92"/>
      <c r="AL160" s="54"/>
      <c r="AM160" s="92"/>
      <c r="AO160" s="54"/>
      <c r="AP160" s="123"/>
      <c r="AQ160" s="54"/>
      <c r="AR160" s="154"/>
      <c r="AS160" s="1"/>
      <c r="AT160" s="1"/>
      <c r="AU160" s="9"/>
    </row>
    <row r="161">
      <c r="A161" s="54"/>
      <c r="B161" s="71" t="str">
        <f>IFERROR(HYPERLINK(VLOOKUP(A161,Internal_lists_bugs!$A$2:$C$73,3,FALSE()), VLOOKUP(A161,Internal_lists_bugs!$A$2:$C$73,3,FALSE())&amp;Char(10) &amp; Char(10) &amp; VLOOKUP(A161,Internal_lists_bugs!$A$2:$Z$73,26,FALSE())),"please select a BUG ID")</f>
        <v>please select a BUG ID</v>
      </c>
      <c r="C161" s="51" t="str">
        <f>IFERROR(VLOOKUP(A161,Internal_lists_bugs!$A$2:$G2002,7,FALSE()),"please select a BUG ID")</f>
        <v>please select a BUG ID</v>
      </c>
      <c r="D161" s="54"/>
      <c r="E161" s="53"/>
      <c r="F161" s="54"/>
      <c r="G161" s="53"/>
      <c r="H161" s="54"/>
      <c r="I161" s="53"/>
      <c r="J161" s="54"/>
      <c r="K161" s="92"/>
      <c r="L161" s="54"/>
      <c r="M161" s="92"/>
      <c r="N161" s="54"/>
      <c r="O161" s="92"/>
      <c r="P161" s="54"/>
      <c r="Q161" s="92"/>
      <c r="R161" s="54"/>
      <c r="S161" s="92"/>
      <c r="T161" s="117"/>
      <c r="U161" s="92"/>
      <c r="V161" s="54"/>
      <c r="W161" s="92"/>
      <c r="X161" s="54"/>
      <c r="Y161" s="92"/>
      <c r="Z161" s="54"/>
      <c r="AA161" s="92"/>
      <c r="AB161" s="54"/>
      <c r="AC161" s="92"/>
      <c r="AD161" s="54"/>
      <c r="AE161" s="92"/>
      <c r="AF161" s="54"/>
      <c r="AG161" s="92"/>
      <c r="AH161" s="54"/>
      <c r="AI161" s="92"/>
      <c r="AJ161" s="54"/>
      <c r="AK161" s="92"/>
      <c r="AL161" s="54"/>
      <c r="AM161" s="92"/>
      <c r="AO161" s="54"/>
      <c r="AP161" s="123"/>
      <c r="AQ161" s="54"/>
      <c r="AR161" s="154"/>
      <c r="AS161" s="1"/>
      <c r="AT161" s="1"/>
      <c r="AU161" s="9"/>
    </row>
    <row r="162">
      <c r="A162" s="54"/>
      <c r="B162" s="71" t="str">
        <f>IFERROR(HYPERLINK(VLOOKUP(A162,Internal_lists_bugs!$A$2:$C$73,3,FALSE()), VLOOKUP(A162,Internal_lists_bugs!$A$2:$C$73,3,FALSE())&amp;Char(10) &amp; Char(10) &amp; VLOOKUP(A162,Internal_lists_bugs!$A$2:$Z$73,26,FALSE())),"please select a BUG ID")</f>
        <v>please select a BUG ID</v>
      </c>
      <c r="C162" s="51" t="str">
        <f>IFERROR(VLOOKUP(A162,Internal_lists_bugs!$A$2:$G2002,7,FALSE()),"please select a BUG ID")</f>
        <v>please select a BUG ID</v>
      </c>
      <c r="D162" s="54"/>
      <c r="E162" s="53"/>
      <c r="F162" s="54"/>
      <c r="G162" s="53"/>
      <c r="H162" s="54"/>
      <c r="I162" s="53"/>
      <c r="J162" s="54"/>
      <c r="K162" s="92"/>
      <c r="L162" s="54"/>
      <c r="M162" s="92"/>
      <c r="N162" s="54"/>
      <c r="O162" s="92"/>
      <c r="P162" s="54"/>
      <c r="Q162" s="92"/>
      <c r="R162" s="54"/>
      <c r="S162" s="92"/>
      <c r="T162" s="117"/>
      <c r="U162" s="92"/>
      <c r="V162" s="54"/>
      <c r="W162" s="92"/>
      <c r="X162" s="54"/>
      <c r="Y162" s="92"/>
      <c r="Z162" s="54"/>
      <c r="AA162" s="92"/>
      <c r="AB162" s="54"/>
      <c r="AC162" s="92"/>
      <c r="AD162" s="54"/>
      <c r="AE162" s="92"/>
      <c r="AF162" s="54"/>
      <c r="AG162" s="92"/>
      <c r="AH162" s="54"/>
      <c r="AI162" s="92"/>
      <c r="AJ162" s="54"/>
      <c r="AK162" s="92"/>
      <c r="AL162" s="54"/>
      <c r="AM162" s="92"/>
      <c r="AO162" s="54"/>
      <c r="AP162" s="123"/>
      <c r="AQ162" s="54"/>
      <c r="AR162" s="154"/>
      <c r="AS162" s="1"/>
      <c r="AT162" s="1"/>
      <c r="AU162" s="9"/>
    </row>
    <row r="163">
      <c r="A163" s="54"/>
      <c r="B163" s="71" t="str">
        <f>IFERROR(HYPERLINK(VLOOKUP(A163,Internal_lists_bugs!$A$2:$C$73,3,FALSE()), VLOOKUP(A163,Internal_lists_bugs!$A$2:$C$73,3,FALSE())&amp;Char(10) &amp; Char(10) &amp; VLOOKUP(A163,Internal_lists_bugs!$A$2:$Z$73,26,FALSE())),"please select a BUG ID")</f>
        <v>please select a BUG ID</v>
      </c>
      <c r="C163" s="51" t="str">
        <f>IFERROR(VLOOKUP(A163,Internal_lists_bugs!$A$2:$G2002,7,FALSE()),"please select a BUG ID")</f>
        <v>please select a BUG ID</v>
      </c>
      <c r="D163" s="54"/>
      <c r="E163" s="53"/>
      <c r="F163" s="54"/>
      <c r="G163" s="53"/>
      <c r="H163" s="54"/>
      <c r="I163" s="53"/>
      <c r="J163" s="54"/>
      <c r="K163" s="92"/>
      <c r="L163" s="54"/>
      <c r="M163" s="92"/>
      <c r="N163" s="54"/>
      <c r="O163" s="92"/>
      <c r="P163" s="54"/>
      <c r="Q163" s="92"/>
      <c r="R163" s="54"/>
      <c r="S163" s="92"/>
      <c r="T163" s="117"/>
      <c r="U163" s="92"/>
      <c r="V163" s="54"/>
      <c r="W163" s="92"/>
      <c r="X163" s="54"/>
      <c r="Y163" s="92"/>
      <c r="Z163" s="54"/>
      <c r="AA163" s="92"/>
      <c r="AB163" s="54"/>
      <c r="AC163" s="92"/>
      <c r="AD163" s="54"/>
      <c r="AE163" s="92"/>
      <c r="AF163" s="54"/>
      <c r="AG163" s="92"/>
      <c r="AH163" s="54"/>
      <c r="AI163" s="92"/>
      <c r="AJ163" s="54"/>
      <c r="AK163" s="92"/>
      <c r="AL163" s="54"/>
      <c r="AM163" s="92"/>
      <c r="AO163" s="54"/>
      <c r="AP163" s="123"/>
      <c r="AQ163" s="54"/>
      <c r="AR163" s="154"/>
      <c r="AS163" s="1"/>
      <c r="AT163" s="1"/>
      <c r="AU163" s="9"/>
    </row>
    <row r="164">
      <c r="A164" s="54"/>
      <c r="B164" s="71" t="str">
        <f>IFERROR(HYPERLINK(VLOOKUP(A164,Internal_lists_bugs!$A$2:$C$73,3,FALSE()), VLOOKUP(A164,Internal_lists_bugs!$A$2:$C$73,3,FALSE())&amp;Char(10) &amp; Char(10) &amp; VLOOKUP(A164,Internal_lists_bugs!$A$2:$Z$73,26,FALSE())),"please select a BUG ID")</f>
        <v>please select a BUG ID</v>
      </c>
      <c r="C164" s="51" t="str">
        <f>IFERROR(VLOOKUP(A164,Internal_lists_bugs!$A$2:$G2002,7,FALSE()),"please select a BUG ID")</f>
        <v>please select a BUG ID</v>
      </c>
      <c r="D164" s="54"/>
      <c r="E164" s="53"/>
      <c r="F164" s="54"/>
      <c r="G164" s="53"/>
      <c r="H164" s="54"/>
      <c r="I164" s="53"/>
      <c r="J164" s="54"/>
      <c r="K164" s="92"/>
      <c r="L164" s="54"/>
      <c r="M164" s="92"/>
      <c r="N164" s="54"/>
      <c r="O164" s="92"/>
      <c r="P164" s="54"/>
      <c r="Q164" s="92"/>
      <c r="R164" s="54"/>
      <c r="S164" s="92"/>
      <c r="T164" s="117"/>
      <c r="U164" s="92"/>
      <c r="V164" s="54"/>
      <c r="W164" s="92"/>
      <c r="X164" s="54"/>
      <c r="Y164" s="92"/>
      <c r="Z164" s="54"/>
      <c r="AA164" s="92"/>
      <c r="AB164" s="54"/>
      <c r="AC164" s="92"/>
      <c r="AD164" s="54"/>
      <c r="AE164" s="92"/>
      <c r="AF164" s="54"/>
      <c r="AG164" s="92"/>
      <c r="AH164" s="54"/>
      <c r="AI164" s="92"/>
      <c r="AJ164" s="54"/>
      <c r="AK164" s="92"/>
      <c r="AL164" s="54"/>
      <c r="AM164" s="92"/>
      <c r="AO164" s="54"/>
      <c r="AP164" s="123"/>
      <c r="AQ164" s="54"/>
      <c r="AR164" s="154"/>
      <c r="AS164" s="1"/>
      <c r="AT164" s="1"/>
      <c r="AU164" s="9"/>
    </row>
    <row r="165">
      <c r="A165" s="54"/>
      <c r="B165" s="71" t="str">
        <f>IFERROR(HYPERLINK(VLOOKUP(A165,Internal_lists_bugs!$A$2:$C$73,3,FALSE()), VLOOKUP(A165,Internal_lists_bugs!$A$2:$C$73,3,FALSE())&amp;Char(10) &amp; Char(10) &amp; VLOOKUP(A165,Internal_lists_bugs!$A$2:$Z$73,26,FALSE())),"please select a BUG ID")</f>
        <v>please select a BUG ID</v>
      </c>
      <c r="C165" s="51" t="str">
        <f>IFERROR(VLOOKUP(A165,Internal_lists_bugs!$A$2:$G2002,7,FALSE()),"please select a BUG ID")</f>
        <v>please select a BUG ID</v>
      </c>
      <c r="D165" s="54"/>
      <c r="E165" s="53"/>
      <c r="F165" s="54"/>
      <c r="G165" s="53"/>
      <c r="H165" s="54"/>
      <c r="I165" s="53"/>
      <c r="J165" s="54"/>
      <c r="K165" s="92"/>
      <c r="L165" s="54"/>
      <c r="M165" s="92"/>
      <c r="N165" s="54"/>
      <c r="O165" s="92"/>
      <c r="P165" s="54"/>
      <c r="Q165" s="92"/>
      <c r="R165" s="54"/>
      <c r="S165" s="92"/>
      <c r="T165" s="117"/>
      <c r="U165" s="92"/>
      <c r="V165" s="54"/>
      <c r="W165" s="92"/>
      <c r="X165" s="54"/>
      <c r="Y165" s="92"/>
      <c r="Z165" s="54"/>
      <c r="AA165" s="92"/>
      <c r="AB165" s="54"/>
      <c r="AC165" s="92"/>
      <c r="AD165" s="54"/>
      <c r="AE165" s="92"/>
      <c r="AF165" s="54"/>
      <c r="AG165" s="92"/>
      <c r="AH165" s="54"/>
      <c r="AI165" s="92"/>
      <c r="AJ165" s="54"/>
      <c r="AK165" s="92"/>
      <c r="AL165" s="54"/>
      <c r="AM165" s="92"/>
      <c r="AO165" s="54"/>
      <c r="AP165" s="123"/>
      <c r="AQ165" s="54"/>
      <c r="AR165" s="154"/>
      <c r="AS165" s="1"/>
      <c r="AT165" s="1"/>
      <c r="AU165" s="9"/>
    </row>
    <row r="166">
      <c r="A166" s="54"/>
      <c r="B166" s="71" t="str">
        <f>IFERROR(HYPERLINK(VLOOKUP(A166,Internal_lists_bugs!$A$2:$C$73,3,FALSE()), VLOOKUP(A166,Internal_lists_bugs!$A$2:$C$73,3,FALSE())&amp;Char(10) &amp; Char(10) &amp; VLOOKUP(A166,Internal_lists_bugs!$A$2:$Z$73,26,FALSE())),"please select a BUG ID")</f>
        <v>please select a BUG ID</v>
      </c>
      <c r="C166" s="51" t="str">
        <f>IFERROR(VLOOKUP(A166,Internal_lists_bugs!$A$2:$G2002,7,FALSE()),"please select a BUG ID")</f>
        <v>please select a BUG ID</v>
      </c>
      <c r="D166" s="54"/>
      <c r="E166" s="53"/>
      <c r="F166" s="54"/>
      <c r="G166" s="53"/>
      <c r="H166" s="54"/>
      <c r="I166" s="53"/>
      <c r="J166" s="54"/>
      <c r="K166" s="92"/>
      <c r="L166" s="54"/>
      <c r="M166" s="92"/>
      <c r="N166" s="54"/>
      <c r="O166" s="92"/>
      <c r="P166" s="54"/>
      <c r="Q166" s="92"/>
      <c r="R166" s="54"/>
      <c r="S166" s="92"/>
      <c r="T166" s="117"/>
      <c r="U166" s="92"/>
      <c r="V166" s="54"/>
      <c r="W166" s="92"/>
      <c r="X166" s="54"/>
      <c r="Y166" s="92"/>
      <c r="Z166" s="54"/>
      <c r="AA166" s="92"/>
      <c r="AB166" s="54"/>
      <c r="AC166" s="92"/>
      <c r="AD166" s="54"/>
      <c r="AE166" s="92"/>
      <c r="AF166" s="54"/>
      <c r="AG166" s="92"/>
      <c r="AH166" s="54"/>
      <c r="AI166" s="92"/>
      <c r="AJ166" s="54"/>
      <c r="AK166" s="92"/>
      <c r="AL166" s="54"/>
      <c r="AM166" s="92"/>
      <c r="AO166" s="54"/>
      <c r="AP166" s="123"/>
      <c r="AQ166" s="54"/>
      <c r="AR166" s="154"/>
      <c r="AS166" s="1"/>
      <c r="AT166" s="1"/>
      <c r="AU166" s="9"/>
    </row>
    <row r="167">
      <c r="A167" s="54"/>
      <c r="B167" s="71" t="str">
        <f>IFERROR(HYPERLINK(VLOOKUP(A167,Internal_lists_bugs!$A$2:$C$73,3,FALSE()), VLOOKUP(A167,Internal_lists_bugs!$A$2:$C$73,3,FALSE())&amp;Char(10) &amp; Char(10) &amp; VLOOKUP(A167,Internal_lists_bugs!$A$2:$Z$73,26,FALSE())),"please select a BUG ID")</f>
        <v>please select a BUG ID</v>
      </c>
      <c r="C167" s="51" t="str">
        <f>IFERROR(VLOOKUP(A167,Internal_lists_bugs!$A$2:$G2002,7,FALSE()),"please select a BUG ID")</f>
        <v>please select a BUG ID</v>
      </c>
      <c r="D167" s="54"/>
      <c r="E167" s="53"/>
      <c r="F167" s="54"/>
      <c r="G167" s="53"/>
      <c r="H167" s="54"/>
      <c r="I167" s="53"/>
      <c r="J167" s="54"/>
      <c r="K167" s="92"/>
      <c r="L167" s="54"/>
      <c r="M167" s="92"/>
      <c r="N167" s="54"/>
      <c r="O167" s="92"/>
      <c r="P167" s="54"/>
      <c r="Q167" s="92"/>
      <c r="R167" s="54"/>
      <c r="S167" s="92"/>
      <c r="T167" s="117"/>
      <c r="U167" s="92"/>
      <c r="V167" s="54"/>
      <c r="W167" s="92"/>
      <c r="X167" s="54"/>
      <c r="Y167" s="92"/>
      <c r="Z167" s="54"/>
      <c r="AA167" s="92"/>
      <c r="AB167" s="54"/>
      <c r="AC167" s="92"/>
      <c r="AD167" s="54"/>
      <c r="AE167" s="92"/>
      <c r="AF167" s="54"/>
      <c r="AG167" s="92"/>
      <c r="AH167" s="54"/>
      <c r="AI167" s="92"/>
      <c r="AJ167" s="54"/>
      <c r="AK167" s="92"/>
      <c r="AL167" s="54"/>
      <c r="AM167" s="92"/>
      <c r="AO167" s="54"/>
      <c r="AP167" s="123"/>
      <c r="AQ167" s="54"/>
      <c r="AR167" s="154"/>
      <c r="AS167" s="1"/>
      <c r="AT167" s="1"/>
      <c r="AU167" s="9"/>
    </row>
    <row r="168">
      <c r="A168" s="54"/>
      <c r="B168" s="71" t="str">
        <f>IFERROR(HYPERLINK(VLOOKUP(A168,Internal_lists_bugs!$A$2:$C$73,3,FALSE()), VLOOKUP(A168,Internal_lists_bugs!$A$2:$C$73,3,FALSE())&amp;Char(10) &amp; Char(10) &amp; VLOOKUP(A168,Internal_lists_bugs!$A$2:$Z$73,26,FALSE())),"please select a BUG ID")</f>
        <v>please select a BUG ID</v>
      </c>
      <c r="C168" s="51" t="str">
        <f>IFERROR(VLOOKUP(A168,Internal_lists_bugs!$A$2:$G2002,7,FALSE()),"please select a BUG ID")</f>
        <v>please select a BUG ID</v>
      </c>
      <c r="D168" s="54"/>
      <c r="E168" s="53"/>
      <c r="F168" s="54"/>
      <c r="G168" s="53"/>
      <c r="H168" s="54"/>
      <c r="I168" s="53"/>
      <c r="J168" s="54"/>
      <c r="K168" s="92"/>
      <c r="L168" s="54"/>
      <c r="M168" s="92"/>
      <c r="N168" s="54"/>
      <c r="O168" s="92"/>
      <c r="P168" s="54"/>
      <c r="Q168" s="92"/>
      <c r="R168" s="54"/>
      <c r="S168" s="92"/>
      <c r="T168" s="117"/>
      <c r="U168" s="92"/>
      <c r="V168" s="54"/>
      <c r="W168" s="92"/>
      <c r="X168" s="54"/>
      <c r="Y168" s="92"/>
      <c r="Z168" s="54"/>
      <c r="AA168" s="92"/>
      <c r="AB168" s="54"/>
      <c r="AC168" s="92"/>
      <c r="AD168" s="54"/>
      <c r="AE168" s="92"/>
      <c r="AF168" s="54"/>
      <c r="AG168" s="92"/>
      <c r="AH168" s="54"/>
      <c r="AI168" s="92"/>
      <c r="AJ168" s="54"/>
      <c r="AK168" s="92"/>
      <c r="AL168" s="54"/>
      <c r="AM168" s="92"/>
      <c r="AO168" s="54"/>
      <c r="AP168" s="123"/>
      <c r="AQ168" s="54"/>
      <c r="AR168" s="154"/>
      <c r="AS168" s="1"/>
      <c r="AT168" s="1"/>
      <c r="AU168" s="9"/>
    </row>
    <row r="169">
      <c r="A169" s="54"/>
      <c r="B169" s="71" t="str">
        <f>IFERROR(HYPERLINK(VLOOKUP(A169,Internal_lists_bugs!$A$2:$C$73,3,FALSE()), VLOOKUP(A169,Internal_lists_bugs!$A$2:$C$73,3,FALSE())&amp;Char(10) &amp; Char(10) &amp; VLOOKUP(A169,Internal_lists_bugs!$A$2:$Z$73,26,FALSE())),"please select a BUG ID")</f>
        <v>please select a BUG ID</v>
      </c>
      <c r="C169" s="51" t="str">
        <f>IFERROR(VLOOKUP(A169,Internal_lists_bugs!$A$2:$G2002,7,FALSE()),"please select a BUG ID")</f>
        <v>please select a BUG ID</v>
      </c>
      <c r="D169" s="54"/>
      <c r="E169" s="53"/>
      <c r="F169" s="54"/>
      <c r="G169" s="53"/>
      <c r="H169" s="54"/>
      <c r="I169" s="53"/>
      <c r="J169" s="54"/>
      <c r="K169" s="92"/>
      <c r="L169" s="54"/>
      <c r="M169" s="92"/>
      <c r="N169" s="54"/>
      <c r="O169" s="92"/>
      <c r="P169" s="54"/>
      <c r="Q169" s="92"/>
      <c r="R169" s="54"/>
      <c r="S169" s="92"/>
      <c r="T169" s="117"/>
      <c r="U169" s="92"/>
      <c r="V169" s="54"/>
      <c r="W169" s="92"/>
      <c r="X169" s="54"/>
      <c r="Y169" s="92"/>
      <c r="Z169" s="54"/>
      <c r="AA169" s="92"/>
      <c r="AB169" s="54"/>
      <c r="AC169" s="92"/>
      <c r="AD169" s="54"/>
      <c r="AE169" s="92"/>
      <c r="AF169" s="54"/>
      <c r="AG169" s="92"/>
      <c r="AH169" s="54"/>
      <c r="AI169" s="92"/>
      <c r="AJ169" s="54"/>
      <c r="AK169" s="92"/>
      <c r="AL169" s="54"/>
      <c r="AM169" s="92"/>
      <c r="AO169" s="54"/>
      <c r="AP169" s="123"/>
      <c r="AQ169" s="54"/>
      <c r="AR169" s="154"/>
      <c r="AS169" s="1"/>
      <c r="AT169" s="1"/>
      <c r="AU169" s="9"/>
    </row>
    <row r="170">
      <c r="A170" s="54"/>
      <c r="B170" s="71" t="str">
        <f>IFERROR(HYPERLINK(VLOOKUP(A170,Internal_lists_bugs!$A$2:$C$73,3,FALSE()), VLOOKUP(A170,Internal_lists_bugs!$A$2:$C$73,3,FALSE())&amp;Char(10) &amp; Char(10) &amp; VLOOKUP(A170,Internal_lists_bugs!$A$2:$Z$73,26,FALSE())),"please select a BUG ID")</f>
        <v>please select a BUG ID</v>
      </c>
      <c r="C170" s="51" t="str">
        <f>IFERROR(VLOOKUP(A170,Internal_lists_bugs!$A$2:$G2002,7,FALSE()),"please select a BUG ID")</f>
        <v>please select a BUG ID</v>
      </c>
      <c r="D170" s="54"/>
      <c r="E170" s="53"/>
      <c r="F170" s="54"/>
      <c r="G170" s="53"/>
      <c r="H170" s="54"/>
      <c r="I170" s="53"/>
      <c r="J170" s="54"/>
      <c r="K170" s="92"/>
      <c r="L170" s="54"/>
      <c r="M170" s="92"/>
      <c r="N170" s="54"/>
      <c r="O170" s="92"/>
      <c r="P170" s="54"/>
      <c r="Q170" s="92"/>
      <c r="R170" s="54"/>
      <c r="S170" s="92"/>
      <c r="T170" s="117"/>
      <c r="U170" s="92"/>
      <c r="V170" s="54"/>
      <c r="W170" s="92"/>
      <c r="X170" s="54"/>
      <c r="Y170" s="92"/>
      <c r="Z170" s="54"/>
      <c r="AA170" s="92"/>
      <c r="AB170" s="54"/>
      <c r="AC170" s="92"/>
      <c r="AD170" s="54"/>
      <c r="AE170" s="92"/>
      <c r="AF170" s="54"/>
      <c r="AG170" s="92"/>
      <c r="AH170" s="54"/>
      <c r="AI170" s="92"/>
      <c r="AJ170" s="54"/>
      <c r="AK170" s="92"/>
      <c r="AL170" s="54"/>
      <c r="AM170" s="92"/>
      <c r="AO170" s="54"/>
      <c r="AP170" s="123"/>
      <c r="AQ170" s="54"/>
      <c r="AR170" s="154"/>
      <c r="AS170" s="1"/>
      <c r="AT170" s="1"/>
      <c r="AU170" s="9"/>
    </row>
    <row r="171">
      <c r="A171" s="54"/>
      <c r="B171" s="71" t="str">
        <f>IFERROR(HYPERLINK(VLOOKUP(A171,Internal_lists_bugs!$A$2:$C$73,3,FALSE()), VLOOKUP(A171,Internal_lists_bugs!$A$2:$C$73,3,FALSE())&amp;Char(10) &amp; Char(10) &amp; VLOOKUP(A171,Internal_lists_bugs!$A$2:$Z$73,26,FALSE())),"please select a BUG ID")</f>
        <v>please select a BUG ID</v>
      </c>
      <c r="C171" s="51" t="str">
        <f>IFERROR(VLOOKUP(A171,Internal_lists_bugs!$A$2:$G2002,7,FALSE()),"please select a BUG ID")</f>
        <v>please select a BUG ID</v>
      </c>
      <c r="D171" s="54"/>
      <c r="E171" s="53"/>
      <c r="F171" s="54"/>
      <c r="G171" s="53"/>
      <c r="H171" s="54"/>
      <c r="I171" s="53"/>
      <c r="J171" s="54"/>
      <c r="K171" s="92"/>
      <c r="L171" s="54"/>
      <c r="M171" s="92"/>
      <c r="N171" s="54"/>
      <c r="O171" s="92"/>
      <c r="P171" s="54"/>
      <c r="Q171" s="92"/>
      <c r="R171" s="54"/>
      <c r="S171" s="92"/>
      <c r="T171" s="117"/>
      <c r="U171" s="92"/>
      <c r="V171" s="54"/>
      <c r="W171" s="92"/>
      <c r="X171" s="54"/>
      <c r="Y171" s="92"/>
      <c r="Z171" s="54"/>
      <c r="AA171" s="92"/>
      <c r="AB171" s="54"/>
      <c r="AC171" s="92"/>
      <c r="AD171" s="54"/>
      <c r="AE171" s="92"/>
      <c r="AF171" s="54"/>
      <c r="AG171" s="92"/>
      <c r="AH171" s="54"/>
      <c r="AI171" s="92"/>
      <c r="AJ171" s="54"/>
      <c r="AK171" s="92"/>
      <c r="AL171" s="54"/>
      <c r="AM171" s="92"/>
      <c r="AO171" s="54"/>
      <c r="AP171" s="123"/>
      <c r="AQ171" s="54"/>
      <c r="AR171" s="154"/>
      <c r="AS171" s="1"/>
      <c r="AT171" s="1"/>
      <c r="AU171" s="9"/>
    </row>
    <row r="172">
      <c r="A172" s="54"/>
      <c r="B172" s="71" t="str">
        <f>IFERROR(HYPERLINK(VLOOKUP(A172,Internal_lists_bugs!$A$2:$C$73,3,FALSE()), VLOOKUP(A172,Internal_lists_bugs!$A$2:$C$73,3,FALSE())&amp;Char(10) &amp; Char(10) &amp; VLOOKUP(A172,Internal_lists_bugs!$A$2:$Z$73,26,FALSE())),"please select a BUG ID")</f>
        <v>please select a BUG ID</v>
      </c>
      <c r="C172" s="51" t="str">
        <f>IFERROR(VLOOKUP(A172,Internal_lists_bugs!$A$2:$G2002,7,FALSE()),"please select a BUG ID")</f>
        <v>please select a BUG ID</v>
      </c>
      <c r="D172" s="54"/>
      <c r="E172" s="53"/>
      <c r="F172" s="54"/>
      <c r="G172" s="53"/>
      <c r="H172" s="54"/>
      <c r="I172" s="53"/>
      <c r="J172" s="54"/>
      <c r="K172" s="92"/>
      <c r="L172" s="54"/>
      <c r="M172" s="92"/>
      <c r="N172" s="54"/>
      <c r="O172" s="92"/>
      <c r="P172" s="54"/>
      <c r="Q172" s="92"/>
      <c r="R172" s="54"/>
      <c r="S172" s="92"/>
      <c r="T172" s="117"/>
      <c r="U172" s="92"/>
      <c r="V172" s="54"/>
      <c r="W172" s="92"/>
      <c r="X172" s="54"/>
      <c r="Y172" s="92"/>
      <c r="Z172" s="54"/>
      <c r="AA172" s="92"/>
      <c r="AB172" s="54"/>
      <c r="AC172" s="92"/>
      <c r="AD172" s="54"/>
      <c r="AE172" s="92"/>
      <c r="AF172" s="54"/>
      <c r="AG172" s="92"/>
      <c r="AH172" s="54"/>
      <c r="AI172" s="92"/>
      <c r="AJ172" s="54"/>
      <c r="AK172" s="92"/>
      <c r="AL172" s="54"/>
      <c r="AM172" s="92"/>
      <c r="AO172" s="54"/>
      <c r="AP172" s="123"/>
      <c r="AQ172" s="54"/>
      <c r="AR172" s="154"/>
      <c r="AS172" s="1"/>
      <c r="AT172" s="1"/>
      <c r="AU172" s="9"/>
    </row>
    <row r="173">
      <c r="A173" s="54"/>
      <c r="B173" s="71" t="str">
        <f>IFERROR(HYPERLINK(VLOOKUP(A173,Internal_lists_bugs!$A$2:$C$73,3,FALSE()), VLOOKUP(A173,Internal_lists_bugs!$A$2:$C$73,3,FALSE())&amp;Char(10) &amp; Char(10) &amp; VLOOKUP(A173,Internal_lists_bugs!$A$2:$Z$73,26,FALSE())),"please select a BUG ID")</f>
        <v>please select a BUG ID</v>
      </c>
      <c r="C173" s="51" t="str">
        <f>IFERROR(VLOOKUP(A173,Internal_lists_bugs!$A$2:$G2002,7,FALSE()),"please select a BUG ID")</f>
        <v>please select a BUG ID</v>
      </c>
      <c r="D173" s="54"/>
      <c r="E173" s="53"/>
      <c r="F173" s="54"/>
      <c r="G173" s="53"/>
      <c r="H173" s="54"/>
      <c r="I173" s="53"/>
      <c r="J173" s="54"/>
      <c r="K173" s="92"/>
      <c r="L173" s="54"/>
      <c r="M173" s="92"/>
      <c r="N173" s="54"/>
      <c r="O173" s="92"/>
      <c r="P173" s="54"/>
      <c r="Q173" s="92"/>
      <c r="R173" s="54"/>
      <c r="S173" s="92"/>
      <c r="T173" s="117"/>
      <c r="U173" s="92"/>
      <c r="V173" s="54"/>
      <c r="W173" s="92"/>
      <c r="X173" s="54"/>
      <c r="Y173" s="92"/>
      <c r="Z173" s="54"/>
      <c r="AA173" s="92"/>
      <c r="AB173" s="54"/>
      <c r="AC173" s="92"/>
      <c r="AD173" s="54"/>
      <c r="AE173" s="92"/>
      <c r="AF173" s="54"/>
      <c r="AG173" s="92"/>
      <c r="AH173" s="54"/>
      <c r="AI173" s="92"/>
      <c r="AJ173" s="54"/>
      <c r="AK173" s="92"/>
      <c r="AL173" s="54"/>
      <c r="AM173" s="92"/>
      <c r="AO173" s="54"/>
      <c r="AP173" s="123"/>
      <c r="AQ173" s="54"/>
      <c r="AR173" s="154"/>
      <c r="AS173" s="1"/>
      <c r="AT173" s="1"/>
      <c r="AU173" s="9"/>
    </row>
    <row r="174">
      <c r="A174" s="54"/>
      <c r="B174" s="71" t="str">
        <f>IFERROR(HYPERLINK(VLOOKUP(A174,Internal_lists_bugs!$A$2:$C$73,3,FALSE()), VLOOKUP(A174,Internal_lists_bugs!$A$2:$C$73,3,FALSE())&amp;Char(10) &amp; Char(10) &amp; VLOOKUP(A174,Internal_lists_bugs!$A$2:$Z$73,26,FALSE())),"please select a BUG ID")</f>
        <v>please select a BUG ID</v>
      </c>
      <c r="C174" s="51" t="str">
        <f>IFERROR(VLOOKUP(A174,Internal_lists_bugs!$A$2:$G2002,7,FALSE()),"please select a BUG ID")</f>
        <v>please select a BUG ID</v>
      </c>
      <c r="D174" s="54"/>
      <c r="E174" s="53"/>
      <c r="F174" s="54"/>
      <c r="G174" s="53"/>
      <c r="H174" s="54"/>
      <c r="I174" s="53"/>
      <c r="J174" s="54"/>
      <c r="K174" s="92"/>
      <c r="L174" s="54"/>
      <c r="M174" s="92"/>
      <c r="N174" s="54"/>
      <c r="O174" s="92"/>
      <c r="P174" s="54"/>
      <c r="Q174" s="92"/>
      <c r="R174" s="54"/>
      <c r="S174" s="92"/>
      <c r="T174" s="117"/>
      <c r="U174" s="92"/>
      <c r="V174" s="54"/>
      <c r="W174" s="92"/>
      <c r="X174" s="54"/>
      <c r="Y174" s="92"/>
      <c r="Z174" s="54"/>
      <c r="AA174" s="92"/>
      <c r="AB174" s="54"/>
      <c r="AC174" s="92"/>
      <c r="AD174" s="54"/>
      <c r="AE174" s="92"/>
      <c r="AF174" s="54"/>
      <c r="AG174" s="92"/>
      <c r="AH174" s="54"/>
      <c r="AI174" s="92"/>
      <c r="AJ174" s="54"/>
      <c r="AK174" s="92"/>
      <c r="AL174" s="54"/>
      <c r="AM174" s="92"/>
      <c r="AO174" s="54"/>
      <c r="AP174" s="123"/>
      <c r="AQ174" s="54"/>
      <c r="AR174" s="154"/>
      <c r="AS174" s="1"/>
      <c r="AT174" s="1"/>
      <c r="AU174" s="9"/>
    </row>
    <row r="175">
      <c r="A175" s="54"/>
      <c r="B175" s="71" t="str">
        <f>IFERROR(HYPERLINK(VLOOKUP(A175,Internal_lists_bugs!$A$2:$C$73,3,FALSE()), VLOOKUP(A175,Internal_lists_bugs!$A$2:$C$73,3,FALSE())&amp;Char(10) &amp; Char(10) &amp; VLOOKUP(A175,Internal_lists_bugs!$A$2:$Z$73,26,FALSE())),"please select a BUG ID")</f>
        <v>please select a BUG ID</v>
      </c>
      <c r="C175" s="51" t="str">
        <f>IFERROR(VLOOKUP(A175,Internal_lists_bugs!$A$2:$G2002,7,FALSE()),"please select a BUG ID")</f>
        <v>please select a BUG ID</v>
      </c>
      <c r="D175" s="54"/>
      <c r="E175" s="53"/>
      <c r="F175" s="54"/>
      <c r="G175" s="53"/>
      <c r="H175" s="54"/>
      <c r="I175" s="53"/>
      <c r="J175" s="54"/>
      <c r="K175" s="92"/>
      <c r="L175" s="54"/>
      <c r="M175" s="92"/>
      <c r="N175" s="54"/>
      <c r="O175" s="92"/>
      <c r="P175" s="54"/>
      <c r="Q175" s="92"/>
      <c r="R175" s="54"/>
      <c r="S175" s="92"/>
      <c r="T175" s="117"/>
      <c r="U175" s="92"/>
      <c r="V175" s="54"/>
      <c r="W175" s="92"/>
      <c r="X175" s="54"/>
      <c r="Y175" s="92"/>
      <c r="Z175" s="54"/>
      <c r="AA175" s="92"/>
      <c r="AB175" s="54"/>
      <c r="AC175" s="92"/>
      <c r="AD175" s="54"/>
      <c r="AE175" s="92"/>
      <c r="AF175" s="54"/>
      <c r="AG175" s="92"/>
      <c r="AH175" s="54"/>
      <c r="AI175" s="92"/>
      <c r="AJ175" s="54"/>
      <c r="AK175" s="92"/>
      <c r="AL175" s="54"/>
      <c r="AM175" s="92"/>
      <c r="AO175" s="54"/>
      <c r="AP175" s="123"/>
      <c r="AQ175" s="54"/>
      <c r="AR175" s="154"/>
      <c r="AS175" s="1"/>
      <c r="AT175" s="1"/>
      <c r="AU175" s="9"/>
    </row>
    <row r="176">
      <c r="A176" s="54"/>
      <c r="B176" s="71" t="str">
        <f>IFERROR(HYPERLINK(VLOOKUP(A176,Internal_lists_bugs!$A$2:$C$73,3,FALSE()), VLOOKUP(A176,Internal_lists_bugs!$A$2:$C$73,3,FALSE())&amp;Char(10) &amp; Char(10) &amp; VLOOKUP(A176,Internal_lists_bugs!$A$2:$Z$73,26,FALSE())),"please select a BUG ID")</f>
        <v>please select a BUG ID</v>
      </c>
      <c r="C176" s="51" t="str">
        <f>IFERROR(VLOOKUP(A176,Internal_lists_bugs!$A$2:$G2002,7,FALSE()),"please select a BUG ID")</f>
        <v>please select a BUG ID</v>
      </c>
      <c r="D176" s="54"/>
      <c r="E176" s="53"/>
      <c r="F176" s="54"/>
      <c r="G176" s="53"/>
      <c r="H176" s="54"/>
      <c r="I176" s="53"/>
      <c r="J176" s="54"/>
      <c r="K176" s="92"/>
      <c r="L176" s="54"/>
      <c r="M176" s="92"/>
      <c r="N176" s="54"/>
      <c r="O176" s="92"/>
      <c r="P176" s="54"/>
      <c r="Q176" s="92"/>
      <c r="R176" s="54"/>
      <c r="S176" s="92"/>
      <c r="T176" s="117"/>
      <c r="U176" s="92"/>
      <c r="V176" s="54"/>
      <c r="W176" s="92"/>
      <c r="X176" s="54"/>
      <c r="Y176" s="92"/>
      <c r="Z176" s="54"/>
      <c r="AA176" s="92"/>
      <c r="AB176" s="54"/>
      <c r="AC176" s="92"/>
      <c r="AD176" s="54"/>
      <c r="AE176" s="92"/>
      <c r="AF176" s="54"/>
      <c r="AG176" s="92"/>
      <c r="AH176" s="54"/>
      <c r="AI176" s="92"/>
      <c r="AJ176" s="54"/>
      <c r="AK176" s="92"/>
      <c r="AL176" s="54"/>
      <c r="AM176" s="92"/>
      <c r="AO176" s="54"/>
      <c r="AP176" s="123"/>
      <c r="AQ176" s="54"/>
      <c r="AR176" s="154"/>
      <c r="AS176" s="1"/>
      <c r="AT176" s="1"/>
      <c r="AU176" s="9"/>
    </row>
    <row r="177">
      <c r="A177" s="54"/>
      <c r="B177" s="71" t="str">
        <f>IFERROR(HYPERLINK(VLOOKUP(A177,Internal_lists_bugs!$A$2:$C$73,3,FALSE()), VLOOKUP(A177,Internal_lists_bugs!$A$2:$C$73,3,FALSE())&amp;Char(10) &amp; Char(10) &amp; VLOOKUP(A177,Internal_lists_bugs!$A$2:$Z$73,26,FALSE())),"please select a BUG ID")</f>
        <v>please select a BUG ID</v>
      </c>
      <c r="C177" s="51" t="str">
        <f>IFERROR(VLOOKUP(A177,Internal_lists_bugs!$A$2:$G2002,7,FALSE()),"please select a BUG ID")</f>
        <v>please select a BUG ID</v>
      </c>
      <c r="D177" s="54"/>
      <c r="E177" s="53"/>
      <c r="F177" s="54"/>
      <c r="G177" s="53"/>
      <c r="H177" s="54"/>
      <c r="I177" s="53"/>
      <c r="J177" s="54"/>
      <c r="K177" s="92"/>
      <c r="L177" s="54"/>
      <c r="M177" s="92"/>
      <c r="N177" s="54"/>
      <c r="O177" s="92"/>
      <c r="P177" s="54"/>
      <c r="Q177" s="92"/>
      <c r="R177" s="54"/>
      <c r="S177" s="92"/>
      <c r="T177" s="117"/>
      <c r="U177" s="92"/>
      <c r="V177" s="54"/>
      <c r="W177" s="92"/>
      <c r="X177" s="54"/>
      <c r="Y177" s="92"/>
      <c r="Z177" s="54"/>
      <c r="AA177" s="92"/>
      <c r="AB177" s="54"/>
      <c r="AC177" s="92"/>
      <c r="AD177" s="54"/>
      <c r="AE177" s="92"/>
      <c r="AF177" s="54"/>
      <c r="AG177" s="92"/>
      <c r="AH177" s="54"/>
      <c r="AI177" s="92"/>
      <c r="AJ177" s="54"/>
      <c r="AK177" s="92"/>
      <c r="AL177" s="54"/>
      <c r="AM177" s="92"/>
      <c r="AO177" s="54"/>
      <c r="AP177" s="123"/>
      <c r="AQ177" s="54"/>
      <c r="AR177" s="154"/>
      <c r="AS177" s="1"/>
      <c r="AT177" s="1"/>
      <c r="AU177" s="9"/>
    </row>
    <row r="178">
      <c r="A178" s="54"/>
      <c r="B178" s="71" t="str">
        <f>IFERROR(HYPERLINK(VLOOKUP(A178,Internal_lists_bugs!$A$2:$C$73,3,FALSE()), VLOOKUP(A178,Internal_lists_bugs!$A$2:$C$73,3,FALSE())&amp;Char(10) &amp; Char(10) &amp; VLOOKUP(A178,Internal_lists_bugs!$A$2:$Z$73,26,FALSE())),"please select a BUG ID")</f>
        <v>please select a BUG ID</v>
      </c>
      <c r="C178" s="51" t="str">
        <f>IFERROR(VLOOKUP(A178,Internal_lists_bugs!$A$2:$G2002,7,FALSE()),"please select a BUG ID")</f>
        <v>please select a BUG ID</v>
      </c>
      <c r="D178" s="54"/>
      <c r="E178" s="53"/>
      <c r="F178" s="54"/>
      <c r="G178" s="53"/>
      <c r="H178" s="54"/>
      <c r="I178" s="53"/>
      <c r="J178" s="54"/>
      <c r="K178" s="92"/>
      <c r="L178" s="54"/>
      <c r="M178" s="92"/>
      <c r="N178" s="54"/>
      <c r="O178" s="92"/>
      <c r="P178" s="54"/>
      <c r="Q178" s="92"/>
      <c r="R178" s="54"/>
      <c r="S178" s="92"/>
      <c r="T178" s="117"/>
      <c r="U178" s="92"/>
      <c r="V178" s="54"/>
      <c r="W178" s="92"/>
      <c r="X178" s="54"/>
      <c r="Y178" s="92"/>
      <c r="Z178" s="54"/>
      <c r="AA178" s="92"/>
      <c r="AB178" s="54"/>
      <c r="AC178" s="92"/>
      <c r="AD178" s="54"/>
      <c r="AE178" s="92"/>
      <c r="AF178" s="54"/>
      <c r="AG178" s="92"/>
      <c r="AH178" s="54"/>
      <c r="AI178" s="92"/>
      <c r="AJ178" s="54"/>
      <c r="AK178" s="92"/>
      <c r="AL178" s="54"/>
      <c r="AM178" s="92"/>
      <c r="AO178" s="54"/>
      <c r="AP178" s="123"/>
      <c r="AQ178" s="54"/>
      <c r="AR178" s="154"/>
      <c r="AS178" s="1"/>
      <c r="AT178" s="1"/>
      <c r="AU178" s="9"/>
    </row>
    <row r="179">
      <c r="A179" s="54"/>
      <c r="B179" s="71" t="str">
        <f>IFERROR(HYPERLINK(VLOOKUP(A179,Internal_lists_bugs!$A$2:$C$73,3,FALSE()), VLOOKUP(A179,Internal_lists_bugs!$A$2:$C$73,3,FALSE())&amp;Char(10) &amp; Char(10) &amp; VLOOKUP(A179,Internal_lists_bugs!$A$2:$Z$73,26,FALSE())),"please select a BUG ID")</f>
        <v>please select a BUG ID</v>
      </c>
      <c r="C179" s="51" t="str">
        <f>IFERROR(VLOOKUP(A179,Internal_lists_bugs!$A$2:$G2002,7,FALSE()),"please select a BUG ID")</f>
        <v>please select a BUG ID</v>
      </c>
      <c r="D179" s="54"/>
      <c r="E179" s="53"/>
      <c r="F179" s="54"/>
      <c r="G179" s="53"/>
      <c r="H179" s="54"/>
      <c r="I179" s="53"/>
      <c r="J179" s="54"/>
      <c r="K179" s="92"/>
      <c r="L179" s="54"/>
      <c r="M179" s="92"/>
      <c r="N179" s="54"/>
      <c r="O179" s="92"/>
      <c r="P179" s="54"/>
      <c r="Q179" s="92"/>
      <c r="R179" s="54"/>
      <c r="S179" s="92"/>
      <c r="T179" s="117"/>
      <c r="U179" s="92"/>
      <c r="V179" s="54"/>
      <c r="W179" s="92"/>
      <c r="X179" s="54"/>
      <c r="Y179" s="92"/>
      <c r="Z179" s="54"/>
      <c r="AA179" s="92"/>
      <c r="AB179" s="54"/>
      <c r="AC179" s="92"/>
      <c r="AD179" s="54"/>
      <c r="AE179" s="92"/>
      <c r="AF179" s="54"/>
      <c r="AG179" s="92"/>
      <c r="AH179" s="54"/>
      <c r="AI179" s="92"/>
      <c r="AJ179" s="54"/>
      <c r="AK179" s="92"/>
      <c r="AL179" s="54"/>
      <c r="AM179" s="92"/>
      <c r="AO179" s="54"/>
      <c r="AP179" s="123"/>
      <c r="AQ179" s="54"/>
      <c r="AR179" s="154"/>
      <c r="AS179" s="1"/>
      <c r="AT179" s="1"/>
      <c r="AU179" s="9"/>
    </row>
    <row r="180">
      <c r="A180" s="54"/>
      <c r="B180" s="71" t="str">
        <f>IFERROR(HYPERLINK(VLOOKUP(A180,Internal_lists_bugs!$A$2:$C$73,3,FALSE()), VLOOKUP(A180,Internal_lists_bugs!$A$2:$C$73,3,FALSE())&amp;Char(10) &amp; Char(10) &amp; VLOOKUP(A180,Internal_lists_bugs!$A$2:$Z$73,26,FALSE())),"please select a BUG ID")</f>
        <v>please select a BUG ID</v>
      </c>
      <c r="C180" s="51" t="str">
        <f>IFERROR(VLOOKUP(A180,Internal_lists_bugs!$A$2:$G2002,7,FALSE()),"please select a BUG ID")</f>
        <v>please select a BUG ID</v>
      </c>
      <c r="D180" s="54"/>
      <c r="E180" s="53"/>
      <c r="F180" s="54"/>
      <c r="G180" s="53"/>
      <c r="H180" s="54"/>
      <c r="I180" s="53"/>
      <c r="J180" s="54"/>
      <c r="K180" s="92"/>
      <c r="L180" s="54"/>
      <c r="M180" s="92"/>
      <c r="N180" s="54"/>
      <c r="O180" s="92"/>
      <c r="P180" s="54"/>
      <c r="Q180" s="92"/>
      <c r="R180" s="54"/>
      <c r="S180" s="92"/>
      <c r="T180" s="117"/>
      <c r="U180" s="92"/>
      <c r="V180" s="54"/>
      <c r="W180" s="92"/>
      <c r="X180" s="54"/>
      <c r="Y180" s="92"/>
      <c r="Z180" s="54"/>
      <c r="AA180" s="92"/>
      <c r="AB180" s="54"/>
      <c r="AC180" s="92"/>
      <c r="AD180" s="54"/>
      <c r="AE180" s="92"/>
      <c r="AF180" s="54"/>
      <c r="AG180" s="92"/>
      <c r="AH180" s="54"/>
      <c r="AI180" s="92"/>
      <c r="AJ180" s="54"/>
      <c r="AK180" s="92"/>
      <c r="AL180" s="54"/>
      <c r="AM180" s="92"/>
      <c r="AO180" s="54"/>
      <c r="AP180" s="123"/>
      <c r="AQ180" s="54"/>
      <c r="AR180" s="154"/>
      <c r="AS180" s="1"/>
      <c r="AT180" s="1"/>
      <c r="AU180" s="9"/>
    </row>
    <row r="181">
      <c r="A181" s="54"/>
      <c r="B181" s="71" t="str">
        <f>IFERROR(HYPERLINK(VLOOKUP(A181,Internal_lists_bugs!$A$2:$C$73,3,FALSE()), VLOOKUP(A181,Internal_lists_bugs!$A$2:$C$73,3,FALSE())&amp;Char(10) &amp; Char(10) &amp; VLOOKUP(A181,Internal_lists_bugs!$A$2:$Z$73,26,FALSE())),"please select a BUG ID")</f>
        <v>please select a BUG ID</v>
      </c>
      <c r="C181" s="51" t="str">
        <f>IFERROR(VLOOKUP(A181,Internal_lists_bugs!$A$2:$G2002,7,FALSE()),"please select a BUG ID")</f>
        <v>please select a BUG ID</v>
      </c>
      <c r="D181" s="54"/>
      <c r="E181" s="53"/>
      <c r="F181" s="54"/>
      <c r="G181" s="53"/>
      <c r="H181" s="54"/>
      <c r="I181" s="53"/>
      <c r="J181" s="54"/>
      <c r="K181" s="92"/>
      <c r="L181" s="54"/>
      <c r="M181" s="92"/>
      <c r="N181" s="54"/>
      <c r="O181" s="92"/>
      <c r="P181" s="54"/>
      <c r="Q181" s="92"/>
      <c r="R181" s="54"/>
      <c r="S181" s="92"/>
      <c r="T181" s="117"/>
      <c r="U181" s="92"/>
      <c r="V181" s="54"/>
      <c r="W181" s="92"/>
      <c r="X181" s="54"/>
      <c r="Y181" s="92"/>
      <c r="Z181" s="54"/>
      <c r="AA181" s="92"/>
      <c r="AB181" s="54"/>
      <c r="AC181" s="92"/>
      <c r="AD181" s="54"/>
      <c r="AE181" s="92"/>
      <c r="AF181" s="54"/>
      <c r="AG181" s="92"/>
      <c r="AH181" s="54"/>
      <c r="AI181" s="92"/>
      <c r="AJ181" s="54"/>
      <c r="AK181" s="92"/>
      <c r="AL181" s="54"/>
      <c r="AM181" s="92"/>
      <c r="AO181" s="54"/>
      <c r="AP181" s="123"/>
      <c r="AQ181" s="54"/>
      <c r="AR181" s="154"/>
      <c r="AS181" s="1"/>
      <c r="AT181" s="1"/>
      <c r="AU181" s="9"/>
    </row>
    <row r="182">
      <c r="A182" s="54"/>
      <c r="B182" s="71" t="str">
        <f>IFERROR(HYPERLINK(VLOOKUP(A182,Internal_lists_bugs!$A$2:$C$73,3,FALSE()), VLOOKUP(A182,Internal_lists_bugs!$A$2:$C$73,3,FALSE())&amp;Char(10) &amp; Char(10) &amp; VLOOKUP(A182,Internal_lists_bugs!$A$2:$Z$73,26,FALSE())),"please select a BUG ID")</f>
        <v>please select a BUG ID</v>
      </c>
      <c r="C182" s="51" t="str">
        <f>IFERROR(VLOOKUP(A182,Internal_lists_bugs!$A$2:$G2002,7,FALSE()),"please select a BUG ID")</f>
        <v>please select a BUG ID</v>
      </c>
      <c r="D182" s="54"/>
      <c r="E182" s="53"/>
      <c r="F182" s="54"/>
      <c r="G182" s="53"/>
      <c r="H182" s="54"/>
      <c r="I182" s="53"/>
      <c r="J182" s="54"/>
      <c r="K182" s="92"/>
      <c r="L182" s="54"/>
      <c r="M182" s="92"/>
      <c r="N182" s="54"/>
      <c r="O182" s="92"/>
      <c r="P182" s="54"/>
      <c r="Q182" s="92"/>
      <c r="R182" s="54"/>
      <c r="S182" s="92"/>
      <c r="T182" s="117"/>
      <c r="U182" s="92"/>
      <c r="V182" s="54"/>
      <c r="W182" s="92"/>
      <c r="X182" s="54"/>
      <c r="Y182" s="92"/>
      <c r="Z182" s="54"/>
      <c r="AA182" s="92"/>
      <c r="AB182" s="54"/>
      <c r="AC182" s="92"/>
      <c r="AD182" s="54"/>
      <c r="AE182" s="92"/>
      <c r="AF182" s="54"/>
      <c r="AG182" s="92"/>
      <c r="AH182" s="54"/>
      <c r="AI182" s="92"/>
      <c r="AJ182" s="54"/>
      <c r="AK182" s="92"/>
      <c r="AL182" s="54"/>
      <c r="AM182" s="92"/>
      <c r="AO182" s="54"/>
      <c r="AP182" s="123"/>
      <c r="AQ182" s="54"/>
      <c r="AR182" s="154"/>
      <c r="AS182" s="1"/>
      <c r="AT182" s="1"/>
      <c r="AU182" s="9"/>
    </row>
    <row r="183">
      <c r="A183" s="54"/>
      <c r="B183" s="71" t="str">
        <f>IFERROR(HYPERLINK(VLOOKUP(A183,Internal_lists_bugs!$A$2:$C$73,3,FALSE()), VLOOKUP(A183,Internal_lists_bugs!$A$2:$C$73,3,FALSE())&amp;Char(10) &amp; Char(10) &amp; VLOOKUP(A183,Internal_lists_bugs!$A$2:$Z$73,26,FALSE())),"please select a BUG ID")</f>
        <v>please select a BUG ID</v>
      </c>
      <c r="C183" s="51" t="str">
        <f>IFERROR(VLOOKUP(A183,Internal_lists_bugs!$A$2:$G2002,7,FALSE()),"please select a BUG ID")</f>
        <v>please select a BUG ID</v>
      </c>
      <c r="D183" s="54"/>
      <c r="E183" s="53"/>
      <c r="F183" s="54"/>
      <c r="G183" s="53"/>
      <c r="H183" s="54"/>
      <c r="I183" s="53"/>
      <c r="J183" s="54"/>
      <c r="K183" s="92"/>
      <c r="L183" s="54"/>
      <c r="M183" s="92"/>
      <c r="N183" s="54"/>
      <c r="O183" s="92"/>
      <c r="P183" s="54"/>
      <c r="Q183" s="92"/>
      <c r="R183" s="54"/>
      <c r="S183" s="92"/>
      <c r="T183" s="117"/>
      <c r="U183" s="92"/>
      <c r="V183" s="54"/>
      <c r="W183" s="92"/>
      <c r="X183" s="54"/>
      <c r="Y183" s="92"/>
      <c r="Z183" s="54"/>
      <c r="AA183" s="92"/>
      <c r="AB183" s="54"/>
      <c r="AC183" s="92"/>
      <c r="AD183" s="54"/>
      <c r="AE183" s="92"/>
      <c r="AF183" s="54"/>
      <c r="AG183" s="92"/>
      <c r="AH183" s="54"/>
      <c r="AI183" s="92"/>
      <c r="AJ183" s="54"/>
      <c r="AK183" s="92"/>
      <c r="AL183" s="54"/>
      <c r="AM183" s="92"/>
      <c r="AO183" s="54"/>
      <c r="AP183" s="123"/>
      <c r="AQ183" s="54"/>
      <c r="AR183" s="154"/>
      <c r="AS183" s="1"/>
      <c r="AT183" s="1"/>
      <c r="AU183" s="9"/>
    </row>
    <row r="184">
      <c r="A184" s="54"/>
      <c r="B184" s="71" t="str">
        <f>IFERROR(HYPERLINK(VLOOKUP(A184,Internal_lists_bugs!$A$2:$C$73,3,FALSE()), VLOOKUP(A184,Internal_lists_bugs!$A$2:$C$73,3,FALSE())&amp;Char(10) &amp; Char(10) &amp; VLOOKUP(A184,Internal_lists_bugs!$A$2:$Z$73,26,FALSE())),"please select a BUG ID")</f>
        <v>please select a BUG ID</v>
      </c>
      <c r="C184" s="51" t="str">
        <f>IFERROR(VLOOKUP(A184,Internal_lists_bugs!$A$2:$G2002,7,FALSE()),"please select a BUG ID")</f>
        <v>please select a BUG ID</v>
      </c>
      <c r="D184" s="54"/>
      <c r="E184" s="53"/>
      <c r="F184" s="54"/>
      <c r="G184" s="53"/>
      <c r="H184" s="54"/>
      <c r="I184" s="53"/>
      <c r="J184" s="54"/>
      <c r="K184" s="92"/>
      <c r="L184" s="54"/>
      <c r="M184" s="92"/>
      <c r="N184" s="54"/>
      <c r="O184" s="92"/>
      <c r="P184" s="54"/>
      <c r="Q184" s="92"/>
      <c r="R184" s="54"/>
      <c r="S184" s="92"/>
      <c r="T184" s="117"/>
      <c r="U184" s="92"/>
      <c r="V184" s="54"/>
      <c r="W184" s="92"/>
      <c r="X184" s="54"/>
      <c r="Y184" s="92"/>
      <c r="Z184" s="54"/>
      <c r="AA184" s="92"/>
      <c r="AB184" s="54"/>
      <c r="AC184" s="92"/>
      <c r="AD184" s="54"/>
      <c r="AE184" s="92"/>
      <c r="AF184" s="54"/>
      <c r="AG184" s="92"/>
      <c r="AH184" s="54"/>
      <c r="AI184" s="92"/>
      <c r="AJ184" s="54"/>
      <c r="AK184" s="92"/>
      <c r="AL184" s="54"/>
      <c r="AM184" s="92"/>
      <c r="AO184" s="54"/>
      <c r="AP184" s="123"/>
      <c r="AQ184" s="54"/>
      <c r="AR184" s="154"/>
      <c r="AS184" s="1"/>
      <c r="AT184" s="1"/>
      <c r="AU184" s="9"/>
    </row>
    <row r="185">
      <c r="A185" s="54"/>
      <c r="B185" s="71" t="str">
        <f>IFERROR(HYPERLINK(VLOOKUP(A185,Internal_lists_bugs!$A$2:$C$73,3,FALSE()), VLOOKUP(A185,Internal_lists_bugs!$A$2:$C$73,3,FALSE())&amp;Char(10) &amp; Char(10) &amp; VLOOKUP(A185,Internal_lists_bugs!$A$2:$Z$73,26,FALSE())),"please select a BUG ID")</f>
        <v>please select a BUG ID</v>
      </c>
      <c r="C185" s="51" t="str">
        <f>IFERROR(VLOOKUP(A185,Internal_lists_bugs!$A$2:$G2002,7,FALSE()),"please select a BUG ID")</f>
        <v>please select a BUG ID</v>
      </c>
      <c r="D185" s="54"/>
      <c r="E185" s="53"/>
      <c r="F185" s="54"/>
      <c r="G185" s="53"/>
      <c r="H185" s="54"/>
      <c r="I185" s="53"/>
      <c r="J185" s="54"/>
      <c r="K185" s="92"/>
      <c r="L185" s="54"/>
      <c r="M185" s="92"/>
      <c r="N185" s="54"/>
      <c r="O185" s="92"/>
      <c r="P185" s="54"/>
      <c r="Q185" s="92"/>
      <c r="R185" s="54"/>
      <c r="S185" s="92"/>
      <c r="T185" s="117"/>
      <c r="U185" s="92"/>
      <c r="V185" s="54"/>
      <c r="W185" s="92"/>
      <c r="X185" s="54"/>
      <c r="Y185" s="92"/>
      <c r="Z185" s="54"/>
      <c r="AA185" s="92"/>
      <c r="AB185" s="54"/>
      <c r="AC185" s="92"/>
      <c r="AD185" s="54"/>
      <c r="AE185" s="92"/>
      <c r="AF185" s="54"/>
      <c r="AG185" s="92"/>
      <c r="AH185" s="54"/>
      <c r="AI185" s="92"/>
      <c r="AJ185" s="54"/>
      <c r="AK185" s="92"/>
      <c r="AL185" s="54"/>
      <c r="AM185" s="92"/>
      <c r="AO185" s="54"/>
      <c r="AP185" s="123"/>
      <c r="AQ185" s="54"/>
      <c r="AR185" s="154"/>
      <c r="AS185" s="1"/>
      <c r="AT185" s="1"/>
      <c r="AU185" s="9"/>
    </row>
    <row r="186">
      <c r="A186" s="54"/>
      <c r="B186" s="71" t="str">
        <f>IFERROR(HYPERLINK(VLOOKUP(A186,Internal_lists_bugs!$A$2:$C$73,3,FALSE()), VLOOKUP(A186,Internal_lists_bugs!$A$2:$C$73,3,FALSE())&amp;Char(10) &amp; Char(10) &amp; VLOOKUP(A186,Internal_lists_bugs!$A$2:$Z$73,26,FALSE())),"please select a BUG ID")</f>
        <v>please select a BUG ID</v>
      </c>
      <c r="C186" s="51" t="str">
        <f>IFERROR(VLOOKUP(A186,Internal_lists_bugs!$A$2:$G2002,7,FALSE()),"please select a BUG ID")</f>
        <v>please select a BUG ID</v>
      </c>
      <c r="D186" s="54"/>
      <c r="E186" s="53"/>
      <c r="F186" s="54"/>
      <c r="G186" s="53"/>
      <c r="H186" s="54"/>
      <c r="I186" s="53"/>
      <c r="J186" s="54"/>
      <c r="K186" s="92"/>
      <c r="L186" s="54"/>
      <c r="M186" s="92"/>
      <c r="N186" s="54"/>
      <c r="O186" s="92"/>
      <c r="P186" s="54"/>
      <c r="Q186" s="92"/>
      <c r="R186" s="54"/>
      <c r="S186" s="92"/>
      <c r="T186" s="117"/>
      <c r="U186" s="92"/>
      <c r="V186" s="54"/>
      <c r="W186" s="92"/>
      <c r="X186" s="54"/>
      <c r="Y186" s="92"/>
      <c r="Z186" s="54"/>
      <c r="AA186" s="92"/>
      <c r="AB186" s="54"/>
      <c r="AC186" s="92"/>
      <c r="AD186" s="54"/>
      <c r="AE186" s="92"/>
      <c r="AF186" s="54"/>
      <c r="AG186" s="92"/>
      <c r="AH186" s="54"/>
      <c r="AI186" s="92"/>
      <c r="AJ186" s="54"/>
      <c r="AK186" s="92"/>
      <c r="AL186" s="54"/>
      <c r="AM186" s="92"/>
      <c r="AO186" s="54"/>
      <c r="AP186" s="123"/>
      <c r="AQ186" s="54"/>
      <c r="AR186" s="154"/>
      <c r="AS186" s="1"/>
      <c r="AT186" s="1"/>
      <c r="AU186" s="9"/>
    </row>
    <row r="187">
      <c r="A187" s="54"/>
      <c r="B187" s="71" t="str">
        <f>IFERROR(HYPERLINK(VLOOKUP(A187,Internal_lists_bugs!$A$2:$C$73,3,FALSE()), VLOOKUP(A187,Internal_lists_bugs!$A$2:$C$73,3,FALSE())&amp;Char(10) &amp; Char(10) &amp; VLOOKUP(A187,Internal_lists_bugs!$A$2:$Z$73,26,FALSE())),"please select a BUG ID")</f>
        <v>please select a BUG ID</v>
      </c>
      <c r="C187" s="51" t="str">
        <f>IFERROR(VLOOKUP(A187,Internal_lists_bugs!$A$2:$G2002,7,FALSE()),"please select a BUG ID")</f>
        <v>please select a BUG ID</v>
      </c>
      <c r="D187" s="54"/>
      <c r="E187" s="53"/>
      <c r="F187" s="54"/>
      <c r="G187" s="53"/>
      <c r="H187" s="54"/>
      <c r="I187" s="53"/>
      <c r="J187" s="54"/>
      <c r="K187" s="92"/>
      <c r="L187" s="54"/>
      <c r="M187" s="92"/>
      <c r="N187" s="54"/>
      <c r="O187" s="92"/>
      <c r="P187" s="54"/>
      <c r="Q187" s="92"/>
      <c r="R187" s="54"/>
      <c r="S187" s="92"/>
      <c r="T187" s="117"/>
      <c r="U187" s="92"/>
      <c r="V187" s="54"/>
      <c r="W187" s="92"/>
      <c r="X187" s="54"/>
      <c r="Y187" s="92"/>
      <c r="Z187" s="54"/>
      <c r="AA187" s="92"/>
      <c r="AB187" s="54"/>
      <c r="AC187" s="92"/>
      <c r="AD187" s="54"/>
      <c r="AE187" s="92"/>
      <c r="AF187" s="54"/>
      <c r="AG187" s="92"/>
      <c r="AH187" s="54"/>
      <c r="AI187" s="92"/>
      <c r="AJ187" s="54"/>
      <c r="AK187" s="92"/>
      <c r="AL187" s="54"/>
      <c r="AM187" s="92"/>
      <c r="AO187" s="54"/>
      <c r="AP187" s="123"/>
      <c r="AQ187" s="54"/>
      <c r="AR187" s="154"/>
      <c r="AS187" s="1"/>
      <c r="AT187" s="1"/>
      <c r="AU187" s="9"/>
    </row>
    <row r="188">
      <c r="A188" s="54"/>
      <c r="B188" s="71" t="str">
        <f>IFERROR(HYPERLINK(VLOOKUP(A188,Internal_lists_bugs!$A$2:$C$73,3,FALSE()), VLOOKUP(A188,Internal_lists_bugs!$A$2:$C$73,3,FALSE())&amp;Char(10) &amp; Char(10) &amp; VLOOKUP(A188,Internal_lists_bugs!$A$2:$Z$73,26,FALSE())),"please select a BUG ID")</f>
        <v>please select a BUG ID</v>
      </c>
      <c r="C188" s="51" t="str">
        <f>IFERROR(VLOOKUP(A188,Internal_lists_bugs!$A$2:$G2002,7,FALSE()),"please select a BUG ID")</f>
        <v>please select a BUG ID</v>
      </c>
      <c r="D188" s="54"/>
      <c r="E188" s="53"/>
      <c r="F188" s="54"/>
      <c r="G188" s="53"/>
      <c r="H188" s="54"/>
      <c r="I188" s="53"/>
      <c r="J188" s="54"/>
      <c r="K188" s="92"/>
      <c r="L188" s="54"/>
      <c r="M188" s="92"/>
      <c r="N188" s="54"/>
      <c r="O188" s="92"/>
      <c r="P188" s="54"/>
      <c r="Q188" s="92"/>
      <c r="R188" s="54"/>
      <c r="S188" s="92"/>
      <c r="T188" s="117"/>
      <c r="U188" s="92"/>
      <c r="V188" s="54"/>
      <c r="W188" s="92"/>
      <c r="X188" s="54"/>
      <c r="Y188" s="92"/>
      <c r="Z188" s="54"/>
      <c r="AA188" s="92"/>
      <c r="AB188" s="54"/>
      <c r="AC188" s="92"/>
      <c r="AD188" s="54"/>
      <c r="AE188" s="92"/>
      <c r="AF188" s="54"/>
      <c r="AG188" s="92"/>
      <c r="AH188" s="54"/>
      <c r="AI188" s="92"/>
      <c r="AJ188" s="54"/>
      <c r="AK188" s="92"/>
      <c r="AL188" s="54"/>
      <c r="AM188" s="92"/>
      <c r="AO188" s="54"/>
      <c r="AP188" s="123"/>
      <c r="AQ188" s="54"/>
      <c r="AR188" s="154"/>
      <c r="AS188" s="1"/>
      <c r="AT188" s="1"/>
      <c r="AU188" s="9"/>
    </row>
    <row r="189">
      <c r="A189" s="54"/>
      <c r="B189" s="71" t="str">
        <f>IFERROR(HYPERLINK(VLOOKUP(A189,Internal_lists_bugs!$A$2:$C$73,3,FALSE()), VLOOKUP(A189,Internal_lists_bugs!$A$2:$C$73,3,FALSE())&amp;Char(10) &amp; Char(10) &amp; VLOOKUP(A189,Internal_lists_bugs!$A$2:$Z$73,26,FALSE())),"please select a BUG ID")</f>
        <v>please select a BUG ID</v>
      </c>
      <c r="C189" s="51" t="str">
        <f>IFERROR(VLOOKUP(A189,Internal_lists_bugs!$A$2:$G2002,7,FALSE()),"please select a BUG ID")</f>
        <v>please select a BUG ID</v>
      </c>
      <c r="D189" s="54"/>
      <c r="E189" s="53"/>
      <c r="F189" s="54"/>
      <c r="G189" s="53"/>
      <c r="H189" s="54"/>
      <c r="I189" s="53"/>
      <c r="J189" s="54"/>
      <c r="K189" s="92"/>
      <c r="L189" s="54"/>
      <c r="M189" s="92"/>
      <c r="N189" s="54"/>
      <c r="O189" s="92"/>
      <c r="P189" s="54"/>
      <c r="Q189" s="92"/>
      <c r="R189" s="54"/>
      <c r="S189" s="92"/>
      <c r="T189" s="117"/>
      <c r="U189" s="92"/>
      <c r="V189" s="54"/>
      <c r="W189" s="92"/>
      <c r="X189" s="54"/>
      <c r="Y189" s="92"/>
      <c r="Z189" s="54"/>
      <c r="AA189" s="92"/>
      <c r="AB189" s="54"/>
      <c r="AC189" s="92"/>
      <c r="AD189" s="54"/>
      <c r="AE189" s="92"/>
      <c r="AF189" s="54"/>
      <c r="AG189" s="92"/>
      <c r="AH189" s="54"/>
      <c r="AI189" s="92"/>
      <c r="AJ189" s="54"/>
      <c r="AK189" s="92"/>
      <c r="AL189" s="54"/>
      <c r="AM189" s="92"/>
      <c r="AO189" s="54"/>
      <c r="AP189" s="123"/>
      <c r="AQ189" s="54"/>
      <c r="AR189" s="154"/>
      <c r="AS189" s="1"/>
      <c r="AT189" s="1"/>
      <c r="AU189" s="9"/>
    </row>
    <row r="190">
      <c r="A190" s="54"/>
      <c r="B190" s="71" t="str">
        <f>IFERROR(HYPERLINK(VLOOKUP(A190,Internal_lists_bugs!$A$2:$C$73,3,FALSE()), VLOOKUP(A190,Internal_lists_bugs!$A$2:$C$73,3,FALSE())&amp;Char(10) &amp; Char(10) &amp; VLOOKUP(A190,Internal_lists_bugs!$A$2:$Z$73,26,FALSE())),"please select a BUG ID")</f>
        <v>please select a BUG ID</v>
      </c>
      <c r="C190" s="51" t="str">
        <f>IFERROR(VLOOKUP(A190,Internal_lists_bugs!$A$2:$G2002,7,FALSE()),"please select a BUG ID")</f>
        <v>please select a BUG ID</v>
      </c>
      <c r="D190" s="54"/>
      <c r="E190" s="53"/>
      <c r="F190" s="54"/>
      <c r="G190" s="53"/>
      <c r="H190" s="54"/>
      <c r="I190" s="53"/>
      <c r="J190" s="54"/>
      <c r="K190" s="92"/>
      <c r="L190" s="54"/>
      <c r="M190" s="92"/>
      <c r="N190" s="54"/>
      <c r="O190" s="92"/>
      <c r="P190" s="54"/>
      <c r="Q190" s="92"/>
      <c r="R190" s="54"/>
      <c r="S190" s="92"/>
      <c r="T190" s="117"/>
      <c r="U190" s="92"/>
      <c r="V190" s="54"/>
      <c r="W190" s="92"/>
      <c r="X190" s="54"/>
      <c r="Y190" s="92"/>
      <c r="Z190" s="54"/>
      <c r="AA190" s="92"/>
      <c r="AB190" s="54"/>
      <c r="AC190" s="92"/>
      <c r="AD190" s="54"/>
      <c r="AE190" s="92"/>
      <c r="AF190" s="54"/>
      <c r="AG190" s="92"/>
      <c r="AH190" s="54"/>
      <c r="AI190" s="92"/>
      <c r="AJ190" s="54"/>
      <c r="AK190" s="92"/>
      <c r="AL190" s="54"/>
      <c r="AM190" s="92"/>
      <c r="AO190" s="54"/>
      <c r="AP190" s="123"/>
      <c r="AQ190" s="54"/>
      <c r="AR190" s="154"/>
      <c r="AS190" s="1"/>
      <c r="AT190" s="1"/>
      <c r="AU190" s="9"/>
    </row>
    <row r="191">
      <c r="A191" s="54"/>
      <c r="B191" s="71" t="str">
        <f>IFERROR(HYPERLINK(VLOOKUP(A191,Internal_lists_bugs!$A$2:$C$73,3,FALSE()), VLOOKUP(A191,Internal_lists_bugs!$A$2:$C$73,3,FALSE())&amp;Char(10) &amp; Char(10) &amp; VLOOKUP(A191,Internal_lists_bugs!$A$2:$Z$73,26,FALSE())),"please select a BUG ID")</f>
        <v>please select a BUG ID</v>
      </c>
      <c r="C191" s="51" t="str">
        <f>IFERROR(VLOOKUP(A191,Internal_lists_bugs!$A$2:$G2002,7,FALSE()),"please select a BUG ID")</f>
        <v>please select a BUG ID</v>
      </c>
      <c r="D191" s="54"/>
      <c r="E191" s="53"/>
      <c r="F191" s="54"/>
      <c r="G191" s="53"/>
      <c r="H191" s="54"/>
      <c r="I191" s="53"/>
      <c r="J191" s="54"/>
      <c r="K191" s="92"/>
      <c r="L191" s="54"/>
      <c r="M191" s="92"/>
      <c r="N191" s="54"/>
      <c r="O191" s="92"/>
      <c r="P191" s="54"/>
      <c r="Q191" s="92"/>
      <c r="R191" s="54"/>
      <c r="S191" s="92"/>
      <c r="T191" s="117"/>
      <c r="U191" s="92"/>
      <c r="V191" s="54"/>
      <c r="W191" s="92"/>
      <c r="X191" s="54"/>
      <c r="Y191" s="92"/>
      <c r="Z191" s="54"/>
      <c r="AA191" s="92"/>
      <c r="AB191" s="54"/>
      <c r="AC191" s="92"/>
      <c r="AD191" s="54"/>
      <c r="AE191" s="92"/>
      <c r="AF191" s="54"/>
      <c r="AG191" s="92"/>
      <c r="AH191" s="54"/>
      <c r="AI191" s="92"/>
      <c r="AJ191" s="54"/>
      <c r="AK191" s="92"/>
      <c r="AL191" s="54"/>
      <c r="AM191" s="92"/>
      <c r="AO191" s="54"/>
      <c r="AP191" s="123"/>
      <c r="AQ191" s="54"/>
      <c r="AR191" s="154"/>
      <c r="AS191" s="1"/>
      <c r="AT191" s="1"/>
      <c r="AU191" s="9"/>
    </row>
    <row r="192">
      <c r="A192" s="54"/>
      <c r="B192" s="71" t="str">
        <f>IFERROR(HYPERLINK(VLOOKUP(A192,Internal_lists_bugs!$A$2:$C$73,3,FALSE()), VLOOKUP(A192,Internal_lists_bugs!$A$2:$C$73,3,FALSE())&amp;Char(10) &amp; Char(10) &amp; VLOOKUP(A192,Internal_lists_bugs!$A$2:$Z$73,26,FALSE())),"please select a BUG ID")</f>
        <v>please select a BUG ID</v>
      </c>
      <c r="C192" s="51" t="str">
        <f>IFERROR(VLOOKUP(A192,Internal_lists_bugs!$A$2:$G2002,7,FALSE()),"please select a BUG ID")</f>
        <v>please select a BUG ID</v>
      </c>
      <c r="D192" s="54"/>
      <c r="E192" s="53"/>
      <c r="F192" s="54"/>
      <c r="G192" s="53"/>
      <c r="H192" s="54"/>
      <c r="I192" s="53"/>
      <c r="J192" s="54"/>
      <c r="K192" s="92"/>
      <c r="L192" s="54"/>
      <c r="M192" s="92"/>
      <c r="N192" s="54"/>
      <c r="O192" s="92"/>
      <c r="P192" s="54"/>
      <c r="Q192" s="92"/>
      <c r="R192" s="54"/>
      <c r="S192" s="92"/>
      <c r="T192" s="117"/>
      <c r="U192" s="92"/>
      <c r="V192" s="54"/>
      <c r="W192" s="92"/>
      <c r="X192" s="54"/>
      <c r="Y192" s="92"/>
      <c r="Z192" s="54"/>
      <c r="AA192" s="92"/>
      <c r="AB192" s="54"/>
      <c r="AC192" s="92"/>
      <c r="AD192" s="54"/>
      <c r="AE192" s="92"/>
      <c r="AF192" s="54"/>
      <c r="AG192" s="92"/>
      <c r="AH192" s="54"/>
      <c r="AI192" s="92"/>
      <c r="AJ192" s="54"/>
      <c r="AK192" s="92"/>
      <c r="AL192" s="54"/>
      <c r="AM192" s="92"/>
      <c r="AO192" s="54"/>
      <c r="AP192" s="123"/>
      <c r="AQ192" s="54"/>
      <c r="AR192" s="154"/>
      <c r="AS192" s="1"/>
      <c r="AT192" s="1"/>
      <c r="AU192" s="9"/>
    </row>
    <row r="193">
      <c r="A193" s="54"/>
      <c r="B193" s="71" t="str">
        <f>IFERROR(HYPERLINK(VLOOKUP(A193,Internal_lists_bugs!$A$2:$C$73,3,FALSE()), VLOOKUP(A193,Internal_lists_bugs!$A$2:$C$73,3,FALSE())&amp;Char(10) &amp; Char(10) &amp; VLOOKUP(A193,Internal_lists_bugs!$A$2:$Z$73,26,FALSE())),"please select a BUG ID")</f>
        <v>please select a BUG ID</v>
      </c>
      <c r="C193" s="51" t="str">
        <f>IFERROR(VLOOKUP(A193,Internal_lists_bugs!$A$2:$G2002,7,FALSE()),"please select a BUG ID")</f>
        <v>please select a BUG ID</v>
      </c>
      <c r="D193" s="54"/>
      <c r="E193" s="53"/>
      <c r="F193" s="54"/>
      <c r="G193" s="53"/>
      <c r="H193" s="54"/>
      <c r="I193" s="53"/>
      <c r="J193" s="54"/>
      <c r="K193" s="92"/>
      <c r="L193" s="54"/>
      <c r="M193" s="92"/>
      <c r="N193" s="54"/>
      <c r="O193" s="92"/>
      <c r="P193" s="54"/>
      <c r="Q193" s="92"/>
      <c r="R193" s="54"/>
      <c r="S193" s="92"/>
      <c r="T193" s="117"/>
      <c r="U193" s="92"/>
      <c r="V193" s="54"/>
      <c r="W193" s="92"/>
      <c r="X193" s="54"/>
      <c r="Y193" s="92"/>
      <c r="Z193" s="54"/>
      <c r="AA193" s="92"/>
      <c r="AB193" s="54"/>
      <c r="AC193" s="92"/>
      <c r="AD193" s="54"/>
      <c r="AE193" s="92"/>
      <c r="AF193" s="54"/>
      <c r="AG193" s="92"/>
      <c r="AH193" s="54"/>
      <c r="AI193" s="92"/>
      <c r="AJ193" s="54"/>
      <c r="AK193" s="92"/>
      <c r="AL193" s="54"/>
      <c r="AM193" s="92"/>
      <c r="AO193" s="54"/>
      <c r="AP193" s="123"/>
      <c r="AQ193" s="54"/>
      <c r="AR193" s="154"/>
      <c r="AS193" s="1"/>
      <c r="AT193" s="1"/>
      <c r="AU193" s="9"/>
    </row>
    <row r="194">
      <c r="A194" s="54"/>
      <c r="B194" s="71" t="str">
        <f>IFERROR(HYPERLINK(VLOOKUP(A194,Internal_lists_bugs!$A$2:$C$73,3,FALSE()), VLOOKUP(A194,Internal_lists_bugs!$A$2:$C$73,3,FALSE())&amp;Char(10) &amp; Char(10) &amp; VLOOKUP(A194,Internal_lists_bugs!$A$2:$Z$73,26,FALSE())),"please select a BUG ID")</f>
        <v>please select a BUG ID</v>
      </c>
      <c r="C194" s="51" t="str">
        <f>IFERROR(VLOOKUP(A194,Internal_lists_bugs!$A$2:$G2002,7,FALSE()),"please select a BUG ID")</f>
        <v>please select a BUG ID</v>
      </c>
      <c r="D194" s="54"/>
      <c r="E194" s="53"/>
      <c r="F194" s="54"/>
      <c r="G194" s="53"/>
      <c r="H194" s="54"/>
      <c r="I194" s="53"/>
      <c r="J194" s="54"/>
      <c r="K194" s="92"/>
      <c r="L194" s="54"/>
      <c r="M194" s="92"/>
      <c r="N194" s="54"/>
      <c r="O194" s="92"/>
      <c r="P194" s="54"/>
      <c r="Q194" s="92"/>
      <c r="R194" s="54"/>
      <c r="S194" s="92"/>
      <c r="T194" s="117"/>
      <c r="U194" s="92"/>
      <c r="V194" s="54"/>
      <c r="W194" s="92"/>
      <c r="X194" s="54"/>
      <c r="Y194" s="92"/>
      <c r="Z194" s="54"/>
      <c r="AA194" s="92"/>
      <c r="AB194" s="54"/>
      <c r="AC194" s="92"/>
      <c r="AD194" s="54"/>
      <c r="AE194" s="92"/>
      <c r="AF194" s="54"/>
      <c r="AG194" s="92"/>
      <c r="AH194" s="54"/>
      <c r="AI194" s="92"/>
      <c r="AJ194" s="54"/>
      <c r="AK194" s="92"/>
      <c r="AL194" s="54"/>
      <c r="AM194" s="92"/>
      <c r="AO194" s="54"/>
      <c r="AP194" s="123"/>
      <c r="AQ194" s="54"/>
      <c r="AR194" s="154"/>
      <c r="AS194" s="1"/>
      <c r="AT194" s="1"/>
      <c r="AU194" s="9"/>
    </row>
    <row r="195">
      <c r="A195" s="54"/>
      <c r="B195" s="71" t="str">
        <f>IFERROR(HYPERLINK(VLOOKUP(A195,Internal_lists_bugs!$A$2:$C$73,3,FALSE()), VLOOKUP(A195,Internal_lists_bugs!$A$2:$C$73,3,FALSE())&amp;Char(10) &amp; Char(10) &amp; VLOOKUP(A195,Internal_lists_bugs!$A$2:$Z$73,26,FALSE())),"please select a BUG ID")</f>
        <v>please select a BUG ID</v>
      </c>
      <c r="C195" s="51" t="str">
        <f>IFERROR(VLOOKUP(A195,Internal_lists_bugs!$A$2:$G2002,7,FALSE()),"please select a BUG ID")</f>
        <v>please select a BUG ID</v>
      </c>
      <c r="D195" s="54"/>
      <c r="E195" s="53"/>
      <c r="F195" s="54"/>
      <c r="G195" s="53"/>
      <c r="H195" s="54"/>
      <c r="I195" s="53"/>
      <c r="J195" s="54"/>
      <c r="K195" s="92"/>
      <c r="L195" s="54"/>
      <c r="M195" s="92"/>
      <c r="N195" s="54"/>
      <c r="O195" s="92"/>
      <c r="P195" s="54"/>
      <c r="Q195" s="92"/>
      <c r="R195" s="54"/>
      <c r="S195" s="92"/>
      <c r="T195" s="117"/>
      <c r="U195" s="92"/>
      <c r="V195" s="54"/>
      <c r="W195" s="92"/>
      <c r="X195" s="54"/>
      <c r="Y195" s="92"/>
      <c r="Z195" s="54"/>
      <c r="AA195" s="92"/>
      <c r="AB195" s="54"/>
      <c r="AC195" s="92"/>
      <c r="AD195" s="54"/>
      <c r="AE195" s="92"/>
      <c r="AF195" s="54"/>
      <c r="AG195" s="92"/>
      <c r="AH195" s="54"/>
      <c r="AI195" s="92"/>
      <c r="AJ195" s="54"/>
      <c r="AK195" s="92"/>
      <c r="AL195" s="54"/>
      <c r="AM195" s="92"/>
      <c r="AO195" s="54"/>
      <c r="AP195" s="123"/>
      <c r="AQ195" s="54"/>
      <c r="AR195" s="154"/>
      <c r="AS195" s="1"/>
      <c r="AT195" s="1"/>
      <c r="AU195" s="9"/>
    </row>
    <row r="196">
      <c r="A196" s="54"/>
      <c r="B196" s="71" t="str">
        <f>IFERROR(HYPERLINK(VLOOKUP(A196,Internal_lists_bugs!$A$2:$C$73,3,FALSE()), VLOOKUP(A196,Internal_lists_bugs!$A$2:$C$73,3,FALSE())&amp;Char(10) &amp; Char(10) &amp; VLOOKUP(A196,Internal_lists_bugs!$A$2:$Z$73,26,FALSE())),"please select a BUG ID")</f>
        <v>please select a BUG ID</v>
      </c>
      <c r="C196" s="51" t="str">
        <f>IFERROR(VLOOKUP(A196,Internal_lists_bugs!$A$2:$G2002,7,FALSE()),"please select a BUG ID")</f>
        <v>please select a BUG ID</v>
      </c>
      <c r="D196" s="54"/>
      <c r="E196" s="53"/>
      <c r="F196" s="54"/>
      <c r="G196" s="53"/>
      <c r="H196" s="54"/>
      <c r="I196" s="53"/>
      <c r="J196" s="54"/>
      <c r="K196" s="92"/>
      <c r="L196" s="54"/>
      <c r="M196" s="92"/>
      <c r="N196" s="54"/>
      <c r="O196" s="92"/>
      <c r="P196" s="54"/>
      <c r="Q196" s="92"/>
      <c r="R196" s="54"/>
      <c r="S196" s="92"/>
      <c r="T196" s="117"/>
      <c r="U196" s="92"/>
      <c r="V196" s="54"/>
      <c r="W196" s="92"/>
      <c r="X196" s="54"/>
      <c r="Y196" s="92"/>
      <c r="Z196" s="54"/>
      <c r="AA196" s="92"/>
      <c r="AB196" s="54"/>
      <c r="AC196" s="92"/>
      <c r="AD196" s="54"/>
      <c r="AE196" s="92"/>
      <c r="AF196" s="54"/>
      <c r="AG196" s="92"/>
      <c r="AH196" s="54"/>
      <c r="AI196" s="92"/>
      <c r="AJ196" s="54"/>
      <c r="AK196" s="92"/>
      <c r="AL196" s="54"/>
      <c r="AM196" s="92"/>
      <c r="AO196" s="54"/>
      <c r="AP196" s="123"/>
      <c r="AQ196" s="54"/>
      <c r="AR196" s="154"/>
      <c r="AS196" s="1"/>
      <c r="AT196" s="1"/>
      <c r="AU196" s="9"/>
    </row>
    <row r="197">
      <c r="A197" s="54"/>
      <c r="B197" s="71" t="str">
        <f>IFERROR(HYPERLINK(VLOOKUP(A197,Internal_lists_bugs!$A$2:$C$73,3,FALSE()), VLOOKUP(A197,Internal_lists_bugs!$A$2:$C$73,3,FALSE())&amp;Char(10) &amp; Char(10) &amp; VLOOKUP(A197,Internal_lists_bugs!$A$2:$Z$73,26,FALSE())),"please select a BUG ID")</f>
        <v>please select a BUG ID</v>
      </c>
      <c r="C197" s="51" t="str">
        <f>IFERROR(VLOOKUP(A197,Internal_lists_bugs!$A$2:$G2002,7,FALSE()),"please select a BUG ID")</f>
        <v>please select a BUG ID</v>
      </c>
      <c r="D197" s="54"/>
      <c r="E197" s="53"/>
      <c r="F197" s="54"/>
      <c r="G197" s="53"/>
      <c r="H197" s="54"/>
      <c r="I197" s="53"/>
      <c r="J197" s="54"/>
      <c r="K197" s="92"/>
      <c r="L197" s="54"/>
      <c r="M197" s="92"/>
      <c r="N197" s="54"/>
      <c r="O197" s="92"/>
      <c r="P197" s="54"/>
      <c r="Q197" s="92"/>
      <c r="R197" s="54"/>
      <c r="S197" s="92"/>
      <c r="T197" s="117"/>
      <c r="U197" s="92"/>
      <c r="V197" s="54"/>
      <c r="W197" s="92"/>
      <c r="X197" s="54"/>
      <c r="Y197" s="92"/>
      <c r="Z197" s="54"/>
      <c r="AA197" s="92"/>
      <c r="AB197" s="54"/>
      <c r="AC197" s="92"/>
      <c r="AD197" s="54"/>
      <c r="AE197" s="92"/>
      <c r="AF197" s="54"/>
      <c r="AG197" s="92"/>
      <c r="AH197" s="54"/>
      <c r="AI197" s="92"/>
      <c r="AJ197" s="54"/>
      <c r="AK197" s="92"/>
      <c r="AL197" s="54"/>
      <c r="AM197" s="92"/>
      <c r="AO197" s="54"/>
      <c r="AP197" s="123"/>
      <c r="AQ197" s="54"/>
      <c r="AR197" s="154"/>
      <c r="AS197" s="1"/>
      <c r="AT197" s="1"/>
      <c r="AU197" s="9"/>
    </row>
    <row r="198">
      <c r="A198" s="54"/>
      <c r="B198" s="71" t="str">
        <f>IFERROR(HYPERLINK(VLOOKUP(A198,Internal_lists_bugs!$A$2:$C$73,3,FALSE()), VLOOKUP(A198,Internal_lists_bugs!$A$2:$C$73,3,FALSE())&amp;Char(10) &amp; Char(10) &amp; VLOOKUP(A198,Internal_lists_bugs!$A$2:$Z$73,26,FALSE())),"please select a BUG ID")</f>
        <v>please select a BUG ID</v>
      </c>
      <c r="C198" s="51" t="str">
        <f>IFERROR(VLOOKUP(A198,Internal_lists_bugs!$A$2:$G2002,7,FALSE()),"please select a BUG ID")</f>
        <v>please select a BUG ID</v>
      </c>
      <c r="D198" s="54"/>
      <c r="E198" s="53"/>
      <c r="F198" s="54"/>
      <c r="G198" s="53"/>
      <c r="H198" s="54"/>
      <c r="I198" s="53"/>
      <c r="J198" s="54"/>
      <c r="K198" s="92"/>
      <c r="L198" s="54"/>
      <c r="M198" s="92"/>
      <c r="N198" s="54"/>
      <c r="O198" s="92"/>
      <c r="P198" s="54"/>
      <c r="Q198" s="92"/>
      <c r="R198" s="54"/>
      <c r="S198" s="92"/>
      <c r="T198" s="117"/>
      <c r="U198" s="92"/>
      <c r="V198" s="54"/>
      <c r="W198" s="92"/>
      <c r="X198" s="54"/>
      <c r="Y198" s="92"/>
      <c r="Z198" s="54"/>
      <c r="AA198" s="92"/>
      <c r="AB198" s="54"/>
      <c r="AC198" s="92"/>
      <c r="AD198" s="54"/>
      <c r="AE198" s="92"/>
      <c r="AF198" s="54"/>
      <c r="AG198" s="92"/>
      <c r="AH198" s="54"/>
      <c r="AI198" s="92"/>
      <c r="AJ198" s="54"/>
      <c r="AK198" s="92"/>
      <c r="AL198" s="54"/>
      <c r="AM198" s="92"/>
      <c r="AO198" s="54"/>
      <c r="AP198" s="123"/>
      <c r="AQ198" s="54"/>
      <c r="AR198" s="154"/>
      <c r="AS198" s="1"/>
      <c r="AT198" s="1"/>
      <c r="AU198" s="9"/>
    </row>
    <row r="199">
      <c r="A199" s="54"/>
      <c r="B199" s="71" t="str">
        <f>IFERROR(HYPERLINK(VLOOKUP(A199,Internal_lists_bugs!$A$2:$C$73,3,FALSE()), VLOOKUP(A199,Internal_lists_bugs!$A$2:$C$73,3,FALSE())&amp;Char(10) &amp; Char(10) &amp; VLOOKUP(A199,Internal_lists_bugs!$A$2:$Z$73,26,FALSE())),"please select a BUG ID")</f>
        <v>please select a BUG ID</v>
      </c>
      <c r="C199" s="51" t="str">
        <f>IFERROR(VLOOKUP(A199,Internal_lists_bugs!$A$2:$G2002,7,FALSE()),"please select a BUG ID")</f>
        <v>please select a BUG ID</v>
      </c>
      <c r="D199" s="54"/>
      <c r="E199" s="53"/>
      <c r="F199" s="54"/>
      <c r="G199" s="53"/>
      <c r="H199" s="54"/>
      <c r="I199" s="53"/>
      <c r="J199" s="54"/>
      <c r="K199" s="92"/>
      <c r="L199" s="54"/>
      <c r="M199" s="92"/>
      <c r="N199" s="54"/>
      <c r="O199" s="92"/>
      <c r="P199" s="54"/>
      <c r="Q199" s="92"/>
      <c r="R199" s="54"/>
      <c r="S199" s="92"/>
      <c r="T199" s="117"/>
      <c r="U199" s="92"/>
      <c r="V199" s="54"/>
      <c r="W199" s="92"/>
      <c r="X199" s="54"/>
      <c r="Y199" s="92"/>
      <c r="Z199" s="54"/>
      <c r="AA199" s="92"/>
      <c r="AB199" s="54"/>
      <c r="AC199" s="92"/>
      <c r="AD199" s="54"/>
      <c r="AE199" s="92"/>
      <c r="AF199" s="54"/>
      <c r="AG199" s="92"/>
      <c r="AH199" s="54"/>
      <c r="AI199" s="92"/>
      <c r="AJ199" s="54"/>
      <c r="AK199" s="92"/>
      <c r="AL199" s="54"/>
      <c r="AM199" s="92"/>
      <c r="AO199" s="54"/>
      <c r="AP199" s="123"/>
      <c r="AQ199" s="54"/>
      <c r="AR199" s="154"/>
      <c r="AS199" s="1"/>
      <c r="AT199" s="1"/>
      <c r="AU199" s="9"/>
    </row>
    <row r="200">
      <c r="A200" s="54"/>
      <c r="B200" s="71" t="str">
        <f>IFERROR(HYPERLINK(VLOOKUP(A200,Internal_lists_bugs!$A$2:$C$73,3,FALSE()), VLOOKUP(A200,Internal_lists_bugs!$A$2:$C$73,3,FALSE())&amp;Char(10) &amp; Char(10) &amp; VLOOKUP(A200,Internal_lists_bugs!$A$2:$Z$73,26,FALSE())),"please select a BUG ID")</f>
        <v>please select a BUG ID</v>
      </c>
      <c r="C200" s="51" t="str">
        <f>IFERROR(VLOOKUP(A200,Internal_lists_bugs!$A$2:$G2002,7,FALSE()),"please select a BUG ID")</f>
        <v>please select a BUG ID</v>
      </c>
      <c r="D200" s="54"/>
      <c r="E200" s="53"/>
      <c r="F200" s="54"/>
      <c r="G200" s="53"/>
      <c r="H200" s="54"/>
      <c r="I200" s="53"/>
      <c r="J200" s="54"/>
      <c r="K200" s="92"/>
      <c r="L200" s="54"/>
      <c r="M200" s="92"/>
      <c r="N200" s="54"/>
      <c r="O200" s="92"/>
      <c r="P200" s="54"/>
      <c r="Q200" s="92"/>
      <c r="R200" s="54"/>
      <c r="S200" s="92"/>
      <c r="T200" s="117"/>
      <c r="U200" s="92"/>
      <c r="V200" s="54"/>
      <c r="W200" s="92"/>
      <c r="X200" s="54"/>
      <c r="Y200" s="92"/>
      <c r="Z200" s="54"/>
      <c r="AA200" s="92"/>
      <c r="AB200" s="54"/>
      <c r="AC200" s="92"/>
      <c r="AD200" s="54"/>
      <c r="AE200" s="92"/>
      <c r="AF200" s="54"/>
      <c r="AG200" s="92"/>
      <c r="AH200" s="54"/>
      <c r="AI200" s="92"/>
      <c r="AJ200" s="54"/>
      <c r="AK200" s="92"/>
      <c r="AL200" s="54"/>
      <c r="AM200" s="92"/>
      <c r="AO200" s="54"/>
      <c r="AP200" s="123"/>
      <c r="AQ200" s="54"/>
      <c r="AR200" s="154"/>
      <c r="AS200" s="1"/>
      <c r="AT200" s="1"/>
      <c r="AU200" s="9"/>
    </row>
    <row r="201">
      <c r="A201" s="54"/>
      <c r="B201" s="71" t="str">
        <f>IFERROR(HYPERLINK(VLOOKUP(A201,Internal_lists_bugs!$A$2:$C$73,3,FALSE()), VLOOKUP(A201,Internal_lists_bugs!$A$2:$C$73,3,FALSE())&amp;Char(10) &amp; Char(10) &amp; VLOOKUP(A201,Internal_lists_bugs!$A$2:$Z$73,26,FALSE())),"please select a BUG ID")</f>
        <v>please select a BUG ID</v>
      </c>
      <c r="C201" s="51" t="str">
        <f>IFERROR(VLOOKUP(A201,Internal_lists_bugs!$A$2:$G2002,7,FALSE()),"please select a BUG ID")</f>
        <v>please select a BUG ID</v>
      </c>
      <c r="D201" s="54"/>
      <c r="E201" s="53"/>
      <c r="F201" s="54"/>
      <c r="G201" s="53"/>
      <c r="H201" s="54"/>
      <c r="I201" s="53"/>
      <c r="J201" s="54"/>
      <c r="K201" s="92"/>
      <c r="L201" s="54"/>
      <c r="M201" s="92"/>
      <c r="N201" s="54"/>
      <c r="O201" s="92"/>
      <c r="P201" s="54"/>
      <c r="Q201" s="92"/>
      <c r="R201" s="54"/>
      <c r="S201" s="92"/>
      <c r="T201" s="117"/>
      <c r="U201" s="92"/>
      <c r="V201" s="54"/>
      <c r="W201" s="92"/>
      <c r="X201" s="54"/>
      <c r="Y201" s="92"/>
      <c r="Z201" s="54"/>
      <c r="AA201" s="92"/>
      <c r="AB201" s="54"/>
      <c r="AC201" s="92"/>
      <c r="AD201" s="54"/>
      <c r="AE201" s="92"/>
      <c r="AF201" s="54"/>
      <c r="AG201" s="92"/>
      <c r="AH201" s="54"/>
      <c r="AI201" s="92"/>
      <c r="AJ201" s="54"/>
      <c r="AK201" s="92"/>
      <c r="AL201" s="54"/>
      <c r="AM201" s="92"/>
      <c r="AO201" s="54"/>
      <c r="AP201" s="123"/>
      <c r="AQ201" s="54"/>
      <c r="AR201" s="154"/>
      <c r="AS201" s="1"/>
      <c r="AT201" s="1"/>
      <c r="AU201" s="9"/>
    </row>
    <row r="202">
      <c r="A202" s="54"/>
      <c r="B202" s="71" t="str">
        <f>IFERROR(HYPERLINK(VLOOKUP(A202,Internal_lists_bugs!$A$2:$C$73,3,FALSE()), VLOOKUP(A202,Internal_lists_bugs!$A$2:$C$73,3,FALSE())&amp;Char(10) &amp; Char(10) &amp; VLOOKUP(A202,Internal_lists_bugs!$A$2:$Z$73,26,FALSE())),"please select a BUG ID")</f>
        <v>please select a BUG ID</v>
      </c>
      <c r="C202" s="51" t="str">
        <f>IFERROR(VLOOKUP(A202,Internal_lists_bugs!$A$2:$G2002,7,FALSE()),"please select a BUG ID")</f>
        <v>please select a BUG ID</v>
      </c>
      <c r="D202" s="54"/>
      <c r="E202" s="53"/>
      <c r="F202" s="54"/>
      <c r="G202" s="53"/>
      <c r="H202" s="54"/>
      <c r="I202" s="53"/>
      <c r="J202" s="54"/>
      <c r="K202" s="92"/>
      <c r="L202" s="54"/>
      <c r="M202" s="92"/>
      <c r="N202" s="54"/>
      <c r="O202" s="92"/>
      <c r="P202" s="54"/>
      <c r="Q202" s="92"/>
      <c r="R202" s="54"/>
      <c r="S202" s="92"/>
      <c r="T202" s="117"/>
      <c r="U202" s="92"/>
      <c r="V202" s="54"/>
      <c r="W202" s="92"/>
      <c r="X202" s="54"/>
      <c r="Y202" s="92"/>
      <c r="Z202" s="54"/>
      <c r="AA202" s="92"/>
      <c r="AB202" s="54"/>
      <c r="AC202" s="92"/>
      <c r="AD202" s="54"/>
      <c r="AE202" s="92"/>
      <c r="AF202" s="54"/>
      <c r="AG202" s="92"/>
      <c r="AH202" s="54"/>
      <c r="AI202" s="92"/>
      <c r="AJ202" s="54"/>
      <c r="AK202" s="92"/>
      <c r="AL202" s="54"/>
      <c r="AM202" s="92"/>
      <c r="AO202" s="54"/>
      <c r="AP202" s="123"/>
      <c r="AQ202" s="54"/>
      <c r="AR202" s="154"/>
      <c r="AS202" s="1"/>
      <c r="AT202" s="1"/>
      <c r="AU202" s="9"/>
    </row>
    <row r="203">
      <c r="A203" s="54"/>
      <c r="B203" s="71" t="str">
        <f>IFERROR(HYPERLINK(VLOOKUP(A203,Internal_lists_bugs!$A$2:$C$73,3,FALSE()), VLOOKUP(A203,Internal_lists_bugs!$A$2:$C$73,3,FALSE())&amp;Char(10) &amp; Char(10) &amp; VLOOKUP(A203,Internal_lists_bugs!$A$2:$Z$73,26,FALSE())),"please select a BUG ID")</f>
        <v>please select a BUG ID</v>
      </c>
      <c r="C203" s="51" t="str">
        <f>IFERROR(VLOOKUP(A203,Internal_lists_bugs!$A$2:$G2002,7,FALSE()),"please select a BUG ID")</f>
        <v>please select a BUG ID</v>
      </c>
      <c r="D203" s="54"/>
      <c r="E203" s="53"/>
      <c r="F203" s="54"/>
      <c r="G203" s="53"/>
      <c r="H203" s="54"/>
      <c r="I203" s="53"/>
      <c r="J203" s="54"/>
      <c r="K203" s="92"/>
      <c r="L203" s="54"/>
      <c r="M203" s="92"/>
      <c r="N203" s="54"/>
      <c r="O203" s="92"/>
      <c r="P203" s="54"/>
      <c r="Q203" s="92"/>
      <c r="R203" s="54"/>
      <c r="S203" s="92"/>
      <c r="T203" s="117"/>
      <c r="U203" s="92"/>
      <c r="V203" s="54"/>
      <c r="W203" s="92"/>
      <c r="X203" s="54"/>
      <c r="Y203" s="92"/>
      <c r="Z203" s="54"/>
      <c r="AA203" s="92"/>
      <c r="AB203" s="54"/>
      <c r="AC203" s="92"/>
      <c r="AD203" s="54"/>
      <c r="AE203" s="92"/>
      <c r="AF203" s="54"/>
      <c r="AG203" s="92"/>
      <c r="AH203" s="54"/>
      <c r="AI203" s="92"/>
      <c r="AJ203" s="54"/>
      <c r="AK203" s="92"/>
      <c r="AL203" s="54"/>
      <c r="AM203" s="92"/>
      <c r="AO203" s="54"/>
      <c r="AP203" s="123"/>
      <c r="AQ203" s="54"/>
      <c r="AR203" s="154"/>
      <c r="AS203" s="1"/>
      <c r="AT203" s="1"/>
      <c r="AU203" s="9"/>
    </row>
    <row r="204">
      <c r="A204" s="54"/>
      <c r="B204" s="71" t="str">
        <f>IFERROR(HYPERLINK(VLOOKUP(A204,Internal_lists_bugs!$A$2:$C$73,3,FALSE()), VLOOKUP(A204,Internal_lists_bugs!$A$2:$C$73,3,FALSE())&amp;Char(10) &amp; Char(10) &amp; VLOOKUP(A204,Internal_lists_bugs!$A$2:$Z$73,26,FALSE())),"please select a BUG ID")</f>
        <v>please select a BUG ID</v>
      </c>
      <c r="C204" s="51" t="str">
        <f>IFERROR(VLOOKUP(A204,Internal_lists_bugs!$A$2:$G2002,7,FALSE()),"please select a BUG ID")</f>
        <v>please select a BUG ID</v>
      </c>
      <c r="D204" s="54"/>
      <c r="E204" s="53"/>
      <c r="F204" s="54"/>
      <c r="G204" s="53"/>
      <c r="H204" s="54"/>
      <c r="I204" s="53"/>
      <c r="J204" s="54"/>
      <c r="K204" s="92"/>
      <c r="L204" s="54"/>
      <c r="M204" s="92"/>
      <c r="N204" s="54"/>
      <c r="O204" s="92"/>
      <c r="P204" s="54"/>
      <c r="Q204" s="92"/>
      <c r="R204" s="54"/>
      <c r="S204" s="92"/>
      <c r="T204" s="117"/>
      <c r="U204" s="92"/>
      <c r="V204" s="54"/>
      <c r="W204" s="92"/>
      <c r="X204" s="54"/>
      <c r="Y204" s="92"/>
      <c r="Z204" s="54"/>
      <c r="AA204" s="92"/>
      <c r="AB204" s="54"/>
      <c r="AC204" s="92"/>
      <c r="AD204" s="54"/>
      <c r="AE204" s="92"/>
      <c r="AF204" s="54"/>
      <c r="AG204" s="92"/>
      <c r="AH204" s="54"/>
      <c r="AI204" s="92"/>
      <c r="AJ204" s="54"/>
      <c r="AK204" s="92"/>
      <c r="AL204" s="54"/>
      <c r="AM204" s="92"/>
      <c r="AO204" s="54"/>
      <c r="AP204" s="123"/>
      <c r="AQ204" s="54"/>
      <c r="AR204" s="154"/>
      <c r="AS204" s="1"/>
      <c r="AT204" s="1"/>
      <c r="AU204" s="9"/>
    </row>
    <row r="205">
      <c r="A205" s="54"/>
      <c r="B205" s="71" t="str">
        <f>IFERROR(HYPERLINK(VLOOKUP(A205,Internal_lists_bugs!$A$2:$C$73,3,FALSE()), VLOOKUP(A205,Internal_lists_bugs!$A$2:$C$73,3,FALSE())&amp;Char(10) &amp; Char(10) &amp; VLOOKUP(A205,Internal_lists_bugs!$A$2:$Z$73,26,FALSE())),"please select a BUG ID")</f>
        <v>please select a BUG ID</v>
      </c>
      <c r="C205" s="51" t="str">
        <f>IFERROR(VLOOKUP(A205,Internal_lists_bugs!$A$2:$G2002,7,FALSE()),"please select a BUG ID")</f>
        <v>please select a BUG ID</v>
      </c>
      <c r="D205" s="54"/>
      <c r="E205" s="53"/>
      <c r="F205" s="54"/>
      <c r="G205" s="53"/>
      <c r="H205" s="54"/>
      <c r="I205" s="53"/>
      <c r="J205" s="54"/>
      <c r="K205" s="92"/>
      <c r="L205" s="54"/>
      <c r="M205" s="92"/>
      <c r="N205" s="54"/>
      <c r="O205" s="92"/>
      <c r="P205" s="54"/>
      <c r="Q205" s="92"/>
      <c r="R205" s="54"/>
      <c r="S205" s="92"/>
      <c r="T205" s="117"/>
      <c r="U205" s="92"/>
      <c r="V205" s="54"/>
      <c r="W205" s="92"/>
      <c r="X205" s="54"/>
      <c r="Y205" s="92"/>
      <c r="Z205" s="54"/>
      <c r="AA205" s="92"/>
      <c r="AB205" s="54"/>
      <c r="AC205" s="92"/>
      <c r="AD205" s="54"/>
      <c r="AE205" s="92"/>
      <c r="AF205" s="54"/>
      <c r="AG205" s="92"/>
      <c r="AH205" s="54"/>
      <c r="AI205" s="92"/>
      <c r="AJ205" s="54"/>
      <c r="AK205" s="92"/>
      <c r="AL205" s="54"/>
      <c r="AM205" s="92"/>
      <c r="AO205" s="54"/>
      <c r="AP205" s="123"/>
      <c r="AQ205" s="54"/>
      <c r="AR205" s="154"/>
      <c r="AS205" s="1"/>
      <c r="AT205" s="1"/>
      <c r="AU205" s="9"/>
    </row>
    <row r="206">
      <c r="A206" s="54"/>
      <c r="B206" s="71" t="str">
        <f>IFERROR(HYPERLINK(VLOOKUP(A206,Internal_lists_bugs!$A$2:$C$73,3,FALSE()), VLOOKUP(A206,Internal_lists_bugs!$A$2:$C$73,3,FALSE())&amp;Char(10) &amp; Char(10) &amp; VLOOKUP(A206,Internal_lists_bugs!$A$2:$Z$73,26,FALSE())),"please select a BUG ID")</f>
        <v>please select a BUG ID</v>
      </c>
      <c r="C206" s="51" t="str">
        <f>IFERROR(VLOOKUP(A206,Internal_lists_bugs!$A$2:$G2002,7,FALSE()),"please select a BUG ID")</f>
        <v>please select a BUG ID</v>
      </c>
      <c r="D206" s="54"/>
      <c r="E206" s="53"/>
      <c r="F206" s="54"/>
      <c r="G206" s="53"/>
      <c r="H206" s="54"/>
      <c r="I206" s="53"/>
      <c r="J206" s="54"/>
      <c r="K206" s="92"/>
      <c r="L206" s="54"/>
      <c r="M206" s="92"/>
      <c r="N206" s="54"/>
      <c r="O206" s="92"/>
      <c r="P206" s="54"/>
      <c r="Q206" s="92"/>
      <c r="R206" s="54"/>
      <c r="S206" s="92"/>
      <c r="T206" s="117"/>
      <c r="U206" s="92"/>
      <c r="V206" s="54"/>
      <c r="W206" s="92"/>
      <c r="X206" s="54"/>
      <c r="Y206" s="92"/>
      <c r="Z206" s="54"/>
      <c r="AA206" s="92"/>
      <c r="AB206" s="54"/>
      <c r="AC206" s="92"/>
      <c r="AD206" s="54"/>
      <c r="AE206" s="92"/>
      <c r="AF206" s="54"/>
      <c r="AG206" s="92"/>
      <c r="AH206" s="54"/>
      <c r="AI206" s="92"/>
      <c r="AJ206" s="54"/>
      <c r="AK206" s="92"/>
      <c r="AL206" s="54"/>
      <c r="AM206" s="92"/>
      <c r="AO206" s="54"/>
      <c r="AP206" s="123"/>
      <c r="AQ206" s="54"/>
      <c r="AR206" s="154"/>
      <c r="AS206" s="1"/>
      <c r="AT206" s="1"/>
      <c r="AU206" s="9"/>
    </row>
    <row r="207">
      <c r="A207" s="54"/>
      <c r="B207" s="71" t="str">
        <f>IFERROR(HYPERLINK(VLOOKUP(A207,Internal_lists_bugs!$A$2:$C$73,3,FALSE()), VLOOKUP(A207,Internal_lists_bugs!$A$2:$C$73,3,FALSE())&amp;Char(10) &amp; Char(10) &amp; VLOOKUP(A207,Internal_lists_bugs!$A$2:$Z$73,26,FALSE())),"please select a BUG ID")</f>
        <v>please select a BUG ID</v>
      </c>
      <c r="C207" s="51" t="str">
        <f>IFERROR(VLOOKUP(A207,Internal_lists_bugs!$A$2:$G2002,7,FALSE()),"please select a BUG ID")</f>
        <v>please select a BUG ID</v>
      </c>
      <c r="D207" s="54"/>
      <c r="E207" s="53"/>
      <c r="F207" s="54"/>
      <c r="G207" s="53"/>
      <c r="H207" s="54"/>
      <c r="I207" s="53"/>
      <c r="J207" s="54"/>
      <c r="K207" s="92"/>
      <c r="L207" s="54"/>
      <c r="M207" s="92"/>
      <c r="N207" s="54"/>
      <c r="O207" s="92"/>
      <c r="P207" s="54"/>
      <c r="Q207" s="92"/>
      <c r="R207" s="54"/>
      <c r="S207" s="92"/>
      <c r="T207" s="117"/>
      <c r="U207" s="92"/>
      <c r="V207" s="54"/>
      <c r="W207" s="92"/>
      <c r="X207" s="54"/>
      <c r="Y207" s="92"/>
      <c r="Z207" s="54"/>
      <c r="AA207" s="92"/>
      <c r="AB207" s="54"/>
      <c r="AC207" s="92"/>
      <c r="AD207" s="54"/>
      <c r="AE207" s="92"/>
      <c r="AF207" s="54"/>
      <c r="AG207" s="92"/>
      <c r="AH207" s="54"/>
      <c r="AI207" s="92"/>
      <c r="AJ207" s="54"/>
      <c r="AK207" s="92"/>
      <c r="AL207" s="54"/>
      <c r="AM207" s="92"/>
      <c r="AO207" s="54"/>
      <c r="AP207" s="123"/>
      <c r="AQ207" s="54"/>
      <c r="AR207" s="154"/>
      <c r="AS207" s="1"/>
      <c r="AT207" s="1"/>
      <c r="AU207" s="9"/>
    </row>
    <row r="208">
      <c r="A208" s="54"/>
      <c r="B208" s="71" t="str">
        <f>IFERROR(HYPERLINK(VLOOKUP(A208,Internal_lists_bugs!$A$2:$C$73,3,FALSE()), VLOOKUP(A208,Internal_lists_bugs!$A$2:$C$73,3,FALSE())&amp;Char(10) &amp; Char(10) &amp; VLOOKUP(A208,Internal_lists_bugs!$A$2:$Z$73,26,FALSE())),"please select a BUG ID")</f>
        <v>please select a BUG ID</v>
      </c>
      <c r="C208" s="51" t="str">
        <f>IFERROR(VLOOKUP(A208,Internal_lists_bugs!$A$2:$G2002,7,FALSE()),"please select a BUG ID")</f>
        <v>please select a BUG ID</v>
      </c>
      <c r="D208" s="54"/>
      <c r="E208" s="53"/>
      <c r="F208" s="54"/>
      <c r="G208" s="53"/>
      <c r="H208" s="54"/>
      <c r="I208" s="53"/>
      <c r="J208" s="54"/>
      <c r="K208" s="92"/>
      <c r="L208" s="54"/>
      <c r="M208" s="92"/>
      <c r="N208" s="54"/>
      <c r="O208" s="92"/>
      <c r="P208" s="54"/>
      <c r="Q208" s="92"/>
      <c r="R208" s="54"/>
      <c r="S208" s="92"/>
      <c r="T208" s="117"/>
      <c r="U208" s="92"/>
      <c r="V208" s="54"/>
      <c r="W208" s="92"/>
      <c r="X208" s="54"/>
      <c r="Y208" s="92"/>
      <c r="Z208" s="54"/>
      <c r="AA208" s="92"/>
      <c r="AB208" s="54"/>
      <c r="AC208" s="92"/>
      <c r="AD208" s="54"/>
      <c r="AE208" s="92"/>
      <c r="AF208" s="54"/>
      <c r="AG208" s="92"/>
      <c r="AH208" s="54"/>
      <c r="AI208" s="92"/>
      <c r="AJ208" s="54"/>
      <c r="AK208" s="92"/>
      <c r="AL208" s="54"/>
      <c r="AM208" s="92"/>
      <c r="AO208" s="54"/>
      <c r="AP208" s="123"/>
      <c r="AQ208" s="54"/>
      <c r="AR208" s="154"/>
      <c r="AS208" s="1"/>
      <c r="AT208" s="1"/>
      <c r="AU208" s="9"/>
    </row>
    <row r="209">
      <c r="A209" s="54"/>
      <c r="B209" s="71" t="str">
        <f>IFERROR(HYPERLINK(VLOOKUP(A209,Internal_lists_bugs!$A$2:$C$73,3,FALSE()), VLOOKUP(A209,Internal_lists_bugs!$A$2:$C$73,3,FALSE())&amp;Char(10) &amp; Char(10) &amp; VLOOKUP(A209,Internal_lists_bugs!$A$2:$Z$73,26,FALSE())),"please select a BUG ID")</f>
        <v>please select a BUG ID</v>
      </c>
      <c r="C209" s="51" t="str">
        <f>IFERROR(VLOOKUP(A209,Internal_lists_bugs!$A$2:$G2002,7,FALSE()),"please select a BUG ID")</f>
        <v>please select a BUG ID</v>
      </c>
      <c r="D209" s="54"/>
      <c r="E209" s="53"/>
      <c r="F209" s="54"/>
      <c r="G209" s="53"/>
      <c r="H209" s="54"/>
      <c r="I209" s="53"/>
      <c r="J209" s="54"/>
      <c r="K209" s="92"/>
      <c r="L209" s="54"/>
      <c r="M209" s="92"/>
      <c r="N209" s="54"/>
      <c r="O209" s="92"/>
      <c r="P209" s="54"/>
      <c r="Q209" s="92"/>
      <c r="R209" s="54"/>
      <c r="S209" s="92"/>
      <c r="T209" s="117"/>
      <c r="U209" s="92"/>
      <c r="V209" s="54"/>
      <c r="W209" s="92"/>
      <c r="X209" s="54"/>
      <c r="Y209" s="92"/>
      <c r="Z209" s="54"/>
      <c r="AA209" s="92"/>
      <c r="AB209" s="54"/>
      <c r="AC209" s="92"/>
      <c r="AD209" s="54"/>
      <c r="AE209" s="92"/>
      <c r="AF209" s="54"/>
      <c r="AG209" s="92"/>
      <c r="AH209" s="54"/>
      <c r="AI209" s="92"/>
      <c r="AJ209" s="54"/>
      <c r="AK209" s="92"/>
      <c r="AL209" s="54"/>
      <c r="AM209" s="92"/>
      <c r="AO209" s="54"/>
      <c r="AP209" s="123"/>
      <c r="AQ209" s="54"/>
      <c r="AR209" s="154"/>
      <c r="AS209" s="1"/>
      <c r="AT209" s="1"/>
      <c r="AU209" s="9"/>
    </row>
    <row r="210">
      <c r="A210" s="54"/>
      <c r="B210" s="71" t="str">
        <f>IFERROR(HYPERLINK(VLOOKUP(A210,Internal_lists_bugs!$A$2:$C$73,3,FALSE()), VLOOKUP(A210,Internal_lists_bugs!$A$2:$C$73,3,FALSE())&amp;Char(10) &amp; Char(10) &amp; VLOOKUP(A210,Internal_lists_bugs!$A$2:$Z$73,26,FALSE())),"please select a BUG ID")</f>
        <v>please select a BUG ID</v>
      </c>
      <c r="C210" s="51" t="str">
        <f>IFERROR(VLOOKUP(A210,Internal_lists_bugs!$A$2:$G2002,7,FALSE()),"please select a BUG ID")</f>
        <v>please select a BUG ID</v>
      </c>
      <c r="D210" s="54"/>
      <c r="E210" s="53"/>
      <c r="F210" s="54"/>
      <c r="G210" s="53"/>
      <c r="H210" s="54"/>
      <c r="I210" s="53"/>
      <c r="J210" s="54"/>
      <c r="K210" s="92"/>
      <c r="L210" s="54"/>
      <c r="M210" s="92"/>
      <c r="N210" s="54"/>
      <c r="O210" s="92"/>
      <c r="P210" s="54"/>
      <c r="Q210" s="92"/>
      <c r="R210" s="54"/>
      <c r="S210" s="92"/>
      <c r="T210" s="117"/>
      <c r="U210" s="92"/>
      <c r="V210" s="54"/>
      <c r="W210" s="92"/>
      <c r="X210" s="54"/>
      <c r="Y210" s="92"/>
      <c r="Z210" s="54"/>
      <c r="AA210" s="92"/>
      <c r="AB210" s="54"/>
      <c r="AC210" s="92"/>
      <c r="AD210" s="54"/>
      <c r="AE210" s="92"/>
      <c r="AF210" s="54"/>
      <c r="AG210" s="92"/>
      <c r="AH210" s="54"/>
      <c r="AI210" s="92"/>
      <c r="AJ210" s="54"/>
      <c r="AK210" s="92"/>
      <c r="AL210" s="54"/>
      <c r="AM210" s="92"/>
      <c r="AO210" s="54"/>
      <c r="AP210" s="123"/>
      <c r="AQ210" s="54"/>
      <c r="AR210" s="154"/>
      <c r="AS210" s="1"/>
      <c r="AT210" s="1"/>
      <c r="AU210" s="9"/>
    </row>
    <row r="211">
      <c r="A211" s="54"/>
      <c r="B211" s="71" t="str">
        <f>IFERROR(HYPERLINK(VLOOKUP(A211,Internal_lists_bugs!$A$2:$C$73,3,FALSE()), VLOOKUP(A211,Internal_lists_bugs!$A$2:$C$73,3,FALSE())&amp;Char(10) &amp; Char(10) &amp; VLOOKUP(A211,Internal_lists_bugs!$A$2:$Z$73,26,FALSE())),"please select a BUG ID")</f>
        <v>please select a BUG ID</v>
      </c>
      <c r="C211" s="51" t="str">
        <f>IFERROR(VLOOKUP(A211,Internal_lists_bugs!$A$2:$G2002,7,FALSE()),"please select a BUG ID")</f>
        <v>please select a BUG ID</v>
      </c>
      <c r="D211" s="54"/>
      <c r="E211" s="53"/>
      <c r="F211" s="54"/>
      <c r="G211" s="53"/>
      <c r="H211" s="54"/>
      <c r="I211" s="53"/>
      <c r="J211" s="54"/>
      <c r="K211" s="92"/>
      <c r="L211" s="54"/>
      <c r="M211" s="92"/>
      <c r="N211" s="54"/>
      <c r="O211" s="92"/>
      <c r="P211" s="54"/>
      <c r="Q211" s="92"/>
      <c r="R211" s="54"/>
      <c r="S211" s="92"/>
      <c r="T211" s="117"/>
      <c r="U211" s="92"/>
      <c r="V211" s="54"/>
      <c r="W211" s="92"/>
      <c r="X211" s="54"/>
      <c r="Y211" s="92"/>
      <c r="Z211" s="54"/>
      <c r="AA211" s="92"/>
      <c r="AB211" s="54"/>
      <c r="AC211" s="92"/>
      <c r="AD211" s="54"/>
      <c r="AE211" s="92"/>
      <c r="AF211" s="54"/>
      <c r="AG211" s="92"/>
      <c r="AH211" s="54"/>
      <c r="AI211" s="92"/>
      <c r="AJ211" s="54"/>
      <c r="AK211" s="92"/>
      <c r="AL211" s="54"/>
      <c r="AM211" s="92"/>
      <c r="AO211" s="54"/>
      <c r="AP211" s="123"/>
      <c r="AQ211" s="54"/>
      <c r="AR211" s="154"/>
      <c r="AS211" s="1"/>
      <c r="AT211" s="1"/>
      <c r="AU211" s="9"/>
    </row>
    <row r="212">
      <c r="A212" s="54"/>
      <c r="B212" s="71" t="str">
        <f>IFERROR(HYPERLINK(VLOOKUP(A212,Internal_lists_bugs!$A$2:$C$73,3,FALSE()), VLOOKUP(A212,Internal_lists_bugs!$A$2:$C$73,3,FALSE())&amp;Char(10) &amp; Char(10) &amp; VLOOKUP(A212,Internal_lists_bugs!$A$2:$Z$73,26,FALSE())),"please select a BUG ID")</f>
        <v>please select a BUG ID</v>
      </c>
      <c r="C212" s="51" t="str">
        <f>IFERROR(VLOOKUP(A212,Internal_lists_bugs!$A$2:$G2002,7,FALSE()),"please select a BUG ID")</f>
        <v>please select a BUG ID</v>
      </c>
      <c r="D212" s="54"/>
      <c r="E212" s="53"/>
      <c r="F212" s="54"/>
      <c r="G212" s="53"/>
      <c r="H212" s="54"/>
      <c r="I212" s="53"/>
      <c r="J212" s="54"/>
      <c r="K212" s="92"/>
      <c r="L212" s="54"/>
      <c r="M212" s="92"/>
      <c r="N212" s="54"/>
      <c r="O212" s="92"/>
      <c r="P212" s="54"/>
      <c r="Q212" s="92"/>
      <c r="R212" s="54"/>
      <c r="S212" s="92"/>
      <c r="T212" s="117"/>
      <c r="U212" s="92"/>
      <c r="V212" s="54"/>
      <c r="W212" s="92"/>
      <c r="X212" s="54"/>
      <c r="Y212" s="92"/>
      <c r="Z212" s="54"/>
      <c r="AA212" s="92"/>
      <c r="AB212" s="54"/>
      <c r="AC212" s="92"/>
      <c r="AD212" s="54"/>
      <c r="AE212" s="92"/>
      <c r="AF212" s="54"/>
      <c r="AG212" s="92"/>
      <c r="AH212" s="54"/>
      <c r="AI212" s="92"/>
      <c r="AJ212" s="54"/>
      <c r="AK212" s="92"/>
      <c r="AL212" s="54"/>
      <c r="AM212" s="92"/>
      <c r="AO212" s="54"/>
      <c r="AP212" s="123"/>
      <c r="AQ212" s="54"/>
      <c r="AR212" s="154"/>
      <c r="AS212" s="1"/>
      <c r="AT212" s="1"/>
      <c r="AU212" s="9"/>
    </row>
    <row r="213">
      <c r="A213" s="54"/>
      <c r="B213" s="71" t="str">
        <f>IFERROR(HYPERLINK(VLOOKUP(A213,Internal_lists_bugs!$A$2:$C$73,3,FALSE()), VLOOKUP(A213,Internal_lists_bugs!$A$2:$C$73,3,FALSE())&amp;Char(10) &amp; Char(10) &amp; VLOOKUP(A213,Internal_lists_bugs!$A$2:$Z$73,26,FALSE())),"please select a BUG ID")</f>
        <v>please select a BUG ID</v>
      </c>
      <c r="C213" s="51" t="str">
        <f>IFERROR(VLOOKUP(A213,Internal_lists_bugs!$A$2:$G2002,7,FALSE()),"please select a BUG ID")</f>
        <v>please select a BUG ID</v>
      </c>
      <c r="D213" s="54"/>
      <c r="E213" s="56"/>
      <c r="F213" s="54"/>
      <c r="G213" s="56"/>
      <c r="H213" s="54"/>
      <c r="I213" s="56"/>
      <c r="J213" s="54"/>
      <c r="K213" s="92"/>
      <c r="L213" s="54"/>
      <c r="M213" s="92"/>
      <c r="N213" s="54"/>
      <c r="O213" s="92"/>
      <c r="P213" s="54"/>
      <c r="Q213" s="92"/>
      <c r="R213" s="54"/>
      <c r="S213" s="92"/>
      <c r="T213" s="117"/>
      <c r="U213" s="92"/>
      <c r="V213" s="54"/>
      <c r="W213" s="92"/>
      <c r="X213" s="54"/>
      <c r="Y213" s="92"/>
      <c r="Z213" s="54"/>
      <c r="AA213" s="92"/>
      <c r="AB213" s="54"/>
      <c r="AC213" s="92"/>
      <c r="AD213" s="54"/>
      <c r="AE213" s="92"/>
      <c r="AF213" s="54"/>
      <c r="AG213" s="92"/>
      <c r="AH213" s="54"/>
      <c r="AI213" s="92"/>
      <c r="AJ213" s="54"/>
      <c r="AK213" s="92"/>
      <c r="AL213" s="54"/>
      <c r="AM213" s="92"/>
      <c r="AO213" s="54"/>
      <c r="AP213" s="123"/>
      <c r="AQ213" s="54"/>
      <c r="AR213" s="154"/>
      <c r="AS213" s="1"/>
      <c r="AT213" s="1"/>
      <c r="AU213" s="9"/>
    </row>
    <row r="214">
      <c r="A214" s="54"/>
      <c r="B214" s="71" t="str">
        <f>IFERROR(HYPERLINK(VLOOKUP(A214,Internal_lists_bugs!$A$2:$C$73,3,FALSE()), VLOOKUP(A214,Internal_lists_bugs!$A$2:$C$73,3,FALSE())&amp;Char(10) &amp; Char(10) &amp; VLOOKUP(A214,Internal_lists_bugs!$A$2:$Z$73,26,FALSE())),"please select a BUG ID")</f>
        <v>please select a BUG ID</v>
      </c>
      <c r="C214" s="51" t="str">
        <f>IFERROR(VLOOKUP(A214,Internal_lists_bugs!$A$2:$G2002,7,FALSE()),"please select a BUG ID")</f>
        <v>please select a BUG ID</v>
      </c>
      <c r="D214" s="54"/>
      <c r="E214" s="56"/>
      <c r="F214" s="54"/>
      <c r="G214" s="56"/>
      <c r="H214" s="54"/>
      <c r="I214" s="56"/>
      <c r="J214" s="54"/>
      <c r="K214" s="92"/>
      <c r="L214" s="54"/>
      <c r="M214" s="92"/>
      <c r="N214" s="54"/>
      <c r="O214" s="92"/>
      <c r="P214" s="54"/>
      <c r="Q214" s="92"/>
      <c r="R214" s="54"/>
      <c r="S214" s="92"/>
      <c r="T214" s="117"/>
      <c r="U214" s="92"/>
      <c r="V214" s="54"/>
      <c r="W214" s="92"/>
      <c r="X214" s="54"/>
      <c r="Y214" s="92"/>
      <c r="Z214" s="54"/>
      <c r="AA214" s="92"/>
      <c r="AB214" s="54"/>
      <c r="AC214" s="92"/>
      <c r="AD214" s="54"/>
      <c r="AE214" s="92"/>
      <c r="AF214" s="54"/>
      <c r="AG214" s="92"/>
      <c r="AH214" s="54"/>
      <c r="AI214" s="92"/>
      <c r="AJ214" s="54"/>
      <c r="AK214" s="92"/>
      <c r="AL214" s="54"/>
      <c r="AM214" s="92"/>
      <c r="AO214" s="54"/>
      <c r="AP214" s="123"/>
      <c r="AQ214" s="54"/>
      <c r="AR214" s="154"/>
      <c r="AS214" s="1"/>
      <c r="AT214" s="1"/>
      <c r="AU214" s="9"/>
    </row>
    <row r="215">
      <c r="A215" s="54"/>
      <c r="B215" s="71" t="str">
        <f>IFERROR(HYPERLINK(VLOOKUP(A215,Internal_lists_bugs!$A$2:$C$73,3,FALSE()), VLOOKUP(A215,Internal_lists_bugs!$A$2:$C$73,3,FALSE())&amp;Char(10) &amp; Char(10) &amp; VLOOKUP(A215,Internal_lists_bugs!$A$2:$Z$73,26,FALSE())),"please select a BUG ID")</f>
        <v>please select a BUG ID</v>
      </c>
      <c r="C215" s="51" t="str">
        <f>IFERROR(VLOOKUP(A215,Internal_lists_bugs!$A$2:$G2002,7,FALSE()),"please select a BUG ID")</f>
        <v>please select a BUG ID</v>
      </c>
      <c r="D215" s="54"/>
      <c r="E215" s="56"/>
      <c r="F215" s="54"/>
      <c r="G215" s="56"/>
      <c r="H215" s="54"/>
      <c r="I215" s="56"/>
      <c r="J215" s="54"/>
      <c r="K215" s="92"/>
      <c r="L215" s="54"/>
      <c r="M215" s="92"/>
      <c r="N215" s="54"/>
      <c r="O215" s="92"/>
      <c r="P215" s="54"/>
      <c r="Q215" s="92"/>
      <c r="R215" s="54"/>
      <c r="S215" s="92"/>
      <c r="T215" s="117"/>
      <c r="U215" s="92"/>
      <c r="V215" s="54"/>
      <c r="W215" s="92"/>
      <c r="X215" s="54"/>
      <c r="Y215" s="92"/>
      <c r="Z215" s="54"/>
      <c r="AA215" s="92"/>
      <c r="AB215" s="54"/>
      <c r="AC215" s="92"/>
      <c r="AD215" s="54"/>
      <c r="AE215" s="92"/>
      <c r="AF215" s="54"/>
      <c r="AG215" s="92"/>
      <c r="AH215" s="54"/>
      <c r="AI215" s="92"/>
      <c r="AJ215" s="54"/>
      <c r="AK215" s="92"/>
      <c r="AL215" s="54"/>
      <c r="AM215" s="92"/>
      <c r="AO215" s="54"/>
      <c r="AP215" s="123"/>
      <c r="AQ215" s="54"/>
      <c r="AR215" s="154"/>
      <c r="AS215" s="1"/>
      <c r="AT215" s="1"/>
      <c r="AU215" s="9"/>
    </row>
    <row r="216">
      <c r="A216" s="54"/>
      <c r="B216" s="71" t="str">
        <f>IFERROR(HYPERLINK(VLOOKUP(A216,Internal_lists_bugs!$A$2:$C$73,3,FALSE()), VLOOKUP(A216,Internal_lists_bugs!$A$2:$C$73,3,FALSE())&amp;Char(10) &amp; Char(10) &amp; VLOOKUP(A216,Internal_lists_bugs!$A$2:$Z$73,26,FALSE())),"please select a BUG ID")</f>
        <v>please select a BUG ID</v>
      </c>
      <c r="C216" s="51" t="str">
        <f>IFERROR(VLOOKUP(A216,Internal_lists_bugs!$A$2:$G2002,7,FALSE()),"please select a BUG ID")</f>
        <v>please select a BUG ID</v>
      </c>
      <c r="D216" s="54"/>
      <c r="E216" s="56"/>
      <c r="F216" s="54"/>
      <c r="G216" s="56"/>
      <c r="H216" s="54"/>
      <c r="I216" s="56"/>
      <c r="J216" s="54"/>
      <c r="K216" s="92"/>
      <c r="L216" s="54"/>
      <c r="M216" s="92"/>
      <c r="N216" s="54"/>
      <c r="O216" s="92"/>
      <c r="P216" s="54"/>
      <c r="Q216" s="92"/>
      <c r="R216" s="54"/>
      <c r="S216" s="92"/>
      <c r="T216" s="117"/>
      <c r="U216" s="92"/>
      <c r="V216" s="54"/>
      <c r="W216" s="92"/>
      <c r="X216" s="54"/>
      <c r="Y216" s="92"/>
      <c r="Z216" s="54"/>
      <c r="AA216" s="92"/>
      <c r="AB216" s="54"/>
      <c r="AC216" s="92"/>
      <c r="AD216" s="54"/>
      <c r="AE216" s="92"/>
      <c r="AF216" s="54"/>
      <c r="AG216" s="92"/>
      <c r="AH216" s="54"/>
      <c r="AI216" s="92"/>
      <c r="AJ216" s="54"/>
      <c r="AK216" s="92"/>
      <c r="AL216" s="54"/>
      <c r="AM216" s="92"/>
      <c r="AO216" s="54"/>
      <c r="AP216" s="123"/>
      <c r="AQ216" s="54"/>
      <c r="AR216" s="154"/>
      <c r="AS216" s="1"/>
      <c r="AT216" s="1"/>
      <c r="AU216" s="9"/>
    </row>
    <row r="217">
      <c r="A217" s="54"/>
      <c r="B217" s="71" t="str">
        <f>IFERROR(HYPERLINK(VLOOKUP(A217,Internal_lists_bugs!$A$2:$C$73,3,FALSE()), VLOOKUP(A217,Internal_lists_bugs!$A$2:$C$73,3,FALSE())&amp;Char(10) &amp; Char(10) &amp; VLOOKUP(A217,Internal_lists_bugs!$A$2:$Z$73,26,FALSE())),"please select a BUG ID")</f>
        <v>please select a BUG ID</v>
      </c>
      <c r="C217" s="51" t="str">
        <f>IFERROR(VLOOKUP(A217,Internal_lists_bugs!$A$2:$G2002,7,FALSE()),"please select a BUG ID")</f>
        <v>please select a BUG ID</v>
      </c>
      <c r="D217" s="54"/>
      <c r="E217" s="56"/>
      <c r="F217" s="54"/>
      <c r="G217" s="56"/>
      <c r="H217" s="54"/>
      <c r="I217" s="56"/>
      <c r="J217" s="54"/>
      <c r="K217" s="92"/>
      <c r="L217" s="54"/>
      <c r="M217" s="92"/>
      <c r="N217" s="54"/>
      <c r="O217" s="92"/>
      <c r="P217" s="54"/>
      <c r="Q217" s="92"/>
      <c r="R217" s="54"/>
      <c r="S217" s="92"/>
      <c r="T217" s="117"/>
      <c r="U217" s="92"/>
      <c r="V217" s="54"/>
      <c r="W217" s="92"/>
      <c r="X217" s="54"/>
      <c r="Y217" s="92"/>
      <c r="Z217" s="54"/>
      <c r="AA217" s="92"/>
      <c r="AB217" s="54"/>
      <c r="AC217" s="92"/>
      <c r="AD217" s="54"/>
      <c r="AE217" s="92"/>
      <c r="AF217" s="54"/>
      <c r="AG217" s="92"/>
      <c r="AH217" s="54"/>
      <c r="AI217" s="92"/>
      <c r="AJ217" s="54"/>
      <c r="AK217" s="92"/>
      <c r="AL217" s="54"/>
      <c r="AM217" s="92"/>
      <c r="AO217" s="54"/>
      <c r="AP217" s="123"/>
      <c r="AQ217" s="54"/>
      <c r="AR217" s="154"/>
      <c r="AS217" s="1"/>
      <c r="AT217" s="1"/>
      <c r="AU217" s="9"/>
    </row>
    <row r="218">
      <c r="A218" s="54"/>
      <c r="B218" s="71" t="str">
        <f>IFERROR(HYPERLINK(VLOOKUP(A218,Internal_lists_bugs!$A$2:$C$73,3,FALSE()), VLOOKUP(A218,Internal_lists_bugs!$A$2:$C$73,3,FALSE())&amp;Char(10) &amp; Char(10) &amp; VLOOKUP(A218,Internal_lists_bugs!$A$2:$Z$73,26,FALSE())),"please select a BUG ID")</f>
        <v>please select a BUG ID</v>
      </c>
      <c r="C218" s="51" t="str">
        <f>IFERROR(VLOOKUP(A218,Internal_lists_bugs!$A$2:$G2002,7,FALSE()),"please select a BUG ID")</f>
        <v>please select a BUG ID</v>
      </c>
      <c r="D218" s="54"/>
      <c r="E218" s="56"/>
      <c r="F218" s="54"/>
      <c r="G218" s="56"/>
      <c r="H218" s="54"/>
      <c r="I218" s="56"/>
      <c r="J218" s="54"/>
      <c r="K218" s="92"/>
      <c r="L218" s="54"/>
      <c r="M218" s="92"/>
      <c r="N218" s="54"/>
      <c r="O218" s="92"/>
      <c r="P218" s="54"/>
      <c r="Q218" s="92"/>
      <c r="R218" s="54"/>
      <c r="S218" s="92"/>
      <c r="T218" s="117"/>
      <c r="U218" s="92"/>
      <c r="V218" s="54"/>
      <c r="W218" s="92"/>
      <c r="X218" s="54"/>
      <c r="Y218" s="92"/>
      <c r="Z218" s="54"/>
      <c r="AA218" s="92"/>
      <c r="AB218" s="54"/>
      <c r="AC218" s="92"/>
      <c r="AD218" s="54"/>
      <c r="AE218" s="92"/>
      <c r="AF218" s="54"/>
      <c r="AG218" s="92"/>
      <c r="AH218" s="54"/>
      <c r="AI218" s="92"/>
      <c r="AJ218" s="54"/>
      <c r="AK218" s="92"/>
      <c r="AL218" s="54"/>
      <c r="AM218" s="92"/>
      <c r="AO218" s="54"/>
      <c r="AP218" s="123"/>
      <c r="AQ218" s="54"/>
      <c r="AR218" s="154"/>
      <c r="AS218" s="1"/>
      <c r="AT218" s="1"/>
      <c r="AU218" s="9"/>
    </row>
    <row r="219">
      <c r="A219" s="54"/>
      <c r="B219" s="71" t="str">
        <f>IFERROR(HYPERLINK(VLOOKUP(A219,Internal_lists_bugs!$A$2:$C$73,3,FALSE()), VLOOKUP(A219,Internal_lists_bugs!$A$2:$C$73,3,FALSE())&amp;Char(10) &amp; Char(10) &amp; VLOOKUP(A219,Internal_lists_bugs!$A$2:$Z$73,26,FALSE())),"please select a BUG ID")</f>
        <v>please select a BUG ID</v>
      </c>
      <c r="C219" s="51" t="str">
        <f>IFERROR(VLOOKUP(A219,Internal_lists_bugs!$A$2:$G2002,7,FALSE()),"please select a BUG ID")</f>
        <v>please select a BUG ID</v>
      </c>
      <c r="D219" s="54"/>
      <c r="E219" s="56"/>
      <c r="F219" s="54"/>
      <c r="G219" s="56"/>
      <c r="H219" s="54"/>
      <c r="I219" s="56"/>
      <c r="J219" s="54"/>
      <c r="K219" s="92"/>
      <c r="L219" s="54"/>
      <c r="M219" s="92"/>
      <c r="N219" s="54"/>
      <c r="O219" s="92"/>
      <c r="P219" s="54"/>
      <c r="Q219" s="92"/>
      <c r="R219" s="54"/>
      <c r="S219" s="92"/>
      <c r="T219" s="117"/>
      <c r="U219" s="92"/>
      <c r="V219" s="54"/>
      <c r="W219" s="92"/>
      <c r="X219" s="54"/>
      <c r="Y219" s="92"/>
      <c r="Z219" s="54"/>
      <c r="AA219" s="92"/>
      <c r="AB219" s="54"/>
      <c r="AC219" s="92"/>
      <c r="AD219" s="54"/>
      <c r="AE219" s="92"/>
      <c r="AF219" s="54"/>
      <c r="AG219" s="92"/>
      <c r="AH219" s="54"/>
      <c r="AI219" s="92"/>
      <c r="AJ219" s="54"/>
      <c r="AK219" s="92"/>
      <c r="AL219" s="54"/>
      <c r="AM219" s="92"/>
      <c r="AO219" s="54"/>
      <c r="AP219" s="123"/>
      <c r="AQ219" s="54"/>
      <c r="AR219" s="154"/>
      <c r="AS219" s="1"/>
      <c r="AT219" s="1"/>
      <c r="AU219" s="9"/>
    </row>
    <row r="220">
      <c r="A220" s="54"/>
      <c r="B220" s="71" t="str">
        <f>IFERROR(HYPERLINK(VLOOKUP(A220,Internal_lists_bugs!$A$2:$C$73,3,FALSE()), VLOOKUP(A220,Internal_lists_bugs!$A$2:$C$73,3,FALSE())&amp;Char(10) &amp; Char(10) &amp; VLOOKUP(A220,Internal_lists_bugs!$A$2:$Z$73,26,FALSE())),"please select a BUG ID")</f>
        <v>please select a BUG ID</v>
      </c>
      <c r="C220" s="51" t="str">
        <f>IFERROR(VLOOKUP(A220,Internal_lists_bugs!$A$2:$G2002,7,FALSE()),"please select a BUG ID")</f>
        <v>please select a BUG ID</v>
      </c>
      <c r="D220" s="54"/>
      <c r="E220" s="56"/>
      <c r="F220" s="54"/>
      <c r="G220" s="56"/>
      <c r="H220" s="54"/>
      <c r="I220" s="56"/>
      <c r="J220" s="54"/>
      <c r="K220" s="92"/>
      <c r="L220" s="54"/>
      <c r="M220" s="92"/>
      <c r="N220" s="54"/>
      <c r="O220" s="92"/>
      <c r="P220" s="54"/>
      <c r="Q220" s="92"/>
      <c r="R220" s="54"/>
      <c r="S220" s="92"/>
      <c r="T220" s="117"/>
      <c r="U220" s="92"/>
      <c r="V220" s="54"/>
      <c r="W220" s="92"/>
      <c r="X220" s="54"/>
      <c r="Y220" s="92"/>
      <c r="Z220" s="54"/>
      <c r="AA220" s="92"/>
      <c r="AB220" s="54"/>
      <c r="AC220" s="92"/>
      <c r="AD220" s="54"/>
      <c r="AE220" s="92"/>
      <c r="AF220" s="54"/>
      <c r="AG220" s="92"/>
      <c r="AH220" s="54"/>
      <c r="AI220" s="92"/>
      <c r="AJ220" s="54"/>
      <c r="AK220" s="92"/>
      <c r="AL220" s="54"/>
      <c r="AM220" s="92"/>
      <c r="AO220" s="54"/>
      <c r="AP220" s="123"/>
      <c r="AQ220" s="54"/>
      <c r="AR220" s="154"/>
      <c r="AS220" s="1"/>
      <c r="AT220" s="1"/>
      <c r="AU220" s="9"/>
    </row>
    <row r="221">
      <c r="A221" s="54"/>
      <c r="B221" s="71" t="str">
        <f>IFERROR(HYPERLINK(VLOOKUP(A221,Internal_lists_bugs!$A$2:$C$73,3,FALSE()), VLOOKUP(A221,Internal_lists_bugs!$A$2:$C$73,3,FALSE())&amp;Char(10) &amp; Char(10) &amp; VLOOKUP(A221,Internal_lists_bugs!$A$2:$Z$73,26,FALSE())),"please select a BUG ID")</f>
        <v>please select a BUG ID</v>
      </c>
      <c r="C221" s="51" t="str">
        <f>IFERROR(VLOOKUP(A221,Internal_lists_bugs!$A$2:$G2002,7,FALSE()),"please select a BUG ID")</f>
        <v>please select a BUG ID</v>
      </c>
      <c r="D221" s="54"/>
      <c r="E221" s="56"/>
      <c r="F221" s="54"/>
      <c r="G221" s="56"/>
      <c r="H221" s="54"/>
      <c r="I221" s="56"/>
      <c r="J221" s="54"/>
      <c r="K221" s="92"/>
      <c r="L221" s="54"/>
      <c r="M221" s="92"/>
      <c r="N221" s="54"/>
      <c r="O221" s="92"/>
      <c r="P221" s="54"/>
      <c r="Q221" s="92"/>
      <c r="R221" s="54"/>
      <c r="S221" s="92"/>
      <c r="T221" s="117"/>
      <c r="U221" s="92"/>
      <c r="V221" s="54"/>
      <c r="W221" s="92"/>
      <c r="X221" s="54"/>
      <c r="Y221" s="92"/>
      <c r="Z221" s="54"/>
      <c r="AA221" s="92"/>
      <c r="AB221" s="54"/>
      <c r="AC221" s="92"/>
      <c r="AD221" s="54"/>
      <c r="AE221" s="92"/>
      <c r="AF221" s="54"/>
      <c r="AG221" s="92"/>
      <c r="AH221" s="54"/>
      <c r="AI221" s="92"/>
      <c r="AJ221" s="54"/>
      <c r="AK221" s="92"/>
      <c r="AL221" s="54"/>
      <c r="AM221" s="92"/>
      <c r="AO221" s="54"/>
      <c r="AP221" s="123"/>
      <c r="AQ221" s="54"/>
      <c r="AR221" s="154"/>
      <c r="AS221" s="1"/>
      <c r="AT221" s="1"/>
      <c r="AU221" s="9"/>
    </row>
    <row r="222">
      <c r="A222" s="54"/>
      <c r="B222" s="71" t="str">
        <f>IFERROR(HYPERLINK(VLOOKUP(A222,Internal_lists_bugs!$A$2:$C$73,3,FALSE()), VLOOKUP(A222,Internal_lists_bugs!$A$2:$C$73,3,FALSE())&amp;Char(10) &amp; Char(10) &amp; VLOOKUP(A222,Internal_lists_bugs!$A$2:$Z$73,26,FALSE())),"please select a BUG ID")</f>
        <v>please select a BUG ID</v>
      </c>
      <c r="C222" s="51" t="str">
        <f>IFERROR(VLOOKUP(A222,Internal_lists_bugs!$A$2:$G2002,7,FALSE()),"please select a BUG ID")</f>
        <v>please select a BUG ID</v>
      </c>
      <c r="D222" s="54"/>
      <c r="E222" s="56"/>
      <c r="F222" s="54"/>
      <c r="G222" s="56"/>
      <c r="H222" s="54"/>
      <c r="I222" s="56"/>
      <c r="J222" s="54"/>
      <c r="K222" s="92"/>
      <c r="L222" s="54"/>
      <c r="M222" s="92"/>
      <c r="N222" s="54"/>
      <c r="O222" s="92"/>
      <c r="P222" s="54"/>
      <c r="Q222" s="92"/>
      <c r="R222" s="54"/>
      <c r="S222" s="92"/>
      <c r="T222" s="117"/>
      <c r="U222" s="92"/>
      <c r="V222" s="54"/>
      <c r="W222" s="92"/>
      <c r="X222" s="54"/>
      <c r="Y222" s="92"/>
      <c r="Z222" s="54"/>
      <c r="AA222" s="92"/>
      <c r="AB222" s="54"/>
      <c r="AC222" s="92"/>
      <c r="AD222" s="54"/>
      <c r="AE222" s="92"/>
      <c r="AF222" s="54"/>
      <c r="AG222" s="92"/>
      <c r="AH222" s="54"/>
      <c r="AI222" s="92"/>
      <c r="AJ222" s="54"/>
      <c r="AK222" s="92"/>
      <c r="AL222" s="54"/>
      <c r="AM222" s="92"/>
      <c r="AO222" s="54"/>
      <c r="AP222" s="123"/>
      <c r="AQ222" s="54"/>
      <c r="AR222" s="154"/>
      <c r="AS222" s="1"/>
      <c r="AT222" s="1"/>
      <c r="AU222" s="9"/>
    </row>
    <row r="223">
      <c r="A223" s="54"/>
      <c r="B223" s="71" t="str">
        <f>IFERROR(HYPERLINK(VLOOKUP(A223,Internal_lists_bugs!$A$2:$C$73,3,FALSE()), VLOOKUP(A223,Internal_lists_bugs!$A$2:$C$73,3,FALSE())&amp;Char(10) &amp; Char(10) &amp; VLOOKUP(A223,Internal_lists_bugs!$A$2:$Z$73,26,FALSE())),"please select a BUG ID")</f>
        <v>please select a BUG ID</v>
      </c>
      <c r="C223" s="51" t="str">
        <f>IFERROR(VLOOKUP(A223,Internal_lists_bugs!$A$2:$G2002,7,FALSE()),"please select a BUG ID")</f>
        <v>please select a BUG ID</v>
      </c>
      <c r="D223" s="54"/>
      <c r="E223" s="56"/>
      <c r="F223" s="54"/>
      <c r="G223" s="56"/>
      <c r="H223" s="54"/>
      <c r="I223" s="56"/>
      <c r="J223" s="54"/>
      <c r="K223" s="92"/>
      <c r="L223" s="54"/>
      <c r="M223" s="92"/>
      <c r="N223" s="54"/>
      <c r="O223" s="92"/>
      <c r="P223" s="54"/>
      <c r="Q223" s="92"/>
      <c r="R223" s="54"/>
      <c r="S223" s="92"/>
      <c r="T223" s="117"/>
      <c r="U223" s="92"/>
      <c r="V223" s="54"/>
      <c r="W223" s="92"/>
      <c r="X223" s="54"/>
      <c r="Y223" s="92"/>
      <c r="Z223" s="54"/>
      <c r="AA223" s="92"/>
      <c r="AB223" s="54"/>
      <c r="AC223" s="92"/>
      <c r="AD223" s="54"/>
      <c r="AE223" s="92"/>
      <c r="AF223" s="54"/>
      <c r="AG223" s="92"/>
      <c r="AH223" s="54"/>
      <c r="AI223" s="92"/>
      <c r="AJ223" s="54"/>
      <c r="AK223" s="92"/>
      <c r="AL223" s="54"/>
      <c r="AM223" s="92"/>
      <c r="AO223" s="54"/>
      <c r="AP223" s="123"/>
      <c r="AQ223" s="54"/>
      <c r="AR223" s="154"/>
      <c r="AS223" s="1"/>
      <c r="AT223" s="1"/>
      <c r="AU223" s="9"/>
    </row>
    <row r="224">
      <c r="A224" s="54"/>
      <c r="B224" s="71" t="str">
        <f>IFERROR(HYPERLINK(VLOOKUP(A224,Internal_lists_bugs!$A$2:$C$73,3,FALSE()), VLOOKUP(A224,Internal_lists_bugs!$A$2:$C$73,3,FALSE())&amp;Char(10) &amp; Char(10) &amp; VLOOKUP(A224,Internal_lists_bugs!$A$2:$Z$73,26,FALSE())),"please select a BUG ID")</f>
        <v>please select a BUG ID</v>
      </c>
      <c r="C224" s="51" t="str">
        <f>IFERROR(VLOOKUP(A224,Internal_lists_bugs!$A$2:$G2002,7,FALSE()),"please select a BUG ID")</f>
        <v>please select a BUG ID</v>
      </c>
      <c r="D224" s="54"/>
      <c r="E224" s="56"/>
      <c r="F224" s="54"/>
      <c r="G224" s="56"/>
      <c r="H224" s="54"/>
      <c r="I224" s="56"/>
      <c r="J224" s="54"/>
      <c r="K224" s="92"/>
      <c r="L224" s="54"/>
      <c r="M224" s="92"/>
      <c r="N224" s="54"/>
      <c r="O224" s="92"/>
      <c r="P224" s="54"/>
      <c r="Q224" s="92"/>
      <c r="R224" s="54"/>
      <c r="S224" s="92"/>
      <c r="T224" s="117"/>
      <c r="U224" s="92"/>
      <c r="V224" s="54"/>
      <c r="W224" s="92"/>
      <c r="X224" s="54"/>
      <c r="Y224" s="92"/>
      <c r="Z224" s="54"/>
      <c r="AA224" s="92"/>
      <c r="AB224" s="54"/>
      <c r="AC224" s="92"/>
      <c r="AD224" s="54"/>
      <c r="AE224" s="92"/>
      <c r="AF224" s="54"/>
      <c r="AG224" s="92"/>
      <c r="AH224" s="54"/>
      <c r="AI224" s="92"/>
      <c r="AJ224" s="54"/>
      <c r="AK224" s="92"/>
      <c r="AL224" s="54"/>
      <c r="AM224" s="92"/>
      <c r="AO224" s="54"/>
      <c r="AP224" s="123"/>
      <c r="AQ224" s="54"/>
      <c r="AR224" s="154"/>
      <c r="AS224" s="1"/>
      <c r="AT224" s="1"/>
      <c r="AU224" s="9"/>
    </row>
    <row r="225">
      <c r="A225" s="54"/>
      <c r="B225" s="71" t="str">
        <f>IFERROR(HYPERLINK(VLOOKUP(A225,Internal_lists_bugs!$A$2:$C$73,3,FALSE()), VLOOKUP(A225,Internal_lists_bugs!$A$2:$C$73,3,FALSE())&amp;Char(10) &amp; Char(10) &amp; VLOOKUP(A225,Internal_lists_bugs!$A$2:$Z$73,26,FALSE())),"please select a BUG ID")</f>
        <v>please select a BUG ID</v>
      </c>
      <c r="C225" s="51" t="str">
        <f>IFERROR(VLOOKUP(A225,Internal_lists_bugs!$A$2:$G2002,7,FALSE()),"please select a BUG ID")</f>
        <v>please select a BUG ID</v>
      </c>
      <c r="D225" s="54"/>
      <c r="E225" s="56"/>
      <c r="F225" s="54"/>
      <c r="G225" s="56"/>
      <c r="H225" s="54"/>
      <c r="I225" s="56"/>
      <c r="J225" s="54"/>
      <c r="K225" s="92"/>
      <c r="L225" s="54"/>
      <c r="M225" s="92"/>
      <c r="N225" s="54"/>
      <c r="O225" s="92"/>
      <c r="P225" s="54"/>
      <c r="Q225" s="92"/>
      <c r="R225" s="54"/>
      <c r="S225" s="92"/>
      <c r="T225" s="117"/>
      <c r="U225" s="92"/>
      <c r="V225" s="54"/>
      <c r="W225" s="92"/>
      <c r="X225" s="54"/>
      <c r="Y225" s="92"/>
      <c r="Z225" s="54"/>
      <c r="AA225" s="92"/>
      <c r="AB225" s="54"/>
      <c r="AC225" s="92"/>
      <c r="AD225" s="54"/>
      <c r="AE225" s="92"/>
      <c r="AF225" s="54"/>
      <c r="AG225" s="92"/>
      <c r="AH225" s="54"/>
      <c r="AI225" s="92"/>
      <c r="AJ225" s="54"/>
      <c r="AK225" s="92"/>
      <c r="AL225" s="54"/>
      <c r="AM225" s="92"/>
      <c r="AO225" s="54"/>
      <c r="AP225" s="123"/>
      <c r="AQ225" s="54"/>
      <c r="AR225" s="154"/>
      <c r="AS225" s="1"/>
      <c r="AT225" s="1"/>
      <c r="AU225" s="9"/>
    </row>
    <row r="226">
      <c r="A226" s="54"/>
      <c r="B226" s="71" t="str">
        <f>IFERROR(HYPERLINK(VLOOKUP(A226,Internal_lists_bugs!$A$2:$C$73,3,FALSE()), VLOOKUP(A226,Internal_lists_bugs!$A$2:$C$73,3,FALSE())&amp;Char(10) &amp; Char(10) &amp; VLOOKUP(A226,Internal_lists_bugs!$A$2:$Z$73,26,FALSE())),"please select a BUG ID")</f>
        <v>please select a BUG ID</v>
      </c>
      <c r="C226" s="51" t="str">
        <f>IFERROR(VLOOKUP(A226,Internal_lists_bugs!$A$2:$G2002,7,FALSE()),"please select a BUG ID")</f>
        <v>please select a BUG ID</v>
      </c>
      <c r="D226" s="54"/>
      <c r="E226" s="56"/>
      <c r="F226" s="54"/>
      <c r="G226" s="56"/>
      <c r="H226" s="54"/>
      <c r="I226" s="56"/>
      <c r="J226" s="54"/>
      <c r="K226" s="92"/>
      <c r="L226" s="54"/>
      <c r="M226" s="92"/>
      <c r="N226" s="54"/>
      <c r="O226" s="92"/>
      <c r="P226" s="54"/>
      <c r="Q226" s="92"/>
      <c r="R226" s="54"/>
      <c r="S226" s="92"/>
      <c r="T226" s="117"/>
      <c r="U226" s="92"/>
      <c r="V226" s="54"/>
      <c r="W226" s="92"/>
      <c r="X226" s="54"/>
      <c r="Y226" s="92"/>
      <c r="Z226" s="54"/>
      <c r="AA226" s="92"/>
      <c r="AB226" s="54"/>
      <c r="AC226" s="92"/>
      <c r="AD226" s="54"/>
      <c r="AE226" s="92"/>
      <c r="AF226" s="54"/>
      <c r="AG226" s="92"/>
      <c r="AH226" s="54"/>
      <c r="AI226" s="92"/>
      <c r="AJ226" s="54"/>
      <c r="AK226" s="92"/>
      <c r="AL226" s="54"/>
      <c r="AM226" s="92"/>
      <c r="AO226" s="54"/>
      <c r="AP226" s="123"/>
      <c r="AQ226" s="54"/>
      <c r="AR226" s="154"/>
      <c r="AS226" s="1"/>
      <c r="AT226" s="1"/>
      <c r="AU226" s="9"/>
    </row>
    <row r="227">
      <c r="A227" s="54"/>
      <c r="B227" s="71" t="str">
        <f>IFERROR(HYPERLINK(VLOOKUP(A227,Internal_lists_bugs!$A$2:$C$73,3,FALSE()), VLOOKUP(A227,Internal_lists_bugs!$A$2:$C$73,3,FALSE())&amp;Char(10) &amp; Char(10) &amp; VLOOKUP(A227,Internal_lists_bugs!$A$2:$Z$73,26,FALSE())),"please select a BUG ID")</f>
        <v>please select a BUG ID</v>
      </c>
      <c r="C227" s="51" t="str">
        <f>IFERROR(VLOOKUP(A227,Internal_lists_bugs!$A$2:$G2002,7,FALSE()),"please select a BUG ID")</f>
        <v>please select a BUG ID</v>
      </c>
      <c r="D227" s="54"/>
      <c r="E227" s="56"/>
      <c r="F227" s="54"/>
      <c r="G227" s="56"/>
      <c r="H227" s="54"/>
      <c r="I227" s="56"/>
      <c r="J227" s="54"/>
      <c r="K227" s="92"/>
      <c r="L227" s="54"/>
      <c r="M227" s="92"/>
      <c r="N227" s="54"/>
      <c r="O227" s="92"/>
      <c r="P227" s="54"/>
      <c r="Q227" s="92"/>
      <c r="R227" s="54"/>
      <c r="S227" s="92"/>
      <c r="T227" s="117"/>
      <c r="U227" s="92"/>
      <c r="V227" s="54"/>
      <c r="W227" s="92"/>
      <c r="X227" s="54"/>
      <c r="Y227" s="92"/>
      <c r="Z227" s="54"/>
      <c r="AA227" s="92"/>
      <c r="AB227" s="54"/>
      <c r="AC227" s="92"/>
      <c r="AD227" s="54"/>
      <c r="AE227" s="92"/>
      <c r="AF227" s="54"/>
      <c r="AG227" s="92"/>
      <c r="AH227" s="54"/>
      <c r="AI227" s="92"/>
      <c r="AJ227" s="54"/>
      <c r="AK227" s="92"/>
      <c r="AL227" s="54"/>
      <c r="AM227" s="92"/>
      <c r="AO227" s="54"/>
      <c r="AP227" s="123"/>
      <c r="AQ227" s="54"/>
      <c r="AR227" s="154"/>
      <c r="AS227" s="1"/>
      <c r="AT227" s="1"/>
      <c r="AU227" s="9"/>
    </row>
    <row r="228">
      <c r="A228" s="54"/>
      <c r="B228" s="71" t="str">
        <f>IFERROR(HYPERLINK(VLOOKUP(A228,Internal_lists_bugs!$A$2:$C$73,3,FALSE()), VLOOKUP(A228,Internal_lists_bugs!$A$2:$C$73,3,FALSE())&amp;Char(10) &amp; Char(10) &amp; VLOOKUP(A228,Internal_lists_bugs!$A$2:$Z$73,26,FALSE())),"please select a BUG ID")</f>
        <v>please select a BUG ID</v>
      </c>
      <c r="C228" s="51" t="str">
        <f>IFERROR(VLOOKUP(A228,Internal_lists_bugs!$A$2:$G2002,7,FALSE()),"please select a BUG ID")</f>
        <v>please select a BUG ID</v>
      </c>
      <c r="D228" s="54"/>
      <c r="E228" s="56"/>
      <c r="F228" s="54"/>
      <c r="G228" s="56"/>
      <c r="H228" s="54"/>
      <c r="I228" s="56"/>
      <c r="J228" s="54"/>
      <c r="K228" s="92"/>
      <c r="L228" s="54"/>
      <c r="M228" s="92"/>
      <c r="N228" s="54"/>
      <c r="O228" s="92"/>
      <c r="P228" s="54"/>
      <c r="Q228" s="92"/>
      <c r="R228" s="54"/>
      <c r="S228" s="92"/>
      <c r="T228" s="117"/>
      <c r="U228" s="92"/>
      <c r="V228" s="54"/>
      <c r="W228" s="92"/>
      <c r="X228" s="54"/>
      <c r="Y228" s="92"/>
      <c r="Z228" s="54"/>
      <c r="AA228" s="92"/>
      <c r="AB228" s="54"/>
      <c r="AC228" s="92"/>
      <c r="AD228" s="54"/>
      <c r="AE228" s="92"/>
      <c r="AF228" s="54"/>
      <c r="AG228" s="92"/>
      <c r="AH228" s="54"/>
      <c r="AI228" s="92"/>
      <c r="AJ228" s="54"/>
      <c r="AK228" s="92"/>
      <c r="AL228" s="54"/>
      <c r="AM228" s="92"/>
      <c r="AO228" s="54"/>
      <c r="AP228" s="123"/>
      <c r="AQ228" s="54"/>
      <c r="AR228" s="154"/>
      <c r="AS228" s="1"/>
      <c r="AT228" s="1"/>
      <c r="AU228" s="9"/>
    </row>
    <row r="229">
      <c r="A229" s="54"/>
      <c r="B229" s="71" t="str">
        <f>IFERROR(HYPERLINK(VLOOKUP(A229,Internal_lists_bugs!$A$2:$C$73,3,FALSE()), VLOOKUP(A229,Internal_lists_bugs!$A$2:$C$73,3,FALSE())&amp;Char(10) &amp; Char(10) &amp; VLOOKUP(A229,Internal_lists_bugs!$A$2:$Z$73,26,FALSE())),"please select a BUG ID")</f>
        <v>please select a BUG ID</v>
      </c>
      <c r="C229" s="51" t="str">
        <f>IFERROR(VLOOKUP(A229,Internal_lists_bugs!$A$2:$G2002,7,FALSE()),"please select a BUG ID")</f>
        <v>please select a BUG ID</v>
      </c>
      <c r="D229" s="54"/>
      <c r="E229" s="56"/>
      <c r="F229" s="54"/>
      <c r="G229" s="56"/>
      <c r="H229" s="54"/>
      <c r="I229" s="56"/>
      <c r="J229" s="54"/>
      <c r="K229" s="92"/>
      <c r="L229" s="54"/>
      <c r="M229" s="92"/>
      <c r="N229" s="54"/>
      <c r="O229" s="92"/>
      <c r="P229" s="54"/>
      <c r="Q229" s="92"/>
      <c r="R229" s="54"/>
      <c r="S229" s="92"/>
      <c r="T229" s="117"/>
      <c r="U229" s="92"/>
      <c r="V229" s="54"/>
      <c r="W229" s="92"/>
      <c r="X229" s="54"/>
      <c r="Y229" s="92"/>
      <c r="Z229" s="54"/>
      <c r="AA229" s="92"/>
      <c r="AB229" s="54"/>
      <c r="AC229" s="92"/>
      <c r="AD229" s="54"/>
      <c r="AE229" s="92"/>
      <c r="AF229" s="54"/>
      <c r="AG229" s="92"/>
      <c r="AH229" s="54"/>
      <c r="AI229" s="92"/>
      <c r="AJ229" s="54"/>
      <c r="AK229" s="92"/>
      <c r="AL229" s="54"/>
      <c r="AM229" s="92"/>
      <c r="AO229" s="54"/>
      <c r="AP229" s="123"/>
      <c r="AQ229" s="54"/>
      <c r="AR229" s="154"/>
      <c r="AS229" s="1"/>
      <c r="AT229" s="1"/>
      <c r="AU229" s="9"/>
    </row>
    <row r="230">
      <c r="A230" s="54"/>
      <c r="B230" s="71" t="str">
        <f>IFERROR(HYPERLINK(VLOOKUP(A230,Internal_lists_bugs!$A$2:$C$73,3,FALSE()), VLOOKUP(A230,Internal_lists_bugs!$A$2:$C$73,3,FALSE())&amp;Char(10) &amp; Char(10) &amp; VLOOKUP(A230,Internal_lists_bugs!$A$2:$Z$73,26,FALSE())),"please select a BUG ID")</f>
        <v>please select a BUG ID</v>
      </c>
      <c r="C230" s="51" t="str">
        <f>IFERROR(VLOOKUP(A230,Internal_lists_bugs!$A$2:$G2002,7,FALSE()),"please select a BUG ID")</f>
        <v>please select a BUG ID</v>
      </c>
      <c r="D230" s="54"/>
      <c r="E230" s="56"/>
      <c r="F230" s="54"/>
      <c r="G230" s="56"/>
      <c r="H230" s="54"/>
      <c r="I230" s="56"/>
      <c r="J230" s="54"/>
      <c r="K230" s="92"/>
      <c r="L230" s="54"/>
      <c r="M230" s="92"/>
      <c r="N230" s="54"/>
      <c r="O230" s="92"/>
      <c r="P230" s="54"/>
      <c r="Q230" s="92"/>
      <c r="R230" s="54"/>
      <c r="S230" s="92"/>
      <c r="T230" s="117"/>
      <c r="U230" s="92"/>
      <c r="V230" s="54"/>
      <c r="W230" s="92"/>
      <c r="X230" s="54"/>
      <c r="Y230" s="92"/>
      <c r="Z230" s="54"/>
      <c r="AA230" s="92"/>
      <c r="AB230" s="54"/>
      <c r="AC230" s="92"/>
      <c r="AD230" s="54"/>
      <c r="AE230" s="92"/>
      <c r="AF230" s="54"/>
      <c r="AG230" s="92"/>
      <c r="AH230" s="54"/>
      <c r="AI230" s="92"/>
      <c r="AJ230" s="54"/>
      <c r="AK230" s="92"/>
      <c r="AL230" s="54"/>
      <c r="AM230" s="92"/>
      <c r="AO230" s="54"/>
      <c r="AP230" s="123"/>
      <c r="AQ230" s="54"/>
      <c r="AR230" s="154"/>
      <c r="AS230" s="1"/>
      <c r="AT230" s="1"/>
      <c r="AU230" s="9"/>
    </row>
    <row r="231">
      <c r="A231" s="54"/>
      <c r="B231" s="71" t="str">
        <f>IFERROR(HYPERLINK(VLOOKUP(A231,Internal_lists_bugs!$A$2:$C$73,3,FALSE()), VLOOKUP(A231,Internal_lists_bugs!$A$2:$C$73,3,FALSE())&amp;Char(10) &amp; Char(10) &amp; VLOOKUP(A231,Internal_lists_bugs!$A$2:$Z$73,26,FALSE())),"please select a BUG ID")</f>
        <v>please select a BUG ID</v>
      </c>
      <c r="C231" s="51" t="str">
        <f>IFERROR(VLOOKUP(A231,Internal_lists_bugs!$A$2:$G2002,7,FALSE()),"please select a BUG ID")</f>
        <v>please select a BUG ID</v>
      </c>
      <c r="D231" s="54"/>
      <c r="E231" s="56"/>
      <c r="F231" s="54"/>
      <c r="G231" s="56"/>
      <c r="H231" s="54"/>
      <c r="I231" s="56"/>
      <c r="J231" s="54"/>
      <c r="K231" s="92"/>
      <c r="L231" s="54"/>
      <c r="M231" s="92"/>
      <c r="N231" s="54"/>
      <c r="O231" s="92"/>
      <c r="P231" s="54"/>
      <c r="Q231" s="92"/>
      <c r="R231" s="54"/>
      <c r="S231" s="92"/>
      <c r="T231" s="117"/>
      <c r="U231" s="92"/>
      <c r="V231" s="54"/>
      <c r="W231" s="92"/>
      <c r="X231" s="54"/>
      <c r="Y231" s="92"/>
      <c r="Z231" s="54"/>
      <c r="AA231" s="92"/>
      <c r="AB231" s="54"/>
      <c r="AC231" s="92"/>
      <c r="AD231" s="54"/>
      <c r="AE231" s="92"/>
      <c r="AF231" s="54"/>
      <c r="AG231" s="92"/>
      <c r="AH231" s="54"/>
      <c r="AI231" s="92"/>
      <c r="AJ231" s="54"/>
      <c r="AK231" s="92"/>
      <c r="AL231" s="54"/>
      <c r="AM231" s="92"/>
      <c r="AO231" s="54"/>
      <c r="AP231" s="123"/>
      <c r="AQ231" s="54"/>
      <c r="AR231" s="154"/>
      <c r="AS231" s="1"/>
      <c r="AT231" s="1"/>
      <c r="AU231" s="9"/>
    </row>
    <row r="232">
      <c r="A232" s="54"/>
      <c r="B232" s="71" t="str">
        <f>IFERROR(HYPERLINK(VLOOKUP(A232,Internal_lists_bugs!$A$2:$C$73,3,FALSE()), VLOOKUP(A232,Internal_lists_bugs!$A$2:$C$73,3,FALSE())&amp;Char(10) &amp; Char(10) &amp; VLOOKUP(A232,Internal_lists_bugs!$A$2:$Z$73,26,FALSE())),"please select a BUG ID")</f>
        <v>please select a BUG ID</v>
      </c>
      <c r="C232" s="51" t="str">
        <f>IFERROR(VLOOKUP(A232,Internal_lists_bugs!$A$2:$G2002,7,FALSE()),"please select a BUG ID")</f>
        <v>please select a BUG ID</v>
      </c>
      <c r="D232" s="54"/>
      <c r="E232" s="56"/>
      <c r="F232" s="54"/>
      <c r="G232" s="56"/>
      <c r="H232" s="54"/>
      <c r="I232" s="56"/>
      <c r="J232" s="54"/>
      <c r="K232" s="92"/>
      <c r="L232" s="54"/>
      <c r="M232" s="92"/>
      <c r="N232" s="54"/>
      <c r="O232" s="92"/>
      <c r="P232" s="54"/>
      <c r="Q232" s="92"/>
      <c r="R232" s="54"/>
      <c r="S232" s="92"/>
      <c r="T232" s="117"/>
      <c r="U232" s="92"/>
      <c r="V232" s="54"/>
      <c r="W232" s="92"/>
      <c r="X232" s="54"/>
      <c r="Y232" s="92"/>
      <c r="Z232" s="54"/>
      <c r="AA232" s="92"/>
      <c r="AB232" s="54"/>
      <c r="AC232" s="92"/>
      <c r="AD232" s="54"/>
      <c r="AE232" s="92"/>
      <c r="AF232" s="54"/>
      <c r="AG232" s="92"/>
      <c r="AH232" s="54"/>
      <c r="AI232" s="92"/>
      <c r="AJ232" s="54"/>
      <c r="AK232" s="92"/>
      <c r="AL232" s="54"/>
      <c r="AM232" s="92"/>
      <c r="AO232" s="54"/>
      <c r="AP232" s="123"/>
      <c r="AQ232" s="54"/>
      <c r="AR232" s="154"/>
      <c r="AS232" s="1"/>
      <c r="AT232" s="1"/>
      <c r="AU232" s="9"/>
    </row>
    <row r="233">
      <c r="A233" s="54"/>
      <c r="B233" s="71" t="str">
        <f>IFERROR(HYPERLINK(VLOOKUP(A233,Internal_lists_bugs!$A$2:$C$73,3,FALSE()), VLOOKUP(A233,Internal_lists_bugs!$A$2:$C$73,3,FALSE())&amp;Char(10) &amp; Char(10) &amp; VLOOKUP(A233,Internal_lists_bugs!$A$2:$Z$73,26,FALSE())),"please select a BUG ID")</f>
        <v>please select a BUG ID</v>
      </c>
      <c r="C233" s="51" t="str">
        <f>IFERROR(VLOOKUP(A233,Internal_lists_bugs!$A$2:$G2002,7,FALSE()),"please select a BUG ID")</f>
        <v>please select a BUG ID</v>
      </c>
      <c r="D233" s="54"/>
      <c r="E233" s="56"/>
      <c r="F233" s="54"/>
      <c r="G233" s="56"/>
      <c r="H233" s="54"/>
      <c r="I233" s="56"/>
      <c r="J233" s="54"/>
      <c r="K233" s="92"/>
      <c r="L233" s="54"/>
      <c r="M233" s="92"/>
      <c r="N233" s="54"/>
      <c r="O233" s="92"/>
      <c r="P233" s="54"/>
      <c r="Q233" s="92"/>
      <c r="R233" s="54"/>
      <c r="S233" s="92"/>
      <c r="T233" s="117"/>
      <c r="U233" s="92"/>
      <c r="V233" s="54"/>
      <c r="W233" s="92"/>
      <c r="X233" s="54"/>
      <c r="Y233" s="92"/>
      <c r="Z233" s="54"/>
      <c r="AA233" s="92"/>
      <c r="AB233" s="54"/>
      <c r="AC233" s="92"/>
      <c r="AD233" s="54"/>
      <c r="AE233" s="92"/>
      <c r="AF233" s="54"/>
      <c r="AG233" s="92"/>
      <c r="AH233" s="54"/>
      <c r="AI233" s="92"/>
      <c r="AJ233" s="54"/>
      <c r="AK233" s="92"/>
      <c r="AL233" s="54"/>
      <c r="AM233" s="92"/>
      <c r="AO233" s="54"/>
      <c r="AP233" s="123"/>
      <c r="AQ233" s="54"/>
      <c r="AR233" s="154"/>
      <c r="AS233" s="1"/>
      <c r="AT233" s="1"/>
      <c r="AU233" s="9"/>
    </row>
    <row r="234">
      <c r="A234" s="54"/>
      <c r="B234" s="71" t="str">
        <f>IFERROR(HYPERLINK(VLOOKUP(A234,Internal_lists_bugs!$A$2:$C$73,3,FALSE()), VLOOKUP(A234,Internal_lists_bugs!$A$2:$C$73,3,FALSE())&amp;Char(10) &amp; Char(10) &amp; VLOOKUP(A234,Internal_lists_bugs!$A$2:$Z$73,26,FALSE())),"please select a BUG ID")</f>
        <v>please select a BUG ID</v>
      </c>
      <c r="C234" s="51" t="str">
        <f>IFERROR(VLOOKUP(A234,Internal_lists_bugs!$A$2:$G2002,7,FALSE()),"please select a BUG ID")</f>
        <v>please select a BUG ID</v>
      </c>
      <c r="D234" s="54"/>
      <c r="E234" s="56"/>
      <c r="F234" s="54"/>
      <c r="G234" s="56"/>
      <c r="H234" s="54"/>
      <c r="I234" s="56"/>
      <c r="J234" s="54"/>
      <c r="K234" s="92"/>
      <c r="L234" s="54"/>
      <c r="M234" s="92"/>
      <c r="N234" s="54"/>
      <c r="O234" s="92"/>
      <c r="P234" s="54"/>
      <c r="Q234" s="92"/>
      <c r="R234" s="54"/>
      <c r="S234" s="92"/>
      <c r="T234" s="117"/>
      <c r="U234" s="92"/>
      <c r="V234" s="54"/>
      <c r="W234" s="92"/>
      <c r="X234" s="54"/>
      <c r="Y234" s="92"/>
      <c r="Z234" s="54"/>
      <c r="AA234" s="92"/>
      <c r="AB234" s="54"/>
      <c r="AC234" s="92"/>
      <c r="AD234" s="54"/>
      <c r="AE234" s="92"/>
      <c r="AF234" s="54"/>
      <c r="AG234" s="92"/>
      <c r="AH234" s="54"/>
      <c r="AI234" s="92"/>
      <c r="AJ234" s="54"/>
      <c r="AK234" s="92"/>
      <c r="AL234" s="54"/>
      <c r="AM234" s="92"/>
      <c r="AO234" s="54"/>
      <c r="AP234" s="123"/>
      <c r="AQ234" s="54"/>
      <c r="AR234" s="154"/>
      <c r="AS234" s="1"/>
      <c r="AT234" s="1"/>
      <c r="AU234" s="9"/>
    </row>
    <row r="235">
      <c r="A235" s="54"/>
      <c r="B235" s="71" t="str">
        <f>IFERROR(HYPERLINK(VLOOKUP(A235,Internal_lists_bugs!$A$2:$C$73,3,FALSE()), VLOOKUP(A235,Internal_lists_bugs!$A$2:$C$73,3,FALSE())&amp;Char(10) &amp; Char(10) &amp; VLOOKUP(A235,Internal_lists_bugs!$A$2:$Z$73,26,FALSE())),"please select a BUG ID")</f>
        <v>please select a BUG ID</v>
      </c>
      <c r="C235" s="51" t="str">
        <f>IFERROR(VLOOKUP(A235,Internal_lists_bugs!$A$2:$G2002,7,FALSE()),"please select a BUG ID")</f>
        <v>please select a BUG ID</v>
      </c>
      <c r="D235" s="54"/>
      <c r="E235" s="56"/>
      <c r="F235" s="54"/>
      <c r="G235" s="56"/>
      <c r="H235" s="54"/>
      <c r="I235" s="56"/>
      <c r="J235" s="54"/>
      <c r="K235" s="92"/>
      <c r="L235" s="54"/>
      <c r="M235" s="92"/>
      <c r="N235" s="54"/>
      <c r="O235" s="92"/>
      <c r="P235" s="54"/>
      <c r="Q235" s="92"/>
      <c r="R235" s="54"/>
      <c r="S235" s="92"/>
      <c r="T235" s="117"/>
      <c r="U235" s="92"/>
      <c r="V235" s="54"/>
      <c r="W235" s="92"/>
      <c r="X235" s="54"/>
      <c r="Y235" s="92"/>
      <c r="Z235" s="54"/>
      <c r="AA235" s="92"/>
      <c r="AB235" s="54"/>
      <c r="AC235" s="92"/>
      <c r="AD235" s="54"/>
      <c r="AE235" s="92"/>
      <c r="AF235" s="54"/>
      <c r="AG235" s="92"/>
      <c r="AH235" s="54"/>
      <c r="AI235" s="92"/>
      <c r="AJ235" s="54"/>
      <c r="AK235" s="92"/>
      <c r="AL235" s="54"/>
      <c r="AM235" s="92"/>
      <c r="AO235" s="54"/>
      <c r="AP235" s="123"/>
      <c r="AQ235" s="54"/>
      <c r="AR235" s="154"/>
      <c r="AS235" s="1"/>
      <c r="AT235" s="1"/>
      <c r="AU235" s="9"/>
    </row>
    <row r="236">
      <c r="A236" s="54"/>
      <c r="B236" s="71" t="str">
        <f>IFERROR(HYPERLINK(VLOOKUP(A236,Internal_lists_bugs!$A$2:$C$73,3,FALSE()), VLOOKUP(A236,Internal_lists_bugs!$A$2:$C$73,3,FALSE())&amp;Char(10) &amp; Char(10) &amp; VLOOKUP(A236,Internal_lists_bugs!$A$2:$Z$73,26,FALSE())),"please select a BUG ID")</f>
        <v>please select a BUG ID</v>
      </c>
      <c r="C236" s="51" t="str">
        <f>IFERROR(VLOOKUP(A236,Internal_lists_bugs!$A$2:$G2002,7,FALSE()),"please select a BUG ID")</f>
        <v>please select a BUG ID</v>
      </c>
      <c r="D236" s="54"/>
      <c r="E236" s="56"/>
      <c r="F236" s="54"/>
      <c r="G236" s="56"/>
      <c r="H236" s="54"/>
      <c r="I236" s="56"/>
      <c r="J236" s="54"/>
      <c r="K236" s="92"/>
      <c r="L236" s="54"/>
      <c r="M236" s="92"/>
      <c r="N236" s="54"/>
      <c r="O236" s="92"/>
      <c r="P236" s="54"/>
      <c r="Q236" s="92"/>
      <c r="R236" s="54"/>
      <c r="S236" s="92"/>
      <c r="T236" s="117"/>
      <c r="U236" s="92"/>
      <c r="V236" s="54"/>
      <c r="W236" s="92"/>
      <c r="X236" s="54"/>
      <c r="Y236" s="92"/>
      <c r="Z236" s="54"/>
      <c r="AA236" s="92"/>
      <c r="AB236" s="54"/>
      <c r="AC236" s="92"/>
      <c r="AD236" s="54"/>
      <c r="AE236" s="92"/>
      <c r="AF236" s="54"/>
      <c r="AG236" s="92"/>
      <c r="AH236" s="54"/>
      <c r="AI236" s="92"/>
      <c r="AJ236" s="54"/>
      <c r="AK236" s="92"/>
      <c r="AL236" s="54"/>
      <c r="AM236" s="92"/>
      <c r="AO236" s="54"/>
      <c r="AP236" s="123"/>
      <c r="AQ236" s="54"/>
      <c r="AR236" s="154"/>
      <c r="AS236" s="1"/>
      <c r="AT236" s="1"/>
      <c r="AU236" s="9"/>
    </row>
    <row r="237">
      <c r="A237" s="54"/>
      <c r="B237" s="71" t="str">
        <f>IFERROR(HYPERLINK(VLOOKUP(A237,Internal_lists_bugs!$A$2:$C$73,3,FALSE()), VLOOKUP(A237,Internal_lists_bugs!$A$2:$C$73,3,FALSE())&amp;Char(10) &amp; Char(10) &amp; VLOOKUP(A237,Internal_lists_bugs!$A$2:$Z$73,26,FALSE())),"please select a BUG ID")</f>
        <v>please select a BUG ID</v>
      </c>
      <c r="C237" s="51" t="str">
        <f>IFERROR(VLOOKUP(A237,Internal_lists_bugs!$A$2:$G2002,7,FALSE()),"please select a BUG ID")</f>
        <v>please select a BUG ID</v>
      </c>
      <c r="D237" s="54"/>
      <c r="E237" s="56"/>
      <c r="F237" s="54"/>
      <c r="G237" s="56"/>
      <c r="H237" s="54"/>
      <c r="I237" s="56"/>
      <c r="J237" s="54"/>
      <c r="K237" s="92"/>
      <c r="L237" s="54"/>
      <c r="M237" s="92"/>
      <c r="N237" s="54"/>
      <c r="O237" s="92"/>
      <c r="P237" s="54"/>
      <c r="Q237" s="92"/>
      <c r="R237" s="54"/>
      <c r="S237" s="92"/>
      <c r="T237" s="117"/>
      <c r="U237" s="92"/>
      <c r="V237" s="54"/>
      <c r="W237" s="92"/>
      <c r="X237" s="54"/>
      <c r="Y237" s="92"/>
      <c r="Z237" s="54"/>
      <c r="AA237" s="92"/>
      <c r="AB237" s="54"/>
      <c r="AC237" s="92"/>
      <c r="AD237" s="54"/>
      <c r="AE237" s="92"/>
      <c r="AF237" s="54"/>
      <c r="AG237" s="92"/>
      <c r="AH237" s="54"/>
      <c r="AI237" s="92"/>
      <c r="AJ237" s="54"/>
      <c r="AK237" s="92"/>
      <c r="AL237" s="54"/>
      <c r="AM237" s="92"/>
      <c r="AO237" s="54"/>
      <c r="AP237" s="123"/>
      <c r="AQ237" s="54"/>
      <c r="AR237" s="154"/>
      <c r="AS237" s="1"/>
      <c r="AT237" s="1"/>
      <c r="AU237" s="9"/>
    </row>
    <row r="238">
      <c r="A238" s="54"/>
      <c r="B238" s="71" t="str">
        <f>IFERROR(HYPERLINK(VLOOKUP(A238,Internal_lists_bugs!$A$2:$C$73,3,FALSE()), VLOOKUP(A238,Internal_lists_bugs!$A$2:$C$73,3,FALSE())&amp;Char(10) &amp; Char(10) &amp; VLOOKUP(A238,Internal_lists_bugs!$A$2:$Z$73,26,FALSE())),"please select a BUG ID")</f>
        <v>please select a BUG ID</v>
      </c>
      <c r="C238" s="51" t="str">
        <f>IFERROR(VLOOKUP(A238,Internal_lists_bugs!$A$2:$G2002,7,FALSE()),"please select a BUG ID")</f>
        <v>please select a BUG ID</v>
      </c>
      <c r="D238" s="54"/>
      <c r="E238" s="56"/>
      <c r="F238" s="54"/>
      <c r="G238" s="56"/>
      <c r="H238" s="54"/>
      <c r="I238" s="56"/>
      <c r="J238" s="54"/>
      <c r="K238" s="92"/>
      <c r="L238" s="54"/>
      <c r="M238" s="92"/>
      <c r="N238" s="54"/>
      <c r="O238" s="92"/>
      <c r="P238" s="54"/>
      <c r="Q238" s="92"/>
      <c r="R238" s="54"/>
      <c r="S238" s="92"/>
      <c r="T238" s="117"/>
      <c r="U238" s="92"/>
      <c r="V238" s="54"/>
      <c r="W238" s="92"/>
      <c r="X238" s="54"/>
      <c r="Y238" s="92"/>
      <c r="Z238" s="54"/>
      <c r="AA238" s="92"/>
      <c r="AB238" s="54"/>
      <c r="AC238" s="92"/>
      <c r="AD238" s="54"/>
      <c r="AE238" s="92"/>
      <c r="AF238" s="54"/>
      <c r="AG238" s="92"/>
      <c r="AH238" s="54"/>
      <c r="AI238" s="92"/>
      <c r="AJ238" s="54"/>
      <c r="AK238" s="92"/>
      <c r="AL238" s="54"/>
      <c r="AM238" s="92"/>
      <c r="AO238" s="54"/>
      <c r="AP238" s="123"/>
      <c r="AQ238" s="54"/>
      <c r="AR238" s="154"/>
      <c r="AS238" s="1"/>
      <c r="AT238" s="1"/>
      <c r="AU238" s="9"/>
    </row>
    <row r="239">
      <c r="A239" s="54"/>
      <c r="B239" s="71" t="str">
        <f>IFERROR(HYPERLINK(VLOOKUP(A239,Internal_lists_bugs!$A$2:$C$73,3,FALSE()), VLOOKUP(A239,Internal_lists_bugs!$A$2:$C$73,3,FALSE())&amp;Char(10) &amp; Char(10) &amp; VLOOKUP(A239,Internal_lists_bugs!$A$2:$Z$73,26,FALSE())),"please select a BUG ID")</f>
        <v>please select a BUG ID</v>
      </c>
      <c r="C239" s="51" t="str">
        <f>IFERROR(VLOOKUP(A239,Internal_lists_bugs!$A$2:$G2002,7,FALSE()),"please select a BUG ID")</f>
        <v>please select a BUG ID</v>
      </c>
      <c r="D239" s="54"/>
      <c r="E239" s="56"/>
      <c r="F239" s="54"/>
      <c r="G239" s="56"/>
      <c r="H239" s="54"/>
      <c r="I239" s="56"/>
      <c r="J239" s="54"/>
      <c r="K239" s="92"/>
      <c r="L239" s="54"/>
      <c r="M239" s="92"/>
      <c r="N239" s="54"/>
      <c r="O239" s="92"/>
      <c r="P239" s="54"/>
      <c r="Q239" s="92"/>
      <c r="R239" s="54"/>
      <c r="S239" s="92"/>
      <c r="T239" s="117"/>
      <c r="U239" s="92"/>
      <c r="V239" s="54"/>
      <c r="W239" s="92"/>
      <c r="X239" s="54"/>
      <c r="Y239" s="92"/>
      <c r="Z239" s="54"/>
      <c r="AA239" s="92"/>
      <c r="AB239" s="54"/>
      <c r="AC239" s="92"/>
      <c r="AD239" s="54"/>
      <c r="AE239" s="92"/>
      <c r="AF239" s="54"/>
      <c r="AG239" s="92"/>
      <c r="AH239" s="54"/>
      <c r="AI239" s="92"/>
      <c r="AJ239" s="54"/>
      <c r="AK239" s="92"/>
      <c r="AL239" s="54"/>
      <c r="AM239" s="92"/>
      <c r="AO239" s="54"/>
      <c r="AP239" s="123"/>
      <c r="AQ239" s="54"/>
      <c r="AR239" s="154"/>
      <c r="AS239" s="1"/>
      <c r="AT239" s="1"/>
      <c r="AU239" s="9"/>
    </row>
    <row r="240">
      <c r="A240" s="54"/>
      <c r="B240" s="71" t="str">
        <f>IFERROR(HYPERLINK(VLOOKUP(A240,Internal_lists_bugs!$A$2:$C$73,3,FALSE()), VLOOKUP(A240,Internal_lists_bugs!$A$2:$C$73,3,FALSE())&amp;Char(10) &amp; Char(10) &amp; VLOOKUP(A240,Internal_lists_bugs!$A$2:$Z$73,26,FALSE())),"please select a BUG ID")</f>
        <v>please select a BUG ID</v>
      </c>
      <c r="C240" s="51" t="str">
        <f>IFERROR(VLOOKUP(A240,Internal_lists_bugs!$A$2:$G2002,7,FALSE()),"please select a BUG ID")</f>
        <v>please select a BUG ID</v>
      </c>
      <c r="D240" s="54"/>
      <c r="E240" s="56"/>
      <c r="F240" s="54"/>
      <c r="G240" s="56"/>
      <c r="H240" s="54"/>
      <c r="I240" s="56"/>
      <c r="J240" s="54"/>
      <c r="K240" s="92"/>
      <c r="L240" s="54"/>
      <c r="M240" s="92"/>
      <c r="N240" s="54"/>
      <c r="O240" s="92"/>
      <c r="P240" s="54"/>
      <c r="Q240" s="92"/>
      <c r="R240" s="54"/>
      <c r="S240" s="92"/>
      <c r="T240" s="117"/>
      <c r="U240" s="92"/>
      <c r="V240" s="54"/>
      <c r="W240" s="92"/>
      <c r="X240" s="54"/>
      <c r="Y240" s="92"/>
      <c r="Z240" s="54"/>
      <c r="AA240" s="92"/>
      <c r="AB240" s="54"/>
      <c r="AC240" s="92"/>
      <c r="AD240" s="54"/>
      <c r="AE240" s="92"/>
      <c r="AF240" s="54"/>
      <c r="AG240" s="92"/>
      <c r="AH240" s="54"/>
      <c r="AI240" s="92"/>
      <c r="AJ240" s="54"/>
      <c r="AK240" s="92"/>
      <c r="AL240" s="54"/>
      <c r="AM240" s="92"/>
      <c r="AO240" s="54"/>
      <c r="AP240" s="123"/>
      <c r="AQ240" s="54"/>
      <c r="AR240" s="154"/>
      <c r="AS240" s="1"/>
      <c r="AT240" s="1"/>
      <c r="AU240" s="9"/>
    </row>
    <row r="241">
      <c r="A241" s="54"/>
      <c r="B241" s="71" t="str">
        <f>IFERROR(HYPERLINK(VLOOKUP(A241,Internal_lists_bugs!$A$2:$C$73,3,FALSE()), VLOOKUP(A241,Internal_lists_bugs!$A$2:$C$73,3,FALSE())&amp;Char(10) &amp; Char(10) &amp; VLOOKUP(A241,Internal_lists_bugs!$A$2:$Z$73,26,FALSE())),"please select a BUG ID")</f>
        <v>please select a BUG ID</v>
      </c>
      <c r="C241" s="51" t="str">
        <f>IFERROR(VLOOKUP(A241,Internal_lists_bugs!$A$2:$G2002,7,FALSE()),"please select a BUG ID")</f>
        <v>please select a BUG ID</v>
      </c>
      <c r="D241" s="54"/>
      <c r="E241" s="56"/>
      <c r="F241" s="54"/>
      <c r="G241" s="56"/>
      <c r="H241" s="54"/>
      <c r="I241" s="56"/>
      <c r="J241" s="54"/>
      <c r="K241" s="92"/>
      <c r="L241" s="54"/>
      <c r="M241" s="92"/>
      <c r="N241" s="54"/>
      <c r="O241" s="92"/>
      <c r="P241" s="54"/>
      <c r="Q241" s="92"/>
      <c r="R241" s="54"/>
      <c r="S241" s="92"/>
      <c r="T241" s="117"/>
      <c r="U241" s="92"/>
      <c r="V241" s="54"/>
      <c r="W241" s="92"/>
      <c r="X241" s="54"/>
      <c r="Y241" s="92"/>
      <c r="Z241" s="54"/>
      <c r="AA241" s="92"/>
      <c r="AB241" s="54"/>
      <c r="AC241" s="92"/>
      <c r="AD241" s="54"/>
      <c r="AE241" s="92"/>
      <c r="AF241" s="54"/>
      <c r="AG241" s="92"/>
      <c r="AH241" s="54"/>
      <c r="AI241" s="92"/>
      <c r="AJ241" s="54"/>
      <c r="AK241" s="92"/>
      <c r="AL241" s="54"/>
      <c r="AM241" s="92"/>
      <c r="AO241" s="54"/>
      <c r="AP241" s="123"/>
      <c r="AQ241" s="54"/>
      <c r="AR241" s="154"/>
      <c r="AS241" s="1"/>
      <c r="AT241" s="1"/>
      <c r="AU241" s="9"/>
    </row>
    <row r="242">
      <c r="A242" s="54"/>
      <c r="B242" s="71" t="str">
        <f>IFERROR(HYPERLINK(VLOOKUP(A242,Internal_lists_bugs!$A$2:$C$73,3,FALSE()), VLOOKUP(A242,Internal_lists_bugs!$A$2:$C$73,3,FALSE())&amp;Char(10) &amp; Char(10) &amp; VLOOKUP(A242,Internal_lists_bugs!$A$2:$Z$73,26,FALSE())),"please select a BUG ID")</f>
        <v>please select a BUG ID</v>
      </c>
      <c r="C242" s="51" t="str">
        <f>IFERROR(VLOOKUP(A242,Internal_lists_bugs!$A$2:$G2002,7,FALSE()),"please select a BUG ID")</f>
        <v>please select a BUG ID</v>
      </c>
      <c r="D242" s="54"/>
      <c r="E242" s="56"/>
      <c r="F242" s="54"/>
      <c r="G242" s="56"/>
      <c r="H242" s="54"/>
      <c r="I242" s="56"/>
      <c r="J242" s="54"/>
      <c r="K242" s="92"/>
      <c r="L242" s="54"/>
      <c r="M242" s="92"/>
      <c r="N242" s="54"/>
      <c r="O242" s="92"/>
      <c r="P242" s="54"/>
      <c r="Q242" s="92"/>
      <c r="R242" s="54"/>
      <c r="S242" s="92"/>
      <c r="T242" s="117"/>
      <c r="U242" s="92"/>
      <c r="V242" s="54"/>
      <c r="W242" s="92"/>
      <c r="X242" s="54"/>
      <c r="Y242" s="92"/>
      <c r="Z242" s="54"/>
      <c r="AA242" s="92"/>
      <c r="AB242" s="54"/>
      <c r="AC242" s="92"/>
      <c r="AD242" s="54"/>
      <c r="AE242" s="92"/>
      <c r="AF242" s="54"/>
      <c r="AG242" s="92"/>
      <c r="AH242" s="54"/>
      <c r="AI242" s="92"/>
      <c r="AJ242" s="54"/>
      <c r="AK242" s="92"/>
      <c r="AL242" s="54"/>
      <c r="AM242" s="92"/>
      <c r="AO242" s="54"/>
      <c r="AP242" s="123"/>
      <c r="AQ242" s="54"/>
      <c r="AR242" s="154"/>
      <c r="AS242" s="1"/>
      <c r="AT242" s="1"/>
      <c r="AU242" s="9"/>
    </row>
    <row r="243">
      <c r="A243" s="54"/>
      <c r="B243" s="71" t="str">
        <f>IFERROR(HYPERLINK(VLOOKUP(A243,Internal_lists_bugs!$A$2:$C$73,3,FALSE()), VLOOKUP(A243,Internal_lists_bugs!$A$2:$C$73,3,FALSE())&amp;Char(10) &amp; Char(10) &amp; VLOOKUP(A243,Internal_lists_bugs!$A$2:$Z$73,26,FALSE())),"please select a BUG ID")</f>
        <v>please select a BUG ID</v>
      </c>
      <c r="C243" s="51" t="str">
        <f>IFERROR(VLOOKUP(A243,Internal_lists_bugs!$A$2:$G2002,7,FALSE()),"please select a BUG ID")</f>
        <v>please select a BUG ID</v>
      </c>
      <c r="D243" s="54"/>
      <c r="E243" s="56"/>
      <c r="F243" s="54"/>
      <c r="G243" s="56"/>
      <c r="H243" s="54"/>
      <c r="I243" s="56"/>
      <c r="J243" s="54"/>
      <c r="K243" s="92"/>
      <c r="L243" s="54"/>
      <c r="M243" s="92"/>
      <c r="N243" s="54"/>
      <c r="O243" s="92"/>
      <c r="P243" s="54"/>
      <c r="Q243" s="92"/>
      <c r="R243" s="54"/>
      <c r="S243" s="92"/>
      <c r="T243" s="117"/>
      <c r="U243" s="92"/>
      <c r="V243" s="54"/>
      <c r="W243" s="92"/>
      <c r="X243" s="54"/>
      <c r="Y243" s="92"/>
      <c r="Z243" s="54"/>
      <c r="AA243" s="92"/>
      <c r="AB243" s="54"/>
      <c r="AC243" s="92"/>
      <c r="AD243" s="54"/>
      <c r="AE243" s="92"/>
      <c r="AF243" s="54"/>
      <c r="AG243" s="92"/>
      <c r="AH243" s="54"/>
      <c r="AI243" s="92"/>
      <c r="AJ243" s="54"/>
      <c r="AK243" s="92"/>
      <c r="AL243" s="54"/>
      <c r="AM243" s="92"/>
      <c r="AO243" s="54"/>
      <c r="AP243" s="123"/>
      <c r="AQ243" s="54"/>
      <c r="AR243" s="154"/>
      <c r="AS243" s="1"/>
      <c r="AT243" s="1"/>
      <c r="AU243" s="9"/>
    </row>
    <row r="244">
      <c r="A244" s="54"/>
      <c r="B244" s="71" t="str">
        <f>IFERROR(HYPERLINK(VLOOKUP(A244,Internal_lists_bugs!$A$2:$C$73,3,FALSE()), VLOOKUP(A244,Internal_lists_bugs!$A$2:$C$73,3,FALSE())&amp;Char(10) &amp; Char(10) &amp; VLOOKUP(A244,Internal_lists_bugs!$A$2:$Z$73,26,FALSE())),"please select a BUG ID")</f>
        <v>please select a BUG ID</v>
      </c>
      <c r="C244" s="51" t="str">
        <f>IFERROR(VLOOKUP(A244,Internal_lists_bugs!$A$2:$G2002,7,FALSE()),"please select a BUG ID")</f>
        <v>please select a BUG ID</v>
      </c>
      <c r="D244" s="54"/>
      <c r="E244" s="56"/>
      <c r="F244" s="54"/>
      <c r="G244" s="56"/>
      <c r="H244" s="54"/>
      <c r="I244" s="56"/>
      <c r="J244" s="54"/>
      <c r="K244" s="92"/>
      <c r="L244" s="54"/>
      <c r="M244" s="92"/>
      <c r="N244" s="54"/>
      <c r="O244" s="92"/>
      <c r="P244" s="54"/>
      <c r="Q244" s="92"/>
      <c r="R244" s="54"/>
      <c r="S244" s="92"/>
      <c r="T244" s="117"/>
      <c r="U244" s="92"/>
      <c r="V244" s="54"/>
      <c r="W244" s="92"/>
      <c r="X244" s="54"/>
      <c r="Y244" s="92"/>
      <c r="Z244" s="54"/>
      <c r="AA244" s="92"/>
      <c r="AB244" s="54"/>
      <c r="AC244" s="92"/>
      <c r="AD244" s="54"/>
      <c r="AE244" s="92"/>
      <c r="AF244" s="54"/>
      <c r="AG244" s="92"/>
      <c r="AH244" s="54"/>
      <c r="AI244" s="92"/>
      <c r="AJ244" s="54"/>
      <c r="AK244" s="92"/>
      <c r="AL244" s="54"/>
      <c r="AM244" s="92"/>
      <c r="AO244" s="54"/>
      <c r="AP244" s="123"/>
      <c r="AQ244" s="54"/>
      <c r="AR244" s="154"/>
      <c r="AS244" s="1"/>
      <c r="AT244" s="1"/>
      <c r="AU244" s="9"/>
    </row>
    <row r="245">
      <c r="A245" s="54"/>
      <c r="B245" s="71" t="str">
        <f>IFERROR(HYPERLINK(VLOOKUP(A245,Internal_lists_bugs!$A$2:$C$73,3,FALSE()), VLOOKUP(A245,Internal_lists_bugs!$A$2:$C$73,3,FALSE())&amp;Char(10) &amp; Char(10) &amp; VLOOKUP(A245,Internal_lists_bugs!$A$2:$Z$73,26,FALSE())),"please select a BUG ID")</f>
        <v>please select a BUG ID</v>
      </c>
      <c r="C245" s="51" t="str">
        <f>IFERROR(VLOOKUP(A245,Internal_lists_bugs!$A$2:$G2002,7,FALSE()),"please select a BUG ID")</f>
        <v>please select a BUG ID</v>
      </c>
      <c r="D245" s="54"/>
      <c r="E245" s="56"/>
      <c r="F245" s="54"/>
      <c r="G245" s="56"/>
      <c r="H245" s="54"/>
      <c r="I245" s="56"/>
      <c r="J245" s="54"/>
      <c r="K245" s="92"/>
      <c r="L245" s="54"/>
      <c r="M245" s="92"/>
      <c r="N245" s="54"/>
      <c r="O245" s="92"/>
      <c r="P245" s="54"/>
      <c r="Q245" s="92"/>
      <c r="R245" s="54"/>
      <c r="S245" s="92"/>
      <c r="T245" s="117"/>
      <c r="U245" s="92"/>
      <c r="V245" s="54"/>
      <c r="W245" s="92"/>
      <c r="X245" s="54"/>
      <c r="Y245" s="92"/>
      <c r="Z245" s="54"/>
      <c r="AA245" s="92"/>
      <c r="AB245" s="54"/>
      <c r="AC245" s="92"/>
      <c r="AD245" s="54"/>
      <c r="AE245" s="92"/>
      <c r="AF245" s="54"/>
      <c r="AG245" s="92"/>
      <c r="AH245" s="54"/>
      <c r="AI245" s="92"/>
      <c r="AJ245" s="54"/>
      <c r="AK245" s="92"/>
      <c r="AL245" s="54"/>
      <c r="AM245" s="92"/>
      <c r="AO245" s="54"/>
      <c r="AP245" s="123"/>
      <c r="AQ245" s="54"/>
      <c r="AR245" s="154"/>
      <c r="AS245" s="1"/>
      <c r="AT245" s="1"/>
      <c r="AU245" s="9"/>
    </row>
    <row r="246">
      <c r="A246" s="54"/>
      <c r="B246" s="71" t="str">
        <f>IFERROR(HYPERLINK(VLOOKUP(A246,Internal_lists_bugs!$A$2:$C$73,3,FALSE()), VLOOKUP(A246,Internal_lists_bugs!$A$2:$C$73,3,FALSE())&amp;Char(10) &amp; Char(10) &amp; VLOOKUP(A246,Internal_lists_bugs!$A$2:$Z$73,26,FALSE())),"please select a BUG ID")</f>
        <v>please select a BUG ID</v>
      </c>
      <c r="C246" s="51" t="str">
        <f>IFERROR(VLOOKUP(A246,Internal_lists_bugs!$A$2:$G2002,7,FALSE()),"please select a BUG ID")</f>
        <v>please select a BUG ID</v>
      </c>
      <c r="D246" s="54"/>
      <c r="E246" s="56"/>
      <c r="F246" s="54"/>
      <c r="G246" s="56"/>
      <c r="H246" s="54"/>
      <c r="I246" s="56"/>
      <c r="J246" s="54"/>
      <c r="K246" s="92"/>
      <c r="L246" s="54"/>
      <c r="M246" s="92"/>
      <c r="N246" s="54"/>
      <c r="O246" s="92"/>
      <c r="P246" s="54"/>
      <c r="Q246" s="92"/>
      <c r="R246" s="54"/>
      <c r="S246" s="92"/>
      <c r="T246" s="117"/>
      <c r="U246" s="92"/>
      <c r="V246" s="54"/>
      <c r="W246" s="92"/>
      <c r="X246" s="54"/>
      <c r="Y246" s="92"/>
      <c r="Z246" s="54"/>
      <c r="AA246" s="92"/>
      <c r="AB246" s="54"/>
      <c r="AC246" s="92"/>
      <c r="AD246" s="54"/>
      <c r="AE246" s="92"/>
      <c r="AF246" s="54"/>
      <c r="AG246" s="92"/>
      <c r="AH246" s="54"/>
      <c r="AI246" s="92"/>
      <c r="AJ246" s="54"/>
      <c r="AK246" s="92"/>
      <c r="AL246" s="54"/>
      <c r="AM246" s="92"/>
      <c r="AO246" s="54"/>
      <c r="AP246" s="123"/>
      <c r="AQ246" s="54"/>
      <c r="AR246" s="154"/>
      <c r="AS246" s="1"/>
      <c r="AT246" s="1"/>
      <c r="AU246" s="9"/>
    </row>
    <row r="247">
      <c r="A247" s="54"/>
      <c r="B247" s="71" t="str">
        <f>IFERROR(HYPERLINK(VLOOKUP(A247,Internal_lists_bugs!$A$2:$C$73,3,FALSE()), VLOOKUP(A247,Internal_lists_bugs!$A$2:$C$73,3,FALSE())&amp;Char(10) &amp; Char(10) &amp; VLOOKUP(A247,Internal_lists_bugs!$A$2:$Z$73,26,FALSE())),"please select a BUG ID")</f>
        <v>please select a BUG ID</v>
      </c>
      <c r="C247" s="51" t="str">
        <f>IFERROR(VLOOKUP(A247,Internal_lists_bugs!$A$2:$G2002,7,FALSE()),"please select a BUG ID")</f>
        <v>please select a BUG ID</v>
      </c>
      <c r="D247" s="54"/>
      <c r="E247" s="56"/>
      <c r="F247" s="54"/>
      <c r="G247" s="56"/>
      <c r="H247" s="54"/>
      <c r="I247" s="56"/>
      <c r="J247" s="54"/>
      <c r="K247" s="92"/>
      <c r="L247" s="54"/>
      <c r="M247" s="92"/>
      <c r="N247" s="54"/>
      <c r="O247" s="92"/>
      <c r="P247" s="54"/>
      <c r="Q247" s="92"/>
      <c r="R247" s="54"/>
      <c r="S247" s="92"/>
      <c r="T247" s="117"/>
      <c r="U247" s="92"/>
      <c r="V247" s="54"/>
      <c r="W247" s="92"/>
      <c r="X247" s="54"/>
      <c r="Y247" s="92"/>
      <c r="Z247" s="54"/>
      <c r="AA247" s="92"/>
      <c r="AB247" s="54"/>
      <c r="AC247" s="92"/>
      <c r="AD247" s="54"/>
      <c r="AE247" s="92"/>
      <c r="AF247" s="54"/>
      <c r="AG247" s="92"/>
      <c r="AH247" s="54"/>
      <c r="AI247" s="92"/>
      <c r="AJ247" s="54"/>
      <c r="AK247" s="92"/>
      <c r="AL247" s="54"/>
      <c r="AM247" s="92"/>
      <c r="AO247" s="54"/>
      <c r="AP247" s="123"/>
      <c r="AQ247" s="54"/>
      <c r="AR247" s="154"/>
      <c r="AS247" s="1"/>
      <c r="AT247" s="1"/>
      <c r="AU247" s="9"/>
    </row>
    <row r="248">
      <c r="A248" s="54"/>
      <c r="B248" s="71" t="str">
        <f>IFERROR(HYPERLINK(VLOOKUP(A248,Internal_lists_bugs!$A$2:$C$73,3,FALSE()), VLOOKUP(A248,Internal_lists_bugs!$A$2:$C$73,3,FALSE())&amp;Char(10) &amp; Char(10) &amp; VLOOKUP(A248,Internal_lists_bugs!$A$2:$Z$73,26,FALSE())),"please select a BUG ID")</f>
        <v>please select a BUG ID</v>
      </c>
      <c r="C248" s="51" t="str">
        <f>IFERROR(VLOOKUP(A248,Internal_lists_bugs!$A$2:$G2002,7,FALSE()),"please select a BUG ID")</f>
        <v>please select a BUG ID</v>
      </c>
      <c r="D248" s="54"/>
      <c r="E248" s="56"/>
      <c r="F248" s="54"/>
      <c r="G248" s="56"/>
      <c r="H248" s="54"/>
      <c r="I248" s="56"/>
      <c r="J248" s="54"/>
      <c r="K248" s="92"/>
      <c r="L248" s="54"/>
      <c r="M248" s="92"/>
      <c r="N248" s="54"/>
      <c r="O248" s="92"/>
      <c r="P248" s="54"/>
      <c r="Q248" s="92"/>
      <c r="R248" s="54"/>
      <c r="S248" s="92"/>
      <c r="T248" s="117"/>
      <c r="U248" s="92"/>
      <c r="V248" s="54"/>
      <c r="W248" s="92"/>
      <c r="X248" s="54"/>
      <c r="Y248" s="92"/>
      <c r="Z248" s="54"/>
      <c r="AA248" s="92"/>
      <c r="AB248" s="54"/>
      <c r="AC248" s="92"/>
      <c r="AD248" s="54"/>
      <c r="AE248" s="92"/>
      <c r="AF248" s="54"/>
      <c r="AG248" s="92"/>
      <c r="AH248" s="54"/>
      <c r="AI248" s="92"/>
      <c r="AJ248" s="54"/>
      <c r="AK248" s="92"/>
      <c r="AL248" s="54"/>
      <c r="AM248" s="92"/>
      <c r="AO248" s="54"/>
      <c r="AP248" s="123"/>
      <c r="AQ248" s="54"/>
      <c r="AR248" s="154"/>
      <c r="AS248" s="1"/>
      <c r="AT248" s="1"/>
      <c r="AU248" s="9"/>
    </row>
    <row r="249">
      <c r="A249" s="54"/>
      <c r="B249" s="71" t="str">
        <f>IFERROR(HYPERLINK(VLOOKUP(A249,Internal_lists_bugs!$A$2:$C$73,3,FALSE()), VLOOKUP(A249,Internal_lists_bugs!$A$2:$C$73,3,FALSE())&amp;Char(10) &amp; Char(10) &amp; VLOOKUP(A249,Internal_lists_bugs!$A$2:$Z$73,26,FALSE())),"please select a BUG ID")</f>
        <v>please select a BUG ID</v>
      </c>
      <c r="C249" s="51" t="str">
        <f>IFERROR(VLOOKUP(A249,Internal_lists_bugs!$A$2:$G2002,7,FALSE()),"please select a BUG ID")</f>
        <v>please select a BUG ID</v>
      </c>
      <c r="D249" s="54"/>
      <c r="E249" s="56"/>
      <c r="F249" s="54"/>
      <c r="G249" s="56"/>
      <c r="H249" s="54"/>
      <c r="I249" s="56"/>
      <c r="J249" s="54"/>
      <c r="K249" s="92"/>
      <c r="L249" s="54"/>
      <c r="M249" s="92"/>
      <c r="N249" s="54"/>
      <c r="O249" s="92"/>
      <c r="P249" s="54"/>
      <c r="Q249" s="92"/>
      <c r="R249" s="54"/>
      <c r="S249" s="92"/>
      <c r="T249" s="117"/>
      <c r="U249" s="92"/>
      <c r="V249" s="54"/>
      <c r="W249" s="92"/>
      <c r="X249" s="54"/>
      <c r="Y249" s="92"/>
      <c r="Z249" s="54"/>
      <c r="AA249" s="92"/>
      <c r="AB249" s="54"/>
      <c r="AC249" s="92"/>
      <c r="AD249" s="54"/>
      <c r="AE249" s="92"/>
      <c r="AF249" s="54"/>
      <c r="AG249" s="92"/>
      <c r="AH249" s="54"/>
      <c r="AI249" s="92"/>
      <c r="AJ249" s="54"/>
      <c r="AK249" s="92"/>
      <c r="AL249" s="54"/>
      <c r="AM249" s="92"/>
      <c r="AO249" s="54"/>
      <c r="AP249" s="123"/>
      <c r="AQ249" s="54"/>
      <c r="AR249" s="154"/>
      <c r="AS249" s="1"/>
      <c r="AT249" s="1"/>
      <c r="AU249" s="9"/>
    </row>
    <row r="250">
      <c r="A250" s="54"/>
      <c r="B250" s="71" t="str">
        <f>IFERROR(HYPERLINK(VLOOKUP(A250,Internal_lists_bugs!$A$2:$C$73,3,FALSE()), VLOOKUP(A250,Internal_lists_bugs!$A$2:$C$73,3,FALSE())&amp;Char(10) &amp; Char(10) &amp; VLOOKUP(A250,Internal_lists_bugs!$A$2:$Z$73,26,FALSE())),"please select a BUG ID")</f>
        <v>please select a BUG ID</v>
      </c>
      <c r="C250" s="51" t="str">
        <f>IFERROR(VLOOKUP(A250,Internal_lists_bugs!$A$2:$G2002,7,FALSE()),"please select a BUG ID")</f>
        <v>please select a BUG ID</v>
      </c>
      <c r="D250" s="54"/>
      <c r="E250" s="56"/>
      <c r="F250" s="54"/>
      <c r="G250" s="56"/>
      <c r="H250" s="54"/>
      <c r="I250" s="56"/>
      <c r="J250" s="54"/>
      <c r="K250" s="92"/>
      <c r="L250" s="54"/>
      <c r="M250" s="92"/>
      <c r="N250" s="54"/>
      <c r="O250" s="92"/>
      <c r="P250" s="54"/>
      <c r="Q250" s="92"/>
      <c r="R250" s="54"/>
      <c r="S250" s="92"/>
      <c r="T250" s="117"/>
      <c r="U250" s="92"/>
      <c r="V250" s="54"/>
      <c r="W250" s="92"/>
      <c r="X250" s="54"/>
      <c r="Y250" s="92"/>
      <c r="Z250" s="54"/>
      <c r="AA250" s="92"/>
      <c r="AB250" s="54"/>
      <c r="AC250" s="92"/>
      <c r="AD250" s="54"/>
      <c r="AE250" s="92"/>
      <c r="AF250" s="54"/>
      <c r="AG250" s="92"/>
      <c r="AH250" s="54"/>
      <c r="AI250" s="92"/>
      <c r="AJ250" s="54"/>
      <c r="AK250" s="92"/>
      <c r="AL250" s="54"/>
      <c r="AM250" s="92"/>
      <c r="AO250" s="54"/>
      <c r="AP250" s="123"/>
      <c r="AQ250" s="54"/>
      <c r="AR250" s="154"/>
      <c r="AS250" s="1"/>
      <c r="AT250" s="1"/>
      <c r="AU250" s="9"/>
    </row>
    <row r="251">
      <c r="A251" s="54"/>
      <c r="B251" s="71" t="str">
        <f>IFERROR(HYPERLINK(VLOOKUP(A251,Internal_lists_bugs!$A$2:$C$73,3,FALSE()), VLOOKUP(A251,Internal_lists_bugs!$A$2:$C$73,3,FALSE())&amp;Char(10) &amp; Char(10) &amp; VLOOKUP(A251,Internal_lists_bugs!$A$2:$Z$73,26,FALSE())),"please select a BUG ID")</f>
        <v>please select a BUG ID</v>
      </c>
      <c r="C251" s="51" t="str">
        <f>IFERROR(VLOOKUP(A251,Internal_lists_bugs!$A$2:$G2002,7,FALSE()),"please select a BUG ID")</f>
        <v>please select a BUG ID</v>
      </c>
      <c r="D251" s="54"/>
      <c r="E251" s="56"/>
      <c r="F251" s="54"/>
      <c r="G251" s="56"/>
      <c r="H251" s="54"/>
      <c r="I251" s="56"/>
      <c r="J251" s="54"/>
      <c r="K251" s="92"/>
      <c r="L251" s="54"/>
      <c r="M251" s="92"/>
      <c r="N251" s="54"/>
      <c r="O251" s="92"/>
      <c r="P251" s="54"/>
      <c r="Q251" s="92"/>
      <c r="R251" s="54"/>
      <c r="S251" s="92"/>
      <c r="T251" s="117"/>
      <c r="U251" s="92"/>
      <c r="V251" s="54"/>
      <c r="W251" s="92"/>
      <c r="X251" s="54"/>
      <c r="Y251" s="92"/>
      <c r="Z251" s="54"/>
      <c r="AA251" s="92"/>
      <c r="AB251" s="54"/>
      <c r="AC251" s="92"/>
      <c r="AD251" s="54"/>
      <c r="AE251" s="92"/>
      <c r="AF251" s="54"/>
      <c r="AG251" s="92"/>
      <c r="AH251" s="54"/>
      <c r="AI251" s="92"/>
      <c r="AJ251" s="54"/>
      <c r="AK251" s="92"/>
      <c r="AL251" s="54"/>
      <c r="AM251" s="92"/>
      <c r="AO251" s="54"/>
      <c r="AP251" s="123"/>
      <c r="AQ251" s="54"/>
      <c r="AR251" s="154"/>
      <c r="AS251" s="1"/>
      <c r="AT251" s="1"/>
      <c r="AU251" s="9"/>
    </row>
    <row r="252">
      <c r="A252" s="54"/>
      <c r="B252" s="71" t="str">
        <f>IFERROR(HYPERLINK(VLOOKUP(A252,Internal_lists_bugs!$A$2:$C$73,3,FALSE()), VLOOKUP(A252,Internal_lists_bugs!$A$2:$C$73,3,FALSE())&amp;Char(10) &amp; Char(10) &amp; VLOOKUP(A252,Internal_lists_bugs!$A$2:$Z$73,26,FALSE())),"please select a BUG ID")</f>
        <v>please select a BUG ID</v>
      </c>
      <c r="C252" s="51" t="str">
        <f>IFERROR(VLOOKUP(A252,Internal_lists_bugs!$A$2:$G2002,7,FALSE()),"please select a BUG ID")</f>
        <v>please select a BUG ID</v>
      </c>
      <c r="D252" s="54"/>
      <c r="E252" s="56"/>
      <c r="F252" s="54"/>
      <c r="G252" s="56"/>
      <c r="H252" s="54"/>
      <c r="I252" s="56"/>
      <c r="J252" s="54"/>
      <c r="K252" s="92"/>
      <c r="L252" s="54"/>
      <c r="M252" s="92"/>
      <c r="N252" s="54"/>
      <c r="O252" s="92"/>
      <c r="P252" s="54"/>
      <c r="Q252" s="92"/>
      <c r="R252" s="54"/>
      <c r="S252" s="92"/>
      <c r="T252" s="117"/>
      <c r="U252" s="92"/>
      <c r="V252" s="54"/>
      <c r="W252" s="92"/>
      <c r="X252" s="54"/>
      <c r="Y252" s="92"/>
      <c r="Z252" s="54"/>
      <c r="AA252" s="92"/>
      <c r="AB252" s="54"/>
      <c r="AC252" s="92"/>
      <c r="AD252" s="54"/>
      <c r="AE252" s="92"/>
      <c r="AF252" s="54"/>
      <c r="AG252" s="92"/>
      <c r="AH252" s="54"/>
      <c r="AI252" s="92"/>
      <c r="AJ252" s="54"/>
      <c r="AK252" s="92"/>
      <c r="AL252" s="54"/>
      <c r="AM252" s="92"/>
      <c r="AO252" s="54"/>
      <c r="AP252" s="123"/>
      <c r="AQ252" s="54"/>
      <c r="AR252" s="154"/>
      <c r="AS252" s="1"/>
      <c r="AT252" s="1"/>
      <c r="AU252" s="9"/>
    </row>
    <row r="253">
      <c r="A253" s="54"/>
      <c r="B253" s="71" t="str">
        <f>IFERROR(HYPERLINK(VLOOKUP(A253,Internal_lists_bugs!$A$2:$C$73,3,FALSE()), VLOOKUP(A253,Internal_lists_bugs!$A$2:$C$73,3,FALSE())&amp;Char(10) &amp; Char(10) &amp; VLOOKUP(A253,Internal_lists_bugs!$A$2:$Z$73,26,FALSE())),"please select a BUG ID")</f>
        <v>please select a BUG ID</v>
      </c>
      <c r="C253" s="51" t="str">
        <f>IFERROR(VLOOKUP(A253,Internal_lists_bugs!$A$2:$G2002,7,FALSE()),"please select a BUG ID")</f>
        <v>please select a BUG ID</v>
      </c>
      <c r="D253" s="54"/>
      <c r="E253" s="56"/>
      <c r="F253" s="54"/>
      <c r="G253" s="56"/>
      <c r="H253" s="54"/>
      <c r="I253" s="56"/>
      <c r="J253" s="54"/>
      <c r="K253" s="92"/>
      <c r="L253" s="54"/>
      <c r="M253" s="92"/>
      <c r="N253" s="54"/>
      <c r="O253" s="92"/>
      <c r="P253" s="54"/>
      <c r="Q253" s="92"/>
      <c r="R253" s="54"/>
      <c r="S253" s="92"/>
      <c r="T253" s="117"/>
      <c r="U253" s="92"/>
      <c r="V253" s="54"/>
      <c r="W253" s="92"/>
      <c r="X253" s="54"/>
      <c r="Y253" s="92"/>
      <c r="Z253" s="54"/>
      <c r="AA253" s="92"/>
      <c r="AB253" s="54"/>
      <c r="AC253" s="92"/>
      <c r="AD253" s="54"/>
      <c r="AE253" s="92"/>
      <c r="AF253" s="54"/>
      <c r="AG253" s="92"/>
      <c r="AH253" s="54"/>
      <c r="AI253" s="92"/>
      <c r="AJ253" s="54"/>
      <c r="AK253" s="92"/>
      <c r="AL253" s="54"/>
      <c r="AM253" s="92"/>
      <c r="AO253" s="54"/>
      <c r="AP253" s="123"/>
      <c r="AQ253" s="54"/>
      <c r="AR253" s="154"/>
      <c r="AS253" s="1"/>
      <c r="AT253" s="1"/>
      <c r="AU253" s="9"/>
    </row>
    <row r="254">
      <c r="A254" s="54"/>
      <c r="B254" s="71" t="str">
        <f>IFERROR(HYPERLINK(VLOOKUP(A254,Internal_lists_bugs!$A$2:$C$73,3,FALSE()), VLOOKUP(A254,Internal_lists_bugs!$A$2:$C$73,3,FALSE())&amp;Char(10) &amp; Char(10) &amp; VLOOKUP(A254,Internal_lists_bugs!$A$2:$Z$73,26,FALSE())),"please select a BUG ID")</f>
        <v>please select a BUG ID</v>
      </c>
      <c r="C254" s="51" t="str">
        <f>IFERROR(VLOOKUP(A254,Internal_lists_bugs!$A$2:$G2002,7,FALSE()),"please select a BUG ID")</f>
        <v>please select a BUG ID</v>
      </c>
      <c r="D254" s="54"/>
      <c r="E254" s="56"/>
      <c r="F254" s="54"/>
      <c r="G254" s="56"/>
      <c r="H254" s="54"/>
      <c r="I254" s="56"/>
      <c r="J254" s="54"/>
      <c r="K254" s="92"/>
      <c r="L254" s="54"/>
      <c r="M254" s="92"/>
      <c r="N254" s="54"/>
      <c r="O254" s="92"/>
      <c r="P254" s="54"/>
      <c r="Q254" s="92"/>
      <c r="R254" s="54"/>
      <c r="S254" s="92"/>
      <c r="T254" s="117"/>
      <c r="U254" s="92"/>
      <c r="V254" s="54"/>
      <c r="W254" s="92"/>
      <c r="X254" s="54"/>
      <c r="Y254" s="92"/>
      <c r="Z254" s="54"/>
      <c r="AA254" s="92"/>
      <c r="AB254" s="54"/>
      <c r="AC254" s="92"/>
      <c r="AD254" s="54"/>
      <c r="AE254" s="92"/>
      <c r="AF254" s="54"/>
      <c r="AG254" s="92"/>
      <c r="AH254" s="54"/>
      <c r="AI254" s="92"/>
      <c r="AJ254" s="54"/>
      <c r="AK254" s="92"/>
      <c r="AL254" s="54"/>
      <c r="AM254" s="92"/>
      <c r="AO254" s="54"/>
      <c r="AP254" s="123"/>
      <c r="AQ254" s="54"/>
      <c r="AR254" s="154"/>
      <c r="AS254" s="1"/>
      <c r="AT254" s="1"/>
      <c r="AU254" s="9"/>
    </row>
    <row r="255">
      <c r="A255" s="54"/>
      <c r="B255" s="71" t="str">
        <f>IFERROR(HYPERLINK(VLOOKUP(A255,Internal_lists_bugs!$A$2:$C$73,3,FALSE()), VLOOKUP(A255,Internal_lists_bugs!$A$2:$C$73,3,FALSE())&amp;Char(10) &amp; Char(10) &amp; VLOOKUP(A255,Internal_lists_bugs!$A$2:$Z$73,26,FALSE())),"please select a BUG ID")</f>
        <v>please select a BUG ID</v>
      </c>
      <c r="C255" s="51" t="str">
        <f>IFERROR(VLOOKUP(A255,Internal_lists_bugs!$A$2:$G2002,7,FALSE()),"please select a BUG ID")</f>
        <v>please select a BUG ID</v>
      </c>
      <c r="D255" s="54"/>
      <c r="E255" s="56"/>
      <c r="F255" s="54"/>
      <c r="G255" s="56"/>
      <c r="H255" s="54"/>
      <c r="I255" s="56"/>
      <c r="J255" s="54"/>
      <c r="K255" s="92"/>
      <c r="L255" s="54"/>
      <c r="M255" s="92"/>
      <c r="N255" s="54"/>
      <c r="O255" s="92"/>
      <c r="P255" s="54"/>
      <c r="Q255" s="92"/>
      <c r="R255" s="54"/>
      <c r="S255" s="92"/>
      <c r="T255" s="117"/>
      <c r="U255" s="92"/>
      <c r="V255" s="54"/>
      <c r="W255" s="92"/>
      <c r="X255" s="54"/>
      <c r="Y255" s="92"/>
      <c r="Z255" s="54"/>
      <c r="AA255" s="92"/>
      <c r="AB255" s="54"/>
      <c r="AC255" s="92"/>
      <c r="AD255" s="54"/>
      <c r="AE255" s="92"/>
      <c r="AF255" s="54"/>
      <c r="AG255" s="92"/>
      <c r="AH255" s="54"/>
      <c r="AI255" s="92"/>
      <c r="AJ255" s="54"/>
      <c r="AK255" s="92"/>
      <c r="AL255" s="54"/>
      <c r="AM255" s="92"/>
      <c r="AO255" s="54"/>
      <c r="AP255" s="123"/>
      <c r="AQ255" s="54"/>
      <c r="AR255" s="154"/>
      <c r="AS255" s="1"/>
      <c r="AT255" s="1"/>
      <c r="AU255" s="9"/>
    </row>
    <row r="256">
      <c r="A256" s="54"/>
      <c r="B256" s="71" t="str">
        <f>IFERROR(HYPERLINK(VLOOKUP(A256,Internal_lists_bugs!$A$2:$C$73,3,FALSE()), VLOOKUP(A256,Internal_lists_bugs!$A$2:$C$73,3,FALSE())&amp;Char(10) &amp; Char(10) &amp; VLOOKUP(A256,Internal_lists_bugs!$A$2:$Z$73,26,FALSE())),"please select a BUG ID")</f>
        <v>please select a BUG ID</v>
      </c>
      <c r="C256" s="51" t="str">
        <f>IFERROR(VLOOKUP(A256,Internal_lists_bugs!$A$2:$G2002,7,FALSE()),"please select a BUG ID")</f>
        <v>please select a BUG ID</v>
      </c>
      <c r="D256" s="54"/>
      <c r="E256" s="56"/>
      <c r="F256" s="54"/>
      <c r="G256" s="56"/>
      <c r="H256" s="54"/>
      <c r="I256" s="56"/>
      <c r="J256" s="54"/>
      <c r="K256" s="92"/>
      <c r="L256" s="54"/>
      <c r="M256" s="92"/>
      <c r="N256" s="54"/>
      <c r="O256" s="92"/>
      <c r="P256" s="54"/>
      <c r="Q256" s="92"/>
      <c r="R256" s="54"/>
      <c r="S256" s="92"/>
      <c r="T256" s="117"/>
      <c r="U256" s="92"/>
      <c r="V256" s="54"/>
      <c r="W256" s="92"/>
      <c r="X256" s="54"/>
      <c r="Y256" s="92"/>
      <c r="Z256" s="54"/>
      <c r="AA256" s="92"/>
      <c r="AB256" s="54"/>
      <c r="AC256" s="92"/>
      <c r="AD256" s="54"/>
      <c r="AE256" s="92"/>
      <c r="AF256" s="54"/>
      <c r="AG256" s="92"/>
      <c r="AH256" s="54"/>
      <c r="AI256" s="92"/>
      <c r="AJ256" s="54"/>
      <c r="AK256" s="92"/>
      <c r="AL256" s="54"/>
      <c r="AM256" s="92"/>
      <c r="AO256" s="54"/>
      <c r="AP256" s="123"/>
      <c r="AQ256" s="54"/>
      <c r="AR256" s="154"/>
      <c r="AS256" s="1"/>
      <c r="AT256" s="1"/>
      <c r="AU256" s="9"/>
    </row>
    <row r="257">
      <c r="A257" s="54"/>
      <c r="B257" s="71" t="str">
        <f>IFERROR(HYPERLINK(VLOOKUP(A257,Internal_lists_bugs!$A$2:$C$73,3,FALSE()), VLOOKUP(A257,Internal_lists_bugs!$A$2:$C$73,3,FALSE())&amp;Char(10) &amp; Char(10) &amp; VLOOKUP(A257,Internal_lists_bugs!$A$2:$Z$73,26,FALSE())),"please select a BUG ID")</f>
        <v>please select a BUG ID</v>
      </c>
      <c r="C257" s="51" t="str">
        <f>IFERROR(VLOOKUP(A257,Internal_lists_bugs!$A$2:$G2002,7,FALSE()),"please select a BUG ID")</f>
        <v>please select a BUG ID</v>
      </c>
      <c r="D257" s="54"/>
      <c r="E257" s="56"/>
      <c r="F257" s="54"/>
      <c r="G257" s="56"/>
      <c r="H257" s="54"/>
      <c r="I257" s="56"/>
      <c r="J257" s="54"/>
      <c r="K257" s="92"/>
      <c r="L257" s="54"/>
      <c r="M257" s="92"/>
      <c r="N257" s="54"/>
      <c r="O257" s="92"/>
      <c r="P257" s="54"/>
      <c r="Q257" s="92"/>
      <c r="R257" s="54"/>
      <c r="S257" s="92"/>
      <c r="T257" s="117"/>
      <c r="U257" s="92"/>
      <c r="V257" s="54"/>
      <c r="W257" s="92"/>
      <c r="X257" s="54"/>
      <c r="Y257" s="92"/>
      <c r="Z257" s="54"/>
      <c r="AA257" s="92"/>
      <c r="AB257" s="54"/>
      <c r="AC257" s="92"/>
      <c r="AD257" s="54"/>
      <c r="AE257" s="92"/>
      <c r="AF257" s="54"/>
      <c r="AG257" s="92"/>
      <c r="AH257" s="54"/>
      <c r="AI257" s="92"/>
      <c r="AJ257" s="54"/>
      <c r="AK257" s="92"/>
      <c r="AL257" s="54"/>
      <c r="AM257" s="92"/>
      <c r="AO257" s="54"/>
      <c r="AP257" s="123"/>
      <c r="AQ257" s="54"/>
      <c r="AR257" s="154"/>
      <c r="AS257" s="1"/>
      <c r="AT257" s="1"/>
      <c r="AU257" s="9"/>
    </row>
    <row r="258">
      <c r="A258" s="54"/>
      <c r="B258" s="71" t="str">
        <f>IFERROR(HYPERLINK(VLOOKUP(A258,Internal_lists_bugs!$A$2:$C$73,3,FALSE()), VLOOKUP(A258,Internal_lists_bugs!$A$2:$C$73,3,FALSE())&amp;Char(10) &amp; Char(10) &amp; VLOOKUP(A258,Internal_lists_bugs!$A$2:$Z$73,26,FALSE())),"please select a BUG ID")</f>
        <v>please select a BUG ID</v>
      </c>
      <c r="C258" s="51" t="str">
        <f>IFERROR(VLOOKUP(A258,Internal_lists_bugs!$A$2:$G2002,7,FALSE()),"please select a BUG ID")</f>
        <v>please select a BUG ID</v>
      </c>
      <c r="D258" s="54"/>
      <c r="E258" s="56"/>
      <c r="F258" s="54"/>
      <c r="G258" s="56"/>
      <c r="H258" s="54"/>
      <c r="I258" s="56"/>
      <c r="J258" s="54"/>
      <c r="K258" s="92"/>
      <c r="L258" s="54"/>
      <c r="M258" s="92"/>
      <c r="N258" s="54"/>
      <c r="O258" s="92"/>
      <c r="P258" s="54"/>
      <c r="Q258" s="92"/>
      <c r="R258" s="54"/>
      <c r="S258" s="92"/>
      <c r="T258" s="117"/>
      <c r="U258" s="92"/>
      <c r="V258" s="54"/>
      <c r="W258" s="92"/>
      <c r="X258" s="54"/>
      <c r="Y258" s="92"/>
      <c r="Z258" s="54"/>
      <c r="AA258" s="92"/>
      <c r="AB258" s="54"/>
      <c r="AC258" s="92"/>
      <c r="AD258" s="54"/>
      <c r="AE258" s="92"/>
      <c r="AF258" s="54"/>
      <c r="AG258" s="92"/>
      <c r="AH258" s="54"/>
      <c r="AI258" s="92"/>
      <c r="AJ258" s="54"/>
      <c r="AK258" s="92"/>
      <c r="AL258" s="54"/>
      <c r="AM258" s="92"/>
      <c r="AO258" s="54"/>
      <c r="AP258" s="123"/>
      <c r="AQ258" s="54"/>
      <c r="AR258" s="154"/>
      <c r="AS258" s="1"/>
      <c r="AT258" s="1"/>
      <c r="AU258" s="9"/>
    </row>
    <row r="259">
      <c r="A259" s="54"/>
      <c r="B259" s="71" t="str">
        <f>IFERROR(HYPERLINK(VLOOKUP(A259,Internal_lists_bugs!$A$2:$C$73,3,FALSE()), VLOOKUP(A259,Internal_lists_bugs!$A$2:$C$73,3,FALSE())&amp;Char(10) &amp; Char(10) &amp; VLOOKUP(A259,Internal_lists_bugs!$A$2:$Z$73,26,FALSE())),"please select a BUG ID")</f>
        <v>please select a BUG ID</v>
      </c>
      <c r="C259" s="51" t="str">
        <f>IFERROR(VLOOKUP(A259,Internal_lists_bugs!$A$2:$G2002,7,FALSE()),"please select a BUG ID")</f>
        <v>please select a BUG ID</v>
      </c>
      <c r="D259" s="54"/>
      <c r="E259" s="56"/>
      <c r="F259" s="54"/>
      <c r="G259" s="56"/>
      <c r="H259" s="54"/>
      <c r="I259" s="56"/>
      <c r="J259" s="54"/>
      <c r="K259" s="92"/>
      <c r="L259" s="54"/>
      <c r="M259" s="92"/>
      <c r="N259" s="54"/>
      <c r="O259" s="92"/>
      <c r="P259" s="54"/>
      <c r="Q259" s="92"/>
      <c r="R259" s="54"/>
      <c r="S259" s="92"/>
      <c r="T259" s="117"/>
      <c r="U259" s="92"/>
      <c r="V259" s="54"/>
      <c r="W259" s="92"/>
      <c r="X259" s="54"/>
      <c r="Y259" s="92"/>
      <c r="Z259" s="54"/>
      <c r="AA259" s="92"/>
      <c r="AB259" s="54"/>
      <c r="AC259" s="92"/>
      <c r="AD259" s="54"/>
      <c r="AE259" s="92"/>
      <c r="AF259" s="54"/>
      <c r="AG259" s="92"/>
      <c r="AH259" s="54"/>
      <c r="AI259" s="92"/>
      <c r="AJ259" s="54"/>
      <c r="AK259" s="92"/>
      <c r="AL259" s="54"/>
      <c r="AM259" s="92"/>
      <c r="AO259" s="54"/>
      <c r="AP259" s="123"/>
      <c r="AQ259" s="54"/>
      <c r="AR259" s="154"/>
      <c r="AS259" s="1"/>
      <c r="AT259" s="1"/>
      <c r="AU259" s="9"/>
    </row>
    <row r="260">
      <c r="A260" s="54"/>
      <c r="B260" s="71" t="str">
        <f>IFERROR(HYPERLINK(VLOOKUP(A260,Internal_lists_bugs!$A$2:$C$73,3,FALSE()), VLOOKUP(A260,Internal_lists_bugs!$A$2:$C$73,3,FALSE())&amp;Char(10) &amp; Char(10) &amp; VLOOKUP(A260,Internal_lists_bugs!$A$2:$Z$73,26,FALSE())),"please select a BUG ID")</f>
        <v>please select a BUG ID</v>
      </c>
      <c r="C260" s="51" t="str">
        <f>IFERROR(VLOOKUP(A260,Internal_lists_bugs!$A$2:$G2002,7,FALSE()),"please select a BUG ID")</f>
        <v>please select a BUG ID</v>
      </c>
      <c r="D260" s="54"/>
      <c r="E260" s="56"/>
      <c r="F260" s="54"/>
      <c r="G260" s="56"/>
      <c r="H260" s="54"/>
      <c r="I260" s="56"/>
      <c r="J260" s="54"/>
      <c r="K260" s="92"/>
      <c r="L260" s="54"/>
      <c r="M260" s="92"/>
      <c r="N260" s="54"/>
      <c r="O260" s="92"/>
      <c r="P260" s="54"/>
      <c r="Q260" s="92"/>
      <c r="R260" s="54"/>
      <c r="S260" s="92"/>
      <c r="T260" s="117"/>
      <c r="U260" s="92"/>
      <c r="V260" s="54"/>
      <c r="W260" s="92"/>
      <c r="X260" s="54"/>
      <c r="Y260" s="92"/>
      <c r="Z260" s="54"/>
      <c r="AA260" s="92"/>
      <c r="AB260" s="54"/>
      <c r="AC260" s="92"/>
      <c r="AD260" s="54"/>
      <c r="AE260" s="92"/>
      <c r="AF260" s="54"/>
      <c r="AG260" s="92"/>
      <c r="AH260" s="54"/>
      <c r="AI260" s="92"/>
      <c r="AJ260" s="54"/>
      <c r="AK260" s="92"/>
      <c r="AL260" s="54"/>
      <c r="AM260" s="92"/>
      <c r="AO260" s="54"/>
      <c r="AP260" s="123"/>
      <c r="AQ260" s="54"/>
      <c r="AR260" s="154"/>
      <c r="AS260" s="1"/>
      <c r="AT260" s="1"/>
      <c r="AU260" s="9"/>
    </row>
    <row r="261">
      <c r="A261" s="54"/>
      <c r="B261" s="71" t="str">
        <f>IFERROR(HYPERLINK(VLOOKUP(A261,Internal_lists_bugs!$A$2:$C$73,3,FALSE()), VLOOKUP(A261,Internal_lists_bugs!$A$2:$C$73,3,FALSE())&amp;Char(10) &amp; Char(10) &amp; VLOOKUP(A261,Internal_lists_bugs!$A$2:$Z$73,26,FALSE())),"please select a BUG ID")</f>
        <v>please select a BUG ID</v>
      </c>
      <c r="C261" s="51" t="str">
        <f>IFERROR(VLOOKUP(A261,Internal_lists_bugs!$A$2:$G2002,7,FALSE()),"please select a BUG ID")</f>
        <v>please select a BUG ID</v>
      </c>
      <c r="D261" s="54"/>
      <c r="E261" s="56"/>
      <c r="F261" s="54"/>
      <c r="G261" s="56"/>
      <c r="H261" s="54"/>
      <c r="I261" s="56"/>
      <c r="J261" s="54"/>
      <c r="K261" s="92"/>
      <c r="L261" s="54"/>
      <c r="M261" s="92"/>
      <c r="N261" s="54"/>
      <c r="O261" s="92"/>
      <c r="P261" s="54"/>
      <c r="Q261" s="92"/>
      <c r="R261" s="54"/>
      <c r="S261" s="92"/>
      <c r="T261" s="117"/>
      <c r="U261" s="92"/>
      <c r="V261" s="54"/>
      <c r="W261" s="92"/>
      <c r="X261" s="54"/>
      <c r="Y261" s="92"/>
      <c r="Z261" s="54"/>
      <c r="AA261" s="92"/>
      <c r="AB261" s="54"/>
      <c r="AC261" s="92"/>
      <c r="AD261" s="54"/>
      <c r="AE261" s="92"/>
      <c r="AF261" s="54"/>
      <c r="AG261" s="92"/>
      <c r="AH261" s="54"/>
      <c r="AI261" s="92"/>
      <c r="AJ261" s="54"/>
      <c r="AK261" s="92"/>
      <c r="AL261" s="54"/>
      <c r="AM261" s="92"/>
      <c r="AO261" s="54"/>
      <c r="AP261" s="123"/>
      <c r="AQ261" s="54"/>
      <c r="AR261" s="154"/>
      <c r="AS261" s="1"/>
      <c r="AT261" s="1"/>
      <c r="AU261" s="9"/>
    </row>
    <row r="262">
      <c r="A262" s="54"/>
      <c r="B262" s="71" t="str">
        <f>IFERROR(HYPERLINK(VLOOKUP(A262,Internal_lists_bugs!$A$2:$C$73,3,FALSE()), VLOOKUP(A262,Internal_lists_bugs!$A$2:$C$73,3,FALSE())&amp;Char(10) &amp; Char(10) &amp; VLOOKUP(A262,Internal_lists_bugs!$A$2:$Z$73,26,FALSE())),"please select a BUG ID")</f>
        <v>please select a BUG ID</v>
      </c>
      <c r="C262" s="51" t="str">
        <f>IFERROR(VLOOKUP(A262,Internal_lists_bugs!$A$2:$G2002,7,FALSE()),"please select a BUG ID")</f>
        <v>please select a BUG ID</v>
      </c>
      <c r="D262" s="54"/>
      <c r="E262" s="56"/>
      <c r="F262" s="54"/>
      <c r="G262" s="56"/>
      <c r="H262" s="54"/>
      <c r="I262" s="56"/>
      <c r="J262" s="54"/>
      <c r="K262" s="92"/>
      <c r="L262" s="54"/>
      <c r="M262" s="92"/>
      <c r="N262" s="54"/>
      <c r="O262" s="92"/>
      <c r="P262" s="54"/>
      <c r="Q262" s="92"/>
      <c r="R262" s="54"/>
      <c r="S262" s="92"/>
      <c r="T262" s="117"/>
      <c r="U262" s="92"/>
      <c r="V262" s="54"/>
      <c r="W262" s="92"/>
      <c r="X262" s="54"/>
      <c r="Y262" s="92"/>
      <c r="Z262" s="54"/>
      <c r="AA262" s="92"/>
      <c r="AB262" s="54"/>
      <c r="AC262" s="92"/>
      <c r="AD262" s="54"/>
      <c r="AE262" s="92"/>
      <c r="AF262" s="54"/>
      <c r="AG262" s="92"/>
      <c r="AH262" s="54"/>
      <c r="AI262" s="92"/>
      <c r="AJ262" s="54"/>
      <c r="AK262" s="92"/>
      <c r="AL262" s="54"/>
      <c r="AM262" s="92"/>
      <c r="AO262" s="54"/>
      <c r="AP262" s="123"/>
      <c r="AQ262" s="54"/>
      <c r="AR262" s="154"/>
      <c r="AS262" s="1"/>
      <c r="AT262" s="1"/>
      <c r="AU262" s="9"/>
    </row>
    <row r="263">
      <c r="A263" s="54"/>
      <c r="B263" s="71" t="str">
        <f>IFERROR(HYPERLINK(VLOOKUP(A263,Internal_lists_bugs!$A$2:$C$73,3,FALSE()), VLOOKUP(A263,Internal_lists_bugs!$A$2:$C$73,3,FALSE())&amp;Char(10) &amp; Char(10) &amp; VLOOKUP(A263,Internal_lists_bugs!$A$2:$Z$73,26,FALSE())),"please select a BUG ID")</f>
        <v>please select a BUG ID</v>
      </c>
      <c r="C263" s="51" t="str">
        <f>IFERROR(VLOOKUP(A263,Internal_lists_bugs!$A$2:$G2002,7,FALSE()),"please select a BUG ID")</f>
        <v>please select a BUG ID</v>
      </c>
      <c r="D263" s="54"/>
      <c r="E263" s="56"/>
      <c r="F263" s="54"/>
      <c r="G263" s="56"/>
      <c r="H263" s="54"/>
      <c r="I263" s="56"/>
      <c r="J263" s="54"/>
      <c r="K263" s="92"/>
      <c r="L263" s="54"/>
      <c r="M263" s="92"/>
      <c r="N263" s="54"/>
      <c r="O263" s="92"/>
      <c r="P263" s="54"/>
      <c r="Q263" s="92"/>
      <c r="R263" s="54"/>
      <c r="S263" s="92"/>
      <c r="T263" s="117"/>
      <c r="U263" s="92"/>
      <c r="V263" s="54"/>
      <c r="W263" s="92"/>
      <c r="X263" s="54"/>
      <c r="Y263" s="92"/>
      <c r="Z263" s="54"/>
      <c r="AA263" s="92"/>
      <c r="AB263" s="54"/>
      <c r="AC263" s="92"/>
      <c r="AD263" s="54"/>
      <c r="AE263" s="92"/>
      <c r="AF263" s="54"/>
      <c r="AG263" s="92"/>
      <c r="AH263" s="54"/>
      <c r="AI263" s="92"/>
      <c r="AJ263" s="54"/>
      <c r="AK263" s="92"/>
      <c r="AL263" s="54"/>
      <c r="AM263" s="92"/>
      <c r="AO263" s="54"/>
      <c r="AP263" s="123"/>
      <c r="AQ263" s="54"/>
      <c r="AR263" s="154"/>
      <c r="AS263" s="1"/>
      <c r="AT263" s="1"/>
      <c r="AU263" s="9"/>
    </row>
    <row r="264">
      <c r="A264" s="54"/>
      <c r="B264" s="71" t="str">
        <f>IFERROR(HYPERLINK(VLOOKUP(A264,Internal_lists_bugs!$A$2:$C$73,3,FALSE()), VLOOKUP(A264,Internal_lists_bugs!$A$2:$C$73,3,FALSE())&amp;Char(10) &amp; Char(10) &amp; VLOOKUP(A264,Internal_lists_bugs!$A$2:$Z$73,26,FALSE())),"please select a BUG ID")</f>
        <v>please select a BUG ID</v>
      </c>
      <c r="C264" s="51" t="str">
        <f>IFERROR(VLOOKUP(A264,Internal_lists_bugs!$A$2:$G2002,7,FALSE()),"please select a BUG ID")</f>
        <v>please select a BUG ID</v>
      </c>
      <c r="D264" s="54"/>
      <c r="E264" s="56"/>
      <c r="F264" s="54"/>
      <c r="G264" s="56"/>
      <c r="H264" s="54"/>
      <c r="I264" s="56"/>
      <c r="J264" s="54"/>
      <c r="K264" s="92"/>
      <c r="L264" s="54"/>
      <c r="M264" s="92"/>
      <c r="N264" s="54"/>
      <c r="O264" s="92"/>
      <c r="P264" s="54"/>
      <c r="Q264" s="92"/>
      <c r="R264" s="54"/>
      <c r="S264" s="92"/>
      <c r="T264" s="117"/>
      <c r="U264" s="92"/>
      <c r="V264" s="54"/>
      <c r="W264" s="92"/>
      <c r="X264" s="54"/>
      <c r="Y264" s="92"/>
      <c r="Z264" s="54"/>
      <c r="AA264" s="92"/>
      <c r="AB264" s="54"/>
      <c r="AC264" s="92"/>
      <c r="AD264" s="54"/>
      <c r="AE264" s="92"/>
      <c r="AF264" s="54"/>
      <c r="AG264" s="92"/>
      <c r="AH264" s="54"/>
      <c r="AI264" s="92"/>
      <c r="AJ264" s="54"/>
      <c r="AK264" s="92"/>
      <c r="AL264" s="54"/>
      <c r="AM264" s="92"/>
      <c r="AO264" s="54"/>
      <c r="AP264" s="123"/>
      <c r="AQ264" s="54"/>
      <c r="AR264" s="154"/>
      <c r="AS264" s="1"/>
      <c r="AT264" s="1"/>
      <c r="AU264" s="9"/>
    </row>
    <row r="265">
      <c r="A265" s="54"/>
      <c r="B265" s="71" t="str">
        <f>IFERROR(HYPERLINK(VLOOKUP(A265,Internal_lists_bugs!$A$2:$C$73,3,FALSE()), VLOOKUP(A265,Internal_lists_bugs!$A$2:$C$73,3,FALSE())&amp;Char(10) &amp; Char(10) &amp; VLOOKUP(A265,Internal_lists_bugs!$A$2:$Z$73,26,FALSE())),"please select a BUG ID")</f>
        <v>please select a BUG ID</v>
      </c>
      <c r="C265" s="51" t="str">
        <f>IFERROR(VLOOKUP(A265,Internal_lists_bugs!$A$2:$G2002,7,FALSE()),"please select a BUG ID")</f>
        <v>please select a BUG ID</v>
      </c>
      <c r="D265" s="54"/>
      <c r="E265" s="56"/>
      <c r="F265" s="54"/>
      <c r="G265" s="56"/>
      <c r="H265" s="54"/>
      <c r="I265" s="56"/>
      <c r="J265" s="54"/>
      <c r="K265" s="92"/>
      <c r="L265" s="54"/>
      <c r="M265" s="92"/>
      <c r="N265" s="54"/>
      <c r="O265" s="92"/>
      <c r="P265" s="54"/>
      <c r="Q265" s="92"/>
      <c r="R265" s="54"/>
      <c r="S265" s="92"/>
      <c r="T265" s="117"/>
      <c r="U265" s="92"/>
      <c r="V265" s="54"/>
      <c r="W265" s="92"/>
      <c r="X265" s="54"/>
      <c r="Y265" s="92"/>
      <c r="Z265" s="54"/>
      <c r="AA265" s="92"/>
      <c r="AB265" s="54"/>
      <c r="AC265" s="92"/>
      <c r="AD265" s="54"/>
      <c r="AE265" s="92"/>
      <c r="AF265" s="54"/>
      <c r="AG265" s="92"/>
      <c r="AH265" s="54"/>
      <c r="AI265" s="92"/>
      <c r="AJ265" s="54"/>
      <c r="AK265" s="92"/>
      <c r="AL265" s="54"/>
      <c r="AM265" s="92"/>
      <c r="AO265" s="54"/>
      <c r="AP265" s="123"/>
      <c r="AQ265" s="54"/>
      <c r="AR265" s="154"/>
      <c r="AS265" s="1"/>
      <c r="AT265" s="1"/>
      <c r="AU265" s="9"/>
    </row>
    <row r="266">
      <c r="A266" s="54"/>
      <c r="B266" s="71" t="str">
        <f>IFERROR(HYPERLINK(VLOOKUP(A266,Internal_lists_bugs!$A$2:$C$73,3,FALSE()), VLOOKUP(A266,Internal_lists_bugs!$A$2:$C$73,3,FALSE())&amp;Char(10) &amp; Char(10) &amp; VLOOKUP(A266,Internal_lists_bugs!$A$2:$Z$73,26,FALSE())),"please select a BUG ID")</f>
        <v>please select a BUG ID</v>
      </c>
      <c r="C266" s="51" t="str">
        <f>IFERROR(VLOOKUP(A266,Internal_lists_bugs!$A$2:$G2002,7,FALSE()),"please select a BUG ID")</f>
        <v>please select a BUG ID</v>
      </c>
      <c r="D266" s="54"/>
      <c r="E266" s="56"/>
      <c r="F266" s="54"/>
      <c r="G266" s="56"/>
      <c r="H266" s="54"/>
      <c r="I266" s="56"/>
      <c r="J266" s="54"/>
      <c r="K266" s="92"/>
      <c r="L266" s="54"/>
      <c r="M266" s="92"/>
      <c r="N266" s="54"/>
      <c r="O266" s="92"/>
      <c r="P266" s="54"/>
      <c r="Q266" s="92"/>
      <c r="R266" s="54"/>
      <c r="S266" s="92"/>
      <c r="T266" s="117"/>
      <c r="U266" s="92"/>
      <c r="V266" s="54"/>
      <c r="W266" s="92"/>
      <c r="X266" s="54"/>
      <c r="Y266" s="92"/>
      <c r="Z266" s="54"/>
      <c r="AA266" s="92"/>
      <c r="AB266" s="54"/>
      <c r="AC266" s="92"/>
      <c r="AD266" s="54"/>
      <c r="AE266" s="92"/>
      <c r="AF266" s="54"/>
      <c r="AG266" s="92"/>
      <c r="AH266" s="54"/>
      <c r="AI266" s="92"/>
      <c r="AJ266" s="54"/>
      <c r="AK266" s="92"/>
      <c r="AL266" s="54"/>
      <c r="AM266" s="92"/>
      <c r="AO266" s="54"/>
      <c r="AP266" s="123"/>
      <c r="AQ266" s="54"/>
      <c r="AR266" s="154"/>
      <c r="AS266" s="1"/>
      <c r="AT266" s="1"/>
      <c r="AU266" s="9"/>
    </row>
    <row r="267">
      <c r="A267" s="54"/>
      <c r="B267" s="71" t="str">
        <f>IFERROR(HYPERLINK(VLOOKUP(A267,Internal_lists_bugs!$A$2:$C$73,3,FALSE()), VLOOKUP(A267,Internal_lists_bugs!$A$2:$C$73,3,FALSE())&amp;Char(10) &amp; Char(10) &amp; VLOOKUP(A267,Internal_lists_bugs!$A$2:$Z$73,26,FALSE())),"please select a BUG ID")</f>
        <v>please select a BUG ID</v>
      </c>
      <c r="C267" s="51" t="str">
        <f>IFERROR(VLOOKUP(A267,Internal_lists_bugs!$A$2:$G2002,7,FALSE()),"please select a BUG ID")</f>
        <v>please select a BUG ID</v>
      </c>
      <c r="D267" s="54"/>
      <c r="E267" s="56"/>
      <c r="F267" s="54"/>
      <c r="G267" s="56"/>
      <c r="H267" s="54"/>
      <c r="I267" s="56"/>
      <c r="J267" s="54"/>
      <c r="K267" s="92"/>
      <c r="L267" s="54"/>
      <c r="M267" s="92"/>
      <c r="N267" s="54"/>
      <c r="O267" s="92"/>
      <c r="P267" s="54"/>
      <c r="Q267" s="92"/>
      <c r="R267" s="54"/>
      <c r="S267" s="92"/>
      <c r="T267" s="117"/>
      <c r="U267" s="92"/>
      <c r="V267" s="54"/>
      <c r="W267" s="92"/>
      <c r="X267" s="54"/>
      <c r="Y267" s="92"/>
      <c r="Z267" s="54"/>
      <c r="AA267" s="92"/>
      <c r="AB267" s="54"/>
      <c r="AC267" s="92"/>
      <c r="AD267" s="54"/>
      <c r="AE267" s="92"/>
      <c r="AF267" s="54"/>
      <c r="AG267" s="92"/>
      <c r="AH267" s="54"/>
      <c r="AI267" s="92"/>
      <c r="AJ267" s="54"/>
      <c r="AK267" s="92"/>
      <c r="AL267" s="54"/>
      <c r="AM267" s="92"/>
      <c r="AO267" s="54"/>
      <c r="AP267" s="123"/>
      <c r="AQ267" s="54"/>
      <c r="AR267" s="154"/>
      <c r="AS267" s="1"/>
      <c r="AT267" s="1"/>
      <c r="AU267" s="9"/>
    </row>
    <row r="268">
      <c r="A268" s="54"/>
      <c r="B268" s="71" t="str">
        <f>IFERROR(HYPERLINK(VLOOKUP(A268,Internal_lists_bugs!$A$2:$C$73,3,FALSE()), VLOOKUP(A268,Internal_lists_bugs!$A$2:$C$73,3,FALSE())&amp;Char(10) &amp; Char(10) &amp; VLOOKUP(A268,Internal_lists_bugs!$A$2:$Z$73,26,FALSE())),"please select a BUG ID")</f>
        <v>please select a BUG ID</v>
      </c>
      <c r="C268" s="51" t="str">
        <f>IFERROR(VLOOKUP(A268,Internal_lists_bugs!$A$2:$G2002,7,FALSE()),"please select a BUG ID")</f>
        <v>please select a BUG ID</v>
      </c>
      <c r="D268" s="54"/>
      <c r="E268" s="56"/>
      <c r="F268" s="54"/>
      <c r="G268" s="56"/>
      <c r="H268" s="54"/>
      <c r="I268" s="56"/>
      <c r="J268" s="54"/>
      <c r="K268" s="92"/>
      <c r="L268" s="54"/>
      <c r="M268" s="92"/>
      <c r="N268" s="54"/>
      <c r="O268" s="92"/>
      <c r="P268" s="54"/>
      <c r="Q268" s="92"/>
      <c r="R268" s="54"/>
      <c r="S268" s="92"/>
      <c r="T268" s="117"/>
      <c r="U268" s="92"/>
      <c r="V268" s="54"/>
      <c r="W268" s="92"/>
      <c r="X268" s="54"/>
      <c r="Y268" s="92"/>
      <c r="Z268" s="54"/>
      <c r="AA268" s="92"/>
      <c r="AB268" s="54"/>
      <c r="AC268" s="92"/>
      <c r="AD268" s="54"/>
      <c r="AE268" s="92"/>
      <c r="AF268" s="54"/>
      <c r="AG268" s="92"/>
      <c r="AH268" s="54"/>
      <c r="AI268" s="92"/>
      <c r="AJ268" s="54"/>
      <c r="AK268" s="92"/>
      <c r="AL268" s="54"/>
      <c r="AM268" s="92"/>
      <c r="AO268" s="54"/>
      <c r="AP268" s="123"/>
      <c r="AQ268" s="54"/>
      <c r="AR268" s="154"/>
      <c r="AS268" s="1"/>
      <c r="AT268" s="1"/>
      <c r="AU268" s="9"/>
    </row>
    <row r="269">
      <c r="A269" s="54"/>
      <c r="B269" s="71" t="str">
        <f>IFERROR(HYPERLINK(VLOOKUP(A269,Internal_lists_bugs!$A$2:$C$73,3,FALSE()), VLOOKUP(A269,Internal_lists_bugs!$A$2:$C$73,3,FALSE())&amp;Char(10) &amp; Char(10) &amp; VLOOKUP(A269,Internal_lists_bugs!$A$2:$Z$73,26,FALSE())),"please select a BUG ID")</f>
        <v>please select a BUG ID</v>
      </c>
      <c r="C269" s="51" t="str">
        <f>IFERROR(VLOOKUP(A269,Internal_lists_bugs!$A$2:$G2002,7,FALSE()),"please select a BUG ID")</f>
        <v>please select a BUG ID</v>
      </c>
      <c r="D269" s="54"/>
      <c r="E269" s="56"/>
      <c r="F269" s="54"/>
      <c r="G269" s="56"/>
      <c r="H269" s="54"/>
      <c r="I269" s="56"/>
      <c r="J269" s="54"/>
      <c r="K269" s="92"/>
      <c r="L269" s="54"/>
      <c r="M269" s="92"/>
      <c r="N269" s="54"/>
      <c r="O269" s="92"/>
      <c r="P269" s="54"/>
      <c r="Q269" s="92"/>
      <c r="R269" s="54"/>
      <c r="S269" s="92"/>
      <c r="T269" s="117"/>
      <c r="U269" s="92"/>
      <c r="V269" s="54"/>
      <c r="W269" s="92"/>
      <c r="X269" s="54"/>
      <c r="Y269" s="92"/>
      <c r="Z269" s="54"/>
      <c r="AA269" s="92"/>
      <c r="AB269" s="54"/>
      <c r="AC269" s="92"/>
      <c r="AD269" s="54"/>
      <c r="AE269" s="92"/>
      <c r="AF269" s="54"/>
      <c r="AG269" s="92"/>
      <c r="AH269" s="54"/>
      <c r="AI269" s="92"/>
      <c r="AJ269" s="54"/>
      <c r="AK269" s="92"/>
      <c r="AL269" s="54"/>
      <c r="AM269" s="92"/>
      <c r="AO269" s="54"/>
      <c r="AP269" s="123"/>
      <c r="AQ269" s="54"/>
      <c r="AR269" s="154"/>
      <c r="AS269" s="1"/>
      <c r="AT269" s="1"/>
      <c r="AU269" s="9"/>
    </row>
    <row r="270">
      <c r="A270" s="54"/>
      <c r="B270" s="71" t="str">
        <f>IFERROR(HYPERLINK(VLOOKUP(A270,Internal_lists_bugs!$A$2:$C$73,3,FALSE()), VLOOKUP(A270,Internal_lists_bugs!$A$2:$C$73,3,FALSE())&amp;Char(10) &amp; Char(10) &amp; VLOOKUP(A270,Internal_lists_bugs!$A$2:$Z$73,26,FALSE())),"please select a BUG ID")</f>
        <v>please select a BUG ID</v>
      </c>
      <c r="C270" s="51" t="str">
        <f>IFERROR(VLOOKUP(A270,Internal_lists_bugs!$A$2:$G2002,7,FALSE()),"please select a BUG ID")</f>
        <v>please select a BUG ID</v>
      </c>
      <c r="D270" s="54"/>
      <c r="E270" s="56"/>
      <c r="F270" s="54"/>
      <c r="G270" s="56"/>
      <c r="H270" s="54"/>
      <c r="I270" s="56"/>
      <c r="J270" s="54"/>
      <c r="K270" s="92"/>
      <c r="L270" s="54"/>
      <c r="M270" s="92"/>
      <c r="N270" s="54"/>
      <c r="O270" s="92"/>
      <c r="P270" s="54"/>
      <c r="Q270" s="92"/>
      <c r="R270" s="54"/>
      <c r="S270" s="92"/>
      <c r="T270" s="117"/>
      <c r="U270" s="92"/>
      <c r="V270" s="54"/>
      <c r="W270" s="92"/>
      <c r="X270" s="54"/>
      <c r="Y270" s="92"/>
      <c r="Z270" s="54"/>
      <c r="AA270" s="92"/>
      <c r="AB270" s="54"/>
      <c r="AC270" s="92"/>
      <c r="AD270" s="54"/>
      <c r="AE270" s="92"/>
      <c r="AF270" s="54"/>
      <c r="AG270" s="92"/>
      <c r="AH270" s="54"/>
      <c r="AI270" s="92"/>
      <c r="AJ270" s="54"/>
      <c r="AK270" s="92"/>
      <c r="AL270" s="54"/>
      <c r="AM270" s="92"/>
      <c r="AO270" s="54"/>
      <c r="AP270" s="123"/>
      <c r="AQ270" s="54"/>
      <c r="AR270" s="154"/>
      <c r="AS270" s="1"/>
      <c r="AT270" s="1"/>
      <c r="AU270" s="9"/>
    </row>
    <row r="271">
      <c r="A271" s="54"/>
      <c r="B271" s="71" t="str">
        <f>IFERROR(HYPERLINK(VLOOKUP(A271,Internal_lists_bugs!$A$2:$C$73,3,FALSE()), VLOOKUP(A271,Internal_lists_bugs!$A$2:$C$73,3,FALSE())&amp;Char(10) &amp; Char(10) &amp; VLOOKUP(A271,Internal_lists_bugs!$A$2:$Z$73,26,FALSE())),"please select a BUG ID")</f>
        <v>please select a BUG ID</v>
      </c>
      <c r="C271" s="51" t="str">
        <f>IFERROR(VLOOKUP(A271,Internal_lists_bugs!$A$2:$G2002,7,FALSE()),"please select a BUG ID")</f>
        <v>please select a BUG ID</v>
      </c>
      <c r="D271" s="54"/>
      <c r="E271" s="56"/>
      <c r="F271" s="54"/>
      <c r="G271" s="56"/>
      <c r="H271" s="54"/>
      <c r="I271" s="56"/>
      <c r="J271" s="54"/>
      <c r="K271" s="92"/>
      <c r="L271" s="54"/>
      <c r="M271" s="92"/>
      <c r="N271" s="54"/>
      <c r="O271" s="92"/>
      <c r="P271" s="54"/>
      <c r="Q271" s="92"/>
      <c r="R271" s="54"/>
      <c r="S271" s="92"/>
      <c r="T271" s="117"/>
      <c r="U271" s="92"/>
      <c r="V271" s="54"/>
      <c r="W271" s="92"/>
      <c r="X271" s="54"/>
      <c r="Y271" s="92"/>
      <c r="Z271" s="54"/>
      <c r="AA271" s="92"/>
      <c r="AB271" s="54"/>
      <c r="AC271" s="92"/>
      <c r="AD271" s="54"/>
      <c r="AE271" s="92"/>
      <c r="AF271" s="54"/>
      <c r="AG271" s="92"/>
      <c r="AH271" s="54"/>
      <c r="AI271" s="92"/>
      <c r="AJ271" s="54"/>
      <c r="AK271" s="92"/>
      <c r="AL271" s="54"/>
      <c r="AM271" s="92"/>
      <c r="AO271" s="54"/>
      <c r="AP271" s="123"/>
      <c r="AQ271" s="54"/>
      <c r="AR271" s="154"/>
      <c r="AS271" s="1"/>
      <c r="AT271" s="1"/>
      <c r="AU271" s="9"/>
    </row>
    <row r="272">
      <c r="A272" s="54"/>
      <c r="B272" s="71" t="str">
        <f>IFERROR(HYPERLINK(VLOOKUP(A272,Internal_lists_bugs!$A$2:$C$73,3,FALSE()), VLOOKUP(A272,Internal_lists_bugs!$A$2:$C$73,3,FALSE())&amp;Char(10) &amp; Char(10) &amp; VLOOKUP(A272,Internal_lists_bugs!$A$2:$Z$73,26,FALSE())),"please select a BUG ID")</f>
        <v>please select a BUG ID</v>
      </c>
      <c r="C272" s="51" t="str">
        <f>IFERROR(VLOOKUP(A272,Internal_lists_bugs!$A$2:$G2002,7,FALSE()),"please select a BUG ID")</f>
        <v>please select a BUG ID</v>
      </c>
      <c r="D272" s="54"/>
      <c r="E272" s="56"/>
      <c r="F272" s="54"/>
      <c r="G272" s="56"/>
      <c r="H272" s="54"/>
      <c r="I272" s="56"/>
      <c r="J272" s="54"/>
      <c r="K272" s="92"/>
      <c r="L272" s="54"/>
      <c r="M272" s="92"/>
      <c r="N272" s="54"/>
      <c r="O272" s="92"/>
      <c r="P272" s="54"/>
      <c r="Q272" s="92"/>
      <c r="R272" s="54"/>
      <c r="S272" s="92"/>
      <c r="T272" s="117"/>
      <c r="U272" s="92"/>
      <c r="V272" s="54"/>
      <c r="W272" s="92"/>
      <c r="X272" s="54"/>
      <c r="Y272" s="92"/>
      <c r="Z272" s="54"/>
      <c r="AA272" s="92"/>
      <c r="AB272" s="54"/>
      <c r="AC272" s="92"/>
      <c r="AD272" s="54"/>
      <c r="AE272" s="92"/>
      <c r="AF272" s="54"/>
      <c r="AG272" s="92"/>
      <c r="AH272" s="54"/>
      <c r="AI272" s="92"/>
      <c r="AJ272" s="54"/>
      <c r="AK272" s="92"/>
      <c r="AL272" s="54"/>
      <c r="AM272" s="92"/>
      <c r="AO272" s="54"/>
      <c r="AP272" s="123"/>
      <c r="AQ272" s="54"/>
      <c r="AR272" s="154"/>
      <c r="AS272" s="1"/>
      <c r="AT272" s="1"/>
      <c r="AU272" s="9"/>
    </row>
    <row r="273">
      <c r="A273" s="54"/>
      <c r="B273" s="71" t="str">
        <f>IFERROR(HYPERLINK(VLOOKUP(A273,Internal_lists_bugs!$A$2:$C$73,3,FALSE()), VLOOKUP(A273,Internal_lists_bugs!$A$2:$C$73,3,FALSE())&amp;Char(10) &amp; Char(10) &amp; VLOOKUP(A273,Internal_lists_bugs!$A$2:$Z$73,26,FALSE())),"please select a BUG ID")</f>
        <v>please select a BUG ID</v>
      </c>
      <c r="C273" s="51" t="str">
        <f>IFERROR(VLOOKUP(A273,Internal_lists_bugs!$A$2:$G2002,7,FALSE()),"please select a BUG ID")</f>
        <v>please select a BUG ID</v>
      </c>
      <c r="D273" s="54"/>
      <c r="E273" s="56"/>
      <c r="F273" s="54"/>
      <c r="G273" s="56"/>
      <c r="H273" s="54"/>
      <c r="I273" s="56"/>
      <c r="J273" s="54"/>
      <c r="K273" s="92"/>
      <c r="L273" s="54"/>
      <c r="M273" s="92"/>
      <c r="N273" s="54"/>
      <c r="O273" s="92"/>
      <c r="P273" s="54"/>
      <c r="Q273" s="92"/>
      <c r="R273" s="54"/>
      <c r="S273" s="92"/>
      <c r="T273" s="117"/>
      <c r="U273" s="92"/>
      <c r="V273" s="54"/>
      <c r="W273" s="92"/>
      <c r="X273" s="54"/>
      <c r="Y273" s="92"/>
      <c r="Z273" s="54"/>
      <c r="AA273" s="92"/>
      <c r="AB273" s="54"/>
      <c r="AC273" s="92"/>
      <c r="AD273" s="54"/>
      <c r="AE273" s="92"/>
      <c r="AF273" s="54"/>
      <c r="AG273" s="92"/>
      <c r="AH273" s="54"/>
      <c r="AI273" s="92"/>
      <c r="AJ273" s="54"/>
      <c r="AK273" s="92"/>
      <c r="AL273" s="54"/>
      <c r="AM273" s="92"/>
      <c r="AO273" s="54"/>
      <c r="AP273" s="123"/>
      <c r="AQ273" s="54"/>
      <c r="AR273" s="154"/>
      <c r="AS273" s="1"/>
      <c r="AT273" s="1"/>
      <c r="AU273" s="9"/>
    </row>
    <row r="274">
      <c r="A274" s="54"/>
      <c r="B274" s="71" t="str">
        <f>IFERROR(HYPERLINK(VLOOKUP(A274,Internal_lists_bugs!$A$2:$C$73,3,FALSE()), VLOOKUP(A274,Internal_lists_bugs!$A$2:$C$73,3,FALSE())&amp;Char(10) &amp; Char(10) &amp; VLOOKUP(A274,Internal_lists_bugs!$A$2:$Z$73,26,FALSE())),"please select a BUG ID")</f>
        <v>please select a BUG ID</v>
      </c>
      <c r="C274" s="51" t="str">
        <f>IFERROR(VLOOKUP(A274,Internal_lists_bugs!$A$2:$G2002,7,FALSE()),"please select a BUG ID")</f>
        <v>please select a BUG ID</v>
      </c>
      <c r="D274" s="54"/>
      <c r="E274" s="56"/>
      <c r="F274" s="54"/>
      <c r="G274" s="56"/>
      <c r="H274" s="54"/>
      <c r="I274" s="56"/>
      <c r="J274" s="54"/>
      <c r="K274" s="92"/>
      <c r="L274" s="54"/>
      <c r="M274" s="92"/>
      <c r="N274" s="54"/>
      <c r="O274" s="92"/>
      <c r="P274" s="54"/>
      <c r="Q274" s="92"/>
      <c r="R274" s="54"/>
      <c r="S274" s="92"/>
      <c r="T274" s="117"/>
      <c r="U274" s="92"/>
      <c r="V274" s="54"/>
      <c r="W274" s="92"/>
      <c r="X274" s="54"/>
      <c r="Y274" s="92"/>
      <c r="Z274" s="54"/>
      <c r="AA274" s="92"/>
      <c r="AB274" s="54"/>
      <c r="AC274" s="92"/>
      <c r="AD274" s="54"/>
      <c r="AE274" s="92"/>
      <c r="AF274" s="54"/>
      <c r="AG274" s="92"/>
      <c r="AH274" s="54"/>
      <c r="AI274" s="92"/>
      <c r="AJ274" s="54"/>
      <c r="AK274" s="92"/>
      <c r="AL274" s="54"/>
      <c r="AM274" s="92"/>
      <c r="AO274" s="54"/>
      <c r="AP274" s="123"/>
      <c r="AQ274" s="54"/>
      <c r="AR274" s="154"/>
      <c r="AS274" s="1"/>
      <c r="AT274" s="1"/>
      <c r="AU274" s="9"/>
    </row>
    <row r="275">
      <c r="A275" s="54"/>
      <c r="B275" s="71" t="str">
        <f>IFERROR(HYPERLINK(VLOOKUP(A275,Internal_lists_bugs!$A$2:$C$73,3,FALSE()), VLOOKUP(A275,Internal_lists_bugs!$A$2:$C$73,3,FALSE())&amp;Char(10) &amp; Char(10) &amp; VLOOKUP(A275,Internal_lists_bugs!$A$2:$Z$73,26,FALSE())),"please select a BUG ID")</f>
        <v>please select a BUG ID</v>
      </c>
      <c r="C275" s="51" t="str">
        <f>IFERROR(VLOOKUP(A275,Internal_lists_bugs!$A$2:$G2002,7,FALSE()),"please select a BUG ID")</f>
        <v>please select a BUG ID</v>
      </c>
      <c r="D275" s="54"/>
      <c r="E275" s="56"/>
      <c r="F275" s="54"/>
      <c r="G275" s="56"/>
      <c r="H275" s="54"/>
      <c r="I275" s="56"/>
      <c r="J275" s="54"/>
      <c r="K275" s="92"/>
      <c r="L275" s="54"/>
      <c r="M275" s="92"/>
      <c r="N275" s="54"/>
      <c r="O275" s="92"/>
      <c r="P275" s="54"/>
      <c r="Q275" s="92"/>
      <c r="R275" s="54"/>
      <c r="S275" s="92"/>
      <c r="T275" s="117"/>
      <c r="U275" s="92"/>
      <c r="V275" s="54"/>
      <c r="W275" s="92"/>
      <c r="X275" s="54"/>
      <c r="Y275" s="92"/>
      <c r="Z275" s="54"/>
      <c r="AA275" s="92"/>
      <c r="AB275" s="54"/>
      <c r="AC275" s="92"/>
      <c r="AD275" s="54"/>
      <c r="AE275" s="92"/>
      <c r="AF275" s="54"/>
      <c r="AG275" s="92"/>
      <c r="AH275" s="54"/>
      <c r="AI275" s="92"/>
      <c r="AJ275" s="54"/>
      <c r="AK275" s="92"/>
      <c r="AL275" s="54"/>
      <c r="AM275" s="92"/>
      <c r="AO275" s="54"/>
      <c r="AP275" s="123"/>
      <c r="AQ275" s="54"/>
      <c r="AR275" s="154"/>
      <c r="AS275" s="1"/>
      <c r="AT275" s="1"/>
      <c r="AU275" s="9"/>
    </row>
    <row r="276">
      <c r="A276" s="54"/>
      <c r="B276" s="71" t="str">
        <f>IFERROR(HYPERLINK(VLOOKUP(A276,Internal_lists_bugs!$A$2:$C$73,3,FALSE()), VLOOKUP(A276,Internal_lists_bugs!$A$2:$C$73,3,FALSE())&amp;Char(10) &amp; Char(10) &amp; VLOOKUP(A276,Internal_lists_bugs!$A$2:$Z$73,26,FALSE())),"please select a BUG ID")</f>
        <v>please select a BUG ID</v>
      </c>
      <c r="C276" s="51" t="str">
        <f>IFERROR(VLOOKUP(A276,Internal_lists_bugs!$A$2:$G2002,7,FALSE()),"please select a BUG ID")</f>
        <v>please select a BUG ID</v>
      </c>
      <c r="D276" s="54"/>
      <c r="E276" s="56"/>
      <c r="F276" s="54"/>
      <c r="G276" s="56"/>
      <c r="H276" s="54"/>
      <c r="I276" s="56"/>
      <c r="J276" s="54"/>
      <c r="K276" s="92"/>
      <c r="L276" s="54"/>
      <c r="M276" s="92"/>
      <c r="N276" s="54"/>
      <c r="O276" s="92"/>
      <c r="P276" s="54"/>
      <c r="Q276" s="92"/>
      <c r="R276" s="54"/>
      <c r="S276" s="92"/>
      <c r="T276" s="117"/>
      <c r="U276" s="92"/>
      <c r="V276" s="54"/>
      <c r="W276" s="92"/>
      <c r="X276" s="54"/>
      <c r="Y276" s="92"/>
      <c r="Z276" s="54"/>
      <c r="AA276" s="92"/>
      <c r="AB276" s="54"/>
      <c r="AC276" s="92"/>
      <c r="AD276" s="54"/>
      <c r="AE276" s="92"/>
      <c r="AF276" s="54"/>
      <c r="AG276" s="92"/>
      <c r="AH276" s="54"/>
      <c r="AI276" s="92"/>
      <c r="AJ276" s="54"/>
      <c r="AK276" s="92"/>
      <c r="AL276" s="54"/>
      <c r="AM276" s="92"/>
      <c r="AO276" s="54"/>
      <c r="AP276" s="123"/>
      <c r="AQ276" s="54"/>
      <c r="AR276" s="154"/>
      <c r="AS276" s="1"/>
      <c r="AT276" s="1"/>
      <c r="AU276" s="9"/>
    </row>
    <row r="277">
      <c r="A277" s="54"/>
      <c r="B277" s="71" t="str">
        <f>IFERROR(HYPERLINK(VLOOKUP(A277,Internal_lists_bugs!$A$2:$C$73,3,FALSE()), VLOOKUP(A277,Internal_lists_bugs!$A$2:$C$73,3,FALSE())&amp;Char(10) &amp; Char(10) &amp; VLOOKUP(A277,Internal_lists_bugs!$A$2:$Z$73,26,FALSE())),"please select a BUG ID")</f>
        <v>please select a BUG ID</v>
      </c>
      <c r="C277" s="51" t="str">
        <f>IFERROR(VLOOKUP(A277,Internal_lists_bugs!$A$2:$G2002,7,FALSE()),"please select a BUG ID")</f>
        <v>please select a BUG ID</v>
      </c>
      <c r="D277" s="54"/>
      <c r="E277" s="56"/>
      <c r="F277" s="54"/>
      <c r="G277" s="56"/>
      <c r="H277" s="54"/>
      <c r="I277" s="56"/>
      <c r="J277" s="54"/>
      <c r="K277" s="92"/>
      <c r="L277" s="54"/>
      <c r="M277" s="92"/>
      <c r="N277" s="54"/>
      <c r="O277" s="92"/>
      <c r="P277" s="54"/>
      <c r="Q277" s="92"/>
      <c r="R277" s="54"/>
      <c r="S277" s="92"/>
      <c r="T277" s="117"/>
      <c r="U277" s="92"/>
      <c r="V277" s="54"/>
      <c r="W277" s="92"/>
      <c r="X277" s="54"/>
      <c r="Y277" s="92"/>
      <c r="Z277" s="54"/>
      <c r="AA277" s="92"/>
      <c r="AB277" s="54"/>
      <c r="AC277" s="92"/>
      <c r="AD277" s="54"/>
      <c r="AE277" s="92"/>
      <c r="AF277" s="54"/>
      <c r="AG277" s="92"/>
      <c r="AH277" s="54"/>
      <c r="AI277" s="92"/>
      <c r="AJ277" s="54"/>
      <c r="AK277" s="92"/>
      <c r="AL277" s="54"/>
      <c r="AM277" s="92"/>
      <c r="AO277" s="54"/>
      <c r="AP277" s="123"/>
      <c r="AQ277" s="54"/>
      <c r="AR277" s="154"/>
      <c r="AS277" s="1"/>
      <c r="AT277" s="1"/>
      <c r="AU277" s="9"/>
    </row>
    <row r="278">
      <c r="A278" s="54"/>
      <c r="B278" s="71" t="str">
        <f>IFERROR(HYPERLINK(VLOOKUP(A278,Internal_lists_bugs!$A$2:$C$73,3,FALSE()), VLOOKUP(A278,Internal_lists_bugs!$A$2:$C$73,3,FALSE())&amp;Char(10) &amp; Char(10) &amp; VLOOKUP(A278,Internal_lists_bugs!$A$2:$Z$73,26,FALSE())),"please select a BUG ID")</f>
        <v>please select a BUG ID</v>
      </c>
      <c r="C278" s="51" t="str">
        <f>IFERROR(VLOOKUP(A278,Internal_lists_bugs!$A$2:$G2002,7,FALSE()),"please select a BUG ID")</f>
        <v>please select a BUG ID</v>
      </c>
      <c r="D278" s="54"/>
      <c r="E278" s="56"/>
      <c r="F278" s="54"/>
      <c r="G278" s="56"/>
      <c r="H278" s="54"/>
      <c r="I278" s="56"/>
      <c r="J278" s="54"/>
      <c r="K278" s="92"/>
      <c r="L278" s="54"/>
      <c r="M278" s="92"/>
      <c r="N278" s="54"/>
      <c r="O278" s="92"/>
      <c r="P278" s="54"/>
      <c r="Q278" s="92"/>
      <c r="R278" s="54"/>
      <c r="S278" s="92"/>
      <c r="T278" s="117"/>
      <c r="U278" s="92"/>
      <c r="V278" s="54"/>
      <c r="W278" s="92"/>
      <c r="X278" s="54"/>
      <c r="Y278" s="92"/>
      <c r="Z278" s="54"/>
      <c r="AA278" s="92"/>
      <c r="AB278" s="54"/>
      <c r="AC278" s="92"/>
      <c r="AD278" s="54"/>
      <c r="AE278" s="92"/>
      <c r="AF278" s="54"/>
      <c r="AG278" s="92"/>
      <c r="AH278" s="54"/>
      <c r="AI278" s="92"/>
      <c r="AJ278" s="54"/>
      <c r="AK278" s="92"/>
      <c r="AL278" s="54"/>
      <c r="AM278" s="92"/>
      <c r="AO278" s="54"/>
      <c r="AP278" s="123"/>
      <c r="AQ278" s="54"/>
      <c r="AR278" s="154"/>
      <c r="AS278" s="1"/>
      <c r="AT278" s="1"/>
      <c r="AU278" s="9"/>
    </row>
    <row r="279">
      <c r="A279" s="54"/>
      <c r="B279" s="71" t="str">
        <f>IFERROR(HYPERLINK(VLOOKUP(A279,Internal_lists_bugs!$A$2:$C$73,3,FALSE()), VLOOKUP(A279,Internal_lists_bugs!$A$2:$C$73,3,FALSE())&amp;Char(10) &amp; Char(10) &amp; VLOOKUP(A279,Internal_lists_bugs!$A$2:$Z$73,26,FALSE())),"please select a BUG ID")</f>
        <v>please select a BUG ID</v>
      </c>
      <c r="C279" s="51" t="str">
        <f>IFERROR(VLOOKUP(A279,Internal_lists_bugs!$A$2:$G2002,7,FALSE()),"please select a BUG ID")</f>
        <v>please select a BUG ID</v>
      </c>
      <c r="D279" s="54"/>
      <c r="E279" s="56"/>
      <c r="F279" s="54"/>
      <c r="G279" s="56"/>
      <c r="H279" s="54"/>
      <c r="I279" s="56"/>
      <c r="J279" s="54"/>
      <c r="K279" s="92"/>
      <c r="L279" s="54"/>
      <c r="M279" s="92"/>
      <c r="N279" s="54"/>
      <c r="O279" s="92"/>
      <c r="P279" s="54"/>
      <c r="Q279" s="92"/>
      <c r="R279" s="54"/>
      <c r="S279" s="92"/>
      <c r="T279" s="117"/>
      <c r="U279" s="92"/>
      <c r="V279" s="54"/>
      <c r="W279" s="92"/>
      <c r="X279" s="54"/>
      <c r="Y279" s="92"/>
      <c r="Z279" s="54"/>
      <c r="AA279" s="92"/>
      <c r="AB279" s="54"/>
      <c r="AC279" s="92"/>
      <c r="AD279" s="54"/>
      <c r="AE279" s="92"/>
      <c r="AF279" s="54"/>
      <c r="AG279" s="92"/>
      <c r="AH279" s="54"/>
      <c r="AI279" s="92"/>
      <c r="AJ279" s="54"/>
      <c r="AK279" s="92"/>
      <c r="AL279" s="54"/>
      <c r="AM279" s="92"/>
      <c r="AO279" s="54"/>
      <c r="AP279" s="123"/>
      <c r="AQ279" s="54"/>
      <c r="AR279" s="154"/>
      <c r="AS279" s="1"/>
      <c r="AT279" s="1"/>
      <c r="AU279" s="9"/>
    </row>
    <row r="280">
      <c r="A280" s="54"/>
      <c r="B280" s="71" t="str">
        <f>IFERROR(HYPERLINK(VLOOKUP(A280,Internal_lists_bugs!$A$2:$C$73,3,FALSE()), VLOOKUP(A280,Internal_lists_bugs!$A$2:$C$73,3,FALSE())&amp;Char(10) &amp; Char(10) &amp; VLOOKUP(A280,Internal_lists_bugs!$A$2:$Z$73,26,FALSE())),"please select a BUG ID")</f>
        <v>please select a BUG ID</v>
      </c>
      <c r="C280" s="51" t="str">
        <f>IFERROR(VLOOKUP(A280,Internal_lists_bugs!$A$2:$G2002,7,FALSE()),"please select a BUG ID")</f>
        <v>please select a BUG ID</v>
      </c>
      <c r="D280" s="54"/>
      <c r="E280" s="56"/>
      <c r="F280" s="54"/>
      <c r="G280" s="56"/>
      <c r="H280" s="54"/>
      <c r="I280" s="56"/>
      <c r="J280" s="54"/>
      <c r="K280" s="92"/>
      <c r="L280" s="54"/>
      <c r="M280" s="92"/>
      <c r="N280" s="54"/>
      <c r="O280" s="92"/>
      <c r="P280" s="54"/>
      <c r="Q280" s="92"/>
      <c r="R280" s="54"/>
      <c r="S280" s="92"/>
      <c r="T280" s="117"/>
      <c r="U280" s="92"/>
      <c r="V280" s="54"/>
      <c r="W280" s="92"/>
      <c r="X280" s="54"/>
      <c r="Y280" s="92"/>
      <c r="Z280" s="54"/>
      <c r="AA280" s="92"/>
      <c r="AB280" s="54"/>
      <c r="AC280" s="92"/>
      <c r="AD280" s="54"/>
      <c r="AE280" s="92"/>
      <c r="AF280" s="54"/>
      <c r="AG280" s="92"/>
      <c r="AH280" s="54"/>
      <c r="AI280" s="92"/>
      <c r="AJ280" s="54"/>
      <c r="AK280" s="92"/>
      <c r="AL280" s="54"/>
      <c r="AM280" s="92"/>
      <c r="AO280" s="54"/>
      <c r="AP280" s="123"/>
      <c r="AQ280" s="54"/>
      <c r="AR280" s="154"/>
      <c r="AS280" s="1"/>
      <c r="AT280" s="1"/>
      <c r="AU280" s="9"/>
    </row>
    <row r="281">
      <c r="A281" s="54"/>
      <c r="B281" s="71" t="str">
        <f>IFERROR(HYPERLINK(VLOOKUP(A281,Internal_lists_bugs!$A$2:$C$73,3,FALSE()), VLOOKUP(A281,Internal_lists_bugs!$A$2:$C$73,3,FALSE())&amp;Char(10) &amp; Char(10) &amp; VLOOKUP(A281,Internal_lists_bugs!$A$2:$Z$73,26,FALSE())),"please select a BUG ID")</f>
        <v>please select a BUG ID</v>
      </c>
      <c r="C281" s="51" t="str">
        <f>IFERROR(VLOOKUP(A281,Internal_lists_bugs!$A$2:$G2002,7,FALSE()),"please select a BUG ID")</f>
        <v>please select a BUG ID</v>
      </c>
      <c r="D281" s="54"/>
      <c r="E281" s="56"/>
      <c r="F281" s="54"/>
      <c r="G281" s="56"/>
      <c r="H281" s="54"/>
      <c r="I281" s="56"/>
      <c r="J281" s="54"/>
      <c r="K281" s="92"/>
      <c r="L281" s="54"/>
      <c r="M281" s="92"/>
      <c r="N281" s="54"/>
      <c r="O281" s="92"/>
      <c r="P281" s="54"/>
      <c r="Q281" s="92"/>
      <c r="R281" s="54"/>
      <c r="S281" s="92"/>
      <c r="T281" s="117"/>
      <c r="U281" s="92"/>
      <c r="V281" s="54"/>
      <c r="W281" s="92"/>
      <c r="X281" s="54"/>
      <c r="Y281" s="92"/>
      <c r="Z281" s="54"/>
      <c r="AA281" s="92"/>
      <c r="AB281" s="54"/>
      <c r="AC281" s="92"/>
      <c r="AD281" s="54"/>
      <c r="AE281" s="92"/>
      <c r="AF281" s="54"/>
      <c r="AG281" s="92"/>
      <c r="AH281" s="54"/>
      <c r="AI281" s="92"/>
      <c r="AJ281" s="54"/>
      <c r="AK281" s="92"/>
      <c r="AL281" s="54"/>
      <c r="AM281" s="92"/>
      <c r="AO281" s="54"/>
      <c r="AP281" s="123"/>
      <c r="AQ281" s="54"/>
      <c r="AR281" s="154"/>
      <c r="AS281" s="1"/>
      <c r="AT281" s="1"/>
      <c r="AU281" s="9"/>
    </row>
    <row r="282">
      <c r="A282" s="54"/>
      <c r="B282" s="71" t="str">
        <f>IFERROR(HYPERLINK(VLOOKUP(A282,Internal_lists_bugs!$A$2:$C$73,3,FALSE()), VLOOKUP(A282,Internal_lists_bugs!$A$2:$C$73,3,FALSE())&amp;Char(10) &amp; Char(10) &amp; VLOOKUP(A282,Internal_lists_bugs!$A$2:$Z$73,26,FALSE())),"please select a BUG ID")</f>
        <v>please select a BUG ID</v>
      </c>
      <c r="C282" s="51" t="str">
        <f>IFERROR(VLOOKUP(A282,Internal_lists_bugs!$A$2:$G2002,7,FALSE()),"please select a BUG ID")</f>
        <v>please select a BUG ID</v>
      </c>
      <c r="D282" s="54"/>
      <c r="E282" s="56"/>
      <c r="F282" s="54"/>
      <c r="G282" s="56"/>
      <c r="H282" s="54"/>
      <c r="I282" s="56"/>
      <c r="J282" s="54"/>
      <c r="K282" s="92"/>
      <c r="L282" s="54"/>
      <c r="M282" s="92"/>
      <c r="N282" s="54"/>
      <c r="O282" s="92"/>
      <c r="P282" s="54"/>
      <c r="Q282" s="92"/>
      <c r="R282" s="54"/>
      <c r="S282" s="92"/>
      <c r="T282" s="117"/>
      <c r="U282" s="92"/>
      <c r="V282" s="54"/>
      <c r="W282" s="92"/>
      <c r="X282" s="54"/>
      <c r="Y282" s="92"/>
      <c r="Z282" s="54"/>
      <c r="AA282" s="92"/>
      <c r="AB282" s="54"/>
      <c r="AC282" s="92"/>
      <c r="AD282" s="54"/>
      <c r="AE282" s="92"/>
      <c r="AF282" s="54"/>
      <c r="AG282" s="92"/>
      <c r="AH282" s="54"/>
      <c r="AI282" s="92"/>
      <c r="AJ282" s="54"/>
      <c r="AK282" s="92"/>
      <c r="AL282" s="54"/>
      <c r="AM282" s="92"/>
      <c r="AO282" s="54"/>
      <c r="AP282" s="123"/>
      <c r="AQ282" s="54"/>
      <c r="AR282" s="154"/>
      <c r="AS282" s="1"/>
      <c r="AT282" s="1"/>
      <c r="AU282" s="9"/>
    </row>
    <row r="283">
      <c r="A283" s="54"/>
      <c r="B283" s="71" t="str">
        <f>IFERROR(HYPERLINK(VLOOKUP(A283,Internal_lists_bugs!$A$2:$C$73,3,FALSE()), VLOOKUP(A283,Internal_lists_bugs!$A$2:$C$73,3,FALSE())&amp;Char(10) &amp; Char(10) &amp; VLOOKUP(A283,Internal_lists_bugs!$A$2:$Z$73,26,FALSE())),"please select a BUG ID")</f>
        <v>please select a BUG ID</v>
      </c>
      <c r="C283" s="51" t="str">
        <f>IFERROR(VLOOKUP(A283,Internal_lists_bugs!$A$2:$G2002,7,FALSE()),"please select a BUG ID")</f>
        <v>please select a BUG ID</v>
      </c>
      <c r="D283" s="54"/>
      <c r="E283" s="56"/>
      <c r="F283" s="54"/>
      <c r="G283" s="56"/>
      <c r="H283" s="54"/>
      <c r="I283" s="56"/>
      <c r="J283" s="54"/>
      <c r="K283" s="92"/>
      <c r="L283" s="54"/>
      <c r="M283" s="92"/>
      <c r="N283" s="54"/>
      <c r="O283" s="92"/>
      <c r="P283" s="54"/>
      <c r="Q283" s="92"/>
      <c r="R283" s="54"/>
      <c r="S283" s="92"/>
      <c r="T283" s="117"/>
      <c r="U283" s="92"/>
      <c r="V283" s="54"/>
      <c r="W283" s="92"/>
      <c r="X283" s="54"/>
      <c r="Y283" s="92"/>
      <c r="Z283" s="54"/>
      <c r="AA283" s="92"/>
      <c r="AB283" s="54"/>
      <c r="AC283" s="92"/>
      <c r="AD283" s="54"/>
      <c r="AE283" s="92"/>
      <c r="AF283" s="54"/>
      <c r="AG283" s="92"/>
      <c r="AH283" s="54"/>
      <c r="AI283" s="92"/>
      <c r="AJ283" s="54"/>
      <c r="AK283" s="92"/>
      <c r="AL283" s="54"/>
      <c r="AM283" s="92"/>
      <c r="AO283" s="54"/>
      <c r="AP283" s="123"/>
      <c r="AQ283" s="54"/>
      <c r="AR283" s="154"/>
      <c r="AS283" s="1"/>
      <c r="AT283" s="1"/>
      <c r="AU283" s="9"/>
    </row>
    <row r="284">
      <c r="A284" s="54"/>
      <c r="B284" s="71" t="str">
        <f>IFERROR(HYPERLINK(VLOOKUP(A284,Internal_lists_bugs!$A$2:$C$73,3,FALSE()), VLOOKUP(A284,Internal_lists_bugs!$A$2:$C$73,3,FALSE())&amp;Char(10) &amp; Char(10) &amp; VLOOKUP(A284,Internal_lists_bugs!$A$2:$Z$73,26,FALSE())),"please select a BUG ID")</f>
        <v>please select a BUG ID</v>
      </c>
      <c r="C284" s="51" t="str">
        <f>IFERROR(VLOOKUP(A284,Internal_lists_bugs!$A$2:$G2002,7,FALSE()),"please select a BUG ID")</f>
        <v>please select a BUG ID</v>
      </c>
      <c r="D284" s="54"/>
      <c r="E284" s="56"/>
      <c r="F284" s="54"/>
      <c r="G284" s="56"/>
      <c r="H284" s="54"/>
      <c r="I284" s="56"/>
      <c r="J284" s="54"/>
      <c r="K284" s="92"/>
      <c r="L284" s="54"/>
      <c r="M284" s="92"/>
      <c r="N284" s="54"/>
      <c r="O284" s="92"/>
      <c r="P284" s="54"/>
      <c r="Q284" s="92"/>
      <c r="R284" s="54"/>
      <c r="S284" s="92"/>
      <c r="T284" s="117"/>
      <c r="U284" s="92"/>
      <c r="V284" s="54"/>
      <c r="W284" s="92"/>
      <c r="X284" s="54"/>
      <c r="Y284" s="92"/>
      <c r="Z284" s="54"/>
      <c r="AA284" s="92"/>
      <c r="AB284" s="54"/>
      <c r="AC284" s="92"/>
      <c r="AD284" s="54"/>
      <c r="AE284" s="92"/>
      <c r="AF284" s="54"/>
      <c r="AG284" s="92"/>
      <c r="AH284" s="54"/>
      <c r="AI284" s="92"/>
      <c r="AJ284" s="54"/>
      <c r="AK284" s="92"/>
      <c r="AL284" s="54"/>
      <c r="AM284" s="92"/>
      <c r="AO284" s="54"/>
      <c r="AP284" s="123"/>
      <c r="AQ284" s="54"/>
      <c r="AR284" s="154"/>
      <c r="AS284" s="1"/>
      <c r="AT284" s="1"/>
      <c r="AU284" s="9"/>
    </row>
    <row r="285">
      <c r="A285" s="54"/>
      <c r="B285" s="71" t="str">
        <f>IFERROR(HYPERLINK(VLOOKUP(A285,Internal_lists_bugs!$A$2:$C$73,3,FALSE()), VLOOKUP(A285,Internal_lists_bugs!$A$2:$C$73,3,FALSE())&amp;Char(10) &amp; Char(10) &amp; VLOOKUP(A285,Internal_lists_bugs!$A$2:$Z$73,26,FALSE())),"please select a BUG ID")</f>
        <v>please select a BUG ID</v>
      </c>
      <c r="C285" s="51" t="str">
        <f>IFERROR(VLOOKUP(A285,Internal_lists_bugs!$A$2:$G2002,7,FALSE()),"please select a BUG ID")</f>
        <v>please select a BUG ID</v>
      </c>
      <c r="D285" s="54"/>
      <c r="E285" s="56"/>
      <c r="F285" s="54"/>
      <c r="G285" s="56"/>
      <c r="H285" s="54"/>
      <c r="I285" s="56"/>
      <c r="J285" s="54"/>
      <c r="K285" s="92"/>
      <c r="L285" s="54"/>
      <c r="M285" s="92"/>
      <c r="N285" s="54"/>
      <c r="O285" s="92"/>
      <c r="P285" s="54"/>
      <c r="Q285" s="92"/>
      <c r="R285" s="54"/>
      <c r="S285" s="92"/>
      <c r="T285" s="117"/>
      <c r="U285" s="92"/>
      <c r="V285" s="54"/>
      <c r="W285" s="92"/>
      <c r="X285" s="54"/>
      <c r="Y285" s="92"/>
      <c r="Z285" s="54"/>
      <c r="AA285" s="92"/>
      <c r="AB285" s="54"/>
      <c r="AC285" s="92"/>
      <c r="AD285" s="54"/>
      <c r="AE285" s="92"/>
      <c r="AF285" s="54"/>
      <c r="AG285" s="92"/>
      <c r="AH285" s="54"/>
      <c r="AI285" s="92"/>
      <c r="AJ285" s="54"/>
      <c r="AK285" s="92"/>
      <c r="AL285" s="54"/>
      <c r="AM285" s="92"/>
      <c r="AO285" s="54"/>
      <c r="AP285" s="123"/>
      <c r="AQ285" s="54"/>
      <c r="AR285" s="154"/>
      <c r="AS285" s="1"/>
      <c r="AT285" s="1"/>
      <c r="AU285" s="9"/>
    </row>
    <row r="286">
      <c r="A286" s="54"/>
      <c r="B286" s="71" t="str">
        <f>IFERROR(HYPERLINK(VLOOKUP(A286,Internal_lists_bugs!$A$2:$C$73,3,FALSE()), VLOOKUP(A286,Internal_lists_bugs!$A$2:$C$73,3,FALSE())&amp;Char(10) &amp; Char(10) &amp; VLOOKUP(A286,Internal_lists_bugs!$A$2:$Z$73,26,FALSE())),"please select a BUG ID")</f>
        <v>please select a BUG ID</v>
      </c>
      <c r="C286" s="51" t="str">
        <f>IFERROR(VLOOKUP(A286,Internal_lists_bugs!$A$2:$G2002,7,FALSE()),"please select a BUG ID")</f>
        <v>please select a BUG ID</v>
      </c>
      <c r="D286" s="54"/>
      <c r="E286" s="56"/>
      <c r="F286" s="54"/>
      <c r="G286" s="56"/>
      <c r="H286" s="54"/>
      <c r="I286" s="56"/>
      <c r="J286" s="54"/>
      <c r="K286" s="92"/>
      <c r="L286" s="54"/>
      <c r="M286" s="92"/>
      <c r="N286" s="54"/>
      <c r="O286" s="92"/>
      <c r="P286" s="54"/>
      <c r="Q286" s="92"/>
      <c r="R286" s="54"/>
      <c r="S286" s="92"/>
      <c r="T286" s="117"/>
      <c r="U286" s="92"/>
      <c r="V286" s="54"/>
      <c r="W286" s="92"/>
      <c r="X286" s="54"/>
      <c r="Y286" s="92"/>
      <c r="Z286" s="54"/>
      <c r="AA286" s="92"/>
      <c r="AB286" s="54"/>
      <c r="AC286" s="92"/>
      <c r="AD286" s="54"/>
      <c r="AE286" s="92"/>
      <c r="AF286" s="54"/>
      <c r="AG286" s="92"/>
      <c r="AH286" s="54"/>
      <c r="AI286" s="92"/>
      <c r="AJ286" s="54"/>
      <c r="AK286" s="92"/>
      <c r="AL286" s="54"/>
      <c r="AM286" s="92"/>
      <c r="AO286" s="54"/>
      <c r="AP286" s="123"/>
      <c r="AQ286" s="54"/>
      <c r="AR286" s="154"/>
      <c r="AS286" s="1"/>
      <c r="AT286" s="1"/>
      <c r="AU286" s="9"/>
    </row>
    <row r="287">
      <c r="A287" s="54"/>
      <c r="B287" s="71" t="str">
        <f>IFERROR(HYPERLINK(VLOOKUP(A287,Internal_lists_bugs!$A$2:$C$73,3,FALSE()), VLOOKUP(A287,Internal_lists_bugs!$A$2:$C$73,3,FALSE())&amp;Char(10) &amp; Char(10) &amp; VLOOKUP(A287,Internal_lists_bugs!$A$2:$Z$73,26,FALSE())),"please select a BUG ID")</f>
        <v>please select a BUG ID</v>
      </c>
      <c r="C287" s="51" t="str">
        <f>IFERROR(VLOOKUP(A287,Internal_lists_bugs!$A$2:$G2002,7,FALSE()),"please select a BUG ID")</f>
        <v>please select a BUG ID</v>
      </c>
      <c r="D287" s="54"/>
      <c r="E287" s="56"/>
      <c r="F287" s="54"/>
      <c r="G287" s="56"/>
      <c r="H287" s="54"/>
      <c r="I287" s="56"/>
      <c r="J287" s="54"/>
      <c r="K287" s="92"/>
      <c r="L287" s="54"/>
      <c r="M287" s="92"/>
      <c r="N287" s="54"/>
      <c r="O287" s="92"/>
      <c r="P287" s="54"/>
      <c r="Q287" s="92"/>
      <c r="R287" s="54"/>
      <c r="S287" s="92"/>
      <c r="T287" s="117"/>
      <c r="U287" s="92"/>
      <c r="V287" s="54"/>
      <c r="W287" s="92"/>
      <c r="X287" s="54"/>
      <c r="Y287" s="92"/>
      <c r="Z287" s="54"/>
      <c r="AA287" s="92"/>
      <c r="AB287" s="54"/>
      <c r="AC287" s="92"/>
      <c r="AD287" s="54"/>
      <c r="AE287" s="92"/>
      <c r="AF287" s="54"/>
      <c r="AG287" s="92"/>
      <c r="AH287" s="54"/>
      <c r="AI287" s="92"/>
      <c r="AJ287" s="54"/>
      <c r="AK287" s="92"/>
      <c r="AL287" s="54"/>
      <c r="AM287" s="92"/>
      <c r="AO287" s="54"/>
      <c r="AP287" s="123"/>
      <c r="AQ287" s="54"/>
      <c r="AR287" s="154"/>
      <c r="AS287" s="1"/>
      <c r="AT287" s="1"/>
      <c r="AU287" s="9"/>
    </row>
    <row r="288">
      <c r="A288" s="54"/>
      <c r="B288" s="71" t="str">
        <f>IFERROR(HYPERLINK(VLOOKUP(A288,Internal_lists_bugs!$A$2:$C$73,3,FALSE()), VLOOKUP(A288,Internal_lists_bugs!$A$2:$C$73,3,FALSE())&amp;Char(10) &amp; Char(10) &amp; VLOOKUP(A288,Internal_lists_bugs!$A$2:$Z$73,26,FALSE())),"please select a BUG ID")</f>
        <v>please select a BUG ID</v>
      </c>
      <c r="C288" s="51" t="str">
        <f>IFERROR(VLOOKUP(A288,Internal_lists_bugs!$A$2:$G2002,7,FALSE()),"please select a BUG ID")</f>
        <v>please select a BUG ID</v>
      </c>
      <c r="D288" s="54"/>
      <c r="E288" s="56"/>
      <c r="F288" s="54"/>
      <c r="G288" s="56"/>
      <c r="H288" s="54"/>
      <c r="I288" s="56"/>
      <c r="J288" s="54"/>
      <c r="K288" s="92"/>
      <c r="L288" s="54"/>
      <c r="M288" s="92"/>
      <c r="N288" s="54"/>
      <c r="O288" s="92"/>
      <c r="P288" s="54"/>
      <c r="Q288" s="92"/>
      <c r="R288" s="54"/>
      <c r="S288" s="92"/>
      <c r="T288" s="117"/>
      <c r="U288" s="92"/>
      <c r="V288" s="54"/>
      <c r="W288" s="92"/>
      <c r="X288" s="54"/>
      <c r="Y288" s="92"/>
      <c r="Z288" s="54"/>
      <c r="AA288" s="92"/>
      <c r="AB288" s="54"/>
      <c r="AC288" s="92"/>
      <c r="AD288" s="54"/>
      <c r="AE288" s="92"/>
      <c r="AF288" s="54"/>
      <c r="AG288" s="92"/>
      <c r="AH288" s="54"/>
      <c r="AI288" s="92"/>
      <c r="AJ288" s="54"/>
      <c r="AK288" s="92"/>
      <c r="AL288" s="54"/>
      <c r="AM288" s="92"/>
      <c r="AO288" s="54"/>
      <c r="AP288" s="123"/>
      <c r="AQ288" s="54"/>
      <c r="AR288" s="154"/>
      <c r="AS288" s="1"/>
      <c r="AT288" s="1"/>
      <c r="AU288" s="9"/>
    </row>
    <row r="289">
      <c r="A289" s="54"/>
      <c r="B289" s="71" t="str">
        <f>IFERROR(HYPERLINK(VLOOKUP(A289,Internal_lists_bugs!$A$2:$C$73,3,FALSE()), VLOOKUP(A289,Internal_lists_bugs!$A$2:$C$73,3,FALSE())&amp;Char(10) &amp; Char(10) &amp; VLOOKUP(A289,Internal_lists_bugs!$A$2:$Z$73,26,FALSE())),"please select a BUG ID")</f>
        <v>please select a BUG ID</v>
      </c>
      <c r="C289" s="51" t="str">
        <f>IFERROR(VLOOKUP(A289,Internal_lists_bugs!$A$2:$G2002,7,FALSE()),"please select a BUG ID")</f>
        <v>please select a BUG ID</v>
      </c>
      <c r="D289" s="54"/>
      <c r="E289" s="56"/>
      <c r="F289" s="54"/>
      <c r="G289" s="56"/>
      <c r="H289" s="54"/>
      <c r="I289" s="56"/>
      <c r="J289" s="54"/>
      <c r="K289" s="92"/>
      <c r="L289" s="54"/>
      <c r="M289" s="92"/>
      <c r="N289" s="54"/>
      <c r="O289" s="92"/>
      <c r="P289" s="54"/>
      <c r="Q289" s="92"/>
      <c r="R289" s="54"/>
      <c r="S289" s="92"/>
      <c r="T289" s="117"/>
      <c r="U289" s="92"/>
      <c r="V289" s="54"/>
      <c r="W289" s="92"/>
      <c r="X289" s="54"/>
      <c r="Y289" s="92"/>
      <c r="Z289" s="54"/>
      <c r="AA289" s="92"/>
      <c r="AB289" s="54"/>
      <c r="AC289" s="92"/>
      <c r="AD289" s="54"/>
      <c r="AE289" s="92"/>
      <c r="AF289" s="54"/>
      <c r="AG289" s="92"/>
      <c r="AH289" s="54"/>
      <c r="AI289" s="92"/>
      <c r="AJ289" s="54"/>
      <c r="AK289" s="92"/>
      <c r="AL289" s="54"/>
      <c r="AM289" s="92"/>
      <c r="AO289" s="54"/>
      <c r="AP289" s="123"/>
      <c r="AQ289" s="54"/>
      <c r="AR289" s="154"/>
      <c r="AS289" s="1"/>
      <c r="AT289" s="1"/>
      <c r="AU289" s="9"/>
    </row>
    <row r="290">
      <c r="A290" s="54"/>
      <c r="B290" s="71" t="str">
        <f>IFERROR(HYPERLINK(VLOOKUP(A290,Internal_lists_bugs!$A$2:$C$73,3,FALSE()), VLOOKUP(A290,Internal_lists_bugs!$A$2:$C$73,3,FALSE())&amp;Char(10) &amp; Char(10) &amp; VLOOKUP(A290,Internal_lists_bugs!$A$2:$Z$73,26,FALSE())),"please select a BUG ID")</f>
        <v>please select a BUG ID</v>
      </c>
      <c r="C290" s="51" t="str">
        <f>IFERROR(VLOOKUP(A290,Internal_lists_bugs!$A$2:$G2002,7,FALSE()),"please select a BUG ID")</f>
        <v>please select a BUG ID</v>
      </c>
      <c r="D290" s="54"/>
      <c r="E290" s="56"/>
      <c r="F290" s="54"/>
      <c r="G290" s="56"/>
      <c r="H290" s="54"/>
      <c r="I290" s="56"/>
      <c r="J290" s="54"/>
      <c r="K290" s="92"/>
      <c r="L290" s="54"/>
      <c r="M290" s="92"/>
      <c r="N290" s="54"/>
      <c r="O290" s="92"/>
      <c r="P290" s="54"/>
      <c r="Q290" s="92"/>
      <c r="R290" s="54"/>
      <c r="S290" s="92"/>
      <c r="T290" s="117"/>
      <c r="U290" s="92"/>
      <c r="V290" s="54"/>
      <c r="W290" s="92"/>
      <c r="X290" s="54"/>
      <c r="Y290" s="92"/>
      <c r="Z290" s="54"/>
      <c r="AA290" s="92"/>
      <c r="AB290" s="54"/>
      <c r="AC290" s="92"/>
      <c r="AD290" s="54"/>
      <c r="AE290" s="92"/>
      <c r="AF290" s="54"/>
      <c r="AG290" s="92"/>
      <c r="AH290" s="54"/>
      <c r="AI290" s="92"/>
      <c r="AJ290" s="54"/>
      <c r="AK290" s="92"/>
      <c r="AL290" s="54"/>
      <c r="AM290" s="92"/>
      <c r="AO290" s="54"/>
      <c r="AP290" s="123"/>
      <c r="AQ290" s="54"/>
      <c r="AR290" s="154"/>
      <c r="AS290" s="1"/>
      <c r="AT290" s="1"/>
      <c r="AU290" s="9"/>
    </row>
    <row r="291">
      <c r="A291" s="54"/>
      <c r="B291" s="71" t="str">
        <f>IFERROR(HYPERLINK(VLOOKUP(A291,Internal_lists_bugs!$A$2:$C$73,3,FALSE()), VLOOKUP(A291,Internal_lists_bugs!$A$2:$C$73,3,FALSE())&amp;Char(10) &amp; Char(10) &amp; VLOOKUP(A291,Internal_lists_bugs!$A$2:$Z$73,26,FALSE())),"please select a BUG ID")</f>
        <v>please select a BUG ID</v>
      </c>
      <c r="C291" s="51" t="str">
        <f>IFERROR(VLOOKUP(A291,Internal_lists_bugs!$A$2:$G2002,7,FALSE()),"please select a BUG ID")</f>
        <v>please select a BUG ID</v>
      </c>
      <c r="D291" s="54"/>
      <c r="E291" s="56"/>
      <c r="F291" s="54"/>
      <c r="G291" s="56"/>
      <c r="H291" s="54"/>
      <c r="I291" s="56"/>
      <c r="J291" s="54"/>
      <c r="K291" s="92"/>
      <c r="L291" s="54"/>
      <c r="M291" s="92"/>
      <c r="N291" s="54"/>
      <c r="O291" s="92"/>
      <c r="P291" s="54"/>
      <c r="Q291" s="92"/>
      <c r="R291" s="54"/>
      <c r="S291" s="92"/>
      <c r="T291" s="117"/>
      <c r="U291" s="92"/>
      <c r="V291" s="54"/>
      <c r="W291" s="92"/>
      <c r="X291" s="54"/>
      <c r="Y291" s="92"/>
      <c r="Z291" s="54"/>
      <c r="AA291" s="92"/>
      <c r="AB291" s="54"/>
      <c r="AC291" s="92"/>
      <c r="AD291" s="54"/>
      <c r="AE291" s="92"/>
      <c r="AF291" s="54"/>
      <c r="AG291" s="92"/>
      <c r="AH291" s="54"/>
      <c r="AI291" s="92"/>
      <c r="AJ291" s="54"/>
      <c r="AK291" s="92"/>
      <c r="AL291" s="54"/>
      <c r="AM291" s="92"/>
      <c r="AO291" s="54"/>
      <c r="AP291" s="123"/>
      <c r="AQ291" s="54"/>
      <c r="AR291" s="154"/>
      <c r="AS291" s="1"/>
      <c r="AT291" s="1"/>
      <c r="AU291" s="9"/>
    </row>
    <row r="292">
      <c r="A292" s="54"/>
      <c r="B292" s="71" t="str">
        <f>IFERROR(HYPERLINK(VLOOKUP(A292,Internal_lists_bugs!$A$2:$C$73,3,FALSE()), VLOOKUP(A292,Internal_lists_bugs!$A$2:$C$73,3,FALSE())&amp;Char(10) &amp; Char(10) &amp; VLOOKUP(A292,Internal_lists_bugs!$A$2:$Z$73,26,FALSE())),"please select a BUG ID")</f>
        <v>please select a BUG ID</v>
      </c>
      <c r="C292" s="51" t="str">
        <f>IFERROR(VLOOKUP(A292,Internal_lists_bugs!$A$2:$G2002,7,FALSE()),"please select a BUG ID")</f>
        <v>please select a BUG ID</v>
      </c>
      <c r="D292" s="54"/>
      <c r="E292" s="56"/>
      <c r="F292" s="54"/>
      <c r="G292" s="56"/>
      <c r="H292" s="54"/>
      <c r="I292" s="56"/>
      <c r="J292" s="54"/>
      <c r="K292" s="92"/>
      <c r="L292" s="54"/>
      <c r="M292" s="92"/>
      <c r="N292" s="54"/>
      <c r="O292" s="92"/>
      <c r="P292" s="54"/>
      <c r="Q292" s="92"/>
      <c r="R292" s="54"/>
      <c r="S292" s="92"/>
      <c r="T292" s="117"/>
      <c r="U292" s="92"/>
      <c r="V292" s="54"/>
      <c r="W292" s="92"/>
      <c r="X292" s="54"/>
      <c r="Y292" s="92"/>
      <c r="Z292" s="54"/>
      <c r="AA292" s="92"/>
      <c r="AB292" s="54"/>
      <c r="AC292" s="92"/>
      <c r="AD292" s="54"/>
      <c r="AE292" s="92"/>
      <c r="AF292" s="54"/>
      <c r="AG292" s="92"/>
      <c r="AH292" s="54"/>
      <c r="AI292" s="92"/>
      <c r="AJ292" s="54"/>
      <c r="AK292" s="92"/>
      <c r="AL292" s="54"/>
      <c r="AM292" s="92"/>
      <c r="AO292" s="54"/>
      <c r="AP292" s="123"/>
      <c r="AQ292" s="54"/>
      <c r="AR292" s="154"/>
      <c r="AS292" s="1"/>
      <c r="AT292" s="1"/>
      <c r="AU292" s="9"/>
    </row>
    <row r="293">
      <c r="A293" s="54"/>
      <c r="B293" s="71" t="str">
        <f>IFERROR(HYPERLINK(VLOOKUP(A293,Internal_lists_bugs!$A$2:$C$73,3,FALSE()), VLOOKUP(A293,Internal_lists_bugs!$A$2:$C$73,3,FALSE())&amp;Char(10) &amp; Char(10) &amp; VLOOKUP(A293,Internal_lists_bugs!$A$2:$Z$73,26,FALSE())),"please select a BUG ID")</f>
        <v>please select a BUG ID</v>
      </c>
      <c r="C293" s="51" t="str">
        <f>IFERROR(VLOOKUP(A293,Internal_lists_bugs!$A$2:$G2002,7,FALSE()),"please select a BUG ID")</f>
        <v>please select a BUG ID</v>
      </c>
      <c r="D293" s="54"/>
      <c r="E293" s="56"/>
      <c r="F293" s="54"/>
      <c r="G293" s="56"/>
      <c r="H293" s="54"/>
      <c r="I293" s="56"/>
      <c r="J293" s="54"/>
      <c r="K293" s="92"/>
      <c r="L293" s="54"/>
      <c r="M293" s="92"/>
      <c r="N293" s="54"/>
      <c r="O293" s="92"/>
      <c r="P293" s="54"/>
      <c r="Q293" s="92"/>
      <c r="R293" s="54"/>
      <c r="S293" s="92"/>
      <c r="T293" s="117"/>
      <c r="U293" s="92"/>
      <c r="V293" s="54"/>
      <c r="W293" s="92"/>
      <c r="X293" s="54"/>
      <c r="Y293" s="92"/>
      <c r="Z293" s="54"/>
      <c r="AA293" s="92"/>
      <c r="AB293" s="54"/>
      <c r="AC293" s="92"/>
      <c r="AD293" s="54"/>
      <c r="AE293" s="92"/>
      <c r="AF293" s="54"/>
      <c r="AG293" s="92"/>
      <c r="AH293" s="54"/>
      <c r="AI293" s="92"/>
      <c r="AJ293" s="54"/>
      <c r="AK293" s="92"/>
      <c r="AL293" s="54"/>
      <c r="AM293" s="92"/>
      <c r="AO293" s="54"/>
      <c r="AP293" s="123"/>
      <c r="AQ293" s="54"/>
      <c r="AR293" s="154"/>
      <c r="AS293" s="1"/>
      <c r="AT293" s="1"/>
      <c r="AU293" s="9"/>
    </row>
    <row r="294">
      <c r="A294" s="54"/>
      <c r="B294" s="71" t="str">
        <f>IFERROR(HYPERLINK(VLOOKUP(A294,Internal_lists_bugs!$A$2:$C$73,3,FALSE()), VLOOKUP(A294,Internal_lists_bugs!$A$2:$C$73,3,FALSE())&amp;Char(10) &amp; Char(10) &amp; VLOOKUP(A294,Internal_lists_bugs!$A$2:$Z$73,26,FALSE())),"please select a BUG ID")</f>
        <v>please select a BUG ID</v>
      </c>
      <c r="C294" s="51" t="str">
        <f>IFERROR(VLOOKUP(A294,Internal_lists_bugs!$A$2:$G2002,7,FALSE()),"please select a BUG ID")</f>
        <v>please select a BUG ID</v>
      </c>
      <c r="D294" s="54"/>
      <c r="E294" s="56"/>
      <c r="F294" s="54"/>
      <c r="G294" s="56"/>
      <c r="H294" s="54"/>
      <c r="I294" s="56"/>
      <c r="J294" s="54"/>
      <c r="K294" s="92"/>
      <c r="L294" s="54"/>
      <c r="M294" s="92"/>
      <c r="N294" s="54"/>
      <c r="O294" s="92"/>
      <c r="P294" s="54"/>
      <c r="Q294" s="92"/>
      <c r="R294" s="54"/>
      <c r="S294" s="92"/>
      <c r="T294" s="117"/>
      <c r="U294" s="92"/>
      <c r="V294" s="54"/>
      <c r="W294" s="92"/>
      <c r="X294" s="54"/>
      <c r="Y294" s="92"/>
      <c r="Z294" s="54"/>
      <c r="AA294" s="92"/>
      <c r="AB294" s="54"/>
      <c r="AC294" s="92"/>
      <c r="AD294" s="54"/>
      <c r="AE294" s="92"/>
      <c r="AF294" s="54"/>
      <c r="AG294" s="92"/>
      <c r="AH294" s="54"/>
      <c r="AI294" s="92"/>
      <c r="AJ294" s="54"/>
      <c r="AK294" s="92"/>
      <c r="AL294" s="54"/>
      <c r="AM294" s="92"/>
      <c r="AO294" s="54"/>
      <c r="AP294" s="123"/>
      <c r="AQ294" s="54"/>
      <c r="AR294" s="154"/>
      <c r="AS294" s="1"/>
      <c r="AT294" s="1"/>
      <c r="AU294" s="9"/>
    </row>
    <row r="295">
      <c r="A295" s="54"/>
      <c r="B295" s="71" t="str">
        <f>IFERROR(HYPERLINK(VLOOKUP(A295,Internal_lists_bugs!$A$2:$C$73,3,FALSE()), VLOOKUP(A295,Internal_lists_bugs!$A$2:$C$73,3,FALSE())&amp;Char(10) &amp; Char(10) &amp; VLOOKUP(A295,Internal_lists_bugs!$A$2:$Z$73,26,FALSE())),"please select a BUG ID")</f>
        <v>please select a BUG ID</v>
      </c>
      <c r="C295" s="51" t="str">
        <f>IFERROR(VLOOKUP(A295,Internal_lists_bugs!$A$2:$G2002,7,FALSE()),"please select a BUG ID")</f>
        <v>please select a BUG ID</v>
      </c>
      <c r="D295" s="54"/>
      <c r="E295" s="56"/>
      <c r="F295" s="54"/>
      <c r="G295" s="56"/>
      <c r="H295" s="54"/>
      <c r="I295" s="56"/>
      <c r="J295" s="54"/>
      <c r="K295" s="92"/>
      <c r="L295" s="54"/>
      <c r="M295" s="92"/>
      <c r="N295" s="54"/>
      <c r="O295" s="92"/>
      <c r="P295" s="54"/>
      <c r="Q295" s="92"/>
      <c r="R295" s="54"/>
      <c r="S295" s="92"/>
      <c r="T295" s="117"/>
      <c r="U295" s="92"/>
      <c r="V295" s="54"/>
      <c r="W295" s="92"/>
      <c r="X295" s="54"/>
      <c r="Y295" s="92"/>
      <c r="Z295" s="54"/>
      <c r="AA295" s="92"/>
      <c r="AB295" s="54"/>
      <c r="AC295" s="92"/>
      <c r="AD295" s="54"/>
      <c r="AE295" s="92"/>
      <c r="AF295" s="54"/>
      <c r="AG295" s="92"/>
      <c r="AH295" s="54"/>
      <c r="AI295" s="92"/>
      <c r="AJ295" s="54"/>
      <c r="AK295" s="92"/>
      <c r="AL295" s="54"/>
      <c r="AM295" s="92"/>
      <c r="AO295" s="54"/>
      <c r="AP295" s="123"/>
      <c r="AQ295" s="54"/>
      <c r="AR295" s="154"/>
      <c r="AS295" s="1"/>
      <c r="AT295" s="1"/>
      <c r="AU295" s="9"/>
    </row>
    <row r="296">
      <c r="A296" s="54"/>
      <c r="B296" s="71" t="str">
        <f>IFERROR(HYPERLINK(VLOOKUP(A296,Internal_lists_bugs!$A$2:$C$73,3,FALSE()), VLOOKUP(A296,Internal_lists_bugs!$A$2:$C$73,3,FALSE())&amp;Char(10) &amp; Char(10) &amp; VLOOKUP(A296,Internal_lists_bugs!$A$2:$Z$73,26,FALSE())),"please select a BUG ID")</f>
        <v>please select a BUG ID</v>
      </c>
      <c r="C296" s="51" t="str">
        <f>IFERROR(VLOOKUP(A296,Internal_lists_bugs!$A$2:$G2002,7,FALSE()),"please select a BUG ID")</f>
        <v>please select a BUG ID</v>
      </c>
      <c r="D296" s="54"/>
      <c r="E296" s="56"/>
      <c r="F296" s="54"/>
      <c r="G296" s="56"/>
      <c r="H296" s="54"/>
      <c r="I296" s="56"/>
      <c r="J296" s="54"/>
      <c r="K296" s="92"/>
      <c r="L296" s="54"/>
      <c r="M296" s="92"/>
      <c r="N296" s="54"/>
      <c r="O296" s="92"/>
      <c r="P296" s="54"/>
      <c r="Q296" s="92"/>
      <c r="R296" s="54"/>
      <c r="S296" s="92"/>
      <c r="T296" s="117"/>
      <c r="U296" s="92"/>
      <c r="V296" s="54"/>
      <c r="W296" s="92"/>
      <c r="X296" s="54"/>
      <c r="Y296" s="92"/>
      <c r="Z296" s="54"/>
      <c r="AA296" s="92"/>
      <c r="AB296" s="54"/>
      <c r="AC296" s="92"/>
      <c r="AD296" s="54"/>
      <c r="AE296" s="92"/>
      <c r="AF296" s="54"/>
      <c r="AG296" s="92"/>
      <c r="AH296" s="54"/>
      <c r="AI296" s="92"/>
      <c r="AJ296" s="54"/>
      <c r="AK296" s="92"/>
      <c r="AL296" s="54"/>
      <c r="AM296" s="92"/>
      <c r="AO296" s="54"/>
      <c r="AP296" s="123"/>
      <c r="AQ296" s="54"/>
      <c r="AR296" s="154"/>
      <c r="AS296" s="1"/>
      <c r="AT296" s="1"/>
      <c r="AU296" s="9"/>
    </row>
    <row r="297">
      <c r="A297" s="54"/>
      <c r="B297" s="71" t="str">
        <f>IFERROR(HYPERLINK(VLOOKUP(A297,Internal_lists_bugs!$A$2:$C$73,3,FALSE()), VLOOKUP(A297,Internal_lists_bugs!$A$2:$C$73,3,FALSE())&amp;Char(10) &amp; Char(10) &amp; VLOOKUP(A297,Internal_lists_bugs!$A$2:$Z$73,26,FALSE())),"please select a BUG ID")</f>
        <v>please select a BUG ID</v>
      </c>
      <c r="C297" s="51" t="str">
        <f>IFERROR(VLOOKUP(A297,Internal_lists_bugs!$A$2:$G2002,7,FALSE()),"please select a BUG ID")</f>
        <v>please select a BUG ID</v>
      </c>
      <c r="D297" s="54"/>
      <c r="E297" s="56"/>
      <c r="F297" s="54"/>
      <c r="G297" s="56"/>
      <c r="H297" s="54"/>
      <c r="I297" s="56"/>
      <c r="J297" s="54"/>
      <c r="K297" s="92"/>
      <c r="L297" s="54"/>
      <c r="M297" s="92"/>
      <c r="N297" s="54"/>
      <c r="O297" s="92"/>
      <c r="P297" s="54"/>
      <c r="Q297" s="92"/>
      <c r="R297" s="54"/>
      <c r="S297" s="92"/>
      <c r="T297" s="117"/>
      <c r="U297" s="92"/>
      <c r="V297" s="54"/>
      <c r="W297" s="92"/>
      <c r="X297" s="54"/>
      <c r="Y297" s="92"/>
      <c r="Z297" s="54"/>
      <c r="AA297" s="92"/>
      <c r="AB297" s="54"/>
      <c r="AC297" s="92"/>
      <c r="AD297" s="54"/>
      <c r="AE297" s="92"/>
      <c r="AF297" s="54"/>
      <c r="AG297" s="92"/>
      <c r="AH297" s="54"/>
      <c r="AI297" s="92"/>
      <c r="AJ297" s="54"/>
      <c r="AK297" s="92"/>
      <c r="AL297" s="54"/>
      <c r="AM297" s="92"/>
      <c r="AO297" s="54"/>
      <c r="AP297" s="123"/>
      <c r="AQ297" s="54"/>
      <c r="AR297" s="154"/>
      <c r="AS297" s="1"/>
      <c r="AT297" s="1"/>
      <c r="AU297" s="9"/>
    </row>
    <row r="298">
      <c r="A298" s="54"/>
      <c r="B298" s="71" t="str">
        <f>IFERROR(HYPERLINK(VLOOKUP(A298,Internal_lists_bugs!$A$2:$C$73,3,FALSE()), VLOOKUP(A298,Internal_lists_bugs!$A$2:$C$73,3,FALSE())&amp;Char(10) &amp; Char(10) &amp; VLOOKUP(A298,Internal_lists_bugs!$A$2:$Z$73,26,FALSE())),"please select a BUG ID")</f>
        <v>please select a BUG ID</v>
      </c>
      <c r="C298" s="51" t="str">
        <f>IFERROR(VLOOKUP(A298,Internal_lists_bugs!$A$2:$G2002,7,FALSE()),"please select a BUG ID")</f>
        <v>please select a BUG ID</v>
      </c>
      <c r="D298" s="54"/>
      <c r="E298" s="56"/>
      <c r="F298" s="54"/>
      <c r="G298" s="56"/>
      <c r="H298" s="54"/>
      <c r="I298" s="56"/>
      <c r="J298" s="54"/>
      <c r="K298" s="92"/>
      <c r="L298" s="54"/>
      <c r="M298" s="92"/>
      <c r="N298" s="54"/>
      <c r="O298" s="92"/>
      <c r="P298" s="54"/>
      <c r="Q298" s="92"/>
      <c r="R298" s="54"/>
      <c r="S298" s="92"/>
      <c r="T298" s="117"/>
      <c r="U298" s="92"/>
      <c r="V298" s="54"/>
      <c r="W298" s="92"/>
      <c r="X298" s="54"/>
      <c r="Y298" s="92"/>
      <c r="Z298" s="54"/>
      <c r="AA298" s="92"/>
      <c r="AB298" s="54"/>
      <c r="AC298" s="92"/>
      <c r="AD298" s="54"/>
      <c r="AE298" s="92"/>
      <c r="AF298" s="54"/>
      <c r="AG298" s="92"/>
      <c r="AH298" s="54"/>
      <c r="AI298" s="92"/>
      <c r="AJ298" s="54"/>
      <c r="AK298" s="92"/>
      <c r="AL298" s="54"/>
      <c r="AM298" s="92"/>
      <c r="AO298" s="54"/>
      <c r="AP298" s="123"/>
      <c r="AQ298" s="54"/>
      <c r="AR298" s="154"/>
      <c r="AS298" s="1"/>
      <c r="AT298" s="1"/>
      <c r="AU298" s="9"/>
    </row>
    <row r="299">
      <c r="A299" s="54"/>
      <c r="B299" s="71" t="str">
        <f>IFERROR(HYPERLINK(VLOOKUP(A299,Internal_lists_bugs!$A$2:$C$73,3,FALSE()), VLOOKUP(A299,Internal_lists_bugs!$A$2:$C$73,3,FALSE())&amp;Char(10) &amp; Char(10) &amp; VLOOKUP(A299,Internal_lists_bugs!$A$2:$Z$73,26,FALSE())),"please select a BUG ID")</f>
        <v>please select a BUG ID</v>
      </c>
      <c r="C299" s="51" t="str">
        <f>IFERROR(VLOOKUP(A299,Internal_lists_bugs!$A$2:$G2002,7,FALSE()),"please select a BUG ID")</f>
        <v>please select a BUG ID</v>
      </c>
      <c r="D299" s="54"/>
      <c r="E299" s="56"/>
      <c r="F299" s="54"/>
      <c r="G299" s="56"/>
      <c r="H299" s="54"/>
      <c r="I299" s="56"/>
      <c r="J299" s="54"/>
      <c r="K299" s="92"/>
      <c r="L299" s="54"/>
      <c r="M299" s="92"/>
      <c r="N299" s="54"/>
      <c r="O299" s="92"/>
      <c r="P299" s="54"/>
      <c r="Q299" s="92"/>
      <c r="R299" s="54"/>
      <c r="S299" s="92"/>
      <c r="T299" s="117"/>
      <c r="U299" s="92"/>
      <c r="V299" s="54"/>
      <c r="W299" s="92"/>
      <c r="X299" s="54"/>
      <c r="Y299" s="92"/>
      <c r="Z299" s="54"/>
      <c r="AA299" s="92"/>
      <c r="AB299" s="54"/>
      <c r="AC299" s="92"/>
      <c r="AD299" s="54"/>
      <c r="AE299" s="92"/>
      <c r="AF299" s="54"/>
      <c r="AG299" s="92"/>
      <c r="AH299" s="54"/>
      <c r="AI299" s="92"/>
      <c r="AJ299" s="54"/>
      <c r="AK299" s="92"/>
      <c r="AL299" s="54"/>
      <c r="AM299" s="92"/>
      <c r="AO299" s="54"/>
      <c r="AP299" s="123"/>
      <c r="AQ299" s="54"/>
      <c r="AR299" s="154"/>
      <c r="AS299" s="1"/>
      <c r="AT299" s="1"/>
      <c r="AU299" s="9"/>
    </row>
    <row r="300">
      <c r="A300" s="54"/>
      <c r="B300" s="71" t="str">
        <f>IFERROR(HYPERLINK(VLOOKUP(A300,Internal_lists_bugs!$A$2:$C$73,3,FALSE()), VLOOKUP(A300,Internal_lists_bugs!$A$2:$C$73,3,FALSE())&amp;Char(10) &amp; Char(10) &amp; VLOOKUP(A300,Internal_lists_bugs!$A$2:$Z$73,26,FALSE())),"please select a BUG ID")</f>
        <v>please select a BUG ID</v>
      </c>
      <c r="C300" s="51" t="str">
        <f>IFERROR(VLOOKUP(A300,Internal_lists_bugs!$A$2:$G2002,7,FALSE()),"please select a BUG ID")</f>
        <v>please select a BUG ID</v>
      </c>
      <c r="D300" s="54"/>
      <c r="E300" s="56"/>
      <c r="F300" s="54"/>
      <c r="G300" s="56"/>
      <c r="H300" s="54"/>
      <c r="I300" s="56"/>
      <c r="J300" s="54"/>
      <c r="K300" s="92"/>
      <c r="L300" s="54"/>
      <c r="M300" s="92"/>
      <c r="N300" s="54"/>
      <c r="O300" s="92"/>
      <c r="P300" s="54"/>
      <c r="Q300" s="92"/>
      <c r="R300" s="54"/>
      <c r="S300" s="92"/>
      <c r="T300" s="117"/>
      <c r="U300" s="92"/>
      <c r="V300" s="54"/>
      <c r="W300" s="92"/>
      <c r="X300" s="54"/>
      <c r="Y300" s="92"/>
      <c r="Z300" s="54"/>
      <c r="AA300" s="92"/>
      <c r="AB300" s="54"/>
      <c r="AC300" s="92"/>
      <c r="AD300" s="54"/>
      <c r="AE300" s="92"/>
      <c r="AF300" s="54"/>
      <c r="AG300" s="92"/>
      <c r="AH300" s="54"/>
      <c r="AI300" s="92"/>
      <c r="AJ300" s="54"/>
      <c r="AK300" s="92"/>
      <c r="AL300" s="54"/>
      <c r="AM300" s="92"/>
      <c r="AO300" s="54"/>
      <c r="AP300" s="123"/>
      <c r="AQ300" s="54"/>
      <c r="AR300" s="154"/>
      <c r="AS300" s="1"/>
      <c r="AT300" s="1"/>
      <c r="AU300" s="9"/>
    </row>
    <row r="301">
      <c r="A301" s="54"/>
      <c r="B301" s="71" t="str">
        <f>IFERROR(HYPERLINK(VLOOKUP(A301,Internal_lists_bugs!$A$2:$C$73,3,FALSE()), VLOOKUP(A301,Internal_lists_bugs!$A$2:$C$73,3,FALSE())&amp;Char(10) &amp; Char(10) &amp; VLOOKUP(A301,Internal_lists_bugs!$A$2:$Z$73,26,FALSE())),"please select a BUG ID")</f>
        <v>please select a BUG ID</v>
      </c>
      <c r="C301" s="51" t="str">
        <f>IFERROR(VLOOKUP(A301,Internal_lists_bugs!$A$2:$G2002,7,FALSE()),"please select a BUG ID")</f>
        <v>please select a BUG ID</v>
      </c>
      <c r="D301" s="54"/>
      <c r="E301" s="56"/>
      <c r="F301" s="54"/>
      <c r="G301" s="56"/>
      <c r="H301" s="54"/>
      <c r="I301" s="56"/>
      <c r="J301" s="54"/>
      <c r="K301" s="92"/>
      <c r="L301" s="54"/>
      <c r="M301" s="92"/>
      <c r="N301" s="54"/>
      <c r="O301" s="92"/>
      <c r="P301" s="54"/>
      <c r="Q301" s="92"/>
      <c r="R301" s="54"/>
      <c r="S301" s="92"/>
      <c r="T301" s="117"/>
      <c r="U301" s="92"/>
      <c r="V301" s="54"/>
      <c r="W301" s="92"/>
      <c r="X301" s="54"/>
      <c r="Y301" s="92"/>
      <c r="Z301" s="54"/>
      <c r="AA301" s="92"/>
      <c r="AB301" s="54"/>
      <c r="AC301" s="92"/>
      <c r="AD301" s="54"/>
      <c r="AE301" s="92"/>
      <c r="AF301" s="54"/>
      <c r="AG301" s="92"/>
      <c r="AH301" s="54"/>
      <c r="AI301" s="92"/>
      <c r="AJ301" s="54"/>
      <c r="AK301" s="92"/>
      <c r="AL301" s="54"/>
      <c r="AM301" s="92"/>
      <c r="AO301" s="54"/>
      <c r="AP301" s="123"/>
      <c r="AQ301" s="54"/>
      <c r="AR301" s="154"/>
      <c r="AS301" s="1"/>
      <c r="AT301" s="1"/>
      <c r="AU301" s="9"/>
    </row>
    <row r="302">
      <c r="A302" s="54"/>
      <c r="B302" s="71" t="str">
        <f>IFERROR(HYPERLINK(VLOOKUP(A302,Internal_lists_bugs!$A$2:$C$73,3,FALSE()), VLOOKUP(A302,Internal_lists_bugs!$A$2:$C$73,3,FALSE())&amp;Char(10) &amp; Char(10) &amp; VLOOKUP(A302,Internal_lists_bugs!$A$2:$Z$73,26,FALSE())),"please select a BUG ID")</f>
        <v>please select a BUG ID</v>
      </c>
      <c r="C302" s="51" t="str">
        <f>IFERROR(VLOOKUP(A302,Internal_lists_bugs!$A$2:$G2002,7,FALSE()),"please select a BUG ID")</f>
        <v>please select a BUG ID</v>
      </c>
      <c r="D302" s="54"/>
      <c r="E302" s="56"/>
      <c r="F302" s="54"/>
      <c r="G302" s="56"/>
      <c r="H302" s="54"/>
      <c r="I302" s="56"/>
      <c r="J302" s="54"/>
      <c r="K302" s="92"/>
      <c r="L302" s="54"/>
      <c r="M302" s="92"/>
      <c r="N302" s="54"/>
      <c r="O302" s="92"/>
      <c r="P302" s="54"/>
      <c r="Q302" s="92"/>
      <c r="R302" s="54"/>
      <c r="S302" s="92"/>
      <c r="T302" s="117"/>
      <c r="U302" s="92"/>
      <c r="V302" s="54"/>
      <c r="W302" s="92"/>
      <c r="X302" s="54"/>
      <c r="Y302" s="92"/>
      <c r="Z302" s="54"/>
      <c r="AA302" s="92"/>
      <c r="AB302" s="54"/>
      <c r="AC302" s="92"/>
      <c r="AD302" s="54"/>
      <c r="AE302" s="92"/>
      <c r="AF302" s="54"/>
      <c r="AG302" s="92"/>
      <c r="AH302" s="54"/>
      <c r="AI302" s="92"/>
      <c r="AJ302" s="54"/>
      <c r="AK302" s="92"/>
      <c r="AL302" s="54"/>
      <c r="AM302" s="92"/>
      <c r="AO302" s="54"/>
      <c r="AP302" s="123"/>
      <c r="AQ302" s="54"/>
      <c r="AR302" s="154"/>
      <c r="AS302" s="1"/>
      <c r="AT302" s="1"/>
      <c r="AU302" s="9"/>
    </row>
    <row r="303">
      <c r="A303" s="54"/>
      <c r="B303" s="71" t="str">
        <f>IFERROR(HYPERLINK(VLOOKUP(A303,Internal_lists_bugs!$A$2:$C$73,3,FALSE()), VLOOKUP(A303,Internal_lists_bugs!$A$2:$C$73,3,FALSE())&amp;Char(10) &amp; Char(10) &amp; VLOOKUP(A303,Internal_lists_bugs!$A$2:$Z$73,26,FALSE())),"please select a BUG ID")</f>
        <v>please select a BUG ID</v>
      </c>
      <c r="C303" s="51" t="str">
        <f>IFERROR(VLOOKUP(A303,Internal_lists_bugs!$A$2:$G2002,7,FALSE()),"please select a BUG ID")</f>
        <v>please select a BUG ID</v>
      </c>
      <c r="D303" s="54"/>
      <c r="E303" s="56"/>
      <c r="F303" s="54"/>
      <c r="G303" s="56"/>
      <c r="H303" s="54"/>
      <c r="I303" s="56"/>
      <c r="J303" s="54"/>
      <c r="K303" s="92"/>
      <c r="L303" s="54"/>
      <c r="M303" s="92"/>
      <c r="N303" s="54"/>
      <c r="O303" s="92"/>
      <c r="P303" s="54"/>
      <c r="Q303" s="92"/>
      <c r="R303" s="54"/>
      <c r="S303" s="92"/>
      <c r="T303" s="117"/>
      <c r="U303" s="92"/>
      <c r="V303" s="54"/>
      <c r="W303" s="92"/>
      <c r="X303" s="54"/>
      <c r="Y303" s="92"/>
      <c r="Z303" s="54"/>
      <c r="AA303" s="92"/>
      <c r="AB303" s="54"/>
      <c r="AC303" s="92"/>
      <c r="AD303" s="54"/>
      <c r="AE303" s="92"/>
      <c r="AF303" s="54"/>
      <c r="AG303" s="92"/>
      <c r="AH303" s="54"/>
      <c r="AI303" s="92"/>
      <c r="AJ303" s="54"/>
      <c r="AK303" s="92"/>
      <c r="AL303" s="54"/>
      <c r="AM303" s="92"/>
      <c r="AO303" s="54"/>
      <c r="AP303" s="123"/>
      <c r="AQ303" s="54"/>
      <c r="AR303" s="154"/>
      <c r="AS303" s="1"/>
      <c r="AT303" s="1"/>
      <c r="AU303" s="9"/>
    </row>
    <row r="304">
      <c r="A304" s="54"/>
      <c r="B304" s="71" t="str">
        <f>IFERROR(HYPERLINK(VLOOKUP(A304,Internal_lists_bugs!$A$2:$C$73,3,FALSE()), VLOOKUP(A304,Internal_lists_bugs!$A$2:$C$73,3,FALSE())&amp;Char(10) &amp; Char(10) &amp; VLOOKUP(A304,Internal_lists_bugs!$A$2:$Z$73,26,FALSE())),"please select a BUG ID")</f>
        <v>please select a BUG ID</v>
      </c>
      <c r="C304" s="51" t="str">
        <f>IFERROR(VLOOKUP(A304,Internal_lists_bugs!$A$2:$G2002,7,FALSE()),"please select a BUG ID")</f>
        <v>please select a BUG ID</v>
      </c>
      <c r="D304" s="54"/>
      <c r="E304" s="56"/>
      <c r="F304" s="54"/>
      <c r="G304" s="56"/>
      <c r="H304" s="54"/>
      <c r="I304" s="56"/>
      <c r="J304" s="54"/>
      <c r="K304" s="92"/>
      <c r="L304" s="54"/>
      <c r="M304" s="92"/>
      <c r="N304" s="54"/>
      <c r="O304" s="92"/>
      <c r="P304" s="54"/>
      <c r="Q304" s="92"/>
      <c r="R304" s="54"/>
      <c r="S304" s="92"/>
      <c r="T304" s="117"/>
      <c r="U304" s="92"/>
      <c r="V304" s="54"/>
      <c r="W304" s="92"/>
      <c r="X304" s="54"/>
      <c r="Y304" s="92"/>
      <c r="Z304" s="54"/>
      <c r="AA304" s="92"/>
      <c r="AB304" s="54"/>
      <c r="AC304" s="92"/>
      <c r="AD304" s="54"/>
      <c r="AE304" s="92"/>
      <c r="AF304" s="54"/>
      <c r="AG304" s="92"/>
      <c r="AH304" s="54"/>
      <c r="AI304" s="92"/>
      <c r="AJ304" s="54"/>
      <c r="AK304" s="92"/>
      <c r="AL304" s="54"/>
      <c r="AM304" s="92"/>
      <c r="AO304" s="54"/>
      <c r="AP304" s="123"/>
      <c r="AQ304" s="54"/>
      <c r="AR304" s="154"/>
      <c r="AS304" s="1"/>
      <c r="AT304" s="1"/>
      <c r="AU304" s="9"/>
    </row>
    <row r="305">
      <c r="A305" s="54"/>
      <c r="B305" s="71" t="str">
        <f>IFERROR(HYPERLINK(VLOOKUP(A305,Internal_lists_bugs!$A$2:$C$73,3,FALSE()), VLOOKUP(A305,Internal_lists_bugs!$A$2:$C$73,3,FALSE())&amp;Char(10) &amp; Char(10) &amp; VLOOKUP(A305,Internal_lists_bugs!$A$2:$Z$73,26,FALSE())),"please select a BUG ID")</f>
        <v>please select a BUG ID</v>
      </c>
      <c r="C305" s="51" t="str">
        <f>IFERROR(VLOOKUP(A305,Internal_lists_bugs!$A$2:$G2002,7,FALSE()),"please select a BUG ID")</f>
        <v>please select a BUG ID</v>
      </c>
      <c r="D305" s="54"/>
      <c r="E305" s="56"/>
      <c r="F305" s="54"/>
      <c r="G305" s="56"/>
      <c r="H305" s="54"/>
      <c r="I305" s="56"/>
      <c r="J305" s="54"/>
      <c r="K305" s="92"/>
      <c r="L305" s="54"/>
      <c r="M305" s="92"/>
      <c r="N305" s="54"/>
      <c r="O305" s="92"/>
      <c r="P305" s="54"/>
      <c r="Q305" s="92"/>
      <c r="R305" s="54"/>
      <c r="S305" s="92"/>
      <c r="T305" s="117"/>
      <c r="U305" s="92"/>
      <c r="V305" s="54"/>
      <c r="W305" s="92"/>
      <c r="X305" s="54"/>
      <c r="Y305" s="92"/>
      <c r="Z305" s="54"/>
      <c r="AA305" s="92"/>
      <c r="AB305" s="54"/>
      <c r="AC305" s="92"/>
      <c r="AD305" s="54"/>
      <c r="AE305" s="92"/>
      <c r="AF305" s="54"/>
      <c r="AG305" s="92"/>
      <c r="AH305" s="54"/>
      <c r="AI305" s="92"/>
      <c r="AJ305" s="54"/>
      <c r="AK305" s="92"/>
      <c r="AL305" s="54"/>
      <c r="AM305" s="92"/>
      <c r="AO305" s="54"/>
      <c r="AP305" s="123"/>
      <c r="AQ305" s="54"/>
      <c r="AR305" s="154"/>
      <c r="AS305" s="1"/>
      <c r="AT305" s="1"/>
      <c r="AU305" s="9"/>
    </row>
    <row r="306">
      <c r="A306" s="54"/>
      <c r="B306" s="71" t="str">
        <f>IFERROR(HYPERLINK(VLOOKUP(A306,Internal_lists_bugs!$A$2:$C$73,3,FALSE()), VLOOKUP(A306,Internal_lists_bugs!$A$2:$C$73,3,FALSE())&amp;Char(10) &amp; Char(10) &amp; VLOOKUP(A306,Internal_lists_bugs!$A$2:$Z$73,26,FALSE())),"please select a BUG ID")</f>
        <v>please select a BUG ID</v>
      </c>
      <c r="C306" s="51" t="str">
        <f>IFERROR(VLOOKUP(A306,Internal_lists_bugs!$A$2:$G2002,7,FALSE()),"please select a BUG ID")</f>
        <v>please select a BUG ID</v>
      </c>
      <c r="D306" s="54"/>
      <c r="E306" s="56"/>
      <c r="F306" s="54"/>
      <c r="G306" s="56"/>
      <c r="H306" s="54"/>
      <c r="I306" s="56"/>
      <c r="J306" s="54"/>
      <c r="K306" s="92"/>
      <c r="L306" s="54"/>
      <c r="M306" s="92"/>
      <c r="N306" s="54"/>
      <c r="O306" s="92"/>
      <c r="P306" s="54"/>
      <c r="Q306" s="92"/>
      <c r="R306" s="54"/>
      <c r="S306" s="92"/>
      <c r="T306" s="117"/>
      <c r="U306" s="92"/>
      <c r="V306" s="54"/>
      <c r="W306" s="92"/>
      <c r="X306" s="54"/>
      <c r="Y306" s="92"/>
      <c r="Z306" s="54"/>
      <c r="AA306" s="92"/>
      <c r="AB306" s="54"/>
      <c r="AC306" s="92"/>
      <c r="AD306" s="54"/>
      <c r="AE306" s="92"/>
      <c r="AF306" s="54"/>
      <c r="AG306" s="92"/>
      <c r="AH306" s="54"/>
      <c r="AI306" s="92"/>
      <c r="AJ306" s="54"/>
      <c r="AK306" s="92"/>
      <c r="AL306" s="54"/>
      <c r="AM306" s="92"/>
      <c r="AO306" s="54"/>
      <c r="AP306" s="123"/>
      <c r="AQ306" s="54"/>
      <c r="AR306" s="154"/>
      <c r="AS306" s="1"/>
      <c r="AT306" s="1"/>
      <c r="AU306" s="9"/>
    </row>
    <row r="307">
      <c r="A307" s="54"/>
      <c r="B307" s="71" t="str">
        <f>IFERROR(HYPERLINK(VLOOKUP(A307,Internal_lists_bugs!$A$2:$C$73,3,FALSE()), VLOOKUP(A307,Internal_lists_bugs!$A$2:$C$73,3,FALSE())&amp;Char(10) &amp; Char(10) &amp; VLOOKUP(A307,Internal_lists_bugs!$A$2:$Z$73,26,FALSE())),"please select a BUG ID")</f>
        <v>please select a BUG ID</v>
      </c>
      <c r="C307" s="51" t="str">
        <f>IFERROR(VLOOKUP(A307,Internal_lists_bugs!$A$2:$G2002,7,FALSE()),"please select a BUG ID")</f>
        <v>please select a BUG ID</v>
      </c>
      <c r="D307" s="54"/>
      <c r="E307" s="56"/>
      <c r="F307" s="54"/>
      <c r="G307" s="56"/>
      <c r="H307" s="54"/>
      <c r="I307" s="56"/>
      <c r="J307" s="54"/>
      <c r="K307" s="92"/>
      <c r="L307" s="54"/>
      <c r="M307" s="92"/>
      <c r="N307" s="54"/>
      <c r="O307" s="92"/>
      <c r="P307" s="54"/>
      <c r="Q307" s="92"/>
      <c r="R307" s="54"/>
      <c r="S307" s="92"/>
      <c r="T307" s="117"/>
      <c r="U307" s="92"/>
      <c r="V307" s="54"/>
      <c r="W307" s="92"/>
      <c r="X307" s="54"/>
      <c r="Y307" s="92"/>
      <c r="Z307" s="54"/>
      <c r="AA307" s="92"/>
      <c r="AB307" s="54"/>
      <c r="AC307" s="92"/>
      <c r="AD307" s="54"/>
      <c r="AE307" s="92"/>
      <c r="AF307" s="54"/>
      <c r="AG307" s="92"/>
      <c r="AH307" s="54"/>
      <c r="AI307" s="92"/>
      <c r="AJ307" s="54"/>
      <c r="AK307" s="92"/>
      <c r="AL307" s="54"/>
      <c r="AM307" s="92"/>
      <c r="AO307" s="54"/>
      <c r="AP307" s="123"/>
      <c r="AQ307" s="54"/>
      <c r="AR307" s="154"/>
      <c r="AS307" s="1"/>
      <c r="AT307" s="1"/>
      <c r="AU307" s="9"/>
    </row>
    <row r="308">
      <c r="A308" s="54"/>
      <c r="B308" s="71" t="str">
        <f>IFERROR(HYPERLINK(VLOOKUP(A308,Internal_lists_bugs!$A$2:$C$73,3,FALSE()), VLOOKUP(A308,Internal_lists_bugs!$A$2:$C$73,3,FALSE())&amp;Char(10) &amp; Char(10) &amp; VLOOKUP(A308,Internal_lists_bugs!$A$2:$Z$73,26,FALSE())),"please select a BUG ID")</f>
        <v>please select a BUG ID</v>
      </c>
      <c r="C308" s="51" t="str">
        <f>IFERROR(VLOOKUP(A308,Internal_lists_bugs!$A$2:$G2002,7,FALSE()),"please select a BUG ID")</f>
        <v>please select a BUG ID</v>
      </c>
      <c r="D308" s="54"/>
      <c r="E308" s="56"/>
      <c r="F308" s="54"/>
      <c r="G308" s="56"/>
      <c r="H308" s="54"/>
      <c r="I308" s="56"/>
      <c r="J308" s="54"/>
      <c r="K308" s="92"/>
      <c r="L308" s="54"/>
      <c r="M308" s="92"/>
      <c r="N308" s="54"/>
      <c r="O308" s="92"/>
      <c r="P308" s="54"/>
      <c r="Q308" s="92"/>
      <c r="R308" s="54"/>
      <c r="S308" s="92"/>
      <c r="T308" s="117"/>
      <c r="U308" s="92"/>
      <c r="V308" s="54"/>
      <c r="W308" s="92"/>
      <c r="X308" s="54"/>
      <c r="Y308" s="92"/>
      <c r="Z308" s="54"/>
      <c r="AA308" s="92"/>
      <c r="AB308" s="54"/>
      <c r="AC308" s="92"/>
      <c r="AD308" s="54"/>
      <c r="AE308" s="92"/>
      <c r="AF308" s="54"/>
      <c r="AG308" s="92"/>
      <c r="AH308" s="54"/>
      <c r="AI308" s="92"/>
      <c r="AJ308" s="54"/>
      <c r="AK308" s="92"/>
      <c r="AL308" s="54"/>
      <c r="AM308" s="92"/>
      <c r="AO308" s="54"/>
      <c r="AP308" s="123"/>
      <c r="AQ308" s="54"/>
      <c r="AR308" s="154"/>
      <c r="AS308" s="1"/>
      <c r="AT308" s="1"/>
      <c r="AU308" s="9"/>
    </row>
    <row r="309">
      <c r="A309" s="54"/>
      <c r="B309" s="71" t="str">
        <f>IFERROR(HYPERLINK(VLOOKUP(A309,Internal_lists_bugs!$A$2:$C$73,3,FALSE()), VLOOKUP(A309,Internal_lists_bugs!$A$2:$C$73,3,FALSE())&amp;Char(10) &amp; Char(10) &amp; VLOOKUP(A309,Internal_lists_bugs!$A$2:$Z$73,26,FALSE())),"please select a BUG ID")</f>
        <v>please select a BUG ID</v>
      </c>
      <c r="C309" s="51" t="str">
        <f>IFERROR(VLOOKUP(A309,Internal_lists_bugs!$A$2:$G2002,7,FALSE()),"please select a BUG ID")</f>
        <v>please select a BUG ID</v>
      </c>
      <c r="D309" s="54"/>
      <c r="E309" s="56"/>
      <c r="F309" s="54"/>
      <c r="G309" s="56"/>
      <c r="H309" s="54"/>
      <c r="I309" s="56"/>
      <c r="J309" s="54"/>
      <c r="K309" s="92"/>
      <c r="L309" s="54"/>
      <c r="M309" s="92"/>
      <c r="N309" s="54"/>
      <c r="O309" s="92"/>
      <c r="P309" s="54"/>
      <c r="Q309" s="92"/>
      <c r="R309" s="54"/>
      <c r="S309" s="92"/>
      <c r="T309" s="117"/>
      <c r="U309" s="92"/>
      <c r="V309" s="54"/>
      <c r="W309" s="92"/>
      <c r="X309" s="54"/>
      <c r="Y309" s="92"/>
      <c r="Z309" s="54"/>
      <c r="AA309" s="92"/>
      <c r="AB309" s="54"/>
      <c r="AC309" s="92"/>
      <c r="AD309" s="54"/>
      <c r="AE309" s="92"/>
      <c r="AF309" s="54"/>
      <c r="AG309" s="92"/>
      <c r="AH309" s="54"/>
      <c r="AI309" s="92"/>
      <c r="AJ309" s="54"/>
      <c r="AK309" s="92"/>
      <c r="AL309" s="54"/>
      <c r="AM309" s="92"/>
      <c r="AO309" s="54"/>
      <c r="AP309" s="123"/>
      <c r="AQ309" s="54"/>
      <c r="AR309" s="154"/>
      <c r="AS309" s="1"/>
      <c r="AT309" s="1"/>
      <c r="AU309" s="9"/>
    </row>
    <row r="310">
      <c r="A310" s="54"/>
      <c r="B310" s="71" t="str">
        <f>IFERROR(HYPERLINK(VLOOKUP(A310,Internal_lists_bugs!$A$2:$C$73,3,FALSE()), VLOOKUP(A310,Internal_lists_bugs!$A$2:$C$73,3,FALSE())&amp;Char(10) &amp; Char(10) &amp; VLOOKUP(A310,Internal_lists_bugs!$A$2:$Z$73,26,FALSE())),"please select a BUG ID")</f>
        <v>please select a BUG ID</v>
      </c>
      <c r="C310" s="51" t="str">
        <f>IFERROR(VLOOKUP(A310,Internal_lists_bugs!$A$2:$G2002,7,FALSE()),"please select a BUG ID")</f>
        <v>please select a BUG ID</v>
      </c>
      <c r="D310" s="54"/>
      <c r="E310" s="56"/>
      <c r="F310" s="54"/>
      <c r="G310" s="56"/>
      <c r="H310" s="54"/>
      <c r="I310" s="56"/>
      <c r="J310" s="54"/>
      <c r="K310" s="92"/>
      <c r="L310" s="54"/>
      <c r="M310" s="92"/>
      <c r="N310" s="54"/>
      <c r="O310" s="92"/>
      <c r="P310" s="54"/>
      <c r="Q310" s="92"/>
      <c r="R310" s="54"/>
      <c r="S310" s="92"/>
      <c r="T310" s="117"/>
      <c r="U310" s="92"/>
      <c r="V310" s="54"/>
      <c r="W310" s="92"/>
      <c r="X310" s="54"/>
      <c r="Y310" s="92"/>
      <c r="Z310" s="54"/>
      <c r="AA310" s="92"/>
      <c r="AB310" s="54"/>
      <c r="AC310" s="92"/>
      <c r="AD310" s="54"/>
      <c r="AE310" s="92"/>
      <c r="AF310" s="54"/>
      <c r="AG310" s="92"/>
      <c r="AH310" s="54"/>
      <c r="AI310" s="92"/>
      <c r="AJ310" s="54"/>
      <c r="AK310" s="92"/>
      <c r="AL310" s="54"/>
      <c r="AM310" s="92"/>
      <c r="AO310" s="54"/>
      <c r="AP310" s="123"/>
      <c r="AQ310" s="54"/>
      <c r="AR310" s="154"/>
      <c r="AS310" s="1"/>
      <c r="AT310" s="1"/>
      <c r="AU310" s="9"/>
    </row>
    <row r="311">
      <c r="A311" s="54"/>
      <c r="B311" s="71" t="str">
        <f>IFERROR(HYPERLINK(VLOOKUP(A311,Internal_lists_bugs!$A$2:$C$73,3,FALSE()), VLOOKUP(A311,Internal_lists_bugs!$A$2:$C$73,3,FALSE())&amp;Char(10) &amp; Char(10) &amp; VLOOKUP(A311,Internal_lists_bugs!$A$2:$Z$73,26,FALSE())),"please select a BUG ID")</f>
        <v>please select a BUG ID</v>
      </c>
      <c r="C311" s="51" t="str">
        <f>IFERROR(VLOOKUP(A311,Internal_lists_bugs!$A$2:$G2002,7,FALSE()),"please select a BUG ID")</f>
        <v>please select a BUG ID</v>
      </c>
      <c r="D311" s="54"/>
      <c r="E311" s="56"/>
      <c r="F311" s="54"/>
      <c r="G311" s="56"/>
      <c r="H311" s="54"/>
      <c r="I311" s="56"/>
      <c r="J311" s="54"/>
      <c r="K311" s="92"/>
      <c r="L311" s="54"/>
      <c r="M311" s="92"/>
      <c r="N311" s="54"/>
      <c r="O311" s="92"/>
      <c r="P311" s="54"/>
      <c r="Q311" s="92"/>
      <c r="R311" s="54"/>
      <c r="S311" s="92"/>
      <c r="T311" s="117"/>
      <c r="U311" s="92"/>
      <c r="V311" s="54"/>
      <c r="W311" s="92"/>
      <c r="X311" s="54"/>
      <c r="Y311" s="92"/>
      <c r="Z311" s="54"/>
      <c r="AA311" s="92"/>
      <c r="AB311" s="54"/>
      <c r="AC311" s="92"/>
      <c r="AD311" s="54"/>
      <c r="AE311" s="92"/>
      <c r="AF311" s="54"/>
      <c r="AG311" s="92"/>
      <c r="AH311" s="54"/>
      <c r="AI311" s="92"/>
      <c r="AJ311" s="54"/>
      <c r="AK311" s="92"/>
      <c r="AL311" s="54"/>
      <c r="AM311" s="92"/>
      <c r="AO311" s="54"/>
      <c r="AP311" s="123"/>
      <c r="AQ311" s="54"/>
      <c r="AR311" s="154"/>
      <c r="AS311" s="1"/>
      <c r="AT311" s="1"/>
      <c r="AU311" s="9"/>
    </row>
    <row r="312">
      <c r="A312" s="54"/>
      <c r="B312" s="71" t="str">
        <f>IFERROR(HYPERLINK(VLOOKUP(A312,Internal_lists_bugs!$A$2:$C$73,3,FALSE()), VLOOKUP(A312,Internal_lists_bugs!$A$2:$C$73,3,FALSE())&amp;Char(10) &amp; Char(10) &amp; VLOOKUP(A312,Internal_lists_bugs!$A$2:$Z$73,26,FALSE())),"please select a BUG ID")</f>
        <v>please select a BUG ID</v>
      </c>
      <c r="C312" s="51" t="str">
        <f>IFERROR(VLOOKUP(A312,Internal_lists_bugs!$A$2:$G2002,7,FALSE()),"please select a BUG ID")</f>
        <v>please select a BUG ID</v>
      </c>
      <c r="D312" s="54"/>
      <c r="E312" s="56"/>
      <c r="F312" s="54"/>
      <c r="G312" s="56"/>
      <c r="H312" s="54"/>
      <c r="I312" s="56"/>
      <c r="J312" s="54"/>
      <c r="K312" s="92"/>
      <c r="L312" s="54"/>
      <c r="M312" s="92"/>
      <c r="N312" s="54"/>
      <c r="O312" s="92"/>
      <c r="P312" s="54"/>
      <c r="Q312" s="92"/>
      <c r="R312" s="54"/>
      <c r="S312" s="92"/>
      <c r="T312" s="117"/>
      <c r="U312" s="92"/>
      <c r="V312" s="54"/>
      <c r="W312" s="92"/>
      <c r="X312" s="54"/>
      <c r="Y312" s="92"/>
      <c r="Z312" s="54"/>
      <c r="AA312" s="92"/>
      <c r="AB312" s="54"/>
      <c r="AC312" s="92"/>
      <c r="AD312" s="54"/>
      <c r="AE312" s="92"/>
      <c r="AF312" s="54"/>
      <c r="AG312" s="92"/>
      <c r="AH312" s="54"/>
      <c r="AI312" s="92"/>
      <c r="AJ312" s="54"/>
      <c r="AK312" s="92"/>
      <c r="AL312" s="54"/>
      <c r="AM312" s="92"/>
      <c r="AO312" s="54"/>
      <c r="AP312" s="123"/>
      <c r="AQ312" s="54"/>
      <c r="AR312" s="154"/>
      <c r="AS312" s="1"/>
      <c r="AT312" s="1"/>
      <c r="AU312" s="9"/>
    </row>
    <row r="313">
      <c r="A313" s="54"/>
      <c r="B313" s="71" t="str">
        <f>IFERROR(HYPERLINK(VLOOKUP(A313,Internal_lists_bugs!$A$2:$C$73,3,FALSE()), VLOOKUP(A313,Internal_lists_bugs!$A$2:$C$73,3,FALSE())&amp;Char(10) &amp; Char(10) &amp; VLOOKUP(A313,Internal_lists_bugs!$A$2:$Z$73,26,FALSE())),"please select a BUG ID")</f>
        <v>please select a BUG ID</v>
      </c>
      <c r="C313" s="51" t="str">
        <f>IFERROR(VLOOKUP(A313,Internal_lists_bugs!$A$2:$G2002,7,FALSE()),"please select a BUG ID")</f>
        <v>please select a BUG ID</v>
      </c>
      <c r="D313" s="54"/>
      <c r="E313" s="56"/>
      <c r="F313" s="54"/>
      <c r="G313" s="56"/>
      <c r="H313" s="54"/>
      <c r="I313" s="56"/>
      <c r="J313" s="54"/>
      <c r="K313" s="92"/>
      <c r="L313" s="54"/>
      <c r="M313" s="92"/>
      <c r="N313" s="54"/>
      <c r="O313" s="92"/>
      <c r="P313" s="54"/>
      <c r="Q313" s="92"/>
      <c r="R313" s="54"/>
      <c r="S313" s="92"/>
      <c r="T313" s="117"/>
      <c r="U313" s="92"/>
      <c r="V313" s="54"/>
      <c r="W313" s="92"/>
      <c r="X313" s="54"/>
      <c r="Y313" s="92"/>
      <c r="Z313" s="54"/>
      <c r="AA313" s="92"/>
      <c r="AB313" s="54"/>
      <c r="AC313" s="92"/>
      <c r="AD313" s="54"/>
      <c r="AE313" s="92"/>
      <c r="AF313" s="54"/>
      <c r="AG313" s="92"/>
      <c r="AH313" s="54"/>
      <c r="AI313" s="92"/>
      <c r="AJ313" s="54"/>
      <c r="AK313" s="92"/>
      <c r="AL313" s="54"/>
      <c r="AM313" s="92"/>
      <c r="AO313" s="54"/>
      <c r="AP313" s="123"/>
      <c r="AQ313" s="54"/>
      <c r="AR313" s="154"/>
      <c r="AS313" s="1"/>
      <c r="AT313" s="1"/>
      <c r="AU313" s="9"/>
    </row>
    <row r="314">
      <c r="A314" s="54"/>
      <c r="B314" s="71" t="str">
        <f>IFERROR(HYPERLINK(VLOOKUP(A314,Internal_lists_bugs!$A$2:$C$73,3,FALSE()), VLOOKUP(A314,Internal_lists_bugs!$A$2:$C$73,3,FALSE())&amp;Char(10) &amp; Char(10) &amp; VLOOKUP(A314,Internal_lists_bugs!$A$2:$Z$73,26,FALSE())),"please select a BUG ID")</f>
        <v>please select a BUG ID</v>
      </c>
      <c r="C314" s="51" t="str">
        <f>IFERROR(VLOOKUP(A314,Internal_lists_bugs!$A$2:$G2002,7,FALSE()),"please select a BUG ID")</f>
        <v>please select a BUG ID</v>
      </c>
      <c r="D314" s="54"/>
      <c r="E314" s="56"/>
      <c r="F314" s="54"/>
      <c r="G314" s="56"/>
      <c r="H314" s="54"/>
      <c r="I314" s="56"/>
      <c r="J314" s="54"/>
      <c r="K314" s="92"/>
      <c r="L314" s="54"/>
      <c r="M314" s="92"/>
      <c r="N314" s="54"/>
      <c r="O314" s="92"/>
      <c r="P314" s="54"/>
      <c r="Q314" s="92"/>
      <c r="R314" s="54"/>
      <c r="S314" s="92"/>
      <c r="T314" s="117"/>
      <c r="U314" s="92"/>
      <c r="V314" s="54"/>
      <c r="W314" s="92"/>
      <c r="X314" s="54"/>
      <c r="Y314" s="92"/>
      <c r="Z314" s="54"/>
      <c r="AA314" s="92"/>
      <c r="AB314" s="54"/>
      <c r="AC314" s="92"/>
      <c r="AD314" s="54"/>
      <c r="AE314" s="92"/>
      <c r="AF314" s="54"/>
      <c r="AG314" s="92"/>
      <c r="AH314" s="54"/>
      <c r="AI314" s="92"/>
      <c r="AJ314" s="54"/>
      <c r="AK314" s="92"/>
      <c r="AL314" s="54"/>
      <c r="AM314" s="92"/>
      <c r="AO314" s="54"/>
      <c r="AP314" s="123"/>
      <c r="AQ314" s="54"/>
      <c r="AR314" s="154"/>
      <c r="AS314" s="1"/>
      <c r="AT314" s="1"/>
      <c r="AU314" s="9"/>
    </row>
    <row r="315">
      <c r="A315" s="54"/>
      <c r="B315" s="71" t="str">
        <f>IFERROR(HYPERLINK(VLOOKUP(A315,Internal_lists_bugs!$A$2:$C$73,3,FALSE()), VLOOKUP(A315,Internal_lists_bugs!$A$2:$C$73,3,FALSE())&amp;Char(10) &amp; Char(10) &amp; VLOOKUP(A315,Internal_lists_bugs!$A$2:$Z$73,26,FALSE())),"please select a BUG ID")</f>
        <v>please select a BUG ID</v>
      </c>
      <c r="C315" s="51" t="str">
        <f>IFERROR(VLOOKUP(A315,Internal_lists_bugs!$A$2:$G2002,7,FALSE()),"please select a BUG ID")</f>
        <v>please select a BUG ID</v>
      </c>
      <c r="D315" s="54"/>
      <c r="E315" s="56"/>
      <c r="F315" s="54"/>
      <c r="G315" s="56"/>
      <c r="H315" s="54"/>
      <c r="I315" s="56"/>
      <c r="J315" s="54"/>
      <c r="K315" s="92"/>
      <c r="L315" s="54"/>
      <c r="M315" s="92"/>
      <c r="N315" s="54"/>
      <c r="O315" s="92"/>
      <c r="P315" s="54"/>
      <c r="Q315" s="92"/>
      <c r="R315" s="54"/>
      <c r="S315" s="92"/>
      <c r="T315" s="117"/>
      <c r="U315" s="92"/>
      <c r="V315" s="54"/>
      <c r="W315" s="92"/>
      <c r="X315" s="54"/>
      <c r="Y315" s="92"/>
      <c r="Z315" s="54"/>
      <c r="AA315" s="92"/>
      <c r="AB315" s="54"/>
      <c r="AC315" s="92"/>
      <c r="AD315" s="54"/>
      <c r="AE315" s="92"/>
      <c r="AF315" s="54"/>
      <c r="AG315" s="92"/>
      <c r="AH315" s="54"/>
      <c r="AI315" s="92"/>
      <c r="AJ315" s="54"/>
      <c r="AK315" s="92"/>
      <c r="AL315" s="54"/>
      <c r="AM315" s="92"/>
      <c r="AO315" s="54"/>
      <c r="AP315" s="123"/>
      <c r="AQ315" s="54"/>
      <c r="AR315" s="154"/>
      <c r="AS315" s="1"/>
      <c r="AT315" s="1"/>
      <c r="AU315" s="9"/>
    </row>
    <row r="316">
      <c r="A316" s="54"/>
      <c r="B316" s="71" t="str">
        <f>IFERROR(HYPERLINK(VLOOKUP(A316,Internal_lists_bugs!$A$2:$C$73,3,FALSE()), VLOOKUP(A316,Internal_lists_bugs!$A$2:$C$73,3,FALSE())&amp;Char(10) &amp; Char(10) &amp; VLOOKUP(A316,Internal_lists_bugs!$A$2:$Z$73,26,FALSE())),"please select a BUG ID")</f>
        <v>please select a BUG ID</v>
      </c>
      <c r="C316" s="51" t="str">
        <f>IFERROR(VLOOKUP(A316,Internal_lists_bugs!$A$2:$G2002,7,FALSE()),"please select a BUG ID")</f>
        <v>please select a BUG ID</v>
      </c>
      <c r="D316" s="54"/>
      <c r="E316" s="56"/>
      <c r="F316" s="54"/>
      <c r="G316" s="56"/>
      <c r="H316" s="54"/>
      <c r="I316" s="56"/>
      <c r="J316" s="54"/>
      <c r="K316" s="92"/>
      <c r="L316" s="54"/>
      <c r="M316" s="92"/>
      <c r="N316" s="54"/>
      <c r="O316" s="92"/>
      <c r="P316" s="54"/>
      <c r="Q316" s="92"/>
      <c r="R316" s="54"/>
      <c r="S316" s="92"/>
      <c r="T316" s="117"/>
      <c r="U316" s="92"/>
      <c r="V316" s="54"/>
      <c r="W316" s="92"/>
      <c r="X316" s="54"/>
      <c r="Y316" s="92"/>
      <c r="Z316" s="54"/>
      <c r="AA316" s="92"/>
      <c r="AB316" s="54"/>
      <c r="AC316" s="92"/>
      <c r="AD316" s="54"/>
      <c r="AE316" s="92"/>
      <c r="AF316" s="54"/>
      <c r="AG316" s="92"/>
      <c r="AH316" s="54"/>
      <c r="AI316" s="92"/>
      <c r="AJ316" s="54"/>
      <c r="AK316" s="92"/>
      <c r="AL316" s="54"/>
      <c r="AM316" s="92"/>
      <c r="AO316" s="54"/>
      <c r="AP316" s="123"/>
      <c r="AQ316" s="54"/>
      <c r="AR316" s="154"/>
      <c r="AS316" s="1"/>
      <c r="AT316" s="1"/>
      <c r="AU316" s="9"/>
    </row>
    <row r="317">
      <c r="A317" s="54"/>
      <c r="B317" s="71" t="str">
        <f>IFERROR(HYPERLINK(VLOOKUP(A317,Internal_lists_bugs!$A$2:$C$73,3,FALSE()), VLOOKUP(A317,Internal_lists_bugs!$A$2:$C$73,3,FALSE())&amp;Char(10) &amp; Char(10) &amp; VLOOKUP(A317,Internal_lists_bugs!$A$2:$Z$73,26,FALSE())),"please select a BUG ID")</f>
        <v>please select a BUG ID</v>
      </c>
      <c r="C317" s="51" t="str">
        <f>IFERROR(VLOOKUP(A317,Internal_lists_bugs!$A$2:$G2002,7,FALSE()),"please select a BUG ID")</f>
        <v>please select a BUG ID</v>
      </c>
      <c r="D317" s="54"/>
      <c r="E317" s="56"/>
      <c r="F317" s="54"/>
      <c r="G317" s="56"/>
      <c r="H317" s="54"/>
      <c r="I317" s="56"/>
      <c r="J317" s="54"/>
      <c r="K317" s="92"/>
      <c r="L317" s="54"/>
      <c r="M317" s="92"/>
      <c r="N317" s="54"/>
      <c r="O317" s="92"/>
      <c r="P317" s="54"/>
      <c r="Q317" s="92"/>
      <c r="R317" s="54"/>
      <c r="S317" s="92"/>
      <c r="T317" s="117"/>
      <c r="U317" s="92"/>
      <c r="V317" s="54"/>
      <c r="W317" s="92"/>
      <c r="X317" s="54"/>
      <c r="Y317" s="92"/>
      <c r="Z317" s="54"/>
      <c r="AA317" s="92"/>
      <c r="AB317" s="54"/>
      <c r="AC317" s="92"/>
      <c r="AD317" s="54"/>
      <c r="AE317" s="92"/>
      <c r="AF317" s="54"/>
      <c r="AG317" s="92"/>
      <c r="AH317" s="54"/>
      <c r="AI317" s="92"/>
      <c r="AJ317" s="54"/>
      <c r="AK317" s="92"/>
      <c r="AL317" s="54"/>
      <c r="AM317" s="92"/>
      <c r="AO317" s="54"/>
      <c r="AP317" s="123"/>
      <c r="AQ317" s="54"/>
      <c r="AR317" s="154"/>
      <c r="AS317" s="1"/>
      <c r="AT317" s="1"/>
      <c r="AU317" s="9"/>
    </row>
    <row r="318">
      <c r="A318" s="54"/>
      <c r="B318" s="71" t="str">
        <f>IFERROR(HYPERLINK(VLOOKUP(A318,Internal_lists_bugs!$A$2:$C$73,3,FALSE()), VLOOKUP(A318,Internal_lists_bugs!$A$2:$C$73,3,FALSE())&amp;Char(10) &amp; Char(10) &amp; VLOOKUP(A318,Internal_lists_bugs!$A$2:$Z$73,26,FALSE())),"please select a BUG ID")</f>
        <v>please select a BUG ID</v>
      </c>
      <c r="C318" s="51" t="str">
        <f>IFERROR(VLOOKUP(A318,Internal_lists_bugs!$A$2:$G2002,7,FALSE()),"please select a BUG ID")</f>
        <v>please select a BUG ID</v>
      </c>
      <c r="D318" s="54"/>
      <c r="E318" s="56"/>
      <c r="F318" s="54"/>
      <c r="G318" s="56"/>
      <c r="H318" s="54"/>
      <c r="I318" s="56"/>
      <c r="J318" s="54"/>
      <c r="K318" s="92"/>
      <c r="L318" s="54"/>
      <c r="M318" s="92"/>
      <c r="N318" s="54"/>
      <c r="O318" s="92"/>
      <c r="P318" s="54"/>
      <c r="Q318" s="92"/>
      <c r="R318" s="54"/>
      <c r="S318" s="92"/>
      <c r="T318" s="117"/>
      <c r="U318" s="92"/>
      <c r="V318" s="54"/>
      <c r="W318" s="92"/>
      <c r="X318" s="54"/>
      <c r="Y318" s="92"/>
      <c r="Z318" s="54"/>
      <c r="AA318" s="92"/>
      <c r="AB318" s="54"/>
      <c r="AC318" s="92"/>
      <c r="AD318" s="54"/>
      <c r="AE318" s="92"/>
      <c r="AF318" s="54"/>
      <c r="AG318" s="92"/>
      <c r="AH318" s="54"/>
      <c r="AI318" s="92"/>
      <c r="AJ318" s="54"/>
      <c r="AK318" s="92"/>
      <c r="AL318" s="54"/>
      <c r="AM318" s="92"/>
      <c r="AO318" s="54"/>
      <c r="AP318" s="123"/>
      <c r="AQ318" s="54"/>
      <c r="AR318" s="154"/>
      <c r="AS318" s="1"/>
      <c r="AT318" s="1"/>
      <c r="AU318" s="9"/>
    </row>
    <row r="319">
      <c r="A319" s="54"/>
      <c r="B319" s="71" t="str">
        <f>IFERROR(HYPERLINK(VLOOKUP(A319,Internal_lists_bugs!$A$2:$C$73,3,FALSE()), VLOOKUP(A319,Internal_lists_bugs!$A$2:$C$73,3,FALSE())&amp;Char(10) &amp; Char(10) &amp; VLOOKUP(A319,Internal_lists_bugs!$A$2:$Z$73,26,FALSE())),"please select a BUG ID")</f>
        <v>please select a BUG ID</v>
      </c>
      <c r="C319" s="51" t="str">
        <f>IFERROR(VLOOKUP(A319,Internal_lists_bugs!$A$2:$G2002,7,FALSE()),"please select a BUG ID")</f>
        <v>please select a BUG ID</v>
      </c>
      <c r="D319" s="54"/>
      <c r="E319" s="56"/>
      <c r="F319" s="54"/>
      <c r="G319" s="56"/>
      <c r="H319" s="54"/>
      <c r="I319" s="56"/>
      <c r="J319" s="54"/>
      <c r="K319" s="92"/>
      <c r="L319" s="54"/>
      <c r="M319" s="92"/>
      <c r="N319" s="54"/>
      <c r="O319" s="92"/>
      <c r="P319" s="54"/>
      <c r="Q319" s="92"/>
      <c r="R319" s="54"/>
      <c r="S319" s="92"/>
      <c r="T319" s="117"/>
      <c r="U319" s="92"/>
      <c r="V319" s="54"/>
      <c r="W319" s="92"/>
      <c r="X319" s="54"/>
      <c r="Y319" s="92"/>
      <c r="Z319" s="54"/>
      <c r="AA319" s="92"/>
      <c r="AB319" s="54"/>
      <c r="AC319" s="92"/>
      <c r="AD319" s="54"/>
      <c r="AE319" s="92"/>
      <c r="AF319" s="54"/>
      <c r="AG319" s="92"/>
      <c r="AH319" s="54"/>
      <c r="AI319" s="92"/>
      <c r="AJ319" s="54"/>
      <c r="AK319" s="92"/>
      <c r="AL319" s="54"/>
      <c r="AM319" s="92"/>
      <c r="AO319" s="54"/>
      <c r="AP319" s="123"/>
      <c r="AQ319" s="54"/>
      <c r="AR319" s="154"/>
      <c r="AS319" s="1"/>
      <c r="AT319" s="1"/>
      <c r="AU319" s="9"/>
    </row>
    <row r="320">
      <c r="A320" s="54"/>
      <c r="B320" s="71" t="str">
        <f>IFERROR(HYPERLINK(VLOOKUP(A320,Internal_lists_bugs!$A$2:$C$73,3,FALSE()), VLOOKUP(A320,Internal_lists_bugs!$A$2:$C$73,3,FALSE())&amp;Char(10) &amp; Char(10) &amp; VLOOKUP(A320,Internal_lists_bugs!$A$2:$Z$73,26,FALSE())),"please select a BUG ID")</f>
        <v>please select a BUG ID</v>
      </c>
      <c r="C320" s="51" t="str">
        <f>IFERROR(VLOOKUP(A320,Internal_lists_bugs!$A$2:$G2002,7,FALSE()),"please select a BUG ID")</f>
        <v>please select a BUG ID</v>
      </c>
      <c r="D320" s="54"/>
      <c r="E320" s="56"/>
      <c r="F320" s="54"/>
      <c r="G320" s="56"/>
      <c r="H320" s="54"/>
      <c r="I320" s="56"/>
      <c r="J320" s="54"/>
      <c r="K320" s="92"/>
      <c r="L320" s="54"/>
      <c r="M320" s="92"/>
      <c r="N320" s="54"/>
      <c r="O320" s="92"/>
      <c r="P320" s="54"/>
      <c r="Q320" s="92"/>
      <c r="R320" s="54"/>
      <c r="S320" s="92"/>
      <c r="T320" s="117"/>
      <c r="U320" s="92"/>
      <c r="V320" s="54"/>
      <c r="W320" s="92"/>
      <c r="X320" s="54"/>
      <c r="Y320" s="92"/>
      <c r="Z320" s="54"/>
      <c r="AA320" s="92"/>
      <c r="AB320" s="54"/>
      <c r="AC320" s="92"/>
      <c r="AD320" s="54"/>
      <c r="AE320" s="92"/>
      <c r="AF320" s="54"/>
      <c r="AG320" s="92"/>
      <c r="AH320" s="54"/>
      <c r="AI320" s="92"/>
      <c r="AJ320" s="54"/>
      <c r="AK320" s="92"/>
      <c r="AL320" s="54"/>
      <c r="AM320" s="92"/>
      <c r="AO320" s="54"/>
      <c r="AP320" s="123"/>
      <c r="AQ320" s="54"/>
      <c r="AR320" s="154"/>
      <c r="AS320" s="1"/>
      <c r="AT320" s="1"/>
      <c r="AU320" s="9"/>
    </row>
    <row r="321">
      <c r="A321" s="54"/>
      <c r="B321" s="71" t="str">
        <f>IFERROR(HYPERLINK(VLOOKUP(A321,Internal_lists_bugs!$A$2:$C$73,3,FALSE()), VLOOKUP(A321,Internal_lists_bugs!$A$2:$C$73,3,FALSE())&amp;Char(10) &amp; Char(10) &amp; VLOOKUP(A321,Internal_lists_bugs!$A$2:$Z$73,26,FALSE())),"please select a BUG ID")</f>
        <v>please select a BUG ID</v>
      </c>
      <c r="C321" s="51" t="str">
        <f>IFERROR(VLOOKUP(A321,Internal_lists_bugs!$A$2:$G2002,7,FALSE()),"please select a BUG ID")</f>
        <v>please select a BUG ID</v>
      </c>
      <c r="D321" s="54"/>
      <c r="E321" s="56"/>
      <c r="F321" s="54"/>
      <c r="G321" s="56"/>
      <c r="H321" s="54"/>
      <c r="I321" s="56"/>
      <c r="J321" s="54"/>
      <c r="K321" s="92"/>
      <c r="L321" s="54"/>
      <c r="M321" s="92"/>
      <c r="N321" s="54"/>
      <c r="O321" s="92"/>
      <c r="P321" s="54"/>
      <c r="Q321" s="92"/>
      <c r="R321" s="54"/>
      <c r="S321" s="92"/>
      <c r="T321" s="117"/>
      <c r="U321" s="92"/>
      <c r="V321" s="54"/>
      <c r="W321" s="92"/>
      <c r="X321" s="54"/>
      <c r="Y321" s="92"/>
      <c r="Z321" s="54"/>
      <c r="AA321" s="92"/>
      <c r="AB321" s="54"/>
      <c r="AC321" s="92"/>
      <c r="AD321" s="54"/>
      <c r="AE321" s="92"/>
      <c r="AF321" s="54"/>
      <c r="AG321" s="92"/>
      <c r="AH321" s="54"/>
      <c r="AI321" s="92"/>
      <c r="AJ321" s="54"/>
      <c r="AK321" s="92"/>
      <c r="AL321" s="54"/>
      <c r="AM321" s="92"/>
      <c r="AO321" s="54"/>
      <c r="AP321" s="123"/>
      <c r="AQ321" s="54"/>
      <c r="AR321" s="154"/>
      <c r="AS321" s="1"/>
      <c r="AT321" s="1"/>
      <c r="AU321" s="9"/>
    </row>
    <row r="322">
      <c r="A322" s="54"/>
      <c r="B322" s="71" t="str">
        <f>IFERROR(HYPERLINK(VLOOKUP(A322,Internal_lists_bugs!$A$2:$C$73,3,FALSE()), VLOOKUP(A322,Internal_lists_bugs!$A$2:$C$73,3,FALSE())&amp;Char(10) &amp; Char(10) &amp; VLOOKUP(A322,Internal_lists_bugs!$A$2:$Z$73,26,FALSE())),"please select a BUG ID")</f>
        <v>please select a BUG ID</v>
      </c>
      <c r="C322" s="51" t="str">
        <f>IFERROR(VLOOKUP(A322,Internal_lists_bugs!$A$2:$G2002,7,FALSE()),"please select a BUG ID")</f>
        <v>please select a BUG ID</v>
      </c>
      <c r="D322" s="54"/>
      <c r="E322" s="56"/>
      <c r="F322" s="54"/>
      <c r="G322" s="56"/>
      <c r="H322" s="54"/>
      <c r="I322" s="56"/>
      <c r="J322" s="54"/>
      <c r="K322" s="92"/>
      <c r="L322" s="54"/>
      <c r="M322" s="92"/>
      <c r="N322" s="54"/>
      <c r="O322" s="92"/>
      <c r="P322" s="54"/>
      <c r="Q322" s="92"/>
      <c r="R322" s="54"/>
      <c r="S322" s="92"/>
      <c r="T322" s="117"/>
      <c r="U322" s="92"/>
      <c r="V322" s="54"/>
      <c r="W322" s="92"/>
      <c r="X322" s="54"/>
      <c r="Y322" s="92"/>
      <c r="Z322" s="54"/>
      <c r="AA322" s="92"/>
      <c r="AB322" s="54"/>
      <c r="AC322" s="92"/>
      <c r="AD322" s="54"/>
      <c r="AE322" s="92"/>
      <c r="AF322" s="54"/>
      <c r="AG322" s="92"/>
      <c r="AH322" s="54"/>
      <c r="AI322" s="92"/>
      <c r="AJ322" s="54"/>
      <c r="AK322" s="92"/>
      <c r="AL322" s="54"/>
      <c r="AM322" s="92"/>
      <c r="AO322" s="54"/>
      <c r="AP322" s="123"/>
      <c r="AQ322" s="54"/>
      <c r="AR322" s="154"/>
      <c r="AS322" s="1"/>
      <c r="AT322" s="1"/>
      <c r="AU322" s="9"/>
    </row>
    <row r="323">
      <c r="A323" s="54"/>
      <c r="B323" s="71" t="str">
        <f>IFERROR(HYPERLINK(VLOOKUP(A323,Internal_lists_bugs!$A$2:$C$73,3,FALSE()), VLOOKUP(A323,Internal_lists_bugs!$A$2:$C$73,3,FALSE())&amp;Char(10) &amp; Char(10) &amp; VLOOKUP(A323,Internal_lists_bugs!$A$2:$Z$73,26,FALSE())),"please select a BUG ID")</f>
        <v>please select a BUG ID</v>
      </c>
      <c r="C323" s="51" t="str">
        <f>IFERROR(VLOOKUP(A323,Internal_lists_bugs!$A$2:$G2002,7,FALSE()),"please select a BUG ID")</f>
        <v>please select a BUG ID</v>
      </c>
      <c r="D323" s="54"/>
      <c r="E323" s="56"/>
      <c r="F323" s="54"/>
      <c r="G323" s="56"/>
      <c r="H323" s="54"/>
      <c r="I323" s="56"/>
      <c r="J323" s="54"/>
      <c r="K323" s="92"/>
      <c r="L323" s="54"/>
      <c r="M323" s="92"/>
      <c r="N323" s="54"/>
      <c r="O323" s="92"/>
      <c r="P323" s="54"/>
      <c r="Q323" s="92"/>
      <c r="R323" s="54"/>
      <c r="S323" s="92"/>
      <c r="T323" s="117"/>
      <c r="U323" s="92"/>
      <c r="V323" s="54"/>
      <c r="W323" s="92"/>
      <c r="X323" s="54"/>
      <c r="Y323" s="92"/>
      <c r="Z323" s="54"/>
      <c r="AA323" s="92"/>
      <c r="AB323" s="54"/>
      <c r="AC323" s="92"/>
      <c r="AD323" s="54"/>
      <c r="AE323" s="92"/>
      <c r="AF323" s="54"/>
      <c r="AG323" s="92"/>
      <c r="AH323" s="54"/>
      <c r="AI323" s="92"/>
      <c r="AJ323" s="54"/>
      <c r="AK323" s="92"/>
      <c r="AL323" s="54"/>
      <c r="AM323" s="92"/>
      <c r="AO323" s="54"/>
      <c r="AP323" s="123"/>
      <c r="AQ323" s="54"/>
      <c r="AR323" s="154"/>
      <c r="AS323" s="1"/>
      <c r="AT323" s="1"/>
      <c r="AU323" s="9"/>
    </row>
    <row r="324">
      <c r="A324" s="54"/>
      <c r="B324" s="71" t="str">
        <f>IFERROR(HYPERLINK(VLOOKUP(A324,Internal_lists_bugs!$A$2:$C$73,3,FALSE()), VLOOKUP(A324,Internal_lists_bugs!$A$2:$C$73,3,FALSE())&amp;Char(10) &amp; Char(10) &amp; VLOOKUP(A324,Internal_lists_bugs!$A$2:$Z$73,26,FALSE())),"please select a BUG ID")</f>
        <v>please select a BUG ID</v>
      </c>
      <c r="C324" s="51" t="str">
        <f>IFERROR(VLOOKUP(A324,Internal_lists_bugs!$A$2:$G2002,7,FALSE()),"please select a BUG ID")</f>
        <v>please select a BUG ID</v>
      </c>
      <c r="D324" s="54"/>
      <c r="E324" s="56"/>
      <c r="F324" s="54"/>
      <c r="G324" s="56"/>
      <c r="H324" s="54"/>
      <c r="I324" s="56"/>
      <c r="J324" s="54"/>
      <c r="K324" s="92"/>
      <c r="L324" s="54"/>
      <c r="M324" s="92"/>
      <c r="N324" s="54"/>
      <c r="O324" s="92"/>
      <c r="P324" s="54"/>
      <c r="Q324" s="92"/>
      <c r="R324" s="54"/>
      <c r="S324" s="92"/>
      <c r="T324" s="117"/>
      <c r="U324" s="92"/>
      <c r="V324" s="54"/>
      <c r="W324" s="92"/>
      <c r="X324" s="54"/>
      <c r="Y324" s="92"/>
      <c r="Z324" s="54"/>
      <c r="AA324" s="92"/>
      <c r="AB324" s="54"/>
      <c r="AC324" s="92"/>
      <c r="AD324" s="54"/>
      <c r="AE324" s="92"/>
      <c r="AF324" s="54"/>
      <c r="AG324" s="92"/>
      <c r="AH324" s="54"/>
      <c r="AI324" s="92"/>
      <c r="AJ324" s="54"/>
      <c r="AK324" s="92"/>
      <c r="AL324" s="54"/>
      <c r="AM324" s="92"/>
      <c r="AO324" s="54"/>
      <c r="AP324" s="123"/>
      <c r="AQ324" s="54"/>
      <c r="AR324" s="154"/>
      <c r="AS324" s="1"/>
      <c r="AT324" s="1"/>
      <c r="AU324" s="9"/>
    </row>
    <row r="325">
      <c r="A325" s="54"/>
      <c r="B325" s="71" t="str">
        <f>IFERROR(HYPERLINK(VLOOKUP(A325,Internal_lists_bugs!$A$2:$C$73,3,FALSE()), VLOOKUP(A325,Internal_lists_bugs!$A$2:$C$73,3,FALSE())&amp;Char(10) &amp; Char(10) &amp; VLOOKUP(A325,Internal_lists_bugs!$A$2:$Z$73,26,FALSE())),"please select a BUG ID")</f>
        <v>please select a BUG ID</v>
      </c>
      <c r="C325" s="51" t="str">
        <f>IFERROR(VLOOKUP(A325,Internal_lists_bugs!$A$2:$G2002,7,FALSE()),"please select a BUG ID")</f>
        <v>please select a BUG ID</v>
      </c>
      <c r="D325" s="54"/>
      <c r="E325" s="56"/>
      <c r="F325" s="54"/>
      <c r="G325" s="56"/>
      <c r="H325" s="54"/>
      <c r="I325" s="56"/>
      <c r="J325" s="54"/>
      <c r="K325" s="92"/>
      <c r="L325" s="54"/>
      <c r="M325" s="92"/>
      <c r="N325" s="54"/>
      <c r="O325" s="92"/>
      <c r="P325" s="54"/>
      <c r="Q325" s="92"/>
      <c r="R325" s="54"/>
      <c r="S325" s="92"/>
      <c r="T325" s="117"/>
      <c r="U325" s="92"/>
      <c r="V325" s="54"/>
      <c r="W325" s="92"/>
      <c r="X325" s="54"/>
      <c r="Y325" s="92"/>
      <c r="Z325" s="54"/>
      <c r="AA325" s="92"/>
      <c r="AB325" s="54"/>
      <c r="AC325" s="92"/>
      <c r="AD325" s="54"/>
      <c r="AE325" s="92"/>
      <c r="AF325" s="54"/>
      <c r="AG325" s="92"/>
      <c r="AH325" s="54"/>
      <c r="AI325" s="92"/>
      <c r="AJ325" s="54"/>
      <c r="AK325" s="92"/>
      <c r="AL325" s="54"/>
      <c r="AM325" s="92"/>
      <c r="AO325" s="54"/>
      <c r="AP325" s="123"/>
      <c r="AQ325" s="54"/>
      <c r="AR325" s="154"/>
      <c r="AS325" s="1"/>
      <c r="AT325" s="1"/>
      <c r="AU325" s="9"/>
    </row>
    <row r="326">
      <c r="A326" s="54"/>
      <c r="B326" s="71" t="str">
        <f>IFERROR(HYPERLINK(VLOOKUP(A326,Internal_lists_bugs!$A$2:$C$73,3,FALSE()), VLOOKUP(A326,Internal_lists_bugs!$A$2:$C$73,3,FALSE())&amp;Char(10) &amp; Char(10) &amp; VLOOKUP(A326,Internal_lists_bugs!$A$2:$Z$73,26,FALSE())),"please select a BUG ID")</f>
        <v>please select a BUG ID</v>
      </c>
      <c r="C326" s="51" t="str">
        <f>IFERROR(VLOOKUP(A326,Internal_lists_bugs!$A$2:$G2002,7,FALSE()),"please select a BUG ID")</f>
        <v>please select a BUG ID</v>
      </c>
      <c r="D326" s="54"/>
      <c r="E326" s="56"/>
      <c r="F326" s="54"/>
      <c r="G326" s="56"/>
      <c r="H326" s="54"/>
      <c r="I326" s="56"/>
      <c r="J326" s="54"/>
      <c r="K326" s="92"/>
      <c r="L326" s="54"/>
      <c r="M326" s="92"/>
      <c r="N326" s="54"/>
      <c r="O326" s="92"/>
      <c r="P326" s="54"/>
      <c r="Q326" s="92"/>
      <c r="R326" s="54"/>
      <c r="S326" s="92"/>
      <c r="T326" s="117"/>
      <c r="U326" s="92"/>
      <c r="V326" s="54"/>
      <c r="W326" s="92"/>
      <c r="X326" s="54"/>
      <c r="Y326" s="92"/>
      <c r="Z326" s="54"/>
      <c r="AA326" s="92"/>
      <c r="AB326" s="54"/>
      <c r="AC326" s="92"/>
      <c r="AD326" s="54"/>
      <c r="AE326" s="92"/>
      <c r="AF326" s="54"/>
      <c r="AG326" s="92"/>
      <c r="AH326" s="54"/>
      <c r="AI326" s="92"/>
      <c r="AJ326" s="54"/>
      <c r="AK326" s="92"/>
      <c r="AL326" s="54"/>
      <c r="AM326" s="92"/>
      <c r="AO326" s="54"/>
      <c r="AP326" s="123"/>
      <c r="AQ326" s="54"/>
      <c r="AR326" s="154"/>
      <c r="AS326" s="1"/>
      <c r="AT326" s="1"/>
      <c r="AU326" s="9"/>
    </row>
    <row r="327">
      <c r="A327" s="54"/>
      <c r="B327" s="71" t="str">
        <f>IFERROR(HYPERLINK(VLOOKUP(A327,Internal_lists_bugs!$A$2:$C$73,3,FALSE()), VLOOKUP(A327,Internal_lists_bugs!$A$2:$C$73,3,FALSE())&amp;Char(10) &amp; Char(10) &amp; VLOOKUP(A327,Internal_lists_bugs!$A$2:$Z$73,26,FALSE())),"please select a BUG ID")</f>
        <v>please select a BUG ID</v>
      </c>
      <c r="C327" s="51" t="str">
        <f>IFERROR(VLOOKUP(A327,Internal_lists_bugs!$A$2:$G2002,7,FALSE()),"please select a BUG ID")</f>
        <v>please select a BUG ID</v>
      </c>
      <c r="D327" s="54"/>
      <c r="E327" s="56"/>
      <c r="F327" s="54"/>
      <c r="G327" s="56"/>
      <c r="H327" s="54"/>
      <c r="I327" s="56"/>
      <c r="J327" s="54"/>
      <c r="K327" s="92"/>
      <c r="L327" s="54"/>
      <c r="M327" s="92"/>
      <c r="N327" s="54"/>
      <c r="O327" s="92"/>
      <c r="P327" s="54"/>
      <c r="Q327" s="92"/>
      <c r="R327" s="54"/>
      <c r="S327" s="92"/>
      <c r="T327" s="117"/>
      <c r="U327" s="92"/>
      <c r="V327" s="54"/>
      <c r="W327" s="92"/>
      <c r="X327" s="54"/>
      <c r="Y327" s="92"/>
      <c r="Z327" s="54"/>
      <c r="AA327" s="92"/>
      <c r="AB327" s="54"/>
      <c r="AC327" s="92"/>
      <c r="AD327" s="54"/>
      <c r="AE327" s="92"/>
      <c r="AF327" s="54"/>
      <c r="AG327" s="92"/>
      <c r="AH327" s="54"/>
      <c r="AI327" s="92"/>
      <c r="AJ327" s="54"/>
      <c r="AK327" s="92"/>
      <c r="AL327" s="54"/>
      <c r="AM327" s="92"/>
      <c r="AO327" s="54"/>
      <c r="AP327" s="123"/>
      <c r="AQ327" s="54"/>
      <c r="AR327" s="154"/>
      <c r="AS327" s="1"/>
      <c r="AT327" s="1"/>
      <c r="AU327" s="9"/>
    </row>
    <row r="328">
      <c r="A328" s="54"/>
      <c r="B328" s="71" t="str">
        <f>IFERROR(HYPERLINK(VLOOKUP(A328,Internal_lists_bugs!$A$2:$C$73,3,FALSE()), VLOOKUP(A328,Internal_lists_bugs!$A$2:$C$73,3,FALSE())&amp;Char(10) &amp; Char(10) &amp; VLOOKUP(A328,Internal_lists_bugs!$A$2:$Z$73,26,FALSE())),"please select a BUG ID")</f>
        <v>please select a BUG ID</v>
      </c>
      <c r="C328" s="51" t="str">
        <f>IFERROR(VLOOKUP(A328,Internal_lists_bugs!$A$2:$G2002,7,FALSE()),"please select a BUG ID")</f>
        <v>please select a BUG ID</v>
      </c>
      <c r="D328" s="54"/>
      <c r="E328" s="56"/>
      <c r="F328" s="54"/>
      <c r="G328" s="56"/>
      <c r="H328" s="54"/>
      <c r="I328" s="56"/>
      <c r="J328" s="54"/>
      <c r="K328" s="92"/>
      <c r="L328" s="54"/>
      <c r="M328" s="92"/>
      <c r="N328" s="54"/>
      <c r="O328" s="92"/>
      <c r="P328" s="54"/>
      <c r="Q328" s="92"/>
      <c r="R328" s="54"/>
      <c r="S328" s="92"/>
      <c r="T328" s="117"/>
      <c r="U328" s="92"/>
      <c r="V328" s="54"/>
      <c r="W328" s="92"/>
      <c r="X328" s="54"/>
      <c r="Y328" s="92"/>
      <c r="Z328" s="54"/>
      <c r="AA328" s="92"/>
      <c r="AB328" s="54"/>
      <c r="AC328" s="92"/>
      <c r="AD328" s="54"/>
      <c r="AE328" s="92"/>
      <c r="AF328" s="54"/>
      <c r="AG328" s="92"/>
      <c r="AH328" s="54"/>
      <c r="AI328" s="92"/>
      <c r="AJ328" s="54"/>
      <c r="AK328" s="92"/>
      <c r="AL328" s="54"/>
      <c r="AM328" s="92"/>
      <c r="AO328" s="54"/>
      <c r="AP328" s="123"/>
      <c r="AQ328" s="54"/>
      <c r="AR328" s="154"/>
      <c r="AS328" s="1"/>
      <c r="AT328" s="1"/>
      <c r="AU328" s="9"/>
    </row>
    <row r="329">
      <c r="A329" s="54"/>
      <c r="B329" s="71" t="str">
        <f>IFERROR(HYPERLINK(VLOOKUP(A329,Internal_lists_bugs!$A$2:$C$73,3,FALSE()), VLOOKUP(A329,Internal_lists_bugs!$A$2:$C$73,3,FALSE())&amp;Char(10) &amp; Char(10) &amp; VLOOKUP(A329,Internal_lists_bugs!$A$2:$Z$73,26,FALSE())),"please select a BUG ID")</f>
        <v>please select a BUG ID</v>
      </c>
      <c r="C329" s="51" t="str">
        <f>IFERROR(VLOOKUP(A329,Internal_lists_bugs!$A$2:$G2002,7,FALSE()),"please select a BUG ID")</f>
        <v>please select a BUG ID</v>
      </c>
      <c r="D329" s="54"/>
      <c r="E329" s="56"/>
      <c r="F329" s="54"/>
      <c r="G329" s="56"/>
      <c r="H329" s="54"/>
      <c r="I329" s="56"/>
      <c r="J329" s="54"/>
      <c r="K329" s="92"/>
      <c r="L329" s="54"/>
      <c r="M329" s="92"/>
      <c r="N329" s="54"/>
      <c r="O329" s="92"/>
      <c r="P329" s="54"/>
      <c r="Q329" s="92"/>
      <c r="R329" s="54"/>
      <c r="S329" s="92"/>
      <c r="T329" s="117"/>
      <c r="U329" s="92"/>
      <c r="V329" s="54"/>
      <c r="W329" s="92"/>
      <c r="X329" s="54"/>
      <c r="Y329" s="92"/>
      <c r="Z329" s="54"/>
      <c r="AA329" s="92"/>
      <c r="AB329" s="54"/>
      <c r="AC329" s="92"/>
      <c r="AD329" s="54"/>
      <c r="AE329" s="92"/>
      <c r="AF329" s="54"/>
      <c r="AG329" s="92"/>
      <c r="AH329" s="54"/>
      <c r="AI329" s="92"/>
      <c r="AJ329" s="54"/>
      <c r="AK329" s="92"/>
      <c r="AL329" s="54"/>
      <c r="AM329" s="92"/>
      <c r="AO329" s="54"/>
      <c r="AP329" s="123"/>
      <c r="AQ329" s="54"/>
      <c r="AR329" s="154"/>
      <c r="AS329" s="1"/>
      <c r="AT329" s="1"/>
      <c r="AU329" s="9"/>
    </row>
    <row r="330">
      <c r="A330" s="54"/>
      <c r="B330" s="71" t="str">
        <f>IFERROR(HYPERLINK(VLOOKUP(A330,Internal_lists_bugs!$A$2:$C$73,3,FALSE()), VLOOKUP(A330,Internal_lists_bugs!$A$2:$C$73,3,FALSE())&amp;Char(10) &amp; Char(10) &amp; VLOOKUP(A330,Internal_lists_bugs!$A$2:$Z$73,26,FALSE())),"please select a BUG ID")</f>
        <v>please select a BUG ID</v>
      </c>
      <c r="C330" s="51" t="str">
        <f>IFERROR(VLOOKUP(A330,Internal_lists_bugs!$A$2:$G2002,7,FALSE()),"please select a BUG ID")</f>
        <v>please select a BUG ID</v>
      </c>
      <c r="D330" s="54"/>
      <c r="E330" s="56"/>
      <c r="F330" s="54"/>
      <c r="G330" s="56"/>
      <c r="H330" s="54"/>
      <c r="I330" s="56"/>
      <c r="J330" s="54"/>
      <c r="K330" s="92"/>
      <c r="L330" s="54"/>
      <c r="M330" s="92"/>
      <c r="N330" s="54"/>
      <c r="O330" s="92"/>
      <c r="P330" s="54"/>
      <c r="Q330" s="92"/>
      <c r="R330" s="54"/>
      <c r="S330" s="92"/>
      <c r="T330" s="117"/>
      <c r="U330" s="92"/>
      <c r="V330" s="54"/>
      <c r="W330" s="92"/>
      <c r="X330" s="54"/>
      <c r="Y330" s="92"/>
      <c r="Z330" s="54"/>
      <c r="AA330" s="92"/>
      <c r="AB330" s="54"/>
      <c r="AC330" s="92"/>
      <c r="AD330" s="54"/>
      <c r="AE330" s="92"/>
      <c r="AF330" s="54"/>
      <c r="AG330" s="92"/>
      <c r="AH330" s="54"/>
      <c r="AI330" s="92"/>
      <c r="AJ330" s="54"/>
      <c r="AK330" s="92"/>
      <c r="AL330" s="54"/>
      <c r="AM330" s="92"/>
      <c r="AO330" s="54"/>
      <c r="AP330" s="123"/>
      <c r="AQ330" s="54"/>
      <c r="AR330" s="154"/>
      <c r="AS330" s="1"/>
      <c r="AT330" s="1"/>
      <c r="AU330" s="9"/>
    </row>
    <row r="331">
      <c r="A331" s="54"/>
      <c r="B331" s="71" t="str">
        <f>IFERROR(HYPERLINK(VLOOKUP(A331,Internal_lists_bugs!$A$2:$C$73,3,FALSE()), VLOOKUP(A331,Internal_lists_bugs!$A$2:$C$73,3,FALSE())&amp;Char(10) &amp; Char(10) &amp; VLOOKUP(A331,Internal_lists_bugs!$A$2:$Z$73,26,FALSE())),"please select a BUG ID")</f>
        <v>please select a BUG ID</v>
      </c>
      <c r="C331" s="51" t="str">
        <f>IFERROR(VLOOKUP(A331,Internal_lists_bugs!$A$2:$G2002,7,FALSE()),"please select a BUG ID")</f>
        <v>please select a BUG ID</v>
      </c>
      <c r="D331" s="54"/>
      <c r="E331" s="56"/>
      <c r="F331" s="54"/>
      <c r="G331" s="56"/>
      <c r="H331" s="54"/>
      <c r="I331" s="56"/>
      <c r="J331" s="54"/>
      <c r="K331" s="92"/>
      <c r="L331" s="54"/>
      <c r="M331" s="92"/>
      <c r="N331" s="54"/>
      <c r="O331" s="92"/>
      <c r="P331" s="54"/>
      <c r="Q331" s="92"/>
      <c r="R331" s="54"/>
      <c r="S331" s="92"/>
      <c r="T331" s="117"/>
      <c r="U331" s="92"/>
      <c r="V331" s="54"/>
      <c r="W331" s="92"/>
      <c r="X331" s="54"/>
      <c r="Y331" s="92"/>
      <c r="Z331" s="54"/>
      <c r="AA331" s="92"/>
      <c r="AB331" s="54"/>
      <c r="AC331" s="92"/>
      <c r="AD331" s="54"/>
      <c r="AE331" s="92"/>
      <c r="AF331" s="54"/>
      <c r="AG331" s="92"/>
      <c r="AH331" s="54"/>
      <c r="AI331" s="92"/>
      <c r="AJ331" s="54"/>
      <c r="AK331" s="92"/>
      <c r="AL331" s="54"/>
      <c r="AM331" s="92"/>
      <c r="AO331" s="54"/>
      <c r="AP331" s="123"/>
      <c r="AQ331" s="54"/>
      <c r="AR331" s="154"/>
      <c r="AS331" s="1"/>
      <c r="AT331" s="1"/>
      <c r="AU331" s="9"/>
    </row>
    <row r="332">
      <c r="A332" s="54"/>
      <c r="B332" s="71" t="str">
        <f>IFERROR(HYPERLINK(VLOOKUP(A332,Internal_lists_bugs!$A$2:$C$73,3,FALSE()), VLOOKUP(A332,Internal_lists_bugs!$A$2:$C$73,3,FALSE())&amp;Char(10) &amp; Char(10) &amp; VLOOKUP(A332,Internal_lists_bugs!$A$2:$Z$73,26,FALSE())),"please select a BUG ID")</f>
        <v>please select a BUG ID</v>
      </c>
      <c r="C332" s="51" t="str">
        <f>IFERROR(VLOOKUP(A332,Internal_lists_bugs!$A$2:$G2002,7,FALSE()),"please select a BUG ID")</f>
        <v>please select a BUG ID</v>
      </c>
      <c r="D332" s="54"/>
      <c r="E332" s="56"/>
      <c r="F332" s="54"/>
      <c r="G332" s="56"/>
      <c r="H332" s="54"/>
      <c r="I332" s="56"/>
      <c r="J332" s="54"/>
      <c r="K332" s="92"/>
      <c r="L332" s="54"/>
      <c r="M332" s="92"/>
      <c r="N332" s="54"/>
      <c r="O332" s="92"/>
      <c r="P332" s="54"/>
      <c r="Q332" s="92"/>
      <c r="R332" s="54"/>
      <c r="S332" s="92"/>
      <c r="T332" s="117"/>
      <c r="U332" s="92"/>
      <c r="V332" s="54"/>
      <c r="W332" s="92"/>
      <c r="X332" s="54"/>
      <c r="Y332" s="92"/>
      <c r="Z332" s="54"/>
      <c r="AA332" s="92"/>
      <c r="AB332" s="54"/>
      <c r="AC332" s="92"/>
      <c r="AD332" s="54"/>
      <c r="AE332" s="92"/>
      <c r="AF332" s="54"/>
      <c r="AG332" s="92"/>
      <c r="AH332" s="54"/>
      <c r="AI332" s="92"/>
      <c r="AJ332" s="54"/>
      <c r="AK332" s="92"/>
      <c r="AL332" s="54"/>
      <c r="AM332" s="92"/>
      <c r="AO332" s="54"/>
      <c r="AP332" s="123"/>
      <c r="AQ332" s="54"/>
      <c r="AR332" s="154"/>
      <c r="AS332" s="1"/>
      <c r="AT332" s="1"/>
      <c r="AU332" s="9"/>
    </row>
    <row r="333">
      <c r="A333" s="54"/>
      <c r="B333" s="71" t="str">
        <f>IFERROR(HYPERLINK(VLOOKUP(A333,Internal_lists_bugs!$A$2:$C$73,3,FALSE()), VLOOKUP(A333,Internal_lists_bugs!$A$2:$C$73,3,FALSE())&amp;Char(10) &amp; Char(10) &amp; VLOOKUP(A333,Internal_lists_bugs!$A$2:$Z$73,26,FALSE())),"please select a BUG ID")</f>
        <v>please select a BUG ID</v>
      </c>
      <c r="C333" s="51" t="str">
        <f>IFERROR(VLOOKUP(A333,Internal_lists_bugs!$A$2:$G2002,7,FALSE()),"please select a BUG ID")</f>
        <v>please select a BUG ID</v>
      </c>
      <c r="D333" s="54"/>
      <c r="E333" s="56"/>
      <c r="F333" s="54"/>
      <c r="G333" s="56"/>
      <c r="H333" s="54"/>
      <c r="I333" s="56"/>
      <c r="J333" s="54"/>
      <c r="K333" s="92"/>
      <c r="L333" s="54"/>
      <c r="M333" s="92"/>
      <c r="N333" s="54"/>
      <c r="O333" s="92"/>
      <c r="P333" s="54"/>
      <c r="Q333" s="92"/>
      <c r="R333" s="54"/>
      <c r="S333" s="92"/>
      <c r="T333" s="117"/>
      <c r="U333" s="92"/>
      <c r="V333" s="54"/>
      <c r="W333" s="92"/>
      <c r="X333" s="54"/>
      <c r="Y333" s="92"/>
      <c r="Z333" s="54"/>
      <c r="AA333" s="92"/>
      <c r="AB333" s="54"/>
      <c r="AC333" s="92"/>
      <c r="AD333" s="54"/>
      <c r="AE333" s="92"/>
      <c r="AF333" s="54"/>
      <c r="AG333" s="92"/>
      <c r="AH333" s="54"/>
      <c r="AI333" s="92"/>
      <c r="AJ333" s="54"/>
      <c r="AK333" s="92"/>
      <c r="AL333" s="54"/>
      <c r="AM333" s="92"/>
      <c r="AO333" s="54"/>
      <c r="AP333" s="123"/>
      <c r="AQ333" s="54"/>
      <c r="AR333" s="154"/>
      <c r="AS333" s="1"/>
      <c r="AT333" s="1"/>
      <c r="AU333" s="9"/>
    </row>
    <row r="334">
      <c r="A334" s="54"/>
      <c r="B334" s="71" t="str">
        <f>IFERROR(HYPERLINK(VLOOKUP(A334,Internal_lists_bugs!$A$2:$C$73,3,FALSE()), VLOOKUP(A334,Internal_lists_bugs!$A$2:$C$73,3,FALSE())&amp;Char(10) &amp; Char(10) &amp; VLOOKUP(A334,Internal_lists_bugs!$A$2:$Z$73,26,FALSE())),"please select a BUG ID")</f>
        <v>please select a BUG ID</v>
      </c>
      <c r="C334" s="51" t="str">
        <f>IFERROR(VLOOKUP(A334,Internal_lists_bugs!$A$2:$G2002,7,FALSE()),"please select a BUG ID")</f>
        <v>please select a BUG ID</v>
      </c>
      <c r="D334" s="54"/>
      <c r="E334" s="56"/>
      <c r="F334" s="54"/>
      <c r="G334" s="56"/>
      <c r="H334" s="54"/>
      <c r="I334" s="56"/>
      <c r="J334" s="54"/>
      <c r="K334" s="92"/>
      <c r="L334" s="54"/>
      <c r="M334" s="92"/>
      <c r="N334" s="54"/>
      <c r="O334" s="92"/>
      <c r="P334" s="54"/>
      <c r="Q334" s="92"/>
      <c r="R334" s="54"/>
      <c r="S334" s="92"/>
      <c r="T334" s="117"/>
      <c r="U334" s="92"/>
      <c r="V334" s="54"/>
      <c r="W334" s="92"/>
      <c r="X334" s="54"/>
      <c r="Y334" s="92"/>
      <c r="Z334" s="54"/>
      <c r="AA334" s="92"/>
      <c r="AB334" s="54"/>
      <c r="AC334" s="92"/>
      <c r="AD334" s="54"/>
      <c r="AE334" s="92"/>
      <c r="AF334" s="54"/>
      <c r="AG334" s="92"/>
      <c r="AH334" s="54"/>
      <c r="AI334" s="92"/>
      <c r="AJ334" s="54"/>
      <c r="AK334" s="92"/>
      <c r="AL334" s="54"/>
      <c r="AM334" s="92"/>
      <c r="AO334" s="54"/>
      <c r="AP334" s="123"/>
      <c r="AQ334" s="54"/>
      <c r="AR334" s="154"/>
      <c r="AS334" s="1"/>
      <c r="AT334" s="1"/>
      <c r="AU334" s="9"/>
    </row>
    <row r="335">
      <c r="A335" s="54"/>
      <c r="B335" s="71" t="str">
        <f>IFERROR(HYPERLINK(VLOOKUP(A335,Internal_lists_bugs!$A$2:$C$73,3,FALSE()), VLOOKUP(A335,Internal_lists_bugs!$A$2:$C$73,3,FALSE())&amp;Char(10) &amp; Char(10) &amp; VLOOKUP(A335,Internal_lists_bugs!$A$2:$Z$73,26,FALSE())),"please select a BUG ID")</f>
        <v>please select a BUG ID</v>
      </c>
      <c r="C335" s="51" t="str">
        <f>IFERROR(VLOOKUP(A335,Internal_lists_bugs!$A$2:$G2002,7,FALSE()),"please select a BUG ID")</f>
        <v>please select a BUG ID</v>
      </c>
      <c r="D335" s="54"/>
      <c r="E335" s="56"/>
      <c r="F335" s="54"/>
      <c r="G335" s="56"/>
      <c r="H335" s="54"/>
      <c r="I335" s="56"/>
      <c r="J335" s="54"/>
      <c r="K335" s="92"/>
      <c r="L335" s="54"/>
      <c r="M335" s="92"/>
      <c r="N335" s="54"/>
      <c r="O335" s="92"/>
      <c r="P335" s="54"/>
      <c r="Q335" s="92"/>
      <c r="R335" s="54"/>
      <c r="S335" s="92"/>
      <c r="T335" s="117"/>
      <c r="U335" s="92"/>
      <c r="V335" s="54"/>
      <c r="W335" s="92"/>
      <c r="X335" s="54"/>
      <c r="Y335" s="92"/>
      <c r="Z335" s="54"/>
      <c r="AA335" s="92"/>
      <c r="AB335" s="54"/>
      <c r="AC335" s="92"/>
      <c r="AD335" s="54"/>
      <c r="AE335" s="92"/>
      <c r="AF335" s="54"/>
      <c r="AG335" s="92"/>
      <c r="AH335" s="54"/>
      <c r="AI335" s="92"/>
      <c r="AJ335" s="54"/>
      <c r="AK335" s="92"/>
      <c r="AL335" s="54"/>
      <c r="AM335" s="92"/>
      <c r="AO335" s="54"/>
      <c r="AP335" s="123"/>
      <c r="AQ335" s="54"/>
      <c r="AR335" s="154"/>
      <c r="AS335" s="1"/>
      <c r="AT335" s="1"/>
      <c r="AU335" s="9"/>
    </row>
    <row r="336">
      <c r="A336" s="54"/>
      <c r="B336" s="71" t="str">
        <f>IFERROR(HYPERLINK(VLOOKUP(A336,Internal_lists_bugs!$A$2:$C$73,3,FALSE()), VLOOKUP(A336,Internal_lists_bugs!$A$2:$C$73,3,FALSE())&amp;Char(10) &amp; Char(10) &amp; VLOOKUP(A336,Internal_lists_bugs!$A$2:$Z$73,26,FALSE())),"please select a BUG ID")</f>
        <v>please select a BUG ID</v>
      </c>
      <c r="C336" s="51" t="str">
        <f>IFERROR(VLOOKUP(A336,Internal_lists_bugs!$A$2:$G2002,7,FALSE()),"please select a BUG ID")</f>
        <v>please select a BUG ID</v>
      </c>
      <c r="D336" s="54"/>
      <c r="E336" s="56"/>
      <c r="F336" s="54"/>
      <c r="G336" s="56"/>
      <c r="H336" s="54"/>
      <c r="I336" s="56"/>
      <c r="J336" s="54"/>
      <c r="K336" s="92"/>
      <c r="L336" s="54"/>
      <c r="M336" s="92"/>
      <c r="N336" s="54"/>
      <c r="O336" s="92"/>
      <c r="P336" s="54"/>
      <c r="Q336" s="92"/>
      <c r="R336" s="54"/>
      <c r="S336" s="92"/>
      <c r="T336" s="117"/>
      <c r="U336" s="92"/>
      <c r="V336" s="54"/>
      <c r="W336" s="92"/>
      <c r="X336" s="54"/>
      <c r="Y336" s="92"/>
      <c r="Z336" s="54"/>
      <c r="AA336" s="92"/>
      <c r="AB336" s="54"/>
      <c r="AC336" s="92"/>
      <c r="AD336" s="54"/>
      <c r="AE336" s="92"/>
      <c r="AF336" s="54"/>
      <c r="AG336" s="92"/>
      <c r="AH336" s="54"/>
      <c r="AI336" s="92"/>
      <c r="AJ336" s="54"/>
      <c r="AK336" s="92"/>
      <c r="AL336" s="54"/>
      <c r="AM336" s="92"/>
      <c r="AO336" s="54"/>
      <c r="AP336" s="123"/>
      <c r="AQ336" s="54"/>
      <c r="AR336" s="154"/>
      <c r="AS336" s="1"/>
      <c r="AT336" s="1"/>
      <c r="AU336" s="9"/>
    </row>
    <row r="337">
      <c r="A337" s="54"/>
      <c r="B337" s="71" t="str">
        <f>IFERROR(HYPERLINK(VLOOKUP(A337,Internal_lists_bugs!$A$2:$C$73,3,FALSE()), VLOOKUP(A337,Internal_lists_bugs!$A$2:$C$73,3,FALSE())&amp;Char(10) &amp; Char(10) &amp; VLOOKUP(A337,Internal_lists_bugs!$A$2:$Z$73,26,FALSE())),"please select a BUG ID")</f>
        <v>please select a BUG ID</v>
      </c>
      <c r="C337" s="51" t="str">
        <f>IFERROR(VLOOKUP(A337,Internal_lists_bugs!$A$2:$G2002,7,FALSE()),"please select a BUG ID")</f>
        <v>please select a BUG ID</v>
      </c>
      <c r="D337" s="54"/>
      <c r="E337" s="56"/>
      <c r="F337" s="54"/>
      <c r="G337" s="56"/>
      <c r="H337" s="54"/>
      <c r="I337" s="56"/>
      <c r="J337" s="54"/>
      <c r="K337" s="92"/>
      <c r="L337" s="54"/>
      <c r="M337" s="92"/>
      <c r="N337" s="54"/>
      <c r="O337" s="92"/>
      <c r="P337" s="54"/>
      <c r="Q337" s="92"/>
      <c r="R337" s="54"/>
      <c r="S337" s="92"/>
      <c r="T337" s="117"/>
      <c r="U337" s="92"/>
      <c r="V337" s="54"/>
      <c r="W337" s="92"/>
      <c r="X337" s="54"/>
      <c r="Y337" s="92"/>
      <c r="Z337" s="54"/>
      <c r="AA337" s="92"/>
      <c r="AB337" s="54"/>
      <c r="AC337" s="92"/>
      <c r="AD337" s="54"/>
      <c r="AE337" s="92"/>
      <c r="AF337" s="54"/>
      <c r="AG337" s="92"/>
      <c r="AH337" s="54"/>
      <c r="AI337" s="92"/>
      <c r="AJ337" s="54"/>
      <c r="AK337" s="92"/>
      <c r="AL337" s="54"/>
      <c r="AM337" s="92"/>
      <c r="AO337" s="54"/>
      <c r="AP337" s="123"/>
      <c r="AQ337" s="54"/>
      <c r="AR337" s="154"/>
      <c r="AS337" s="1"/>
      <c r="AT337" s="1"/>
      <c r="AU337" s="9"/>
    </row>
    <row r="338">
      <c r="A338" s="54"/>
      <c r="B338" s="71" t="str">
        <f>IFERROR(HYPERLINK(VLOOKUP(A338,Internal_lists_bugs!$A$2:$C$73,3,FALSE()), VLOOKUP(A338,Internal_lists_bugs!$A$2:$C$73,3,FALSE())&amp;Char(10) &amp; Char(10) &amp; VLOOKUP(A338,Internal_lists_bugs!$A$2:$Z$73,26,FALSE())),"please select a BUG ID")</f>
        <v>please select a BUG ID</v>
      </c>
      <c r="C338" s="51" t="str">
        <f>IFERROR(VLOOKUP(A338,Internal_lists_bugs!$A$2:$G2002,7,FALSE()),"please select a BUG ID")</f>
        <v>please select a BUG ID</v>
      </c>
      <c r="D338" s="54"/>
      <c r="E338" s="56"/>
      <c r="F338" s="54"/>
      <c r="G338" s="56"/>
      <c r="H338" s="54"/>
      <c r="I338" s="56"/>
      <c r="J338" s="54"/>
      <c r="K338" s="92"/>
      <c r="L338" s="54"/>
      <c r="M338" s="92"/>
      <c r="N338" s="54"/>
      <c r="O338" s="92"/>
      <c r="P338" s="54"/>
      <c r="Q338" s="92"/>
      <c r="R338" s="54"/>
      <c r="S338" s="92"/>
      <c r="T338" s="117"/>
      <c r="U338" s="92"/>
      <c r="V338" s="54"/>
      <c r="W338" s="92"/>
      <c r="X338" s="54"/>
      <c r="Y338" s="92"/>
      <c r="Z338" s="54"/>
      <c r="AA338" s="92"/>
      <c r="AB338" s="54"/>
      <c r="AC338" s="92"/>
      <c r="AD338" s="54"/>
      <c r="AE338" s="92"/>
      <c r="AF338" s="54"/>
      <c r="AG338" s="92"/>
      <c r="AH338" s="54"/>
      <c r="AI338" s="92"/>
      <c r="AJ338" s="54"/>
      <c r="AK338" s="92"/>
      <c r="AL338" s="54"/>
      <c r="AM338" s="92"/>
      <c r="AO338" s="54"/>
      <c r="AP338" s="123"/>
      <c r="AQ338" s="54"/>
      <c r="AR338" s="154"/>
      <c r="AS338" s="1"/>
      <c r="AT338" s="1"/>
      <c r="AU338" s="9"/>
    </row>
    <row r="339">
      <c r="A339" s="54"/>
      <c r="B339" s="71" t="str">
        <f>IFERROR(HYPERLINK(VLOOKUP(A339,Internal_lists_bugs!$A$2:$C$73,3,FALSE()), VLOOKUP(A339,Internal_lists_bugs!$A$2:$C$73,3,FALSE())&amp;Char(10) &amp; Char(10) &amp; VLOOKUP(A339,Internal_lists_bugs!$A$2:$Z$73,26,FALSE())),"please select a BUG ID")</f>
        <v>please select a BUG ID</v>
      </c>
      <c r="C339" s="51" t="str">
        <f>IFERROR(VLOOKUP(A339,Internal_lists_bugs!$A$2:$G2002,7,FALSE()),"please select a BUG ID")</f>
        <v>please select a BUG ID</v>
      </c>
      <c r="D339" s="54"/>
      <c r="E339" s="56"/>
      <c r="F339" s="54"/>
      <c r="G339" s="56"/>
      <c r="H339" s="54"/>
      <c r="I339" s="56"/>
      <c r="J339" s="54"/>
      <c r="K339" s="92"/>
      <c r="L339" s="54"/>
      <c r="M339" s="92"/>
      <c r="N339" s="54"/>
      <c r="O339" s="92"/>
      <c r="P339" s="54"/>
      <c r="Q339" s="92"/>
      <c r="R339" s="54"/>
      <c r="S339" s="92"/>
      <c r="T339" s="117"/>
      <c r="U339" s="92"/>
      <c r="V339" s="54"/>
      <c r="W339" s="92"/>
      <c r="X339" s="54"/>
      <c r="Y339" s="92"/>
      <c r="Z339" s="54"/>
      <c r="AA339" s="92"/>
      <c r="AB339" s="54"/>
      <c r="AC339" s="92"/>
      <c r="AD339" s="54"/>
      <c r="AE339" s="92"/>
      <c r="AF339" s="54"/>
      <c r="AG339" s="92"/>
      <c r="AH339" s="54"/>
      <c r="AI339" s="92"/>
      <c r="AJ339" s="54"/>
      <c r="AK339" s="92"/>
      <c r="AL339" s="54"/>
      <c r="AM339" s="92"/>
      <c r="AO339" s="54"/>
      <c r="AP339" s="123"/>
      <c r="AQ339" s="54"/>
      <c r="AR339" s="154"/>
      <c r="AS339" s="1"/>
      <c r="AT339" s="1"/>
      <c r="AU339" s="9"/>
    </row>
    <row r="340">
      <c r="A340" s="54"/>
      <c r="B340" s="71" t="str">
        <f>IFERROR(HYPERLINK(VLOOKUP(A340,Internal_lists_bugs!$A$2:$C$73,3,FALSE()), VLOOKUP(A340,Internal_lists_bugs!$A$2:$C$73,3,FALSE())&amp;Char(10) &amp; Char(10) &amp; VLOOKUP(A340,Internal_lists_bugs!$A$2:$Z$73,26,FALSE())),"please select a BUG ID")</f>
        <v>please select a BUG ID</v>
      </c>
      <c r="C340" s="51" t="str">
        <f>IFERROR(VLOOKUP(A340,Internal_lists_bugs!$A$2:$G2002,7,FALSE()),"please select a BUG ID")</f>
        <v>please select a BUG ID</v>
      </c>
      <c r="D340" s="54"/>
      <c r="E340" s="56"/>
      <c r="F340" s="54"/>
      <c r="G340" s="56"/>
      <c r="H340" s="54"/>
      <c r="I340" s="56"/>
      <c r="J340" s="54"/>
      <c r="K340" s="92"/>
      <c r="L340" s="54"/>
      <c r="M340" s="92"/>
      <c r="N340" s="54"/>
      <c r="O340" s="92"/>
      <c r="P340" s="54"/>
      <c r="Q340" s="92"/>
      <c r="R340" s="54"/>
      <c r="S340" s="92"/>
      <c r="T340" s="117"/>
      <c r="U340" s="92"/>
      <c r="V340" s="54"/>
      <c r="W340" s="92"/>
      <c r="X340" s="54"/>
      <c r="Y340" s="92"/>
      <c r="Z340" s="54"/>
      <c r="AA340" s="92"/>
      <c r="AB340" s="54"/>
      <c r="AC340" s="92"/>
      <c r="AD340" s="54"/>
      <c r="AE340" s="92"/>
      <c r="AF340" s="54"/>
      <c r="AG340" s="92"/>
      <c r="AH340" s="54"/>
      <c r="AI340" s="92"/>
      <c r="AJ340" s="54"/>
      <c r="AK340" s="92"/>
      <c r="AL340" s="54"/>
      <c r="AM340" s="92"/>
      <c r="AO340" s="54"/>
      <c r="AP340" s="123"/>
      <c r="AQ340" s="54"/>
      <c r="AR340" s="154"/>
      <c r="AS340" s="1"/>
      <c r="AT340" s="1"/>
      <c r="AU340" s="9"/>
    </row>
    <row r="341">
      <c r="A341" s="54"/>
      <c r="B341" s="71" t="str">
        <f>IFERROR(HYPERLINK(VLOOKUP(A341,Internal_lists_bugs!$A$2:$C$73,3,FALSE()), VLOOKUP(A341,Internal_lists_bugs!$A$2:$C$73,3,FALSE())&amp;Char(10) &amp; Char(10) &amp; VLOOKUP(A341,Internal_lists_bugs!$A$2:$Z$73,26,FALSE())),"please select a BUG ID")</f>
        <v>please select a BUG ID</v>
      </c>
      <c r="C341" s="51" t="str">
        <f>IFERROR(VLOOKUP(A341,Internal_lists_bugs!$A$2:$G2002,7,FALSE()),"please select a BUG ID")</f>
        <v>please select a BUG ID</v>
      </c>
      <c r="D341" s="54"/>
      <c r="E341" s="56"/>
      <c r="F341" s="54"/>
      <c r="G341" s="56"/>
      <c r="H341" s="54"/>
      <c r="I341" s="56"/>
      <c r="J341" s="54"/>
      <c r="K341" s="92"/>
      <c r="L341" s="54"/>
      <c r="M341" s="92"/>
      <c r="N341" s="54"/>
      <c r="O341" s="92"/>
      <c r="P341" s="54"/>
      <c r="Q341" s="92"/>
      <c r="R341" s="54"/>
      <c r="S341" s="92"/>
      <c r="T341" s="117"/>
      <c r="U341" s="92"/>
      <c r="V341" s="54"/>
      <c r="W341" s="92"/>
      <c r="X341" s="54"/>
      <c r="Y341" s="92"/>
      <c r="Z341" s="54"/>
      <c r="AA341" s="92"/>
      <c r="AB341" s="54"/>
      <c r="AC341" s="92"/>
      <c r="AD341" s="54"/>
      <c r="AE341" s="92"/>
      <c r="AF341" s="54"/>
      <c r="AG341" s="92"/>
      <c r="AH341" s="54"/>
      <c r="AI341" s="92"/>
      <c r="AJ341" s="54"/>
      <c r="AK341" s="92"/>
      <c r="AL341" s="54"/>
      <c r="AM341" s="92"/>
      <c r="AO341" s="54"/>
      <c r="AP341" s="123"/>
      <c r="AQ341" s="54"/>
      <c r="AR341" s="154"/>
      <c r="AS341" s="1"/>
      <c r="AT341" s="1"/>
      <c r="AU341" s="9"/>
    </row>
    <row r="342">
      <c r="A342" s="54"/>
      <c r="B342" s="71" t="str">
        <f>IFERROR(HYPERLINK(VLOOKUP(A342,Internal_lists_bugs!$A$2:$C$73,3,FALSE()), VLOOKUP(A342,Internal_lists_bugs!$A$2:$C$73,3,FALSE())&amp;Char(10) &amp; Char(10) &amp; VLOOKUP(A342,Internal_lists_bugs!$A$2:$Z$73,26,FALSE())),"please select a BUG ID")</f>
        <v>please select a BUG ID</v>
      </c>
      <c r="C342" s="51" t="str">
        <f>IFERROR(VLOOKUP(A342,Internal_lists_bugs!$A$2:$G2002,7,FALSE()),"please select a BUG ID")</f>
        <v>please select a BUG ID</v>
      </c>
      <c r="D342" s="54"/>
      <c r="E342" s="56"/>
      <c r="F342" s="54"/>
      <c r="G342" s="56"/>
      <c r="H342" s="54"/>
      <c r="I342" s="56"/>
      <c r="J342" s="54"/>
      <c r="K342" s="92"/>
      <c r="L342" s="54"/>
      <c r="M342" s="92"/>
      <c r="N342" s="54"/>
      <c r="O342" s="92"/>
      <c r="P342" s="54"/>
      <c r="Q342" s="92"/>
      <c r="R342" s="54"/>
      <c r="S342" s="92"/>
      <c r="T342" s="117"/>
      <c r="U342" s="92"/>
      <c r="V342" s="54"/>
      <c r="W342" s="92"/>
      <c r="X342" s="54"/>
      <c r="Y342" s="92"/>
      <c r="Z342" s="54"/>
      <c r="AA342" s="92"/>
      <c r="AB342" s="54"/>
      <c r="AC342" s="92"/>
      <c r="AD342" s="54"/>
      <c r="AE342" s="92"/>
      <c r="AF342" s="54"/>
      <c r="AG342" s="92"/>
      <c r="AH342" s="54"/>
      <c r="AI342" s="92"/>
      <c r="AJ342" s="54"/>
      <c r="AK342" s="92"/>
      <c r="AL342" s="54"/>
      <c r="AM342" s="92"/>
      <c r="AO342" s="54"/>
      <c r="AP342" s="123"/>
      <c r="AQ342" s="54"/>
      <c r="AR342" s="154"/>
      <c r="AS342" s="1"/>
      <c r="AT342" s="1"/>
      <c r="AU342" s="9"/>
    </row>
    <row r="343">
      <c r="A343" s="54"/>
      <c r="B343" s="71" t="str">
        <f>IFERROR(HYPERLINK(VLOOKUP(A343,Internal_lists_bugs!$A$2:$C$73,3,FALSE()), VLOOKUP(A343,Internal_lists_bugs!$A$2:$C$73,3,FALSE())&amp;Char(10) &amp; Char(10) &amp; VLOOKUP(A343,Internal_lists_bugs!$A$2:$Z$73,26,FALSE())),"please select a BUG ID")</f>
        <v>please select a BUG ID</v>
      </c>
      <c r="C343" s="51" t="str">
        <f>IFERROR(VLOOKUP(A343,Internal_lists_bugs!$A$2:$G2002,7,FALSE()),"please select a BUG ID")</f>
        <v>please select a BUG ID</v>
      </c>
      <c r="D343" s="54"/>
      <c r="E343" s="56"/>
      <c r="F343" s="54"/>
      <c r="G343" s="56"/>
      <c r="H343" s="54"/>
      <c r="I343" s="56"/>
      <c r="J343" s="54"/>
      <c r="K343" s="92"/>
      <c r="L343" s="54"/>
      <c r="M343" s="92"/>
      <c r="N343" s="54"/>
      <c r="O343" s="92"/>
      <c r="P343" s="54"/>
      <c r="Q343" s="92"/>
      <c r="R343" s="54"/>
      <c r="S343" s="92"/>
      <c r="T343" s="117"/>
      <c r="U343" s="92"/>
      <c r="V343" s="54"/>
      <c r="W343" s="92"/>
      <c r="X343" s="54"/>
      <c r="Y343" s="92"/>
      <c r="Z343" s="54"/>
      <c r="AA343" s="92"/>
      <c r="AB343" s="54"/>
      <c r="AC343" s="92"/>
      <c r="AD343" s="54"/>
      <c r="AE343" s="92"/>
      <c r="AF343" s="54"/>
      <c r="AG343" s="92"/>
      <c r="AH343" s="54"/>
      <c r="AI343" s="92"/>
      <c r="AJ343" s="54"/>
      <c r="AK343" s="92"/>
      <c r="AL343" s="54"/>
      <c r="AM343" s="92"/>
      <c r="AO343" s="54"/>
      <c r="AP343" s="123"/>
      <c r="AQ343" s="54"/>
      <c r="AR343" s="154"/>
      <c r="AS343" s="1"/>
      <c r="AT343" s="1"/>
      <c r="AU343" s="9"/>
    </row>
    <row r="344">
      <c r="A344" s="54"/>
      <c r="B344" s="71" t="str">
        <f>IFERROR(HYPERLINK(VLOOKUP(A344,Internal_lists_bugs!$A$2:$C$73,3,FALSE()), VLOOKUP(A344,Internal_lists_bugs!$A$2:$C$73,3,FALSE())&amp;Char(10) &amp; Char(10) &amp; VLOOKUP(A344,Internal_lists_bugs!$A$2:$Z$73,26,FALSE())),"please select a BUG ID")</f>
        <v>please select a BUG ID</v>
      </c>
      <c r="C344" s="51" t="str">
        <f>IFERROR(VLOOKUP(A344,Internal_lists_bugs!$A$2:$G2002,7,FALSE()),"please select a BUG ID")</f>
        <v>please select a BUG ID</v>
      </c>
      <c r="D344" s="54"/>
      <c r="E344" s="56"/>
      <c r="F344" s="54"/>
      <c r="G344" s="56"/>
      <c r="H344" s="54"/>
      <c r="I344" s="56"/>
      <c r="J344" s="54"/>
      <c r="K344" s="92"/>
      <c r="L344" s="54"/>
      <c r="M344" s="92"/>
      <c r="N344" s="54"/>
      <c r="O344" s="92"/>
      <c r="P344" s="54"/>
      <c r="Q344" s="92"/>
      <c r="R344" s="54"/>
      <c r="S344" s="92"/>
      <c r="T344" s="117"/>
      <c r="U344" s="92"/>
      <c r="V344" s="54"/>
      <c r="W344" s="92"/>
      <c r="X344" s="54"/>
      <c r="Y344" s="92"/>
      <c r="Z344" s="54"/>
      <c r="AA344" s="92"/>
      <c r="AB344" s="54"/>
      <c r="AC344" s="92"/>
      <c r="AD344" s="54"/>
      <c r="AE344" s="92"/>
      <c r="AF344" s="54"/>
      <c r="AG344" s="92"/>
      <c r="AH344" s="54"/>
      <c r="AI344" s="92"/>
      <c r="AJ344" s="54"/>
      <c r="AK344" s="92"/>
      <c r="AL344" s="54"/>
      <c r="AM344" s="92"/>
      <c r="AO344" s="54"/>
      <c r="AP344" s="123"/>
      <c r="AQ344" s="54"/>
      <c r="AR344" s="154"/>
      <c r="AS344" s="1"/>
      <c r="AT344" s="1"/>
      <c r="AU344" s="9"/>
    </row>
    <row r="345">
      <c r="A345" s="54"/>
      <c r="B345" s="71" t="str">
        <f>IFERROR(HYPERLINK(VLOOKUP(A345,Internal_lists_bugs!$A$2:$C$73,3,FALSE()), VLOOKUP(A345,Internal_lists_bugs!$A$2:$C$73,3,FALSE())&amp;Char(10) &amp; Char(10) &amp; VLOOKUP(A345,Internal_lists_bugs!$A$2:$Z$73,26,FALSE())),"please select a BUG ID")</f>
        <v>please select a BUG ID</v>
      </c>
      <c r="C345" s="51" t="str">
        <f>IFERROR(VLOOKUP(A345,Internal_lists_bugs!$A$2:$G2002,7,FALSE()),"please select a BUG ID")</f>
        <v>please select a BUG ID</v>
      </c>
      <c r="D345" s="54"/>
      <c r="E345" s="56"/>
      <c r="F345" s="54"/>
      <c r="G345" s="56"/>
      <c r="H345" s="54"/>
      <c r="I345" s="56"/>
      <c r="J345" s="54"/>
      <c r="K345" s="92"/>
      <c r="L345" s="54"/>
      <c r="M345" s="92"/>
      <c r="N345" s="54"/>
      <c r="O345" s="92"/>
      <c r="P345" s="54"/>
      <c r="Q345" s="92"/>
      <c r="R345" s="54"/>
      <c r="S345" s="92"/>
      <c r="T345" s="117"/>
      <c r="U345" s="92"/>
      <c r="V345" s="54"/>
      <c r="W345" s="92"/>
      <c r="X345" s="54"/>
      <c r="Y345" s="92"/>
      <c r="Z345" s="54"/>
      <c r="AA345" s="92"/>
      <c r="AB345" s="54"/>
      <c r="AC345" s="92"/>
      <c r="AD345" s="54"/>
      <c r="AE345" s="92"/>
      <c r="AF345" s="54"/>
      <c r="AG345" s="92"/>
      <c r="AH345" s="54"/>
      <c r="AI345" s="92"/>
      <c r="AJ345" s="54"/>
      <c r="AK345" s="92"/>
      <c r="AL345" s="54"/>
      <c r="AM345" s="92"/>
      <c r="AO345" s="54"/>
      <c r="AP345" s="123"/>
      <c r="AQ345" s="54"/>
      <c r="AR345" s="154"/>
      <c r="AS345" s="1"/>
      <c r="AT345" s="1"/>
      <c r="AU345" s="9"/>
    </row>
    <row r="346">
      <c r="A346" s="54"/>
      <c r="B346" s="71" t="str">
        <f>IFERROR(HYPERLINK(VLOOKUP(A346,Internal_lists_bugs!$A$2:$C$73,3,FALSE()), VLOOKUP(A346,Internal_lists_bugs!$A$2:$C$73,3,FALSE())&amp;Char(10) &amp; Char(10) &amp; VLOOKUP(A346,Internal_lists_bugs!$A$2:$Z$73,26,FALSE())),"please select a BUG ID")</f>
        <v>please select a BUG ID</v>
      </c>
      <c r="C346" s="51" t="str">
        <f>IFERROR(VLOOKUP(A346,Internal_lists_bugs!$A$2:$G2002,7,FALSE()),"please select a BUG ID")</f>
        <v>please select a BUG ID</v>
      </c>
      <c r="D346" s="54"/>
      <c r="E346" s="56"/>
      <c r="F346" s="54"/>
      <c r="G346" s="56"/>
      <c r="H346" s="54"/>
      <c r="I346" s="56"/>
      <c r="J346" s="54"/>
      <c r="K346" s="92"/>
      <c r="L346" s="54"/>
      <c r="M346" s="92"/>
      <c r="N346" s="54"/>
      <c r="O346" s="92"/>
      <c r="P346" s="54"/>
      <c r="Q346" s="92"/>
      <c r="R346" s="54"/>
      <c r="S346" s="92"/>
      <c r="T346" s="117"/>
      <c r="U346" s="92"/>
      <c r="V346" s="54"/>
      <c r="W346" s="92"/>
      <c r="X346" s="54"/>
      <c r="Y346" s="92"/>
      <c r="Z346" s="54"/>
      <c r="AA346" s="92"/>
      <c r="AB346" s="54"/>
      <c r="AC346" s="92"/>
      <c r="AD346" s="54"/>
      <c r="AE346" s="92"/>
      <c r="AF346" s="54"/>
      <c r="AG346" s="92"/>
      <c r="AH346" s="54"/>
      <c r="AI346" s="92"/>
      <c r="AJ346" s="54"/>
      <c r="AK346" s="92"/>
      <c r="AL346" s="54"/>
      <c r="AM346" s="92"/>
      <c r="AO346" s="54"/>
      <c r="AP346" s="123"/>
      <c r="AQ346" s="54"/>
      <c r="AR346" s="154"/>
      <c r="AS346" s="1"/>
      <c r="AT346" s="1"/>
      <c r="AU346" s="9"/>
    </row>
    <row r="347">
      <c r="A347" s="54"/>
      <c r="B347" s="71" t="str">
        <f>IFERROR(HYPERLINK(VLOOKUP(A347,Internal_lists_bugs!$A$2:$C$73,3,FALSE()), VLOOKUP(A347,Internal_lists_bugs!$A$2:$C$73,3,FALSE())&amp;Char(10) &amp; Char(10) &amp; VLOOKUP(A347,Internal_lists_bugs!$A$2:$Z$73,26,FALSE())),"please select a BUG ID")</f>
        <v>please select a BUG ID</v>
      </c>
      <c r="C347" s="51" t="str">
        <f>IFERROR(VLOOKUP(A347,Internal_lists_bugs!$A$2:$G2002,7,FALSE()),"please select a BUG ID")</f>
        <v>please select a BUG ID</v>
      </c>
      <c r="D347" s="54"/>
      <c r="E347" s="56"/>
      <c r="F347" s="54"/>
      <c r="G347" s="56"/>
      <c r="H347" s="54"/>
      <c r="I347" s="56"/>
      <c r="J347" s="54"/>
      <c r="K347" s="92"/>
      <c r="L347" s="54"/>
      <c r="M347" s="92"/>
      <c r="N347" s="54"/>
      <c r="O347" s="92"/>
      <c r="P347" s="54"/>
      <c r="Q347" s="92"/>
      <c r="R347" s="54"/>
      <c r="S347" s="92"/>
      <c r="T347" s="117"/>
      <c r="U347" s="92"/>
      <c r="V347" s="54"/>
      <c r="W347" s="92"/>
      <c r="X347" s="54"/>
      <c r="Y347" s="92"/>
      <c r="Z347" s="54"/>
      <c r="AA347" s="92"/>
      <c r="AB347" s="54"/>
      <c r="AC347" s="92"/>
      <c r="AD347" s="54"/>
      <c r="AE347" s="92"/>
      <c r="AF347" s="54"/>
      <c r="AG347" s="92"/>
      <c r="AH347" s="54"/>
      <c r="AI347" s="92"/>
      <c r="AJ347" s="54"/>
      <c r="AK347" s="92"/>
      <c r="AL347" s="54"/>
      <c r="AM347" s="92"/>
      <c r="AO347" s="54"/>
      <c r="AP347" s="123"/>
      <c r="AQ347" s="54"/>
      <c r="AR347" s="154"/>
      <c r="AS347" s="1"/>
      <c r="AT347" s="1"/>
      <c r="AU347" s="9"/>
    </row>
    <row r="348">
      <c r="A348" s="54"/>
      <c r="B348" s="71" t="str">
        <f>IFERROR(HYPERLINK(VLOOKUP(A348,Internal_lists_bugs!$A$2:$C$73,3,FALSE()), VLOOKUP(A348,Internal_lists_bugs!$A$2:$C$73,3,FALSE())&amp;Char(10) &amp; Char(10) &amp; VLOOKUP(A348,Internal_lists_bugs!$A$2:$Z$73,26,FALSE())),"please select a BUG ID")</f>
        <v>please select a BUG ID</v>
      </c>
      <c r="C348" s="51" t="str">
        <f>IFERROR(VLOOKUP(A348,Internal_lists_bugs!$A$2:$G2002,7,FALSE()),"please select a BUG ID")</f>
        <v>please select a BUG ID</v>
      </c>
      <c r="D348" s="54"/>
      <c r="E348" s="56"/>
      <c r="F348" s="54"/>
      <c r="G348" s="56"/>
      <c r="H348" s="54"/>
      <c r="I348" s="56"/>
      <c r="J348" s="54"/>
      <c r="K348" s="92"/>
      <c r="L348" s="54"/>
      <c r="M348" s="92"/>
      <c r="N348" s="54"/>
      <c r="O348" s="92"/>
      <c r="P348" s="54"/>
      <c r="Q348" s="92"/>
      <c r="R348" s="54"/>
      <c r="S348" s="92"/>
      <c r="T348" s="117"/>
      <c r="U348" s="92"/>
      <c r="V348" s="54"/>
      <c r="W348" s="92"/>
      <c r="X348" s="54"/>
      <c r="Y348" s="92"/>
      <c r="Z348" s="54"/>
      <c r="AA348" s="92"/>
      <c r="AB348" s="54"/>
      <c r="AC348" s="92"/>
      <c r="AD348" s="54"/>
      <c r="AE348" s="92"/>
      <c r="AF348" s="54"/>
      <c r="AG348" s="92"/>
      <c r="AH348" s="54"/>
      <c r="AI348" s="92"/>
      <c r="AJ348" s="54"/>
      <c r="AK348" s="92"/>
      <c r="AL348" s="54"/>
      <c r="AM348" s="92"/>
      <c r="AO348" s="54"/>
      <c r="AP348" s="123"/>
      <c r="AQ348" s="54"/>
      <c r="AR348" s="154"/>
      <c r="AS348" s="1"/>
      <c r="AT348" s="1"/>
      <c r="AU348" s="9"/>
    </row>
    <row r="349">
      <c r="A349" s="54"/>
      <c r="B349" s="71" t="str">
        <f>IFERROR(HYPERLINK(VLOOKUP(A349,Internal_lists_bugs!$A$2:$C$73,3,FALSE()), VLOOKUP(A349,Internal_lists_bugs!$A$2:$C$73,3,FALSE())&amp;Char(10) &amp; Char(10) &amp; VLOOKUP(A349,Internal_lists_bugs!$A$2:$Z$73,26,FALSE())),"please select a BUG ID")</f>
        <v>please select a BUG ID</v>
      </c>
      <c r="C349" s="51" t="str">
        <f>IFERROR(VLOOKUP(A349,Internal_lists_bugs!$A$2:$G2002,7,FALSE()),"please select a BUG ID")</f>
        <v>please select a BUG ID</v>
      </c>
      <c r="D349" s="54"/>
      <c r="E349" s="56"/>
      <c r="F349" s="54"/>
      <c r="G349" s="56"/>
      <c r="H349" s="54"/>
      <c r="I349" s="56"/>
      <c r="J349" s="54"/>
      <c r="K349" s="92"/>
      <c r="L349" s="54"/>
      <c r="M349" s="92"/>
      <c r="N349" s="54"/>
      <c r="O349" s="92"/>
      <c r="P349" s="54"/>
      <c r="Q349" s="92"/>
      <c r="R349" s="54"/>
      <c r="S349" s="92"/>
      <c r="T349" s="117"/>
      <c r="U349" s="92"/>
      <c r="V349" s="54"/>
      <c r="W349" s="92"/>
      <c r="X349" s="54"/>
      <c r="Y349" s="92"/>
      <c r="Z349" s="54"/>
      <c r="AA349" s="92"/>
      <c r="AB349" s="54"/>
      <c r="AC349" s="92"/>
      <c r="AD349" s="54"/>
      <c r="AE349" s="92"/>
      <c r="AF349" s="54"/>
      <c r="AG349" s="92"/>
      <c r="AH349" s="54"/>
      <c r="AI349" s="92"/>
      <c r="AJ349" s="54"/>
      <c r="AK349" s="92"/>
      <c r="AL349" s="54"/>
      <c r="AM349" s="92"/>
      <c r="AO349" s="54"/>
      <c r="AP349" s="123"/>
      <c r="AQ349" s="54"/>
      <c r="AR349" s="154"/>
      <c r="AS349" s="1"/>
      <c r="AT349" s="1"/>
      <c r="AU349" s="9"/>
    </row>
    <row r="350">
      <c r="A350" s="54"/>
      <c r="B350" s="71" t="str">
        <f>IFERROR(HYPERLINK(VLOOKUP(A350,Internal_lists_bugs!$A$2:$C$73,3,FALSE()), VLOOKUP(A350,Internal_lists_bugs!$A$2:$C$73,3,FALSE())&amp;Char(10) &amp; Char(10) &amp; VLOOKUP(A350,Internal_lists_bugs!$A$2:$Z$73,26,FALSE())),"please select a BUG ID")</f>
        <v>please select a BUG ID</v>
      </c>
      <c r="C350" s="51" t="str">
        <f>IFERROR(VLOOKUP(A350,Internal_lists_bugs!$A$2:$G2002,7,FALSE()),"please select a BUG ID")</f>
        <v>please select a BUG ID</v>
      </c>
      <c r="D350" s="54"/>
      <c r="E350" s="56"/>
      <c r="F350" s="54"/>
      <c r="G350" s="56"/>
      <c r="H350" s="54"/>
      <c r="I350" s="56"/>
      <c r="J350" s="54"/>
      <c r="K350" s="92"/>
      <c r="L350" s="54"/>
      <c r="M350" s="92"/>
      <c r="N350" s="54"/>
      <c r="O350" s="92"/>
      <c r="P350" s="54"/>
      <c r="Q350" s="92"/>
      <c r="R350" s="54"/>
      <c r="S350" s="92"/>
      <c r="T350" s="117"/>
      <c r="U350" s="92"/>
      <c r="V350" s="54"/>
      <c r="W350" s="92"/>
      <c r="X350" s="54"/>
      <c r="Y350" s="92"/>
      <c r="Z350" s="54"/>
      <c r="AA350" s="92"/>
      <c r="AB350" s="54"/>
      <c r="AC350" s="92"/>
      <c r="AD350" s="54"/>
      <c r="AE350" s="92"/>
      <c r="AF350" s="54"/>
      <c r="AG350" s="92"/>
      <c r="AH350" s="54"/>
      <c r="AI350" s="92"/>
      <c r="AJ350" s="54"/>
      <c r="AK350" s="92"/>
      <c r="AL350" s="54"/>
      <c r="AM350" s="92"/>
      <c r="AO350" s="54"/>
      <c r="AP350" s="123"/>
      <c r="AQ350" s="54"/>
      <c r="AR350" s="154"/>
      <c r="AS350" s="1"/>
      <c r="AT350" s="1"/>
      <c r="AU350" s="9"/>
    </row>
    <row r="351">
      <c r="A351" s="54"/>
      <c r="B351" s="71" t="str">
        <f>IFERROR(HYPERLINK(VLOOKUP(A351,Internal_lists_bugs!$A$2:$C$73,3,FALSE()), VLOOKUP(A351,Internal_lists_bugs!$A$2:$C$73,3,FALSE())&amp;Char(10) &amp; Char(10) &amp; VLOOKUP(A351,Internal_lists_bugs!$A$2:$Z$73,26,FALSE())),"please select a BUG ID")</f>
        <v>please select a BUG ID</v>
      </c>
      <c r="C351" s="51" t="str">
        <f>IFERROR(VLOOKUP(A351,Internal_lists_bugs!$A$2:$G2002,7,FALSE()),"please select a BUG ID")</f>
        <v>please select a BUG ID</v>
      </c>
      <c r="D351" s="54"/>
      <c r="E351" s="56"/>
      <c r="F351" s="54"/>
      <c r="G351" s="56"/>
      <c r="H351" s="54"/>
      <c r="I351" s="56"/>
      <c r="J351" s="54"/>
      <c r="K351" s="92"/>
      <c r="L351" s="54"/>
      <c r="M351" s="92"/>
      <c r="N351" s="54"/>
      <c r="O351" s="92"/>
      <c r="P351" s="54"/>
      <c r="Q351" s="92"/>
      <c r="R351" s="54"/>
      <c r="S351" s="92"/>
      <c r="T351" s="117"/>
      <c r="U351" s="92"/>
      <c r="V351" s="54"/>
      <c r="W351" s="92"/>
      <c r="X351" s="54"/>
      <c r="Y351" s="92"/>
      <c r="Z351" s="54"/>
      <c r="AA351" s="92"/>
      <c r="AB351" s="54"/>
      <c r="AC351" s="92"/>
      <c r="AD351" s="54"/>
      <c r="AE351" s="92"/>
      <c r="AF351" s="54"/>
      <c r="AG351" s="92"/>
      <c r="AH351" s="54"/>
      <c r="AI351" s="92"/>
      <c r="AJ351" s="54"/>
      <c r="AK351" s="92"/>
      <c r="AL351" s="54"/>
      <c r="AM351" s="92"/>
      <c r="AO351" s="54"/>
      <c r="AP351" s="123"/>
      <c r="AQ351" s="54"/>
      <c r="AR351" s="154"/>
      <c r="AS351" s="1"/>
      <c r="AT351" s="1"/>
      <c r="AU351" s="9"/>
    </row>
    <row r="352">
      <c r="A352" s="54"/>
      <c r="B352" s="71" t="str">
        <f>IFERROR(HYPERLINK(VLOOKUP(A352,Internal_lists_bugs!$A$2:$C$73,3,FALSE()), VLOOKUP(A352,Internal_lists_bugs!$A$2:$C$73,3,FALSE())&amp;Char(10) &amp; Char(10) &amp; VLOOKUP(A352,Internal_lists_bugs!$A$2:$Z$73,26,FALSE())),"please select a BUG ID")</f>
        <v>please select a BUG ID</v>
      </c>
      <c r="C352" s="51" t="str">
        <f>IFERROR(VLOOKUP(A352,Internal_lists_bugs!$A$2:$G2002,7,FALSE()),"please select a BUG ID")</f>
        <v>please select a BUG ID</v>
      </c>
      <c r="D352" s="54"/>
      <c r="E352" s="56"/>
      <c r="F352" s="54"/>
      <c r="G352" s="56"/>
      <c r="H352" s="54"/>
      <c r="I352" s="56"/>
      <c r="J352" s="54"/>
      <c r="K352" s="92"/>
      <c r="L352" s="54"/>
      <c r="M352" s="92"/>
      <c r="N352" s="54"/>
      <c r="O352" s="92"/>
      <c r="P352" s="54"/>
      <c r="Q352" s="92"/>
      <c r="R352" s="54"/>
      <c r="S352" s="92"/>
      <c r="T352" s="117"/>
      <c r="U352" s="92"/>
      <c r="V352" s="54"/>
      <c r="W352" s="92"/>
      <c r="X352" s="54"/>
      <c r="Y352" s="92"/>
      <c r="Z352" s="54"/>
      <c r="AA352" s="92"/>
      <c r="AB352" s="54"/>
      <c r="AC352" s="92"/>
      <c r="AD352" s="54"/>
      <c r="AE352" s="92"/>
      <c r="AF352" s="54"/>
      <c r="AG352" s="92"/>
      <c r="AH352" s="54"/>
      <c r="AI352" s="92"/>
      <c r="AJ352" s="54"/>
      <c r="AK352" s="92"/>
      <c r="AL352" s="54"/>
      <c r="AM352" s="92"/>
      <c r="AO352" s="54"/>
      <c r="AP352" s="123"/>
      <c r="AQ352" s="54"/>
      <c r="AR352" s="154"/>
      <c r="AS352" s="1"/>
      <c r="AT352" s="1"/>
      <c r="AU352" s="9"/>
    </row>
    <row r="353">
      <c r="A353" s="54"/>
      <c r="B353" s="71" t="str">
        <f>IFERROR(HYPERLINK(VLOOKUP(A353,Internal_lists_bugs!$A$2:$C$73,3,FALSE()), VLOOKUP(A353,Internal_lists_bugs!$A$2:$C$73,3,FALSE())&amp;Char(10) &amp; Char(10) &amp; VLOOKUP(A353,Internal_lists_bugs!$A$2:$Z$73,26,FALSE())),"please select a BUG ID")</f>
        <v>please select a BUG ID</v>
      </c>
      <c r="C353" s="51" t="str">
        <f>IFERROR(VLOOKUP(A353,Internal_lists_bugs!$A$2:$G2002,7,FALSE()),"please select a BUG ID")</f>
        <v>please select a BUG ID</v>
      </c>
      <c r="D353" s="54"/>
      <c r="E353" s="56"/>
      <c r="F353" s="54"/>
      <c r="G353" s="56"/>
      <c r="H353" s="54"/>
      <c r="I353" s="56"/>
      <c r="J353" s="54"/>
      <c r="K353" s="92"/>
      <c r="L353" s="54"/>
      <c r="M353" s="92"/>
      <c r="N353" s="54"/>
      <c r="O353" s="92"/>
      <c r="P353" s="54"/>
      <c r="Q353" s="92"/>
      <c r="R353" s="54"/>
      <c r="S353" s="92"/>
      <c r="T353" s="117"/>
      <c r="U353" s="92"/>
      <c r="V353" s="54"/>
      <c r="W353" s="92"/>
      <c r="X353" s="54"/>
      <c r="Y353" s="92"/>
      <c r="Z353" s="54"/>
      <c r="AA353" s="92"/>
      <c r="AB353" s="54"/>
      <c r="AC353" s="92"/>
      <c r="AD353" s="54"/>
      <c r="AE353" s="92"/>
      <c r="AF353" s="54"/>
      <c r="AG353" s="92"/>
      <c r="AH353" s="54"/>
      <c r="AI353" s="92"/>
      <c r="AJ353" s="54"/>
      <c r="AK353" s="92"/>
      <c r="AL353" s="54"/>
      <c r="AM353" s="92"/>
      <c r="AO353" s="54"/>
      <c r="AP353" s="123"/>
      <c r="AQ353" s="54"/>
      <c r="AR353" s="154"/>
      <c r="AS353" s="1"/>
      <c r="AT353" s="1"/>
      <c r="AU353" s="9"/>
    </row>
    <row r="354">
      <c r="A354" s="54"/>
      <c r="B354" s="71" t="str">
        <f>IFERROR(HYPERLINK(VLOOKUP(A354,Internal_lists_bugs!$A$2:$C$73,3,FALSE()), VLOOKUP(A354,Internal_lists_bugs!$A$2:$C$73,3,FALSE())&amp;Char(10) &amp; Char(10) &amp; VLOOKUP(A354,Internal_lists_bugs!$A$2:$Z$73,26,FALSE())),"please select a BUG ID")</f>
        <v>please select a BUG ID</v>
      </c>
      <c r="C354" s="51" t="str">
        <f>IFERROR(VLOOKUP(A354,Internal_lists_bugs!$A$2:$G2002,7,FALSE()),"please select a BUG ID")</f>
        <v>please select a BUG ID</v>
      </c>
      <c r="D354" s="54"/>
      <c r="E354" s="56"/>
      <c r="F354" s="54"/>
      <c r="G354" s="56"/>
      <c r="H354" s="54"/>
      <c r="I354" s="56"/>
      <c r="J354" s="54"/>
      <c r="K354" s="92"/>
      <c r="L354" s="54"/>
      <c r="M354" s="92"/>
      <c r="N354" s="54"/>
      <c r="O354" s="92"/>
      <c r="P354" s="54"/>
      <c r="Q354" s="92"/>
      <c r="R354" s="54"/>
      <c r="S354" s="92"/>
      <c r="T354" s="117"/>
      <c r="U354" s="92"/>
      <c r="V354" s="54"/>
      <c r="W354" s="92"/>
      <c r="X354" s="54"/>
      <c r="Y354" s="92"/>
      <c r="Z354" s="54"/>
      <c r="AA354" s="92"/>
      <c r="AB354" s="54"/>
      <c r="AC354" s="92"/>
      <c r="AD354" s="54"/>
      <c r="AE354" s="92"/>
      <c r="AF354" s="54"/>
      <c r="AG354" s="92"/>
      <c r="AH354" s="54"/>
      <c r="AI354" s="92"/>
      <c r="AJ354" s="54"/>
      <c r="AK354" s="92"/>
      <c r="AL354" s="54"/>
      <c r="AM354" s="92"/>
      <c r="AO354" s="54"/>
      <c r="AP354" s="123"/>
      <c r="AQ354" s="54"/>
      <c r="AR354" s="154"/>
      <c r="AS354" s="1"/>
      <c r="AT354" s="1"/>
      <c r="AU354" s="9"/>
    </row>
    <row r="355">
      <c r="A355" s="54"/>
      <c r="B355" s="71" t="str">
        <f>IFERROR(HYPERLINK(VLOOKUP(A355,Internal_lists_bugs!$A$2:$C$73,3,FALSE()), VLOOKUP(A355,Internal_lists_bugs!$A$2:$C$73,3,FALSE())&amp;Char(10) &amp; Char(10) &amp; VLOOKUP(A355,Internal_lists_bugs!$A$2:$Z$73,26,FALSE())),"please select a BUG ID")</f>
        <v>please select a BUG ID</v>
      </c>
      <c r="C355" s="51" t="str">
        <f>IFERROR(VLOOKUP(A355,Internal_lists_bugs!$A$2:$G2002,7,FALSE()),"please select a BUG ID")</f>
        <v>please select a BUG ID</v>
      </c>
      <c r="D355" s="54"/>
      <c r="E355" s="56"/>
      <c r="F355" s="54"/>
      <c r="G355" s="56"/>
      <c r="H355" s="54"/>
      <c r="I355" s="56"/>
      <c r="J355" s="54"/>
      <c r="K355" s="92"/>
      <c r="L355" s="54"/>
      <c r="M355" s="92"/>
      <c r="N355" s="54"/>
      <c r="O355" s="92"/>
      <c r="P355" s="54"/>
      <c r="Q355" s="92"/>
      <c r="R355" s="54"/>
      <c r="S355" s="92"/>
      <c r="T355" s="117"/>
      <c r="U355" s="92"/>
      <c r="V355" s="54"/>
      <c r="W355" s="92"/>
      <c r="X355" s="54"/>
      <c r="Y355" s="92"/>
      <c r="Z355" s="54"/>
      <c r="AA355" s="92"/>
      <c r="AB355" s="54"/>
      <c r="AC355" s="92"/>
      <c r="AD355" s="54"/>
      <c r="AE355" s="92"/>
      <c r="AF355" s="54"/>
      <c r="AG355" s="92"/>
      <c r="AH355" s="54"/>
      <c r="AI355" s="92"/>
      <c r="AJ355" s="54"/>
      <c r="AK355" s="92"/>
      <c r="AL355" s="54"/>
      <c r="AM355" s="92"/>
      <c r="AO355" s="54"/>
      <c r="AP355" s="123"/>
      <c r="AQ355" s="54"/>
      <c r="AR355" s="154"/>
      <c r="AS355" s="1"/>
      <c r="AT355" s="1"/>
      <c r="AU355" s="9"/>
    </row>
    <row r="356">
      <c r="A356" s="54"/>
      <c r="B356" s="71" t="str">
        <f>IFERROR(HYPERLINK(VLOOKUP(A356,Internal_lists_bugs!$A$2:$C$73,3,FALSE()), VLOOKUP(A356,Internal_lists_bugs!$A$2:$C$73,3,FALSE())&amp;Char(10) &amp; Char(10) &amp; VLOOKUP(A356,Internal_lists_bugs!$A$2:$Z$73,26,FALSE())),"please select a BUG ID")</f>
        <v>please select a BUG ID</v>
      </c>
      <c r="C356" s="51" t="str">
        <f>IFERROR(VLOOKUP(A356,Internal_lists_bugs!$A$2:$G2002,7,FALSE()),"please select a BUG ID")</f>
        <v>please select a BUG ID</v>
      </c>
      <c r="D356" s="54"/>
      <c r="E356" s="56"/>
      <c r="F356" s="54"/>
      <c r="G356" s="56"/>
      <c r="H356" s="54"/>
      <c r="I356" s="56"/>
      <c r="J356" s="54"/>
      <c r="K356" s="92"/>
      <c r="L356" s="54"/>
      <c r="M356" s="92"/>
      <c r="N356" s="54"/>
      <c r="O356" s="92"/>
      <c r="P356" s="54"/>
      <c r="Q356" s="92"/>
      <c r="R356" s="54"/>
      <c r="S356" s="92"/>
      <c r="T356" s="117"/>
      <c r="U356" s="92"/>
      <c r="V356" s="54"/>
      <c r="W356" s="92"/>
      <c r="X356" s="54"/>
      <c r="Y356" s="92"/>
      <c r="Z356" s="54"/>
      <c r="AA356" s="92"/>
      <c r="AB356" s="54"/>
      <c r="AC356" s="92"/>
      <c r="AD356" s="54"/>
      <c r="AE356" s="92"/>
      <c r="AF356" s="54"/>
      <c r="AG356" s="92"/>
      <c r="AH356" s="54"/>
      <c r="AI356" s="92"/>
      <c r="AJ356" s="54"/>
      <c r="AK356" s="92"/>
      <c r="AL356" s="54"/>
      <c r="AM356" s="92"/>
      <c r="AO356" s="54"/>
      <c r="AP356" s="123"/>
      <c r="AQ356" s="54"/>
      <c r="AR356" s="154"/>
      <c r="AS356" s="1"/>
      <c r="AT356" s="1"/>
      <c r="AU356" s="9"/>
    </row>
    <row r="357">
      <c r="A357" s="54"/>
      <c r="B357" s="71" t="str">
        <f>IFERROR(HYPERLINK(VLOOKUP(A357,Internal_lists_bugs!$A$2:$C$73,3,FALSE()), VLOOKUP(A357,Internal_lists_bugs!$A$2:$C$73,3,FALSE())&amp;Char(10) &amp; Char(10) &amp; VLOOKUP(A357,Internal_lists_bugs!$A$2:$Z$73,26,FALSE())),"please select a BUG ID")</f>
        <v>please select a BUG ID</v>
      </c>
      <c r="C357" s="51" t="str">
        <f>IFERROR(VLOOKUP(A357,Internal_lists_bugs!$A$2:$G2002,7,FALSE()),"please select a BUG ID")</f>
        <v>please select a BUG ID</v>
      </c>
      <c r="D357" s="54"/>
      <c r="E357" s="56"/>
      <c r="F357" s="54"/>
      <c r="G357" s="56"/>
      <c r="H357" s="54"/>
      <c r="I357" s="56"/>
      <c r="J357" s="54"/>
      <c r="K357" s="92"/>
      <c r="L357" s="54"/>
      <c r="M357" s="92"/>
      <c r="N357" s="54"/>
      <c r="O357" s="92"/>
      <c r="P357" s="54"/>
      <c r="Q357" s="92"/>
      <c r="R357" s="54"/>
      <c r="S357" s="92"/>
      <c r="T357" s="117"/>
      <c r="U357" s="92"/>
      <c r="V357" s="54"/>
      <c r="W357" s="92"/>
      <c r="X357" s="54"/>
      <c r="Y357" s="92"/>
      <c r="Z357" s="54"/>
      <c r="AA357" s="92"/>
      <c r="AB357" s="54"/>
      <c r="AC357" s="92"/>
      <c r="AD357" s="54"/>
      <c r="AE357" s="92"/>
      <c r="AF357" s="54"/>
      <c r="AG357" s="92"/>
      <c r="AH357" s="54"/>
      <c r="AI357" s="92"/>
      <c r="AJ357" s="54"/>
      <c r="AK357" s="92"/>
      <c r="AL357" s="54"/>
      <c r="AM357" s="92"/>
      <c r="AO357" s="54"/>
      <c r="AP357" s="123"/>
      <c r="AQ357" s="54"/>
      <c r="AR357" s="154"/>
      <c r="AS357" s="1"/>
      <c r="AT357" s="1"/>
      <c r="AU357" s="9"/>
    </row>
    <row r="358">
      <c r="A358" s="54"/>
      <c r="B358" s="71" t="str">
        <f>IFERROR(HYPERLINK(VLOOKUP(A358,Internal_lists_bugs!$A$2:$C$73,3,FALSE()), VLOOKUP(A358,Internal_lists_bugs!$A$2:$C$73,3,FALSE())&amp;Char(10) &amp; Char(10) &amp; VLOOKUP(A358,Internal_lists_bugs!$A$2:$Z$73,26,FALSE())),"please select a BUG ID")</f>
        <v>please select a BUG ID</v>
      </c>
      <c r="C358" s="51" t="str">
        <f>IFERROR(VLOOKUP(A358,Internal_lists_bugs!$A$2:$G2002,7,FALSE()),"please select a BUG ID")</f>
        <v>please select a BUG ID</v>
      </c>
      <c r="D358" s="54"/>
      <c r="E358" s="56"/>
      <c r="F358" s="54"/>
      <c r="G358" s="56"/>
      <c r="H358" s="54"/>
      <c r="I358" s="56"/>
      <c r="J358" s="54"/>
      <c r="K358" s="92"/>
      <c r="L358" s="54"/>
      <c r="M358" s="92"/>
      <c r="N358" s="54"/>
      <c r="O358" s="92"/>
      <c r="P358" s="54"/>
      <c r="Q358" s="92"/>
      <c r="R358" s="54"/>
      <c r="S358" s="92"/>
      <c r="T358" s="117"/>
      <c r="U358" s="92"/>
      <c r="V358" s="54"/>
      <c r="W358" s="92"/>
      <c r="X358" s="54"/>
      <c r="Y358" s="92"/>
      <c r="Z358" s="54"/>
      <c r="AA358" s="92"/>
      <c r="AB358" s="54"/>
      <c r="AC358" s="92"/>
      <c r="AD358" s="54"/>
      <c r="AE358" s="92"/>
      <c r="AF358" s="54"/>
      <c r="AG358" s="92"/>
      <c r="AH358" s="54"/>
      <c r="AI358" s="92"/>
      <c r="AJ358" s="54"/>
      <c r="AK358" s="92"/>
      <c r="AL358" s="54"/>
      <c r="AM358" s="92"/>
      <c r="AO358" s="54"/>
      <c r="AP358" s="123"/>
      <c r="AQ358" s="54"/>
      <c r="AR358" s="154"/>
      <c r="AS358" s="1"/>
      <c r="AT358" s="1"/>
      <c r="AU358" s="9"/>
    </row>
    <row r="359">
      <c r="A359" s="54"/>
      <c r="B359" s="71" t="str">
        <f>IFERROR(HYPERLINK(VLOOKUP(A359,Internal_lists_bugs!$A$2:$C$73,3,FALSE()), VLOOKUP(A359,Internal_lists_bugs!$A$2:$C$73,3,FALSE())&amp;Char(10) &amp; Char(10) &amp; VLOOKUP(A359,Internal_lists_bugs!$A$2:$Z$73,26,FALSE())),"please select a BUG ID")</f>
        <v>please select a BUG ID</v>
      </c>
      <c r="C359" s="51" t="str">
        <f>IFERROR(VLOOKUP(A359,Internal_lists_bugs!$A$2:$G2002,7,FALSE()),"please select a BUG ID")</f>
        <v>please select a BUG ID</v>
      </c>
      <c r="D359" s="54"/>
      <c r="E359" s="56"/>
      <c r="F359" s="54"/>
      <c r="G359" s="56"/>
      <c r="H359" s="54"/>
      <c r="I359" s="56"/>
      <c r="J359" s="54"/>
      <c r="K359" s="92"/>
      <c r="L359" s="54"/>
      <c r="M359" s="92"/>
      <c r="N359" s="54"/>
      <c r="O359" s="92"/>
      <c r="P359" s="54"/>
      <c r="Q359" s="92"/>
      <c r="R359" s="54"/>
      <c r="S359" s="92"/>
      <c r="T359" s="117"/>
      <c r="U359" s="92"/>
      <c r="V359" s="54"/>
      <c r="W359" s="92"/>
      <c r="X359" s="54"/>
      <c r="Y359" s="92"/>
      <c r="Z359" s="54"/>
      <c r="AA359" s="92"/>
      <c r="AB359" s="54"/>
      <c r="AC359" s="92"/>
      <c r="AD359" s="54"/>
      <c r="AE359" s="92"/>
      <c r="AF359" s="54"/>
      <c r="AG359" s="92"/>
      <c r="AH359" s="54"/>
      <c r="AI359" s="92"/>
      <c r="AJ359" s="54"/>
      <c r="AK359" s="92"/>
      <c r="AL359" s="54"/>
      <c r="AM359" s="92"/>
      <c r="AO359" s="54"/>
      <c r="AP359" s="123"/>
      <c r="AQ359" s="54"/>
      <c r="AR359" s="154"/>
      <c r="AS359" s="1"/>
      <c r="AT359" s="1"/>
      <c r="AU359" s="9"/>
    </row>
    <row r="360">
      <c r="A360" s="54"/>
      <c r="B360" s="71" t="str">
        <f>IFERROR(HYPERLINK(VLOOKUP(A360,Internal_lists_bugs!$A$2:$C$73,3,FALSE()), VLOOKUP(A360,Internal_lists_bugs!$A$2:$C$73,3,FALSE())&amp;Char(10) &amp; Char(10) &amp; VLOOKUP(A360,Internal_lists_bugs!$A$2:$Z$73,26,FALSE())),"please select a BUG ID")</f>
        <v>please select a BUG ID</v>
      </c>
      <c r="C360" s="51" t="str">
        <f>IFERROR(VLOOKUP(A360,Internal_lists_bugs!$A$2:$G2002,7,FALSE()),"please select a BUG ID")</f>
        <v>please select a BUG ID</v>
      </c>
      <c r="D360" s="54"/>
      <c r="E360" s="56"/>
      <c r="F360" s="54"/>
      <c r="G360" s="56"/>
      <c r="H360" s="54"/>
      <c r="I360" s="56"/>
      <c r="J360" s="54"/>
      <c r="K360" s="92"/>
      <c r="L360" s="54"/>
      <c r="M360" s="92"/>
      <c r="N360" s="54"/>
      <c r="O360" s="92"/>
      <c r="P360" s="54"/>
      <c r="Q360" s="92"/>
      <c r="R360" s="54"/>
      <c r="S360" s="92"/>
      <c r="T360" s="117"/>
      <c r="U360" s="92"/>
      <c r="V360" s="54"/>
      <c r="W360" s="92"/>
      <c r="X360" s="54"/>
      <c r="Y360" s="92"/>
      <c r="Z360" s="54"/>
      <c r="AA360" s="92"/>
      <c r="AB360" s="54"/>
      <c r="AC360" s="92"/>
      <c r="AD360" s="54"/>
      <c r="AE360" s="92"/>
      <c r="AF360" s="54"/>
      <c r="AG360" s="92"/>
      <c r="AH360" s="54"/>
      <c r="AI360" s="92"/>
      <c r="AJ360" s="54"/>
      <c r="AK360" s="92"/>
      <c r="AL360" s="54"/>
      <c r="AM360" s="92"/>
      <c r="AO360" s="54"/>
      <c r="AP360" s="123"/>
      <c r="AQ360" s="54"/>
      <c r="AR360" s="154"/>
      <c r="AS360" s="1"/>
      <c r="AT360" s="1"/>
      <c r="AU360" s="9"/>
    </row>
    <row r="361">
      <c r="A361" s="54"/>
      <c r="B361" s="71" t="str">
        <f>IFERROR(HYPERLINK(VLOOKUP(A361,Internal_lists_bugs!$A$2:$C$73,3,FALSE()), VLOOKUP(A361,Internal_lists_bugs!$A$2:$C$73,3,FALSE())&amp;Char(10) &amp; Char(10) &amp; VLOOKUP(A361,Internal_lists_bugs!$A$2:$Z$73,26,FALSE())),"please select a BUG ID")</f>
        <v>please select a BUG ID</v>
      </c>
      <c r="C361" s="51" t="str">
        <f>IFERROR(VLOOKUP(A361,Internal_lists_bugs!$A$2:$G2002,7,FALSE()),"please select a BUG ID")</f>
        <v>please select a BUG ID</v>
      </c>
      <c r="D361" s="54"/>
      <c r="E361" s="56"/>
      <c r="F361" s="54"/>
      <c r="G361" s="56"/>
      <c r="H361" s="54"/>
      <c r="I361" s="56"/>
      <c r="J361" s="54"/>
      <c r="K361" s="92"/>
      <c r="L361" s="54"/>
      <c r="M361" s="92"/>
      <c r="N361" s="54"/>
      <c r="O361" s="92"/>
      <c r="P361" s="54"/>
      <c r="Q361" s="92"/>
      <c r="R361" s="54"/>
      <c r="S361" s="92"/>
      <c r="T361" s="117"/>
      <c r="U361" s="92"/>
      <c r="V361" s="54"/>
      <c r="W361" s="92"/>
      <c r="X361" s="54"/>
      <c r="Y361" s="92"/>
      <c r="Z361" s="54"/>
      <c r="AA361" s="92"/>
      <c r="AB361" s="54"/>
      <c r="AC361" s="92"/>
      <c r="AD361" s="54"/>
      <c r="AE361" s="92"/>
      <c r="AF361" s="54"/>
      <c r="AG361" s="92"/>
      <c r="AH361" s="54"/>
      <c r="AI361" s="92"/>
      <c r="AJ361" s="54"/>
      <c r="AK361" s="92"/>
      <c r="AL361" s="54"/>
      <c r="AM361" s="92"/>
      <c r="AO361" s="54"/>
      <c r="AP361" s="123"/>
      <c r="AQ361" s="54"/>
      <c r="AR361" s="154"/>
      <c r="AS361" s="1"/>
      <c r="AT361" s="1"/>
      <c r="AU361" s="9"/>
    </row>
    <row r="362">
      <c r="A362" s="54"/>
      <c r="B362" s="71" t="str">
        <f>IFERROR(HYPERLINK(VLOOKUP(A362,Internal_lists_bugs!$A$2:$C$73,3,FALSE()), VLOOKUP(A362,Internal_lists_bugs!$A$2:$C$73,3,FALSE())&amp;Char(10) &amp; Char(10) &amp; VLOOKUP(A362,Internal_lists_bugs!$A$2:$Z$73,26,FALSE())),"please select a BUG ID")</f>
        <v>please select a BUG ID</v>
      </c>
      <c r="C362" s="51" t="str">
        <f>IFERROR(VLOOKUP(A362,Internal_lists_bugs!$A$2:$G2002,7,FALSE()),"please select a BUG ID")</f>
        <v>please select a BUG ID</v>
      </c>
      <c r="D362" s="54"/>
      <c r="E362" s="56"/>
      <c r="F362" s="54"/>
      <c r="G362" s="56"/>
      <c r="H362" s="54"/>
      <c r="I362" s="56"/>
      <c r="J362" s="54"/>
      <c r="K362" s="92"/>
      <c r="L362" s="54"/>
      <c r="M362" s="92"/>
      <c r="N362" s="54"/>
      <c r="O362" s="92"/>
      <c r="P362" s="54"/>
      <c r="Q362" s="92"/>
      <c r="R362" s="54"/>
      <c r="S362" s="92"/>
      <c r="T362" s="117"/>
      <c r="U362" s="92"/>
      <c r="V362" s="54"/>
      <c r="W362" s="92"/>
      <c r="X362" s="54"/>
      <c r="Y362" s="92"/>
      <c r="Z362" s="54"/>
      <c r="AA362" s="92"/>
      <c r="AB362" s="54"/>
      <c r="AC362" s="92"/>
      <c r="AD362" s="54"/>
      <c r="AE362" s="92"/>
      <c r="AF362" s="54"/>
      <c r="AG362" s="92"/>
      <c r="AH362" s="54"/>
      <c r="AI362" s="92"/>
      <c r="AJ362" s="54"/>
      <c r="AK362" s="92"/>
      <c r="AL362" s="54"/>
      <c r="AM362" s="92"/>
      <c r="AO362" s="54"/>
      <c r="AP362" s="123"/>
      <c r="AQ362" s="54"/>
      <c r="AR362" s="154"/>
      <c r="AS362" s="1"/>
      <c r="AT362" s="1"/>
      <c r="AU362" s="9"/>
    </row>
    <row r="363">
      <c r="A363" s="54"/>
      <c r="B363" s="71" t="str">
        <f>IFERROR(HYPERLINK(VLOOKUP(A363,Internal_lists_bugs!$A$2:$C$73,3,FALSE()), VLOOKUP(A363,Internal_lists_bugs!$A$2:$C$73,3,FALSE())&amp;Char(10) &amp; Char(10) &amp; VLOOKUP(A363,Internal_lists_bugs!$A$2:$Z$73,26,FALSE())),"please select a BUG ID")</f>
        <v>please select a BUG ID</v>
      </c>
      <c r="C363" s="51" t="str">
        <f>IFERROR(VLOOKUP(A363,Internal_lists_bugs!$A$2:$G2002,7,FALSE()),"please select a BUG ID")</f>
        <v>please select a BUG ID</v>
      </c>
      <c r="D363" s="54"/>
      <c r="E363" s="56"/>
      <c r="F363" s="54"/>
      <c r="G363" s="56"/>
      <c r="H363" s="54"/>
      <c r="I363" s="56"/>
      <c r="J363" s="54"/>
      <c r="K363" s="92"/>
      <c r="L363" s="54"/>
      <c r="M363" s="92"/>
      <c r="N363" s="54"/>
      <c r="O363" s="92"/>
      <c r="P363" s="54"/>
      <c r="Q363" s="92"/>
      <c r="R363" s="54"/>
      <c r="S363" s="92"/>
      <c r="T363" s="117"/>
      <c r="U363" s="92"/>
      <c r="V363" s="54"/>
      <c r="W363" s="92"/>
      <c r="X363" s="54"/>
      <c r="Y363" s="92"/>
      <c r="Z363" s="54"/>
      <c r="AA363" s="92"/>
      <c r="AB363" s="54"/>
      <c r="AC363" s="92"/>
      <c r="AD363" s="54"/>
      <c r="AE363" s="92"/>
      <c r="AF363" s="54"/>
      <c r="AG363" s="92"/>
      <c r="AH363" s="54"/>
      <c r="AI363" s="92"/>
      <c r="AJ363" s="54"/>
      <c r="AK363" s="92"/>
      <c r="AL363" s="54"/>
      <c r="AM363" s="92"/>
      <c r="AO363" s="54"/>
      <c r="AP363" s="123"/>
      <c r="AQ363" s="54"/>
      <c r="AR363" s="154"/>
      <c r="AS363" s="1"/>
      <c r="AT363" s="1"/>
      <c r="AU363" s="9"/>
    </row>
    <row r="364">
      <c r="A364" s="54"/>
      <c r="B364" s="71" t="str">
        <f>IFERROR(HYPERLINK(VLOOKUP(A364,Internal_lists_bugs!$A$2:$C$73,3,FALSE()), VLOOKUP(A364,Internal_lists_bugs!$A$2:$C$73,3,FALSE())&amp;Char(10) &amp; Char(10) &amp; VLOOKUP(A364,Internal_lists_bugs!$A$2:$Z$73,26,FALSE())),"please select a BUG ID")</f>
        <v>please select a BUG ID</v>
      </c>
      <c r="C364" s="51" t="str">
        <f>IFERROR(VLOOKUP(A364,Internal_lists_bugs!$A$2:$G2002,7,FALSE()),"please select a BUG ID")</f>
        <v>please select a BUG ID</v>
      </c>
      <c r="D364" s="54"/>
      <c r="E364" s="56"/>
      <c r="F364" s="54"/>
      <c r="G364" s="56"/>
      <c r="H364" s="54"/>
      <c r="I364" s="56"/>
      <c r="J364" s="54"/>
      <c r="K364" s="92"/>
      <c r="L364" s="54"/>
      <c r="M364" s="92"/>
      <c r="N364" s="54"/>
      <c r="O364" s="92"/>
      <c r="P364" s="54"/>
      <c r="Q364" s="92"/>
      <c r="R364" s="54"/>
      <c r="S364" s="92"/>
      <c r="T364" s="117"/>
      <c r="U364" s="92"/>
      <c r="V364" s="54"/>
      <c r="W364" s="92"/>
      <c r="X364" s="54"/>
      <c r="Y364" s="92"/>
      <c r="Z364" s="54"/>
      <c r="AA364" s="92"/>
      <c r="AB364" s="54"/>
      <c r="AC364" s="92"/>
      <c r="AD364" s="54"/>
      <c r="AE364" s="92"/>
      <c r="AF364" s="54"/>
      <c r="AG364" s="92"/>
      <c r="AH364" s="54"/>
      <c r="AI364" s="92"/>
      <c r="AJ364" s="54"/>
      <c r="AK364" s="92"/>
      <c r="AL364" s="54"/>
      <c r="AM364" s="92"/>
      <c r="AO364" s="54"/>
      <c r="AP364" s="123"/>
      <c r="AQ364" s="54"/>
      <c r="AR364" s="154"/>
      <c r="AS364" s="1"/>
      <c r="AT364" s="1"/>
      <c r="AU364" s="9"/>
    </row>
    <row r="365">
      <c r="A365" s="54"/>
      <c r="B365" s="71" t="str">
        <f>IFERROR(HYPERLINK(VLOOKUP(A365,Internal_lists_bugs!$A$2:$C$73,3,FALSE()), VLOOKUP(A365,Internal_lists_bugs!$A$2:$C$73,3,FALSE())&amp;Char(10) &amp; Char(10) &amp; VLOOKUP(A365,Internal_lists_bugs!$A$2:$Z$73,26,FALSE())),"please select a BUG ID")</f>
        <v>please select a BUG ID</v>
      </c>
      <c r="C365" s="51" t="str">
        <f>IFERROR(VLOOKUP(A365,Internal_lists_bugs!$A$2:$G2002,7,FALSE()),"please select a BUG ID")</f>
        <v>please select a BUG ID</v>
      </c>
      <c r="D365" s="54"/>
      <c r="E365" s="56"/>
      <c r="F365" s="54"/>
      <c r="G365" s="56"/>
      <c r="H365" s="54"/>
      <c r="I365" s="56"/>
      <c r="J365" s="54"/>
      <c r="K365" s="92"/>
      <c r="L365" s="54"/>
      <c r="M365" s="92"/>
      <c r="N365" s="54"/>
      <c r="O365" s="92"/>
      <c r="P365" s="54"/>
      <c r="Q365" s="92"/>
      <c r="R365" s="54"/>
      <c r="S365" s="92"/>
      <c r="T365" s="117"/>
      <c r="U365" s="92"/>
      <c r="V365" s="54"/>
      <c r="W365" s="92"/>
      <c r="X365" s="54"/>
      <c r="Y365" s="92"/>
      <c r="Z365" s="54"/>
      <c r="AA365" s="92"/>
      <c r="AB365" s="54"/>
      <c r="AC365" s="92"/>
      <c r="AD365" s="54"/>
      <c r="AE365" s="92"/>
      <c r="AF365" s="54"/>
      <c r="AG365" s="92"/>
      <c r="AH365" s="54"/>
      <c r="AI365" s="92"/>
      <c r="AJ365" s="54"/>
      <c r="AK365" s="92"/>
      <c r="AL365" s="54"/>
      <c r="AM365" s="92"/>
      <c r="AO365" s="54"/>
      <c r="AP365" s="123"/>
      <c r="AQ365" s="54"/>
      <c r="AR365" s="154"/>
      <c r="AS365" s="1"/>
      <c r="AT365" s="1"/>
      <c r="AU365" s="9"/>
    </row>
    <row r="366">
      <c r="A366" s="54"/>
      <c r="B366" s="71" t="str">
        <f>IFERROR(HYPERLINK(VLOOKUP(A366,Internal_lists_bugs!$A$2:$C$73,3,FALSE()), VLOOKUP(A366,Internal_lists_bugs!$A$2:$C$73,3,FALSE())&amp;Char(10) &amp; Char(10) &amp; VLOOKUP(A366,Internal_lists_bugs!$A$2:$Z$73,26,FALSE())),"please select a BUG ID")</f>
        <v>please select a BUG ID</v>
      </c>
      <c r="C366" s="51" t="str">
        <f>IFERROR(VLOOKUP(A366,Internal_lists_bugs!$A$2:$G2002,7,FALSE()),"please select a BUG ID")</f>
        <v>please select a BUG ID</v>
      </c>
      <c r="D366" s="54"/>
      <c r="E366" s="56"/>
      <c r="F366" s="54"/>
      <c r="G366" s="56"/>
      <c r="H366" s="54"/>
      <c r="I366" s="56"/>
      <c r="J366" s="54"/>
      <c r="K366" s="92"/>
      <c r="L366" s="54"/>
      <c r="M366" s="92"/>
      <c r="N366" s="54"/>
      <c r="O366" s="92"/>
      <c r="P366" s="54"/>
      <c r="Q366" s="92"/>
      <c r="R366" s="54"/>
      <c r="S366" s="92"/>
      <c r="T366" s="117"/>
      <c r="U366" s="92"/>
      <c r="V366" s="54"/>
      <c r="W366" s="92"/>
      <c r="X366" s="54"/>
      <c r="Y366" s="92"/>
      <c r="Z366" s="54"/>
      <c r="AA366" s="92"/>
      <c r="AB366" s="54"/>
      <c r="AC366" s="92"/>
      <c r="AD366" s="54"/>
      <c r="AE366" s="92"/>
      <c r="AF366" s="54"/>
      <c r="AG366" s="92"/>
      <c r="AH366" s="54"/>
      <c r="AI366" s="92"/>
      <c r="AJ366" s="54"/>
      <c r="AK366" s="92"/>
      <c r="AL366" s="54"/>
      <c r="AM366" s="92"/>
      <c r="AO366" s="54"/>
      <c r="AP366" s="123"/>
      <c r="AQ366" s="54"/>
      <c r="AR366" s="154"/>
      <c r="AS366" s="1"/>
      <c r="AT366" s="1"/>
      <c r="AU366" s="9"/>
    </row>
    <row r="367">
      <c r="A367" s="54"/>
      <c r="B367" s="71" t="str">
        <f>IFERROR(HYPERLINK(VLOOKUP(A367,Internal_lists_bugs!$A$2:$C$73,3,FALSE()), VLOOKUP(A367,Internal_lists_bugs!$A$2:$C$73,3,FALSE())&amp;Char(10) &amp; Char(10) &amp; VLOOKUP(A367,Internal_lists_bugs!$A$2:$Z$73,26,FALSE())),"please select a BUG ID")</f>
        <v>please select a BUG ID</v>
      </c>
      <c r="C367" s="51" t="str">
        <f>IFERROR(VLOOKUP(A367,Internal_lists_bugs!$A$2:$G2002,7,FALSE()),"please select a BUG ID")</f>
        <v>please select a BUG ID</v>
      </c>
      <c r="D367" s="54"/>
      <c r="E367" s="56"/>
      <c r="F367" s="54"/>
      <c r="G367" s="56"/>
      <c r="H367" s="54"/>
      <c r="I367" s="56"/>
      <c r="J367" s="54"/>
      <c r="K367" s="92"/>
      <c r="L367" s="54"/>
      <c r="M367" s="92"/>
      <c r="N367" s="54"/>
      <c r="O367" s="92"/>
      <c r="P367" s="54"/>
      <c r="Q367" s="92"/>
      <c r="R367" s="54"/>
      <c r="S367" s="92"/>
      <c r="T367" s="117"/>
      <c r="U367" s="92"/>
      <c r="V367" s="54"/>
      <c r="W367" s="92"/>
      <c r="X367" s="54"/>
      <c r="Y367" s="92"/>
      <c r="Z367" s="54"/>
      <c r="AA367" s="92"/>
      <c r="AB367" s="54"/>
      <c r="AC367" s="92"/>
      <c r="AD367" s="54"/>
      <c r="AE367" s="92"/>
      <c r="AF367" s="54"/>
      <c r="AG367" s="92"/>
      <c r="AH367" s="54"/>
      <c r="AI367" s="92"/>
      <c r="AJ367" s="54"/>
      <c r="AK367" s="92"/>
      <c r="AL367" s="54"/>
      <c r="AM367" s="92"/>
      <c r="AO367" s="54"/>
      <c r="AP367" s="123"/>
      <c r="AQ367" s="54"/>
      <c r="AR367" s="154"/>
      <c r="AS367" s="1"/>
      <c r="AT367" s="1"/>
      <c r="AU367" s="9"/>
    </row>
    <row r="368">
      <c r="A368" s="54"/>
      <c r="B368" s="71" t="str">
        <f>IFERROR(HYPERLINK(VLOOKUP(A368,Internal_lists_bugs!$A$2:$C$73,3,FALSE()), VLOOKUP(A368,Internal_lists_bugs!$A$2:$C$73,3,FALSE())&amp;Char(10) &amp; Char(10) &amp; VLOOKUP(A368,Internal_lists_bugs!$A$2:$Z$73,26,FALSE())),"please select a BUG ID")</f>
        <v>please select a BUG ID</v>
      </c>
      <c r="C368" s="51" t="str">
        <f>IFERROR(VLOOKUP(A368,Internal_lists_bugs!$A$2:$G2002,7,FALSE()),"please select a BUG ID")</f>
        <v>please select a BUG ID</v>
      </c>
      <c r="D368" s="54"/>
      <c r="E368" s="56"/>
      <c r="F368" s="54"/>
      <c r="G368" s="56"/>
      <c r="H368" s="54"/>
      <c r="I368" s="56"/>
      <c r="J368" s="54"/>
      <c r="K368" s="92"/>
      <c r="L368" s="54"/>
      <c r="M368" s="92"/>
      <c r="N368" s="54"/>
      <c r="O368" s="92"/>
      <c r="P368" s="54"/>
      <c r="Q368" s="92"/>
      <c r="R368" s="54"/>
      <c r="S368" s="92"/>
      <c r="T368" s="117"/>
      <c r="U368" s="92"/>
      <c r="V368" s="54"/>
      <c r="W368" s="92"/>
      <c r="X368" s="54"/>
      <c r="Y368" s="92"/>
      <c r="Z368" s="54"/>
      <c r="AA368" s="92"/>
      <c r="AB368" s="54"/>
      <c r="AC368" s="92"/>
      <c r="AD368" s="54"/>
      <c r="AE368" s="92"/>
      <c r="AF368" s="54"/>
      <c r="AG368" s="92"/>
      <c r="AH368" s="54"/>
      <c r="AI368" s="92"/>
      <c r="AJ368" s="54"/>
      <c r="AK368" s="92"/>
      <c r="AL368" s="54"/>
      <c r="AM368" s="92"/>
      <c r="AO368" s="54"/>
      <c r="AP368" s="123"/>
      <c r="AQ368" s="54"/>
      <c r="AR368" s="154"/>
      <c r="AS368" s="1"/>
      <c r="AT368" s="1"/>
      <c r="AU368" s="9"/>
    </row>
    <row r="369">
      <c r="A369" s="54"/>
      <c r="B369" s="71" t="str">
        <f>IFERROR(HYPERLINK(VLOOKUP(A369,Internal_lists_bugs!$A$2:$C$73,3,FALSE()), VLOOKUP(A369,Internal_lists_bugs!$A$2:$C$73,3,FALSE())&amp;Char(10) &amp; Char(10) &amp; VLOOKUP(A369,Internal_lists_bugs!$A$2:$Z$73,26,FALSE())),"please select a BUG ID")</f>
        <v>please select a BUG ID</v>
      </c>
      <c r="C369" s="51" t="str">
        <f>IFERROR(VLOOKUP(A369,Internal_lists_bugs!$A$2:$G2002,7,FALSE()),"please select a BUG ID")</f>
        <v>please select a BUG ID</v>
      </c>
      <c r="D369" s="54"/>
      <c r="E369" s="56"/>
      <c r="F369" s="54"/>
      <c r="G369" s="56"/>
      <c r="H369" s="54"/>
      <c r="I369" s="56"/>
      <c r="J369" s="54"/>
      <c r="K369" s="92"/>
      <c r="L369" s="54"/>
      <c r="M369" s="92"/>
      <c r="N369" s="54"/>
      <c r="O369" s="92"/>
      <c r="P369" s="54"/>
      <c r="Q369" s="92"/>
      <c r="R369" s="54"/>
      <c r="S369" s="92"/>
      <c r="T369" s="117"/>
      <c r="U369" s="92"/>
      <c r="V369" s="54"/>
      <c r="W369" s="92"/>
      <c r="X369" s="54"/>
      <c r="Y369" s="92"/>
      <c r="Z369" s="54"/>
      <c r="AA369" s="92"/>
      <c r="AB369" s="54"/>
      <c r="AC369" s="92"/>
      <c r="AD369" s="54"/>
      <c r="AE369" s="92"/>
      <c r="AF369" s="54"/>
      <c r="AG369" s="92"/>
      <c r="AH369" s="54"/>
      <c r="AI369" s="92"/>
      <c r="AJ369" s="54"/>
      <c r="AK369" s="92"/>
      <c r="AL369" s="54"/>
      <c r="AM369" s="92"/>
      <c r="AO369" s="54"/>
      <c r="AP369" s="123"/>
      <c r="AQ369" s="54"/>
      <c r="AR369" s="154"/>
      <c r="AS369" s="1"/>
      <c r="AT369" s="1"/>
      <c r="AU369" s="9"/>
    </row>
    <row r="370">
      <c r="A370" s="54"/>
      <c r="B370" s="71" t="str">
        <f>IFERROR(HYPERLINK(VLOOKUP(A370,Internal_lists_bugs!$A$2:$C$73,3,FALSE()), VLOOKUP(A370,Internal_lists_bugs!$A$2:$C$73,3,FALSE())&amp;Char(10) &amp; Char(10) &amp; VLOOKUP(A370,Internal_lists_bugs!$A$2:$Z$73,26,FALSE())),"please select a BUG ID")</f>
        <v>please select a BUG ID</v>
      </c>
      <c r="C370" s="51" t="str">
        <f>IFERROR(VLOOKUP(A370,Internal_lists_bugs!$A$2:$G2002,7,FALSE()),"please select a BUG ID")</f>
        <v>please select a BUG ID</v>
      </c>
      <c r="D370" s="54"/>
      <c r="E370" s="56"/>
      <c r="F370" s="54"/>
      <c r="G370" s="56"/>
      <c r="H370" s="54"/>
      <c r="I370" s="56"/>
      <c r="J370" s="54"/>
      <c r="K370" s="92"/>
      <c r="L370" s="54"/>
      <c r="M370" s="92"/>
      <c r="N370" s="54"/>
      <c r="O370" s="92"/>
      <c r="P370" s="54"/>
      <c r="Q370" s="92"/>
      <c r="R370" s="54"/>
      <c r="S370" s="92"/>
      <c r="T370" s="117"/>
      <c r="U370" s="92"/>
      <c r="V370" s="54"/>
      <c r="W370" s="92"/>
      <c r="X370" s="54"/>
      <c r="Y370" s="92"/>
      <c r="Z370" s="54"/>
      <c r="AA370" s="92"/>
      <c r="AB370" s="54"/>
      <c r="AC370" s="92"/>
      <c r="AD370" s="54"/>
      <c r="AE370" s="92"/>
      <c r="AF370" s="54"/>
      <c r="AG370" s="92"/>
      <c r="AH370" s="54"/>
      <c r="AI370" s="92"/>
      <c r="AJ370" s="54"/>
      <c r="AK370" s="92"/>
      <c r="AL370" s="54"/>
      <c r="AM370" s="92"/>
      <c r="AO370" s="54"/>
      <c r="AP370" s="123"/>
      <c r="AQ370" s="54"/>
      <c r="AR370" s="154"/>
      <c r="AS370" s="1"/>
      <c r="AT370" s="1"/>
      <c r="AU370" s="9"/>
    </row>
    <row r="371">
      <c r="A371" s="54"/>
      <c r="B371" s="71" t="str">
        <f>IFERROR(HYPERLINK(VLOOKUP(A371,Internal_lists_bugs!$A$2:$C$73,3,FALSE()), VLOOKUP(A371,Internal_lists_bugs!$A$2:$C$73,3,FALSE())&amp;Char(10) &amp; Char(10) &amp; VLOOKUP(A371,Internal_lists_bugs!$A$2:$Z$73,26,FALSE())),"please select a BUG ID")</f>
        <v>please select a BUG ID</v>
      </c>
      <c r="C371" s="51" t="str">
        <f>IFERROR(VLOOKUP(A371,Internal_lists_bugs!$A$2:$G2002,7,FALSE()),"please select a BUG ID")</f>
        <v>please select a BUG ID</v>
      </c>
      <c r="D371" s="54"/>
      <c r="E371" s="56"/>
      <c r="F371" s="54"/>
      <c r="G371" s="56"/>
      <c r="H371" s="54"/>
      <c r="I371" s="56"/>
      <c r="J371" s="54"/>
      <c r="K371" s="92"/>
      <c r="L371" s="54"/>
      <c r="M371" s="92"/>
      <c r="N371" s="54"/>
      <c r="O371" s="92"/>
      <c r="P371" s="54"/>
      <c r="Q371" s="92"/>
      <c r="R371" s="54"/>
      <c r="S371" s="92"/>
      <c r="T371" s="117"/>
      <c r="U371" s="92"/>
      <c r="V371" s="54"/>
      <c r="W371" s="92"/>
      <c r="X371" s="54"/>
      <c r="Y371" s="92"/>
      <c r="Z371" s="54"/>
      <c r="AA371" s="92"/>
      <c r="AB371" s="54"/>
      <c r="AC371" s="92"/>
      <c r="AD371" s="54"/>
      <c r="AE371" s="92"/>
      <c r="AF371" s="54"/>
      <c r="AG371" s="92"/>
      <c r="AH371" s="54"/>
      <c r="AI371" s="92"/>
      <c r="AJ371" s="54"/>
      <c r="AK371" s="92"/>
      <c r="AL371" s="54"/>
      <c r="AM371" s="92"/>
      <c r="AO371" s="54"/>
      <c r="AP371" s="123"/>
      <c r="AQ371" s="54"/>
      <c r="AR371" s="154"/>
      <c r="AS371" s="1"/>
      <c r="AT371" s="1"/>
      <c r="AU371" s="9"/>
    </row>
    <row r="372">
      <c r="A372" s="54"/>
      <c r="B372" s="71" t="str">
        <f>IFERROR(HYPERLINK(VLOOKUP(A372,Internal_lists_bugs!$A$2:$C$73,3,FALSE()), VLOOKUP(A372,Internal_lists_bugs!$A$2:$C$73,3,FALSE())&amp;Char(10) &amp; Char(10) &amp; VLOOKUP(A372,Internal_lists_bugs!$A$2:$Z$73,26,FALSE())),"please select a BUG ID")</f>
        <v>please select a BUG ID</v>
      </c>
      <c r="C372" s="51" t="str">
        <f>IFERROR(VLOOKUP(A372,Internal_lists_bugs!$A$2:$G2002,7,FALSE()),"please select a BUG ID")</f>
        <v>please select a BUG ID</v>
      </c>
      <c r="D372" s="54"/>
      <c r="E372" s="56"/>
      <c r="F372" s="54"/>
      <c r="G372" s="56"/>
      <c r="H372" s="54"/>
      <c r="I372" s="56"/>
      <c r="J372" s="54"/>
      <c r="K372" s="92"/>
      <c r="L372" s="54"/>
      <c r="M372" s="92"/>
      <c r="N372" s="54"/>
      <c r="O372" s="92"/>
      <c r="P372" s="54"/>
      <c r="Q372" s="92"/>
      <c r="R372" s="54"/>
      <c r="S372" s="92"/>
      <c r="T372" s="117"/>
      <c r="U372" s="92"/>
      <c r="V372" s="54"/>
      <c r="W372" s="92"/>
      <c r="X372" s="54"/>
      <c r="Y372" s="92"/>
      <c r="Z372" s="54"/>
      <c r="AA372" s="92"/>
      <c r="AB372" s="54"/>
      <c r="AC372" s="92"/>
      <c r="AD372" s="54"/>
      <c r="AE372" s="92"/>
      <c r="AF372" s="54"/>
      <c r="AG372" s="92"/>
      <c r="AH372" s="54"/>
      <c r="AI372" s="92"/>
      <c r="AJ372" s="54"/>
      <c r="AK372" s="92"/>
      <c r="AL372" s="54"/>
      <c r="AM372" s="92"/>
      <c r="AO372" s="54"/>
      <c r="AP372" s="123"/>
      <c r="AQ372" s="54"/>
      <c r="AR372" s="154"/>
      <c r="AS372" s="1"/>
      <c r="AT372" s="1"/>
      <c r="AU372" s="9"/>
    </row>
    <row r="373">
      <c r="A373" s="54"/>
      <c r="B373" s="71" t="str">
        <f>IFERROR(HYPERLINK(VLOOKUP(A373,Internal_lists_bugs!$A$2:$C$73,3,FALSE()), VLOOKUP(A373,Internal_lists_bugs!$A$2:$C$73,3,FALSE())&amp;Char(10) &amp; Char(10) &amp; VLOOKUP(A373,Internal_lists_bugs!$A$2:$Z$73,26,FALSE())),"please select a BUG ID")</f>
        <v>please select a BUG ID</v>
      </c>
      <c r="C373" s="51" t="str">
        <f>IFERROR(VLOOKUP(A373,Internal_lists_bugs!$A$2:$G2002,7,FALSE()),"please select a BUG ID")</f>
        <v>please select a BUG ID</v>
      </c>
      <c r="D373" s="54"/>
      <c r="E373" s="56"/>
      <c r="F373" s="54"/>
      <c r="G373" s="56"/>
      <c r="H373" s="54"/>
      <c r="I373" s="56"/>
      <c r="J373" s="54"/>
      <c r="K373" s="92"/>
      <c r="L373" s="54"/>
      <c r="M373" s="92"/>
      <c r="N373" s="54"/>
      <c r="O373" s="92"/>
      <c r="P373" s="54"/>
      <c r="Q373" s="92"/>
      <c r="R373" s="54"/>
      <c r="S373" s="92"/>
      <c r="T373" s="117"/>
      <c r="U373" s="92"/>
      <c r="V373" s="54"/>
      <c r="W373" s="92"/>
      <c r="X373" s="54"/>
      <c r="Y373" s="92"/>
      <c r="Z373" s="54"/>
      <c r="AA373" s="92"/>
      <c r="AB373" s="54"/>
      <c r="AC373" s="92"/>
      <c r="AD373" s="54"/>
      <c r="AE373" s="92"/>
      <c r="AF373" s="54"/>
      <c r="AG373" s="92"/>
      <c r="AH373" s="54"/>
      <c r="AI373" s="92"/>
      <c r="AJ373" s="54"/>
      <c r="AK373" s="92"/>
      <c r="AL373" s="54"/>
      <c r="AM373" s="92"/>
      <c r="AO373" s="54"/>
      <c r="AP373" s="123"/>
      <c r="AQ373" s="54"/>
      <c r="AR373" s="154"/>
      <c r="AS373" s="1"/>
      <c r="AT373" s="1"/>
      <c r="AU373" s="9"/>
    </row>
    <row r="374">
      <c r="A374" s="54"/>
      <c r="B374" s="71" t="str">
        <f>IFERROR(HYPERLINK(VLOOKUP(A374,Internal_lists_bugs!$A$2:$C$73,3,FALSE()), VLOOKUP(A374,Internal_lists_bugs!$A$2:$C$73,3,FALSE())&amp;Char(10) &amp; Char(10) &amp; VLOOKUP(A374,Internal_lists_bugs!$A$2:$Z$73,26,FALSE())),"please select a BUG ID")</f>
        <v>please select a BUG ID</v>
      </c>
      <c r="C374" s="51" t="str">
        <f>IFERROR(VLOOKUP(A374,Internal_lists_bugs!$A$2:$G2002,7,FALSE()),"please select a BUG ID")</f>
        <v>please select a BUG ID</v>
      </c>
      <c r="D374" s="54"/>
      <c r="E374" s="56"/>
      <c r="F374" s="54"/>
      <c r="G374" s="56"/>
      <c r="H374" s="54"/>
      <c r="I374" s="56"/>
      <c r="J374" s="54"/>
      <c r="K374" s="92"/>
      <c r="L374" s="54"/>
      <c r="M374" s="92"/>
      <c r="N374" s="54"/>
      <c r="O374" s="92"/>
      <c r="P374" s="54"/>
      <c r="Q374" s="92"/>
      <c r="R374" s="54"/>
      <c r="S374" s="92"/>
      <c r="T374" s="117"/>
      <c r="U374" s="92"/>
      <c r="V374" s="54"/>
      <c r="W374" s="92"/>
      <c r="X374" s="54"/>
      <c r="Y374" s="92"/>
      <c r="Z374" s="54"/>
      <c r="AA374" s="92"/>
      <c r="AB374" s="54"/>
      <c r="AC374" s="92"/>
      <c r="AD374" s="54"/>
      <c r="AE374" s="92"/>
      <c r="AF374" s="54"/>
      <c r="AG374" s="92"/>
      <c r="AH374" s="54"/>
      <c r="AI374" s="92"/>
      <c r="AJ374" s="54"/>
      <c r="AK374" s="92"/>
      <c r="AL374" s="54"/>
      <c r="AM374" s="92"/>
      <c r="AO374" s="54"/>
      <c r="AP374" s="123"/>
      <c r="AQ374" s="54"/>
      <c r="AR374" s="154"/>
      <c r="AS374" s="1"/>
      <c r="AT374" s="1"/>
      <c r="AU374" s="9"/>
    </row>
    <row r="375">
      <c r="A375" s="54"/>
      <c r="B375" s="71" t="str">
        <f>IFERROR(HYPERLINK(VLOOKUP(A375,Internal_lists_bugs!$A$2:$C$73,3,FALSE()), VLOOKUP(A375,Internal_lists_bugs!$A$2:$C$73,3,FALSE())&amp;Char(10) &amp; Char(10) &amp; VLOOKUP(A375,Internal_lists_bugs!$A$2:$Z$73,26,FALSE())),"please select a BUG ID")</f>
        <v>please select a BUG ID</v>
      </c>
      <c r="C375" s="51" t="str">
        <f>IFERROR(VLOOKUP(A375,Internal_lists_bugs!$A$2:$G2002,7,FALSE()),"please select a BUG ID")</f>
        <v>please select a BUG ID</v>
      </c>
      <c r="D375" s="54"/>
      <c r="E375" s="56"/>
      <c r="F375" s="54"/>
      <c r="G375" s="56"/>
      <c r="H375" s="54"/>
      <c r="I375" s="56"/>
      <c r="J375" s="54"/>
      <c r="K375" s="92"/>
      <c r="L375" s="54"/>
      <c r="M375" s="92"/>
      <c r="N375" s="54"/>
      <c r="O375" s="92"/>
      <c r="P375" s="54"/>
      <c r="Q375" s="92"/>
      <c r="R375" s="54"/>
      <c r="S375" s="92"/>
      <c r="T375" s="117"/>
      <c r="U375" s="92"/>
      <c r="V375" s="54"/>
      <c r="W375" s="92"/>
      <c r="X375" s="54"/>
      <c r="Y375" s="92"/>
      <c r="Z375" s="54"/>
      <c r="AA375" s="92"/>
      <c r="AB375" s="54"/>
      <c r="AC375" s="92"/>
      <c r="AD375" s="54"/>
      <c r="AE375" s="92"/>
      <c r="AF375" s="54"/>
      <c r="AG375" s="92"/>
      <c r="AH375" s="54"/>
      <c r="AI375" s="92"/>
      <c r="AJ375" s="54"/>
      <c r="AK375" s="92"/>
      <c r="AL375" s="54"/>
      <c r="AM375" s="92"/>
      <c r="AO375" s="54"/>
      <c r="AP375" s="123"/>
      <c r="AQ375" s="54"/>
      <c r="AR375" s="154"/>
      <c r="AS375" s="1"/>
      <c r="AT375" s="1"/>
      <c r="AU375" s="9"/>
    </row>
    <row r="376">
      <c r="A376" s="54"/>
      <c r="B376" s="71" t="str">
        <f>IFERROR(HYPERLINK(VLOOKUP(A376,Internal_lists_bugs!$A$2:$C$73,3,FALSE()), VLOOKUP(A376,Internal_lists_bugs!$A$2:$C$73,3,FALSE())&amp;Char(10) &amp; Char(10) &amp; VLOOKUP(A376,Internal_lists_bugs!$A$2:$Z$73,26,FALSE())),"please select a BUG ID")</f>
        <v>please select a BUG ID</v>
      </c>
      <c r="C376" s="51" t="str">
        <f>IFERROR(VLOOKUP(A376,Internal_lists_bugs!$A$2:$G2002,7,FALSE()),"please select a BUG ID")</f>
        <v>please select a BUG ID</v>
      </c>
      <c r="D376" s="54"/>
      <c r="E376" s="56"/>
      <c r="F376" s="54"/>
      <c r="G376" s="56"/>
      <c r="H376" s="54"/>
      <c r="I376" s="56"/>
      <c r="J376" s="54"/>
      <c r="K376" s="92"/>
      <c r="L376" s="54"/>
      <c r="M376" s="92"/>
      <c r="N376" s="54"/>
      <c r="O376" s="92"/>
      <c r="P376" s="54"/>
      <c r="Q376" s="92"/>
      <c r="R376" s="54"/>
      <c r="S376" s="92"/>
      <c r="T376" s="117"/>
      <c r="U376" s="92"/>
      <c r="V376" s="54"/>
      <c r="W376" s="92"/>
      <c r="X376" s="54"/>
      <c r="Y376" s="92"/>
      <c r="Z376" s="54"/>
      <c r="AA376" s="92"/>
      <c r="AB376" s="54"/>
      <c r="AC376" s="92"/>
      <c r="AD376" s="54"/>
      <c r="AE376" s="92"/>
      <c r="AF376" s="54"/>
      <c r="AG376" s="92"/>
      <c r="AH376" s="54"/>
      <c r="AI376" s="92"/>
      <c r="AJ376" s="54"/>
      <c r="AK376" s="92"/>
      <c r="AL376" s="54"/>
      <c r="AM376" s="92"/>
      <c r="AO376" s="54"/>
      <c r="AP376" s="123"/>
      <c r="AQ376" s="54"/>
      <c r="AR376" s="154"/>
      <c r="AS376" s="1"/>
      <c r="AT376" s="1"/>
      <c r="AU376" s="9"/>
    </row>
    <row r="377">
      <c r="A377" s="54"/>
      <c r="B377" s="71" t="str">
        <f>IFERROR(HYPERLINK(VLOOKUP(A377,Internal_lists_bugs!$A$2:$C$73,3,FALSE()), VLOOKUP(A377,Internal_lists_bugs!$A$2:$C$73,3,FALSE())&amp;Char(10) &amp; Char(10) &amp; VLOOKUP(A377,Internal_lists_bugs!$A$2:$Z$73,26,FALSE())),"please select a BUG ID")</f>
        <v>please select a BUG ID</v>
      </c>
      <c r="C377" s="51" t="str">
        <f>IFERROR(VLOOKUP(A377,Internal_lists_bugs!$A$2:$G2002,7,FALSE()),"please select a BUG ID")</f>
        <v>please select a BUG ID</v>
      </c>
      <c r="D377" s="54"/>
      <c r="E377" s="56"/>
      <c r="F377" s="54"/>
      <c r="G377" s="56"/>
      <c r="H377" s="54"/>
      <c r="I377" s="56"/>
      <c r="J377" s="54"/>
      <c r="K377" s="92"/>
      <c r="L377" s="54"/>
      <c r="M377" s="92"/>
      <c r="N377" s="54"/>
      <c r="O377" s="92"/>
      <c r="P377" s="54"/>
      <c r="Q377" s="92"/>
      <c r="R377" s="54"/>
      <c r="S377" s="92"/>
      <c r="T377" s="117"/>
      <c r="U377" s="92"/>
      <c r="V377" s="54"/>
      <c r="W377" s="92"/>
      <c r="X377" s="54"/>
      <c r="Y377" s="92"/>
      <c r="Z377" s="54"/>
      <c r="AA377" s="92"/>
      <c r="AB377" s="54"/>
      <c r="AC377" s="92"/>
      <c r="AD377" s="54"/>
      <c r="AE377" s="92"/>
      <c r="AF377" s="54"/>
      <c r="AG377" s="92"/>
      <c r="AH377" s="54"/>
      <c r="AI377" s="92"/>
      <c r="AJ377" s="54"/>
      <c r="AK377" s="92"/>
      <c r="AL377" s="54"/>
      <c r="AM377" s="92"/>
      <c r="AO377" s="54"/>
      <c r="AP377" s="123"/>
      <c r="AQ377" s="54"/>
      <c r="AR377" s="154"/>
      <c r="AS377" s="1"/>
      <c r="AT377" s="1"/>
      <c r="AU377" s="9"/>
    </row>
    <row r="378">
      <c r="A378" s="54"/>
      <c r="B378" s="71" t="str">
        <f>IFERROR(HYPERLINK(VLOOKUP(A378,Internal_lists_bugs!$A$2:$C$73,3,FALSE()), VLOOKUP(A378,Internal_lists_bugs!$A$2:$C$73,3,FALSE())&amp;Char(10) &amp; Char(10) &amp; VLOOKUP(A378,Internal_lists_bugs!$A$2:$Z$73,26,FALSE())),"please select a BUG ID")</f>
        <v>please select a BUG ID</v>
      </c>
      <c r="C378" s="51" t="str">
        <f>IFERROR(VLOOKUP(A378,Internal_lists_bugs!$A$2:$G2002,7,FALSE()),"please select a BUG ID")</f>
        <v>please select a BUG ID</v>
      </c>
      <c r="D378" s="54"/>
      <c r="E378" s="56"/>
      <c r="F378" s="54"/>
      <c r="G378" s="56"/>
      <c r="H378" s="54"/>
      <c r="I378" s="56"/>
      <c r="J378" s="54"/>
      <c r="K378" s="92"/>
      <c r="L378" s="54"/>
      <c r="M378" s="92"/>
      <c r="N378" s="54"/>
      <c r="O378" s="92"/>
      <c r="P378" s="54"/>
      <c r="Q378" s="92"/>
      <c r="R378" s="54"/>
      <c r="S378" s="92"/>
      <c r="T378" s="117"/>
      <c r="U378" s="92"/>
      <c r="V378" s="54"/>
      <c r="W378" s="92"/>
      <c r="X378" s="54"/>
      <c r="Y378" s="92"/>
      <c r="Z378" s="54"/>
      <c r="AA378" s="92"/>
      <c r="AB378" s="54"/>
      <c r="AC378" s="92"/>
      <c r="AD378" s="54"/>
      <c r="AE378" s="92"/>
      <c r="AF378" s="54"/>
      <c r="AG378" s="92"/>
      <c r="AH378" s="54"/>
      <c r="AI378" s="92"/>
      <c r="AJ378" s="54"/>
      <c r="AK378" s="92"/>
      <c r="AL378" s="54"/>
      <c r="AM378" s="92"/>
      <c r="AO378" s="54"/>
      <c r="AP378" s="123"/>
      <c r="AQ378" s="54"/>
      <c r="AR378" s="154"/>
      <c r="AS378" s="1"/>
      <c r="AT378" s="1"/>
      <c r="AU378" s="9"/>
    </row>
    <row r="379">
      <c r="A379" s="54"/>
      <c r="B379" s="71" t="str">
        <f>IFERROR(HYPERLINK(VLOOKUP(A379,Internal_lists_bugs!$A$2:$C$73,3,FALSE()), VLOOKUP(A379,Internal_lists_bugs!$A$2:$C$73,3,FALSE())&amp;Char(10) &amp; Char(10) &amp; VLOOKUP(A379,Internal_lists_bugs!$A$2:$Z$73,26,FALSE())),"please select a BUG ID")</f>
        <v>please select a BUG ID</v>
      </c>
      <c r="C379" s="51" t="str">
        <f>IFERROR(VLOOKUP(A379,Internal_lists_bugs!$A$2:$G2002,7,FALSE()),"please select a BUG ID")</f>
        <v>please select a BUG ID</v>
      </c>
      <c r="D379" s="54"/>
      <c r="E379" s="56"/>
      <c r="F379" s="54"/>
      <c r="G379" s="56"/>
      <c r="H379" s="54"/>
      <c r="I379" s="56"/>
      <c r="J379" s="54"/>
      <c r="K379" s="92"/>
      <c r="L379" s="54"/>
      <c r="M379" s="92"/>
      <c r="N379" s="54"/>
      <c r="O379" s="92"/>
      <c r="P379" s="54"/>
      <c r="Q379" s="92"/>
      <c r="R379" s="54"/>
      <c r="S379" s="92"/>
      <c r="T379" s="117"/>
      <c r="U379" s="92"/>
      <c r="V379" s="54"/>
      <c r="W379" s="92"/>
      <c r="X379" s="54"/>
      <c r="Y379" s="92"/>
      <c r="Z379" s="54"/>
      <c r="AA379" s="92"/>
      <c r="AB379" s="54"/>
      <c r="AC379" s="92"/>
      <c r="AD379" s="54"/>
      <c r="AE379" s="92"/>
      <c r="AF379" s="54"/>
      <c r="AG379" s="92"/>
      <c r="AH379" s="54"/>
      <c r="AI379" s="92"/>
      <c r="AJ379" s="54"/>
      <c r="AK379" s="92"/>
      <c r="AL379" s="54"/>
      <c r="AM379" s="92"/>
      <c r="AO379" s="54"/>
      <c r="AP379" s="123"/>
      <c r="AQ379" s="54"/>
      <c r="AR379" s="154"/>
      <c r="AS379" s="1"/>
      <c r="AT379" s="1"/>
      <c r="AU379" s="9"/>
    </row>
    <row r="380">
      <c r="A380" s="54"/>
      <c r="B380" s="71" t="str">
        <f>IFERROR(HYPERLINK(VLOOKUP(A380,Internal_lists_bugs!$A$2:$C$73,3,FALSE()), VLOOKUP(A380,Internal_lists_bugs!$A$2:$C$73,3,FALSE())&amp;Char(10) &amp; Char(10) &amp; VLOOKUP(A380,Internal_lists_bugs!$A$2:$Z$73,26,FALSE())),"please select a BUG ID")</f>
        <v>please select a BUG ID</v>
      </c>
      <c r="C380" s="51" t="str">
        <f>IFERROR(VLOOKUP(A380,Internal_lists_bugs!$A$2:$G2002,7,FALSE()),"please select a BUG ID")</f>
        <v>please select a BUG ID</v>
      </c>
      <c r="D380" s="54"/>
      <c r="E380" s="56"/>
      <c r="F380" s="54"/>
      <c r="G380" s="56"/>
      <c r="H380" s="54"/>
      <c r="I380" s="56"/>
      <c r="J380" s="54"/>
      <c r="K380" s="92"/>
      <c r="L380" s="54"/>
      <c r="M380" s="92"/>
      <c r="N380" s="54"/>
      <c r="O380" s="92"/>
      <c r="P380" s="54"/>
      <c r="Q380" s="92"/>
      <c r="R380" s="54"/>
      <c r="S380" s="92"/>
      <c r="T380" s="117"/>
      <c r="U380" s="92"/>
      <c r="V380" s="54"/>
      <c r="W380" s="92"/>
      <c r="X380" s="54"/>
      <c r="Y380" s="92"/>
      <c r="Z380" s="54"/>
      <c r="AA380" s="92"/>
      <c r="AB380" s="54"/>
      <c r="AC380" s="92"/>
      <c r="AD380" s="54"/>
      <c r="AE380" s="92"/>
      <c r="AF380" s="54"/>
      <c r="AG380" s="92"/>
      <c r="AH380" s="54"/>
      <c r="AI380" s="92"/>
      <c r="AJ380" s="54"/>
      <c r="AK380" s="92"/>
      <c r="AL380" s="54"/>
      <c r="AM380" s="92"/>
      <c r="AO380" s="54"/>
      <c r="AP380" s="123"/>
      <c r="AQ380" s="54"/>
      <c r="AR380" s="154"/>
      <c r="AS380" s="1"/>
      <c r="AT380" s="1"/>
      <c r="AU380" s="9"/>
    </row>
    <row r="381">
      <c r="A381" s="54"/>
      <c r="B381" s="71" t="str">
        <f>IFERROR(HYPERLINK(VLOOKUP(A381,Internal_lists_bugs!$A$2:$C$73,3,FALSE()), VLOOKUP(A381,Internal_lists_bugs!$A$2:$C$73,3,FALSE())&amp;Char(10) &amp; Char(10) &amp; VLOOKUP(A381,Internal_lists_bugs!$A$2:$Z$73,26,FALSE())),"please select a BUG ID")</f>
        <v>please select a BUG ID</v>
      </c>
      <c r="C381" s="51" t="str">
        <f>IFERROR(VLOOKUP(A381,Internal_lists_bugs!$A$2:$G2002,7,FALSE()),"please select a BUG ID")</f>
        <v>please select a BUG ID</v>
      </c>
      <c r="D381" s="54"/>
      <c r="E381" s="56"/>
      <c r="F381" s="54"/>
      <c r="G381" s="56"/>
      <c r="H381" s="54"/>
      <c r="I381" s="56"/>
      <c r="J381" s="54"/>
      <c r="K381" s="92"/>
      <c r="L381" s="54"/>
      <c r="M381" s="92"/>
      <c r="N381" s="54"/>
      <c r="O381" s="92"/>
      <c r="P381" s="54"/>
      <c r="Q381" s="92"/>
      <c r="R381" s="54"/>
      <c r="S381" s="92"/>
      <c r="T381" s="117"/>
      <c r="U381" s="92"/>
      <c r="V381" s="54"/>
      <c r="W381" s="92"/>
      <c r="X381" s="54"/>
      <c r="Y381" s="92"/>
      <c r="Z381" s="54"/>
      <c r="AA381" s="92"/>
      <c r="AB381" s="54"/>
      <c r="AC381" s="92"/>
      <c r="AD381" s="54"/>
      <c r="AE381" s="92"/>
      <c r="AF381" s="54"/>
      <c r="AG381" s="92"/>
      <c r="AH381" s="54"/>
      <c r="AI381" s="92"/>
      <c r="AJ381" s="54"/>
      <c r="AK381" s="92"/>
      <c r="AL381" s="54"/>
      <c r="AM381" s="92"/>
      <c r="AO381" s="54"/>
      <c r="AP381" s="123"/>
      <c r="AQ381" s="54"/>
      <c r="AR381" s="154"/>
      <c r="AS381" s="1"/>
      <c r="AT381" s="1"/>
      <c r="AU381" s="9"/>
    </row>
    <row r="382">
      <c r="A382" s="54"/>
      <c r="B382" s="71" t="str">
        <f>IFERROR(HYPERLINK(VLOOKUP(A382,Internal_lists_bugs!$A$2:$C$73,3,FALSE()), VLOOKUP(A382,Internal_lists_bugs!$A$2:$C$73,3,FALSE())&amp;Char(10) &amp; Char(10) &amp; VLOOKUP(A382,Internal_lists_bugs!$A$2:$Z$73,26,FALSE())),"please select a BUG ID")</f>
        <v>please select a BUG ID</v>
      </c>
      <c r="C382" s="51" t="str">
        <f>IFERROR(VLOOKUP(A382,Internal_lists_bugs!$A$2:$G2002,7,FALSE()),"please select a BUG ID")</f>
        <v>please select a BUG ID</v>
      </c>
      <c r="D382" s="54"/>
      <c r="E382" s="56"/>
      <c r="F382" s="54"/>
      <c r="G382" s="56"/>
      <c r="H382" s="54"/>
      <c r="I382" s="56"/>
      <c r="J382" s="54"/>
      <c r="K382" s="92"/>
      <c r="L382" s="54"/>
      <c r="M382" s="92"/>
      <c r="N382" s="54"/>
      <c r="O382" s="92"/>
      <c r="P382" s="54"/>
      <c r="Q382" s="92"/>
      <c r="R382" s="54"/>
      <c r="S382" s="92"/>
      <c r="T382" s="117"/>
      <c r="U382" s="92"/>
      <c r="V382" s="54"/>
      <c r="W382" s="92"/>
      <c r="X382" s="54"/>
      <c r="Y382" s="92"/>
      <c r="Z382" s="54"/>
      <c r="AA382" s="92"/>
      <c r="AB382" s="54"/>
      <c r="AC382" s="92"/>
      <c r="AD382" s="54"/>
      <c r="AE382" s="92"/>
      <c r="AF382" s="54"/>
      <c r="AG382" s="92"/>
      <c r="AH382" s="54"/>
      <c r="AI382" s="92"/>
      <c r="AJ382" s="54"/>
      <c r="AK382" s="92"/>
      <c r="AL382" s="54"/>
      <c r="AM382" s="92"/>
      <c r="AO382" s="54"/>
      <c r="AP382" s="123"/>
      <c r="AQ382" s="54"/>
      <c r="AR382" s="154"/>
      <c r="AS382" s="1"/>
      <c r="AT382" s="1"/>
      <c r="AU382" s="9"/>
    </row>
    <row r="383">
      <c r="A383" s="54"/>
      <c r="B383" s="71" t="str">
        <f>IFERROR(HYPERLINK(VLOOKUP(A383,Internal_lists_bugs!$A$2:$C$73,3,FALSE()), VLOOKUP(A383,Internal_lists_bugs!$A$2:$C$73,3,FALSE())&amp;Char(10) &amp; Char(10) &amp; VLOOKUP(A383,Internal_lists_bugs!$A$2:$Z$73,26,FALSE())),"please select a BUG ID")</f>
        <v>please select a BUG ID</v>
      </c>
      <c r="C383" s="51" t="str">
        <f>IFERROR(VLOOKUP(A383,Internal_lists_bugs!$A$2:$G2002,7,FALSE()),"please select a BUG ID")</f>
        <v>please select a BUG ID</v>
      </c>
      <c r="D383" s="54"/>
      <c r="E383" s="56"/>
      <c r="F383" s="54"/>
      <c r="G383" s="56"/>
      <c r="H383" s="54"/>
      <c r="I383" s="56"/>
      <c r="J383" s="54"/>
      <c r="K383" s="92"/>
      <c r="L383" s="54"/>
      <c r="M383" s="92"/>
      <c r="N383" s="54"/>
      <c r="O383" s="92"/>
      <c r="P383" s="54"/>
      <c r="Q383" s="92"/>
      <c r="R383" s="54"/>
      <c r="S383" s="92"/>
      <c r="T383" s="117"/>
      <c r="U383" s="92"/>
      <c r="V383" s="54"/>
      <c r="W383" s="92"/>
      <c r="X383" s="54"/>
      <c r="Y383" s="92"/>
      <c r="Z383" s="54"/>
      <c r="AA383" s="92"/>
      <c r="AB383" s="54"/>
      <c r="AC383" s="92"/>
      <c r="AD383" s="54"/>
      <c r="AE383" s="92"/>
      <c r="AF383" s="54"/>
      <c r="AG383" s="92"/>
      <c r="AH383" s="54"/>
      <c r="AI383" s="92"/>
      <c r="AJ383" s="54"/>
      <c r="AK383" s="92"/>
      <c r="AL383" s="54"/>
      <c r="AM383" s="92"/>
      <c r="AO383" s="54"/>
      <c r="AP383" s="123"/>
      <c r="AQ383" s="54"/>
      <c r="AR383" s="154"/>
      <c r="AS383" s="1"/>
      <c r="AT383" s="1"/>
      <c r="AU383" s="9"/>
    </row>
    <row r="384">
      <c r="A384" s="54"/>
      <c r="B384" s="71" t="str">
        <f>IFERROR(HYPERLINK(VLOOKUP(A384,Internal_lists_bugs!$A$2:$C$73,3,FALSE()), VLOOKUP(A384,Internal_lists_bugs!$A$2:$C$73,3,FALSE())&amp;Char(10) &amp; Char(10) &amp; VLOOKUP(A384,Internal_lists_bugs!$A$2:$Z$73,26,FALSE())),"please select a BUG ID")</f>
        <v>please select a BUG ID</v>
      </c>
      <c r="C384" s="51" t="str">
        <f>IFERROR(VLOOKUP(A384,Internal_lists_bugs!$A$2:$G2002,7,FALSE()),"please select a BUG ID")</f>
        <v>please select a BUG ID</v>
      </c>
      <c r="D384" s="54"/>
      <c r="E384" s="56"/>
      <c r="F384" s="54"/>
      <c r="G384" s="56"/>
      <c r="H384" s="54"/>
      <c r="I384" s="56"/>
      <c r="J384" s="54"/>
      <c r="K384" s="92"/>
      <c r="L384" s="54"/>
      <c r="M384" s="92"/>
      <c r="N384" s="54"/>
      <c r="O384" s="92"/>
      <c r="P384" s="54"/>
      <c r="Q384" s="92"/>
      <c r="R384" s="54"/>
      <c r="S384" s="92"/>
      <c r="T384" s="117"/>
      <c r="U384" s="92"/>
      <c r="V384" s="54"/>
      <c r="W384" s="92"/>
      <c r="X384" s="54"/>
      <c r="Y384" s="92"/>
      <c r="Z384" s="54"/>
      <c r="AA384" s="92"/>
      <c r="AB384" s="54"/>
      <c r="AC384" s="92"/>
      <c r="AD384" s="54"/>
      <c r="AE384" s="92"/>
      <c r="AF384" s="54"/>
      <c r="AG384" s="92"/>
      <c r="AH384" s="54"/>
      <c r="AI384" s="92"/>
      <c r="AJ384" s="54"/>
      <c r="AK384" s="92"/>
      <c r="AL384" s="54"/>
      <c r="AM384" s="92"/>
      <c r="AO384" s="54"/>
      <c r="AP384" s="123"/>
      <c r="AQ384" s="54"/>
      <c r="AR384" s="154"/>
      <c r="AS384" s="1"/>
      <c r="AT384" s="1"/>
      <c r="AU384" s="9"/>
    </row>
    <row r="385">
      <c r="A385" s="54"/>
      <c r="B385" s="71" t="str">
        <f>IFERROR(HYPERLINK(VLOOKUP(A385,Internal_lists_bugs!$A$2:$C$73,3,FALSE()), VLOOKUP(A385,Internal_lists_bugs!$A$2:$C$73,3,FALSE())&amp;Char(10) &amp; Char(10) &amp; VLOOKUP(A385,Internal_lists_bugs!$A$2:$Z$73,26,FALSE())),"please select a BUG ID")</f>
        <v>please select a BUG ID</v>
      </c>
      <c r="C385" s="51" t="str">
        <f>IFERROR(VLOOKUP(A385,Internal_lists_bugs!$A$2:$G2002,7,FALSE()),"please select a BUG ID")</f>
        <v>please select a BUG ID</v>
      </c>
      <c r="D385" s="54"/>
      <c r="E385" s="56"/>
      <c r="F385" s="54"/>
      <c r="G385" s="56"/>
      <c r="H385" s="54"/>
      <c r="I385" s="56"/>
      <c r="J385" s="54"/>
      <c r="K385" s="92"/>
      <c r="L385" s="54"/>
      <c r="M385" s="92"/>
      <c r="N385" s="54"/>
      <c r="O385" s="92"/>
      <c r="P385" s="54"/>
      <c r="Q385" s="92"/>
      <c r="R385" s="54"/>
      <c r="S385" s="92"/>
      <c r="T385" s="117"/>
      <c r="U385" s="92"/>
      <c r="V385" s="54"/>
      <c r="W385" s="92"/>
      <c r="X385" s="54"/>
      <c r="Y385" s="92"/>
      <c r="Z385" s="54"/>
      <c r="AA385" s="92"/>
      <c r="AB385" s="54"/>
      <c r="AC385" s="92"/>
      <c r="AD385" s="54"/>
      <c r="AE385" s="92"/>
      <c r="AF385" s="54"/>
      <c r="AG385" s="92"/>
      <c r="AH385" s="54"/>
      <c r="AI385" s="92"/>
      <c r="AJ385" s="54"/>
      <c r="AK385" s="92"/>
      <c r="AL385" s="54"/>
      <c r="AM385" s="92"/>
      <c r="AO385" s="54"/>
      <c r="AP385" s="123"/>
      <c r="AQ385" s="54"/>
      <c r="AR385" s="154"/>
      <c r="AS385" s="1"/>
      <c r="AT385" s="1"/>
      <c r="AU385" s="9"/>
    </row>
    <row r="386">
      <c r="A386" s="54"/>
      <c r="B386" s="71" t="str">
        <f>IFERROR(HYPERLINK(VLOOKUP(A386,Internal_lists_bugs!$A$2:$C$73,3,FALSE()), VLOOKUP(A386,Internal_lists_bugs!$A$2:$C$73,3,FALSE())&amp;Char(10) &amp; Char(10) &amp; VLOOKUP(A386,Internal_lists_bugs!$A$2:$Z$73,26,FALSE())),"please select a BUG ID")</f>
        <v>please select a BUG ID</v>
      </c>
      <c r="C386" s="51" t="str">
        <f>IFERROR(VLOOKUP(A386,Internal_lists_bugs!$A$2:$G2002,7,FALSE()),"please select a BUG ID")</f>
        <v>please select a BUG ID</v>
      </c>
      <c r="D386" s="54"/>
      <c r="E386" s="56"/>
      <c r="F386" s="54"/>
      <c r="G386" s="56"/>
      <c r="H386" s="54"/>
      <c r="I386" s="56"/>
      <c r="J386" s="54"/>
      <c r="K386" s="92"/>
      <c r="L386" s="54"/>
      <c r="M386" s="92"/>
      <c r="N386" s="54"/>
      <c r="O386" s="92"/>
      <c r="P386" s="54"/>
      <c r="Q386" s="92"/>
      <c r="R386" s="54"/>
      <c r="S386" s="92"/>
      <c r="T386" s="117"/>
      <c r="U386" s="92"/>
      <c r="V386" s="54"/>
      <c r="W386" s="92"/>
      <c r="X386" s="54"/>
      <c r="Y386" s="92"/>
      <c r="Z386" s="54"/>
      <c r="AA386" s="92"/>
      <c r="AB386" s="54"/>
      <c r="AC386" s="92"/>
      <c r="AD386" s="54"/>
      <c r="AE386" s="92"/>
      <c r="AF386" s="54"/>
      <c r="AG386" s="92"/>
      <c r="AH386" s="54"/>
      <c r="AI386" s="92"/>
      <c r="AJ386" s="54"/>
      <c r="AK386" s="92"/>
      <c r="AL386" s="54"/>
      <c r="AM386" s="92"/>
      <c r="AO386" s="54"/>
      <c r="AP386" s="123"/>
      <c r="AQ386" s="54"/>
      <c r="AR386" s="154"/>
      <c r="AS386" s="1"/>
      <c r="AT386" s="1"/>
      <c r="AU386" s="9"/>
    </row>
    <row r="387">
      <c r="A387" s="54"/>
      <c r="B387" s="71" t="str">
        <f>IFERROR(HYPERLINK(VLOOKUP(A387,Internal_lists_bugs!$A$2:$C$73,3,FALSE()), VLOOKUP(A387,Internal_lists_bugs!$A$2:$C$73,3,FALSE())&amp;Char(10) &amp; Char(10) &amp; VLOOKUP(A387,Internal_lists_bugs!$A$2:$Z$73,26,FALSE())),"please select a BUG ID")</f>
        <v>please select a BUG ID</v>
      </c>
      <c r="C387" s="51" t="str">
        <f>IFERROR(VLOOKUP(A387,Internal_lists_bugs!$A$2:$G2002,7,FALSE()),"please select a BUG ID")</f>
        <v>please select a BUG ID</v>
      </c>
      <c r="D387" s="54"/>
      <c r="E387" s="56"/>
      <c r="F387" s="54"/>
      <c r="G387" s="56"/>
      <c r="H387" s="54"/>
      <c r="I387" s="56"/>
      <c r="J387" s="54"/>
      <c r="K387" s="92"/>
      <c r="L387" s="54"/>
      <c r="M387" s="92"/>
      <c r="N387" s="54"/>
      <c r="O387" s="92"/>
      <c r="P387" s="54"/>
      <c r="Q387" s="92"/>
      <c r="R387" s="54"/>
      <c r="S387" s="92"/>
      <c r="T387" s="117"/>
      <c r="U387" s="92"/>
      <c r="V387" s="54"/>
      <c r="W387" s="92"/>
      <c r="X387" s="54"/>
      <c r="Y387" s="92"/>
      <c r="Z387" s="54"/>
      <c r="AA387" s="92"/>
      <c r="AB387" s="54"/>
      <c r="AC387" s="92"/>
      <c r="AD387" s="54"/>
      <c r="AE387" s="92"/>
      <c r="AF387" s="54"/>
      <c r="AG387" s="92"/>
      <c r="AH387" s="54"/>
      <c r="AI387" s="92"/>
      <c r="AJ387" s="54"/>
      <c r="AK387" s="92"/>
      <c r="AL387" s="54"/>
      <c r="AM387" s="92"/>
      <c r="AO387" s="54"/>
      <c r="AP387" s="123"/>
      <c r="AQ387" s="54"/>
      <c r="AR387" s="154"/>
      <c r="AS387" s="1"/>
      <c r="AT387" s="1"/>
      <c r="AU387" s="9"/>
    </row>
    <row r="388">
      <c r="A388" s="54"/>
      <c r="B388" s="71" t="str">
        <f>IFERROR(HYPERLINK(VLOOKUP(A388,Internal_lists_bugs!$A$2:$C$73,3,FALSE()), VLOOKUP(A388,Internal_lists_bugs!$A$2:$C$73,3,FALSE())&amp;Char(10) &amp; Char(10) &amp; VLOOKUP(A388,Internal_lists_bugs!$A$2:$Z$73,26,FALSE())),"please select a BUG ID")</f>
        <v>please select a BUG ID</v>
      </c>
      <c r="C388" s="51" t="str">
        <f>IFERROR(VLOOKUP(A388,Internal_lists_bugs!$A$2:$G2002,7,FALSE()),"please select a BUG ID")</f>
        <v>please select a BUG ID</v>
      </c>
      <c r="D388" s="54"/>
      <c r="E388" s="56"/>
      <c r="F388" s="54"/>
      <c r="G388" s="56"/>
      <c r="H388" s="54"/>
      <c r="I388" s="56"/>
      <c r="J388" s="54"/>
      <c r="K388" s="92"/>
      <c r="L388" s="54"/>
      <c r="M388" s="92"/>
      <c r="N388" s="54"/>
      <c r="O388" s="92"/>
      <c r="P388" s="54"/>
      <c r="Q388" s="92"/>
      <c r="R388" s="54"/>
      <c r="S388" s="92"/>
      <c r="T388" s="117"/>
      <c r="U388" s="92"/>
      <c r="V388" s="54"/>
      <c r="W388" s="92"/>
      <c r="X388" s="54"/>
      <c r="Y388" s="92"/>
      <c r="Z388" s="54"/>
      <c r="AA388" s="92"/>
      <c r="AB388" s="54"/>
      <c r="AC388" s="92"/>
      <c r="AD388" s="54"/>
      <c r="AE388" s="92"/>
      <c r="AF388" s="54"/>
      <c r="AG388" s="92"/>
      <c r="AH388" s="54"/>
      <c r="AI388" s="92"/>
      <c r="AJ388" s="54"/>
      <c r="AK388" s="92"/>
      <c r="AL388" s="54"/>
      <c r="AM388" s="92"/>
      <c r="AO388" s="54"/>
      <c r="AP388" s="123"/>
      <c r="AQ388" s="54"/>
      <c r="AR388" s="154"/>
      <c r="AS388" s="1"/>
      <c r="AT388" s="1"/>
      <c r="AU388" s="9"/>
    </row>
    <row r="389">
      <c r="A389" s="54"/>
      <c r="B389" s="71" t="str">
        <f>IFERROR(HYPERLINK(VLOOKUP(A389,Internal_lists_bugs!$A$2:$C$73,3,FALSE()), VLOOKUP(A389,Internal_lists_bugs!$A$2:$C$73,3,FALSE())&amp;Char(10) &amp; Char(10) &amp; VLOOKUP(A389,Internal_lists_bugs!$A$2:$Z$73,26,FALSE())),"please select a BUG ID")</f>
        <v>please select a BUG ID</v>
      </c>
      <c r="C389" s="51" t="str">
        <f>IFERROR(VLOOKUP(A389,Internal_lists_bugs!$A$2:$G2002,7,FALSE()),"please select a BUG ID")</f>
        <v>please select a BUG ID</v>
      </c>
      <c r="D389" s="54"/>
      <c r="E389" s="56"/>
      <c r="F389" s="54"/>
      <c r="G389" s="56"/>
      <c r="H389" s="54"/>
      <c r="I389" s="56"/>
      <c r="J389" s="54"/>
      <c r="K389" s="92"/>
      <c r="L389" s="54"/>
      <c r="M389" s="92"/>
      <c r="N389" s="54"/>
      <c r="O389" s="92"/>
      <c r="P389" s="54"/>
      <c r="Q389" s="92"/>
      <c r="R389" s="54"/>
      <c r="S389" s="92"/>
      <c r="T389" s="117"/>
      <c r="U389" s="92"/>
      <c r="V389" s="54"/>
      <c r="W389" s="92"/>
      <c r="X389" s="54"/>
      <c r="Y389" s="92"/>
      <c r="Z389" s="54"/>
      <c r="AA389" s="92"/>
      <c r="AB389" s="54"/>
      <c r="AC389" s="92"/>
      <c r="AD389" s="54"/>
      <c r="AE389" s="92"/>
      <c r="AF389" s="54"/>
      <c r="AG389" s="92"/>
      <c r="AH389" s="54"/>
      <c r="AI389" s="92"/>
      <c r="AJ389" s="54"/>
      <c r="AK389" s="92"/>
      <c r="AL389" s="54"/>
      <c r="AM389" s="92"/>
      <c r="AO389" s="54"/>
      <c r="AP389" s="123"/>
      <c r="AQ389" s="54"/>
      <c r="AR389" s="154"/>
      <c r="AS389" s="1"/>
      <c r="AT389" s="1"/>
      <c r="AU389" s="9"/>
    </row>
    <row r="390">
      <c r="A390" s="54"/>
      <c r="B390" s="71" t="str">
        <f>IFERROR(HYPERLINK(VLOOKUP(A390,Internal_lists_bugs!$A$2:$C$73,3,FALSE()), VLOOKUP(A390,Internal_lists_bugs!$A$2:$C$73,3,FALSE())&amp;Char(10) &amp; Char(10) &amp; VLOOKUP(A390,Internal_lists_bugs!$A$2:$Z$73,26,FALSE())),"please select a BUG ID")</f>
        <v>please select a BUG ID</v>
      </c>
      <c r="C390" s="51" t="str">
        <f>IFERROR(VLOOKUP(A390,Internal_lists_bugs!$A$2:$G2002,7,FALSE()),"please select a BUG ID")</f>
        <v>please select a BUG ID</v>
      </c>
      <c r="D390" s="54"/>
      <c r="E390" s="56"/>
      <c r="F390" s="54"/>
      <c r="G390" s="56"/>
      <c r="H390" s="54"/>
      <c r="I390" s="56"/>
      <c r="J390" s="54"/>
      <c r="K390" s="92"/>
      <c r="L390" s="54"/>
      <c r="M390" s="92"/>
      <c r="N390" s="54"/>
      <c r="O390" s="92"/>
      <c r="P390" s="54"/>
      <c r="Q390" s="92"/>
      <c r="R390" s="54"/>
      <c r="S390" s="92"/>
      <c r="T390" s="117"/>
      <c r="U390" s="92"/>
      <c r="V390" s="54"/>
      <c r="W390" s="92"/>
      <c r="X390" s="54"/>
      <c r="Y390" s="92"/>
      <c r="Z390" s="54"/>
      <c r="AA390" s="92"/>
      <c r="AB390" s="54"/>
      <c r="AC390" s="92"/>
      <c r="AD390" s="54"/>
      <c r="AE390" s="92"/>
      <c r="AF390" s="54"/>
      <c r="AG390" s="92"/>
      <c r="AH390" s="54"/>
      <c r="AI390" s="92"/>
      <c r="AJ390" s="54"/>
      <c r="AK390" s="92"/>
      <c r="AL390" s="54"/>
      <c r="AM390" s="92"/>
      <c r="AO390" s="54"/>
      <c r="AP390" s="123"/>
      <c r="AQ390" s="54"/>
      <c r="AR390" s="154"/>
      <c r="AS390" s="1"/>
      <c r="AT390" s="1"/>
      <c r="AU390" s="9"/>
    </row>
    <row r="391">
      <c r="A391" s="54"/>
      <c r="B391" s="71" t="str">
        <f>IFERROR(HYPERLINK(VLOOKUP(A391,Internal_lists_bugs!$A$2:$C$73,3,FALSE()), VLOOKUP(A391,Internal_lists_bugs!$A$2:$C$73,3,FALSE())&amp;Char(10) &amp; Char(10) &amp; VLOOKUP(A391,Internal_lists_bugs!$A$2:$Z$73,26,FALSE())),"please select a BUG ID")</f>
        <v>please select a BUG ID</v>
      </c>
      <c r="C391" s="51" t="str">
        <f>IFERROR(VLOOKUP(A391,Internal_lists_bugs!$A$2:$G2002,7,FALSE()),"please select a BUG ID")</f>
        <v>please select a BUG ID</v>
      </c>
      <c r="D391" s="54"/>
      <c r="E391" s="56"/>
      <c r="F391" s="54"/>
      <c r="G391" s="56"/>
      <c r="H391" s="54"/>
      <c r="I391" s="56"/>
      <c r="J391" s="54"/>
      <c r="K391" s="92"/>
      <c r="L391" s="54"/>
      <c r="M391" s="92"/>
      <c r="N391" s="54"/>
      <c r="O391" s="92"/>
      <c r="P391" s="54"/>
      <c r="Q391" s="92"/>
      <c r="R391" s="54"/>
      <c r="S391" s="92"/>
      <c r="T391" s="117"/>
      <c r="U391" s="92"/>
      <c r="V391" s="54"/>
      <c r="W391" s="92"/>
      <c r="X391" s="54"/>
      <c r="Y391" s="92"/>
      <c r="Z391" s="54"/>
      <c r="AA391" s="92"/>
      <c r="AB391" s="54"/>
      <c r="AC391" s="92"/>
      <c r="AD391" s="54"/>
      <c r="AE391" s="92"/>
      <c r="AF391" s="54"/>
      <c r="AG391" s="92"/>
      <c r="AH391" s="54"/>
      <c r="AI391" s="92"/>
      <c r="AJ391" s="54"/>
      <c r="AK391" s="92"/>
      <c r="AL391" s="54"/>
      <c r="AM391" s="92"/>
      <c r="AO391" s="54"/>
      <c r="AP391" s="123"/>
      <c r="AQ391" s="54"/>
      <c r="AR391" s="154"/>
      <c r="AS391" s="1"/>
      <c r="AT391" s="1"/>
      <c r="AU391" s="9"/>
    </row>
    <row r="392">
      <c r="A392" s="54"/>
      <c r="B392" s="71" t="str">
        <f>IFERROR(HYPERLINK(VLOOKUP(A392,Internal_lists_bugs!$A$2:$C$73,3,FALSE()), VLOOKUP(A392,Internal_lists_bugs!$A$2:$C$73,3,FALSE())&amp;Char(10) &amp; Char(10) &amp; VLOOKUP(A392,Internal_lists_bugs!$A$2:$Z$73,26,FALSE())),"please select a BUG ID")</f>
        <v>please select a BUG ID</v>
      </c>
      <c r="C392" s="51" t="str">
        <f>IFERROR(VLOOKUP(A392,Internal_lists_bugs!$A$2:$G2002,7,FALSE()),"please select a BUG ID")</f>
        <v>please select a BUG ID</v>
      </c>
      <c r="D392" s="54"/>
      <c r="E392" s="56"/>
      <c r="F392" s="54"/>
      <c r="G392" s="56"/>
      <c r="H392" s="54"/>
      <c r="I392" s="56"/>
      <c r="J392" s="54"/>
      <c r="K392" s="92"/>
      <c r="L392" s="54"/>
      <c r="M392" s="92"/>
      <c r="N392" s="54"/>
      <c r="O392" s="92"/>
      <c r="P392" s="54"/>
      <c r="Q392" s="92"/>
      <c r="R392" s="54"/>
      <c r="S392" s="92"/>
      <c r="T392" s="117"/>
      <c r="U392" s="92"/>
      <c r="V392" s="54"/>
      <c r="W392" s="92"/>
      <c r="X392" s="54"/>
      <c r="Y392" s="92"/>
      <c r="Z392" s="54"/>
      <c r="AA392" s="92"/>
      <c r="AB392" s="54"/>
      <c r="AC392" s="92"/>
      <c r="AD392" s="54"/>
      <c r="AE392" s="92"/>
      <c r="AF392" s="54"/>
      <c r="AG392" s="92"/>
      <c r="AH392" s="54"/>
      <c r="AI392" s="92"/>
      <c r="AJ392" s="54"/>
      <c r="AK392" s="92"/>
      <c r="AL392" s="54"/>
      <c r="AM392" s="92"/>
      <c r="AO392" s="54"/>
      <c r="AP392" s="123"/>
      <c r="AQ392" s="54"/>
      <c r="AR392" s="154"/>
      <c r="AS392" s="1"/>
      <c r="AT392" s="1"/>
      <c r="AU392" s="9"/>
    </row>
    <row r="393">
      <c r="A393" s="54"/>
      <c r="B393" s="71" t="str">
        <f>IFERROR(HYPERLINK(VLOOKUP(A393,Internal_lists_bugs!$A$2:$C$73,3,FALSE()), VLOOKUP(A393,Internal_lists_bugs!$A$2:$C$73,3,FALSE())&amp;Char(10) &amp; Char(10) &amp; VLOOKUP(A393,Internal_lists_bugs!$A$2:$Z$73,26,FALSE())),"please select a BUG ID")</f>
        <v>please select a BUG ID</v>
      </c>
      <c r="C393" s="51" t="str">
        <f>IFERROR(VLOOKUP(A393,Internal_lists_bugs!$A$2:$G2002,7,FALSE()),"please select a BUG ID")</f>
        <v>please select a BUG ID</v>
      </c>
      <c r="D393" s="54"/>
      <c r="E393" s="56"/>
      <c r="F393" s="54"/>
      <c r="G393" s="56"/>
      <c r="H393" s="54"/>
      <c r="I393" s="56"/>
      <c r="J393" s="54"/>
      <c r="K393" s="92"/>
      <c r="L393" s="54"/>
      <c r="M393" s="92"/>
      <c r="N393" s="54"/>
      <c r="O393" s="92"/>
      <c r="P393" s="54"/>
      <c r="Q393" s="92"/>
      <c r="R393" s="54"/>
      <c r="S393" s="92"/>
      <c r="T393" s="117"/>
      <c r="U393" s="92"/>
      <c r="V393" s="54"/>
      <c r="W393" s="92"/>
      <c r="X393" s="54"/>
      <c r="Y393" s="92"/>
      <c r="Z393" s="54"/>
      <c r="AA393" s="92"/>
      <c r="AB393" s="54"/>
      <c r="AC393" s="92"/>
      <c r="AD393" s="54"/>
      <c r="AE393" s="92"/>
      <c r="AF393" s="54"/>
      <c r="AG393" s="92"/>
      <c r="AH393" s="54"/>
      <c r="AI393" s="92"/>
      <c r="AJ393" s="54"/>
      <c r="AK393" s="92"/>
      <c r="AL393" s="54"/>
      <c r="AM393" s="92"/>
      <c r="AO393" s="54"/>
      <c r="AP393" s="123"/>
      <c r="AQ393" s="54"/>
      <c r="AR393" s="154"/>
      <c r="AS393" s="1"/>
      <c r="AT393" s="1"/>
      <c r="AU393" s="9"/>
    </row>
    <row r="394">
      <c r="A394" s="54"/>
      <c r="B394" s="71" t="str">
        <f>IFERROR(HYPERLINK(VLOOKUP(A394,Internal_lists_bugs!$A$2:$C$73,3,FALSE()), VLOOKUP(A394,Internal_lists_bugs!$A$2:$C$73,3,FALSE())&amp;Char(10) &amp; Char(10) &amp; VLOOKUP(A394,Internal_lists_bugs!$A$2:$Z$73,26,FALSE())),"please select a BUG ID")</f>
        <v>please select a BUG ID</v>
      </c>
      <c r="C394" s="51" t="str">
        <f>IFERROR(VLOOKUP(A394,Internal_lists_bugs!$A$2:$G2002,7,FALSE()),"please select a BUG ID")</f>
        <v>please select a BUG ID</v>
      </c>
      <c r="D394" s="54"/>
      <c r="E394" s="56"/>
      <c r="F394" s="54"/>
      <c r="G394" s="56"/>
      <c r="H394" s="54"/>
      <c r="I394" s="56"/>
      <c r="J394" s="54"/>
      <c r="K394" s="92"/>
      <c r="L394" s="54"/>
      <c r="M394" s="92"/>
      <c r="N394" s="54"/>
      <c r="O394" s="92"/>
      <c r="P394" s="54"/>
      <c r="Q394" s="92"/>
      <c r="R394" s="54"/>
      <c r="S394" s="92"/>
      <c r="T394" s="117"/>
      <c r="U394" s="92"/>
      <c r="V394" s="54"/>
      <c r="W394" s="92"/>
      <c r="X394" s="54"/>
      <c r="Y394" s="92"/>
      <c r="Z394" s="54"/>
      <c r="AA394" s="92"/>
      <c r="AB394" s="54"/>
      <c r="AC394" s="92"/>
      <c r="AD394" s="54"/>
      <c r="AE394" s="92"/>
      <c r="AF394" s="54"/>
      <c r="AG394" s="92"/>
      <c r="AH394" s="54"/>
      <c r="AI394" s="92"/>
      <c r="AJ394" s="54"/>
      <c r="AK394" s="92"/>
      <c r="AL394" s="54"/>
      <c r="AM394" s="92"/>
      <c r="AO394" s="54"/>
      <c r="AP394" s="123"/>
      <c r="AQ394" s="54"/>
      <c r="AR394" s="154"/>
      <c r="AS394" s="1"/>
      <c r="AT394" s="1"/>
      <c r="AU394" s="9"/>
    </row>
    <row r="395">
      <c r="A395" s="54"/>
      <c r="B395" s="71" t="str">
        <f>IFERROR(HYPERLINK(VLOOKUP(A395,Internal_lists_bugs!$A$2:$C$73,3,FALSE()), VLOOKUP(A395,Internal_lists_bugs!$A$2:$C$73,3,FALSE())&amp;Char(10) &amp; Char(10) &amp; VLOOKUP(A395,Internal_lists_bugs!$A$2:$Z$73,26,FALSE())),"please select a BUG ID")</f>
        <v>please select a BUG ID</v>
      </c>
      <c r="C395" s="51" t="str">
        <f>IFERROR(VLOOKUP(A395,Internal_lists_bugs!$A$2:$G2002,7,FALSE()),"please select a BUG ID")</f>
        <v>please select a BUG ID</v>
      </c>
      <c r="D395" s="54"/>
      <c r="E395" s="56"/>
      <c r="F395" s="54"/>
      <c r="G395" s="56"/>
      <c r="H395" s="54"/>
      <c r="I395" s="56"/>
      <c r="J395" s="54"/>
      <c r="K395" s="92"/>
      <c r="L395" s="54"/>
      <c r="M395" s="92"/>
      <c r="N395" s="54"/>
      <c r="O395" s="92"/>
      <c r="P395" s="54"/>
      <c r="Q395" s="92"/>
      <c r="R395" s="54"/>
      <c r="S395" s="92"/>
      <c r="T395" s="117"/>
      <c r="U395" s="92"/>
      <c r="V395" s="54"/>
      <c r="W395" s="92"/>
      <c r="X395" s="54"/>
      <c r="Y395" s="92"/>
      <c r="Z395" s="54"/>
      <c r="AA395" s="92"/>
      <c r="AB395" s="54"/>
      <c r="AC395" s="92"/>
      <c r="AD395" s="54"/>
      <c r="AE395" s="92"/>
      <c r="AF395" s="54"/>
      <c r="AG395" s="92"/>
      <c r="AH395" s="54"/>
      <c r="AI395" s="92"/>
      <c r="AJ395" s="54"/>
      <c r="AK395" s="92"/>
      <c r="AL395" s="54"/>
      <c r="AM395" s="92"/>
      <c r="AO395" s="54"/>
      <c r="AP395" s="123"/>
      <c r="AQ395" s="54"/>
      <c r="AR395" s="154"/>
      <c r="AS395" s="1"/>
      <c r="AT395" s="1"/>
      <c r="AU395" s="9"/>
    </row>
    <row r="396">
      <c r="A396" s="54"/>
      <c r="B396" s="71" t="str">
        <f>IFERROR(HYPERLINK(VLOOKUP(A396,Internal_lists_bugs!$A$2:$C$73,3,FALSE()), VLOOKUP(A396,Internal_lists_bugs!$A$2:$C$73,3,FALSE())&amp;Char(10) &amp; Char(10) &amp; VLOOKUP(A396,Internal_lists_bugs!$A$2:$Z$73,26,FALSE())),"please select a BUG ID")</f>
        <v>please select a BUG ID</v>
      </c>
      <c r="C396" s="51" t="str">
        <f>IFERROR(VLOOKUP(A396,Internal_lists_bugs!$A$2:$G2002,7,FALSE()),"please select a BUG ID")</f>
        <v>please select a BUG ID</v>
      </c>
      <c r="D396" s="54"/>
      <c r="E396" s="56"/>
      <c r="F396" s="54"/>
      <c r="G396" s="56"/>
      <c r="H396" s="54"/>
      <c r="I396" s="56"/>
      <c r="J396" s="54"/>
      <c r="K396" s="92"/>
      <c r="L396" s="54"/>
      <c r="M396" s="92"/>
      <c r="N396" s="54"/>
      <c r="O396" s="92"/>
      <c r="P396" s="54"/>
      <c r="Q396" s="92"/>
      <c r="R396" s="54"/>
      <c r="S396" s="92"/>
      <c r="T396" s="117"/>
      <c r="U396" s="92"/>
      <c r="V396" s="54"/>
      <c r="W396" s="92"/>
      <c r="X396" s="54"/>
      <c r="Y396" s="92"/>
      <c r="Z396" s="54"/>
      <c r="AA396" s="92"/>
      <c r="AB396" s="54"/>
      <c r="AC396" s="92"/>
      <c r="AD396" s="54"/>
      <c r="AE396" s="92"/>
      <c r="AF396" s="54"/>
      <c r="AG396" s="92"/>
      <c r="AH396" s="54"/>
      <c r="AI396" s="92"/>
      <c r="AJ396" s="54"/>
      <c r="AK396" s="92"/>
      <c r="AL396" s="54"/>
      <c r="AM396" s="92"/>
      <c r="AO396" s="54"/>
      <c r="AP396" s="123"/>
      <c r="AQ396" s="54"/>
      <c r="AR396" s="154"/>
      <c r="AS396" s="1"/>
      <c r="AT396" s="1"/>
      <c r="AU396" s="9"/>
    </row>
    <row r="397">
      <c r="A397" s="54"/>
      <c r="B397" s="71" t="str">
        <f>IFERROR(HYPERLINK(VLOOKUP(A397,Internal_lists_bugs!$A$2:$C$73,3,FALSE()), VLOOKUP(A397,Internal_lists_bugs!$A$2:$C$73,3,FALSE())&amp;Char(10) &amp; Char(10) &amp; VLOOKUP(A397,Internal_lists_bugs!$A$2:$Z$73,26,FALSE())),"please select a BUG ID")</f>
        <v>please select a BUG ID</v>
      </c>
      <c r="C397" s="51" t="str">
        <f>IFERROR(VLOOKUP(A397,Internal_lists_bugs!$A$2:$G2002,7,FALSE()),"please select a BUG ID")</f>
        <v>please select a BUG ID</v>
      </c>
      <c r="D397" s="54"/>
      <c r="E397" s="56"/>
      <c r="F397" s="54"/>
      <c r="G397" s="56"/>
      <c r="H397" s="54"/>
      <c r="I397" s="56"/>
      <c r="J397" s="54"/>
      <c r="K397" s="92"/>
      <c r="L397" s="54"/>
      <c r="M397" s="92"/>
      <c r="N397" s="54"/>
      <c r="O397" s="92"/>
      <c r="P397" s="54"/>
      <c r="Q397" s="92"/>
      <c r="R397" s="54"/>
      <c r="S397" s="92"/>
      <c r="T397" s="117"/>
      <c r="U397" s="92"/>
      <c r="V397" s="54"/>
      <c r="W397" s="92"/>
      <c r="X397" s="54"/>
      <c r="Y397" s="92"/>
      <c r="Z397" s="54"/>
      <c r="AA397" s="92"/>
      <c r="AB397" s="54"/>
      <c r="AC397" s="92"/>
      <c r="AD397" s="54"/>
      <c r="AE397" s="92"/>
      <c r="AF397" s="54"/>
      <c r="AG397" s="92"/>
      <c r="AH397" s="54"/>
      <c r="AI397" s="92"/>
      <c r="AJ397" s="54"/>
      <c r="AK397" s="92"/>
      <c r="AL397" s="54"/>
      <c r="AM397" s="92"/>
      <c r="AO397" s="54"/>
      <c r="AP397" s="123"/>
      <c r="AQ397" s="54"/>
      <c r="AR397" s="154"/>
      <c r="AS397" s="1"/>
      <c r="AT397" s="1"/>
      <c r="AU397" s="9"/>
    </row>
    <row r="398">
      <c r="A398" s="54"/>
      <c r="B398" s="71" t="str">
        <f>IFERROR(HYPERLINK(VLOOKUP(A398,Internal_lists_bugs!$A$2:$C$73,3,FALSE()), VLOOKUP(A398,Internal_lists_bugs!$A$2:$C$73,3,FALSE())&amp;Char(10) &amp; Char(10) &amp; VLOOKUP(A398,Internal_lists_bugs!$A$2:$Z$73,26,FALSE())),"please select a BUG ID")</f>
        <v>please select a BUG ID</v>
      </c>
      <c r="C398" s="51" t="str">
        <f>IFERROR(VLOOKUP(A398,Internal_lists_bugs!$A$2:$G2002,7,FALSE()),"please select a BUG ID")</f>
        <v>please select a BUG ID</v>
      </c>
      <c r="D398" s="54"/>
      <c r="E398" s="56"/>
      <c r="F398" s="54"/>
      <c r="G398" s="56"/>
      <c r="H398" s="54"/>
      <c r="I398" s="56"/>
      <c r="J398" s="54"/>
      <c r="K398" s="92"/>
      <c r="L398" s="54"/>
      <c r="M398" s="92"/>
      <c r="N398" s="54"/>
      <c r="O398" s="92"/>
      <c r="P398" s="54"/>
      <c r="Q398" s="92"/>
      <c r="R398" s="54"/>
      <c r="S398" s="92"/>
      <c r="T398" s="117"/>
      <c r="U398" s="92"/>
      <c r="V398" s="54"/>
      <c r="W398" s="92"/>
      <c r="X398" s="54"/>
      <c r="Y398" s="92"/>
      <c r="Z398" s="54"/>
      <c r="AA398" s="92"/>
      <c r="AB398" s="54"/>
      <c r="AC398" s="92"/>
      <c r="AD398" s="54"/>
      <c r="AE398" s="92"/>
      <c r="AF398" s="54"/>
      <c r="AG398" s="92"/>
      <c r="AH398" s="54"/>
      <c r="AI398" s="92"/>
      <c r="AJ398" s="54"/>
      <c r="AK398" s="92"/>
      <c r="AL398" s="54"/>
      <c r="AM398" s="92"/>
      <c r="AO398" s="54"/>
      <c r="AP398" s="123"/>
      <c r="AQ398" s="54"/>
      <c r="AR398" s="154"/>
      <c r="AS398" s="1"/>
      <c r="AT398" s="1"/>
      <c r="AU398" s="9"/>
    </row>
    <row r="399">
      <c r="A399" s="54"/>
      <c r="B399" s="71" t="str">
        <f>IFERROR(HYPERLINK(VLOOKUP(A399,Internal_lists_bugs!$A$2:$C$73,3,FALSE()), VLOOKUP(A399,Internal_lists_bugs!$A$2:$C$73,3,FALSE())&amp;Char(10) &amp; Char(10) &amp; VLOOKUP(A399,Internal_lists_bugs!$A$2:$Z$73,26,FALSE())),"please select a BUG ID")</f>
        <v>please select a BUG ID</v>
      </c>
      <c r="C399" s="51" t="str">
        <f>IFERROR(VLOOKUP(A399,Internal_lists_bugs!$A$2:$G2002,7,FALSE()),"please select a BUG ID")</f>
        <v>please select a BUG ID</v>
      </c>
      <c r="D399" s="54"/>
      <c r="E399" s="56"/>
      <c r="F399" s="54"/>
      <c r="G399" s="56"/>
      <c r="H399" s="54"/>
      <c r="I399" s="56"/>
      <c r="J399" s="54"/>
      <c r="K399" s="92"/>
      <c r="L399" s="54"/>
      <c r="M399" s="92"/>
      <c r="N399" s="54"/>
      <c r="O399" s="92"/>
      <c r="P399" s="54"/>
      <c r="Q399" s="92"/>
      <c r="R399" s="54"/>
      <c r="S399" s="92"/>
      <c r="T399" s="117"/>
      <c r="U399" s="92"/>
      <c r="V399" s="54"/>
      <c r="W399" s="92"/>
      <c r="X399" s="54"/>
      <c r="Y399" s="92"/>
      <c r="Z399" s="54"/>
      <c r="AA399" s="92"/>
      <c r="AB399" s="54"/>
      <c r="AC399" s="92"/>
      <c r="AD399" s="54"/>
      <c r="AE399" s="92"/>
      <c r="AF399" s="54"/>
      <c r="AG399" s="92"/>
      <c r="AH399" s="54"/>
      <c r="AI399" s="92"/>
      <c r="AJ399" s="54"/>
      <c r="AK399" s="92"/>
      <c r="AL399" s="54"/>
      <c r="AM399" s="92"/>
      <c r="AO399" s="54"/>
      <c r="AP399" s="123"/>
      <c r="AQ399" s="54"/>
      <c r="AR399" s="154"/>
      <c r="AS399" s="1"/>
      <c r="AT399" s="1"/>
      <c r="AU399" s="9"/>
    </row>
    <row r="400">
      <c r="A400" s="54"/>
      <c r="B400" s="71" t="str">
        <f>IFERROR(HYPERLINK(VLOOKUP(A400,Internal_lists_bugs!$A$2:$C$73,3,FALSE()), VLOOKUP(A400,Internal_lists_bugs!$A$2:$C$73,3,FALSE())&amp;Char(10) &amp; Char(10) &amp; VLOOKUP(A400,Internal_lists_bugs!$A$2:$Z$73,26,FALSE())),"please select a BUG ID")</f>
        <v>please select a BUG ID</v>
      </c>
      <c r="C400" s="51" t="str">
        <f>IFERROR(VLOOKUP(A400,Internal_lists_bugs!$A$2:$G2002,7,FALSE()),"please select a BUG ID")</f>
        <v>please select a BUG ID</v>
      </c>
      <c r="D400" s="54"/>
      <c r="E400" s="56"/>
      <c r="F400" s="54"/>
      <c r="G400" s="56"/>
      <c r="H400" s="54"/>
      <c r="I400" s="56"/>
      <c r="J400" s="54"/>
      <c r="K400" s="92"/>
      <c r="L400" s="54"/>
      <c r="M400" s="92"/>
      <c r="N400" s="54"/>
      <c r="O400" s="92"/>
      <c r="P400" s="54"/>
      <c r="Q400" s="92"/>
      <c r="R400" s="54"/>
      <c r="S400" s="92"/>
      <c r="T400" s="117"/>
      <c r="U400" s="92"/>
      <c r="V400" s="54"/>
      <c r="W400" s="92"/>
      <c r="X400" s="54"/>
      <c r="Y400" s="92"/>
      <c r="Z400" s="54"/>
      <c r="AA400" s="92"/>
      <c r="AB400" s="54"/>
      <c r="AC400" s="92"/>
      <c r="AD400" s="54"/>
      <c r="AE400" s="92"/>
      <c r="AF400" s="54"/>
      <c r="AG400" s="92"/>
      <c r="AH400" s="54"/>
      <c r="AI400" s="92"/>
      <c r="AJ400" s="54"/>
      <c r="AK400" s="92"/>
      <c r="AL400" s="54"/>
      <c r="AM400" s="92"/>
      <c r="AO400" s="54"/>
      <c r="AP400" s="123"/>
      <c r="AQ400" s="54"/>
      <c r="AR400" s="154"/>
      <c r="AS400" s="1"/>
      <c r="AT400" s="1"/>
      <c r="AU400" s="9"/>
    </row>
    <row r="401">
      <c r="A401" s="54"/>
      <c r="B401" s="71" t="str">
        <f>IFERROR(HYPERLINK(VLOOKUP(A401,Internal_lists_bugs!$A$2:$C$73,3,FALSE()), VLOOKUP(A401,Internal_lists_bugs!$A$2:$C$73,3,FALSE())&amp;Char(10) &amp; Char(10) &amp; VLOOKUP(A401,Internal_lists_bugs!$A$2:$Z$73,26,FALSE())),"please select a BUG ID")</f>
        <v>please select a BUG ID</v>
      </c>
      <c r="C401" s="51" t="str">
        <f>IFERROR(VLOOKUP(A401,Internal_lists_bugs!$A$2:$G2002,7,FALSE()),"please select a BUG ID")</f>
        <v>please select a BUG ID</v>
      </c>
      <c r="D401" s="54"/>
      <c r="E401" s="56"/>
      <c r="F401" s="54"/>
      <c r="G401" s="56"/>
      <c r="H401" s="54"/>
      <c r="I401" s="56"/>
      <c r="J401" s="54"/>
      <c r="K401" s="92"/>
      <c r="L401" s="54"/>
      <c r="M401" s="92"/>
      <c r="N401" s="54"/>
      <c r="O401" s="92"/>
      <c r="P401" s="54"/>
      <c r="Q401" s="92"/>
      <c r="R401" s="54"/>
      <c r="S401" s="92"/>
      <c r="T401" s="117"/>
      <c r="U401" s="92"/>
      <c r="V401" s="54"/>
      <c r="W401" s="92"/>
      <c r="X401" s="54"/>
      <c r="Y401" s="92"/>
      <c r="Z401" s="54"/>
      <c r="AA401" s="92"/>
      <c r="AB401" s="54"/>
      <c r="AC401" s="92"/>
      <c r="AD401" s="54"/>
      <c r="AE401" s="92"/>
      <c r="AF401" s="54"/>
      <c r="AG401" s="92"/>
      <c r="AH401" s="54"/>
      <c r="AI401" s="92"/>
      <c r="AJ401" s="54"/>
      <c r="AK401" s="92"/>
      <c r="AL401" s="54"/>
      <c r="AM401" s="92"/>
      <c r="AO401" s="54"/>
      <c r="AP401" s="123"/>
      <c r="AQ401" s="54"/>
      <c r="AR401" s="154"/>
      <c r="AS401" s="1"/>
      <c r="AT401" s="1"/>
      <c r="AU401" s="9"/>
    </row>
    <row r="402">
      <c r="A402" s="54"/>
      <c r="B402" s="71" t="str">
        <f>IFERROR(HYPERLINK(VLOOKUP(A402,Internal_lists_bugs!$A$2:$C$73,3,FALSE()), VLOOKUP(A402,Internal_lists_bugs!$A$2:$C$73,3,FALSE())&amp;Char(10) &amp; Char(10) &amp; VLOOKUP(A402,Internal_lists_bugs!$A$2:$Z$73,26,FALSE())),"please select a BUG ID")</f>
        <v>please select a BUG ID</v>
      </c>
      <c r="C402" s="51" t="str">
        <f>IFERROR(VLOOKUP(A402,Internal_lists_bugs!$A$2:$G2002,7,FALSE()),"please select a BUG ID")</f>
        <v>please select a BUG ID</v>
      </c>
      <c r="D402" s="54"/>
      <c r="E402" s="56"/>
      <c r="F402" s="54"/>
      <c r="G402" s="56"/>
      <c r="H402" s="54"/>
      <c r="I402" s="56"/>
      <c r="J402" s="54"/>
      <c r="K402" s="92"/>
      <c r="L402" s="54"/>
      <c r="M402" s="92"/>
      <c r="N402" s="54"/>
      <c r="O402" s="92"/>
      <c r="P402" s="54"/>
      <c r="Q402" s="92"/>
      <c r="R402" s="54"/>
      <c r="S402" s="92"/>
      <c r="T402" s="117"/>
      <c r="U402" s="92"/>
      <c r="V402" s="54"/>
      <c r="W402" s="92"/>
      <c r="X402" s="54"/>
      <c r="Y402" s="92"/>
      <c r="Z402" s="54"/>
      <c r="AA402" s="92"/>
      <c r="AB402" s="54"/>
      <c r="AC402" s="92"/>
      <c r="AD402" s="54"/>
      <c r="AE402" s="92"/>
      <c r="AF402" s="54"/>
      <c r="AG402" s="92"/>
      <c r="AH402" s="54"/>
      <c r="AI402" s="92"/>
      <c r="AJ402" s="54"/>
      <c r="AK402" s="92"/>
      <c r="AL402" s="54"/>
      <c r="AM402" s="92"/>
      <c r="AO402" s="54"/>
      <c r="AP402" s="123"/>
      <c r="AQ402" s="54"/>
      <c r="AR402" s="154"/>
      <c r="AS402" s="1"/>
      <c r="AT402" s="1"/>
      <c r="AU402" s="9"/>
    </row>
    <row r="403">
      <c r="A403" s="54"/>
      <c r="B403" s="71" t="str">
        <f>IFERROR(HYPERLINK(VLOOKUP(A403,Internal_lists_bugs!$A$2:$C$73,3,FALSE()), VLOOKUP(A403,Internal_lists_bugs!$A$2:$C$73,3,FALSE())&amp;Char(10) &amp; Char(10) &amp; VLOOKUP(A403,Internal_lists_bugs!$A$2:$Z$73,26,FALSE())),"please select a BUG ID")</f>
        <v>please select a BUG ID</v>
      </c>
      <c r="C403" s="51" t="str">
        <f>IFERROR(VLOOKUP(A403,Internal_lists_bugs!$A$2:$G2002,7,FALSE()),"please select a BUG ID")</f>
        <v>please select a BUG ID</v>
      </c>
      <c r="D403" s="54"/>
      <c r="E403" s="56"/>
      <c r="F403" s="54"/>
      <c r="G403" s="56"/>
      <c r="H403" s="54"/>
      <c r="I403" s="56"/>
      <c r="J403" s="54"/>
      <c r="K403" s="92"/>
      <c r="L403" s="54"/>
      <c r="M403" s="92"/>
      <c r="N403" s="54"/>
      <c r="O403" s="92"/>
      <c r="P403" s="54"/>
      <c r="Q403" s="92"/>
      <c r="R403" s="54"/>
      <c r="S403" s="92"/>
      <c r="T403" s="117"/>
      <c r="U403" s="92"/>
      <c r="V403" s="54"/>
      <c r="W403" s="92"/>
      <c r="X403" s="54"/>
      <c r="Y403" s="92"/>
      <c r="Z403" s="54"/>
      <c r="AA403" s="92"/>
      <c r="AB403" s="54"/>
      <c r="AC403" s="92"/>
      <c r="AD403" s="54"/>
      <c r="AE403" s="92"/>
      <c r="AF403" s="54"/>
      <c r="AG403" s="92"/>
      <c r="AH403" s="54"/>
      <c r="AI403" s="92"/>
      <c r="AJ403" s="54"/>
      <c r="AK403" s="92"/>
      <c r="AL403" s="54"/>
      <c r="AM403" s="92"/>
      <c r="AO403" s="54"/>
      <c r="AP403" s="123"/>
      <c r="AQ403" s="54"/>
      <c r="AR403" s="154"/>
      <c r="AS403" s="1"/>
      <c r="AT403" s="1"/>
      <c r="AU403" s="9"/>
    </row>
    <row r="404">
      <c r="A404" s="54"/>
      <c r="B404" s="71" t="str">
        <f>IFERROR(HYPERLINK(VLOOKUP(A404,Internal_lists_bugs!$A$2:$C$73,3,FALSE()), VLOOKUP(A404,Internal_lists_bugs!$A$2:$C$73,3,FALSE())&amp;Char(10) &amp; Char(10) &amp; VLOOKUP(A404,Internal_lists_bugs!$A$2:$Z$73,26,FALSE())),"please select a BUG ID")</f>
        <v>please select a BUG ID</v>
      </c>
      <c r="C404" s="51" t="str">
        <f>IFERROR(VLOOKUP(A404,Internal_lists_bugs!$A$2:$G2002,7,FALSE()),"please select a BUG ID")</f>
        <v>please select a BUG ID</v>
      </c>
      <c r="D404" s="54"/>
      <c r="E404" s="56"/>
      <c r="F404" s="54"/>
      <c r="G404" s="56"/>
      <c r="H404" s="54"/>
      <c r="I404" s="56"/>
      <c r="J404" s="54"/>
      <c r="K404" s="92"/>
      <c r="L404" s="54"/>
      <c r="M404" s="92"/>
      <c r="N404" s="54"/>
      <c r="O404" s="92"/>
      <c r="P404" s="54"/>
      <c r="Q404" s="92"/>
      <c r="R404" s="54"/>
      <c r="S404" s="92"/>
      <c r="T404" s="117"/>
      <c r="U404" s="92"/>
      <c r="V404" s="54"/>
      <c r="W404" s="92"/>
      <c r="X404" s="54"/>
      <c r="Y404" s="92"/>
      <c r="Z404" s="54"/>
      <c r="AA404" s="92"/>
      <c r="AB404" s="54"/>
      <c r="AC404" s="92"/>
      <c r="AD404" s="54"/>
      <c r="AE404" s="92"/>
      <c r="AF404" s="54"/>
      <c r="AG404" s="92"/>
      <c r="AH404" s="54"/>
      <c r="AI404" s="92"/>
      <c r="AJ404" s="54"/>
      <c r="AK404" s="92"/>
      <c r="AL404" s="54"/>
      <c r="AM404" s="92"/>
      <c r="AO404" s="54"/>
      <c r="AP404" s="123"/>
      <c r="AQ404" s="54"/>
      <c r="AR404" s="154"/>
      <c r="AS404" s="1"/>
      <c r="AT404" s="1"/>
      <c r="AU404" s="9"/>
    </row>
    <row r="405">
      <c r="A405" s="54"/>
      <c r="B405" s="71" t="str">
        <f>IFERROR(HYPERLINK(VLOOKUP(A405,Internal_lists_bugs!$A$2:$C$73,3,FALSE()), VLOOKUP(A405,Internal_lists_bugs!$A$2:$C$73,3,FALSE())&amp;Char(10) &amp; Char(10) &amp; VLOOKUP(A405,Internal_lists_bugs!$A$2:$Z$73,26,FALSE())),"please select a BUG ID")</f>
        <v>please select a BUG ID</v>
      </c>
      <c r="C405" s="51" t="str">
        <f>IFERROR(VLOOKUP(A405,Internal_lists_bugs!$A$2:$G2002,7,FALSE()),"please select a BUG ID")</f>
        <v>please select a BUG ID</v>
      </c>
      <c r="D405" s="54"/>
      <c r="E405" s="56"/>
      <c r="F405" s="54"/>
      <c r="G405" s="56"/>
      <c r="H405" s="54"/>
      <c r="I405" s="56"/>
      <c r="J405" s="54"/>
      <c r="K405" s="92"/>
      <c r="L405" s="54"/>
      <c r="M405" s="92"/>
      <c r="N405" s="54"/>
      <c r="O405" s="92"/>
      <c r="P405" s="54"/>
      <c r="Q405" s="92"/>
      <c r="R405" s="54"/>
      <c r="S405" s="92"/>
      <c r="T405" s="117"/>
      <c r="U405" s="92"/>
      <c r="V405" s="54"/>
      <c r="W405" s="92"/>
      <c r="X405" s="54"/>
      <c r="Y405" s="92"/>
      <c r="Z405" s="54"/>
      <c r="AA405" s="92"/>
      <c r="AB405" s="54"/>
      <c r="AC405" s="92"/>
      <c r="AD405" s="54"/>
      <c r="AE405" s="92"/>
      <c r="AF405" s="54"/>
      <c r="AG405" s="92"/>
      <c r="AH405" s="54"/>
      <c r="AI405" s="92"/>
      <c r="AJ405" s="54"/>
      <c r="AK405" s="92"/>
      <c r="AL405" s="54"/>
      <c r="AM405" s="92"/>
      <c r="AO405" s="54"/>
      <c r="AP405" s="123"/>
      <c r="AQ405" s="54"/>
      <c r="AR405" s="154"/>
      <c r="AS405" s="1"/>
      <c r="AT405" s="1"/>
      <c r="AU405" s="9"/>
    </row>
    <row r="406">
      <c r="A406" s="54"/>
      <c r="B406" s="71" t="str">
        <f>IFERROR(HYPERLINK(VLOOKUP(A406,Internal_lists_bugs!$A$2:$C$73,3,FALSE()), VLOOKUP(A406,Internal_lists_bugs!$A$2:$C$73,3,FALSE())&amp;Char(10) &amp; Char(10) &amp; VLOOKUP(A406,Internal_lists_bugs!$A$2:$Z$73,26,FALSE())),"please select a BUG ID")</f>
        <v>please select a BUG ID</v>
      </c>
      <c r="C406" s="51" t="str">
        <f>IFERROR(VLOOKUP(A406,Internal_lists_bugs!$A$2:$G2002,7,FALSE()),"please select a BUG ID")</f>
        <v>please select a BUG ID</v>
      </c>
      <c r="D406" s="54"/>
      <c r="E406" s="56"/>
      <c r="F406" s="54"/>
      <c r="G406" s="56"/>
      <c r="H406" s="54"/>
      <c r="I406" s="56"/>
      <c r="J406" s="54"/>
      <c r="K406" s="92"/>
      <c r="L406" s="54"/>
      <c r="M406" s="92"/>
      <c r="N406" s="54"/>
      <c r="O406" s="92"/>
      <c r="P406" s="54"/>
      <c r="Q406" s="92"/>
      <c r="R406" s="54"/>
      <c r="S406" s="92"/>
      <c r="T406" s="117"/>
      <c r="U406" s="92"/>
      <c r="V406" s="54"/>
      <c r="W406" s="92"/>
      <c r="X406" s="54"/>
      <c r="Y406" s="92"/>
      <c r="Z406" s="54"/>
      <c r="AA406" s="92"/>
      <c r="AB406" s="54"/>
      <c r="AC406" s="92"/>
      <c r="AD406" s="54"/>
      <c r="AE406" s="92"/>
      <c r="AF406" s="54"/>
      <c r="AG406" s="92"/>
      <c r="AH406" s="54"/>
      <c r="AI406" s="92"/>
      <c r="AJ406" s="54"/>
      <c r="AK406" s="92"/>
      <c r="AL406" s="54"/>
      <c r="AM406" s="92"/>
      <c r="AO406" s="54"/>
      <c r="AP406" s="123"/>
      <c r="AQ406" s="54"/>
      <c r="AR406" s="154"/>
      <c r="AS406" s="1"/>
      <c r="AT406" s="1"/>
      <c r="AU406" s="9"/>
    </row>
    <row r="407">
      <c r="A407" s="54"/>
      <c r="B407" s="71" t="str">
        <f>IFERROR(HYPERLINK(VLOOKUP(A407,Internal_lists_bugs!$A$2:$C$73,3,FALSE()), VLOOKUP(A407,Internal_lists_bugs!$A$2:$C$73,3,FALSE())&amp;Char(10) &amp; Char(10) &amp; VLOOKUP(A407,Internal_lists_bugs!$A$2:$Z$73,26,FALSE())),"please select a BUG ID")</f>
        <v>please select a BUG ID</v>
      </c>
      <c r="C407" s="51" t="str">
        <f>IFERROR(VLOOKUP(A407,Internal_lists_bugs!$A$2:$G2002,7,FALSE()),"please select a BUG ID")</f>
        <v>please select a BUG ID</v>
      </c>
      <c r="D407" s="54"/>
      <c r="E407" s="56"/>
      <c r="F407" s="54"/>
      <c r="G407" s="56"/>
      <c r="H407" s="54"/>
      <c r="I407" s="56"/>
      <c r="J407" s="54"/>
      <c r="K407" s="92"/>
      <c r="L407" s="54"/>
      <c r="M407" s="92"/>
      <c r="N407" s="54"/>
      <c r="O407" s="92"/>
      <c r="P407" s="54"/>
      <c r="Q407" s="92"/>
      <c r="R407" s="54"/>
      <c r="S407" s="92"/>
      <c r="T407" s="117"/>
      <c r="U407" s="92"/>
      <c r="V407" s="54"/>
      <c r="W407" s="92"/>
      <c r="X407" s="54"/>
      <c r="Y407" s="92"/>
      <c r="Z407" s="54"/>
      <c r="AA407" s="92"/>
      <c r="AB407" s="54"/>
      <c r="AC407" s="92"/>
      <c r="AD407" s="54"/>
      <c r="AE407" s="92"/>
      <c r="AF407" s="54"/>
      <c r="AG407" s="92"/>
      <c r="AH407" s="54"/>
      <c r="AI407" s="92"/>
      <c r="AJ407" s="54"/>
      <c r="AK407" s="92"/>
      <c r="AL407" s="54"/>
      <c r="AM407" s="92"/>
      <c r="AO407" s="54"/>
      <c r="AP407" s="123"/>
      <c r="AQ407" s="54"/>
      <c r="AR407" s="154"/>
      <c r="AS407" s="1"/>
      <c r="AT407" s="1"/>
      <c r="AU407" s="9"/>
    </row>
    <row r="408">
      <c r="A408" s="54"/>
      <c r="B408" s="71" t="str">
        <f>IFERROR(HYPERLINK(VLOOKUP(A408,Internal_lists_bugs!$A$2:$C$73,3,FALSE()), VLOOKUP(A408,Internal_lists_bugs!$A$2:$C$73,3,FALSE())&amp;Char(10) &amp; Char(10) &amp; VLOOKUP(A408,Internal_lists_bugs!$A$2:$Z$73,26,FALSE())),"please select a BUG ID")</f>
        <v>please select a BUG ID</v>
      </c>
      <c r="C408" s="51" t="str">
        <f>IFERROR(VLOOKUP(A408,Internal_lists_bugs!$A$2:$G2002,7,FALSE()),"please select a BUG ID")</f>
        <v>please select a BUG ID</v>
      </c>
      <c r="D408" s="54"/>
      <c r="E408" s="56"/>
      <c r="F408" s="54"/>
      <c r="G408" s="56"/>
      <c r="H408" s="54"/>
      <c r="I408" s="56"/>
      <c r="J408" s="54"/>
      <c r="K408" s="92"/>
      <c r="L408" s="54"/>
      <c r="M408" s="92"/>
      <c r="N408" s="54"/>
      <c r="O408" s="92"/>
      <c r="P408" s="54"/>
      <c r="Q408" s="92"/>
      <c r="R408" s="54"/>
      <c r="S408" s="92"/>
      <c r="T408" s="117"/>
      <c r="U408" s="92"/>
      <c r="V408" s="54"/>
      <c r="W408" s="92"/>
      <c r="X408" s="54"/>
      <c r="Y408" s="92"/>
      <c r="Z408" s="54"/>
      <c r="AA408" s="92"/>
      <c r="AB408" s="54"/>
      <c r="AC408" s="92"/>
      <c r="AD408" s="54"/>
      <c r="AE408" s="92"/>
      <c r="AF408" s="54"/>
      <c r="AG408" s="92"/>
      <c r="AH408" s="54"/>
      <c r="AI408" s="92"/>
      <c r="AJ408" s="54"/>
      <c r="AK408" s="92"/>
      <c r="AL408" s="54"/>
      <c r="AM408" s="92"/>
      <c r="AO408" s="54"/>
      <c r="AP408" s="123"/>
      <c r="AQ408" s="54"/>
      <c r="AR408" s="154"/>
      <c r="AS408" s="1"/>
      <c r="AT408" s="1"/>
      <c r="AU408" s="9"/>
    </row>
    <row r="409">
      <c r="A409" s="54"/>
      <c r="B409" s="71" t="str">
        <f>IFERROR(HYPERLINK(VLOOKUP(A409,Internal_lists_bugs!$A$2:$C$73,3,FALSE()), VLOOKUP(A409,Internal_lists_bugs!$A$2:$C$73,3,FALSE())&amp;Char(10) &amp; Char(10) &amp; VLOOKUP(A409,Internal_lists_bugs!$A$2:$Z$73,26,FALSE())),"please select a BUG ID")</f>
        <v>please select a BUG ID</v>
      </c>
      <c r="C409" s="51" t="str">
        <f>IFERROR(VLOOKUP(A409,Internal_lists_bugs!$A$2:$G2002,7,FALSE()),"please select a BUG ID")</f>
        <v>please select a BUG ID</v>
      </c>
      <c r="D409" s="54"/>
      <c r="E409" s="56"/>
      <c r="F409" s="54"/>
      <c r="G409" s="56"/>
      <c r="H409" s="54"/>
      <c r="I409" s="56"/>
      <c r="J409" s="54"/>
      <c r="K409" s="92"/>
      <c r="L409" s="54"/>
      <c r="M409" s="92"/>
      <c r="N409" s="54"/>
      <c r="O409" s="92"/>
      <c r="P409" s="54"/>
      <c r="Q409" s="92"/>
      <c r="R409" s="54"/>
      <c r="S409" s="92"/>
      <c r="T409" s="117"/>
      <c r="U409" s="92"/>
      <c r="V409" s="54"/>
      <c r="W409" s="92"/>
      <c r="X409" s="54"/>
      <c r="Y409" s="92"/>
      <c r="Z409" s="54"/>
      <c r="AA409" s="92"/>
      <c r="AB409" s="54"/>
      <c r="AC409" s="92"/>
      <c r="AD409" s="54"/>
      <c r="AE409" s="92"/>
      <c r="AF409" s="54"/>
      <c r="AG409" s="92"/>
      <c r="AH409" s="54"/>
      <c r="AI409" s="92"/>
      <c r="AJ409" s="54"/>
      <c r="AK409" s="92"/>
      <c r="AL409" s="54"/>
      <c r="AM409" s="92"/>
      <c r="AO409" s="54"/>
      <c r="AP409" s="123"/>
      <c r="AQ409" s="54"/>
      <c r="AR409" s="154"/>
      <c r="AS409" s="1"/>
      <c r="AT409" s="1"/>
      <c r="AU409" s="9"/>
    </row>
    <row r="410">
      <c r="A410" s="54"/>
      <c r="B410" s="71" t="str">
        <f>IFERROR(HYPERLINK(VLOOKUP(A410,Internal_lists_bugs!$A$2:$C$73,3,FALSE()), VLOOKUP(A410,Internal_lists_bugs!$A$2:$C$73,3,FALSE())&amp;Char(10) &amp; Char(10) &amp; VLOOKUP(A410,Internal_lists_bugs!$A$2:$Z$73,26,FALSE())),"please select a BUG ID")</f>
        <v>please select a BUG ID</v>
      </c>
      <c r="C410" s="51" t="str">
        <f>IFERROR(VLOOKUP(A410,Internal_lists_bugs!$A$2:$G2002,7,FALSE()),"please select a BUG ID")</f>
        <v>please select a BUG ID</v>
      </c>
      <c r="D410" s="54"/>
      <c r="E410" s="56"/>
      <c r="F410" s="54"/>
      <c r="G410" s="56"/>
      <c r="H410" s="54"/>
      <c r="I410" s="56"/>
      <c r="J410" s="54"/>
      <c r="K410" s="92"/>
      <c r="L410" s="54"/>
      <c r="M410" s="92"/>
      <c r="N410" s="54"/>
      <c r="O410" s="92"/>
      <c r="P410" s="54"/>
      <c r="Q410" s="92"/>
      <c r="R410" s="54"/>
      <c r="S410" s="92"/>
      <c r="T410" s="117"/>
      <c r="U410" s="92"/>
      <c r="V410" s="54"/>
      <c r="W410" s="92"/>
      <c r="X410" s="54"/>
      <c r="Y410" s="92"/>
      <c r="Z410" s="54"/>
      <c r="AA410" s="92"/>
      <c r="AB410" s="54"/>
      <c r="AC410" s="92"/>
      <c r="AD410" s="54"/>
      <c r="AE410" s="92"/>
      <c r="AF410" s="54"/>
      <c r="AG410" s="92"/>
      <c r="AH410" s="54"/>
      <c r="AI410" s="92"/>
      <c r="AJ410" s="54"/>
      <c r="AK410" s="92"/>
      <c r="AL410" s="54"/>
      <c r="AM410" s="92"/>
      <c r="AO410" s="54"/>
      <c r="AP410" s="123"/>
      <c r="AQ410" s="54"/>
      <c r="AR410" s="154"/>
      <c r="AS410" s="1"/>
      <c r="AT410" s="1"/>
      <c r="AU410" s="9"/>
    </row>
    <row r="411">
      <c r="A411" s="54"/>
      <c r="B411" s="71" t="str">
        <f>IFERROR(HYPERLINK(VLOOKUP(A411,Internal_lists_bugs!$A$2:$C$73,3,FALSE()), VLOOKUP(A411,Internal_lists_bugs!$A$2:$C$73,3,FALSE())&amp;Char(10) &amp; Char(10) &amp; VLOOKUP(A411,Internal_lists_bugs!$A$2:$Z$73,26,FALSE())),"please select a BUG ID")</f>
        <v>please select a BUG ID</v>
      </c>
      <c r="C411" s="51" t="str">
        <f>IFERROR(VLOOKUP(A411,Internal_lists_bugs!$A$2:$G2002,7,FALSE()),"please select a BUG ID")</f>
        <v>please select a BUG ID</v>
      </c>
      <c r="D411" s="54"/>
      <c r="E411" s="56"/>
      <c r="F411" s="54"/>
      <c r="G411" s="56"/>
      <c r="H411" s="54"/>
      <c r="I411" s="56"/>
      <c r="J411" s="54"/>
      <c r="K411" s="92"/>
      <c r="L411" s="54"/>
      <c r="M411" s="92"/>
      <c r="N411" s="54"/>
      <c r="O411" s="92"/>
      <c r="P411" s="54"/>
      <c r="Q411" s="92"/>
      <c r="R411" s="54"/>
      <c r="S411" s="92"/>
      <c r="T411" s="117"/>
      <c r="U411" s="92"/>
      <c r="V411" s="54"/>
      <c r="W411" s="92"/>
      <c r="X411" s="54"/>
      <c r="Y411" s="92"/>
      <c r="Z411" s="54"/>
      <c r="AA411" s="92"/>
      <c r="AB411" s="54"/>
      <c r="AC411" s="92"/>
      <c r="AD411" s="54"/>
      <c r="AE411" s="92"/>
      <c r="AF411" s="54"/>
      <c r="AG411" s="92"/>
      <c r="AH411" s="54"/>
      <c r="AI411" s="92"/>
      <c r="AJ411" s="54"/>
      <c r="AK411" s="92"/>
      <c r="AL411" s="54"/>
      <c r="AM411" s="92"/>
      <c r="AO411" s="54"/>
      <c r="AP411" s="123"/>
      <c r="AQ411" s="54"/>
      <c r="AR411" s="154"/>
      <c r="AS411" s="1"/>
      <c r="AT411" s="1"/>
      <c r="AU411" s="9"/>
    </row>
    <row r="412">
      <c r="A412" s="54"/>
      <c r="B412" s="71" t="str">
        <f>IFERROR(HYPERLINK(VLOOKUP(A412,Internal_lists_bugs!$A$2:$C$73,3,FALSE()), VLOOKUP(A412,Internal_lists_bugs!$A$2:$C$73,3,FALSE())&amp;Char(10) &amp; Char(10) &amp; VLOOKUP(A412,Internal_lists_bugs!$A$2:$Z$73,26,FALSE())),"please select a BUG ID")</f>
        <v>please select a BUG ID</v>
      </c>
      <c r="C412" s="51" t="str">
        <f>IFERROR(VLOOKUP(A412,Internal_lists_bugs!$A$2:$G2002,7,FALSE()),"please select a BUG ID")</f>
        <v>please select a BUG ID</v>
      </c>
      <c r="D412" s="54"/>
      <c r="E412" s="56"/>
      <c r="F412" s="54"/>
      <c r="G412" s="56"/>
      <c r="H412" s="54"/>
      <c r="I412" s="56"/>
      <c r="J412" s="54"/>
      <c r="K412" s="92"/>
      <c r="L412" s="54"/>
      <c r="M412" s="92"/>
      <c r="N412" s="54"/>
      <c r="O412" s="92"/>
      <c r="P412" s="54"/>
      <c r="Q412" s="92"/>
      <c r="R412" s="54"/>
      <c r="S412" s="92"/>
      <c r="T412" s="117"/>
      <c r="U412" s="92"/>
      <c r="V412" s="54"/>
      <c r="W412" s="92"/>
      <c r="X412" s="54"/>
      <c r="Y412" s="92"/>
      <c r="Z412" s="54"/>
      <c r="AA412" s="92"/>
      <c r="AB412" s="54"/>
      <c r="AC412" s="92"/>
      <c r="AD412" s="54"/>
      <c r="AE412" s="92"/>
      <c r="AF412" s="54"/>
      <c r="AG412" s="92"/>
      <c r="AH412" s="54"/>
      <c r="AI412" s="92"/>
      <c r="AJ412" s="54"/>
      <c r="AK412" s="92"/>
      <c r="AL412" s="54"/>
      <c r="AM412" s="92"/>
      <c r="AO412" s="54"/>
      <c r="AP412" s="123"/>
      <c r="AQ412" s="54"/>
      <c r="AR412" s="154"/>
      <c r="AS412" s="1"/>
      <c r="AT412" s="1"/>
      <c r="AU412" s="9"/>
    </row>
    <row r="413">
      <c r="A413" s="54"/>
      <c r="B413" s="71" t="str">
        <f>IFERROR(HYPERLINK(VLOOKUP(A413,Internal_lists_bugs!$A$2:$C$73,3,FALSE()), VLOOKUP(A413,Internal_lists_bugs!$A$2:$C$73,3,FALSE())&amp;Char(10) &amp; Char(10) &amp; VLOOKUP(A413,Internal_lists_bugs!$A$2:$Z$73,26,FALSE())),"please select a BUG ID")</f>
        <v>please select a BUG ID</v>
      </c>
      <c r="C413" s="51" t="str">
        <f>IFERROR(VLOOKUP(A413,Internal_lists_bugs!$A$2:$G2002,7,FALSE()),"please select a BUG ID")</f>
        <v>please select a BUG ID</v>
      </c>
      <c r="D413" s="54"/>
      <c r="E413" s="56"/>
      <c r="F413" s="54"/>
      <c r="G413" s="56"/>
      <c r="H413" s="54"/>
      <c r="I413" s="56"/>
      <c r="J413" s="54"/>
      <c r="K413" s="92"/>
      <c r="L413" s="54"/>
      <c r="M413" s="92"/>
      <c r="N413" s="54"/>
      <c r="O413" s="92"/>
      <c r="P413" s="54"/>
      <c r="Q413" s="92"/>
      <c r="R413" s="54"/>
      <c r="S413" s="92"/>
      <c r="T413" s="117"/>
      <c r="U413" s="92"/>
      <c r="V413" s="54"/>
      <c r="W413" s="92"/>
      <c r="X413" s="54"/>
      <c r="Y413" s="92"/>
      <c r="Z413" s="54"/>
      <c r="AA413" s="92"/>
      <c r="AB413" s="54"/>
      <c r="AC413" s="92"/>
      <c r="AD413" s="54"/>
      <c r="AE413" s="92"/>
      <c r="AF413" s="54"/>
      <c r="AG413" s="92"/>
      <c r="AH413" s="54"/>
      <c r="AI413" s="92"/>
      <c r="AJ413" s="54"/>
      <c r="AK413" s="92"/>
      <c r="AL413" s="54"/>
      <c r="AM413" s="92"/>
      <c r="AO413" s="54"/>
      <c r="AP413" s="123"/>
      <c r="AQ413" s="54"/>
      <c r="AR413" s="154"/>
      <c r="AS413" s="1"/>
      <c r="AT413" s="1"/>
      <c r="AU413" s="9"/>
    </row>
    <row r="414">
      <c r="A414" s="54"/>
      <c r="B414" s="71" t="str">
        <f>IFERROR(HYPERLINK(VLOOKUP(A414,Internal_lists_bugs!$A$2:$C$73,3,FALSE()), VLOOKUP(A414,Internal_lists_bugs!$A$2:$C$73,3,FALSE())&amp;Char(10) &amp; Char(10) &amp; VLOOKUP(A414,Internal_lists_bugs!$A$2:$Z$73,26,FALSE())),"please select a BUG ID")</f>
        <v>please select a BUG ID</v>
      </c>
      <c r="C414" s="51" t="str">
        <f>IFERROR(VLOOKUP(A414,Internal_lists_bugs!$A$2:$G2002,7,FALSE()),"please select a BUG ID")</f>
        <v>please select a BUG ID</v>
      </c>
      <c r="D414" s="54"/>
      <c r="E414" s="56"/>
      <c r="F414" s="54"/>
      <c r="G414" s="56"/>
      <c r="H414" s="54"/>
      <c r="I414" s="56"/>
      <c r="J414" s="54"/>
      <c r="K414" s="92"/>
      <c r="L414" s="54"/>
      <c r="M414" s="92"/>
      <c r="N414" s="54"/>
      <c r="O414" s="92"/>
      <c r="P414" s="54"/>
      <c r="Q414" s="92"/>
      <c r="R414" s="54"/>
      <c r="S414" s="92"/>
      <c r="T414" s="117"/>
      <c r="U414" s="92"/>
      <c r="V414" s="54"/>
      <c r="W414" s="92"/>
      <c r="X414" s="54"/>
      <c r="Y414" s="92"/>
      <c r="Z414" s="54"/>
      <c r="AA414" s="92"/>
      <c r="AB414" s="54"/>
      <c r="AC414" s="92"/>
      <c r="AD414" s="54"/>
      <c r="AE414" s="92"/>
      <c r="AF414" s="54"/>
      <c r="AG414" s="92"/>
      <c r="AH414" s="54"/>
      <c r="AI414" s="92"/>
      <c r="AJ414" s="54"/>
      <c r="AK414" s="92"/>
      <c r="AL414" s="54"/>
      <c r="AM414" s="92"/>
      <c r="AO414" s="54"/>
      <c r="AP414" s="123"/>
      <c r="AQ414" s="54"/>
      <c r="AR414" s="154"/>
      <c r="AS414" s="1"/>
      <c r="AT414" s="1"/>
      <c r="AU414" s="9"/>
    </row>
    <row r="415">
      <c r="A415" s="54"/>
      <c r="B415" s="71" t="str">
        <f>IFERROR(HYPERLINK(VLOOKUP(A415,Internal_lists_bugs!$A$2:$C$73,3,FALSE()), VLOOKUP(A415,Internal_lists_bugs!$A$2:$C$73,3,FALSE())&amp;Char(10) &amp; Char(10) &amp; VLOOKUP(A415,Internal_lists_bugs!$A$2:$Z$73,26,FALSE())),"please select a BUG ID")</f>
        <v>please select a BUG ID</v>
      </c>
      <c r="C415" s="51" t="str">
        <f>IFERROR(VLOOKUP(A415,Internal_lists_bugs!$A$2:$G2002,7,FALSE()),"please select a BUG ID")</f>
        <v>please select a BUG ID</v>
      </c>
      <c r="D415" s="54"/>
      <c r="E415" s="56"/>
      <c r="F415" s="54"/>
      <c r="G415" s="56"/>
      <c r="H415" s="54"/>
      <c r="I415" s="56"/>
      <c r="J415" s="54"/>
      <c r="K415" s="92"/>
      <c r="L415" s="54"/>
      <c r="M415" s="92"/>
      <c r="N415" s="54"/>
      <c r="O415" s="92"/>
      <c r="P415" s="54"/>
      <c r="Q415" s="92"/>
      <c r="R415" s="54"/>
      <c r="S415" s="92"/>
      <c r="T415" s="117"/>
      <c r="U415" s="92"/>
      <c r="V415" s="54"/>
      <c r="W415" s="92"/>
      <c r="X415" s="54"/>
      <c r="Y415" s="92"/>
      <c r="Z415" s="54"/>
      <c r="AA415" s="92"/>
      <c r="AB415" s="54"/>
      <c r="AC415" s="92"/>
      <c r="AD415" s="54"/>
      <c r="AE415" s="92"/>
      <c r="AF415" s="54"/>
      <c r="AG415" s="92"/>
      <c r="AH415" s="54"/>
      <c r="AI415" s="92"/>
      <c r="AJ415" s="54"/>
      <c r="AK415" s="92"/>
      <c r="AL415" s="54"/>
      <c r="AM415" s="92"/>
      <c r="AO415" s="54"/>
      <c r="AP415" s="123"/>
      <c r="AQ415" s="54"/>
      <c r="AR415" s="154"/>
      <c r="AS415" s="1"/>
      <c r="AT415" s="1"/>
      <c r="AU415" s="9"/>
    </row>
    <row r="416">
      <c r="A416" s="54"/>
      <c r="B416" s="71" t="str">
        <f>IFERROR(HYPERLINK(VLOOKUP(A416,Internal_lists_bugs!$A$2:$C$73,3,FALSE()), VLOOKUP(A416,Internal_lists_bugs!$A$2:$C$73,3,FALSE())&amp;Char(10) &amp; Char(10) &amp; VLOOKUP(A416,Internal_lists_bugs!$A$2:$Z$73,26,FALSE())),"please select a BUG ID")</f>
        <v>please select a BUG ID</v>
      </c>
      <c r="C416" s="51" t="str">
        <f>IFERROR(VLOOKUP(A416,Internal_lists_bugs!$A$2:$G2002,7,FALSE()),"please select a BUG ID")</f>
        <v>please select a BUG ID</v>
      </c>
      <c r="D416" s="54"/>
      <c r="E416" s="56"/>
      <c r="F416" s="54"/>
      <c r="G416" s="56"/>
      <c r="H416" s="54"/>
      <c r="I416" s="56"/>
      <c r="J416" s="54"/>
      <c r="K416" s="92"/>
      <c r="L416" s="54"/>
      <c r="M416" s="92"/>
      <c r="N416" s="54"/>
      <c r="O416" s="92"/>
      <c r="P416" s="54"/>
      <c r="Q416" s="92"/>
      <c r="R416" s="54"/>
      <c r="S416" s="92"/>
      <c r="T416" s="117"/>
      <c r="U416" s="92"/>
      <c r="V416" s="54"/>
      <c r="W416" s="92"/>
      <c r="X416" s="54"/>
      <c r="Y416" s="92"/>
      <c r="Z416" s="54"/>
      <c r="AA416" s="92"/>
      <c r="AB416" s="54"/>
      <c r="AC416" s="92"/>
      <c r="AD416" s="54"/>
      <c r="AE416" s="92"/>
      <c r="AF416" s="54"/>
      <c r="AG416" s="92"/>
      <c r="AH416" s="54"/>
      <c r="AI416" s="92"/>
      <c r="AJ416" s="54"/>
      <c r="AK416" s="92"/>
      <c r="AL416" s="54"/>
      <c r="AM416" s="92"/>
      <c r="AO416" s="54"/>
      <c r="AP416" s="123"/>
      <c r="AQ416" s="54"/>
      <c r="AR416" s="154"/>
      <c r="AS416" s="1"/>
      <c r="AT416" s="1"/>
      <c r="AU416" s="9"/>
    </row>
    <row r="417">
      <c r="A417" s="54"/>
      <c r="B417" s="71" t="str">
        <f>IFERROR(HYPERLINK(VLOOKUP(A417,Internal_lists_bugs!$A$2:$C$73,3,FALSE()), VLOOKUP(A417,Internal_lists_bugs!$A$2:$C$73,3,FALSE())&amp;Char(10) &amp; Char(10) &amp; VLOOKUP(A417,Internal_lists_bugs!$A$2:$Z$73,26,FALSE())),"please select a BUG ID")</f>
        <v>please select a BUG ID</v>
      </c>
      <c r="C417" s="51" t="str">
        <f>IFERROR(VLOOKUP(A417,Internal_lists_bugs!$A$2:$G2002,7,FALSE()),"please select a BUG ID")</f>
        <v>please select a BUG ID</v>
      </c>
      <c r="D417" s="54"/>
      <c r="E417" s="56"/>
      <c r="F417" s="54"/>
      <c r="G417" s="56"/>
      <c r="H417" s="54"/>
      <c r="I417" s="56"/>
      <c r="J417" s="54"/>
      <c r="K417" s="92"/>
      <c r="L417" s="54"/>
      <c r="M417" s="92"/>
      <c r="N417" s="54"/>
      <c r="O417" s="92"/>
      <c r="P417" s="54"/>
      <c r="Q417" s="92"/>
      <c r="R417" s="54"/>
      <c r="S417" s="92"/>
      <c r="T417" s="117"/>
      <c r="U417" s="92"/>
      <c r="V417" s="54"/>
      <c r="W417" s="92"/>
      <c r="X417" s="54"/>
      <c r="Y417" s="92"/>
      <c r="Z417" s="54"/>
      <c r="AA417" s="92"/>
      <c r="AB417" s="54"/>
      <c r="AC417" s="92"/>
      <c r="AD417" s="54"/>
      <c r="AE417" s="92"/>
      <c r="AF417" s="54"/>
      <c r="AG417" s="92"/>
      <c r="AH417" s="54"/>
      <c r="AI417" s="92"/>
      <c r="AJ417" s="54"/>
      <c r="AK417" s="92"/>
      <c r="AL417" s="54"/>
      <c r="AM417" s="92"/>
      <c r="AO417" s="54"/>
      <c r="AP417" s="123"/>
      <c r="AQ417" s="54"/>
      <c r="AR417" s="154"/>
      <c r="AS417" s="1"/>
      <c r="AT417" s="1"/>
      <c r="AU417" s="9"/>
    </row>
    <row r="418">
      <c r="A418" s="54"/>
      <c r="B418" s="71" t="str">
        <f>IFERROR(HYPERLINK(VLOOKUP(A418,Internal_lists_bugs!$A$2:$C$73,3,FALSE()), VLOOKUP(A418,Internal_lists_bugs!$A$2:$C$73,3,FALSE())&amp;Char(10) &amp; Char(10) &amp; VLOOKUP(A418,Internal_lists_bugs!$A$2:$Z$73,26,FALSE())),"please select a BUG ID")</f>
        <v>please select a BUG ID</v>
      </c>
      <c r="C418" s="51" t="str">
        <f>IFERROR(VLOOKUP(A418,Internal_lists_bugs!$A$2:$G2002,7,FALSE()),"please select a BUG ID")</f>
        <v>please select a BUG ID</v>
      </c>
      <c r="D418" s="54"/>
      <c r="E418" s="56"/>
      <c r="F418" s="54"/>
      <c r="G418" s="56"/>
      <c r="H418" s="54"/>
      <c r="I418" s="56"/>
      <c r="J418" s="54"/>
      <c r="K418" s="92"/>
      <c r="L418" s="54"/>
      <c r="M418" s="92"/>
      <c r="N418" s="54"/>
      <c r="O418" s="92"/>
      <c r="P418" s="54"/>
      <c r="Q418" s="92"/>
      <c r="R418" s="54"/>
      <c r="S418" s="92"/>
      <c r="T418" s="117"/>
      <c r="U418" s="92"/>
      <c r="V418" s="54"/>
      <c r="W418" s="92"/>
      <c r="X418" s="54"/>
      <c r="Y418" s="92"/>
      <c r="Z418" s="54"/>
      <c r="AA418" s="92"/>
      <c r="AB418" s="54"/>
      <c r="AC418" s="92"/>
      <c r="AD418" s="54"/>
      <c r="AE418" s="92"/>
      <c r="AF418" s="54"/>
      <c r="AG418" s="92"/>
      <c r="AH418" s="54"/>
      <c r="AI418" s="92"/>
      <c r="AJ418" s="54"/>
      <c r="AK418" s="92"/>
      <c r="AL418" s="54"/>
      <c r="AM418" s="92"/>
      <c r="AO418" s="54"/>
      <c r="AP418" s="123"/>
      <c r="AQ418" s="54"/>
      <c r="AR418" s="154"/>
      <c r="AS418" s="1"/>
      <c r="AT418" s="1"/>
      <c r="AU418" s="9"/>
    </row>
    <row r="419">
      <c r="A419" s="54"/>
      <c r="B419" s="71" t="str">
        <f>IFERROR(HYPERLINK(VLOOKUP(A419,Internal_lists_bugs!$A$2:$C$73,3,FALSE()), VLOOKUP(A419,Internal_lists_bugs!$A$2:$C$73,3,FALSE())&amp;Char(10) &amp; Char(10) &amp; VLOOKUP(A419,Internal_lists_bugs!$A$2:$Z$73,26,FALSE())),"please select a BUG ID")</f>
        <v>please select a BUG ID</v>
      </c>
      <c r="C419" s="51" t="str">
        <f>IFERROR(VLOOKUP(A419,Internal_lists_bugs!$A$2:$G2002,7,FALSE()),"please select a BUG ID")</f>
        <v>please select a BUG ID</v>
      </c>
      <c r="D419" s="54"/>
      <c r="E419" s="56"/>
      <c r="F419" s="54"/>
      <c r="G419" s="56"/>
      <c r="H419" s="54"/>
      <c r="I419" s="56"/>
      <c r="J419" s="54"/>
      <c r="K419" s="92"/>
      <c r="L419" s="54"/>
      <c r="M419" s="92"/>
      <c r="N419" s="54"/>
      <c r="O419" s="92"/>
      <c r="P419" s="54"/>
      <c r="Q419" s="92"/>
      <c r="R419" s="54"/>
      <c r="S419" s="92"/>
      <c r="T419" s="117"/>
      <c r="U419" s="92"/>
      <c r="V419" s="54"/>
      <c r="W419" s="92"/>
      <c r="X419" s="54"/>
      <c r="Y419" s="92"/>
      <c r="Z419" s="54"/>
      <c r="AA419" s="92"/>
      <c r="AB419" s="54"/>
      <c r="AC419" s="92"/>
      <c r="AD419" s="54"/>
      <c r="AE419" s="92"/>
      <c r="AF419" s="54"/>
      <c r="AG419" s="92"/>
      <c r="AH419" s="54"/>
      <c r="AI419" s="92"/>
      <c r="AJ419" s="54"/>
      <c r="AK419" s="92"/>
      <c r="AL419" s="54"/>
      <c r="AM419" s="92"/>
      <c r="AO419" s="54"/>
      <c r="AP419" s="123"/>
      <c r="AQ419" s="54"/>
      <c r="AR419" s="154"/>
      <c r="AS419" s="1"/>
      <c r="AT419" s="1"/>
      <c r="AU419" s="9"/>
    </row>
    <row r="420">
      <c r="A420" s="54"/>
      <c r="B420" s="71" t="str">
        <f>IFERROR(HYPERLINK(VLOOKUP(A420,Internal_lists_bugs!$A$2:$C$73,3,FALSE()), VLOOKUP(A420,Internal_lists_bugs!$A$2:$C$73,3,FALSE())&amp;Char(10) &amp; Char(10) &amp; VLOOKUP(A420,Internal_lists_bugs!$A$2:$Z$73,26,FALSE())),"please select a BUG ID")</f>
        <v>please select a BUG ID</v>
      </c>
      <c r="C420" s="51" t="str">
        <f>IFERROR(VLOOKUP(A420,Internal_lists_bugs!$A$2:$G2002,7,FALSE()),"please select a BUG ID")</f>
        <v>please select a BUG ID</v>
      </c>
      <c r="D420" s="54"/>
      <c r="E420" s="56"/>
      <c r="F420" s="54"/>
      <c r="G420" s="56"/>
      <c r="H420" s="54"/>
      <c r="I420" s="56"/>
      <c r="J420" s="54"/>
      <c r="K420" s="92"/>
      <c r="L420" s="54"/>
      <c r="M420" s="92"/>
      <c r="N420" s="54"/>
      <c r="O420" s="92"/>
      <c r="P420" s="54"/>
      <c r="Q420" s="92"/>
      <c r="R420" s="54"/>
      <c r="S420" s="92"/>
      <c r="T420" s="117"/>
      <c r="U420" s="92"/>
      <c r="V420" s="54"/>
      <c r="W420" s="92"/>
      <c r="X420" s="54"/>
      <c r="Y420" s="92"/>
      <c r="Z420" s="54"/>
      <c r="AA420" s="92"/>
      <c r="AB420" s="54"/>
      <c r="AC420" s="92"/>
      <c r="AD420" s="54"/>
      <c r="AE420" s="92"/>
      <c r="AF420" s="54"/>
      <c r="AG420" s="92"/>
      <c r="AH420" s="54"/>
      <c r="AI420" s="92"/>
      <c r="AJ420" s="54"/>
      <c r="AK420" s="92"/>
      <c r="AL420" s="54"/>
      <c r="AM420" s="92"/>
      <c r="AO420" s="54"/>
      <c r="AP420" s="123"/>
      <c r="AQ420" s="54"/>
      <c r="AR420" s="154"/>
      <c r="AS420" s="1"/>
      <c r="AT420" s="1"/>
      <c r="AU420" s="9"/>
    </row>
    <row r="421">
      <c r="A421" s="54"/>
      <c r="B421" s="71" t="str">
        <f>IFERROR(HYPERLINK(VLOOKUP(A421,Internal_lists_bugs!$A$2:$C$73,3,FALSE()), VLOOKUP(A421,Internal_lists_bugs!$A$2:$C$73,3,FALSE())&amp;Char(10) &amp; Char(10) &amp; VLOOKUP(A421,Internal_lists_bugs!$A$2:$Z$73,26,FALSE())),"please select a BUG ID")</f>
        <v>please select a BUG ID</v>
      </c>
      <c r="C421" s="51" t="str">
        <f>IFERROR(VLOOKUP(A421,Internal_lists_bugs!$A$2:$G2002,7,FALSE()),"please select a BUG ID")</f>
        <v>please select a BUG ID</v>
      </c>
      <c r="D421" s="54"/>
      <c r="E421" s="56"/>
      <c r="F421" s="54"/>
      <c r="G421" s="56"/>
      <c r="H421" s="54"/>
      <c r="I421" s="56"/>
      <c r="J421" s="54"/>
      <c r="K421" s="92"/>
      <c r="L421" s="54"/>
      <c r="M421" s="92"/>
      <c r="N421" s="54"/>
      <c r="O421" s="92"/>
      <c r="P421" s="54"/>
      <c r="Q421" s="92"/>
      <c r="R421" s="54"/>
      <c r="S421" s="92"/>
      <c r="T421" s="117"/>
      <c r="U421" s="92"/>
      <c r="V421" s="54"/>
      <c r="W421" s="92"/>
      <c r="X421" s="54"/>
      <c r="Y421" s="92"/>
      <c r="Z421" s="54"/>
      <c r="AA421" s="92"/>
      <c r="AB421" s="54"/>
      <c r="AC421" s="92"/>
      <c r="AD421" s="54"/>
      <c r="AE421" s="92"/>
      <c r="AF421" s="54"/>
      <c r="AG421" s="92"/>
      <c r="AH421" s="54"/>
      <c r="AI421" s="92"/>
      <c r="AJ421" s="54"/>
      <c r="AK421" s="92"/>
      <c r="AL421" s="54"/>
      <c r="AM421" s="92"/>
      <c r="AO421" s="54"/>
      <c r="AP421" s="123"/>
      <c r="AQ421" s="54"/>
      <c r="AR421" s="154"/>
      <c r="AS421" s="1"/>
      <c r="AT421" s="1"/>
      <c r="AU421" s="9"/>
    </row>
    <row r="422">
      <c r="A422" s="54"/>
      <c r="B422" s="71" t="str">
        <f>IFERROR(HYPERLINK(VLOOKUP(A422,Internal_lists_bugs!$A$2:$C$73,3,FALSE()), VLOOKUP(A422,Internal_lists_bugs!$A$2:$C$73,3,FALSE())&amp;Char(10) &amp; Char(10) &amp; VLOOKUP(A422,Internal_lists_bugs!$A$2:$Z$73,26,FALSE())),"please select a BUG ID")</f>
        <v>please select a BUG ID</v>
      </c>
      <c r="C422" s="51" t="str">
        <f>IFERROR(VLOOKUP(A422,Internal_lists_bugs!$A$2:$G2002,7,FALSE()),"please select a BUG ID")</f>
        <v>please select a BUG ID</v>
      </c>
      <c r="D422" s="54"/>
      <c r="E422" s="56"/>
      <c r="F422" s="54"/>
      <c r="G422" s="56"/>
      <c r="H422" s="54"/>
      <c r="I422" s="56"/>
      <c r="J422" s="54"/>
      <c r="K422" s="92"/>
      <c r="L422" s="54"/>
      <c r="M422" s="92"/>
      <c r="N422" s="54"/>
      <c r="O422" s="92"/>
      <c r="P422" s="54"/>
      <c r="Q422" s="92"/>
      <c r="R422" s="54"/>
      <c r="S422" s="92"/>
      <c r="T422" s="117"/>
      <c r="U422" s="92"/>
      <c r="V422" s="54"/>
      <c r="W422" s="92"/>
      <c r="X422" s="54"/>
      <c r="Y422" s="92"/>
      <c r="Z422" s="54"/>
      <c r="AA422" s="92"/>
      <c r="AB422" s="54"/>
      <c r="AC422" s="92"/>
      <c r="AD422" s="54"/>
      <c r="AE422" s="92"/>
      <c r="AF422" s="54"/>
      <c r="AG422" s="92"/>
      <c r="AH422" s="54"/>
      <c r="AI422" s="92"/>
      <c r="AJ422" s="54"/>
      <c r="AK422" s="92"/>
      <c r="AL422" s="54"/>
      <c r="AM422" s="92"/>
      <c r="AO422" s="54"/>
      <c r="AP422" s="123"/>
      <c r="AQ422" s="54"/>
      <c r="AR422" s="154"/>
      <c r="AS422" s="1"/>
      <c r="AT422" s="1"/>
      <c r="AU422" s="9"/>
    </row>
    <row r="423">
      <c r="A423" s="54"/>
      <c r="B423" s="71" t="str">
        <f>IFERROR(HYPERLINK(VLOOKUP(A423,Internal_lists_bugs!$A$2:$C$73,3,FALSE()), VLOOKUP(A423,Internal_lists_bugs!$A$2:$C$73,3,FALSE())&amp;Char(10) &amp; Char(10) &amp; VLOOKUP(A423,Internal_lists_bugs!$A$2:$Z$73,26,FALSE())),"please select a BUG ID")</f>
        <v>please select a BUG ID</v>
      </c>
      <c r="C423" s="51" t="str">
        <f>IFERROR(VLOOKUP(A423,Internal_lists_bugs!$A$2:$G2002,7,FALSE()),"please select a BUG ID")</f>
        <v>please select a BUG ID</v>
      </c>
      <c r="D423" s="54"/>
      <c r="E423" s="56"/>
      <c r="F423" s="54"/>
      <c r="G423" s="56"/>
      <c r="H423" s="54"/>
      <c r="I423" s="56"/>
      <c r="J423" s="54"/>
      <c r="K423" s="92"/>
      <c r="L423" s="54"/>
      <c r="M423" s="92"/>
      <c r="N423" s="54"/>
      <c r="O423" s="92"/>
      <c r="P423" s="54"/>
      <c r="Q423" s="92"/>
      <c r="R423" s="54"/>
      <c r="S423" s="92"/>
      <c r="T423" s="117"/>
      <c r="U423" s="92"/>
      <c r="V423" s="54"/>
      <c r="W423" s="92"/>
      <c r="X423" s="54"/>
      <c r="Y423" s="92"/>
      <c r="Z423" s="54"/>
      <c r="AA423" s="92"/>
      <c r="AB423" s="54"/>
      <c r="AC423" s="92"/>
      <c r="AD423" s="54"/>
      <c r="AE423" s="92"/>
      <c r="AF423" s="54"/>
      <c r="AG423" s="92"/>
      <c r="AH423" s="54"/>
      <c r="AI423" s="92"/>
      <c r="AJ423" s="54"/>
      <c r="AK423" s="92"/>
      <c r="AL423" s="54"/>
      <c r="AM423" s="92"/>
      <c r="AO423" s="54"/>
      <c r="AP423" s="123"/>
      <c r="AQ423" s="54"/>
      <c r="AR423" s="154"/>
      <c r="AS423" s="1"/>
      <c r="AT423" s="1"/>
      <c r="AU423" s="9"/>
    </row>
    <row r="424">
      <c r="A424" s="54"/>
      <c r="B424" s="71" t="str">
        <f>IFERROR(HYPERLINK(VLOOKUP(A424,Internal_lists_bugs!$A$2:$C$73,3,FALSE()), VLOOKUP(A424,Internal_lists_bugs!$A$2:$C$73,3,FALSE())&amp;Char(10) &amp; Char(10) &amp; VLOOKUP(A424,Internal_lists_bugs!$A$2:$Z$73,26,FALSE())),"please select a BUG ID")</f>
        <v>please select a BUG ID</v>
      </c>
      <c r="C424" s="51" t="str">
        <f>IFERROR(VLOOKUP(A424,Internal_lists_bugs!$A$2:$G2002,7,FALSE()),"please select a BUG ID")</f>
        <v>please select a BUG ID</v>
      </c>
      <c r="D424" s="54"/>
      <c r="E424" s="56"/>
      <c r="F424" s="54"/>
      <c r="G424" s="56"/>
      <c r="H424" s="54"/>
      <c r="I424" s="56"/>
      <c r="J424" s="54"/>
      <c r="K424" s="92"/>
      <c r="L424" s="54"/>
      <c r="M424" s="92"/>
      <c r="N424" s="54"/>
      <c r="O424" s="92"/>
      <c r="P424" s="54"/>
      <c r="Q424" s="92"/>
      <c r="R424" s="54"/>
      <c r="S424" s="92"/>
      <c r="T424" s="117"/>
      <c r="U424" s="92"/>
      <c r="V424" s="54"/>
      <c r="W424" s="92"/>
      <c r="X424" s="54"/>
      <c r="Y424" s="92"/>
      <c r="Z424" s="54"/>
      <c r="AA424" s="92"/>
      <c r="AB424" s="54"/>
      <c r="AC424" s="92"/>
      <c r="AD424" s="54"/>
      <c r="AE424" s="92"/>
      <c r="AF424" s="54"/>
      <c r="AG424" s="92"/>
      <c r="AH424" s="54"/>
      <c r="AI424" s="92"/>
      <c r="AJ424" s="54"/>
      <c r="AK424" s="92"/>
      <c r="AL424" s="54"/>
      <c r="AM424" s="92"/>
      <c r="AO424" s="54"/>
      <c r="AP424" s="123"/>
      <c r="AQ424" s="54"/>
      <c r="AR424" s="154"/>
      <c r="AS424" s="1"/>
      <c r="AT424" s="1"/>
      <c r="AU424" s="9"/>
    </row>
    <row r="425">
      <c r="A425" s="54"/>
      <c r="B425" s="71" t="str">
        <f>IFERROR(HYPERLINK(VLOOKUP(A425,Internal_lists_bugs!$A$2:$C$73,3,FALSE()), VLOOKUP(A425,Internal_lists_bugs!$A$2:$C$73,3,FALSE())&amp;Char(10) &amp; Char(10) &amp; VLOOKUP(A425,Internal_lists_bugs!$A$2:$Z$73,26,FALSE())),"please select a BUG ID")</f>
        <v>please select a BUG ID</v>
      </c>
      <c r="C425" s="51" t="str">
        <f>IFERROR(VLOOKUP(A425,Internal_lists_bugs!$A$2:$G2002,7,FALSE()),"please select a BUG ID")</f>
        <v>please select a BUG ID</v>
      </c>
      <c r="D425" s="54"/>
      <c r="E425" s="56"/>
      <c r="F425" s="54"/>
      <c r="G425" s="56"/>
      <c r="H425" s="54"/>
      <c r="I425" s="56"/>
      <c r="J425" s="54"/>
      <c r="K425" s="92"/>
      <c r="L425" s="54"/>
      <c r="M425" s="92"/>
      <c r="N425" s="54"/>
      <c r="O425" s="92"/>
      <c r="P425" s="54"/>
      <c r="Q425" s="92"/>
      <c r="R425" s="54"/>
      <c r="S425" s="92"/>
      <c r="T425" s="117"/>
      <c r="U425" s="92"/>
      <c r="V425" s="54"/>
      <c r="W425" s="92"/>
      <c r="X425" s="54"/>
      <c r="Y425" s="92"/>
      <c r="Z425" s="54"/>
      <c r="AA425" s="92"/>
      <c r="AB425" s="54"/>
      <c r="AC425" s="92"/>
      <c r="AD425" s="54"/>
      <c r="AE425" s="92"/>
      <c r="AF425" s="54"/>
      <c r="AG425" s="92"/>
      <c r="AH425" s="54"/>
      <c r="AI425" s="92"/>
      <c r="AJ425" s="54"/>
      <c r="AK425" s="92"/>
      <c r="AL425" s="54"/>
      <c r="AM425" s="92"/>
      <c r="AO425" s="54"/>
      <c r="AP425" s="123"/>
      <c r="AQ425" s="54"/>
      <c r="AR425" s="154"/>
      <c r="AS425" s="1"/>
      <c r="AT425" s="1"/>
      <c r="AU425" s="9"/>
    </row>
    <row r="426">
      <c r="A426" s="54"/>
      <c r="B426" s="71" t="str">
        <f>IFERROR(HYPERLINK(VLOOKUP(A426,Internal_lists_bugs!$A$2:$C$73,3,FALSE()), VLOOKUP(A426,Internal_lists_bugs!$A$2:$C$73,3,FALSE())&amp;Char(10) &amp; Char(10) &amp; VLOOKUP(A426,Internal_lists_bugs!$A$2:$Z$73,26,FALSE())),"please select a BUG ID")</f>
        <v>please select a BUG ID</v>
      </c>
      <c r="C426" s="51" t="str">
        <f>IFERROR(VLOOKUP(A426,Internal_lists_bugs!$A$2:$G2002,7,FALSE()),"please select a BUG ID")</f>
        <v>please select a BUG ID</v>
      </c>
      <c r="D426" s="54"/>
      <c r="E426" s="56"/>
      <c r="F426" s="54"/>
      <c r="G426" s="56"/>
      <c r="H426" s="54"/>
      <c r="I426" s="56"/>
      <c r="J426" s="54"/>
      <c r="K426" s="92"/>
      <c r="L426" s="54"/>
      <c r="M426" s="92"/>
      <c r="N426" s="54"/>
      <c r="O426" s="92"/>
      <c r="P426" s="54"/>
      <c r="Q426" s="92"/>
      <c r="R426" s="54"/>
      <c r="S426" s="92"/>
      <c r="T426" s="117"/>
      <c r="U426" s="92"/>
      <c r="V426" s="54"/>
      <c r="W426" s="92"/>
      <c r="X426" s="54"/>
      <c r="Y426" s="92"/>
      <c r="Z426" s="54"/>
      <c r="AA426" s="92"/>
      <c r="AB426" s="54"/>
      <c r="AC426" s="92"/>
      <c r="AD426" s="54"/>
      <c r="AE426" s="92"/>
      <c r="AF426" s="54"/>
      <c r="AG426" s="92"/>
      <c r="AH426" s="54"/>
      <c r="AI426" s="92"/>
      <c r="AJ426" s="54"/>
      <c r="AK426" s="92"/>
      <c r="AL426" s="54"/>
      <c r="AM426" s="92"/>
      <c r="AO426" s="54"/>
      <c r="AP426" s="123"/>
      <c r="AQ426" s="54"/>
      <c r="AR426" s="154"/>
      <c r="AS426" s="1"/>
      <c r="AT426" s="1"/>
      <c r="AU426" s="9"/>
    </row>
    <row r="427">
      <c r="A427" s="54"/>
      <c r="B427" s="71" t="str">
        <f>IFERROR(HYPERLINK(VLOOKUP(A427,Internal_lists_bugs!$A$2:$C$73,3,FALSE()), VLOOKUP(A427,Internal_lists_bugs!$A$2:$C$73,3,FALSE())&amp;Char(10) &amp; Char(10) &amp; VLOOKUP(A427,Internal_lists_bugs!$A$2:$Z$73,26,FALSE())),"please select a BUG ID")</f>
        <v>please select a BUG ID</v>
      </c>
      <c r="C427" s="51" t="str">
        <f>IFERROR(VLOOKUP(A427,Internal_lists_bugs!$A$2:$G2002,7,FALSE()),"please select a BUG ID")</f>
        <v>please select a BUG ID</v>
      </c>
      <c r="D427" s="54"/>
      <c r="E427" s="56"/>
      <c r="F427" s="54"/>
      <c r="G427" s="56"/>
      <c r="H427" s="54"/>
      <c r="I427" s="56"/>
      <c r="J427" s="54"/>
      <c r="K427" s="92"/>
      <c r="L427" s="54"/>
      <c r="M427" s="92"/>
      <c r="N427" s="54"/>
      <c r="O427" s="92"/>
      <c r="P427" s="54"/>
      <c r="Q427" s="92"/>
      <c r="R427" s="54"/>
      <c r="S427" s="92"/>
      <c r="T427" s="117"/>
      <c r="U427" s="92"/>
      <c r="V427" s="54"/>
      <c r="W427" s="92"/>
      <c r="X427" s="54"/>
      <c r="Y427" s="92"/>
      <c r="Z427" s="54"/>
      <c r="AA427" s="92"/>
      <c r="AB427" s="54"/>
      <c r="AC427" s="92"/>
      <c r="AD427" s="54"/>
      <c r="AE427" s="92"/>
      <c r="AF427" s="54"/>
      <c r="AG427" s="92"/>
      <c r="AH427" s="54"/>
      <c r="AI427" s="92"/>
      <c r="AJ427" s="54"/>
      <c r="AK427" s="92"/>
      <c r="AL427" s="54"/>
      <c r="AM427" s="92"/>
      <c r="AO427" s="54"/>
      <c r="AP427" s="123"/>
      <c r="AQ427" s="54"/>
      <c r="AR427" s="154"/>
      <c r="AS427" s="1"/>
      <c r="AT427" s="1"/>
      <c r="AU427" s="9"/>
    </row>
    <row r="428">
      <c r="A428" s="54"/>
      <c r="B428" s="71" t="str">
        <f>IFERROR(HYPERLINK(VLOOKUP(A428,Internal_lists_bugs!$A$2:$C$73,3,FALSE()), VLOOKUP(A428,Internal_lists_bugs!$A$2:$C$73,3,FALSE())&amp;Char(10) &amp; Char(10) &amp; VLOOKUP(A428,Internal_lists_bugs!$A$2:$Z$73,26,FALSE())),"please select a BUG ID")</f>
        <v>please select a BUG ID</v>
      </c>
      <c r="C428" s="51" t="str">
        <f>IFERROR(VLOOKUP(A428,Internal_lists_bugs!$A$2:$G2002,7,FALSE()),"please select a BUG ID")</f>
        <v>please select a BUG ID</v>
      </c>
      <c r="D428" s="54"/>
      <c r="E428" s="56"/>
      <c r="F428" s="54"/>
      <c r="G428" s="56"/>
      <c r="H428" s="54"/>
      <c r="I428" s="56"/>
      <c r="J428" s="54"/>
      <c r="K428" s="92"/>
      <c r="L428" s="54"/>
      <c r="M428" s="92"/>
      <c r="N428" s="54"/>
      <c r="O428" s="92"/>
      <c r="P428" s="54"/>
      <c r="Q428" s="92"/>
      <c r="R428" s="54"/>
      <c r="S428" s="92"/>
      <c r="T428" s="117"/>
      <c r="U428" s="92"/>
      <c r="V428" s="54"/>
      <c r="W428" s="92"/>
      <c r="X428" s="54"/>
      <c r="Y428" s="92"/>
      <c r="Z428" s="54"/>
      <c r="AA428" s="92"/>
      <c r="AB428" s="54"/>
      <c r="AC428" s="92"/>
      <c r="AD428" s="54"/>
      <c r="AE428" s="92"/>
      <c r="AF428" s="54"/>
      <c r="AG428" s="92"/>
      <c r="AH428" s="54"/>
      <c r="AI428" s="92"/>
      <c r="AJ428" s="54"/>
      <c r="AK428" s="92"/>
      <c r="AL428" s="54"/>
      <c r="AM428" s="92"/>
      <c r="AO428" s="54"/>
      <c r="AP428" s="123"/>
      <c r="AQ428" s="54"/>
      <c r="AR428" s="154"/>
      <c r="AS428" s="1"/>
      <c r="AT428" s="1"/>
      <c r="AU428" s="9"/>
    </row>
    <row r="429">
      <c r="A429" s="54"/>
      <c r="B429" s="71" t="str">
        <f>IFERROR(HYPERLINK(VLOOKUP(A429,Internal_lists_bugs!$A$2:$C$73,3,FALSE()), VLOOKUP(A429,Internal_lists_bugs!$A$2:$C$73,3,FALSE())&amp;Char(10) &amp; Char(10) &amp; VLOOKUP(A429,Internal_lists_bugs!$A$2:$Z$73,26,FALSE())),"please select a BUG ID")</f>
        <v>please select a BUG ID</v>
      </c>
      <c r="C429" s="51" t="str">
        <f>IFERROR(VLOOKUP(A429,Internal_lists_bugs!$A$2:$G2002,7,FALSE()),"please select a BUG ID")</f>
        <v>please select a BUG ID</v>
      </c>
      <c r="D429" s="54"/>
      <c r="E429" s="56"/>
      <c r="F429" s="54"/>
      <c r="G429" s="56"/>
      <c r="H429" s="54"/>
      <c r="I429" s="56"/>
      <c r="J429" s="54"/>
      <c r="K429" s="92"/>
      <c r="L429" s="54"/>
      <c r="M429" s="92"/>
      <c r="N429" s="54"/>
      <c r="O429" s="92"/>
      <c r="P429" s="54"/>
      <c r="Q429" s="92"/>
      <c r="R429" s="54"/>
      <c r="S429" s="92"/>
      <c r="T429" s="117"/>
      <c r="U429" s="92"/>
      <c r="V429" s="54"/>
      <c r="W429" s="92"/>
      <c r="X429" s="54"/>
      <c r="Y429" s="92"/>
      <c r="Z429" s="54"/>
      <c r="AA429" s="92"/>
      <c r="AB429" s="54"/>
      <c r="AC429" s="92"/>
      <c r="AD429" s="54"/>
      <c r="AE429" s="92"/>
      <c r="AF429" s="54"/>
      <c r="AG429" s="92"/>
      <c r="AH429" s="54"/>
      <c r="AI429" s="92"/>
      <c r="AJ429" s="54"/>
      <c r="AK429" s="92"/>
      <c r="AL429" s="54"/>
      <c r="AM429" s="92"/>
      <c r="AO429" s="54"/>
      <c r="AP429" s="123"/>
      <c r="AQ429" s="54"/>
      <c r="AR429" s="154"/>
      <c r="AS429" s="1"/>
      <c r="AT429" s="1"/>
      <c r="AU429" s="9"/>
    </row>
    <row r="430">
      <c r="A430" s="54"/>
      <c r="B430" s="71" t="str">
        <f>IFERROR(HYPERLINK(VLOOKUP(A430,Internal_lists_bugs!$A$2:$C$73,3,FALSE()), VLOOKUP(A430,Internal_lists_bugs!$A$2:$C$73,3,FALSE())&amp;Char(10) &amp; Char(10) &amp; VLOOKUP(A430,Internal_lists_bugs!$A$2:$Z$73,26,FALSE())),"please select a BUG ID")</f>
        <v>please select a BUG ID</v>
      </c>
      <c r="C430" s="51" t="str">
        <f>IFERROR(VLOOKUP(A430,Internal_lists_bugs!$A$2:$G2002,7,FALSE()),"please select a BUG ID")</f>
        <v>please select a BUG ID</v>
      </c>
      <c r="D430" s="54"/>
      <c r="E430" s="56"/>
      <c r="F430" s="54"/>
      <c r="G430" s="56"/>
      <c r="H430" s="54"/>
      <c r="I430" s="56"/>
      <c r="J430" s="54"/>
      <c r="K430" s="92"/>
      <c r="L430" s="54"/>
      <c r="M430" s="92"/>
      <c r="N430" s="54"/>
      <c r="O430" s="92"/>
      <c r="P430" s="54"/>
      <c r="Q430" s="92"/>
      <c r="R430" s="54"/>
      <c r="S430" s="92"/>
      <c r="T430" s="117"/>
      <c r="U430" s="92"/>
      <c r="V430" s="54"/>
      <c r="W430" s="92"/>
      <c r="X430" s="54"/>
      <c r="Y430" s="92"/>
      <c r="Z430" s="54"/>
      <c r="AA430" s="92"/>
      <c r="AB430" s="54"/>
      <c r="AC430" s="92"/>
      <c r="AD430" s="54"/>
      <c r="AE430" s="92"/>
      <c r="AF430" s="54"/>
      <c r="AG430" s="92"/>
      <c r="AH430" s="54"/>
      <c r="AI430" s="92"/>
      <c r="AJ430" s="54"/>
      <c r="AK430" s="92"/>
      <c r="AL430" s="54"/>
      <c r="AM430" s="92"/>
      <c r="AO430" s="54"/>
      <c r="AP430" s="123"/>
      <c r="AQ430" s="54"/>
      <c r="AR430" s="154"/>
      <c r="AS430" s="1"/>
      <c r="AT430" s="1"/>
      <c r="AU430" s="9"/>
    </row>
    <row r="431">
      <c r="A431" s="54"/>
      <c r="B431" s="71" t="str">
        <f>IFERROR(HYPERLINK(VLOOKUP(A431,Internal_lists_bugs!$A$2:$C$73,3,FALSE()), VLOOKUP(A431,Internal_lists_bugs!$A$2:$C$73,3,FALSE())&amp;Char(10) &amp; Char(10) &amp; VLOOKUP(A431,Internal_lists_bugs!$A$2:$Z$73,26,FALSE())),"please select a BUG ID")</f>
        <v>please select a BUG ID</v>
      </c>
      <c r="C431" s="51" t="str">
        <f>IFERROR(VLOOKUP(A431,Internal_lists_bugs!$A$2:$G2002,7,FALSE()),"please select a BUG ID")</f>
        <v>please select a BUG ID</v>
      </c>
      <c r="D431" s="54"/>
      <c r="E431" s="56"/>
      <c r="F431" s="54"/>
      <c r="G431" s="56"/>
      <c r="H431" s="54"/>
      <c r="I431" s="56"/>
      <c r="J431" s="54"/>
      <c r="K431" s="92"/>
      <c r="L431" s="54"/>
      <c r="M431" s="92"/>
      <c r="N431" s="54"/>
      <c r="O431" s="92"/>
      <c r="P431" s="54"/>
      <c r="Q431" s="92"/>
      <c r="R431" s="54"/>
      <c r="S431" s="92"/>
      <c r="T431" s="117"/>
      <c r="U431" s="92"/>
      <c r="V431" s="54"/>
      <c r="W431" s="92"/>
      <c r="X431" s="54"/>
      <c r="Y431" s="92"/>
      <c r="Z431" s="54"/>
      <c r="AA431" s="92"/>
      <c r="AB431" s="54"/>
      <c r="AC431" s="92"/>
      <c r="AD431" s="54"/>
      <c r="AE431" s="92"/>
      <c r="AF431" s="54"/>
      <c r="AG431" s="92"/>
      <c r="AH431" s="54"/>
      <c r="AI431" s="92"/>
      <c r="AJ431" s="54"/>
      <c r="AK431" s="92"/>
      <c r="AL431" s="54"/>
      <c r="AM431" s="92"/>
      <c r="AO431" s="54"/>
      <c r="AP431" s="123"/>
      <c r="AQ431" s="54"/>
      <c r="AR431" s="154"/>
      <c r="AS431" s="1"/>
      <c r="AT431" s="1"/>
      <c r="AU431" s="9"/>
    </row>
    <row r="432">
      <c r="A432" s="54"/>
      <c r="B432" s="71" t="str">
        <f>IFERROR(HYPERLINK(VLOOKUP(A432,Internal_lists_bugs!$A$2:$C$73,3,FALSE()), VLOOKUP(A432,Internal_lists_bugs!$A$2:$C$73,3,FALSE())&amp;Char(10) &amp; Char(10) &amp; VLOOKUP(A432,Internal_lists_bugs!$A$2:$Z$73,26,FALSE())),"please select a BUG ID")</f>
        <v>please select a BUG ID</v>
      </c>
      <c r="C432" s="51" t="str">
        <f>IFERROR(VLOOKUP(A432,Internal_lists_bugs!$A$2:$G2002,7,FALSE()),"please select a BUG ID")</f>
        <v>please select a BUG ID</v>
      </c>
      <c r="D432" s="54"/>
      <c r="E432" s="56"/>
      <c r="F432" s="54"/>
      <c r="G432" s="56"/>
      <c r="H432" s="54"/>
      <c r="I432" s="56"/>
      <c r="J432" s="54"/>
      <c r="K432" s="92"/>
      <c r="L432" s="54"/>
      <c r="M432" s="92"/>
      <c r="N432" s="54"/>
      <c r="O432" s="92"/>
      <c r="P432" s="54"/>
      <c r="Q432" s="92"/>
      <c r="R432" s="54"/>
      <c r="S432" s="92"/>
      <c r="T432" s="117"/>
      <c r="U432" s="92"/>
      <c r="V432" s="54"/>
      <c r="W432" s="92"/>
      <c r="X432" s="54"/>
      <c r="Y432" s="92"/>
      <c r="Z432" s="54"/>
      <c r="AA432" s="92"/>
      <c r="AB432" s="54"/>
      <c r="AC432" s="92"/>
      <c r="AD432" s="54"/>
      <c r="AE432" s="92"/>
      <c r="AF432" s="54"/>
      <c r="AG432" s="92"/>
      <c r="AH432" s="54"/>
      <c r="AI432" s="92"/>
      <c r="AJ432" s="54"/>
      <c r="AK432" s="92"/>
      <c r="AL432" s="54"/>
      <c r="AM432" s="92"/>
      <c r="AO432" s="54"/>
      <c r="AP432" s="123"/>
      <c r="AQ432" s="54"/>
      <c r="AR432" s="154"/>
      <c r="AS432" s="1"/>
      <c r="AT432" s="1"/>
      <c r="AU432" s="9"/>
    </row>
    <row r="433">
      <c r="A433" s="54"/>
      <c r="B433" s="71" t="str">
        <f>IFERROR(HYPERLINK(VLOOKUP(A433,Internal_lists_bugs!$A$2:$C$73,3,FALSE()), VLOOKUP(A433,Internal_lists_bugs!$A$2:$C$73,3,FALSE())&amp;Char(10) &amp; Char(10) &amp; VLOOKUP(A433,Internal_lists_bugs!$A$2:$Z$73,26,FALSE())),"please select a BUG ID")</f>
        <v>please select a BUG ID</v>
      </c>
      <c r="C433" s="51" t="str">
        <f>IFERROR(VLOOKUP(A433,Internal_lists_bugs!$A$2:$G2002,7,FALSE()),"please select a BUG ID")</f>
        <v>please select a BUG ID</v>
      </c>
      <c r="D433" s="54"/>
      <c r="E433" s="56"/>
      <c r="F433" s="54"/>
      <c r="G433" s="56"/>
      <c r="H433" s="54"/>
      <c r="I433" s="56"/>
      <c r="J433" s="54"/>
      <c r="K433" s="92"/>
      <c r="L433" s="54"/>
      <c r="M433" s="92"/>
      <c r="N433" s="54"/>
      <c r="O433" s="92"/>
      <c r="P433" s="54"/>
      <c r="Q433" s="92"/>
      <c r="R433" s="54"/>
      <c r="S433" s="92"/>
      <c r="T433" s="117"/>
      <c r="U433" s="92"/>
      <c r="V433" s="54"/>
      <c r="W433" s="92"/>
      <c r="X433" s="54"/>
      <c r="Y433" s="92"/>
      <c r="Z433" s="54"/>
      <c r="AA433" s="92"/>
      <c r="AB433" s="54"/>
      <c r="AC433" s="92"/>
      <c r="AD433" s="54"/>
      <c r="AE433" s="92"/>
      <c r="AF433" s="54"/>
      <c r="AG433" s="92"/>
      <c r="AH433" s="54"/>
      <c r="AI433" s="92"/>
      <c r="AJ433" s="54"/>
      <c r="AK433" s="92"/>
      <c r="AL433" s="54"/>
      <c r="AM433" s="92"/>
      <c r="AO433" s="54"/>
      <c r="AP433" s="123"/>
      <c r="AQ433" s="54"/>
      <c r="AR433" s="154"/>
      <c r="AS433" s="1"/>
      <c r="AT433" s="1"/>
      <c r="AU433" s="9"/>
    </row>
    <row r="434">
      <c r="A434" s="54"/>
      <c r="B434" s="71" t="str">
        <f>IFERROR(HYPERLINK(VLOOKUP(A434,Internal_lists_bugs!$A$2:$C$73,3,FALSE()), VLOOKUP(A434,Internal_lists_bugs!$A$2:$C$73,3,FALSE())&amp;Char(10) &amp; Char(10) &amp; VLOOKUP(A434,Internal_lists_bugs!$A$2:$Z$73,26,FALSE())),"please select a BUG ID")</f>
        <v>please select a BUG ID</v>
      </c>
      <c r="C434" s="51" t="str">
        <f>IFERROR(VLOOKUP(A434,Internal_lists_bugs!$A$2:$G2002,7,FALSE()),"please select a BUG ID")</f>
        <v>please select a BUG ID</v>
      </c>
      <c r="D434" s="54"/>
      <c r="E434" s="56"/>
      <c r="F434" s="54"/>
      <c r="G434" s="56"/>
      <c r="H434" s="54"/>
      <c r="I434" s="56"/>
      <c r="J434" s="54"/>
      <c r="K434" s="92"/>
      <c r="L434" s="54"/>
      <c r="M434" s="92"/>
      <c r="N434" s="54"/>
      <c r="O434" s="92"/>
      <c r="P434" s="54"/>
      <c r="Q434" s="92"/>
      <c r="R434" s="54"/>
      <c r="S434" s="92"/>
      <c r="T434" s="117"/>
      <c r="U434" s="92"/>
      <c r="V434" s="54"/>
      <c r="W434" s="92"/>
      <c r="X434" s="54"/>
      <c r="Y434" s="92"/>
      <c r="Z434" s="54"/>
      <c r="AA434" s="92"/>
      <c r="AB434" s="54"/>
      <c r="AC434" s="92"/>
      <c r="AD434" s="54"/>
      <c r="AE434" s="92"/>
      <c r="AF434" s="54"/>
      <c r="AG434" s="92"/>
      <c r="AH434" s="54"/>
      <c r="AI434" s="92"/>
      <c r="AJ434" s="54"/>
      <c r="AK434" s="92"/>
      <c r="AL434" s="54"/>
      <c r="AM434" s="92"/>
      <c r="AO434" s="54"/>
      <c r="AP434" s="123"/>
      <c r="AQ434" s="54"/>
      <c r="AR434" s="154"/>
      <c r="AS434" s="1"/>
      <c r="AT434" s="1"/>
      <c r="AU434" s="9"/>
    </row>
    <row r="435">
      <c r="A435" s="54"/>
      <c r="B435" s="71" t="str">
        <f>IFERROR(HYPERLINK(VLOOKUP(A435,Internal_lists_bugs!$A$2:$C$73,3,FALSE()), VLOOKUP(A435,Internal_lists_bugs!$A$2:$C$73,3,FALSE())&amp;Char(10) &amp; Char(10) &amp; VLOOKUP(A435,Internal_lists_bugs!$A$2:$Z$73,26,FALSE())),"please select a BUG ID")</f>
        <v>please select a BUG ID</v>
      </c>
      <c r="C435" s="51" t="str">
        <f>IFERROR(VLOOKUP(A435,Internal_lists_bugs!$A$2:$G2002,7,FALSE()),"please select a BUG ID")</f>
        <v>please select a BUG ID</v>
      </c>
      <c r="D435" s="54"/>
      <c r="E435" s="56"/>
      <c r="F435" s="54"/>
      <c r="G435" s="56"/>
      <c r="H435" s="54"/>
      <c r="I435" s="56"/>
      <c r="J435" s="54"/>
      <c r="K435" s="92"/>
      <c r="L435" s="54"/>
      <c r="M435" s="92"/>
      <c r="N435" s="54"/>
      <c r="O435" s="92"/>
      <c r="P435" s="54"/>
      <c r="Q435" s="92"/>
      <c r="R435" s="54"/>
      <c r="S435" s="92"/>
      <c r="T435" s="117"/>
      <c r="U435" s="92"/>
      <c r="V435" s="54"/>
      <c r="W435" s="92"/>
      <c r="X435" s="54"/>
      <c r="Y435" s="92"/>
      <c r="Z435" s="54"/>
      <c r="AA435" s="92"/>
      <c r="AB435" s="54"/>
      <c r="AC435" s="92"/>
      <c r="AD435" s="54"/>
      <c r="AE435" s="92"/>
      <c r="AF435" s="54"/>
      <c r="AG435" s="92"/>
      <c r="AH435" s="54"/>
      <c r="AI435" s="92"/>
      <c r="AJ435" s="54"/>
      <c r="AK435" s="92"/>
      <c r="AL435" s="54"/>
      <c r="AM435" s="92"/>
      <c r="AO435" s="54"/>
      <c r="AP435" s="123"/>
      <c r="AQ435" s="54"/>
      <c r="AR435" s="154"/>
      <c r="AS435" s="1"/>
      <c r="AT435" s="1"/>
      <c r="AU435" s="9"/>
    </row>
    <row r="436">
      <c r="A436" s="54"/>
      <c r="B436" s="71" t="str">
        <f>IFERROR(HYPERLINK(VLOOKUP(A436,Internal_lists_bugs!$A$2:$C$73,3,FALSE()), VLOOKUP(A436,Internal_lists_bugs!$A$2:$C$73,3,FALSE())&amp;Char(10) &amp; Char(10) &amp; VLOOKUP(A436,Internal_lists_bugs!$A$2:$Z$73,26,FALSE())),"please select a BUG ID")</f>
        <v>please select a BUG ID</v>
      </c>
      <c r="C436" s="51" t="str">
        <f>IFERROR(VLOOKUP(A436,Internal_lists_bugs!$A$2:$G2002,7,FALSE()),"please select a BUG ID")</f>
        <v>please select a BUG ID</v>
      </c>
      <c r="D436" s="54"/>
      <c r="E436" s="56"/>
      <c r="F436" s="54"/>
      <c r="G436" s="56"/>
      <c r="H436" s="54"/>
      <c r="I436" s="56"/>
      <c r="J436" s="54"/>
      <c r="K436" s="92"/>
      <c r="L436" s="54"/>
      <c r="M436" s="92"/>
      <c r="N436" s="54"/>
      <c r="O436" s="92"/>
      <c r="P436" s="54"/>
      <c r="Q436" s="92"/>
      <c r="R436" s="54"/>
      <c r="S436" s="92"/>
      <c r="T436" s="117"/>
      <c r="U436" s="92"/>
      <c r="V436" s="54"/>
      <c r="W436" s="92"/>
      <c r="X436" s="54"/>
      <c r="Y436" s="92"/>
      <c r="Z436" s="54"/>
      <c r="AA436" s="92"/>
      <c r="AB436" s="54"/>
      <c r="AC436" s="92"/>
      <c r="AD436" s="54"/>
      <c r="AE436" s="92"/>
      <c r="AF436" s="54"/>
      <c r="AG436" s="92"/>
      <c r="AH436" s="54"/>
      <c r="AI436" s="92"/>
      <c r="AJ436" s="54"/>
      <c r="AK436" s="92"/>
      <c r="AL436" s="54"/>
      <c r="AM436" s="92"/>
      <c r="AO436" s="54"/>
      <c r="AP436" s="123"/>
      <c r="AQ436" s="54"/>
      <c r="AR436" s="154"/>
      <c r="AS436" s="1"/>
      <c r="AT436" s="1"/>
      <c r="AU436" s="9"/>
    </row>
    <row r="437">
      <c r="A437" s="54"/>
      <c r="B437" s="71" t="str">
        <f>IFERROR(HYPERLINK(VLOOKUP(A437,Internal_lists_bugs!$A$2:$C$73,3,FALSE()), VLOOKUP(A437,Internal_lists_bugs!$A$2:$C$73,3,FALSE())&amp;Char(10) &amp; Char(10) &amp; VLOOKUP(A437,Internal_lists_bugs!$A$2:$Z$73,26,FALSE())),"please select a BUG ID")</f>
        <v>please select a BUG ID</v>
      </c>
      <c r="C437" s="51" t="str">
        <f>IFERROR(VLOOKUP(A437,Internal_lists_bugs!$A$2:$G2002,7,FALSE()),"please select a BUG ID")</f>
        <v>please select a BUG ID</v>
      </c>
      <c r="D437" s="54"/>
      <c r="E437" s="56"/>
      <c r="F437" s="54"/>
      <c r="G437" s="56"/>
      <c r="H437" s="54"/>
      <c r="I437" s="56"/>
      <c r="J437" s="54"/>
      <c r="K437" s="92"/>
      <c r="L437" s="54"/>
      <c r="M437" s="92"/>
      <c r="N437" s="54"/>
      <c r="O437" s="92"/>
      <c r="P437" s="54"/>
      <c r="Q437" s="92"/>
      <c r="R437" s="54"/>
      <c r="S437" s="92"/>
      <c r="T437" s="117"/>
      <c r="U437" s="92"/>
      <c r="V437" s="54"/>
      <c r="W437" s="92"/>
      <c r="X437" s="54"/>
      <c r="Y437" s="92"/>
      <c r="Z437" s="54"/>
      <c r="AA437" s="92"/>
      <c r="AB437" s="54"/>
      <c r="AC437" s="92"/>
      <c r="AD437" s="54"/>
      <c r="AE437" s="92"/>
      <c r="AF437" s="54"/>
      <c r="AG437" s="92"/>
      <c r="AH437" s="54"/>
      <c r="AI437" s="92"/>
      <c r="AJ437" s="54"/>
      <c r="AK437" s="92"/>
      <c r="AL437" s="54"/>
      <c r="AM437" s="92"/>
      <c r="AO437" s="54"/>
      <c r="AP437" s="123"/>
      <c r="AQ437" s="54"/>
      <c r="AR437" s="154"/>
      <c r="AS437" s="1"/>
      <c r="AT437" s="1"/>
      <c r="AU437" s="9"/>
    </row>
    <row r="438">
      <c r="A438" s="54"/>
      <c r="B438" s="71" t="str">
        <f>IFERROR(HYPERLINK(VLOOKUP(A438,Internal_lists_bugs!$A$2:$C$73,3,FALSE()), VLOOKUP(A438,Internal_lists_bugs!$A$2:$C$73,3,FALSE())&amp;Char(10) &amp; Char(10) &amp; VLOOKUP(A438,Internal_lists_bugs!$A$2:$Z$73,26,FALSE())),"please select a BUG ID")</f>
        <v>please select a BUG ID</v>
      </c>
      <c r="C438" s="51" t="str">
        <f>IFERROR(VLOOKUP(A438,Internal_lists_bugs!$A$2:$G2002,7,FALSE()),"please select a BUG ID")</f>
        <v>please select a BUG ID</v>
      </c>
      <c r="D438" s="54"/>
      <c r="E438" s="56"/>
      <c r="F438" s="54"/>
      <c r="G438" s="56"/>
      <c r="H438" s="54"/>
      <c r="I438" s="56"/>
      <c r="J438" s="54"/>
      <c r="K438" s="92"/>
      <c r="L438" s="54"/>
      <c r="M438" s="92"/>
      <c r="N438" s="54"/>
      <c r="O438" s="92"/>
      <c r="P438" s="54"/>
      <c r="Q438" s="92"/>
      <c r="R438" s="54"/>
      <c r="S438" s="92"/>
      <c r="T438" s="117"/>
      <c r="U438" s="92"/>
      <c r="V438" s="54"/>
      <c r="W438" s="92"/>
      <c r="X438" s="54"/>
      <c r="Y438" s="92"/>
      <c r="Z438" s="54"/>
      <c r="AA438" s="92"/>
      <c r="AB438" s="54"/>
      <c r="AC438" s="92"/>
      <c r="AD438" s="54"/>
      <c r="AE438" s="92"/>
      <c r="AF438" s="54"/>
      <c r="AG438" s="92"/>
      <c r="AH438" s="54"/>
      <c r="AI438" s="92"/>
      <c r="AJ438" s="54"/>
      <c r="AK438" s="92"/>
      <c r="AL438" s="54"/>
      <c r="AM438" s="92"/>
      <c r="AO438" s="54"/>
      <c r="AP438" s="123"/>
      <c r="AQ438" s="54"/>
      <c r="AR438" s="154"/>
      <c r="AS438" s="1"/>
      <c r="AT438" s="1"/>
      <c r="AU438" s="9"/>
    </row>
    <row r="439">
      <c r="A439" s="54"/>
      <c r="B439" s="71" t="str">
        <f>IFERROR(HYPERLINK(VLOOKUP(A439,Internal_lists_bugs!$A$2:$C$73,3,FALSE()), VLOOKUP(A439,Internal_lists_bugs!$A$2:$C$73,3,FALSE())&amp;Char(10) &amp; Char(10) &amp; VLOOKUP(A439,Internal_lists_bugs!$A$2:$Z$73,26,FALSE())),"please select a BUG ID")</f>
        <v>please select a BUG ID</v>
      </c>
      <c r="C439" s="51" t="str">
        <f>IFERROR(VLOOKUP(A439,Internal_lists_bugs!$A$2:$G2002,7,FALSE()),"please select a BUG ID")</f>
        <v>please select a BUG ID</v>
      </c>
      <c r="D439" s="54"/>
      <c r="E439" s="56"/>
      <c r="F439" s="54"/>
      <c r="G439" s="56"/>
      <c r="H439" s="54"/>
      <c r="I439" s="56"/>
      <c r="J439" s="54"/>
      <c r="K439" s="92"/>
      <c r="L439" s="54"/>
      <c r="M439" s="92"/>
      <c r="N439" s="54"/>
      <c r="O439" s="92"/>
      <c r="P439" s="54"/>
      <c r="Q439" s="92"/>
      <c r="R439" s="54"/>
      <c r="S439" s="92"/>
      <c r="T439" s="117"/>
      <c r="U439" s="92"/>
      <c r="V439" s="54"/>
      <c r="W439" s="92"/>
      <c r="X439" s="54"/>
      <c r="Y439" s="92"/>
      <c r="Z439" s="54"/>
      <c r="AA439" s="92"/>
      <c r="AB439" s="54"/>
      <c r="AC439" s="92"/>
      <c r="AD439" s="54"/>
      <c r="AE439" s="92"/>
      <c r="AF439" s="54"/>
      <c r="AG439" s="92"/>
      <c r="AH439" s="54"/>
      <c r="AI439" s="92"/>
      <c r="AJ439" s="54"/>
      <c r="AK439" s="92"/>
      <c r="AL439" s="54"/>
      <c r="AM439" s="92"/>
      <c r="AO439" s="54"/>
      <c r="AP439" s="123"/>
      <c r="AQ439" s="54"/>
      <c r="AR439" s="154"/>
      <c r="AS439" s="1"/>
      <c r="AT439" s="1"/>
      <c r="AU439" s="9"/>
    </row>
    <row r="440">
      <c r="A440" s="54"/>
      <c r="B440" s="71" t="str">
        <f>IFERROR(HYPERLINK(VLOOKUP(A440,Internal_lists_bugs!$A$2:$C$73,3,FALSE()), VLOOKUP(A440,Internal_lists_bugs!$A$2:$C$73,3,FALSE())&amp;Char(10) &amp; Char(10) &amp; VLOOKUP(A440,Internal_lists_bugs!$A$2:$Z$73,26,FALSE())),"please select a BUG ID")</f>
        <v>please select a BUG ID</v>
      </c>
      <c r="C440" s="51" t="str">
        <f>IFERROR(VLOOKUP(A440,Internal_lists_bugs!$A$2:$G2002,7,FALSE()),"please select a BUG ID")</f>
        <v>please select a BUG ID</v>
      </c>
      <c r="D440" s="54"/>
      <c r="E440" s="56"/>
      <c r="F440" s="54"/>
      <c r="G440" s="56"/>
      <c r="H440" s="54"/>
      <c r="I440" s="56"/>
      <c r="J440" s="54"/>
      <c r="K440" s="92"/>
      <c r="L440" s="54"/>
      <c r="M440" s="92"/>
      <c r="N440" s="54"/>
      <c r="O440" s="92"/>
      <c r="P440" s="54"/>
      <c r="Q440" s="92"/>
      <c r="R440" s="54"/>
      <c r="S440" s="92"/>
      <c r="T440" s="117"/>
      <c r="U440" s="92"/>
      <c r="V440" s="54"/>
      <c r="W440" s="92"/>
      <c r="X440" s="54"/>
      <c r="Y440" s="92"/>
      <c r="Z440" s="54"/>
      <c r="AA440" s="92"/>
      <c r="AB440" s="54"/>
      <c r="AC440" s="92"/>
      <c r="AD440" s="54"/>
      <c r="AE440" s="92"/>
      <c r="AF440" s="54"/>
      <c r="AG440" s="92"/>
      <c r="AH440" s="54"/>
      <c r="AI440" s="92"/>
      <c r="AJ440" s="54"/>
      <c r="AK440" s="92"/>
      <c r="AL440" s="54"/>
      <c r="AM440" s="92"/>
      <c r="AO440" s="54"/>
      <c r="AP440" s="123"/>
      <c r="AQ440" s="54"/>
      <c r="AR440" s="154"/>
      <c r="AS440" s="1"/>
      <c r="AT440" s="1"/>
      <c r="AU440" s="9"/>
    </row>
    <row r="441">
      <c r="A441" s="54"/>
      <c r="B441" s="71" t="str">
        <f>IFERROR(HYPERLINK(VLOOKUP(A441,Internal_lists_bugs!$A$2:$C$73,3,FALSE()), VLOOKUP(A441,Internal_lists_bugs!$A$2:$C$73,3,FALSE())&amp;Char(10) &amp; Char(10) &amp; VLOOKUP(A441,Internal_lists_bugs!$A$2:$Z$73,26,FALSE())),"please select a BUG ID")</f>
        <v>please select a BUG ID</v>
      </c>
      <c r="C441" s="51" t="str">
        <f>IFERROR(VLOOKUP(A441,Internal_lists_bugs!$A$2:$G2002,7,FALSE()),"please select a BUG ID")</f>
        <v>please select a BUG ID</v>
      </c>
      <c r="D441" s="54"/>
      <c r="E441" s="56"/>
      <c r="F441" s="54"/>
      <c r="G441" s="56"/>
      <c r="H441" s="54"/>
      <c r="I441" s="56"/>
      <c r="J441" s="54"/>
      <c r="K441" s="92"/>
      <c r="L441" s="54"/>
      <c r="M441" s="92"/>
      <c r="N441" s="54"/>
      <c r="O441" s="92"/>
      <c r="P441" s="54"/>
      <c r="Q441" s="92"/>
      <c r="R441" s="54"/>
      <c r="S441" s="92"/>
      <c r="T441" s="117"/>
      <c r="U441" s="92"/>
      <c r="V441" s="54"/>
      <c r="W441" s="92"/>
      <c r="X441" s="54"/>
      <c r="Y441" s="92"/>
      <c r="Z441" s="54"/>
      <c r="AA441" s="92"/>
      <c r="AB441" s="54"/>
      <c r="AC441" s="92"/>
      <c r="AD441" s="54"/>
      <c r="AE441" s="92"/>
      <c r="AF441" s="54"/>
      <c r="AG441" s="92"/>
      <c r="AH441" s="54"/>
      <c r="AI441" s="92"/>
      <c r="AJ441" s="54"/>
      <c r="AK441" s="92"/>
      <c r="AL441" s="54"/>
      <c r="AM441" s="92"/>
      <c r="AO441" s="54"/>
      <c r="AP441" s="123"/>
      <c r="AQ441" s="54"/>
      <c r="AR441" s="154"/>
      <c r="AS441" s="1"/>
      <c r="AT441" s="1"/>
      <c r="AU441" s="9"/>
    </row>
    <row r="442">
      <c r="A442" s="54"/>
      <c r="B442" s="71" t="str">
        <f>IFERROR(HYPERLINK(VLOOKUP(A442,Internal_lists_bugs!$A$2:$C$73,3,FALSE()), VLOOKUP(A442,Internal_lists_bugs!$A$2:$C$73,3,FALSE())&amp;Char(10) &amp; Char(10) &amp; VLOOKUP(A442,Internal_lists_bugs!$A$2:$Z$73,26,FALSE())),"please select a BUG ID")</f>
        <v>please select a BUG ID</v>
      </c>
      <c r="C442" s="51" t="str">
        <f>IFERROR(VLOOKUP(A442,Internal_lists_bugs!$A$2:$G2002,7,FALSE()),"please select a BUG ID")</f>
        <v>please select a BUG ID</v>
      </c>
      <c r="D442" s="54"/>
      <c r="E442" s="56"/>
      <c r="F442" s="54"/>
      <c r="G442" s="56"/>
      <c r="H442" s="54"/>
      <c r="I442" s="56"/>
      <c r="J442" s="54"/>
      <c r="K442" s="92"/>
      <c r="L442" s="54"/>
      <c r="M442" s="92"/>
      <c r="N442" s="54"/>
      <c r="O442" s="92"/>
      <c r="P442" s="54"/>
      <c r="Q442" s="92"/>
      <c r="R442" s="54"/>
      <c r="S442" s="92"/>
      <c r="T442" s="117"/>
      <c r="U442" s="92"/>
      <c r="V442" s="54"/>
      <c r="W442" s="92"/>
      <c r="X442" s="54"/>
      <c r="Y442" s="92"/>
      <c r="Z442" s="54"/>
      <c r="AA442" s="92"/>
      <c r="AB442" s="54"/>
      <c r="AC442" s="92"/>
      <c r="AD442" s="54"/>
      <c r="AE442" s="92"/>
      <c r="AF442" s="54"/>
      <c r="AG442" s="92"/>
      <c r="AH442" s="54"/>
      <c r="AI442" s="92"/>
      <c r="AJ442" s="54"/>
      <c r="AK442" s="92"/>
      <c r="AL442" s="54"/>
      <c r="AM442" s="92"/>
      <c r="AO442" s="54"/>
      <c r="AP442" s="123"/>
      <c r="AQ442" s="54"/>
      <c r="AR442" s="154"/>
      <c r="AS442" s="1"/>
      <c r="AT442" s="1"/>
      <c r="AU442" s="9"/>
    </row>
    <row r="443">
      <c r="A443" s="54"/>
      <c r="B443" s="71" t="str">
        <f>IFERROR(HYPERLINK(VLOOKUP(A443,Internal_lists_bugs!$A$2:$C$73,3,FALSE()), VLOOKUP(A443,Internal_lists_bugs!$A$2:$C$73,3,FALSE())&amp;Char(10) &amp; Char(10) &amp; VLOOKUP(A443,Internal_lists_bugs!$A$2:$Z$73,26,FALSE())),"please select a BUG ID")</f>
        <v>please select a BUG ID</v>
      </c>
      <c r="C443" s="51" t="str">
        <f>IFERROR(VLOOKUP(A443,Internal_lists_bugs!$A$2:$G2002,7,FALSE()),"please select a BUG ID")</f>
        <v>please select a BUG ID</v>
      </c>
      <c r="D443" s="54"/>
      <c r="E443" s="56"/>
      <c r="F443" s="54"/>
      <c r="G443" s="56"/>
      <c r="H443" s="54"/>
      <c r="I443" s="56"/>
      <c r="J443" s="54"/>
      <c r="K443" s="92"/>
      <c r="L443" s="54"/>
      <c r="M443" s="92"/>
      <c r="N443" s="54"/>
      <c r="O443" s="92"/>
      <c r="P443" s="54"/>
      <c r="Q443" s="92"/>
      <c r="R443" s="54"/>
      <c r="S443" s="92"/>
      <c r="T443" s="117"/>
      <c r="U443" s="92"/>
      <c r="V443" s="54"/>
      <c r="W443" s="92"/>
      <c r="X443" s="54"/>
      <c r="Y443" s="92"/>
      <c r="Z443" s="54"/>
      <c r="AA443" s="92"/>
      <c r="AB443" s="54"/>
      <c r="AC443" s="92"/>
      <c r="AD443" s="54"/>
      <c r="AE443" s="92"/>
      <c r="AF443" s="54"/>
      <c r="AG443" s="92"/>
      <c r="AH443" s="54"/>
      <c r="AI443" s="92"/>
      <c r="AJ443" s="54"/>
      <c r="AK443" s="92"/>
      <c r="AL443" s="54"/>
      <c r="AM443" s="92"/>
      <c r="AO443" s="54"/>
      <c r="AP443" s="123"/>
      <c r="AQ443" s="54"/>
      <c r="AR443" s="154"/>
      <c r="AS443" s="1"/>
      <c r="AT443" s="1"/>
      <c r="AU443" s="9"/>
    </row>
    <row r="444">
      <c r="A444" s="54"/>
      <c r="B444" s="71" t="str">
        <f>IFERROR(HYPERLINK(VLOOKUP(A444,Internal_lists_bugs!$A$2:$C$73,3,FALSE()), VLOOKUP(A444,Internal_lists_bugs!$A$2:$C$73,3,FALSE())&amp;Char(10) &amp; Char(10) &amp; VLOOKUP(A444,Internal_lists_bugs!$A$2:$Z$73,26,FALSE())),"please select a BUG ID")</f>
        <v>please select a BUG ID</v>
      </c>
      <c r="C444" s="51" t="str">
        <f>IFERROR(VLOOKUP(A444,Internal_lists_bugs!$A$2:$G2002,7,FALSE()),"please select a BUG ID")</f>
        <v>please select a BUG ID</v>
      </c>
      <c r="D444" s="54"/>
      <c r="E444" s="56"/>
      <c r="F444" s="54"/>
      <c r="G444" s="56"/>
      <c r="H444" s="54"/>
      <c r="I444" s="56"/>
      <c r="J444" s="54"/>
      <c r="K444" s="92"/>
      <c r="L444" s="54"/>
      <c r="M444" s="92"/>
      <c r="N444" s="54"/>
      <c r="O444" s="92"/>
      <c r="P444" s="54"/>
      <c r="Q444" s="92"/>
      <c r="R444" s="54"/>
      <c r="S444" s="92"/>
      <c r="T444" s="117"/>
      <c r="U444" s="92"/>
      <c r="V444" s="54"/>
      <c r="W444" s="92"/>
      <c r="X444" s="54"/>
      <c r="Y444" s="92"/>
      <c r="Z444" s="54"/>
      <c r="AA444" s="92"/>
      <c r="AB444" s="54"/>
      <c r="AC444" s="92"/>
      <c r="AD444" s="54"/>
      <c r="AE444" s="92"/>
      <c r="AF444" s="54"/>
      <c r="AG444" s="92"/>
      <c r="AH444" s="54"/>
      <c r="AI444" s="92"/>
      <c r="AJ444" s="54"/>
      <c r="AK444" s="92"/>
      <c r="AL444" s="54"/>
      <c r="AM444" s="92"/>
      <c r="AO444" s="54"/>
      <c r="AP444" s="123"/>
      <c r="AQ444" s="54"/>
      <c r="AR444" s="154"/>
      <c r="AS444" s="1"/>
      <c r="AT444" s="1"/>
      <c r="AU444" s="9"/>
    </row>
    <row r="445">
      <c r="A445" s="54"/>
      <c r="B445" s="71" t="str">
        <f>IFERROR(HYPERLINK(VLOOKUP(A445,Internal_lists_bugs!$A$2:$C$73,3,FALSE()), VLOOKUP(A445,Internal_lists_bugs!$A$2:$C$73,3,FALSE())&amp;Char(10) &amp; Char(10) &amp; VLOOKUP(A445,Internal_lists_bugs!$A$2:$Z$73,26,FALSE())),"please select a BUG ID")</f>
        <v>please select a BUG ID</v>
      </c>
      <c r="C445" s="51" t="str">
        <f>IFERROR(VLOOKUP(A445,Internal_lists_bugs!$A$2:$G2002,7,FALSE()),"please select a BUG ID")</f>
        <v>please select a BUG ID</v>
      </c>
      <c r="D445" s="54"/>
      <c r="E445" s="56"/>
      <c r="F445" s="54"/>
      <c r="G445" s="56"/>
      <c r="H445" s="54"/>
      <c r="I445" s="56"/>
      <c r="J445" s="54"/>
      <c r="K445" s="92"/>
      <c r="L445" s="54"/>
      <c r="M445" s="92"/>
      <c r="N445" s="54"/>
      <c r="O445" s="92"/>
      <c r="P445" s="54"/>
      <c r="Q445" s="92"/>
      <c r="R445" s="54"/>
      <c r="S445" s="92"/>
      <c r="T445" s="117"/>
      <c r="U445" s="92"/>
      <c r="V445" s="54"/>
      <c r="W445" s="92"/>
      <c r="X445" s="54"/>
      <c r="Y445" s="92"/>
      <c r="Z445" s="54"/>
      <c r="AA445" s="92"/>
      <c r="AB445" s="54"/>
      <c r="AC445" s="92"/>
      <c r="AD445" s="54"/>
      <c r="AE445" s="92"/>
      <c r="AF445" s="54"/>
      <c r="AG445" s="92"/>
      <c r="AH445" s="54"/>
      <c r="AI445" s="92"/>
      <c r="AJ445" s="54"/>
      <c r="AK445" s="92"/>
      <c r="AL445" s="54"/>
      <c r="AM445" s="92"/>
      <c r="AO445" s="54"/>
      <c r="AP445" s="123"/>
      <c r="AQ445" s="54"/>
      <c r="AR445" s="154"/>
      <c r="AS445" s="1"/>
      <c r="AT445" s="1"/>
      <c r="AU445" s="9"/>
    </row>
    <row r="446">
      <c r="A446" s="54"/>
      <c r="B446" s="71" t="str">
        <f>IFERROR(HYPERLINK(VLOOKUP(A446,Internal_lists_bugs!$A$2:$C$73,3,FALSE()), VLOOKUP(A446,Internal_lists_bugs!$A$2:$C$73,3,FALSE())&amp;Char(10) &amp; Char(10) &amp; VLOOKUP(A446,Internal_lists_bugs!$A$2:$Z$73,26,FALSE())),"please select a BUG ID")</f>
        <v>please select a BUG ID</v>
      </c>
      <c r="C446" s="51" t="str">
        <f>IFERROR(VLOOKUP(A446,Internal_lists_bugs!$A$2:$G2002,7,FALSE()),"please select a BUG ID")</f>
        <v>please select a BUG ID</v>
      </c>
      <c r="D446" s="54"/>
      <c r="E446" s="56"/>
      <c r="F446" s="54"/>
      <c r="G446" s="56"/>
      <c r="H446" s="54"/>
      <c r="I446" s="56"/>
      <c r="J446" s="54"/>
      <c r="K446" s="92"/>
      <c r="L446" s="54"/>
      <c r="M446" s="92"/>
      <c r="N446" s="54"/>
      <c r="O446" s="92"/>
      <c r="P446" s="54"/>
      <c r="Q446" s="92"/>
      <c r="R446" s="54"/>
      <c r="S446" s="92"/>
      <c r="T446" s="117"/>
      <c r="U446" s="92"/>
      <c r="V446" s="54"/>
      <c r="W446" s="92"/>
      <c r="X446" s="54"/>
      <c r="Y446" s="92"/>
      <c r="Z446" s="54"/>
      <c r="AA446" s="92"/>
      <c r="AB446" s="54"/>
      <c r="AC446" s="92"/>
      <c r="AD446" s="54"/>
      <c r="AE446" s="92"/>
      <c r="AF446" s="54"/>
      <c r="AG446" s="92"/>
      <c r="AH446" s="54"/>
      <c r="AI446" s="92"/>
      <c r="AJ446" s="54"/>
      <c r="AK446" s="92"/>
      <c r="AL446" s="54"/>
      <c r="AM446" s="92"/>
      <c r="AO446" s="54"/>
      <c r="AP446" s="123"/>
      <c r="AQ446" s="54"/>
      <c r="AR446" s="154"/>
      <c r="AS446" s="1"/>
      <c r="AT446" s="1"/>
      <c r="AU446" s="9"/>
    </row>
    <row r="447">
      <c r="A447" s="54"/>
      <c r="B447" s="71" t="str">
        <f>IFERROR(HYPERLINK(VLOOKUP(A447,Internal_lists_bugs!$A$2:$C$73,3,FALSE()), VLOOKUP(A447,Internal_lists_bugs!$A$2:$C$73,3,FALSE())&amp;Char(10) &amp; Char(10) &amp; VLOOKUP(A447,Internal_lists_bugs!$A$2:$Z$73,26,FALSE())),"please select a BUG ID")</f>
        <v>please select a BUG ID</v>
      </c>
      <c r="C447" s="51" t="str">
        <f>IFERROR(VLOOKUP(A447,Internal_lists_bugs!$A$2:$G2002,7,FALSE()),"please select a BUG ID")</f>
        <v>please select a BUG ID</v>
      </c>
      <c r="D447" s="54"/>
      <c r="E447" s="56"/>
      <c r="F447" s="54"/>
      <c r="G447" s="56"/>
      <c r="H447" s="54"/>
      <c r="I447" s="56"/>
      <c r="J447" s="54"/>
      <c r="K447" s="92"/>
      <c r="L447" s="54"/>
      <c r="M447" s="92"/>
      <c r="N447" s="54"/>
      <c r="O447" s="92"/>
      <c r="P447" s="54"/>
      <c r="Q447" s="92"/>
      <c r="R447" s="54"/>
      <c r="S447" s="92"/>
      <c r="T447" s="117"/>
      <c r="U447" s="92"/>
      <c r="V447" s="54"/>
      <c r="W447" s="92"/>
      <c r="X447" s="54"/>
      <c r="Y447" s="92"/>
      <c r="Z447" s="54"/>
      <c r="AA447" s="92"/>
      <c r="AB447" s="54"/>
      <c r="AC447" s="92"/>
      <c r="AD447" s="54"/>
      <c r="AE447" s="92"/>
      <c r="AF447" s="54"/>
      <c r="AG447" s="92"/>
      <c r="AH447" s="54"/>
      <c r="AI447" s="92"/>
      <c r="AJ447" s="54"/>
      <c r="AK447" s="92"/>
      <c r="AL447" s="54"/>
      <c r="AM447" s="92"/>
      <c r="AO447" s="54"/>
      <c r="AP447" s="123"/>
      <c r="AQ447" s="54"/>
      <c r="AR447" s="154"/>
      <c r="AS447" s="1"/>
      <c r="AT447" s="1"/>
      <c r="AU447" s="9"/>
    </row>
    <row r="448">
      <c r="A448" s="54"/>
      <c r="B448" s="71" t="str">
        <f>IFERROR(HYPERLINK(VLOOKUP(A448,Internal_lists_bugs!$A$2:$C$73,3,FALSE()), VLOOKUP(A448,Internal_lists_bugs!$A$2:$C$73,3,FALSE())&amp;Char(10) &amp; Char(10) &amp; VLOOKUP(A448,Internal_lists_bugs!$A$2:$Z$73,26,FALSE())),"please select a BUG ID")</f>
        <v>please select a BUG ID</v>
      </c>
      <c r="C448" s="51" t="str">
        <f>IFERROR(VLOOKUP(A448,Internal_lists_bugs!$A$2:$G2002,7,FALSE()),"please select a BUG ID")</f>
        <v>please select a BUG ID</v>
      </c>
      <c r="D448" s="54"/>
      <c r="E448" s="56"/>
      <c r="F448" s="54"/>
      <c r="G448" s="56"/>
      <c r="H448" s="54"/>
      <c r="I448" s="56"/>
      <c r="J448" s="54"/>
      <c r="K448" s="92"/>
      <c r="L448" s="54"/>
      <c r="M448" s="92"/>
      <c r="N448" s="54"/>
      <c r="O448" s="92"/>
      <c r="P448" s="54"/>
      <c r="Q448" s="92"/>
      <c r="R448" s="54"/>
      <c r="S448" s="92"/>
      <c r="T448" s="117"/>
      <c r="U448" s="92"/>
      <c r="V448" s="54"/>
      <c r="W448" s="92"/>
      <c r="X448" s="54"/>
      <c r="Y448" s="92"/>
      <c r="Z448" s="54"/>
      <c r="AA448" s="92"/>
      <c r="AB448" s="54"/>
      <c r="AC448" s="92"/>
      <c r="AD448" s="54"/>
      <c r="AE448" s="92"/>
      <c r="AF448" s="54"/>
      <c r="AG448" s="92"/>
      <c r="AH448" s="54"/>
      <c r="AI448" s="92"/>
      <c r="AJ448" s="54"/>
      <c r="AK448" s="92"/>
      <c r="AL448" s="54"/>
      <c r="AM448" s="92"/>
      <c r="AO448" s="54"/>
      <c r="AP448" s="123"/>
      <c r="AQ448" s="54"/>
      <c r="AR448" s="154"/>
      <c r="AS448" s="1"/>
      <c r="AT448" s="1"/>
      <c r="AU448" s="9"/>
    </row>
    <row r="449">
      <c r="A449" s="54"/>
      <c r="B449" s="71" t="str">
        <f>IFERROR(HYPERLINK(VLOOKUP(A449,Internal_lists_bugs!$A$2:$C$73,3,FALSE()), VLOOKUP(A449,Internal_lists_bugs!$A$2:$C$73,3,FALSE())&amp;Char(10) &amp; Char(10) &amp; VLOOKUP(A449,Internal_lists_bugs!$A$2:$Z$73,26,FALSE())),"please select a BUG ID")</f>
        <v>please select a BUG ID</v>
      </c>
      <c r="C449" s="51" t="str">
        <f>IFERROR(VLOOKUP(A449,Internal_lists_bugs!$A$2:$G2002,7,FALSE()),"please select a BUG ID")</f>
        <v>please select a BUG ID</v>
      </c>
      <c r="D449" s="54"/>
      <c r="E449" s="56"/>
      <c r="F449" s="54"/>
      <c r="G449" s="56"/>
      <c r="H449" s="54"/>
      <c r="I449" s="56"/>
      <c r="J449" s="54"/>
      <c r="K449" s="92"/>
      <c r="L449" s="54"/>
      <c r="M449" s="92"/>
      <c r="N449" s="54"/>
      <c r="O449" s="92"/>
      <c r="P449" s="54"/>
      <c r="Q449" s="92"/>
      <c r="R449" s="54"/>
      <c r="S449" s="92"/>
      <c r="T449" s="117"/>
      <c r="U449" s="92"/>
      <c r="V449" s="54"/>
      <c r="W449" s="92"/>
      <c r="X449" s="54"/>
      <c r="Y449" s="92"/>
      <c r="Z449" s="54"/>
      <c r="AA449" s="92"/>
      <c r="AB449" s="54"/>
      <c r="AC449" s="92"/>
      <c r="AD449" s="54"/>
      <c r="AE449" s="92"/>
      <c r="AF449" s="54"/>
      <c r="AG449" s="92"/>
      <c r="AH449" s="54"/>
      <c r="AI449" s="92"/>
      <c r="AJ449" s="54"/>
      <c r="AK449" s="92"/>
      <c r="AL449" s="54"/>
      <c r="AM449" s="92"/>
      <c r="AO449" s="54"/>
      <c r="AP449" s="123"/>
      <c r="AQ449" s="54"/>
      <c r="AR449" s="154"/>
      <c r="AS449" s="1"/>
      <c r="AT449" s="1"/>
      <c r="AU449" s="9"/>
    </row>
    <row r="450">
      <c r="A450" s="54"/>
      <c r="B450" s="71" t="str">
        <f>IFERROR(HYPERLINK(VLOOKUP(A450,Internal_lists_bugs!$A$2:$C$73,3,FALSE()), VLOOKUP(A450,Internal_lists_bugs!$A$2:$C$73,3,FALSE())&amp;Char(10) &amp; Char(10) &amp; VLOOKUP(A450,Internal_lists_bugs!$A$2:$Z$73,26,FALSE())),"please select a BUG ID")</f>
        <v>please select a BUG ID</v>
      </c>
      <c r="C450" s="51" t="str">
        <f>IFERROR(VLOOKUP(A450,Internal_lists_bugs!$A$2:$G2002,7,FALSE()),"please select a BUG ID")</f>
        <v>please select a BUG ID</v>
      </c>
      <c r="D450" s="54"/>
      <c r="E450" s="56"/>
      <c r="F450" s="54"/>
      <c r="G450" s="56"/>
      <c r="H450" s="54"/>
      <c r="I450" s="56"/>
      <c r="J450" s="54"/>
      <c r="K450" s="92"/>
      <c r="L450" s="54"/>
      <c r="M450" s="92"/>
      <c r="N450" s="54"/>
      <c r="O450" s="92"/>
      <c r="P450" s="54"/>
      <c r="Q450" s="92"/>
      <c r="R450" s="54"/>
      <c r="S450" s="92"/>
      <c r="T450" s="117"/>
      <c r="U450" s="92"/>
      <c r="V450" s="54"/>
      <c r="W450" s="92"/>
      <c r="X450" s="54"/>
      <c r="Y450" s="92"/>
      <c r="Z450" s="54"/>
      <c r="AA450" s="92"/>
      <c r="AB450" s="54"/>
      <c r="AC450" s="92"/>
      <c r="AD450" s="54"/>
      <c r="AE450" s="92"/>
      <c r="AF450" s="54"/>
      <c r="AG450" s="92"/>
      <c r="AH450" s="54"/>
      <c r="AI450" s="92"/>
      <c r="AJ450" s="54"/>
      <c r="AK450" s="92"/>
      <c r="AL450" s="54"/>
      <c r="AM450" s="92"/>
      <c r="AO450" s="54"/>
      <c r="AP450" s="123"/>
      <c r="AQ450" s="54"/>
      <c r="AR450" s="154"/>
      <c r="AS450" s="1"/>
      <c r="AT450" s="1"/>
      <c r="AU450" s="9"/>
    </row>
    <row r="451">
      <c r="A451" s="54"/>
      <c r="B451" s="71" t="str">
        <f>IFERROR(HYPERLINK(VLOOKUP(A451,Internal_lists_bugs!$A$2:$C$73,3,FALSE()), VLOOKUP(A451,Internal_lists_bugs!$A$2:$C$73,3,FALSE())&amp;Char(10) &amp; Char(10) &amp; VLOOKUP(A451,Internal_lists_bugs!$A$2:$Z$73,26,FALSE())),"please select a BUG ID")</f>
        <v>please select a BUG ID</v>
      </c>
      <c r="C451" s="51" t="str">
        <f>IFERROR(VLOOKUP(A451,Internal_lists_bugs!$A$2:$G2002,7,FALSE()),"please select a BUG ID")</f>
        <v>please select a BUG ID</v>
      </c>
      <c r="D451" s="54"/>
      <c r="E451" s="56"/>
      <c r="F451" s="54"/>
      <c r="G451" s="56"/>
      <c r="H451" s="54"/>
      <c r="I451" s="56"/>
      <c r="J451" s="54"/>
      <c r="K451" s="92"/>
      <c r="L451" s="54"/>
      <c r="M451" s="92"/>
      <c r="N451" s="54"/>
      <c r="O451" s="92"/>
      <c r="P451" s="54"/>
      <c r="Q451" s="92"/>
      <c r="R451" s="54"/>
      <c r="S451" s="92"/>
      <c r="T451" s="117"/>
      <c r="U451" s="92"/>
      <c r="V451" s="54"/>
      <c r="W451" s="92"/>
      <c r="X451" s="54"/>
      <c r="Y451" s="92"/>
      <c r="Z451" s="54"/>
      <c r="AA451" s="92"/>
      <c r="AB451" s="54"/>
      <c r="AC451" s="92"/>
      <c r="AD451" s="54"/>
      <c r="AE451" s="92"/>
      <c r="AF451" s="54"/>
      <c r="AG451" s="92"/>
      <c r="AH451" s="54"/>
      <c r="AI451" s="92"/>
      <c r="AJ451" s="54"/>
      <c r="AK451" s="92"/>
      <c r="AL451" s="54"/>
      <c r="AM451" s="92"/>
      <c r="AO451" s="54"/>
      <c r="AP451" s="123"/>
      <c r="AQ451" s="54"/>
      <c r="AR451" s="154"/>
      <c r="AS451" s="1"/>
      <c r="AT451" s="1"/>
      <c r="AU451" s="9"/>
    </row>
    <row r="452">
      <c r="A452" s="54"/>
      <c r="B452" s="71" t="str">
        <f>IFERROR(HYPERLINK(VLOOKUP(A452,Internal_lists_bugs!$A$2:$C$73,3,FALSE()), VLOOKUP(A452,Internal_lists_bugs!$A$2:$C$73,3,FALSE())&amp;Char(10) &amp; Char(10) &amp; VLOOKUP(A452,Internal_lists_bugs!$A$2:$Z$73,26,FALSE())),"please select a BUG ID")</f>
        <v>please select a BUG ID</v>
      </c>
      <c r="C452" s="51" t="str">
        <f>IFERROR(VLOOKUP(A452,Internal_lists_bugs!$A$2:$G2002,7,FALSE()),"please select a BUG ID")</f>
        <v>please select a BUG ID</v>
      </c>
      <c r="D452" s="54"/>
      <c r="E452" s="56"/>
      <c r="F452" s="54"/>
      <c r="G452" s="56"/>
      <c r="H452" s="54"/>
      <c r="I452" s="56"/>
      <c r="J452" s="54"/>
      <c r="K452" s="92"/>
      <c r="L452" s="54"/>
      <c r="M452" s="92"/>
      <c r="N452" s="54"/>
      <c r="O452" s="92"/>
      <c r="P452" s="54"/>
      <c r="Q452" s="92"/>
      <c r="R452" s="54"/>
      <c r="S452" s="92"/>
      <c r="T452" s="117"/>
      <c r="U452" s="92"/>
      <c r="V452" s="54"/>
      <c r="W452" s="92"/>
      <c r="X452" s="54"/>
      <c r="Y452" s="92"/>
      <c r="Z452" s="54"/>
      <c r="AA452" s="92"/>
      <c r="AB452" s="54"/>
      <c r="AC452" s="92"/>
      <c r="AD452" s="54"/>
      <c r="AE452" s="92"/>
      <c r="AF452" s="54"/>
      <c r="AG452" s="92"/>
      <c r="AH452" s="54"/>
      <c r="AI452" s="92"/>
      <c r="AJ452" s="54"/>
      <c r="AK452" s="92"/>
      <c r="AL452" s="54"/>
      <c r="AM452" s="92"/>
      <c r="AO452" s="54"/>
      <c r="AP452" s="123"/>
      <c r="AQ452" s="54"/>
      <c r="AR452" s="154"/>
      <c r="AS452" s="1"/>
      <c r="AT452" s="1"/>
      <c r="AU452" s="9"/>
    </row>
    <row r="453">
      <c r="A453" s="54"/>
      <c r="B453" s="71" t="str">
        <f>IFERROR(HYPERLINK(VLOOKUP(A453,Internal_lists_bugs!$A$2:$C$73,3,FALSE()), VLOOKUP(A453,Internal_lists_bugs!$A$2:$C$73,3,FALSE())&amp;Char(10) &amp; Char(10) &amp; VLOOKUP(A453,Internal_lists_bugs!$A$2:$Z$73,26,FALSE())),"please select a BUG ID")</f>
        <v>please select a BUG ID</v>
      </c>
      <c r="C453" s="51" t="str">
        <f>IFERROR(VLOOKUP(A453,Internal_lists_bugs!$A$2:$G2002,7,FALSE()),"please select a BUG ID")</f>
        <v>please select a BUG ID</v>
      </c>
      <c r="D453" s="54"/>
      <c r="E453" s="56"/>
      <c r="F453" s="54"/>
      <c r="G453" s="56"/>
      <c r="H453" s="54"/>
      <c r="I453" s="56"/>
      <c r="J453" s="54"/>
      <c r="K453" s="92"/>
      <c r="L453" s="54"/>
      <c r="M453" s="92"/>
      <c r="N453" s="54"/>
      <c r="O453" s="92"/>
      <c r="P453" s="54"/>
      <c r="Q453" s="92"/>
      <c r="R453" s="54"/>
      <c r="S453" s="92"/>
      <c r="T453" s="117"/>
      <c r="U453" s="92"/>
      <c r="V453" s="54"/>
      <c r="W453" s="92"/>
      <c r="X453" s="54"/>
      <c r="Y453" s="92"/>
      <c r="Z453" s="54"/>
      <c r="AA453" s="92"/>
      <c r="AB453" s="54"/>
      <c r="AC453" s="92"/>
      <c r="AD453" s="54"/>
      <c r="AE453" s="92"/>
      <c r="AF453" s="54"/>
      <c r="AG453" s="92"/>
      <c r="AH453" s="54"/>
      <c r="AI453" s="92"/>
      <c r="AJ453" s="54"/>
      <c r="AK453" s="92"/>
      <c r="AL453" s="54"/>
      <c r="AM453" s="92"/>
      <c r="AO453" s="54"/>
      <c r="AP453" s="123"/>
      <c r="AQ453" s="54"/>
      <c r="AR453" s="154"/>
      <c r="AS453" s="1"/>
      <c r="AT453" s="1"/>
      <c r="AU453" s="9"/>
    </row>
    <row r="454">
      <c r="A454" s="54"/>
      <c r="B454" s="71" t="str">
        <f>IFERROR(HYPERLINK(VLOOKUP(A454,Internal_lists_bugs!$A$2:$C$73,3,FALSE()), VLOOKUP(A454,Internal_lists_bugs!$A$2:$C$73,3,FALSE())&amp;Char(10) &amp; Char(10) &amp; VLOOKUP(A454,Internal_lists_bugs!$A$2:$Z$73,26,FALSE())),"please select a BUG ID")</f>
        <v>please select a BUG ID</v>
      </c>
      <c r="C454" s="51" t="str">
        <f>IFERROR(VLOOKUP(A454,Internal_lists_bugs!$A$2:$G2002,7,FALSE()),"please select a BUG ID")</f>
        <v>please select a BUG ID</v>
      </c>
      <c r="D454" s="54"/>
      <c r="E454" s="56"/>
      <c r="F454" s="54"/>
      <c r="G454" s="56"/>
      <c r="H454" s="54"/>
      <c r="I454" s="56"/>
      <c r="J454" s="54"/>
      <c r="K454" s="92"/>
      <c r="L454" s="54"/>
      <c r="M454" s="92"/>
      <c r="N454" s="54"/>
      <c r="O454" s="92"/>
      <c r="P454" s="54"/>
      <c r="Q454" s="92"/>
      <c r="R454" s="54"/>
      <c r="S454" s="92"/>
      <c r="T454" s="117"/>
      <c r="U454" s="92"/>
      <c r="V454" s="54"/>
      <c r="W454" s="92"/>
      <c r="X454" s="54"/>
      <c r="Y454" s="92"/>
      <c r="Z454" s="54"/>
      <c r="AA454" s="92"/>
      <c r="AB454" s="54"/>
      <c r="AC454" s="92"/>
      <c r="AD454" s="54"/>
      <c r="AE454" s="92"/>
      <c r="AF454" s="54"/>
      <c r="AG454" s="92"/>
      <c r="AH454" s="54"/>
      <c r="AI454" s="92"/>
      <c r="AJ454" s="54"/>
      <c r="AK454" s="92"/>
      <c r="AL454" s="54"/>
      <c r="AM454" s="92"/>
      <c r="AO454" s="54"/>
      <c r="AP454" s="123"/>
      <c r="AQ454" s="54"/>
      <c r="AR454" s="154"/>
      <c r="AS454" s="1"/>
      <c r="AT454" s="1"/>
      <c r="AU454" s="9"/>
    </row>
    <row r="455">
      <c r="A455" s="54"/>
      <c r="B455" s="71" t="str">
        <f>IFERROR(HYPERLINK(VLOOKUP(A455,Internal_lists_bugs!$A$2:$C$73,3,FALSE()), VLOOKUP(A455,Internal_lists_bugs!$A$2:$C$73,3,FALSE())&amp;Char(10) &amp; Char(10) &amp; VLOOKUP(A455,Internal_lists_bugs!$A$2:$Z$73,26,FALSE())),"please select a BUG ID")</f>
        <v>please select a BUG ID</v>
      </c>
      <c r="C455" s="51" t="str">
        <f>IFERROR(VLOOKUP(A455,Internal_lists_bugs!$A$2:$G2002,7,FALSE()),"please select a BUG ID")</f>
        <v>please select a BUG ID</v>
      </c>
      <c r="D455" s="54"/>
      <c r="E455" s="56"/>
      <c r="F455" s="54"/>
      <c r="G455" s="56"/>
      <c r="H455" s="54"/>
      <c r="I455" s="56"/>
      <c r="J455" s="54"/>
      <c r="K455" s="92"/>
      <c r="L455" s="54"/>
      <c r="M455" s="92"/>
      <c r="N455" s="54"/>
      <c r="O455" s="92"/>
      <c r="P455" s="54"/>
      <c r="Q455" s="92"/>
      <c r="R455" s="54"/>
      <c r="S455" s="92"/>
      <c r="T455" s="117"/>
      <c r="U455" s="92"/>
      <c r="V455" s="54"/>
      <c r="W455" s="92"/>
      <c r="X455" s="54"/>
      <c r="Y455" s="92"/>
      <c r="Z455" s="54"/>
      <c r="AA455" s="92"/>
      <c r="AB455" s="54"/>
      <c r="AC455" s="92"/>
      <c r="AD455" s="54"/>
      <c r="AE455" s="92"/>
      <c r="AF455" s="54"/>
      <c r="AG455" s="92"/>
      <c r="AH455" s="54"/>
      <c r="AI455" s="92"/>
      <c r="AJ455" s="54"/>
      <c r="AK455" s="92"/>
      <c r="AL455" s="54"/>
      <c r="AM455" s="92"/>
      <c r="AO455" s="54"/>
      <c r="AP455" s="123"/>
      <c r="AQ455" s="54"/>
      <c r="AR455" s="154"/>
      <c r="AS455" s="1"/>
      <c r="AT455" s="1"/>
      <c r="AU455" s="9"/>
    </row>
    <row r="456">
      <c r="A456" s="54"/>
      <c r="B456" s="71" t="str">
        <f>IFERROR(HYPERLINK(VLOOKUP(A456,Internal_lists_bugs!$A$2:$C$73,3,FALSE()), VLOOKUP(A456,Internal_lists_bugs!$A$2:$C$73,3,FALSE())&amp;Char(10) &amp; Char(10) &amp; VLOOKUP(A456,Internal_lists_bugs!$A$2:$Z$73,26,FALSE())),"please select a BUG ID")</f>
        <v>please select a BUG ID</v>
      </c>
      <c r="C456" s="51" t="str">
        <f>IFERROR(VLOOKUP(A456,Internal_lists_bugs!$A$2:$G2002,7,FALSE()),"please select a BUG ID")</f>
        <v>please select a BUG ID</v>
      </c>
      <c r="D456" s="54"/>
      <c r="E456" s="56"/>
      <c r="F456" s="54"/>
      <c r="G456" s="56"/>
      <c r="H456" s="54"/>
      <c r="I456" s="56"/>
      <c r="J456" s="54"/>
      <c r="K456" s="92"/>
      <c r="L456" s="54"/>
      <c r="M456" s="92"/>
      <c r="N456" s="54"/>
      <c r="O456" s="92"/>
      <c r="P456" s="54"/>
      <c r="Q456" s="92"/>
      <c r="R456" s="54"/>
      <c r="S456" s="92"/>
      <c r="T456" s="117"/>
      <c r="U456" s="92"/>
      <c r="V456" s="54"/>
      <c r="W456" s="92"/>
      <c r="X456" s="54"/>
      <c r="Y456" s="92"/>
      <c r="Z456" s="54"/>
      <c r="AA456" s="92"/>
      <c r="AB456" s="54"/>
      <c r="AC456" s="92"/>
      <c r="AD456" s="54"/>
      <c r="AE456" s="92"/>
      <c r="AF456" s="54"/>
      <c r="AG456" s="92"/>
      <c r="AH456" s="54"/>
      <c r="AI456" s="92"/>
      <c r="AJ456" s="54"/>
      <c r="AK456" s="92"/>
      <c r="AL456" s="54"/>
      <c r="AM456" s="92"/>
      <c r="AO456" s="54"/>
      <c r="AP456" s="123"/>
      <c r="AQ456" s="54"/>
      <c r="AR456" s="154"/>
      <c r="AS456" s="1"/>
      <c r="AT456" s="1"/>
      <c r="AU456" s="9"/>
    </row>
    <row r="457">
      <c r="A457" s="54"/>
      <c r="B457" s="71" t="str">
        <f>IFERROR(HYPERLINK(VLOOKUP(A457,Internal_lists_bugs!$A$2:$C$73,3,FALSE()), VLOOKUP(A457,Internal_lists_bugs!$A$2:$C$73,3,FALSE())&amp;Char(10) &amp; Char(10) &amp; VLOOKUP(A457,Internal_lists_bugs!$A$2:$Z$73,26,FALSE())),"please select a BUG ID")</f>
        <v>please select a BUG ID</v>
      </c>
      <c r="C457" s="51" t="str">
        <f>IFERROR(VLOOKUP(A457,Internal_lists_bugs!$A$2:$G2002,7,FALSE()),"please select a BUG ID")</f>
        <v>please select a BUG ID</v>
      </c>
      <c r="D457" s="54"/>
      <c r="E457" s="56"/>
      <c r="F457" s="54"/>
      <c r="G457" s="56"/>
      <c r="H457" s="54"/>
      <c r="I457" s="56"/>
      <c r="J457" s="54"/>
      <c r="K457" s="92"/>
      <c r="L457" s="54"/>
      <c r="M457" s="92"/>
      <c r="N457" s="54"/>
      <c r="O457" s="92"/>
      <c r="P457" s="54"/>
      <c r="Q457" s="92"/>
      <c r="R457" s="54"/>
      <c r="S457" s="92"/>
      <c r="T457" s="117"/>
      <c r="U457" s="92"/>
      <c r="V457" s="54"/>
      <c r="W457" s="92"/>
      <c r="X457" s="54"/>
      <c r="Y457" s="92"/>
      <c r="Z457" s="54"/>
      <c r="AA457" s="92"/>
      <c r="AB457" s="54"/>
      <c r="AC457" s="92"/>
      <c r="AD457" s="54"/>
      <c r="AE457" s="92"/>
      <c r="AF457" s="54"/>
      <c r="AG457" s="92"/>
      <c r="AH457" s="54"/>
      <c r="AI457" s="92"/>
      <c r="AJ457" s="54"/>
      <c r="AK457" s="92"/>
      <c r="AL457" s="54"/>
      <c r="AM457" s="92"/>
      <c r="AO457" s="54"/>
      <c r="AP457" s="123"/>
      <c r="AQ457" s="54"/>
      <c r="AR457" s="154"/>
      <c r="AS457" s="1"/>
      <c r="AT457" s="1"/>
      <c r="AU457" s="9"/>
    </row>
    <row r="458">
      <c r="A458" s="54"/>
      <c r="B458" s="71" t="str">
        <f>IFERROR(HYPERLINK(VLOOKUP(A458,Internal_lists_bugs!$A$2:$C$73,3,FALSE()), VLOOKUP(A458,Internal_lists_bugs!$A$2:$C$73,3,FALSE())&amp;Char(10) &amp; Char(10) &amp; VLOOKUP(A458,Internal_lists_bugs!$A$2:$Z$73,26,FALSE())),"please select a BUG ID")</f>
        <v>please select a BUG ID</v>
      </c>
      <c r="C458" s="51" t="str">
        <f>IFERROR(VLOOKUP(A458,Internal_lists_bugs!$A$2:$G2002,7,FALSE()),"please select a BUG ID")</f>
        <v>please select a BUG ID</v>
      </c>
      <c r="D458" s="54"/>
      <c r="E458" s="56"/>
      <c r="F458" s="54"/>
      <c r="G458" s="56"/>
      <c r="H458" s="54"/>
      <c r="I458" s="56"/>
      <c r="J458" s="54"/>
      <c r="K458" s="92"/>
      <c r="L458" s="54"/>
      <c r="M458" s="92"/>
      <c r="N458" s="54"/>
      <c r="O458" s="92"/>
      <c r="P458" s="54"/>
      <c r="Q458" s="92"/>
      <c r="R458" s="54"/>
      <c r="S458" s="92"/>
      <c r="T458" s="117"/>
      <c r="U458" s="92"/>
      <c r="V458" s="54"/>
      <c r="W458" s="92"/>
      <c r="X458" s="54"/>
      <c r="Y458" s="92"/>
      <c r="Z458" s="54"/>
      <c r="AA458" s="92"/>
      <c r="AB458" s="54"/>
      <c r="AC458" s="92"/>
      <c r="AD458" s="54"/>
      <c r="AE458" s="92"/>
      <c r="AF458" s="54"/>
      <c r="AG458" s="92"/>
      <c r="AH458" s="54"/>
      <c r="AI458" s="92"/>
      <c r="AJ458" s="54"/>
      <c r="AK458" s="92"/>
      <c r="AL458" s="54"/>
      <c r="AM458" s="92"/>
      <c r="AO458" s="54"/>
      <c r="AP458" s="123"/>
      <c r="AQ458" s="54"/>
      <c r="AR458" s="154"/>
      <c r="AS458" s="1"/>
      <c r="AT458" s="1"/>
      <c r="AU458" s="9"/>
    </row>
    <row r="459">
      <c r="A459" s="54"/>
      <c r="B459" s="71" t="str">
        <f>IFERROR(HYPERLINK(VLOOKUP(A459,Internal_lists_bugs!$A$2:$C$73,3,FALSE()), VLOOKUP(A459,Internal_lists_bugs!$A$2:$C$73,3,FALSE())&amp;Char(10) &amp; Char(10) &amp; VLOOKUP(A459,Internal_lists_bugs!$A$2:$Z$73,26,FALSE())),"please select a BUG ID")</f>
        <v>please select a BUG ID</v>
      </c>
      <c r="C459" s="51" t="str">
        <f>IFERROR(VLOOKUP(A459,Internal_lists_bugs!$A$2:$G2002,7,FALSE()),"please select a BUG ID")</f>
        <v>please select a BUG ID</v>
      </c>
      <c r="D459" s="54"/>
      <c r="E459" s="56"/>
      <c r="F459" s="54"/>
      <c r="G459" s="56"/>
      <c r="H459" s="54"/>
      <c r="I459" s="56"/>
      <c r="J459" s="54"/>
      <c r="K459" s="92"/>
      <c r="L459" s="54"/>
      <c r="M459" s="92"/>
      <c r="N459" s="54"/>
      <c r="O459" s="92"/>
      <c r="P459" s="54"/>
      <c r="Q459" s="92"/>
      <c r="R459" s="54"/>
      <c r="S459" s="92"/>
      <c r="T459" s="117"/>
      <c r="U459" s="92"/>
      <c r="V459" s="54"/>
      <c r="W459" s="92"/>
      <c r="X459" s="54"/>
      <c r="Y459" s="92"/>
      <c r="Z459" s="54"/>
      <c r="AA459" s="92"/>
      <c r="AB459" s="54"/>
      <c r="AC459" s="92"/>
      <c r="AD459" s="54"/>
      <c r="AE459" s="92"/>
      <c r="AF459" s="54"/>
      <c r="AG459" s="92"/>
      <c r="AH459" s="54"/>
      <c r="AI459" s="92"/>
      <c r="AJ459" s="54"/>
      <c r="AK459" s="92"/>
      <c r="AL459" s="54"/>
      <c r="AM459" s="92"/>
      <c r="AO459" s="54"/>
      <c r="AP459" s="123"/>
      <c r="AQ459" s="54"/>
      <c r="AR459" s="154"/>
      <c r="AS459" s="1"/>
      <c r="AT459" s="1"/>
      <c r="AU459" s="9"/>
    </row>
    <row r="460">
      <c r="A460" s="54"/>
      <c r="B460" s="71" t="str">
        <f>IFERROR(HYPERLINK(VLOOKUP(A460,Internal_lists_bugs!$A$2:$C$73,3,FALSE()), VLOOKUP(A460,Internal_lists_bugs!$A$2:$C$73,3,FALSE())&amp;Char(10) &amp; Char(10) &amp; VLOOKUP(A460,Internal_lists_bugs!$A$2:$Z$73,26,FALSE())),"please select a BUG ID")</f>
        <v>please select a BUG ID</v>
      </c>
      <c r="C460" s="51" t="str">
        <f>IFERROR(VLOOKUP(A460,Internal_lists_bugs!$A$2:$G2002,7,FALSE()),"please select a BUG ID")</f>
        <v>please select a BUG ID</v>
      </c>
      <c r="D460" s="54"/>
      <c r="E460" s="56"/>
      <c r="F460" s="54"/>
      <c r="G460" s="56"/>
      <c r="H460" s="54"/>
      <c r="I460" s="56"/>
      <c r="J460" s="54"/>
      <c r="K460" s="92"/>
      <c r="L460" s="54"/>
      <c r="M460" s="92"/>
      <c r="N460" s="54"/>
      <c r="O460" s="92"/>
      <c r="P460" s="54"/>
      <c r="Q460" s="92"/>
      <c r="R460" s="54"/>
      <c r="S460" s="92"/>
      <c r="T460" s="117"/>
      <c r="U460" s="92"/>
      <c r="V460" s="54"/>
      <c r="W460" s="92"/>
      <c r="X460" s="54"/>
      <c r="Y460" s="92"/>
      <c r="Z460" s="54"/>
      <c r="AA460" s="92"/>
      <c r="AB460" s="54"/>
      <c r="AC460" s="92"/>
      <c r="AD460" s="54"/>
      <c r="AE460" s="92"/>
      <c r="AF460" s="54"/>
      <c r="AG460" s="92"/>
      <c r="AH460" s="54"/>
      <c r="AI460" s="92"/>
      <c r="AJ460" s="54"/>
      <c r="AK460" s="92"/>
      <c r="AL460" s="54"/>
      <c r="AM460" s="92"/>
      <c r="AO460" s="54"/>
      <c r="AP460" s="123"/>
      <c r="AQ460" s="54"/>
      <c r="AR460" s="154"/>
      <c r="AS460" s="1"/>
      <c r="AT460" s="1"/>
      <c r="AU460" s="9"/>
    </row>
    <row r="461">
      <c r="A461" s="54"/>
      <c r="B461" s="71" t="str">
        <f>IFERROR(HYPERLINK(VLOOKUP(A461,Internal_lists_bugs!$A$2:$C$73,3,FALSE()), VLOOKUP(A461,Internal_lists_bugs!$A$2:$C$73,3,FALSE())&amp;Char(10) &amp; Char(10) &amp; VLOOKUP(A461,Internal_lists_bugs!$A$2:$Z$73,26,FALSE())),"please select a BUG ID")</f>
        <v>please select a BUG ID</v>
      </c>
      <c r="C461" s="51" t="str">
        <f>IFERROR(VLOOKUP(A461,Internal_lists_bugs!$A$2:$G2002,7,FALSE()),"please select a BUG ID")</f>
        <v>please select a BUG ID</v>
      </c>
      <c r="D461" s="54"/>
      <c r="E461" s="56"/>
      <c r="F461" s="54"/>
      <c r="G461" s="56"/>
      <c r="H461" s="54"/>
      <c r="I461" s="56"/>
      <c r="J461" s="54"/>
      <c r="K461" s="92"/>
      <c r="L461" s="54"/>
      <c r="M461" s="92"/>
      <c r="N461" s="54"/>
      <c r="O461" s="92"/>
      <c r="P461" s="54"/>
      <c r="Q461" s="92"/>
      <c r="R461" s="54"/>
      <c r="S461" s="92"/>
      <c r="T461" s="117"/>
      <c r="U461" s="92"/>
      <c r="V461" s="54"/>
      <c r="W461" s="92"/>
      <c r="X461" s="54"/>
      <c r="Y461" s="92"/>
      <c r="Z461" s="54"/>
      <c r="AA461" s="92"/>
      <c r="AB461" s="54"/>
      <c r="AC461" s="92"/>
      <c r="AD461" s="54"/>
      <c r="AE461" s="92"/>
      <c r="AF461" s="54"/>
      <c r="AG461" s="92"/>
      <c r="AH461" s="54"/>
      <c r="AI461" s="92"/>
      <c r="AJ461" s="54"/>
      <c r="AK461" s="92"/>
      <c r="AL461" s="54"/>
      <c r="AM461" s="92"/>
      <c r="AO461" s="54"/>
      <c r="AP461" s="123"/>
      <c r="AQ461" s="54"/>
      <c r="AR461" s="154"/>
      <c r="AS461" s="1"/>
      <c r="AT461" s="1"/>
      <c r="AU461" s="9"/>
    </row>
    <row r="462">
      <c r="A462" s="54"/>
      <c r="B462" s="71" t="str">
        <f>IFERROR(HYPERLINK(VLOOKUP(A462,Internal_lists_bugs!$A$2:$C$73,3,FALSE()), VLOOKUP(A462,Internal_lists_bugs!$A$2:$C$73,3,FALSE())&amp;Char(10) &amp; Char(10) &amp; VLOOKUP(A462,Internal_lists_bugs!$A$2:$Z$73,26,FALSE())),"please select a BUG ID")</f>
        <v>please select a BUG ID</v>
      </c>
      <c r="C462" s="51" t="str">
        <f>IFERROR(VLOOKUP(A462,Internal_lists_bugs!$A$2:$G2002,7,FALSE()),"please select a BUG ID")</f>
        <v>please select a BUG ID</v>
      </c>
      <c r="D462" s="54"/>
      <c r="E462" s="56"/>
      <c r="F462" s="54"/>
      <c r="G462" s="56"/>
      <c r="H462" s="54"/>
      <c r="I462" s="56"/>
      <c r="J462" s="54"/>
      <c r="K462" s="92"/>
      <c r="L462" s="54"/>
      <c r="M462" s="92"/>
      <c r="N462" s="54"/>
      <c r="O462" s="92"/>
      <c r="P462" s="54"/>
      <c r="Q462" s="92"/>
      <c r="R462" s="54"/>
      <c r="S462" s="92"/>
      <c r="T462" s="117"/>
      <c r="U462" s="92"/>
      <c r="V462" s="54"/>
      <c r="W462" s="92"/>
      <c r="X462" s="54"/>
      <c r="Y462" s="92"/>
      <c r="Z462" s="54"/>
      <c r="AA462" s="92"/>
      <c r="AB462" s="54"/>
      <c r="AC462" s="92"/>
      <c r="AD462" s="54"/>
      <c r="AE462" s="92"/>
      <c r="AF462" s="54"/>
      <c r="AG462" s="92"/>
      <c r="AH462" s="54"/>
      <c r="AI462" s="92"/>
      <c r="AJ462" s="54"/>
      <c r="AK462" s="92"/>
      <c r="AL462" s="54"/>
      <c r="AM462" s="92"/>
      <c r="AO462" s="54"/>
      <c r="AP462" s="123"/>
      <c r="AQ462" s="54"/>
      <c r="AR462" s="154"/>
      <c r="AS462" s="1"/>
      <c r="AT462" s="1"/>
      <c r="AU462" s="9"/>
    </row>
    <row r="463">
      <c r="A463" s="54"/>
      <c r="B463" s="71" t="str">
        <f>IFERROR(HYPERLINK(VLOOKUP(A463,Internal_lists_bugs!$A$2:$C$73,3,FALSE()), VLOOKUP(A463,Internal_lists_bugs!$A$2:$C$73,3,FALSE())&amp;Char(10) &amp; Char(10) &amp; VLOOKUP(A463,Internal_lists_bugs!$A$2:$Z$73,26,FALSE())),"please select a BUG ID")</f>
        <v>please select a BUG ID</v>
      </c>
      <c r="C463" s="51" t="str">
        <f>IFERROR(VLOOKUP(A463,Internal_lists_bugs!$A$2:$G2002,7,FALSE()),"please select a BUG ID")</f>
        <v>please select a BUG ID</v>
      </c>
      <c r="D463" s="54"/>
      <c r="E463" s="56"/>
      <c r="F463" s="54"/>
      <c r="G463" s="56"/>
      <c r="H463" s="54"/>
      <c r="I463" s="56"/>
      <c r="J463" s="54"/>
      <c r="K463" s="92"/>
      <c r="L463" s="54"/>
      <c r="M463" s="92"/>
      <c r="N463" s="54"/>
      <c r="O463" s="92"/>
      <c r="P463" s="54"/>
      <c r="Q463" s="92"/>
      <c r="R463" s="54"/>
      <c r="S463" s="92"/>
      <c r="T463" s="117"/>
      <c r="U463" s="92"/>
      <c r="V463" s="54"/>
      <c r="W463" s="92"/>
      <c r="X463" s="54"/>
      <c r="Y463" s="92"/>
      <c r="Z463" s="54"/>
      <c r="AA463" s="92"/>
      <c r="AB463" s="54"/>
      <c r="AC463" s="92"/>
      <c r="AD463" s="54"/>
      <c r="AE463" s="92"/>
      <c r="AF463" s="54"/>
      <c r="AG463" s="92"/>
      <c r="AH463" s="54"/>
      <c r="AI463" s="92"/>
      <c r="AJ463" s="54"/>
      <c r="AK463" s="92"/>
      <c r="AL463" s="54"/>
      <c r="AM463" s="92"/>
      <c r="AO463" s="54"/>
      <c r="AP463" s="123"/>
      <c r="AQ463" s="54"/>
      <c r="AR463" s="154"/>
      <c r="AS463" s="1"/>
      <c r="AT463" s="1"/>
      <c r="AU463" s="9"/>
    </row>
    <row r="464">
      <c r="A464" s="54"/>
      <c r="B464" s="71" t="str">
        <f>IFERROR(HYPERLINK(VLOOKUP(A464,Internal_lists_bugs!$A$2:$C$73,3,FALSE()), VLOOKUP(A464,Internal_lists_bugs!$A$2:$C$73,3,FALSE())&amp;Char(10) &amp; Char(10) &amp; VLOOKUP(A464,Internal_lists_bugs!$A$2:$Z$73,26,FALSE())),"please select a BUG ID")</f>
        <v>please select a BUG ID</v>
      </c>
      <c r="C464" s="51" t="str">
        <f>IFERROR(VLOOKUP(A464,Internal_lists_bugs!$A$2:$G2002,7,FALSE()),"please select a BUG ID")</f>
        <v>please select a BUG ID</v>
      </c>
      <c r="D464" s="54"/>
      <c r="E464" s="56"/>
      <c r="F464" s="54"/>
      <c r="G464" s="56"/>
      <c r="H464" s="54"/>
      <c r="I464" s="56"/>
      <c r="J464" s="54"/>
      <c r="K464" s="92"/>
      <c r="L464" s="54"/>
      <c r="M464" s="92"/>
      <c r="N464" s="54"/>
      <c r="O464" s="92"/>
      <c r="P464" s="54"/>
      <c r="Q464" s="92"/>
      <c r="R464" s="54"/>
      <c r="S464" s="92"/>
      <c r="T464" s="117"/>
      <c r="U464" s="92"/>
      <c r="V464" s="54"/>
      <c r="W464" s="92"/>
      <c r="X464" s="54"/>
      <c r="Y464" s="92"/>
      <c r="Z464" s="54"/>
      <c r="AA464" s="92"/>
      <c r="AB464" s="54"/>
      <c r="AC464" s="92"/>
      <c r="AD464" s="54"/>
      <c r="AE464" s="92"/>
      <c r="AF464" s="54"/>
      <c r="AG464" s="92"/>
      <c r="AH464" s="54"/>
      <c r="AI464" s="92"/>
      <c r="AJ464" s="54"/>
      <c r="AK464" s="92"/>
      <c r="AL464" s="54"/>
      <c r="AM464" s="92"/>
      <c r="AO464" s="54"/>
      <c r="AP464" s="123"/>
      <c r="AQ464" s="54"/>
      <c r="AR464" s="154"/>
      <c r="AS464" s="1"/>
      <c r="AT464" s="1"/>
      <c r="AU464" s="9"/>
    </row>
    <row r="465">
      <c r="A465" s="54"/>
      <c r="B465" s="71" t="str">
        <f>IFERROR(HYPERLINK(VLOOKUP(A465,Internal_lists_bugs!$A$2:$C$73,3,FALSE()), VLOOKUP(A465,Internal_lists_bugs!$A$2:$C$73,3,FALSE())&amp;Char(10) &amp; Char(10) &amp; VLOOKUP(A465,Internal_lists_bugs!$A$2:$Z$73,26,FALSE())),"please select a BUG ID")</f>
        <v>please select a BUG ID</v>
      </c>
      <c r="C465" s="51" t="str">
        <f>IFERROR(VLOOKUP(A465,Internal_lists_bugs!$A$2:$G2002,7,FALSE()),"please select a BUG ID")</f>
        <v>please select a BUG ID</v>
      </c>
      <c r="D465" s="54"/>
      <c r="E465" s="56"/>
      <c r="F465" s="54"/>
      <c r="G465" s="56"/>
      <c r="H465" s="54"/>
      <c r="I465" s="56"/>
      <c r="J465" s="54"/>
      <c r="K465" s="92"/>
      <c r="L465" s="54"/>
      <c r="M465" s="92"/>
      <c r="N465" s="54"/>
      <c r="O465" s="92"/>
      <c r="P465" s="54"/>
      <c r="Q465" s="92"/>
      <c r="R465" s="54"/>
      <c r="S465" s="92"/>
      <c r="T465" s="117"/>
      <c r="U465" s="92"/>
      <c r="V465" s="54"/>
      <c r="W465" s="92"/>
      <c r="X465" s="54"/>
      <c r="Y465" s="92"/>
      <c r="Z465" s="54"/>
      <c r="AA465" s="92"/>
      <c r="AB465" s="54"/>
      <c r="AC465" s="92"/>
      <c r="AD465" s="54"/>
      <c r="AE465" s="92"/>
      <c r="AF465" s="54"/>
      <c r="AG465" s="92"/>
      <c r="AH465" s="54"/>
      <c r="AI465" s="92"/>
      <c r="AJ465" s="54"/>
      <c r="AK465" s="92"/>
      <c r="AL465" s="54"/>
      <c r="AM465" s="92"/>
      <c r="AO465" s="54"/>
      <c r="AP465" s="123"/>
      <c r="AQ465" s="54"/>
      <c r="AR465" s="154"/>
      <c r="AS465" s="1"/>
      <c r="AT465" s="1"/>
      <c r="AU465" s="9"/>
    </row>
    <row r="466">
      <c r="A466" s="54"/>
      <c r="B466" s="71" t="str">
        <f>IFERROR(HYPERLINK(VLOOKUP(A466,Internal_lists_bugs!$A$2:$C$73,3,FALSE()), VLOOKUP(A466,Internal_lists_bugs!$A$2:$C$73,3,FALSE())&amp;Char(10) &amp; Char(10) &amp; VLOOKUP(A466,Internal_lists_bugs!$A$2:$Z$73,26,FALSE())),"please select a BUG ID")</f>
        <v>please select a BUG ID</v>
      </c>
      <c r="C466" s="51" t="str">
        <f>IFERROR(VLOOKUP(A466,Internal_lists_bugs!$A$2:$G2002,7,FALSE()),"please select a BUG ID")</f>
        <v>please select a BUG ID</v>
      </c>
      <c r="D466" s="54"/>
      <c r="E466" s="56"/>
      <c r="F466" s="54"/>
      <c r="G466" s="56"/>
      <c r="H466" s="54"/>
      <c r="I466" s="56"/>
      <c r="J466" s="54"/>
      <c r="K466" s="92"/>
      <c r="L466" s="54"/>
      <c r="M466" s="92"/>
      <c r="N466" s="54"/>
      <c r="O466" s="92"/>
      <c r="P466" s="54"/>
      <c r="Q466" s="92"/>
      <c r="R466" s="54"/>
      <c r="S466" s="92"/>
      <c r="T466" s="117"/>
      <c r="U466" s="92"/>
      <c r="V466" s="54"/>
      <c r="W466" s="92"/>
      <c r="X466" s="54"/>
      <c r="Y466" s="92"/>
      <c r="Z466" s="54"/>
      <c r="AA466" s="92"/>
      <c r="AB466" s="54"/>
      <c r="AC466" s="92"/>
      <c r="AD466" s="54"/>
      <c r="AE466" s="92"/>
      <c r="AF466" s="54"/>
      <c r="AG466" s="92"/>
      <c r="AH466" s="54"/>
      <c r="AI466" s="92"/>
      <c r="AJ466" s="54"/>
      <c r="AK466" s="92"/>
      <c r="AL466" s="54"/>
      <c r="AM466" s="92"/>
      <c r="AO466" s="54"/>
      <c r="AP466" s="123"/>
      <c r="AQ466" s="54"/>
      <c r="AR466" s="154"/>
      <c r="AS466" s="1"/>
      <c r="AT466" s="1"/>
      <c r="AU466" s="9"/>
    </row>
    <row r="467">
      <c r="A467" s="54"/>
      <c r="B467" s="71" t="str">
        <f>IFERROR(HYPERLINK(VLOOKUP(A467,Internal_lists_bugs!$A$2:$C$73,3,FALSE()), VLOOKUP(A467,Internal_lists_bugs!$A$2:$C$73,3,FALSE())&amp;Char(10) &amp; Char(10) &amp; VLOOKUP(A467,Internal_lists_bugs!$A$2:$Z$73,26,FALSE())),"please select a BUG ID")</f>
        <v>please select a BUG ID</v>
      </c>
      <c r="C467" s="51" t="str">
        <f>IFERROR(VLOOKUP(A467,Internal_lists_bugs!$A$2:$G2002,7,FALSE()),"please select a BUG ID")</f>
        <v>please select a BUG ID</v>
      </c>
      <c r="D467" s="54"/>
      <c r="E467" s="56"/>
      <c r="F467" s="54"/>
      <c r="G467" s="56"/>
      <c r="H467" s="54"/>
      <c r="I467" s="56"/>
      <c r="J467" s="54"/>
      <c r="K467" s="92"/>
      <c r="L467" s="54"/>
      <c r="M467" s="92"/>
      <c r="N467" s="54"/>
      <c r="O467" s="92"/>
      <c r="P467" s="54"/>
      <c r="Q467" s="92"/>
      <c r="R467" s="54"/>
      <c r="S467" s="92"/>
      <c r="T467" s="117"/>
      <c r="U467" s="92"/>
      <c r="V467" s="54"/>
      <c r="W467" s="92"/>
      <c r="X467" s="54"/>
      <c r="Y467" s="92"/>
      <c r="Z467" s="54"/>
      <c r="AA467" s="92"/>
      <c r="AB467" s="54"/>
      <c r="AC467" s="92"/>
      <c r="AD467" s="54"/>
      <c r="AE467" s="92"/>
      <c r="AF467" s="54"/>
      <c r="AG467" s="92"/>
      <c r="AH467" s="54"/>
      <c r="AI467" s="92"/>
      <c r="AJ467" s="54"/>
      <c r="AK467" s="92"/>
      <c r="AL467" s="54"/>
      <c r="AM467" s="92"/>
      <c r="AO467" s="54"/>
      <c r="AP467" s="123"/>
      <c r="AQ467" s="54"/>
      <c r="AR467" s="154"/>
      <c r="AS467" s="1"/>
      <c r="AT467" s="1"/>
      <c r="AU467" s="9"/>
    </row>
    <row r="468">
      <c r="A468" s="54"/>
      <c r="B468" s="71" t="str">
        <f>IFERROR(HYPERLINK(VLOOKUP(A468,Internal_lists_bugs!$A$2:$C$73,3,FALSE()), VLOOKUP(A468,Internal_lists_bugs!$A$2:$C$73,3,FALSE())&amp;Char(10) &amp; Char(10) &amp; VLOOKUP(A468,Internal_lists_bugs!$A$2:$Z$73,26,FALSE())),"please select a BUG ID")</f>
        <v>please select a BUG ID</v>
      </c>
      <c r="C468" s="51" t="str">
        <f>IFERROR(VLOOKUP(A468,Internal_lists_bugs!$A$2:$G2002,7,FALSE()),"please select a BUG ID")</f>
        <v>please select a BUG ID</v>
      </c>
      <c r="D468" s="54"/>
      <c r="E468" s="56"/>
      <c r="F468" s="54"/>
      <c r="G468" s="56"/>
      <c r="H468" s="54"/>
      <c r="I468" s="56"/>
      <c r="J468" s="54"/>
      <c r="K468" s="92"/>
      <c r="L468" s="54"/>
      <c r="M468" s="92"/>
      <c r="N468" s="54"/>
      <c r="O468" s="92"/>
      <c r="P468" s="54"/>
      <c r="Q468" s="92"/>
      <c r="R468" s="54"/>
      <c r="S468" s="92"/>
      <c r="T468" s="117"/>
      <c r="U468" s="92"/>
      <c r="V468" s="54"/>
      <c r="W468" s="92"/>
      <c r="X468" s="54"/>
      <c r="Y468" s="92"/>
      <c r="Z468" s="54"/>
      <c r="AA468" s="92"/>
      <c r="AB468" s="54"/>
      <c r="AC468" s="92"/>
      <c r="AD468" s="54"/>
      <c r="AE468" s="92"/>
      <c r="AF468" s="54"/>
      <c r="AG468" s="92"/>
      <c r="AH468" s="54"/>
      <c r="AI468" s="92"/>
      <c r="AJ468" s="54"/>
      <c r="AK468" s="92"/>
      <c r="AL468" s="54"/>
      <c r="AM468" s="92"/>
      <c r="AO468" s="54"/>
      <c r="AP468" s="123"/>
      <c r="AQ468" s="54"/>
      <c r="AR468" s="154"/>
      <c r="AS468" s="1"/>
      <c r="AT468" s="1"/>
      <c r="AU468" s="9"/>
    </row>
    <row r="469">
      <c r="A469" s="54"/>
      <c r="B469" s="71" t="str">
        <f>IFERROR(HYPERLINK(VLOOKUP(A469,Internal_lists_bugs!$A$2:$C$73,3,FALSE()), VLOOKUP(A469,Internal_lists_bugs!$A$2:$C$73,3,FALSE())&amp;Char(10) &amp; Char(10) &amp; VLOOKUP(A469,Internal_lists_bugs!$A$2:$Z$73,26,FALSE())),"please select a BUG ID")</f>
        <v>please select a BUG ID</v>
      </c>
      <c r="C469" s="51" t="str">
        <f>IFERROR(VLOOKUP(A469,Internal_lists_bugs!$A$2:$G2002,7,FALSE()),"please select a BUG ID")</f>
        <v>please select a BUG ID</v>
      </c>
      <c r="D469" s="54"/>
      <c r="E469" s="56"/>
      <c r="F469" s="54"/>
      <c r="G469" s="56"/>
      <c r="H469" s="54"/>
      <c r="I469" s="56"/>
      <c r="J469" s="54"/>
      <c r="K469" s="92"/>
      <c r="L469" s="54"/>
      <c r="M469" s="92"/>
      <c r="N469" s="54"/>
      <c r="O469" s="92"/>
      <c r="P469" s="54"/>
      <c r="Q469" s="92"/>
      <c r="R469" s="54"/>
      <c r="S469" s="92"/>
      <c r="T469" s="117"/>
      <c r="U469" s="92"/>
      <c r="V469" s="54"/>
      <c r="W469" s="92"/>
      <c r="X469" s="54"/>
      <c r="Y469" s="92"/>
      <c r="Z469" s="54"/>
      <c r="AA469" s="92"/>
      <c r="AB469" s="54"/>
      <c r="AC469" s="92"/>
      <c r="AD469" s="54"/>
      <c r="AE469" s="92"/>
      <c r="AF469" s="54"/>
      <c r="AG469" s="92"/>
      <c r="AH469" s="54"/>
      <c r="AI469" s="92"/>
      <c r="AJ469" s="54"/>
      <c r="AK469" s="92"/>
      <c r="AL469" s="54"/>
      <c r="AM469" s="92"/>
      <c r="AO469" s="54"/>
      <c r="AP469" s="123"/>
      <c r="AQ469" s="54"/>
      <c r="AR469" s="154"/>
      <c r="AS469" s="1"/>
      <c r="AT469" s="1"/>
      <c r="AU469" s="9"/>
    </row>
    <row r="470">
      <c r="A470" s="54"/>
      <c r="B470" s="71" t="str">
        <f>IFERROR(HYPERLINK(VLOOKUP(A470,Internal_lists_bugs!$A$2:$C$73,3,FALSE()), VLOOKUP(A470,Internal_lists_bugs!$A$2:$C$73,3,FALSE())&amp;Char(10) &amp; Char(10) &amp; VLOOKUP(A470,Internal_lists_bugs!$A$2:$Z$73,26,FALSE())),"please select a BUG ID")</f>
        <v>please select a BUG ID</v>
      </c>
      <c r="C470" s="51" t="str">
        <f>IFERROR(VLOOKUP(A470,Internal_lists_bugs!$A$2:$G2002,7,FALSE()),"please select a BUG ID")</f>
        <v>please select a BUG ID</v>
      </c>
      <c r="D470" s="54"/>
      <c r="E470" s="56"/>
      <c r="F470" s="54"/>
      <c r="G470" s="56"/>
      <c r="H470" s="54"/>
      <c r="I470" s="56"/>
      <c r="J470" s="54"/>
      <c r="K470" s="92"/>
      <c r="L470" s="54"/>
      <c r="M470" s="92"/>
      <c r="N470" s="54"/>
      <c r="O470" s="92"/>
      <c r="P470" s="54"/>
      <c r="Q470" s="92"/>
      <c r="R470" s="54"/>
      <c r="S470" s="92"/>
      <c r="T470" s="117"/>
      <c r="U470" s="92"/>
      <c r="V470" s="54"/>
      <c r="W470" s="92"/>
      <c r="X470" s="54"/>
      <c r="Y470" s="92"/>
      <c r="Z470" s="54"/>
      <c r="AA470" s="92"/>
      <c r="AB470" s="54"/>
      <c r="AC470" s="92"/>
      <c r="AD470" s="54"/>
      <c r="AE470" s="92"/>
      <c r="AF470" s="54"/>
      <c r="AG470" s="92"/>
      <c r="AH470" s="54"/>
      <c r="AI470" s="92"/>
      <c r="AJ470" s="54"/>
      <c r="AK470" s="92"/>
      <c r="AL470" s="54"/>
      <c r="AM470" s="92"/>
      <c r="AO470" s="54"/>
      <c r="AP470" s="123"/>
      <c r="AQ470" s="54"/>
      <c r="AR470" s="154"/>
      <c r="AS470" s="1"/>
      <c r="AT470" s="1"/>
      <c r="AU470" s="9"/>
    </row>
    <row r="471">
      <c r="A471" s="54"/>
      <c r="B471" s="71" t="str">
        <f>IFERROR(HYPERLINK(VLOOKUP(A471,Internal_lists_bugs!$A$2:$C$73,3,FALSE()), VLOOKUP(A471,Internal_lists_bugs!$A$2:$C$73,3,FALSE())&amp;Char(10) &amp; Char(10) &amp; VLOOKUP(A471,Internal_lists_bugs!$A$2:$Z$73,26,FALSE())),"please select a BUG ID")</f>
        <v>please select a BUG ID</v>
      </c>
      <c r="C471" s="51" t="str">
        <f>IFERROR(VLOOKUP(A471,Internal_lists_bugs!$A$2:$G2002,7,FALSE()),"please select a BUG ID")</f>
        <v>please select a BUG ID</v>
      </c>
      <c r="D471" s="54"/>
      <c r="E471" s="56"/>
      <c r="F471" s="54"/>
      <c r="G471" s="56"/>
      <c r="H471" s="54"/>
      <c r="I471" s="56"/>
      <c r="J471" s="54"/>
      <c r="K471" s="92"/>
      <c r="L471" s="54"/>
      <c r="M471" s="92"/>
      <c r="N471" s="54"/>
      <c r="O471" s="92"/>
      <c r="P471" s="54"/>
      <c r="Q471" s="92"/>
      <c r="R471" s="54"/>
      <c r="S471" s="92"/>
      <c r="T471" s="117"/>
      <c r="U471" s="92"/>
      <c r="V471" s="54"/>
      <c r="W471" s="92"/>
      <c r="X471" s="54"/>
      <c r="Y471" s="92"/>
      <c r="Z471" s="54"/>
      <c r="AA471" s="92"/>
      <c r="AB471" s="54"/>
      <c r="AC471" s="92"/>
      <c r="AD471" s="54"/>
      <c r="AE471" s="92"/>
      <c r="AF471" s="54"/>
      <c r="AG471" s="92"/>
      <c r="AH471" s="54"/>
      <c r="AI471" s="92"/>
      <c r="AJ471" s="54"/>
      <c r="AK471" s="92"/>
      <c r="AL471" s="54"/>
      <c r="AM471" s="92"/>
      <c r="AO471" s="54"/>
      <c r="AP471" s="123"/>
      <c r="AQ471" s="54"/>
      <c r="AR471" s="154"/>
      <c r="AS471" s="1"/>
      <c r="AT471" s="1"/>
      <c r="AU471" s="9"/>
    </row>
    <row r="472">
      <c r="A472" s="54"/>
      <c r="B472" s="71" t="str">
        <f>IFERROR(HYPERLINK(VLOOKUP(A472,Internal_lists_bugs!$A$2:$C$73,3,FALSE()), VLOOKUP(A472,Internal_lists_bugs!$A$2:$C$73,3,FALSE())&amp;Char(10) &amp; Char(10) &amp; VLOOKUP(A472,Internal_lists_bugs!$A$2:$Z$73,26,FALSE())),"please select a BUG ID")</f>
        <v>please select a BUG ID</v>
      </c>
      <c r="C472" s="51" t="str">
        <f>IFERROR(VLOOKUP(A472,Internal_lists_bugs!$A$2:$G2002,7,FALSE()),"please select a BUG ID")</f>
        <v>please select a BUG ID</v>
      </c>
      <c r="D472" s="54"/>
      <c r="E472" s="56"/>
      <c r="F472" s="54"/>
      <c r="G472" s="56"/>
      <c r="H472" s="54"/>
      <c r="I472" s="56"/>
      <c r="J472" s="54"/>
      <c r="K472" s="92"/>
      <c r="L472" s="54"/>
      <c r="M472" s="92"/>
      <c r="N472" s="54"/>
      <c r="O472" s="92"/>
      <c r="P472" s="54"/>
      <c r="Q472" s="92"/>
      <c r="R472" s="54"/>
      <c r="S472" s="92"/>
      <c r="T472" s="117"/>
      <c r="U472" s="92"/>
      <c r="V472" s="54"/>
      <c r="W472" s="92"/>
      <c r="X472" s="54"/>
      <c r="Y472" s="92"/>
      <c r="Z472" s="54"/>
      <c r="AA472" s="92"/>
      <c r="AB472" s="54"/>
      <c r="AC472" s="92"/>
      <c r="AD472" s="54"/>
      <c r="AE472" s="92"/>
      <c r="AF472" s="54"/>
      <c r="AG472" s="92"/>
      <c r="AH472" s="54"/>
      <c r="AI472" s="92"/>
      <c r="AJ472" s="54"/>
      <c r="AK472" s="92"/>
      <c r="AL472" s="54"/>
      <c r="AM472" s="92"/>
      <c r="AO472" s="54"/>
      <c r="AP472" s="123"/>
      <c r="AQ472" s="54"/>
      <c r="AR472" s="154"/>
      <c r="AS472" s="1"/>
      <c r="AT472" s="1"/>
      <c r="AU472" s="9"/>
    </row>
    <row r="473">
      <c r="A473" s="54"/>
      <c r="B473" s="71" t="str">
        <f>IFERROR(HYPERLINK(VLOOKUP(A473,Internal_lists_bugs!$A$2:$C$73,3,FALSE()), VLOOKUP(A473,Internal_lists_bugs!$A$2:$C$73,3,FALSE())&amp;Char(10) &amp; Char(10) &amp; VLOOKUP(A473,Internal_lists_bugs!$A$2:$Z$73,26,FALSE())),"please select a BUG ID")</f>
        <v>please select a BUG ID</v>
      </c>
      <c r="C473" s="51" t="str">
        <f>IFERROR(VLOOKUP(A473,Internal_lists_bugs!$A$2:$G2002,7,FALSE()),"please select a BUG ID")</f>
        <v>please select a BUG ID</v>
      </c>
      <c r="D473" s="54"/>
      <c r="E473" s="56"/>
      <c r="F473" s="54"/>
      <c r="G473" s="56"/>
      <c r="H473" s="54"/>
      <c r="I473" s="56"/>
      <c r="J473" s="54"/>
      <c r="K473" s="92"/>
      <c r="L473" s="54"/>
      <c r="M473" s="92"/>
      <c r="N473" s="54"/>
      <c r="O473" s="92"/>
      <c r="P473" s="54"/>
      <c r="Q473" s="92"/>
      <c r="R473" s="54"/>
      <c r="S473" s="92"/>
      <c r="T473" s="117"/>
      <c r="U473" s="92"/>
      <c r="V473" s="54"/>
      <c r="W473" s="92"/>
      <c r="X473" s="54"/>
      <c r="Y473" s="92"/>
      <c r="Z473" s="54"/>
      <c r="AA473" s="92"/>
      <c r="AB473" s="54"/>
      <c r="AC473" s="92"/>
      <c r="AD473" s="54"/>
      <c r="AE473" s="92"/>
      <c r="AF473" s="54"/>
      <c r="AG473" s="92"/>
      <c r="AH473" s="54"/>
      <c r="AI473" s="92"/>
      <c r="AJ473" s="54"/>
      <c r="AK473" s="92"/>
      <c r="AL473" s="54"/>
      <c r="AM473" s="92"/>
      <c r="AO473" s="54"/>
      <c r="AP473" s="123"/>
      <c r="AQ473" s="54"/>
      <c r="AR473" s="154"/>
      <c r="AS473" s="1"/>
      <c r="AT473" s="1"/>
      <c r="AU473" s="9"/>
    </row>
    <row r="474">
      <c r="A474" s="54"/>
      <c r="B474" s="71" t="str">
        <f>IFERROR(HYPERLINK(VLOOKUP(A474,Internal_lists_bugs!$A$2:$C$73,3,FALSE()), VLOOKUP(A474,Internal_lists_bugs!$A$2:$C$73,3,FALSE())&amp;Char(10) &amp; Char(10) &amp; VLOOKUP(A474,Internal_lists_bugs!$A$2:$Z$73,26,FALSE())),"please select a BUG ID")</f>
        <v>please select a BUG ID</v>
      </c>
      <c r="C474" s="51" t="str">
        <f>IFERROR(VLOOKUP(A474,Internal_lists_bugs!$A$2:$G2002,7,FALSE()),"please select a BUG ID")</f>
        <v>please select a BUG ID</v>
      </c>
      <c r="D474" s="54"/>
      <c r="E474" s="56"/>
      <c r="F474" s="54"/>
      <c r="G474" s="56"/>
      <c r="H474" s="54"/>
      <c r="I474" s="56"/>
      <c r="J474" s="54"/>
      <c r="K474" s="92"/>
      <c r="L474" s="54"/>
      <c r="M474" s="92"/>
      <c r="N474" s="54"/>
      <c r="O474" s="92"/>
      <c r="P474" s="54"/>
      <c r="Q474" s="92"/>
      <c r="R474" s="54"/>
      <c r="S474" s="92"/>
      <c r="T474" s="117"/>
      <c r="U474" s="92"/>
      <c r="V474" s="54"/>
      <c r="W474" s="92"/>
      <c r="X474" s="54"/>
      <c r="Y474" s="92"/>
      <c r="Z474" s="54"/>
      <c r="AA474" s="92"/>
      <c r="AB474" s="54"/>
      <c r="AC474" s="92"/>
      <c r="AD474" s="54"/>
      <c r="AE474" s="92"/>
      <c r="AF474" s="54"/>
      <c r="AG474" s="92"/>
      <c r="AH474" s="54"/>
      <c r="AI474" s="92"/>
      <c r="AJ474" s="54"/>
      <c r="AK474" s="92"/>
      <c r="AL474" s="54"/>
      <c r="AM474" s="92"/>
      <c r="AO474" s="54"/>
      <c r="AP474" s="123"/>
      <c r="AQ474" s="54"/>
      <c r="AR474" s="154"/>
      <c r="AS474" s="1"/>
      <c r="AT474" s="1"/>
      <c r="AU474" s="9"/>
    </row>
    <row r="475">
      <c r="A475" s="54"/>
      <c r="B475" s="71" t="str">
        <f>IFERROR(HYPERLINK(VLOOKUP(A475,Internal_lists_bugs!$A$2:$C$73,3,FALSE()), VLOOKUP(A475,Internal_lists_bugs!$A$2:$C$73,3,FALSE())&amp;Char(10) &amp; Char(10) &amp; VLOOKUP(A475,Internal_lists_bugs!$A$2:$Z$73,26,FALSE())),"please select a BUG ID")</f>
        <v>please select a BUG ID</v>
      </c>
      <c r="C475" s="51" t="str">
        <f>IFERROR(VLOOKUP(A475,Internal_lists_bugs!$A$2:$G2002,7,FALSE()),"please select a BUG ID")</f>
        <v>please select a BUG ID</v>
      </c>
      <c r="D475" s="54"/>
      <c r="E475" s="56"/>
      <c r="F475" s="54"/>
      <c r="G475" s="56"/>
      <c r="H475" s="54"/>
      <c r="I475" s="56"/>
      <c r="J475" s="54"/>
      <c r="K475" s="92"/>
      <c r="L475" s="54"/>
      <c r="M475" s="92"/>
      <c r="N475" s="54"/>
      <c r="O475" s="92"/>
      <c r="P475" s="54"/>
      <c r="Q475" s="92"/>
      <c r="R475" s="54"/>
      <c r="S475" s="92"/>
      <c r="T475" s="117"/>
      <c r="U475" s="92"/>
      <c r="V475" s="54"/>
      <c r="W475" s="92"/>
      <c r="X475" s="54"/>
      <c r="Y475" s="92"/>
      <c r="Z475" s="54"/>
      <c r="AA475" s="92"/>
      <c r="AB475" s="54"/>
      <c r="AC475" s="92"/>
      <c r="AD475" s="54"/>
      <c r="AE475" s="92"/>
      <c r="AF475" s="54"/>
      <c r="AG475" s="92"/>
      <c r="AH475" s="54"/>
      <c r="AI475" s="92"/>
      <c r="AJ475" s="54"/>
      <c r="AK475" s="92"/>
      <c r="AL475" s="54"/>
      <c r="AM475" s="92"/>
      <c r="AO475" s="54"/>
      <c r="AP475" s="123"/>
      <c r="AQ475" s="54"/>
      <c r="AR475" s="154"/>
      <c r="AS475" s="1"/>
      <c r="AT475" s="1"/>
      <c r="AU475" s="9"/>
    </row>
    <row r="476">
      <c r="A476" s="54"/>
      <c r="B476" s="71" t="str">
        <f>IFERROR(HYPERLINK(VLOOKUP(A476,Internal_lists_bugs!$A$2:$C$73,3,FALSE()), VLOOKUP(A476,Internal_lists_bugs!$A$2:$C$73,3,FALSE())&amp;Char(10) &amp; Char(10) &amp; VLOOKUP(A476,Internal_lists_bugs!$A$2:$Z$73,26,FALSE())),"please select a BUG ID")</f>
        <v>please select a BUG ID</v>
      </c>
      <c r="C476" s="51" t="str">
        <f>IFERROR(VLOOKUP(A476,Internal_lists_bugs!$A$2:$G2002,7,FALSE()),"please select a BUG ID")</f>
        <v>please select a BUG ID</v>
      </c>
      <c r="D476" s="54"/>
      <c r="E476" s="56"/>
      <c r="F476" s="54"/>
      <c r="G476" s="56"/>
      <c r="H476" s="54"/>
      <c r="I476" s="56"/>
      <c r="J476" s="54"/>
      <c r="K476" s="92"/>
      <c r="L476" s="54"/>
      <c r="M476" s="92"/>
      <c r="N476" s="54"/>
      <c r="O476" s="92"/>
      <c r="P476" s="54"/>
      <c r="Q476" s="92"/>
      <c r="R476" s="54"/>
      <c r="S476" s="92"/>
      <c r="T476" s="117"/>
      <c r="U476" s="92"/>
      <c r="V476" s="54"/>
      <c r="W476" s="92"/>
      <c r="X476" s="54"/>
      <c r="Y476" s="92"/>
      <c r="Z476" s="54"/>
      <c r="AA476" s="92"/>
      <c r="AB476" s="54"/>
      <c r="AC476" s="92"/>
      <c r="AD476" s="54"/>
      <c r="AE476" s="92"/>
      <c r="AF476" s="54"/>
      <c r="AG476" s="92"/>
      <c r="AH476" s="54"/>
      <c r="AI476" s="92"/>
      <c r="AJ476" s="54"/>
      <c r="AK476" s="92"/>
      <c r="AL476" s="54"/>
      <c r="AM476" s="92"/>
      <c r="AO476" s="54"/>
      <c r="AP476" s="123"/>
      <c r="AQ476" s="54"/>
      <c r="AR476" s="154"/>
      <c r="AS476" s="1"/>
      <c r="AT476" s="1"/>
      <c r="AU476" s="9"/>
    </row>
    <row r="477">
      <c r="A477" s="54"/>
      <c r="B477" s="71" t="str">
        <f>IFERROR(HYPERLINK(VLOOKUP(A477,Internal_lists_bugs!$A$2:$C$73,3,FALSE()), VLOOKUP(A477,Internal_lists_bugs!$A$2:$C$73,3,FALSE())&amp;Char(10) &amp; Char(10) &amp; VLOOKUP(A477,Internal_lists_bugs!$A$2:$Z$73,26,FALSE())),"please select a BUG ID")</f>
        <v>please select a BUG ID</v>
      </c>
      <c r="C477" s="51" t="str">
        <f>IFERROR(VLOOKUP(A477,Internal_lists_bugs!$A$2:$G2002,7,FALSE()),"please select a BUG ID")</f>
        <v>please select a BUG ID</v>
      </c>
      <c r="D477" s="54"/>
      <c r="E477" s="56"/>
      <c r="F477" s="54"/>
      <c r="G477" s="56"/>
      <c r="H477" s="54"/>
      <c r="I477" s="56"/>
      <c r="J477" s="54"/>
      <c r="K477" s="92"/>
      <c r="L477" s="54"/>
      <c r="M477" s="92"/>
      <c r="N477" s="54"/>
      <c r="O477" s="92"/>
      <c r="P477" s="54"/>
      <c r="Q477" s="92"/>
      <c r="R477" s="54"/>
      <c r="S477" s="92"/>
      <c r="T477" s="117"/>
      <c r="U477" s="92"/>
      <c r="V477" s="54"/>
      <c r="W477" s="92"/>
      <c r="X477" s="54"/>
      <c r="Y477" s="92"/>
      <c r="Z477" s="54"/>
      <c r="AA477" s="92"/>
      <c r="AB477" s="54"/>
      <c r="AC477" s="92"/>
      <c r="AD477" s="54"/>
      <c r="AE477" s="92"/>
      <c r="AF477" s="54"/>
      <c r="AG477" s="92"/>
      <c r="AH477" s="54"/>
      <c r="AI477" s="92"/>
      <c r="AJ477" s="54"/>
      <c r="AK477" s="92"/>
      <c r="AL477" s="54"/>
      <c r="AM477" s="92"/>
      <c r="AO477" s="54"/>
      <c r="AP477" s="123"/>
      <c r="AQ477" s="54"/>
      <c r="AR477" s="154"/>
      <c r="AS477" s="1"/>
      <c r="AT477" s="1"/>
      <c r="AU477" s="9"/>
    </row>
    <row r="478">
      <c r="A478" s="54"/>
      <c r="B478" s="71" t="str">
        <f>IFERROR(HYPERLINK(VLOOKUP(A478,Internal_lists_bugs!$A$2:$C$73,3,FALSE()), VLOOKUP(A478,Internal_lists_bugs!$A$2:$C$73,3,FALSE())&amp;Char(10) &amp; Char(10) &amp; VLOOKUP(A478,Internal_lists_bugs!$A$2:$Z$73,26,FALSE())),"please select a BUG ID")</f>
        <v>please select a BUG ID</v>
      </c>
      <c r="C478" s="51" t="str">
        <f>IFERROR(VLOOKUP(A478,Internal_lists_bugs!$A$2:$G2002,7,FALSE()),"please select a BUG ID")</f>
        <v>please select a BUG ID</v>
      </c>
      <c r="D478" s="54"/>
      <c r="E478" s="56"/>
      <c r="F478" s="54"/>
      <c r="G478" s="56"/>
      <c r="H478" s="54"/>
      <c r="I478" s="56"/>
      <c r="J478" s="54"/>
      <c r="K478" s="92"/>
      <c r="L478" s="54"/>
      <c r="M478" s="92"/>
      <c r="N478" s="54"/>
      <c r="O478" s="92"/>
      <c r="P478" s="54"/>
      <c r="Q478" s="92"/>
      <c r="R478" s="54"/>
      <c r="S478" s="92"/>
      <c r="T478" s="117"/>
      <c r="U478" s="92"/>
      <c r="V478" s="54"/>
      <c r="W478" s="92"/>
      <c r="X478" s="54"/>
      <c r="Y478" s="92"/>
      <c r="Z478" s="54"/>
      <c r="AA478" s="92"/>
      <c r="AB478" s="54"/>
      <c r="AC478" s="92"/>
      <c r="AD478" s="54"/>
      <c r="AE478" s="92"/>
      <c r="AF478" s="54"/>
      <c r="AG478" s="92"/>
      <c r="AH478" s="54"/>
      <c r="AI478" s="92"/>
      <c r="AJ478" s="54"/>
      <c r="AK478" s="92"/>
      <c r="AL478" s="54"/>
      <c r="AM478" s="92"/>
      <c r="AO478" s="54"/>
      <c r="AP478" s="123"/>
      <c r="AQ478" s="54"/>
      <c r="AR478" s="154"/>
      <c r="AS478" s="1"/>
      <c r="AT478" s="1"/>
      <c r="AU478" s="9"/>
    </row>
    <row r="479">
      <c r="A479" s="54"/>
      <c r="B479" s="71" t="str">
        <f>IFERROR(HYPERLINK(VLOOKUP(A479,Internal_lists_bugs!$A$2:$C$73,3,FALSE()), VLOOKUP(A479,Internal_lists_bugs!$A$2:$C$73,3,FALSE())&amp;Char(10) &amp; Char(10) &amp; VLOOKUP(A479,Internal_lists_bugs!$A$2:$Z$73,26,FALSE())),"please select a BUG ID")</f>
        <v>please select a BUG ID</v>
      </c>
      <c r="C479" s="51" t="str">
        <f>IFERROR(VLOOKUP(A479,Internal_lists_bugs!$A$2:$G2002,7,FALSE()),"please select a BUG ID")</f>
        <v>please select a BUG ID</v>
      </c>
      <c r="D479" s="54"/>
      <c r="E479" s="56"/>
      <c r="F479" s="54"/>
      <c r="G479" s="56"/>
      <c r="H479" s="54"/>
      <c r="I479" s="56"/>
      <c r="J479" s="54"/>
      <c r="K479" s="92"/>
      <c r="L479" s="54"/>
      <c r="M479" s="92"/>
      <c r="N479" s="54"/>
      <c r="O479" s="92"/>
      <c r="P479" s="54"/>
      <c r="Q479" s="92"/>
      <c r="R479" s="54"/>
      <c r="S479" s="92"/>
      <c r="T479" s="117"/>
      <c r="U479" s="92"/>
      <c r="V479" s="54"/>
      <c r="W479" s="92"/>
      <c r="X479" s="54"/>
      <c r="Y479" s="92"/>
      <c r="Z479" s="54"/>
      <c r="AA479" s="92"/>
      <c r="AB479" s="54"/>
      <c r="AC479" s="92"/>
      <c r="AD479" s="54"/>
      <c r="AE479" s="92"/>
      <c r="AF479" s="54"/>
      <c r="AG479" s="92"/>
      <c r="AH479" s="54"/>
      <c r="AI479" s="92"/>
      <c r="AJ479" s="54"/>
      <c r="AK479" s="92"/>
      <c r="AL479" s="54"/>
      <c r="AM479" s="92"/>
      <c r="AO479" s="54"/>
      <c r="AP479" s="123"/>
      <c r="AQ479" s="54"/>
      <c r="AR479" s="154"/>
      <c r="AS479" s="1"/>
      <c r="AT479" s="1"/>
      <c r="AU479" s="9"/>
    </row>
    <row r="480">
      <c r="A480" s="54"/>
      <c r="B480" s="71" t="str">
        <f>IFERROR(HYPERLINK(VLOOKUP(A480,Internal_lists_bugs!$A$2:$C$73,3,FALSE()), VLOOKUP(A480,Internal_lists_bugs!$A$2:$C$73,3,FALSE())&amp;Char(10) &amp; Char(10) &amp; VLOOKUP(A480,Internal_lists_bugs!$A$2:$Z$73,26,FALSE())),"please select a BUG ID")</f>
        <v>please select a BUG ID</v>
      </c>
      <c r="C480" s="51" t="str">
        <f>IFERROR(VLOOKUP(A480,Internal_lists_bugs!$A$2:$G2002,7,FALSE()),"please select a BUG ID")</f>
        <v>please select a BUG ID</v>
      </c>
      <c r="D480" s="54"/>
      <c r="E480" s="56"/>
      <c r="F480" s="54"/>
      <c r="G480" s="56"/>
      <c r="H480" s="54"/>
      <c r="I480" s="56"/>
      <c r="J480" s="54"/>
      <c r="K480" s="92"/>
      <c r="L480" s="54"/>
      <c r="M480" s="92"/>
      <c r="N480" s="54"/>
      <c r="O480" s="92"/>
      <c r="P480" s="54"/>
      <c r="Q480" s="92"/>
      <c r="R480" s="54"/>
      <c r="S480" s="92"/>
      <c r="T480" s="117"/>
      <c r="U480" s="92"/>
      <c r="V480" s="54"/>
      <c r="W480" s="92"/>
      <c r="X480" s="54"/>
      <c r="Y480" s="92"/>
      <c r="Z480" s="54"/>
      <c r="AA480" s="92"/>
      <c r="AB480" s="54"/>
      <c r="AC480" s="92"/>
      <c r="AD480" s="54"/>
      <c r="AE480" s="92"/>
      <c r="AF480" s="54"/>
      <c r="AG480" s="92"/>
      <c r="AH480" s="54"/>
      <c r="AI480" s="92"/>
      <c r="AJ480" s="54"/>
      <c r="AK480" s="92"/>
      <c r="AL480" s="54"/>
      <c r="AM480" s="92"/>
      <c r="AO480" s="54"/>
      <c r="AP480" s="123"/>
      <c r="AQ480" s="54"/>
      <c r="AR480" s="154"/>
      <c r="AS480" s="1"/>
      <c r="AT480" s="1"/>
      <c r="AU480" s="9"/>
    </row>
    <row r="481">
      <c r="A481" s="54"/>
      <c r="B481" s="71" t="str">
        <f>IFERROR(HYPERLINK(VLOOKUP(A481,Internal_lists_bugs!$A$2:$C$73,3,FALSE()), VLOOKUP(A481,Internal_lists_bugs!$A$2:$C$73,3,FALSE())&amp;Char(10) &amp; Char(10) &amp; VLOOKUP(A481,Internal_lists_bugs!$A$2:$Z$73,26,FALSE())),"please select a BUG ID")</f>
        <v>please select a BUG ID</v>
      </c>
      <c r="C481" s="51" t="str">
        <f>IFERROR(VLOOKUP(A481,Internal_lists_bugs!$A$2:$G2002,7,FALSE()),"please select a BUG ID")</f>
        <v>please select a BUG ID</v>
      </c>
      <c r="D481" s="54"/>
      <c r="E481" s="56"/>
      <c r="F481" s="54"/>
      <c r="G481" s="56"/>
      <c r="H481" s="54"/>
      <c r="I481" s="56"/>
      <c r="J481" s="54"/>
      <c r="K481" s="92"/>
      <c r="L481" s="54"/>
      <c r="M481" s="92"/>
      <c r="N481" s="54"/>
      <c r="O481" s="92"/>
      <c r="P481" s="54"/>
      <c r="Q481" s="92"/>
      <c r="R481" s="54"/>
      <c r="S481" s="92"/>
      <c r="T481" s="117"/>
      <c r="U481" s="92"/>
      <c r="V481" s="54"/>
      <c r="W481" s="92"/>
      <c r="X481" s="54"/>
      <c r="Y481" s="92"/>
      <c r="Z481" s="54"/>
      <c r="AA481" s="92"/>
      <c r="AB481" s="54"/>
      <c r="AC481" s="92"/>
      <c r="AD481" s="54"/>
      <c r="AE481" s="92"/>
      <c r="AF481" s="54"/>
      <c r="AG481" s="92"/>
      <c r="AH481" s="54"/>
      <c r="AI481" s="92"/>
      <c r="AJ481" s="54"/>
      <c r="AK481" s="92"/>
      <c r="AL481" s="54"/>
      <c r="AM481" s="92"/>
      <c r="AO481" s="54"/>
      <c r="AP481" s="123"/>
      <c r="AQ481" s="54"/>
      <c r="AR481" s="154"/>
      <c r="AS481" s="1"/>
      <c r="AT481" s="1"/>
      <c r="AU481" s="9"/>
    </row>
    <row r="482">
      <c r="A482" s="54"/>
      <c r="B482" s="71" t="str">
        <f>IFERROR(HYPERLINK(VLOOKUP(A482,Internal_lists_bugs!$A$2:$C$73,3,FALSE()), VLOOKUP(A482,Internal_lists_bugs!$A$2:$C$73,3,FALSE())&amp;Char(10) &amp; Char(10) &amp; VLOOKUP(A482,Internal_lists_bugs!$A$2:$Z$73,26,FALSE())),"please select a BUG ID")</f>
        <v>please select a BUG ID</v>
      </c>
      <c r="C482" s="51" t="str">
        <f>IFERROR(VLOOKUP(A482,Internal_lists_bugs!$A$2:$G2002,7,FALSE()),"please select a BUG ID")</f>
        <v>please select a BUG ID</v>
      </c>
      <c r="D482" s="54"/>
      <c r="E482" s="56"/>
      <c r="F482" s="54"/>
      <c r="G482" s="56"/>
      <c r="H482" s="54"/>
      <c r="I482" s="56"/>
      <c r="J482" s="54"/>
      <c r="K482" s="92"/>
      <c r="L482" s="54"/>
      <c r="M482" s="92"/>
      <c r="N482" s="54"/>
      <c r="O482" s="92"/>
      <c r="P482" s="54"/>
      <c r="Q482" s="92"/>
      <c r="R482" s="54"/>
      <c r="S482" s="92"/>
      <c r="T482" s="117"/>
      <c r="U482" s="92"/>
      <c r="V482" s="54"/>
      <c r="W482" s="92"/>
      <c r="X482" s="54"/>
      <c r="Y482" s="92"/>
      <c r="Z482" s="54"/>
      <c r="AA482" s="92"/>
      <c r="AB482" s="54"/>
      <c r="AC482" s="92"/>
      <c r="AD482" s="54"/>
      <c r="AE482" s="92"/>
      <c r="AF482" s="54"/>
      <c r="AG482" s="92"/>
      <c r="AH482" s="54"/>
      <c r="AI482" s="92"/>
      <c r="AJ482" s="54"/>
      <c r="AK482" s="92"/>
      <c r="AL482" s="54"/>
      <c r="AM482" s="92"/>
      <c r="AO482" s="54"/>
      <c r="AP482" s="123"/>
      <c r="AQ482" s="54"/>
      <c r="AR482" s="154"/>
      <c r="AS482" s="1"/>
      <c r="AT482" s="1"/>
      <c r="AU482" s="9"/>
    </row>
    <row r="483">
      <c r="A483" s="54"/>
      <c r="B483" s="71" t="str">
        <f>IFERROR(HYPERLINK(VLOOKUP(A483,Internal_lists_bugs!$A$2:$C$73,3,FALSE()), VLOOKUP(A483,Internal_lists_bugs!$A$2:$C$73,3,FALSE())&amp;Char(10) &amp; Char(10) &amp; VLOOKUP(A483,Internal_lists_bugs!$A$2:$Z$73,26,FALSE())),"please select a BUG ID")</f>
        <v>please select a BUG ID</v>
      </c>
      <c r="C483" s="51" t="str">
        <f>IFERROR(VLOOKUP(A483,Internal_lists_bugs!$A$2:$G2002,7,FALSE()),"please select a BUG ID")</f>
        <v>please select a BUG ID</v>
      </c>
      <c r="D483" s="54"/>
      <c r="E483" s="56"/>
      <c r="F483" s="54"/>
      <c r="G483" s="56"/>
      <c r="H483" s="54"/>
      <c r="I483" s="56"/>
      <c r="J483" s="54"/>
      <c r="K483" s="92"/>
      <c r="L483" s="54"/>
      <c r="M483" s="92"/>
      <c r="N483" s="54"/>
      <c r="O483" s="92"/>
      <c r="P483" s="54"/>
      <c r="Q483" s="92"/>
      <c r="R483" s="54"/>
      <c r="S483" s="92"/>
      <c r="T483" s="117"/>
      <c r="U483" s="92"/>
      <c r="V483" s="54"/>
      <c r="W483" s="92"/>
      <c r="X483" s="54"/>
      <c r="Y483" s="92"/>
      <c r="Z483" s="54"/>
      <c r="AA483" s="92"/>
      <c r="AB483" s="54"/>
      <c r="AC483" s="92"/>
      <c r="AD483" s="54"/>
      <c r="AE483" s="92"/>
      <c r="AF483" s="54"/>
      <c r="AG483" s="92"/>
      <c r="AH483" s="54"/>
      <c r="AI483" s="92"/>
      <c r="AJ483" s="54"/>
      <c r="AK483" s="92"/>
      <c r="AL483" s="54"/>
      <c r="AM483" s="92"/>
      <c r="AO483" s="54"/>
      <c r="AP483" s="123"/>
      <c r="AQ483" s="54"/>
      <c r="AR483" s="154"/>
      <c r="AS483" s="1"/>
      <c r="AT483" s="1"/>
      <c r="AU483" s="9"/>
    </row>
    <row r="484">
      <c r="A484" s="54"/>
      <c r="B484" s="71" t="str">
        <f>IFERROR(HYPERLINK(VLOOKUP(A484,Internal_lists_bugs!$A$2:$C$73,3,FALSE()), VLOOKUP(A484,Internal_lists_bugs!$A$2:$C$73,3,FALSE())&amp;Char(10) &amp; Char(10) &amp; VLOOKUP(A484,Internal_lists_bugs!$A$2:$Z$73,26,FALSE())),"please select a BUG ID")</f>
        <v>please select a BUG ID</v>
      </c>
      <c r="C484" s="51" t="str">
        <f>IFERROR(VLOOKUP(A484,Internal_lists_bugs!$A$2:$G2002,7,FALSE()),"please select a BUG ID")</f>
        <v>please select a BUG ID</v>
      </c>
      <c r="D484" s="54"/>
      <c r="E484" s="56"/>
      <c r="F484" s="54"/>
      <c r="G484" s="56"/>
      <c r="H484" s="54"/>
      <c r="I484" s="56"/>
      <c r="J484" s="54"/>
      <c r="K484" s="92"/>
      <c r="L484" s="54"/>
      <c r="M484" s="92"/>
      <c r="N484" s="54"/>
      <c r="O484" s="92"/>
      <c r="P484" s="54"/>
      <c r="Q484" s="92"/>
      <c r="R484" s="54"/>
      <c r="S484" s="92"/>
      <c r="T484" s="117"/>
      <c r="U484" s="92"/>
      <c r="V484" s="54"/>
      <c r="W484" s="92"/>
      <c r="X484" s="54"/>
      <c r="Y484" s="92"/>
      <c r="Z484" s="54"/>
      <c r="AA484" s="92"/>
      <c r="AB484" s="54"/>
      <c r="AC484" s="92"/>
      <c r="AD484" s="54"/>
      <c r="AE484" s="92"/>
      <c r="AF484" s="54"/>
      <c r="AG484" s="92"/>
      <c r="AH484" s="54"/>
      <c r="AI484" s="92"/>
      <c r="AJ484" s="54"/>
      <c r="AK484" s="92"/>
      <c r="AL484" s="54"/>
      <c r="AM484" s="92"/>
      <c r="AO484" s="54"/>
      <c r="AP484" s="123"/>
      <c r="AQ484" s="54"/>
      <c r="AR484" s="154"/>
      <c r="AS484" s="1"/>
      <c r="AT484" s="1"/>
      <c r="AU484" s="9"/>
    </row>
    <row r="485">
      <c r="A485" s="54"/>
      <c r="B485" s="71" t="str">
        <f>IFERROR(HYPERLINK(VLOOKUP(A485,Internal_lists_bugs!$A$2:$C$73,3,FALSE()), VLOOKUP(A485,Internal_lists_bugs!$A$2:$C$73,3,FALSE())&amp;Char(10) &amp; Char(10) &amp; VLOOKUP(A485,Internal_lists_bugs!$A$2:$Z$73,26,FALSE())),"please select a BUG ID")</f>
        <v>please select a BUG ID</v>
      </c>
      <c r="C485" s="51" t="str">
        <f>IFERROR(VLOOKUP(A485,Internal_lists_bugs!$A$2:$G2002,7,FALSE()),"please select a BUG ID")</f>
        <v>please select a BUG ID</v>
      </c>
      <c r="D485" s="54"/>
      <c r="E485" s="56"/>
      <c r="F485" s="54"/>
      <c r="G485" s="56"/>
      <c r="H485" s="54"/>
      <c r="I485" s="56"/>
      <c r="J485" s="54"/>
      <c r="K485" s="92"/>
      <c r="L485" s="54"/>
      <c r="M485" s="92"/>
      <c r="N485" s="54"/>
      <c r="O485" s="92"/>
      <c r="P485" s="54"/>
      <c r="Q485" s="92"/>
      <c r="R485" s="54"/>
      <c r="S485" s="92"/>
      <c r="T485" s="117"/>
      <c r="U485" s="92"/>
      <c r="V485" s="54"/>
      <c r="W485" s="92"/>
      <c r="X485" s="54"/>
      <c r="Y485" s="92"/>
      <c r="Z485" s="54"/>
      <c r="AA485" s="92"/>
      <c r="AB485" s="54"/>
      <c r="AC485" s="92"/>
      <c r="AD485" s="54"/>
      <c r="AE485" s="92"/>
      <c r="AF485" s="54"/>
      <c r="AG485" s="92"/>
      <c r="AH485" s="54"/>
      <c r="AI485" s="92"/>
      <c r="AJ485" s="54"/>
      <c r="AK485" s="92"/>
      <c r="AL485" s="54"/>
      <c r="AM485" s="92"/>
      <c r="AO485" s="54"/>
      <c r="AP485" s="123"/>
      <c r="AQ485" s="54"/>
      <c r="AR485" s="154"/>
      <c r="AS485" s="1"/>
      <c r="AT485" s="1"/>
      <c r="AU485" s="9"/>
    </row>
    <row r="486">
      <c r="A486" s="54"/>
      <c r="B486" s="71" t="str">
        <f>IFERROR(HYPERLINK(VLOOKUP(A486,Internal_lists_bugs!$A$2:$C$73,3,FALSE()), VLOOKUP(A486,Internal_lists_bugs!$A$2:$C$73,3,FALSE())&amp;Char(10) &amp; Char(10) &amp; VLOOKUP(A486,Internal_lists_bugs!$A$2:$Z$73,26,FALSE())),"please select a BUG ID")</f>
        <v>please select a BUG ID</v>
      </c>
      <c r="C486" s="51" t="str">
        <f>IFERROR(VLOOKUP(A486,Internal_lists_bugs!$A$2:$G2002,7,FALSE()),"please select a BUG ID")</f>
        <v>please select a BUG ID</v>
      </c>
      <c r="D486" s="54"/>
      <c r="E486" s="56"/>
      <c r="F486" s="54"/>
      <c r="G486" s="56"/>
      <c r="H486" s="54"/>
      <c r="I486" s="56"/>
      <c r="J486" s="54"/>
      <c r="K486" s="92"/>
      <c r="L486" s="54"/>
      <c r="M486" s="92"/>
      <c r="N486" s="54"/>
      <c r="O486" s="92"/>
      <c r="P486" s="54"/>
      <c r="Q486" s="92"/>
      <c r="R486" s="54"/>
      <c r="S486" s="92"/>
      <c r="T486" s="117"/>
      <c r="U486" s="92"/>
      <c r="V486" s="54"/>
      <c r="W486" s="92"/>
      <c r="X486" s="54"/>
      <c r="Y486" s="92"/>
      <c r="Z486" s="54"/>
      <c r="AA486" s="92"/>
      <c r="AB486" s="54"/>
      <c r="AC486" s="92"/>
      <c r="AD486" s="54"/>
      <c r="AE486" s="92"/>
      <c r="AF486" s="54"/>
      <c r="AG486" s="92"/>
      <c r="AH486" s="54"/>
      <c r="AI486" s="92"/>
      <c r="AJ486" s="54"/>
      <c r="AK486" s="92"/>
      <c r="AL486" s="54"/>
      <c r="AM486" s="92"/>
      <c r="AO486" s="54"/>
      <c r="AP486" s="123"/>
      <c r="AQ486" s="54"/>
      <c r="AR486" s="154"/>
      <c r="AS486" s="1"/>
      <c r="AT486" s="1"/>
      <c r="AU486" s="9"/>
    </row>
    <row r="487">
      <c r="A487" s="54"/>
      <c r="B487" s="71" t="str">
        <f>IFERROR(HYPERLINK(VLOOKUP(A487,Internal_lists_bugs!$A$2:$C$73,3,FALSE()), VLOOKUP(A487,Internal_lists_bugs!$A$2:$C$73,3,FALSE())&amp;Char(10) &amp; Char(10) &amp; VLOOKUP(A487,Internal_lists_bugs!$A$2:$Z$73,26,FALSE())),"please select a BUG ID")</f>
        <v>please select a BUG ID</v>
      </c>
      <c r="C487" s="51" t="str">
        <f>IFERROR(VLOOKUP(A487,Internal_lists_bugs!$A$2:$G2002,7,FALSE()),"please select a BUG ID")</f>
        <v>please select a BUG ID</v>
      </c>
      <c r="D487" s="54"/>
      <c r="E487" s="56"/>
      <c r="F487" s="54"/>
      <c r="G487" s="56"/>
      <c r="H487" s="54"/>
      <c r="I487" s="56"/>
      <c r="J487" s="54"/>
      <c r="K487" s="92"/>
      <c r="L487" s="54"/>
      <c r="M487" s="92"/>
      <c r="N487" s="54"/>
      <c r="O487" s="92"/>
      <c r="P487" s="54"/>
      <c r="Q487" s="92"/>
      <c r="R487" s="54"/>
      <c r="S487" s="92"/>
      <c r="T487" s="117"/>
      <c r="U487" s="92"/>
      <c r="V487" s="54"/>
      <c r="W487" s="92"/>
      <c r="X487" s="54"/>
      <c r="Y487" s="92"/>
      <c r="Z487" s="54"/>
      <c r="AA487" s="92"/>
      <c r="AB487" s="54"/>
      <c r="AC487" s="92"/>
      <c r="AD487" s="54"/>
      <c r="AE487" s="92"/>
      <c r="AF487" s="54"/>
      <c r="AG487" s="92"/>
      <c r="AH487" s="54"/>
      <c r="AI487" s="92"/>
      <c r="AJ487" s="54"/>
      <c r="AK487" s="92"/>
      <c r="AL487" s="54"/>
      <c r="AM487" s="92"/>
      <c r="AO487" s="54"/>
      <c r="AP487" s="123"/>
      <c r="AQ487" s="54"/>
      <c r="AR487" s="154"/>
      <c r="AS487" s="1"/>
      <c r="AT487" s="1"/>
      <c r="AU487" s="9"/>
    </row>
    <row r="488">
      <c r="A488" s="54"/>
      <c r="B488" s="71" t="str">
        <f>IFERROR(HYPERLINK(VLOOKUP(A488,Internal_lists_bugs!$A$2:$C$73,3,FALSE()), VLOOKUP(A488,Internal_lists_bugs!$A$2:$C$73,3,FALSE())&amp;Char(10) &amp; Char(10) &amp; VLOOKUP(A488,Internal_lists_bugs!$A$2:$Z$73,26,FALSE())),"please select a BUG ID")</f>
        <v>please select a BUG ID</v>
      </c>
      <c r="C488" s="51" t="str">
        <f>IFERROR(VLOOKUP(A488,Internal_lists_bugs!$A$2:$G2002,7,FALSE()),"please select a BUG ID")</f>
        <v>please select a BUG ID</v>
      </c>
      <c r="D488" s="54"/>
      <c r="E488" s="56"/>
      <c r="F488" s="54"/>
      <c r="G488" s="56"/>
      <c r="H488" s="54"/>
      <c r="I488" s="56"/>
      <c r="J488" s="54"/>
      <c r="K488" s="92"/>
      <c r="L488" s="54"/>
      <c r="M488" s="92"/>
      <c r="N488" s="54"/>
      <c r="O488" s="92"/>
      <c r="P488" s="54"/>
      <c r="Q488" s="92"/>
      <c r="R488" s="54"/>
      <c r="S488" s="92"/>
      <c r="T488" s="117"/>
      <c r="U488" s="92"/>
      <c r="V488" s="54"/>
      <c r="W488" s="92"/>
      <c r="X488" s="54"/>
      <c r="Y488" s="92"/>
      <c r="Z488" s="54"/>
      <c r="AA488" s="92"/>
      <c r="AB488" s="54"/>
      <c r="AC488" s="92"/>
      <c r="AD488" s="54"/>
      <c r="AE488" s="92"/>
      <c r="AF488" s="54"/>
      <c r="AG488" s="92"/>
      <c r="AH488" s="54"/>
      <c r="AI488" s="92"/>
      <c r="AJ488" s="54"/>
      <c r="AK488" s="92"/>
      <c r="AL488" s="54"/>
      <c r="AM488" s="92"/>
      <c r="AO488" s="54"/>
      <c r="AP488" s="123"/>
      <c r="AQ488" s="54"/>
      <c r="AR488" s="154"/>
      <c r="AS488" s="1"/>
      <c r="AT488" s="1"/>
      <c r="AU488" s="9"/>
    </row>
    <row r="489">
      <c r="A489" s="54"/>
      <c r="B489" s="71" t="str">
        <f>IFERROR(HYPERLINK(VLOOKUP(A489,Internal_lists_bugs!$A$2:$C$73,3,FALSE()), VLOOKUP(A489,Internal_lists_bugs!$A$2:$C$73,3,FALSE())&amp;Char(10) &amp; Char(10) &amp; VLOOKUP(A489,Internal_lists_bugs!$A$2:$Z$73,26,FALSE())),"please select a BUG ID")</f>
        <v>please select a BUG ID</v>
      </c>
      <c r="C489" s="51" t="str">
        <f>IFERROR(VLOOKUP(A489,Internal_lists_bugs!$A$2:$G2002,7,FALSE()),"please select a BUG ID")</f>
        <v>please select a BUG ID</v>
      </c>
      <c r="D489" s="54"/>
      <c r="E489" s="56"/>
      <c r="F489" s="54"/>
      <c r="G489" s="56"/>
      <c r="H489" s="54"/>
      <c r="I489" s="56"/>
      <c r="J489" s="54"/>
      <c r="K489" s="92"/>
      <c r="L489" s="54"/>
      <c r="M489" s="92"/>
      <c r="N489" s="54"/>
      <c r="O489" s="92"/>
      <c r="P489" s="54"/>
      <c r="Q489" s="92"/>
      <c r="R489" s="54"/>
      <c r="S489" s="92"/>
      <c r="T489" s="117"/>
      <c r="U489" s="92"/>
      <c r="V489" s="54"/>
      <c r="W489" s="92"/>
      <c r="X489" s="54"/>
      <c r="Y489" s="92"/>
      <c r="Z489" s="54"/>
      <c r="AA489" s="92"/>
      <c r="AB489" s="54"/>
      <c r="AC489" s="92"/>
      <c r="AD489" s="54"/>
      <c r="AE489" s="92"/>
      <c r="AF489" s="54"/>
      <c r="AG489" s="92"/>
      <c r="AH489" s="54"/>
      <c r="AI489" s="92"/>
      <c r="AJ489" s="54"/>
      <c r="AK489" s="92"/>
      <c r="AL489" s="54"/>
      <c r="AM489" s="92"/>
      <c r="AO489" s="54"/>
      <c r="AP489" s="123"/>
      <c r="AQ489" s="54"/>
      <c r="AR489" s="154"/>
      <c r="AS489" s="1"/>
      <c r="AT489" s="1"/>
      <c r="AU489" s="9"/>
    </row>
    <row r="490">
      <c r="A490" s="54"/>
      <c r="B490" s="71" t="str">
        <f>IFERROR(HYPERLINK(VLOOKUP(A490,Internal_lists_bugs!$A$2:$C$73,3,FALSE()), VLOOKUP(A490,Internal_lists_bugs!$A$2:$C$73,3,FALSE())&amp;Char(10) &amp; Char(10) &amp; VLOOKUP(A490,Internal_lists_bugs!$A$2:$Z$73,26,FALSE())),"please select a BUG ID")</f>
        <v>please select a BUG ID</v>
      </c>
      <c r="C490" s="51" t="str">
        <f>IFERROR(VLOOKUP(A490,Internal_lists_bugs!$A$2:$G2002,7,FALSE()),"please select a BUG ID")</f>
        <v>please select a BUG ID</v>
      </c>
      <c r="D490" s="54"/>
      <c r="E490" s="56"/>
      <c r="F490" s="54"/>
      <c r="G490" s="56"/>
      <c r="H490" s="54"/>
      <c r="I490" s="56"/>
      <c r="J490" s="54"/>
      <c r="K490" s="92"/>
      <c r="L490" s="54"/>
      <c r="M490" s="92"/>
      <c r="N490" s="54"/>
      <c r="O490" s="92"/>
      <c r="P490" s="54"/>
      <c r="Q490" s="92"/>
      <c r="R490" s="54"/>
      <c r="S490" s="92"/>
      <c r="T490" s="117"/>
      <c r="U490" s="92"/>
      <c r="V490" s="54"/>
      <c r="W490" s="92"/>
      <c r="X490" s="54"/>
      <c r="Y490" s="92"/>
      <c r="Z490" s="54"/>
      <c r="AA490" s="92"/>
      <c r="AB490" s="54"/>
      <c r="AC490" s="92"/>
      <c r="AD490" s="54"/>
      <c r="AE490" s="92"/>
      <c r="AF490" s="54"/>
      <c r="AG490" s="92"/>
      <c r="AH490" s="54"/>
      <c r="AI490" s="92"/>
      <c r="AJ490" s="54"/>
      <c r="AK490" s="92"/>
      <c r="AL490" s="54"/>
      <c r="AM490" s="92"/>
      <c r="AO490" s="54"/>
      <c r="AP490" s="123"/>
      <c r="AQ490" s="54"/>
      <c r="AR490" s="154"/>
      <c r="AS490" s="1"/>
      <c r="AT490" s="1"/>
      <c r="AU490" s="9"/>
    </row>
    <row r="491">
      <c r="A491" s="54"/>
      <c r="B491" s="71" t="str">
        <f>IFERROR(HYPERLINK(VLOOKUP(A491,Internal_lists_bugs!$A$2:$C$73,3,FALSE()), VLOOKUP(A491,Internal_lists_bugs!$A$2:$C$73,3,FALSE())&amp;Char(10) &amp; Char(10) &amp; VLOOKUP(A491,Internal_lists_bugs!$A$2:$Z$73,26,FALSE())),"please select a BUG ID")</f>
        <v>please select a BUG ID</v>
      </c>
      <c r="C491" s="51" t="str">
        <f>IFERROR(VLOOKUP(A491,Internal_lists_bugs!$A$2:$G2002,7,FALSE()),"please select a BUG ID")</f>
        <v>please select a BUG ID</v>
      </c>
      <c r="D491" s="54"/>
      <c r="E491" s="56"/>
      <c r="F491" s="54"/>
      <c r="G491" s="56"/>
      <c r="H491" s="54"/>
      <c r="I491" s="56"/>
      <c r="J491" s="54"/>
      <c r="K491" s="92"/>
      <c r="L491" s="54"/>
      <c r="M491" s="92"/>
      <c r="N491" s="54"/>
      <c r="O491" s="92"/>
      <c r="P491" s="54"/>
      <c r="Q491" s="92"/>
      <c r="R491" s="54"/>
      <c r="S491" s="92"/>
      <c r="T491" s="117"/>
      <c r="U491" s="92"/>
      <c r="V491" s="54"/>
      <c r="W491" s="92"/>
      <c r="X491" s="54"/>
      <c r="Y491" s="92"/>
      <c r="Z491" s="54"/>
      <c r="AA491" s="92"/>
      <c r="AB491" s="54"/>
      <c r="AC491" s="92"/>
      <c r="AD491" s="54"/>
      <c r="AE491" s="92"/>
      <c r="AF491" s="54"/>
      <c r="AG491" s="92"/>
      <c r="AH491" s="54"/>
      <c r="AI491" s="92"/>
      <c r="AJ491" s="54"/>
      <c r="AK491" s="92"/>
      <c r="AL491" s="54"/>
      <c r="AM491" s="92"/>
      <c r="AO491" s="54"/>
      <c r="AP491" s="123"/>
      <c r="AQ491" s="54"/>
      <c r="AR491" s="154"/>
      <c r="AS491" s="1"/>
      <c r="AT491" s="1"/>
      <c r="AU491" s="9"/>
    </row>
    <row r="492">
      <c r="A492" s="54"/>
      <c r="B492" s="71" t="str">
        <f>IFERROR(HYPERLINK(VLOOKUP(A492,Internal_lists_bugs!$A$2:$C$73,3,FALSE()), VLOOKUP(A492,Internal_lists_bugs!$A$2:$C$73,3,FALSE())&amp;Char(10) &amp; Char(10) &amp; VLOOKUP(A492,Internal_lists_bugs!$A$2:$Z$73,26,FALSE())),"please select a BUG ID")</f>
        <v>please select a BUG ID</v>
      </c>
      <c r="C492" s="51" t="str">
        <f>IFERROR(VLOOKUP(A492,Internal_lists_bugs!$A$2:$G2002,7,FALSE()),"please select a BUG ID")</f>
        <v>please select a BUG ID</v>
      </c>
      <c r="D492" s="54"/>
      <c r="E492" s="56"/>
      <c r="F492" s="54"/>
      <c r="G492" s="56"/>
      <c r="H492" s="54"/>
      <c r="I492" s="56"/>
      <c r="J492" s="54"/>
      <c r="K492" s="92"/>
      <c r="L492" s="54"/>
      <c r="M492" s="92"/>
      <c r="N492" s="54"/>
      <c r="O492" s="92"/>
      <c r="P492" s="54"/>
      <c r="Q492" s="92"/>
      <c r="R492" s="54"/>
      <c r="S492" s="92"/>
      <c r="T492" s="117"/>
      <c r="U492" s="92"/>
      <c r="V492" s="54"/>
      <c r="W492" s="92"/>
      <c r="X492" s="54"/>
      <c r="Y492" s="92"/>
      <c r="Z492" s="54"/>
      <c r="AA492" s="92"/>
      <c r="AB492" s="54"/>
      <c r="AC492" s="92"/>
      <c r="AD492" s="54"/>
      <c r="AE492" s="92"/>
      <c r="AF492" s="54"/>
      <c r="AG492" s="92"/>
      <c r="AH492" s="54"/>
      <c r="AI492" s="92"/>
      <c r="AJ492" s="54"/>
      <c r="AK492" s="92"/>
      <c r="AL492" s="54"/>
      <c r="AM492" s="92"/>
      <c r="AO492" s="54"/>
      <c r="AP492" s="123"/>
      <c r="AQ492" s="54"/>
      <c r="AR492" s="154"/>
      <c r="AS492" s="1"/>
      <c r="AT492" s="1"/>
      <c r="AU492" s="9"/>
    </row>
    <row r="493">
      <c r="A493" s="54"/>
      <c r="B493" s="71" t="str">
        <f>IFERROR(HYPERLINK(VLOOKUP(A493,Internal_lists_bugs!$A$2:$C$73,3,FALSE()), VLOOKUP(A493,Internal_lists_bugs!$A$2:$C$73,3,FALSE())&amp;Char(10) &amp; Char(10) &amp; VLOOKUP(A493,Internal_lists_bugs!$A$2:$Z$73,26,FALSE())),"please select a BUG ID")</f>
        <v>please select a BUG ID</v>
      </c>
      <c r="C493" s="51" t="str">
        <f>IFERROR(VLOOKUP(A493,Internal_lists_bugs!$A$2:$G2002,7,FALSE()),"please select a BUG ID")</f>
        <v>please select a BUG ID</v>
      </c>
      <c r="D493" s="54"/>
      <c r="E493" s="56"/>
      <c r="F493" s="54"/>
      <c r="G493" s="56"/>
      <c r="H493" s="54"/>
      <c r="I493" s="56"/>
      <c r="J493" s="54"/>
      <c r="K493" s="92"/>
      <c r="L493" s="54"/>
      <c r="M493" s="92"/>
      <c r="N493" s="54"/>
      <c r="O493" s="92"/>
      <c r="P493" s="54"/>
      <c r="Q493" s="92"/>
      <c r="R493" s="54"/>
      <c r="S493" s="92"/>
      <c r="T493" s="117"/>
      <c r="U493" s="92"/>
      <c r="V493" s="54"/>
      <c r="W493" s="92"/>
      <c r="X493" s="54"/>
      <c r="Y493" s="92"/>
      <c r="Z493" s="54"/>
      <c r="AA493" s="92"/>
      <c r="AB493" s="54"/>
      <c r="AC493" s="92"/>
      <c r="AD493" s="54"/>
      <c r="AE493" s="92"/>
      <c r="AF493" s="54"/>
      <c r="AG493" s="92"/>
      <c r="AH493" s="54"/>
      <c r="AI493" s="92"/>
      <c r="AJ493" s="54"/>
      <c r="AK493" s="92"/>
      <c r="AL493" s="54"/>
      <c r="AM493" s="92"/>
      <c r="AO493" s="54"/>
      <c r="AP493" s="123"/>
      <c r="AQ493" s="54"/>
      <c r="AR493" s="154"/>
      <c r="AS493" s="1"/>
      <c r="AT493" s="1"/>
      <c r="AU493" s="9"/>
    </row>
    <row r="494">
      <c r="A494" s="54"/>
      <c r="B494" s="71" t="str">
        <f>IFERROR(HYPERLINK(VLOOKUP(A494,Internal_lists_bugs!$A$2:$C$73,3,FALSE()), VLOOKUP(A494,Internal_lists_bugs!$A$2:$C$73,3,FALSE())&amp;Char(10) &amp; Char(10) &amp; VLOOKUP(A494,Internal_lists_bugs!$A$2:$Z$73,26,FALSE())),"please select a BUG ID")</f>
        <v>please select a BUG ID</v>
      </c>
      <c r="C494" s="51" t="str">
        <f>IFERROR(VLOOKUP(A494,Internal_lists_bugs!$A$2:$G2002,7,FALSE()),"please select a BUG ID")</f>
        <v>please select a BUG ID</v>
      </c>
      <c r="D494" s="54"/>
      <c r="E494" s="56"/>
      <c r="F494" s="54"/>
      <c r="G494" s="56"/>
      <c r="H494" s="54"/>
      <c r="I494" s="56"/>
      <c r="J494" s="54"/>
      <c r="K494" s="92"/>
      <c r="L494" s="54"/>
      <c r="M494" s="92"/>
      <c r="N494" s="54"/>
      <c r="O494" s="92"/>
      <c r="P494" s="54"/>
      <c r="Q494" s="92"/>
      <c r="R494" s="54"/>
      <c r="S494" s="92"/>
      <c r="T494" s="117"/>
      <c r="U494" s="92"/>
      <c r="V494" s="54"/>
      <c r="W494" s="92"/>
      <c r="X494" s="54"/>
      <c r="Y494" s="92"/>
      <c r="Z494" s="54"/>
      <c r="AA494" s="92"/>
      <c r="AB494" s="54"/>
      <c r="AC494" s="92"/>
      <c r="AD494" s="54"/>
      <c r="AE494" s="92"/>
      <c r="AF494" s="54"/>
      <c r="AG494" s="92"/>
      <c r="AH494" s="54"/>
      <c r="AI494" s="92"/>
      <c r="AJ494" s="54"/>
      <c r="AK494" s="92"/>
      <c r="AL494" s="54"/>
      <c r="AM494" s="92"/>
      <c r="AO494" s="54"/>
      <c r="AP494" s="123"/>
      <c r="AQ494" s="54"/>
      <c r="AR494" s="154"/>
      <c r="AS494" s="1"/>
      <c r="AT494" s="1"/>
      <c r="AU494" s="9"/>
    </row>
    <row r="495">
      <c r="A495" s="54"/>
      <c r="B495" s="71" t="str">
        <f>IFERROR(HYPERLINK(VLOOKUP(A495,Internal_lists_bugs!$A$2:$C$73,3,FALSE()), VLOOKUP(A495,Internal_lists_bugs!$A$2:$C$73,3,FALSE())&amp;Char(10) &amp; Char(10) &amp; VLOOKUP(A495,Internal_lists_bugs!$A$2:$Z$73,26,FALSE())),"please select a BUG ID")</f>
        <v>please select a BUG ID</v>
      </c>
      <c r="C495" s="51" t="str">
        <f>IFERROR(VLOOKUP(A495,Internal_lists_bugs!$A$2:$G2002,7,FALSE()),"please select a BUG ID")</f>
        <v>please select a BUG ID</v>
      </c>
      <c r="D495" s="54"/>
      <c r="E495" s="56"/>
      <c r="F495" s="54"/>
      <c r="G495" s="56"/>
      <c r="H495" s="54"/>
      <c r="I495" s="56"/>
      <c r="J495" s="54"/>
      <c r="K495" s="92"/>
      <c r="L495" s="54"/>
      <c r="M495" s="92"/>
      <c r="N495" s="54"/>
      <c r="O495" s="92"/>
      <c r="P495" s="54"/>
      <c r="Q495" s="92"/>
      <c r="R495" s="54"/>
      <c r="S495" s="92"/>
      <c r="T495" s="117"/>
      <c r="U495" s="92"/>
      <c r="V495" s="54"/>
      <c r="W495" s="92"/>
      <c r="X495" s="54"/>
      <c r="Y495" s="92"/>
      <c r="Z495" s="54"/>
      <c r="AA495" s="92"/>
      <c r="AB495" s="54"/>
      <c r="AC495" s="92"/>
      <c r="AD495" s="54"/>
      <c r="AE495" s="92"/>
      <c r="AF495" s="54"/>
      <c r="AG495" s="92"/>
      <c r="AH495" s="54"/>
      <c r="AI495" s="92"/>
      <c r="AJ495" s="54"/>
      <c r="AK495" s="92"/>
      <c r="AL495" s="54"/>
      <c r="AM495" s="92"/>
      <c r="AO495" s="54"/>
      <c r="AP495" s="123"/>
      <c r="AQ495" s="54"/>
      <c r="AR495" s="154"/>
      <c r="AS495" s="1"/>
      <c r="AT495" s="1"/>
      <c r="AU495" s="9"/>
    </row>
    <row r="496">
      <c r="A496" s="54"/>
      <c r="B496" s="71" t="str">
        <f>IFERROR(HYPERLINK(VLOOKUP(A496,Internal_lists_bugs!$A$2:$C$73,3,FALSE()), VLOOKUP(A496,Internal_lists_bugs!$A$2:$C$73,3,FALSE())&amp;Char(10) &amp; Char(10) &amp; VLOOKUP(A496,Internal_lists_bugs!$A$2:$Z$73,26,FALSE())),"please select a BUG ID")</f>
        <v>please select a BUG ID</v>
      </c>
      <c r="C496" s="51" t="str">
        <f>IFERROR(VLOOKUP(A496,Internal_lists_bugs!$A$2:$G2002,7,FALSE()),"please select a BUG ID")</f>
        <v>please select a BUG ID</v>
      </c>
      <c r="D496" s="54"/>
      <c r="E496" s="56"/>
      <c r="F496" s="54"/>
      <c r="G496" s="56"/>
      <c r="H496" s="54"/>
      <c r="I496" s="56"/>
      <c r="J496" s="54"/>
      <c r="K496" s="92"/>
      <c r="L496" s="54"/>
      <c r="M496" s="92"/>
      <c r="N496" s="54"/>
      <c r="O496" s="92"/>
      <c r="P496" s="54"/>
      <c r="Q496" s="92"/>
      <c r="R496" s="54"/>
      <c r="S496" s="92"/>
      <c r="T496" s="117"/>
      <c r="U496" s="92"/>
      <c r="V496" s="54"/>
      <c r="W496" s="92"/>
      <c r="X496" s="54"/>
      <c r="Y496" s="92"/>
      <c r="Z496" s="54"/>
      <c r="AA496" s="92"/>
      <c r="AB496" s="54"/>
      <c r="AC496" s="92"/>
      <c r="AD496" s="54"/>
      <c r="AE496" s="92"/>
      <c r="AF496" s="54"/>
      <c r="AG496" s="92"/>
      <c r="AH496" s="54"/>
      <c r="AI496" s="92"/>
      <c r="AJ496" s="54"/>
      <c r="AK496" s="92"/>
      <c r="AL496" s="54"/>
      <c r="AM496" s="92"/>
      <c r="AO496" s="54"/>
      <c r="AP496" s="123"/>
      <c r="AQ496" s="54"/>
      <c r="AR496" s="154"/>
      <c r="AS496" s="1"/>
      <c r="AT496" s="1"/>
      <c r="AU496" s="9"/>
    </row>
    <row r="497">
      <c r="A497" s="54"/>
      <c r="B497" s="71" t="str">
        <f>IFERROR(HYPERLINK(VLOOKUP(A497,Internal_lists_bugs!$A$2:$C$73,3,FALSE()), VLOOKUP(A497,Internal_lists_bugs!$A$2:$C$73,3,FALSE())&amp;Char(10) &amp; Char(10) &amp; VLOOKUP(A497,Internal_lists_bugs!$A$2:$Z$73,26,FALSE())),"please select a BUG ID")</f>
        <v>please select a BUG ID</v>
      </c>
      <c r="C497" s="51" t="str">
        <f>IFERROR(VLOOKUP(A497,Internal_lists_bugs!$A$2:$G2002,7,FALSE()),"please select a BUG ID")</f>
        <v>please select a BUG ID</v>
      </c>
      <c r="D497" s="54"/>
      <c r="E497" s="56"/>
      <c r="F497" s="54"/>
      <c r="G497" s="56"/>
      <c r="H497" s="54"/>
      <c r="I497" s="56"/>
      <c r="J497" s="54"/>
      <c r="K497" s="92"/>
      <c r="L497" s="54"/>
      <c r="M497" s="92"/>
      <c r="N497" s="54"/>
      <c r="O497" s="92"/>
      <c r="P497" s="54"/>
      <c r="Q497" s="92"/>
      <c r="R497" s="54"/>
      <c r="S497" s="92"/>
      <c r="T497" s="117"/>
      <c r="U497" s="92"/>
      <c r="V497" s="54"/>
      <c r="W497" s="92"/>
      <c r="X497" s="54"/>
      <c r="Y497" s="92"/>
      <c r="Z497" s="54"/>
      <c r="AA497" s="92"/>
      <c r="AB497" s="54"/>
      <c r="AC497" s="92"/>
      <c r="AD497" s="54"/>
      <c r="AE497" s="92"/>
      <c r="AF497" s="54"/>
      <c r="AG497" s="92"/>
      <c r="AH497" s="54"/>
      <c r="AI497" s="92"/>
      <c r="AJ497" s="54"/>
      <c r="AK497" s="92"/>
      <c r="AL497" s="54"/>
      <c r="AM497" s="92"/>
      <c r="AO497" s="54"/>
      <c r="AP497" s="123"/>
      <c r="AQ497" s="54"/>
      <c r="AR497" s="154"/>
      <c r="AS497" s="1"/>
      <c r="AT497" s="1"/>
      <c r="AU497" s="9"/>
    </row>
    <row r="498">
      <c r="A498" s="54"/>
      <c r="B498" s="71" t="str">
        <f>IFERROR(HYPERLINK(VLOOKUP(A498,Internal_lists_bugs!$A$2:$C$73,3,FALSE()), VLOOKUP(A498,Internal_lists_bugs!$A$2:$C$73,3,FALSE())&amp;Char(10) &amp; Char(10) &amp; VLOOKUP(A498,Internal_lists_bugs!$A$2:$Z$73,26,FALSE())),"please select a BUG ID")</f>
        <v>please select a BUG ID</v>
      </c>
      <c r="C498" s="51" t="str">
        <f>IFERROR(VLOOKUP(A498,Internal_lists_bugs!$A$2:$G2002,7,FALSE()),"please select a BUG ID")</f>
        <v>please select a BUG ID</v>
      </c>
      <c r="D498" s="54"/>
      <c r="E498" s="56"/>
      <c r="F498" s="54"/>
      <c r="G498" s="56"/>
      <c r="H498" s="54"/>
      <c r="I498" s="56"/>
      <c r="J498" s="54"/>
      <c r="K498" s="92"/>
      <c r="L498" s="54"/>
      <c r="M498" s="92"/>
      <c r="N498" s="54"/>
      <c r="O498" s="92"/>
      <c r="P498" s="54"/>
      <c r="Q498" s="92"/>
      <c r="R498" s="54"/>
      <c r="S498" s="92"/>
      <c r="T498" s="117"/>
      <c r="U498" s="92"/>
      <c r="V498" s="54"/>
      <c r="W498" s="92"/>
      <c r="X498" s="54"/>
      <c r="Y498" s="92"/>
      <c r="Z498" s="54"/>
      <c r="AA498" s="92"/>
      <c r="AB498" s="54"/>
      <c r="AC498" s="92"/>
      <c r="AD498" s="54"/>
      <c r="AE498" s="92"/>
      <c r="AF498" s="54"/>
      <c r="AG498" s="92"/>
      <c r="AH498" s="54"/>
      <c r="AI498" s="92"/>
      <c r="AJ498" s="54"/>
      <c r="AK498" s="92"/>
      <c r="AL498" s="54"/>
      <c r="AM498" s="92"/>
      <c r="AO498" s="54"/>
      <c r="AP498" s="123"/>
      <c r="AQ498" s="54"/>
      <c r="AR498" s="154"/>
      <c r="AS498" s="1"/>
      <c r="AT498" s="1"/>
      <c r="AU498" s="9"/>
    </row>
    <row r="499">
      <c r="A499" s="54"/>
      <c r="B499" s="71" t="str">
        <f>IFERROR(HYPERLINK(VLOOKUP(A499,Internal_lists_bugs!$A$2:$C$73,3,FALSE()), VLOOKUP(A499,Internal_lists_bugs!$A$2:$C$73,3,FALSE())&amp;Char(10) &amp; Char(10) &amp; VLOOKUP(A499,Internal_lists_bugs!$A$2:$Z$73,26,FALSE())),"please select a BUG ID")</f>
        <v>please select a BUG ID</v>
      </c>
      <c r="C499" s="51" t="str">
        <f>IFERROR(VLOOKUP(A499,Internal_lists_bugs!$A$2:$G2002,7,FALSE()),"please select a BUG ID")</f>
        <v>please select a BUG ID</v>
      </c>
      <c r="D499" s="54"/>
      <c r="E499" s="56"/>
      <c r="F499" s="54"/>
      <c r="G499" s="56"/>
      <c r="H499" s="54"/>
      <c r="I499" s="56"/>
      <c r="J499" s="54"/>
      <c r="K499" s="92"/>
      <c r="L499" s="54"/>
      <c r="M499" s="92"/>
      <c r="N499" s="54"/>
      <c r="O499" s="92"/>
      <c r="P499" s="54"/>
      <c r="Q499" s="92"/>
      <c r="R499" s="54"/>
      <c r="S499" s="92"/>
      <c r="T499" s="117"/>
      <c r="U499" s="92"/>
      <c r="V499" s="54"/>
      <c r="W499" s="92"/>
      <c r="X499" s="54"/>
      <c r="Y499" s="92"/>
      <c r="Z499" s="54"/>
      <c r="AA499" s="92"/>
      <c r="AB499" s="54"/>
      <c r="AC499" s="92"/>
      <c r="AD499" s="54"/>
      <c r="AE499" s="92"/>
      <c r="AF499" s="54"/>
      <c r="AG499" s="92"/>
      <c r="AH499" s="54"/>
      <c r="AI499" s="92"/>
      <c r="AJ499" s="54"/>
      <c r="AK499" s="92"/>
      <c r="AL499" s="54"/>
      <c r="AM499" s="92"/>
      <c r="AO499" s="54"/>
      <c r="AP499" s="123"/>
      <c r="AQ499" s="54"/>
      <c r="AR499" s="154"/>
      <c r="AS499" s="1"/>
      <c r="AT499" s="1"/>
      <c r="AU499" s="9"/>
    </row>
    <row r="500">
      <c r="A500" s="54"/>
      <c r="B500" s="71" t="str">
        <f>IFERROR(HYPERLINK(VLOOKUP(A500,Internal_lists_bugs!$A$2:$C$73,3,FALSE()), VLOOKUP(A500,Internal_lists_bugs!$A$2:$C$73,3,FALSE())&amp;Char(10) &amp; Char(10) &amp; VLOOKUP(A500,Internal_lists_bugs!$A$2:$Z$73,26,FALSE())),"please select a BUG ID")</f>
        <v>please select a BUG ID</v>
      </c>
      <c r="C500" s="51" t="str">
        <f>IFERROR(VLOOKUP(A500,Internal_lists_bugs!$A$2:$G2002,7,FALSE()),"please select a BUG ID")</f>
        <v>please select a BUG ID</v>
      </c>
      <c r="D500" s="54"/>
      <c r="E500" s="56"/>
      <c r="F500" s="54"/>
      <c r="G500" s="56"/>
      <c r="H500" s="54"/>
      <c r="I500" s="56"/>
      <c r="J500" s="54"/>
      <c r="K500" s="92"/>
      <c r="L500" s="54"/>
      <c r="M500" s="92"/>
      <c r="N500" s="54"/>
      <c r="O500" s="92"/>
      <c r="P500" s="54"/>
      <c r="Q500" s="92"/>
      <c r="R500" s="54"/>
      <c r="S500" s="92"/>
      <c r="T500" s="117"/>
      <c r="U500" s="92"/>
      <c r="V500" s="54"/>
      <c r="W500" s="92"/>
      <c r="X500" s="54"/>
      <c r="Y500" s="92"/>
      <c r="Z500" s="54"/>
      <c r="AA500" s="92"/>
      <c r="AB500" s="54"/>
      <c r="AC500" s="92"/>
      <c r="AD500" s="54"/>
      <c r="AE500" s="92"/>
      <c r="AF500" s="54"/>
      <c r="AG500" s="92"/>
      <c r="AH500" s="54"/>
      <c r="AI500" s="92"/>
      <c r="AJ500" s="54"/>
      <c r="AK500" s="92"/>
      <c r="AL500" s="54"/>
      <c r="AM500" s="92"/>
      <c r="AO500" s="54"/>
      <c r="AP500" s="123"/>
      <c r="AQ500" s="54"/>
      <c r="AR500" s="154"/>
      <c r="AS500" s="1"/>
      <c r="AT500" s="1"/>
      <c r="AU500" s="9"/>
    </row>
    <row r="501">
      <c r="A501" s="54"/>
      <c r="B501" s="71" t="str">
        <f>IFERROR(HYPERLINK(VLOOKUP(A501,Internal_lists_bugs!$A$2:$C$73,3,FALSE()), VLOOKUP(A501,Internal_lists_bugs!$A$2:$C$73,3,FALSE())&amp;Char(10) &amp; Char(10) &amp; VLOOKUP(A501,Internal_lists_bugs!$A$2:$Z$73,26,FALSE())),"please select a BUG ID")</f>
        <v>please select a BUG ID</v>
      </c>
      <c r="C501" s="51" t="str">
        <f>IFERROR(VLOOKUP(A501,Internal_lists_bugs!$A$2:$G2002,7,FALSE()),"please select a BUG ID")</f>
        <v>please select a BUG ID</v>
      </c>
      <c r="D501" s="54"/>
      <c r="E501" s="56"/>
      <c r="F501" s="54"/>
      <c r="G501" s="56"/>
      <c r="H501" s="54"/>
      <c r="I501" s="56"/>
      <c r="J501" s="54"/>
      <c r="K501" s="92"/>
      <c r="L501" s="54"/>
      <c r="M501" s="92"/>
      <c r="N501" s="54"/>
      <c r="O501" s="92"/>
      <c r="P501" s="54"/>
      <c r="Q501" s="92"/>
      <c r="R501" s="54"/>
      <c r="S501" s="92"/>
      <c r="T501" s="117"/>
      <c r="U501" s="92"/>
      <c r="V501" s="54"/>
      <c r="W501" s="92"/>
      <c r="X501" s="54"/>
      <c r="Y501" s="92"/>
      <c r="Z501" s="54"/>
      <c r="AA501" s="92"/>
      <c r="AB501" s="54"/>
      <c r="AC501" s="92"/>
      <c r="AD501" s="54"/>
      <c r="AE501" s="92"/>
      <c r="AF501" s="54"/>
      <c r="AG501" s="92"/>
      <c r="AH501" s="54"/>
      <c r="AI501" s="92"/>
      <c r="AJ501" s="54"/>
      <c r="AK501" s="92"/>
      <c r="AL501" s="54"/>
      <c r="AM501" s="92"/>
      <c r="AO501" s="54"/>
      <c r="AP501" s="123"/>
      <c r="AQ501" s="54"/>
      <c r="AR501" s="154"/>
      <c r="AS501" s="1"/>
      <c r="AT501" s="1"/>
      <c r="AU501" s="9"/>
    </row>
    <row r="502">
      <c r="A502" s="54"/>
      <c r="B502" s="71" t="str">
        <f>IFERROR(HYPERLINK(VLOOKUP(A502,Internal_lists_bugs!$A$2:$C$73,3,FALSE()), VLOOKUP(A502,Internal_lists_bugs!$A$2:$C$73,3,FALSE())&amp;Char(10) &amp; Char(10) &amp; VLOOKUP(A502,Internal_lists_bugs!$A$2:$Z$73,26,FALSE())),"please select a BUG ID")</f>
        <v>please select a BUG ID</v>
      </c>
      <c r="C502" s="51" t="str">
        <f>IFERROR(VLOOKUP(A502,Internal_lists_bugs!$A$2:$G2002,7,FALSE()),"please select a BUG ID")</f>
        <v>please select a BUG ID</v>
      </c>
      <c r="D502" s="54"/>
      <c r="E502" s="56"/>
      <c r="F502" s="54"/>
      <c r="G502" s="56"/>
      <c r="H502" s="54"/>
      <c r="I502" s="56"/>
      <c r="J502" s="54"/>
      <c r="K502" s="92"/>
      <c r="L502" s="54"/>
      <c r="M502" s="92"/>
      <c r="N502" s="54"/>
      <c r="O502" s="92"/>
      <c r="P502" s="54"/>
      <c r="Q502" s="92"/>
      <c r="R502" s="54"/>
      <c r="S502" s="92"/>
      <c r="T502" s="117"/>
      <c r="U502" s="92"/>
      <c r="V502" s="54"/>
      <c r="W502" s="92"/>
      <c r="X502" s="54"/>
      <c r="Y502" s="92"/>
      <c r="Z502" s="54"/>
      <c r="AA502" s="92"/>
      <c r="AB502" s="54"/>
      <c r="AC502" s="92"/>
      <c r="AD502" s="54"/>
      <c r="AE502" s="92"/>
      <c r="AF502" s="54"/>
      <c r="AG502" s="92"/>
      <c r="AH502" s="54"/>
      <c r="AI502" s="92"/>
      <c r="AJ502" s="54"/>
      <c r="AK502" s="92"/>
      <c r="AL502" s="54"/>
      <c r="AM502" s="92"/>
      <c r="AO502" s="54"/>
      <c r="AP502" s="123"/>
      <c r="AQ502" s="54"/>
      <c r="AR502" s="154"/>
      <c r="AS502" s="1"/>
      <c r="AT502" s="1"/>
      <c r="AU502" s="9"/>
    </row>
    <row r="503">
      <c r="A503" s="54"/>
      <c r="B503" s="71" t="str">
        <f>IFERROR(HYPERLINK(VLOOKUP(A503,Internal_lists_bugs!$A$2:$C$73,3,FALSE()), VLOOKUP(A503,Internal_lists_bugs!$A$2:$C$73,3,FALSE())&amp;Char(10) &amp; Char(10) &amp; VLOOKUP(A503,Internal_lists_bugs!$A$2:$Z$73,26,FALSE())),"please select a BUG ID")</f>
        <v>please select a BUG ID</v>
      </c>
      <c r="C503" s="51" t="str">
        <f>IFERROR(VLOOKUP(A503,Internal_lists_bugs!$A$2:$G2002,7,FALSE()),"please select a BUG ID")</f>
        <v>please select a BUG ID</v>
      </c>
      <c r="D503" s="54"/>
      <c r="E503" s="56"/>
      <c r="F503" s="54"/>
      <c r="G503" s="56"/>
      <c r="H503" s="54"/>
      <c r="I503" s="56"/>
      <c r="J503" s="54"/>
      <c r="K503" s="92"/>
      <c r="L503" s="54"/>
      <c r="M503" s="92"/>
      <c r="N503" s="54"/>
      <c r="O503" s="92"/>
      <c r="P503" s="54"/>
      <c r="Q503" s="92"/>
      <c r="R503" s="54"/>
      <c r="S503" s="92"/>
      <c r="T503" s="117"/>
      <c r="U503" s="92"/>
      <c r="V503" s="54"/>
      <c r="W503" s="92"/>
      <c r="X503" s="54"/>
      <c r="Y503" s="92"/>
      <c r="Z503" s="54"/>
      <c r="AA503" s="92"/>
      <c r="AB503" s="54"/>
      <c r="AC503" s="92"/>
      <c r="AD503" s="54"/>
      <c r="AE503" s="92"/>
      <c r="AF503" s="54"/>
      <c r="AG503" s="92"/>
      <c r="AH503" s="54"/>
      <c r="AI503" s="92"/>
      <c r="AJ503" s="54"/>
      <c r="AK503" s="92"/>
      <c r="AL503" s="54"/>
      <c r="AM503" s="92"/>
      <c r="AO503" s="54"/>
      <c r="AP503" s="123"/>
      <c r="AQ503" s="54"/>
      <c r="AR503" s="154"/>
      <c r="AS503" s="1"/>
      <c r="AT503" s="1"/>
      <c r="AU503" s="9"/>
    </row>
    <row r="504">
      <c r="A504" s="54"/>
      <c r="B504" s="71" t="str">
        <f>IFERROR(HYPERLINK(VLOOKUP(A504,Internal_lists_bugs!$A$2:$C$73,3,FALSE()), VLOOKUP(A504,Internal_lists_bugs!$A$2:$C$73,3,FALSE())&amp;Char(10) &amp; Char(10) &amp; VLOOKUP(A504,Internal_lists_bugs!$A$2:$Z$73,26,FALSE())),"please select a BUG ID")</f>
        <v>please select a BUG ID</v>
      </c>
      <c r="C504" s="51" t="str">
        <f>IFERROR(VLOOKUP(A504,Internal_lists_bugs!$A$2:$G2002,7,FALSE()),"please select a BUG ID")</f>
        <v>please select a BUG ID</v>
      </c>
      <c r="D504" s="54"/>
      <c r="E504" s="56"/>
      <c r="F504" s="54"/>
      <c r="G504" s="56"/>
      <c r="H504" s="54"/>
      <c r="I504" s="56"/>
      <c r="J504" s="54"/>
      <c r="K504" s="92"/>
      <c r="L504" s="54"/>
      <c r="M504" s="92"/>
      <c r="N504" s="54"/>
      <c r="O504" s="92"/>
      <c r="P504" s="54"/>
      <c r="Q504" s="92"/>
      <c r="R504" s="54"/>
      <c r="S504" s="92"/>
      <c r="T504" s="117"/>
      <c r="U504" s="92"/>
      <c r="V504" s="54"/>
      <c r="W504" s="92"/>
      <c r="X504" s="54"/>
      <c r="Y504" s="92"/>
      <c r="Z504" s="54"/>
      <c r="AA504" s="92"/>
      <c r="AB504" s="54"/>
      <c r="AC504" s="92"/>
      <c r="AD504" s="54"/>
      <c r="AE504" s="92"/>
      <c r="AF504" s="54"/>
      <c r="AG504" s="92"/>
      <c r="AH504" s="54"/>
      <c r="AI504" s="92"/>
      <c r="AJ504" s="54"/>
      <c r="AK504" s="92"/>
      <c r="AL504" s="54"/>
      <c r="AM504" s="92"/>
      <c r="AO504" s="54"/>
      <c r="AP504" s="123"/>
      <c r="AQ504" s="54"/>
      <c r="AR504" s="154"/>
      <c r="AS504" s="1"/>
      <c r="AT504" s="1"/>
      <c r="AU504" s="9"/>
    </row>
    <row r="505">
      <c r="A505" s="54"/>
      <c r="B505" s="71" t="str">
        <f>IFERROR(HYPERLINK(VLOOKUP(A505,Internal_lists_bugs!$A$2:$C$73,3,FALSE()), VLOOKUP(A505,Internal_lists_bugs!$A$2:$C$73,3,FALSE())&amp;Char(10) &amp; Char(10) &amp; VLOOKUP(A505,Internal_lists_bugs!$A$2:$Z$73,26,FALSE())),"please select a BUG ID")</f>
        <v>please select a BUG ID</v>
      </c>
      <c r="C505" s="51" t="str">
        <f>IFERROR(VLOOKUP(A505,Internal_lists_bugs!$A$2:$G2002,7,FALSE()),"please select a BUG ID")</f>
        <v>please select a BUG ID</v>
      </c>
      <c r="D505" s="54"/>
      <c r="E505" s="56"/>
      <c r="F505" s="54"/>
      <c r="G505" s="56"/>
      <c r="H505" s="54"/>
      <c r="I505" s="56"/>
      <c r="J505" s="54"/>
      <c r="K505" s="92"/>
      <c r="L505" s="54"/>
      <c r="M505" s="92"/>
      <c r="N505" s="54"/>
      <c r="O505" s="92"/>
      <c r="P505" s="54"/>
      <c r="Q505" s="92"/>
      <c r="R505" s="54"/>
      <c r="S505" s="92"/>
      <c r="T505" s="117"/>
      <c r="U505" s="92"/>
      <c r="V505" s="54"/>
      <c r="W505" s="92"/>
      <c r="X505" s="54"/>
      <c r="Y505" s="92"/>
      <c r="Z505" s="54"/>
      <c r="AA505" s="92"/>
      <c r="AB505" s="54"/>
      <c r="AC505" s="92"/>
      <c r="AD505" s="54"/>
      <c r="AE505" s="92"/>
      <c r="AF505" s="54"/>
      <c r="AG505" s="92"/>
      <c r="AH505" s="54"/>
      <c r="AI505" s="92"/>
      <c r="AJ505" s="54"/>
      <c r="AK505" s="92"/>
      <c r="AL505" s="54"/>
      <c r="AM505" s="92"/>
      <c r="AO505" s="54"/>
      <c r="AP505" s="123"/>
      <c r="AQ505" s="54"/>
      <c r="AR505" s="154"/>
      <c r="AS505" s="1"/>
      <c r="AT505" s="1"/>
      <c r="AU505" s="9"/>
    </row>
    <row r="506">
      <c r="A506" s="54"/>
      <c r="B506" s="71" t="str">
        <f>IFERROR(HYPERLINK(VLOOKUP(A506,Internal_lists_bugs!$A$2:$C$73,3,FALSE()), VLOOKUP(A506,Internal_lists_bugs!$A$2:$C$73,3,FALSE())&amp;Char(10) &amp; Char(10) &amp; VLOOKUP(A506,Internal_lists_bugs!$A$2:$Z$73,26,FALSE())),"please select a BUG ID")</f>
        <v>please select a BUG ID</v>
      </c>
      <c r="C506" s="51" t="str">
        <f>IFERROR(VLOOKUP(A506,Internal_lists_bugs!$A$2:$G2002,7,FALSE()),"please select a BUG ID")</f>
        <v>please select a BUG ID</v>
      </c>
      <c r="D506" s="54"/>
      <c r="E506" s="56"/>
      <c r="F506" s="54"/>
      <c r="G506" s="56"/>
      <c r="H506" s="54"/>
      <c r="I506" s="56"/>
      <c r="J506" s="54"/>
      <c r="K506" s="92"/>
      <c r="L506" s="54"/>
      <c r="M506" s="92"/>
      <c r="N506" s="54"/>
      <c r="O506" s="92"/>
      <c r="P506" s="54"/>
      <c r="Q506" s="92"/>
      <c r="R506" s="54"/>
      <c r="S506" s="92"/>
      <c r="T506" s="117"/>
      <c r="U506" s="92"/>
      <c r="V506" s="54"/>
      <c r="W506" s="92"/>
      <c r="X506" s="54"/>
      <c r="Y506" s="92"/>
      <c r="Z506" s="54"/>
      <c r="AA506" s="92"/>
      <c r="AB506" s="54"/>
      <c r="AC506" s="92"/>
      <c r="AD506" s="54"/>
      <c r="AE506" s="92"/>
      <c r="AF506" s="54"/>
      <c r="AG506" s="92"/>
      <c r="AH506" s="54"/>
      <c r="AI506" s="92"/>
      <c r="AJ506" s="54"/>
      <c r="AK506" s="92"/>
      <c r="AL506" s="54"/>
      <c r="AM506" s="92"/>
      <c r="AO506" s="54"/>
      <c r="AP506" s="123"/>
      <c r="AQ506" s="54"/>
      <c r="AR506" s="154"/>
      <c r="AS506" s="1"/>
      <c r="AT506" s="1"/>
      <c r="AU506" s="9"/>
    </row>
    <row r="507">
      <c r="A507" s="54"/>
      <c r="B507" s="71" t="str">
        <f>IFERROR(HYPERLINK(VLOOKUP(A507,Internal_lists_bugs!$A$2:$C$73,3,FALSE()), VLOOKUP(A507,Internal_lists_bugs!$A$2:$C$73,3,FALSE())&amp;Char(10) &amp; Char(10) &amp; VLOOKUP(A507,Internal_lists_bugs!$A$2:$Z$73,26,FALSE())),"please select a BUG ID")</f>
        <v>please select a BUG ID</v>
      </c>
      <c r="C507" s="51" t="str">
        <f>IFERROR(VLOOKUP(A507,Internal_lists_bugs!$A$2:$G2002,7,FALSE()),"please select a BUG ID")</f>
        <v>please select a BUG ID</v>
      </c>
      <c r="D507" s="54"/>
      <c r="E507" s="56"/>
      <c r="F507" s="54"/>
      <c r="G507" s="56"/>
      <c r="H507" s="54"/>
      <c r="I507" s="56"/>
      <c r="J507" s="54"/>
      <c r="K507" s="92"/>
      <c r="L507" s="54"/>
      <c r="M507" s="92"/>
      <c r="N507" s="54"/>
      <c r="O507" s="92"/>
      <c r="P507" s="54"/>
      <c r="Q507" s="92"/>
      <c r="R507" s="54"/>
      <c r="S507" s="92"/>
      <c r="T507" s="117"/>
      <c r="U507" s="92"/>
      <c r="V507" s="54"/>
      <c r="W507" s="92"/>
      <c r="X507" s="54"/>
      <c r="Y507" s="92"/>
      <c r="Z507" s="54"/>
      <c r="AA507" s="92"/>
      <c r="AB507" s="54"/>
      <c r="AC507" s="92"/>
      <c r="AD507" s="54"/>
      <c r="AE507" s="92"/>
      <c r="AF507" s="54"/>
      <c r="AG507" s="92"/>
      <c r="AH507" s="54"/>
      <c r="AI507" s="92"/>
      <c r="AJ507" s="54"/>
      <c r="AK507" s="92"/>
      <c r="AL507" s="54"/>
      <c r="AM507" s="92"/>
      <c r="AO507" s="54"/>
      <c r="AP507" s="123"/>
      <c r="AQ507" s="54"/>
      <c r="AR507" s="154"/>
      <c r="AS507" s="1"/>
      <c r="AT507" s="1"/>
      <c r="AU507" s="9"/>
    </row>
    <row r="508">
      <c r="A508" s="54"/>
      <c r="B508" s="71" t="str">
        <f>IFERROR(HYPERLINK(VLOOKUP(A508,Internal_lists_bugs!$A$2:$C$73,3,FALSE()), VLOOKUP(A508,Internal_lists_bugs!$A$2:$C$73,3,FALSE())&amp;Char(10) &amp; Char(10) &amp; VLOOKUP(A508,Internal_lists_bugs!$A$2:$Z$73,26,FALSE())),"please select a BUG ID")</f>
        <v>please select a BUG ID</v>
      </c>
      <c r="C508" s="51" t="str">
        <f>IFERROR(VLOOKUP(A508,Internal_lists_bugs!$A$2:$G2002,7,FALSE()),"please select a BUG ID")</f>
        <v>please select a BUG ID</v>
      </c>
      <c r="D508" s="54"/>
      <c r="E508" s="56"/>
      <c r="F508" s="54"/>
      <c r="G508" s="56"/>
      <c r="H508" s="54"/>
      <c r="I508" s="56"/>
      <c r="J508" s="54"/>
      <c r="K508" s="92"/>
      <c r="L508" s="54"/>
      <c r="M508" s="92"/>
      <c r="N508" s="54"/>
      <c r="O508" s="92"/>
      <c r="P508" s="54"/>
      <c r="Q508" s="92"/>
      <c r="R508" s="54"/>
      <c r="S508" s="92"/>
      <c r="T508" s="117"/>
      <c r="U508" s="92"/>
      <c r="V508" s="54"/>
      <c r="W508" s="92"/>
      <c r="X508" s="54"/>
      <c r="Y508" s="92"/>
      <c r="Z508" s="54"/>
      <c r="AA508" s="92"/>
      <c r="AB508" s="54"/>
      <c r="AC508" s="92"/>
      <c r="AD508" s="54"/>
      <c r="AE508" s="92"/>
      <c r="AF508" s="54"/>
      <c r="AG508" s="92"/>
      <c r="AH508" s="54"/>
      <c r="AI508" s="92"/>
      <c r="AJ508" s="54"/>
      <c r="AK508" s="92"/>
      <c r="AL508" s="54"/>
      <c r="AM508" s="92"/>
      <c r="AO508" s="54"/>
      <c r="AP508" s="123"/>
      <c r="AQ508" s="54"/>
      <c r="AR508" s="154"/>
      <c r="AS508" s="1"/>
      <c r="AT508" s="1"/>
      <c r="AU508" s="9"/>
    </row>
    <row r="509">
      <c r="A509" s="54"/>
      <c r="B509" s="71" t="str">
        <f>IFERROR(HYPERLINK(VLOOKUP(A509,Internal_lists_bugs!$A$2:$C$73,3,FALSE()), VLOOKUP(A509,Internal_lists_bugs!$A$2:$C$73,3,FALSE())&amp;Char(10) &amp; Char(10) &amp; VLOOKUP(A509,Internal_lists_bugs!$A$2:$Z$73,26,FALSE())),"please select a BUG ID")</f>
        <v>please select a BUG ID</v>
      </c>
      <c r="C509" s="51" t="str">
        <f>IFERROR(VLOOKUP(A509,Internal_lists_bugs!$A$2:$G2002,7,FALSE()),"please select a BUG ID")</f>
        <v>please select a BUG ID</v>
      </c>
      <c r="D509" s="54"/>
      <c r="E509" s="56"/>
      <c r="F509" s="54"/>
      <c r="G509" s="56"/>
      <c r="H509" s="54"/>
      <c r="I509" s="56"/>
      <c r="J509" s="54"/>
      <c r="K509" s="92"/>
      <c r="L509" s="54"/>
      <c r="M509" s="92"/>
      <c r="N509" s="54"/>
      <c r="O509" s="92"/>
      <c r="P509" s="54"/>
      <c r="Q509" s="92"/>
      <c r="R509" s="54"/>
      <c r="S509" s="92"/>
      <c r="T509" s="117"/>
      <c r="U509" s="92"/>
      <c r="V509" s="54"/>
      <c r="W509" s="92"/>
      <c r="X509" s="54"/>
      <c r="Y509" s="92"/>
      <c r="Z509" s="54"/>
      <c r="AA509" s="92"/>
      <c r="AB509" s="54"/>
      <c r="AC509" s="92"/>
      <c r="AD509" s="54"/>
      <c r="AE509" s="92"/>
      <c r="AF509" s="54"/>
      <c r="AG509" s="92"/>
      <c r="AH509" s="54"/>
      <c r="AI509" s="92"/>
      <c r="AJ509" s="54"/>
      <c r="AK509" s="92"/>
      <c r="AL509" s="54"/>
      <c r="AM509" s="92"/>
      <c r="AO509" s="54"/>
      <c r="AP509" s="123"/>
      <c r="AQ509" s="54"/>
      <c r="AR509" s="154"/>
      <c r="AS509" s="1"/>
      <c r="AT509" s="1"/>
      <c r="AU509" s="9"/>
    </row>
    <row r="510">
      <c r="A510" s="54"/>
      <c r="B510" s="71" t="str">
        <f>IFERROR(HYPERLINK(VLOOKUP(A510,Internal_lists_bugs!$A$2:$C$73,3,FALSE()), VLOOKUP(A510,Internal_lists_bugs!$A$2:$C$73,3,FALSE())&amp;Char(10) &amp; Char(10) &amp; VLOOKUP(A510,Internal_lists_bugs!$A$2:$Z$73,26,FALSE())),"please select a BUG ID")</f>
        <v>please select a BUG ID</v>
      </c>
      <c r="C510" s="51" t="str">
        <f>IFERROR(VLOOKUP(A510,Internal_lists_bugs!$A$2:$G2002,7,FALSE()),"please select a BUG ID")</f>
        <v>please select a BUG ID</v>
      </c>
      <c r="D510" s="54"/>
      <c r="E510" s="56"/>
      <c r="F510" s="54"/>
      <c r="G510" s="56"/>
      <c r="H510" s="54"/>
      <c r="I510" s="56"/>
      <c r="J510" s="54"/>
      <c r="K510" s="92"/>
      <c r="L510" s="54"/>
      <c r="M510" s="92"/>
      <c r="N510" s="54"/>
      <c r="O510" s="92"/>
      <c r="P510" s="54"/>
      <c r="Q510" s="92"/>
      <c r="R510" s="54"/>
      <c r="S510" s="92"/>
      <c r="T510" s="117"/>
      <c r="U510" s="92"/>
      <c r="V510" s="54"/>
      <c r="W510" s="92"/>
      <c r="X510" s="54"/>
      <c r="Y510" s="92"/>
      <c r="Z510" s="54"/>
      <c r="AA510" s="92"/>
      <c r="AB510" s="54"/>
      <c r="AC510" s="92"/>
      <c r="AD510" s="54"/>
      <c r="AE510" s="92"/>
      <c r="AF510" s="54"/>
      <c r="AG510" s="92"/>
      <c r="AH510" s="54"/>
      <c r="AI510" s="92"/>
      <c r="AJ510" s="54"/>
      <c r="AK510" s="92"/>
      <c r="AL510" s="54"/>
      <c r="AM510" s="92"/>
      <c r="AO510" s="54"/>
      <c r="AP510" s="123"/>
      <c r="AQ510" s="54"/>
      <c r="AR510" s="154"/>
      <c r="AS510" s="1"/>
      <c r="AT510" s="1"/>
      <c r="AU510" s="9"/>
    </row>
    <row r="511">
      <c r="A511" s="54"/>
      <c r="B511" s="71" t="str">
        <f>IFERROR(HYPERLINK(VLOOKUP(A511,Internal_lists_bugs!$A$2:$C$73,3,FALSE()), VLOOKUP(A511,Internal_lists_bugs!$A$2:$C$73,3,FALSE())&amp;Char(10) &amp; Char(10) &amp; VLOOKUP(A511,Internal_lists_bugs!$A$2:$Z$73,26,FALSE())),"please select a BUG ID")</f>
        <v>please select a BUG ID</v>
      </c>
      <c r="C511" s="51" t="str">
        <f>IFERROR(VLOOKUP(A511,Internal_lists_bugs!$A$2:$G2002,7,FALSE()),"please select a BUG ID")</f>
        <v>please select a BUG ID</v>
      </c>
      <c r="D511" s="54"/>
      <c r="E511" s="56"/>
      <c r="F511" s="54"/>
      <c r="G511" s="56"/>
      <c r="H511" s="54"/>
      <c r="I511" s="56"/>
      <c r="J511" s="54"/>
      <c r="K511" s="92"/>
      <c r="L511" s="54"/>
      <c r="M511" s="92"/>
      <c r="N511" s="54"/>
      <c r="O511" s="92"/>
      <c r="P511" s="54"/>
      <c r="Q511" s="92"/>
      <c r="R511" s="54"/>
      <c r="S511" s="92"/>
      <c r="T511" s="117"/>
      <c r="U511" s="92"/>
      <c r="V511" s="54"/>
      <c r="W511" s="92"/>
      <c r="X511" s="54"/>
      <c r="Y511" s="92"/>
      <c r="Z511" s="54"/>
      <c r="AA511" s="92"/>
      <c r="AB511" s="54"/>
      <c r="AC511" s="92"/>
      <c r="AD511" s="54"/>
      <c r="AE511" s="92"/>
      <c r="AF511" s="54"/>
      <c r="AG511" s="92"/>
      <c r="AH511" s="54"/>
      <c r="AI511" s="92"/>
      <c r="AJ511" s="54"/>
      <c r="AK511" s="92"/>
      <c r="AL511" s="54"/>
      <c r="AM511" s="92"/>
      <c r="AO511" s="54"/>
      <c r="AP511" s="123"/>
      <c r="AQ511" s="54"/>
      <c r="AR511" s="154"/>
      <c r="AS511" s="1"/>
      <c r="AT511" s="1"/>
      <c r="AU511" s="9"/>
    </row>
    <row r="512">
      <c r="A512" s="54"/>
      <c r="B512" s="71" t="str">
        <f>IFERROR(HYPERLINK(VLOOKUP(A512,Internal_lists_bugs!$A$2:$C$73,3,FALSE()), VLOOKUP(A512,Internal_lists_bugs!$A$2:$C$73,3,FALSE())&amp;Char(10) &amp; Char(10) &amp; VLOOKUP(A512,Internal_lists_bugs!$A$2:$Z$73,26,FALSE())),"please select a BUG ID")</f>
        <v>please select a BUG ID</v>
      </c>
      <c r="C512" s="51" t="str">
        <f>IFERROR(VLOOKUP(A512,Internal_lists_bugs!$A$2:$G2002,7,FALSE()),"please select a BUG ID")</f>
        <v>please select a BUG ID</v>
      </c>
      <c r="D512" s="54"/>
      <c r="E512" s="56"/>
      <c r="F512" s="54"/>
      <c r="G512" s="56"/>
      <c r="H512" s="54"/>
      <c r="I512" s="56"/>
      <c r="J512" s="54"/>
      <c r="K512" s="92"/>
      <c r="L512" s="54"/>
      <c r="M512" s="92"/>
      <c r="N512" s="54"/>
      <c r="O512" s="92"/>
      <c r="P512" s="54"/>
      <c r="Q512" s="92"/>
      <c r="R512" s="54"/>
      <c r="S512" s="92"/>
      <c r="T512" s="117"/>
      <c r="U512" s="92"/>
      <c r="V512" s="54"/>
      <c r="W512" s="92"/>
      <c r="X512" s="54"/>
      <c r="Y512" s="92"/>
      <c r="Z512" s="54"/>
      <c r="AA512" s="92"/>
      <c r="AB512" s="54"/>
      <c r="AC512" s="92"/>
      <c r="AD512" s="54"/>
      <c r="AE512" s="92"/>
      <c r="AF512" s="54"/>
      <c r="AG512" s="92"/>
      <c r="AH512" s="54"/>
      <c r="AI512" s="92"/>
      <c r="AJ512" s="54"/>
      <c r="AK512" s="92"/>
      <c r="AL512" s="54"/>
      <c r="AM512" s="92"/>
      <c r="AO512" s="54"/>
      <c r="AP512" s="123"/>
      <c r="AQ512" s="54"/>
      <c r="AR512" s="154"/>
      <c r="AS512" s="1"/>
      <c r="AT512" s="1"/>
      <c r="AU512" s="9"/>
    </row>
    <row r="513">
      <c r="A513" s="54"/>
      <c r="B513" s="71" t="str">
        <f>IFERROR(HYPERLINK(VLOOKUP(A513,Internal_lists_bugs!$A$2:$C$73,3,FALSE()), VLOOKUP(A513,Internal_lists_bugs!$A$2:$C$73,3,FALSE())&amp;Char(10) &amp; Char(10) &amp; VLOOKUP(A513,Internal_lists_bugs!$A$2:$Z$73,26,FALSE())),"please select a BUG ID")</f>
        <v>please select a BUG ID</v>
      </c>
      <c r="C513" s="51" t="str">
        <f>IFERROR(VLOOKUP(A513,Internal_lists_bugs!$A$2:$G2002,7,FALSE()),"please select a BUG ID")</f>
        <v>please select a BUG ID</v>
      </c>
      <c r="D513" s="54"/>
      <c r="E513" s="56"/>
      <c r="F513" s="54"/>
      <c r="G513" s="56"/>
      <c r="H513" s="54"/>
      <c r="I513" s="56"/>
      <c r="J513" s="54"/>
      <c r="K513" s="92"/>
      <c r="L513" s="54"/>
      <c r="M513" s="92"/>
      <c r="N513" s="54"/>
      <c r="O513" s="92"/>
      <c r="P513" s="54"/>
      <c r="Q513" s="92"/>
      <c r="R513" s="54"/>
      <c r="S513" s="92"/>
      <c r="T513" s="117"/>
      <c r="U513" s="92"/>
      <c r="V513" s="54"/>
      <c r="W513" s="92"/>
      <c r="X513" s="54"/>
      <c r="Y513" s="92"/>
      <c r="Z513" s="54"/>
      <c r="AA513" s="92"/>
      <c r="AB513" s="54"/>
      <c r="AC513" s="92"/>
      <c r="AD513" s="54"/>
      <c r="AE513" s="92"/>
      <c r="AF513" s="54"/>
      <c r="AG513" s="92"/>
      <c r="AH513" s="54"/>
      <c r="AI513" s="92"/>
      <c r="AJ513" s="54"/>
      <c r="AK513" s="92"/>
      <c r="AL513" s="54"/>
      <c r="AM513" s="92"/>
      <c r="AO513" s="54"/>
      <c r="AP513" s="123"/>
      <c r="AQ513" s="54"/>
      <c r="AR513" s="154"/>
      <c r="AS513" s="1"/>
      <c r="AT513" s="1"/>
      <c r="AU513" s="9"/>
    </row>
    <row r="514">
      <c r="A514" s="54"/>
      <c r="B514" s="71" t="str">
        <f>IFERROR(HYPERLINK(VLOOKUP(A514,Internal_lists_bugs!$A$2:$C$73,3,FALSE()), VLOOKUP(A514,Internal_lists_bugs!$A$2:$C$73,3,FALSE())&amp;Char(10) &amp; Char(10) &amp; VLOOKUP(A514,Internal_lists_bugs!$A$2:$Z$73,26,FALSE())),"please select a BUG ID")</f>
        <v>please select a BUG ID</v>
      </c>
      <c r="C514" s="51" t="str">
        <f>IFERROR(VLOOKUP(A514,Internal_lists_bugs!$A$2:$G2002,7,FALSE()),"please select a BUG ID")</f>
        <v>please select a BUG ID</v>
      </c>
      <c r="D514" s="54"/>
      <c r="E514" s="56"/>
      <c r="F514" s="54"/>
      <c r="G514" s="56"/>
      <c r="H514" s="54"/>
      <c r="I514" s="56"/>
      <c r="J514" s="54"/>
      <c r="K514" s="92"/>
      <c r="L514" s="54"/>
      <c r="M514" s="92"/>
      <c r="N514" s="54"/>
      <c r="O514" s="92"/>
      <c r="P514" s="54"/>
      <c r="Q514" s="92"/>
      <c r="R514" s="54"/>
      <c r="S514" s="92"/>
      <c r="T514" s="117"/>
      <c r="U514" s="92"/>
      <c r="V514" s="54"/>
      <c r="W514" s="92"/>
      <c r="X514" s="54"/>
      <c r="Y514" s="92"/>
      <c r="Z514" s="54"/>
      <c r="AA514" s="92"/>
      <c r="AB514" s="54"/>
      <c r="AC514" s="92"/>
      <c r="AD514" s="54"/>
      <c r="AE514" s="92"/>
      <c r="AF514" s="54"/>
      <c r="AG514" s="92"/>
      <c r="AH514" s="54"/>
      <c r="AI514" s="92"/>
      <c r="AJ514" s="54"/>
      <c r="AK514" s="92"/>
      <c r="AL514" s="54"/>
      <c r="AM514" s="92"/>
      <c r="AO514" s="54"/>
      <c r="AP514" s="123"/>
      <c r="AQ514" s="54"/>
      <c r="AR514" s="154"/>
      <c r="AS514" s="1"/>
      <c r="AT514" s="1"/>
      <c r="AU514" s="9"/>
    </row>
    <row r="515">
      <c r="A515" s="54"/>
      <c r="B515" s="71" t="str">
        <f>IFERROR(HYPERLINK(VLOOKUP(A515,Internal_lists_bugs!$A$2:$C$73,3,FALSE()), VLOOKUP(A515,Internal_lists_bugs!$A$2:$C$73,3,FALSE())&amp;Char(10) &amp; Char(10) &amp; VLOOKUP(A515,Internal_lists_bugs!$A$2:$Z$73,26,FALSE())),"please select a BUG ID")</f>
        <v>please select a BUG ID</v>
      </c>
      <c r="C515" s="51" t="str">
        <f>IFERROR(VLOOKUP(A515,Internal_lists_bugs!$A$2:$G2002,7,FALSE()),"please select a BUG ID")</f>
        <v>please select a BUG ID</v>
      </c>
      <c r="D515" s="54"/>
      <c r="E515" s="56"/>
      <c r="F515" s="54"/>
      <c r="G515" s="56"/>
      <c r="H515" s="54"/>
      <c r="I515" s="56"/>
      <c r="J515" s="54"/>
      <c r="K515" s="92"/>
      <c r="L515" s="54"/>
      <c r="M515" s="92"/>
      <c r="N515" s="54"/>
      <c r="O515" s="92"/>
      <c r="P515" s="54"/>
      <c r="Q515" s="92"/>
      <c r="R515" s="54"/>
      <c r="S515" s="92"/>
      <c r="T515" s="117"/>
      <c r="U515" s="92"/>
      <c r="V515" s="54"/>
      <c r="W515" s="92"/>
      <c r="X515" s="54"/>
      <c r="Y515" s="92"/>
      <c r="Z515" s="54"/>
      <c r="AA515" s="92"/>
      <c r="AB515" s="54"/>
      <c r="AC515" s="92"/>
      <c r="AD515" s="54"/>
      <c r="AE515" s="92"/>
      <c r="AF515" s="54"/>
      <c r="AG515" s="92"/>
      <c r="AH515" s="54"/>
      <c r="AI515" s="92"/>
      <c r="AJ515" s="54"/>
      <c r="AK515" s="92"/>
      <c r="AL515" s="54"/>
      <c r="AM515" s="92"/>
      <c r="AO515" s="54"/>
      <c r="AP515" s="123"/>
      <c r="AQ515" s="54"/>
      <c r="AR515" s="154"/>
      <c r="AS515" s="1"/>
      <c r="AT515" s="1"/>
      <c r="AU515" s="9"/>
    </row>
    <row r="516">
      <c r="A516" s="54"/>
      <c r="B516" s="71" t="str">
        <f>IFERROR(HYPERLINK(VLOOKUP(A516,Internal_lists_bugs!$A$2:$C$73,3,FALSE()), VLOOKUP(A516,Internal_lists_bugs!$A$2:$C$73,3,FALSE())&amp;Char(10) &amp; Char(10) &amp; VLOOKUP(A516,Internal_lists_bugs!$A$2:$Z$73,26,FALSE())),"please select a BUG ID")</f>
        <v>please select a BUG ID</v>
      </c>
      <c r="C516" s="51" t="str">
        <f>IFERROR(VLOOKUP(A516,Internal_lists_bugs!$A$2:$G2002,7,FALSE()),"please select a BUG ID")</f>
        <v>please select a BUG ID</v>
      </c>
      <c r="D516" s="54"/>
      <c r="E516" s="56"/>
      <c r="F516" s="54"/>
      <c r="G516" s="56"/>
      <c r="H516" s="54"/>
      <c r="I516" s="56"/>
      <c r="J516" s="54"/>
      <c r="K516" s="92"/>
      <c r="L516" s="54"/>
      <c r="M516" s="92"/>
      <c r="N516" s="54"/>
      <c r="O516" s="92"/>
      <c r="P516" s="54"/>
      <c r="Q516" s="92"/>
      <c r="R516" s="54"/>
      <c r="S516" s="92"/>
      <c r="T516" s="117"/>
      <c r="U516" s="92"/>
      <c r="V516" s="54"/>
      <c r="W516" s="92"/>
      <c r="X516" s="54"/>
      <c r="Y516" s="92"/>
      <c r="Z516" s="54"/>
      <c r="AA516" s="92"/>
      <c r="AB516" s="54"/>
      <c r="AC516" s="92"/>
      <c r="AD516" s="54"/>
      <c r="AE516" s="92"/>
      <c r="AF516" s="54"/>
      <c r="AG516" s="92"/>
      <c r="AH516" s="54"/>
      <c r="AI516" s="92"/>
      <c r="AJ516" s="54"/>
      <c r="AK516" s="92"/>
      <c r="AL516" s="54"/>
      <c r="AM516" s="92"/>
      <c r="AO516" s="54"/>
      <c r="AP516" s="123"/>
      <c r="AQ516" s="54"/>
      <c r="AR516" s="154"/>
      <c r="AS516" s="1"/>
      <c r="AT516" s="1"/>
      <c r="AU516" s="9"/>
    </row>
    <row r="517">
      <c r="A517" s="54"/>
      <c r="B517" s="71" t="str">
        <f>IFERROR(HYPERLINK(VLOOKUP(A517,Internal_lists_bugs!$A$2:$C$73,3,FALSE()), VLOOKUP(A517,Internal_lists_bugs!$A$2:$C$73,3,FALSE())&amp;Char(10) &amp; Char(10) &amp; VLOOKUP(A517,Internal_lists_bugs!$A$2:$Z$73,26,FALSE())),"please select a BUG ID")</f>
        <v>please select a BUG ID</v>
      </c>
      <c r="C517" s="51" t="str">
        <f>IFERROR(VLOOKUP(A517,Internal_lists_bugs!$A$2:$G2002,7,FALSE()),"please select a BUG ID")</f>
        <v>please select a BUG ID</v>
      </c>
      <c r="D517" s="54"/>
      <c r="E517" s="56"/>
      <c r="F517" s="54"/>
      <c r="G517" s="56"/>
      <c r="H517" s="54"/>
      <c r="I517" s="56"/>
      <c r="J517" s="54"/>
      <c r="K517" s="92"/>
      <c r="L517" s="54"/>
      <c r="M517" s="92"/>
      <c r="N517" s="54"/>
      <c r="O517" s="92"/>
      <c r="P517" s="54"/>
      <c r="Q517" s="92"/>
      <c r="R517" s="54"/>
      <c r="S517" s="92"/>
      <c r="T517" s="117"/>
      <c r="U517" s="92"/>
      <c r="V517" s="54"/>
      <c r="W517" s="92"/>
      <c r="X517" s="54"/>
      <c r="Y517" s="92"/>
      <c r="Z517" s="54"/>
      <c r="AA517" s="92"/>
      <c r="AB517" s="54"/>
      <c r="AC517" s="92"/>
      <c r="AD517" s="54"/>
      <c r="AE517" s="92"/>
      <c r="AF517" s="54"/>
      <c r="AG517" s="92"/>
      <c r="AH517" s="54"/>
      <c r="AI517" s="92"/>
      <c r="AJ517" s="54"/>
      <c r="AK517" s="92"/>
      <c r="AL517" s="54"/>
      <c r="AM517" s="92"/>
      <c r="AO517" s="54"/>
      <c r="AP517" s="123"/>
      <c r="AQ517" s="54"/>
      <c r="AR517" s="154"/>
      <c r="AS517" s="1"/>
      <c r="AT517" s="1"/>
      <c r="AU517" s="9"/>
    </row>
    <row r="518">
      <c r="A518" s="54"/>
      <c r="B518" s="71" t="str">
        <f>IFERROR(HYPERLINK(VLOOKUP(A518,Internal_lists_bugs!$A$2:$C$73,3,FALSE()), VLOOKUP(A518,Internal_lists_bugs!$A$2:$C$73,3,FALSE())&amp;Char(10) &amp; Char(10) &amp; VLOOKUP(A518,Internal_lists_bugs!$A$2:$Z$73,26,FALSE())),"please select a BUG ID")</f>
        <v>please select a BUG ID</v>
      </c>
      <c r="C518" s="51" t="str">
        <f>IFERROR(VLOOKUP(A518,Internal_lists_bugs!$A$2:$G2002,7,FALSE()),"please select a BUG ID")</f>
        <v>please select a BUG ID</v>
      </c>
      <c r="D518" s="54"/>
      <c r="E518" s="56"/>
      <c r="F518" s="54"/>
      <c r="G518" s="56"/>
      <c r="H518" s="54"/>
      <c r="I518" s="56"/>
      <c r="J518" s="54"/>
      <c r="K518" s="92"/>
      <c r="L518" s="54"/>
      <c r="M518" s="92"/>
      <c r="N518" s="54"/>
      <c r="O518" s="92"/>
      <c r="P518" s="54"/>
      <c r="Q518" s="92"/>
      <c r="R518" s="54"/>
      <c r="S518" s="92"/>
      <c r="T518" s="117"/>
      <c r="U518" s="92"/>
      <c r="V518" s="54"/>
      <c r="W518" s="92"/>
      <c r="X518" s="54"/>
      <c r="Y518" s="92"/>
      <c r="Z518" s="54"/>
      <c r="AA518" s="92"/>
      <c r="AB518" s="54"/>
      <c r="AC518" s="92"/>
      <c r="AD518" s="54"/>
      <c r="AE518" s="92"/>
      <c r="AF518" s="54"/>
      <c r="AG518" s="92"/>
      <c r="AH518" s="54"/>
      <c r="AI518" s="92"/>
      <c r="AJ518" s="54"/>
      <c r="AK518" s="92"/>
      <c r="AL518" s="54"/>
      <c r="AM518" s="92"/>
      <c r="AO518" s="54"/>
      <c r="AP518" s="123"/>
      <c r="AQ518" s="54"/>
      <c r="AR518" s="154"/>
      <c r="AS518" s="1"/>
      <c r="AT518" s="1"/>
      <c r="AU518" s="9"/>
    </row>
    <row r="519">
      <c r="A519" s="54"/>
      <c r="B519" s="71" t="str">
        <f>IFERROR(HYPERLINK(VLOOKUP(A519,Internal_lists_bugs!$A$2:$C$73,3,FALSE()), VLOOKUP(A519,Internal_lists_bugs!$A$2:$C$73,3,FALSE())&amp;Char(10) &amp; Char(10) &amp; VLOOKUP(A519,Internal_lists_bugs!$A$2:$Z$73,26,FALSE())),"please select a BUG ID")</f>
        <v>please select a BUG ID</v>
      </c>
      <c r="C519" s="51" t="str">
        <f>IFERROR(VLOOKUP(A519,Internal_lists_bugs!$A$2:$G2002,7,FALSE()),"please select a BUG ID")</f>
        <v>please select a BUG ID</v>
      </c>
      <c r="D519" s="54"/>
      <c r="E519" s="56"/>
      <c r="F519" s="54"/>
      <c r="G519" s="56"/>
      <c r="H519" s="54"/>
      <c r="I519" s="56"/>
      <c r="J519" s="54"/>
      <c r="K519" s="92"/>
      <c r="L519" s="54"/>
      <c r="M519" s="92"/>
      <c r="N519" s="54"/>
      <c r="O519" s="92"/>
      <c r="P519" s="54"/>
      <c r="Q519" s="92"/>
      <c r="R519" s="54"/>
      <c r="S519" s="92"/>
      <c r="T519" s="117"/>
      <c r="U519" s="92"/>
      <c r="V519" s="54"/>
      <c r="W519" s="92"/>
      <c r="X519" s="54"/>
      <c r="Y519" s="92"/>
      <c r="Z519" s="54"/>
      <c r="AA519" s="92"/>
      <c r="AB519" s="54"/>
      <c r="AC519" s="92"/>
      <c r="AD519" s="54"/>
      <c r="AE519" s="92"/>
      <c r="AF519" s="54"/>
      <c r="AG519" s="92"/>
      <c r="AH519" s="54"/>
      <c r="AI519" s="92"/>
      <c r="AJ519" s="54"/>
      <c r="AK519" s="92"/>
      <c r="AL519" s="54"/>
      <c r="AM519" s="92"/>
      <c r="AO519" s="54"/>
      <c r="AP519" s="123"/>
      <c r="AQ519" s="54"/>
      <c r="AR519" s="154"/>
      <c r="AS519" s="1"/>
      <c r="AT519" s="1"/>
      <c r="AU519" s="9"/>
    </row>
    <row r="520">
      <c r="A520" s="54"/>
      <c r="B520" s="71" t="str">
        <f>IFERROR(HYPERLINK(VLOOKUP(A520,Internal_lists_bugs!$A$2:$C$73,3,FALSE()), VLOOKUP(A520,Internal_lists_bugs!$A$2:$C$73,3,FALSE())&amp;Char(10) &amp; Char(10) &amp; VLOOKUP(A520,Internal_lists_bugs!$A$2:$Z$73,26,FALSE())),"please select a BUG ID")</f>
        <v>please select a BUG ID</v>
      </c>
      <c r="C520" s="51" t="str">
        <f>IFERROR(VLOOKUP(A520,Internal_lists_bugs!$A$2:$G2002,7,FALSE()),"please select a BUG ID")</f>
        <v>please select a BUG ID</v>
      </c>
      <c r="D520" s="54"/>
      <c r="E520" s="56"/>
      <c r="F520" s="54"/>
      <c r="G520" s="56"/>
      <c r="H520" s="54"/>
      <c r="I520" s="56"/>
      <c r="J520" s="54"/>
      <c r="K520" s="92"/>
      <c r="L520" s="54"/>
      <c r="M520" s="92"/>
      <c r="N520" s="54"/>
      <c r="O520" s="92"/>
      <c r="P520" s="54"/>
      <c r="Q520" s="92"/>
      <c r="R520" s="54"/>
      <c r="S520" s="92"/>
      <c r="T520" s="117"/>
      <c r="U520" s="92"/>
      <c r="V520" s="54"/>
      <c r="W520" s="92"/>
      <c r="X520" s="54"/>
      <c r="Y520" s="92"/>
      <c r="Z520" s="54"/>
      <c r="AA520" s="92"/>
      <c r="AB520" s="54"/>
      <c r="AC520" s="92"/>
      <c r="AD520" s="54"/>
      <c r="AE520" s="92"/>
      <c r="AF520" s="54"/>
      <c r="AG520" s="92"/>
      <c r="AH520" s="54"/>
      <c r="AI520" s="92"/>
      <c r="AJ520" s="54"/>
      <c r="AK520" s="92"/>
      <c r="AL520" s="54"/>
      <c r="AM520" s="92"/>
      <c r="AO520" s="54"/>
      <c r="AP520" s="123"/>
      <c r="AQ520" s="54"/>
      <c r="AR520" s="154"/>
      <c r="AS520" s="1"/>
      <c r="AT520" s="1"/>
      <c r="AU520" s="9"/>
    </row>
    <row r="521">
      <c r="A521" s="54"/>
      <c r="B521" s="71" t="str">
        <f>IFERROR(HYPERLINK(VLOOKUP(A521,Internal_lists_bugs!$A$2:$C$73,3,FALSE()), VLOOKUP(A521,Internal_lists_bugs!$A$2:$C$73,3,FALSE())&amp;Char(10) &amp; Char(10) &amp; VLOOKUP(A521,Internal_lists_bugs!$A$2:$Z$73,26,FALSE())),"please select a BUG ID")</f>
        <v>please select a BUG ID</v>
      </c>
      <c r="C521" s="51" t="str">
        <f>IFERROR(VLOOKUP(A521,Internal_lists_bugs!$A$2:$G2002,7,FALSE()),"please select a BUG ID")</f>
        <v>please select a BUG ID</v>
      </c>
      <c r="D521" s="54"/>
      <c r="E521" s="56"/>
      <c r="F521" s="54"/>
      <c r="G521" s="56"/>
      <c r="H521" s="54"/>
      <c r="I521" s="56"/>
      <c r="J521" s="54"/>
      <c r="K521" s="92"/>
      <c r="L521" s="54"/>
      <c r="M521" s="92"/>
      <c r="N521" s="54"/>
      <c r="O521" s="92"/>
      <c r="P521" s="54"/>
      <c r="Q521" s="92"/>
      <c r="R521" s="54"/>
      <c r="S521" s="92"/>
      <c r="T521" s="117"/>
      <c r="U521" s="92"/>
      <c r="V521" s="54"/>
      <c r="W521" s="92"/>
      <c r="X521" s="54"/>
      <c r="Y521" s="92"/>
      <c r="Z521" s="54"/>
      <c r="AA521" s="92"/>
      <c r="AB521" s="54"/>
      <c r="AC521" s="92"/>
      <c r="AD521" s="54"/>
      <c r="AE521" s="92"/>
      <c r="AF521" s="54"/>
      <c r="AG521" s="92"/>
      <c r="AH521" s="54"/>
      <c r="AI521" s="92"/>
      <c r="AJ521" s="54"/>
      <c r="AK521" s="92"/>
      <c r="AL521" s="54"/>
      <c r="AM521" s="92"/>
      <c r="AO521" s="54"/>
      <c r="AP521" s="123"/>
      <c r="AQ521" s="54"/>
      <c r="AR521" s="154"/>
      <c r="AS521" s="1"/>
      <c r="AT521" s="1"/>
      <c r="AU521" s="9"/>
    </row>
    <row r="522">
      <c r="A522" s="54"/>
      <c r="B522" s="71" t="str">
        <f>IFERROR(HYPERLINK(VLOOKUP(A522,Internal_lists_bugs!$A$2:$C$73,3,FALSE()), VLOOKUP(A522,Internal_lists_bugs!$A$2:$C$73,3,FALSE())&amp;Char(10) &amp; Char(10) &amp; VLOOKUP(A522,Internal_lists_bugs!$A$2:$Z$73,26,FALSE())),"please select a BUG ID")</f>
        <v>please select a BUG ID</v>
      </c>
      <c r="C522" s="51" t="str">
        <f>IFERROR(VLOOKUP(A522,Internal_lists_bugs!$A$2:$G2002,7,FALSE()),"please select a BUG ID")</f>
        <v>please select a BUG ID</v>
      </c>
      <c r="D522" s="54"/>
      <c r="E522" s="56"/>
      <c r="F522" s="54"/>
      <c r="G522" s="56"/>
      <c r="H522" s="54"/>
      <c r="I522" s="56"/>
      <c r="J522" s="54"/>
      <c r="K522" s="92"/>
      <c r="L522" s="54"/>
      <c r="M522" s="92"/>
      <c r="N522" s="54"/>
      <c r="O522" s="92"/>
      <c r="P522" s="54"/>
      <c r="Q522" s="92"/>
      <c r="R522" s="54"/>
      <c r="S522" s="92"/>
      <c r="T522" s="117"/>
      <c r="U522" s="92"/>
      <c r="V522" s="54"/>
      <c r="W522" s="92"/>
      <c r="X522" s="54"/>
      <c r="Y522" s="92"/>
      <c r="Z522" s="54"/>
      <c r="AA522" s="92"/>
      <c r="AB522" s="54"/>
      <c r="AC522" s="92"/>
      <c r="AD522" s="54"/>
      <c r="AE522" s="92"/>
      <c r="AF522" s="54"/>
      <c r="AG522" s="92"/>
      <c r="AH522" s="54"/>
      <c r="AI522" s="92"/>
      <c r="AJ522" s="54"/>
      <c r="AK522" s="92"/>
      <c r="AL522" s="54"/>
      <c r="AM522" s="92"/>
      <c r="AO522" s="54"/>
      <c r="AP522" s="123"/>
      <c r="AQ522" s="54"/>
      <c r="AR522" s="154"/>
      <c r="AS522" s="1"/>
      <c r="AT522" s="1"/>
      <c r="AU522" s="9"/>
    </row>
    <row r="523">
      <c r="A523" s="54"/>
      <c r="B523" s="71" t="str">
        <f>IFERROR(HYPERLINK(VLOOKUP(A523,Internal_lists_bugs!$A$2:$C$73,3,FALSE()), VLOOKUP(A523,Internal_lists_bugs!$A$2:$C$73,3,FALSE())&amp;Char(10) &amp; Char(10) &amp; VLOOKUP(A523,Internal_lists_bugs!$A$2:$Z$73,26,FALSE())),"please select a BUG ID")</f>
        <v>please select a BUG ID</v>
      </c>
      <c r="C523" s="51" t="str">
        <f>IFERROR(VLOOKUP(A523,Internal_lists_bugs!$A$2:$G2002,7,FALSE()),"please select a BUG ID")</f>
        <v>please select a BUG ID</v>
      </c>
      <c r="D523" s="54"/>
      <c r="E523" s="56"/>
      <c r="F523" s="54"/>
      <c r="G523" s="56"/>
      <c r="H523" s="54"/>
      <c r="I523" s="56"/>
      <c r="J523" s="54"/>
      <c r="K523" s="92"/>
      <c r="L523" s="54"/>
      <c r="M523" s="92"/>
      <c r="N523" s="54"/>
      <c r="O523" s="92"/>
      <c r="P523" s="54"/>
      <c r="Q523" s="92"/>
      <c r="R523" s="54"/>
      <c r="S523" s="92"/>
      <c r="T523" s="117"/>
      <c r="U523" s="92"/>
      <c r="V523" s="54"/>
      <c r="W523" s="92"/>
      <c r="X523" s="54"/>
      <c r="Y523" s="92"/>
      <c r="Z523" s="54"/>
      <c r="AA523" s="92"/>
      <c r="AB523" s="54"/>
      <c r="AC523" s="92"/>
      <c r="AD523" s="54"/>
      <c r="AE523" s="92"/>
      <c r="AF523" s="54"/>
      <c r="AG523" s="92"/>
      <c r="AH523" s="54"/>
      <c r="AI523" s="92"/>
      <c r="AJ523" s="54"/>
      <c r="AK523" s="92"/>
      <c r="AL523" s="54"/>
      <c r="AM523" s="92"/>
      <c r="AO523" s="54"/>
      <c r="AP523" s="123"/>
      <c r="AQ523" s="54"/>
      <c r="AR523" s="154"/>
      <c r="AS523" s="1"/>
      <c r="AT523" s="1"/>
      <c r="AU523" s="9"/>
    </row>
    <row r="524">
      <c r="A524" s="54"/>
      <c r="B524" s="71" t="str">
        <f>IFERROR(HYPERLINK(VLOOKUP(A524,Internal_lists_bugs!$A$2:$C$73,3,FALSE()), VLOOKUP(A524,Internal_lists_bugs!$A$2:$C$73,3,FALSE())&amp;Char(10) &amp; Char(10) &amp; VLOOKUP(A524,Internal_lists_bugs!$A$2:$Z$73,26,FALSE())),"please select a BUG ID")</f>
        <v>please select a BUG ID</v>
      </c>
      <c r="C524" s="51" t="str">
        <f>IFERROR(VLOOKUP(A524,Internal_lists_bugs!$A$2:$G2002,7,FALSE()),"please select a BUG ID")</f>
        <v>please select a BUG ID</v>
      </c>
      <c r="D524" s="54"/>
      <c r="E524" s="56"/>
      <c r="F524" s="54"/>
      <c r="G524" s="56"/>
      <c r="H524" s="54"/>
      <c r="I524" s="56"/>
      <c r="J524" s="54"/>
      <c r="K524" s="92"/>
      <c r="L524" s="54"/>
      <c r="M524" s="92"/>
      <c r="N524" s="54"/>
      <c r="O524" s="92"/>
      <c r="P524" s="54"/>
      <c r="Q524" s="92"/>
      <c r="R524" s="54"/>
      <c r="S524" s="92"/>
      <c r="T524" s="117"/>
      <c r="U524" s="92"/>
      <c r="V524" s="54"/>
      <c r="W524" s="92"/>
      <c r="X524" s="54"/>
      <c r="Y524" s="92"/>
      <c r="Z524" s="54"/>
      <c r="AA524" s="92"/>
      <c r="AB524" s="54"/>
      <c r="AC524" s="92"/>
      <c r="AD524" s="54"/>
      <c r="AE524" s="92"/>
      <c r="AF524" s="54"/>
      <c r="AG524" s="92"/>
      <c r="AH524" s="54"/>
      <c r="AI524" s="92"/>
      <c r="AJ524" s="54"/>
      <c r="AK524" s="92"/>
      <c r="AL524" s="54"/>
      <c r="AM524" s="92"/>
      <c r="AO524" s="54"/>
      <c r="AP524" s="123"/>
      <c r="AQ524" s="54"/>
      <c r="AR524" s="154"/>
      <c r="AS524" s="1"/>
      <c r="AT524" s="1"/>
      <c r="AU524" s="9"/>
    </row>
    <row r="525">
      <c r="A525" s="54"/>
      <c r="B525" s="71" t="str">
        <f>IFERROR(HYPERLINK(VLOOKUP(A525,Internal_lists_bugs!$A$2:$C$73,3,FALSE()), VLOOKUP(A525,Internal_lists_bugs!$A$2:$C$73,3,FALSE())&amp;Char(10) &amp; Char(10) &amp; VLOOKUP(A525,Internal_lists_bugs!$A$2:$Z$73,26,FALSE())),"please select a BUG ID")</f>
        <v>please select a BUG ID</v>
      </c>
      <c r="C525" s="51" t="str">
        <f>IFERROR(VLOOKUP(A525,Internal_lists_bugs!$A$2:$G2002,7,FALSE()),"please select a BUG ID")</f>
        <v>please select a BUG ID</v>
      </c>
      <c r="D525" s="54"/>
      <c r="E525" s="56"/>
      <c r="F525" s="54"/>
      <c r="G525" s="56"/>
      <c r="H525" s="54"/>
      <c r="I525" s="56"/>
      <c r="J525" s="54"/>
      <c r="K525" s="92"/>
      <c r="L525" s="54"/>
      <c r="M525" s="92"/>
      <c r="N525" s="54"/>
      <c r="O525" s="92"/>
      <c r="P525" s="54"/>
      <c r="Q525" s="92"/>
      <c r="R525" s="54"/>
      <c r="S525" s="92"/>
      <c r="T525" s="117"/>
      <c r="U525" s="92"/>
      <c r="V525" s="54"/>
      <c r="W525" s="92"/>
      <c r="X525" s="54"/>
      <c r="Y525" s="92"/>
      <c r="Z525" s="54"/>
      <c r="AA525" s="92"/>
      <c r="AB525" s="54"/>
      <c r="AC525" s="92"/>
      <c r="AD525" s="54"/>
      <c r="AE525" s="92"/>
      <c r="AF525" s="54"/>
      <c r="AG525" s="92"/>
      <c r="AH525" s="54"/>
      <c r="AI525" s="92"/>
      <c r="AJ525" s="54"/>
      <c r="AK525" s="92"/>
      <c r="AL525" s="54"/>
      <c r="AM525" s="92"/>
      <c r="AO525" s="54"/>
      <c r="AP525" s="123"/>
      <c r="AQ525" s="54"/>
      <c r="AR525" s="154"/>
      <c r="AS525" s="1"/>
      <c r="AT525" s="1"/>
      <c r="AU525" s="9"/>
    </row>
    <row r="526">
      <c r="A526" s="54"/>
      <c r="B526" s="71" t="str">
        <f>IFERROR(HYPERLINK(VLOOKUP(A526,Internal_lists_bugs!$A$2:$C$73,3,FALSE()), VLOOKUP(A526,Internal_lists_bugs!$A$2:$C$73,3,FALSE())&amp;Char(10) &amp; Char(10) &amp; VLOOKUP(A526,Internal_lists_bugs!$A$2:$Z$73,26,FALSE())),"please select a BUG ID")</f>
        <v>please select a BUG ID</v>
      </c>
      <c r="C526" s="51" t="str">
        <f>IFERROR(VLOOKUP(A526,Internal_lists_bugs!$A$2:$G2002,7,FALSE()),"please select a BUG ID")</f>
        <v>please select a BUG ID</v>
      </c>
      <c r="D526" s="54"/>
      <c r="E526" s="56"/>
      <c r="F526" s="54"/>
      <c r="G526" s="56"/>
      <c r="H526" s="54"/>
      <c r="I526" s="56"/>
      <c r="J526" s="54"/>
      <c r="K526" s="92"/>
      <c r="L526" s="54"/>
      <c r="M526" s="92"/>
      <c r="N526" s="54"/>
      <c r="O526" s="92"/>
      <c r="P526" s="54"/>
      <c r="Q526" s="92"/>
      <c r="R526" s="54"/>
      <c r="S526" s="92"/>
      <c r="T526" s="117"/>
      <c r="U526" s="92"/>
      <c r="V526" s="54"/>
      <c r="W526" s="92"/>
      <c r="X526" s="54"/>
      <c r="Y526" s="92"/>
      <c r="Z526" s="54"/>
      <c r="AA526" s="92"/>
      <c r="AB526" s="54"/>
      <c r="AC526" s="92"/>
      <c r="AD526" s="54"/>
      <c r="AE526" s="92"/>
      <c r="AF526" s="54"/>
      <c r="AG526" s="92"/>
      <c r="AH526" s="54"/>
      <c r="AI526" s="92"/>
      <c r="AJ526" s="54"/>
      <c r="AK526" s="92"/>
      <c r="AL526" s="54"/>
      <c r="AM526" s="92"/>
      <c r="AO526" s="54"/>
      <c r="AP526" s="123"/>
      <c r="AQ526" s="54"/>
      <c r="AR526" s="154"/>
      <c r="AS526" s="1"/>
      <c r="AT526" s="1"/>
      <c r="AU526" s="9"/>
    </row>
    <row r="527">
      <c r="A527" s="54"/>
      <c r="B527" s="71" t="str">
        <f>IFERROR(HYPERLINK(VLOOKUP(A527,Internal_lists_bugs!$A$2:$C$73,3,FALSE()), VLOOKUP(A527,Internal_lists_bugs!$A$2:$C$73,3,FALSE())&amp;Char(10) &amp; Char(10) &amp; VLOOKUP(A527,Internal_lists_bugs!$A$2:$Z$73,26,FALSE())),"please select a BUG ID")</f>
        <v>please select a BUG ID</v>
      </c>
      <c r="C527" s="51" t="str">
        <f>IFERROR(VLOOKUP(A527,Internal_lists_bugs!$A$2:$G2002,7,FALSE()),"please select a BUG ID")</f>
        <v>please select a BUG ID</v>
      </c>
      <c r="D527" s="54"/>
      <c r="E527" s="56"/>
      <c r="F527" s="54"/>
      <c r="G527" s="56"/>
      <c r="H527" s="54"/>
      <c r="I527" s="56"/>
      <c r="J527" s="54"/>
      <c r="K527" s="92"/>
      <c r="L527" s="54"/>
      <c r="M527" s="92"/>
      <c r="N527" s="54"/>
      <c r="O527" s="92"/>
      <c r="P527" s="54"/>
      <c r="Q527" s="92"/>
      <c r="R527" s="54"/>
      <c r="S527" s="92"/>
      <c r="T527" s="117"/>
      <c r="U527" s="92"/>
      <c r="V527" s="54"/>
      <c r="W527" s="92"/>
      <c r="X527" s="54"/>
      <c r="Y527" s="92"/>
      <c r="Z527" s="54"/>
      <c r="AA527" s="92"/>
      <c r="AB527" s="54"/>
      <c r="AC527" s="92"/>
      <c r="AD527" s="54"/>
      <c r="AE527" s="92"/>
      <c r="AF527" s="54"/>
      <c r="AG527" s="92"/>
      <c r="AH527" s="54"/>
      <c r="AI527" s="92"/>
      <c r="AJ527" s="54"/>
      <c r="AK527" s="92"/>
      <c r="AL527" s="54"/>
      <c r="AM527" s="92"/>
      <c r="AO527" s="54"/>
      <c r="AP527" s="123"/>
      <c r="AQ527" s="54"/>
      <c r="AR527" s="154"/>
      <c r="AS527" s="1"/>
      <c r="AT527" s="1"/>
      <c r="AU527" s="9"/>
    </row>
    <row r="528">
      <c r="A528" s="54"/>
      <c r="B528" s="71" t="str">
        <f>IFERROR(HYPERLINK(VLOOKUP(A528,Internal_lists_bugs!$A$2:$C$73,3,FALSE()), VLOOKUP(A528,Internal_lists_bugs!$A$2:$C$73,3,FALSE())&amp;Char(10) &amp; Char(10) &amp; VLOOKUP(A528,Internal_lists_bugs!$A$2:$Z$73,26,FALSE())),"please select a BUG ID")</f>
        <v>please select a BUG ID</v>
      </c>
      <c r="C528" s="51" t="str">
        <f>IFERROR(VLOOKUP(A528,Internal_lists_bugs!$A$2:$G2002,7,FALSE()),"please select a BUG ID")</f>
        <v>please select a BUG ID</v>
      </c>
      <c r="D528" s="54"/>
      <c r="E528" s="56"/>
      <c r="F528" s="54"/>
      <c r="G528" s="56"/>
      <c r="H528" s="54"/>
      <c r="I528" s="56"/>
      <c r="J528" s="54"/>
      <c r="K528" s="92"/>
      <c r="L528" s="54"/>
      <c r="M528" s="92"/>
      <c r="N528" s="54"/>
      <c r="O528" s="92"/>
      <c r="P528" s="54"/>
      <c r="Q528" s="92"/>
      <c r="R528" s="54"/>
      <c r="S528" s="92"/>
      <c r="T528" s="117"/>
      <c r="U528" s="92"/>
      <c r="V528" s="54"/>
      <c r="W528" s="92"/>
      <c r="X528" s="54"/>
      <c r="Y528" s="92"/>
      <c r="Z528" s="54"/>
      <c r="AA528" s="92"/>
      <c r="AB528" s="54"/>
      <c r="AC528" s="92"/>
      <c r="AD528" s="54"/>
      <c r="AE528" s="92"/>
      <c r="AF528" s="54"/>
      <c r="AG528" s="92"/>
      <c r="AH528" s="54"/>
      <c r="AI528" s="92"/>
      <c r="AJ528" s="54"/>
      <c r="AK528" s="92"/>
      <c r="AL528" s="54"/>
      <c r="AM528" s="92"/>
      <c r="AO528" s="54"/>
      <c r="AP528" s="123"/>
      <c r="AQ528" s="54"/>
      <c r="AR528" s="154"/>
      <c r="AS528" s="1"/>
      <c r="AT528" s="1"/>
      <c r="AU528" s="9"/>
    </row>
    <row r="529">
      <c r="A529" s="54"/>
      <c r="B529" s="71" t="str">
        <f>IFERROR(HYPERLINK(VLOOKUP(A529,Internal_lists_bugs!$A$2:$C$73,3,FALSE()), VLOOKUP(A529,Internal_lists_bugs!$A$2:$C$73,3,FALSE())&amp;Char(10) &amp; Char(10) &amp; VLOOKUP(A529,Internal_lists_bugs!$A$2:$Z$73,26,FALSE())),"please select a BUG ID")</f>
        <v>please select a BUG ID</v>
      </c>
      <c r="C529" s="51" t="str">
        <f>IFERROR(VLOOKUP(A529,Internal_lists_bugs!$A$2:$G2002,7,FALSE()),"please select a BUG ID")</f>
        <v>please select a BUG ID</v>
      </c>
      <c r="D529" s="54"/>
      <c r="E529" s="56"/>
      <c r="F529" s="54"/>
      <c r="G529" s="56"/>
      <c r="H529" s="54"/>
      <c r="I529" s="56"/>
      <c r="J529" s="54"/>
      <c r="K529" s="92"/>
      <c r="L529" s="54"/>
      <c r="M529" s="92"/>
      <c r="N529" s="54"/>
      <c r="O529" s="92"/>
      <c r="P529" s="54"/>
      <c r="Q529" s="92"/>
      <c r="R529" s="54"/>
      <c r="S529" s="92"/>
      <c r="T529" s="117"/>
      <c r="U529" s="92"/>
      <c r="V529" s="54"/>
      <c r="W529" s="92"/>
      <c r="X529" s="54"/>
      <c r="Y529" s="92"/>
      <c r="Z529" s="54"/>
      <c r="AA529" s="92"/>
      <c r="AB529" s="54"/>
      <c r="AC529" s="92"/>
      <c r="AD529" s="54"/>
      <c r="AE529" s="92"/>
      <c r="AF529" s="54"/>
      <c r="AG529" s="92"/>
      <c r="AH529" s="54"/>
      <c r="AI529" s="92"/>
      <c r="AJ529" s="54"/>
      <c r="AK529" s="92"/>
      <c r="AL529" s="54"/>
      <c r="AM529" s="92"/>
      <c r="AO529" s="54"/>
      <c r="AP529" s="123"/>
      <c r="AQ529" s="54"/>
      <c r="AR529" s="154"/>
      <c r="AS529" s="1"/>
      <c r="AT529" s="1"/>
      <c r="AU529" s="9"/>
    </row>
    <row r="530">
      <c r="A530" s="54"/>
      <c r="B530" s="71" t="str">
        <f>IFERROR(HYPERLINK(VLOOKUP(A530,Internal_lists_bugs!$A$2:$C$73,3,FALSE()), VLOOKUP(A530,Internal_lists_bugs!$A$2:$C$73,3,FALSE())&amp;Char(10) &amp; Char(10) &amp; VLOOKUP(A530,Internal_lists_bugs!$A$2:$Z$73,26,FALSE())),"please select a BUG ID")</f>
        <v>please select a BUG ID</v>
      </c>
      <c r="C530" s="51" t="str">
        <f>IFERROR(VLOOKUP(A530,Internal_lists_bugs!$A$2:$G2002,7,FALSE()),"please select a BUG ID")</f>
        <v>please select a BUG ID</v>
      </c>
      <c r="D530" s="54"/>
      <c r="E530" s="56"/>
      <c r="F530" s="54"/>
      <c r="G530" s="56"/>
      <c r="H530" s="54"/>
      <c r="I530" s="56"/>
      <c r="J530" s="54"/>
      <c r="K530" s="92"/>
      <c r="L530" s="54"/>
      <c r="M530" s="92"/>
      <c r="N530" s="54"/>
      <c r="O530" s="92"/>
      <c r="P530" s="54"/>
      <c r="Q530" s="92"/>
      <c r="R530" s="54"/>
      <c r="S530" s="92"/>
      <c r="T530" s="117"/>
      <c r="U530" s="92"/>
      <c r="V530" s="54"/>
      <c r="W530" s="92"/>
      <c r="X530" s="54"/>
      <c r="Y530" s="92"/>
      <c r="Z530" s="54"/>
      <c r="AA530" s="92"/>
      <c r="AB530" s="54"/>
      <c r="AC530" s="92"/>
      <c r="AD530" s="54"/>
      <c r="AE530" s="92"/>
      <c r="AF530" s="54"/>
      <c r="AG530" s="92"/>
      <c r="AH530" s="54"/>
      <c r="AI530" s="92"/>
      <c r="AJ530" s="54"/>
      <c r="AK530" s="92"/>
      <c r="AL530" s="54"/>
      <c r="AM530" s="92"/>
      <c r="AO530" s="54"/>
      <c r="AP530" s="123"/>
      <c r="AQ530" s="54"/>
      <c r="AR530" s="154"/>
      <c r="AS530" s="1"/>
      <c r="AT530" s="1"/>
      <c r="AU530" s="9"/>
    </row>
    <row r="531">
      <c r="A531" s="54"/>
      <c r="B531" s="71" t="str">
        <f>IFERROR(HYPERLINK(VLOOKUP(A531,Internal_lists_bugs!$A$2:$C$73,3,FALSE()), VLOOKUP(A531,Internal_lists_bugs!$A$2:$C$73,3,FALSE())&amp;Char(10) &amp; Char(10) &amp; VLOOKUP(A531,Internal_lists_bugs!$A$2:$Z$73,26,FALSE())),"please select a BUG ID")</f>
        <v>please select a BUG ID</v>
      </c>
      <c r="C531" s="51" t="str">
        <f>IFERROR(VLOOKUP(A531,Internal_lists_bugs!$A$2:$G2002,7,FALSE()),"please select a BUG ID")</f>
        <v>please select a BUG ID</v>
      </c>
      <c r="D531" s="54"/>
      <c r="E531" s="56"/>
      <c r="F531" s="54"/>
      <c r="G531" s="56"/>
      <c r="H531" s="54"/>
      <c r="I531" s="56"/>
      <c r="J531" s="54"/>
      <c r="K531" s="92"/>
      <c r="L531" s="54"/>
      <c r="M531" s="92"/>
      <c r="N531" s="54"/>
      <c r="O531" s="92"/>
      <c r="P531" s="54"/>
      <c r="Q531" s="92"/>
      <c r="R531" s="54"/>
      <c r="S531" s="92"/>
      <c r="T531" s="117"/>
      <c r="U531" s="92"/>
      <c r="V531" s="54"/>
      <c r="W531" s="92"/>
      <c r="X531" s="54"/>
      <c r="Y531" s="92"/>
      <c r="Z531" s="54"/>
      <c r="AA531" s="92"/>
      <c r="AB531" s="54"/>
      <c r="AC531" s="92"/>
      <c r="AD531" s="54"/>
      <c r="AE531" s="92"/>
      <c r="AF531" s="54"/>
      <c r="AG531" s="92"/>
      <c r="AH531" s="54"/>
      <c r="AI531" s="92"/>
      <c r="AJ531" s="54"/>
      <c r="AK531" s="92"/>
      <c r="AL531" s="54"/>
      <c r="AM531" s="92"/>
      <c r="AO531" s="54"/>
      <c r="AP531" s="123"/>
      <c r="AQ531" s="54"/>
      <c r="AR531" s="154"/>
      <c r="AS531" s="1"/>
      <c r="AT531" s="1"/>
      <c r="AU531" s="9"/>
    </row>
    <row r="532">
      <c r="A532" s="54"/>
      <c r="B532" s="71" t="str">
        <f>IFERROR(HYPERLINK(VLOOKUP(A532,Internal_lists_bugs!$A$2:$C$73,3,FALSE()), VLOOKUP(A532,Internal_lists_bugs!$A$2:$C$73,3,FALSE())&amp;Char(10) &amp; Char(10) &amp; VLOOKUP(A532,Internal_lists_bugs!$A$2:$Z$73,26,FALSE())),"please select a BUG ID")</f>
        <v>please select a BUG ID</v>
      </c>
      <c r="C532" s="51" t="str">
        <f>IFERROR(VLOOKUP(A532,Internal_lists_bugs!$A$2:$G2002,7,FALSE()),"please select a BUG ID")</f>
        <v>please select a BUG ID</v>
      </c>
      <c r="D532" s="54"/>
      <c r="E532" s="56"/>
      <c r="F532" s="54"/>
      <c r="G532" s="56"/>
      <c r="H532" s="54"/>
      <c r="I532" s="56"/>
      <c r="J532" s="54"/>
      <c r="K532" s="92"/>
      <c r="L532" s="54"/>
      <c r="M532" s="92"/>
      <c r="N532" s="54"/>
      <c r="O532" s="92"/>
      <c r="P532" s="54"/>
      <c r="Q532" s="92"/>
      <c r="R532" s="54"/>
      <c r="S532" s="92"/>
      <c r="T532" s="117"/>
      <c r="U532" s="92"/>
      <c r="V532" s="54"/>
      <c r="W532" s="92"/>
      <c r="X532" s="54"/>
      <c r="Y532" s="92"/>
      <c r="Z532" s="54"/>
      <c r="AA532" s="92"/>
      <c r="AB532" s="54"/>
      <c r="AC532" s="92"/>
      <c r="AD532" s="54"/>
      <c r="AE532" s="92"/>
      <c r="AF532" s="54"/>
      <c r="AG532" s="92"/>
      <c r="AH532" s="54"/>
      <c r="AI532" s="92"/>
      <c r="AJ532" s="54"/>
      <c r="AK532" s="92"/>
      <c r="AL532" s="54"/>
      <c r="AM532" s="92"/>
      <c r="AO532" s="54"/>
      <c r="AP532" s="123"/>
      <c r="AQ532" s="54"/>
      <c r="AR532" s="154"/>
      <c r="AS532" s="1"/>
      <c r="AT532" s="1"/>
      <c r="AU532" s="9"/>
    </row>
    <row r="533">
      <c r="A533" s="54"/>
      <c r="B533" s="71" t="str">
        <f>IFERROR(HYPERLINK(VLOOKUP(A533,Internal_lists_bugs!$A$2:$C$73,3,FALSE()), VLOOKUP(A533,Internal_lists_bugs!$A$2:$C$73,3,FALSE())&amp;Char(10) &amp; Char(10) &amp; VLOOKUP(A533,Internal_lists_bugs!$A$2:$Z$73,26,FALSE())),"please select a BUG ID")</f>
        <v>please select a BUG ID</v>
      </c>
      <c r="C533" s="51" t="str">
        <f>IFERROR(VLOOKUP(A533,Internal_lists_bugs!$A$2:$G2002,7,FALSE()),"please select a BUG ID")</f>
        <v>please select a BUG ID</v>
      </c>
      <c r="D533" s="54"/>
      <c r="E533" s="56"/>
      <c r="F533" s="54"/>
      <c r="G533" s="56"/>
      <c r="H533" s="54"/>
      <c r="I533" s="56"/>
      <c r="J533" s="54"/>
      <c r="K533" s="92"/>
      <c r="L533" s="54"/>
      <c r="M533" s="92"/>
      <c r="N533" s="54"/>
      <c r="O533" s="92"/>
      <c r="P533" s="54"/>
      <c r="Q533" s="92"/>
      <c r="R533" s="54"/>
      <c r="S533" s="92"/>
      <c r="T533" s="117"/>
      <c r="U533" s="92"/>
      <c r="V533" s="54"/>
      <c r="W533" s="92"/>
      <c r="X533" s="54"/>
      <c r="Y533" s="92"/>
      <c r="Z533" s="54"/>
      <c r="AA533" s="92"/>
      <c r="AB533" s="54"/>
      <c r="AC533" s="92"/>
      <c r="AD533" s="54"/>
      <c r="AE533" s="92"/>
      <c r="AF533" s="54"/>
      <c r="AG533" s="92"/>
      <c r="AH533" s="54"/>
      <c r="AI533" s="92"/>
      <c r="AJ533" s="54"/>
      <c r="AK533" s="92"/>
      <c r="AL533" s="54"/>
      <c r="AM533" s="92"/>
      <c r="AO533" s="54"/>
      <c r="AP533" s="123"/>
      <c r="AQ533" s="54"/>
      <c r="AR533" s="154"/>
      <c r="AS533" s="1"/>
      <c r="AT533" s="1"/>
      <c r="AU533" s="9"/>
    </row>
    <row r="534">
      <c r="A534" s="54"/>
      <c r="B534" s="71" t="str">
        <f>IFERROR(HYPERLINK(VLOOKUP(A534,Internal_lists_bugs!$A$2:$C$73,3,FALSE()), VLOOKUP(A534,Internal_lists_bugs!$A$2:$C$73,3,FALSE())&amp;Char(10) &amp; Char(10) &amp; VLOOKUP(A534,Internal_lists_bugs!$A$2:$Z$73,26,FALSE())),"please select a BUG ID")</f>
        <v>please select a BUG ID</v>
      </c>
      <c r="C534" s="51" t="str">
        <f>IFERROR(VLOOKUP(A534,Internal_lists_bugs!$A$2:$G2002,7,FALSE()),"please select a BUG ID")</f>
        <v>please select a BUG ID</v>
      </c>
      <c r="D534" s="54"/>
      <c r="E534" s="56"/>
      <c r="F534" s="54"/>
      <c r="G534" s="56"/>
      <c r="H534" s="54"/>
      <c r="I534" s="56"/>
      <c r="J534" s="54"/>
      <c r="K534" s="92"/>
      <c r="L534" s="54"/>
      <c r="M534" s="92"/>
      <c r="N534" s="54"/>
      <c r="O534" s="92"/>
      <c r="P534" s="54"/>
      <c r="Q534" s="92"/>
      <c r="R534" s="54"/>
      <c r="S534" s="92"/>
      <c r="T534" s="117"/>
      <c r="U534" s="92"/>
      <c r="V534" s="54"/>
      <c r="W534" s="92"/>
      <c r="X534" s="54"/>
      <c r="Y534" s="92"/>
      <c r="Z534" s="54"/>
      <c r="AA534" s="92"/>
      <c r="AB534" s="54"/>
      <c r="AC534" s="92"/>
      <c r="AD534" s="54"/>
      <c r="AE534" s="92"/>
      <c r="AF534" s="54"/>
      <c r="AG534" s="92"/>
      <c r="AH534" s="54"/>
      <c r="AI534" s="92"/>
      <c r="AJ534" s="54"/>
      <c r="AK534" s="92"/>
      <c r="AL534" s="54"/>
      <c r="AM534" s="92"/>
      <c r="AO534" s="54"/>
      <c r="AP534" s="123"/>
      <c r="AQ534" s="54"/>
      <c r="AR534" s="154"/>
      <c r="AS534" s="1"/>
      <c r="AT534" s="1"/>
      <c r="AU534" s="9"/>
    </row>
    <row r="535">
      <c r="A535" s="54"/>
      <c r="B535" s="71" t="str">
        <f>IFERROR(HYPERLINK(VLOOKUP(A535,Internal_lists_bugs!$A$2:$C$73,3,FALSE()), VLOOKUP(A535,Internal_lists_bugs!$A$2:$C$73,3,FALSE())&amp;Char(10) &amp; Char(10) &amp; VLOOKUP(A535,Internal_lists_bugs!$A$2:$Z$73,26,FALSE())),"please select a BUG ID")</f>
        <v>please select a BUG ID</v>
      </c>
      <c r="C535" s="51" t="str">
        <f>IFERROR(VLOOKUP(A535,Internal_lists_bugs!$A$2:$G2002,7,FALSE()),"please select a BUG ID")</f>
        <v>please select a BUG ID</v>
      </c>
      <c r="D535" s="54"/>
      <c r="E535" s="56"/>
      <c r="F535" s="54"/>
      <c r="G535" s="56"/>
      <c r="H535" s="54"/>
      <c r="I535" s="56"/>
      <c r="J535" s="54"/>
      <c r="K535" s="92"/>
      <c r="L535" s="54"/>
      <c r="M535" s="92"/>
      <c r="N535" s="54"/>
      <c r="O535" s="92"/>
      <c r="P535" s="54"/>
      <c r="Q535" s="92"/>
      <c r="R535" s="54"/>
      <c r="S535" s="92"/>
      <c r="T535" s="117"/>
      <c r="U535" s="92"/>
      <c r="V535" s="54"/>
      <c r="W535" s="92"/>
      <c r="X535" s="54"/>
      <c r="Y535" s="92"/>
      <c r="Z535" s="54"/>
      <c r="AA535" s="92"/>
      <c r="AB535" s="54"/>
      <c r="AC535" s="92"/>
      <c r="AD535" s="54"/>
      <c r="AE535" s="92"/>
      <c r="AF535" s="54"/>
      <c r="AG535" s="92"/>
      <c r="AH535" s="54"/>
      <c r="AI535" s="92"/>
      <c r="AJ535" s="54"/>
      <c r="AK535" s="92"/>
      <c r="AL535" s="54"/>
      <c r="AM535" s="92"/>
      <c r="AO535" s="54"/>
      <c r="AP535" s="123"/>
      <c r="AQ535" s="54"/>
      <c r="AR535" s="154"/>
      <c r="AS535" s="1"/>
      <c r="AT535" s="1"/>
      <c r="AU535" s="9"/>
    </row>
    <row r="536">
      <c r="A536" s="54"/>
      <c r="B536" s="71" t="str">
        <f>IFERROR(HYPERLINK(VLOOKUP(A536,Internal_lists_bugs!$A$2:$C$73,3,FALSE()), VLOOKUP(A536,Internal_lists_bugs!$A$2:$C$73,3,FALSE())&amp;Char(10) &amp; Char(10) &amp; VLOOKUP(A536,Internal_lists_bugs!$A$2:$Z$73,26,FALSE())),"please select a BUG ID")</f>
        <v>please select a BUG ID</v>
      </c>
      <c r="C536" s="51" t="str">
        <f>IFERROR(VLOOKUP(A536,Internal_lists_bugs!$A$2:$G2002,7,FALSE()),"please select a BUG ID")</f>
        <v>please select a BUG ID</v>
      </c>
      <c r="D536" s="54"/>
      <c r="E536" s="56"/>
      <c r="F536" s="54"/>
      <c r="G536" s="56"/>
      <c r="H536" s="54"/>
      <c r="I536" s="56"/>
      <c r="J536" s="54"/>
      <c r="K536" s="92"/>
      <c r="L536" s="54"/>
      <c r="M536" s="92"/>
      <c r="N536" s="54"/>
      <c r="O536" s="92"/>
      <c r="P536" s="54"/>
      <c r="Q536" s="92"/>
      <c r="R536" s="54"/>
      <c r="S536" s="92"/>
      <c r="T536" s="117"/>
      <c r="U536" s="92"/>
      <c r="V536" s="54"/>
      <c r="W536" s="92"/>
      <c r="X536" s="54"/>
      <c r="Y536" s="92"/>
      <c r="Z536" s="54"/>
      <c r="AA536" s="92"/>
      <c r="AB536" s="54"/>
      <c r="AC536" s="92"/>
      <c r="AD536" s="54"/>
      <c r="AE536" s="92"/>
      <c r="AF536" s="54"/>
      <c r="AG536" s="92"/>
      <c r="AH536" s="54"/>
      <c r="AI536" s="92"/>
      <c r="AJ536" s="54"/>
      <c r="AK536" s="92"/>
      <c r="AL536" s="54"/>
      <c r="AM536" s="92"/>
      <c r="AO536" s="54"/>
      <c r="AP536" s="123"/>
      <c r="AQ536" s="54"/>
      <c r="AR536" s="154"/>
      <c r="AS536" s="1"/>
      <c r="AT536" s="1"/>
      <c r="AU536" s="9"/>
    </row>
    <row r="537">
      <c r="A537" s="54"/>
      <c r="B537" s="71" t="str">
        <f>IFERROR(HYPERLINK(VLOOKUP(A537,Internal_lists_bugs!$A$2:$C$73,3,FALSE()), VLOOKUP(A537,Internal_lists_bugs!$A$2:$C$73,3,FALSE())&amp;Char(10) &amp; Char(10) &amp; VLOOKUP(A537,Internal_lists_bugs!$A$2:$Z$73,26,FALSE())),"please select a BUG ID")</f>
        <v>please select a BUG ID</v>
      </c>
      <c r="C537" s="51" t="str">
        <f>IFERROR(VLOOKUP(A537,Internal_lists_bugs!$A$2:$G2002,7,FALSE()),"please select a BUG ID")</f>
        <v>please select a BUG ID</v>
      </c>
      <c r="D537" s="54"/>
      <c r="E537" s="56"/>
      <c r="F537" s="54"/>
      <c r="G537" s="56"/>
      <c r="H537" s="54"/>
      <c r="I537" s="56"/>
      <c r="J537" s="54"/>
      <c r="K537" s="92"/>
      <c r="L537" s="54"/>
      <c r="M537" s="92"/>
      <c r="N537" s="54"/>
      <c r="O537" s="92"/>
      <c r="P537" s="54"/>
      <c r="Q537" s="92"/>
      <c r="R537" s="54"/>
      <c r="S537" s="92"/>
      <c r="T537" s="117"/>
      <c r="U537" s="92"/>
      <c r="V537" s="54"/>
      <c r="W537" s="92"/>
      <c r="X537" s="54"/>
      <c r="Y537" s="92"/>
      <c r="Z537" s="54"/>
      <c r="AA537" s="92"/>
      <c r="AB537" s="54"/>
      <c r="AC537" s="92"/>
      <c r="AD537" s="54"/>
      <c r="AE537" s="92"/>
      <c r="AF537" s="54"/>
      <c r="AG537" s="92"/>
      <c r="AH537" s="54"/>
      <c r="AI537" s="92"/>
      <c r="AJ537" s="54"/>
      <c r="AK537" s="92"/>
      <c r="AL537" s="54"/>
      <c r="AM537" s="92"/>
      <c r="AO537" s="54"/>
      <c r="AP537" s="123"/>
      <c r="AQ537" s="54"/>
      <c r="AR537" s="154"/>
      <c r="AS537" s="1"/>
      <c r="AT537" s="1"/>
      <c r="AU537" s="9"/>
    </row>
    <row r="538">
      <c r="A538" s="54"/>
      <c r="B538" s="71" t="str">
        <f>IFERROR(HYPERLINK(VLOOKUP(A538,Internal_lists_bugs!$A$2:$C$73,3,FALSE()), VLOOKUP(A538,Internal_lists_bugs!$A$2:$C$73,3,FALSE())&amp;Char(10) &amp; Char(10) &amp; VLOOKUP(A538,Internal_lists_bugs!$A$2:$Z$73,26,FALSE())),"please select a BUG ID")</f>
        <v>please select a BUG ID</v>
      </c>
      <c r="C538" s="51" t="str">
        <f>IFERROR(VLOOKUP(A538,Internal_lists_bugs!$A$2:$G2002,7,FALSE()),"please select a BUG ID")</f>
        <v>please select a BUG ID</v>
      </c>
      <c r="D538" s="54"/>
      <c r="E538" s="56"/>
      <c r="F538" s="54"/>
      <c r="G538" s="56"/>
      <c r="H538" s="54"/>
      <c r="I538" s="56"/>
      <c r="J538" s="54"/>
      <c r="K538" s="92"/>
      <c r="L538" s="54"/>
      <c r="M538" s="92"/>
      <c r="N538" s="54"/>
      <c r="O538" s="92"/>
      <c r="P538" s="54"/>
      <c r="Q538" s="92"/>
      <c r="R538" s="54"/>
      <c r="S538" s="92"/>
      <c r="T538" s="117"/>
      <c r="U538" s="92"/>
      <c r="V538" s="54"/>
      <c r="W538" s="92"/>
      <c r="X538" s="54"/>
      <c r="Y538" s="92"/>
      <c r="Z538" s="54"/>
      <c r="AA538" s="92"/>
      <c r="AB538" s="54"/>
      <c r="AC538" s="92"/>
      <c r="AD538" s="54"/>
      <c r="AE538" s="92"/>
      <c r="AF538" s="54"/>
      <c r="AG538" s="92"/>
      <c r="AH538" s="54"/>
      <c r="AI538" s="92"/>
      <c r="AJ538" s="54"/>
      <c r="AK538" s="92"/>
      <c r="AL538" s="54"/>
      <c r="AM538" s="92"/>
      <c r="AO538" s="54"/>
      <c r="AP538" s="123"/>
      <c r="AQ538" s="54"/>
      <c r="AR538" s="154"/>
      <c r="AS538" s="1"/>
      <c r="AT538" s="1"/>
      <c r="AU538" s="9"/>
    </row>
    <row r="539">
      <c r="A539" s="54"/>
      <c r="B539" s="71" t="str">
        <f>IFERROR(HYPERLINK(VLOOKUP(A539,Internal_lists_bugs!$A$2:$C$73,3,FALSE()), VLOOKUP(A539,Internal_lists_bugs!$A$2:$C$73,3,FALSE())&amp;Char(10) &amp; Char(10) &amp; VLOOKUP(A539,Internal_lists_bugs!$A$2:$Z$73,26,FALSE())),"please select a BUG ID")</f>
        <v>please select a BUG ID</v>
      </c>
      <c r="C539" s="51" t="str">
        <f>IFERROR(VLOOKUP(A539,Internal_lists_bugs!$A$2:$G2002,7,FALSE()),"please select a BUG ID")</f>
        <v>please select a BUG ID</v>
      </c>
      <c r="D539" s="54"/>
      <c r="E539" s="56"/>
      <c r="F539" s="54"/>
      <c r="G539" s="56"/>
      <c r="H539" s="54"/>
      <c r="I539" s="56"/>
      <c r="J539" s="54"/>
      <c r="K539" s="92"/>
      <c r="L539" s="54"/>
      <c r="M539" s="92"/>
      <c r="N539" s="54"/>
      <c r="O539" s="92"/>
      <c r="P539" s="54"/>
      <c r="Q539" s="92"/>
      <c r="R539" s="54"/>
      <c r="S539" s="92"/>
      <c r="T539" s="117"/>
      <c r="U539" s="92"/>
      <c r="V539" s="54"/>
      <c r="W539" s="92"/>
      <c r="X539" s="54"/>
      <c r="Y539" s="92"/>
      <c r="Z539" s="54"/>
      <c r="AA539" s="92"/>
      <c r="AB539" s="54"/>
      <c r="AC539" s="92"/>
      <c r="AD539" s="54"/>
      <c r="AE539" s="92"/>
      <c r="AF539" s="54"/>
      <c r="AG539" s="92"/>
      <c r="AH539" s="54"/>
      <c r="AI539" s="92"/>
      <c r="AJ539" s="54"/>
      <c r="AK539" s="92"/>
      <c r="AL539" s="54"/>
      <c r="AM539" s="92"/>
      <c r="AO539" s="54"/>
      <c r="AP539" s="123"/>
      <c r="AQ539" s="54"/>
      <c r="AR539" s="154"/>
      <c r="AS539" s="1"/>
      <c r="AT539" s="1"/>
      <c r="AU539" s="9"/>
    </row>
    <row r="540">
      <c r="A540" s="54"/>
      <c r="B540" s="71" t="str">
        <f>IFERROR(HYPERLINK(VLOOKUP(A540,Internal_lists_bugs!$A$2:$C$73,3,FALSE()), VLOOKUP(A540,Internal_lists_bugs!$A$2:$C$73,3,FALSE())&amp;Char(10) &amp; Char(10) &amp; VLOOKUP(A540,Internal_lists_bugs!$A$2:$Z$73,26,FALSE())),"please select a BUG ID")</f>
        <v>please select a BUG ID</v>
      </c>
      <c r="C540" s="51" t="str">
        <f>IFERROR(VLOOKUP(A540,Internal_lists_bugs!$A$2:$G2002,7,FALSE()),"please select a BUG ID")</f>
        <v>please select a BUG ID</v>
      </c>
      <c r="D540" s="54"/>
      <c r="E540" s="56"/>
      <c r="F540" s="54"/>
      <c r="G540" s="56"/>
      <c r="H540" s="54"/>
      <c r="I540" s="56"/>
      <c r="J540" s="54"/>
      <c r="K540" s="92"/>
      <c r="L540" s="54"/>
      <c r="M540" s="92"/>
      <c r="N540" s="54"/>
      <c r="O540" s="92"/>
      <c r="P540" s="54"/>
      <c r="Q540" s="92"/>
      <c r="R540" s="54"/>
      <c r="S540" s="92"/>
      <c r="T540" s="117"/>
      <c r="U540" s="92"/>
      <c r="V540" s="54"/>
      <c r="W540" s="92"/>
      <c r="X540" s="54"/>
      <c r="Y540" s="92"/>
      <c r="Z540" s="54"/>
      <c r="AA540" s="92"/>
      <c r="AB540" s="54"/>
      <c r="AC540" s="92"/>
      <c r="AD540" s="54"/>
      <c r="AE540" s="92"/>
      <c r="AF540" s="54"/>
      <c r="AG540" s="92"/>
      <c r="AH540" s="54"/>
      <c r="AI540" s="92"/>
      <c r="AJ540" s="54"/>
      <c r="AK540" s="92"/>
      <c r="AL540" s="54"/>
      <c r="AM540" s="92"/>
      <c r="AO540" s="54"/>
      <c r="AP540" s="123"/>
      <c r="AQ540" s="54"/>
      <c r="AR540" s="154"/>
      <c r="AS540" s="1"/>
      <c r="AT540" s="1"/>
      <c r="AU540" s="9"/>
    </row>
    <row r="541">
      <c r="A541" s="54"/>
      <c r="B541" s="71" t="str">
        <f>IFERROR(HYPERLINK(VLOOKUP(A541,Internal_lists_bugs!$A$2:$C$73,3,FALSE()), VLOOKUP(A541,Internal_lists_bugs!$A$2:$C$73,3,FALSE())&amp;Char(10) &amp; Char(10) &amp; VLOOKUP(A541,Internal_lists_bugs!$A$2:$Z$73,26,FALSE())),"please select a BUG ID")</f>
        <v>please select a BUG ID</v>
      </c>
      <c r="C541" s="51" t="str">
        <f>IFERROR(VLOOKUP(A541,Internal_lists_bugs!$A$2:$G2002,7,FALSE()),"please select a BUG ID")</f>
        <v>please select a BUG ID</v>
      </c>
      <c r="D541" s="54"/>
      <c r="E541" s="56"/>
      <c r="F541" s="54"/>
      <c r="G541" s="56"/>
      <c r="H541" s="54"/>
      <c r="I541" s="56"/>
      <c r="J541" s="54"/>
      <c r="K541" s="92"/>
      <c r="L541" s="54"/>
      <c r="M541" s="92"/>
      <c r="N541" s="54"/>
      <c r="O541" s="92"/>
      <c r="P541" s="54"/>
      <c r="Q541" s="92"/>
      <c r="R541" s="54"/>
      <c r="S541" s="92"/>
      <c r="T541" s="117"/>
      <c r="U541" s="92"/>
      <c r="V541" s="54"/>
      <c r="W541" s="92"/>
      <c r="X541" s="54"/>
      <c r="Y541" s="92"/>
      <c r="Z541" s="54"/>
      <c r="AA541" s="92"/>
      <c r="AB541" s="54"/>
      <c r="AC541" s="92"/>
      <c r="AD541" s="54"/>
      <c r="AE541" s="92"/>
      <c r="AF541" s="54"/>
      <c r="AG541" s="92"/>
      <c r="AH541" s="54"/>
      <c r="AI541" s="92"/>
      <c r="AJ541" s="54"/>
      <c r="AK541" s="92"/>
      <c r="AL541" s="54"/>
      <c r="AM541" s="92"/>
      <c r="AO541" s="54"/>
      <c r="AP541" s="123"/>
      <c r="AQ541" s="54"/>
      <c r="AR541" s="154"/>
      <c r="AS541" s="1"/>
      <c r="AT541" s="1"/>
      <c r="AU541" s="9"/>
    </row>
    <row r="542">
      <c r="A542" s="54"/>
      <c r="B542" s="71" t="str">
        <f>IFERROR(HYPERLINK(VLOOKUP(A542,Internal_lists_bugs!$A$2:$C$73,3,FALSE()), VLOOKUP(A542,Internal_lists_bugs!$A$2:$C$73,3,FALSE())&amp;Char(10) &amp; Char(10) &amp; VLOOKUP(A542,Internal_lists_bugs!$A$2:$Z$73,26,FALSE())),"please select a BUG ID")</f>
        <v>please select a BUG ID</v>
      </c>
      <c r="C542" s="51" t="str">
        <f>IFERROR(VLOOKUP(A542,Internal_lists_bugs!$A$2:$G2002,7,FALSE()),"please select a BUG ID")</f>
        <v>please select a BUG ID</v>
      </c>
      <c r="D542" s="54"/>
      <c r="E542" s="56"/>
      <c r="F542" s="54"/>
      <c r="G542" s="56"/>
      <c r="H542" s="54"/>
      <c r="I542" s="56"/>
      <c r="J542" s="54"/>
      <c r="K542" s="92"/>
      <c r="L542" s="54"/>
      <c r="M542" s="92"/>
      <c r="N542" s="54"/>
      <c r="O542" s="92"/>
      <c r="P542" s="54"/>
      <c r="Q542" s="92"/>
      <c r="R542" s="54"/>
      <c r="S542" s="92"/>
      <c r="T542" s="117"/>
      <c r="U542" s="92"/>
      <c r="V542" s="54"/>
      <c r="W542" s="92"/>
      <c r="X542" s="54"/>
      <c r="Y542" s="92"/>
      <c r="Z542" s="54"/>
      <c r="AA542" s="92"/>
      <c r="AB542" s="54"/>
      <c r="AC542" s="92"/>
      <c r="AD542" s="54"/>
      <c r="AE542" s="92"/>
      <c r="AF542" s="54"/>
      <c r="AG542" s="92"/>
      <c r="AH542" s="54"/>
      <c r="AI542" s="92"/>
      <c r="AJ542" s="54"/>
      <c r="AK542" s="92"/>
      <c r="AL542" s="54"/>
      <c r="AM542" s="92"/>
      <c r="AO542" s="54"/>
      <c r="AP542" s="123"/>
      <c r="AQ542" s="54"/>
      <c r="AR542" s="154"/>
      <c r="AS542" s="1"/>
      <c r="AT542" s="1"/>
      <c r="AU542" s="9"/>
    </row>
    <row r="543">
      <c r="A543" s="54"/>
      <c r="B543" s="71" t="str">
        <f>IFERROR(HYPERLINK(VLOOKUP(A543,Internal_lists_bugs!$A$2:$C$73,3,FALSE()), VLOOKUP(A543,Internal_lists_bugs!$A$2:$C$73,3,FALSE())&amp;Char(10) &amp; Char(10) &amp; VLOOKUP(A543,Internal_lists_bugs!$A$2:$Z$73,26,FALSE())),"please select a BUG ID")</f>
        <v>please select a BUG ID</v>
      </c>
      <c r="C543" s="51" t="str">
        <f>IFERROR(VLOOKUP(A543,Internal_lists_bugs!$A$2:$G2002,7,FALSE()),"please select a BUG ID")</f>
        <v>please select a BUG ID</v>
      </c>
      <c r="D543" s="54"/>
      <c r="E543" s="56"/>
      <c r="F543" s="54"/>
      <c r="G543" s="56"/>
      <c r="H543" s="54"/>
      <c r="I543" s="56"/>
      <c r="J543" s="54"/>
      <c r="K543" s="92"/>
      <c r="L543" s="54"/>
      <c r="M543" s="92"/>
      <c r="N543" s="54"/>
      <c r="O543" s="92"/>
      <c r="P543" s="54"/>
      <c r="Q543" s="92"/>
      <c r="R543" s="54"/>
      <c r="S543" s="92"/>
      <c r="T543" s="117"/>
      <c r="U543" s="92"/>
      <c r="V543" s="54"/>
      <c r="W543" s="92"/>
      <c r="X543" s="54"/>
      <c r="Y543" s="92"/>
      <c r="Z543" s="54"/>
      <c r="AA543" s="92"/>
      <c r="AB543" s="54"/>
      <c r="AC543" s="92"/>
      <c r="AD543" s="54"/>
      <c r="AE543" s="92"/>
      <c r="AF543" s="54"/>
      <c r="AG543" s="92"/>
      <c r="AH543" s="54"/>
      <c r="AI543" s="92"/>
      <c r="AJ543" s="54"/>
      <c r="AK543" s="92"/>
      <c r="AL543" s="54"/>
      <c r="AM543" s="92"/>
      <c r="AO543" s="54"/>
      <c r="AP543" s="123"/>
      <c r="AQ543" s="54"/>
      <c r="AR543" s="154"/>
      <c r="AS543" s="1"/>
      <c r="AT543" s="1"/>
      <c r="AU543" s="9"/>
    </row>
    <row r="544">
      <c r="A544" s="54"/>
      <c r="B544" s="71" t="str">
        <f>IFERROR(HYPERLINK(VLOOKUP(A544,Internal_lists_bugs!$A$2:$C$73,3,FALSE()), VLOOKUP(A544,Internal_lists_bugs!$A$2:$C$73,3,FALSE())&amp;Char(10) &amp; Char(10) &amp; VLOOKUP(A544,Internal_lists_bugs!$A$2:$Z$73,26,FALSE())),"please select a BUG ID")</f>
        <v>please select a BUG ID</v>
      </c>
      <c r="C544" s="51" t="str">
        <f>IFERROR(VLOOKUP(A544,Internal_lists_bugs!$A$2:$G2002,7,FALSE()),"please select a BUG ID")</f>
        <v>please select a BUG ID</v>
      </c>
      <c r="D544" s="54"/>
      <c r="E544" s="56"/>
      <c r="F544" s="54"/>
      <c r="G544" s="56"/>
      <c r="H544" s="54"/>
      <c r="I544" s="56"/>
      <c r="J544" s="54"/>
      <c r="K544" s="92"/>
      <c r="L544" s="54"/>
      <c r="M544" s="92"/>
      <c r="N544" s="54"/>
      <c r="O544" s="92"/>
      <c r="P544" s="54"/>
      <c r="Q544" s="92"/>
      <c r="R544" s="54"/>
      <c r="S544" s="92"/>
      <c r="T544" s="117"/>
      <c r="U544" s="92"/>
      <c r="V544" s="54"/>
      <c r="W544" s="92"/>
      <c r="X544" s="54"/>
      <c r="Y544" s="92"/>
      <c r="Z544" s="54"/>
      <c r="AA544" s="92"/>
      <c r="AB544" s="54"/>
      <c r="AC544" s="92"/>
      <c r="AD544" s="54"/>
      <c r="AE544" s="92"/>
      <c r="AF544" s="54"/>
      <c r="AG544" s="92"/>
      <c r="AH544" s="54"/>
      <c r="AI544" s="92"/>
      <c r="AJ544" s="54"/>
      <c r="AK544" s="92"/>
      <c r="AL544" s="54"/>
      <c r="AM544" s="92"/>
      <c r="AO544" s="54"/>
      <c r="AP544" s="123"/>
      <c r="AQ544" s="54"/>
      <c r="AR544" s="154"/>
      <c r="AS544" s="1"/>
      <c r="AT544" s="1"/>
      <c r="AU544" s="9"/>
    </row>
    <row r="545">
      <c r="A545" s="54"/>
      <c r="B545" s="71" t="str">
        <f>IFERROR(HYPERLINK(VLOOKUP(A545,Internal_lists_bugs!$A$2:$C$73,3,FALSE()), VLOOKUP(A545,Internal_lists_bugs!$A$2:$C$73,3,FALSE())&amp;Char(10) &amp; Char(10) &amp; VLOOKUP(A545,Internal_lists_bugs!$A$2:$Z$73,26,FALSE())),"please select a BUG ID")</f>
        <v>please select a BUG ID</v>
      </c>
      <c r="C545" s="51" t="str">
        <f>IFERROR(VLOOKUP(A545,Internal_lists_bugs!$A$2:$G2002,7,FALSE()),"please select a BUG ID")</f>
        <v>please select a BUG ID</v>
      </c>
      <c r="D545" s="54"/>
      <c r="E545" s="56"/>
      <c r="F545" s="54"/>
      <c r="G545" s="56"/>
      <c r="H545" s="54"/>
      <c r="I545" s="56"/>
      <c r="J545" s="54"/>
      <c r="K545" s="92"/>
      <c r="L545" s="54"/>
      <c r="M545" s="92"/>
      <c r="N545" s="54"/>
      <c r="O545" s="92"/>
      <c r="P545" s="54"/>
      <c r="Q545" s="92"/>
      <c r="R545" s="54"/>
      <c r="S545" s="92"/>
      <c r="T545" s="117"/>
      <c r="U545" s="92"/>
      <c r="V545" s="54"/>
      <c r="W545" s="92"/>
      <c r="X545" s="54"/>
      <c r="Y545" s="92"/>
      <c r="Z545" s="54"/>
      <c r="AA545" s="92"/>
      <c r="AB545" s="54"/>
      <c r="AC545" s="92"/>
      <c r="AD545" s="54"/>
      <c r="AE545" s="92"/>
      <c r="AF545" s="54"/>
      <c r="AG545" s="92"/>
      <c r="AH545" s="54"/>
      <c r="AI545" s="92"/>
      <c r="AJ545" s="54"/>
      <c r="AK545" s="92"/>
      <c r="AL545" s="54"/>
      <c r="AM545" s="92"/>
      <c r="AO545" s="54"/>
      <c r="AP545" s="123"/>
      <c r="AQ545" s="54"/>
      <c r="AR545" s="154"/>
      <c r="AS545" s="1"/>
      <c r="AT545" s="1"/>
      <c r="AU545" s="9"/>
    </row>
    <row r="546">
      <c r="A546" s="54"/>
      <c r="B546" s="71" t="str">
        <f>IFERROR(HYPERLINK(VLOOKUP(A546,Internal_lists_bugs!$A$2:$C$73,3,FALSE()), VLOOKUP(A546,Internal_lists_bugs!$A$2:$C$73,3,FALSE())&amp;Char(10) &amp; Char(10) &amp; VLOOKUP(A546,Internal_lists_bugs!$A$2:$Z$73,26,FALSE())),"please select a BUG ID")</f>
        <v>please select a BUG ID</v>
      </c>
      <c r="C546" s="51" t="str">
        <f>IFERROR(VLOOKUP(A546,Internal_lists_bugs!$A$2:$G2002,7,FALSE()),"please select a BUG ID")</f>
        <v>please select a BUG ID</v>
      </c>
      <c r="D546" s="54"/>
      <c r="E546" s="56"/>
      <c r="F546" s="54"/>
      <c r="G546" s="56"/>
      <c r="H546" s="54"/>
      <c r="I546" s="56"/>
      <c r="J546" s="54"/>
      <c r="K546" s="92"/>
      <c r="L546" s="54"/>
      <c r="M546" s="92"/>
      <c r="N546" s="54"/>
      <c r="O546" s="92"/>
      <c r="P546" s="54"/>
      <c r="Q546" s="92"/>
      <c r="R546" s="54"/>
      <c r="S546" s="92"/>
      <c r="T546" s="117"/>
      <c r="U546" s="92"/>
      <c r="V546" s="54"/>
      <c r="W546" s="92"/>
      <c r="X546" s="54"/>
      <c r="Y546" s="92"/>
      <c r="Z546" s="54"/>
      <c r="AA546" s="92"/>
      <c r="AB546" s="54"/>
      <c r="AC546" s="92"/>
      <c r="AD546" s="54"/>
      <c r="AE546" s="92"/>
      <c r="AF546" s="54"/>
      <c r="AG546" s="92"/>
      <c r="AH546" s="54"/>
      <c r="AI546" s="92"/>
      <c r="AJ546" s="54"/>
      <c r="AK546" s="92"/>
      <c r="AL546" s="54"/>
      <c r="AM546" s="92"/>
      <c r="AO546" s="54"/>
      <c r="AP546" s="123"/>
      <c r="AQ546" s="54"/>
      <c r="AR546" s="154"/>
      <c r="AS546" s="1"/>
      <c r="AT546" s="1"/>
      <c r="AU546" s="9"/>
    </row>
    <row r="547">
      <c r="A547" s="54"/>
      <c r="B547" s="71" t="str">
        <f>IFERROR(HYPERLINK(VLOOKUP(A547,Internal_lists_bugs!$A$2:$C$73,3,FALSE()), VLOOKUP(A547,Internal_lists_bugs!$A$2:$C$73,3,FALSE())&amp;Char(10) &amp; Char(10) &amp; VLOOKUP(A547,Internal_lists_bugs!$A$2:$Z$73,26,FALSE())),"please select a BUG ID")</f>
        <v>please select a BUG ID</v>
      </c>
      <c r="C547" s="51" t="str">
        <f>IFERROR(VLOOKUP(A547,Internal_lists_bugs!$A$2:$G2002,7,FALSE()),"please select a BUG ID")</f>
        <v>please select a BUG ID</v>
      </c>
      <c r="D547" s="54"/>
      <c r="E547" s="56"/>
      <c r="F547" s="54"/>
      <c r="G547" s="56"/>
      <c r="H547" s="54"/>
      <c r="I547" s="56"/>
      <c r="J547" s="54"/>
      <c r="K547" s="92"/>
      <c r="L547" s="54"/>
      <c r="M547" s="92"/>
      <c r="N547" s="54"/>
      <c r="O547" s="92"/>
      <c r="P547" s="54"/>
      <c r="Q547" s="92"/>
      <c r="R547" s="54"/>
      <c r="S547" s="92"/>
      <c r="T547" s="117"/>
      <c r="U547" s="92"/>
      <c r="V547" s="54"/>
      <c r="W547" s="92"/>
      <c r="X547" s="54"/>
      <c r="Y547" s="92"/>
      <c r="Z547" s="54"/>
      <c r="AA547" s="92"/>
      <c r="AB547" s="54"/>
      <c r="AC547" s="92"/>
      <c r="AD547" s="54"/>
      <c r="AE547" s="92"/>
      <c r="AF547" s="54"/>
      <c r="AG547" s="92"/>
      <c r="AH547" s="54"/>
      <c r="AI547" s="92"/>
      <c r="AJ547" s="54"/>
      <c r="AK547" s="92"/>
      <c r="AL547" s="54"/>
      <c r="AM547" s="92"/>
      <c r="AO547" s="54"/>
      <c r="AP547" s="123"/>
      <c r="AQ547" s="54"/>
      <c r="AR547" s="154"/>
      <c r="AS547" s="1"/>
      <c r="AT547" s="1"/>
      <c r="AU547" s="9"/>
    </row>
    <row r="548">
      <c r="A548" s="54"/>
      <c r="B548" s="71" t="str">
        <f>IFERROR(HYPERLINK(VLOOKUP(A548,Internal_lists_bugs!$A$2:$C$73,3,FALSE()), VLOOKUP(A548,Internal_lists_bugs!$A$2:$C$73,3,FALSE())&amp;Char(10) &amp; Char(10) &amp; VLOOKUP(A548,Internal_lists_bugs!$A$2:$Z$73,26,FALSE())),"please select a BUG ID")</f>
        <v>please select a BUG ID</v>
      </c>
      <c r="C548" s="51" t="str">
        <f>IFERROR(VLOOKUP(A548,Internal_lists_bugs!$A$2:$G2002,7,FALSE()),"please select a BUG ID")</f>
        <v>please select a BUG ID</v>
      </c>
      <c r="D548" s="54"/>
      <c r="E548" s="56"/>
      <c r="F548" s="54"/>
      <c r="G548" s="56"/>
      <c r="H548" s="54"/>
      <c r="I548" s="56"/>
      <c r="J548" s="54"/>
      <c r="K548" s="92"/>
      <c r="L548" s="54"/>
      <c r="M548" s="92"/>
      <c r="N548" s="54"/>
      <c r="O548" s="92"/>
      <c r="P548" s="54"/>
      <c r="Q548" s="92"/>
      <c r="R548" s="54"/>
      <c r="S548" s="92"/>
      <c r="T548" s="117"/>
      <c r="U548" s="92"/>
      <c r="V548" s="54"/>
      <c r="W548" s="92"/>
      <c r="X548" s="54"/>
      <c r="Y548" s="92"/>
      <c r="Z548" s="54"/>
      <c r="AA548" s="92"/>
      <c r="AB548" s="54"/>
      <c r="AC548" s="92"/>
      <c r="AD548" s="54"/>
      <c r="AE548" s="92"/>
      <c r="AF548" s="54"/>
      <c r="AG548" s="92"/>
      <c r="AH548" s="54"/>
      <c r="AI548" s="92"/>
      <c r="AJ548" s="54"/>
      <c r="AK548" s="92"/>
      <c r="AL548" s="54"/>
      <c r="AM548" s="92"/>
      <c r="AO548" s="54"/>
      <c r="AP548" s="123"/>
      <c r="AQ548" s="54"/>
      <c r="AR548" s="154"/>
      <c r="AS548" s="1"/>
      <c r="AT548" s="1"/>
      <c r="AU548" s="9"/>
    </row>
    <row r="549">
      <c r="A549" s="54"/>
      <c r="B549" s="71" t="str">
        <f>IFERROR(HYPERLINK(VLOOKUP(A549,Internal_lists_bugs!$A$2:$C$73,3,FALSE()), VLOOKUP(A549,Internal_lists_bugs!$A$2:$C$73,3,FALSE())&amp;Char(10) &amp; Char(10) &amp; VLOOKUP(A549,Internal_lists_bugs!$A$2:$Z$73,26,FALSE())),"please select a BUG ID")</f>
        <v>please select a BUG ID</v>
      </c>
      <c r="C549" s="51" t="str">
        <f>IFERROR(VLOOKUP(A549,Internal_lists_bugs!$A$2:$G2002,7,FALSE()),"please select a BUG ID")</f>
        <v>please select a BUG ID</v>
      </c>
      <c r="D549" s="54"/>
      <c r="E549" s="56"/>
      <c r="F549" s="54"/>
      <c r="G549" s="56"/>
      <c r="H549" s="54"/>
      <c r="I549" s="56"/>
      <c r="J549" s="54"/>
      <c r="K549" s="92"/>
      <c r="L549" s="54"/>
      <c r="M549" s="92"/>
      <c r="N549" s="54"/>
      <c r="O549" s="92"/>
      <c r="P549" s="54"/>
      <c r="Q549" s="92"/>
      <c r="R549" s="54"/>
      <c r="S549" s="92"/>
      <c r="T549" s="117"/>
      <c r="U549" s="92"/>
      <c r="V549" s="54"/>
      <c r="W549" s="92"/>
      <c r="X549" s="54"/>
      <c r="Y549" s="92"/>
      <c r="Z549" s="54"/>
      <c r="AA549" s="92"/>
      <c r="AB549" s="54"/>
      <c r="AC549" s="92"/>
      <c r="AD549" s="54"/>
      <c r="AE549" s="92"/>
      <c r="AF549" s="54"/>
      <c r="AG549" s="92"/>
      <c r="AH549" s="54"/>
      <c r="AI549" s="92"/>
      <c r="AJ549" s="54"/>
      <c r="AK549" s="92"/>
      <c r="AL549" s="54"/>
      <c r="AM549" s="92"/>
      <c r="AO549" s="54"/>
      <c r="AP549" s="123"/>
      <c r="AQ549" s="54"/>
      <c r="AR549" s="154"/>
      <c r="AS549" s="1"/>
      <c r="AT549" s="1"/>
      <c r="AU549" s="9"/>
    </row>
    <row r="550">
      <c r="A550" s="54"/>
      <c r="B550" s="71" t="str">
        <f>IFERROR(HYPERLINK(VLOOKUP(A550,Internal_lists_bugs!$A$2:$C$73,3,FALSE()), VLOOKUP(A550,Internal_lists_bugs!$A$2:$C$73,3,FALSE())&amp;Char(10) &amp; Char(10) &amp; VLOOKUP(A550,Internal_lists_bugs!$A$2:$Z$73,26,FALSE())),"please select a BUG ID")</f>
        <v>please select a BUG ID</v>
      </c>
      <c r="C550" s="51" t="str">
        <f>IFERROR(VLOOKUP(A550,Internal_lists_bugs!$A$2:$G2002,7,FALSE()),"please select a BUG ID")</f>
        <v>please select a BUG ID</v>
      </c>
      <c r="D550" s="54"/>
      <c r="E550" s="56"/>
      <c r="F550" s="54"/>
      <c r="G550" s="56"/>
      <c r="H550" s="54"/>
      <c r="I550" s="56"/>
      <c r="J550" s="54"/>
      <c r="K550" s="92"/>
      <c r="L550" s="54"/>
      <c r="M550" s="92"/>
      <c r="N550" s="54"/>
      <c r="O550" s="92"/>
      <c r="P550" s="54"/>
      <c r="Q550" s="92"/>
      <c r="R550" s="54"/>
      <c r="S550" s="92"/>
      <c r="T550" s="117"/>
      <c r="U550" s="92"/>
      <c r="V550" s="54"/>
      <c r="W550" s="92"/>
      <c r="X550" s="54"/>
      <c r="Y550" s="92"/>
      <c r="Z550" s="54"/>
      <c r="AA550" s="92"/>
      <c r="AB550" s="54"/>
      <c r="AC550" s="92"/>
      <c r="AD550" s="54"/>
      <c r="AE550" s="92"/>
      <c r="AF550" s="54"/>
      <c r="AG550" s="92"/>
      <c r="AH550" s="54"/>
      <c r="AI550" s="92"/>
      <c r="AJ550" s="54"/>
      <c r="AK550" s="92"/>
      <c r="AL550" s="54"/>
      <c r="AM550" s="92"/>
      <c r="AO550" s="54"/>
      <c r="AP550" s="123"/>
      <c r="AQ550" s="54"/>
      <c r="AR550" s="154"/>
      <c r="AS550" s="1"/>
      <c r="AT550" s="1"/>
      <c r="AU550" s="9"/>
    </row>
    <row r="551">
      <c r="A551" s="54"/>
      <c r="B551" s="71" t="str">
        <f>IFERROR(HYPERLINK(VLOOKUP(A551,Internal_lists_bugs!$A$2:$C$73,3,FALSE()), VLOOKUP(A551,Internal_lists_bugs!$A$2:$C$73,3,FALSE())&amp;Char(10) &amp; Char(10) &amp; VLOOKUP(A551,Internal_lists_bugs!$A$2:$Z$73,26,FALSE())),"please select a BUG ID")</f>
        <v>please select a BUG ID</v>
      </c>
      <c r="C551" s="51" t="str">
        <f>IFERROR(VLOOKUP(A551,Internal_lists_bugs!$A$2:$G2002,7,FALSE()),"please select a BUG ID")</f>
        <v>please select a BUG ID</v>
      </c>
      <c r="D551" s="54"/>
      <c r="E551" s="56"/>
      <c r="F551" s="54"/>
      <c r="G551" s="56"/>
      <c r="H551" s="54"/>
      <c r="I551" s="56"/>
      <c r="J551" s="54"/>
      <c r="K551" s="92"/>
      <c r="L551" s="54"/>
      <c r="M551" s="92"/>
      <c r="N551" s="54"/>
      <c r="O551" s="92"/>
      <c r="P551" s="54"/>
      <c r="Q551" s="92"/>
      <c r="R551" s="54"/>
      <c r="S551" s="92"/>
      <c r="T551" s="117"/>
      <c r="U551" s="92"/>
      <c r="V551" s="54"/>
      <c r="W551" s="92"/>
      <c r="X551" s="54"/>
      <c r="Y551" s="92"/>
      <c r="Z551" s="54"/>
      <c r="AA551" s="92"/>
      <c r="AB551" s="54"/>
      <c r="AC551" s="92"/>
      <c r="AD551" s="54"/>
      <c r="AE551" s="92"/>
      <c r="AF551" s="54"/>
      <c r="AG551" s="92"/>
      <c r="AH551" s="54"/>
      <c r="AI551" s="92"/>
      <c r="AJ551" s="54"/>
      <c r="AK551" s="92"/>
      <c r="AL551" s="54"/>
      <c r="AM551" s="92"/>
      <c r="AO551" s="54"/>
      <c r="AP551" s="123"/>
      <c r="AQ551" s="54"/>
      <c r="AR551" s="154"/>
      <c r="AS551" s="1"/>
      <c r="AT551" s="1"/>
      <c r="AU551" s="9"/>
    </row>
    <row r="552">
      <c r="A552" s="54"/>
      <c r="B552" s="71" t="str">
        <f>IFERROR(HYPERLINK(VLOOKUP(A552,Internal_lists_bugs!$A$2:$C$73,3,FALSE()), VLOOKUP(A552,Internal_lists_bugs!$A$2:$C$73,3,FALSE())&amp;Char(10) &amp; Char(10) &amp; VLOOKUP(A552,Internal_lists_bugs!$A$2:$Z$73,26,FALSE())),"please select a BUG ID")</f>
        <v>please select a BUG ID</v>
      </c>
      <c r="C552" s="51" t="str">
        <f>IFERROR(VLOOKUP(A552,Internal_lists_bugs!$A$2:$G2002,7,FALSE()),"please select a BUG ID")</f>
        <v>please select a BUG ID</v>
      </c>
      <c r="D552" s="54"/>
      <c r="E552" s="56"/>
      <c r="F552" s="54"/>
      <c r="G552" s="56"/>
      <c r="H552" s="54"/>
      <c r="I552" s="56"/>
      <c r="J552" s="54"/>
      <c r="K552" s="92"/>
      <c r="L552" s="54"/>
      <c r="M552" s="92"/>
      <c r="N552" s="54"/>
      <c r="O552" s="92"/>
      <c r="P552" s="54"/>
      <c r="Q552" s="92"/>
      <c r="R552" s="54"/>
      <c r="S552" s="92"/>
      <c r="T552" s="117"/>
      <c r="U552" s="92"/>
      <c r="V552" s="54"/>
      <c r="W552" s="92"/>
      <c r="X552" s="54"/>
      <c r="Y552" s="92"/>
      <c r="Z552" s="54"/>
      <c r="AA552" s="92"/>
      <c r="AB552" s="54"/>
      <c r="AC552" s="92"/>
      <c r="AD552" s="54"/>
      <c r="AE552" s="92"/>
      <c r="AF552" s="54"/>
      <c r="AG552" s="92"/>
      <c r="AH552" s="54"/>
      <c r="AI552" s="92"/>
      <c r="AJ552" s="54"/>
      <c r="AK552" s="92"/>
      <c r="AL552" s="54"/>
      <c r="AM552" s="92"/>
      <c r="AO552" s="54"/>
      <c r="AP552" s="123"/>
      <c r="AQ552" s="54"/>
      <c r="AR552" s="154"/>
      <c r="AS552" s="1"/>
      <c r="AT552" s="1"/>
      <c r="AU552" s="9"/>
    </row>
    <row r="553">
      <c r="A553" s="54"/>
      <c r="B553" s="71" t="str">
        <f>IFERROR(HYPERLINK(VLOOKUP(A553,Internal_lists_bugs!$A$2:$C$73,3,FALSE()), VLOOKUP(A553,Internal_lists_bugs!$A$2:$C$73,3,FALSE())&amp;Char(10) &amp; Char(10) &amp; VLOOKUP(A553,Internal_lists_bugs!$A$2:$Z$73,26,FALSE())),"please select a BUG ID")</f>
        <v>please select a BUG ID</v>
      </c>
      <c r="C553" s="51" t="str">
        <f>IFERROR(VLOOKUP(A553,Internal_lists_bugs!$A$2:$G2002,7,FALSE()),"please select a BUG ID")</f>
        <v>please select a BUG ID</v>
      </c>
      <c r="D553" s="54"/>
      <c r="E553" s="56"/>
      <c r="F553" s="54"/>
      <c r="G553" s="56"/>
      <c r="H553" s="54"/>
      <c r="I553" s="56"/>
      <c r="J553" s="54"/>
      <c r="K553" s="92"/>
      <c r="L553" s="54"/>
      <c r="M553" s="92"/>
      <c r="N553" s="54"/>
      <c r="O553" s="92"/>
      <c r="P553" s="54"/>
      <c r="Q553" s="92"/>
      <c r="R553" s="54"/>
      <c r="S553" s="92"/>
      <c r="T553" s="117"/>
      <c r="U553" s="92"/>
      <c r="V553" s="54"/>
      <c r="W553" s="92"/>
      <c r="X553" s="54"/>
      <c r="Y553" s="92"/>
      <c r="Z553" s="54"/>
      <c r="AA553" s="92"/>
      <c r="AB553" s="54"/>
      <c r="AC553" s="92"/>
      <c r="AD553" s="54"/>
      <c r="AE553" s="92"/>
      <c r="AF553" s="54"/>
      <c r="AG553" s="92"/>
      <c r="AH553" s="54"/>
      <c r="AI553" s="92"/>
      <c r="AJ553" s="54"/>
      <c r="AK553" s="92"/>
      <c r="AL553" s="54"/>
      <c r="AM553" s="92"/>
      <c r="AO553" s="54"/>
      <c r="AP553" s="123"/>
      <c r="AQ553" s="54"/>
      <c r="AR553" s="154"/>
      <c r="AS553" s="1"/>
      <c r="AT553" s="1"/>
      <c r="AU553" s="9"/>
    </row>
    <row r="554">
      <c r="A554" s="54"/>
      <c r="B554" s="71" t="str">
        <f>IFERROR(HYPERLINK(VLOOKUP(A554,Internal_lists_bugs!$A$2:$C$73,3,FALSE()), VLOOKUP(A554,Internal_lists_bugs!$A$2:$C$73,3,FALSE())&amp;Char(10) &amp; Char(10) &amp; VLOOKUP(A554,Internal_lists_bugs!$A$2:$Z$73,26,FALSE())),"please select a BUG ID")</f>
        <v>please select a BUG ID</v>
      </c>
      <c r="C554" s="51" t="str">
        <f>IFERROR(VLOOKUP(A554,Internal_lists_bugs!$A$2:$G2002,7,FALSE()),"please select a BUG ID")</f>
        <v>please select a BUG ID</v>
      </c>
      <c r="D554" s="54"/>
      <c r="E554" s="56"/>
      <c r="F554" s="54"/>
      <c r="G554" s="56"/>
      <c r="H554" s="54"/>
      <c r="I554" s="56"/>
      <c r="J554" s="54"/>
      <c r="K554" s="92"/>
      <c r="L554" s="54"/>
      <c r="M554" s="92"/>
      <c r="N554" s="54"/>
      <c r="O554" s="92"/>
      <c r="P554" s="54"/>
      <c r="Q554" s="92"/>
      <c r="R554" s="54"/>
      <c r="S554" s="92"/>
      <c r="T554" s="117"/>
      <c r="U554" s="92"/>
      <c r="V554" s="54"/>
      <c r="W554" s="92"/>
      <c r="X554" s="54"/>
      <c r="Y554" s="92"/>
      <c r="Z554" s="54"/>
      <c r="AA554" s="92"/>
      <c r="AB554" s="54"/>
      <c r="AC554" s="92"/>
      <c r="AD554" s="54"/>
      <c r="AE554" s="92"/>
      <c r="AF554" s="54"/>
      <c r="AG554" s="92"/>
      <c r="AH554" s="54"/>
      <c r="AI554" s="92"/>
      <c r="AJ554" s="54"/>
      <c r="AK554" s="92"/>
      <c r="AL554" s="54"/>
      <c r="AM554" s="92"/>
      <c r="AO554" s="54"/>
      <c r="AP554" s="123"/>
      <c r="AQ554" s="54"/>
      <c r="AR554" s="154"/>
      <c r="AS554" s="1"/>
      <c r="AT554" s="1"/>
      <c r="AU554" s="9"/>
    </row>
    <row r="555">
      <c r="A555" s="54"/>
      <c r="B555" s="71" t="str">
        <f>IFERROR(HYPERLINK(VLOOKUP(A555,Internal_lists_bugs!$A$2:$C$73,3,FALSE()), VLOOKUP(A555,Internal_lists_bugs!$A$2:$C$73,3,FALSE())&amp;Char(10) &amp; Char(10) &amp; VLOOKUP(A555,Internal_lists_bugs!$A$2:$Z$73,26,FALSE())),"please select a BUG ID")</f>
        <v>please select a BUG ID</v>
      </c>
      <c r="C555" s="51" t="str">
        <f>IFERROR(VLOOKUP(A555,Internal_lists_bugs!$A$2:$G2002,7,FALSE()),"please select a BUG ID")</f>
        <v>please select a BUG ID</v>
      </c>
      <c r="D555" s="54"/>
      <c r="E555" s="56"/>
      <c r="F555" s="54"/>
      <c r="G555" s="56"/>
      <c r="H555" s="54"/>
      <c r="I555" s="56"/>
      <c r="J555" s="54"/>
      <c r="K555" s="92"/>
      <c r="L555" s="54"/>
      <c r="M555" s="92"/>
      <c r="N555" s="54"/>
      <c r="O555" s="92"/>
      <c r="P555" s="54"/>
      <c r="Q555" s="92"/>
      <c r="R555" s="54"/>
      <c r="S555" s="92"/>
      <c r="T555" s="117"/>
      <c r="U555" s="92"/>
      <c r="V555" s="54"/>
      <c r="W555" s="92"/>
      <c r="X555" s="54"/>
      <c r="Y555" s="92"/>
      <c r="Z555" s="54"/>
      <c r="AA555" s="92"/>
      <c r="AB555" s="54"/>
      <c r="AC555" s="92"/>
      <c r="AD555" s="54"/>
      <c r="AE555" s="92"/>
      <c r="AF555" s="54"/>
      <c r="AG555" s="92"/>
      <c r="AH555" s="54"/>
      <c r="AI555" s="92"/>
      <c r="AJ555" s="54"/>
      <c r="AK555" s="92"/>
      <c r="AL555" s="54"/>
      <c r="AM555" s="92"/>
      <c r="AO555" s="54"/>
      <c r="AP555" s="123"/>
      <c r="AQ555" s="54"/>
      <c r="AR555" s="154"/>
      <c r="AS555" s="1"/>
      <c r="AT555" s="1"/>
      <c r="AU555" s="9"/>
    </row>
    <row r="556">
      <c r="A556" s="54"/>
      <c r="B556" s="71" t="str">
        <f>IFERROR(HYPERLINK(VLOOKUP(A556,Internal_lists_bugs!$A$2:$C$73,3,FALSE()), VLOOKUP(A556,Internal_lists_bugs!$A$2:$C$73,3,FALSE())&amp;Char(10) &amp; Char(10) &amp; VLOOKUP(A556,Internal_lists_bugs!$A$2:$Z$73,26,FALSE())),"please select a BUG ID")</f>
        <v>please select a BUG ID</v>
      </c>
      <c r="C556" s="51" t="str">
        <f>IFERROR(VLOOKUP(A556,Internal_lists_bugs!$A$2:$G2002,7,FALSE()),"please select a BUG ID")</f>
        <v>please select a BUG ID</v>
      </c>
      <c r="D556" s="54"/>
      <c r="E556" s="56"/>
      <c r="F556" s="54"/>
      <c r="G556" s="56"/>
      <c r="H556" s="54"/>
      <c r="I556" s="56"/>
      <c r="J556" s="54"/>
      <c r="K556" s="92"/>
      <c r="L556" s="54"/>
      <c r="M556" s="92"/>
      <c r="N556" s="54"/>
      <c r="O556" s="92"/>
      <c r="P556" s="54"/>
      <c r="Q556" s="92"/>
      <c r="R556" s="54"/>
      <c r="S556" s="92"/>
      <c r="T556" s="117"/>
      <c r="U556" s="92"/>
      <c r="V556" s="54"/>
      <c r="W556" s="92"/>
      <c r="X556" s="54"/>
      <c r="Y556" s="92"/>
      <c r="Z556" s="54"/>
      <c r="AA556" s="92"/>
      <c r="AB556" s="54"/>
      <c r="AC556" s="92"/>
      <c r="AD556" s="54"/>
      <c r="AE556" s="92"/>
      <c r="AF556" s="54"/>
      <c r="AG556" s="92"/>
      <c r="AH556" s="54"/>
      <c r="AI556" s="92"/>
      <c r="AJ556" s="54"/>
      <c r="AK556" s="92"/>
      <c r="AL556" s="54"/>
      <c r="AM556" s="92"/>
      <c r="AO556" s="54"/>
      <c r="AP556" s="123"/>
      <c r="AQ556" s="54"/>
      <c r="AR556" s="154"/>
      <c r="AS556" s="1"/>
      <c r="AT556" s="1"/>
      <c r="AU556" s="9"/>
    </row>
    <row r="557">
      <c r="A557" s="54"/>
      <c r="B557" s="71" t="str">
        <f>IFERROR(HYPERLINK(VLOOKUP(A557,Internal_lists_bugs!$A$2:$C$73,3,FALSE()), VLOOKUP(A557,Internal_lists_bugs!$A$2:$C$73,3,FALSE())&amp;Char(10) &amp; Char(10) &amp; VLOOKUP(A557,Internal_lists_bugs!$A$2:$Z$73,26,FALSE())),"please select a BUG ID")</f>
        <v>please select a BUG ID</v>
      </c>
      <c r="C557" s="51" t="str">
        <f>IFERROR(VLOOKUP(A557,Internal_lists_bugs!$A$2:$G2002,7,FALSE()),"please select a BUG ID")</f>
        <v>please select a BUG ID</v>
      </c>
      <c r="D557" s="54"/>
      <c r="E557" s="56"/>
      <c r="F557" s="54"/>
      <c r="G557" s="56"/>
      <c r="H557" s="54"/>
      <c r="I557" s="56"/>
      <c r="J557" s="54"/>
      <c r="K557" s="92"/>
      <c r="L557" s="54"/>
      <c r="M557" s="92"/>
      <c r="N557" s="54"/>
      <c r="O557" s="92"/>
      <c r="P557" s="54"/>
      <c r="Q557" s="92"/>
      <c r="R557" s="54"/>
      <c r="S557" s="92"/>
      <c r="T557" s="117"/>
      <c r="U557" s="92"/>
      <c r="V557" s="54"/>
      <c r="W557" s="92"/>
      <c r="X557" s="54"/>
      <c r="Y557" s="92"/>
      <c r="Z557" s="54"/>
      <c r="AA557" s="92"/>
      <c r="AB557" s="54"/>
      <c r="AC557" s="92"/>
      <c r="AD557" s="54"/>
      <c r="AE557" s="92"/>
      <c r="AF557" s="54"/>
      <c r="AG557" s="92"/>
      <c r="AH557" s="54"/>
      <c r="AI557" s="92"/>
      <c r="AJ557" s="54"/>
      <c r="AK557" s="92"/>
      <c r="AL557" s="54"/>
      <c r="AM557" s="92"/>
      <c r="AO557" s="54"/>
      <c r="AP557" s="123"/>
      <c r="AQ557" s="54"/>
      <c r="AR557" s="154"/>
      <c r="AS557" s="1"/>
      <c r="AT557" s="1"/>
      <c r="AU557" s="9"/>
    </row>
    <row r="558">
      <c r="A558" s="54"/>
      <c r="B558" s="71" t="str">
        <f>IFERROR(HYPERLINK(VLOOKUP(A558,Internal_lists_bugs!$A$2:$C$73,3,FALSE()), VLOOKUP(A558,Internal_lists_bugs!$A$2:$C$73,3,FALSE())&amp;Char(10) &amp; Char(10) &amp; VLOOKUP(A558,Internal_lists_bugs!$A$2:$Z$73,26,FALSE())),"please select a BUG ID")</f>
        <v>please select a BUG ID</v>
      </c>
      <c r="C558" s="51" t="str">
        <f>IFERROR(VLOOKUP(A558,Internal_lists_bugs!$A$2:$G2002,7,FALSE()),"please select a BUG ID")</f>
        <v>please select a BUG ID</v>
      </c>
      <c r="D558" s="54"/>
      <c r="E558" s="56"/>
      <c r="F558" s="54"/>
      <c r="G558" s="56"/>
      <c r="H558" s="54"/>
      <c r="I558" s="56"/>
      <c r="J558" s="54"/>
      <c r="K558" s="92"/>
      <c r="L558" s="54"/>
      <c r="M558" s="92"/>
      <c r="N558" s="54"/>
      <c r="O558" s="92"/>
      <c r="P558" s="54"/>
      <c r="Q558" s="92"/>
      <c r="R558" s="54"/>
      <c r="S558" s="92"/>
      <c r="T558" s="117"/>
      <c r="U558" s="92"/>
      <c r="V558" s="54"/>
      <c r="W558" s="92"/>
      <c r="X558" s="54"/>
      <c r="Y558" s="92"/>
      <c r="Z558" s="54"/>
      <c r="AA558" s="92"/>
      <c r="AB558" s="54"/>
      <c r="AC558" s="92"/>
      <c r="AD558" s="54"/>
      <c r="AE558" s="92"/>
      <c r="AF558" s="54"/>
      <c r="AG558" s="92"/>
      <c r="AH558" s="54"/>
      <c r="AI558" s="92"/>
      <c r="AJ558" s="54"/>
      <c r="AK558" s="92"/>
      <c r="AL558" s="54"/>
      <c r="AM558" s="92"/>
      <c r="AO558" s="54"/>
      <c r="AP558" s="123"/>
      <c r="AQ558" s="54"/>
      <c r="AR558" s="154"/>
      <c r="AS558" s="1"/>
      <c r="AT558" s="1"/>
      <c r="AU558" s="9"/>
    </row>
    <row r="559">
      <c r="A559" s="54"/>
      <c r="B559" s="71" t="str">
        <f>IFERROR(HYPERLINK(VLOOKUP(A559,Internal_lists_bugs!$A$2:$C$73,3,FALSE()), VLOOKUP(A559,Internal_lists_bugs!$A$2:$C$73,3,FALSE())&amp;Char(10) &amp; Char(10) &amp; VLOOKUP(A559,Internal_lists_bugs!$A$2:$Z$73,26,FALSE())),"please select a BUG ID")</f>
        <v>please select a BUG ID</v>
      </c>
      <c r="C559" s="51" t="str">
        <f>IFERROR(VLOOKUP(A559,Internal_lists_bugs!$A$2:$G2002,7,FALSE()),"please select a BUG ID")</f>
        <v>please select a BUG ID</v>
      </c>
      <c r="D559" s="54"/>
      <c r="E559" s="56"/>
      <c r="F559" s="54"/>
      <c r="G559" s="56"/>
      <c r="H559" s="54"/>
      <c r="I559" s="56"/>
      <c r="J559" s="54"/>
      <c r="K559" s="92"/>
      <c r="L559" s="54"/>
      <c r="M559" s="92"/>
      <c r="N559" s="54"/>
      <c r="O559" s="92"/>
      <c r="P559" s="54"/>
      <c r="Q559" s="92"/>
      <c r="R559" s="54"/>
      <c r="S559" s="92"/>
      <c r="T559" s="117"/>
      <c r="U559" s="92"/>
      <c r="V559" s="54"/>
      <c r="W559" s="92"/>
      <c r="X559" s="54"/>
      <c r="Y559" s="92"/>
      <c r="Z559" s="54"/>
      <c r="AA559" s="92"/>
      <c r="AB559" s="54"/>
      <c r="AC559" s="92"/>
      <c r="AD559" s="54"/>
      <c r="AE559" s="92"/>
      <c r="AF559" s="54"/>
      <c r="AG559" s="92"/>
      <c r="AH559" s="54"/>
      <c r="AI559" s="92"/>
      <c r="AJ559" s="54"/>
      <c r="AK559" s="92"/>
      <c r="AL559" s="54"/>
      <c r="AM559" s="92"/>
      <c r="AO559" s="54"/>
      <c r="AP559" s="123"/>
      <c r="AQ559" s="54"/>
      <c r="AR559" s="154"/>
      <c r="AS559" s="1"/>
      <c r="AT559" s="1"/>
      <c r="AU559" s="9"/>
    </row>
    <row r="560">
      <c r="A560" s="54"/>
      <c r="B560" s="71" t="str">
        <f>IFERROR(HYPERLINK(VLOOKUP(A560,Internal_lists_bugs!$A$2:$C$73,3,FALSE()), VLOOKUP(A560,Internal_lists_bugs!$A$2:$C$73,3,FALSE())&amp;Char(10) &amp; Char(10) &amp; VLOOKUP(A560,Internal_lists_bugs!$A$2:$Z$73,26,FALSE())),"please select a BUG ID")</f>
        <v>please select a BUG ID</v>
      </c>
      <c r="C560" s="51" t="str">
        <f>IFERROR(VLOOKUP(A560,Internal_lists_bugs!$A$2:$G2002,7,FALSE()),"please select a BUG ID")</f>
        <v>please select a BUG ID</v>
      </c>
      <c r="D560" s="54"/>
      <c r="E560" s="56"/>
      <c r="F560" s="54"/>
      <c r="G560" s="56"/>
      <c r="H560" s="54"/>
      <c r="I560" s="56"/>
      <c r="J560" s="54"/>
      <c r="K560" s="92"/>
      <c r="L560" s="54"/>
      <c r="M560" s="92"/>
      <c r="N560" s="54"/>
      <c r="O560" s="92"/>
      <c r="P560" s="54"/>
      <c r="Q560" s="92"/>
      <c r="R560" s="54"/>
      <c r="S560" s="92"/>
      <c r="T560" s="117"/>
      <c r="U560" s="92"/>
      <c r="V560" s="54"/>
      <c r="W560" s="92"/>
      <c r="X560" s="54"/>
      <c r="Y560" s="92"/>
      <c r="Z560" s="54"/>
      <c r="AA560" s="92"/>
      <c r="AB560" s="54"/>
      <c r="AC560" s="92"/>
      <c r="AD560" s="54"/>
      <c r="AE560" s="92"/>
      <c r="AF560" s="54"/>
      <c r="AG560" s="92"/>
      <c r="AH560" s="54"/>
      <c r="AI560" s="92"/>
      <c r="AJ560" s="54"/>
      <c r="AK560" s="92"/>
      <c r="AL560" s="54"/>
      <c r="AM560" s="92"/>
      <c r="AO560" s="54"/>
      <c r="AP560" s="123"/>
      <c r="AQ560" s="54"/>
      <c r="AR560" s="154"/>
      <c r="AS560" s="1"/>
      <c r="AT560" s="1"/>
      <c r="AU560" s="9"/>
    </row>
    <row r="561">
      <c r="A561" s="54"/>
      <c r="B561" s="71" t="str">
        <f>IFERROR(HYPERLINK(VLOOKUP(A561,Internal_lists_bugs!$A$2:$C$73,3,FALSE()), VLOOKUP(A561,Internal_lists_bugs!$A$2:$C$73,3,FALSE())&amp;Char(10) &amp; Char(10) &amp; VLOOKUP(A561,Internal_lists_bugs!$A$2:$Z$73,26,FALSE())),"please select a BUG ID")</f>
        <v>please select a BUG ID</v>
      </c>
      <c r="C561" s="51" t="str">
        <f>IFERROR(VLOOKUP(A561,Internal_lists_bugs!$A$2:$G2002,7,FALSE()),"please select a BUG ID")</f>
        <v>please select a BUG ID</v>
      </c>
      <c r="D561" s="54"/>
      <c r="E561" s="56"/>
      <c r="F561" s="54"/>
      <c r="G561" s="56"/>
      <c r="H561" s="54"/>
      <c r="I561" s="56"/>
      <c r="J561" s="54"/>
      <c r="K561" s="92"/>
      <c r="L561" s="54"/>
      <c r="M561" s="92"/>
      <c r="N561" s="54"/>
      <c r="O561" s="92"/>
      <c r="P561" s="54"/>
      <c r="Q561" s="92"/>
      <c r="R561" s="54"/>
      <c r="S561" s="92"/>
      <c r="T561" s="117"/>
      <c r="U561" s="92"/>
      <c r="V561" s="54"/>
      <c r="W561" s="92"/>
      <c r="X561" s="54"/>
      <c r="Y561" s="92"/>
      <c r="Z561" s="54"/>
      <c r="AA561" s="92"/>
      <c r="AB561" s="54"/>
      <c r="AC561" s="92"/>
      <c r="AD561" s="54"/>
      <c r="AE561" s="92"/>
      <c r="AF561" s="54"/>
      <c r="AG561" s="92"/>
      <c r="AH561" s="54"/>
      <c r="AI561" s="92"/>
      <c r="AJ561" s="54"/>
      <c r="AK561" s="92"/>
      <c r="AL561" s="54"/>
      <c r="AM561" s="92"/>
      <c r="AO561" s="54"/>
      <c r="AP561" s="123"/>
      <c r="AQ561" s="54"/>
      <c r="AR561" s="154"/>
      <c r="AS561" s="1"/>
      <c r="AT561" s="1"/>
      <c r="AU561" s="9"/>
    </row>
    <row r="562">
      <c r="A562" s="54"/>
      <c r="B562" s="71" t="str">
        <f>IFERROR(HYPERLINK(VLOOKUP(A562,Internal_lists_bugs!$A$2:$C$73,3,FALSE()), VLOOKUP(A562,Internal_lists_bugs!$A$2:$C$73,3,FALSE())&amp;Char(10) &amp; Char(10) &amp; VLOOKUP(A562,Internal_lists_bugs!$A$2:$Z$73,26,FALSE())),"please select a BUG ID")</f>
        <v>please select a BUG ID</v>
      </c>
      <c r="C562" s="51" t="str">
        <f>IFERROR(VLOOKUP(A562,Internal_lists_bugs!$A$2:$G2002,7,FALSE()),"please select a BUG ID")</f>
        <v>please select a BUG ID</v>
      </c>
      <c r="D562" s="54"/>
      <c r="E562" s="56"/>
      <c r="F562" s="54"/>
      <c r="G562" s="56"/>
      <c r="H562" s="54"/>
      <c r="I562" s="56"/>
      <c r="J562" s="54"/>
      <c r="K562" s="92"/>
      <c r="L562" s="54"/>
      <c r="M562" s="92"/>
      <c r="N562" s="54"/>
      <c r="O562" s="92"/>
      <c r="P562" s="54"/>
      <c r="Q562" s="92"/>
      <c r="R562" s="54"/>
      <c r="S562" s="92"/>
      <c r="T562" s="117"/>
      <c r="U562" s="92"/>
      <c r="V562" s="54"/>
      <c r="W562" s="92"/>
      <c r="X562" s="54"/>
      <c r="Y562" s="92"/>
      <c r="Z562" s="54"/>
      <c r="AA562" s="92"/>
      <c r="AB562" s="54"/>
      <c r="AC562" s="92"/>
      <c r="AD562" s="54"/>
      <c r="AE562" s="92"/>
      <c r="AF562" s="54"/>
      <c r="AG562" s="92"/>
      <c r="AH562" s="54"/>
      <c r="AI562" s="92"/>
      <c r="AJ562" s="54"/>
      <c r="AK562" s="92"/>
      <c r="AL562" s="54"/>
      <c r="AM562" s="92"/>
      <c r="AO562" s="54"/>
      <c r="AP562" s="123"/>
      <c r="AQ562" s="54"/>
      <c r="AR562" s="154"/>
      <c r="AS562" s="1"/>
      <c r="AT562" s="1"/>
      <c r="AU562" s="9"/>
    </row>
    <row r="563">
      <c r="A563" s="54"/>
      <c r="B563" s="71" t="str">
        <f>IFERROR(HYPERLINK(VLOOKUP(A563,Internal_lists_bugs!$A$2:$C$73,3,FALSE()), VLOOKUP(A563,Internal_lists_bugs!$A$2:$C$73,3,FALSE())&amp;Char(10) &amp; Char(10) &amp; VLOOKUP(A563,Internal_lists_bugs!$A$2:$Z$73,26,FALSE())),"please select a BUG ID")</f>
        <v>please select a BUG ID</v>
      </c>
      <c r="C563" s="51" t="str">
        <f>IFERROR(VLOOKUP(A563,Internal_lists_bugs!$A$2:$G2002,7,FALSE()),"please select a BUG ID")</f>
        <v>please select a BUG ID</v>
      </c>
      <c r="D563" s="54"/>
      <c r="E563" s="56"/>
      <c r="F563" s="54"/>
      <c r="G563" s="56"/>
      <c r="H563" s="54"/>
      <c r="I563" s="56"/>
      <c r="J563" s="54"/>
      <c r="K563" s="92"/>
      <c r="L563" s="54"/>
      <c r="M563" s="92"/>
      <c r="N563" s="54"/>
      <c r="O563" s="92"/>
      <c r="P563" s="54"/>
      <c r="Q563" s="92"/>
      <c r="R563" s="54"/>
      <c r="S563" s="92"/>
      <c r="T563" s="117"/>
      <c r="U563" s="92"/>
      <c r="V563" s="54"/>
      <c r="W563" s="92"/>
      <c r="X563" s="54"/>
      <c r="Y563" s="92"/>
      <c r="Z563" s="54"/>
      <c r="AA563" s="92"/>
      <c r="AB563" s="54"/>
      <c r="AC563" s="92"/>
      <c r="AD563" s="54"/>
      <c r="AE563" s="92"/>
      <c r="AF563" s="54"/>
      <c r="AG563" s="92"/>
      <c r="AH563" s="54"/>
      <c r="AI563" s="92"/>
      <c r="AJ563" s="54"/>
      <c r="AK563" s="92"/>
      <c r="AL563" s="54"/>
      <c r="AM563" s="92"/>
      <c r="AO563" s="54"/>
      <c r="AP563" s="123"/>
      <c r="AQ563" s="54"/>
      <c r="AR563" s="154"/>
      <c r="AS563" s="1"/>
      <c r="AT563" s="1"/>
      <c r="AU563" s="9"/>
    </row>
    <row r="564">
      <c r="A564" s="54"/>
      <c r="B564" s="71" t="str">
        <f>IFERROR(HYPERLINK(VLOOKUP(A564,Internal_lists_bugs!$A$2:$C$73,3,FALSE()), VLOOKUP(A564,Internal_lists_bugs!$A$2:$C$73,3,FALSE())&amp;Char(10) &amp; Char(10) &amp; VLOOKUP(A564,Internal_lists_bugs!$A$2:$Z$73,26,FALSE())),"please select a BUG ID")</f>
        <v>please select a BUG ID</v>
      </c>
      <c r="C564" s="51" t="str">
        <f>IFERROR(VLOOKUP(A564,Internal_lists_bugs!$A$2:$G2002,7,FALSE()),"please select a BUG ID")</f>
        <v>please select a BUG ID</v>
      </c>
      <c r="D564" s="54"/>
      <c r="E564" s="56"/>
      <c r="F564" s="54"/>
      <c r="G564" s="56"/>
      <c r="H564" s="54"/>
      <c r="I564" s="56"/>
      <c r="J564" s="54"/>
      <c r="K564" s="92"/>
      <c r="L564" s="54"/>
      <c r="M564" s="92"/>
      <c r="N564" s="54"/>
      <c r="O564" s="92"/>
      <c r="P564" s="54"/>
      <c r="Q564" s="92"/>
      <c r="R564" s="54"/>
      <c r="S564" s="92"/>
      <c r="T564" s="117"/>
      <c r="U564" s="92"/>
      <c r="V564" s="54"/>
      <c r="W564" s="92"/>
      <c r="X564" s="54"/>
      <c r="Y564" s="92"/>
      <c r="Z564" s="54"/>
      <c r="AA564" s="92"/>
      <c r="AB564" s="54"/>
      <c r="AC564" s="92"/>
      <c r="AD564" s="54"/>
      <c r="AE564" s="92"/>
      <c r="AF564" s="54"/>
      <c r="AG564" s="92"/>
      <c r="AH564" s="54"/>
      <c r="AI564" s="92"/>
      <c r="AJ564" s="54"/>
      <c r="AK564" s="92"/>
      <c r="AL564" s="54"/>
      <c r="AM564" s="92"/>
      <c r="AO564" s="54"/>
      <c r="AP564" s="123"/>
      <c r="AQ564" s="54"/>
      <c r="AR564" s="154"/>
      <c r="AS564" s="1"/>
      <c r="AT564" s="1"/>
      <c r="AU564" s="9"/>
    </row>
    <row r="565">
      <c r="A565" s="54"/>
      <c r="B565" s="71" t="str">
        <f>IFERROR(HYPERLINK(VLOOKUP(A565,Internal_lists_bugs!$A$2:$C$73,3,FALSE()), VLOOKUP(A565,Internal_lists_bugs!$A$2:$C$73,3,FALSE())&amp;Char(10) &amp; Char(10) &amp; VLOOKUP(A565,Internal_lists_bugs!$A$2:$Z$73,26,FALSE())),"please select a BUG ID")</f>
        <v>please select a BUG ID</v>
      </c>
      <c r="C565" s="51" t="str">
        <f>IFERROR(VLOOKUP(A565,Internal_lists_bugs!$A$2:$G2002,7,FALSE()),"please select a BUG ID")</f>
        <v>please select a BUG ID</v>
      </c>
      <c r="D565" s="54"/>
      <c r="E565" s="56"/>
      <c r="F565" s="54"/>
      <c r="G565" s="56"/>
      <c r="H565" s="54"/>
      <c r="I565" s="56"/>
      <c r="J565" s="54"/>
      <c r="K565" s="92"/>
      <c r="L565" s="54"/>
      <c r="M565" s="92"/>
      <c r="N565" s="54"/>
      <c r="O565" s="92"/>
      <c r="P565" s="54"/>
      <c r="Q565" s="92"/>
      <c r="R565" s="54"/>
      <c r="S565" s="92"/>
      <c r="T565" s="117"/>
      <c r="U565" s="92"/>
      <c r="V565" s="54"/>
      <c r="W565" s="92"/>
      <c r="X565" s="54"/>
      <c r="Y565" s="92"/>
      <c r="Z565" s="54"/>
      <c r="AA565" s="92"/>
      <c r="AB565" s="54"/>
      <c r="AC565" s="92"/>
      <c r="AD565" s="54"/>
      <c r="AE565" s="92"/>
      <c r="AF565" s="54"/>
      <c r="AG565" s="92"/>
      <c r="AH565" s="54"/>
      <c r="AI565" s="92"/>
      <c r="AJ565" s="54"/>
      <c r="AK565" s="92"/>
      <c r="AL565" s="54"/>
      <c r="AM565" s="92"/>
      <c r="AO565" s="54"/>
      <c r="AP565" s="123"/>
      <c r="AQ565" s="54"/>
      <c r="AR565" s="154"/>
      <c r="AS565" s="1"/>
      <c r="AT565" s="1"/>
      <c r="AU565" s="9"/>
    </row>
    <row r="566">
      <c r="A566" s="54"/>
      <c r="B566" s="71" t="str">
        <f>IFERROR(HYPERLINK(VLOOKUP(A566,Internal_lists_bugs!$A$2:$C$73,3,FALSE()), VLOOKUP(A566,Internal_lists_bugs!$A$2:$C$73,3,FALSE())&amp;Char(10) &amp; Char(10) &amp; VLOOKUP(A566,Internal_lists_bugs!$A$2:$Z$73,26,FALSE())),"please select a BUG ID")</f>
        <v>please select a BUG ID</v>
      </c>
      <c r="C566" s="51" t="str">
        <f>IFERROR(VLOOKUP(A566,Internal_lists_bugs!$A$2:$G2002,7,FALSE()),"please select a BUG ID")</f>
        <v>please select a BUG ID</v>
      </c>
      <c r="D566" s="54"/>
      <c r="E566" s="56"/>
      <c r="F566" s="54"/>
      <c r="G566" s="56"/>
      <c r="H566" s="54"/>
      <c r="I566" s="56"/>
      <c r="J566" s="54"/>
      <c r="K566" s="92"/>
      <c r="L566" s="54"/>
      <c r="M566" s="92"/>
      <c r="N566" s="54"/>
      <c r="O566" s="92"/>
      <c r="P566" s="54"/>
      <c r="Q566" s="92"/>
      <c r="R566" s="54"/>
      <c r="S566" s="92"/>
      <c r="T566" s="117"/>
      <c r="U566" s="92"/>
      <c r="V566" s="54"/>
      <c r="W566" s="92"/>
      <c r="X566" s="54"/>
      <c r="Y566" s="92"/>
      <c r="Z566" s="54"/>
      <c r="AA566" s="92"/>
      <c r="AB566" s="54"/>
      <c r="AC566" s="92"/>
      <c r="AD566" s="54"/>
      <c r="AE566" s="92"/>
      <c r="AF566" s="54"/>
      <c r="AG566" s="92"/>
      <c r="AH566" s="54"/>
      <c r="AI566" s="92"/>
      <c r="AJ566" s="54"/>
      <c r="AK566" s="92"/>
      <c r="AL566" s="54"/>
      <c r="AM566" s="92"/>
      <c r="AO566" s="54"/>
      <c r="AP566" s="123"/>
      <c r="AQ566" s="54"/>
      <c r="AR566" s="154"/>
      <c r="AS566" s="1"/>
      <c r="AT566" s="1"/>
      <c r="AU566" s="9"/>
    </row>
    <row r="567">
      <c r="A567" s="54"/>
      <c r="B567" s="71" t="str">
        <f>IFERROR(HYPERLINK(VLOOKUP(A567,Internal_lists_bugs!$A$2:$C$73,3,FALSE()), VLOOKUP(A567,Internal_lists_bugs!$A$2:$C$73,3,FALSE())&amp;Char(10) &amp; Char(10) &amp; VLOOKUP(A567,Internal_lists_bugs!$A$2:$Z$73,26,FALSE())),"please select a BUG ID")</f>
        <v>please select a BUG ID</v>
      </c>
      <c r="C567" s="51" t="str">
        <f>IFERROR(VLOOKUP(A567,Internal_lists_bugs!$A$2:$G2002,7,FALSE()),"please select a BUG ID")</f>
        <v>please select a BUG ID</v>
      </c>
      <c r="D567" s="54"/>
      <c r="E567" s="56"/>
      <c r="F567" s="54"/>
      <c r="G567" s="56"/>
      <c r="H567" s="54"/>
      <c r="I567" s="56"/>
      <c r="J567" s="54"/>
      <c r="K567" s="92"/>
      <c r="L567" s="54"/>
      <c r="M567" s="92"/>
      <c r="N567" s="54"/>
      <c r="O567" s="92"/>
      <c r="P567" s="54"/>
      <c r="Q567" s="92"/>
      <c r="R567" s="54"/>
      <c r="S567" s="92"/>
      <c r="T567" s="117"/>
      <c r="U567" s="92"/>
      <c r="V567" s="54"/>
      <c r="W567" s="92"/>
      <c r="X567" s="54"/>
      <c r="Y567" s="92"/>
      <c r="Z567" s="54"/>
      <c r="AA567" s="92"/>
      <c r="AB567" s="54"/>
      <c r="AC567" s="92"/>
      <c r="AD567" s="54"/>
      <c r="AE567" s="92"/>
      <c r="AF567" s="54"/>
      <c r="AG567" s="92"/>
      <c r="AH567" s="54"/>
      <c r="AI567" s="92"/>
      <c r="AJ567" s="54"/>
      <c r="AK567" s="92"/>
      <c r="AL567" s="54"/>
      <c r="AM567" s="92"/>
      <c r="AO567" s="54"/>
      <c r="AP567" s="123"/>
      <c r="AQ567" s="54"/>
      <c r="AR567" s="154"/>
      <c r="AS567" s="1"/>
      <c r="AT567" s="1"/>
      <c r="AU567" s="9"/>
    </row>
    <row r="568">
      <c r="A568" s="54"/>
      <c r="B568" s="71" t="str">
        <f>IFERROR(HYPERLINK(VLOOKUP(A568,Internal_lists_bugs!$A$2:$C$73,3,FALSE()), VLOOKUP(A568,Internal_lists_bugs!$A$2:$C$73,3,FALSE())&amp;Char(10) &amp; Char(10) &amp; VLOOKUP(A568,Internal_lists_bugs!$A$2:$Z$73,26,FALSE())),"please select a BUG ID")</f>
        <v>please select a BUG ID</v>
      </c>
      <c r="C568" s="51" t="str">
        <f>IFERROR(VLOOKUP(A568,Internal_lists_bugs!$A$2:$G2002,7,FALSE()),"please select a BUG ID")</f>
        <v>please select a BUG ID</v>
      </c>
      <c r="D568" s="54"/>
      <c r="E568" s="56"/>
      <c r="F568" s="54"/>
      <c r="G568" s="56"/>
      <c r="H568" s="54"/>
      <c r="I568" s="56"/>
      <c r="J568" s="54"/>
      <c r="K568" s="92"/>
      <c r="L568" s="54"/>
      <c r="M568" s="92"/>
      <c r="N568" s="54"/>
      <c r="O568" s="92"/>
      <c r="P568" s="54"/>
      <c r="Q568" s="92"/>
      <c r="R568" s="54"/>
      <c r="S568" s="92"/>
      <c r="T568" s="117"/>
      <c r="U568" s="92"/>
      <c r="V568" s="54"/>
      <c r="W568" s="92"/>
      <c r="X568" s="54"/>
      <c r="Y568" s="92"/>
      <c r="Z568" s="54"/>
      <c r="AA568" s="92"/>
      <c r="AB568" s="54"/>
      <c r="AC568" s="92"/>
      <c r="AD568" s="54"/>
      <c r="AE568" s="92"/>
      <c r="AF568" s="54"/>
      <c r="AG568" s="92"/>
      <c r="AH568" s="54"/>
      <c r="AI568" s="92"/>
      <c r="AJ568" s="54"/>
      <c r="AK568" s="92"/>
      <c r="AL568" s="54"/>
      <c r="AM568" s="92"/>
      <c r="AO568" s="54"/>
      <c r="AP568" s="123"/>
      <c r="AQ568" s="54"/>
      <c r="AR568" s="154"/>
      <c r="AS568" s="1"/>
      <c r="AT568" s="1"/>
      <c r="AU568" s="9"/>
    </row>
    <row r="569">
      <c r="A569" s="54"/>
      <c r="B569" s="71" t="str">
        <f>IFERROR(HYPERLINK(VLOOKUP(A569,Internal_lists_bugs!$A$2:$C$73,3,FALSE()), VLOOKUP(A569,Internal_lists_bugs!$A$2:$C$73,3,FALSE())&amp;Char(10) &amp; Char(10) &amp; VLOOKUP(A569,Internal_lists_bugs!$A$2:$Z$73,26,FALSE())),"please select a BUG ID")</f>
        <v>please select a BUG ID</v>
      </c>
      <c r="C569" s="51" t="str">
        <f>IFERROR(VLOOKUP(A569,Internal_lists_bugs!$A$2:$G2002,7,FALSE()),"please select a BUG ID")</f>
        <v>please select a BUG ID</v>
      </c>
      <c r="D569" s="54"/>
      <c r="E569" s="56"/>
      <c r="F569" s="54"/>
      <c r="G569" s="56"/>
      <c r="H569" s="54"/>
      <c r="I569" s="56"/>
      <c r="J569" s="54"/>
      <c r="K569" s="92"/>
      <c r="L569" s="54"/>
      <c r="M569" s="92"/>
      <c r="N569" s="54"/>
      <c r="O569" s="92"/>
      <c r="P569" s="54"/>
      <c r="Q569" s="92"/>
      <c r="R569" s="54"/>
      <c r="S569" s="92"/>
      <c r="T569" s="117"/>
      <c r="U569" s="92"/>
      <c r="V569" s="54"/>
      <c r="W569" s="92"/>
      <c r="X569" s="54"/>
      <c r="Y569" s="92"/>
      <c r="Z569" s="54"/>
      <c r="AA569" s="92"/>
      <c r="AB569" s="54"/>
      <c r="AC569" s="92"/>
      <c r="AD569" s="54"/>
      <c r="AE569" s="92"/>
      <c r="AF569" s="54"/>
      <c r="AG569" s="92"/>
      <c r="AH569" s="54"/>
      <c r="AI569" s="92"/>
      <c r="AJ569" s="54"/>
      <c r="AK569" s="92"/>
      <c r="AL569" s="54"/>
      <c r="AM569" s="92"/>
      <c r="AO569" s="54"/>
      <c r="AP569" s="123"/>
      <c r="AQ569" s="54"/>
      <c r="AR569" s="154"/>
      <c r="AS569" s="1"/>
      <c r="AT569" s="1"/>
      <c r="AU569" s="9"/>
    </row>
    <row r="570">
      <c r="A570" s="54"/>
      <c r="B570" s="71" t="str">
        <f>IFERROR(HYPERLINK(VLOOKUP(A570,Internal_lists_bugs!$A$2:$C$73,3,FALSE()), VLOOKUP(A570,Internal_lists_bugs!$A$2:$C$73,3,FALSE())&amp;Char(10) &amp; Char(10) &amp; VLOOKUP(A570,Internal_lists_bugs!$A$2:$Z$73,26,FALSE())),"please select a BUG ID")</f>
        <v>please select a BUG ID</v>
      </c>
      <c r="C570" s="51" t="str">
        <f>IFERROR(VLOOKUP(A570,Internal_lists_bugs!$A$2:$G2002,7,FALSE()),"please select a BUG ID")</f>
        <v>please select a BUG ID</v>
      </c>
      <c r="D570" s="54"/>
      <c r="E570" s="56"/>
      <c r="F570" s="54"/>
      <c r="G570" s="56"/>
      <c r="H570" s="54"/>
      <c r="I570" s="56"/>
      <c r="J570" s="54"/>
      <c r="K570" s="92"/>
      <c r="L570" s="54"/>
      <c r="M570" s="92"/>
      <c r="N570" s="54"/>
      <c r="O570" s="92"/>
      <c r="P570" s="54"/>
      <c r="Q570" s="92"/>
      <c r="R570" s="54"/>
      <c r="S570" s="92"/>
      <c r="T570" s="117"/>
      <c r="U570" s="92"/>
      <c r="V570" s="54"/>
      <c r="W570" s="92"/>
      <c r="X570" s="54"/>
      <c r="Y570" s="92"/>
      <c r="Z570" s="54"/>
      <c r="AA570" s="92"/>
      <c r="AB570" s="54"/>
      <c r="AC570" s="92"/>
      <c r="AD570" s="54"/>
      <c r="AE570" s="92"/>
      <c r="AF570" s="54"/>
      <c r="AG570" s="92"/>
      <c r="AH570" s="54"/>
      <c r="AI570" s="92"/>
      <c r="AJ570" s="54"/>
      <c r="AK570" s="92"/>
      <c r="AL570" s="54"/>
      <c r="AM570" s="92"/>
      <c r="AO570" s="54"/>
      <c r="AP570" s="123"/>
      <c r="AQ570" s="54"/>
      <c r="AR570" s="154"/>
      <c r="AS570" s="1"/>
      <c r="AT570" s="1"/>
      <c r="AU570" s="9"/>
    </row>
    <row r="571">
      <c r="A571" s="54"/>
      <c r="B571" s="71" t="str">
        <f>IFERROR(HYPERLINK(VLOOKUP(A571,Internal_lists_bugs!$A$2:$C$73,3,FALSE()), VLOOKUP(A571,Internal_lists_bugs!$A$2:$C$73,3,FALSE())&amp;Char(10) &amp; Char(10) &amp; VLOOKUP(A571,Internal_lists_bugs!$A$2:$Z$73,26,FALSE())),"please select a BUG ID")</f>
        <v>please select a BUG ID</v>
      </c>
      <c r="C571" s="51" t="str">
        <f>IFERROR(VLOOKUP(A571,Internal_lists_bugs!$A$2:$G2002,7,FALSE()),"please select a BUG ID")</f>
        <v>please select a BUG ID</v>
      </c>
      <c r="D571" s="54"/>
      <c r="E571" s="56"/>
      <c r="F571" s="54"/>
      <c r="G571" s="56"/>
      <c r="H571" s="54"/>
      <c r="I571" s="56"/>
      <c r="J571" s="54"/>
      <c r="K571" s="92"/>
      <c r="L571" s="54"/>
      <c r="M571" s="92"/>
      <c r="N571" s="54"/>
      <c r="O571" s="92"/>
      <c r="P571" s="54"/>
      <c r="Q571" s="92"/>
      <c r="R571" s="54"/>
      <c r="S571" s="92"/>
      <c r="T571" s="117"/>
      <c r="U571" s="92"/>
      <c r="V571" s="54"/>
      <c r="W571" s="92"/>
      <c r="X571" s="54"/>
      <c r="Y571" s="92"/>
      <c r="Z571" s="54"/>
      <c r="AA571" s="92"/>
      <c r="AB571" s="54"/>
      <c r="AC571" s="92"/>
      <c r="AD571" s="54"/>
      <c r="AE571" s="92"/>
      <c r="AF571" s="54"/>
      <c r="AG571" s="92"/>
      <c r="AH571" s="54"/>
      <c r="AI571" s="92"/>
      <c r="AJ571" s="54"/>
      <c r="AK571" s="92"/>
      <c r="AL571" s="54"/>
      <c r="AM571" s="92"/>
      <c r="AO571" s="54"/>
      <c r="AP571" s="123"/>
      <c r="AQ571" s="54"/>
      <c r="AR571" s="154"/>
      <c r="AS571" s="1"/>
      <c r="AT571" s="1"/>
      <c r="AU571" s="9"/>
    </row>
    <row r="572">
      <c r="A572" s="54"/>
      <c r="B572" s="71" t="str">
        <f>IFERROR(HYPERLINK(VLOOKUP(A572,Internal_lists_bugs!$A$2:$C$73,3,FALSE()), VLOOKUP(A572,Internal_lists_bugs!$A$2:$C$73,3,FALSE())&amp;Char(10) &amp; Char(10) &amp; VLOOKUP(A572,Internal_lists_bugs!$A$2:$Z$73,26,FALSE())),"please select a BUG ID")</f>
        <v>please select a BUG ID</v>
      </c>
      <c r="C572" s="51" t="str">
        <f>IFERROR(VLOOKUP(A572,Internal_lists_bugs!$A$2:$G2002,7,FALSE()),"please select a BUG ID")</f>
        <v>please select a BUG ID</v>
      </c>
      <c r="D572" s="54"/>
      <c r="E572" s="56"/>
      <c r="F572" s="54"/>
      <c r="G572" s="56"/>
      <c r="H572" s="54"/>
      <c r="I572" s="56"/>
      <c r="J572" s="54"/>
      <c r="K572" s="92"/>
      <c r="L572" s="54"/>
      <c r="M572" s="92"/>
      <c r="N572" s="54"/>
      <c r="O572" s="92"/>
      <c r="P572" s="54"/>
      <c r="Q572" s="92"/>
      <c r="R572" s="54"/>
      <c r="S572" s="92"/>
      <c r="T572" s="117"/>
      <c r="U572" s="92"/>
      <c r="V572" s="54"/>
      <c r="W572" s="92"/>
      <c r="X572" s="54"/>
      <c r="Y572" s="92"/>
      <c r="Z572" s="54"/>
      <c r="AA572" s="92"/>
      <c r="AB572" s="54"/>
      <c r="AC572" s="92"/>
      <c r="AD572" s="54"/>
      <c r="AE572" s="92"/>
      <c r="AF572" s="54"/>
      <c r="AG572" s="92"/>
      <c r="AH572" s="54"/>
      <c r="AI572" s="92"/>
      <c r="AJ572" s="54"/>
      <c r="AK572" s="92"/>
      <c r="AL572" s="54"/>
      <c r="AM572" s="92"/>
      <c r="AO572" s="54"/>
      <c r="AP572" s="123"/>
      <c r="AQ572" s="54"/>
      <c r="AR572" s="154"/>
      <c r="AS572" s="1"/>
      <c r="AT572" s="1"/>
      <c r="AU572" s="9"/>
    </row>
    <row r="573">
      <c r="A573" s="54"/>
      <c r="B573" s="71" t="str">
        <f>IFERROR(HYPERLINK(VLOOKUP(A573,Internal_lists_bugs!$A$2:$C$73,3,FALSE()), VLOOKUP(A573,Internal_lists_bugs!$A$2:$C$73,3,FALSE())&amp;Char(10) &amp; Char(10) &amp; VLOOKUP(A573,Internal_lists_bugs!$A$2:$Z$73,26,FALSE())),"please select a BUG ID")</f>
        <v>please select a BUG ID</v>
      </c>
      <c r="C573" s="51" t="str">
        <f>IFERROR(VLOOKUP(A573,Internal_lists_bugs!$A$2:$G2002,7,FALSE()),"please select a BUG ID")</f>
        <v>please select a BUG ID</v>
      </c>
      <c r="D573" s="54"/>
      <c r="E573" s="56"/>
      <c r="F573" s="54"/>
      <c r="G573" s="56"/>
      <c r="H573" s="54"/>
      <c r="I573" s="56"/>
      <c r="J573" s="54"/>
      <c r="K573" s="92"/>
      <c r="L573" s="54"/>
      <c r="M573" s="92"/>
      <c r="N573" s="54"/>
      <c r="O573" s="92"/>
      <c r="P573" s="54"/>
      <c r="Q573" s="92"/>
      <c r="R573" s="54"/>
      <c r="S573" s="92"/>
      <c r="T573" s="117"/>
      <c r="U573" s="92"/>
      <c r="V573" s="54"/>
      <c r="W573" s="92"/>
      <c r="X573" s="54"/>
      <c r="Y573" s="92"/>
      <c r="Z573" s="54"/>
      <c r="AA573" s="92"/>
      <c r="AB573" s="54"/>
      <c r="AC573" s="92"/>
      <c r="AD573" s="54"/>
      <c r="AE573" s="92"/>
      <c r="AF573" s="54"/>
      <c r="AG573" s="92"/>
      <c r="AH573" s="54"/>
      <c r="AI573" s="92"/>
      <c r="AJ573" s="54"/>
      <c r="AK573" s="92"/>
      <c r="AL573" s="54"/>
      <c r="AM573" s="92"/>
      <c r="AO573" s="54"/>
      <c r="AP573" s="123"/>
      <c r="AQ573" s="54"/>
      <c r="AR573" s="154"/>
      <c r="AS573" s="1"/>
      <c r="AT573" s="1"/>
      <c r="AU573" s="9"/>
    </row>
    <row r="574">
      <c r="A574" s="54"/>
      <c r="B574" s="71" t="str">
        <f>IFERROR(HYPERLINK(VLOOKUP(A574,Internal_lists_bugs!$A$2:$C$73,3,FALSE()), VLOOKUP(A574,Internal_lists_bugs!$A$2:$C$73,3,FALSE())&amp;Char(10) &amp; Char(10) &amp; VLOOKUP(A574,Internal_lists_bugs!$A$2:$Z$73,26,FALSE())),"please select a BUG ID")</f>
        <v>please select a BUG ID</v>
      </c>
      <c r="C574" s="51" t="str">
        <f>IFERROR(VLOOKUP(A574,Internal_lists_bugs!$A$2:$G2002,7,FALSE()),"please select a BUG ID")</f>
        <v>please select a BUG ID</v>
      </c>
      <c r="D574" s="54"/>
      <c r="E574" s="56"/>
      <c r="F574" s="54"/>
      <c r="G574" s="56"/>
      <c r="H574" s="54"/>
      <c r="I574" s="56"/>
      <c r="J574" s="54"/>
      <c r="K574" s="92"/>
      <c r="L574" s="54"/>
      <c r="M574" s="92"/>
      <c r="N574" s="54"/>
      <c r="O574" s="92"/>
      <c r="P574" s="54"/>
      <c r="Q574" s="92"/>
      <c r="R574" s="54"/>
      <c r="S574" s="92"/>
      <c r="T574" s="117"/>
      <c r="U574" s="92"/>
      <c r="V574" s="54"/>
      <c r="W574" s="92"/>
      <c r="X574" s="54"/>
      <c r="Y574" s="92"/>
      <c r="Z574" s="54"/>
      <c r="AA574" s="92"/>
      <c r="AB574" s="54"/>
      <c r="AC574" s="92"/>
      <c r="AD574" s="54"/>
      <c r="AE574" s="92"/>
      <c r="AF574" s="54"/>
      <c r="AG574" s="92"/>
      <c r="AH574" s="54"/>
      <c r="AI574" s="92"/>
      <c r="AJ574" s="54"/>
      <c r="AK574" s="92"/>
      <c r="AL574" s="54"/>
      <c r="AM574" s="92"/>
      <c r="AO574" s="54"/>
      <c r="AP574" s="123"/>
      <c r="AQ574" s="54"/>
      <c r="AR574" s="154"/>
      <c r="AS574" s="1"/>
      <c r="AT574" s="1"/>
      <c r="AU574" s="9"/>
    </row>
    <row r="575">
      <c r="A575" s="54"/>
      <c r="B575" s="71" t="str">
        <f>IFERROR(HYPERLINK(VLOOKUP(A575,Internal_lists_bugs!$A$2:$C$73,3,FALSE()), VLOOKUP(A575,Internal_lists_bugs!$A$2:$C$73,3,FALSE())&amp;Char(10) &amp; Char(10) &amp; VLOOKUP(A575,Internal_lists_bugs!$A$2:$Z$73,26,FALSE())),"please select a BUG ID")</f>
        <v>please select a BUG ID</v>
      </c>
      <c r="C575" s="51" t="str">
        <f>IFERROR(VLOOKUP(A575,Internal_lists_bugs!$A$2:$G2002,7,FALSE()),"please select a BUG ID")</f>
        <v>please select a BUG ID</v>
      </c>
      <c r="D575" s="54"/>
      <c r="E575" s="56"/>
      <c r="F575" s="54"/>
      <c r="G575" s="56"/>
      <c r="H575" s="54"/>
      <c r="I575" s="56"/>
      <c r="J575" s="54"/>
      <c r="K575" s="92"/>
      <c r="L575" s="54"/>
      <c r="M575" s="92"/>
      <c r="N575" s="54"/>
      <c r="O575" s="92"/>
      <c r="P575" s="54"/>
      <c r="Q575" s="92"/>
      <c r="R575" s="54"/>
      <c r="S575" s="92"/>
      <c r="T575" s="117"/>
      <c r="U575" s="92"/>
      <c r="V575" s="54"/>
      <c r="W575" s="92"/>
      <c r="X575" s="54"/>
      <c r="Y575" s="92"/>
      <c r="Z575" s="54"/>
      <c r="AA575" s="92"/>
      <c r="AB575" s="54"/>
      <c r="AC575" s="92"/>
      <c r="AD575" s="54"/>
      <c r="AE575" s="92"/>
      <c r="AF575" s="54"/>
      <c r="AG575" s="92"/>
      <c r="AH575" s="54"/>
      <c r="AI575" s="92"/>
      <c r="AJ575" s="54"/>
      <c r="AK575" s="92"/>
      <c r="AL575" s="54"/>
      <c r="AM575" s="92"/>
      <c r="AO575" s="54"/>
      <c r="AP575" s="123"/>
      <c r="AQ575" s="54"/>
      <c r="AR575" s="154"/>
      <c r="AS575" s="1"/>
      <c r="AT575" s="1"/>
      <c r="AU575" s="9"/>
    </row>
    <row r="576">
      <c r="A576" s="54"/>
      <c r="B576" s="71" t="str">
        <f>IFERROR(HYPERLINK(VLOOKUP(A576,Internal_lists_bugs!$A$2:$C$73,3,FALSE()), VLOOKUP(A576,Internal_lists_bugs!$A$2:$C$73,3,FALSE())&amp;Char(10) &amp; Char(10) &amp; VLOOKUP(A576,Internal_lists_bugs!$A$2:$Z$73,26,FALSE())),"please select a BUG ID")</f>
        <v>please select a BUG ID</v>
      </c>
      <c r="C576" s="51" t="str">
        <f>IFERROR(VLOOKUP(A576,Internal_lists_bugs!$A$2:$G2002,7,FALSE()),"please select a BUG ID")</f>
        <v>please select a BUG ID</v>
      </c>
      <c r="D576" s="54"/>
      <c r="E576" s="56"/>
      <c r="F576" s="54"/>
      <c r="G576" s="56"/>
      <c r="H576" s="54"/>
      <c r="I576" s="56"/>
      <c r="J576" s="54"/>
      <c r="K576" s="92"/>
      <c r="L576" s="54"/>
      <c r="M576" s="92"/>
      <c r="N576" s="54"/>
      <c r="O576" s="92"/>
      <c r="P576" s="54"/>
      <c r="Q576" s="92"/>
      <c r="R576" s="54"/>
      <c r="S576" s="92"/>
      <c r="T576" s="117"/>
      <c r="U576" s="92"/>
      <c r="V576" s="54"/>
      <c r="W576" s="92"/>
      <c r="X576" s="54"/>
      <c r="Y576" s="92"/>
      <c r="Z576" s="54"/>
      <c r="AA576" s="92"/>
      <c r="AB576" s="54"/>
      <c r="AC576" s="92"/>
      <c r="AD576" s="54"/>
      <c r="AE576" s="92"/>
      <c r="AF576" s="54"/>
      <c r="AG576" s="92"/>
      <c r="AH576" s="54"/>
      <c r="AI576" s="92"/>
      <c r="AJ576" s="54"/>
      <c r="AK576" s="92"/>
      <c r="AL576" s="54"/>
      <c r="AM576" s="92"/>
      <c r="AO576" s="54"/>
      <c r="AP576" s="123"/>
      <c r="AQ576" s="54"/>
      <c r="AR576" s="154"/>
      <c r="AS576" s="1"/>
      <c r="AT576" s="1"/>
      <c r="AU576" s="9"/>
    </row>
    <row r="577">
      <c r="A577" s="54"/>
      <c r="B577" s="71" t="str">
        <f>IFERROR(HYPERLINK(VLOOKUP(A577,Internal_lists_bugs!$A$2:$C$73,3,FALSE()), VLOOKUP(A577,Internal_lists_bugs!$A$2:$C$73,3,FALSE())&amp;Char(10) &amp; Char(10) &amp; VLOOKUP(A577,Internal_lists_bugs!$A$2:$Z$73,26,FALSE())),"please select a BUG ID")</f>
        <v>please select a BUG ID</v>
      </c>
      <c r="C577" s="51" t="str">
        <f>IFERROR(VLOOKUP(A577,Internal_lists_bugs!$A$2:$G2002,7,FALSE()),"please select a BUG ID")</f>
        <v>please select a BUG ID</v>
      </c>
      <c r="D577" s="54"/>
      <c r="E577" s="56"/>
      <c r="F577" s="54"/>
      <c r="G577" s="56"/>
      <c r="H577" s="54"/>
      <c r="I577" s="56"/>
      <c r="J577" s="54"/>
      <c r="K577" s="92"/>
      <c r="L577" s="54"/>
      <c r="M577" s="92"/>
      <c r="N577" s="54"/>
      <c r="O577" s="92"/>
      <c r="P577" s="54"/>
      <c r="Q577" s="92"/>
      <c r="R577" s="54"/>
      <c r="S577" s="92"/>
      <c r="T577" s="117"/>
      <c r="U577" s="92"/>
      <c r="V577" s="54"/>
      <c r="W577" s="92"/>
      <c r="X577" s="54"/>
      <c r="Y577" s="92"/>
      <c r="Z577" s="54"/>
      <c r="AA577" s="92"/>
      <c r="AB577" s="54"/>
      <c r="AC577" s="92"/>
      <c r="AD577" s="54"/>
      <c r="AE577" s="92"/>
      <c r="AF577" s="54"/>
      <c r="AG577" s="92"/>
      <c r="AH577" s="54"/>
      <c r="AI577" s="92"/>
      <c r="AJ577" s="54"/>
      <c r="AK577" s="92"/>
      <c r="AL577" s="54"/>
      <c r="AM577" s="92"/>
      <c r="AO577" s="54"/>
      <c r="AP577" s="123"/>
      <c r="AQ577" s="54"/>
      <c r="AR577" s="154"/>
      <c r="AS577" s="1"/>
      <c r="AT577" s="1"/>
      <c r="AU577" s="9"/>
    </row>
    <row r="578">
      <c r="A578" s="54"/>
      <c r="B578" s="71" t="str">
        <f>IFERROR(HYPERLINK(VLOOKUP(A578,Internal_lists_bugs!$A$2:$C$73,3,FALSE()), VLOOKUP(A578,Internal_lists_bugs!$A$2:$C$73,3,FALSE())&amp;Char(10) &amp; Char(10) &amp; VLOOKUP(A578,Internal_lists_bugs!$A$2:$Z$73,26,FALSE())),"please select a BUG ID")</f>
        <v>please select a BUG ID</v>
      </c>
      <c r="C578" s="51" t="str">
        <f>IFERROR(VLOOKUP(A578,Internal_lists_bugs!$A$2:$G2002,7,FALSE()),"please select a BUG ID")</f>
        <v>please select a BUG ID</v>
      </c>
      <c r="D578" s="54"/>
      <c r="E578" s="56"/>
      <c r="F578" s="54"/>
      <c r="G578" s="56"/>
      <c r="H578" s="54"/>
      <c r="I578" s="56"/>
      <c r="J578" s="54"/>
      <c r="K578" s="92"/>
      <c r="L578" s="54"/>
      <c r="M578" s="92"/>
      <c r="N578" s="54"/>
      <c r="O578" s="92"/>
      <c r="P578" s="54"/>
      <c r="Q578" s="92"/>
      <c r="R578" s="54"/>
      <c r="S578" s="92"/>
      <c r="T578" s="117"/>
      <c r="U578" s="92"/>
      <c r="V578" s="54"/>
      <c r="W578" s="92"/>
      <c r="X578" s="54"/>
      <c r="Y578" s="92"/>
      <c r="Z578" s="54"/>
      <c r="AA578" s="92"/>
      <c r="AB578" s="54"/>
      <c r="AC578" s="92"/>
      <c r="AD578" s="54"/>
      <c r="AE578" s="92"/>
      <c r="AF578" s="54"/>
      <c r="AG578" s="92"/>
      <c r="AH578" s="54"/>
      <c r="AI578" s="92"/>
      <c r="AJ578" s="54"/>
      <c r="AK578" s="92"/>
      <c r="AL578" s="54"/>
      <c r="AM578" s="92"/>
      <c r="AO578" s="54"/>
      <c r="AP578" s="123"/>
      <c r="AQ578" s="54"/>
      <c r="AR578" s="154"/>
      <c r="AS578" s="1"/>
      <c r="AT578" s="1"/>
      <c r="AU578" s="9"/>
    </row>
    <row r="579">
      <c r="A579" s="54"/>
      <c r="B579" s="71" t="str">
        <f>IFERROR(HYPERLINK(VLOOKUP(A579,Internal_lists_bugs!$A$2:$C$73,3,FALSE()), VLOOKUP(A579,Internal_lists_bugs!$A$2:$C$73,3,FALSE())&amp;Char(10) &amp; Char(10) &amp; VLOOKUP(A579,Internal_lists_bugs!$A$2:$Z$73,26,FALSE())),"please select a BUG ID")</f>
        <v>please select a BUG ID</v>
      </c>
      <c r="C579" s="51" t="str">
        <f>IFERROR(VLOOKUP(A579,Internal_lists_bugs!$A$2:$G2002,7,FALSE()),"please select a BUG ID")</f>
        <v>please select a BUG ID</v>
      </c>
      <c r="D579" s="54"/>
      <c r="E579" s="56"/>
      <c r="F579" s="54"/>
      <c r="G579" s="56"/>
      <c r="H579" s="54"/>
      <c r="I579" s="56"/>
      <c r="J579" s="54"/>
      <c r="K579" s="92"/>
      <c r="L579" s="54"/>
      <c r="M579" s="92"/>
      <c r="N579" s="54"/>
      <c r="O579" s="92"/>
      <c r="P579" s="54"/>
      <c r="Q579" s="92"/>
      <c r="R579" s="54"/>
      <c r="S579" s="92"/>
      <c r="T579" s="117"/>
      <c r="U579" s="92"/>
      <c r="V579" s="54"/>
      <c r="W579" s="92"/>
      <c r="X579" s="54"/>
      <c r="Y579" s="92"/>
      <c r="Z579" s="54"/>
      <c r="AA579" s="92"/>
      <c r="AB579" s="54"/>
      <c r="AC579" s="92"/>
      <c r="AD579" s="54"/>
      <c r="AE579" s="92"/>
      <c r="AF579" s="54"/>
      <c r="AG579" s="92"/>
      <c r="AH579" s="54"/>
      <c r="AI579" s="92"/>
      <c r="AJ579" s="54"/>
      <c r="AK579" s="92"/>
      <c r="AL579" s="54"/>
      <c r="AM579" s="92"/>
      <c r="AO579" s="54"/>
      <c r="AP579" s="123"/>
      <c r="AQ579" s="54"/>
      <c r="AR579" s="154"/>
      <c r="AS579" s="1"/>
      <c r="AT579" s="1"/>
      <c r="AU579" s="9"/>
    </row>
    <row r="580">
      <c r="A580" s="54"/>
      <c r="B580" s="71" t="str">
        <f>IFERROR(HYPERLINK(VLOOKUP(A580,Internal_lists_bugs!$A$2:$C$73,3,FALSE()), VLOOKUP(A580,Internal_lists_bugs!$A$2:$C$73,3,FALSE())&amp;Char(10) &amp; Char(10) &amp; VLOOKUP(A580,Internal_lists_bugs!$A$2:$Z$73,26,FALSE())),"please select a BUG ID")</f>
        <v>please select a BUG ID</v>
      </c>
      <c r="C580" s="51" t="str">
        <f>IFERROR(VLOOKUP(A580,Internal_lists_bugs!$A$2:$G2002,7,FALSE()),"please select a BUG ID")</f>
        <v>please select a BUG ID</v>
      </c>
      <c r="D580" s="54"/>
      <c r="E580" s="56"/>
      <c r="F580" s="54"/>
      <c r="G580" s="56"/>
      <c r="H580" s="54"/>
      <c r="I580" s="56"/>
      <c r="J580" s="54"/>
      <c r="K580" s="92"/>
      <c r="L580" s="54"/>
      <c r="M580" s="92"/>
      <c r="N580" s="54"/>
      <c r="O580" s="92"/>
      <c r="P580" s="54"/>
      <c r="Q580" s="92"/>
      <c r="R580" s="54"/>
      <c r="S580" s="92"/>
      <c r="T580" s="117"/>
      <c r="U580" s="92"/>
      <c r="V580" s="54"/>
      <c r="W580" s="92"/>
      <c r="X580" s="54"/>
      <c r="Y580" s="92"/>
      <c r="Z580" s="54"/>
      <c r="AA580" s="92"/>
      <c r="AB580" s="54"/>
      <c r="AC580" s="92"/>
      <c r="AD580" s="54"/>
      <c r="AE580" s="92"/>
      <c r="AF580" s="54"/>
      <c r="AG580" s="92"/>
      <c r="AH580" s="54"/>
      <c r="AI580" s="92"/>
      <c r="AJ580" s="54"/>
      <c r="AK580" s="92"/>
      <c r="AL580" s="54"/>
      <c r="AM580" s="92"/>
      <c r="AO580" s="54"/>
      <c r="AP580" s="123"/>
      <c r="AQ580" s="54"/>
      <c r="AR580" s="154"/>
      <c r="AS580" s="1"/>
      <c r="AT580" s="1"/>
      <c r="AU580" s="9"/>
    </row>
    <row r="581">
      <c r="A581" s="54"/>
      <c r="B581" s="71" t="str">
        <f>IFERROR(HYPERLINK(VLOOKUP(A581,Internal_lists_bugs!$A$2:$C$73,3,FALSE()), VLOOKUP(A581,Internal_lists_bugs!$A$2:$C$73,3,FALSE())&amp;Char(10) &amp; Char(10) &amp; VLOOKUP(A581,Internal_lists_bugs!$A$2:$Z$73,26,FALSE())),"please select a BUG ID")</f>
        <v>please select a BUG ID</v>
      </c>
      <c r="C581" s="51" t="str">
        <f>IFERROR(VLOOKUP(A581,Internal_lists_bugs!$A$2:$G2002,7,FALSE()),"please select a BUG ID")</f>
        <v>please select a BUG ID</v>
      </c>
      <c r="D581" s="54"/>
      <c r="E581" s="56"/>
      <c r="F581" s="54"/>
      <c r="G581" s="56"/>
      <c r="H581" s="54"/>
      <c r="I581" s="56"/>
      <c r="J581" s="54"/>
      <c r="K581" s="92"/>
      <c r="L581" s="54"/>
      <c r="M581" s="92"/>
      <c r="N581" s="54"/>
      <c r="O581" s="92"/>
      <c r="P581" s="54"/>
      <c r="Q581" s="92"/>
      <c r="R581" s="54"/>
      <c r="S581" s="92"/>
      <c r="T581" s="117"/>
      <c r="U581" s="92"/>
      <c r="V581" s="54"/>
      <c r="W581" s="92"/>
      <c r="X581" s="54"/>
      <c r="Y581" s="92"/>
      <c r="Z581" s="54"/>
      <c r="AA581" s="92"/>
      <c r="AB581" s="54"/>
      <c r="AC581" s="92"/>
      <c r="AD581" s="54"/>
      <c r="AE581" s="92"/>
      <c r="AF581" s="54"/>
      <c r="AG581" s="92"/>
      <c r="AH581" s="54"/>
      <c r="AI581" s="92"/>
      <c r="AJ581" s="54"/>
      <c r="AK581" s="92"/>
      <c r="AL581" s="54"/>
      <c r="AM581" s="92"/>
      <c r="AO581" s="54"/>
      <c r="AP581" s="123"/>
      <c r="AQ581" s="54"/>
      <c r="AR581" s="154"/>
      <c r="AS581" s="1"/>
      <c r="AT581" s="1"/>
      <c r="AU581" s="9"/>
    </row>
    <row r="582">
      <c r="A582" s="54"/>
      <c r="B582" s="71" t="str">
        <f>IFERROR(HYPERLINK(VLOOKUP(A582,Internal_lists_bugs!$A$2:$C$73,3,FALSE()), VLOOKUP(A582,Internal_lists_bugs!$A$2:$C$73,3,FALSE())&amp;Char(10) &amp; Char(10) &amp; VLOOKUP(A582,Internal_lists_bugs!$A$2:$Z$73,26,FALSE())),"please select a BUG ID")</f>
        <v>please select a BUG ID</v>
      </c>
      <c r="C582" s="51" t="str">
        <f>IFERROR(VLOOKUP(A582,Internal_lists_bugs!$A$2:$G2002,7,FALSE()),"please select a BUG ID")</f>
        <v>please select a BUG ID</v>
      </c>
      <c r="D582" s="54"/>
      <c r="E582" s="56"/>
      <c r="F582" s="54"/>
      <c r="G582" s="56"/>
      <c r="H582" s="54"/>
      <c r="I582" s="56"/>
      <c r="J582" s="54"/>
      <c r="K582" s="92"/>
      <c r="L582" s="54"/>
      <c r="M582" s="92"/>
      <c r="N582" s="54"/>
      <c r="O582" s="92"/>
      <c r="P582" s="54"/>
      <c r="Q582" s="92"/>
      <c r="R582" s="54"/>
      <c r="S582" s="92"/>
      <c r="T582" s="117"/>
      <c r="U582" s="92"/>
      <c r="V582" s="54"/>
      <c r="W582" s="92"/>
      <c r="X582" s="54"/>
      <c r="Y582" s="92"/>
      <c r="Z582" s="54"/>
      <c r="AA582" s="92"/>
      <c r="AB582" s="54"/>
      <c r="AC582" s="92"/>
      <c r="AD582" s="54"/>
      <c r="AE582" s="92"/>
      <c r="AF582" s="54"/>
      <c r="AG582" s="92"/>
      <c r="AH582" s="54"/>
      <c r="AI582" s="92"/>
      <c r="AJ582" s="54"/>
      <c r="AK582" s="92"/>
      <c r="AL582" s="54"/>
      <c r="AM582" s="92"/>
      <c r="AO582" s="54"/>
      <c r="AP582" s="123"/>
      <c r="AQ582" s="54"/>
      <c r="AR582" s="154"/>
      <c r="AS582" s="1"/>
      <c r="AT582" s="1"/>
      <c r="AU582" s="9"/>
    </row>
    <row r="583">
      <c r="A583" s="54"/>
      <c r="B583" s="71" t="str">
        <f>IFERROR(HYPERLINK(VLOOKUP(A583,Internal_lists_bugs!$A$2:$C$73,3,FALSE()), VLOOKUP(A583,Internal_lists_bugs!$A$2:$C$73,3,FALSE())&amp;Char(10) &amp; Char(10) &amp; VLOOKUP(A583,Internal_lists_bugs!$A$2:$Z$73,26,FALSE())),"please select a BUG ID")</f>
        <v>please select a BUG ID</v>
      </c>
      <c r="C583" s="51" t="str">
        <f>IFERROR(VLOOKUP(A583,Internal_lists_bugs!$A$2:$G2002,7,FALSE()),"please select a BUG ID")</f>
        <v>please select a BUG ID</v>
      </c>
      <c r="D583" s="54"/>
      <c r="E583" s="56"/>
      <c r="F583" s="54"/>
      <c r="G583" s="56"/>
      <c r="H583" s="54"/>
      <c r="I583" s="56"/>
      <c r="J583" s="54"/>
      <c r="K583" s="92"/>
      <c r="L583" s="54"/>
      <c r="M583" s="92"/>
      <c r="N583" s="54"/>
      <c r="O583" s="92"/>
      <c r="P583" s="54"/>
      <c r="Q583" s="92"/>
      <c r="R583" s="54"/>
      <c r="S583" s="92"/>
      <c r="T583" s="117"/>
      <c r="U583" s="92"/>
      <c r="V583" s="54"/>
      <c r="W583" s="92"/>
      <c r="X583" s="54"/>
      <c r="Y583" s="92"/>
      <c r="Z583" s="54"/>
      <c r="AA583" s="92"/>
      <c r="AB583" s="54"/>
      <c r="AC583" s="92"/>
      <c r="AD583" s="54"/>
      <c r="AE583" s="92"/>
      <c r="AF583" s="54"/>
      <c r="AG583" s="92"/>
      <c r="AH583" s="54"/>
      <c r="AI583" s="92"/>
      <c r="AJ583" s="54"/>
      <c r="AK583" s="92"/>
      <c r="AL583" s="54"/>
      <c r="AM583" s="92"/>
      <c r="AO583" s="54"/>
      <c r="AP583" s="123"/>
      <c r="AQ583" s="54"/>
      <c r="AR583" s="154"/>
      <c r="AS583" s="1"/>
      <c r="AT583" s="1"/>
      <c r="AU583" s="9"/>
    </row>
    <row r="584">
      <c r="A584" s="54"/>
      <c r="B584" s="71" t="str">
        <f>IFERROR(HYPERLINK(VLOOKUP(A584,Internal_lists_bugs!$A$2:$C$73,3,FALSE()), VLOOKUP(A584,Internal_lists_bugs!$A$2:$C$73,3,FALSE())&amp;Char(10) &amp; Char(10) &amp; VLOOKUP(A584,Internal_lists_bugs!$A$2:$Z$73,26,FALSE())),"please select a BUG ID")</f>
        <v>please select a BUG ID</v>
      </c>
      <c r="C584" s="51" t="str">
        <f>IFERROR(VLOOKUP(A584,Internal_lists_bugs!$A$2:$G2002,7,FALSE()),"please select a BUG ID")</f>
        <v>please select a BUG ID</v>
      </c>
      <c r="D584" s="54"/>
      <c r="E584" s="56"/>
      <c r="F584" s="54"/>
      <c r="G584" s="56"/>
      <c r="H584" s="54"/>
      <c r="I584" s="56"/>
      <c r="J584" s="54"/>
      <c r="K584" s="92"/>
      <c r="L584" s="54"/>
      <c r="M584" s="92"/>
      <c r="N584" s="54"/>
      <c r="O584" s="92"/>
      <c r="P584" s="54"/>
      <c r="Q584" s="92"/>
      <c r="R584" s="54"/>
      <c r="S584" s="92"/>
      <c r="T584" s="117"/>
      <c r="U584" s="92"/>
      <c r="V584" s="54"/>
      <c r="W584" s="92"/>
      <c r="X584" s="54"/>
      <c r="Y584" s="92"/>
      <c r="Z584" s="54"/>
      <c r="AA584" s="92"/>
      <c r="AB584" s="54"/>
      <c r="AC584" s="92"/>
      <c r="AD584" s="54"/>
      <c r="AE584" s="92"/>
      <c r="AF584" s="54"/>
      <c r="AG584" s="92"/>
      <c r="AH584" s="54"/>
      <c r="AI584" s="92"/>
      <c r="AJ584" s="54"/>
      <c r="AK584" s="92"/>
      <c r="AL584" s="54"/>
      <c r="AM584" s="92"/>
      <c r="AO584" s="54"/>
      <c r="AP584" s="123"/>
      <c r="AQ584" s="54"/>
      <c r="AR584" s="154"/>
      <c r="AS584" s="1"/>
      <c r="AT584" s="1"/>
      <c r="AU584" s="9"/>
    </row>
    <row r="585">
      <c r="A585" s="54"/>
      <c r="B585" s="71" t="str">
        <f>IFERROR(HYPERLINK(VLOOKUP(A585,Internal_lists_bugs!$A$2:$C$73,3,FALSE()), VLOOKUP(A585,Internal_lists_bugs!$A$2:$C$73,3,FALSE())&amp;Char(10) &amp; Char(10) &amp; VLOOKUP(A585,Internal_lists_bugs!$A$2:$Z$73,26,FALSE())),"please select a BUG ID")</f>
        <v>please select a BUG ID</v>
      </c>
      <c r="C585" s="51" t="str">
        <f>IFERROR(VLOOKUP(A585,Internal_lists_bugs!$A$2:$G2002,7,FALSE()),"please select a BUG ID")</f>
        <v>please select a BUG ID</v>
      </c>
      <c r="D585" s="54"/>
      <c r="E585" s="56"/>
      <c r="F585" s="54"/>
      <c r="G585" s="56"/>
      <c r="H585" s="54"/>
      <c r="I585" s="56"/>
      <c r="J585" s="54"/>
      <c r="K585" s="92"/>
      <c r="L585" s="54"/>
      <c r="M585" s="92"/>
      <c r="N585" s="54"/>
      <c r="O585" s="92"/>
      <c r="P585" s="54"/>
      <c r="Q585" s="92"/>
      <c r="R585" s="54"/>
      <c r="S585" s="92"/>
      <c r="T585" s="117"/>
      <c r="U585" s="92"/>
      <c r="V585" s="54"/>
      <c r="W585" s="92"/>
      <c r="X585" s="54"/>
      <c r="Y585" s="92"/>
      <c r="Z585" s="54"/>
      <c r="AA585" s="92"/>
      <c r="AB585" s="54"/>
      <c r="AC585" s="92"/>
      <c r="AD585" s="54"/>
      <c r="AE585" s="92"/>
      <c r="AF585" s="54"/>
      <c r="AG585" s="92"/>
      <c r="AH585" s="54"/>
      <c r="AI585" s="92"/>
      <c r="AJ585" s="54"/>
      <c r="AK585" s="92"/>
      <c r="AL585" s="54"/>
      <c r="AM585" s="92"/>
      <c r="AO585" s="54"/>
      <c r="AP585" s="123"/>
      <c r="AQ585" s="54"/>
      <c r="AR585" s="154"/>
      <c r="AS585" s="1"/>
      <c r="AT585" s="1"/>
      <c r="AU585" s="9"/>
    </row>
    <row r="586">
      <c r="A586" s="54"/>
      <c r="B586" s="71" t="str">
        <f>IFERROR(HYPERLINK(VLOOKUP(A586,Internal_lists_bugs!$A$2:$C$73,3,FALSE()), VLOOKUP(A586,Internal_lists_bugs!$A$2:$C$73,3,FALSE())&amp;Char(10) &amp; Char(10) &amp; VLOOKUP(A586,Internal_lists_bugs!$A$2:$Z$73,26,FALSE())),"please select a BUG ID")</f>
        <v>please select a BUG ID</v>
      </c>
      <c r="C586" s="51" t="str">
        <f>IFERROR(VLOOKUP(A586,Internal_lists_bugs!$A$2:$G2002,7,FALSE()),"please select a BUG ID")</f>
        <v>please select a BUG ID</v>
      </c>
      <c r="D586" s="54"/>
      <c r="E586" s="56"/>
      <c r="F586" s="54"/>
      <c r="G586" s="56"/>
      <c r="H586" s="54"/>
      <c r="I586" s="56"/>
      <c r="J586" s="54"/>
      <c r="K586" s="92"/>
      <c r="L586" s="54"/>
      <c r="M586" s="92"/>
      <c r="N586" s="54"/>
      <c r="O586" s="92"/>
      <c r="P586" s="54"/>
      <c r="Q586" s="92"/>
      <c r="R586" s="54"/>
      <c r="S586" s="92"/>
      <c r="T586" s="117"/>
      <c r="U586" s="92"/>
      <c r="V586" s="54"/>
      <c r="W586" s="92"/>
      <c r="X586" s="54"/>
      <c r="Y586" s="92"/>
      <c r="Z586" s="54"/>
      <c r="AA586" s="92"/>
      <c r="AB586" s="54"/>
      <c r="AC586" s="92"/>
      <c r="AD586" s="54"/>
      <c r="AE586" s="92"/>
      <c r="AF586" s="54"/>
      <c r="AG586" s="92"/>
      <c r="AH586" s="54"/>
      <c r="AI586" s="92"/>
      <c r="AJ586" s="54"/>
      <c r="AK586" s="92"/>
      <c r="AL586" s="54"/>
      <c r="AM586" s="92"/>
      <c r="AO586" s="54"/>
      <c r="AP586" s="123"/>
      <c r="AQ586" s="54"/>
      <c r="AR586" s="154"/>
      <c r="AS586" s="1"/>
      <c r="AT586" s="1"/>
      <c r="AU586" s="9"/>
    </row>
    <row r="587">
      <c r="A587" s="54"/>
      <c r="B587" s="71" t="str">
        <f>IFERROR(HYPERLINK(VLOOKUP(A587,Internal_lists_bugs!$A$2:$C$73,3,FALSE()), VLOOKUP(A587,Internal_lists_bugs!$A$2:$C$73,3,FALSE())&amp;Char(10) &amp; Char(10) &amp; VLOOKUP(A587,Internal_lists_bugs!$A$2:$Z$73,26,FALSE())),"please select a BUG ID")</f>
        <v>please select a BUG ID</v>
      </c>
      <c r="C587" s="51" t="str">
        <f>IFERROR(VLOOKUP(A587,Internal_lists_bugs!$A$2:$G2002,7,FALSE()),"please select a BUG ID")</f>
        <v>please select a BUG ID</v>
      </c>
      <c r="D587" s="54"/>
      <c r="E587" s="56"/>
      <c r="F587" s="54"/>
      <c r="G587" s="56"/>
      <c r="H587" s="54"/>
      <c r="I587" s="56"/>
      <c r="J587" s="54"/>
      <c r="K587" s="92"/>
      <c r="L587" s="54"/>
      <c r="M587" s="92"/>
      <c r="N587" s="54"/>
      <c r="O587" s="92"/>
      <c r="P587" s="54"/>
      <c r="Q587" s="92"/>
      <c r="R587" s="54"/>
      <c r="S587" s="92"/>
      <c r="T587" s="117"/>
      <c r="U587" s="92"/>
      <c r="V587" s="54"/>
      <c r="W587" s="92"/>
      <c r="X587" s="54"/>
      <c r="Y587" s="92"/>
      <c r="Z587" s="54"/>
      <c r="AA587" s="92"/>
      <c r="AB587" s="54"/>
      <c r="AC587" s="92"/>
      <c r="AD587" s="54"/>
      <c r="AE587" s="92"/>
      <c r="AF587" s="54"/>
      <c r="AG587" s="92"/>
      <c r="AH587" s="54"/>
      <c r="AI587" s="92"/>
      <c r="AJ587" s="54"/>
      <c r="AK587" s="92"/>
      <c r="AL587" s="54"/>
      <c r="AM587" s="92"/>
      <c r="AO587" s="54"/>
      <c r="AP587" s="123"/>
      <c r="AQ587" s="54"/>
      <c r="AR587" s="154"/>
      <c r="AS587" s="1"/>
      <c r="AT587" s="1"/>
      <c r="AU587" s="9"/>
    </row>
    <row r="588">
      <c r="A588" s="54"/>
      <c r="B588" s="71" t="str">
        <f>IFERROR(HYPERLINK(VLOOKUP(A588,Internal_lists_bugs!$A$2:$C$73,3,FALSE()), VLOOKUP(A588,Internal_lists_bugs!$A$2:$C$73,3,FALSE())&amp;Char(10) &amp; Char(10) &amp; VLOOKUP(A588,Internal_lists_bugs!$A$2:$Z$73,26,FALSE())),"please select a BUG ID")</f>
        <v>please select a BUG ID</v>
      </c>
      <c r="C588" s="51" t="str">
        <f>IFERROR(VLOOKUP(A588,Internal_lists_bugs!$A$2:$G2002,7,FALSE()),"please select a BUG ID")</f>
        <v>please select a BUG ID</v>
      </c>
      <c r="D588" s="54"/>
      <c r="E588" s="56"/>
      <c r="F588" s="54"/>
      <c r="G588" s="56"/>
      <c r="H588" s="54"/>
      <c r="I588" s="56"/>
      <c r="J588" s="54"/>
      <c r="K588" s="92"/>
      <c r="L588" s="54"/>
      <c r="M588" s="92"/>
      <c r="N588" s="54"/>
      <c r="O588" s="92"/>
      <c r="P588" s="54"/>
      <c r="Q588" s="92"/>
      <c r="R588" s="54"/>
      <c r="S588" s="92"/>
      <c r="T588" s="117"/>
      <c r="U588" s="92"/>
      <c r="V588" s="54"/>
      <c r="W588" s="92"/>
      <c r="X588" s="54"/>
      <c r="Y588" s="92"/>
      <c r="Z588" s="54"/>
      <c r="AA588" s="92"/>
      <c r="AB588" s="54"/>
      <c r="AC588" s="92"/>
      <c r="AD588" s="54"/>
      <c r="AE588" s="92"/>
      <c r="AF588" s="54"/>
      <c r="AG588" s="92"/>
      <c r="AH588" s="54"/>
      <c r="AI588" s="92"/>
      <c r="AJ588" s="54"/>
      <c r="AK588" s="92"/>
      <c r="AL588" s="54"/>
      <c r="AM588" s="92"/>
      <c r="AO588" s="54"/>
      <c r="AP588" s="123"/>
      <c r="AQ588" s="54"/>
      <c r="AR588" s="154"/>
      <c r="AS588" s="1"/>
      <c r="AT588" s="1"/>
      <c r="AU588" s="9"/>
    </row>
    <row r="589">
      <c r="A589" s="54"/>
      <c r="B589" s="71" t="str">
        <f>IFERROR(HYPERLINK(VLOOKUP(A589,Internal_lists_bugs!$A$2:$C$73,3,FALSE()), VLOOKUP(A589,Internal_lists_bugs!$A$2:$C$73,3,FALSE())&amp;Char(10) &amp; Char(10) &amp; VLOOKUP(A589,Internal_lists_bugs!$A$2:$Z$73,26,FALSE())),"please select a BUG ID")</f>
        <v>please select a BUG ID</v>
      </c>
      <c r="C589" s="51" t="str">
        <f>IFERROR(VLOOKUP(A589,Internal_lists_bugs!$A$2:$G2002,7,FALSE()),"please select a BUG ID")</f>
        <v>please select a BUG ID</v>
      </c>
      <c r="D589" s="54"/>
      <c r="E589" s="56"/>
      <c r="F589" s="54"/>
      <c r="G589" s="56"/>
      <c r="H589" s="54"/>
      <c r="I589" s="56"/>
      <c r="J589" s="54"/>
      <c r="K589" s="92"/>
      <c r="L589" s="54"/>
      <c r="M589" s="92"/>
      <c r="N589" s="54"/>
      <c r="O589" s="92"/>
      <c r="P589" s="54"/>
      <c r="Q589" s="92"/>
      <c r="R589" s="54"/>
      <c r="S589" s="92"/>
      <c r="T589" s="117"/>
      <c r="U589" s="92"/>
      <c r="V589" s="54"/>
      <c r="W589" s="92"/>
      <c r="X589" s="54"/>
      <c r="Y589" s="92"/>
      <c r="Z589" s="54"/>
      <c r="AA589" s="92"/>
      <c r="AB589" s="54"/>
      <c r="AC589" s="92"/>
      <c r="AD589" s="54"/>
      <c r="AE589" s="92"/>
      <c r="AF589" s="54"/>
      <c r="AG589" s="92"/>
      <c r="AH589" s="54"/>
      <c r="AI589" s="92"/>
      <c r="AJ589" s="54"/>
      <c r="AK589" s="92"/>
      <c r="AL589" s="54"/>
      <c r="AM589" s="92"/>
      <c r="AO589" s="54"/>
      <c r="AP589" s="123"/>
      <c r="AQ589" s="54"/>
      <c r="AR589" s="154"/>
      <c r="AS589" s="1"/>
      <c r="AT589" s="1"/>
      <c r="AU589" s="9"/>
    </row>
    <row r="590">
      <c r="A590" s="54"/>
      <c r="B590" s="71" t="str">
        <f>IFERROR(HYPERLINK(VLOOKUP(A590,Internal_lists_bugs!$A$2:$C$73,3,FALSE()), VLOOKUP(A590,Internal_lists_bugs!$A$2:$C$73,3,FALSE())&amp;Char(10) &amp; Char(10) &amp; VLOOKUP(A590,Internal_lists_bugs!$A$2:$Z$73,26,FALSE())),"please select a BUG ID")</f>
        <v>please select a BUG ID</v>
      </c>
      <c r="C590" s="51" t="str">
        <f>IFERROR(VLOOKUP(A590,Internal_lists_bugs!$A$2:$G2002,7,FALSE()),"please select a BUG ID")</f>
        <v>please select a BUG ID</v>
      </c>
      <c r="D590" s="54"/>
      <c r="E590" s="56"/>
      <c r="F590" s="54"/>
      <c r="G590" s="56"/>
      <c r="H590" s="54"/>
      <c r="I590" s="56"/>
      <c r="J590" s="54"/>
      <c r="K590" s="92"/>
      <c r="L590" s="54"/>
      <c r="M590" s="92"/>
      <c r="N590" s="54"/>
      <c r="O590" s="92"/>
      <c r="P590" s="54"/>
      <c r="Q590" s="92"/>
      <c r="R590" s="54"/>
      <c r="S590" s="92"/>
      <c r="T590" s="117"/>
      <c r="U590" s="92"/>
      <c r="V590" s="54"/>
      <c r="W590" s="92"/>
      <c r="X590" s="54"/>
      <c r="Y590" s="92"/>
      <c r="Z590" s="54"/>
      <c r="AA590" s="92"/>
      <c r="AB590" s="54"/>
      <c r="AC590" s="92"/>
      <c r="AD590" s="54"/>
      <c r="AE590" s="92"/>
      <c r="AF590" s="54"/>
      <c r="AG590" s="92"/>
      <c r="AH590" s="54"/>
      <c r="AI590" s="92"/>
      <c r="AJ590" s="54"/>
      <c r="AK590" s="92"/>
      <c r="AL590" s="54"/>
      <c r="AM590" s="92"/>
      <c r="AO590" s="54"/>
      <c r="AP590" s="123"/>
      <c r="AQ590" s="54"/>
      <c r="AR590" s="154"/>
      <c r="AS590" s="1"/>
      <c r="AT590" s="1"/>
      <c r="AU590" s="9"/>
    </row>
    <row r="591">
      <c r="A591" s="54"/>
      <c r="B591" s="71" t="str">
        <f>IFERROR(HYPERLINK(VLOOKUP(A591,Internal_lists_bugs!$A$2:$C$73,3,FALSE()), VLOOKUP(A591,Internal_lists_bugs!$A$2:$C$73,3,FALSE())&amp;Char(10) &amp; Char(10) &amp; VLOOKUP(A591,Internal_lists_bugs!$A$2:$Z$73,26,FALSE())),"please select a BUG ID")</f>
        <v>please select a BUG ID</v>
      </c>
      <c r="C591" s="51" t="str">
        <f>IFERROR(VLOOKUP(A591,Internal_lists_bugs!$A$2:$G2002,7,FALSE()),"please select a BUG ID")</f>
        <v>please select a BUG ID</v>
      </c>
      <c r="D591" s="54"/>
      <c r="E591" s="56"/>
      <c r="F591" s="54"/>
      <c r="G591" s="56"/>
      <c r="H591" s="54"/>
      <c r="I591" s="56"/>
      <c r="J591" s="54"/>
      <c r="K591" s="92"/>
      <c r="L591" s="54"/>
      <c r="M591" s="92"/>
      <c r="N591" s="54"/>
      <c r="O591" s="92"/>
      <c r="P591" s="54"/>
      <c r="Q591" s="92"/>
      <c r="R591" s="54"/>
      <c r="S591" s="92"/>
      <c r="T591" s="117"/>
      <c r="U591" s="92"/>
      <c r="V591" s="54"/>
      <c r="W591" s="92"/>
      <c r="X591" s="54"/>
      <c r="Y591" s="92"/>
      <c r="Z591" s="54"/>
      <c r="AA591" s="92"/>
      <c r="AB591" s="54"/>
      <c r="AC591" s="92"/>
      <c r="AD591" s="54"/>
      <c r="AE591" s="92"/>
      <c r="AF591" s="54"/>
      <c r="AG591" s="92"/>
      <c r="AH591" s="54"/>
      <c r="AI591" s="92"/>
      <c r="AJ591" s="54"/>
      <c r="AK591" s="92"/>
      <c r="AL591" s="54"/>
      <c r="AM591" s="92"/>
      <c r="AO591" s="54"/>
      <c r="AP591" s="123"/>
      <c r="AQ591" s="54"/>
      <c r="AR591" s="154"/>
      <c r="AS591" s="1"/>
      <c r="AT591" s="1"/>
      <c r="AU591" s="9"/>
    </row>
    <row r="592">
      <c r="A592" s="54"/>
      <c r="B592" s="71" t="str">
        <f>IFERROR(HYPERLINK(VLOOKUP(A592,Internal_lists_bugs!$A$2:$C$73,3,FALSE()), VLOOKUP(A592,Internal_lists_bugs!$A$2:$C$73,3,FALSE())&amp;Char(10) &amp; Char(10) &amp; VLOOKUP(A592,Internal_lists_bugs!$A$2:$Z$73,26,FALSE())),"please select a BUG ID")</f>
        <v>please select a BUG ID</v>
      </c>
      <c r="C592" s="51" t="str">
        <f>IFERROR(VLOOKUP(A592,Internal_lists_bugs!$A$2:$G2002,7,FALSE()),"please select a BUG ID")</f>
        <v>please select a BUG ID</v>
      </c>
      <c r="D592" s="54"/>
      <c r="E592" s="56"/>
      <c r="F592" s="54"/>
      <c r="G592" s="56"/>
      <c r="H592" s="54"/>
      <c r="I592" s="56"/>
      <c r="J592" s="54"/>
      <c r="K592" s="92"/>
      <c r="L592" s="54"/>
      <c r="M592" s="92"/>
      <c r="N592" s="54"/>
      <c r="O592" s="92"/>
      <c r="P592" s="54"/>
      <c r="Q592" s="92"/>
      <c r="R592" s="54"/>
      <c r="S592" s="92"/>
      <c r="T592" s="117"/>
      <c r="U592" s="92"/>
      <c r="V592" s="54"/>
      <c r="W592" s="92"/>
      <c r="X592" s="54"/>
      <c r="Y592" s="92"/>
      <c r="Z592" s="54"/>
      <c r="AA592" s="92"/>
      <c r="AB592" s="54"/>
      <c r="AC592" s="92"/>
      <c r="AD592" s="54"/>
      <c r="AE592" s="92"/>
      <c r="AF592" s="54"/>
      <c r="AG592" s="92"/>
      <c r="AH592" s="54"/>
      <c r="AI592" s="92"/>
      <c r="AJ592" s="54"/>
      <c r="AK592" s="92"/>
      <c r="AL592" s="54"/>
      <c r="AM592" s="92"/>
      <c r="AO592" s="54"/>
      <c r="AP592" s="123"/>
      <c r="AQ592" s="54"/>
      <c r="AR592" s="154"/>
      <c r="AS592" s="1"/>
      <c r="AT592" s="1"/>
      <c r="AU592" s="9"/>
    </row>
    <row r="593">
      <c r="A593" s="54"/>
      <c r="B593" s="71" t="str">
        <f>IFERROR(HYPERLINK(VLOOKUP(A593,Internal_lists_bugs!$A$2:$C$73,3,FALSE()), VLOOKUP(A593,Internal_lists_bugs!$A$2:$C$73,3,FALSE())&amp;Char(10) &amp; Char(10) &amp; VLOOKUP(A593,Internal_lists_bugs!$A$2:$Z$73,26,FALSE())),"please select a BUG ID")</f>
        <v>please select a BUG ID</v>
      </c>
      <c r="C593" s="51" t="str">
        <f>IFERROR(VLOOKUP(A593,Internal_lists_bugs!$A$2:$G2002,7,FALSE()),"please select a BUG ID")</f>
        <v>please select a BUG ID</v>
      </c>
      <c r="D593" s="54"/>
      <c r="E593" s="56"/>
      <c r="F593" s="54"/>
      <c r="G593" s="56"/>
      <c r="H593" s="54"/>
      <c r="I593" s="56"/>
      <c r="J593" s="54"/>
      <c r="K593" s="92"/>
      <c r="L593" s="54"/>
      <c r="M593" s="92"/>
      <c r="N593" s="54"/>
      <c r="O593" s="92"/>
      <c r="P593" s="54"/>
      <c r="Q593" s="92"/>
      <c r="R593" s="54"/>
      <c r="S593" s="92"/>
      <c r="T593" s="117"/>
      <c r="U593" s="92"/>
      <c r="V593" s="54"/>
      <c r="W593" s="92"/>
      <c r="X593" s="54"/>
      <c r="Y593" s="92"/>
      <c r="Z593" s="54"/>
      <c r="AA593" s="92"/>
      <c r="AB593" s="54"/>
      <c r="AC593" s="92"/>
      <c r="AD593" s="54"/>
      <c r="AE593" s="92"/>
      <c r="AF593" s="54"/>
      <c r="AG593" s="92"/>
      <c r="AH593" s="54"/>
      <c r="AI593" s="92"/>
      <c r="AJ593" s="54"/>
      <c r="AK593" s="92"/>
      <c r="AL593" s="54"/>
      <c r="AM593" s="92"/>
      <c r="AO593" s="54"/>
      <c r="AP593" s="123"/>
      <c r="AQ593" s="54"/>
      <c r="AR593" s="154"/>
      <c r="AS593" s="1"/>
      <c r="AT593" s="1"/>
      <c r="AU593" s="9"/>
    </row>
    <row r="594">
      <c r="A594" s="54"/>
      <c r="B594" s="71" t="str">
        <f>IFERROR(HYPERLINK(VLOOKUP(A594,Internal_lists_bugs!$A$2:$C$73,3,FALSE()), VLOOKUP(A594,Internal_lists_bugs!$A$2:$C$73,3,FALSE())&amp;Char(10) &amp; Char(10) &amp; VLOOKUP(A594,Internal_lists_bugs!$A$2:$Z$73,26,FALSE())),"please select a BUG ID")</f>
        <v>please select a BUG ID</v>
      </c>
      <c r="C594" s="51" t="str">
        <f>IFERROR(VLOOKUP(A594,Internal_lists_bugs!$A$2:$G2002,7,FALSE()),"please select a BUG ID")</f>
        <v>please select a BUG ID</v>
      </c>
      <c r="D594" s="54"/>
      <c r="E594" s="56"/>
      <c r="F594" s="54"/>
      <c r="G594" s="56"/>
      <c r="H594" s="54"/>
      <c r="I594" s="56"/>
      <c r="J594" s="54"/>
      <c r="K594" s="92"/>
      <c r="L594" s="54"/>
      <c r="M594" s="92"/>
      <c r="N594" s="54"/>
      <c r="O594" s="92"/>
      <c r="P594" s="54"/>
      <c r="Q594" s="92"/>
      <c r="R594" s="54"/>
      <c r="S594" s="92"/>
      <c r="T594" s="117"/>
      <c r="U594" s="92"/>
      <c r="V594" s="54"/>
      <c r="W594" s="92"/>
      <c r="X594" s="54"/>
      <c r="Y594" s="92"/>
      <c r="Z594" s="54"/>
      <c r="AA594" s="92"/>
      <c r="AB594" s="54"/>
      <c r="AC594" s="92"/>
      <c r="AD594" s="54"/>
      <c r="AE594" s="92"/>
      <c r="AF594" s="54"/>
      <c r="AG594" s="92"/>
      <c r="AH594" s="54"/>
      <c r="AI594" s="92"/>
      <c r="AJ594" s="54"/>
      <c r="AK594" s="92"/>
      <c r="AL594" s="54"/>
      <c r="AM594" s="92"/>
      <c r="AO594" s="54"/>
      <c r="AP594" s="123"/>
      <c r="AQ594" s="54"/>
      <c r="AR594" s="154"/>
      <c r="AS594" s="1"/>
      <c r="AT594" s="1"/>
      <c r="AU594" s="9"/>
    </row>
    <row r="595">
      <c r="A595" s="54"/>
      <c r="B595" s="71" t="str">
        <f>IFERROR(HYPERLINK(VLOOKUP(A595,Internal_lists_bugs!$A$2:$C$73,3,FALSE()), VLOOKUP(A595,Internal_lists_bugs!$A$2:$C$73,3,FALSE())&amp;Char(10) &amp; Char(10) &amp; VLOOKUP(A595,Internal_lists_bugs!$A$2:$Z$73,26,FALSE())),"please select a BUG ID")</f>
        <v>please select a BUG ID</v>
      </c>
      <c r="C595" s="51" t="str">
        <f>IFERROR(VLOOKUP(A595,Internal_lists_bugs!$A$2:$G2002,7,FALSE()),"please select a BUG ID")</f>
        <v>please select a BUG ID</v>
      </c>
      <c r="D595" s="54"/>
      <c r="E595" s="56"/>
      <c r="F595" s="54"/>
      <c r="G595" s="56"/>
      <c r="H595" s="54"/>
      <c r="I595" s="56"/>
      <c r="J595" s="54"/>
      <c r="K595" s="92"/>
      <c r="L595" s="54"/>
      <c r="M595" s="92"/>
      <c r="N595" s="54"/>
      <c r="O595" s="92"/>
      <c r="P595" s="54"/>
      <c r="Q595" s="92"/>
      <c r="R595" s="54"/>
      <c r="S595" s="92"/>
      <c r="T595" s="117"/>
      <c r="U595" s="92"/>
      <c r="V595" s="54"/>
      <c r="W595" s="92"/>
      <c r="X595" s="54"/>
      <c r="Y595" s="92"/>
      <c r="Z595" s="54"/>
      <c r="AA595" s="92"/>
      <c r="AB595" s="54"/>
      <c r="AC595" s="92"/>
      <c r="AD595" s="54"/>
      <c r="AE595" s="92"/>
      <c r="AF595" s="54"/>
      <c r="AG595" s="92"/>
      <c r="AH595" s="54"/>
      <c r="AI595" s="92"/>
      <c r="AJ595" s="54"/>
      <c r="AK595" s="92"/>
      <c r="AL595" s="54"/>
      <c r="AM595" s="92"/>
      <c r="AO595" s="54"/>
      <c r="AP595" s="123"/>
      <c r="AQ595" s="54"/>
      <c r="AR595" s="154"/>
      <c r="AS595" s="1"/>
      <c r="AT595" s="1"/>
      <c r="AU595" s="9"/>
    </row>
    <row r="596">
      <c r="A596" s="54"/>
      <c r="B596" s="71" t="str">
        <f>IFERROR(HYPERLINK(VLOOKUP(A596,Internal_lists_bugs!$A$2:$C$73,3,FALSE()), VLOOKUP(A596,Internal_lists_bugs!$A$2:$C$73,3,FALSE())&amp;Char(10) &amp; Char(10) &amp; VLOOKUP(A596,Internal_lists_bugs!$A$2:$Z$73,26,FALSE())),"please select a BUG ID")</f>
        <v>please select a BUG ID</v>
      </c>
      <c r="C596" s="51" t="str">
        <f>IFERROR(VLOOKUP(A596,Internal_lists_bugs!$A$2:$G2002,7,FALSE()),"please select a BUG ID")</f>
        <v>please select a BUG ID</v>
      </c>
      <c r="D596" s="54"/>
      <c r="E596" s="56"/>
      <c r="F596" s="54"/>
      <c r="G596" s="56"/>
      <c r="H596" s="54"/>
      <c r="I596" s="56"/>
      <c r="J596" s="54"/>
      <c r="K596" s="92"/>
      <c r="L596" s="54"/>
      <c r="M596" s="92"/>
      <c r="N596" s="54"/>
      <c r="O596" s="92"/>
      <c r="P596" s="54"/>
      <c r="Q596" s="92"/>
      <c r="R596" s="54"/>
      <c r="S596" s="92"/>
      <c r="T596" s="117"/>
      <c r="U596" s="92"/>
      <c r="V596" s="54"/>
      <c r="W596" s="92"/>
      <c r="X596" s="54"/>
      <c r="Y596" s="92"/>
      <c r="Z596" s="54"/>
      <c r="AA596" s="92"/>
      <c r="AB596" s="54"/>
      <c r="AC596" s="92"/>
      <c r="AD596" s="54"/>
      <c r="AE596" s="92"/>
      <c r="AF596" s="54"/>
      <c r="AG596" s="92"/>
      <c r="AH596" s="54"/>
      <c r="AI596" s="92"/>
      <c r="AJ596" s="54"/>
      <c r="AK596" s="92"/>
      <c r="AL596" s="54"/>
      <c r="AM596" s="92"/>
      <c r="AO596" s="54"/>
      <c r="AP596" s="123"/>
      <c r="AQ596" s="54"/>
      <c r="AR596" s="154"/>
      <c r="AS596" s="1"/>
      <c r="AT596" s="1"/>
      <c r="AU596" s="9"/>
    </row>
    <row r="597">
      <c r="A597" s="54"/>
      <c r="B597" s="71" t="str">
        <f>IFERROR(HYPERLINK(VLOOKUP(A597,Internal_lists_bugs!$A$2:$C$73,3,FALSE()), VLOOKUP(A597,Internal_lists_bugs!$A$2:$C$73,3,FALSE())&amp;Char(10) &amp; Char(10) &amp; VLOOKUP(A597,Internal_lists_bugs!$A$2:$Z$73,26,FALSE())),"please select a BUG ID")</f>
        <v>please select a BUG ID</v>
      </c>
      <c r="C597" s="51" t="str">
        <f>IFERROR(VLOOKUP(A597,Internal_lists_bugs!$A$2:$G2002,7,FALSE()),"please select a BUG ID")</f>
        <v>please select a BUG ID</v>
      </c>
      <c r="D597" s="54"/>
      <c r="E597" s="56"/>
      <c r="F597" s="54"/>
      <c r="G597" s="56"/>
      <c r="H597" s="54"/>
      <c r="I597" s="56"/>
      <c r="J597" s="54"/>
      <c r="K597" s="92"/>
      <c r="L597" s="54"/>
      <c r="M597" s="92"/>
      <c r="N597" s="54"/>
      <c r="O597" s="92"/>
      <c r="P597" s="54"/>
      <c r="Q597" s="92"/>
      <c r="R597" s="54"/>
      <c r="S597" s="92"/>
      <c r="T597" s="117"/>
      <c r="U597" s="92"/>
      <c r="V597" s="54"/>
      <c r="W597" s="92"/>
      <c r="X597" s="54"/>
      <c r="Y597" s="92"/>
      <c r="Z597" s="54"/>
      <c r="AA597" s="92"/>
      <c r="AB597" s="54"/>
      <c r="AC597" s="92"/>
      <c r="AD597" s="54"/>
      <c r="AE597" s="92"/>
      <c r="AF597" s="54"/>
      <c r="AG597" s="92"/>
      <c r="AH597" s="54"/>
      <c r="AI597" s="92"/>
      <c r="AJ597" s="54"/>
      <c r="AK597" s="92"/>
      <c r="AL597" s="54"/>
      <c r="AM597" s="92"/>
      <c r="AO597" s="54"/>
      <c r="AP597" s="123"/>
      <c r="AQ597" s="54"/>
      <c r="AR597" s="154"/>
      <c r="AS597" s="1"/>
      <c r="AT597" s="1"/>
      <c r="AU597" s="9"/>
    </row>
    <row r="598">
      <c r="A598" s="54"/>
      <c r="B598" s="71" t="str">
        <f>IFERROR(HYPERLINK(VLOOKUP(A598,Internal_lists_bugs!$A$2:$C$73,3,FALSE()), VLOOKUP(A598,Internal_lists_bugs!$A$2:$C$73,3,FALSE())&amp;Char(10) &amp; Char(10) &amp; VLOOKUP(A598,Internal_lists_bugs!$A$2:$Z$73,26,FALSE())),"please select a BUG ID")</f>
        <v>please select a BUG ID</v>
      </c>
      <c r="C598" s="51" t="str">
        <f>IFERROR(VLOOKUP(A598,Internal_lists_bugs!$A$2:$G2002,7,FALSE()),"please select a BUG ID")</f>
        <v>please select a BUG ID</v>
      </c>
      <c r="D598" s="54"/>
      <c r="E598" s="56"/>
      <c r="F598" s="54"/>
      <c r="G598" s="56"/>
      <c r="H598" s="54"/>
      <c r="I598" s="56"/>
      <c r="J598" s="54"/>
      <c r="K598" s="92"/>
      <c r="L598" s="54"/>
      <c r="M598" s="92"/>
      <c r="N598" s="54"/>
      <c r="O598" s="92"/>
      <c r="P598" s="54"/>
      <c r="Q598" s="92"/>
      <c r="R598" s="54"/>
      <c r="S598" s="92"/>
      <c r="T598" s="117"/>
      <c r="U598" s="92"/>
      <c r="V598" s="54"/>
      <c r="W598" s="92"/>
      <c r="X598" s="54"/>
      <c r="Y598" s="92"/>
      <c r="Z598" s="54"/>
      <c r="AA598" s="92"/>
      <c r="AB598" s="54"/>
      <c r="AC598" s="92"/>
      <c r="AD598" s="54"/>
      <c r="AE598" s="92"/>
      <c r="AF598" s="54"/>
      <c r="AG598" s="92"/>
      <c r="AH598" s="54"/>
      <c r="AI598" s="92"/>
      <c r="AJ598" s="54"/>
      <c r="AK598" s="92"/>
      <c r="AL598" s="54"/>
      <c r="AM598" s="92"/>
      <c r="AO598" s="54"/>
      <c r="AP598" s="123"/>
      <c r="AQ598" s="54"/>
      <c r="AR598" s="154"/>
      <c r="AS598" s="1"/>
      <c r="AT598" s="1"/>
      <c r="AU598" s="9"/>
    </row>
    <row r="599">
      <c r="A599" s="54"/>
      <c r="B599" s="71" t="str">
        <f>IFERROR(HYPERLINK(VLOOKUP(A599,Internal_lists_bugs!$A$2:$C$73,3,FALSE()), VLOOKUP(A599,Internal_lists_bugs!$A$2:$C$73,3,FALSE())&amp;Char(10) &amp; Char(10) &amp; VLOOKUP(A599,Internal_lists_bugs!$A$2:$Z$73,26,FALSE())),"please select a BUG ID")</f>
        <v>please select a BUG ID</v>
      </c>
      <c r="C599" s="51" t="str">
        <f>IFERROR(VLOOKUP(A599,Internal_lists_bugs!$A$2:$G2002,7,FALSE()),"please select a BUG ID")</f>
        <v>please select a BUG ID</v>
      </c>
      <c r="D599" s="54"/>
      <c r="E599" s="56"/>
      <c r="F599" s="54"/>
      <c r="G599" s="56"/>
      <c r="H599" s="54"/>
      <c r="I599" s="56"/>
      <c r="J599" s="54"/>
      <c r="K599" s="92"/>
      <c r="L599" s="54"/>
      <c r="M599" s="92"/>
      <c r="N599" s="54"/>
      <c r="O599" s="92"/>
      <c r="P599" s="54"/>
      <c r="Q599" s="92"/>
      <c r="R599" s="54"/>
      <c r="S599" s="92"/>
      <c r="T599" s="117"/>
      <c r="U599" s="92"/>
      <c r="V599" s="54"/>
      <c r="W599" s="92"/>
      <c r="X599" s="54"/>
      <c r="Y599" s="92"/>
      <c r="Z599" s="54"/>
      <c r="AA599" s="92"/>
      <c r="AB599" s="54"/>
      <c r="AC599" s="92"/>
      <c r="AD599" s="54"/>
      <c r="AE599" s="92"/>
      <c r="AF599" s="54"/>
      <c r="AG599" s="92"/>
      <c r="AH599" s="54"/>
      <c r="AI599" s="92"/>
      <c r="AJ599" s="54"/>
      <c r="AK599" s="92"/>
      <c r="AL599" s="54"/>
      <c r="AM599" s="92"/>
      <c r="AO599" s="54"/>
      <c r="AP599" s="123"/>
      <c r="AQ599" s="54"/>
      <c r="AR599" s="154"/>
      <c r="AS599" s="1"/>
      <c r="AT599" s="1"/>
      <c r="AU599" s="9"/>
    </row>
    <row r="600">
      <c r="A600" s="54"/>
      <c r="B600" s="71" t="str">
        <f>IFERROR(HYPERLINK(VLOOKUP(A600,Internal_lists_bugs!$A$2:$C$73,3,FALSE()), VLOOKUP(A600,Internal_lists_bugs!$A$2:$C$73,3,FALSE())&amp;Char(10) &amp; Char(10) &amp; VLOOKUP(A600,Internal_lists_bugs!$A$2:$Z$73,26,FALSE())),"please select a BUG ID")</f>
        <v>please select a BUG ID</v>
      </c>
      <c r="C600" s="51" t="str">
        <f>IFERROR(VLOOKUP(A600,Internal_lists_bugs!$A$2:$G2002,7,FALSE()),"please select a BUG ID")</f>
        <v>please select a BUG ID</v>
      </c>
      <c r="D600" s="54"/>
      <c r="E600" s="56"/>
      <c r="F600" s="54"/>
      <c r="G600" s="56"/>
      <c r="H600" s="54"/>
      <c r="I600" s="56"/>
      <c r="J600" s="54"/>
      <c r="K600" s="92"/>
      <c r="L600" s="54"/>
      <c r="M600" s="92"/>
      <c r="N600" s="54"/>
      <c r="O600" s="92"/>
      <c r="P600" s="54"/>
      <c r="Q600" s="92"/>
      <c r="R600" s="54"/>
      <c r="S600" s="92"/>
      <c r="T600" s="117"/>
      <c r="U600" s="92"/>
      <c r="V600" s="54"/>
      <c r="W600" s="92"/>
      <c r="X600" s="54"/>
      <c r="Y600" s="92"/>
      <c r="Z600" s="54"/>
      <c r="AA600" s="92"/>
      <c r="AB600" s="54"/>
      <c r="AC600" s="92"/>
      <c r="AD600" s="54"/>
      <c r="AE600" s="92"/>
      <c r="AF600" s="54"/>
      <c r="AG600" s="92"/>
      <c r="AH600" s="54"/>
      <c r="AI600" s="92"/>
      <c r="AJ600" s="54"/>
      <c r="AK600" s="92"/>
      <c r="AL600" s="54"/>
      <c r="AM600" s="92"/>
      <c r="AO600" s="54"/>
      <c r="AP600" s="123"/>
      <c r="AQ600" s="54"/>
      <c r="AR600" s="154"/>
      <c r="AS600" s="1"/>
      <c r="AT600" s="1"/>
      <c r="AU600" s="9"/>
    </row>
    <row r="601">
      <c r="A601" s="54"/>
      <c r="B601" s="71" t="str">
        <f>IFERROR(HYPERLINK(VLOOKUP(A601,Internal_lists_bugs!$A$2:$C$73,3,FALSE()), VLOOKUP(A601,Internal_lists_bugs!$A$2:$C$73,3,FALSE())&amp;Char(10) &amp; Char(10) &amp; VLOOKUP(A601,Internal_lists_bugs!$A$2:$Z$73,26,FALSE())),"please select a BUG ID")</f>
        <v>please select a BUG ID</v>
      </c>
      <c r="C601" s="51" t="str">
        <f>IFERROR(VLOOKUP(A601,Internal_lists_bugs!$A$2:$G2002,7,FALSE()),"please select a BUG ID")</f>
        <v>please select a BUG ID</v>
      </c>
      <c r="D601" s="54"/>
      <c r="E601" s="56"/>
      <c r="F601" s="54"/>
      <c r="G601" s="56"/>
      <c r="H601" s="54"/>
      <c r="I601" s="56"/>
      <c r="J601" s="54"/>
      <c r="K601" s="92"/>
      <c r="L601" s="54"/>
      <c r="M601" s="92"/>
      <c r="N601" s="54"/>
      <c r="O601" s="92"/>
      <c r="P601" s="54"/>
      <c r="Q601" s="92"/>
      <c r="R601" s="54"/>
      <c r="S601" s="92"/>
      <c r="T601" s="117"/>
      <c r="U601" s="92"/>
      <c r="V601" s="54"/>
      <c r="W601" s="92"/>
      <c r="X601" s="54"/>
      <c r="Y601" s="92"/>
      <c r="Z601" s="54"/>
      <c r="AA601" s="92"/>
      <c r="AB601" s="54"/>
      <c r="AC601" s="92"/>
      <c r="AD601" s="54"/>
      <c r="AE601" s="92"/>
      <c r="AF601" s="54"/>
      <c r="AG601" s="92"/>
      <c r="AH601" s="54"/>
      <c r="AI601" s="92"/>
      <c r="AJ601" s="54"/>
      <c r="AK601" s="92"/>
      <c r="AL601" s="54"/>
      <c r="AM601" s="92"/>
      <c r="AO601" s="54"/>
      <c r="AP601" s="123"/>
      <c r="AQ601" s="54"/>
      <c r="AR601" s="154"/>
      <c r="AS601" s="1"/>
      <c r="AT601" s="1"/>
      <c r="AU601" s="9"/>
    </row>
    <row r="602">
      <c r="A602" s="54"/>
      <c r="B602" s="71" t="str">
        <f>IFERROR(HYPERLINK(VLOOKUP(A602,Internal_lists_bugs!$A$2:$C$73,3,FALSE()), VLOOKUP(A602,Internal_lists_bugs!$A$2:$C$73,3,FALSE())&amp;Char(10) &amp; Char(10) &amp; VLOOKUP(A602,Internal_lists_bugs!$A$2:$Z$73,26,FALSE())),"please select a BUG ID")</f>
        <v>please select a BUG ID</v>
      </c>
      <c r="C602" s="51" t="str">
        <f>IFERROR(VLOOKUP(A602,Internal_lists_bugs!$A$2:$G2002,7,FALSE()),"please select a BUG ID")</f>
        <v>please select a BUG ID</v>
      </c>
      <c r="D602" s="54"/>
      <c r="E602" s="56"/>
      <c r="F602" s="54"/>
      <c r="G602" s="56"/>
      <c r="H602" s="54"/>
      <c r="I602" s="56"/>
      <c r="J602" s="54"/>
      <c r="K602" s="92"/>
      <c r="L602" s="54"/>
      <c r="M602" s="92"/>
      <c r="N602" s="54"/>
      <c r="O602" s="92"/>
      <c r="P602" s="54"/>
      <c r="Q602" s="92"/>
      <c r="R602" s="54"/>
      <c r="S602" s="92"/>
      <c r="T602" s="117"/>
      <c r="U602" s="92"/>
      <c r="V602" s="54"/>
      <c r="W602" s="92"/>
      <c r="X602" s="54"/>
      <c r="Y602" s="92"/>
      <c r="Z602" s="54"/>
      <c r="AA602" s="92"/>
      <c r="AB602" s="54"/>
      <c r="AC602" s="92"/>
      <c r="AD602" s="54"/>
      <c r="AE602" s="92"/>
      <c r="AF602" s="54"/>
      <c r="AG602" s="92"/>
      <c r="AH602" s="54"/>
      <c r="AI602" s="92"/>
      <c r="AJ602" s="54"/>
      <c r="AK602" s="92"/>
      <c r="AL602" s="54"/>
      <c r="AM602" s="92"/>
      <c r="AO602" s="54"/>
      <c r="AP602" s="123"/>
      <c r="AQ602" s="54"/>
      <c r="AR602" s="154"/>
      <c r="AS602" s="1"/>
      <c r="AT602" s="1"/>
      <c r="AU602" s="9"/>
    </row>
    <row r="603">
      <c r="A603" s="54"/>
      <c r="B603" s="71" t="str">
        <f>IFERROR(HYPERLINK(VLOOKUP(A603,Internal_lists_bugs!$A$2:$C$73,3,FALSE()), VLOOKUP(A603,Internal_lists_bugs!$A$2:$C$73,3,FALSE())&amp;Char(10) &amp; Char(10) &amp; VLOOKUP(A603,Internal_lists_bugs!$A$2:$Z$73,26,FALSE())),"please select a BUG ID")</f>
        <v>please select a BUG ID</v>
      </c>
      <c r="C603" s="51" t="str">
        <f>IFERROR(VLOOKUP(A603,Internal_lists_bugs!$A$2:$G2002,7,FALSE()),"please select a BUG ID")</f>
        <v>please select a BUG ID</v>
      </c>
      <c r="D603" s="54"/>
      <c r="E603" s="56"/>
      <c r="F603" s="54"/>
      <c r="G603" s="56"/>
      <c r="H603" s="54"/>
      <c r="I603" s="56"/>
      <c r="J603" s="54"/>
      <c r="K603" s="92"/>
      <c r="L603" s="54"/>
      <c r="M603" s="92"/>
      <c r="N603" s="54"/>
      <c r="O603" s="92"/>
      <c r="P603" s="54"/>
      <c r="Q603" s="92"/>
      <c r="R603" s="54"/>
      <c r="S603" s="92"/>
      <c r="T603" s="117"/>
      <c r="U603" s="92"/>
      <c r="V603" s="54"/>
      <c r="W603" s="92"/>
      <c r="X603" s="54"/>
      <c r="Y603" s="92"/>
      <c r="Z603" s="54"/>
      <c r="AA603" s="92"/>
      <c r="AB603" s="54"/>
      <c r="AC603" s="92"/>
      <c r="AD603" s="54"/>
      <c r="AE603" s="92"/>
      <c r="AF603" s="54"/>
      <c r="AG603" s="92"/>
      <c r="AH603" s="54"/>
      <c r="AI603" s="92"/>
      <c r="AJ603" s="54"/>
      <c r="AK603" s="92"/>
      <c r="AL603" s="54"/>
      <c r="AM603" s="92"/>
      <c r="AO603" s="54"/>
      <c r="AP603" s="123"/>
      <c r="AQ603" s="54"/>
      <c r="AR603" s="154"/>
      <c r="AS603" s="1"/>
      <c r="AT603" s="1"/>
      <c r="AU603" s="9"/>
    </row>
    <row r="604">
      <c r="A604" s="54"/>
      <c r="B604" s="71" t="str">
        <f>IFERROR(HYPERLINK(VLOOKUP(A604,Internal_lists_bugs!$A$2:$C$73,3,FALSE()), VLOOKUP(A604,Internal_lists_bugs!$A$2:$C$73,3,FALSE())&amp;Char(10) &amp; Char(10) &amp; VLOOKUP(A604,Internal_lists_bugs!$A$2:$Z$73,26,FALSE())),"please select a BUG ID")</f>
        <v>please select a BUG ID</v>
      </c>
      <c r="C604" s="51" t="str">
        <f>IFERROR(VLOOKUP(A604,Internal_lists_bugs!$A$2:$G2002,7,FALSE()),"please select a BUG ID")</f>
        <v>please select a BUG ID</v>
      </c>
      <c r="D604" s="54"/>
      <c r="E604" s="56"/>
      <c r="F604" s="54"/>
      <c r="G604" s="56"/>
      <c r="H604" s="54"/>
      <c r="I604" s="56"/>
      <c r="J604" s="54"/>
      <c r="K604" s="92"/>
      <c r="L604" s="54"/>
      <c r="M604" s="92"/>
      <c r="N604" s="54"/>
      <c r="O604" s="92"/>
      <c r="P604" s="54"/>
      <c r="Q604" s="92"/>
      <c r="R604" s="54"/>
      <c r="S604" s="92"/>
      <c r="T604" s="117"/>
      <c r="U604" s="92"/>
      <c r="V604" s="54"/>
      <c r="W604" s="92"/>
      <c r="X604" s="54"/>
      <c r="Y604" s="92"/>
      <c r="Z604" s="54"/>
      <c r="AA604" s="92"/>
      <c r="AB604" s="54"/>
      <c r="AC604" s="92"/>
      <c r="AD604" s="54"/>
      <c r="AE604" s="92"/>
      <c r="AF604" s="54"/>
      <c r="AG604" s="92"/>
      <c r="AH604" s="54"/>
      <c r="AI604" s="92"/>
      <c r="AJ604" s="54"/>
      <c r="AK604" s="92"/>
      <c r="AL604" s="54"/>
      <c r="AM604" s="92"/>
      <c r="AO604" s="54"/>
      <c r="AP604" s="123"/>
      <c r="AQ604" s="54"/>
      <c r="AR604" s="154"/>
      <c r="AS604" s="1"/>
      <c r="AT604" s="1"/>
      <c r="AU604" s="9"/>
    </row>
    <row r="605">
      <c r="A605" s="54"/>
      <c r="B605" s="71" t="str">
        <f>IFERROR(HYPERLINK(VLOOKUP(A605,Internal_lists_bugs!$A$2:$C$73,3,FALSE()), VLOOKUP(A605,Internal_lists_bugs!$A$2:$C$73,3,FALSE())&amp;Char(10) &amp; Char(10) &amp; VLOOKUP(A605,Internal_lists_bugs!$A$2:$Z$73,26,FALSE())),"please select a BUG ID")</f>
        <v>please select a BUG ID</v>
      </c>
      <c r="C605" s="51" t="str">
        <f>IFERROR(VLOOKUP(A605,Internal_lists_bugs!$A$2:$G2002,7,FALSE()),"please select a BUG ID")</f>
        <v>please select a BUG ID</v>
      </c>
      <c r="D605" s="54"/>
      <c r="E605" s="56"/>
      <c r="F605" s="54"/>
      <c r="G605" s="56"/>
      <c r="H605" s="54"/>
      <c r="I605" s="56"/>
      <c r="J605" s="54"/>
      <c r="K605" s="92"/>
      <c r="L605" s="54"/>
      <c r="M605" s="92"/>
      <c r="N605" s="54"/>
      <c r="O605" s="92"/>
      <c r="P605" s="54"/>
      <c r="Q605" s="92"/>
      <c r="R605" s="54"/>
      <c r="S605" s="92"/>
      <c r="T605" s="117"/>
      <c r="U605" s="92"/>
      <c r="V605" s="54"/>
      <c r="W605" s="92"/>
      <c r="X605" s="54"/>
      <c r="Y605" s="92"/>
      <c r="Z605" s="54"/>
      <c r="AA605" s="92"/>
      <c r="AB605" s="54"/>
      <c r="AC605" s="92"/>
      <c r="AD605" s="54"/>
      <c r="AE605" s="92"/>
      <c r="AF605" s="54"/>
      <c r="AG605" s="92"/>
      <c r="AH605" s="54"/>
      <c r="AI605" s="92"/>
      <c r="AJ605" s="54"/>
      <c r="AK605" s="92"/>
      <c r="AL605" s="54"/>
      <c r="AM605" s="92"/>
      <c r="AO605" s="54"/>
      <c r="AP605" s="123"/>
      <c r="AQ605" s="54"/>
      <c r="AR605" s="154"/>
      <c r="AS605" s="1"/>
      <c r="AT605" s="1"/>
      <c r="AU605" s="9"/>
    </row>
    <row r="606">
      <c r="A606" s="54"/>
      <c r="B606" s="71" t="str">
        <f>IFERROR(HYPERLINK(VLOOKUP(A606,Internal_lists_bugs!$A$2:$C$73,3,FALSE()), VLOOKUP(A606,Internal_lists_bugs!$A$2:$C$73,3,FALSE())&amp;Char(10) &amp; Char(10) &amp; VLOOKUP(A606,Internal_lists_bugs!$A$2:$Z$73,26,FALSE())),"please select a BUG ID")</f>
        <v>please select a BUG ID</v>
      </c>
      <c r="C606" s="51" t="str">
        <f>IFERROR(VLOOKUP(A606,Internal_lists_bugs!$A$2:$G2002,7,FALSE()),"please select a BUG ID")</f>
        <v>please select a BUG ID</v>
      </c>
      <c r="D606" s="54"/>
      <c r="E606" s="56"/>
      <c r="F606" s="54"/>
      <c r="G606" s="56"/>
      <c r="H606" s="54"/>
      <c r="I606" s="56"/>
      <c r="J606" s="54"/>
      <c r="K606" s="92"/>
      <c r="L606" s="54"/>
      <c r="M606" s="92"/>
      <c r="N606" s="54"/>
      <c r="O606" s="92"/>
      <c r="P606" s="54"/>
      <c r="Q606" s="92"/>
      <c r="R606" s="54"/>
      <c r="S606" s="92"/>
      <c r="T606" s="117"/>
      <c r="U606" s="92"/>
      <c r="V606" s="54"/>
      <c r="W606" s="92"/>
      <c r="X606" s="54"/>
      <c r="Y606" s="92"/>
      <c r="Z606" s="54"/>
      <c r="AA606" s="92"/>
      <c r="AB606" s="54"/>
      <c r="AC606" s="92"/>
      <c r="AD606" s="54"/>
      <c r="AE606" s="92"/>
      <c r="AF606" s="54"/>
      <c r="AG606" s="92"/>
      <c r="AH606" s="54"/>
      <c r="AI606" s="92"/>
      <c r="AJ606" s="54"/>
      <c r="AK606" s="92"/>
      <c r="AL606" s="54"/>
      <c r="AM606" s="92"/>
      <c r="AO606" s="54"/>
      <c r="AP606" s="123"/>
      <c r="AQ606" s="54"/>
      <c r="AR606" s="154"/>
      <c r="AS606" s="1"/>
      <c r="AT606" s="1"/>
      <c r="AU606" s="9"/>
    </row>
    <row r="607">
      <c r="A607" s="54"/>
      <c r="B607" s="71" t="str">
        <f>IFERROR(HYPERLINK(VLOOKUP(A607,Internal_lists_bugs!$A$2:$C$73,3,FALSE()), VLOOKUP(A607,Internal_lists_bugs!$A$2:$C$73,3,FALSE())&amp;Char(10) &amp; Char(10) &amp; VLOOKUP(A607,Internal_lists_bugs!$A$2:$Z$73,26,FALSE())),"please select a BUG ID")</f>
        <v>please select a BUG ID</v>
      </c>
      <c r="C607" s="51" t="str">
        <f>IFERROR(VLOOKUP(A607,Internal_lists_bugs!$A$2:$G2002,7,FALSE()),"please select a BUG ID")</f>
        <v>please select a BUG ID</v>
      </c>
      <c r="D607" s="54"/>
      <c r="E607" s="56"/>
      <c r="F607" s="54"/>
      <c r="G607" s="56"/>
      <c r="H607" s="54"/>
      <c r="I607" s="56"/>
      <c r="J607" s="54"/>
      <c r="K607" s="92"/>
      <c r="L607" s="54"/>
      <c r="M607" s="92"/>
      <c r="N607" s="54"/>
      <c r="O607" s="92"/>
      <c r="P607" s="54"/>
      <c r="Q607" s="92"/>
      <c r="R607" s="54"/>
      <c r="S607" s="92"/>
      <c r="T607" s="117"/>
      <c r="U607" s="92"/>
      <c r="V607" s="54"/>
      <c r="W607" s="92"/>
      <c r="X607" s="54"/>
      <c r="Y607" s="92"/>
      <c r="Z607" s="54"/>
      <c r="AA607" s="92"/>
      <c r="AB607" s="54"/>
      <c r="AC607" s="92"/>
      <c r="AD607" s="54"/>
      <c r="AE607" s="92"/>
      <c r="AF607" s="54"/>
      <c r="AG607" s="92"/>
      <c r="AH607" s="54"/>
      <c r="AI607" s="92"/>
      <c r="AJ607" s="54"/>
      <c r="AK607" s="92"/>
      <c r="AL607" s="54"/>
      <c r="AM607" s="92"/>
      <c r="AO607" s="54"/>
      <c r="AP607" s="123"/>
      <c r="AQ607" s="54"/>
      <c r="AR607" s="154"/>
      <c r="AS607" s="1"/>
      <c r="AT607" s="1"/>
      <c r="AU607" s="9"/>
    </row>
    <row r="608">
      <c r="A608" s="54"/>
      <c r="B608" s="71" t="str">
        <f>IFERROR(HYPERLINK(VLOOKUP(A608,Internal_lists_bugs!$A$2:$C$73,3,FALSE()), VLOOKUP(A608,Internal_lists_bugs!$A$2:$C$73,3,FALSE())&amp;Char(10) &amp; Char(10) &amp; VLOOKUP(A608,Internal_lists_bugs!$A$2:$Z$73,26,FALSE())),"please select a BUG ID")</f>
        <v>please select a BUG ID</v>
      </c>
      <c r="C608" s="51" t="str">
        <f>IFERROR(VLOOKUP(A608,Internal_lists_bugs!$A$2:$G2002,7,FALSE()),"please select a BUG ID")</f>
        <v>please select a BUG ID</v>
      </c>
      <c r="D608" s="54"/>
      <c r="E608" s="56"/>
      <c r="F608" s="54"/>
      <c r="G608" s="56"/>
      <c r="H608" s="54"/>
      <c r="I608" s="56"/>
      <c r="J608" s="54"/>
      <c r="K608" s="92"/>
      <c r="L608" s="54"/>
      <c r="M608" s="92"/>
      <c r="N608" s="54"/>
      <c r="O608" s="92"/>
      <c r="P608" s="54"/>
      <c r="Q608" s="92"/>
      <c r="R608" s="54"/>
      <c r="S608" s="92"/>
      <c r="T608" s="117"/>
      <c r="U608" s="92"/>
      <c r="V608" s="54"/>
      <c r="W608" s="92"/>
      <c r="X608" s="54"/>
      <c r="Y608" s="92"/>
      <c r="Z608" s="54"/>
      <c r="AA608" s="92"/>
      <c r="AB608" s="54"/>
      <c r="AC608" s="92"/>
      <c r="AD608" s="54"/>
      <c r="AE608" s="92"/>
      <c r="AF608" s="54"/>
      <c r="AG608" s="92"/>
      <c r="AH608" s="54"/>
      <c r="AI608" s="92"/>
      <c r="AJ608" s="54"/>
      <c r="AK608" s="92"/>
      <c r="AL608" s="54"/>
      <c r="AM608" s="92"/>
      <c r="AO608" s="54"/>
      <c r="AP608" s="123"/>
      <c r="AQ608" s="54"/>
      <c r="AR608" s="154"/>
      <c r="AS608" s="1"/>
      <c r="AT608" s="1"/>
      <c r="AU608" s="9"/>
    </row>
    <row r="609">
      <c r="A609" s="54"/>
      <c r="B609" s="71" t="str">
        <f>IFERROR(HYPERLINK(VLOOKUP(A609,Internal_lists_bugs!$A$2:$C$73,3,FALSE()), VLOOKUP(A609,Internal_lists_bugs!$A$2:$C$73,3,FALSE())&amp;Char(10) &amp; Char(10) &amp; VLOOKUP(A609,Internal_lists_bugs!$A$2:$Z$73,26,FALSE())),"please select a BUG ID")</f>
        <v>please select a BUG ID</v>
      </c>
      <c r="C609" s="51" t="str">
        <f>IFERROR(VLOOKUP(A609,Internal_lists_bugs!$A$2:$G2002,7,FALSE()),"please select a BUG ID")</f>
        <v>please select a BUG ID</v>
      </c>
      <c r="D609" s="54"/>
      <c r="E609" s="56"/>
      <c r="F609" s="54"/>
      <c r="G609" s="56"/>
      <c r="H609" s="54"/>
      <c r="I609" s="56"/>
      <c r="J609" s="54"/>
      <c r="K609" s="92"/>
      <c r="L609" s="54"/>
      <c r="M609" s="92"/>
      <c r="N609" s="54"/>
      <c r="O609" s="92"/>
      <c r="P609" s="54"/>
      <c r="Q609" s="92"/>
      <c r="R609" s="54"/>
      <c r="S609" s="92"/>
      <c r="T609" s="117"/>
      <c r="U609" s="92"/>
      <c r="V609" s="54"/>
      <c r="W609" s="92"/>
      <c r="X609" s="54"/>
      <c r="Y609" s="92"/>
      <c r="Z609" s="54"/>
      <c r="AA609" s="92"/>
      <c r="AB609" s="54"/>
      <c r="AC609" s="92"/>
      <c r="AD609" s="54"/>
      <c r="AE609" s="92"/>
      <c r="AF609" s="54"/>
      <c r="AG609" s="92"/>
      <c r="AH609" s="54"/>
      <c r="AI609" s="92"/>
      <c r="AJ609" s="54"/>
      <c r="AK609" s="92"/>
      <c r="AL609" s="54"/>
      <c r="AM609" s="92"/>
      <c r="AO609" s="54"/>
      <c r="AP609" s="123"/>
      <c r="AQ609" s="54"/>
      <c r="AR609" s="154"/>
      <c r="AS609" s="1"/>
      <c r="AT609" s="1"/>
      <c r="AU609" s="9"/>
    </row>
    <row r="610">
      <c r="A610" s="54"/>
      <c r="B610" s="71" t="str">
        <f>IFERROR(HYPERLINK(VLOOKUP(A610,Internal_lists_bugs!$A$2:$C$73,3,FALSE()), VLOOKUP(A610,Internal_lists_bugs!$A$2:$C$73,3,FALSE())&amp;Char(10) &amp; Char(10) &amp; VLOOKUP(A610,Internal_lists_bugs!$A$2:$Z$73,26,FALSE())),"please select a BUG ID")</f>
        <v>please select a BUG ID</v>
      </c>
      <c r="C610" s="51" t="str">
        <f>IFERROR(VLOOKUP(A610,Internal_lists_bugs!$A$2:$G2002,7,FALSE()),"please select a BUG ID")</f>
        <v>please select a BUG ID</v>
      </c>
      <c r="D610" s="54"/>
      <c r="E610" s="56"/>
      <c r="F610" s="54"/>
      <c r="G610" s="56"/>
      <c r="H610" s="54"/>
      <c r="I610" s="56"/>
      <c r="J610" s="54"/>
      <c r="K610" s="92"/>
      <c r="L610" s="54"/>
      <c r="M610" s="92"/>
      <c r="N610" s="54"/>
      <c r="O610" s="92"/>
      <c r="P610" s="54"/>
      <c r="Q610" s="92"/>
      <c r="R610" s="54"/>
      <c r="S610" s="92"/>
      <c r="T610" s="117"/>
      <c r="U610" s="92"/>
      <c r="V610" s="54"/>
      <c r="W610" s="92"/>
      <c r="X610" s="54"/>
      <c r="Y610" s="92"/>
      <c r="Z610" s="54"/>
      <c r="AA610" s="92"/>
      <c r="AB610" s="54"/>
      <c r="AC610" s="92"/>
      <c r="AD610" s="54"/>
      <c r="AE610" s="92"/>
      <c r="AF610" s="54"/>
      <c r="AG610" s="92"/>
      <c r="AH610" s="54"/>
      <c r="AI610" s="92"/>
      <c r="AJ610" s="54"/>
      <c r="AK610" s="92"/>
      <c r="AL610" s="54"/>
      <c r="AM610" s="92"/>
      <c r="AO610" s="54"/>
      <c r="AP610" s="123"/>
      <c r="AQ610" s="54"/>
      <c r="AR610" s="154"/>
      <c r="AS610" s="1"/>
      <c r="AT610" s="1"/>
      <c r="AU610" s="9"/>
    </row>
    <row r="611">
      <c r="A611" s="54"/>
      <c r="B611" s="71" t="str">
        <f>IFERROR(HYPERLINK(VLOOKUP(A611,Internal_lists_bugs!$A$2:$C$73,3,FALSE()), VLOOKUP(A611,Internal_lists_bugs!$A$2:$C$73,3,FALSE())&amp;Char(10) &amp; Char(10) &amp; VLOOKUP(A611,Internal_lists_bugs!$A$2:$Z$73,26,FALSE())),"please select a BUG ID")</f>
        <v>please select a BUG ID</v>
      </c>
      <c r="C611" s="51" t="str">
        <f>IFERROR(VLOOKUP(A611,Internal_lists_bugs!$A$2:$G2002,7,FALSE()),"please select a BUG ID")</f>
        <v>please select a BUG ID</v>
      </c>
      <c r="D611" s="54"/>
      <c r="E611" s="56"/>
      <c r="F611" s="54"/>
      <c r="G611" s="56"/>
      <c r="H611" s="54"/>
      <c r="I611" s="56"/>
      <c r="J611" s="54"/>
      <c r="K611" s="92"/>
      <c r="L611" s="54"/>
      <c r="M611" s="92"/>
      <c r="N611" s="54"/>
      <c r="O611" s="92"/>
      <c r="P611" s="54"/>
      <c r="Q611" s="92"/>
      <c r="R611" s="54"/>
      <c r="S611" s="92"/>
      <c r="T611" s="117"/>
      <c r="U611" s="92"/>
      <c r="V611" s="54"/>
      <c r="W611" s="92"/>
      <c r="X611" s="54"/>
      <c r="Y611" s="92"/>
      <c r="Z611" s="54"/>
      <c r="AA611" s="92"/>
      <c r="AB611" s="54"/>
      <c r="AC611" s="92"/>
      <c r="AD611" s="54"/>
      <c r="AE611" s="92"/>
      <c r="AF611" s="54"/>
      <c r="AG611" s="92"/>
      <c r="AH611" s="54"/>
      <c r="AI611" s="92"/>
      <c r="AJ611" s="54"/>
      <c r="AK611" s="92"/>
      <c r="AL611" s="54"/>
      <c r="AM611" s="92"/>
      <c r="AO611" s="54"/>
      <c r="AP611" s="123"/>
      <c r="AQ611" s="54"/>
      <c r="AR611" s="154"/>
      <c r="AS611" s="1"/>
      <c r="AT611" s="1"/>
      <c r="AU611" s="9"/>
    </row>
    <row r="612">
      <c r="A612" s="54"/>
      <c r="B612" s="71" t="str">
        <f>IFERROR(HYPERLINK(VLOOKUP(A612,Internal_lists_bugs!$A$2:$C$73,3,FALSE()), VLOOKUP(A612,Internal_lists_bugs!$A$2:$C$73,3,FALSE())&amp;Char(10) &amp; Char(10) &amp; VLOOKUP(A612,Internal_lists_bugs!$A$2:$Z$73,26,FALSE())),"please select a BUG ID")</f>
        <v>please select a BUG ID</v>
      </c>
      <c r="C612" s="51" t="str">
        <f>IFERROR(VLOOKUP(A612,Internal_lists_bugs!$A$2:$G2002,7,FALSE()),"please select a BUG ID")</f>
        <v>please select a BUG ID</v>
      </c>
      <c r="D612" s="54"/>
      <c r="E612" s="56"/>
      <c r="F612" s="54"/>
      <c r="G612" s="56"/>
      <c r="H612" s="54"/>
      <c r="I612" s="56"/>
      <c r="J612" s="54"/>
      <c r="K612" s="92"/>
      <c r="L612" s="54"/>
      <c r="M612" s="92"/>
      <c r="N612" s="54"/>
      <c r="O612" s="92"/>
      <c r="P612" s="54"/>
      <c r="Q612" s="92"/>
      <c r="R612" s="54"/>
      <c r="S612" s="92"/>
      <c r="T612" s="117"/>
      <c r="U612" s="92"/>
      <c r="V612" s="54"/>
      <c r="W612" s="92"/>
      <c r="X612" s="54"/>
      <c r="Y612" s="92"/>
      <c r="Z612" s="54"/>
      <c r="AA612" s="92"/>
      <c r="AB612" s="54"/>
      <c r="AC612" s="92"/>
      <c r="AD612" s="54"/>
      <c r="AE612" s="92"/>
      <c r="AF612" s="54"/>
      <c r="AG612" s="92"/>
      <c r="AH612" s="54"/>
      <c r="AI612" s="92"/>
      <c r="AJ612" s="54"/>
      <c r="AK612" s="92"/>
      <c r="AL612" s="54"/>
      <c r="AM612" s="92"/>
      <c r="AO612" s="54"/>
      <c r="AP612" s="123"/>
      <c r="AQ612" s="54"/>
      <c r="AR612" s="154"/>
      <c r="AS612" s="1"/>
      <c r="AT612" s="1"/>
      <c r="AU612" s="9"/>
    </row>
    <row r="613">
      <c r="A613" s="54"/>
      <c r="B613" s="71" t="str">
        <f>IFERROR(HYPERLINK(VLOOKUP(A613,Internal_lists_bugs!$A$2:$C$73,3,FALSE()), VLOOKUP(A613,Internal_lists_bugs!$A$2:$C$73,3,FALSE())&amp;Char(10) &amp; Char(10) &amp; VLOOKUP(A613,Internal_lists_bugs!$A$2:$Z$73,26,FALSE())),"please select a BUG ID")</f>
        <v>please select a BUG ID</v>
      </c>
      <c r="C613" s="51" t="str">
        <f>IFERROR(VLOOKUP(A613,Internal_lists_bugs!$A$2:$G2002,7,FALSE()),"please select a BUG ID")</f>
        <v>please select a BUG ID</v>
      </c>
      <c r="D613" s="54"/>
      <c r="E613" s="56"/>
      <c r="F613" s="54"/>
      <c r="G613" s="56"/>
      <c r="H613" s="54"/>
      <c r="I613" s="56"/>
      <c r="J613" s="54"/>
      <c r="K613" s="92"/>
      <c r="L613" s="54"/>
      <c r="M613" s="92"/>
      <c r="N613" s="54"/>
      <c r="O613" s="92"/>
      <c r="P613" s="54"/>
      <c r="Q613" s="92"/>
      <c r="R613" s="54"/>
      <c r="S613" s="92"/>
      <c r="T613" s="117"/>
      <c r="U613" s="92"/>
      <c r="V613" s="54"/>
      <c r="W613" s="92"/>
      <c r="X613" s="54"/>
      <c r="Y613" s="92"/>
      <c r="Z613" s="54"/>
      <c r="AA613" s="92"/>
      <c r="AB613" s="54"/>
      <c r="AC613" s="92"/>
      <c r="AD613" s="54"/>
      <c r="AE613" s="92"/>
      <c r="AF613" s="54"/>
      <c r="AG613" s="92"/>
      <c r="AH613" s="54"/>
      <c r="AI613" s="92"/>
      <c r="AJ613" s="54"/>
      <c r="AK613" s="92"/>
      <c r="AL613" s="54"/>
      <c r="AM613" s="92"/>
      <c r="AO613" s="54"/>
      <c r="AP613" s="123"/>
      <c r="AQ613" s="54"/>
      <c r="AR613" s="154"/>
      <c r="AS613" s="1"/>
      <c r="AT613" s="1"/>
      <c r="AU613" s="9"/>
    </row>
    <row r="614">
      <c r="A614" s="54"/>
      <c r="B614" s="71" t="str">
        <f>IFERROR(HYPERLINK(VLOOKUP(A614,Internal_lists_bugs!$A$2:$C$73,3,FALSE()), VLOOKUP(A614,Internal_lists_bugs!$A$2:$C$73,3,FALSE())&amp;Char(10) &amp; Char(10) &amp; VLOOKUP(A614,Internal_lists_bugs!$A$2:$Z$73,26,FALSE())),"please select a BUG ID")</f>
        <v>please select a BUG ID</v>
      </c>
      <c r="C614" s="51" t="str">
        <f>IFERROR(VLOOKUP(A614,Internal_lists_bugs!$A$2:$G2002,7,FALSE()),"please select a BUG ID")</f>
        <v>please select a BUG ID</v>
      </c>
      <c r="D614" s="54"/>
      <c r="E614" s="56"/>
      <c r="F614" s="54"/>
      <c r="G614" s="56"/>
      <c r="H614" s="54"/>
      <c r="I614" s="56"/>
      <c r="J614" s="54"/>
      <c r="K614" s="92"/>
      <c r="L614" s="54"/>
      <c r="M614" s="92"/>
      <c r="N614" s="54"/>
      <c r="O614" s="92"/>
      <c r="P614" s="54"/>
      <c r="Q614" s="92"/>
      <c r="R614" s="54"/>
      <c r="S614" s="92"/>
      <c r="T614" s="117"/>
      <c r="U614" s="92"/>
      <c r="V614" s="54"/>
      <c r="W614" s="92"/>
      <c r="X614" s="54"/>
      <c r="Y614" s="92"/>
      <c r="Z614" s="54"/>
      <c r="AA614" s="92"/>
      <c r="AB614" s="54"/>
      <c r="AC614" s="92"/>
      <c r="AD614" s="54"/>
      <c r="AE614" s="92"/>
      <c r="AF614" s="54"/>
      <c r="AG614" s="92"/>
      <c r="AH614" s="54"/>
      <c r="AI614" s="92"/>
      <c r="AJ614" s="54"/>
      <c r="AK614" s="92"/>
      <c r="AL614" s="54"/>
      <c r="AM614" s="92"/>
      <c r="AO614" s="54"/>
      <c r="AP614" s="123"/>
      <c r="AQ614" s="54"/>
      <c r="AR614" s="154"/>
      <c r="AS614" s="1"/>
      <c r="AT614" s="1"/>
      <c r="AU614" s="9"/>
    </row>
    <row r="615">
      <c r="A615" s="54"/>
      <c r="B615" s="71" t="str">
        <f>IFERROR(HYPERLINK(VLOOKUP(A615,Internal_lists_bugs!$A$2:$C$73,3,FALSE()), VLOOKUP(A615,Internal_lists_bugs!$A$2:$C$73,3,FALSE())&amp;Char(10) &amp; Char(10) &amp; VLOOKUP(A615,Internal_lists_bugs!$A$2:$Z$73,26,FALSE())),"please select a BUG ID")</f>
        <v>please select a BUG ID</v>
      </c>
      <c r="C615" s="51" t="str">
        <f>IFERROR(VLOOKUP(A615,Internal_lists_bugs!$A$2:$G2002,7,FALSE()),"please select a BUG ID")</f>
        <v>please select a BUG ID</v>
      </c>
      <c r="D615" s="54"/>
      <c r="E615" s="56"/>
      <c r="F615" s="54"/>
      <c r="G615" s="56"/>
      <c r="H615" s="54"/>
      <c r="I615" s="56"/>
      <c r="J615" s="54"/>
      <c r="K615" s="92"/>
      <c r="L615" s="54"/>
      <c r="M615" s="92"/>
      <c r="N615" s="54"/>
      <c r="O615" s="92"/>
      <c r="P615" s="54"/>
      <c r="Q615" s="92"/>
      <c r="R615" s="54"/>
      <c r="S615" s="92"/>
      <c r="T615" s="117"/>
      <c r="U615" s="92"/>
      <c r="V615" s="54"/>
      <c r="W615" s="92"/>
      <c r="X615" s="54"/>
      <c r="Y615" s="92"/>
      <c r="Z615" s="54"/>
      <c r="AA615" s="92"/>
      <c r="AB615" s="54"/>
      <c r="AC615" s="92"/>
      <c r="AD615" s="54"/>
      <c r="AE615" s="92"/>
      <c r="AF615" s="54"/>
      <c r="AG615" s="92"/>
      <c r="AH615" s="54"/>
      <c r="AI615" s="92"/>
      <c r="AJ615" s="54"/>
      <c r="AK615" s="92"/>
      <c r="AL615" s="54"/>
      <c r="AM615" s="92"/>
      <c r="AO615" s="54"/>
      <c r="AP615" s="123"/>
      <c r="AQ615" s="54"/>
      <c r="AR615" s="154"/>
      <c r="AS615" s="1"/>
      <c r="AT615" s="1"/>
      <c r="AU615" s="9"/>
    </row>
    <row r="616">
      <c r="A616" s="54"/>
      <c r="B616" s="71" t="str">
        <f>IFERROR(HYPERLINK(VLOOKUP(A616,Internal_lists_bugs!$A$2:$C$73,3,FALSE()), VLOOKUP(A616,Internal_lists_bugs!$A$2:$C$73,3,FALSE())&amp;Char(10) &amp; Char(10) &amp; VLOOKUP(A616,Internal_lists_bugs!$A$2:$Z$73,26,FALSE())),"please select a BUG ID")</f>
        <v>please select a BUG ID</v>
      </c>
      <c r="C616" s="51" t="str">
        <f>IFERROR(VLOOKUP(A616,Internal_lists_bugs!$A$2:$G2002,7,FALSE()),"please select a BUG ID")</f>
        <v>please select a BUG ID</v>
      </c>
      <c r="D616" s="54"/>
      <c r="E616" s="56"/>
      <c r="F616" s="54"/>
      <c r="G616" s="56"/>
      <c r="H616" s="54"/>
      <c r="I616" s="56"/>
      <c r="J616" s="54"/>
      <c r="K616" s="92"/>
      <c r="L616" s="54"/>
      <c r="M616" s="92"/>
      <c r="N616" s="54"/>
      <c r="O616" s="92"/>
      <c r="P616" s="54"/>
      <c r="Q616" s="92"/>
      <c r="R616" s="54"/>
      <c r="S616" s="92"/>
      <c r="T616" s="117"/>
      <c r="U616" s="92"/>
      <c r="V616" s="54"/>
      <c r="W616" s="92"/>
      <c r="X616" s="54"/>
      <c r="Y616" s="92"/>
      <c r="Z616" s="54"/>
      <c r="AA616" s="92"/>
      <c r="AB616" s="54"/>
      <c r="AC616" s="92"/>
      <c r="AD616" s="54"/>
      <c r="AE616" s="92"/>
      <c r="AF616" s="54"/>
      <c r="AG616" s="92"/>
      <c r="AH616" s="54"/>
      <c r="AI616" s="92"/>
      <c r="AJ616" s="54"/>
      <c r="AK616" s="92"/>
      <c r="AL616" s="54"/>
      <c r="AM616" s="92"/>
      <c r="AO616" s="54"/>
      <c r="AP616" s="123"/>
      <c r="AQ616" s="54"/>
      <c r="AR616" s="154"/>
      <c r="AS616" s="1"/>
      <c r="AT616" s="1"/>
      <c r="AU616" s="9"/>
    </row>
    <row r="617">
      <c r="A617" s="54"/>
      <c r="B617" s="71" t="str">
        <f>IFERROR(HYPERLINK(VLOOKUP(A617,Internal_lists_bugs!$A$2:$C$73,3,FALSE()), VLOOKUP(A617,Internal_lists_bugs!$A$2:$C$73,3,FALSE())&amp;Char(10) &amp; Char(10) &amp; VLOOKUP(A617,Internal_lists_bugs!$A$2:$Z$73,26,FALSE())),"please select a BUG ID")</f>
        <v>please select a BUG ID</v>
      </c>
      <c r="C617" s="51" t="str">
        <f>IFERROR(VLOOKUP(A617,Internal_lists_bugs!$A$2:$G2002,7,FALSE()),"please select a BUG ID")</f>
        <v>please select a BUG ID</v>
      </c>
      <c r="D617" s="54"/>
      <c r="E617" s="56"/>
      <c r="F617" s="54"/>
      <c r="G617" s="56"/>
      <c r="H617" s="54"/>
      <c r="I617" s="56"/>
      <c r="J617" s="54"/>
      <c r="K617" s="92"/>
      <c r="L617" s="54"/>
      <c r="M617" s="92"/>
      <c r="N617" s="54"/>
      <c r="O617" s="92"/>
      <c r="P617" s="54"/>
      <c r="Q617" s="92"/>
      <c r="R617" s="54"/>
      <c r="S617" s="92"/>
      <c r="T617" s="117"/>
      <c r="U617" s="92"/>
      <c r="V617" s="54"/>
      <c r="W617" s="92"/>
      <c r="X617" s="54"/>
      <c r="Y617" s="92"/>
      <c r="Z617" s="54"/>
      <c r="AA617" s="92"/>
      <c r="AB617" s="54"/>
      <c r="AC617" s="92"/>
      <c r="AD617" s="54"/>
      <c r="AE617" s="92"/>
      <c r="AF617" s="54"/>
      <c r="AG617" s="92"/>
      <c r="AH617" s="54"/>
      <c r="AI617" s="92"/>
      <c r="AJ617" s="54"/>
      <c r="AK617" s="92"/>
      <c r="AL617" s="54"/>
      <c r="AM617" s="92"/>
      <c r="AO617" s="54"/>
      <c r="AP617" s="123"/>
      <c r="AQ617" s="54"/>
      <c r="AR617" s="154"/>
      <c r="AS617" s="1"/>
      <c r="AT617" s="1"/>
      <c r="AU617" s="9"/>
    </row>
    <row r="618">
      <c r="A618" s="54"/>
      <c r="B618" s="71" t="str">
        <f>IFERROR(HYPERLINK(VLOOKUP(A618,Internal_lists_bugs!$A$2:$C$73,3,FALSE()), VLOOKUP(A618,Internal_lists_bugs!$A$2:$C$73,3,FALSE())&amp;Char(10) &amp; Char(10) &amp; VLOOKUP(A618,Internal_lists_bugs!$A$2:$Z$73,26,FALSE())),"please select a BUG ID")</f>
        <v>please select a BUG ID</v>
      </c>
      <c r="C618" s="51" t="str">
        <f>IFERROR(VLOOKUP(A618,Internal_lists_bugs!$A$2:$G2002,7,FALSE()),"please select a BUG ID")</f>
        <v>please select a BUG ID</v>
      </c>
      <c r="D618" s="54"/>
      <c r="E618" s="56"/>
      <c r="F618" s="54"/>
      <c r="G618" s="56"/>
      <c r="H618" s="54"/>
      <c r="I618" s="56"/>
      <c r="J618" s="54"/>
      <c r="K618" s="92"/>
      <c r="L618" s="54"/>
      <c r="M618" s="92"/>
      <c r="N618" s="54"/>
      <c r="O618" s="92"/>
      <c r="P618" s="54"/>
      <c r="Q618" s="92"/>
      <c r="R618" s="54"/>
      <c r="S618" s="92"/>
      <c r="T618" s="117"/>
      <c r="U618" s="92"/>
      <c r="V618" s="54"/>
      <c r="W618" s="92"/>
      <c r="X618" s="54"/>
      <c r="Y618" s="92"/>
      <c r="Z618" s="54"/>
      <c r="AA618" s="92"/>
      <c r="AB618" s="54"/>
      <c r="AC618" s="92"/>
      <c r="AD618" s="54"/>
      <c r="AE618" s="92"/>
      <c r="AF618" s="54"/>
      <c r="AG618" s="92"/>
      <c r="AH618" s="54"/>
      <c r="AI618" s="92"/>
      <c r="AJ618" s="54"/>
      <c r="AK618" s="92"/>
      <c r="AL618" s="54"/>
      <c r="AM618" s="92"/>
      <c r="AO618" s="54"/>
      <c r="AP618" s="123"/>
      <c r="AQ618" s="54"/>
      <c r="AR618" s="154"/>
      <c r="AS618" s="1"/>
      <c r="AT618" s="1"/>
      <c r="AU618" s="9"/>
    </row>
    <row r="619">
      <c r="A619" s="54"/>
      <c r="B619" s="71" t="str">
        <f>IFERROR(HYPERLINK(VLOOKUP(A619,Internal_lists_bugs!$A$2:$C$73,3,FALSE()), VLOOKUP(A619,Internal_lists_bugs!$A$2:$C$73,3,FALSE())&amp;Char(10) &amp; Char(10) &amp; VLOOKUP(A619,Internal_lists_bugs!$A$2:$Z$73,26,FALSE())),"please select a BUG ID")</f>
        <v>please select a BUG ID</v>
      </c>
      <c r="C619" s="51" t="str">
        <f>IFERROR(VLOOKUP(A619,Internal_lists_bugs!$A$2:$G2002,7,FALSE()),"please select a BUG ID")</f>
        <v>please select a BUG ID</v>
      </c>
      <c r="D619" s="54"/>
      <c r="E619" s="56"/>
      <c r="F619" s="54"/>
      <c r="G619" s="56"/>
      <c r="H619" s="54"/>
      <c r="I619" s="56"/>
      <c r="J619" s="54"/>
      <c r="K619" s="92"/>
      <c r="L619" s="54"/>
      <c r="M619" s="92"/>
      <c r="N619" s="54"/>
      <c r="O619" s="92"/>
      <c r="P619" s="54"/>
      <c r="Q619" s="92"/>
      <c r="R619" s="54"/>
      <c r="S619" s="92"/>
      <c r="T619" s="117"/>
      <c r="U619" s="92"/>
      <c r="V619" s="54"/>
      <c r="W619" s="92"/>
      <c r="X619" s="54"/>
      <c r="Y619" s="92"/>
      <c r="Z619" s="54"/>
      <c r="AA619" s="92"/>
      <c r="AB619" s="54"/>
      <c r="AC619" s="92"/>
      <c r="AD619" s="54"/>
      <c r="AE619" s="92"/>
      <c r="AF619" s="54"/>
      <c r="AG619" s="92"/>
      <c r="AH619" s="54"/>
      <c r="AI619" s="92"/>
      <c r="AJ619" s="54"/>
      <c r="AK619" s="92"/>
      <c r="AL619" s="54"/>
      <c r="AM619" s="92"/>
      <c r="AO619" s="54"/>
      <c r="AP619" s="123"/>
      <c r="AQ619" s="54"/>
      <c r="AR619" s="154"/>
      <c r="AS619" s="1"/>
      <c r="AT619" s="1"/>
      <c r="AU619" s="9"/>
    </row>
    <row r="620">
      <c r="A620" s="54"/>
      <c r="B620" s="71" t="str">
        <f>IFERROR(HYPERLINK(VLOOKUP(A620,Internal_lists_bugs!$A$2:$C$73,3,FALSE()), VLOOKUP(A620,Internal_lists_bugs!$A$2:$C$73,3,FALSE())&amp;Char(10) &amp; Char(10) &amp; VLOOKUP(A620,Internal_lists_bugs!$A$2:$Z$73,26,FALSE())),"please select a BUG ID")</f>
        <v>please select a BUG ID</v>
      </c>
      <c r="C620" s="51" t="str">
        <f>IFERROR(VLOOKUP(A620,Internal_lists_bugs!$A$2:$G2002,7,FALSE()),"please select a BUG ID")</f>
        <v>please select a BUG ID</v>
      </c>
      <c r="D620" s="54"/>
      <c r="E620" s="56"/>
      <c r="F620" s="54"/>
      <c r="G620" s="56"/>
      <c r="H620" s="54"/>
      <c r="I620" s="56"/>
      <c r="J620" s="54"/>
      <c r="K620" s="92"/>
      <c r="L620" s="54"/>
      <c r="M620" s="92"/>
      <c r="N620" s="54"/>
      <c r="O620" s="92"/>
      <c r="P620" s="54"/>
      <c r="Q620" s="92"/>
      <c r="R620" s="54"/>
      <c r="S620" s="92"/>
      <c r="T620" s="117"/>
      <c r="U620" s="92"/>
      <c r="V620" s="54"/>
      <c r="W620" s="92"/>
      <c r="X620" s="54"/>
      <c r="Y620" s="92"/>
      <c r="Z620" s="54"/>
      <c r="AA620" s="92"/>
      <c r="AB620" s="54"/>
      <c r="AC620" s="92"/>
      <c r="AD620" s="54"/>
      <c r="AE620" s="92"/>
      <c r="AF620" s="54"/>
      <c r="AG620" s="92"/>
      <c r="AH620" s="54"/>
      <c r="AI620" s="92"/>
      <c r="AJ620" s="54"/>
      <c r="AK620" s="92"/>
      <c r="AL620" s="54"/>
      <c r="AM620" s="92"/>
      <c r="AO620" s="54"/>
      <c r="AP620" s="123"/>
      <c r="AQ620" s="54"/>
      <c r="AR620" s="154"/>
      <c r="AS620" s="1"/>
      <c r="AT620" s="1"/>
      <c r="AU620" s="9"/>
    </row>
    <row r="621">
      <c r="A621" s="54"/>
      <c r="B621" s="71" t="str">
        <f>IFERROR(HYPERLINK(VLOOKUP(A621,Internal_lists_bugs!$A$2:$C$73,3,FALSE()), VLOOKUP(A621,Internal_lists_bugs!$A$2:$C$73,3,FALSE())&amp;Char(10) &amp; Char(10) &amp; VLOOKUP(A621,Internal_lists_bugs!$A$2:$Z$73,26,FALSE())),"please select a BUG ID")</f>
        <v>please select a BUG ID</v>
      </c>
      <c r="C621" s="51" t="str">
        <f>IFERROR(VLOOKUP(A621,Internal_lists_bugs!$A$2:$G2002,7,FALSE()),"please select a BUG ID")</f>
        <v>please select a BUG ID</v>
      </c>
      <c r="D621" s="54"/>
      <c r="E621" s="56"/>
      <c r="F621" s="54"/>
      <c r="G621" s="56"/>
      <c r="H621" s="54"/>
      <c r="I621" s="56"/>
      <c r="J621" s="54"/>
      <c r="K621" s="92"/>
      <c r="L621" s="54"/>
      <c r="M621" s="92"/>
      <c r="N621" s="54"/>
      <c r="O621" s="92"/>
      <c r="P621" s="54"/>
      <c r="Q621" s="92"/>
      <c r="R621" s="54"/>
      <c r="S621" s="92"/>
      <c r="T621" s="117"/>
      <c r="U621" s="92"/>
      <c r="V621" s="54"/>
      <c r="W621" s="92"/>
      <c r="X621" s="54"/>
      <c r="Y621" s="92"/>
      <c r="Z621" s="54"/>
      <c r="AA621" s="92"/>
      <c r="AB621" s="54"/>
      <c r="AC621" s="92"/>
      <c r="AD621" s="54"/>
      <c r="AE621" s="92"/>
      <c r="AF621" s="54"/>
      <c r="AG621" s="92"/>
      <c r="AH621" s="54"/>
      <c r="AI621" s="92"/>
      <c r="AJ621" s="54"/>
      <c r="AK621" s="92"/>
      <c r="AL621" s="54"/>
      <c r="AM621" s="92"/>
      <c r="AO621" s="54"/>
      <c r="AP621" s="123"/>
      <c r="AQ621" s="54"/>
      <c r="AR621" s="154"/>
      <c r="AS621" s="1"/>
      <c r="AT621" s="1"/>
      <c r="AU621" s="9"/>
    </row>
    <row r="622">
      <c r="A622" s="54"/>
      <c r="B622" s="71" t="str">
        <f>IFERROR(HYPERLINK(VLOOKUP(A622,Internal_lists_bugs!$A$2:$C$73,3,FALSE()), VLOOKUP(A622,Internal_lists_bugs!$A$2:$C$73,3,FALSE())&amp;Char(10) &amp; Char(10) &amp; VLOOKUP(A622,Internal_lists_bugs!$A$2:$Z$73,26,FALSE())),"please select a BUG ID")</f>
        <v>please select a BUG ID</v>
      </c>
      <c r="C622" s="51" t="str">
        <f>IFERROR(VLOOKUP(A622,Internal_lists_bugs!$A$2:$G2002,7,FALSE()),"please select a BUG ID")</f>
        <v>please select a BUG ID</v>
      </c>
      <c r="D622" s="54"/>
      <c r="E622" s="56"/>
      <c r="F622" s="54"/>
      <c r="G622" s="56"/>
      <c r="H622" s="54"/>
      <c r="I622" s="56"/>
      <c r="J622" s="54"/>
      <c r="K622" s="92"/>
      <c r="L622" s="54"/>
      <c r="M622" s="92"/>
      <c r="N622" s="54"/>
      <c r="O622" s="92"/>
      <c r="P622" s="54"/>
      <c r="Q622" s="92"/>
      <c r="R622" s="54"/>
      <c r="S622" s="92"/>
      <c r="T622" s="117"/>
      <c r="U622" s="92"/>
      <c r="V622" s="54"/>
      <c r="W622" s="92"/>
      <c r="X622" s="54"/>
      <c r="Y622" s="92"/>
      <c r="Z622" s="54"/>
      <c r="AA622" s="92"/>
      <c r="AB622" s="54"/>
      <c r="AC622" s="92"/>
      <c r="AD622" s="54"/>
      <c r="AE622" s="92"/>
      <c r="AF622" s="54"/>
      <c r="AG622" s="92"/>
      <c r="AH622" s="54"/>
      <c r="AI622" s="92"/>
      <c r="AJ622" s="54"/>
      <c r="AK622" s="92"/>
      <c r="AL622" s="54"/>
      <c r="AM622" s="92"/>
      <c r="AO622" s="54"/>
      <c r="AP622" s="123"/>
      <c r="AQ622" s="54"/>
      <c r="AR622" s="154"/>
      <c r="AS622" s="1"/>
      <c r="AT622" s="1"/>
      <c r="AU622" s="9"/>
    </row>
    <row r="623">
      <c r="A623" s="54"/>
      <c r="B623" s="71" t="str">
        <f>IFERROR(HYPERLINK(VLOOKUP(A623,Internal_lists_bugs!$A$2:$C$73,3,FALSE()), VLOOKUP(A623,Internal_lists_bugs!$A$2:$C$73,3,FALSE())&amp;Char(10) &amp; Char(10) &amp; VLOOKUP(A623,Internal_lists_bugs!$A$2:$Z$73,26,FALSE())),"please select a BUG ID")</f>
        <v>please select a BUG ID</v>
      </c>
      <c r="C623" s="51" t="str">
        <f>IFERROR(VLOOKUP(A623,Internal_lists_bugs!$A$2:$G2002,7,FALSE()),"please select a BUG ID")</f>
        <v>please select a BUG ID</v>
      </c>
      <c r="D623" s="54"/>
      <c r="E623" s="56"/>
      <c r="F623" s="54"/>
      <c r="G623" s="56"/>
      <c r="H623" s="54"/>
      <c r="I623" s="56"/>
      <c r="J623" s="54"/>
      <c r="K623" s="92"/>
      <c r="L623" s="54"/>
      <c r="M623" s="92"/>
      <c r="N623" s="54"/>
      <c r="O623" s="92"/>
      <c r="P623" s="54"/>
      <c r="Q623" s="92"/>
      <c r="R623" s="54"/>
      <c r="S623" s="92"/>
      <c r="T623" s="117"/>
      <c r="U623" s="92"/>
      <c r="V623" s="54"/>
      <c r="W623" s="92"/>
      <c r="X623" s="54"/>
      <c r="Y623" s="92"/>
      <c r="Z623" s="54"/>
      <c r="AA623" s="92"/>
      <c r="AB623" s="54"/>
      <c r="AC623" s="92"/>
      <c r="AD623" s="54"/>
      <c r="AE623" s="92"/>
      <c r="AF623" s="54"/>
      <c r="AG623" s="92"/>
      <c r="AH623" s="54"/>
      <c r="AI623" s="92"/>
      <c r="AJ623" s="54"/>
      <c r="AK623" s="92"/>
      <c r="AL623" s="54"/>
      <c r="AM623" s="92"/>
      <c r="AO623" s="54"/>
      <c r="AP623" s="123"/>
      <c r="AQ623" s="54"/>
      <c r="AR623" s="154"/>
      <c r="AS623" s="1"/>
      <c r="AT623" s="1"/>
      <c r="AU623" s="9"/>
    </row>
    <row r="624">
      <c r="A624" s="54"/>
      <c r="B624" s="71" t="str">
        <f>IFERROR(HYPERLINK(VLOOKUP(A624,Internal_lists_bugs!$A$2:$C$73,3,FALSE()), VLOOKUP(A624,Internal_lists_bugs!$A$2:$C$73,3,FALSE())&amp;Char(10) &amp; Char(10) &amp; VLOOKUP(A624,Internal_lists_bugs!$A$2:$Z$73,26,FALSE())),"please select a BUG ID")</f>
        <v>please select a BUG ID</v>
      </c>
      <c r="C624" s="51" t="str">
        <f>IFERROR(VLOOKUP(A624,Internal_lists_bugs!$A$2:$G2002,7,FALSE()),"please select a BUG ID")</f>
        <v>please select a BUG ID</v>
      </c>
      <c r="D624" s="54"/>
      <c r="E624" s="56"/>
      <c r="F624" s="54"/>
      <c r="G624" s="56"/>
      <c r="H624" s="54"/>
      <c r="I624" s="56"/>
      <c r="J624" s="54"/>
      <c r="K624" s="92"/>
      <c r="L624" s="54"/>
      <c r="M624" s="92"/>
      <c r="N624" s="54"/>
      <c r="O624" s="92"/>
      <c r="P624" s="54"/>
      <c r="Q624" s="92"/>
      <c r="R624" s="54"/>
      <c r="S624" s="92"/>
      <c r="T624" s="117"/>
      <c r="U624" s="92"/>
      <c r="V624" s="54"/>
      <c r="W624" s="92"/>
      <c r="X624" s="54"/>
      <c r="Y624" s="92"/>
      <c r="Z624" s="54"/>
      <c r="AA624" s="92"/>
      <c r="AB624" s="54"/>
      <c r="AC624" s="92"/>
      <c r="AD624" s="54"/>
      <c r="AE624" s="92"/>
      <c r="AF624" s="54"/>
      <c r="AG624" s="92"/>
      <c r="AH624" s="54"/>
      <c r="AI624" s="92"/>
      <c r="AJ624" s="54"/>
      <c r="AK624" s="92"/>
      <c r="AL624" s="54"/>
      <c r="AM624" s="92"/>
      <c r="AO624" s="54"/>
      <c r="AP624" s="123"/>
      <c r="AQ624" s="54"/>
      <c r="AR624" s="154"/>
      <c r="AS624" s="1"/>
      <c r="AT624" s="1"/>
      <c r="AU624" s="9"/>
    </row>
    <row r="625">
      <c r="A625" s="54"/>
      <c r="B625" s="71" t="str">
        <f>IFERROR(HYPERLINK(VLOOKUP(A625,Internal_lists_bugs!$A$2:$C$73,3,FALSE()), VLOOKUP(A625,Internal_lists_bugs!$A$2:$C$73,3,FALSE())&amp;Char(10) &amp; Char(10) &amp; VLOOKUP(A625,Internal_lists_bugs!$A$2:$Z$73,26,FALSE())),"please select a BUG ID")</f>
        <v>please select a BUG ID</v>
      </c>
      <c r="C625" s="51" t="str">
        <f>IFERROR(VLOOKUP(A625,Internal_lists_bugs!$A$2:$G2002,7,FALSE()),"please select a BUG ID")</f>
        <v>please select a BUG ID</v>
      </c>
      <c r="D625" s="54"/>
      <c r="E625" s="56"/>
      <c r="F625" s="54"/>
      <c r="G625" s="56"/>
      <c r="H625" s="54"/>
      <c r="I625" s="56"/>
      <c r="J625" s="54"/>
      <c r="K625" s="92"/>
      <c r="L625" s="54"/>
      <c r="M625" s="92"/>
      <c r="N625" s="54"/>
      <c r="O625" s="92"/>
      <c r="P625" s="54"/>
      <c r="Q625" s="92"/>
      <c r="R625" s="54"/>
      <c r="S625" s="92"/>
      <c r="T625" s="117"/>
      <c r="U625" s="92"/>
      <c r="V625" s="54"/>
      <c r="W625" s="92"/>
      <c r="X625" s="54"/>
      <c r="Y625" s="92"/>
      <c r="Z625" s="54"/>
      <c r="AA625" s="92"/>
      <c r="AB625" s="54"/>
      <c r="AC625" s="92"/>
      <c r="AD625" s="54"/>
      <c r="AE625" s="92"/>
      <c r="AF625" s="54"/>
      <c r="AG625" s="92"/>
      <c r="AH625" s="54"/>
      <c r="AI625" s="92"/>
      <c r="AJ625" s="54"/>
      <c r="AK625" s="92"/>
      <c r="AL625" s="54"/>
      <c r="AM625" s="92"/>
      <c r="AO625" s="54"/>
      <c r="AP625" s="123"/>
      <c r="AQ625" s="54"/>
      <c r="AR625" s="154"/>
      <c r="AS625" s="1"/>
      <c r="AT625" s="1"/>
      <c r="AU625" s="9"/>
    </row>
    <row r="626">
      <c r="A626" s="54"/>
      <c r="B626" s="71" t="str">
        <f>IFERROR(HYPERLINK(VLOOKUP(A626,Internal_lists_bugs!$A$2:$C$73,3,FALSE()), VLOOKUP(A626,Internal_lists_bugs!$A$2:$C$73,3,FALSE())&amp;Char(10) &amp; Char(10) &amp; VLOOKUP(A626,Internal_lists_bugs!$A$2:$Z$73,26,FALSE())),"please select a BUG ID")</f>
        <v>please select a BUG ID</v>
      </c>
      <c r="C626" s="51" t="str">
        <f>IFERROR(VLOOKUP(A626,Internal_lists_bugs!$A$2:$G2002,7,FALSE()),"please select a BUG ID")</f>
        <v>please select a BUG ID</v>
      </c>
      <c r="D626" s="54"/>
      <c r="E626" s="56"/>
      <c r="F626" s="54"/>
      <c r="G626" s="56"/>
      <c r="H626" s="54"/>
      <c r="I626" s="56"/>
      <c r="J626" s="54"/>
      <c r="K626" s="92"/>
      <c r="L626" s="54"/>
      <c r="M626" s="92"/>
      <c r="N626" s="54"/>
      <c r="O626" s="92"/>
      <c r="P626" s="54"/>
      <c r="Q626" s="92"/>
      <c r="R626" s="54"/>
      <c r="S626" s="92"/>
      <c r="T626" s="117"/>
      <c r="U626" s="92"/>
      <c r="V626" s="54"/>
      <c r="W626" s="92"/>
      <c r="X626" s="54"/>
      <c r="Y626" s="92"/>
      <c r="Z626" s="54"/>
      <c r="AA626" s="92"/>
      <c r="AB626" s="54"/>
      <c r="AC626" s="92"/>
      <c r="AD626" s="54"/>
      <c r="AE626" s="92"/>
      <c r="AF626" s="54"/>
      <c r="AG626" s="92"/>
      <c r="AH626" s="54"/>
      <c r="AI626" s="92"/>
      <c r="AJ626" s="54"/>
      <c r="AK626" s="92"/>
      <c r="AL626" s="54"/>
      <c r="AM626" s="92"/>
      <c r="AO626" s="54"/>
      <c r="AP626" s="123"/>
      <c r="AQ626" s="54"/>
      <c r="AR626" s="154"/>
      <c r="AS626" s="1"/>
      <c r="AT626" s="1"/>
      <c r="AU626" s="9"/>
    </row>
    <row r="627">
      <c r="A627" s="54"/>
      <c r="B627" s="71" t="str">
        <f>IFERROR(HYPERLINK(VLOOKUP(A627,Internal_lists_bugs!$A$2:$C$73,3,FALSE()), VLOOKUP(A627,Internal_lists_bugs!$A$2:$C$73,3,FALSE())&amp;Char(10) &amp; Char(10) &amp; VLOOKUP(A627,Internal_lists_bugs!$A$2:$Z$73,26,FALSE())),"please select a BUG ID")</f>
        <v>please select a BUG ID</v>
      </c>
      <c r="C627" s="51" t="str">
        <f>IFERROR(VLOOKUP(A627,Internal_lists_bugs!$A$2:$G2002,7,FALSE()),"please select a BUG ID")</f>
        <v>please select a BUG ID</v>
      </c>
      <c r="D627" s="54"/>
      <c r="E627" s="56"/>
      <c r="F627" s="54"/>
      <c r="G627" s="56"/>
      <c r="H627" s="54"/>
      <c r="I627" s="56"/>
      <c r="J627" s="54"/>
      <c r="K627" s="92"/>
      <c r="L627" s="54"/>
      <c r="M627" s="92"/>
      <c r="N627" s="54"/>
      <c r="O627" s="92"/>
      <c r="P627" s="54"/>
      <c r="Q627" s="92"/>
      <c r="R627" s="54"/>
      <c r="S627" s="92"/>
      <c r="T627" s="117"/>
      <c r="U627" s="92"/>
      <c r="V627" s="54"/>
      <c r="W627" s="92"/>
      <c r="X627" s="54"/>
      <c r="Y627" s="92"/>
      <c r="Z627" s="54"/>
      <c r="AA627" s="92"/>
      <c r="AB627" s="54"/>
      <c r="AC627" s="92"/>
      <c r="AD627" s="54"/>
      <c r="AE627" s="92"/>
      <c r="AF627" s="54"/>
      <c r="AG627" s="92"/>
      <c r="AH627" s="54"/>
      <c r="AI627" s="92"/>
      <c r="AJ627" s="54"/>
      <c r="AK627" s="92"/>
      <c r="AL627" s="54"/>
      <c r="AM627" s="92"/>
      <c r="AO627" s="54"/>
      <c r="AP627" s="123"/>
      <c r="AQ627" s="54"/>
      <c r="AR627" s="154"/>
      <c r="AS627" s="1"/>
      <c r="AT627" s="1"/>
      <c r="AU627" s="9"/>
    </row>
    <row r="628">
      <c r="A628" s="54"/>
      <c r="B628" s="71" t="str">
        <f>IFERROR(HYPERLINK(VLOOKUP(A628,Internal_lists_bugs!$A$2:$C$73,3,FALSE()), VLOOKUP(A628,Internal_lists_bugs!$A$2:$C$73,3,FALSE())&amp;Char(10) &amp; Char(10) &amp; VLOOKUP(A628,Internal_lists_bugs!$A$2:$Z$73,26,FALSE())),"please select a BUG ID")</f>
        <v>please select a BUG ID</v>
      </c>
      <c r="C628" s="51" t="str">
        <f>IFERROR(VLOOKUP(A628,Internal_lists_bugs!$A$2:$G2002,7,FALSE()),"please select a BUG ID")</f>
        <v>please select a BUG ID</v>
      </c>
      <c r="D628" s="54"/>
      <c r="E628" s="56"/>
      <c r="F628" s="54"/>
      <c r="G628" s="56"/>
      <c r="H628" s="54"/>
      <c r="I628" s="56"/>
      <c r="J628" s="54"/>
      <c r="K628" s="92"/>
      <c r="L628" s="54"/>
      <c r="M628" s="92"/>
      <c r="N628" s="54"/>
      <c r="O628" s="92"/>
      <c r="P628" s="54"/>
      <c r="Q628" s="92"/>
      <c r="R628" s="54"/>
      <c r="S628" s="92"/>
      <c r="T628" s="117"/>
      <c r="U628" s="92"/>
      <c r="V628" s="54"/>
      <c r="W628" s="92"/>
      <c r="X628" s="54"/>
      <c r="Y628" s="92"/>
      <c r="Z628" s="54"/>
      <c r="AA628" s="92"/>
      <c r="AB628" s="54"/>
      <c r="AC628" s="92"/>
      <c r="AD628" s="54"/>
      <c r="AE628" s="92"/>
      <c r="AF628" s="54"/>
      <c r="AG628" s="92"/>
      <c r="AH628" s="54"/>
      <c r="AI628" s="92"/>
      <c r="AJ628" s="54"/>
      <c r="AK628" s="92"/>
      <c r="AL628" s="54"/>
      <c r="AM628" s="92"/>
      <c r="AO628" s="54"/>
      <c r="AP628" s="123"/>
      <c r="AQ628" s="54"/>
      <c r="AR628" s="154"/>
      <c r="AS628" s="1"/>
      <c r="AT628" s="1"/>
      <c r="AU628" s="9"/>
    </row>
    <row r="629">
      <c r="A629" s="54"/>
      <c r="B629" s="71" t="str">
        <f>IFERROR(HYPERLINK(VLOOKUP(A629,Internal_lists_bugs!$A$2:$C$73,3,FALSE()), VLOOKUP(A629,Internal_lists_bugs!$A$2:$C$73,3,FALSE())&amp;Char(10) &amp; Char(10) &amp; VLOOKUP(A629,Internal_lists_bugs!$A$2:$Z$73,26,FALSE())),"please select a BUG ID")</f>
        <v>please select a BUG ID</v>
      </c>
      <c r="C629" s="51" t="str">
        <f>IFERROR(VLOOKUP(A629,Internal_lists_bugs!$A$2:$G2002,7,FALSE()),"please select a BUG ID")</f>
        <v>please select a BUG ID</v>
      </c>
      <c r="D629" s="54"/>
      <c r="E629" s="56"/>
      <c r="F629" s="54"/>
      <c r="G629" s="56"/>
      <c r="H629" s="54"/>
      <c r="I629" s="56"/>
      <c r="J629" s="54"/>
      <c r="K629" s="92"/>
      <c r="L629" s="54"/>
      <c r="M629" s="92"/>
      <c r="N629" s="54"/>
      <c r="O629" s="92"/>
      <c r="P629" s="54"/>
      <c r="Q629" s="92"/>
      <c r="R629" s="54"/>
      <c r="S629" s="92"/>
      <c r="T629" s="117"/>
      <c r="U629" s="92"/>
      <c r="V629" s="54"/>
      <c r="W629" s="92"/>
      <c r="X629" s="54"/>
      <c r="Y629" s="92"/>
      <c r="Z629" s="54"/>
      <c r="AA629" s="92"/>
      <c r="AB629" s="54"/>
      <c r="AC629" s="92"/>
      <c r="AD629" s="54"/>
      <c r="AE629" s="92"/>
      <c r="AF629" s="54"/>
      <c r="AG629" s="92"/>
      <c r="AH629" s="54"/>
      <c r="AI629" s="92"/>
      <c r="AJ629" s="54"/>
      <c r="AK629" s="92"/>
      <c r="AL629" s="54"/>
      <c r="AM629" s="92"/>
      <c r="AO629" s="54"/>
      <c r="AP629" s="123"/>
      <c r="AQ629" s="54"/>
      <c r="AR629" s="154"/>
      <c r="AS629" s="1"/>
      <c r="AT629" s="1"/>
      <c r="AU629" s="9"/>
    </row>
    <row r="630">
      <c r="A630" s="54"/>
      <c r="B630" s="71" t="str">
        <f>IFERROR(HYPERLINK(VLOOKUP(A630,Internal_lists_bugs!$A$2:$C$73,3,FALSE()), VLOOKUP(A630,Internal_lists_bugs!$A$2:$C$73,3,FALSE())&amp;Char(10) &amp; Char(10) &amp; VLOOKUP(A630,Internal_lists_bugs!$A$2:$Z$73,26,FALSE())),"please select a BUG ID")</f>
        <v>please select a BUG ID</v>
      </c>
      <c r="C630" s="51" t="str">
        <f>IFERROR(VLOOKUP(A630,Internal_lists_bugs!$A$2:$G2002,7,FALSE()),"please select a BUG ID")</f>
        <v>please select a BUG ID</v>
      </c>
      <c r="D630" s="54"/>
      <c r="E630" s="56"/>
      <c r="F630" s="54"/>
      <c r="G630" s="56"/>
      <c r="H630" s="54"/>
      <c r="I630" s="56"/>
      <c r="J630" s="54"/>
      <c r="K630" s="92"/>
      <c r="L630" s="54"/>
      <c r="M630" s="92"/>
      <c r="N630" s="54"/>
      <c r="O630" s="92"/>
      <c r="P630" s="54"/>
      <c r="Q630" s="92"/>
      <c r="R630" s="54"/>
      <c r="S630" s="92"/>
      <c r="T630" s="117"/>
      <c r="U630" s="92"/>
      <c r="V630" s="54"/>
      <c r="W630" s="92"/>
      <c r="X630" s="54"/>
      <c r="Y630" s="92"/>
      <c r="Z630" s="54"/>
      <c r="AA630" s="92"/>
      <c r="AB630" s="54"/>
      <c r="AC630" s="92"/>
      <c r="AD630" s="54"/>
      <c r="AE630" s="92"/>
      <c r="AF630" s="54"/>
      <c r="AG630" s="92"/>
      <c r="AH630" s="54"/>
      <c r="AI630" s="92"/>
      <c r="AJ630" s="54"/>
      <c r="AK630" s="92"/>
      <c r="AL630" s="54"/>
      <c r="AM630" s="92"/>
      <c r="AO630" s="54"/>
      <c r="AP630" s="123"/>
      <c r="AQ630" s="54"/>
      <c r="AR630" s="154"/>
      <c r="AS630" s="1"/>
      <c r="AT630" s="1"/>
      <c r="AU630" s="9"/>
    </row>
    <row r="631">
      <c r="A631" s="54"/>
      <c r="B631" s="71" t="str">
        <f>IFERROR(HYPERLINK(VLOOKUP(A631,Internal_lists_bugs!$A$2:$C$73,3,FALSE()), VLOOKUP(A631,Internal_lists_bugs!$A$2:$C$73,3,FALSE())&amp;Char(10) &amp; Char(10) &amp; VLOOKUP(A631,Internal_lists_bugs!$A$2:$Z$73,26,FALSE())),"please select a BUG ID")</f>
        <v>please select a BUG ID</v>
      </c>
      <c r="C631" s="51" t="str">
        <f>IFERROR(VLOOKUP(A631,Internal_lists_bugs!$A$2:$G2002,7,FALSE()),"please select a BUG ID")</f>
        <v>please select a BUG ID</v>
      </c>
      <c r="D631" s="54"/>
      <c r="E631" s="56"/>
      <c r="F631" s="54"/>
      <c r="G631" s="56"/>
      <c r="H631" s="54"/>
      <c r="I631" s="56"/>
      <c r="J631" s="54"/>
      <c r="K631" s="92"/>
      <c r="L631" s="54"/>
      <c r="M631" s="92"/>
      <c r="N631" s="54"/>
      <c r="O631" s="92"/>
      <c r="P631" s="54"/>
      <c r="Q631" s="92"/>
      <c r="R631" s="54"/>
      <c r="S631" s="92"/>
      <c r="T631" s="117"/>
      <c r="U631" s="92"/>
      <c r="V631" s="54"/>
      <c r="W631" s="92"/>
      <c r="X631" s="54"/>
      <c r="Y631" s="92"/>
      <c r="Z631" s="54"/>
      <c r="AA631" s="92"/>
      <c r="AB631" s="54"/>
      <c r="AC631" s="92"/>
      <c r="AD631" s="54"/>
      <c r="AE631" s="92"/>
      <c r="AF631" s="54"/>
      <c r="AG631" s="92"/>
      <c r="AH631" s="54"/>
      <c r="AI631" s="92"/>
      <c r="AJ631" s="54"/>
      <c r="AK631" s="92"/>
      <c r="AL631" s="54"/>
      <c r="AM631" s="92"/>
      <c r="AO631" s="54"/>
      <c r="AP631" s="123"/>
      <c r="AQ631" s="54"/>
      <c r="AR631" s="154"/>
      <c r="AS631" s="1"/>
      <c r="AT631" s="1"/>
      <c r="AU631" s="9"/>
    </row>
    <row r="632">
      <c r="A632" s="54"/>
      <c r="B632" s="71" t="str">
        <f>IFERROR(HYPERLINK(VLOOKUP(A632,Internal_lists_bugs!$A$2:$C$73,3,FALSE()), VLOOKUP(A632,Internal_lists_bugs!$A$2:$C$73,3,FALSE())&amp;Char(10) &amp; Char(10) &amp; VLOOKUP(A632,Internal_lists_bugs!$A$2:$Z$73,26,FALSE())),"please select a BUG ID")</f>
        <v>please select a BUG ID</v>
      </c>
      <c r="C632" s="51" t="str">
        <f>IFERROR(VLOOKUP(A632,Internal_lists_bugs!$A$2:$G2002,7,FALSE()),"please select a BUG ID")</f>
        <v>please select a BUG ID</v>
      </c>
      <c r="D632" s="54"/>
      <c r="E632" s="56"/>
      <c r="F632" s="54"/>
      <c r="G632" s="56"/>
      <c r="H632" s="54"/>
      <c r="I632" s="56"/>
      <c r="J632" s="54"/>
      <c r="K632" s="92"/>
      <c r="L632" s="54"/>
      <c r="M632" s="92"/>
      <c r="N632" s="54"/>
      <c r="O632" s="92"/>
      <c r="P632" s="54"/>
      <c r="Q632" s="92"/>
      <c r="R632" s="54"/>
      <c r="S632" s="92"/>
      <c r="T632" s="117"/>
      <c r="U632" s="92"/>
      <c r="V632" s="54"/>
      <c r="W632" s="92"/>
      <c r="X632" s="54"/>
      <c r="Y632" s="92"/>
      <c r="Z632" s="54"/>
      <c r="AA632" s="92"/>
      <c r="AB632" s="54"/>
      <c r="AC632" s="92"/>
      <c r="AD632" s="54"/>
      <c r="AE632" s="92"/>
      <c r="AF632" s="54"/>
      <c r="AG632" s="92"/>
      <c r="AH632" s="54"/>
      <c r="AI632" s="92"/>
      <c r="AJ632" s="54"/>
      <c r="AK632" s="92"/>
      <c r="AL632" s="54"/>
      <c r="AM632" s="92"/>
      <c r="AO632" s="54"/>
      <c r="AP632" s="123"/>
      <c r="AQ632" s="54"/>
      <c r="AR632" s="154"/>
      <c r="AS632" s="1"/>
      <c r="AT632" s="1"/>
      <c r="AU632" s="9"/>
    </row>
    <row r="633">
      <c r="A633" s="54"/>
      <c r="B633" s="71" t="str">
        <f>IFERROR(HYPERLINK(VLOOKUP(A633,Internal_lists_bugs!$A$2:$C$73,3,FALSE()), VLOOKUP(A633,Internal_lists_bugs!$A$2:$C$73,3,FALSE())&amp;Char(10) &amp; Char(10) &amp; VLOOKUP(A633,Internal_lists_bugs!$A$2:$Z$73,26,FALSE())),"please select a BUG ID")</f>
        <v>please select a BUG ID</v>
      </c>
      <c r="C633" s="51" t="str">
        <f>IFERROR(VLOOKUP(A633,Internal_lists_bugs!$A$2:$G2002,7,FALSE()),"please select a BUG ID")</f>
        <v>please select a BUG ID</v>
      </c>
      <c r="D633" s="54"/>
      <c r="E633" s="56"/>
      <c r="F633" s="54"/>
      <c r="G633" s="56"/>
      <c r="H633" s="54"/>
      <c r="I633" s="56"/>
      <c r="J633" s="54"/>
      <c r="K633" s="92"/>
      <c r="L633" s="54"/>
      <c r="M633" s="92"/>
      <c r="N633" s="54"/>
      <c r="O633" s="92"/>
      <c r="P633" s="54"/>
      <c r="Q633" s="92"/>
      <c r="R633" s="54"/>
      <c r="S633" s="92"/>
      <c r="T633" s="117"/>
      <c r="U633" s="92"/>
      <c r="V633" s="54"/>
      <c r="W633" s="92"/>
      <c r="X633" s="54"/>
      <c r="Y633" s="92"/>
      <c r="Z633" s="54"/>
      <c r="AA633" s="92"/>
      <c r="AB633" s="54"/>
      <c r="AC633" s="92"/>
      <c r="AD633" s="54"/>
      <c r="AE633" s="92"/>
      <c r="AF633" s="54"/>
      <c r="AG633" s="92"/>
      <c r="AH633" s="54"/>
      <c r="AI633" s="92"/>
      <c r="AJ633" s="54"/>
      <c r="AK633" s="92"/>
      <c r="AL633" s="54"/>
      <c r="AM633" s="92"/>
      <c r="AO633" s="54"/>
      <c r="AP633" s="123"/>
      <c r="AQ633" s="54"/>
      <c r="AR633" s="154"/>
      <c r="AS633" s="1"/>
      <c r="AT633" s="1"/>
      <c r="AU633" s="9"/>
    </row>
    <row r="634">
      <c r="A634" s="54"/>
      <c r="B634" s="71" t="str">
        <f>IFERROR(HYPERLINK(VLOOKUP(A634,Internal_lists_bugs!$A$2:$C$73,3,FALSE()), VLOOKUP(A634,Internal_lists_bugs!$A$2:$C$73,3,FALSE())&amp;Char(10) &amp; Char(10) &amp; VLOOKUP(A634,Internal_lists_bugs!$A$2:$Z$73,26,FALSE())),"please select a BUG ID")</f>
        <v>please select a BUG ID</v>
      </c>
      <c r="C634" s="51" t="str">
        <f>IFERROR(VLOOKUP(A634,Internal_lists_bugs!$A$2:$G2002,7,FALSE()),"please select a BUG ID")</f>
        <v>please select a BUG ID</v>
      </c>
      <c r="D634" s="54"/>
      <c r="E634" s="56"/>
      <c r="F634" s="54"/>
      <c r="G634" s="56"/>
      <c r="H634" s="54"/>
      <c r="I634" s="56"/>
      <c r="J634" s="54"/>
      <c r="K634" s="92"/>
      <c r="L634" s="54"/>
      <c r="M634" s="92"/>
      <c r="N634" s="54"/>
      <c r="O634" s="92"/>
      <c r="P634" s="54"/>
      <c r="Q634" s="92"/>
      <c r="R634" s="54"/>
      <c r="S634" s="92"/>
      <c r="T634" s="117"/>
      <c r="U634" s="92"/>
      <c r="V634" s="54"/>
      <c r="W634" s="92"/>
      <c r="X634" s="54"/>
      <c r="Y634" s="92"/>
      <c r="Z634" s="54"/>
      <c r="AA634" s="92"/>
      <c r="AB634" s="54"/>
      <c r="AC634" s="92"/>
      <c r="AD634" s="54"/>
      <c r="AE634" s="92"/>
      <c r="AF634" s="54"/>
      <c r="AG634" s="92"/>
      <c r="AH634" s="54"/>
      <c r="AI634" s="92"/>
      <c r="AJ634" s="54"/>
      <c r="AK634" s="92"/>
      <c r="AL634" s="54"/>
      <c r="AM634" s="92"/>
      <c r="AO634" s="54"/>
      <c r="AP634" s="123"/>
      <c r="AQ634" s="54"/>
      <c r="AR634" s="154"/>
      <c r="AS634" s="1"/>
      <c r="AT634" s="1"/>
      <c r="AU634" s="9"/>
    </row>
    <row r="635">
      <c r="A635" s="54"/>
      <c r="B635" s="71" t="str">
        <f>IFERROR(HYPERLINK(VLOOKUP(A635,Internal_lists_bugs!$A$2:$C$73,3,FALSE()), VLOOKUP(A635,Internal_lists_bugs!$A$2:$C$73,3,FALSE())&amp;Char(10) &amp; Char(10) &amp; VLOOKUP(A635,Internal_lists_bugs!$A$2:$Z$73,26,FALSE())),"please select a BUG ID")</f>
        <v>please select a BUG ID</v>
      </c>
      <c r="C635" s="51" t="str">
        <f>IFERROR(VLOOKUP(A635,Internal_lists_bugs!$A$2:$G2002,7,FALSE()),"please select a BUG ID")</f>
        <v>please select a BUG ID</v>
      </c>
      <c r="D635" s="54"/>
      <c r="E635" s="56"/>
      <c r="F635" s="54"/>
      <c r="G635" s="56"/>
      <c r="H635" s="54"/>
      <c r="I635" s="56"/>
      <c r="J635" s="54"/>
      <c r="K635" s="92"/>
      <c r="L635" s="54"/>
      <c r="M635" s="92"/>
      <c r="N635" s="54"/>
      <c r="O635" s="92"/>
      <c r="P635" s="54"/>
      <c r="Q635" s="92"/>
      <c r="R635" s="54"/>
      <c r="S635" s="92"/>
      <c r="T635" s="117"/>
      <c r="U635" s="92"/>
      <c r="V635" s="54"/>
      <c r="W635" s="92"/>
      <c r="X635" s="54"/>
      <c r="Y635" s="92"/>
      <c r="Z635" s="54"/>
      <c r="AA635" s="92"/>
      <c r="AB635" s="54"/>
      <c r="AC635" s="92"/>
      <c r="AD635" s="54"/>
      <c r="AE635" s="92"/>
      <c r="AF635" s="54"/>
      <c r="AG635" s="92"/>
      <c r="AH635" s="54"/>
      <c r="AI635" s="92"/>
      <c r="AJ635" s="54"/>
      <c r="AK635" s="92"/>
      <c r="AL635" s="54"/>
      <c r="AM635" s="92"/>
      <c r="AO635" s="54"/>
      <c r="AP635" s="123"/>
      <c r="AQ635" s="54"/>
      <c r="AR635" s="154"/>
      <c r="AS635" s="1"/>
      <c r="AT635" s="1"/>
      <c r="AU635" s="9"/>
    </row>
    <row r="636">
      <c r="A636" s="54"/>
      <c r="B636" s="71" t="str">
        <f>IFERROR(HYPERLINK(VLOOKUP(A636,Internal_lists_bugs!$A$2:$C$73,3,FALSE()), VLOOKUP(A636,Internal_lists_bugs!$A$2:$C$73,3,FALSE())&amp;Char(10) &amp; Char(10) &amp; VLOOKUP(A636,Internal_lists_bugs!$A$2:$Z$73,26,FALSE())),"please select a BUG ID")</f>
        <v>please select a BUG ID</v>
      </c>
      <c r="C636" s="51" t="str">
        <f>IFERROR(VLOOKUP(A636,Internal_lists_bugs!$A$2:$G2002,7,FALSE()),"please select a BUG ID")</f>
        <v>please select a BUG ID</v>
      </c>
      <c r="D636" s="54"/>
      <c r="E636" s="56"/>
      <c r="F636" s="54"/>
      <c r="G636" s="56"/>
      <c r="H636" s="54"/>
      <c r="I636" s="56"/>
      <c r="J636" s="54"/>
      <c r="K636" s="92"/>
      <c r="L636" s="54"/>
      <c r="M636" s="92"/>
      <c r="N636" s="54"/>
      <c r="O636" s="92"/>
      <c r="P636" s="54"/>
      <c r="Q636" s="92"/>
      <c r="R636" s="54"/>
      <c r="S636" s="92"/>
      <c r="T636" s="117"/>
      <c r="U636" s="92"/>
      <c r="V636" s="54"/>
      <c r="W636" s="92"/>
      <c r="X636" s="54"/>
      <c r="Y636" s="92"/>
      <c r="Z636" s="54"/>
      <c r="AA636" s="92"/>
      <c r="AB636" s="54"/>
      <c r="AC636" s="92"/>
      <c r="AD636" s="54"/>
      <c r="AE636" s="92"/>
      <c r="AF636" s="54"/>
      <c r="AG636" s="92"/>
      <c r="AH636" s="54"/>
      <c r="AI636" s="92"/>
      <c r="AJ636" s="54"/>
      <c r="AK636" s="92"/>
      <c r="AL636" s="54"/>
      <c r="AM636" s="92"/>
      <c r="AO636" s="54"/>
      <c r="AP636" s="123"/>
      <c r="AQ636" s="54"/>
      <c r="AR636" s="154"/>
      <c r="AS636" s="1"/>
      <c r="AT636" s="1"/>
      <c r="AU636" s="9"/>
    </row>
    <row r="637">
      <c r="A637" s="54"/>
      <c r="B637" s="71" t="str">
        <f>IFERROR(HYPERLINK(VLOOKUP(A637,Internal_lists_bugs!$A$2:$C$73,3,FALSE()), VLOOKUP(A637,Internal_lists_bugs!$A$2:$C$73,3,FALSE())&amp;Char(10) &amp; Char(10) &amp; VLOOKUP(A637,Internal_lists_bugs!$A$2:$Z$73,26,FALSE())),"please select a BUG ID")</f>
        <v>please select a BUG ID</v>
      </c>
      <c r="C637" s="51" t="str">
        <f>IFERROR(VLOOKUP(A637,Internal_lists_bugs!$A$2:$G2002,7,FALSE()),"please select a BUG ID")</f>
        <v>please select a BUG ID</v>
      </c>
      <c r="D637" s="54"/>
      <c r="E637" s="56"/>
      <c r="F637" s="54"/>
      <c r="G637" s="56"/>
      <c r="H637" s="54"/>
      <c r="I637" s="56"/>
      <c r="J637" s="54"/>
      <c r="K637" s="92"/>
      <c r="L637" s="54"/>
      <c r="M637" s="92"/>
      <c r="N637" s="54"/>
      <c r="O637" s="92"/>
      <c r="P637" s="54"/>
      <c r="Q637" s="92"/>
      <c r="R637" s="54"/>
      <c r="S637" s="92"/>
      <c r="T637" s="117"/>
      <c r="U637" s="92"/>
      <c r="V637" s="54"/>
      <c r="W637" s="92"/>
      <c r="X637" s="54"/>
      <c r="Y637" s="92"/>
      <c r="Z637" s="54"/>
      <c r="AA637" s="92"/>
      <c r="AB637" s="54"/>
      <c r="AC637" s="92"/>
      <c r="AD637" s="54"/>
      <c r="AE637" s="92"/>
      <c r="AF637" s="54"/>
      <c r="AG637" s="92"/>
      <c r="AH637" s="54"/>
      <c r="AI637" s="92"/>
      <c r="AJ637" s="54"/>
      <c r="AK637" s="92"/>
      <c r="AL637" s="54"/>
      <c r="AM637" s="92"/>
      <c r="AO637" s="54"/>
      <c r="AP637" s="123"/>
      <c r="AQ637" s="54"/>
      <c r="AR637" s="154"/>
      <c r="AS637" s="1"/>
      <c r="AT637" s="1"/>
      <c r="AU637" s="9"/>
    </row>
    <row r="638">
      <c r="A638" s="54"/>
      <c r="B638" s="71" t="str">
        <f>IFERROR(HYPERLINK(VLOOKUP(A638,Internal_lists_bugs!$A$2:$C$73,3,FALSE()), VLOOKUP(A638,Internal_lists_bugs!$A$2:$C$73,3,FALSE())&amp;Char(10) &amp; Char(10) &amp; VLOOKUP(A638,Internal_lists_bugs!$A$2:$Z$73,26,FALSE())),"please select a BUG ID")</f>
        <v>please select a BUG ID</v>
      </c>
      <c r="C638" s="51" t="str">
        <f>IFERROR(VLOOKUP(A638,Internal_lists_bugs!$A$2:$G2002,7,FALSE()),"please select a BUG ID")</f>
        <v>please select a BUG ID</v>
      </c>
      <c r="D638" s="54"/>
      <c r="E638" s="56"/>
      <c r="F638" s="54"/>
      <c r="G638" s="56"/>
      <c r="H638" s="54"/>
      <c r="I638" s="56"/>
      <c r="J638" s="54"/>
      <c r="K638" s="92"/>
      <c r="L638" s="54"/>
      <c r="M638" s="92"/>
      <c r="N638" s="54"/>
      <c r="O638" s="92"/>
      <c r="P638" s="54"/>
      <c r="Q638" s="92"/>
      <c r="R638" s="54"/>
      <c r="S638" s="92"/>
      <c r="T638" s="117"/>
      <c r="U638" s="92"/>
      <c r="V638" s="54"/>
      <c r="W638" s="92"/>
      <c r="X638" s="54"/>
      <c r="Y638" s="92"/>
      <c r="Z638" s="54"/>
      <c r="AA638" s="92"/>
      <c r="AB638" s="54"/>
      <c r="AC638" s="92"/>
      <c r="AD638" s="54"/>
      <c r="AE638" s="92"/>
      <c r="AF638" s="54"/>
      <c r="AG638" s="92"/>
      <c r="AH638" s="54"/>
      <c r="AI638" s="92"/>
      <c r="AJ638" s="54"/>
      <c r="AK638" s="92"/>
      <c r="AL638" s="54"/>
      <c r="AM638" s="92"/>
      <c r="AO638" s="54"/>
      <c r="AP638" s="123"/>
      <c r="AQ638" s="54"/>
      <c r="AR638" s="154"/>
      <c r="AS638" s="1"/>
      <c r="AT638" s="1"/>
      <c r="AU638" s="9"/>
    </row>
    <row r="639">
      <c r="A639" s="54"/>
      <c r="B639" s="71" t="str">
        <f>IFERROR(HYPERLINK(VLOOKUP(A639,Internal_lists_bugs!$A$2:$C$73,3,FALSE()), VLOOKUP(A639,Internal_lists_bugs!$A$2:$C$73,3,FALSE())&amp;Char(10) &amp; Char(10) &amp; VLOOKUP(A639,Internal_lists_bugs!$A$2:$Z$73,26,FALSE())),"please select a BUG ID")</f>
        <v>please select a BUG ID</v>
      </c>
      <c r="C639" s="51" t="str">
        <f>IFERROR(VLOOKUP(A639,Internal_lists_bugs!$A$2:$G2002,7,FALSE()),"please select a BUG ID")</f>
        <v>please select a BUG ID</v>
      </c>
      <c r="D639" s="54"/>
      <c r="E639" s="56"/>
      <c r="F639" s="54"/>
      <c r="G639" s="56"/>
      <c r="H639" s="54"/>
      <c r="I639" s="56"/>
      <c r="J639" s="54"/>
      <c r="K639" s="92"/>
      <c r="L639" s="54"/>
      <c r="M639" s="92"/>
      <c r="N639" s="54"/>
      <c r="O639" s="92"/>
      <c r="P639" s="54"/>
      <c r="Q639" s="92"/>
      <c r="R639" s="54"/>
      <c r="S639" s="92"/>
      <c r="T639" s="117"/>
      <c r="U639" s="92"/>
      <c r="V639" s="54"/>
      <c r="W639" s="92"/>
      <c r="X639" s="54"/>
      <c r="Y639" s="92"/>
      <c r="Z639" s="54"/>
      <c r="AA639" s="92"/>
      <c r="AB639" s="54"/>
      <c r="AC639" s="92"/>
      <c r="AD639" s="54"/>
      <c r="AE639" s="92"/>
      <c r="AF639" s="54"/>
      <c r="AG639" s="92"/>
      <c r="AH639" s="54"/>
      <c r="AI639" s="92"/>
      <c r="AJ639" s="54"/>
      <c r="AK639" s="92"/>
      <c r="AL639" s="54"/>
      <c r="AM639" s="92"/>
      <c r="AO639" s="54"/>
      <c r="AP639" s="123"/>
      <c r="AQ639" s="54"/>
      <c r="AR639" s="154"/>
      <c r="AS639" s="1"/>
      <c r="AT639" s="1"/>
      <c r="AU639" s="9"/>
    </row>
    <row r="640">
      <c r="A640" s="54"/>
      <c r="B640" s="71" t="str">
        <f>IFERROR(HYPERLINK(VLOOKUP(A640,Internal_lists_bugs!$A$2:$C$73,3,FALSE()), VLOOKUP(A640,Internal_lists_bugs!$A$2:$C$73,3,FALSE())&amp;Char(10) &amp; Char(10) &amp; VLOOKUP(A640,Internal_lists_bugs!$A$2:$Z$73,26,FALSE())),"please select a BUG ID")</f>
        <v>please select a BUG ID</v>
      </c>
      <c r="C640" s="51" t="str">
        <f>IFERROR(VLOOKUP(A640,Internal_lists_bugs!$A$2:$G2002,7,FALSE()),"please select a BUG ID")</f>
        <v>please select a BUG ID</v>
      </c>
      <c r="D640" s="54"/>
      <c r="E640" s="56"/>
      <c r="F640" s="54"/>
      <c r="G640" s="56"/>
      <c r="H640" s="54"/>
      <c r="I640" s="56"/>
      <c r="J640" s="54"/>
      <c r="K640" s="92"/>
      <c r="L640" s="54"/>
      <c r="M640" s="92"/>
      <c r="N640" s="54"/>
      <c r="O640" s="92"/>
      <c r="P640" s="54"/>
      <c r="Q640" s="92"/>
      <c r="R640" s="54"/>
      <c r="S640" s="92"/>
      <c r="T640" s="117"/>
      <c r="U640" s="92"/>
      <c r="V640" s="54"/>
      <c r="W640" s="92"/>
      <c r="X640" s="54"/>
      <c r="Y640" s="92"/>
      <c r="Z640" s="54"/>
      <c r="AA640" s="92"/>
      <c r="AB640" s="54"/>
      <c r="AC640" s="92"/>
      <c r="AD640" s="54"/>
      <c r="AE640" s="92"/>
      <c r="AF640" s="54"/>
      <c r="AG640" s="92"/>
      <c r="AH640" s="54"/>
      <c r="AI640" s="92"/>
      <c r="AJ640" s="54"/>
      <c r="AK640" s="92"/>
      <c r="AL640" s="54"/>
      <c r="AM640" s="92"/>
      <c r="AO640" s="54"/>
      <c r="AP640" s="123"/>
      <c r="AQ640" s="54"/>
      <c r="AR640" s="154"/>
      <c r="AS640" s="1"/>
      <c r="AT640" s="1"/>
      <c r="AU640" s="9"/>
    </row>
    <row r="641">
      <c r="A641" s="54"/>
      <c r="B641" s="71" t="str">
        <f>IFERROR(HYPERLINK(VLOOKUP(A641,Internal_lists_bugs!$A$2:$C$73,3,FALSE()), VLOOKUP(A641,Internal_lists_bugs!$A$2:$C$73,3,FALSE())&amp;Char(10) &amp; Char(10) &amp; VLOOKUP(A641,Internal_lists_bugs!$A$2:$Z$73,26,FALSE())),"please select a BUG ID")</f>
        <v>please select a BUG ID</v>
      </c>
      <c r="C641" s="51" t="str">
        <f>IFERROR(VLOOKUP(A641,Internal_lists_bugs!$A$2:$G2002,7,FALSE()),"please select a BUG ID")</f>
        <v>please select a BUG ID</v>
      </c>
      <c r="D641" s="54"/>
      <c r="E641" s="56"/>
      <c r="F641" s="54"/>
      <c r="G641" s="56"/>
      <c r="H641" s="54"/>
      <c r="I641" s="56"/>
      <c r="J641" s="54"/>
      <c r="K641" s="92"/>
      <c r="L641" s="54"/>
      <c r="M641" s="92"/>
      <c r="N641" s="54"/>
      <c r="O641" s="92"/>
      <c r="P641" s="54"/>
      <c r="Q641" s="92"/>
      <c r="R641" s="54"/>
      <c r="S641" s="92"/>
      <c r="T641" s="117"/>
      <c r="U641" s="92"/>
      <c r="V641" s="54"/>
      <c r="W641" s="92"/>
      <c r="X641" s="54"/>
      <c r="Y641" s="92"/>
      <c r="Z641" s="54"/>
      <c r="AA641" s="92"/>
      <c r="AB641" s="54"/>
      <c r="AC641" s="92"/>
      <c r="AD641" s="54"/>
      <c r="AE641" s="92"/>
      <c r="AF641" s="54"/>
      <c r="AG641" s="92"/>
      <c r="AH641" s="54"/>
      <c r="AI641" s="92"/>
      <c r="AJ641" s="54"/>
      <c r="AK641" s="92"/>
      <c r="AL641" s="54"/>
      <c r="AM641" s="92"/>
      <c r="AO641" s="54"/>
      <c r="AP641" s="123"/>
      <c r="AQ641" s="54"/>
      <c r="AR641" s="154"/>
      <c r="AS641" s="1"/>
      <c r="AT641" s="1"/>
      <c r="AU641" s="9"/>
    </row>
    <row r="642">
      <c r="A642" s="54"/>
      <c r="B642" s="71" t="str">
        <f>IFERROR(HYPERLINK(VLOOKUP(A642,Internal_lists_bugs!$A$2:$C$73,3,FALSE()), VLOOKUP(A642,Internal_lists_bugs!$A$2:$C$73,3,FALSE())&amp;Char(10) &amp; Char(10) &amp; VLOOKUP(A642,Internal_lists_bugs!$A$2:$Z$73,26,FALSE())),"please select a BUG ID")</f>
        <v>please select a BUG ID</v>
      </c>
      <c r="C642" s="51" t="str">
        <f>IFERROR(VLOOKUP(A642,Internal_lists_bugs!$A$2:$G2002,7,FALSE()),"please select a BUG ID")</f>
        <v>please select a BUG ID</v>
      </c>
      <c r="D642" s="54"/>
      <c r="E642" s="56"/>
      <c r="F642" s="54"/>
      <c r="G642" s="56"/>
      <c r="H642" s="54"/>
      <c r="I642" s="56"/>
      <c r="J642" s="54"/>
      <c r="K642" s="92"/>
      <c r="L642" s="54"/>
      <c r="M642" s="92"/>
      <c r="N642" s="54"/>
      <c r="O642" s="92"/>
      <c r="P642" s="54"/>
      <c r="Q642" s="92"/>
      <c r="R642" s="54"/>
      <c r="S642" s="92"/>
      <c r="T642" s="117"/>
      <c r="U642" s="92"/>
      <c r="V642" s="54"/>
      <c r="W642" s="92"/>
      <c r="X642" s="54"/>
      <c r="Y642" s="92"/>
      <c r="Z642" s="54"/>
      <c r="AA642" s="92"/>
      <c r="AB642" s="54"/>
      <c r="AC642" s="92"/>
      <c r="AD642" s="54"/>
      <c r="AE642" s="92"/>
      <c r="AF642" s="54"/>
      <c r="AG642" s="92"/>
      <c r="AH642" s="54"/>
      <c r="AI642" s="92"/>
      <c r="AJ642" s="54"/>
      <c r="AK642" s="92"/>
      <c r="AL642" s="54"/>
      <c r="AM642" s="92"/>
      <c r="AO642" s="54"/>
      <c r="AP642" s="123"/>
      <c r="AQ642" s="54"/>
      <c r="AR642" s="154"/>
      <c r="AS642" s="1"/>
      <c r="AT642" s="1"/>
      <c r="AU642" s="9"/>
    </row>
    <row r="643">
      <c r="A643" s="54"/>
      <c r="B643" s="71" t="str">
        <f>IFERROR(HYPERLINK(VLOOKUP(A643,Internal_lists_bugs!$A$2:$C$73,3,FALSE()), VLOOKUP(A643,Internal_lists_bugs!$A$2:$C$73,3,FALSE())&amp;Char(10) &amp; Char(10) &amp; VLOOKUP(A643,Internal_lists_bugs!$A$2:$Z$73,26,FALSE())),"please select a BUG ID")</f>
        <v>please select a BUG ID</v>
      </c>
      <c r="C643" s="51" t="str">
        <f>IFERROR(VLOOKUP(A643,Internal_lists_bugs!$A$2:$G2002,7,FALSE()),"please select a BUG ID")</f>
        <v>please select a BUG ID</v>
      </c>
      <c r="D643" s="54"/>
      <c r="E643" s="56"/>
      <c r="F643" s="54"/>
      <c r="G643" s="56"/>
      <c r="H643" s="54"/>
      <c r="I643" s="56"/>
      <c r="J643" s="54"/>
      <c r="K643" s="92"/>
      <c r="L643" s="54"/>
      <c r="M643" s="92"/>
      <c r="N643" s="54"/>
      <c r="O643" s="92"/>
      <c r="P643" s="54"/>
      <c r="Q643" s="92"/>
      <c r="R643" s="54"/>
      <c r="S643" s="92"/>
      <c r="T643" s="117"/>
      <c r="U643" s="92"/>
      <c r="V643" s="54"/>
      <c r="W643" s="92"/>
      <c r="X643" s="54"/>
      <c r="Y643" s="92"/>
      <c r="Z643" s="54"/>
      <c r="AA643" s="92"/>
      <c r="AB643" s="54"/>
      <c r="AC643" s="92"/>
      <c r="AD643" s="54"/>
      <c r="AE643" s="92"/>
      <c r="AF643" s="54"/>
      <c r="AG643" s="92"/>
      <c r="AH643" s="54"/>
      <c r="AI643" s="92"/>
      <c r="AJ643" s="54"/>
      <c r="AK643" s="92"/>
      <c r="AL643" s="54"/>
      <c r="AM643" s="92"/>
      <c r="AO643" s="54"/>
      <c r="AP643" s="123"/>
      <c r="AQ643" s="54"/>
      <c r="AR643" s="154"/>
      <c r="AS643" s="1"/>
      <c r="AT643" s="1"/>
      <c r="AU643" s="9"/>
    </row>
    <row r="644">
      <c r="A644" s="54"/>
      <c r="B644" s="71" t="str">
        <f>IFERROR(HYPERLINK(VLOOKUP(A644,Internal_lists_bugs!$A$2:$C$73,3,FALSE()), VLOOKUP(A644,Internal_lists_bugs!$A$2:$C$73,3,FALSE())&amp;Char(10) &amp; Char(10) &amp; VLOOKUP(A644,Internal_lists_bugs!$A$2:$Z$73,26,FALSE())),"please select a BUG ID")</f>
        <v>please select a BUG ID</v>
      </c>
      <c r="C644" s="51" t="str">
        <f>IFERROR(VLOOKUP(A644,Internal_lists_bugs!$A$2:$G2002,7,FALSE()),"please select a BUG ID")</f>
        <v>please select a BUG ID</v>
      </c>
      <c r="D644" s="54"/>
      <c r="E644" s="56"/>
      <c r="F644" s="54"/>
      <c r="G644" s="56"/>
      <c r="H644" s="54"/>
      <c r="I644" s="56"/>
      <c r="J644" s="54"/>
      <c r="K644" s="92"/>
      <c r="L644" s="54"/>
      <c r="M644" s="92"/>
      <c r="N644" s="54"/>
      <c r="O644" s="92"/>
      <c r="P644" s="54"/>
      <c r="Q644" s="92"/>
      <c r="R644" s="54"/>
      <c r="S644" s="92"/>
      <c r="T644" s="117"/>
      <c r="U644" s="92"/>
      <c r="V644" s="54"/>
      <c r="W644" s="92"/>
      <c r="X644" s="54"/>
      <c r="Y644" s="92"/>
      <c r="Z644" s="54"/>
      <c r="AA644" s="92"/>
      <c r="AB644" s="54"/>
      <c r="AC644" s="92"/>
      <c r="AD644" s="54"/>
      <c r="AE644" s="92"/>
      <c r="AF644" s="54"/>
      <c r="AG644" s="92"/>
      <c r="AH644" s="54"/>
      <c r="AI644" s="92"/>
      <c r="AJ644" s="54"/>
      <c r="AK644" s="92"/>
      <c r="AL644" s="54"/>
      <c r="AM644" s="92"/>
      <c r="AO644" s="54"/>
      <c r="AP644" s="123"/>
      <c r="AQ644" s="54"/>
      <c r="AR644" s="154"/>
      <c r="AS644" s="1"/>
      <c r="AT644" s="1"/>
      <c r="AU644" s="9"/>
    </row>
    <row r="645">
      <c r="A645" s="54"/>
      <c r="B645" s="71" t="str">
        <f>IFERROR(HYPERLINK(VLOOKUP(A645,Internal_lists_bugs!$A$2:$C$73,3,FALSE()), VLOOKUP(A645,Internal_lists_bugs!$A$2:$C$73,3,FALSE())&amp;Char(10) &amp; Char(10) &amp; VLOOKUP(A645,Internal_lists_bugs!$A$2:$Z$73,26,FALSE())),"please select a BUG ID")</f>
        <v>please select a BUG ID</v>
      </c>
      <c r="C645" s="51" t="str">
        <f>IFERROR(VLOOKUP(A645,Internal_lists_bugs!$A$2:$G2002,7,FALSE()),"please select a BUG ID")</f>
        <v>please select a BUG ID</v>
      </c>
      <c r="D645" s="54"/>
      <c r="E645" s="56"/>
      <c r="F645" s="54"/>
      <c r="G645" s="56"/>
      <c r="H645" s="54"/>
      <c r="I645" s="56"/>
      <c r="J645" s="54"/>
      <c r="K645" s="92"/>
      <c r="L645" s="54"/>
      <c r="M645" s="92"/>
      <c r="N645" s="54"/>
      <c r="O645" s="92"/>
      <c r="P645" s="54"/>
      <c r="Q645" s="92"/>
      <c r="R645" s="54"/>
      <c r="S645" s="92"/>
      <c r="T645" s="117"/>
      <c r="U645" s="92"/>
      <c r="V645" s="54"/>
      <c r="W645" s="92"/>
      <c r="X645" s="54"/>
      <c r="Y645" s="92"/>
      <c r="Z645" s="54"/>
      <c r="AA645" s="92"/>
      <c r="AB645" s="54"/>
      <c r="AC645" s="92"/>
      <c r="AD645" s="54"/>
      <c r="AE645" s="92"/>
      <c r="AF645" s="54"/>
      <c r="AG645" s="92"/>
      <c r="AH645" s="54"/>
      <c r="AI645" s="92"/>
      <c r="AJ645" s="54"/>
      <c r="AK645" s="92"/>
      <c r="AL645" s="54"/>
      <c r="AM645" s="92"/>
      <c r="AO645" s="54"/>
      <c r="AP645" s="123"/>
      <c r="AQ645" s="54"/>
      <c r="AR645" s="154"/>
      <c r="AS645" s="1"/>
      <c r="AT645" s="1"/>
      <c r="AU645" s="9"/>
    </row>
    <row r="646">
      <c r="A646" s="54"/>
      <c r="B646" s="71" t="str">
        <f>IFERROR(HYPERLINK(VLOOKUP(A646,Internal_lists_bugs!$A$2:$C$73,3,FALSE()), VLOOKUP(A646,Internal_lists_bugs!$A$2:$C$73,3,FALSE())&amp;Char(10) &amp; Char(10) &amp; VLOOKUP(A646,Internal_lists_bugs!$A$2:$Z$73,26,FALSE())),"please select a BUG ID")</f>
        <v>please select a BUG ID</v>
      </c>
      <c r="C646" s="51" t="str">
        <f>IFERROR(VLOOKUP(A646,Internal_lists_bugs!$A$2:$G2002,7,FALSE()),"please select a BUG ID")</f>
        <v>please select a BUG ID</v>
      </c>
      <c r="D646" s="54"/>
      <c r="E646" s="56"/>
      <c r="F646" s="54"/>
      <c r="G646" s="56"/>
      <c r="H646" s="54"/>
      <c r="I646" s="56"/>
      <c r="J646" s="54"/>
      <c r="K646" s="92"/>
      <c r="L646" s="54"/>
      <c r="M646" s="92"/>
      <c r="N646" s="54"/>
      <c r="O646" s="92"/>
      <c r="P646" s="54"/>
      <c r="Q646" s="92"/>
      <c r="R646" s="54"/>
      <c r="S646" s="92"/>
      <c r="T646" s="117"/>
      <c r="U646" s="92"/>
      <c r="V646" s="54"/>
      <c r="W646" s="92"/>
      <c r="X646" s="54"/>
      <c r="Y646" s="92"/>
      <c r="Z646" s="54"/>
      <c r="AA646" s="92"/>
      <c r="AB646" s="54"/>
      <c r="AC646" s="92"/>
      <c r="AD646" s="54"/>
      <c r="AE646" s="92"/>
      <c r="AF646" s="54"/>
      <c r="AG646" s="92"/>
      <c r="AH646" s="54"/>
      <c r="AI646" s="92"/>
      <c r="AJ646" s="54"/>
      <c r="AK646" s="92"/>
      <c r="AL646" s="54"/>
      <c r="AM646" s="92"/>
      <c r="AO646" s="54"/>
      <c r="AP646" s="123"/>
      <c r="AQ646" s="54"/>
      <c r="AR646" s="154"/>
      <c r="AS646" s="1"/>
      <c r="AT646" s="1"/>
      <c r="AU646" s="9"/>
    </row>
    <row r="647">
      <c r="A647" s="54"/>
      <c r="B647" s="71" t="str">
        <f>IFERROR(HYPERLINK(VLOOKUP(A647,Internal_lists_bugs!$A$2:$C$73,3,FALSE()), VLOOKUP(A647,Internal_lists_bugs!$A$2:$C$73,3,FALSE())&amp;Char(10) &amp; Char(10) &amp; VLOOKUP(A647,Internal_lists_bugs!$A$2:$Z$73,26,FALSE())),"please select a BUG ID")</f>
        <v>please select a BUG ID</v>
      </c>
      <c r="C647" s="51" t="str">
        <f>IFERROR(VLOOKUP(A647,Internal_lists_bugs!$A$2:$G2002,7,FALSE()),"please select a BUG ID")</f>
        <v>please select a BUG ID</v>
      </c>
      <c r="D647" s="54"/>
      <c r="E647" s="56"/>
      <c r="F647" s="54"/>
      <c r="G647" s="56"/>
      <c r="H647" s="54"/>
      <c r="I647" s="56"/>
      <c r="J647" s="54"/>
      <c r="K647" s="92"/>
      <c r="L647" s="54"/>
      <c r="M647" s="92"/>
      <c r="N647" s="54"/>
      <c r="O647" s="92"/>
      <c r="P647" s="54"/>
      <c r="Q647" s="92"/>
      <c r="R647" s="54"/>
      <c r="S647" s="92"/>
      <c r="T647" s="117"/>
      <c r="U647" s="92"/>
      <c r="V647" s="54"/>
      <c r="W647" s="92"/>
      <c r="X647" s="54"/>
      <c r="Y647" s="92"/>
      <c r="Z647" s="54"/>
      <c r="AA647" s="92"/>
      <c r="AB647" s="54"/>
      <c r="AC647" s="92"/>
      <c r="AD647" s="54"/>
      <c r="AE647" s="92"/>
      <c r="AF647" s="54"/>
      <c r="AG647" s="92"/>
      <c r="AH647" s="54"/>
      <c r="AI647" s="92"/>
      <c r="AJ647" s="54"/>
      <c r="AK647" s="92"/>
      <c r="AL647" s="54"/>
      <c r="AM647" s="92"/>
      <c r="AO647" s="54"/>
      <c r="AP647" s="123"/>
      <c r="AQ647" s="54"/>
      <c r="AR647" s="154"/>
      <c r="AS647" s="1"/>
      <c r="AT647" s="1"/>
      <c r="AU647" s="9"/>
    </row>
    <row r="648">
      <c r="A648" s="54"/>
      <c r="B648" s="71" t="str">
        <f>IFERROR(HYPERLINK(VLOOKUP(A648,Internal_lists_bugs!$A$2:$C$73,3,FALSE()), VLOOKUP(A648,Internal_lists_bugs!$A$2:$C$73,3,FALSE())&amp;Char(10) &amp; Char(10) &amp; VLOOKUP(A648,Internal_lists_bugs!$A$2:$Z$73,26,FALSE())),"please select a BUG ID")</f>
        <v>please select a BUG ID</v>
      </c>
      <c r="C648" s="51" t="str">
        <f>IFERROR(VLOOKUP(A648,Internal_lists_bugs!$A$2:$G2002,7,FALSE()),"please select a BUG ID")</f>
        <v>please select a BUG ID</v>
      </c>
      <c r="D648" s="54"/>
      <c r="E648" s="56"/>
      <c r="F648" s="54"/>
      <c r="G648" s="56"/>
      <c r="H648" s="54"/>
      <c r="I648" s="56"/>
      <c r="J648" s="54"/>
      <c r="K648" s="92"/>
      <c r="L648" s="54"/>
      <c r="M648" s="92"/>
      <c r="N648" s="54"/>
      <c r="O648" s="92"/>
      <c r="P648" s="54"/>
      <c r="Q648" s="92"/>
      <c r="R648" s="54"/>
      <c r="S648" s="92"/>
      <c r="T648" s="117"/>
      <c r="U648" s="92"/>
      <c r="V648" s="54"/>
      <c r="W648" s="92"/>
      <c r="X648" s="54"/>
      <c r="Y648" s="92"/>
      <c r="Z648" s="54"/>
      <c r="AA648" s="92"/>
      <c r="AB648" s="54"/>
      <c r="AC648" s="92"/>
      <c r="AD648" s="54"/>
      <c r="AE648" s="92"/>
      <c r="AF648" s="54"/>
      <c r="AG648" s="92"/>
      <c r="AH648" s="54"/>
      <c r="AI648" s="92"/>
      <c r="AJ648" s="54"/>
      <c r="AK648" s="92"/>
      <c r="AL648" s="54"/>
      <c r="AM648" s="92"/>
      <c r="AO648" s="54"/>
      <c r="AP648" s="123"/>
      <c r="AQ648" s="54"/>
      <c r="AR648" s="154"/>
      <c r="AS648" s="1"/>
      <c r="AT648" s="1"/>
      <c r="AU648" s="9"/>
    </row>
    <row r="649">
      <c r="A649" s="54"/>
      <c r="B649" s="71" t="str">
        <f>IFERROR(HYPERLINK(VLOOKUP(A649,Internal_lists_bugs!$A$2:$C$73,3,FALSE()), VLOOKUP(A649,Internal_lists_bugs!$A$2:$C$73,3,FALSE())&amp;Char(10) &amp; Char(10) &amp; VLOOKUP(A649,Internal_lists_bugs!$A$2:$Z$73,26,FALSE())),"please select a BUG ID")</f>
        <v>please select a BUG ID</v>
      </c>
      <c r="C649" s="51" t="str">
        <f>IFERROR(VLOOKUP(A649,Internal_lists_bugs!$A$2:$G2002,7,FALSE()),"please select a BUG ID")</f>
        <v>please select a BUG ID</v>
      </c>
      <c r="D649" s="54"/>
      <c r="E649" s="56"/>
      <c r="F649" s="54"/>
      <c r="G649" s="56"/>
      <c r="H649" s="54"/>
      <c r="I649" s="56"/>
      <c r="J649" s="54"/>
      <c r="K649" s="92"/>
      <c r="L649" s="54"/>
      <c r="M649" s="92"/>
      <c r="N649" s="54"/>
      <c r="O649" s="92"/>
      <c r="P649" s="54"/>
      <c r="Q649" s="92"/>
      <c r="R649" s="54"/>
      <c r="S649" s="92"/>
      <c r="T649" s="117"/>
      <c r="U649" s="92"/>
      <c r="V649" s="54"/>
      <c r="W649" s="92"/>
      <c r="X649" s="54"/>
      <c r="Y649" s="92"/>
      <c r="Z649" s="54"/>
      <c r="AA649" s="92"/>
      <c r="AB649" s="54"/>
      <c r="AC649" s="92"/>
      <c r="AD649" s="54"/>
      <c r="AE649" s="92"/>
      <c r="AF649" s="54"/>
      <c r="AG649" s="92"/>
      <c r="AH649" s="54"/>
      <c r="AI649" s="92"/>
      <c r="AJ649" s="54"/>
      <c r="AK649" s="92"/>
      <c r="AL649" s="54"/>
      <c r="AM649" s="92"/>
      <c r="AO649" s="54"/>
      <c r="AP649" s="123"/>
      <c r="AQ649" s="54"/>
      <c r="AR649" s="154"/>
      <c r="AS649" s="1"/>
      <c r="AT649" s="1"/>
      <c r="AU649" s="9"/>
    </row>
    <row r="650">
      <c r="A650" s="54"/>
      <c r="B650" s="71" t="str">
        <f>IFERROR(HYPERLINK(VLOOKUP(A650,Internal_lists_bugs!$A$2:$C$73,3,FALSE()), VLOOKUP(A650,Internal_lists_bugs!$A$2:$C$73,3,FALSE())&amp;Char(10) &amp; Char(10) &amp; VLOOKUP(A650,Internal_lists_bugs!$A$2:$Z$73,26,FALSE())),"please select a BUG ID")</f>
        <v>please select a BUG ID</v>
      </c>
      <c r="C650" s="51" t="str">
        <f>IFERROR(VLOOKUP(A650,Internal_lists_bugs!$A$2:$G2002,7,FALSE()),"please select a BUG ID")</f>
        <v>please select a BUG ID</v>
      </c>
      <c r="D650" s="54"/>
      <c r="E650" s="56"/>
      <c r="F650" s="54"/>
      <c r="G650" s="56"/>
      <c r="H650" s="54"/>
      <c r="I650" s="56"/>
      <c r="J650" s="54"/>
      <c r="K650" s="92"/>
      <c r="L650" s="54"/>
      <c r="M650" s="92"/>
      <c r="N650" s="54"/>
      <c r="O650" s="92"/>
      <c r="P650" s="54"/>
      <c r="Q650" s="92"/>
      <c r="R650" s="54"/>
      <c r="S650" s="92"/>
      <c r="T650" s="117"/>
      <c r="U650" s="92"/>
      <c r="V650" s="54"/>
      <c r="W650" s="92"/>
      <c r="X650" s="54"/>
      <c r="Y650" s="92"/>
      <c r="Z650" s="54"/>
      <c r="AA650" s="92"/>
      <c r="AB650" s="54"/>
      <c r="AC650" s="92"/>
      <c r="AD650" s="54"/>
      <c r="AE650" s="92"/>
      <c r="AF650" s="54"/>
      <c r="AG650" s="92"/>
      <c r="AH650" s="54"/>
      <c r="AI650" s="92"/>
      <c r="AJ650" s="54"/>
      <c r="AK650" s="92"/>
      <c r="AL650" s="54"/>
      <c r="AM650" s="92"/>
      <c r="AO650" s="54"/>
      <c r="AP650" s="123"/>
      <c r="AQ650" s="54"/>
      <c r="AR650" s="154"/>
      <c r="AS650" s="1"/>
      <c r="AT650" s="1"/>
      <c r="AU650" s="9"/>
    </row>
    <row r="651">
      <c r="A651" s="54"/>
      <c r="B651" s="71" t="str">
        <f>IFERROR(HYPERLINK(VLOOKUP(A651,Internal_lists_bugs!$A$2:$C$73,3,FALSE()), VLOOKUP(A651,Internal_lists_bugs!$A$2:$C$73,3,FALSE())&amp;Char(10) &amp; Char(10) &amp; VLOOKUP(A651,Internal_lists_bugs!$A$2:$Z$73,26,FALSE())),"please select a BUG ID")</f>
        <v>please select a BUG ID</v>
      </c>
      <c r="C651" s="51" t="str">
        <f>IFERROR(VLOOKUP(A651,Internal_lists_bugs!$A$2:$G2002,7,FALSE()),"please select a BUG ID")</f>
        <v>please select a BUG ID</v>
      </c>
      <c r="D651" s="54"/>
      <c r="E651" s="56"/>
      <c r="F651" s="54"/>
      <c r="G651" s="56"/>
      <c r="H651" s="54"/>
      <c r="I651" s="56"/>
      <c r="J651" s="54"/>
      <c r="K651" s="92"/>
      <c r="L651" s="54"/>
      <c r="M651" s="92"/>
      <c r="N651" s="54"/>
      <c r="O651" s="92"/>
      <c r="P651" s="54"/>
      <c r="Q651" s="92"/>
      <c r="R651" s="54"/>
      <c r="S651" s="92"/>
      <c r="T651" s="117"/>
      <c r="U651" s="92"/>
      <c r="V651" s="54"/>
      <c r="W651" s="92"/>
      <c r="X651" s="54"/>
      <c r="Y651" s="92"/>
      <c r="Z651" s="54"/>
      <c r="AA651" s="92"/>
      <c r="AB651" s="54"/>
      <c r="AC651" s="92"/>
      <c r="AD651" s="54"/>
      <c r="AE651" s="92"/>
      <c r="AF651" s="54"/>
      <c r="AG651" s="92"/>
      <c r="AH651" s="54"/>
      <c r="AI651" s="92"/>
      <c r="AJ651" s="54"/>
      <c r="AK651" s="92"/>
      <c r="AL651" s="54"/>
      <c r="AM651" s="92"/>
      <c r="AO651" s="54"/>
      <c r="AP651" s="123"/>
      <c r="AQ651" s="54"/>
      <c r="AR651" s="154"/>
      <c r="AS651" s="1"/>
      <c r="AT651" s="1"/>
      <c r="AU651" s="9"/>
    </row>
    <row r="652">
      <c r="A652" s="54"/>
      <c r="B652" s="71" t="str">
        <f>IFERROR(HYPERLINK(VLOOKUP(A652,Internal_lists_bugs!$A$2:$C$73,3,FALSE()), VLOOKUP(A652,Internal_lists_bugs!$A$2:$C$73,3,FALSE())&amp;Char(10) &amp; Char(10) &amp; VLOOKUP(A652,Internal_lists_bugs!$A$2:$Z$73,26,FALSE())),"please select a BUG ID")</f>
        <v>please select a BUG ID</v>
      </c>
      <c r="C652" s="51" t="str">
        <f>IFERROR(VLOOKUP(A652,Internal_lists_bugs!$A$2:$G2002,7,FALSE()),"please select a BUG ID")</f>
        <v>please select a BUG ID</v>
      </c>
      <c r="D652" s="54"/>
      <c r="E652" s="56"/>
      <c r="F652" s="54"/>
      <c r="G652" s="56"/>
      <c r="H652" s="54"/>
      <c r="I652" s="56"/>
      <c r="J652" s="54"/>
      <c r="K652" s="92"/>
      <c r="L652" s="54"/>
      <c r="M652" s="92"/>
      <c r="N652" s="54"/>
      <c r="O652" s="92"/>
      <c r="P652" s="54"/>
      <c r="Q652" s="92"/>
      <c r="R652" s="54"/>
      <c r="S652" s="92"/>
      <c r="T652" s="117"/>
      <c r="U652" s="92"/>
      <c r="V652" s="54"/>
      <c r="W652" s="92"/>
      <c r="X652" s="54"/>
      <c r="Y652" s="92"/>
      <c r="Z652" s="54"/>
      <c r="AA652" s="92"/>
      <c r="AB652" s="54"/>
      <c r="AC652" s="92"/>
      <c r="AD652" s="54"/>
      <c r="AE652" s="92"/>
      <c r="AF652" s="54"/>
      <c r="AG652" s="92"/>
      <c r="AH652" s="54"/>
      <c r="AI652" s="92"/>
      <c r="AJ652" s="54"/>
      <c r="AK652" s="92"/>
      <c r="AL652" s="54"/>
      <c r="AM652" s="92"/>
      <c r="AO652" s="54"/>
      <c r="AP652" s="123"/>
      <c r="AQ652" s="54"/>
      <c r="AR652" s="154"/>
      <c r="AS652" s="1"/>
      <c r="AT652" s="1"/>
      <c r="AU652" s="9"/>
    </row>
    <row r="653">
      <c r="A653" s="54"/>
      <c r="B653" s="71" t="str">
        <f>IFERROR(HYPERLINK(VLOOKUP(A653,Internal_lists_bugs!$A$2:$C$73,3,FALSE()), VLOOKUP(A653,Internal_lists_bugs!$A$2:$C$73,3,FALSE())&amp;Char(10) &amp; Char(10) &amp; VLOOKUP(A653,Internal_lists_bugs!$A$2:$Z$73,26,FALSE())),"please select a BUG ID")</f>
        <v>please select a BUG ID</v>
      </c>
      <c r="C653" s="51" t="str">
        <f>IFERROR(VLOOKUP(A653,Internal_lists_bugs!$A$2:$G2002,7,FALSE()),"please select a BUG ID")</f>
        <v>please select a BUG ID</v>
      </c>
      <c r="D653" s="54"/>
      <c r="E653" s="56"/>
      <c r="F653" s="54"/>
      <c r="G653" s="56"/>
      <c r="H653" s="54"/>
      <c r="I653" s="56"/>
      <c r="J653" s="54"/>
      <c r="K653" s="92"/>
      <c r="L653" s="54"/>
      <c r="M653" s="92"/>
      <c r="N653" s="54"/>
      <c r="O653" s="92"/>
      <c r="P653" s="54"/>
      <c r="Q653" s="92"/>
      <c r="R653" s="54"/>
      <c r="S653" s="92"/>
      <c r="T653" s="117"/>
      <c r="U653" s="92"/>
      <c r="V653" s="54"/>
      <c r="W653" s="92"/>
      <c r="X653" s="54"/>
      <c r="Y653" s="92"/>
      <c r="Z653" s="54"/>
      <c r="AA653" s="92"/>
      <c r="AB653" s="54"/>
      <c r="AC653" s="92"/>
      <c r="AD653" s="54"/>
      <c r="AE653" s="92"/>
      <c r="AF653" s="54"/>
      <c r="AG653" s="92"/>
      <c r="AH653" s="54"/>
      <c r="AI653" s="92"/>
      <c r="AJ653" s="54"/>
      <c r="AK653" s="92"/>
      <c r="AL653" s="54"/>
      <c r="AM653" s="92"/>
      <c r="AO653" s="54"/>
      <c r="AP653" s="123"/>
      <c r="AQ653" s="54"/>
      <c r="AR653" s="154"/>
      <c r="AS653" s="1"/>
      <c r="AT653" s="1"/>
      <c r="AU653" s="9"/>
    </row>
    <row r="654">
      <c r="A654" s="54"/>
      <c r="B654" s="71" t="str">
        <f>IFERROR(HYPERLINK(VLOOKUP(A654,Internal_lists_bugs!$A$2:$C$73,3,FALSE()), VLOOKUP(A654,Internal_lists_bugs!$A$2:$C$73,3,FALSE())&amp;Char(10) &amp; Char(10) &amp; VLOOKUP(A654,Internal_lists_bugs!$A$2:$Z$73,26,FALSE())),"please select a BUG ID")</f>
        <v>please select a BUG ID</v>
      </c>
      <c r="C654" s="51" t="str">
        <f>IFERROR(VLOOKUP(A654,Internal_lists_bugs!$A$2:$G2002,7,FALSE()),"please select a BUG ID")</f>
        <v>please select a BUG ID</v>
      </c>
      <c r="D654" s="54"/>
      <c r="E654" s="56"/>
      <c r="F654" s="54"/>
      <c r="G654" s="56"/>
      <c r="H654" s="54"/>
      <c r="I654" s="56"/>
      <c r="J654" s="54"/>
      <c r="K654" s="92"/>
      <c r="L654" s="54"/>
      <c r="M654" s="92"/>
      <c r="N654" s="54"/>
      <c r="O654" s="92"/>
      <c r="P654" s="54"/>
      <c r="Q654" s="92"/>
      <c r="R654" s="54"/>
      <c r="S654" s="92"/>
      <c r="T654" s="117"/>
      <c r="U654" s="92"/>
      <c r="V654" s="54"/>
      <c r="W654" s="92"/>
      <c r="X654" s="54"/>
      <c r="Y654" s="92"/>
      <c r="Z654" s="54"/>
      <c r="AA654" s="92"/>
      <c r="AB654" s="54"/>
      <c r="AC654" s="92"/>
      <c r="AD654" s="54"/>
      <c r="AE654" s="92"/>
      <c r="AF654" s="54"/>
      <c r="AG654" s="92"/>
      <c r="AH654" s="54"/>
      <c r="AI654" s="92"/>
      <c r="AJ654" s="54"/>
      <c r="AK654" s="92"/>
      <c r="AL654" s="54"/>
      <c r="AM654" s="92"/>
      <c r="AO654" s="54"/>
      <c r="AP654" s="123"/>
      <c r="AQ654" s="54"/>
      <c r="AR654" s="154"/>
      <c r="AS654" s="1"/>
      <c r="AT654" s="1"/>
      <c r="AU654" s="9"/>
    </row>
    <row r="655">
      <c r="A655" s="54"/>
      <c r="B655" s="71" t="str">
        <f>IFERROR(HYPERLINK(VLOOKUP(A655,Internal_lists_bugs!$A$2:$C$73,3,FALSE()), VLOOKUP(A655,Internal_lists_bugs!$A$2:$C$73,3,FALSE())&amp;Char(10) &amp; Char(10) &amp; VLOOKUP(A655,Internal_lists_bugs!$A$2:$Z$73,26,FALSE())),"please select a BUG ID")</f>
        <v>please select a BUG ID</v>
      </c>
      <c r="C655" s="51" t="str">
        <f>IFERROR(VLOOKUP(A655,Internal_lists_bugs!$A$2:$G2002,7,FALSE()),"please select a BUG ID")</f>
        <v>please select a BUG ID</v>
      </c>
      <c r="D655" s="54"/>
      <c r="E655" s="56"/>
      <c r="F655" s="54"/>
      <c r="G655" s="56"/>
      <c r="H655" s="54"/>
      <c r="I655" s="56"/>
      <c r="J655" s="54"/>
      <c r="K655" s="92"/>
      <c r="L655" s="54"/>
      <c r="M655" s="92"/>
      <c r="N655" s="54"/>
      <c r="O655" s="92"/>
      <c r="P655" s="54"/>
      <c r="Q655" s="92"/>
      <c r="R655" s="54"/>
      <c r="S655" s="92"/>
      <c r="T655" s="117"/>
      <c r="U655" s="92"/>
      <c r="V655" s="54"/>
      <c r="W655" s="92"/>
      <c r="X655" s="54"/>
      <c r="Y655" s="92"/>
      <c r="Z655" s="54"/>
      <c r="AA655" s="92"/>
      <c r="AB655" s="54"/>
      <c r="AC655" s="92"/>
      <c r="AD655" s="54"/>
      <c r="AE655" s="92"/>
      <c r="AF655" s="54"/>
      <c r="AG655" s="92"/>
      <c r="AH655" s="54"/>
      <c r="AI655" s="92"/>
      <c r="AJ655" s="54"/>
      <c r="AK655" s="92"/>
      <c r="AL655" s="54"/>
      <c r="AM655" s="92"/>
      <c r="AO655" s="54"/>
      <c r="AP655" s="123"/>
      <c r="AQ655" s="54"/>
      <c r="AR655" s="154"/>
      <c r="AS655" s="1"/>
      <c r="AT655" s="1"/>
      <c r="AU655" s="9"/>
    </row>
    <row r="656">
      <c r="A656" s="54"/>
      <c r="B656" s="71" t="str">
        <f>IFERROR(HYPERLINK(VLOOKUP(A656,Internal_lists_bugs!$A$2:$C$73,3,FALSE()), VLOOKUP(A656,Internal_lists_bugs!$A$2:$C$73,3,FALSE())&amp;Char(10) &amp; Char(10) &amp; VLOOKUP(A656,Internal_lists_bugs!$A$2:$Z$73,26,FALSE())),"please select a BUG ID")</f>
        <v>please select a BUG ID</v>
      </c>
      <c r="C656" s="51" t="str">
        <f>IFERROR(VLOOKUP(A656,Internal_lists_bugs!$A$2:$G2002,7,FALSE()),"please select a BUG ID")</f>
        <v>please select a BUG ID</v>
      </c>
      <c r="D656" s="54"/>
      <c r="E656" s="56"/>
      <c r="F656" s="54"/>
      <c r="G656" s="56"/>
      <c r="H656" s="54"/>
      <c r="I656" s="56"/>
      <c r="J656" s="54"/>
      <c r="K656" s="92"/>
      <c r="L656" s="54"/>
      <c r="M656" s="92"/>
      <c r="N656" s="54"/>
      <c r="O656" s="92"/>
      <c r="P656" s="54"/>
      <c r="Q656" s="92"/>
      <c r="R656" s="54"/>
      <c r="S656" s="92"/>
      <c r="T656" s="117"/>
      <c r="U656" s="92"/>
      <c r="V656" s="54"/>
      <c r="W656" s="92"/>
      <c r="X656" s="54"/>
      <c r="Y656" s="92"/>
      <c r="Z656" s="54"/>
      <c r="AA656" s="92"/>
      <c r="AB656" s="54"/>
      <c r="AC656" s="92"/>
      <c r="AD656" s="54"/>
      <c r="AE656" s="92"/>
      <c r="AF656" s="54"/>
      <c r="AG656" s="92"/>
      <c r="AH656" s="54"/>
      <c r="AI656" s="92"/>
      <c r="AJ656" s="54"/>
      <c r="AK656" s="92"/>
      <c r="AL656" s="54"/>
      <c r="AM656" s="92"/>
      <c r="AO656" s="54"/>
      <c r="AP656" s="123"/>
      <c r="AQ656" s="54"/>
      <c r="AR656" s="154"/>
      <c r="AS656" s="1"/>
      <c r="AT656" s="1"/>
      <c r="AU656" s="9"/>
    </row>
    <row r="657">
      <c r="A657" s="54"/>
      <c r="B657" s="71" t="str">
        <f>IFERROR(HYPERLINK(VLOOKUP(A657,Internal_lists_bugs!$A$2:$C$73,3,FALSE()), VLOOKUP(A657,Internal_lists_bugs!$A$2:$C$73,3,FALSE())&amp;Char(10) &amp; Char(10) &amp; VLOOKUP(A657,Internal_lists_bugs!$A$2:$Z$73,26,FALSE())),"please select a BUG ID")</f>
        <v>please select a BUG ID</v>
      </c>
      <c r="C657" s="51" t="str">
        <f>IFERROR(VLOOKUP(A657,Internal_lists_bugs!$A$2:$G2002,7,FALSE()),"please select a BUG ID")</f>
        <v>please select a BUG ID</v>
      </c>
      <c r="D657" s="54"/>
      <c r="E657" s="56"/>
      <c r="F657" s="54"/>
      <c r="G657" s="56"/>
      <c r="H657" s="54"/>
      <c r="I657" s="56"/>
      <c r="J657" s="54"/>
      <c r="K657" s="92"/>
      <c r="L657" s="54"/>
      <c r="M657" s="92"/>
      <c r="N657" s="54"/>
      <c r="O657" s="92"/>
      <c r="P657" s="54"/>
      <c r="Q657" s="92"/>
      <c r="R657" s="54"/>
      <c r="S657" s="92"/>
      <c r="T657" s="117"/>
      <c r="U657" s="92"/>
      <c r="V657" s="54"/>
      <c r="W657" s="92"/>
      <c r="X657" s="54"/>
      <c r="Y657" s="92"/>
      <c r="Z657" s="54"/>
      <c r="AA657" s="92"/>
      <c r="AB657" s="54"/>
      <c r="AC657" s="92"/>
      <c r="AD657" s="54"/>
      <c r="AE657" s="92"/>
      <c r="AF657" s="54"/>
      <c r="AG657" s="92"/>
      <c r="AH657" s="54"/>
      <c r="AI657" s="92"/>
      <c r="AJ657" s="54"/>
      <c r="AK657" s="92"/>
      <c r="AL657" s="54"/>
      <c r="AM657" s="92"/>
      <c r="AO657" s="54"/>
      <c r="AP657" s="123"/>
      <c r="AQ657" s="54"/>
      <c r="AR657" s="154"/>
      <c r="AS657" s="1"/>
      <c r="AT657" s="1"/>
      <c r="AU657" s="9"/>
    </row>
    <row r="658">
      <c r="A658" s="54"/>
      <c r="B658" s="71" t="str">
        <f>IFERROR(HYPERLINK(VLOOKUP(A658,Internal_lists_bugs!$A$2:$C$73,3,FALSE()), VLOOKUP(A658,Internal_lists_bugs!$A$2:$C$73,3,FALSE())&amp;Char(10) &amp; Char(10) &amp; VLOOKUP(A658,Internal_lists_bugs!$A$2:$Z$73,26,FALSE())),"please select a BUG ID")</f>
        <v>please select a BUG ID</v>
      </c>
      <c r="C658" s="51" t="str">
        <f>IFERROR(VLOOKUP(A658,Internal_lists_bugs!$A$2:$G2002,7,FALSE()),"please select a BUG ID")</f>
        <v>please select a BUG ID</v>
      </c>
      <c r="D658" s="54"/>
      <c r="E658" s="56"/>
      <c r="F658" s="54"/>
      <c r="G658" s="56"/>
      <c r="H658" s="54"/>
      <c r="I658" s="56"/>
      <c r="J658" s="54"/>
      <c r="K658" s="92"/>
      <c r="L658" s="54"/>
      <c r="M658" s="92"/>
      <c r="N658" s="54"/>
      <c r="O658" s="92"/>
      <c r="P658" s="54"/>
      <c r="Q658" s="92"/>
      <c r="R658" s="54"/>
      <c r="S658" s="92"/>
      <c r="T658" s="117"/>
      <c r="U658" s="92"/>
      <c r="V658" s="54"/>
      <c r="W658" s="92"/>
      <c r="X658" s="54"/>
      <c r="Y658" s="92"/>
      <c r="Z658" s="54"/>
      <c r="AA658" s="92"/>
      <c r="AB658" s="54"/>
      <c r="AC658" s="92"/>
      <c r="AD658" s="54"/>
      <c r="AE658" s="92"/>
      <c r="AF658" s="54"/>
      <c r="AG658" s="92"/>
      <c r="AH658" s="54"/>
      <c r="AI658" s="92"/>
      <c r="AJ658" s="54"/>
      <c r="AK658" s="92"/>
      <c r="AL658" s="54"/>
      <c r="AM658" s="92"/>
      <c r="AO658" s="54"/>
      <c r="AP658" s="123"/>
      <c r="AQ658" s="54"/>
      <c r="AR658" s="154"/>
      <c r="AS658" s="1"/>
      <c r="AT658" s="1"/>
      <c r="AU658" s="9"/>
    </row>
    <row r="659">
      <c r="A659" s="54"/>
      <c r="B659" s="71" t="str">
        <f>IFERROR(HYPERLINK(VLOOKUP(A659,Internal_lists_bugs!$A$2:$C$73,3,FALSE()), VLOOKUP(A659,Internal_lists_bugs!$A$2:$C$73,3,FALSE())&amp;Char(10) &amp; Char(10) &amp; VLOOKUP(A659,Internal_lists_bugs!$A$2:$Z$73,26,FALSE())),"please select a BUG ID")</f>
        <v>please select a BUG ID</v>
      </c>
      <c r="C659" s="51" t="str">
        <f>IFERROR(VLOOKUP(A659,Internal_lists_bugs!$A$2:$G2002,7,FALSE()),"please select a BUG ID")</f>
        <v>please select a BUG ID</v>
      </c>
      <c r="D659" s="54"/>
      <c r="E659" s="56"/>
      <c r="F659" s="54"/>
      <c r="G659" s="56"/>
      <c r="H659" s="54"/>
      <c r="I659" s="56"/>
      <c r="J659" s="54"/>
      <c r="K659" s="92"/>
      <c r="L659" s="54"/>
      <c r="M659" s="92"/>
      <c r="N659" s="54"/>
      <c r="O659" s="92"/>
      <c r="P659" s="54"/>
      <c r="Q659" s="92"/>
      <c r="R659" s="54"/>
      <c r="S659" s="92"/>
      <c r="T659" s="117"/>
      <c r="U659" s="92"/>
      <c r="V659" s="54"/>
      <c r="W659" s="92"/>
      <c r="X659" s="54"/>
      <c r="Y659" s="92"/>
      <c r="Z659" s="54"/>
      <c r="AA659" s="92"/>
      <c r="AB659" s="54"/>
      <c r="AC659" s="92"/>
      <c r="AD659" s="54"/>
      <c r="AE659" s="92"/>
      <c r="AF659" s="54"/>
      <c r="AG659" s="92"/>
      <c r="AH659" s="54"/>
      <c r="AI659" s="92"/>
      <c r="AJ659" s="54"/>
      <c r="AK659" s="92"/>
      <c r="AL659" s="54"/>
      <c r="AM659" s="92"/>
      <c r="AO659" s="54"/>
      <c r="AP659" s="123"/>
      <c r="AQ659" s="54"/>
      <c r="AR659" s="154"/>
      <c r="AS659" s="1"/>
      <c r="AT659" s="1"/>
      <c r="AU659" s="9"/>
    </row>
    <row r="660">
      <c r="A660" s="54"/>
      <c r="B660" s="71" t="str">
        <f>IFERROR(HYPERLINK(VLOOKUP(A660,Internal_lists_bugs!$A$2:$C$73,3,FALSE()), VLOOKUP(A660,Internal_lists_bugs!$A$2:$C$73,3,FALSE())&amp;Char(10) &amp; Char(10) &amp; VLOOKUP(A660,Internal_lists_bugs!$A$2:$Z$73,26,FALSE())),"please select a BUG ID")</f>
        <v>please select a BUG ID</v>
      </c>
      <c r="C660" s="51" t="str">
        <f>IFERROR(VLOOKUP(A660,Internal_lists_bugs!$A$2:$G2002,7,FALSE()),"please select a BUG ID")</f>
        <v>please select a BUG ID</v>
      </c>
      <c r="D660" s="54"/>
      <c r="E660" s="56"/>
      <c r="F660" s="54"/>
      <c r="G660" s="56"/>
      <c r="H660" s="54"/>
      <c r="I660" s="56"/>
      <c r="J660" s="54"/>
      <c r="K660" s="92"/>
      <c r="L660" s="54"/>
      <c r="M660" s="92"/>
      <c r="N660" s="54"/>
      <c r="O660" s="92"/>
      <c r="P660" s="54"/>
      <c r="Q660" s="92"/>
      <c r="R660" s="54"/>
      <c r="S660" s="92"/>
      <c r="T660" s="117"/>
      <c r="U660" s="92"/>
      <c r="V660" s="54"/>
      <c r="W660" s="92"/>
      <c r="X660" s="54"/>
      <c r="Y660" s="92"/>
      <c r="Z660" s="54"/>
      <c r="AA660" s="92"/>
      <c r="AB660" s="54"/>
      <c r="AC660" s="92"/>
      <c r="AD660" s="54"/>
      <c r="AE660" s="92"/>
      <c r="AF660" s="54"/>
      <c r="AG660" s="92"/>
      <c r="AH660" s="54"/>
      <c r="AI660" s="92"/>
      <c r="AJ660" s="54"/>
      <c r="AK660" s="92"/>
      <c r="AL660" s="54"/>
      <c r="AM660" s="92"/>
      <c r="AO660" s="54"/>
      <c r="AP660" s="123"/>
      <c r="AQ660" s="54"/>
      <c r="AR660" s="154"/>
      <c r="AS660" s="1"/>
      <c r="AT660" s="1"/>
      <c r="AU660" s="9"/>
    </row>
    <row r="661">
      <c r="A661" s="54"/>
      <c r="B661" s="71" t="str">
        <f>IFERROR(HYPERLINK(VLOOKUP(A661,Internal_lists_bugs!$A$2:$C$73,3,FALSE()), VLOOKUP(A661,Internal_lists_bugs!$A$2:$C$73,3,FALSE())&amp;Char(10) &amp; Char(10) &amp; VLOOKUP(A661,Internal_lists_bugs!$A$2:$Z$73,26,FALSE())),"please select a BUG ID")</f>
        <v>please select a BUG ID</v>
      </c>
      <c r="C661" s="51" t="str">
        <f>IFERROR(VLOOKUP(A661,Internal_lists_bugs!$A$2:$G2002,7,FALSE()),"please select a BUG ID")</f>
        <v>please select a BUG ID</v>
      </c>
      <c r="D661" s="54"/>
      <c r="E661" s="56"/>
      <c r="F661" s="54"/>
      <c r="G661" s="56"/>
      <c r="H661" s="54"/>
      <c r="I661" s="56"/>
      <c r="J661" s="54"/>
      <c r="K661" s="92"/>
      <c r="L661" s="54"/>
      <c r="M661" s="92"/>
      <c r="N661" s="54"/>
      <c r="O661" s="92"/>
      <c r="P661" s="54"/>
      <c r="Q661" s="92"/>
      <c r="R661" s="54"/>
      <c r="S661" s="92"/>
      <c r="T661" s="117"/>
      <c r="U661" s="92"/>
      <c r="V661" s="54"/>
      <c r="W661" s="92"/>
      <c r="X661" s="54"/>
      <c r="Y661" s="92"/>
      <c r="Z661" s="54"/>
      <c r="AA661" s="92"/>
      <c r="AB661" s="54"/>
      <c r="AC661" s="92"/>
      <c r="AD661" s="54"/>
      <c r="AE661" s="92"/>
      <c r="AF661" s="54"/>
      <c r="AG661" s="92"/>
      <c r="AH661" s="54"/>
      <c r="AI661" s="92"/>
      <c r="AJ661" s="54"/>
      <c r="AK661" s="92"/>
      <c r="AL661" s="54"/>
      <c r="AM661" s="92"/>
      <c r="AO661" s="54"/>
      <c r="AP661" s="123"/>
      <c r="AQ661" s="54"/>
      <c r="AR661" s="154"/>
      <c r="AS661" s="1"/>
      <c r="AT661" s="1"/>
      <c r="AU661" s="9"/>
    </row>
    <row r="662">
      <c r="A662" s="54"/>
      <c r="B662" s="71" t="str">
        <f>IFERROR(HYPERLINK(VLOOKUP(A662,Internal_lists_bugs!$A$2:$C$73,3,FALSE()), VLOOKUP(A662,Internal_lists_bugs!$A$2:$C$73,3,FALSE())&amp;Char(10) &amp; Char(10) &amp; VLOOKUP(A662,Internal_lists_bugs!$A$2:$Z$73,26,FALSE())),"please select a BUG ID")</f>
        <v>please select a BUG ID</v>
      </c>
      <c r="C662" s="51" t="str">
        <f>IFERROR(VLOOKUP(A662,Internal_lists_bugs!$A$2:$G2002,7,FALSE()),"please select a BUG ID")</f>
        <v>please select a BUG ID</v>
      </c>
      <c r="D662" s="54"/>
      <c r="E662" s="56"/>
      <c r="F662" s="54"/>
      <c r="G662" s="56"/>
      <c r="H662" s="54"/>
      <c r="I662" s="56"/>
      <c r="J662" s="54"/>
      <c r="K662" s="92"/>
      <c r="L662" s="54"/>
      <c r="M662" s="92"/>
      <c r="N662" s="54"/>
      <c r="O662" s="92"/>
      <c r="P662" s="54"/>
      <c r="Q662" s="92"/>
      <c r="R662" s="54"/>
      <c r="S662" s="92"/>
      <c r="T662" s="117"/>
      <c r="U662" s="92"/>
      <c r="V662" s="54"/>
      <c r="W662" s="92"/>
      <c r="X662" s="54"/>
      <c r="Y662" s="92"/>
      <c r="Z662" s="54"/>
      <c r="AA662" s="92"/>
      <c r="AB662" s="54"/>
      <c r="AC662" s="92"/>
      <c r="AD662" s="54"/>
      <c r="AE662" s="92"/>
      <c r="AF662" s="54"/>
      <c r="AG662" s="92"/>
      <c r="AH662" s="54"/>
      <c r="AI662" s="92"/>
      <c r="AJ662" s="54"/>
      <c r="AK662" s="92"/>
      <c r="AL662" s="54"/>
      <c r="AM662" s="92"/>
      <c r="AO662" s="54"/>
      <c r="AP662" s="123"/>
      <c r="AQ662" s="54"/>
      <c r="AR662" s="154"/>
      <c r="AS662" s="1"/>
      <c r="AT662" s="1"/>
      <c r="AU662" s="9"/>
    </row>
    <row r="663">
      <c r="A663" s="54"/>
      <c r="B663" s="71" t="str">
        <f>IFERROR(HYPERLINK(VLOOKUP(A663,Internal_lists_bugs!$A$2:$C$73,3,FALSE()), VLOOKUP(A663,Internal_lists_bugs!$A$2:$C$73,3,FALSE())&amp;Char(10) &amp; Char(10) &amp; VLOOKUP(A663,Internal_lists_bugs!$A$2:$Z$73,26,FALSE())),"please select a BUG ID")</f>
        <v>please select a BUG ID</v>
      </c>
      <c r="C663" s="51" t="str">
        <f>IFERROR(VLOOKUP(A663,Internal_lists_bugs!$A$2:$G2002,7,FALSE()),"please select a BUG ID")</f>
        <v>please select a BUG ID</v>
      </c>
      <c r="D663" s="54"/>
      <c r="E663" s="56"/>
      <c r="F663" s="54"/>
      <c r="G663" s="56"/>
      <c r="H663" s="54"/>
      <c r="I663" s="56"/>
      <c r="J663" s="54"/>
      <c r="K663" s="92"/>
      <c r="L663" s="54"/>
      <c r="M663" s="92"/>
      <c r="N663" s="54"/>
      <c r="O663" s="92"/>
      <c r="P663" s="54"/>
      <c r="Q663" s="92"/>
      <c r="R663" s="54"/>
      <c r="S663" s="92"/>
      <c r="T663" s="117"/>
      <c r="U663" s="92"/>
      <c r="V663" s="54"/>
      <c r="W663" s="92"/>
      <c r="X663" s="54"/>
      <c r="Y663" s="92"/>
      <c r="Z663" s="54"/>
      <c r="AA663" s="92"/>
      <c r="AB663" s="54"/>
      <c r="AC663" s="92"/>
      <c r="AD663" s="54"/>
      <c r="AE663" s="92"/>
      <c r="AF663" s="54"/>
      <c r="AG663" s="92"/>
      <c r="AH663" s="54"/>
      <c r="AI663" s="92"/>
      <c r="AJ663" s="54"/>
      <c r="AK663" s="92"/>
      <c r="AL663" s="54"/>
      <c r="AM663" s="92"/>
      <c r="AO663" s="54"/>
      <c r="AP663" s="123"/>
      <c r="AQ663" s="54"/>
      <c r="AR663" s="154"/>
      <c r="AS663" s="1"/>
      <c r="AT663" s="1"/>
      <c r="AU663" s="9"/>
    </row>
    <row r="664">
      <c r="A664" s="54"/>
      <c r="B664" s="71" t="str">
        <f>IFERROR(HYPERLINK(VLOOKUP(A664,Internal_lists_bugs!$A$2:$C$73,3,FALSE()), VLOOKUP(A664,Internal_lists_bugs!$A$2:$C$73,3,FALSE())&amp;Char(10) &amp; Char(10) &amp; VLOOKUP(A664,Internal_lists_bugs!$A$2:$Z$73,26,FALSE())),"please select a BUG ID")</f>
        <v>please select a BUG ID</v>
      </c>
      <c r="C664" s="51" t="str">
        <f>IFERROR(VLOOKUP(A664,Internal_lists_bugs!$A$2:$G2002,7,FALSE()),"please select a BUG ID")</f>
        <v>please select a BUG ID</v>
      </c>
      <c r="D664" s="54"/>
      <c r="E664" s="56"/>
      <c r="F664" s="54"/>
      <c r="G664" s="56"/>
      <c r="H664" s="54"/>
      <c r="I664" s="56"/>
      <c r="J664" s="54"/>
      <c r="K664" s="92"/>
      <c r="L664" s="54"/>
      <c r="M664" s="92"/>
      <c r="N664" s="54"/>
      <c r="O664" s="92"/>
      <c r="P664" s="54"/>
      <c r="Q664" s="92"/>
      <c r="R664" s="54"/>
      <c r="S664" s="92"/>
      <c r="T664" s="117"/>
      <c r="U664" s="92"/>
      <c r="V664" s="54"/>
      <c r="W664" s="92"/>
      <c r="X664" s="54"/>
      <c r="Y664" s="92"/>
      <c r="Z664" s="54"/>
      <c r="AA664" s="92"/>
      <c r="AB664" s="54"/>
      <c r="AC664" s="92"/>
      <c r="AD664" s="54"/>
      <c r="AE664" s="92"/>
      <c r="AF664" s="54"/>
      <c r="AG664" s="92"/>
      <c r="AH664" s="54"/>
      <c r="AI664" s="92"/>
      <c r="AJ664" s="54"/>
      <c r="AK664" s="92"/>
      <c r="AL664" s="54"/>
      <c r="AM664" s="92"/>
      <c r="AO664" s="54"/>
      <c r="AP664" s="123"/>
      <c r="AQ664" s="54"/>
      <c r="AR664" s="154"/>
      <c r="AS664" s="1"/>
      <c r="AT664" s="1"/>
      <c r="AU664" s="9"/>
    </row>
    <row r="665">
      <c r="A665" s="54"/>
      <c r="B665" s="71" t="str">
        <f>IFERROR(HYPERLINK(VLOOKUP(A665,Internal_lists_bugs!$A$2:$C$73,3,FALSE()), VLOOKUP(A665,Internal_lists_bugs!$A$2:$C$73,3,FALSE())&amp;Char(10) &amp; Char(10) &amp; VLOOKUP(A665,Internal_lists_bugs!$A$2:$Z$73,26,FALSE())),"please select a BUG ID")</f>
        <v>please select a BUG ID</v>
      </c>
      <c r="C665" s="51" t="str">
        <f>IFERROR(VLOOKUP(A665,Internal_lists_bugs!$A$2:$G2002,7,FALSE()),"please select a BUG ID")</f>
        <v>please select a BUG ID</v>
      </c>
      <c r="D665" s="54"/>
      <c r="E665" s="56"/>
      <c r="F665" s="54"/>
      <c r="G665" s="56"/>
      <c r="H665" s="54"/>
      <c r="I665" s="56"/>
      <c r="J665" s="54"/>
      <c r="K665" s="92"/>
      <c r="L665" s="54"/>
      <c r="M665" s="92"/>
      <c r="N665" s="54"/>
      <c r="O665" s="92"/>
      <c r="P665" s="54"/>
      <c r="Q665" s="92"/>
      <c r="R665" s="54"/>
      <c r="S665" s="92"/>
      <c r="T665" s="117"/>
      <c r="U665" s="92"/>
      <c r="V665" s="54"/>
      <c r="W665" s="92"/>
      <c r="X665" s="54"/>
      <c r="Y665" s="92"/>
      <c r="Z665" s="54"/>
      <c r="AA665" s="92"/>
      <c r="AB665" s="54"/>
      <c r="AC665" s="92"/>
      <c r="AD665" s="54"/>
      <c r="AE665" s="92"/>
      <c r="AF665" s="54"/>
      <c r="AG665" s="92"/>
      <c r="AH665" s="54"/>
      <c r="AI665" s="92"/>
      <c r="AJ665" s="54"/>
      <c r="AK665" s="92"/>
      <c r="AL665" s="54"/>
      <c r="AM665" s="92"/>
      <c r="AO665" s="54"/>
      <c r="AP665" s="123"/>
      <c r="AQ665" s="54"/>
      <c r="AR665" s="154"/>
      <c r="AS665" s="1"/>
      <c r="AT665" s="1"/>
      <c r="AU665" s="9"/>
    </row>
    <row r="666">
      <c r="A666" s="54"/>
      <c r="B666" s="71" t="str">
        <f>IFERROR(HYPERLINK(VLOOKUP(A666,Internal_lists_bugs!$A$2:$C$73,3,FALSE()), VLOOKUP(A666,Internal_lists_bugs!$A$2:$C$73,3,FALSE())&amp;Char(10) &amp; Char(10) &amp; VLOOKUP(A666,Internal_lists_bugs!$A$2:$Z$73,26,FALSE())),"please select a BUG ID")</f>
        <v>please select a BUG ID</v>
      </c>
      <c r="C666" s="51" t="str">
        <f>IFERROR(VLOOKUP(A666,Internal_lists_bugs!$A$2:$G2002,7,FALSE()),"please select a BUG ID")</f>
        <v>please select a BUG ID</v>
      </c>
      <c r="D666" s="54"/>
      <c r="E666" s="56"/>
      <c r="F666" s="54"/>
      <c r="G666" s="56"/>
      <c r="H666" s="54"/>
      <c r="I666" s="56"/>
      <c r="J666" s="54"/>
      <c r="K666" s="92"/>
      <c r="L666" s="54"/>
      <c r="M666" s="92"/>
      <c r="N666" s="54"/>
      <c r="O666" s="92"/>
      <c r="P666" s="54"/>
      <c r="Q666" s="92"/>
      <c r="R666" s="54"/>
      <c r="S666" s="92"/>
      <c r="T666" s="117"/>
      <c r="U666" s="92"/>
      <c r="V666" s="54"/>
      <c r="W666" s="92"/>
      <c r="X666" s="54"/>
      <c r="Y666" s="92"/>
      <c r="Z666" s="54"/>
      <c r="AA666" s="92"/>
      <c r="AB666" s="54"/>
      <c r="AC666" s="92"/>
      <c r="AD666" s="54"/>
      <c r="AE666" s="92"/>
      <c r="AF666" s="54"/>
      <c r="AG666" s="92"/>
      <c r="AH666" s="54"/>
      <c r="AI666" s="92"/>
      <c r="AJ666" s="54"/>
      <c r="AK666" s="92"/>
      <c r="AL666" s="54"/>
      <c r="AM666" s="92"/>
      <c r="AO666" s="54"/>
      <c r="AP666" s="123"/>
      <c r="AQ666" s="54"/>
      <c r="AR666" s="154"/>
      <c r="AS666" s="1"/>
      <c r="AT666" s="1"/>
      <c r="AU666" s="9"/>
    </row>
    <row r="667">
      <c r="A667" s="54"/>
      <c r="B667" s="71" t="str">
        <f>IFERROR(HYPERLINK(VLOOKUP(A667,Internal_lists_bugs!$A$2:$C$73,3,FALSE()), VLOOKUP(A667,Internal_lists_bugs!$A$2:$C$73,3,FALSE())&amp;Char(10) &amp; Char(10) &amp; VLOOKUP(A667,Internal_lists_bugs!$A$2:$Z$73,26,FALSE())),"please select a BUG ID")</f>
        <v>please select a BUG ID</v>
      </c>
      <c r="C667" s="51" t="str">
        <f>IFERROR(VLOOKUP(A667,Internal_lists_bugs!$A$2:$G2002,7,FALSE()),"please select a BUG ID")</f>
        <v>please select a BUG ID</v>
      </c>
      <c r="D667" s="54"/>
      <c r="E667" s="56"/>
      <c r="F667" s="54"/>
      <c r="G667" s="56"/>
      <c r="H667" s="54"/>
      <c r="I667" s="56"/>
      <c r="J667" s="54"/>
      <c r="K667" s="92"/>
      <c r="L667" s="54"/>
      <c r="M667" s="92"/>
      <c r="N667" s="54"/>
      <c r="O667" s="92"/>
      <c r="P667" s="54"/>
      <c r="Q667" s="92"/>
      <c r="R667" s="54"/>
      <c r="S667" s="92"/>
      <c r="T667" s="117"/>
      <c r="U667" s="92"/>
      <c r="V667" s="54"/>
      <c r="W667" s="92"/>
      <c r="X667" s="54"/>
      <c r="Y667" s="92"/>
      <c r="Z667" s="54"/>
      <c r="AA667" s="92"/>
      <c r="AB667" s="54"/>
      <c r="AC667" s="92"/>
      <c r="AD667" s="54"/>
      <c r="AE667" s="92"/>
      <c r="AF667" s="54"/>
      <c r="AG667" s="92"/>
      <c r="AH667" s="54"/>
      <c r="AI667" s="92"/>
      <c r="AJ667" s="54"/>
      <c r="AK667" s="92"/>
      <c r="AL667" s="54"/>
      <c r="AM667" s="92"/>
      <c r="AO667" s="54"/>
      <c r="AP667" s="123"/>
      <c r="AQ667" s="54"/>
      <c r="AR667" s="154"/>
      <c r="AS667" s="1"/>
      <c r="AT667" s="1"/>
      <c r="AU667" s="9"/>
    </row>
    <row r="668">
      <c r="A668" s="54"/>
      <c r="B668" s="71" t="str">
        <f>IFERROR(HYPERLINK(VLOOKUP(A668,Internal_lists_bugs!$A$2:$C$73,3,FALSE()), VLOOKUP(A668,Internal_lists_bugs!$A$2:$C$73,3,FALSE())&amp;Char(10) &amp; Char(10) &amp; VLOOKUP(A668,Internal_lists_bugs!$A$2:$Z$73,26,FALSE())),"please select a BUG ID")</f>
        <v>please select a BUG ID</v>
      </c>
      <c r="C668" s="51" t="str">
        <f>IFERROR(VLOOKUP(A668,Internal_lists_bugs!$A$2:$G2002,7,FALSE()),"please select a BUG ID")</f>
        <v>please select a BUG ID</v>
      </c>
      <c r="D668" s="54"/>
      <c r="E668" s="56"/>
      <c r="F668" s="54"/>
      <c r="G668" s="56"/>
      <c r="H668" s="54"/>
      <c r="I668" s="56"/>
      <c r="J668" s="54"/>
      <c r="K668" s="92"/>
      <c r="L668" s="54"/>
      <c r="M668" s="92"/>
      <c r="N668" s="54"/>
      <c r="O668" s="92"/>
      <c r="P668" s="54"/>
      <c r="Q668" s="92"/>
      <c r="R668" s="54"/>
      <c r="S668" s="92"/>
      <c r="T668" s="117"/>
      <c r="U668" s="92"/>
      <c r="V668" s="54"/>
      <c r="W668" s="92"/>
      <c r="X668" s="54"/>
      <c r="Y668" s="92"/>
      <c r="Z668" s="54"/>
      <c r="AA668" s="92"/>
      <c r="AB668" s="54"/>
      <c r="AC668" s="92"/>
      <c r="AD668" s="54"/>
      <c r="AE668" s="92"/>
      <c r="AF668" s="54"/>
      <c r="AG668" s="92"/>
      <c r="AH668" s="54"/>
      <c r="AI668" s="92"/>
      <c r="AJ668" s="54"/>
      <c r="AK668" s="92"/>
      <c r="AL668" s="54"/>
      <c r="AM668" s="92"/>
      <c r="AO668" s="54"/>
      <c r="AP668" s="123"/>
      <c r="AQ668" s="54"/>
      <c r="AR668" s="154"/>
      <c r="AS668" s="1"/>
      <c r="AT668" s="1"/>
      <c r="AU668" s="9"/>
    </row>
    <row r="669">
      <c r="A669" s="54"/>
      <c r="B669" s="71" t="str">
        <f>IFERROR(HYPERLINK(VLOOKUP(A669,Internal_lists_bugs!$A$2:$C$73,3,FALSE()), VLOOKUP(A669,Internal_lists_bugs!$A$2:$C$73,3,FALSE())&amp;Char(10) &amp; Char(10) &amp; VLOOKUP(A669,Internal_lists_bugs!$A$2:$Z$73,26,FALSE())),"please select a BUG ID")</f>
        <v>please select a BUG ID</v>
      </c>
      <c r="C669" s="51" t="str">
        <f>IFERROR(VLOOKUP(A669,Internal_lists_bugs!$A$2:$G2002,7,FALSE()),"please select a BUG ID")</f>
        <v>please select a BUG ID</v>
      </c>
      <c r="D669" s="54"/>
      <c r="E669" s="56"/>
      <c r="F669" s="54"/>
      <c r="G669" s="56"/>
      <c r="H669" s="54"/>
      <c r="I669" s="56"/>
      <c r="J669" s="54"/>
      <c r="K669" s="92"/>
      <c r="L669" s="54"/>
      <c r="M669" s="92"/>
      <c r="N669" s="54"/>
      <c r="O669" s="92"/>
      <c r="P669" s="54"/>
      <c r="Q669" s="92"/>
      <c r="R669" s="54"/>
      <c r="S669" s="92"/>
      <c r="T669" s="117"/>
      <c r="U669" s="92"/>
      <c r="V669" s="54"/>
      <c r="W669" s="92"/>
      <c r="X669" s="54"/>
      <c r="Y669" s="92"/>
      <c r="Z669" s="54"/>
      <c r="AA669" s="92"/>
      <c r="AB669" s="54"/>
      <c r="AC669" s="92"/>
      <c r="AD669" s="54"/>
      <c r="AE669" s="92"/>
      <c r="AF669" s="54"/>
      <c r="AG669" s="92"/>
      <c r="AH669" s="54"/>
      <c r="AI669" s="92"/>
      <c r="AJ669" s="54"/>
      <c r="AK669" s="92"/>
      <c r="AL669" s="54"/>
      <c r="AM669" s="92"/>
      <c r="AO669" s="54"/>
      <c r="AP669" s="123"/>
      <c r="AQ669" s="54"/>
      <c r="AR669" s="154"/>
      <c r="AS669" s="1"/>
      <c r="AT669" s="1"/>
      <c r="AU669" s="9"/>
    </row>
    <row r="670">
      <c r="A670" s="54"/>
      <c r="B670" s="71" t="str">
        <f>IFERROR(HYPERLINK(VLOOKUP(A670,Internal_lists_bugs!$A$2:$C$73,3,FALSE()), VLOOKUP(A670,Internal_lists_bugs!$A$2:$C$73,3,FALSE())&amp;Char(10) &amp; Char(10) &amp; VLOOKUP(A670,Internal_lists_bugs!$A$2:$Z$73,26,FALSE())),"please select a BUG ID")</f>
        <v>please select a BUG ID</v>
      </c>
      <c r="C670" s="51" t="str">
        <f>IFERROR(VLOOKUP(A670,Internal_lists_bugs!$A$2:$G2002,7,FALSE()),"please select a BUG ID")</f>
        <v>please select a BUG ID</v>
      </c>
      <c r="D670" s="54"/>
      <c r="E670" s="56"/>
      <c r="F670" s="54"/>
      <c r="G670" s="56"/>
      <c r="H670" s="54"/>
      <c r="I670" s="56"/>
      <c r="J670" s="54"/>
      <c r="K670" s="92"/>
      <c r="L670" s="54"/>
      <c r="M670" s="92"/>
      <c r="N670" s="54"/>
      <c r="O670" s="92"/>
      <c r="P670" s="54"/>
      <c r="Q670" s="92"/>
      <c r="R670" s="54"/>
      <c r="S670" s="92"/>
      <c r="T670" s="117"/>
      <c r="U670" s="92"/>
      <c r="V670" s="54"/>
      <c r="W670" s="92"/>
      <c r="X670" s="54"/>
      <c r="Y670" s="92"/>
      <c r="Z670" s="54"/>
      <c r="AA670" s="92"/>
      <c r="AB670" s="54"/>
      <c r="AC670" s="92"/>
      <c r="AD670" s="54"/>
      <c r="AE670" s="92"/>
      <c r="AF670" s="54"/>
      <c r="AG670" s="92"/>
      <c r="AH670" s="54"/>
      <c r="AI670" s="92"/>
      <c r="AJ670" s="54"/>
      <c r="AK670" s="92"/>
      <c r="AL670" s="54"/>
      <c r="AM670" s="92"/>
      <c r="AO670" s="54"/>
      <c r="AP670" s="123"/>
      <c r="AQ670" s="54"/>
      <c r="AR670" s="154"/>
      <c r="AS670" s="1"/>
      <c r="AT670" s="1"/>
      <c r="AU670" s="9"/>
    </row>
    <row r="671">
      <c r="A671" s="54"/>
      <c r="B671" s="71" t="str">
        <f>IFERROR(HYPERLINK(VLOOKUP(A671,Internal_lists_bugs!$A$2:$C$73,3,FALSE()), VLOOKUP(A671,Internal_lists_bugs!$A$2:$C$73,3,FALSE())&amp;Char(10) &amp; Char(10) &amp; VLOOKUP(A671,Internal_lists_bugs!$A$2:$Z$73,26,FALSE())),"please select a BUG ID")</f>
        <v>please select a BUG ID</v>
      </c>
      <c r="C671" s="51" t="str">
        <f>IFERROR(VLOOKUP(A671,Internal_lists_bugs!$A$2:$G2002,7,FALSE()),"please select a BUG ID")</f>
        <v>please select a BUG ID</v>
      </c>
      <c r="D671" s="54"/>
      <c r="E671" s="56"/>
      <c r="F671" s="54"/>
      <c r="G671" s="56"/>
      <c r="H671" s="54"/>
      <c r="I671" s="56"/>
      <c r="J671" s="54"/>
      <c r="K671" s="92"/>
      <c r="L671" s="54"/>
      <c r="M671" s="92"/>
      <c r="N671" s="54"/>
      <c r="O671" s="92"/>
      <c r="P671" s="54"/>
      <c r="Q671" s="92"/>
      <c r="R671" s="54"/>
      <c r="S671" s="92"/>
      <c r="T671" s="117"/>
      <c r="U671" s="92"/>
      <c r="V671" s="54"/>
      <c r="W671" s="92"/>
      <c r="X671" s="54"/>
      <c r="Y671" s="92"/>
      <c r="Z671" s="54"/>
      <c r="AA671" s="92"/>
      <c r="AB671" s="54"/>
      <c r="AC671" s="92"/>
      <c r="AD671" s="54"/>
      <c r="AE671" s="92"/>
      <c r="AF671" s="54"/>
      <c r="AG671" s="92"/>
      <c r="AH671" s="54"/>
      <c r="AI671" s="92"/>
      <c r="AJ671" s="54"/>
      <c r="AK671" s="92"/>
      <c r="AL671" s="54"/>
      <c r="AM671" s="92"/>
      <c r="AO671" s="54"/>
      <c r="AP671" s="123"/>
      <c r="AQ671" s="54"/>
      <c r="AR671" s="154"/>
      <c r="AS671" s="1"/>
      <c r="AT671" s="1"/>
      <c r="AU671" s="9"/>
    </row>
    <row r="672">
      <c r="A672" s="54"/>
      <c r="B672" s="71" t="str">
        <f>IFERROR(HYPERLINK(VLOOKUP(A672,Internal_lists_bugs!$A$2:$C$73,3,FALSE()), VLOOKUP(A672,Internal_lists_bugs!$A$2:$C$73,3,FALSE())&amp;Char(10) &amp; Char(10) &amp; VLOOKUP(A672,Internal_lists_bugs!$A$2:$Z$73,26,FALSE())),"please select a BUG ID")</f>
        <v>please select a BUG ID</v>
      </c>
      <c r="C672" s="51" t="str">
        <f>IFERROR(VLOOKUP(A672,Internal_lists_bugs!$A$2:$G2002,7,FALSE()),"please select a BUG ID")</f>
        <v>please select a BUG ID</v>
      </c>
      <c r="D672" s="54"/>
      <c r="E672" s="56"/>
      <c r="F672" s="54"/>
      <c r="G672" s="56"/>
      <c r="H672" s="54"/>
      <c r="I672" s="56"/>
      <c r="J672" s="54"/>
      <c r="K672" s="92"/>
      <c r="L672" s="54"/>
      <c r="M672" s="92"/>
      <c r="N672" s="54"/>
      <c r="O672" s="92"/>
      <c r="P672" s="54"/>
      <c r="Q672" s="92"/>
      <c r="R672" s="54"/>
      <c r="S672" s="92"/>
      <c r="T672" s="117"/>
      <c r="U672" s="92"/>
      <c r="V672" s="54"/>
      <c r="W672" s="92"/>
      <c r="X672" s="54"/>
      <c r="Y672" s="92"/>
      <c r="Z672" s="54"/>
      <c r="AA672" s="92"/>
      <c r="AB672" s="54"/>
      <c r="AC672" s="92"/>
      <c r="AD672" s="54"/>
      <c r="AE672" s="92"/>
      <c r="AF672" s="54"/>
      <c r="AG672" s="92"/>
      <c r="AH672" s="54"/>
      <c r="AI672" s="92"/>
      <c r="AJ672" s="54"/>
      <c r="AK672" s="92"/>
      <c r="AL672" s="54"/>
      <c r="AM672" s="92"/>
      <c r="AO672" s="54"/>
      <c r="AP672" s="123"/>
      <c r="AQ672" s="54"/>
      <c r="AR672" s="154"/>
      <c r="AS672" s="1"/>
      <c r="AT672" s="1"/>
      <c r="AU672" s="9"/>
    </row>
    <row r="673">
      <c r="A673" s="54"/>
      <c r="B673" s="71" t="str">
        <f>IFERROR(HYPERLINK(VLOOKUP(A673,Internal_lists_bugs!$A$2:$C$73,3,FALSE()), VLOOKUP(A673,Internal_lists_bugs!$A$2:$C$73,3,FALSE())&amp;Char(10) &amp; Char(10) &amp; VLOOKUP(A673,Internal_lists_bugs!$A$2:$Z$73,26,FALSE())),"please select a BUG ID")</f>
        <v>please select a BUG ID</v>
      </c>
      <c r="C673" s="51" t="str">
        <f>IFERROR(VLOOKUP(A673,Internal_lists_bugs!$A$2:$G2002,7,FALSE()),"please select a BUG ID")</f>
        <v>please select a BUG ID</v>
      </c>
      <c r="D673" s="54"/>
      <c r="E673" s="56"/>
      <c r="F673" s="54"/>
      <c r="G673" s="56"/>
      <c r="H673" s="54"/>
      <c r="I673" s="56"/>
      <c r="J673" s="54"/>
      <c r="K673" s="92"/>
      <c r="L673" s="54"/>
      <c r="M673" s="92"/>
      <c r="N673" s="54"/>
      <c r="O673" s="92"/>
      <c r="P673" s="54"/>
      <c r="Q673" s="92"/>
      <c r="R673" s="54"/>
      <c r="S673" s="92"/>
      <c r="T673" s="117"/>
      <c r="U673" s="92"/>
      <c r="V673" s="54"/>
      <c r="W673" s="92"/>
      <c r="X673" s="54"/>
      <c r="Y673" s="92"/>
      <c r="Z673" s="54"/>
      <c r="AA673" s="92"/>
      <c r="AB673" s="54"/>
      <c r="AC673" s="92"/>
      <c r="AD673" s="54"/>
      <c r="AE673" s="92"/>
      <c r="AF673" s="54"/>
      <c r="AG673" s="92"/>
      <c r="AH673" s="54"/>
      <c r="AI673" s="92"/>
      <c r="AJ673" s="54"/>
      <c r="AK673" s="92"/>
      <c r="AL673" s="54"/>
      <c r="AM673" s="92"/>
      <c r="AO673" s="54"/>
      <c r="AP673" s="123"/>
      <c r="AQ673" s="54"/>
      <c r="AR673" s="154"/>
      <c r="AS673" s="1"/>
      <c r="AT673" s="1"/>
      <c r="AU673" s="9"/>
    </row>
    <row r="674">
      <c r="A674" s="54"/>
      <c r="B674" s="71" t="str">
        <f>IFERROR(HYPERLINK(VLOOKUP(A674,Internal_lists_bugs!$A$2:$C$73,3,FALSE()), VLOOKUP(A674,Internal_lists_bugs!$A$2:$C$73,3,FALSE())&amp;Char(10) &amp; Char(10) &amp; VLOOKUP(A674,Internal_lists_bugs!$A$2:$Z$73,26,FALSE())),"please select a BUG ID")</f>
        <v>please select a BUG ID</v>
      </c>
      <c r="C674" s="51" t="str">
        <f>IFERROR(VLOOKUP(A674,Internal_lists_bugs!$A$2:$G2002,7,FALSE()),"please select a BUG ID")</f>
        <v>please select a BUG ID</v>
      </c>
      <c r="D674" s="54"/>
      <c r="E674" s="56"/>
      <c r="F674" s="54"/>
      <c r="G674" s="56"/>
      <c r="H674" s="54"/>
      <c r="I674" s="56"/>
      <c r="J674" s="54"/>
      <c r="K674" s="92"/>
      <c r="L674" s="54"/>
      <c r="M674" s="92"/>
      <c r="N674" s="54"/>
      <c r="O674" s="92"/>
      <c r="P674" s="54"/>
      <c r="Q674" s="92"/>
      <c r="R674" s="54"/>
      <c r="S674" s="92"/>
      <c r="T674" s="117"/>
      <c r="U674" s="92"/>
      <c r="V674" s="54"/>
      <c r="W674" s="92"/>
      <c r="X674" s="54"/>
      <c r="Y674" s="92"/>
      <c r="Z674" s="54"/>
      <c r="AA674" s="92"/>
      <c r="AB674" s="54"/>
      <c r="AC674" s="92"/>
      <c r="AD674" s="54"/>
      <c r="AE674" s="92"/>
      <c r="AF674" s="54"/>
      <c r="AG674" s="92"/>
      <c r="AH674" s="54"/>
      <c r="AI674" s="92"/>
      <c r="AJ674" s="54"/>
      <c r="AK674" s="92"/>
      <c r="AL674" s="54"/>
      <c r="AM674" s="92"/>
      <c r="AO674" s="54"/>
      <c r="AP674" s="123"/>
      <c r="AQ674" s="54"/>
      <c r="AR674" s="154"/>
      <c r="AS674" s="1"/>
      <c r="AT674" s="1"/>
      <c r="AU674" s="9"/>
    </row>
    <row r="675">
      <c r="A675" s="54"/>
      <c r="B675" s="71" t="str">
        <f>IFERROR(HYPERLINK(VLOOKUP(A675,Internal_lists_bugs!$A$2:$C$73,3,FALSE()), VLOOKUP(A675,Internal_lists_bugs!$A$2:$C$73,3,FALSE())&amp;Char(10) &amp; Char(10) &amp; VLOOKUP(A675,Internal_lists_bugs!$A$2:$Z$73,26,FALSE())),"please select a BUG ID")</f>
        <v>please select a BUG ID</v>
      </c>
      <c r="C675" s="51" t="str">
        <f>IFERROR(VLOOKUP(A675,Internal_lists_bugs!$A$2:$G2002,7,FALSE()),"please select a BUG ID")</f>
        <v>please select a BUG ID</v>
      </c>
      <c r="D675" s="54"/>
      <c r="E675" s="56"/>
      <c r="F675" s="54"/>
      <c r="G675" s="56"/>
      <c r="H675" s="54"/>
      <c r="I675" s="56"/>
      <c r="J675" s="54"/>
      <c r="K675" s="92"/>
      <c r="L675" s="54"/>
      <c r="M675" s="92"/>
      <c r="N675" s="54"/>
      <c r="O675" s="92"/>
      <c r="P675" s="54"/>
      <c r="Q675" s="92"/>
      <c r="R675" s="54"/>
      <c r="S675" s="92"/>
      <c r="T675" s="117"/>
      <c r="U675" s="92"/>
      <c r="V675" s="54"/>
      <c r="W675" s="92"/>
      <c r="X675" s="54"/>
      <c r="Y675" s="92"/>
      <c r="Z675" s="54"/>
      <c r="AA675" s="92"/>
      <c r="AB675" s="54"/>
      <c r="AC675" s="92"/>
      <c r="AD675" s="54"/>
      <c r="AE675" s="92"/>
      <c r="AF675" s="54"/>
      <c r="AG675" s="92"/>
      <c r="AH675" s="54"/>
      <c r="AI675" s="92"/>
      <c r="AJ675" s="54"/>
      <c r="AK675" s="92"/>
      <c r="AL675" s="54"/>
      <c r="AM675" s="92"/>
      <c r="AO675" s="54"/>
      <c r="AP675" s="123"/>
      <c r="AQ675" s="54"/>
      <c r="AR675" s="154"/>
      <c r="AS675" s="1"/>
      <c r="AT675" s="1"/>
      <c r="AU675" s="9"/>
    </row>
    <row r="676">
      <c r="A676" s="54"/>
      <c r="B676" s="71" t="str">
        <f>IFERROR(HYPERLINK(VLOOKUP(A676,Internal_lists_bugs!$A$2:$C$73,3,FALSE()), VLOOKUP(A676,Internal_lists_bugs!$A$2:$C$73,3,FALSE())&amp;Char(10) &amp; Char(10) &amp; VLOOKUP(A676,Internal_lists_bugs!$A$2:$Z$73,26,FALSE())),"please select a BUG ID")</f>
        <v>please select a BUG ID</v>
      </c>
      <c r="C676" s="51" t="str">
        <f>IFERROR(VLOOKUP(A676,Internal_lists_bugs!$A$2:$G2002,7,FALSE()),"please select a BUG ID")</f>
        <v>please select a BUG ID</v>
      </c>
      <c r="D676" s="54"/>
      <c r="E676" s="56"/>
      <c r="F676" s="54"/>
      <c r="G676" s="56"/>
      <c r="H676" s="54"/>
      <c r="I676" s="56"/>
      <c r="J676" s="54"/>
      <c r="K676" s="92"/>
      <c r="L676" s="54"/>
      <c r="M676" s="92"/>
      <c r="N676" s="54"/>
      <c r="O676" s="92"/>
      <c r="P676" s="54"/>
      <c r="Q676" s="92"/>
      <c r="R676" s="54"/>
      <c r="S676" s="92"/>
      <c r="T676" s="117"/>
      <c r="U676" s="92"/>
      <c r="V676" s="54"/>
      <c r="W676" s="92"/>
      <c r="X676" s="54"/>
      <c r="Y676" s="92"/>
      <c r="Z676" s="54"/>
      <c r="AA676" s="92"/>
      <c r="AB676" s="54"/>
      <c r="AC676" s="92"/>
      <c r="AD676" s="54"/>
      <c r="AE676" s="92"/>
      <c r="AF676" s="54"/>
      <c r="AG676" s="92"/>
      <c r="AH676" s="54"/>
      <c r="AI676" s="92"/>
      <c r="AJ676" s="54"/>
      <c r="AK676" s="92"/>
      <c r="AL676" s="54"/>
      <c r="AM676" s="92"/>
      <c r="AO676" s="54"/>
      <c r="AP676" s="123"/>
      <c r="AQ676" s="54"/>
      <c r="AR676" s="154"/>
      <c r="AS676" s="1"/>
      <c r="AT676" s="1"/>
      <c r="AU676" s="9"/>
    </row>
    <row r="677">
      <c r="A677" s="54"/>
      <c r="B677" s="71" t="str">
        <f>IFERROR(HYPERLINK(VLOOKUP(A677,Internal_lists_bugs!$A$2:$C$73,3,FALSE()), VLOOKUP(A677,Internal_lists_bugs!$A$2:$C$73,3,FALSE())&amp;Char(10) &amp; Char(10) &amp; VLOOKUP(A677,Internal_lists_bugs!$A$2:$Z$73,26,FALSE())),"please select a BUG ID")</f>
        <v>please select a BUG ID</v>
      </c>
      <c r="C677" s="51" t="str">
        <f>IFERROR(VLOOKUP(A677,Internal_lists_bugs!$A$2:$G2002,7,FALSE()),"please select a BUG ID")</f>
        <v>please select a BUG ID</v>
      </c>
      <c r="D677" s="54"/>
      <c r="E677" s="56"/>
      <c r="F677" s="54"/>
      <c r="G677" s="56"/>
      <c r="H677" s="54"/>
      <c r="I677" s="56"/>
      <c r="J677" s="54"/>
      <c r="K677" s="92"/>
      <c r="L677" s="54"/>
      <c r="M677" s="92"/>
      <c r="N677" s="54"/>
      <c r="O677" s="92"/>
      <c r="P677" s="54"/>
      <c r="Q677" s="92"/>
      <c r="R677" s="54"/>
      <c r="S677" s="92"/>
      <c r="T677" s="117"/>
      <c r="U677" s="92"/>
      <c r="V677" s="54"/>
      <c r="W677" s="92"/>
      <c r="X677" s="54"/>
      <c r="Y677" s="92"/>
      <c r="Z677" s="54"/>
      <c r="AA677" s="92"/>
      <c r="AB677" s="54"/>
      <c r="AC677" s="92"/>
      <c r="AD677" s="54"/>
      <c r="AE677" s="92"/>
      <c r="AF677" s="54"/>
      <c r="AG677" s="92"/>
      <c r="AH677" s="54"/>
      <c r="AI677" s="92"/>
      <c r="AJ677" s="54"/>
      <c r="AK677" s="92"/>
      <c r="AL677" s="54"/>
      <c r="AM677" s="92"/>
      <c r="AO677" s="54"/>
      <c r="AP677" s="123"/>
      <c r="AQ677" s="54"/>
      <c r="AR677" s="154"/>
      <c r="AS677" s="1"/>
      <c r="AT677" s="1"/>
      <c r="AU677" s="9"/>
    </row>
    <row r="678">
      <c r="A678" s="54"/>
      <c r="B678" s="71" t="str">
        <f>IFERROR(HYPERLINK(VLOOKUP(A678,Internal_lists_bugs!$A$2:$C$73,3,FALSE()), VLOOKUP(A678,Internal_lists_bugs!$A$2:$C$73,3,FALSE())&amp;Char(10) &amp; Char(10) &amp; VLOOKUP(A678,Internal_lists_bugs!$A$2:$Z$73,26,FALSE())),"please select a BUG ID")</f>
        <v>please select a BUG ID</v>
      </c>
      <c r="C678" s="51" t="str">
        <f>IFERROR(VLOOKUP(A678,Internal_lists_bugs!$A$2:$G2002,7,FALSE()),"please select a BUG ID")</f>
        <v>please select a BUG ID</v>
      </c>
      <c r="D678" s="54"/>
      <c r="E678" s="56"/>
      <c r="F678" s="54"/>
      <c r="G678" s="56"/>
      <c r="H678" s="54"/>
      <c r="I678" s="56"/>
      <c r="J678" s="54"/>
      <c r="K678" s="92"/>
      <c r="L678" s="54"/>
      <c r="M678" s="92"/>
      <c r="N678" s="54"/>
      <c r="O678" s="92"/>
      <c r="P678" s="54"/>
      <c r="Q678" s="92"/>
      <c r="R678" s="54"/>
      <c r="S678" s="92"/>
      <c r="T678" s="117"/>
      <c r="U678" s="92"/>
      <c r="V678" s="54"/>
      <c r="W678" s="92"/>
      <c r="X678" s="54"/>
      <c r="Y678" s="92"/>
      <c r="Z678" s="54"/>
      <c r="AA678" s="92"/>
      <c r="AB678" s="54"/>
      <c r="AC678" s="92"/>
      <c r="AD678" s="54"/>
      <c r="AE678" s="92"/>
      <c r="AF678" s="54"/>
      <c r="AG678" s="92"/>
      <c r="AH678" s="54"/>
      <c r="AI678" s="92"/>
      <c r="AJ678" s="54"/>
      <c r="AK678" s="92"/>
      <c r="AL678" s="54"/>
      <c r="AM678" s="92"/>
      <c r="AO678" s="54"/>
      <c r="AP678" s="123"/>
      <c r="AQ678" s="54"/>
      <c r="AR678" s="154"/>
      <c r="AS678" s="1"/>
      <c r="AT678" s="1"/>
      <c r="AU678" s="9"/>
    </row>
    <row r="679">
      <c r="A679" s="54"/>
      <c r="B679" s="71" t="str">
        <f>IFERROR(HYPERLINK(VLOOKUP(A679,Internal_lists_bugs!$A$2:$C$73,3,FALSE()), VLOOKUP(A679,Internal_lists_bugs!$A$2:$C$73,3,FALSE())&amp;Char(10) &amp; Char(10) &amp; VLOOKUP(A679,Internal_lists_bugs!$A$2:$Z$73,26,FALSE())),"please select a BUG ID")</f>
        <v>please select a BUG ID</v>
      </c>
      <c r="C679" s="51" t="str">
        <f>IFERROR(VLOOKUP(A679,Internal_lists_bugs!$A$2:$G2002,7,FALSE()),"please select a BUG ID")</f>
        <v>please select a BUG ID</v>
      </c>
      <c r="D679" s="54"/>
      <c r="E679" s="56"/>
      <c r="F679" s="54"/>
      <c r="G679" s="56"/>
      <c r="H679" s="54"/>
      <c r="I679" s="56"/>
      <c r="J679" s="54"/>
      <c r="K679" s="92"/>
      <c r="L679" s="54"/>
      <c r="M679" s="92"/>
      <c r="N679" s="54"/>
      <c r="O679" s="92"/>
      <c r="P679" s="54"/>
      <c r="Q679" s="92"/>
      <c r="R679" s="54"/>
      <c r="S679" s="92"/>
      <c r="T679" s="117"/>
      <c r="U679" s="92"/>
      <c r="V679" s="54"/>
      <c r="W679" s="92"/>
      <c r="X679" s="54"/>
      <c r="Y679" s="92"/>
      <c r="Z679" s="54"/>
      <c r="AA679" s="92"/>
      <c r="AB679" s="54"/>
      <c r="AC679" s="92"/>
      <c r="AD679" s="54"/>
      <c r="AE679" s="92"/>
      <c r="AF679" s="54"/>
      <c r="AG679" s="92"/>
      <c r="AH679" s="54"/>
      <c r="AI679" s="92"/>
      <c r="AJ679" s="54"/>
      <c r="AK679" s="92"/>
      <c r="AL679" s="54"/>
      <c r="AM679" s="92"/>
      <c r="AO679" s="54"/>
      <c r="AP679" s="123"/>
      <c r="AQ679" s="54"/>
      <c r="AR679" s="154"/>
      <c r="AS679" s="1"/>
      <c r="AT679" s="1"/>
      <c r="AU679" s="9"/>
    </row>
    <row r="680">
      <c r="A680" s="54"/>
      <c r="B680" s="71" t="str">
        <f>IFERROR(HYPERLINK(VLOOKUP(A680,Internal_lists_bugs!$A$2:$C$73,3,FALSE()), VLOOKUP(A680,Internal_lists_bugs!$A$2:$C$73,3,FALSE())&amp;Char(10) &amp; Char(10) &amp; VLOOKUP(A680,Internal_lists_bugs!$A$2:$Z$73,26,FALSE())),"please select a BUG ID")</f>
        <v>please select a BUG ID</v>
      </c>
      <c r="C680" s="51" t="str">
        <f>IFERROR(VLOOKUP(A680,Internal_lists_bugs!$A$2:$G2002,7,FALSE()),"please select a BUG ID")</f>
        <v>please select a BUG ID</v>
      </c>
      <c r="D680" s="54"/>
      <c r="E680" s="56"/>
      <c r="F680" s="54"/>
      <c r="G680" s="56"/>
      <c r="H680" s="54"/>
      <c r="I680" s="56"/>
      <c r="J680" s="54"/>
      <c r="K680" s="92"/>
      <c r="L680" s="54"/>
      <c r="M680" s="92"/>
      <c r="N680" s="54"/>
      <c r="O680" s="92"/>
      <c r="P680" s="54"/>
      <c r="Q680" s="92"/>
      <c r="R680" s="54"/>
      <c r="S680" s="92"/>
      <c r="T680" s="117"/>
      <c r="U680" s="92"/>
      <c r="V680" s="54"/>
      <c r="W680" s="92"/>
      <c r="X680" s="54"/>
      <c r="Y680" s="92"/>
      <c r="Z680" s="54"/>
      <c r="AA680" s="92"/>
      <c r="AB680" s="54"/>
      <c r="AC680" s="92"/>
      <c r="AD680" s="54"/>
      <c r="AE680" s="92"/>
      <c r="AF680" s="54"/>
      <c r="AG680" s="92"/>
      <c r="AH680" s="54"/>
      <c r="AI680" s="92"/>
      <c r="AJ680" s="54"/>
      <c r="AK680" s="92"/>
      <c r="AL680" s="54"/>
      <c r="AM680" s="92"/>
      <c r="AO680" s="54"/>
      <c r="AP680" s="123"/>
      <c r="AQ680" s="54"/>
      <c r="AR680" s="154"/>
      <c r="AS680" s="1"/>
      <c r="AT680" s="1"/>
      <c r="AU680" s="9"/>
    </row>
    <row r="681">
      <c r="A681" s="54"/>
      <c r="B681" s="71" t="str">
        <f>IFERROR(HYPERLINK(VLOOKUP(A681,Internal_lists_bugs!$A$2:$C$73,3,FALSE()), VLOOKUP(A681,Internal_lists_bugs!$A$2:$C$73,3,FALSE())&amp;Char(10) &amp; Char(10) &amp; VLOOKUP(A681,Internal_lists_bugs!$A$2:$Z$73,26,FALSE())),"please select a BUG ID")</f>
        <v>please select a BUG ID</v>
      </c>
      <c r="C681" s="51" t="str">
        <f>IFERROR(VLOOKUP(A681,Internal_lists_bugs!$A$2:$G2002,7,FALSE()),"please select a BUG ID")</f>
        <v>please select a BUG ID</v>
      </c>
      <c r="D681" s="54"/>
      <c r="E681" s="56"/>
      <c r="F681" s="54"/>
      <c r="G681" s="56"/>
      <c r="H681" s="54"/>
      <c r="I681" s="56"/>
      <c r="J681" s="54"/>
      <c r="K681" s="92"/>
      <c r="L681" s="54"/>
      <c r="M681" s="92"/>
      <c r="N681" s="54"/>
      <c r="O681" s="92"/>
      <c r="P681" s="54"/>
      <c r="Q681" s="92"/>
      <c r="R681" s="54"/>
      <c r="S681" s="92"/>
      <c r="T681" s="117"/>
      <c r="U681" s="92"/>
      <c r="V681" s="54"/>
      <c r="W681" s="92"/>
      <c r="X681" s="54"/>
      <c r="Y681" s="92"/>
      <c r="Z681" s="54"/>
      <c r="AA681" s="92"/>
      <c r="AB681" s="54"/>
      <c r="AC681" s="92"/>
      <c r="AD681" s="54"/>
      <c r="AE681" s="92"/>
      <c r="AF681" s="54"/>
      <c r="AG681" s="92"/>
      <c r="AH681" s="54"/>
      <c r="AI681" s="92"/>
      <c r="AJ681" s="54"/>
      <c r="AK681" s="92"/>
      <c r="AL681" s="54"/>
      <c r="AM681" s="92"/>
      <c r="AO681" s="54"/>
      <c r="AP681" s="123"/>
      <c r="AQ681" s="54"/>
      <c r="AR681" s="154"/>
      <c r="AS681" s="1"/>
      <c r="AT681" s="1"/>
      <c r="AU681" s="9"/>
    </row>
    <row r="682">
      <c r="A682" s="54"/>
      <c r="B682" s="71" t="str">
        <f>IFERROR(HYPERLINK(VLOOKUP(A682,Internal_lists_bugs!$A$2:$C$73,3,FALSE()), VLOOKUP(A682,Internal_lists_bugs!$A$2:$C$73,3,FALSE())&amp;Char(10) &amp; Char(10) &amp; VLOOKUP(A682,Internal_lists_bugs!$A$2:$Z$73,26,FALSE())),"please select a BUG ID")</f>
        <v>please select a BUG ID</v>
      </c>
      <c r="C682" s="51" t="str">
        <f>IFERROR(VLOOKUP(A682,Internal_lists_bugs!$A$2:$G2002,7,FALSE()),"please select a BUG ID")</f>
        <v>please select a BUG ID</v>
      </c>
      <c r="D682" s="54"/>
      <c r="E682" s="56"/>
      <c r="F682" s="54"/>
      <c r="G682" s="56"/>
      <c r="H682" s="54"/>
      <c r="I682" s="56"/>
      <c r="J682" s="54"/>
      <c r="K682" s="92"/>
      <c r="L682" s="54"/>
      <c r="M682" s="92"/>
      <c r="N682" s="54"/>
      <c r="O682" s="92"/>
      <c r="P682" s="54"/>
      <c r="Q682" s="92"/>
      <c r="R682" s="54"/>
      <c r="S682" s="92"/>
      <c r="T682" s="117"/>
      <c r="U682" s="92"/>
      <c r="V682" s="54"/>
      <c r="W682" s="92"/>
      <c r="X682" s="54"/>
      <c r="Y682" s="92"/>
      <c r="Z682" s="54"/>
      <c r="AA682" s="92"/>
      <c r="AB682" s="54"/>
      <c r="AC682" s="92"/>
      <c r="AD682" s="54"/>
      <c r="AE682" s="92"/>
      <c r="AF682" s="54"/>
      <c r="AG682" s="92"/>
      <c r="AH682" s="54"/>
      <c r="AI682" s="92"/>
      <c r="AJ682" s="54"/>
      <c r="AK682" s="92"/>
      <c r="AL682" s="54"/>
      <c r="AM682" s="92"/>
      <c r="AO682" s="54"/>
      <c r="AP682" s="123"/>
      <c r="AQ682" s="54"/>
      <c r="AR682" s="154"/>
      <c r="AS682" s="1"/>
      <c r="AT682" s="1"/>
      <c r="AU682" s="9"/>
    </row>
    <row r="683">
      <c r="A683" s="54"/>
      <c r="B683" s="71" t="str">
        <f>IFERROR(HYPERLINK(VLOOKUP(A683,Internal_lists_bugs!$A$2:$C$73,3,FALSE()), VLOOKUP(A683,Internal_lists_bugs!$A$2:$C$73,3,FALSE())&amp;Char(10) &amp; Char(10) &amp; VLOOKUP(A683,Internal_lists_bugs!$A$2:$Z$73,26,FALSE())),"please select a BUG ID")</f>
        <v>please select a BUG ID</v>
      </c>
      <c r="C683" s="51" t="str">
        <f>IFERROR(VLOOKUP(A683,Internal_lists_bugs!$A$2:$G2002,7,FALSE()),"please select a BUG ID")</f>
        <v>please select a BUG ID</v>
      </c>
      <c r="D683" s="54"/>
      <c r="E683" s="56"/>
      <c r="F683" s="54"/>
      <c r="G683" s="56"/>
      <c r="H683" s="54"/>
      <c r="I683" s="56"/>
      <c r="J683" s="54"/>
      <c r="K683" s="92"/>
      <c r="L683" s="54"/>
      <c r="M683" s="92"/>
      <c r="N683" s="54"/>
      <c r="O683" s="92"/>
      <c r="P683" s="54"/>
      <c r="Q683" s="92"/>
      <c r="R683" s="54"/>
      <c r="S683" s="92"/>
      <c r="T683" s="117"/>
      <c r="U683" s="92"/>
      <c r="V683" s="54"/>
      <c r="W683" s="92"/>
      <c r="X683" s="54"/>
      <c r="Y683" s="92"/>
      <c r="Z683" s="54"/>
      <c r="AA683" s="92"/>
      <c r="AB683" s="54"/>
      <c r="AC683" s="92"/>
      <c r="AD683" s="54"/>
      <c r="AE683" s="92"/>
      <c r="AF683" s="54"/>
      <c r="AG683" s="92"/>
      <c r="AH683" s="54"/>
      <c r="AI683" s="92"/>
      <c r="AJ683" s="54"/>
      <c r="AK683" s="92"/>
      <c r="AL683" s="54"/>
      <c r="AM683" s="92"/>
      <c r="AO683" s="54"/>
      <c r="AP683" s="123"/>
      <c r="AQ683" s="54"/>
      <c r="AR683" s="154"/>
      <c r="AS683" s="1"/>
      <c r="AT683" s="1"/>
      <c r="AU683" s="9"/>
    </row>
    <row r="684">
      <c r="A684" s="54"/>
      <c r="B684" s="71" t="str">
        <f>IFERROR(HYPERLINK(VLOOKUP(A684,Internal_lists_bugs!$A$2:$C$73,3,FALSE()), VLOOKUP(A684,Internal_lists_bugs!$A$2:$C$73,3,FALSE())&amp;Char(10) &amp; Char(10) &amp; VLOOKUP(A684,Internal_lists_bugs!$A$2:$Z$73,26,FALSE())),"please select a BUG ID")</f>
        <v>please select a BUG ID</v>
      </c>
      <c r="C684" s="51" t="str">
        <f>IFERROR(VLOOKUP(A684,Internal_lists_bugs!$A$2:$G2002,7,FALSE()),"please select a BUG ID")</f>
        <v>please select a BUG ID</v>
      </c>
      <c r="D684" s="54"/>
      <c r="E684" s="56"/>
      <c r="F684" s="54"/>
      <c r="G684" s="56"/>
      <c r="H684" s="54"/>
      <c r="I684" s="56"/>
      <c r="J684" s="54"/>
      <c r="K684" s="92"/>
      <c r="L684" s="54"/>
      <c r="M684" s="92"/>
      <c r="N684" s="54"/>
      <c r="O684" s="92"/>
      <c r="P684" s="54"/>
      <c r="Q684" s="92"/>
      <c r="R684" s="54"/>
      <c r="S684" s="92"/>
      <c r="T684" s="117"/>
      <c r="U684" s="92"/>
      <c r="V684" s="54"/>
      <c r="W684" s="92"/>
      <c r="X684" s="54"/>
      <c r="Y684" s="92"/>
      <c r="Z684" s="54"/>
      <c r="AA684" s="92"/>
      <c r="AB684" s="54"/>
      <c r="AC684" s="92"/>
      <c r="AD684" s="54"/>
      <c r="AE684" s="92"/>
      <c r="AF684" s="54"/>
      <c r="AG684" s="92"/>
      <c r="AH684" s="54"/>
      <c r="AI684" s="92"/>
      <c r="AJ684" s="54"/>
      <c r="AK684" s="92"/>
      <c r="AL684" s="54"/>
      <c r="AM684" s="92"/>
      <c r="AO684" s="54"/>
      <c r="AP684" s="123"/>
      <c r="AQ684" s="54"/>
      <c r="AR684" s="154"/>
      <c r="AS684" s="1"/>
      <c r="AT684" s="1"/>
      <c r="AU684" s="9"/>
    </row>
    <row r="685">
      <c r="A685" s="54"/>
      <c r="B685" s="71" t="str">
        <f>IFERROR(HYPERLINK(VLOOKUP(A685,Internal_lists_bugs!$A$2:$C$73,3,FALSE()), VLOOKUP(A685,Internal_lists_bugs!$A$2:$C$73,3,FALSE())&amp;Char(10) &amp; Char(10) &amp; VLOOKUP(A685,Internal_lists_bugs!$A$2:$Z$73,26,FALSE())),"please select a BUG ID")</f>
        <v>please select a BUG ID</v>
      </c>
      <c r="C685" s="51" t="str">
        <f>IFERROR(VLOOKUP(A685,Internal_lists_bugs!$A$2:$G2002,7,FALSE()),"please select a BUG ID")</f>
        <v>please select a BUG ID</v>
      </c>
      <c r="D685" s="54"/>
      <c r="E685" s="56"/>
      <c r="F685" s="54"/>
      <c r="G685" s="56"/>
      <c r="H685" s="54"/>
      <c r="I685" s="56"/>
      <c r="J685" s="54"/>
      <c r="K685" s="92"/>
      <c r="L685" s="54"/>
      <c r="M685" s="92"/>
      <c r="N685" s="54"/>
      <c r="O685" s="92"/>
      <c r="P685" s="54"/>
      <c r="Q685" s="92"/>
      <c r="R685" s="54"/>
      <c r="S685" s="92"/>
      <c r="T685" s="117"/>
      <c r="U685" s="92"/>
      <c r="V685" s="54"/>
      <c r="W685" s="92"/>
      <c r="X685" s="54"/>
      <c r="Y685" s="92"/>
      <c r="Z685" s="54"/>
      <c r="AA685" s="92"/>
      <c r="AB685" s="54"/>
      <c r="AC685" s="92"/>
      <c r="AD685" s="54"/>
      <c r="AE685" s="92"/>
      <c r="AF685" s="54"/>
      <c r="AG685" s="92"/>
      <c r="AH685" s="54"/>
      <c r="AI685" s="92"/>
      <c r="AJ685" s="54"/>
      <c r="AK685" s="92"/>
      <c r="AL685" s="54"/>
      <c r="AM685" s="92"/>
      <c r="AO685" s="54"/>
      <c r="AP685" s="123"/>
      <c r="AQ685" s="54"/>
      <c r="AR685" s="154"/>
      <c r="AS685" s="1"/>
      <c r="AT685" s="1"/>
      <c r="AU685" s="9"/>
    </row>
    <row r="686">
      <c r="A686" s="54"/>
      <c r="B686" s="71" t="str">
        <f>IFERROR(HYPERLINK(VLOOKUP(A686,Internal_lists_bugs!$A$2:$C$73,3,FALSE()), VLOOKUP(A686,Internal_lists_bugs!$A$2:$C$73,3,FALSE())&amp;Char(10) &amp; Char(10) &amp; VLOOKUP(A686,Internal_lists_bugs!$A$2:$Z$73,26,FALSE())),"please select a BUG ID")</f>
        <v>please select a BUG ID</v>
      </c>
      <c r="C686" s="51" t="str">
        <f>IFERROR(VLOOKUP(A686,Internal_lists_bugs!$A$2:$G2002,7,FALSE()),"please select a BUG ID")</f>
        <v>please select a BUG ID</v>
      </c>
      <c r="D686" s="54"/>
      <c r="E686" s="56"/>
      <c r="F686" s="54"/>
      <c r="G686" s="56"/>
      <c r="H686" s="54"/>
      <c r="I686" s="56"/>
      <c r="J686" s="54"/>
      <c r="K686" s="92"/>
      <c r="L686" s="54"/>
      <c r="M686" s="92"/>
      <c r="N686" s="54"/>
      <c r="O686" s="92"/>
      <c r="P686" s="54"/>
      <c r="Q686" s="92"/>
      <c r="R686" s="54"/>
      <c r="S686" s="92"/>
      <c r="T686" s="117"/>
      <c r="U686" s="92"/>
      <c r="V686" s="54"/>
      <c r="W686" s="92"/>
      <c r="X686" s="54"/>
      <c r="Y686" s="92"/>
      <c r="Z686" s="54"/>
      <c r="AA686" s="92"/>
      <c r="AB686" s="54"/>
      <c r="AC686" s="92"/>
      <c r="AD686" s="54"/>
      <c r="AE686" s="92"/>
      <c r="AF686" s="54"/>
      <c r="AG686" s="92"/>
      <c r="AH686" s="54"/>
      <c r="AI686" s="92"/>
      <c r="AJ686" s="54"/>
      <c r="AK686" s="92"/>
      <c r="AL686" s="54"/>
      <c r="AM686" s="92"/>
      <c r="AO686" s="54"/>
      <c r="AP686" s="123"/>
      <c r="AQ686" s="54"/>
      <c r="AR686" s="154"/>
      <c r="AS686" s="1"/>
      <c r="AT686" s="1"/>
      <c r="AU686" s="9"/>
    </row>
    <row r="687">
      <c r="A687" s="54"/>
      <c r="B687" s="71" t="str">
        <f>IFERROR(HYPERLINK(VLOOKUP(A687,Internal_lists_bugs!$A$2:$C$73,3,FALSE()), VLOOKUP(A687,Internal_lists_bugs!$A$2:$C$73,3,FALSE())&amp;Char(10) &amp; Char(10) &amp; VLOOKUP(A687,Internal_lists_bugs!$A$2:$Z$73,26,FALSE())),"please select a BUG ID")</f>
        <v>please select a BUG ID</v>
      </c>
      <c r="C687" s="51" t="str">
        <f>IFERROR(VLOOKUP(A687,Internal_lists_bugs!$A$2:$G2002,7,FALSE()),"please select a BUG ID")</f>
        <v>please select a BUG ID</v>
      </c>
      <c r="D687" s="54"/>
      <c r="E687" s="56"/>
      <c r="F687" s="54"/>
      <c r="G687" s="56"/>
      <c r="H687" s="54"/>
      <c r="I687" s="56"/>
      <c r="J687" s="54"/>
      <c r="K687" s="92"/>
      <c r="L687" s="54"/>
      <c r="M687" s="92"/>
      <c r="N687" s="54"/>
      <c r="O687" s="92"/>
      <c r="P687" s="54"/>
      <c r="Q687" s="92"/>
      <c r="R687" s="54"/>
      <c r="S687" s="92"/>
      <c r="T687" s="117"/>
      <c r="U687" s="92"/>
      <c r="V687" s="54"/>
      <c r="W687" s="92"/>
      <c r="X687" s="54"/>
      <c r="Y687" s="92"/>
      <c r="Z687" s="54"/>
      <c r="AA687" s="92"/>
      <c r="AB687" s="54"/>
      <c r="AC687" s="92"/>
      <c r="AD687" s="54"/>
      <c r="AE687" s="92"/>
      <c r="AF687" s="54"/>
      <c r="AG687" s="92"/>
      <c r="AH687" s="54"/>
      <c r="AI687" s="92"/>
      <c r="AJ687" s="54"/>
      <c r="AK687" s="92"/>
      <c r="AL687" s="54"/>
      <c r="AM687" s="92"/>
      <c r="AO687" s="54"/>
      <c r="AP687" s="123"/>
      <c r="AQ687" s="54"/>
      <c r="AR687" s="154"/>
      <c r="AS687" s="1"/>
      <c r="AT687" s="1"/>
      <c r="AU687" s="9"/>
    </row>
    <row r="688">
      <c r="A688" s="54"/>
      <c r="B688" s="71" t="str">
        <f>IFERROR(HYPERLINK(VLOOKUP(A688,Internal_lists_bugs!$A$2:$C$73,3,FALSE()), VLOOKUP(A688,Internal_lists_bugs!$A$2:$C$73,3,FALSE())&amp;Char(10) &amp; Char(10) &amp; VLOOKUP(A688,Internal_lists_bugs!$A$2:$Z$73,26,FALSE())),"please select a BUG ID")</f>
        <v>please select a BUG ID</v>
      </c>
      <c r="C688" s="51" t="str">
        <f>IFERROR(VLOOKUP(A688,Internal_lists_bugs!$A$2:$G2002,7,FALSE()),"please select a BUG ID")</f>
        <v>please select a BUG ID</v>
      </c>
      <c r="D688" s="54"/>
      <c r="E688" s="56"/>
      <c r="F688" s="54"/>
      <c r="G688" s="56"/>
      <c r="H688" s="54"/>
      <c r="I688" s="56"/>
      <c r="J688" s="54"/>
      <c r="K688" s="92"/>
      <c r="L688" s="54"/>
      <c r="M688" s="92"/>
      <c r="N688" s="54"/>
      <c r="O688" s="92"/>
      <c r="P688" s="54"/>
      <c r="Q688" s="92"/>
      <c r="R688" s="54"/>
      <c r="S688" s="92"/>
      <c r="T688" s="117"/>
      <c r="U688" s="92"/>
      <c r="V688" s="54"/>
      <c r="W688" s="92"/>
      <c r="X688" s="54"/>
      <c r="Y688" s="92"/>
      <c r="Z688" s="54"/>
      <c r="AA688" s="92"/>
      <c r="AB688" s="54"/>
      <c r="AC688" s="92"/>
      <c r="AD688" s="54"/>
      <c r="AE688" s="92"/>
      <c r="AF688" s="54"/>
      <c r="AG688" s="92"/>
      <c r="AH688" s="54"/>
      <c r="AI688" s="92"/>
      <c r="AJ688" s="54"/>
      <c r="AK688" s="92"/>
      <c r="AL688" s="54"/>
      <c r="AM688" s="92"/>
      <c r="AO688" s="54"/>
      <c r="AP688" s="123"/>
      <c r="AQ688" s="54"/>
      <c r="AR688" s="154"/>
      <c r="AS688" s="1"/>
      <c r="AT688" s="1"/>
      <c r="AU688" s="9"/>
    </row>
    <row r="689">
      <c r="A689" s="54"/>
      <c r="B689" s="71" t="str">
        <f>IFERROR(HYPERLINK(VLOOKUP(A689,Internal_lists_bugs!$A$2:$C$73,3,FALSE()), VLOOKUP(A689,Internal_lists_bugs!$A$2:$C$73,3,FALSE())&amp;Char(10) &amp; Char(10) &amp; VLOOKUP(A689,Internal_lists_bugs!$A$2:$Z$73,26,FALSE())),"please select a BUG ID")</f>
        <v>please select a BUG ID</v>
      </c>
      <c r="C689" s="51" t="str">
        <f>IFERROR(VLOOKUP(A689,Internal_lists_bugs!$A$2:$G2002,7,FALSE()),"please select a BUG ID")</f>
        <v>please select a BUG ID</v>
      </c>
      <c r="D689" s="54"/>
      <c r="E689" s="56"/>
      <c r="F689" s="54"/>
      <c r="G689" s="56"/>
      <c r="H689" s="54"/>
      <c r="I689" s="56"/>
      <c r="J689" s="54"/>
      <c r="K689" s="92"/>
      <c r="L689" s="54"/>
      <c r="M689" s="92"/>
      <c r="N689" s="54"/>
      <c r="O689" s="92"/>
      <c r="P689" s="54"/>
      <c r="Q689" s="92"/>
      <c r="R689" s="54"/>
      <c r="S689" s="92"/>
      <c r="T689" s="117"/>
      <c r="U689" s="92"/>
      <c r="V689" s="54"/>
      <c r="W689" s="92"/>
      <c r="X689" s="54"/>
      <c r="Y689" s="92"/>
      <c r="Z689" s="54"/>
      <c r="AA689" s="92"/>
      <c r="AB689" s="54"/>
      <c r="AC689" s="92"/>
      <c r="AD689" s="54"/>
      <c r="AE689" s="92"/>
      <c r="AF689" s="54"/>
      <c r="AG689" s="92"/>
      <c r="AH689" s="54"/>
      <c r="AI689" s="92"/>
      <c r="AJ689" s="54"/>
      <c r="AK689" s="92"/>
      <c r="AL689" s="54"/>
      <c r="AM689" s="92"/>
      <c r="AO689" s="54"/>
      <c r="AP689" s="123"/>
      <c r="AQ689" s="54"/>
      <c r="AR689" s="154"/>
      <c r="AS689" s="1"/>
      <c r="AT689" s="1"/>
      <c r="AU689" s="9"/>
    </row>
    <row r="690">
      <c r="A690" s="54"/>
      <c r="B690" s="71" t="str">
        <f>IFERROR(HYPERLINK(VLOOKUP(A690,Internal_lists_bugs!$A$2:$C$73,3,FALSE()), VLOOKUP(A690,Internal_lists_bugs!$A$2:$C$73,3,FALSE())&amp;Char(10) &amp; Char(10) &amp; VLOOKUP(A690,Internal_lists_bugs!$A$2:$Z$73,26,FALSE())),"please select a BUG ID")</f>
        <v>please select a BUG ID</v>
      </c>
      <c r="C690" s="51" t="str">
        <f>IFERROR(VLOOKUP(A690,Internal_lists_bugs!$A$2:$G2002,7,FALSE()),"please select a BUG ID")</f>
        <v>please select a BUG ID</v>
      </c>
      <c r="D690" s="54"/>
      <c r="E690" s="56"/>
      <c r="F690" s="54"/>
      <c r="G690" s="56"/>
      <c r="H690" s="54"/>
      <c r="I690" s="56"/>
      <c r="J690" s="54"/>
      <c r="K690" s="92"/>
      <c r="L690" s="54"/>
      <c r="M690" s="92"/>
      <c r="N690" s="54"/>
      <c r="O690" s="92"/>
      <c r="P690" s="54"/>
      <c r="Q690" s="92"/>
      <c r="R690" s="54"/>
      <c r="S690" s="92"/>
      <c r="T690" s="117"/>
      <c r="U690" s="92"/>
      <c r="V690" s="54"/>
      <c r="W690" s="92"/>
      <c r="X690" s="54"/>
      <c r="Y690" s="92"/>
      <c r="Z690" s="54"/>
      <c r="AA690" s="92"/>
      <c r="AB690" s="54"/>
      <c r="AC690" s="92"/>
      <c r="AD690" s="54"/>
      <c r="AE690" s="92"/>
      <c r="AF690" s="54"/>
      <c r="AG690" s="92"/>
      <c r="AH690" s="54"/>
      <c r="AI690" s="92"/>
      <c r="AJ690" s="54"/>
      <c r="AK690" s="92"/>
      <c r="AL690" s="54"/>
      <c r="AM690" s="92"/>
      <c r="AO690" s="54"/>
      <c r="AP690" s="123"/>
      <c r="AQ690" s="54"/>
      <c r="AR690" s="154"/>
      <c r="AS690" s="1"/>
      <c r="AT690" s="1"/>
      <c r="AU690" s="9"/>
    </row>
    <row r="691">
      <c r="A691" s="54"/>
      <c r="B691" s="71" t="str">
        <f>IFERROR(HYPERLINK(VLOOKUP(A691,Internal_lists_bugs!$A$2:$C$73,3,FALSE()), VLOOKUP(A691,Internal_lists_bugs!$A$2:$C$73,3,FALSE())&amp;Char(10) &amp; Char(10) &amp; VLOOKUP(A691,Internal_lists_bugs!$A$2:$Z$73,26,FALSE())),"please select a BUG ID")</f>
        <v>please select a BUG ID</v>
      </c>
      <c r="C691" s="51" t="str">
        <f>IFERROR(VLOOKUP(A691,Internal_lists_bugs!$A$2:$G2002,7,FALSE()),"please select a BUG ID")</f>
        <v>please select a BUG ID</v>
      </c>
      <c r="D691" s="54"/>
      <c r="E691" s="56"/>
      <c r="F691" s="54"/>
      <c r="G691" s="56"/>
      <c r="H691" s="54"/>
      <c r="I691" s="56"/>
      <c r="J691" s="54"/>
      <c r="K691" s="92"/>
      <c r="L691" s="54"/>
      <c r="M691" s="92"/>
      <c r="N691" s="54"/>
      <c r="O691" s="92"/>
      <c r="P691" s="54"/>
      <c r="Q691" s="92"/>
      <c r="R691" s="54"/>
      <c r="S691" s="92"/>
      <c r="T691" s="117"/>
      <c r="U691" s="92"/>
      <c r="V691" s="54"/>
      <c r="W691" s="92"/>
      <c r="X691" s="54"/>
      <c r="Y691" s="92"/>
      <c r="Z691" s="54"/>
      <c r="AA691" s="92"/>
      <c r="AB691" s="54"/>
      <c r="AC691" s="92"/>
      <c r="AD691" s="54"/>
      <c r="AE691" s="92"/>
      <c r="AF691" s="54"/>
      <c r="AG691" s="92"/>
      <c r="AH691" s="54"/>
      <c r="AI691" s="92"/>
      <c r="AJ691" s="54"/>
      <c r="AK691" s="92"/>
      <c r="AL691" s="54"/>
      <c r="AM691" s="92"/>
      <c r="AO691" s="54"/>
      <c r="AP691" s="123"/>
      <c r="AQ691" s="54"/>
      <c r="AR691" s="154"/>
      <c r="AS691" s="1"/>
      <c r="AT691" s="1"/>
      <c r="AU691" s="9"/>
    </row>
    <row r="692">
      <c r="A692" s="54"/>
      <c r="B692" s="71" t="str">
        <f>IFERROR(HYPERLINK(VLOOKUP(A692,Internal_lists_bugs!$A$2:$C$73,3,FALSE()), VLOOKUP(A692,Internal_lists_bugs!$A$2:$C$73,3,FALSE())&amp;Char(10) &amp; Char(10) &amp; VLOOKUP(A692,Internal_lists_bugs!$A$2:$Z$73,26,FALSE())),"please select a BUG ID")</f>
        <v>please select a BUG ID</v>
      </c>
      <c r="C692" s="51" t="str">
        <f>IFERROR(VLOOKUP(A692,Internal_lists_bugs!$A$2:$G2002,7,FALSE()),"please select a BUG ID")</f>
        <v>please select a BUG ID</v>
      </c>
      <c r="D692" s="54"/>
      <c r="E692" s="56"/>
      <c r="F692" s="54"/>
      <c r="G692" s="56"/>
      <c r="H692" s="54"/>
      <c r="I692" s="56"/>
      <c r="J692" s="54"/>
      <c r="K692" s="92"/>
      <c r="L692" s="54"/>
      <c r="M692" s="92"/>
      <c r="N692" s="54"/>
      <c r="O692" s="92"/>
      <c r="P692" s="54"/>
      <c r="Q692" s="92"/>
      <c r="R692" s="54"/>
      <c r="S692" s="92"/>
      <c r="T692" s="117"/>
      <c r="U692" s="92"/>
      <c r="V692" s="54"/>
      <c r="W692" s="92"/>
      <c r="X692" s="54"/>
      <c r="Y692" s="92"/>
      <c r="Z692" s="54"/>
      <c r="AA692" s="92"/>
      <c r="AB692" s="54"/>
      <c r="AC692" s="92"/>
      <c r="AD692" s="54"/>
      <c r="AE692" s="92"/>
      <c r="AF692" s="54"/>
      <c r="AG692" s="92"/>
      <c r="AH692" s="54"/>
      <c r="AI692" s="92"/>
      <c r="AJ692" s="54"/>
      <c r="AK692" s="92"/>
      <c r="AL692" s="54"/>
      <c r="AM692" s="92"/>
      <c r="AO692" s="54"/>
      <c r="AP692" s="123"/>
      <c r="AQ692" s="54"/>
      <c r="AR692" s="154"/>
      <c r="AS692" s="1"/>
      <c r="AT692" s="1"/>
      <c r="AU692" s="9"/>
    </row>
    <row r="693">
      <c r="A693" s="54"/>
      <c r="B693" s="71" t="str">
        <f>IFERROR(HYPERLINK(VLOOKUP(A693,Internal_lists_bugs!$A$2:$C$73,3,FALSE()), VLOOKUP(A693,Internal_lists_bugs!$A$2:$C$73,3,FALSE())&amp;Char(10) &amp; Char(10) &amp; VLOOKUP(A693,Internal_lists_bugs!$A$2:$Z$73,26,FALSE())),"please select a BUG ID")</f>
        <v>please select a BUG ID</v>
      </c>
      <c r="C693" s="51" t="str">
        <f>IFERROR(VLOOKUP(A693,Internal_lists_bugs!$A$2:$G2002,7,FALSE()),"please select a BUG ID")</f>
        <v>please select a BUG ID</v>
      </c>
      <c r="D693" s="54"/>
      <c r="E693" s="56"/>
      <c r="F693" s="54"/>
      <c r="G693" s="56"/>
      <c r="H693" s="54"/>
      <c r="I693" s="56"/>
      <c r="J693" s="54"/>
      <c r="K693" s="92"/>
      <c r="L693" s="54"/>
      <c r="M693" s="92"/>
      <c r="N693" s="54"/>
      <c r="O693" s="92"/>
      <c r="P693" s="54"/>
      <c r="Q693" s="92"/>
      <c r="R693" s="54"/>
      <c r="S693" s="92"/>
      <c r="T693" s="117"/>
      <c r="U693" s="92"/>
      <c r="V693" s="54"/>
      <c r="W693" s="92"/>
      <c r="X693" s="54"/>
      <c r="Y693" s="92"/>
      <c r="Z693" s="54"/>
      <c r="AA693" s="92"/>
      <c r="AB693" s="54"/>
      <c r="AC693" s="92"/>
      <c r="AD693" s="54"/>
      <c r="AE693" s="92"/>
      <c r="AF693" s="54"/>
      <c r="AG693" s="92"/>
      <c r="AH693" s="54"/>
      <c r="AI693" s="92"/>
      <c r="AJ693" s="54"/>
      <c r="AK693" s="92"/>
      <c r="AL693" s="54"/>
      <c r="AM693" s="92"/>
      <c r="AO693" s="54"/>
      <c r="AP693" s="123"/>
      <c r="AQ693" s="54"/>
      <c r="AR693" s="154"/>
      <c r="AS693" s="1"/>
      <c r="AT693" s="1"/>
      <c r="AU693" s="9"/>
    </row>
    <row r="694">
      <c r="A694" s="54"/>
      <c r="B694" s="71" t="str">
        <f>IFERROR(HYPERLINK(VLOOKUP(A694,Internal_lists_bugs!$A$2:$C$73,3,FALSE()), VLOOKUP(A694,Internal_lists_bugs!$A$2:$C$73,3,FALSE())&amp;Char(10) &amp; Char(10) &amp; VLOOKUP(A694,Internal_lists_bugs!$A$2:$Z$73,26,FALSE())),"please select a BUG ID")</f>
        <v>please select a BUG ID</v>
      </c>
      <c r="C694" s="51" t="str">
        <f>IFERROR(VLOOKUP(A694,Internal_lists_bugs!$A$2:$G2002,7,FALSE()),"please select a BUG ID")</f>
        <v>please select a BUG ID</v>
      </c>
      <c r="D694" s="54"/>
      <c r="E694" s="56"/>
      <c r="F694" s="54"/>
      <c r="G694" s="56"/>
      <c r="H694" s="54"/>
      <c r="I694" s="56"/>
      <c r="J694" s="54"/>
      <c r="K694" s="92"/>
      <c r="L694" s="54"/>
      <c r="M694" s="92"/>
      <c r="N694" s="54"/>
      <c r="O694" s="92"/>
      <c r="P694" s="54"/>
      <c r="Q694" s="92"/>
      <c r="R694" s="54"/>
      <c r="S694" s="92"/>
      <c r="T694" s="117"/>
      <c r="U694" s="92"/>
      <c r="V694" s="54"/>
      <c r="W694" s="92"/>
      <c r="X694" s="54"/>
      <c r="Y694" s="92"/>
      <c r="Z694" s="54"/>
      <c r="AA694" s="92"/>
      <c r="AB694" s="54"/>
      <c r="AC694" s="92"/>
      <c r="AD694" s="54"/>
      <c r="AE694" s="92"/>
      <c r="AF694" s="54"/>
      <c r="AG694" s="92"/>
      <c r="AH694" s="54"/>
      <c r="AI694" s="92"/>
      <c r="AJ694" s="54"/>
      <c r="AK694" s="92"/>
      <c r="AL694" s="54"/>
      <c r="AM694" s="92"/>
      <c r="AO694" s="54"/>
      <c r="AP694" s="123"/>
      <c r="AQ694" s="54"/>
      <c r="AR694" s="154"/>
      <c r="AS694" s="1"/>
      <c r="AT694" s="1"/>
      <c r="AU694" s="9"/>
    </row>
    <row r="695">
      <c r="A695" s="54"/>
      <c r="B695" s="71" t="str">
        <f>IFERROR(HYPERLINK(VLOOKUP(A695,Internal_lists_bugs!$A$2:$C$73,3,FALSE()), VLOOKUP(A695,Internal_lists_bugs!$A$2:$C$73,3,FALSE())&amp;Char(10) &amp; Char(10) &amp; VLOOKUP(A695,Internal_lists_bugs!$A$2:$Z$73,26,FALSE())),"please select a BUG ID")</f>
        <v>please select a BUG ID</v>
      </c>
      <c r="C695" s="51" t="str">
        <f>IFERROR(VLOOKUP(A695,Internal_lists_bugs!$A$2:$G2002,7,FALSE()),"please select a BUG ID")</f>
        <v>please select a BUG ID</v>
      </c>
      <c r="D695" s="54"/>
      <c r="E695" s="56"/>
      <c r="F695" s="54"/>
      <c r="G695" s="56"/>
      <c r="H695" s="54"/>
      <c r="I695" s="56"/>
      <c r="J695" s="54"/>
      <c r="K695" s="92"/>
      <c r="L695" s="54"/>
      <c r="M695" s="92"/>
      <c r="N695" s="54"/>
      <c r="O695" s="92"/>
      <c r="P695" s="54"/>
      <c r="Q695" s="92"/>
      <c r="R695" s="54"/>
      <c r="S695" s="92"/>
      <c r="T695" s="117"/>
      <c r="U695" s="92"/>
      <c r="V695" s="54"/>
      <c r="W695" s="92"/>
      <c r="X695" s="54"/>
      <c r="Y695" s="92"/>
      <c r="Z695" s="54"/>
      <c r="AA695" s="92"/>
      <c r="AB695" s="54"/>
      <c r="AC695" s="92"/>
      <c r="AD695" s="54"/>
      <c r="AE695" s="92"/>
      <c r="AF695" s="54"/>
      <c r="AG695" s="92"/>
      <c r="AH695" s="54"/>
      <c r="AI695" s="92"/>
      <c r="AJ695" s="54"/>
      <c r="AK695" s="92"/>
      <c r="AL695" s="54"/>
      <c r="AM695" s="92"/>
      <c r="AO695" s="54"/>
      <c r="AP695" s="123"/>
      <c r="AQ695" s="54"/>
      <c r="AR695" s="154"/>
      <c r="AS695" s="1"/>
      <c r="AT695" s="1"/>
      <c r="AU695" s="9"/>
    </row>
    <row r="696">
      <c r="A696" s="54"/>
      <c r="B696" s="71" t="str">
        <f>IFERROR(HYPERLINK(VLOOKUP(A696,Internal_lists_bugs!$A$2:$C$73,3,FALSE()), VLOOKUP(A696,Internal_lists_bugs!$A$2:$C$73,3,FALSE())&amp;Char(10) &amp; Char(10) &amp; VLOOKUP(A696,Internal_lists_bugs!$A$2:$Z$73,26,FALSE())),"please select a BUG ID")</f>
        <v>please select a BUG ID</v>
      </c>
      <c r="C696" s="51" t="str">
        <f>IFERROR(VLOOKUP(A696,Internal_lists_bugs!$A$2:$G2002,7,FALSE()),"please select a BUG ID")</f>
        <v>please select a BUG ID</v>
      </c>
      <c r="D696" s="54"/>
      <c r="E696" s="56"/>
      <c r="F696" s="54"/>
      <c r="G696" s="56"/>
      <c r="H696" s="54"/>
      <c r="I696" s="56"/>
      <c r="J696" s="54"/>
      <c r="K696" s="92"/>
      <c r="L696" s="54"/>
      <c r="M696" s="92"/>
      <c r="N696" s="54"/>
      <c r="O696" s="92"/>
      <c r="P696" s="54"/>
      <c r="Q696" s="92"/>
      <c r="R696" s="54"/>
      <c r="S696" s="92"/>
      <c r="T696" s="117"/>
      <c r="U696" s="92"/>
      <c r="V696" s="54"/>
      <c r="W696" s="92"/>
      <c r="X696" s="54"/>
      <c r="Y696" s="92"/>
      <c r="Z696" s="54"/>
      <c r="AA696" s="92"/>
      <c r="AB696" s="54"/>
      <c r="AC696" s="92"/>
      <c r="AD696" s="54"/>
      <c r="AE696" s="92"/>
      <c r="AF696" s="54"/>
      <c r="AG696" s="92"/>
      <c r="AH696" s="54"/>
      <c r="AI696" s="92"/>
      <c r="AJ696" s="54"/>
      <c r="AK696" s="92"/>
      <c r="AL696" s="54"/>
      <c r="AM696" s="92"/>
      <c r="AO696" s="54"/>
      <c r="AP696" s="123"/>
      <c r="AQ696" s="54"/>
      <c r="AR696" s="154"/>
      <c r="AS696" s="1"/>
      <c r="AT696" s="1"/>
      <c r="AU696" s="9"/>
    </row>
    <row r="697">
      <c r="A697" s="54"/>
      <c r="B697" s="71" t="str">
        <f>IFERROR(HYPERLINK(VLOOKUP(A697,Internal_lists_bugs!$A$2:$C$73,3,FALSE()), VLOOKUP(A697,Internal_lists_bugs!$A$2:$C$73,3,FALSE())&amp;Char(10) &amp; Char(10) &amp; VLOOKUP(A697,Internal_lists_bugs!$A$2:$Z$73,26,FALSE())),"please select a BUG ID")</f>
        <v>please select a BUG ID</v>
      </c>
      <c r="C697" s="51" t="str">
        <f>IFERROR(VLOOKUP(A697,Internal_lists_bugs!$A$2:$G2002,7,FALSE()),"please select a BUG ID")</f>
        <v>please select a BUG ID</v>
      </c>
      <c r="D697" s="54"/>
      <c r="E697" s="56"/>
      <c r="F697" s="54"/>
      <c r="G697" s="56"/>
      <c r="H697" s="54"/>
      <c r="I697" s="56"/>
      <c r="J697" s="54"/>
      <c r="K697" s="92"/>
      <c r="L697" s="54"/>
      <c r="M697" s="92"/>
      <c r="N697" s="54"/>
      <c r="O697" s="92"/>
      <c r="P697" s="54"/>
      <c r="Q697" s="92"/>
      <c r="R697" s="54"/>
      <c r="S697" s="92"/>
      <c r="T697" s="117"/>
      <c r="U697" s="92"/>
      <c r="V697" s="54"/>
      <c r="W697" s="92"/>
      <c r="X697" s="54"/>
      <c r="Y697" s="92"/>
      <c r="Z697" s="54"/>
      <c r="AA697" s="92"/>
      <c r="AB697" s="54"/>
      <c r="AC697" s="92"/>
      <c r="AD697" s="54"/>
      <c r="AE697" s="92"/>
      <c r="AF697" s="54"/>
      <c r="AG697" s="92"/>
      <c r="AH697" s="54"/>
      <c r="AI697" s="92"/>
      <c r="AJ697" s="54"/>
      <c r="AK697" s="92"/>
      <c r="AL697" s="54"/>
      <c r="AM697" s="92"/>
      <c r="AO697" s="54"/>
      <c r="AP697" s="123"/>
      <c r="AQ697" s="54"/>
      <c r="AR697" s="154"/>
      <c r="AS697" s="1"/>
      <c r="AT697" s="1"/>
      <c r="AU697" s="9"/>
    </row>
    <row r="698">
      <c r="A698" s="54"/>
      <c r="B698" s="71" t="str">
        <f>IFERROR(HYPERLINK(VLOOKUP(A698,Internal_lists_bugs!$A$2:$C$73,3,FALSE()), VLOOKUP(A698,Internal_lists_bugs!$A$2:$C$73,3,FALSE())&amp;Char(10) &amp; Char(10) &amp; VLOOKUP(A698,Internal_lists_bugs!$A$2:$Z$73,26,FALSE())),"please select a BUG ID")</f>
        <v>please select a BUG ID</v>
      </c>
      <c r="C698" s="51" t="str">
        <f>IFERROR(VLOOKUP(A698,Internal_lists_bugs!$A$2:$G2002,7,FALSE()),"please select a BUG ID")</f>
        <v>please select a BUG ID</v>
      </c>
      <c r="D698" s="54"/>
      <c r="E698" s="56"/>
      <c r="F698" s="54"/>
      <c r="G698" s="56"/>
      <c r="H698" s="54"/>
      <c r="I698" s="56"/>
      <c r="J698" s="54"/>
      <c r="K698" s="92"/>
      <c r="L698" s="54"/>
      <c r="M698" s="92"/>
      <c r="N698" s="54"/>
      <c r="O698" s="92"/>
      <c r="P698" s="54"/>
      <c r="Q698" s="92"/>
      <c r="R698" s="54"/>
      <c r="S698" s="92"/>
      <c r="T698" s="117"/>
      <c r="U698" s="92"/>
      <c r="V698" s="54"/>
      <c r="W698" s="92"/>
      <c r="X698" s="54"/>
      <c r="Y698" s="92"/>
      <c r="Z698" s="54"/>
      <c r="AA698" s="92"/>
      <c r="AB698" s="54"/>
      <c r="AC698" s="92"/>
      <c r="AD698" s="54"/>
      <c r="AE698" s="92"/>
      <c r="AF698" s="54"/>
      <c r="AG698" s="92"/>
      <c r="AH698" s="54"/>
      <c r="AI698" s="92"/>
      <c r="AJ698" s="54"/>
      <c r="AK698" s="92"/>
      <c r="AL698" s="54"/>
      <c r="AM698" s="92"/>
      <c r="AO698" s="54"/>
      <c r="AP698" s="123"/>
      <c r="AQ698" s="54"/>
      <c r="AR698" s="154"/>
      <c r="AS698" s="1"/>
      <c r="AT698" s="1"/>
      <c r="AU698" s="9"/>
    </row>
    <row r="699">
      <c r="A699" s="54"/>
      <c r="B699" s="71" t="str">
        <f>IFERROR(HYPERLINK(VLOOKUP(A699,Internal_lists_bugs!$A$2:$C$73,3,FALSE()), VLOOKUP(A699,Internal_lists_bugs!$A$2:$C$73,3,FALSE())&amp;Char(10) &amp; Char(10) &amp; VLOOKUP(A699,Internal_lists_bugs!$A$2:$Z$73,26,FALSE())),"please select a BUG ID")</f>
        <v>please select a BUG ID</v>
      </c>
      <c r="C699" s="51" t="str">
        <f>IFERROR(VLOOKUP(A699,Internal_lists_bugs!$A$2:$G2002,7,FALSE()),"please select a BUG ID")</f>
        <v>please select a BUG ID</v>
      </c>
      <c r="D699" s="54"/>
      <c r="E699" s="56"/>
      <c r="F699" s="54"/>
      <c r="G699" s="56"/>
      <c r="H699" s="54"/>
      <c r="I699" s="56"/>
      <c r="J699" s="54"/>
      <c r="K699" s="92"/>
      <c r="L699" s="54"/>
      <c r="M699" s="92"/>
      <c r="N699" s="54"/>
      <c r="O699" s="92"/>
      <c r="P699" s="54"/>
      <c r="Q699" s="92"/>
      <c r="R699" s="54"/>
      <c r="S699" s="92"/>
      <c r="T699" s="117"/>
      <c r="U699" s="92"/>
      <c r="V699" s="54"/>
      <c r="W699" s="92"/>
      <c r="X699" s="54"/>
      <c r="Y699" s="92"/>
      <c r="Z699" s="54"/>
      <c r="AA699" s="92"/>
      <c r="AB699" s="54"/>
      <c r="AC699" s="92"/>
      <c r="AD699" s="54"/>
      <c r="AE699" s="92"/>
      <c r="AF699" s="54"/>
      <c r="AG699" s="92"/>
      <c r="AH699" s="54"/>
      <c r="AI699" s="92"/>
      <c r="AJ699" s="54"/>
      <c r="AK699" s="92"/>
      <c r="AL699" s="54"/>
      <c r="AM699" s="92"/>
      <c r="AO699" s="54"/>
      <c r="AP699" s="123"/>
      <c r="AQ699" s="54"/>
      <c r="AR699" s="154"/>
      <c r="AS699" s="1"/>
      <c r="AT699" s="1"/>
      <c r="AU699" s="9"/>
    </row>
    <row r="700">
      <c r="A700" s="54"/>
      <c r="B700" s="71" t="str">
        <f>IFERROR(HYPERLINK(VLOOKUP(A700,Internal_lists_bugs!$A$2:$C$73,3,FALSE()), VLOOKUP(A700,Internal_lists_bugs!$A$2:$C$73,3,FALSE())&amp;Char(10) &amp; Char(10) &amp; VLOOKUP(A700,Internal_lists_bugs!$A$2:$Z$73,26,FALSE())),"please select a BUG ID")</f>
        <v>please select a BUG ID</v>
      </c>
      <c r="C700" s="51" t="str">
        <f>IFERROR(VLOOKUP(A700,Internal_lists_bugs!$A$2:$G2002,7,FALSE()),"please select a BUG ID")</f>
        <v>please select a BUG ID</v>
      </c>
      <c r="D700" s="54"/>
      <c r="E700" s="56"/>
      <c r="F700" s="54"/>
      <c r="G700" s="56"/>
      <c r="H700" s="54"/>
      <c r="I700" s="56"/>
      <c r="J700" s="54"/>
      <c r="K700" s="92"/>
      <c r="L700" s="54"/>
      <c r="M700" s="92"/>
      <c r="N700" s="54"/>
      <c r="O700" s="92"/>
      <c r="P700" s="54"/>
      <c r="Q700" s="92"/>
      <c r="R700" s="54"/>
      <c r="S700" s="92"/>
      <c r="T700" s="117"/>
      <c r="U700" s="92"/>
      <c r="V700" s="54"/>
      <c r="W700" s="92"/>
      <c r="X700" s="54"/>
      <c r="Y700" s="92"/>
      <c r="Z700" s="54"/>
      <c r="AA700" s="92"/>
      <c r="AB700" s="54"/>
      <c r="AC700" s="92"/>
      <c r="AD700" s="54"/>
      <c r="AE700" s="92"/>
      <c r="AF700" s="54"/>
      <c r="AG700" s="92"/>
      <c r="AH700" s="54"/>
      <c r="AI700" s="92"/>
      <c r="AJ700" s="54"/>
      <c r="AK700" s="92"/>
      <c r="AL700" s="54"/>
      <c r="AM700" s="92"/>
      <c r="AO700" s="54"/>
      <c r="AP700" s="123"/>
      <c r="AQ700" s="54"/>
      <c r="AR700" s="154"/>
      <c r="AS700" s="1"/>
      <c r="AT700" s="1"/>
      <c r="AU700" s="9"/>
    </row>
    <row r="701">
      <c r="A701" s="54"/>
      <c r="B701" s="71" t="str">
        <f>IFERROR(HYPERLINK(VLOOKUP(A701,Internal_lists_bugs!$A$2:$C$73,3,FALSE()), VLOOKUP(A701,Internal_lists_bugs!$A$2:$C$73,3,FALSE())&amp;Char(10) &amp; Char(10) &amp; VLOOKUP(A701,Internal_lists_bugs!$A$2:$Z$73,26,FALSE())),"please select a BUG ID")</f>
        <v>please select a BUG ID</v>
      </c>
      <c r="C701" s="51" t="str">
        <f>IFERROR(VLOOKUP(A701,Internal_lists_bugs!$A$2:$G2002,7,FALSE()),"please select a BUG ID")</f>
        <v>please select a BUG ID</v>
      </c>
      <c r="D701" s="54"/>
      <c r="E701" s="56"/>
      <c r="F701" s="54"/>
      <c r="G701" s="56"/>
      <c r="H701" s="54"/>
      <c r="I701" s="56"/>
      <c r="J701" s="54"/>
      <c r="K701" s="92"/>
      <c r="L701" s="54"/>
      <c r="M701" s="92"/>
      <c r="N701" s="54"/>
      <c r="O701" s="92"/>
      <c r="P701" s="54"/>
      <c r="Q701" s="92"/>
      <c r="R701" s="54"/>
      <c r="S701" s="92"/>
      <c r="T701" s="117"/>
      <c r="U701" s="92"/>
      <c r="V701" s="54"/>
      <c r="W701" s="92"/>
      <c r="X701" s="54"/>
      <c r="Y701" s="92"/>
      <c r="Z701" s="54"/>
      <c r="AA701" s="92"/>
      <c r="AB701" s="54"/>
      <c r="AC701" s="92"/>
      <c r="AD701" s="54"/>
      <c r="AE701" s="92"/>
      <c r="AF701" s="54"/>
      <c r="AG701" s="92"/>
      <c r="AH701" s="54"/>
      <c r="AI701" s="92"/>
      <c r="AJ701" s="54"/>
      <c r="AK701" s="92"/>
      <c r="AL701" s="54"/>
      <c r="AM701" s="92"/>
      <c r="AO701" s="54"/>
      <c r="AP701" s="123"/>
      <c r="AQ701" s="54"/>
      <c r="AR701" s="154"/>
      <c r="AS701" s="1"/>
      <c r="AT701" s="1"/>
      <c r="AU701" s="9"/>
    </row>
    <row r="702">
      <c r="A702" s="54"/>
      <c r="B702" s="71" t="str">
        <f>IFERROR(HYPERLINK(VLOOKUP(A702,Internal_lists_bugs!$A$2:$C$73,3,FALSE()), VLOOKUP(A702,Internal_lists_bugs!$A$2:$C$73,3,FALSE())&amp;Char(10) &amp; Char(10) &amp; VLOOKUP(A702,Internal_lists_bugs!$A$2:$Z$73,26,FALSE())),"please select a BUG ID")</f>
        <v>please select a BUG ID</v>
      </c>
      <c r="C702" s="51" t="str">
        <f>IFERROR(VLOOKUP(A702,Internal_lists_bugs!$A$2:$G2002,7,FALSE()),"please select a BUG ID")</f>
        <v>please select a BUG ID</v>
      </c>
      <c r="D702" s="54"/>
      <c r="E702" s="56"/>
      <c r="F702" s="54"/>
      <c r="G702" s="56"/>
      <c r="H702" s="54"/>
      <c r="I702" s="56"/>
      <c r="J702" s="54"/>
      <c r="K702" s="92"/>
      <c r="L702" s="54"/>
      <c r="M702" s="92"/>
      <c r="N702" s="54"/>
      <c r="O702" s="92"/>
      <c r="P702" s="54"/>
      <c r="Q702" s="92"/>
      <c r="R702" s="54"/>
      <c r="S702" s="92"/>
      <c r="T702" s="117"/>
      <c r="U702" s="92"/>
      <c r="V702" s="54"/>
      <c r="W702" s="92"/>
      <c r="X702" s="54"/>
      <c r="Y702" s="92"/>
      <c r="Z702" s="54"/>
      <c r="AA702" s="92"/>
      <c r="AB702" s="54"/>
      <c r="AC702" s="92"/>
      <c r="AD702" s="54"/>
      <c r="AE702" s="92"/>
      <c r="AF702" s="54"/>
      <c r="AG702" s="92"/>
      <c r="AH702" s="54"/>
      <c r="AI702" s="92"/>
      <c r="AJ702" s="54"/>
      <c r="AK702" s="92"/>
      <c r="AL702" s="54"/>
      <c r="AM702" s="92"/>
      <c r="AO702" s="54"/>
      <c r="AP702" s="123"/>
      <c r="AQ702" s="54"/>
      <c r="AR702" s="154"/>
      <c r="AS702" s="1"/>
      <c r="AT702" s="1"/>
      <c r="AU702" s="9"/>
    </row>
    <row r="703">
      <c r="A703" s="54"/>
      <c r="B703" s="71" t="str">
        <f>IFERROR(HYPERLINK(VLOOKUP(A703,Internal_lists_bugs!$A$2:$C$73,3,FALSE()), VLOOKUP(A703,Internal_lists_bugs!$A$2:$C$73,3,FALSE())&amp;Char(10) &amp; Char(10) &amp; VLOOKUP(A703,Internal_lists_bugs!$A$2:$Z$73,26,FALSE())),"please select a BUG ID")</f>
        <v>please select a BUG ID</v>
      </c>
      <c r="C703" s="51" t="str">
        <f>IFERROR(VLOOKUP(A703,Internal_lists_bugs!$A$2:$G2002,7,FALSE()),"please select a BUG ID")</f>
        <v>please select a BUG ID</v>
      </c>
      <c r="D703" s="54"/>
      <c r="E703" s="56"/>
      <c r="F703" s="54"/>
      <c r="G703" s="56"/>
      <c r="H703" s="54"/>
      <c r="I703" s="56"/>
      <c r="J703" s="54"/>
      <c r="K703" s="92"/>
      <c r="L703" s="54"/>
      <c r="M703" s="92"/>
      <c r="N703" s="54"/>
      <c r="O703" s="92"/>
      <c r="P703" s="54"/>
      <c r="Q703" s="92"/>
      <c r="R703" s="54"/>
      <c r="S703" s="92"/>
      <c r="T703" s="117"/>
      <c r="U703" s="92"/>
      <c r="V703" s="54"/>
      <c r="W703" s="92"/>
      <c r="X703" s="54"/>
      <c r="Y703" s="92"/>
      <c r="Z703" s="54"/>
      <c r="AA703" s="92"/>
      <c r="AB703" s="54"/>
      <c r="AC703" s="92"/>
      <c r="AD703" s="54"/>
      <c r="AE703" s="92"/>
      <c r="AF703" s="54"/>
      <c r="AG703" s="92"/>
      <c r="AH703" s="54"/>
      <c r="AI703" s="92"/>
      <c r="AJ703" s="54"/>
      <c r="AK703" s="92"/>
      <c r="AL703" s="54"/>
      <c r="AM703" s="92"/>
      <c r="AO703" s="54"/>
      <c r="AP703" s="123"/>
      <c r="AQ703" s="54"/>
      <c r="AR703" s="154"/>
      <c r="AS703" s="1"/>
      <c r="AT703" s="1"/>
      <c r="AU703" s="9"/>
    </row>
    <row r="704">
      <c r="A704" s="54"/>
      <c r="B704" s="71" t="str">
        <f>IFERROR(HYPERLINK(VLOOKUP(A704,Internal_lists_bugs!$A$2:$C$73,3,FALSE()), VLOOKUP(A704,Internal_lists_bugs!$A$2:$C$73,3,FALSE())&amp;Char(10) &amp; Char(10) &amp; VLOOKUP(A704,Internal_lists_bugs!$A$2:$Z$73,26,FALSE())),"please select a BUG ID")</f>
        <v>please select a BUG ID</v>
      </c>
      <c r="C704" s="51" t="str">
        <f>IFERROR(VLOOKUP(A704,Internal_lists_bugs!$A$2:$G2002,7,FALSE()),"please select a BUG ID")</f>
        <v>please select a BUG ID</v>
      </c>
      <c r="D704" s="54"/>
      <c r="E704" s="56"/>
      <c r="F704" s="54"/>
      <c r="G704" s="56"/>
      <c r="H704" s="54"/>
      <c r="I704" s="56"/>
      <c r="J704" s="54"/>
      <c r="K704" s="92"/>
      <c r="L704" s="54"/>
      <c r="M704" s="92"/>
      <c r="N704" s="54"/>
      <c r="O704" s="92"/>
      <c r="P704" s="54"/>
      <c r="Q704" s="92"/>
      <c r="R704" s="54"/>
      <c r="S704" s="92"/>
      <c r="T704" s="117"/>
      <c r="U704" s="92"/>
      <c r="V704" s="54"/>
      <c r="W704" s="92"/>
      <c r="X704" s="54"/>
      <c r="Y704" s="92"/>
      <c r="Z704" s="54"/>
      <c r="AA704" s="92"/>
      <c r="AB704" s="54"/>
      <c r="AC704" s="92"/>
      <c r="AD704" s="54"/>
      <c r="AE704" s="92"/>
      <c r="AF704" s="54"/>
      <c r="AG704" s="92"/>
      <c r="AH704" s="54"/>
      <c r="AI704" s="92"/>
      <c r="AJ704" s="54"/>
      <c r="AK704" s="92"/>
      <c r="AL704" s="54"/>
      <c r="AM704" s="92"/>
      <c r="AO704" s="54"/>
      <c r="AP704" s="123"/>
      <c r="AQ704" s="54"/>
      <c r="AR704" s="154"/>
      <c r="AS704" s="1"/>
      <c r="AT704" s="1"/>
      <c r="AU704" s="9"/>
    </row>
    <row r="705">
      <c r="A705" s="54"/>
      <c r="B705" s="71" t="str">
        <f>IFERROR(HYPERLINK(VLOOKUP(A705,Internal_lists_bugs!$A$2:$C$73,3,FALSE()), VLOOKUP(A705,Internal_lists_bugs!$A$2:$C$73,3,FALSE())&amp;Char(10) &amp; Char(10) &amp; VLOOKUP(A705,Internal_lists_bugs!$A$2:$Z$73,26,FALSE())),"please select a BUG ID")</f>
        <v>please select a BUG ID</v>
      </c>
      <c r="C705" s="51" t="str">
        <f>IFERROR(VLOOKUP(A705,Internal_lists_bugs!$A$2:$G2002,7,FALSE()),"please select a BUG ID")</f>
        <v>please select a BUG ID</v>
      </c>
      <c r="D705" s="54"/>
      <c r="E705" s="56"/>
      <c r="F705" s="54"/>
      <c r="G705" s="56"/>
      <c r="H705" s="54"/>
      <c r="I705" s="56"/>
      <c r="J705" s="54"/>
      <c r="K705" s="92"/>
      <c r="L705" s="54"/>
      <c r="M705" s="92"/>
      <c r="N705" s="54"/>
      <c r="O705" s="92"/>
      <c r="P705" s="54"/>
      <c r="Q705" s="92"/>
      <c r="R705" s="54"/>
      <c r="S705" s="92"/>
      <c r="T705" s="117"/>
      <c r="U705" s="92"/>
      <c r="V705" s="54"/>
      <c r="W705" s="92"/>
      <c r="X705" s="54"/>
      <c r="Y705" s="92"/>
      <c r="Z705" s="54"/>
      <c r="AA705" s="92"/>
      <c r="AB705" s="54"/>
      <c r="AC705" s="92"/>
      <c r="AD705" s="54"/>
      <c r="AE705" s="92"/>
      <c r="AF705" s="54"/>
      <c r="AG705" s="92"/>
      <c r="AH705" s="54"/>
      <c r="AI705" s="92"/>
      <c r="AJ705" s="54"/>
      <c r="AK705" s="92"/>
      <c r="AL705" s="54"/>
      <c r="AM705" s="92"/>
      <c r="AO705" s="54"/>
      <c r="AP705" s="123"/>
      <c r="AQ705" s="54"/>
      <c r="AR705" s="154"/>
      <c r="AS705" s="1"/>
      <c r="AT705" s="1"/>
      <c r="AU705" s="9"/>
    </row>
    <row r="706">
      <c r="A706" s="54"/>
      <c r="B706" s="71" t="str">
        <f>IFERROR(HYPERLINK(VLOOKUP(A706,Internal_lists_bugs!$A$2:$C$73,3,FALSE()), VLOOKUP(A706,Internal_lists_bugs!$A$2:$C$73,3,FALSE())&amp;Char(10) &amp; Char(10) &amp; VLOOKUP(A706,Internal_lists_bugs!$A$2:$Z$73,26,FALSE())),"please select a BUG ID")</f>
        <v>please select a BUG ID</v>
      </c>
      <c r="C706" s="51" t="str">
        <f>IFERROR(VLOOKUP(A706,Internal_lists_bugs!$A$2:$G2002,7,FALSE()),"please select a BUG ID")</f>
        <v>please select a BUG ID</v>
      </c>
      <c r="D706" s="54"/>
      <c r="E706" s="56"/>
      <c r="F706" s="54"/>
      <c r="G706" s="56"/>
      <c r="H706" s="54"/>
      <c r="I706" s="56"/>
      <c r="J706" s="54"/>
      <c r="K706" s="92"/>
      <c r="L706" s="54"/>
      <c r="M706" s="92"/>
      <c r="N706" s="54"/>
      <c r="O706" s="92"/>
      <c r="P706" s="54"/>
      <c r="Q706" s="92"/>
      <c r="R706" s="54"/>
      <c r="S706" s="92"/>
      <c r="T706" s="117"/>
      <c r="U706" s="92"/>
      <c r="V706" s="54"/>
      <c r="W706" s="92"/>
      <c r="X706" s="54"/>
      <c r="Y706" s="92"/>
      <c r="Z706" s="54"/>
      <c r="AA706" s="92"/>
      <c r="AB706" s="54"/>
      <c r="AC706" s="92"/>
      <c r="AD706" s="54"/>
      <c r="AE706" s="92"/>
      <c r="AF706" s="54"/>
      <c r="AG706" s="92"/>
      <c r="AH706" s="54"/>
      <c r="AI706" s="92"/>
      <c r="AJ706" s="54"/>
      <c r="AK706" s="92"/>
      <c r="AL706" s="54"/>
      <c r="AM706" s="92"/>
      <c r="AO706" s="54"/>
      <c r="AP706" s="123"/>
      <c r="AQ706" s="54"/>
      <c r="AR706" s="154"/>
      <c r="AS706" s="1"/>
      <c r="AT706" s="1"/>
      <c r="AU706" s="9"/>
    </row>
    <row r="707">
      <c r="A707" s="54"/>
      <c r="B707" s="71" t="str">
        <f>IFERROR(HYPERLINK(VLOOKUP(A707,Internal_lists_bugs!$A$2:$C$73,3,FALSE()), VLOOKUP(A707,Internal_lists_bugs!$A$2:$C$73,3,FALSE())&amp;Char(10) &amp; Char(10) &amp; VLOOKUP(A707,Internal_lists_bugs!$A$2:$Z$73,26,FALSE())),"please select a BUG ID")</f>
        <v>please select a BUG ID</v>
      </c>
      <c r="C707" s="51" t="str">
        <f>IFERROR(VLOOKUP(A707,Internal_lists_bugs!$A$2:$G2002,7,FALSE()),"please select a BUG ID")</f>
        <v>please select a BUG ID</v>
      </c>
      <c r="D707" s="54"/>
      <c r="E707" s="56"/>
      <c r="F707" s="54"/>
      <c r="G707" s="56"/>
      <c r="H707" s="54"/>
      <c r="I707" s="56"/>
      <c r="J707" s="54"/>
      <c r="K707" s="92"/>
      <c r="L707" s="54"/>
      <c r="M707" s="92"/>
      <c r="N707" s="54"/>
      <c r="O707" s="92"/>
      <c r="P707" s="54"/>
      <c r="Q707" s="92"/>
      <c r="R707" s="54"/>
      <c r="S707" s="92"/>
      <c r="T707" s="117"/>
      <c r="U707" s="92"/>
      <c r="V707" s="54"/>
      <c r="W707" s="92"/>
      <c r="X707" s="54"/>
      <c r="Y707" s="92"/>
      <c r="Z707" s="54"/>
      <c r="AA707" s="92"/>
      <c r="AB707" s="54"/>
      <c r="AC707" s="92"/>
      <c r="AD707" s="54"/>
      <c r="AE707" s="92"/>
      <c r="AF707" s="54"/>
      <c r="AG707" s="92"/>
      <c r="AH707" s="54"/>
      <c r="AI707" s="92"/>
      <c r="AJ707" s="54"/>
      <c r="AK707" s="92"/>
      <c r="AL707" s="54"/>
      <c r="AM707" s="92"/>
      <c r="AO707" s="54"/>
      <c r="AP707" s="123"/>
      <c r="AQ707" s="54"/>
      <c r="AR707" s="154"/>
      <c r="AS707" s="1"/>
      <c r="AT707" s="1"/>
      <c r="AU707" s="9"/>
    </row>
    <row r="708">
      <c r="A708" s="54"/>
      <c r="B708" s="71" t="str">
        <f>IFERROR(HYPERLINK(VLOOKUP(A708,Internal_lists_bugs!$A$2:$C$73,3,FALSE()), VLOOKUP(A708,Internal_lists_bugs!$A$2:$C$73,3,FALSE())&amp;Char(10) &amp; Char(10) &amp; VLOOKUP(A708,Internal_lists_bugs!$A$2:$Z$73,26,FALSE())),"please select a BUG ID")</f>
        <v>please select a BUG ID</v>
      </c>
      <c r="C708" s="51" t="str">
        <f>IFERROR(VLOOKUP(A708,Internal_lists_bugs!$A$2:$G2002,7,FALSE()),"please select a BUG ID")</f>
        <v>please select a BUG ID</v>
      </c>
      <c r="D708" s="54"/>
      <c r="E708" s="56"/>
      <c r="F708" s="54"/>
      <c r="G708" s="56"/>
      <c r="H708" s="54"/>
      <c r="I708" s="56"/>
      <c r="J708" s="54"/>
      <c r="K708" s="92"/>
      <c r="L708" s="54"/>
      <c r="M708" s="92"/>
      <c r="N708" s="54"/>
      <c r="O708" s="92"/>
      <c r="P708" s="54"/>
      <c r="Q708" s="92"/>
      <c r="R708" s="54"/>
      <c r="S708" s="92"/>
      <c r="T708" s="117"/>
      <c r="U708" s="92"/>
      <c r="V708" s="54"/>
      <c r="W708" s="92"/>
      <c r="X708" s="54"/>
      <c r="Y708" s="92"/>
      <c r="Z708" s="54"/>
      <c r="AA708" s="92"/>
      <c r="AB708" s="54"/>
      <c r="AC708" s="92"/>
      <c r="AD708" s="54"/>
      <c r="AE708" s="92"/>
      <c r="AF708" s="54"/>
      <c r="AG708" s="92"/>
      <c r="AH708" s="54"/>
      <c r="AI708" s="92"/>
      <c r="AJ708" s="54"/>
      <c r="AK708" s="92"/>
      <c r="AL708" s="54"/>
      <c r="AM708" s="92"/>
      <c r="AO708" s="54"/>
      <c r="AP708" s="123"/>
      <c r="AQ708" s="54"/>
      <c r="AR708" s="154"/>
      <c r="AS708" s="1"/>
      <c r="AT708" s="1"/>
      <c r="AU708" s="9"/>
    </row>
    <row r="709">
      <c r="A709" s="54"/>
      <c r="B709" s="71" t="str">
        <f>IFERROR(HYPERLINK(VLOOKUP(A709,Internal_lists_bugs!$A$2:$C$73,3,FALSE()), VLOOKUP(A709,Internal_lists_bugs!$A$2:$C$73,3,FALSE())&amp;Char(10) &amp; Char(10) &amp; VLOOKUP(A709,Internal_lists_bugs!$A$2:$Z$73,26,FALSE())),"please select a BUG ID")</f>
        <v>please select a BUG ID</v>
      </c>
      <c r="C709" s="51" t="str">
        <f>IFERROR(VLOOKUP(A709,Internal_lists_bugs!$A$2:$G2002,7,FALSE()),"please select a BUG ID")</f>
        <v>please select a BUG ID</v>
      </c>
      <c r="D709" s="54"/>
      <c r="E709" s="56"/>
      <c r="F709" s="54"/>
      <c r="G709" s="56"/>
      <c r="H709" s="54"/>
      <c r="I709" s="56"/>
      <c r="J709" s="54"/>
      <c r="K709" s="92"/>
      <c r="L709" s="54"/>
      <c r="M709" s="92"/>
      <c r="N709" s="54"/>
      <c r="O709" s="92"/>
      <c r="P709" s="54"/>
      <c r="Q709" s="92"/>
      <c r="R709" s="54"/>
      <c r="S709" s="92"/>
      <c r="T709" s="117"/>
      <c r="U709" s="92"/>
      <c r="V709" s="54"/>
      <c r="W709" s="92"/>
      <c r="X709" s="54"/>
      <c r="Y709" s="92"/>
      <c r="Z709" s="54"/>
      <c r="AA709" s="92"/>
      <c r="AB709" s="54"/>
      <c r="AC709" s="92"/>
      <c r="AD709" s="54"/>
      <c r="AE709" s="92"/>
      <c r="AF709" s="54"/>
      <c r="AG709" s="92"/>
      <c r="AH709" s="54"/>
      <c r="AI709" s="92"/>
      <c r="AJ709" s="54"/>
      <c r="AK709" s="92"/>
      <c r="AL709" s="54"/>
      <c r="AM709" s="92"/>
      <c r="AO709" s="54"/>
      <c r="AP709" s="123"/>
      <c r="AQ709" s="54"/>
      <c r="AR709" s="154"/>
      <c r="AS709" s="1"/>
      <c r="AT709" s="1"/>
      <c r="AU709" s="9"/>
    </row>
    <row r="710">
      <c r="A710" s="54"/>
      <c r="B710" s="71" t="str">
        <f>IFERROR(HYPERLINK(VLOOKUP(A710,Internal_lists_bugs!$A$2:$C$73,3,FALSE()), VLOOKUP(A710,Internal_lists_bugs!$A$2:$C$73,3,FALSE())&amp;Char(10) &amp; Char(10) &amp; VLOOKUP(A710,Internal_lists_bugs!$A$2:$Z$73,26,FALSE())),"please select a BUG ID")</f>
        <v>please select a BUG ID</v>
      </c>
      <c r="C710" s="51" t="str">
        <f>IFERROR(VLOOKUP(A710,Internal_lists_bugs!$A$2:$G2002,7,FALSE()),"please select a BUG ID")</f>
        <v>please select a BUG ID</v>
      </c>
      <c r="D710" s="54"/>
      <c r="E710" s="56"/>
      <c r="F710" s="54"/>
      <c r="G710" s="56"/>
      <c r="H710" s="54"/>
      <c r="I710" s="56"/>
      <c r="J710" s="54"/>
      <c r="K710" s="92"/>
      <c r="L710" s="54"/>
      <c r="M710" s="92"/>
      <c r="N710" s="54"/>
      <c r="O710" s="92"/>
      <c r="P710" s="54"/>
      <c r="Q710" s="92"/>
      <c r="R710" s="54"/>
      <c r="S710" s="92"/>
      <c r="T710" s="117"/>
      <c r="U710" s="92"/>
      <c r="V710" s="54"/>
      <c r="W710" s="92"/>
      <c r="X710" s="54"/>
      <c r="Y710" s="92"/>
      <c r="Z710" s="54"/>
      <c r="AA710" s="92"/>
      <c r="AB710" s="54"/>
      <c r="AC710" s="92"/>
      <c r="AD710" s="54"/>
      <c r="AE710" s="92"/>
      <c r="AF710" s="54"/>
      <c r="AG710" s="92"/>
      <c r="AH710" s="54"/>
      <c r="AI710" s="92"/>
      <c r="AJ710" s="54"/>
      <c r="AK710" s="92"/>
      <c r="AL710" s="54"/>
      <c r="AM710" s="92"/>
      <c r="AO710" s="54"/>
      <c r="AP710" s="123"/>
      <c r="AQ710" s="54"/>
      <c r="AR710" s="154"/>
      <c r="AS710" s="1"/>
      <c r="AT710" s="1"/>
      <c r="AU710" s="9"/>
    </row>
    <row r="711">
      <c r="A711" s="54"/>
      <c r="B711" s="71" t="str">
        <f>IFERROR(HYPERLINK(VLOOKUP(A711,Internal_lists_bugs!$A$2:$C$73,3,FALSE()), VLOOKUP(A711,Internal_lists_bugs!$A$2:$C$73,3,FALSE())&amp;Char(10) &amp; Char(10) &amp; VLOOKUP(A711,Internal_lists_bugs!$A$2:$Z$73,26,FALSE())),"please select a BUG ID")</f>
        <v>please select a BUG ID</v>
      </c>
      <c r="C711" s="51" t="str">
        <f>IFERROR(VLOOKUP(A711,Internal_lists_bugs!$A$2:$G2002,7,FALSE()),"please select a BUG ID")</f>
        <v>please select a BUG ID</v>
      </c>
      <c r="D711" s="54"/>
      <c r="E711" s="56"/>
      <c r="F711" s="54"/>
      <c r="G711" s="56"/>
      <c r="H711" s="54"/>
      <c r="I711" s="56"/>
      <c r="J711" s="54"/>
      <c r="K711" s="92"/>
      <c r="L711" s="54"/>
      <c r="M711" s="92"/>
      <c r="N711" s="54"/>
      <c r="O711" s="92"/>
      <c r="P711" s="54"/>
      <c r="Q711" s="92"/>
      <c r="R711" s="54"/>
      <c r="S711" s="92"/>
      <c r="T711" s="117"/>
      <c r="U711" s="92"/>
      <c r="V711" s="54"/>
      <c r="W711" s="92"/>
      <c r="X711" s="54"/>
      <c r="Y711" s="92"/>
      <c r="Z711" s="54"/>
      <c r="AA711" s="92"/>
      <c r="AB711" s="54"/>
      <c r="AC711" s="92"/>
      <c r="AD711" s="54"/>
      <c r="AE711" s="92"/>
      <c r="AF711" s="54"/>
      <c r="AG711" s="92"/>
      <c r="AH711" s="54"/>
      <c r="AI711" s="92"/>
      <c r="AJ711" s="54"/>
      <c r="AK711" s="92"/>
      <c r="AL711" s="54"/>
      <c r="AM711" s="92"/>
      <c r="AO711" s="54"/>
      <c r="AP711" s="123"/>
      <c r="AQ711" s="54"/>
      <c r="AR711" s="154"/>
      <c r="AS711" s="1"/>
      <c r="AT711" s="1"/>
      <c r="AU711" s="9"/>
    </row>
    <row r="712">
      <c r="A712" s="54"/>
      <c r="B712" s="71" t="str">
        <f>IFERROR(HYPERLINK(VLOOKUP(A712,Internal_lists_bugs!$A$2:$C$73,3,FALSE()), VLOOKUP(A712,Internal_lists_bugs!$A$2:$C$73,3,FALSE())&amp;Char(10) &amp; Char(10) &amp; VLOOKUP(A712,Internal_lists_bugs!$A$2:$Z$73,26,FALSE())),"please select a BUG ID")</f>
        <v>please select a BUG ID</v>
      </c>
      <c r="C712" s="51" t="str">
        <f>IFERROR(VLOOKUP(A712,Internal_lists_bugs!$A$2:$G2002,7,FALSE()),"please select a BUG ID")</f>
        <v>please select a BUG ID</v>
      </c>
      <c r="D712" s="54"/>
      <c r="E712" s="56"/>
      <c r="F712" s="54"/>
      <c r="G712" s="56"/>
      <c r="H712" s="54"/>
      <c r="I712" s="56"/>
      <c r="J712" s="54"/>
      <c r="K712" s="92"/>
      <c r="L712" s="54"/>
      <c r="M712" s="92"/>
      <c r="N712" s="54"/>
      <c r="O712" s="92"/>
      <c r="P712" s="54"/>
      <c r="Q712" s="92"/>
      <c r="R712" s="54"/>
      <c r="S712" s="92"/>
      <c r="T712" s="117"/>
      <c r="U712" s="92"/>
      <c r="V712" s="54"/>
      <c r="W712" s="92"/>
      <c r="X712" s="54"/>
      <c r="Y712" s="92"/>
      <c r="Z712" s="54"/>
      <c r="AA712" s="92"/>
      <c r="AB712" s="54"/>
      <c r="AC712" s="92"/>
      <c r="AD712" s="54"/>
      <c r="AE712" s="92"/>
      <c r="AF712" s="54"/>
      <c r="AG712" s="92"/>
      <c r="AH712" s="54"/>
      <c r="AI712" s="92"/>
      <c r="AJ712" s="54"/>
      <c r="AK712" s="92"/>
      <c r="AL712" s="54"/>
      <c r="AM712" s="92"/>
      <c r="AO712" s="54"/>
      <c r="AP712" s="123"/>
      <c r="AQ712" s="54"/>
      <c r="AR712" s="154"/>
      <c r="AS712" s="1"/>
      <c r="AT712" s="1"/>
      <c r="AU712" s="9"/>
    </row>
    <row r="713">
      <c r="A713" s="54"/>
      <c r="B713" s="71" t="str">
        <f>IFERROR(HYPERLINK(VLOOKUP(A713,Internal_lists_bugs!$A$2:$C$73,3,FALSE()), VLOOKUP(A713,Internal_lists_bugs!$A$2:$C$73,3,FALSE())&amp;Char(10) &amp; Char(10) &amp; VLOOKUP(A713,Internal_lists_bugs!$A$2:$Z$73,26,FALSE())),"please select a BUG ID")</f>
        <v>please select a BUG ID</v>
      </c>
      <c r="C713" s="51" t="str">
        <f>IFERROR(VLOOKUP(A713,Internal_lists_bugs!$A$2:$G2002,7,FALSE()),"please select a BUG ID")</f>
        <v>please select a BUG ID</v>
      </c>
      <c r="D713" s="54"/>
      <c r="E713" s="56"/>
      <c r="F713" s="54"/>
      <c r="G713" s="56"/>
      <c r="H713" s="54"/>
      <c r="I713" s="56"/>
      <c r="J713" s="54"/>
      <c r="K713" s="92"/>
      <c r="L713" s="54"/>
      <c r="M713" s="92"/>
      <c r="N713" s="54"/>
      <c r="O713" s="92"/>
      <c r="P713" s="54"/>
      <c r="Q713" s="92"/>
      <c r="R713" s="54"/>
      <c r="S713" s="92"/>
      <c r="T713" s="117"/>
      <c r="U713" s="92"/>
      <c r="V713" s="54"/>
      <c r="W713" s="92"/>
      <c r="X713" s="54"/>
      <c r="Y713" s="92"/>
      <c r="Z713" s="54"/>
      <c r="AA713" s="92"/>
      <c r="AB713" s="54"/>
      <c r="AC713" s="92"/>
      <c r="AD713" s="54"/>
      <c r="AE713" s="92"/>
      <c r="AF713" s="54"/>
      <c r="AG713" s="92"/>
      <c r="AH713" s="54"/>
      <c r="AI713" s="92"/>
      <c r="AJ713" s="54"/>
      <c r="AK713" s="92"/>
      <c r="AL713" s="54"/>
      <c r="AM713" s="92"/>
      <c r="AO713" s="54"/>
      <c r="AP713" s="123"/>
      <c r="AQ713" s="54"/>
      <c r="AR713" s="154"/>
      <c r="AS713" s="1"/>
      <c r="AT713" s="1"/>
      <c r="AU713" s="9"/>
    </row>
    <row r="714">
      <c r="A714" s="54"/>
      <c r="B714" s="71" t="str">
        <f>IFERROR(HYPERLINK(VLOOKUP(A714,Internal_lists_bugs!$A$2:$C$73,3,FALSE()), VLOOKUP(A714,Internal_lists_bugs!$A$2:$C$73,3,FALSE())&amp;Char(10) &amp; Char(10) &amp; VLOOKUP(A714,Internal_lists_bugs!$A$2:$Z$73,26,FALSE())),"please select a BUG ID")</f>
        <v>please select a BUG ID</v>
      </c>
      <c r="C714" s="51" t="str">
        <f>IFERROR(VLOOKUP(A714,Internal_lists_bugs!$A$2:$G2002,7,FALSE()),"please select a BUG ID")</f>
        <v>please select a BUG ID</v>
      </c>
      <c r="D714" s="54"/>
      <c r="E714" s="56"/>
      <c r="F714" s="54"/>
      <c r="G714" s="56"/>
      <c r="H714" s="54"/>
      <c r="I714" s="56"/>
      <c r="J714" s="54"/>
      <c r="K714" s="92"/>
      <c r="L714" s="54"/>
      <c r="M714" s="92"/>
      <c r="N714" s="54"/>
      <c r="O714" s="92"/>
      <c r="P714" s="54"/>
      <c r="Q714" s="92"/>
      <c r="R714" s="54"/>
      <c r="S714" s="92"/>
      <c r="T714" s="117"/>
      <c r="U714" s="92"/>
      <c r="V714" s="54"/>
      <c r="W714" s="92"/>
      <c r="X714" s="54"/>
      <c r="Y714" s="92"/>
      <c r="Z714" s="54"/>
      <c r="AA714" s="92"/>
      <c r="AB714" s="54"/>
      <c r="AC714" s="92"/>
      <c r="AD714" s="54"/>
      <c r="AE714" s="92"/>
      <c r="AF714" s="54"/>
      <c r="AG714" s="92"/>
      <c r="AH714" s="54"/>
      <c r="AI714" s="92"/>
      <c r="AJ714" s="54"/>
      <c r="AK714" s="92"/>
      <c r="AL714" s="54"/>
      <c r="AM714" s="92"/>
      <c r="AO714" s="54"/>
      <c r="AP714" s="123"/>
      <c r="AQ714" s="54"/>
      <c r="AR714" s="154"/>
      <c r="AS714" s="1"/>
      <c r="AT714" s="1"/>
      <c r="AU714" s="9"/>
    </row>
    <row r="715">
      <c r="A715" s="54"/>
      <c r="B715" s="71" t="str">
        <f>IFERROR(HYPERLINK(VLOOKUP(A715,Internal_lists_bugs!$A$2:$C$73,3,FALSE()), VLOOKUP(A715,Internal_lists_bugs!$A$2:$C$73,3,FALSE())&amp;Char(10) &amp; Char(10) &amp; VLOOKUP(A715,Internal_lists_bugs!$A$2:$Z$73,26,FALSE())),"please select a BUG ID")</f>
        <v>please select a BUG ID</v>
      </c>
      <c r="C715" s="51" t="str">
        <f>IFERROR(VLOOKUP(A715,Internal_lists_bugs!$A$2:$G2002,7,FALSE()),"please select a BUG ID")</f>
        <v>please select a BUG ID</v>
      </c>
      <c r="D715" s="54"/>
      <c r="E715" s="56"/>
      <c r="F715" s="54"/>
      <c r="G715" s="56"/>
      <c r="H715" s="54"/>
      <c r="I715" s="56"/>
      <c r="J715" s="54"/>
      <c r="K715" s="92"/>
      <c r="L715" s="54"/>
      <c r="M715" s="92"/>
      <c r="N715" s="54"/>
      <c r="O715" s="92"/>
      <c r="P715" s="54"/>
      <c r="Q715" s="92"/>
      <c r="R715" s="54"/>
      <c r="S715" s="92"/>
      <c r="T715" s="117"/>
      <c r="U715" s="92"/>
      <c r="V715" s="54"/>
      <c r="W715" s="92"/>
      <c r="X715" s="54"/>
      <c r="Y715" s="92"/>
      <c r="Z715" s="54"/>
      <c r="AA715" s="92"/>
      <c r="AB715" s="54"/>
      <c r="AC715" s="92"/>
      <c r="AD715" s="54"/>
      <c r="AE715" s="92"/>
      <c r="AF715" s="54"/>
      <c r="AG715" s="92"/>
      <c r="AH715" s="54"/>
      <c r="AI715" s="92"/>
      <c r="AJ715" s="54"/>
      <c r="AK715" s="92"/>
      <c r="AL715" s="54"/>
      <c r="AM715" s="92"/>
      <c r="AO715" s="54"/>
      <c r="AP715" s="123"/>
      <c r="AQ715" s="54"/>
      <c r="AR715" s="154"/>
      <c r="AS715" s="1"/>
      <c r="AT715" s="1"/>
      <c r="AU715" s="9"/>
    </row>
    <row r="716">
      <c r="A716" s="54"/>
      <c r="B716" s="71" t="str">
        <f>IFERROR(HYPERLINK(VLOOKUP(A716,Internal_lists_bugs!$A$2:$C$73,3,FALSE()), VLOOKUP(A716,Internal_lists_bugs!$A$2:$C$73,3,FALSE())&amp;Char(10) &amp; Char(10) &amp; VLOOKUP(A716,Internal_lists_bugs!$A$2:$Z$73,26,FALSE())),"please select a BUG ID")</f>
        <v>please select a BUG ID</v>
      </c>
      <c r="C716" s="51" t="str">
        <f>IFERROR(VLOOKUP(A716,Internal_lists_bugs!$A$2:$G2002,7,FALSE()),"please select a BUG ID")</f>
        <v>please select a BUG ID</v>
      </c>
      <c r="D716" s="54"/>
      <c r="E716" s="56"/>
      <c r="F716" s="54"/>
      <c r="G716" s="56"/>
      <c r="H716" s="54"/>
      <c r="I716" s="56"/>
      <c r="J716" s="54"/>
      <c r="K716" s="92"/>
      <c r="L716" s="54"/>
      <c r="M716" s="92"/>
      <c r="N716" s="54"/>
      <c r="O716" s="92"/>
      <c r="P716" s="54"/>
      <c r="Q716" s="92"/>
      <c r="R716" s="54"/>
      <c r="S716" s="92"/>
      <c r="T716" s="117"/>
      <c r="U716" s="92"/>
      <c r="V716" s="54"/>
      <c r="W716" s="92"/>
      <c r="X716" s="54"/>
      <c r="Y716" s="92"/>
      <c r="Z716" s="54"/>
      <c r="AA716" s="92"/>
      <c r="AB716" s="54"/>
      <c r="AC716" s="92"/>
      <c r="AD716" s="54"/>
      <c r="AE716" s="92"/>
      <c r="AF716" s="54"/>
      <c r="AG716" s="92"/>
      <c r="AH716" s="54"/>
      <c r="AI716" s="92"/>
      <c r="AJ716" s="54"/>
      <c r="AK716" s="92"/>
      <c r="AL716" s="54"/>
      <c r="AM716" s="92"/>
      <c r="AO716" s="54"/>
      <c r="AP716" s="123"/>
      <c r="AQ716" s="54"/>
      <c r="AR716" s="154"/>
      <c r="AS716" s="1"/>
      <c r="AT716" s="1"/>
      <c r="AU716" s="9"/>
    </row>
    <row r="717">
      <c r="A717" s="54"/>
      <c r="B717" s="71" t="str">
        <f>IFERROR(HYPERLINK(VLOOKUP(A717,Internal_lists_bugs!$A$2:$C$73,3,FALSE()), VLOOKUP(A717,Internal_lists_bugs!$A$2:$C$73,3,FALSE())&amp;Char(10) &amp; Char(10) &amp; VLOOKUP(A717,Internal_lists_bugs!$A$2:$Z$73,26,FALSE())),"please select a BUG ID")</f>
        <v>please select a BUG ID</v>
      </c>
      <c r="C717" s="51" t="str">
        <f>IFERROR(VLOOKUP(A717,Internal_lists_bugs!$A$2:$G2002,7,FALSE()),"please select a BUG ID")</f>
        <v>please select a BUG ID</v>
      </c>
      <c r="D717" s="54"/>
      <c r="E717" s="56"/>
      <c r="F717" s="54"/>
      <c r="G717" s="56"/>
      <c r="H717" s="54"/>
      <c r="I717" s="56"/>
      <c r="J717" s="54"/>
      <c r="K717" s="92"/>
      <c r="L717" s="54"/>
      <c r="M717" s="92"/>
      <c r="N717" s="54"/>
      <c r="O717" s="92"/>
      <c r="P717" s="54"/>
      <c r="Q717" s="92"/>
      <c r="R717" s="54"/>
      <c r="S717" s="92"/>
      <c r="T717" s="117"/>
      <c r="U717" s="92"/>
      <c r="V717" s="54"/>
      <c r="W717" s="92"/>
      <c r="X717" s="54"/>
      <c r="Y717" s="92"/>
      <c r="Z717" s="54"/>
      <c r="AA717" s="92"/>
      <c r="AB717" s="54"/>
      <c r="AC717" s="92"/>
      <c r="AD717" s="54"/>
      <c r="AE717" s="92"/>
      <c r="AF717" s="54"/>
      <c r="AG717" s="92"/>
      <c r="AH717" s="54"/>
      <c r="AI717" s="92"/>
      <c r="AJ717" s="54"/>
      <c r="AK717" s="92"/>
      <c r="AL717" s="54"/>
      <c r="AM717" s="92"/>
      <c r="AO717" s="54"/>
      <c r="AP717" s="123"/>
      <c r="AQ717" s="54"/>
      <c r="AR717" s="154"/>
      <c r="AS717" s="1"/>
      <c r="AT717" s="1"/>
      <c r="AU717" s="9"/>
    </row>
    <row r="718">
      <c r="A718" s="54"/>
      <c r="B718" s="71" t="str">
        <f>IFERROR(HYPERLINK(VLOOKUP(A718,Internal_lists_bugs!$A$2:$C$73,3,FALSE()), VLOOKUP(A718,Internal_lists_bugs!$A$2:$C$73,3,FALSE())&amp;Char(10) &amp; Char(10) &amp; VLOOKUP(A718,Internal_lists_bugs!$A$2:$Z$73,26,FALSE())),"please select a BUG ID")</f>
        <v>please select a BUG ID</v>
      </c>
      <c r="C718" s="51" t="str">
        <f>IFERROR(VLOOKUP(A718,Internal_lists_bugs!$A$2:$G2002,7,FALSE()),"please select a BUG ID")</f>
        <v>please select a BUG ID</v>
      </c>
      <c r="D718" s="54"/>
      <c r="E718" s="56"/>
      <c r="F718" s="54"/>
      <c r="G718" s="56"/>
      <c r="H718" s="54"/>
      <c r="I718" s="56"/>
      <c r="J718" s="54"/>
      <c r="K718" s="92"/>
      <c r="L718" s="54"/>
      <c r="M718" s="92"/>
      <c r="N718" s="54"/>
      <c r="O718" s="92"/>
      <c r="P718" s="54"/>
      <c r="Q718" s="92"/>
      <c r="R718" s="54"/>
      <c r="S718" s="92"/>
      <c r="T718" s="117"/>
      <c r="U718" s="92"/>
      <c r="V718" s="54"/>
      <c r="W718" s="92"/>
      <c r="X718" s="54"/>
      <c r="Y718" s="92"/>
      <c r="Z718" s="54"/>
      <c r="AA718" s="92"/>
      <c r="AB718" s="54"/>
      <c r="AC718" s="92"/>
      <c r="AD718" s="54"/>
      <c r="AE718" s="92"/>
      <c r="AF718" s="54"/>
      <c r="AG718" s="92"/>
      <c r="AH718" s="54"/>
      <c r="AI718" s="92"/>
      <c r="AJ718" s="54"/>
      <c r="AK718" s="92"/>
      <c r="AL718" s="54"/>
      <c r="AM718" s="92"/>
      <c r="AO718" s="54"/>
      <c r="AP718" s="123"/>
      <c r="AQ718" s="54"/>
      <c r="AR718" s="154"/>
      <c r="AS718" s="1"/>
      <c r="AT718" s="1"/>
      <c r="AU718" s="9"/>
    </row>
    <row r="719">
      <c r="A719" s="54"/>
      <c r="B719" s="71" t="str">
        <f>IFERROR(HYPERLINK(VLOOKUP(A719,Internal_lists_bugs!$A$2:$C$73,3,FALSE()), VLOOKUP(A719,Internal_lists_bugs!$A$2:$C$73,3,FALSE())&amp;Char(10) &amp; Char(10) &amp; VLOOKUP(A719,Internal_lists_bugs!$A$2:$Z$73,26,FALSE())),"please select a BUG ID")</f>
        <v>please select a BUG ID</v>
      </c>
      <c r="C719" s="51" t="str">
        <f>IFERROR(VLOOKUP(A719,Internal_lists_bugs!$A$2:$G2002,7,FALSE()),"please select a BUG ID")</f>
        <v>please select a BUG ID</v>
      </c>
      <c r="D719" s="54"/>
      <c r="E719" s="56"/>
      <c r="F719" s="54"/>
      <c r="G719" s="56"/>
      <c r="H719" s="54"/>
      <c r="I719" s="56"/>
      <c r="J719" s="54"/>
      <c r="K719" s="92"/>
      <c r="L719" s="54"/>
      <c r="M719" s="92"/>
      <c r="N719" s="54"/>
      <c r="O719" s="92"/>
      <c r="P719" s="54"/>
      <c r="Q719" s="92"/>
      <c r="R719" s="54"/>
      <c r="S719" s="92"/>
      <c r="T719" s="117"/>
      <c r="U719" s="92"/>
      <c r="V719" s="54"/>
      <c r="W719" s="92"/>
      <c r="X719" s="54"/>
      <c r="Y719" s="92"/>
      <c r="Z719" s="54"/>
      <c r="AA719" s="92"/>
      <c r="AB719" s="54"/>
      <c r="AC719" s="92"/>
      <c r="AD719" s="54"/>
      <c r="AE719" s="92"/>
      <c r="AF719" s="54"/>
      <c r="AG719" s="92"/>
      <c r="AH719" s="54"/>
      <c r="AI719" s="92"/>
      <c r="AJ719" s="54"/>
      <c r="AK719" s="92"/>
      <c r="AL719" s="54"/>
      <c r="AM719" s="92"/>
      <c r="AO719" s="54"/>
      <c r="AP719" s="123"/>
      <c r="AQ719" s="54"/>
      <c r="AR719" s="154"/>
      <c r="AS719" s="1"/>
      <c r="AT719" s="1"/>
      <c r="AU719" s="9"/>
    </row>
    <row r="720">
      <c r="A720" s="54"/>
      <c r="B720" s="71" t="str">
        <f>IFERROR(HYPERLINK(VLOOKUP(A720,Internal_lists_bugs!$A$2:$C$73,3,FALSE()), VLOOKUP(A720,Internal_lists_bugs!$A$2:$C$73,3,FALSE())&amp;Char(10) &amp; Char(10) &amp; VLOOKUP(A720,Internal_lists_bugs!$A$2:$Z$73,26,FALSE())),"please select a BUG ID")</f>
        <v>please select a BUG ID</v>
      </c>
      <c r="C720" s="51" t="str">
        <f>IFERROR(VLOOKUP(A720,Internal_lists_bugs!$A$2:$G2002,7,FALSE()),"please select a BUG ID")</f>
        <v>please select a BUG ID</v>
      </c>
      <c r="D720" s="54"/>
      <c r="E720" s="56"/>
      <c r="F720" s="54"/>
      <c r="G720" s="56"/>
      <c r="H720" s="54"/>
      <c r="I720" s="56"/>
      <c r="J720" s="54"/>
      <c r="K720" s="92"/>
      <c r="L720" s="54"/>
      <c r="M720" s="92"/>
      <c r="N720" s="54"/>
      <c r="O720" s="92"/>
      <c r="P720" s="54"/>
      <c r="Q720" s="92"/>
      <c r="R720" s="54"/>
      <c r="S720" s="92"/>
      <c r="T720" s="117"/>
      <c r="U720" s="92"/>
      <c r="V720" s="54"/>
      <c r="W720" s="92"/>
      <c r="X720" s="54"/>
      <c r="Y720" s="92"/>
      <c r="Z720" s="54"/>
      <c r="AA720" s="92"/>
      <c r="AB720" s="54"/>
      <c r="AC720" s="92"/>
      <c r="AD720" s="54"/>
      <c r="AE720" s="92"/>
      <c r="AF720" s="54"/>
      <c r="AG720" s="92"/>
      <c r="AH720" s="54"/>
      <c r="AI720" s="92"/>
      <c r="AJ720" s="54"/>
      <c r="AK720" s="92"/>
      <c r="AL720" s="54"/>
      <c r="AM720" s="92"/>
      <c r="AO720" s="54"/>
      <c r="AP720" s="123"/>
      <c r="AQ720" s="54"/>
      <c r="AR720" s="154"/>
      <c r="AS720" s="1"/>
      <c r="AT720" s="1"/>
      <c r="AU720" s="9"/>
    </row>
    <row r="721">
      <c r="A721" s="54"/>
      <c r="B721" s="71" t="str">
        <f>IFERROR(HYPERLINK(VLOOKUP(A721,Internal_lists_bugs!$A$2:$C$73,3,FALSE()), VLOOKUP(A721,Internal_lists_bugs!$A$2:$C$73,3,FALSE())&amp;Char(10) &amp; Char(10) &amp; VLOOKUP(A721,Internal_lists_bugs!$A$2:$Z$73,26,FALSE())),"please select a BUG ID")</f>
        <v>please select a BUG ID</v>
      </c>
      <c r="C721" s="51" t="str">
        <f>IFERROR(VLOOKUP(A721,Internal_lists_bugs!$A$2:$G2002,7,FALSE()),"please select a BUG ID")</f>
        <v>please select a BUG ID</v>
      </c>
      <c r="D721" s="54"/>
      <c r="E721" s="56"/>
      <c r="F721" s="54"/>
      <c r="G721" s="56"/>
      <c r="H721" s="54"/>
      <c r="I721" s="56"/>
      <c r="J721" s="54"/>
      <c r="K721" s="92"/>
      <c r="L721" s="54"/>
      <c r="M721" s="92"/>
      <c r="N721" s="54"/>
      <c r="O721" s="92"/>
      <c r="P721" s="54"/>
      <c r="Q721" s="92"/>
      <c r="R721" s="54"/>
      <c r="S721" s="92"/>
      <c r="T721" s="117"/>
      <c r="U721" s="92"/>
      <c r="V721" s="54"/>
      <c r="W721" s="92"/>
      <c r="X721" s="54"/>
      <c r="Y721" s="92"/>
      <c r="Z721" s="54"/>
      <c r="AA721" s="92"/>
      <c r="AB721" s="54"/>
      <c r="AC721" s="92"/>
      <c r="AD721" s="54"/>
      <c r="AE721" s="92"/>
      <c r="AF721" s="54"/>
      <c r="AG721" s="92"/>
      <c r="AH721" s="54"/>
      <c r="AI721" s="92"/>
      <c r="AJ721" s="54"/>
      <c r="AK721" s="92"/>
      <c r="AL721" s="54"/>
      <c r="AM721" s="92"/>
      <c r="AO721" s="54"/>
      <c r="AP721" s="123"/>
      <c r="AQ721" s="54"/>
      <c r="AR721" s="154"/>
      <c r="AS721" s="1"/>
      <c r="AT721" s="1"/>
      <c r="AU721" s="9"/>
    </row>
    <row r="722">
      <c r="A722" s="54"/>
      <c r="B722" s="71" t="str">
        <f>IFERROR(HYPERLINK(VLOOKUP(A722,Internal_lists_bugs!$A$2:$C$73,3,FALSE()), VLOOKUP(A722,Internal_lists_bugs!$A$2:$C$73,3,FALSE())&amp;Char(10) &amp; Char(10) &amp; VLOOKUP(A722,Internal_lists_bugs!$A$2:$Z$73,26,FALSE())),"please select a BUG ID")</f>
        <v>please select a BUG ID</v>
      </c>
      <c r="C722" s="51" t="str">
        <f>IFERROR(VLOOKUP(A722,Internal_lists_bugs!$A$2:$G2002,7,FALSE()),"please select a BUG ID")</f>
        <v>please select a BUG ID</v>
      </c>
      <c r="D722" s="54"/>
      <c r="E722" s="56"/>
      <c r="F722" s="54"/>
      <c r="G722" s="56"/>
      <c r="H722" s="54"/>
      <c r="I722" s="56"/>
      <c r="J722" s="54"/>
      <c r="K722" s="92"/>
      <c r="L722" s="54"/>
      <c r="M722" s="92"/>
      <c r="N722" s="54"/>
      <c r="O722" s="92"/>
      <c r="P722" s="54"/>
      <c r="Q722" s="92"/>
      <c r="R722" s="54"/>
      <c r="S722" s="92"/>
      <c r="T722" s="117"/>
      <c r="U722" s="92"/>
      <c r="V722" s="54"/>
      <c r="W722" s="92"/>
      <c r="X722" s="54"/>
      <c r="Y722" s="92"/>
      <c r="Z722" s="54"/>
      <c r="AA722" s="92"/>
      <c r="AB722" s="54"/>
      <c r="AC722" s="92"/>
      <c r="AD722" s="54"/>
      <c r="AE722" s="92"/>
      <c r="AF722" s="54"/>
      <c r="AG722" s="92"/>
      <c r="AH722" s="54"/>
      <c r="AI722" s="92"/>
      <c r="AJ722" s="54"/>
      <c r="AK722" s="92"/>
      <c r="AL722" s="54"/>
      <c r="AM722" s="92"/>
      <c r="AO722" s="54"/>
      <c r="AP722" s="123"/>
      <c r="AQ722" s="54"/>
      <c r="AR722" s="154"/>
      <c r="AS722" s="1"/>
      <c r="AT722" s="1"/>
      <c r="AU722" s="9"/>
    </row>
    <row r="723">
      <c r="A723" s="54"/>
      <c r="B723" s="71" t="str">
        <f>IFERROR(HYPERLINK(VLOOKUP(A723,Internal_lists_bugs!$A$2:$C$73,3,FALSE()), VLOOKUP(A723,Internal_lists_bugs!$A$2:$C$73,3,FALSE())&amp;Char(10) &amp; Char(10) &amp; VLOOKUP(A723,Internal_lists_bugs!$A$2:$Z$73,26,FALSE())),"please select a BUG ID")</f>
        <v>please select a BUG ID</v>
      </c>
      <c r="C723" s="51" t="str">
        <f>IFERROR(VLOOKUP(A723,Internal_lists_bugs!$A$2:$G2002,7,FALSE()),"please select a BUG ID")</f>
        <v>please select a BUG ID</v>
      </c>
      <c r="D723" s="54"/>
      <c r="E723" s="56"/>
      <c r="F723" s="54"/>
      <c r="G723" s="56"/>
      <c r="H723" s="54"/>
      <c r="I723" s="56"/>
      <c r="J723" s="54"/>
      <c r="K723" s="92"/>
      <c r="L723" s="54"/>
      <c r="M723" s="92"/>
      <c r="N723" s="54"/>
      <c r="O723" s="92"/>
      <c r="P723" s="54"/>
      <c r="Q723" s="92"/>
      <c r="R723" s="54"/>
      <c r="S723" s="92"/>
      <c r="T723" s="117"/>
      <c r="U723" s="92"/>
      <c r="V723" s="54"/>
      <c r="W723" s="92"/>
      <c r="X723" s="54"/>
      <c r="Y723" s="92"/>
      <c r="Z723" s="54"/>
      <c r="AA723" s="92"/>
      <c r="AB723" s="54"/>
      <c r="AC723" s="92"/>
      <c r="AD723" s="54"/>
      <c r="AE723" s="92"/>
      <c r="AF723" s="54"/>
      <c r="AG723" s="92"/>
      <c r="AH723" s="54"/>
      <c r="AI723" s="92"/>
      <c r="AJ723" s="54"/>
      <c r="AK723" s="92"/>
      <c r="AL723" s="54"/>
      <c r="AM723" s="92"/>
      <c r="AO723" s="54"/>
      <c r="AP723" s="123"/>
      <c r="AQ723" s="54"/>
      <c r="AR723" s="154"/>
      <c r="AS723" s="1"/>
      <c r="AT723" s="1"/>
      <c r="AU723" s="9"/>
    </row>
    <row r="724">
      <c r="A724" s="54"/>
      <c r="B724" s="71" t="str">
        <f>IFERROR(HYPERLINK(VLOOKUP(A724,Internal_lists_bugs!$A$2:$C$73,3,FALSE()), VLOOKUP(A724,Internal_lists_bugs!$A$2:$C$73,3,FALSE())&amp;Char(10) &amp; Char(10) &amp; VLOOKUP(A724,Internal_lists_bugs!$A$2:$Z$73,26,FALSE())),"please select a BUG ID")</f>
        <v>please select a BUG ID</v>
      </c>
      <c r="C724" s="51" t="str">
        <f>IFERROR(VLOOKUP(A724,Internal_lists_bugs!$A$2:$G2002,7,FALSE()),"please select a BUG ID")</f>
        <v>please select a BUG ID</v>
      </c>
      <c r="D724" s="54"/>
      <c r="E724" s="56"/>
      <c r="F724" s="54"/>
      <c r="G724" s="56"/>
      <c r="H724" s="54"/>
      <c r="I724" s="56"/>
      <c r="J724" s="54"/>
      <c r="K724" s="92"/>
      <c r="L724" s="54"/>
      <c r="M724" s="92"/>
      <c r="N724" s="54"/>
      <c r="O724" s="92"/>
      <c r="P724" s="54"/>
      <c r="Q724" s="92"/>
      <c r="R724" s="54"/>
      <c r="S724" s="92"/>
      <c r="T724" s="117"/>
      <c r="U724" s="92"/>
      <c r="V724" s="54"/>
      <c r="W724" s="92"/>
      <c r="X724" s="54"/>
      <c r="Y724" s="92"/>
      <c r="Z724" s="54"/>
      <c r="AA724" s="92"/>
      <c r="AB724" s="54"/>
      <c r="AC724" s="92"/>
      <c r="AD724" s="54"/>
      <c r="AE724" s="92"/>
      <c r="AF724" s="54"/>
      <c r="AG724" s="92"/>
      <c r="AH724" s="54"/>
      <c r="AI724" s="92"/>
      <c r="AJ724" s="54"/>
      <c r="AK724" s="92"/>
      <c r="AL724" s="54"/>
      <c r="AM724" s="92"/>
      <c r="AO724" s="54"/>
      <c r="AP724" s="123"/>
      <c r="AQ724" s="54"/>
      <c r="AR724" s="154"/>
      <c r="AS724" s="1"/>
      <c r="AT724" s="1"/>
      <c r="AU724" s="9"/>
    </row>
    <row r="725">
      <c r="A725" s="54"/>
      <c r="B725" s="71" t="str">
        <f>IFERROR(HYPERLINK(VLOOKUP(A725,Internal_lists_bugs!$A$2:$C$73,3,FALSE()), VLOOKUP(A725,Internal_lists_bugs!$A$2:$C$73,3,FALSE())&amp;Char(10) &amp; Char(10) &amp; VLOOKUP(A725,Internal_lists_bugs!$A$2:$Z$73,26,FALSE())),"please select a BUG ID")</f>
        <v>please select a BUG ID</v>
      </c>
      <c r="C725" s="51" t="str">
        <f>IFERROR(VLOOKUP(A725,Internal_lists_bugs!$A$2:$G2002,7,FALSE()),"please select a BUG ID")</f>
        <v>please select a BUG ID</v>
      </c>
      <c r="D725" s="54"/>
      <c r="E725" s="56"/>
      <c r="F725" s="54"/>
      <c r="G725" s="56"/>
      <c r="H725" s="54"/>
      <c r="I725" s="56"/>
      <c r="J725" s="54"/>
      <c r="K725" s="92"/>
      <c r="L725" s="54"/>
      <c r="M725" s="92"/>
      <c r="N725" s="54"/>
      <c r="O725" s="92"/>
      <c r="P725" s="54"/>
      <c r="Q725" s="92"/>
      <c r="R725" s="54"/>
      <c r="S725" s="92"/>
      <c r="T725" s="117"/>
      <c r="U725" s="92"/>
      <c r="V725" s="54"/>
      <c r="W725" s="92"/>
      <c r="X725" s="54"/>
      <c r="Y725" s="92"/>
      <c r="Z725" s="54"/>
      <c r="AA725" s="92"/>
      <c r="AB725" s="54"/>
      <c r="AC725" s="92"/>
      <c r="AD725" s="54"/>
      <c r="AE725" s="92"/>
      <c r="AF725" s="54"/>
      <c r="AG725" s="92"/>
      <c r="AH725" s="54"/>
      <c r="AI725" s="92"/>
      <c r="AJ725" s="54"/>
      <c r="AK725" s="92"/>
      <c r="AL725" s="54"/>
      <c r="AM725" s="92"/>
      <c r="AO725" s="54"/>
      <c r="AP725" s="123"/>
      <c r="AQ725" s="54"/>
      <c r="AR725" s="154"/>
      <c r="AS725" s="1"/>
      <c r="AT725" s="1"/>
      <c r="AU725" s="9"/>
    </row>
    <row r="726">
      <c r="A726" s="54"/>
      <c r="B726" s="71" t="str">
        <f>IFERROR(HYPERLINK(VLOOKUP(A726,Internal_lists_bugs!$A$2:$C$73,3,FALSE()), VLOOKUP(A726,Internal_lists_bugs!$A$2:$C$73,3,FALSE())&amp;Char(10) &amp; Char(10) &amp; VLOOKUP(A726,Internal_lists_bugs!$A$2:$Z$73,26,FALSE())),"please select a BUG ID")</f>
        <v>please select a BUG ID</v>
      </c>
      <c r="C726" s="51" t="str">
        <f>IFERROR(VLOOKUP(A726,Internal_lists_bugs!$A$2:$G2002,7,FALSE()),"please select a BUG ID")</f>
        <v>please select a BUG ID</v>
      </c>
      <c r="D726" s="54"/>
      <c r="E726" s="56"/>
      <c r="F726" s="54"/>
      <c r="G726" s="56"/>
      <c r="H726" s="54"/>
      <c r="I726" s="56"/>
      <c r="J726" s="54"/>
      <c r="K726" s="92"/>
      <c r="L726" s="54"/>
      <c r="M726" s="92"/>
      <c r="N726" s="54"/>
      <c r="O726" s="92"/>
      <c r="P726" s="54"/>
      <c r="Q726" s="92"/>
      <c r="R726" s="54"/>
      <c r="S726" s="92"/>
      <c r="T726" s="117"/>
      <c r="U726" s="92"/>
      <c r="V726" s="54"/>
      <c r="W726" s="92"/>
      <c r="X726" s="54"/>
      <c r="Y726" s="92"/>
      <c r="Z726" s="54"/>
      <c r="AA726" s="92"/>
      <c r="AB726" s="54"/>
      <c r="AC726" s="92"/>
      <c r="AD726" s="54"/>
      <c r="AE726" s="92"/>
      <c r="AF726" s="54"/>
      <c r="AG726" s="92"/>
      <c r="AH726" s="54"/>
      <c r="AI726" s="92"/>
      <c r="AJ726" s="54"/>
      <c r="AK726" s="92"/>
      <c r="AL726" s="54"/>
      <c r="AM726" s="92"/>
      <c r="AO726" s="54"/>
      <c r="AP726" s="123"/>
      <c r="AQ726" s="54"/>
      <c r="AR726" s="154"/>
      <c r="AS726" s="1"/>
      <c r="AT726" s="1"/>
      <c r="AU726" s="9"/>
    </row>
    <row r="727">
      <c r="A727" s="54"/>
      <c r="B727" s="71" t="str">
        <f>IFERROR(HYPERLINK(VLOOKUP(A727,Internal_lists_bugs!$A$2:$C$73,3,FALSE()), VLOOKUP(A727,Internal_lists_bugs!$A$2:$C$73,3,FALSE())&amp;Char(10) &amp; Char(10) &amp; VLOOKUP(A727,Internal_lists_bugs!$A$2:$Z$73,26,FALSE())),"please select a BUG ID")</f>
        <v>please select a BUG ID</v>
      </c>
      <c r="C727" s="51" t="str">
        <f>IFERROR(VLOOKUP(A727,Internal_lists_bugs!$A$2:$G2002,7,FALSE()),"please select a BUG ID")</f>
        <v>please select a BUG ID</v>
      </c>
      <c r="D727" s="54"/>
      <c r="E727" s="56"/>
      <c r="F727" s="54"/>
      <c r="G727" s="56"/>
      <c r="H727" s="54"/>
      <c r="I727" s="56"/>
      <c r="J727" s="54"/>
      <c r="K727" s="92"/>
      <c r="L727" s="54"/>
      <c r="M727" s="92"/>
      <c r="N727" s="54"/>
      <c r="O727" s="92"/>
      <c r="P727" s="54"/>
      <c r="Q727" s="92"/>
      <c r="R727" s="54"/>
      <c r="S727" s="92"/>
      <c r="T727" s="117"/>
      <c r="U727" s="92"/>
      <c r="V727" s="54"/>
      <c r="W727" s="92"/>
      <c r="X727" s="54"/>
      <c r="Y727" s="92"/>
      <c r="Z727" s="54"/>
      <c r="AA727" s="92"/>
      <c r="AB727" s="54"/>
      <c r="AC727" s="92"/>
      <c r="AD727" s="54"/>
      <c r="AE727" s="92"/>
      <c r="AF727" s="54"/>
      <c r="AG727" s="92"/>
      <c r="AH727" s="54"/>
      <c r="AI727" s="92"/>
      <c r="AJ727" s="54"/>
      <c r="AK727" s="92"/>
      <c r="AL727" s="54"/>
      <c r="AM727" s="92"/>
      <c r="AO727" s="54"/>
      <c r="AP727" s="123"/>
      <c r="AQ727" s="54"/>
      <c r="AR727" s="154"/>
      <c r="AS727" s="1"/>
      <c r="AT727" s="1"/>
      <c r="AU727" s="9"/>
    </row>
    <row r="728">
      <c r="A728" s="54"/>
      <c r="B728" s="71" t="str">
        <f>IFERROR(HYPERLINK(VLOOKUP(A728,Internal_lists_bugs!$A$2:$C$73,3,FALSE()), VLOOKUP(A728,Internal_lists_bugs!$A$2:$C$73,3,FALSE())&amp;Char(10) &amp; Char(10) &amp; VLOOKUP(A728,Internal_lists_bugs!$A$2:$Z$73,26,FALSE())),"please select a BUG ID")</f>
        <v>please select a BUG ID</v>
      </c>
      <c r="C728" s="51" t="str">
        <f>IFERROR(VLOOKUP(A728,Internal_lists_bugs!$A$2:$G2002,7,FALSE()),"please select a BUG ID")</f>
        <v>please select a BUG ID</v>
      </c>
      <c r="D728" s="54"/>
      <c r="E728" s="56"/>
      <c r="F728" s="54"/>
      <c r="G728" s="56"/>
      <c r="H728" s="54"/>
      <c r="I728" s="56"/>
      <c r="J728" s="54"/>
      <c r="K728" s="92"/>
      <c r="L728" s="54"/>
      <c r="M728" s="92"/>
      <c r="N728" s="54"/>
      <c r="O728" s="92"/>
      <c r="P728" s="54"/>
      <c r="Q728" s="92"/>
      <c r="R728" s="54"/>
      <c r="S728" s="92"/>
      <c r="T728" s="117"/>
      <c r="U728" s="92"/>
      <c r="V728" s="54"/>
      <c r="W728" s="92"/>
      <c r="X728" s="54"/>
      <c r="Y728" s="92"/>
      <c r="Z728" s="54"/>
      <c r="AA728" s="92"/>
      <c r="AB728" s="54"/>
      <c r="AC728" s="92"/>
      <c r="AD728" s="54"/>
      <c r="AE728" s="92"/>
      <c r="AF728" s="54"/>
      <c r="AG728" s="92"/>
      <c r="AH728" s="54"/>
      <c r="AI728" s="92"/>
      <c r="AJ728" s="54"/>
      <c r="AK728" s="92"/>
      <c r="AL728" s="54"/>
      <c r="AM728" s="92"/>
      <c r="AO728" s="54"/>
      <c r="AP728" s="123"/>
      <c r="AQ728" s="54"/>
      <c r="AR728" s="154"/>
      <c r="AS728" s="1"/>
      <c r="AT728" s="1"/>
      <c r="AU728" s="9"/>
    </row>
    <row r="729">
      <c r="A729" s="54"/>
      <c r="B729" s="71" t="str">
        <f>IFERROR(HYPERLINK(VLOOKUP(A729,Internal_lists_bugs!$A$2:$C$73,3,FALSE()), VLOOKUP(A729,Internal_lists_bugs!$A$2:$C$73,3,FALSE())&amp;Char(10) &amp; Char(10) &amp; VLOOKUP(A729,Internal_lists_bugs!$A$2:$Z$73,26,FALSE())),"please select a BUG ID")</f>
        <v>please select a BUG ID</v>
      </c>
      <c r="C729" s="51" t="str">
        <f>IFERROR(VLOOKUP(A729,Internal_lists_bugs!$A$2:$G2002,7,FALSE()),"please select a BUG ID")</f>
        <v>please select a BUG ID</v>
      </c>
      <c r="D729" s="54"/>
      <c r="E729" s="56"/>
      <c r="F729" s="54"/>
      <c r="G729" s="56"/>
      <c r="H729" s="54"/>
      <c r="I729" s="56"/>
      <c r="J729" s="54"/>
      <c r="K729" s="92"/>
      <c r="L729" s="54"/>
      <c r="M729" s="92"/>
      <c r="N729" s="54"/>
      <c r="O729" s="92"/>
      <c r="P729" s="54"/>
      <c r="Q729" s="92"/>
      <c r="R729" s="54"/>
      <c r="S729" s="92"/>
      <c r="T729" s="117"/>
      <c r="U729" s="92"/>
      <c r="V729" s="54"/>
      <c r="W729" s="92"/>
      <c r="X729" s="54"/>
      <c r="Y729" s="92"/>
      <c r="Z729" s="54"/>
      <c r="AA729" s="92"/>
      <c r="AB729" s="54"/>
      <c r="AC729" s="92"/>
      <c r="AD729" s="54"/>
      <c r="AE729" s="92"/>
      <c r="AF729" s="54"/>
      <c r="AG729" s="92"/>
      <c r="AH729" s="54"/>
      <c r="AI729" s="92"/>
      <c r="AJ729" s="54"/>
      <c r="AK729" s="92"/>
      <c r="AL729" s="54"/>
      <c r="AM729" s="92"/>
      <c r="AO729" s="54"/>
      <c r="AP729" s="123"/>
      <c r="AQ729" s="54"/>
      <c r="AR729" s="154"/>
      <c r="AS729" s="1"/>
      <c r="AT729" s="1"/>
      <c r="AU729" s="9"/>
    </row>
    <row r="730">
      <c r="A730" s="54"/>
      <c r="B730" s="71" t="str">
        <f>IFERROR(HYPERLINK(VLOOKUP(A730,Internal_lists_bugs!$A$2:$C$73,3,FALSE()), VLOOKUP(A730,Internal_lists_bugs!$A$2:$C$73,3,FALSE())&amp;Char(10) &amp; Char(10) &amp; VLOOKUP(A730,Internal_lists_bugs!$A$2:$Z$73,26,FALSE())),"please select a BUG ID")</f>
        <v>please select a BUG ID</v>
      </c>
      <c r="C730" s="51" t="str">
        <f>IFERROR(VLOOKUP(A730,Internal_lists_bugs!$A$2:$G2002,7,FALSE()),"please select a BUG ID")</f>
        <v>please select a BUG ID</v>
      </c>
      <c r="D730" s="54"/>
      <c r="E730" s="56"/>
      <c r="F730" s="54"/>
      <c r="G730" s="56"/>
      <c r="H730" s="54"/>
      <c r="I730" s="56"/>
      <c r="J730" s="54"/>
      <c r="K730" s="92"/>
      <c r="L730" s="54"/>
      <c r="M730" s="92"/>
      <c r="N730" s="54"/>
      <c r="O730" s="92"/>
      <c r="P730" s="54"/>
      <c r="Q730" s="92"/>
      <c r="R730" s="54"/>
      <c r="S730" s="92"/>
      <c r="T730" s="117"/>
      <c r="U730" s="92"/>
      <c r="V730" s="54"/>
      <c r="W730" s="92"/>
      <c r="X730" s="54"/>
      <c r="Y730" s="92"/>
      <c r="Z730" s="54"/>
      <c r="AA730" s="92"/>
      <c r="AB730" s="54"/>
      <c r="AC730" s="92"/>
      <c r="AD730" s="54"/>
      <c r="AE730" s="92"/>
      <c r="AF730" s="54"/>
      <c r="AG730" s="92"/>
      <c r="AH730" s="54"/>
      <c r="AI730" s="92"/>
      <c r="AJ730" s="54"/>
      <c r="AK730" s="92"/>
      <c r="AL730" s="54"/>
      <c r="AM730" s="92"/>
      <c r="AO730" s="54"/>
      <c r="AP730" s="123"/>
      <c r="AQ730" s="54"/>
      <c r="AR730" s="154"/>
      <c r="AS730" s="1"/>
      <c r="AT730" s="1"/>
      <c r="AU730" s="9"/>
    </row>
    <row r="731">
      <c r="A731" s="54"/>
      <c r="B731" s="71" t="str">
        <f>IFERROR(HYPERLINK(VLOOKUP(A731,Internal_lists_bugs!$A$2:$C$73,3,FALSE()), VLOOKUP(A731,Internal_lists_bugs!$A$2:$C$73,3,FALSE())&amp;Char(10) &amp; Char(10) &amp; VLOOKUP(A731,Internal_lists_bugs!$A$2:$Z$73,26,FALSE())),"please select a BUG ID")</f>
        <v>please select a BUG ID</v>
      </c>
      <c r="C731" s="51" t="str">
        <f>IFERROR(VLOOKUP(A731,Internal_lists_bugs!$A$2:$G2002,7,FALSE()),"please select a BUG ID")</f>
        <v>please select a BUG ID</v>
      </c>
      <c r="D731" s="54"/>
      <c r="E731" s="56"/>
      <c r="F731" s="54"/>
      <c r="G731" s="56"/>
      <c r="H731" s="54"/>
      <c r="I731" s="56"/>
      <c r="J731" s="54"/>
      <c r="K731" s="92"/>
      <c r="L731" s="54"/>
      <c r="M731" s="92"/>
      <c r="N731" s="54"/>
      <c r="O731" s="92"/>
      <c r="P731" s="54"/>
      <c r="Q731" s="92"/>
      <c r="R731" s="54"/>
      <c r="S731" s="92"/>
      <c r="T731" s="117"/>
      <c r="U731" s="92"/>
      <c r="V731" s="54"/>
      <c r="W731" s="92"/>
      <c r="X731" s="54"/>
      <c r="Y731" s="92"/>
      <c r="Z731" s="54"/>
      <c r="AA731" s="92"/>
      <c r="AB731" s="54"/>
      <c r="AC731" s="92"/>
      <c r="AD731" s="54"/>
      <c r="AE731" s="92"/>
      <c r="AF731" s="54"/>
      <c r="AG731" s="92"/>
      <c r="AH731" s="54"/>
      <c r="AI731" s="92"/>
      <c r="AJ731" s="54"/>
      <c r="AK731" s="92"/>
      <c r="AL731" s="54"/>
      <c r="AM731" s="92"/>
      <c r="AO731" s="54"/>
      <c r="AP731" s="123"/>
      <c r="AQ731" s="54"/>
      <c r="AR731" s="154"/>
      <c r="AS731" s="1"/>
      <c r="AT731" s="1"/>
      <c r="AU731" s="9"/>
    </row>
    <row r="732">
      <c r="A732" s="54"/>
      <c r="B732" s="71" t="str">
        <f>IFERROR(HYPERLINK(VLOOKUP(A732,Internal_lists_bugs!$A$2:$C$73,3,FALSE()), VLOOKUP(A732,Internal_lists_bugs!$A$2:$C$73,3,FALSE())&amp;Char(10) &amp; Char(10) &amp; VLOOKUP(A732,Internal_lists_bugs!$A$2:$Z$73,26,FALSE())),"please select a BUG ID")</f>
        <v>please select a BUG ID</v>
      </c>
      <c r="C732" s="51" t="str">
        <f>IFERROR(VLOOKUP(A732,Internal_lists_bugs!$A$2:$G2002,7,FALSE()),"please select a BUG ID")</f>
        <v>please select a BUG ID</v>
      </c>
      <c r="D732" s="54"/>
      <c r="E732" s="56"/>
      <c r="F732" s="54"/>
      <c r="G732" s="56"/>
      <c r="H732" s="54"/>
      <c r="I732" s="56"/>
      <c r="J732" s="54"/>
      <c r="K732" s="92"/>
      <c r="L732" s="54"/>
      <c r="M732" s="92"/>
      <c r="N732" s="54"/>
      <c r="O732" s="92"/>
      <c r="P732" s="54"/>
      <c r="Q732" s="92"/>
      <c r="R732" s="54"/>
      <c r="S732" s="92"/>
      <c r="T732" s="117"/>
      <c r="U732" s="92"/>
      <c r="V732" s="54"/>
      <c r="W732" s="92"/>
      <c r="X732" s="54"/>
      <c r="Y732" s="92"/>
      <c r="Z732" s="54"/>
      <c r="AA732" s="92"/>
      <c r="AB732" s="54"/>
      <c r="AC732" s="92"/>
      <c r="AD732" s="54"/>
      <c r="AE732" s="92"/>
      <c r="AF732" s="54"/>
      <c r="AG732" s="92"/>
      <c r="AH732" s="54"/>
      <c r="AI732" s="92"/>
      <c r="AJ732" s="54"/>
      <c r="AK732" s="92"/>
      <c r="AL732" s="54"/>
      <c r="AM732" s="92"/>
      <c r="AO732" s="54"/>
      <c r="AP732" s="123"/>
      <c r="AQ732" s="54"/>
      <c r="AR732" s="154"/>
      <c r="AS732" s="1"/>
      <c r="AT732" s="1"/>
      <c r="AU732" s="9"/>
    </row>
    <row r="733">
      <c r="A733" s="54"/>
      <c r="B733" s="71" t="str">
        <f>IFERROR(HYPERLINK(VLOOKUP(A733,Internal_lists_bugs!$A$2:$C$73,3,FALSE()), VLOOKUP(A733,Internal_lists_bugs!$A$2:$C$73,3,FALSE())&amp;Char(10) &amp; Char(10) &amp; VLOOKUP(A733,Internal_lists_bugs!$A$2:$Z$73,26,FALSE())),"please select a BUG ID")</f>
        <v>please select a BUG ID</v>
      </c>
      <c r="C733" s="51" t="str">
        <f>IFERROR(VLOOKUP(A733,Internal_lists_bugs!$A$2:$G2002,7,FALSE()),"please select a BUG ID")</f>
        <v>please select a BUG ID</v>
      </c>
      <c r="D733" s="54"/>
      <c r="E733" s="56"/>
      <c r="F733" s="54"/>
      <c r="G733" s="56"/>
      <c r="H733" s="54"/>
      <c r="I733" s="56"/>
      <c r="J733" s="54"/>
      <c r="K733" s="92"/>
      <c r="L733" s="54"/>
      <c r="M733" s="92"/>
      <c r="N733" s="54"/>
      <c r="O733" s="92"/>
      <c r="P733" s="54"/>
      <c r="Q733" s="92"/>
      <c r="R733" s="54"/>
      <c r="S733" s="92"/>
      <c r="T733" s="117"/>
      <c r="U733" s="92"/>
      <c r="V733" s="54"/>
      <c r="W733" s="92"/>
      <c r="X733" s="54"/>
      <c r="Y733" s="92"/>
      <c r="Z733" s="54"/>
      <c r="AA733" s="92"/>
      <c r="AB733" s="54"/>
      <c r="AC733" s="92"/>
      <c r="AD733" s="54"/>
      <c r="AE733" s="92"/>
      <c r="AF733" s="54"/>
      <c r="AG733" s="92"/>
      <c r="AH733" s="54"/>
      <c r="AI733" s="92"/>
      <c r="AJ733" s="54"/>
      <c r="AK733" s="92"/>
      <c r="AL733" s="54"/>
      <c r="AM733" s="92"/>
      <c r="AO733" s="54"/>
      <c r="AP733" s="123"/>
      <c r="AQ733" s="54"/>
      <c r="AR733" s="154"/>
      <c r="AS733" s="1"/>
      <c r="AT733" s="1"/>
      <c r="AU733" s="9"/>
    </row>
    <row r="734">
      <c r="A734" s="54"/>
      <c r="B734" s="71" t="str">
        <f>IFERROR(HYPERLINK(VLOOKUP(A734,Internal_lists_bugs!$A$2:$C$73,3,FALSE()), VLOOKUP(A734,Internal_lists_bugs!$A$2:$C$73,3,FALSE())&amp;Char(10) &amp; Char(10) &amp; VLOOKUP(A734,Internal_lists_bugs!$A$2:$Z$73,26,FALSE())),"please select a BUG ID")</f>
        <v>please select a BUG ID</v>
      </c>
      <c r="C734" s="51" t="str">
        <f>IFERROR(VLOOKUP(A734,Internal_lists_bugs!$A$2:$G2002,7,FALSE()),"please select a BUG ID")</f>
        <v>please select a BUG ID</v>
      </c>
      <c r="D734" s="54"/>
      <c r="E734" s="56"/>
      <c r="F734" s="54"/>
      <c r="G734" s="56"/>
      <c r="H734" s="54"/>
      <c r="I734" s="56"/>
      <c r="J734" s="54"/>
      <c r="K734" s="92"/>
      <c r="L734" s="54"/>
      <c r="M734" s="92"/>
      <c r="N734" s="54"/>
      <c r="O734" s="92"/>
      <c r="P734" s="54"/>
      <c r="Q734" s="92"/>
      <c r="R734" s="54"/>
      <c r="S734" s="92"/>
      <c r="T734" s="117"/>
      <c r="U734" s="92"/>
      <c r="V734" s="54"/>
      <c r="W734" s="92"/>
      <c r="X734" s="54"/>
      <c r="Y734" s="92"/>
      <c r="Z734" s="54"/>
      <c r="AA734" s="92"/>
      <c r="AB734" s="54"/>
      <c r="AC734" s="92"/>
      <c r="AD734" s="54"/>
      <c r="AE734" s="92"/>
      <c r="AF734" s="54"/>
      <c r="AG734" s="92"/>
      <c r="AH734" s="54"/>
      <c r="AI734" s="92"/>
      <c r="AJ734" s="54"/>
      <c r="AK734" s="92"/>
      <c r="AL734" s="54"/>
      <c r="AM734" s="92"/>
      <c r="AO734" s="54"/>
      <c r="AP734" s="123"/>
      <c r="AQ734" s="54"/>
      <c r="AR734" s="154"/>
      <c r="AS734" s="1"/>
      <c r="AT734" s="1"/>
      <c r="AU734" s="9"/>
    </row>
    <row r="735">
      <c r="A735" s="54"/>
      <c r="B735" s="71" t="str">
        <f>IFERROR(HYPERLINK(VLOOKUP(A735,Internal_lists_bugs!$A$2:$C$73,3,FALSE()), VLOOKUP(A735,Internal_lists_bugs!$A$2:$C$73,3,FALSE())&amp;Char(10) &amp; Char(10) &amp; VLOOKUP(A735,Internal_lists_bugs!$A$2:$Z$73,26,FALSE())),"please select a BUG ID")</f>
        <v>please select a BUG ID</v>
      </c>
      <c r="C735" s="51" t="str">
        <f>IFERROR(VLOOKUP(A735,Internal_lists_bugs!$A$2:$G2002,7,FALSE()),"please select a BUG ID")</f>
        <v>please select a BUG ID</v>
      </c>
      <c r="D735" s="54"/>
      <c r="E735" s="56"/>
      <c r="F735" s="54"/>
      <c r="G735" s="56"/>
      <c r="H735" s="54"/>
      <c r="I735" s="56"/>
      <c r="J735" s="54"/>
      <c r="K735" s="92"/>
      <c r="L735" s="54"/>
      <c r="M735" s="92"/>
      <c r="N735" s="54"/>
      <c r="O735" s="92"/>
      <c r="P735" s="54"/>
      <c r="Q735" s="92"/>
      <c r="R735" s="54"/>
      <c r="S735" s="92"/>
      <c r="T735" s="117"/>
      <c r="U735" s="92"/>
      <c r="V735" s="54"/>
      <c r="W735" s="92"/>
      <c r="X735" s="54"/>
      <c r="Y735" s="92"/>
      <c r="Z735" s="54"/>
      <c r="AA735" s="92"/>
      <c r="AB735" s="54"/>
      <c r="AC735" s="92"/>
      <c r="AD735" s="54"/>
      <c r="AE735" s="92"/>
      <c r="AF735" s="54"/>
      <c r="AG735" s="92"/>
      <c r="AH735" s="54"/>
      <c r="AI735" s="92"/>
      <c r="AJ735" s="54"/>
      <c r="AK735" s="92"/>
      <c r="AL735" s="54"/>
      <c r="AM735" s="92"/>
      <c r="AO735" s="54"/>
      <c r="AP735" s="123"/>
      <c r="AQ735" s="54"/>
      <c r="AR735" s="154"/>
      <c r="AS735" s="1"/>
      <c r="AT735" s="1"/>
      <c r="AU735" s="9"/>
    </row>
    <row r="736">
      <c r="A736" s="54"/>
      <c r="B736" s="71" t="str">
        <f>IFERROR(HYPERLINK(VLOOKUP(A736,Internal_lists_bugs!$A$2:$C$73,3,FALSE()), VLOOKUP(A736,Internal_lists_bugs!$A$2:$C$73,3,FALSE())&amp;Char(10) &amp; Char(10) &amp; VLOOKUP(A736,Internal_lists_bugs!$A$2:$Z$73,26,FALSE())),"please select a BUG ID")</f>
        <v>please select a BUG ID</v>
      </c>
      <c r="C736" s="51" t="str">
        <f>IFERROR(VLOOKUP(A736,Internal_lists_bugs!$A$2:$G2002,7,FALSE()),"please select a BUG ID")</f>
        <v>please select a BUG ID</v>
      </c>
      <c r="D736" s="54"/>
      <c r="E736" s="56"/>
      <c r="F736" s="54"/>
      <c r="G736" s="56"/>
      <c r="H736" s="54"/>
      <c r="I736" s="56"/>
      <c r="J736" s="54"/>
      <c r="K736" s="92"/>
      <c r="L736" s="54"/>
      <c r="M736" s="92"/>
      <c r="N736" s="54"/>
      <c r="O736" s="92"/>
      <c r="P736" s="54"/>
      <c r="Q736" s="92"/>
      <c r="R736" s="54"/>
      <c r="S736" s="92"/>
      <c r="T736" s="117"/>
      <c r="U736" s="92"/>
      <c r="V736" s="54"/>
      <c r="W736" s="92"/>
      <c r="X736" s="54"/>
      <c r="Y736" s="92"/>
      <c r="Z736" s="54"/>
      <c r="AA736" s="92"/>
      <c r="AB736" s="54"/>
      <c r="AC736" s="92"/>
      <c r="AD736" s="54"/>
      <c r="AE736" s="92"/>
      <c r="AF736" s="54"/>
      <c r="AG736" s="92"/>
      <c r="AH736" s="54"/>
      <c r="AI736" s="92"/>
      <c r="AJ736" s="54"/>
      <c r="AK736" s="92"/>
      <c r="AL736" s="54"/>
      <c r="AM736" s="92"/>
      <c r="AO736" s="54"/>
      <c r="AP736" s="123"/>
      <c r="AQ736" s="54"/>
      <c r="AR736" s="154"/>
      <c r="AS736" s="1"/>
      <c r="AT736" s="1"/>
      <c r="AU736" s="9"/>
    </row>
    <row r="737">
      <c r="A737" s="54"/>
      <c r="B737" s="71" t="str">
        <f>IFERROR(HYPERLINK(VLOOKUP(A737,Internal_lists_bugs!$A$2:$C$73,3,FALSE()), VLOOKUP(A737,Internal_lists_bugs!$A$2:$C$73,3,FALSE())&amp;Char(10) &amp; Char(10) &amp; VLOOKUP(A737,Internal_lists_bugs!$A$2:$Z$73,26,FALSE())),"please select a BUG ID")</f>
        <v>please select a BUG ID</v>
      </c>
      <c r="C737" s="51" t="str">
        <f>IFERROR(VLOOKUP(A737,Internal_lists_bugs!$A$2:$G2002,7,FALSE()),"please select a BUG ID")</f>
        <v>please select a BUG ID</v>
      </c>
      <c r="D737" s="54"/>
      <c r="E737" s="56"/>
      <c r="F737" s="54"/>
      <c r="G737" s="56"/>
      <c r="H737" s="54"/>
      <c r="I737" s="56"/>
      <c r="J737" s="54"/>
      <c r="K737" s="92"/>
      <c r="L737" s="54"/>
      <c r="M737" s="92"/>
      <c r="N737" s="54"/>
      <c r="O737" s="92"/>
      <c r="P737" s="54"/>
      <c r="Q737" s="92"/>
      <c r="R737" s="54"/>
      <c r="S737" s="92"/>
      <c r="T737" s="117"/>
      <c r="U737" s="92"/>
      <c r="V737" s="54"/>
      <c r="W737" s="92"/>
      <c r="X737" s="54"/>
      <c r="Y737" s="92"/>
      <c r="Z737" s="54"/>
      <c r="AA737" s="92"/>
      <c r="AB737" s="54"/>
      <c r="AC737" s="92"/>
      <c r="AD737" s="54"/>
      <c r="AE737" s="92"/>
      <c r="AF737" s="54"/>
      <c r="AG737" s="92"/>
      <c r="AH737" s="54"/>
      <c r="AI737" s="92"/>
      <c r="AJ737" s="54"/>
      <c r="AK737" s="92"/>
      <c r="AL737" s="54"/>
      <c r="AM737" s="92"/>
      <c r="AO737" s="54"/>
      <c r="AP737" s="123"/>
      <c r="AQ737" s="54"/>
      <c r="AR737" s="154"/>
      <c r="AS737" s="1"/>
      <c r="AT737" s="1"/>
      <c r="AU737" s="9"/>
    </row>
    <row r="738">
      <c r="A738" s="54"/>
      <c r="B738" s="71" t="str">
        <f>IFERROR(HYPERLINK(VLOOKUP(A738,Internal_lists_bugs!$A$2:$C$73,3,FALSE()), VLOOKUP(A738,Internal_lists_bugs!$A$2:$C$73,3,FALSE())&amp;Char(10) &amp; Char(10) &amp; VLOOKUP(A738,Internal_lists_bugs!$A$2:$Z$73,26,FALSE())),"please select a BUG ID")</f>
        <v>please select a BUG ID</v>
      </c>
      <c r="C738" s="51" t="str">
        <f>IFERROR(VLOOKUP(A738,Internal_lists_bugs!$A$2:$G2002,7,FALSE()),"please select a BUG ID")</f>
        <v>please select a BUG ID</v>
      </c>
      <c r="D738" s="54"/>
      <c r="E738" s="56"/>
      <c r="F738" s="54"/>
      <c r="G738" s="56"/>
      <c r="H738" s="54"/>
      <c r="I738" s="56"/>
      <c r="J738" s="54"/>
      <c r="K738" s="92"/>
      <c r="L738" s="54"/>
      <c r="M738" s="92"/>
      <c r="N738" s="54"/>
      <c r="O738" s="92"/>
      <c r="P738" s="54"/>
      <c r="Q738" s="92"/>
      <c r="R738" s="54"/>
      <c r="S738" s="92"/>
      <c r="T738" s="117"/>
      <c r="U738" s="92"/>
      <c r="V738" s="54"/>
      <c r="W738" s="92"/>
      <c r="X738" s="54"/>
      <c r="Y738" s="92"/>
      <c r="Z738" s="54"/>
      <c r="AA738" s="92"/>
      <c r="AB738" s="54"/>
      <c r="AC738" s="92"/>
      <c r="AD738" s="54"/>
      <c r="AE738" s="92"/>
      <c r="AF738" s="54"/>
      <c r="AG738" s="92"/>
      <c r="AH738" s="54"/>
      <c r="AI738" s="92"/>
      <c r="AJ738" s="54"/>
      <c r="AK738" s="92"/>
      <c r="AL738" s="54"/>
      <c r="AM738" s="92"/>
      <c r="AO738" s="54"/>
      <c r="AP738" s="123"/>
      <c r="AQ738" s="54"/>
      <c r="AR738" s="154"/>
      <c r="AS738" s="1"/>
      <c r="AT738" s="1"/>
      <c r="AU738" s="9"/>
    </row>
    <row r="739">
      <c r="A739" s="54"/>
      <c r="B739" s="71" t="str">
        <f>IFERROR(HYPERLINK(VLOOKUP(A739,Internal_lists_bugs!$A$2:$C$73,3,FALSE()), VLOOKUP(A739,Internal_lists_bugs!$A$2:$C$73,3,FALSE())&amp;Char(10) &amp; Char(10) &amp; VLOOKUP(A739,Internal_lists_bugs!$A$2:$Z$73,26,FALSE())),"please select a BUG ID")</f>
        <v>please select a BUG ID</v>
      </c>
      <c r="C739" s="51" t="str">
        <f>IFERROR(VLOOKUP(A739,Internal_lists_bugs!$A$2:$G2002,7,FALSE()),"please select a BUG ID")</f>
        <v>please select a BUG ID</v>
      </c>
      <c r="D739" s="54"/>
      <c r="E739" s="56"/>
      <c r="F739" s="54"/>
      <c r="G739" s="56"/>
      <c r="H739" s="54"/>
      <c r="I739" s="56"/>
      <c r="J739" s="54"/>
      <c r="K739" s="92"/>
      <c r="L739" s="54"/>
      <c r="M739" s="92"/>
      <c r="N739" s="54"/>
      <c r="O739" s="92"/>
      <c r="P739" s="54"/>
      <c r="Q739" s="92"/>
      <c r="R739" s="54"/>
      <c r="S739" s="92"/>
      <c r="T739" s="117"/>
      <c r="U739" s="92"/>
      <c r="V739" s="54"/>
      <c r="W739" s="92"/>
      <c r="X739" s="54"/>
      <c r="Y739" s="92"/>
      <c r="Z739" s="54"/>
      <c r="AA739" s="92"/>
      <c r="AB739" s="54"/>
      <c r="AC739" s="92"/>
      <c r="AD739" s="54"/>
      <c r="AE739" s="92"/>
      <c r="AF739" s="54"/>
      <c r="AG739" s="92"/>
      <c r="AH739" s="54"/>
      <c r="AI739" s="92"/>
      <c r="AJ739" s="54"/>
      <c r="AK739" s="92"/>
      <c r="AL739" s="54"/>
      <c r="AM739" s="92"/>
      <c r="AO739" s="54"/>
      <c r="AP739" s="123"/>
      <c r="AQ739" s="54"/>
      <c r="AR739" s="154"/>
      <c r="AS739" s="1"/>
      <c r="AT739" s="1"/>
      <c r="AU739" s="9"/>
    </row>
    <row r="740">
      <c r="A740" s="54"/>
      <c r="B740" s="71" t="str">
        <f>IFERROR(HYPERLINK(VLOOKUP(A740,Internal_lists_bugs!$A$2:$C$73,3,FALSE()), VLOOKUP(A740,Internal_lists_bugs!$A$2:$C$73,3,FALSE())&amp;Char(10) &amp; Char(10) &amp; VLOOKUP(A740,Internal_lists_bugs!$A$2:$Z$73,26,FALSE())),"please select a BUG ID")</f>
        <v>please select a BUG ID</v>
      </c>
      <c r="C740" s="51" t="str">
        <f>IFERROR(VLOOKUP(A740,Internal_lists_bugs!$A$2:$G2002,7,FALSE()),"please select a BUG ID")</f>
        <v>please select a BUG ID</v>
      </c>
      <c r="D740" s="54"/>
      <c r="E740" s="56"/>
      <c r="F740" s="54"/>
      <c r="G740" s="56"/>
      <c r="H740" s="54"/>
      <c r="I740" s="56"/>
      <c r="J740" s="54"/>
      <c r="K740" s="92"/>
      <c r="L740" s="54"/>
      <c r="M740" s="92"/>
      <c r="N740" s="54"/>
      <c r="O740" s="92"/>
      <c r="P740" s="54"/>
      <c r="Q740" s="92"/>
      <c r="R740" s="54"/>
      <c r="S740" s="92"/>
      <c r="T740" s="117"/>
      <c r="U740" s="92"/>
      <c r="V740" s="54"/>
      <c r="W740" s="92"/>
      <c r="X740" s="54"/>
      <c r="Y740" s="92"/>
      <c r="Z740" s="54"/>
      <c r="AA740" s="92"/>
      <c r="AB740" s="54"/>
      <c r="AC740" s="92"/>
      <c r="AD740" s="54"/>
      <c r="AE740" s="92"/>
      <c r="AF740" s="54"/>
      <c r="AG740" s="92"/>
      <c r="AH740" s="54"/>
      <c r="AI740" s="92"/>
      <c r="AJ740" s="54"/>
      <c r="AK740" s="92"/>
      <c r="AL740" s="54"/>
      <c r="AM740" s="92"/>
      <c r="AO740" s="54"/>
      <c r="AP740" s="123"/>
      <c r="AQ740" s="54"/>
      <c r="AR740" s="154"/>
      <c r="AS740" s="1"/>
      <c r="AT740" s="1"/>
      <c r="AU740" s="9"/>
    </row>
    <row r="741">
      <c r="A741" s="54"/>
      <c r="B741" s="71" t="str">
        <f>IFERROR(HYPERLINK(VLOOKUP(A741,Internal_lists_bugs!$A$2:$C$73,3,FALSE()), VLOOKUP(A741,Internal_lists_bugs!$A$2:$C$73,3,FALSE())&amp;Char(10) &amp; Char(10) &amp; VLOOKUP(A741,Internal_lists_bugs!$A$2:$Z$73,26,FALSE())),"please select a BUG ID")</f>
        <v>please select a BUG ID</v>
      </c>
      <c r="C741" s="51" t="str">
        <f>IFERROR(VLOOKUP(A741,Internal_lists_bugs!$A$2:$G2002,7,FALSE()),"please select a BUG ID")</f>
        <v>please select a BUG ID</v>
      </c>
      <c r="D741" s="54"/>
      <c r="E741" s="56"/>
      <c r="F741" s="54"/>
      <c r="G741" s="56"/>
      <c r="H741" s="54"/>
      <c r="I741" s="56"/>
      <c r="J741" s="54"/>
      <c r="K741" s="92"/>
      <c r="L741" s="54"/>
      <c r="M741" s="92"/>
      <c r="N741" s="54"/>
      <c r="O741" s="92"/>
      <c r="P741" s="54"/>
      <c r="Q741" s="92"/>
      <c r="R741" s="54"/>
      <c r="S741" s="92"/>
      <c r="T741" s="117"/>
      <c r="U741" s="92"/>
      <c r="V741" s="54"/>
      <c r="W741" s="92"/>
      <c r="X741" s="54"/>
      <c r="Y741" s="92"/>
      <c r="Z741" s="54"/>
      <c r="AA741" s="92"/>
      <c r="AB741" s="54"/>
      <c r="AC741" s="92"/>
      <c r="AD741" s="54"/>
      <c r="AE741" s="92"/>
      <c r="AF741" s="54"/>
      <c r="AG741" s="92"/>
      <c r="AH741" s="54"/>
      <c r="AI741" s="92"/>
      <c r="AJ741" s="54"/>
      <c r="AK741" s="92"/>
      <c r="AL741" s="54"/>
      <c r="AM741" s="92"/>
      <c r="AO741" s="54"/>
      <c r="AP741" s="123"/>
      <c r="AQ741" s="54"/>
      <c r="AR741" s="154"/>
      <c r="AS741" s="1"/>
      <c r="AT741" s="1"/>
      <c r="AU741" s="9"/>
    </row>
    <row r="742">
      <c r="A742" s="54"/>
      <c r="B742" s="71" t="str">
        <f>IFERROR(HYPERLINK(VLOOKUP(A742,Internal_lists_bugs!$A$2:$C$73,3,FALSE()), VLOOKUP(A742,Internal_lists_bugs!$A$2:$C$73,3,FALSE())&amp;Char(10) &amp; Char(10) &amp; VLOOKUP(A742,Internal_lists_bugs!$A$2:$Z$73,26,FALSE())),"please select a BUG ID")</f>
        <v>please select a BUG ID</v>
      </c>
      <c r="C742" s="51" t="str">
        <f>IFERROR(VLOOKUP(A742,Internal_lists_bugs!$A$2:$G2002,7,FALSE()),"please select a BUG ID")</f>
        <v>please select a BUG ID</v>
      </c>
      <c r="D742" s="54"/>
      <c r="E742" s="56"/>
      <c r="F742" s="54"/>
      <c r="G742" s="56"/>
      <c r="H742" s="54"/>
      <c r="I742" s="56"/>
      <c r="J742" s="54"/>
      <c r="K742" s="92"/>
      <c r="L742" s="54"/>
      <c r="M742" s="92"/>
      <c r="N742" s="54"/>
      <c r="O742" s="92"/>
      <c r="P742" s="54"/>
      <c r="Q742" s="92"/>
      <c r="R742" s="54"/>
      <c r="S742" s="92"/>
      <c r="T742" s="117"/>
      <c r="U742" s="92"/>
      <c r="V742" s="54"/>
      <c r="W742" s="92"/>
      <c r="X742" s="54"/>
      <c r="Y742" s="92"/>
      <c r="Z742" s="54"/>
      <c r="AA742" s="92"/>
      <c r="AB742" s="54"/>
      <c r="AC742" s="92"/>
      <c r="AD742" s="54"/>
      <c r="AE742" s="92"/>
      <c r="AF742" s="54"/>
      <c r="AG742" s="92"/>
      <c r="AH742" s="54"/>
      <c r="AI742" s="92"/>
      <c r="AJ742" s="54"/>
      <c r="AK742" s="92"/>
      <c r="AL742" s="54"/>
      <c r="AM742" s="92"/>
      <c r="AO742" s="54"/>
      <c r="AP742" s="123"/>
      <c r="AQ742" s="54"/>
      <c r="AR742" s="154"/>
      <c r="AS742" s="1"/>
      <c r="AT742" s="1"/>
      <c r="AU742" s="9"/>
    </row>
    <row r="743">
      <c r="A743" s="54"/>
      <c r="B743" s="71" t="str">
        <f>IFERROR(HYPERLINK(VLOOKUP(A743,Internal_lists_bugs!$A$2:$C$73,3,FALSE()), VLOOKUP(A743,Internal_lists_bugs!$A$2:$C$73,3,FALSE())&amp;Char(10) &amp; Char(10) &amp; VLOOKUP(A743,Internal_lists_bugs!$A$2:$Z$73,26,FALSE())),"please select a BUG ID")</f>
        <v>please select a BUG ID</v>
      </c>
      <c r="C743" s="51" t="str">
        <f>IFERROR(VLOOKUP(A743,Internal_lists_bugs!$A$2:$G2002,7,FALSE()),"please select a BUG ID")</f>
        <v>please select a BUG ID</v>
      </c>
      <c r="D743" s="54"/>
      <c r="E743" s="56"/>
      <c r="F743" s="54"/>
      <c r="G743" s="56"/>
      <c r="H743" s="54"/>
      <c r="I743" s="56"/>
      <c r="J743" s="54"/>
      <c r="K743" s="92"/>
      <c r="L743" s="54"/>
      <c r="M743" s="92"/>
      <c r="N743" s="54"/>
      <c r="O743" s="92"/>
      <c r="P743" s="54"/>
      <c r="Q743" s="92"/>
      <c r="R743" s="54"/>
      <c r="S743" s="92"/>
      <c r="T743" s="117"/>
      <c r="U743" s="92"/>
      <c r="V743" s="54"/>
      <c r="W743" s="92"/>
      <c r="X743" s="54"/>
      <c r="Y743" s="92"/>
      <c r="Z743" s="54"/>
      <c r="AA743" s="92"/>
      <c r="AB743" s="54"/>
      <c r="AC743" s="92"/>
      <c r="AD743" s="54"/>
      <c r="AE743" s="92"/>
      <c r="AF743" s="54"/>
      <c r="AG743" s="92"/>
      <c r="AH743" s="54"/>
      <c r="AI743" s="92"/>
      <c r="AJ743" s="54"/>
      <c r="AK743" s="92"/>
      <c r="AL743" s="54"/>
      <c r="AM743" s="92"/>
      <c r="AO743" s="54"/>
      <c r="AP743" s="123"/>
      <c r="AQ743" s="54"/>
      <c r="AR743" s="154"/>
      <c r="AS743" s="1"/>
      <c r="AT743" s="1"/>
      <c r="AU743" s="9"/>
    </row>
    <row r="744">
      <c r="A744" s="54"/>
      <c r="B744" s="71" t="str">
        <f>IFERROR(HYPERLINK(VLOOKUP(A744,Internal_lists_bugs!$A$2:$C$73,3,FALSE()), VLOOKUP(A744,Internal_lists_bugs!$A$2:$C$73,3,FALSE())&amp;Char(10) &amp; Char(10) &amp; VLOOKUP(A744,Internal_lists_bugs!$A$2:$Z$73,26,FALSE())),"please select a BUG ID")</f>
        <v>please select a BUG ID</v>
      </c>
      <c r="C744" s="51" t="str">
        <f>IFERROR(VLOOKUP(A744,Internal_lists_bugs!$A$2:$G2002,7,FALSE()),"please select a BUG ID")</f>
        <v>please select a BUG ID</v>
      </c>
      <c r="D744" s="54"/>
      <c r="E744" s="56"/>
      <c r="F744" s="54"/>
      <c r="G744" s="56"/>
      <c r="H744" s="54"/>
      <c r="I744" s="56"/>
      <c r="J744" s="54"/>
      <c r="K744" s="92"/>
      <c r="L744" s="54"/>
      <c r="M744" s="92"/>
      <c r="N744" s="54"/>
      <c r="O744" s="92"/>
      <c r="P744" s="54"/>
      <c r="Q744" s="92"/>
      <c r="R744" s="54"/>
      <c r="S744" s="92"/>
      <c r="T744" s="117"/>
      <c r="U744" s="92"/>
      <c r="V744" s="54"/>
      <c r="W744" s="92"/>
      <c r="X744" s="54"/>
      <c r="Y744" s="92"/>
      <c r="Z744" s="54"/>
      <c r="AA744" s="92"/>
      <c r="AB744" s="54"/>
      <c r="AC744" s="92"/>
      <c r="AD744" s="54"/>
      <c r="AE744" s="92"/>
      <c r="AF744" s="54"/>
      <c r="AG744" s="92"/>
      <c r="AH744" s="54"/>
      <c r="AI744" s="92"/>
      <c r="AJ744" s="54"/>
      <c r="AK744" s="92"/>
      <c r="AL744" s="54"/>
      <c r="AM744" s="92"/>
      <c r="AO744" s="54"/>
      <c r="AP744" s="123"/>
      <c r="AQ744" s="54"/>
      <c r="AR744" s="154"/>
      <c r="AS744" s="1"/>
      <c r="AT744" s="1"/>
      <c r="AU744" s="9"/>
    </row>
    <row r="745">
      <c r="A745" s="54"/>
      <c r="B745" s="71" t="str">
        <f>IFERROR(HYPERLINK(VLOOKUP(A745,Internal_lists_bugs!$A$2:$C$73,3,FALSE()), VLOOKUP(A745,Internal_lists_bugs!$A$2:$C$73,3,FALSE())&amp;Char(10) &amp; Char(10) &amp; VLOOKUP(A745,Internal_lists_bugs!$A$2:$Z$73,26,FALSE())),"please select a BUG ID")</f>
        <v>please select a BUG ID</v>
      </c>
      <c r="C745" s="51" t="str">
        <f>IFERROR(VLOOKUP(A745,Internal_lists_bugs!$A$2:$G2002,7,FALSE()),"please select a BUG ID")</f>
        <v>please select a BUG ID</v>
      </c>
      <c r="D745" s="54"/>
      <c r="E745" s="56"/>
      <c r="F745" s="54"/>
      <c r="G745" s="56"/>
      <c r="H745" s="54"/>
      <c r="I745" s="56"/>
      <c r="J745" s="54"/>
      <c r="K745" s="92"/>
      <c r="L745" s="54"/>
      <c r="M745" s="92"/>
      <c r="N745" s="54"/>
      <c r="O745" s="92"/>
      <c r="P745" s="54"/>
      <c r="Q745" s="92"/>
      <c r="R745" s="54"/>
      <c r="S745" s="92"/>
      <c r="T745" s="117"/>
      <c r="U745" s="92"/>
      <c r="V745" s="54"/>
      <c r="W745" s="92"/>
      <c r="X745" s="54"/>
      <c r="Y745" s="92"/>
      <c r="Z745" s="54"/>
      <c r="AA745" s="92"/>
      <c r="AB745" s="54"/>
      <c r="AC745" s="92"/>
      <c r="AD745" s="54"/>
      <c r="AE745" s="92"/>
      <c r="AF745" s="54"/>
      <c r="AG745" s="92"/>
      <c r="AH745" s="54"/>
      <c r="AI745" s="92"/>
      <c r="AJ745" s="54"/>
      <c r="AK745" s="92"/>
      <c r="AL745" s="54"/>
      <c r="AM745" s="92"/>
      <c r="AO745" s="54"/>
      <c r="AP745" s="123"/>
      <c r="AQ745" s="54"/>
      <c r="AR745" s="154"/>
      <c r="AS745" s="1"/>
      <c r="AT745" s="1"/>
      <c r="AU745" s="9"/>
    </row>
    <row r="746">
      <c r="A746" s="54"/>
      <c r="B746" s="71" t="str">
        <f>IFERROR(HYPERLINK(VLOOKUP(A746,Internal_lists_bugs!$A$2:$C$73,3,FALSE()), VLOOKUP(A746,Internal_lists_bugs!$A$2:$C$73,3,FALSE())&amp;Char(10) &amp; Char(10) &amp; VLOOKUP(A746,Internal_lists_bugs!$A$2:$Z$73,26,FALSE())),"please select a BUG ID")</f>
        <v>please select a BUG ID</v>
      </c>
      <c r="C746" s="51" t="str">
        <f>IFERROR(VLOOKUP(A746,Internal_lists_bugs!$A$2:$G2002,7,FALSE()),"please select a BUG ID")</f>
        <v>please select a BUG ID</v>
      </c>
      <c r="D746" s="54"/>
      <c r="E746" s="56"/>
      <c r="F746" s="54"/>
      <c r="G746" s="56"/>
      <c r="H746" s="54"/>
      <c r="I746" s="56"/>
      <c r="J746" s="54"/>
      <c r="K746" s="92"/>
      <c r="L746" s="54"/>
      <c r="M746" s="92"/>
      <c r="N746" s="54"/>
      <c r="O746" s="92"/>
      <c r="P746" s="54"/>
      <c r="Q746" s="92"/>
      <c r="R746" s="54"/>
      <c r="S746" s="92"/>
      <c r="T746" s="117"/>
      <c r="U746" s="92"/>
      <c r="V746" s="54"/>
      <c r="W746" s="92"/>
      <c r="X746" s="54"/>
      <c r="Y746" s="92"/>
      <c r="Z746" s="54"/>
      <c r="AA746" s="92"/>
      <c r="AB746" s="54"/>
      <c r="AC746" s="92"/>
      <c r="AD746" s="54"/>
      <c r="AE746" s="92"/>
      <c r="AF746" s="54"/>
      <c r="AG746" s="92"/>
      <c r="AH746" s="54"/>
      <c r="AI746" s="92"/>
      <c r="AJ746" s="54"/>
      <c r="AK746" s="92"/>
      <c r="AL746" s="54"/>
      <c r="AM746" s="92"/>
      <c r="AO746" s="54"/>
      <c r="AP746" s="123"/>
      <c r="AQ746" s="54"/>
      <c r="AR746" s="154"/>
      <c r="AS746" s="1"/>
      <c r="AT746" s="1"/>
      <c r="AU746" s="9"/>
    </row>
    <row r="747">
      <c r="A747" s="54"/>
      <c r="B747" s="71" t="str">
        <f>IFERROR(HYPERLINK(VLOOKUP(A747,Internal_lists_bugs!$A$2:$C$73,3,FALSE()), VLOOKUP(A747,Internal_lists_bugs!$A$2:$C$73,3,FALSE())&amp;Char(10) &amp; Char(10) &amp; VLOOKUP(A747,Internal_lists_bugs!$A$2:$Z$73,26,FALSE())),"please select a BUG ID")</f>
        <v>please select a BUG ID</v>
      </c>
      <c r="C747" s="51" t="str">
        <f>IFERROR(VLOOKUP(A747,Internal_lists_bugs!$A$2:$G2002,7,FALSE()),"please select a BUG ID")</f>
        <v>please select a BUG ID</v>
      </c>
      <c r="D747" s="54"/>
      <c r="E747" s="56"/>
      <c r="F747" s="54"/>
      <c r="G747" s="56"/>
      <c r="H747" s="54"/>
      <c r="I747" s="56"/>
      <c r="J747" s="54"/>
      <c r="K747" s="92"/>
      <c r="L747" s="54"/>
      <c r="M747" s="92"/>
      <c r="N747" s="54"/>
      <c r="O747" s="92"/>
      <c r="P747" s="54"/>
      <c r="Q747" s="92"/>
      <c r="R747" s="54"/>
      <c r="S747" s="92"/>
      <c r="T747" s="117"/>
      <c r="U747" s="92"/>
      <c r="V747" s="54"/>
      <c r="W747" s="92"/>
      <c r="X747" s="54"/>
      <c r="Y747" s="92"/>
      <c r="Z747" s="54"/>
      <c r="AA747" s="92"/>
      <c r="AB747" s="54"/>
      <c r="AC747" s="92"/>
      <c r="AD747" s="54"/>
      <c r="AE747" s="92"/>
      <c r="AF747" s="54"/>
      <c r="AG747" s="92"/>
      <c r="AH747" s="54"/>
      <c r="AI747" s="92"/>
      <c r="AJ747" s="54"/>
      <c r="AK747" s="92"/>
      <c r="AL747" s="54"/>
      <c r="AM747" s="92"/>
      <c r="AO747" s="54"/>
      <c r="AP747" s="123"/>
      <c r="AQ747" s="54"/>
      <c r="AR747" s="154"/>
      <c r="AS747" s="1"/>
      <c r="AT747" s="1"/>
      <c r="AU747" s="9"/>
    </row>
    <row r="748">
      <c r="A748" s="54"/>
      <c r="B748" s="71" t="str">
        <f>IFERROR(HYPERLINK(VLOOKUP(A748,Internal_lists_bugs!$A$2:$C$73,3,FALSE()), VLOOKUP(A748,Internal_lists_bugs!$A$2:$C$73,3,FALSE())&amp;Char(10) &amp; Char(10) &amp; VLOOKUP(A748,Internal_lists_bugs!$A$2:$Z$73,26,FALSE())),"please select a BUG ID")</f>
        <v>please select a BUG ID</v>
      </c>
      <c r="C748" s="51" t="str">
        <f>IFERROR(VLOOKUP(A748,Internal_lists_bugs!$A$2:$G2002,7,FALSE()),"please select a BUG ID")</f>
        <v>please select a BUG ID</v>
      </c>
      <c r="D748" s="54"/>
      <c r="E748" s="56"/>
      <c r="F748" s="54"/>
      <c r="G748" s="56"/>
      <c r="H748" s="54"/>
      <c r="I748" s="56"/>
      <c r="J748" s="54"/>
      <c r="K748" s="92"/>
      <c r="L748" s="54"/>
      <c r="M748" s="92"/>
      <c r="N748" s="54"/>
      <c r="O748" s="92"/>
      <c r="P748" s="54"/>
      <c r="Q748" s="92"/>
      <c r="R748" s="54"/>
      <c r="S748" s="92"/>
      <c r="T748" s="117"/>
      <c r="U748" s="92"/>
      <c r="V748" s="54"/>
      <c r="W748" s="92"/>
      <c r="X748" s="54"/>
      <c r="Y748" s="92"/>
      <c r="Z748" s="54"/>
      <c r="AA748" s="92"/>
      <c r="AB748" s="54"/>
      <c r="AC748" s="92"/>
      <c r="AD748" s="54"/>
      <c r="AE748" s="92"/>
      <c r="AF748" s="54"/>
      <c r="AG748" s="92"/>
      <c r="AH748" s="54"/>
      <c r="AI748" s="92"/>
      <c r="AJ748" s="54"/>
      <c r="AK748" s="92"/>
      <c r="AL748" s="54"/>
      <c r="AM748" s="92"/>
      <c r="AO748" s="54"/>
      <c r="AP748" s="123"/>
      <c r="AQ748" s="54"/>
      <c r="AR748" s="154"/>
      <c r="AS748" s="1"/>
      <c r="AT748" s="1"/>
      <c r="AU748" s="9"/>
    </row>
    <row r="749">
      <c r="A749" s="54"/>
      <c r="B749" s="71" t="str">
        <f>IFERROR(HYPERLINK(VLOOKUP(A749,Internal_lists_bugs!$A$2:$C$73,3,FALSE()), VLOOKUP(A749,Internal_lists_bugs!$A$2:$C$73,3,FALSE())&amp;Char(10) &amp; Char(10) &amp; VLOOKUP(A749,Internal_lists_bugs!$A$2:$Z$73,26,FALSE())),"please select a BUG ID")</f>
        <v>please select a BUG ID</v>
      </c>
      <c r="C749" s="51" t="str">
        <f>IFERROR(VLOOKUP(A749,Internal_lists_bugs!$A$2:$G2002,7,FALSE()),"please select a BUG ID")</f>
        <v>please select a BUG ID</v>
      </c>
      <c r="D749" s="54"/>
      <c r="E749" s="56"/>
      <c r="F749" s="54"/>
      <c r="G749" s="56"/>
      <c r="H749" s="54"/>
      <c r="I749" s="56"/>
      <c r="J749" s="54"/>
      <c r="K749" s="92"/>
      <c r="L749" s="54"/>
      <c r="M749" s="92"/>
      <c r="N749" s="54"/>
      <c r="O749" s="92"/>
      <c r="P749" s="54"/>
      <c r="Q749" s="92"/>
      <c r="R749" s="54"/>
      <c r="S749" s="92"/>
      <c r="T749" s="117"/>
      <c r="U749" s="92"/>
      <c r="V749" s="54"/>
      <c r="W749" s="92"/>
      <c r="X749" s="54"/>
      <c r="Y749" s="92"/>
      <c r="Z749" s="54"/>
      <c r="AA749" s="92"/>
      <c r="AB749" s="54"/>
      <c r="AC749" s="92"/>
      <c r="AD749" s="54"/>
      <c r="AE749" s="92"/>
      <c r="AF749" s="54"/>
      <c r="AG749" s="92"/>
      <c r="AH749" s="54"/>
      <c r="AI749" s="92"/>
      <c r="AJ749" s="54"/>
      <c r="AK749" s="92"/>
      <c r="AL749" s="54"/>
      <c r="AM749" s="92"/>
      <c r="AO749" s="54"/>
      <c r="AP749" s="123"/>
      <c r="AQ749" s="54"/>
      <c r="AR749" s="154"/>
      <c r="AS749" s="1"/>
      <c r="AT749" s="1"/>
      <c r="AU749" s="9"/>
    </row>
    <row r="750">
      <c r="A750" s="54"/>
      <c r="B750" s="71" t="str">
        <f>IFERROR(HYPERLINK(VLOOKUP(A750,Internal_lists_bugs!$A$2:$C$73,3,FALSE()), VLOOKUP(A750,Internal_lists_bugs!$A$2:$C$73,3,FALSE())&amp;Char(10) &amp; Char(10) &amp; VLOOKUP(A750,Internal_lists_bugs!$A$2:$Z$73,26,FALSE())),"please select a BUG ID")</f>
        <v>please select a BUG ID</v>
      </c>
      <c r="C750" s="51" t="str">
        <f>IFERROR(VLOOKUP(A750,Internal_lists_bugs!$A$2:$G2002,7,FALSE()),"please select a BUG ID")</f>
        <v>please select a BUG ID</v>
      </c>
      <c r="D750" s="54"/>
      <c r="E750" s="56"/>
      <c r="F750" s="54"/>
      <c r="G750" s="56"/>
      <c r="H750" s="54"/>
      <c r="I750" s="56"/>
      <c r="J750" s="54"/>
      <c r="K750" s="92"/>
      <c r="L750" s="54"/>
      <c r="M750" s="92"/>
      <c r="N750" s="54"/>
      <c r="O750" s="92"/>
      <c r="P750" s="54"/>
      <c r="Q750" s="92"/>
      <c r="R750" s="54"/>
      <c r="S750" s="92"/>
      <c r="T750" s="117"/>
      <c r="U750" s="92"/>
      <c r="V750" s="54"/>
      <c r="W750" s="92"/>
      <c r="X750" s="54"/>
      <c r="Y750" s="92"/>
      <c r="Z750" s="54"/>
      <c r="AA750" s="92"/>
      <c r="AB750" s="54"/>
      <c r="AC750" s="92"/>
      <c r="AD750" s="54"/>
      <c r="AE750" s="92"/>
      <c r="AF750" s="54"/>
      <c r="AG750" s="92"/>
      <c r="AH750" s="54"/>
      <c r="AI750" s="92"/>
      <c r="AJ750" s="54"/>
      <c r="AK750" s="92"/>
      <c r="AL750" s="54"/>
      <c r="AM750" s="92"/>
      <c r="AO750" s="54"/>
      <c r="AP750" s="123"/>
      <c r="AQ750" s="54"/>
      <c r="AR750" s="154"/>
      <c r="AS750" s="1"/>
      <c r="AT750" s="1"/>
      <c r="AU750" s="9"/>
    </row>
    <row r="751">
      <c r="A751" s="54"/>
      <c r="B751" s="71" t="str">
        <f>IFERROR(HYPERLINK(VLOOKUP(A751,Internal_lists_bugs!$A$2:$C$73,3,FALSE()), VLOOKUP(A751,Internal_lists_bugs!$A$2:$C$73,3,FALSE())&amp;Char(10) &amp; Char(10) &amp; VLOOKUP(A751,Internal_lists_bugs!$A$2:$Z$73,26,FALSE())),"please select a BUG ID")</f>
        <v>please select a BUG ID</v>
      </c>
      <c r="C751" s="51" t="str">
        <f>IFERROR(VLOOKUP(A751,Internal_lists_bugs!$A$2:$G2002,7,FALSE()),"please select a BUG ID")</f>
        <v>please select a BUG ID</v>
      </c>
      <c r="D751" s="54"/>
      <c r="E751" s="56"/>
      <c r="F751" s="54"/>
      <c r="G751" s="56"/>
      <c r="H751" s="54"/>
      <c r="I751" s="56"/>
      <c r="J751" s="54"/>
      <c r="K751" s="92"/>
      <c r="L751" s="54"/>
      <c r="M751" s="92"/>
      <c r="N751" s="54"/>
      <c r="O751" s="92"/>
      <c r="P751" s="54"/>
      <c r="Q751" s="92"/>
      <c r="R751" s="54"/>
      <c r="S751" s="92"/>
      <c r="T751" s="117"/>
      <c r="U751" s="92"/>
      <c r="V751" s="54"/>
      <c r="W751" s="92"/>
      <c r="X751" s="54"/>
      <c r="Y751" s="92"/>
      <c r="Z751" s="54"/>
      <c r="AA751" s="92"/>
      <c r="AB751" s="54"/>
      <c r="AC751" s="92"/>
      <c r="AD751" s="54"/>
      <c r="AE751" s="92"/>
      <c r="AF751" s="54"/>
      <c r="AG751" s="92"/>
      <c r="AH751" s="54"/>
      <c r="AI751" s="92"/>
      <c r="AJ751" s="54"/>
      <c r="AK751" s="92"/>
      <c r="AL751" s="54"/>
      <c r="AM751" s="92"/>
      <c r="AO751" s="54"/>
      <c r="AP751" s="123"/>
      <c r="AQ751" s="54"/>
      <c r="AR751" s="154"/>
      <c r="AS751" s="1"/>
      <c r="AT751" s="1"/>
      <c r="AU751" s="9"/>
    </row>
    <row r="752">
      <c r="A752" s="54"/>
      <c r="B752" s="71" t="str">
        <f>IFERROR(HYPERLINK(VLOOKUP(A752,Internal_lists_bugs!$A$2:$C$73,3,FALSE()), VLOOKUP(A752,Internal_lists_bugs!$A$2:$C$73,3,FALSE())&amp;Char(10) &amp; Char(10) &amp; VLOOKUP(A752,Internal_lists_bugs!$A$2:$Z$73,26,FALSE())),"please select a BUG ID")</f>
        <v>please select a BUG ID</v>
      </c>
      <c r="C752" s="51" t="str">
        <f>IFERROR(VLOOKUP(A752,Internal_lists_bugs!$A$2:$G2002,7,FALSE()),"please select a BUG ID")</f>
        <v>please select a BUG ID</v>
      </c>
      <c r="D752" s="54"/>
      <c r="E752" s="56"/>
      <c r="F752" s="54"/>
      <c r="G752" s="56"/>
      <c r="H752" s="54"/>
      <c r="I752" s="56"/>
      <c r="J752" s="54"/>
      <c r="K752" s="92"/>
      <c r="L752" s="54"/>
      <c r="M752" s="92"/>
      <c r="N752" s="54"/>
      <c r="O752" s="92"/>
      <c r="P752" s="54"/>
      <c r="Q752" s="92"/>
      <c r="R752" s="54"/>
      <c r="S752" s="92"/>
      <c r="T752" s="117"/>
      <c r="U752" s="92"/>
      <c r="V752" s="54"/>
      <c r="W752" s="92"/>
      <c r="X752" s="54"/>
      <c r="Y752" s="92"/>
      <c r="Z752" s="54"/>
      <c r="AA752" s="92"/>
      <c r="AB752" s="54"/>
      <c r="AC752" s="92"/>
      <c r="AD752" s="54"/>
      <c r="AE752" s="92"/>
      <c r="AF752" s="54"/>
      <c r="AG752" s="92"/>
      <c r="AH752" s="54"/>
      <c r="AI752" s="92"/>
      <c r="AJ752" s="54"/>
      <c r="AK752" s="92"/>
      <c r="AL752" s="54"/>
      <c r="AM752" s="92"/>
      <c r="AO752" s="54"/>
      <c r="AP752" s="123"/>
      <c r="AQ752" s="54"/>
      <c r="AR752" s="154"/>
      <c r="AS752" s="1"/>
      <c r="AT752" s="1"/>
      <c r="AU752" s="9"/>
    </row>
    <row r="753">
      <c r="A753" s="54"/>
      <c r="B753" s="71" t="str">
        <f>IFERROR(HYPERLINK(VLOOKUP(A753,Internal_lists_bugs!$A$2:$C$73,3,FALSE()), VLOOKUP(A753,Internal_lists_bugs!$A$2:$C$73,3,FALSE())&amp;Char(10) &amp; Char(10) &amp; VLOOKUP(A753,Internal_lists_bugs!$A$2:$Z$73,26,FALSE())),"please select a BUG ID")</f>
        <v>please select a BUG ID</v>
      </c>
      <c r="C753" s="51" t="str">
        <f>IFERROR(VLOOKUP(A753,Internal_lists_bugs!$A$2:$G2002,7,FALSE()),"please select a BUG ID")</f>
        <v>please select a BUG ID</v>
      </c>
      <c r="D753" s="54"/>
      <c r="E753" s="56"/>
      <c r="F753" s="54"/>
      <c r="G753" s="56"/>
      <c r="H753" s="54"/>
      <c r="I753" s="56"/>
      <c r="J753" s="54"/>
      <c r="K753" s="92"/>
      <c r="L753" s="54"/>
      <c r="M753" s="92"/>
      <c r="N753" s="54"/>
      <c r="O753" s="92"/>
      <c r="P753" s="54"/>
      <c r="Q753" s="92"/>
      <c r="R753" s="54"/>
      <c r="S753" s="92"/>
      <c r="T753" s="117"/>
      <c r="U753" s="92"/>
      <c r="V753" s="54"/>
      <c r="W753" s="92"/>
      <c r="X753" s="54"/>
      <c r="Y753" s="92"/>
      <c r="Z753" s="54"/>
      <c r="AA753" s="92"/>
      <c r="AB753" s="54"/>
      <c r="AC753" s="92"/>
      <c r="AD753" s="54"/>
      <c r="AE753" s="92"/>
      <c r="AF753" s="54"/>
      <c r="AG753" s="92"/>
      <c r="AH753" s="54"/>
      <c r="AI753" s="92"/>
      <c r="AJ753" s="54"/>
      <c r="AK753" s="92"/>
      <c r="AL753" s="54"/>
      <c r="AM753" s="92"/>
      <c r="AO753" s="54"/>
      <c r="AP753" s="123"/>
      <c r="AQ753" s="54"/>
      <c r="AR753" s="154"/>
      <c r="AS753" s="1"/>
      <c r="AT753" s="1"/>
      <c r="AU753" s="9"/>
    </row>
    <row r="754">
      <c r="A754" s="54"/>
      <c r="B754" s="71" t="str">
        <f>IFERROR(HYPERLINK(VLOOKUP(A754,Internal_lists_bugs!$A$2:$C$73,3,FALSE()), VLOOKUP(A754,Internal_lists_bugs!$A$2:$C$73,3,FALSE())&amp;Char(10) &amp; Char(10) &amp; VLOOKUP(A754,Internal_lists_bugs!$A$2:$Z$73,26,FALSE())),"please select a BUG ID")</f>
        <v>please select a BUG ID</v>
      </c>
      <c r="C754" s="51" t="str">
        <f>IFERROR(VLOOKUP(A754,Internal_lists_bugs!$A$2:$G2002,7,FALSE()),"please select a BUG ID")</f>
        <v>please select a BUG ID</v>
      </c>
      <c r="D754" s="54"/>
      <c r="E754" s="56"/>
      <c r="F754" s="54"/>
      <c r="G754" s="56"/>
      <c r="H754" s="54"/>
      <c r="I754" s="56"/>
      <c r="J754" s="54"/>
      <c r="K754" s="92"/>
      <c r="L754" s="54"/>
      <c r="M754" s="92"/>
      <c r="N754" s="54"/>
      <c r="O754" s="92"/>
      <c r="P754" s="54"/>
      <c r="Q754" s="92"/>
      <c r="R754" s="54"/>
      <c r="S754" s="92"/>
      <c r="T754" s="117"/>
      <c r="U754" s="92"/>
      <c r="V754" s="54"/>
      <c r="W754" s="92"/>
      <c r="X754" s="54"/>
      <c r="Y754" s="92"/>
      <c r="Z754" s="54"/>
      <c r="AA754" s="92"/>
      <c r="AB754" s="54"/>
      <c r="AC754" s="92"/>
      <c r="AD754" s="54"/>
      <c r="AE754" s="92"/>
      <c r="AF754" s="54"/>
      <c r="AG754" s="92"/>
      <c r="AH754" s="54"/>
      <c r="AI754" s="92"/>
      <c r="AJ754" s="54"/>
      <c r="AK754" s="92"/>
      <c r="AL754" s="54"/>
      <c r="AM754" s="92"/>
      <c r="AO754" s="54"/>
      <c r="AP754" s="123"/>
      <c r="AQ754" s="54"/>
      <c r="AR754" s="154"/>
      <c r="AS754" s="1"/>
      <c r="AT754" s="1"/>
      <c r="AU754" s="9"/>
    </row>
    <row r="755">
      <c r="A755" s="54"/>
      <c r="B755" s="71" t="str">
        <f>IFERROR(HYPERLINK(VLOOKUP(A755,Internal_lists_bugs!$A$2:$C$73,3,FALSE()), VLOOKUP(A755,Internal_lists_bugs!$A$2:$C$73,3,FALSE())&amp;Char(10) &amp; Char(10) &amp; VLOOKUP(A755,Internal_lists_bugs!$A$2:$Z$73,26,FALSE())),"please select a BUG ID")</f>
        <v>please select a BUG ID</v>
      </c>
      <c r="C755" s="51" t="str">
        <f>IFERROR(VLOOKUP(A755,Internal_lists_bugs!$A$2:$G2002,7,FALSE()),"please select a BUG ID")</f>
        <v>please select a BUG ID</v>
      </c>
      <c r="D755" s="54"/>
      <c r="E755" s="56"/>
      <c r="F755" s="54"/>
      <c r="G755" s="56"/>
      <c r="H755" s="54"/>
      <c r="I755" s="56"/>
      <c r="J755" s="54"/>
      <c r="K755" s="92"/>
      <c r="L755" s="54"/>
      <c r="M755" s="92"/>
      <c r="N755" s="54"/>
      <c r="O755" s="92"/>
      <c r="P755" s="54"/>
      <c r="Q755" s="92"/>
      <c r="R755" s="54"/>
      <c r="S755" s="92"/>
      <c r="T755" s="117"/>
      <c r="U755" s="92"/>
      <c r="V755" s="54"/>
      <c r="W755" s="92"/>
      <c r="X755" s="54"/>
      <c r="Y755" s="92"/>
      <c r="Z755" s="54"/>
      <c r="AA755" s="92"/>
      <c r="AB755" s="54"/>
      <c r="AC755" s="92"/>
      <c r="AD755" s="54"/>
      <c r="AE755" s="92"/>
      <c r="AF755" s="54"/>
      <c r="AG755" s="92"/>
      <c r="AH755" s="54"/>
      <c r="AI755" s="92"/>
      <c r="AJ755" s="54"/>
      <c r="AK755" s="92"/>
      <c r="AL755" s="54"/>
      <c r="AM755" s="92"/>
      <c r="AO755" s="54"/>
      <c r="AP755" s="123"/>
      <c r="AQ755" s="54"/>
      <c r="AR755" s="154"/>
      <c r="AS755" s="1"/>
      <c r="AT755" s="1"/>
      <c r="AU755" s="9"/>
    </row>
    <row r="756">
      <c r="A756" s="54"/>
      <c r="B756" s="71" t="str">
        <f>IFERROR(HYPERLINK(VLOOKUP(A756,Internal_lists_bugs!$A$2:$C$73,3,FALSE()), VLOOKUP(A756,Internal_lists_bugs!$A$2:$C$73,3,FALSE())&amp;Char(10) &amp; Char(10) &amp; VLOOKUP(A756,Internal_lists_bugs!$A$2:$Z$73,26,FALSE())),"please select a BUG ID")</f>
        <v>please select a BUG ID</v>
      </c>
      <c r="C756" s="51" t="str">
        <f>IFERROR(VLOOKUP(A756,Internal_lists_bugs!$A$2:$G2002,7,FALSE()),"please select a BUG ID")</f>
        <v>please select a BUG ID</v>
      </c>
      <c r="D756" s="54"/>
      <c r="E756" s="56"/>
      <c r="F756" s="54"/>
      <c r="G756" s="56"/>
      <c r="H756" s="54"/>
      <c r="I756" s="56"/>
      <c r="J756" s="54"/>
      <c r="K756" s="92"/>
      <c r="L756" s="54"/>
      <c r="M756" s="92"/>
      <c r="N756" s="54"/>
      <c r="O756" s="92"/>
      <c r="P756" s="54"/>
      <c r="Q756" s="92"/>
      <c r="R756" s="54"/>
      <c r="S756" s="92"/>
      <c r="T756" s="117"/>
      <c r="U756" s="92"/>
      <c r="V756" s="54"/>
      <c r="W756" s="92"/>
      <c r="X756" s="54"/>
      <c r="Y756" s="92"/>
      <c r="Z756" s="54"/>
      <c r="AA756" s="92"/>
      <c r="AB756" s="54"/>
      <c r="AC756" s="92"/>
      <c r="AD756" s="54"/>
      <c r="AE756" s="92"/>
      <c r="AF756" s="54"/>
      <c r="AG756" s="92"/>
      <c r="AH756" s="54"/>
      <c r="AI756" s="92"/>
      <c r="AJ756" s="54"/>
      <c r="AK756" s="92"/>
      <c r="AL756" s="54"/>
      <c r="AM756" s="92"/>
      <c r="AO756" s="54"/>
      <c r="AP756" s="123"/>
      <c r="AQ756" s="54"/>
      <c r="AR756" s="154"/>
      <c r="AS756" s="1"/>
      <c r="AT756" s="1"/>
      <c r="AU756" s="9"/>
    </row>
    <row r="757">
      <c r="A757" s="54"/>
      <c r="B757" s="71" t="str">
        <f>IFERROR(HYPERLINK(VLOOKUP(A757,Internal_lists_bugs!$A$2:$C$73,3,FALSE()), VLOOKUP(A757,Internal_lists_bugs!$A$2:$C$73,3,FALSE())&amp;Char(10) &amp; Char(10) &amp; VLOOKUP(A757,Internal_lists_bugs!$A$2:$Z$73,26,FALSE())),"please select a BUG ID")</f>
        <v>please select a BUG ID</v>
      </c>
      <c r="C757" s="51" t="str">
        <f>IFERROR(VLOOKUP(A757,Internal_lists_bugs!$A$2:$G2002,7,FALSE()),"please select a BUG ID")</f>
        <v>please select a BUG ID</v>
      </c>
      <c r="D757" s="54"/>
      <c r="E757" s="56"/>
      <c r="F757" s="54"/>
      <c r="G757" s="56"/>
      <c r="H757" s="54"/>
      <c r="I757" s="56"/>
      <c r="J757" s="54"/>
      <c r="K757" s="92"/>
      <c r="L757" s="54"/>
      <c r="M757" s="92"/>
      <c r="N757" s="54"/>
      <c r="O757" s="92"/>
      <c r="P757" s="54"/>
      <c r="Q757" s="92"/>
      <c r="R757" s="54"/>
      <c r="S757" s="92"/>
      <c r="T757" s="117"/>
      <c r="U757" s="92"/>
      <c r="V757" s="54"/>
      <c r="W757" s="92"/>
      <c r="X757" s="54"/>
      <c r="Y757" s="92"/>
      <c r="Z757" s="54"/>
      <c r="AA757" s="92"/>
      <c r="AB757" s="54"/>
      <c r="AC757" s="92"/>
      <c r="AD757" s="54"/>
      <c r="AE757" s="92"/>
      <c r="AF757" s="54"/>
      <c r="AG757" s="92"/>
      <c r="AH757" s="54"/>
      <c r="AI757" s="92"/>
      <c r="AJ757" s="54"/>
      <c r="AK757" s="92"/>
      <c r="AL757" s="54"/>
      <c r="AM757" s="92"/>
      <c r="AO757" s="54"/>
      <c r="AP757" s="123"/>
      <c r="AQ757" s="54"/>
      <c r="AR757" s="154"/>
      <c r="AS757" s="1"/>
      <c r="AT757" s="1"/>
      <c r="AU757" s="9"/>
    </row>
    <row r="758">
      <c r="A758" s="54"/>
      <c r="B758" s="71" t="str">
        <f>IFERROR(HYPERLINK(VLOOKUP(A758,Internal_lists_bugs!$A$2:$C$73,3,FALSE()), VLOOKUP(A758,Internal_lists_bugs!$A$2:$C$73,3,FALSE())&amp;Char(10) &amp; Char(10) &amp; VLOOKUP(A758,Internal_lists_bugs!$A$2:$Z$73,26,FALSE())),"please select a BUG ID")</f>
        <v>please select a BUG ID</v>
      </c>
      <c r="C758" s="51" t="str">
        <f>IFERROR(VLOOKUP(A758,Internal_lists_bugs!$A$2:$G2002,7,FALSE()),"please select a BUG ID")</f>
        <v>please select a BUG ID</v>
      </c>
      <c r="D758" s="54"/>
      <c r="E758" s="56"/>
      <c r="F758" s="54"/>
      <c r="G758" s="56"/>
      <c r="H758" s="54"/>
      <c r="I758" s="56"/>
      <c r="J758" s="54"/>
      <c r="K758" s="92"/>
      <c r="L758" s="54"/>
      <c r="M758" s="92"/>
      <c r="N758" s="54"/>
      <c r="O758" s="92"/>
      <c r="P758" s="54"/>
      <c r="Q758" s="92"/>
      <c r="R758" s="54"/>
      <c r="S758" s="92"/>
      <c r="T758" s="117"/>
      <c r="U758" s="92"/>
      <c r="V758" s="54"/>
      <c r="W758" s="92"/>
      <c r="X758" s="54"/>
      <c r="Y758" s="92"/>
      <c r="Z758" s="54"/>
      <c r="AA758" s="92"/>
      <c r="AB758" s="54"/>
      <c r="AC758" s="92"/>
      <c r="AD758" s="54"/>
      <c r="AE758" s="92"/>
      <c r="AF758" s="54"/>
      <c r="AG758" s="92"/>
      <c r="AH758" s="54"/>
      <c r="AI758" s="92"/>
      <c r="AJ758" s="54"/>
      <c r="AK758" s="92"/>
      <c r="AL758" s="54"/>
      <c r="AM758" s="92"/>
      <c r="AO758" s="54"/>
      <c r="AP758" s="123"/>
      <c r="AQ758" s="54"/>
      <c r="AR758" s="154"/>
      <c r="AS758" s="1"/>
      <c r="AT758" s="1"/>
      <c r="AU758" s="9"/>
    </row>
    <row r="759">
      <c r="A759" s="54"/>
      <c r="B759" s="71" t="str">
        <f>IFERROR(HYPERLINK(VLOOKUP(A759,Internal_lists_bugs!$A$2:$C$73,3,FALSE()), VLOOKUP(A759,Internal_lists_bugs!$A$2:$C$73,3,FALSE())&amp;Char(10) &amp; Char(10) &amp; VLOOKUP(A759,Internal_lists_bugs!$A$2:$Z$73,26,FALSE())),"please select a BUG ID")</f>
        <v>please select a BUG ID</v>
      </c>
      <c r="C759" s="51" t="str">
        <f>IFERROR(VLOOKUP(A759,Internal_lists_bugs!$A$2:$G2002,7,FALSE()),"please select a BUG ID")</f>
        <v>please select a BUG ID</v>
      </c>
      <c r="D759" s="54"/>
      <c r="E759" s="56"/>
      <c r="F759" s="54"/>
      <c r="G759" s="56"/>
      <c r="H759" s="54"/>
      <c r="I759" s="56"/>
      <c r="J759" s="54"/>
      <c r="K759" s="92"/>
      <c r="L759" s="54"/>
      <c r="M759" s="92"/>
      <c r="N759" s="54"/>
      <c r="O759" s="92"/>
      <c r="P759" s="54"/>
      <c r="Q759" s="92"/>
      <c r="R759" s="54"/>
      <c r="S759" s="92"/>
      <c r="T759" s="117"/>
      <c r="U759" s="92"/>
      <c r="V759" s="54"/>
      <c r="W759" s="92"/>
      <c r="X759" s="54"/>
      <c r="Y759" s="92"/>
      <c r="Z759" s="54"/>
      <c r="AA759" s="92"/>
      <c r="AB759" s="54"/>
      <c r="AC759" s="92"/>
      <c r="AD759" s="54"/>
      <c r="AE759" s="92"/>
      <c r="AF759" s="54"/>
      <c r="AG759" s="92"/>
      <c r="AH759" s="54"/>
      <c r="AI759" s="92"/>
      <c r="AJ759" s="54"/>
      <c r="AK759" s="92"/>
      <c r="AL759" s="54"/>
      <c r="AM759" s="92"/>
      <c r="AO759" s="54"/>
      <c r="AP759" s="123"/>
      <c r="AQ759" s="54"/>
      <c r="AR759" s="154"/>
      <c r="AS759" s="1"/>
      <c r="AT759" s="1"/>
      <c r="AU759" s="9"/>
    </row>
    <row r="760">
      <c r="A760" s="54"/>
      <c r="B760" s="71" t="str">
        <f>IFERROR(HYPERLINK(VLOOKUP(A760,Internal_lists_bugs!$A$2:$C$73,3,FALSE()), VLOOKUP(A760,Internal_lists_bugs!$A$2:$C$73,3,FALSE())&amp;Char(10) &amp; Char(10) &amp; VLOOKUP(A760,Internal_lists_bugs!$A$2:$Z$73,26,FALSE())),"please select a BUG ID")</f>
        <v>please select a BUG ID</v>
      </c>
      <c r="C760" s="51" t="str">
        <f>IFERROR(VLOOKUP(A760,Internal_lists_bugs!$A$2:$G2002,7,FALSE()),"please select a BUG ID")</f>
        <v>please select a BUG ID</v>
      </c>
      <c r="D760" s="54"/>
      <c r="E760" s="56"/>
      <c r="F760" s="54"/>
      <c r="G760" s="56"/>
      <c r="H760" s="54"/>
      <c r="I760" s="56"/>
      <c r="J760" s="54"/>
      <c r="K760" s="92"/>
      <c r="L760" s="54"/>
      <c r="M760" s="92"/>
      <c r="N760" s="54"/>
      <c r="O760" s="92"/>
      <c r="P760" s="54"/>
      <c r="Q760" s="92"/>
      <c r="R760" s="54"/>
      <c r="S760" s="92"/>
      <c r="T760" s="117"/>
      <c r="U760" s="92"/>
      <c r="V760" s="54"/>
      <c r="W760" s="92"/>
      <c r="X760" s="54"/>
      <c r="Y760" s="92"/>
      <c r="Z760" s="54"/>
      <c r="AA760" s="92"/>
      <c r="AB760" s="54"/>
      <c r="AC760" s="92"/>
      <c r="AD760" s="54"/>
      <c r="AE760" s="92"/>
      <c r="AF760" s="54"/>
      <c r="AG760" s="92"/>
      <c r="AH760" s="54"/>
      <c r="AI760" s="92"/>
      <c r="AJ760" s="54"/>
      <c r="AK760" s="92"/>
      <c r="AL760" s="54"/>
      <c r="AM760" s="92"/>
      <c r="AO760" s="54"/>
      <c r="AP760" s="123"/>
      <c r="AQ760" s="54"/>
      <c r="AR760" s="154"/>
      <c r="AS760" s="1"/>
      <c r="AT760" s="1"/>
      <c r="AU760" s="9"/>
    </row>
    <row r="761">
      <c r="A761" s="54"/>
      <c r="B761" s="71" t="str">
        <f>IFERROR(HYPERLINK(VLOOKUP(A761,Internal_lists_bugs!$A$2:$C$73,3,FALSE()), VLOOKUP(A761,Internal_lists_bugs!$A$2:$C$73,3,FALSE())&amp;Char(10) &amp; Char(10) &amp; VLOOKUP(A761,Internal_lists_bugs!$A$2:$Z$73,26,FALSE())),"please select a BUG ID")</f>
        <v>please select a BUG ID</v>
      </c>
      <c r="C761" s="51" t="str">
        <f>IFERROR(VLOOKUP(A761,Internal_lists_bugs!$A$2:$G2002,7,FALSE()),"please select a BUG ID")</f>
        <v>please select a BUG ID</v>
      </c>
      <c r="D761" s="54"/>
      <c r="E761" s="56"/>
      <c r="F761" s="54"/>
      <c r="G761" s="56"/>
      <c r="H761" s="54"/>
      <c r="I761" s="56"/>
      <c r="J761" s="54"/>
      <c r="K761" s="92"/>
      <c r="L761" s="54"/>
      <c r="M761" s="92"/>
      <c r="N761" s="54"/>
      <c r="O761" s="92"/>
      <c r="P761" s="54"/>
      <c r="Q761" s="92"/>
      <c r="R761" s="54"/>
      <c r="S761" s="92"/>
      <c r="T761" s="117"/>
      <c r="U761" s="92"/>
      <c r="V761" s="54"/>
      <c r="W761" s="92"/>
      <c r="X761" s="54"/>
      <c r="Y761" s="92"/>
      <c r="Z761" s="54"/>
      <c r="AA761" s="92"/>
      <c r="AB761" s="54"/>
      <c r="AC761" s="92"/>
      <c r="AD761" s="54"/>
      <c r="AE761" s="92"/>
      <c r="AF761" s="54"/>
      <c r="AG761" s="92"/>
      <c r="AH761" s="54"/>
      <c r="AI761" s="92"/>
      <c r="AJ761" s="54"/>
      <c r="AK761" s="92"/>
      <c r="AL761" s="54"/>
      <c r="AM761" s="92"/>
      <c r="AO761" s="54"/>
      <c r="AP761" s="123"/>
      <c r="AQ761" s="54"/>
      <c r="AR761" s="154"/>
      <c r="AS761" s="1"/>
      <c r="AT761" s="1"/>
      <c r="AU761" s="9"/>
    </row>
    <row r="762">
      <c r="A762" s="54"/>
      <c r="B762" s="71" t="str">
        <f>IFERROR(HYPERLINK(VLOOKUP(A762,Internal_lists_bugs!$A$2:$C$73,3,FALSE()), VLOOKUP(A762,Internal_lists_bugs!$A$2:$C$73,3,FALSE())&amp;Char(10) &amp; Char(10) &amp; VLOOKUP(A762,Internal_lists_bugs!$A$2:$Z$73,26,FALSE())),"please select a BUG ID")</f>
        <v>please select a BUG ID</v>
      </c>
      <c r="C762" s="51" t="str">
        <f>IFERROR(VLOOKUP(A762,Internal_lists_bugs!$A$2:$G2002,7,FALSE()),"please select a BUG ID")</f>
        <v>please select a BUG ID</v>
      </c>
      <c r="D762" s="54"/>
      <c r="E762" s="56"/>
      <c r="F762" s="54"/>
      <c r="G762" s="56"/>
      <c r="H762" s="54"/>
      <c r="I762" s="56"/>
      <c r="J762" s="54"/>
      <c r="K762" s="92"/>
      <c r="L762" s="54"/>
      <c r="M762" s="92"/>
      <c r="N762" s="54"/>
      <c r="O762" s="92"/>
      <c r="P762" s="54"/>
      <c r="Q762" s="92"/>
      <c r="R762" s="54"/>
      <c r="S762" s="92"/>
      <c r="T762" s="117"/>
      <c r="U762" s="92"/>
      <c r="V762" s="54"/>
      <c r="W762" s="92"/>
      <c r="X762" s="54"/>
      <c r="Y762" s="92"/>
      <c r="Z762" s="54"/>
      <c r="AA762" s="92"/>
      <c r="AB762" s="54"/>
      <c r="AC762" s="92"/>
      <c r="AD762" s="54"/>
      <c r="AE762" s="92"/>
      <c r="AF762" s="54"/>
      <c r="AG762" s="92"/>
      <c r="AH762" s="54"/>
      <c r="AI762" s="92"/>
      <c r="AJ762" s="54"/>
      <c r="AK762" s="92"/>
      <c r="AL762" s="54"/>
      <c r="AM762" s="92"/>
      <c r="AO762" s="54"/>
      <c r="AP762" s="123"/>
      <c r="AQ762" s="54"/>
      <c r="AR762" s="154"/>
      <c r="AS762" s="1"/>
      <c r="AT762" s="1"/>
      <c r="AU762" s="9"/>
    </row>
    <row r="763">
      <c r="A763" s="54"/>
      <c r="B763" s="71" t="str">
        <f>IFERROR(HYPERLINK(VLOOKUP(A763,Internal_lists_bugs!$A$2:$C$73,3,FALSE()), VLOOKUP(A763,Internal_lists_bugs!$A$2:$C$73,3,FALSE())&amp;Char(10) &amp; Char(10) &amp; VLOOKUP(A763,Internal_lists_bugs!$A$2:$Z$73,26,FALSE())),"please select a BUG ID")</f>
        <v>please select a BUG ID</v>
      </c>
      <c r="C763" s="51" t="str">
        <f>IFERROR(VLOOKUP(A763,Internal_lists_bugs!$A$2:$G2002,7,FALSE()),"please select a BUG ID")</f>
        <v>please select a BUG ID</v>
      </c>
      <c r="D763" s="54"/>
      <c r="E763" s="56"/>
      <c r="F763" s="54"/>
      <c r="G763" s="56"/>
      <c r="H763" s="54"/>
      <c r="I763" s="56"/>
      <c r="J763" s="54"/>
      <c r="K763" s="92"/>
      <c r="L763" s="54"/>
      <c r="M763" s="92"/>
      <c r="N763" s="54"/>
      <c r="O763" s="92"/>
      <c r="P763" s="54"/>
      <c r="Q763" s="92"/>
      <c r="R763" s="54"/>
      <c r="S763" s="92"/>
      <c r="T763" s="117"/>
      <c r="U763" s="92"/>
      <c r="V763" s="54"/>
      <c r="W763" s="92"/>
      <c r="X763" s="54"/>
      <c r="Y763" s="92"/>
      <c r="Z763" s="54"/>
      <c r="AA763" s="92"/>
      <c r="AB763" s="54"/>
      <c r="AC763" s="92"/>
      <c r="AD763" s="54"/>
      <c r="AE763" s="92"/>
      <c r="AF763" s="54"/>
      <c r="AG763" s="92"/>
      <c r="AH763" s="54"/>
      <c r="AI763" s="92"/>
      <c r="AJ763" s="54"/>
      <c r="AK763" s="92"/>
      <c r="AL763" s="54"/>
      <c r="AM763" s="92"/>
      <c r="AO763" s="54"/>
      <c r="AP763" s="123"/>
      <c r="AQ763" s="54"/>
      <c r="AR763" s="154"/>
      <c r="AS763" s="1"/>
      <c r="AT763" s="1"/>
      <c r="AU763" s="9"/>
    </row>
    <row r="764">
      <c r="A764" s="54"/>
      <c r="B764" s="71" t="str">
        <f>IFERROR(HYPERLINK(VLOOKUP(A764,Internal_lists_bugs!$A$2:$C$73,3,FALSE()), VLOOKUP(A764,Internal_lists_bugs!$A$2:$C$73,3,FALSE())&amp;Char(10) &amp; Char(10) &amp; VLOOKUP(A764,Internal_lists_bugs!$A$2:$Z$73,26,FALSE())),"please select a BUG ID")</f>
        <v>please select a BUG ID</v>
      </c>
      <c r="C764" s="51" t="str">
        <f>IFERROR(VLOOKUP(A764,Internal_lists_bugs!$A$2:$G2002,7,FALSE()),"please select a BUG ID")</f>
        <v>please select a BUG ID</v>
      </c>
      <c r="D764" s="54"/>
      <c r="E764" s="56"/>
      <c r="F764" s="54"/>
      <c r="G764" s="56"/>
      <c r="H764" s="54"/>
      <c r="I764" s="56"/>
      <c r="J764" s="54"/>
      <c r="K764" s="92"/>
      <c r="L764" s="54"/>
      <c r="M764" s="92"/>
      <c r="N764" s="54"/>
      <c r="O764" s="92"/>
      <c r="P764" s="54"/>
      <c r="Q764" s="92"/>
      <c r="R764" s="54"/>
      <c r="S764" s="92"/>
      <c r="T764" s="117"/>
      <c r="U764" s="92"/>
      <c r="V764" s="54"/>
      <c r="W764" s="92"/>
      <c r="X764" s="54"/>
      <c r="Y764" s="92"/>
      <c r="Z764" s="54"/>
      <c r="AA764" s="92"/>
      <c r="AB764" s="54"/>
      <c r="AC764" s="92"/>
      <c r="AD764" s="54"/>
      <c r="AE764" s="92"/>
      <c r="AF764" s="54"/>
      <c r="AG764" s="92"/>
      <c r="AH764" s="54"/>
      <c r="AI764" s="92"/>
      <c r="AJ764" s="54"/>
      <c r="AK764" s="92"/>
      <c r="AL764" s="54"/>
      <c r="AM764" s="92"/>
      <c r="AO764" s="54"/>
      <c r="AP764" s="123"/>
      <c r="AQ764" s="54"/>
      <c r="AR764" s="154"/>
      <c r="AS764" s="1"/>
      <c r="AT764" s="1"/>
      <c r="AU764" s="9"/>
    </row>
    <row r="765">
      <c r="A765" s="54"/>
      <c r="B765" s="71" t="str">
        <f>IFERROR(HYPERLINK(VLOOKUP(A765,Internal_lists_bugs!$A$2:$C$73,3,FALSE()), VLOOKUP(A765,Internal_lists_bugs!$A$2:$C$73,3,FALSE())&amp;Char(10) &amp; Char(10) &amp; VLOOKUP(A765,Internal_lists_bugs!$A$2:$Z$73,26,FALSE())),"please select a BUG ID")</f>
        <v>please select a BUG ID</v>
      </c>
      <c r="C765" s="51" t="str">
        <f>IFERROR(VLOOKUP(A765,Internal_lists_bugs!$A$2:$G2002,7,FALSE()),"please select a BUG ID")</f>
        <v>please select a BUG ID</v>
      </c>
      <c r="D765" s="54"/>
      <c r="E765" s="56"/>
      <c r="F765" s="54"/>
      <c r="G765" s="56"/>
      <c r="H765" s="54"/>
      <c r="I765" s="56"/>
      <c r="J765" s="54"/>
      <c r="K765" s="92"/>
      <c r="L765" s="54"/>
      <c r="M765" s="92"/>
      <c r="N765" s="54"/>
      <c r="O765" s="92"/>
      <c r="P765" s="54"/>
      <c r="Q765" s="92"/>
      <c r="R765" s="54"/>
      <c r="S765" s="92"/>
      <c r="T765" s="117"/>
      <c r="U765" s="92"/>
      <c r="V765" s="54"/>
      <c r="W765" s="92"/>
      <c r="X765" s="54"/>
      <c r="Y765" s="92"/>
      <c r="Z765" s="54"/>
      <c r="AA765" s="92"/>
      <c r="AB765" s="54"/>
      <c r="AC765" s="92"/>
      <c r="AD765" s="54"/>
      <c r="AE765" s="92"/>
      <c r="AF765" s="54"/>
      <c r="AG765" s="92"/>
      <c r="AH765" s="54"/>
      <c r="AI765" s="92"/>
      <c r="AJ765" s="54"/>
      <c r="AK765" s="92"/>
      <c r="AL765" s="54"/>
      <c r="AM765" s="92"/>
      <c r="AO765" s="54"/>
      <c r="AP765" s="123"/>
      <c r="AQ765" s="54"/>
      <c r="AR765" s="154"/>
      <c r="AS765" s="1"/>
      <c r="AT765" s="1"/>
      <c r="AU765" s="9"/>
    </row>
    <row r="766">
      <c r="A766" s="54"/>
      <c r="B766" s="71" t="str">
        <f>IFERROR(HYPERLINK(VLOOKUP(A766,Internal_lists_bugs!$A$2:$C$73,3,FALSE()), VLOOKUP(A766,Internal_lists_bugs!$A$2:$C$73,3,FALSE())&amp;Char(10) &amp; Char(10) &amp; VLOOKUP(A766,Internal_lists_bugs!$A$2:$Z$73,26,FALSE())),"please select a BUG ID")</f>
        <v>please select a BUG ID</v>
      </c>
      <c r="C766" s="51" t="str">
        <f>IFERROR(VLOOKUP(A766,Internal_lists_bugs!$A$2:$G2002,7,FALSE()),"please select a BUG ID")</f>
        <v>please select a BUG ID</v>
      </c>
      <c r="D766" s="54"/>
      <c r="E766" s="56"/>
      <c r="F766" s="54"/>
      <c r="G766" s="56"/>
      <c r="H766" s="54"/>
      <c r="I766" s="56"/>
      <c r="J766" s="54"/>
      <c r="K766" s="92"/>
      <c r="L766" s="54"/>
      <c r="M766" s="92"/>
      <c r="N766" s="54"/>
      <c r="O766" s="92"/>
      <c r="P766" s="54"/>
      <c r="Q766" s="92"/>
      <c r="R766" s="54"/>
      <c r="S766" s="92"/>
      <c r="T766" s="117"/>
      <c r="U766" s="92"/>
      <c r="V766" s="54"/>
      <c r="W766" s="92"/>
      <c r="X766" s="54"/>
      <c r="Y766" s="92"/>
      <c r="Z766" s="54"/>
      <c r="AA766" s="92"/>
      <c r="AB766" s="54"/>
      <c r="AC766" s="92"/>
      <c r="AD766" s="54"/>
      <c r="AE766" s="92"/>
      <c r="AF766" s="54"/>
      <c r="AG766" s="92"/>
      <c r="AH766" s="54"/>
      <c r="AI766" s="92"/>
      <c r="AJ766" s="54"/>
      <c r="AK766" s="92"/>
      <c r="AL766" s="54"/>
      <c r="AM766" s="92"/>
      <c r="AO766" s="54"/>
      <c r="AP766" s="123"/>
      <c r="AQ766" s="54"/>
      <c r="AR766" s="154"/>
      <c r="AS766" s="1"/>
      <c r="AT766" s="1"/>
      <c r="AU766" s="9"/>
    </row>
    <row r="767">
      <c r="A767" s="54"/>
      <c r="B767" s="71" t="str">
        <f>IFERROR(HYPERLINK(VLOOKUP(A767,Internal_lists_bugs!$A$2:$C$73,3,FALSE()), VLOOKUP(A767,Internal_lists_bugs!$A$2:$C$73,3,FALSE())&amp;Char(10) &amp; Char(10) &amp; VLOOKUP(A767,Internal_lists_bugs!$A$2:$Z$73,26,FALSE())),"please select a BUG ID")</f>
        <v>please select a BUG ID</v>
      </c>
      <c r="C767" s="51" t="str">
        <f>IFERROR(VLOOKUP(A767,Internal_lists_bugs!$A$2:$G2002,7,FALSE()),"please select a BUG ID")</f>
        <v>please select a BUG ID</v>
      </c>
      <c r="D767" s="54"/>
      <c r="E767" s="56"/>
      <c r="F767" s="54"/>
      <c r="G767" s="56"/>
      <c r="H767" s="54"/>
      <c r="I767" s="56"/>
      <c r="J767" s="54"/>
      <c r="K767" s="92"/>
      <c r="L767" s="54"/>
      <c r="M767" s="92"/>
      <c r="N767" s="54"/>
      <c r="O767" s="92"/>
      <c r="P767" s="54"/>
      <c r="Q767" s="92"/>
      <c r="R767" s="54"/>
      <c r="S767" s="92"/>
      <c r="T767" s="117"/>
      <c r="U767" s="92"/>
      <c r="V767" s="54"/>
      <c r="W767" s="92"/>
      <c r="X767" s="54"/>
      <c r="Y767" s="92"/>
      <c r="Z767" s="54"/>
      <c r="AA767" s="92"/>
      <c r="AB767" s="54"/>
      <c r="AC767" s="92"/>
      <c r="AD767" s="54"/>
      <c r="AE767" s="92"/>
      <c r="AF767" s="54"/>
      <c r="AG767" s="92"/>
      <c r="AH767" s="54"/>
      <c r="AI767" s="92"/>
      <c r="AJ767" s="54"/>
      <c r="AK767" s="92"/>
      <c r="AL767" s="54"/>
      <c r="AM767" s="92"/>
      <c r="AO767" s="54"/>
      <c r="AP767" s="123"/>
      <c r="AQ767" s="54"/>
      <c r="AR767" s="154"/>
      <c r="AS767" s="1"/>
      <c r="AT767" s="1"/>
      <c r="AU767" s="9"/>
    </row>
    <row r="768">
      <c r="A768" s="54"/>
      <c r="B768" s="71" t="str">
        <f>IFERROR(HYPERLINK(VLOOKUP(A768,Internal_lists_bugs!$A$2:$C$73,3,FALSE()), VLOOKUP(A768,Internal_lists_bugs!$A$2:$C$73,3,FALSE())&amp;Char(10) &amp; Char(10) &amp; VLOOKUP(A768,Internal_lists_bugs!$A$2:$Z$73,26,FALSE())),"please select a BUG ID")</f>
        <v>please select a BUG ID</v>
      </c>
      <c r="C768" s="51" t="str">
        <f>IFERROR(VLOOKUP(A768,Internal_lists_bugs!$A$2:$G2002,7,FALSE()),"please select a BUG ID")</f>
        <v>please select a BUG ID</v>
      </c>
      <c r="D768" s="54"/>
      <c r="E768" s="56"/>
      <c r="F768" s="54"/>
      <c r="G768" s="56"/>
      <c r="H768" s="54"/>
      <c r="I768" s="56"/>
      <c r="J768" s="54"/>
      <c r="K768" s="92"/>
      <c r="L768" s="54"/>
      <c r="M768" s="92"/>
      <c r="N768" s="54"/>
      <c r="O768" s="92"/>
      <c r="P768" s="54"/>
      <c r="Q768" s="92"/>
      <c r="R768" s="54"/>
      <c r="S768" s="92"/>
      <c r="T768" s="117"/>
      <c r="U768" s="92"/>
      <c r="V768" s="54"/>
      <c r="W768" s="92"/>
      <c r="X768" s="54"/>
      <c r="Y768" s="92"/>
      <c r="Z768" s="54"/>
      <c r="AA768" s="92"/>
      <c r="AB768" s="54"/>
      <c r="AC768" s="92"/>
      <c r="AD768" s="54"/>
      <c r="AE768" s="92"/>
      <c r="AF768" s="54"/>
      <c r="AG768" s="92"/>
      <c r="AH768" s="54"/>
      <c r="AI768" s="92"/>
      <c r="AJ768" s="54"/>
      <c r="AK768" s="92"/>
      <c r="AL768" s="54"/>
      <c r="AM768" s="92"/>
      <c r="AO768" s="54"/>
      <c r="AP768" s="123"/>
      <c r="AQ768" s="54"/>
      <c r="AR768" s="154"/>
      <c r="AS768" s="1"/>
      <c r="AT768" s="1"/>
      <c r="AU768" s="9"/>
    </row>
    <row r="769">
      <c r="A769" s="54"/>
      <c r="B769" s="71" t="str">
        <f>IFERROR(HYPERLINK(VLOOKUP(A769,Internal_lists_bugs!$A$2:$C$73,3,FALSE()), VLOOKUP(A769,Internal_lists_bugs!$A$2:$C$73,3,FALSE())&amp;Char(10) &amp; Char(10) &amp; VLOOKUP(A769,Internal_lists_bugs!$A$2:$Z$73,26,FALSE())),"please select a BUG ID")</f>
        <v>please select a BUG ID</v>
      </c>
      <c r="C769" s="51" t="str">
        <f>IFERROR(VLOOKUP(A769,Internal_lists_bugs!$A$2:$G2002,7,FALSE()),"please select a BUG ID")</f>
        <v>please select a BUG ID</v>
      </c>
      <c r="D769" s="54"/>
      <c r="E769" s="56"/>
      <c r="F769" s="54"/>
      <c r="G769" s="56"/>
      <c r="H769" s="54"/>
      <c r="I769" s="56"/>
      <c r="J769" s="54"/>
      <c r="K769" s="92"/>
      <c r="L769" s="54"/>
      <c r="M769" s="92"/>
      <c r="N769" s="54"/>
      <c r="O769" s="92"/>
      <c r="P769" s="54"/>
      <c r="Q769" s="92"/>
      <c r="R769" s="54"/>
      <c r="S769" s="92"/>
      <c r="T769" s="117"/>
      <c r="U769" s="92"/>
      <c r="V769" s="54"/>
      <c r="W769" s="92"/>
      <c r="X769" s="54"/>
      <c r="Y769" s="92"/>
      <c r="Z769" s="54"/>
      <c r="AA769" s="92"/>
      <c r="AB769" s="54"/>
      <c r="AC769" s="92"/>
      <c r="AD769" s="54"/>
      <c r="AE769" s="92"/>
      <c r="AF769" s="54"/>
      <c r="AG769" s="92"/>
      <c r="AH769" s="54"/>
      <c r="AI769" s="92"/>
      <c r="AJ769" s="54"/>
      <c r="AK769" s="92"/>
      <c r="AL769" s="54"/>
      <c r="AM769" s="92"/>
      <c r="AO769" s="54"/>
      <c r="AP769" s="123"/>
      <c r="AQ769" s="54"/>
      <c r="AR769" s="154"/>
      <c r="AS769" s="1"/>
      <c r="AT769" s="1"/>
      <c r="AU769" s="9"/>
    </row>
    <row r="770">
      <c r="A770" s="54"/>
      <c r="B770" s="71" t="str">
        <f>IFERROR(HYPERLINK(VLOOKUP(A770,Internal_lists_bugs!$A$2:$C$73,3,FALSE()), VLOOKUP(A770,Internal_lists_bugs!$A$2:$C$73,3,FALSE())&amp;Char(10) &amp; Char(10) &amp; VLOOKUP(A770,Internal_lists_bugs!$A$2:$Z$73,26,FALSE())),"please select a BUG ID")</f>
        <v>please select a BUG ID</v>
      </c>
      <c r="C770" s="51" t="str">
        <f>IFERROR(VLOOKUP(A770,Internal_lists_bugs!$A$2:$G2002,7,FALSE()),"please select a BUG ID")</f>
        <v>please select a BUG ID</v>
      </c>
      <c r="D770" s="54"/>
      <c r="E770" s="56"/>
      <c r="F770" s="54"/>
      <c r="G770" s="56"/>
      <c r="H770" s="54"/>
      <c r="I770" s="56"/>
      <c r="J770" s="54"/>
      <c r="K770" s="92"/>
      <c r="L770" s="54"/>
      <c r="M770" s="92"/>
      <c r="N770" s="54"/>
      <c r="O770" s="92"/>
      <c r="P770" s="54"/>
      <c r="Q770" s="92"/>
      <c r="R770" s="54"/>
      <c r="S770" s="92"/>
      <c r="T770" s="117"/>
      <c r="U770" s="92"/>
      <c r="V770" s="54"/>
      <c r="W770" s="92"/>
      <c r="X770" s="54"/>
      <c r="Y770" s="92"/>
      <c r="Z770" s="54"/>
      <c r="AA770" s="92"/>
      <c r="AB770" s="54"/>
      <c r="AC770" s="92"/>
      <c r="AD770" s="54"/>
      <c r="AE770" s="92"/>
      <c r="AF770" s="54"/>
      <c r="AG770" s="92"/>
      <c r="AH770" s="54"/>
      <c r="AI770" s="92"/>
      <c r="AJ770" s="54"/>
      <c r="AK770" s="92"/>
      <c r="AL770" s="54"/>
      <c r="AM770" s="92"/>
      <c r="AO770" s="54"/>
      <c r="AP770" s="123"/>
      <c r="AQ770" s="54"/>
      <c r="AR770" s="154"/>
      <c r="AS770" s="1"/>
      <c r="AT770" s="1"/>
      <c r="AU770" s="9"/>
    </row>
    <row r="771">
      <c r="A771" s="54"/>
      <c r="B771" s="71" t="str">
        <f>IFERROR(HYPERLINK(VLOOKUP(A771,Internal_lists_bugs!$A$2:$C$73,3,FALSE()), VLOOKUP(A771,Internal_lists_bugs!$A$2:$C$73,3,FALSE())&amp;Char(10) &amp; Char(10) &amp; VLOOKUP(A771,Internal_lists_bugs!$A$2:$Z$73,26,FALSE())),"please select a BUG ID")</f>
        <v>please select a BUG ID</v>
      </c>
      <c r="C771" s="51" t="str">
        <f>IFERROR(VLOOKUP(A771,Internal_lists_bugs!$A$2:$G2002,7,FALSE()),"please select a BUG ID")</f>
        <v>please select a BUG ID</v>
      </c>
      <c r="D771" s="54"/>
      <c r="E771" s="56"/>
      <c r="F771" s="54"/>
      <c r="G771" s="56"/>
      <c r="H771" s="54"/>
      <c r="I771" s="56"/>
      <c r="J771" s="54"/>
      <c r="K771" s="92"/>
      <c r="L771" s="54"/>
      <c r="M771" s="92"/>
      <c r="N771" s="54"/>
      <c r="O771" s="92"/>
      <c r="P771" s="54"/>
      <c r="Q771" s="92"/>
      <c r="R771" s="54"/>
      <c r="S771" s="92"/>
      <c r="T771" s="117"/>
      <c r="U771" s="92"/>
      <c r="V771" s="54"/>
      <c r="W771" s="92"/>
      <c r="X771" s="54"/>
      <c r="Y771" s="92"/>
      <c r="Z771" s="54"/>
      <c r="AA771" s="92"/>
      <c r="AB771" s="54"/>
      <c r="AC771" s="92"/>
      <c r="AD771" s="54"/>
      <c r="AE771" s="92"/>
      <c r="AF771" s="54"/>
      <c r="AG771" s="92"/>
      <c r="AH771" s="54"/>
      <c r="AI771" s="92"/>
      <c r="AJ771" s="54"/>
      <c r="AK771" s="92"/>
      <c r="AL771" s="54"/>
      <c r="AM771" s="92"/>
      <c r="AO771" s="54"/>
      <c r="AP771" s="123"/>
      <c r="AQ771" s="54"/>
      <c r="AR771" s="154"/>
      <c r="AS771" s="1"/>
      <c r="AT771" s="1"/>
      <c r="AU771" s="9"/>
    </row>
    <row r="772">
      <c r="A772" s="54"/>
      <c r="B772" s="71" t="str">
        <f>IFERROR(HYPERLINK(VLOOKUP(A772,Internal_lists_bugs!$A$2:$C$73,3,FALSE()), VLOOKUP(A772,Internal_lists_bugs!$A$2:$C$73,3,FALSE())&amp;Char(10) &amp; Char(10) &amp; VLOOKUP(A772,Internal_lists_bugs!$A$2:$Z$73,26,FALSE())),"please select a BUG ID")</f>
        <v>please select a BUG ID</v>
      </c>
      <c r="C772" s="51" t="str">
        <f>IFERROR(VLOOKUP(A772,Internal_lists_bugs!$A$2:$G2002,7,FALSE()),"please select a BUG ID")</f>
        <v>please select a BUG ID</v>
      </c>
      <c r="D772" s="54"/>
      <c r="E772" s="56"/>
      <c r="F772" s="54"/>
      <c r="G772" s="56"/>
      <c r="H772" s="54"/>
      <c r="I772" s="56"/>
      <c r="J772" s="54"/>
      <c r="K772" s="92"/>
      <c r="L772" s="54"/>
      <c r="M772" s="92"/>
      <c r="N772" s="54"/>
      <c r="O772" s="92"/>
      <c r="P772" s="54"/>
      <c r="Q772" s="92"/>
      <c r="R772" s="54"/>
      <c r="S772" s="92"/>
      <c r="T772" s="117"/>
      <c r="U772" s="92"/>
      <c r="V772" s="54"/>
      <c r="W772" s="92"/>
      <c r="X772" s="54"/>
      <c r="Y772" s="92"/>
      <c r="Z772" s="54"/>
      <c r="AA772" s="92"/>
      <c r="AB772" s="54"/>
      <c r="AC772" s="92"/>
      <c r="AD772" s="54"/>
      <c r="AE772" s="92"/>
      <c r="AF772" s="54"/>
      <c r="AG772" s="92"/>
      <c r="AH772" s="54"/>
      <c r="AI772" s="92"/>
      <c r="AJ772" s="54"/>
      <c r="AK772" s="92"/>
      <c r="AL772" s="54"/>
      <c r="AM772" s="92"/>
      <c r="AO772" s="54"/>
      <c r="AP772" s="123"/>
      <c r="AQ772" s="54"/>
      <c r="AR772" s="154"/>
      <c r="AS772" s="1"/>
      <c r="AT772" s="1"/>
      <c r="AU772" s="9"/>
    </row>
    <row r="773">
      <c r="A773" s="54"/>
      <c r="B773" s="71" t="str">
        <f>IFERROR(HYPERLINK(VLOOKUP(A773,Internal_lists_bugs!$A$2:$C$73,3,FALSE()), VLOOKUP(A773,Internal_lists_bugs!$A$2:$C$73,3,FALSE())&amp;Char(10) &amp; Char(10) &amp; VLOOKUP(A773,Internal_lists_bugs!$A$2:$Z$73,26,FALSE())),"please select a BUG ID")</f>
        <v>please select a BUG ID</v>
      </c>
      <c r="C773" s="51" t="str">
        <f>IFERROR(VLOOKUP(A773,Internal_lists_bugs!$A$2:$G2002,7,FALSE()),"please select a BUG ID")</f>
        <v>please select a BUG ID</v>
      </c>
      <c r="D773" s="54"/>
      <c r="E773" s="56"/>
      <c r="F773" s="54"/>
      <c r="G773" s="56"/>
      <c r="H773" s="54"/>
      <c r="I773" s="56"/>
      <c r="J773" s="54"/>
      <c r="K773" s="92"/>
      <c r="L773" s="54"/>
      <c r="M773" s="92"/>
      <c r="N773" s="54"/>
      <c r="O773" s="92"/>
      <c r="P773" s="54"/>
      <c r="Q773" s="92"/>
      <c r="R773" s="54"/>
      <c r="S773" s="92"/>
      <c r="T773" s="117"/>
      <c r="U773" s="92"/>
      <c r="V773" s="54"/>
      <c r="W773" s="92"/>
      <c r="X773" s="54"/>
      <c r="Y773" s="92"/>
      <c r="Z773" s="54"/>
      <c r="AA773" s="92"/>
      <c r="AB773" s="54"/>
      <c r="AC773" s="92"/>
      <c r="AD773" s="54"/>
      <c r="AE773" s="92"/>
      <c r="AF773" s="54"/>
      <c r="AG773" s="92"/>
      <c r="AH773" s="54"/>
      <c r="AI773" s="92"/>
      <c r="AJ773" s="54"/>
      <c r="AK773" s="92"/>
      <c r="AL773" s="54"/>
      <c r="AM773" s="92"/>
      <c r="AO773" s="54"/>
      <c r="AP773" s="123"/>
      <c r="AQ773" s="54"/>
      <c r="AR773" s="154"/>
      <c r="AS773" s="1"/>
      <c r="AT773" s="1"/>
      <c r="AU773" s="9"/>
    </row>
    <row r="774">
      <c r="A774" s="54"/>
      <c r="B774" s="71" t="str">
        <f>IFERROR(HYPERLINK(VLOOKUP(A774,Internal_lists_bugs!$A$2:$C$73,3,FALSE()), VLOOKUP(A774,Internal_lists_bugs!$A$2:$C$73,3,FALSE())&amp;Char(10) &amp; Char(10) &amp; VLOOKUP(A774,Internal_lists_bugs!$A$2:$Z$73,26,FALSE())),"please select a BUG ID")</f>
        <v>please select a BUG ID</v>
      </c>
      <c r="C774" s="51" t="str">
        <f>IFERROR(VLOOKUP(A774,Internal_lists_bugs!$A$2:$G2002,7,FALSE()),"please select a BUG ID")</f>
        <v>please select a BUG ID</v>
      </c>
      <c r="D774" s="54"/>
      <c r="E774" s="56"/>
      <c r="F774" s="54"/>
      <c r="G774" s="56"/>
      <c r="H774" s="54"/>
      <c r="I774" s="56"/>
      <c r="J774" s="54"/>
      <c r="K774" s="92"/>
      <c r="L774" s="54"/>
      <c r="M774" s="92"/>
      <c r="N774" s="54"/>
      <c r="O774" s="92"/>
      <c r="P774" s="54"/>
      <c r="Q774" s="92"/>
      <c r="R774" s="54"/>
      <c r="S774" s="92"/>
      <c r="T774" s="117"/>
      <c r="U774" s="92"/>
      <c r="V774" s="54"/>
      <c r="W774" s="92"/>
      <c r="X774" s="54"/>
      <c r="Y774" s="92"/>
      <c r="Z774" s="54"/>
      <c r="AA774" s="92"/>
      <c r="AB774" s="54"/>
      <c r="AC774" s="92"/>
      <c r="AD774" s="54"/>
      <c r="AE774" s="92"/>
      <c r="AF774" s="54"/>
      <c r="AG774" s="92"/>
      <c r="AH774" s="54"/>
      <c r="AI774" s="92"/>
      <c r="AJ774" s="54"/>
      <c r="AK774" s="92"/>
      <c r="AL774" s="54"/>
      <c r="AM774" s="92"/>
      <c r="AO774" s="54"/>
      <c r="AP774" s="123"/>
      <c r="AQ774" s="54"/>
      <c r="AR774" s="154"/>
      <c r="AS774" s="1"/>
      <c r="AT774" s="1"/>
      <c r="AU774" s="9"/>
    </row>
    <row r="775">
      <c r="A775" s="54"/>
      <c r="B775" s="71" t="str">
        <f>IFERROR(HYPERLINK(VLOOKUP(A775,Internal_lists_bugs!$A$2:$C$73,3,FALSE()), VLOOKUP(A775,Internal_lists_bugs!$A$2:$C$73,3,FALSE())&amp;Char(10) &amp; Char(10) &amp; VLOOKUP(A775,Internal_lists_bugs!$A$2:$Z$73,26,FALSE())),"please select a BUG ID")</f>
        <v>please select a BUG ID</v>
      </c>
      <c r="C775" s="51" t="str">
        <f>IFERROR(VLOOKUP(A775,Internal_lists_bugs!$A$2:$G2002,7,FALSE()),"please select a BUG ID")</f>
        <v>please select a BUG ID</v>
      </c>
      <c r="D775" s="54"/>
      <c r="E775" s="56"/>
      <c r="F775" s="54"/>
      <c r="G775" s="56"/>
      <c r="H775" s="54"/>
      <c r="I775" s="56"/>
      <c r="J775" s="54"/>
      <c r="K775" s="92"/>
      <c r="L775" s="54"/>
      <c r="M775" s="92"/>
      <c r="N775" s="54"/>
      <c r="O775" s="92"/>
      <c r="P775" s="54"/>
      <c r="Q775" s="92"/>
      <c r="R775" s="54"/>
      <c r="S775" s="92"/>
      <c r="T775" s="117"/>
      <c r="U775" s="92"/>
      <c r="V775" s="54"/>
      <c r="W775" s="92"/>
      <c r="X775" s="54"/>
      <c r="Y775" s="92"/>
      <c r="Z775" s="54"/>
      <c r="AA775" s="92"/>
      <c r="AB775" s="54"/>
      <c r="AC775" s="92"/>
      <c r="AD775" s="54"/>
      <c r="AE775" s="92"/>
      <c r="AF775" s="54"/>
      <c r="AG775" s="92"/>
      <c r="AH775" s="54"/>
      <c r="AI775" s="92"/>
      <c r="AJ775" s="54"/>
      <c r="AK775" s="92"/>
      <c r="AL775" s="54"/>
      <c r="AM775" s="92"/>
      <c r="AO775" s="54"/>
      <c r="AP775" s="123"/>
      <c r="AQ775" s="54"/>
      <c r="AR775" s="154"/>
      <c r="AS775" s="1"/>
      <c r="AT775" s="1"/>
      <c r="AU775" s="9"/>
    </row>
    <row r="776">
      <c r="A776" s="54"/>
      <c r="B776" s="71" t="str">
        <f>IFERROR(HYPERLINK(VLOOKUP(A776,Internal_lists_bugs!$A$2:$C$73,3,FALSE()), VLOOKUP(A776,Internal_lists_bugs!$A$2:$C$73,3,FALSE())&amp;Char(10) &amp; Char(10) &amp; VLOOKUP(A776,Internal_lists_bugs!$A$2:$Z$73,26,FALSE())),"please select a BUG ID")</f>
        <v>please select a BUG ID</v>
      </c>
      <c r="C776" s="51" t="str">
        <f>IFERROR(VLOOKUP(A776,Internal_lists_bugs!$A$2:$G2002,7,FALSE()),"please select a BUG ID")</f>
        <v>please select a BUG ID</v>
      </c>
      <c r="D776" s="54"/>
      <c r="E776" s="56"/>
      <c r="F776" s="54"/>
      <c r="G776" s="56"/>
      <c r="H776" s="54"/>
      <c r="I776" s="56"/>
      <c r="J776" s="54"/>
      <c r="K776" s="92"/>
      <c r="L776" s="54"/>
      <c r="M776" s="92"/>
      <c r="N776" s="54"/>
      <c r="O776" s="92"/>
      <c r="P776" s="54"/>
      <c r="Q776" s="92"/>
      <c r="R776" s="54"/>
      <c r="S776" s="92"/>
      <c r="T776" s="117"/>
      <c r="U776" s="92"/>
      <c r="V776" s="54"/>
      <c r="W776" s="92"/>
      <c r="X776" s="54"/>
      <c r="Y776" s="92"/>
      <c r="Z776" s="54"/>
      <c r="AA776" s="92"/>
      <c r="AB776" s="54"/>
      <c r="AC776" s="92"/>
      <c r="AD776" s="54"/>
      <c r="AE776" s="92"/>
      <c r="AF776" s="54"/>
      <c r="AG776" s="92"/>
      <c r="AH776" s="54"/>
      <c r="AI776" s="92"/>
      <c r="AJ776" s="54"/>
      <c r="AK776" s="92"/>
      <c r="AL776" s="54"/>
      <c r="AM776" s="92"/>
      <c r="AO776" s="54"/>
      <c r="AP776" s="123"/>
      <c r="AQ776" s="54"/>
      <c r="AR776" s="154"/>
      <c r="AS776" s="1"/>
      <c r="AT776" s="1"/>
      <c r="AU776" s="9"/>
    </row>
    <row r="777">
      <c r="A777" s="54"/>
      <c r="B777" s="71" t="str">
        <f>IFERROR(HYPERLINK(VLOOKUP(A777,Internal_lists_bugs!$A$2:$C$73,3,FALSE()), VLOOKUP(A777,Internal_lists_bugs!$A$2:$C$73,3,FALSE())&amp;Char(10) &amp; Char(10) &amp; VLOOKUP(A777,Internal_lists_bugs!$A$2:$Z$73,26,FALSE())),"please select a BUG ID")</f>
        <v>please select a BUG ID</v>
      </c>
      <c r="C777" s="51" t="str">
        <f>IFERROR(VLOOKUP(A777,Internal_lists_bugs!$A$2:$G2002,7,FALSE()),"please select a BUG ID")</f>
        <v>please select a BUG ID</v>
      </c>
      <c r="D777" s="54"/>
      <c r="E777" s="56"/>
      <c r="F777" s="54"/>
      <c r="G777" s="56"/>
      <c r="H777" s="54"/>
      <c r="I777" s="56"/>
      <c r="J777" s="54"/>
      <c r="K777" s="92"/>
      <c r="L777" s="54"/>
      <c r="M777" s="92"/>
      <c r="N777" s="54"/>
      <c r="O777" s="92"/>
      <c r="P777" s="54"/>
      <c r="Q777" s="92"/>
      <c r="R777" s="54"/>
      <c r="S777" s="92"/>
      <c r="T777" s="117"/>
      <c r="U777" s="92"/>
      <c r="V777" s="54"/>
      <c r="W777" s="92"/>
      <c r="X777" s="54"/>
      <c r="Y777" s="92"/>
      <c r="Z777" s="54"/>
      <c r="AA777" s="92"/>
      <c r="AB777" s="54"/>
      <c r="AC777" s="92"/>
      <c r="AD777" s="54"/>
      <c r="AE777" s="92"/>
      <c r="AF777" s="54"/>
      <c r="AG777" s="92"/>
      <c r="AH777" s="54"/>
      <c r="AI777" s="92"/>
      <c r="AJ777" s="54"/>
      <c r="AK777" s="92"/>
      <c r="AL777" s="54"/>
      <c r="AM777" s="92"/>
      <c r="AO777" s="54"/>
      <c r="AP777" s="123"/>
      <c r="AQ777" s="54"/>
      <c r="AR777" s="154"/>
      <c r="AS777" s="1"/>
      <c r="AT777" s="1"/>
      <c r="AU777" s="9"/>
    </row>
    <row r="778">
      <c r="A778" s="54"/>
      <c r="B778" s="71" t="str">
        <f>IFERROR(HYPERLINK(VLOOKUP(A778,Internal_lists_bugs!$A$2:$C$73,3,FALSE()), VLOOKUP(A778,Internal_lists_bugs!$A$2:$C$73,3,FALSE())&amp;Char(10) &amp; Char(10) &amp; VLOOKUP(A778,Internal_lists_bugs!$A$2:$Z$73,26,FALSE())),"please select a BUG ID")</f>
        <v>please select a BUG ID</v>
      </c>
      <c r="C778" s="51" t="str">
        <f>IFERROR(VLOOKUP(A778,Internal_lists_bugs!$A$2:$G2002,7,FALSE()),"please select a BUG ID")</f>
        <v>please select a BUG ID</v>
      </c>
      <c r="D778" s="54"/>
      <c r="E778" s="56"/>
      <c r="F778" s="54"/>
      <c r="G778" s="56"/>
      <c r="H778" s="54"/>
      <c r="I778" s="56"/>
      <c r="J778" s="54"/>
      <c r="K778" s="92"/>
      <c r="L778" s="54"/>
      <c r="M778" s="92"/>
      <c r="N778" s="54"/>
      <c r="O778" s="92"/>
      <c r="P778" s="54"/>
      <c r="Q778" s="92"/>
      <c r="R778" s="54"/>
      <c r="S778" s="92"/>
      <c r="T778" s="117"/>
      <c r="U778" s="92"/>
      <c r="V778" s="54"/>
      <c r="W778" s="92"/>
      <c r="X778" s="54"/>
      <c r="Y778" s="92"/>
      <c r="Z778" s="54"/>
      <c r="AA778" s="92"/>
      <c r="AB778" s="54"/>
      <c r="AC778" s="92"/>
      <c r="AD778" s="54"/>
      <c r="AE778" s="92"/>
      <c r="AF778" s="54"/>
      <c r="AG778" s="92"/>
      <c r="AH778" s="54"/>
      <c r="AI778" s="92"/>
      <c r="AJ778" s="54"/>
      <c r="AK778" s="92"/>
      <c r="AL778" s="54"/>
      <c r="AM778" s="92"/>
      <c r="AO778" s="54"/>
      <c r="AP778" s="123"/>
      <c r="AQ778" s="54"/>
      <c r="AR778" s="154"/>
      <c r="AS778" s="1"/>
      <c r="AT778" s="1"/>
      <c r="AU778" s="9"/>
    </row>
    <row r="779">
      <c r="A779" s="54"/>
      <c r="B779" s="71" t="str">
        <f>IFERROR(HYPERLINK(VLOOKUP(A779,Internal_lists_bugs!$A$2:$C$73,3,FALSE()), VLOOKUP(A779,Internal_lists_bugs!$A$2:$C$73,3,FALSE())&amp;Char(10) &amp; Char(10) &amp; VLOOKUP(A779,Internal_lists_bugs!$A$2:$Z$73,26,FALSE())),"please select a BUG ID")</f>
        <v>please select a BUG ID</v>
      </c>
      <c r="C779" s="51" t="str">
        <f>IFERROR(VLOOKUP(A779,Internal_lists_bugs!$A$2:$G2002,7,FALSE()),"please select a BUG ID")</f>
        <v>please select a BUG ID</v>
      </c>
      <c r="D779" s="54"/>
      <c r="E779" s="56"/>
      <c r="F779" s="54"/>
      <c r="G779" s="56"/>
      <c r="H779" s="54"/>
      <c r="I779" s="56"/>
      <c r="J779" s="54"/>
      <c r="K779" s="92"/>
      <c r="L779" s="54"/>
      <c r="M779" s="92"/>
      <c r="N779" s="54"/>
      <c r="O779" s="92"/>
      <c r="P779" s="54"/>
      <c r="Q779" s="92"/>
      <c r="R779" s="54"/>
      <c r="S779" s="92"/>
      <c r="T779" s="117"/>
      <c r="U779" s="92"/>
      <c r="V779" s="54"/>
      <c r="W779" s="92"/>
      <c r="X779" s="54"/>
      <c r="Y779" s="92"/>
      <c r="Z779" s="54"/>
      <c r="AA779" s="92"/>
      <c r="AB779" s="54"/>
      <c r="AC779" s="92"/>
      <c r="AD779" s="54"/>
      <c r="AE779" s="92"/>
      <c r="AF779" s="54"/>
      <c r="AG779" s="92"/>
      <c r="AH779" s="54"/>
      <c r="AI779" s="92"/>
      <c r="AJ779" s="54"/>
      <c r="AK779" s="92"/>
      <c r="AL779" s="54"/>
      <c r="AM779" s="92"/>
      <c r="AO779" s="54"/>
      <c r="AP779" s="123"/>
      <c r="AQ779" s="54"/>
      <c r="AR779" s="154"/>
      <c r="AS779" s="1"/>
      <c r="AT779" s="1"/>
      <c r="AU779" s="9"/>
    </row>
    <row r="780">
      <c r="A780" s="54"/>
      <c r="B780" s="71" t="str">
        <f>IFERROR(HYPERLINK(VLOOKUP(A780,Internal_lists_bugs!$A$2:$C$73,3,FALSE()), VLOOKUP(A780,Internal_lists_bugs!$A$2:$C$73,3,FALSE())&amp;Char(10) &amp; Char(10) &amp; VLOOKUP(A780,Internal_lists_bugs!$A$2:$Z$73,26,FALSE())),"please select a BUG ID")</f>
        <v>please select a BUG ID</v>
      </c>
      <c r="C780" s="51" t="str">
        <f>IFERROR(VLOOKUP(A780,Internal_lists_bugs!$A$2:$G2002,7,FALSE()),"please select a BUG ID")</f>
        <v>please select a BUG ID</v>
      </c>
      <c r="D780" s="54"/>
      <c r="E780" s="56"/>
      <c r="F780" s="54"/>
      <c r="G780" s="56"/>
      <c r="H780" s="54"/>
      <c r="I780" s="56"/>
      <c r="J780" s="54"/>
      <c r="K780" s="92"/>
      <c r="L780" s="54"/>
      <c r="M780" s="92"/>
      <c r="N780" s="54"/>
      <c r="O780" s="92"/>
      <c r="P780" s="54"/>
      <c r="Q780" s="92"/>
      <c r="R780" s="54"/>
      <c r="S780" s="92"/>
      <c r="T780" s="117"/>
      <c r="U780" s="92"/>
      <c r="V780" s="54"/>
      <c r="W780" s="92"/>
      <c r="X780" s="54"/>
      <c r="Y780" s="92"/>
      <c r="Z780" s="54"/>
      <c r="AA780" s="92"/>
      <c r="AB780" s="54"/>
      <c r="AC780" s="92"/>
      <c r="AD780" s="54"/>
      <c r="AE780" s="92"/>
      <c r="AF780" s="54"/>
      <c r="AG780" s="92"/>
      <c r="AH780" s="54"/>
      <c r="AI780" s="92"/>
      <c r="AJ780" s="54"/>
      <c r="AK780" s="92"/>
      <c r="AL780" s="54"/>
      <c r="AM780" s="92"/>
      <c r="AO780" s="54"/>
      <c r="AP780" s="123"/>
      <c r="AQ780" s="54"/>
      <c r="AR780" s="154"/>
      <c r="AS780" s="1"/>
      <c r="AT780" s="1"/>
      <c r="AU780" s="9"/>
    </row>
    <row r="781">
      <c r="A781" s="54"/>
      <c r="B781" s="71" t="str">
        <f>IFERROR(HYPERLINK(VLOOKUP(A781,Internal_lists_bugs!$A$2:$C$73,3,FALSE()), VLOOKUP(A781,Internal_lists_bugs!$A$2:$C$73,3,FALSE())&amp;Char(10) &amp; Char(10) &amp; VLOOKUP(A781,Internal_lists_bugs!$A$2:$Z$73,26,FALSE())),"please select a BUG ID")</f>
        <v>please select a BUG ID</v>
      </c>
      <c r="C781" s="51" t="str">
        <f>IFERROR(VLOOKUP(A781,Internal_lists_bugs!$A$2:$G2002,7,FALSE()),"please select a BUG ID")</f>
        <v>please select a BUG ID</v>
      </c>
      <c r="D781" s="54"/>
      <c r="E781" s="56"/>
      <c r="F781" s="54"/>
      <c r="G781" s="56"/>
      <c r="H781" s="54"/>
      <c r="I781" s="56"/>
      <c r="J781" s="54"/>
      <c r="K781" s="92"/>
      <c r="L781" s="54"/>
      <c r="M781" s="92"/>
      <c r="N781" s="54"/>
      <c r="O781" s="92"/>
      <c r="P781" s="54"/>
      <c r="Q781" s="92"/>
      <c r="R781" s="54"/>
      <c r="S781" s="92"/>
      <c r="T781" s="117"/>
      <c r="U781" s="92"/>
      <c r="V781" s="54"/>
      <c r="W781" s="92"/>
      <c r="X781" s="54"/>
      <c r="Y781" s="92"/>
      <c r="Z781" s="54"/>
      <c r="AA781" s="92"/>
      <c r="AB781" s="54"/>
      <c r="AC781" s="92"/>
      <c r="AD781" s="54"/>
      <c r="AE781" s="92"/>
      <c r="AF781" s="54"/>
      <c r="AG781" s="92"/>
      <c r="AH781" s="54"/>
      <c r="AI781" s="92"/>
      <c r="AJ781" s="54"/>
      <c r="AK781" s="92"/>
      <c r="AL781" s="54"/>
      <c r="AM781" s="92"/>
      <c r="AO781" s="54"/>
      <c r="AP781" s="123"/>
      <c r="AQ781" s="54"/>
      <c r="AR781" s="154"/>
      <c r="AS781" s="1"/>
      <c r="AT781" s="1"/>
      <c r="AU781" s="9"/>
    </row>
    <row r="782">
      <c r="A782" s="54"/>
      <c r="B782" s="71" t="str">
        <f>IFERROR(HYPERLINK(VLOOKUP(A782,Internal_lists_bugs!$A$2:$C$73,3,FALSE()), VLOOKUP(A782,Internal_lists_bugs!$A$2:$C$73,3,FALSE())&amp;Char(10) &amp; Char(10) &amp; VLOOKUP(A782,Internal_lists_bugs!$A$2:$Z$73,26,FALSE())),"please select a BUG ID")</f>
        <v>please select a BUG ID</v>
      </c>
      <c r="C782" s="51" t="str">
        <f>IFERROR(VLOOKUP(A782,Internal_lists_bugs!$A$2:$G2002,7,FALSE()),"please select a BUG ID")</f>
        <v>please select a BUG ID</v>
      </c>
      <c r="D782" s="54"/>
      <c r="E782" s="56"/>
      <c r="F782" s="54"/>
      <c r="G782" s="56"/>
      <c r="H782" s="54"/>
      <c r="I782" s="56"/>
      <c r="J782" s="54"/>
      <c r="K782" s="92"/>
      <c r="L782" s="54"/>
      <c r="M782" s="92"/>
      <c r="N782" s="54"/>
      <c r="O782" s="92"/>
      <c r="P782" s="54"/>
      <c r="Q782" s="92"/>
      <c r="R782" s="54"/>
      <c r="S782" s="92"/>
      <c r="T782" s="117"/>
      <c r="U782" s="92"/>
      <c r="V782" s="54"/>
      <c r="W782" s="92"/>
      <c r="X782" s="54"/>
      <c r="Y782" s="92"/>
      <c r="Z782" s="54"/>
      <c r="AA782" s="92"/>
      <c r="AB782" s="54"/>
      <c r="AC782" s="92"/>
      <c r="AD782" s="54"/>
      <c r="AE782" s="92"/>
      <c r="AF782" s="54"/>
      <c r="AG782" s="92"/>
      <c r="AH782" s="54"/>
      <c r="AI782" s="92"/>
      <c r="AJ782" s="54"/>
      <c r="AK782" s="92"/>
      <c r="AL782" s="54"/>
      <c r="AM782" s="92"/>
      <c r="AO782" s="54"/>
      <c r="AP782" s="123"/>
      <c r="AQ782" s="54"/>
      <c r="AR782" s="154"/>
      <c r="AS782" s="1"/>
      <c r="AT782" s="1"/>
      <c r="AU782" s="9"/>
    </row>
    <row r="783">
      <c r="A783" s="54"/>
      <c r="B783" s="71" t="str">
        <f>IFERROR(HYPERLINK(VLOOKUP(A783,Internal_lists_bugs!$A$2:$C$73,3,FALSE()), VLOOKUP(A783,Internal_lists_bugs!$A$2:$C$73,3,FALSE())&amp;Char(10) &amp; Char(10) &amp; VLOOKUP(A783,Internal_lists_bugs!$A$2:$Z$73,26,FALSE())),"please select a BUG ID")</f>
        <v>please select a BUG ID</v>
      </c>
      <c r="C783" s="51" t="str">
        <f>IFERROR(VLOOKUP(A783,Internal_lists_bugs!$A$2:$G2002,7,FALSE()),"please select a BUG ID")</f>
        <v>please select a BUG ID</v>
      </c>
      <c r="D783" s="54"/>
      <c r="E783" s="56"/>
      <c r="F783" s="54"/>
      <c r="G783" s="56"/>
      <c r="H783" s="54"/>
      <c r="I783" s="56"/>
      <c r="J783" s="54"/>
      <c r="K783" s="92"/>
      <c r="L783" s="54"/>
      <c r="M783" s="92"/>
      <c r="N783" s="54"/>
      <c r="O783" s="92"/>
      <c r="P783" s="54"/>
      <c r="Q783" s="92"/>
      <c r="R783" s="54"/>
      <c r="S783" s="92"/>
      <c r="T783" s="117"/>
      <c r="U783" s="92"/>
      <c r="V783" s="54"/>
      <c r="W783" s="92"/>
      <c r="X783" s="54"/>
      <c r="Y783" s="92"/>
      <c r="Z783" s="54"/>
      <c r="AA783" s="92"/>
      <c r="AB783" s="54"/>
      <c r="AC783" s="92"/>
      <c r="AD783" s="54"/>
      <c r="AE783" s="92"/>
      <c r="AF783" s="54"/>
      <c r="AG783" s="92"/>
      <c r="AH783" s="54"/>
      <c r="AI783" s="92"/>
      <c r="AJ783" s="54"/>
      <c r="AK783" s="92"/>
      <c r="AL783" s="54"/>
      <c r="AM783" s="92"/>
      <c r="AO783" s="54"/>
      <c r="AP783" s="123"/>
      <c r="AQ783" s="54"/>
      <c r="AR783" s="154"/>
      <c r="AS783" s="1"/>
      <c r="AT783" s="1"/>
      <c r="AU783" s="9"/>
    </row>
    <row r="784">
      <c r="A784" s="54"/>
      <c r="B784" s="71" t="str">
        <f>IFERROR(HYPERLINK(VLOOKUP(A784,Internal_lists_bugs!$A$2:$C$73,3,FALSE()), VLOOKUP(A784,Internal_lists_bugs!$A$2:$C$73,3,FALSE())&amp;Char(10) &amp; Char(10) &amp; VLOOKUP(A784,Internal_lists_bugs!$A$2:$Z$73,26,FALSE())),"please select a BUG ID")</f>
        <v>please select a BUG ID</v>
      </c>
      <c r="C784" s="51" t="str">
        <f>IFERROR(VLOOKUP(A784,Internal_lists_bugs!$A$2:$G2002,7,FALSE()),"please select a BUG ID")</f>
        <v>please select a BUG ID</v>
      </c>
      <c r="D784" s="54"/>
      <c r="E784" s="56"/>
      <c r="F784" s="54"/>
      <c r="G784" s="56"/>
      <c r="H784" s="54"/>
      <c r="I784" s="56"/>
      <c r="J784" s="54"/>
      <c r="K784" s="92"/>
      <c r="L784" s="54"/>
      <c r="M784" s="92"/>
      <c r="N784" s="54"/>
      <c r="O784" s="92"/>
      <c r="P784" s="54"/>
      <c r="Q784" s="92"/>
      <c r="R784" s="54"/>
      <c r="S784" s="92"/>
      <c r="T784" s="117"/>
      <c r="U784" s="92"/>
      <c r="V784" s="54"/>
      <c r="W784" s="92"/>
      <c r="X784" s="54"/>
      <c r="Y784" s="92"/>
      <c r="Z784" s="54"/>
      <c r="AA784" s="92"/>
      <c r="AB784" s="54"/>
      <c r="AC784" s="92"/>
      <c r="AD784" s="54"/>
      <c r="AE784" s="92"/>
      <c r="AF784" s="54"/>
      <c r="AG784" s="92"/>
      <c r="AH784" s="54"/>
      <c r="AI784" s="92"/>
      <c r="AJ784" s="54"/>
      <c r="AK784" s="92"/>
      <c r="AL784" s="54"/>
      <c r="AM784" s="92"/>
      <c r="AO784" s="54"/>
      <c r="AP784" s="123"/>
      <c r="AQ784" s="54"/>
      <c r="AR784" s="154"/>
      <c r="AS784" s="1"/>
      <c r="AT784" s="1"/>
      <c r="AU784" s="9"/>
    </row>
    <row r="785">
      <c r="A785" s="54"/>
      <c r="B785" s="71" t="str">
        <f>IFERROR(HYPERLINK(VLOOKUP(A785,Internal_lists_bugs!$A$2:$C$73,3,FALSE()), VLOOKUP(A785,Internal_lists_bugs!$A$2:$C$73,3,FALSE())&amp;Char(10) &amp; Char(10) &amp; VLOOKUP(A785,Internal_lists_bugs!$A$2:$Z$73,26,FALSE())),"please select a BUG ID")</f>
        <v>please select a BUG ID</v>
      </c>
      <c r="C785" s="51" t="str">
        <f>IFERROR(VLOOKUP(A785,Internal_lists_bugs!$A$2:$G2002,7,FALSE()),"please select a BUG ID")</f>
        <v>please select a BUG ID</v>
      </c>
      <c r="D785" s="54"/>
      <c r="E785" s="56"/>
      <c r="F785" s="54"/>
      <c r="G785" s="56"/>
      <c r="H785" s="54"/>
      <c r="I785" s="56"/>
      <c r="J785" s="54"/>
      <c r="K785" s="92"/>
      <c r="L785" s="54"/>
      <c r="M785" s="92"/>
      <c r="N785" s="54"/>
      <c r="O785" s="92"/>
      <c r="P785" s="54"/>
      <c r="Q785" s="92"/>
      <c r="R785" s="54"/>
      <c r="S785" s="92"/>
      <c r="T785" s="117"/>
      <c r="U785" s="92"/>
      <c r="V785" s="54"/>
      <c r="W785" s="92"/>
      <c r="X785" s="54"/>
      <c r="Y785" s="92"/>
      <c r="Z785" s="54"/>
      <c r="AA785" s="92"/>
      <c r="AB785" s="54"/>
      <c r="AC785" s="92"/>
      <c r="AD785" s="54"/>
      <c r="AE785" s="92"/>
      <c r="AF785" s="54"/>
      <c r="AG785" s="92"/>
      <c r="AH785" s="54"/>
      <c r="AI785" s="92"/>
      <c r="AJ785" s="54"/>
      <c r="AK785" s="92"/>
      <c r="AL785" s="54"/>
      <c r="AM785" s="92"/>
      <c r="AO785" s="54"/>
      <c r="AP785" s="123"/>
      <c r="AQ785" s="54"/>
      <c r="AR785" s="154"/>
      <c r="AS785" s="1"/>
      <c r="AT785" s="1"/>
      <c r="AU785" s="9"/>
    </row>
    <row r="786">
      <c r="A786" s="54"/>
      <c r="B786" s="71" t="str">
        <f>IFERROR(HYPERLINK(VLOOKUP(A786,Internal_lists_bugs!$A$2:$C$73,3,FALSE()), VLOOKUP(A786,Internal_lists_bugs!$A$2:$C$73,3,FALSE())&amp;Char(10) &amp; Char(10) &amp; VLOOKUP(A786,Internal_lists_bugs!$A$2:$Z$73,26,FALSE())),"please select a BUG ID")</f>
        <v>please select a BUG ID</v>
      </c>
      <c r="C786" s="51" t="str">
        <f>IFERROR(VLOOKUP(A786,Internal_lists_bugs!$A$2:$G2002,7,FALSE()),"please select a BUG ID")</f>
        <v>please select a BUG ID</v>
      </c>
      <c r="D786" s="54"/>
      <c r="E786" s="56"/>
      <c r="F786" s="54"/>
      <c r="G786" s="56"/>
      <c r="H786" s="54"/>
      <c r="I786" s="56"/>
      <c r="J786" s="54"/>
      <c r="K786" s="92"/>
      <c r="L786" s="54"/>
      <c r="M786" s="92"/>
      <c r="N786" s="54"/>
      <c r="O786" s="92"/>
      <c r="P786" s="54"/>
      <c r="Q786" s="92"/>
      <c r="R786" s="54"/>
      <c r="S786" s="92"/>
      <c r="T786" s="117"/>
      <c r="U786" s="92"/>
      <c r="V786" s="54"/>
      <c r="W786" s="92"/>
      <c r="X786" s="54"/>
      <c r="Y786" s="92"/>
      <c r="Z786" s="54"/>
      <c r="AA786" s="92"/>
      <c r="AB786" s="54"/>
      <c r="AC786" s="92"/>
      <c r="AD786" s="54"/>
      <c r="AE786" s="92"/>
      <c r="AF786" s="54"/>
      <c r="AG786" s="92"/>
      <c r="AH786" s="54"/>
      <c r="AI786" s="92"/>
      <c r="AJ786" s="54"/>
      <c r="AK786" s="92"/>
      <c r="AL786" s="54"/>
      <c r="AM786" s="92"/>
      <c r="AO786" s="54"/>
      <c r="AP786" s="123"/>
      <c r="AQ786" s="54"/>
      <c r="AR786" s="154"/>
      <c r="AS786" s="1"/>
      <c r="AT786" s="1"/>
      <c r="AU786" s="9"/>
    </row>
    <row r="787">
      <c r="A787" s="54"/>
      <c r="B787" s="71" t="str">
        <f>IFERROR(HYPERLINK(VLOOKUP(A787,Internal_lists_bugs!$A$2:$C$73,3,FALSE()), VLOOKUP(A787,Internal_lists_bugs!$A$2:$C$73,3,FALSE())&amp;Char(10) &amp; Char(10) &amp; VLOOKUP(A787,Internal_lists_bugs!$A$2:$Z$73,26,FALSE())),"please select a BUG ID")</f>
        <v>please select a BUG ID</v>
      </c>
      <c r="C787" s="51" t="str">
        <f>IFERROR(VLOOKUP(A787,Internal_lists_bugs!$A$2:$G2002,7,FALSE()),"please select a BUG ID")</f>
        <v>please select a BUG ID</v>
      </c>
      <c r="D787" s="54"/>
      <c r="E787" s="56"/>
      <c r="F787" s="54"/>
      <c r="G787" s="56"/>
      <c r="H787" s="54"/>
      <c r="I787" s="56"/>
      <c r="J787" s="54"/>
      <c r="K787" s="92"/>
      <c r="L787" s="54"/>
      <c r="M787" s="92"/>
      <c r="N787" s="54"/>
      <c r="O787" s="92"/>
      <c r="P787" s="54"/>
      <c r="Q787" s="92"/>
      <c r="R787" s="54"/>
      <c r="S787" s="92"/>
      <c r="T787" s="117"/>
      <c r="U787" s="92"/>
      <c r="V787" s="54"/>
      <c r="W787" s="92"/>
      <c r="X787" s="54"/>
      <c r="Y787" s="92"/>
      <c r="Z787" s="54"/>
      <c r="AA787" s="92"/>
      <c r="AB787" s="54"/>
      <c r="AC787" s="92"/>
      <c r="AD787" s="54"/>
      <c r="AE787" s="92"/>
      <c r="AF787" s="54"/>
      <c r="AG787" s="92"/>
      <c r="AH787" s="54"/>
      <c r="AI787" s="92"/>
      <c r="AJ787" s="54"/>
      <c r="AK787" s="92"/>
      <c r="AL787" s="54"/>
      <c r="AM787" s="92"/>
      <c r="AO787" s="54"/>
      <c r="AP787" s="123"/>
      <c r="AQ787" s="54"/>
      <c r="AR787" s="154"/>
      <c r="AS787" s="1"/>
      <c r="AT787" s="1"/>
      <c r="AU787" s="9"/>
    </row>
    <row r="788">
      <c r="A788" s="54"/>
      <c r="B788" s="71" t="str">
        <f>IFERROR(HYPERLINK(VLOOKUP(A788,Internal_lists_bugs!$A$2:$C$73,3,FALSE()), VLOOKUP(A788,Internal_lists_bugs!$A$2:$C$73,3,FALSE())&amp;Char(10) &amp; Char(10) &amp; VLOOKUP(A788,Internal_lists_bugs!$A$2:$Z$73,26,FALSE())),"please select a BUG ID")</f>
        <v>please select a BUG ID</v>
      </c>
      <c r="C788" s="51" t="str">
        <f>IFERROR(VLOOKUP(A788,Internal_lists_bugs!$A$2:$G2002,7,FALSE()),"please select a BUG ID")</f>
        <v>please select a BUG ID</v>
      </c>
      <c r="D788" s="54"/>
      <c r="E788" s="56"/>
      <c r="F788" s="54"/>
      <c r="G788" s="56"/>
      <c r="H788" s="54"/>
      <c r="I788" s="56"/>
      <c r="J788" s="54"/>
      <c r="K788" s="92"/>
      <c r="L788" s="54"/>
      <c r="M788" s="92"/>
      <c r="N788" s="54"/>
      <c r="O788" s="92"/>
      <c r="P788" s="54"/>
      <c r="Q788" s="92"/>
      <c r="R788" s="54"/>
      <c r="S788" s="92"/>
      <c r="T788" s="117"/>
      <c r="U788" s="92"/>
      <c r="V788" s="54"/>
      <c r="W788" s="92"/>
      <c r="X788" s="54"/>
      <c r="Y788" s="92"/>
      <c r="Z788" s="54"/>
      <c r="AA788" s="92"/>
      <c r="AB788" s="54"/>
      <c r="AC788" s="92"/>
      <c r="AD788" s="54"/>
      <c r="AE788" s="92"/>
      <c r="AF788" s="54"/>
      <c r="AG788" s="92"/>
      <c r="AH788" s="54"/>
      <c r="AI788" s="92"/>
      <c r="AJ788" s="54"/>
      <c r="AK788" s="92"/>
      <c r="AL788" s="54"/>
      <c r="AM788" s="92"/>
      <c r="AO788" s="54"/>
      <c r="AP788" s="123"/>
      <c r="AQ788" s="54"/>
      <c r="AR788" s="154"/>
      <c r="AS788" s="1"/>
      <c r="AT788" s="1"/>
      <c r="AU788" s="9"/>
    </row>
    <row r="789">
      <c r="A789" s="54"/>
      <c r="B789" s="71" t="str">
        <f>IFERROR(HYPERLINK(VLOOKUP(A789,Internal_lists_bugs!$A$2:$C$73,3,FALSE()), VLOOKUP(A789,Internal_lists_bugs!$A$2:$C$73,3,FALSE())&amp;Char(10) &amp; Char(10) &amp; VLOOKUP(A789,Internal_lists_bugs!$A$2:$Z$73,26,FALSE())),"please select a BUG ID")</f>
        <v>please select a BUG ID</v>
      </c>
      <c r="C789" s="51" t="str">
        <f>IFERROR(VLOOKUP(A789,Internal_lists_bugs!$A$2:$G2002,7,FALSE()),"please select a BUG ID")</f>
        <v>please select a BUG ID</v>
      </c>
      <c r="D789" s="54"/>
      <c r="E789" s="56"/>
      <c r="F789" s="54"/>
      <c r="G789" s="56"/>
      <c r="H789" s="54"/>
      <c r="I789" s="56"/>
      <c r="J789" s="54"/>
      <c r="K789" s="92"/>
      <c r="L789" s="54"/>
      <c r="M789" s="92"/>
      <c r="N789" s="54"/>
      <c r="O789" s="92"/>
      <c r="P789" s="54"/>
      <c r="Q789" s="92"/>
      <c r="R789" s="54"/>
      <c r="S789" s="92"/>
      <c r="T789" s="117"/>
      <c r="U789" s="92"/>
      <c r="V789" s="54"/>
      <c r="W789" s="92"/>
      <c r="X789" s="54"/>
      <c r="Y789" s="92"/>
      <c r="Z789" s="54"/>
      <c r="AA789" s="92"/>
      <c r="AB789" s="54"/>
      <c r="AC789" s="92"/>
      <c r="AD789" s="54"/>
      <c r="AE789" s="92"/>
      <c r="AF789" s="54"/>
      <c r="AG789" s="92"/>
      <c r="AH789" s="54"/>
      <c r="AI789" s="92"/>
      <c r="AJ789" s="54"/>
      <c r="AK789" s="92"/>
      <c r="AL789" s="54"/>
      <c r="AM789" s="92"/>
      <c r="AO789" s="54"/>
      <c r="AP789" s="123"/>
      <c r="AQ789" s="54"/>
      <c r="AR789" s="154"/>
      <c r="AS789" s="1"/>
      <c r="AT789" s="1"/>
      <c r="AU789" s="9"/>
    </row>
    <row r="790">
      <c r="A790" s="54"/>
      <c r="B790" s="71" t="str">
        <f>IFERROR(HYPERLINK(VLOOKUP(A790,Internal_lists_bugs!$A$2:$C$73,3,FALSE()), VLOOKUP(A790,Internal_lists_bugs!$A$2:$C$73,3,FALSE())&amp;Char(10) &amp; Char(10) &amp; VLOOKUP(A790,Internal_lists_bugs!$A$2:$Z$73,26,FALSE())),"please select a BUG ID")</f>
        <v>please select a BUG ID</v>
      </c>
      <c r="C790" s="51" t="str">
        <f>IFERROR(VLOOKUP(A790,Internal_lists_bugs!$A$2:$G2002,7,FALSE()),"please select a BUG ID")</f>
        <v>please select a BUG ID</v>
      </c>
      <c r="D790" s="54"/>
      <c r="E790" s="56"/>
      <c r="F790" s="54"/>
      <c r="G790" s="56"/>
      <c r="H790" s="54"/>
      <c r="I790" s="56"/>
      <c r="J790" s="54"/>
      <c r="K790" s="92"/>
      <c r="L790" s="54"/>
      <c r="M790" s="92"/>
      <c r="N790" s="54"/>
      <c r="O790" s="92"/>
      <c r="P790" s="54"/>
      <c r="Q790" s="92"/>
      <c r="R790" s="54"/>
      <c r="S790" s="92"/>
      <c r="T790" s="117"/>
      <c r="U790" s="92"/>
      <c r="V790" s="54"/>
      <c r="W790" s="92"/>
      <c r="X790" s="54"/>
      <c r="Y790" s="92"/>
      <c r="Z790" s="54"/>
      <c r="AA790" s="92"/>
      <c r="AB790" s="54"/>
      <c r="AC790" s="92"/>
      <c r="AD790" s="54"/>
      <c r="AE790" s="92"/>
      <c r="AF790" s="54"/>
      <c r="AG790" s="92"/>
      <c r="AH790" s="54"/>
      <c r="AI790" s="92"/>
      <c r="AJ790" s="54"/>
      <c r="AK790" s="92"/>
      <c r="AL790" s="54"/>
      <c r="AM790" s="92"/>
      <c r="AO790" s="54"/>
      <c r="AP790" s="123"/>
      <c r="AQ790" s="54"/>
      <c r="AR790" s="154"/>
      <c r="AS790" s="1"/>
      <c r="AT790" s="1"/>
      <c r="AU790" s="9"/>
    </row>
    <row r="791">
      <c r="A791" s="54"/>
      <c r="B791" s="71" t="str">
        <f>IFERROR(HYPERLINK(VLOOKUP(A791,Internal_lists_bugs!$A$2:$C$73,3,FALSE()), VLOOKUP(A791,Internal_lists_bugs!$A$2:$C$73,3,FALSE())&amp;Char(10) &amp; Char(10) &amp; VLOOKUP(A791,Internal_lists_bugs!$A$2:$Z$73,26,FALSE())),"please select a BUG ID")</f>
        <v>please select a BUG ID</v>
      </c>
      <c r="C791" s="51" t="str">
        <f>IFERROR(VLOOKUP(A791,Internal_lists_bugs!$A$2:$G2002,7,FALSE()),"please select a BUG ID")</f>
        <v>please select a BUG ID</v>
      </c>
      <c r="D791" s="54"/>
      <c r="E791" s="56"/>
      <c r="F791" s="54"/>
      <c r="G791" s="56"/>
      <c r="H791" s="54"/>
      <c r="I791" s="56"/>
      <c r="J791" s="54"/>
      <c r="K791" s="92"/>
      <c r="L791" s="54"/>
      <c r="M791" s="92"/>
      <c r="N791" s="54"/>
      <c r="O791" s="92"/>
      <c r="P791" s="54"/>
      <c r="Q791" s="92"/>
      <c r="R791" s="54"/>
      <c r="S791" s="92"/>
      <c r="T791" s="117"/>
      <c r="U791" s="92"/>
      <c r="V791" s="54"/>
      <c r="W791" s="92"/>
      <c r="X791" s="54"/>
      <c r="Y791" s="92"/>
      <c r="Z791" s="54"/>
      <c r="AA791" s="92"/>
      <c r="AB791" s="54"/>
      <c r="AC791" s="92"/>
      <c r="AD791" s="54"/>
      <c r="AE791" s="92"/>
      <c r="AF791" s="54"/>
      <c r="AG791" s="92"/>
      <c r="AH791" s="54"/>
      <c r="AI791" s="92"/>
      <c r="AJ791" s="54"/>
      <c r="AK791" s="92"/>
      <c r="AL791" s="54"/>
      <c r="AM791" s="92"/>
      <c r="AO791" s="54"/>
      <c r="AP791" s="123"/>
      <c r="AQ791" s="54"/>
      <c r="AR791" s="154"/>
      <c r="AS791" s="1"/>
      <c r="AT791" s="1"/>
      <c r="AU791" s="9"/>
    </row>
    <row r="792">
      <c r="A792" s="54"/>
      <c r="B792" s="71" t="str">
        <f>IFERROR(HYPERLINK(VLOOKUP(A792,Internal_lists_bugs!$A$2:$C$73,3,FALSE()), VLOOKUP(A792,Internal_lists_bugs!$A$2:$C$73,3,FALSE())&amp;Char(10) &amp; Char(10) &amp; VLOOKUP(A792,Internal_lists_bugs!$A$2:$Z$73,26,FALSE())),"please select a BUG ID")</f>
        <v>please select a BUG ID</v>
      </c>
      <c r="C792" s="51" t="str">
        <f>IFERROR(VLOOKUP(A792,Internal_lists_bugs!$A$2:$G2002,7,FALSE()),"please select a BUG ID")</f>
        <v>please select a BUG ID</v>
      </c>
      <c r="D792" s="54"/>
      <c r="E792" s="56"/>
      <c r="F792" s="54"/>
      <c r="G792" s="56"/>
      <c r="H792" s="54"/>
      <c r="I792" s="56"/>
      <c r="J792" s="54"/>
      <c r="K792" s="92"/>
      <c r="L792" s="54"/>
      <c r="M792" s="92"/>
      <c r="N792" s="54"/>
      <c r="O792" s="92"/>
      <c r="P792" s="54"/>
      <c r="Q792" s="92"/>
      <c r="R792" s="54"/>
      <c r="S792" s="92"/>
      <c r="T792" s="117"/>
      <c r="U792" s="92"/>
      <c r="V792" s="54"/>
      <c r="W792" s="92"/>
      <c r="X792" s="54"/>
      <c r="Y792" s="92"/>
      <c r="Z792" s="54"/>
      <c r="AA792" s="92"/>
      <c r="AB792" s="54"/>
      <c r="AC792" s="92"/>
      <c r="AD792" s="54"/>
      <c r="AE792" s="92"/>
      <c r="AF792" s="54"/>
      <c r="AG792" s="92"/>
      <c r="AH792" s="54"/>
      <c r="AI792" s="92"/>
      <c r="AJ792" s="54"/>
      <c r="AK792" s="92"/>
      <c r="AL792" s="54"/>
      <c r="AM792" s="92"/>
      <c r="AO792" s="54"/>
      <c r="AP792" s="123"/>
      <c r="AQ792" s="54"/>
      <c r="AR792" s="154"/>
      <c r="AS792" s="1"/>
      <c r="AT792" s="1"/>
      <c r="AU792" s="9"/>
    </row>
    <row r="793">
      <c r="A793" s="54"/>
      <c r="B793" s="71" t="str">
        <f>IFERROR(HYPERLINK(VLOOKUP(A793,Internal_lists_bugs!$A$2:$C$73,3,FALSE()), VLOOKUP(A793,Internal_lists_bugs!$A$2:$C$73,3,FALSE())&amp;Char(10) &amp; Char(10) &amp; VLOOKUP(A793,Internal_lists_bugs!$A$2:$Z$73,26,FALSE())),"please select a BUG ID")</f>
        <v>please select a BUG ID</v>
      </c>
      <c r="C793" s="51" t="str">
        <f>IFERROR(VLOOKUP(A793,Internal_lists_bugs!$A$2:$G2002,7,FALSE()),"please select a BUG ID")</f>
        <v>please select a BUG ID</v>
      </c>
      <c r="D793" s="54"/>
      <c r="E793" s="56"/>
      <c r="F793" s="54"/>
      <c r="G793" s="56"/>
      <c r="H793" s="54"/>
      <c r="I793" s="56"/>
      <c r="J793" s="54"/>
      <c r="K793" s="92"/>
      <c r="L793" s="54"/>
      <c r="M793" s="92"/>
      <c r="N793" s="54"/>
      <c r="O793" s="92"/>
      <c r="P793" s="54"/>
      <c r="Q793" s="92"/>
      <c r="R793" s="54"/>
      <c r="S793" s="92"/>
      <c r="T793" s="117"/>
      <c r="U793" s="92"/>
      <c r="V793" s="54"/>
      <c r="W793" s="92"/>
      <c r="X793" s="54"/>
      <c r="Y793" s="92"/>
      <c r="Z793" s="54"/>
      <c r="AA793" s="92"/>
      <c r="AB793" s="54"/>
      <c r="AC793" s="92"/>
      <c r="AD793" s="54"/>
      <c r="AE793" s="92"/>
      <c r="AF793" s="54"/>
      <c r="AG793" s="92"/>
      <c r="AH793" s="54"/>
      <c r="AI793" s="92"/>
      <c r="AJ793" s="54"/>
      <c r="AK793" s="92"/>
      <c r="AL793" s="54"/>
      <c r="AM793" s="92"/>
      <c r="AO793" s="54"/>
      <c r="AP793" s="123"/>
      <c r="AQ793" s="54"/>
      <c r="AR793" s="154"/>
      <c r="AS793" s="1"/>
      <c r="AT793" s="1"/>
      <c r="AU793" s="9"/>
    </row>
    <row r="794">
      <c r="A794" s="54"/>
      <c r="B794" s="71" t="str">
        <f>IFERROR(HYPERLINK(VLOOKUP(A794,Internal_lists_bugs!$A$2:$C$73,3,FALSE()), VLOOKUP(A794,Internal_lists_bugs!$A$2:$C$73,3,FALSE())&amp;Char(10) &amp; Char(10) &amp; VLOOKUP(A794,Internal_lists_bugs!$A$2:$Z$73,26,FALSE())),"please select a BUG ID")</f>
        <v>please select a BUG ID</v>
      </c>
      <c r="C794" s="51" t="str">
        <f>IFERROR(VLOOKUP(A794,Internal_lists_bugs!$A$2:$G2002,7,FALSE()),"please select a BUG ID")</f>
        <v>please select a BUG ID</v>
      </c>
      <c r="D794" s="54"/>
      <c r="E794" s="56"/>
      <c r="F794" s="54"/>
      <c r="G794" s="56"/>
      <c r="H794" s="54"/>
      <c r="I794" s="56"/>
      <c r="J794" s="54"/>
      <c r="K794" s="92"/>
      <c r="L794" s="54"/>
      <c r="M794" s="92"/>
      <c r="N794" s="54"/>
      <c r="O794" s="92"/>
      <c r="P794" s="54"/>
      <c r="Q794" s="92"/>
      <c r="R794" s="54"/>
      <c r="S794" s="92"/>
      <c r="T794" s="117"/>
      <c r="U794" s="92"/>
      <c r="V794" s="54"/>
      <c r="W794" s="92"/>
      <c r="X794" s="54"/>
      <c r="Y794" s="92"/>
      <c r="Z794" s="54"/>
      <c r="AA794" s="92"/>
      <c r="AB794" s="54"/>
      <c r="AC794" s="92"/>
      <c r="AD794" s="54"/>
      <c r="AE794" s="92"/>
      <c r="AF794" s="54"/>
      <c r="AG794" s="92"/>
      <c r="AH794" s="54"/>
      <c r="AI794" s="92"/>
      <c r="AJ794" s="54"/>
      <c r="AK794" s="92"/>
      <c r="AL794" s="54"/>
      <c r="AM794" s="92"/>
      <c r="AO794" s="54"/>
      <c r="AP794" s="123"/>
      <c r="AQ794" s="54"/>
      <c r="AR794" s="154"/>
      <c r="AS794" s="1"/>
      <c r="AT794" s="1"/>
      <c r="AU794" s="9"/>
    </row>
    <row r="795">
      <c r="A795" s="54"/>
      <c r="B795" s="71" t="str">
        <f>IFERROR(HYPERLINK(VLOOKUP(A795,Internal_lists_bugs!$A$2:$C$73,3,FALSE()), VLOOKUP(A795,Internal_lists_bugs!$A$2:$C$73,3,FALSE())&amp;Char(10) &amp; Char(10) &amp; VLOOKUP(A795,Internal_lists_bugs!$A$2:$Z$73,26,FALSE())),"please select a BUG ID")</f>
        <v>please select a BUG ID</v>
      </c>
      <c r="C795" s="51" t="str">
        <f>IFERROR(VLOOKUP(A795,Internal_lists_bugs!$A$2:$G2002,7,FALSE()),"please select a BUG ID")</f>
        <v>please select a BUG ID</v>
      </c>
      <c r="D795" s="54"/>
      <c r="E795" s="56"/>
      <c r="F795" s="54"/>
      <c r="G795" s="56"/>
      <c r="H795" s="54"/>
      <c r="I795" s="56"/>
      <c r="J795" s="54"/>
      <c r="K795" s="92"/>
      <c r="L795" s="54"/>
      <c r="M795" s="92"/>
      <c r="N795" s="54"/>
      <c r="O795" s="92"/>
      <c r="P795" s="54"/>
      <c r="Q795" s="92"/>
      <c r="R795" s="54"/>
      <c r="S795" s="92"/>
      <c r="T795" s="117"/>
      <c r="U795" s="92"/>
      <c r="V795" s="54"/>
      <c r="W795" s="92"/>
      <c r="X795" s="54"/>
      <c r="Y795" s="92"/>
      <c r="Z795" s="54"/>
      <c r="AA795" s="92"/>
      <c r="AB795" s="54"/>
      <c r="AC795" s="92"/>
      <c r="AD795" s="54"/>
      <c r="AE795" s="92"/>
      <c r="AF795" s="54"/>
      <c r="AG795" s="92"/>
      <c r="AH795" s="54"/>
      <c r="AI795" s="92"/>
      <c r="AJ795" s="54"/>
      <c r="AK795" s="92"/>
      <c r="AL795" s="54"/>
      <c r="AM795" s="92"/>
      <c r="AO795" s="54"/>
      <c r="AP795" s="123"/>
      <c r="AQ795" s="54"/>
      <c r="AR795" s="154"/>
      <c r="AS795" s="1"/>
      <c r="AT795" s="1"/>
      <c r="AU795" s="9"/>
    </row>
    <row r="796">
      <c r="A796" s="54"/>
      <c r="B796" s="71" t="str">
        <f>IFERROR(HYPERLINK(VLOOKUP(A796,Internal_lists_bugs!$A$2:$C$73,3,FALSE()), VLOOKUP(A796,Internal_lists_bugs!$A$2:$C$73,3,FALSE())&amp;Char(10) &amp; Char(10) &amp; VLOOKUP(A796,Internal_lists_bugs!$A$2:$Z$73,26,FALSE())),"please select a BUG ID")</f>
        <v>please select a BUG ID</v>
      </c>
      <c r="C796" s="51" t="str">
        <f>IFERROR(VLOOKUP(A796,Internal_lists_bugs!$A$2:$G2002,7,FALSE()),"please select a BUG ID")</f>
        <v>please select a BUG ID</v>
      </c>
      <c r="D796" s="54"/>
      <c r="E796" s="56"/>
      <c r="F796" s="54"/>
      <c r="G796" s="56"/>
      <c r="H796" s="54"/>
      <c r="I796" s="56"/>
      <c r="J796" s="54"/>
      <c r="K796" s="92"/>
      <c r="L796" s="54"/>
      <c r="M796" s="92"/>
      <c r="N796" s="54"/>
      <c r="O796" s="92"/>
      <c r="P796" s="54"/>
      <c r="Q796" s="92"/>
      <c r="R796" s="54"/>
      <c r="S796" s="92"/>
      <c r="T796" s="117"/>
      <c r="U796" s="92"/>
      <c r="V796" s="54"/>
      <c r="W796" s="92"/>
      <c r="X796" s="54"/>
      <c r="Y796" s="92"/>
      <c r="Z796" s="54"/>
      <c r="AA796" s="92"/>
      <c r="AB796" s="54"/>
      <c r="AC796" s="92"/>
      <c r="AD796" s="54"/>
      <c r="AE796" s="92"/>
      <c r="AF796" s="54"/>
      <c r="AG796" s="92"/>
      <c r="AH796" s="54"/>
      <c r="AI796" s="92"/>
      <c r="AJ796" s="54"/>
      <c r="AK796" s="92"/>
      <c r="AL796" s="54"/>
      <c r="AM796" s="92"/>
      <c r="AO796" s="54"/>
      <c r="AP796" s="123"/>
      <c r="AQ796" s="54"/>
      <c r="AR796" s="154"/>
      <c r="AS796" s="1"/>
      <c r="AT796" s="1"/>
      <c r="AU796" s="9"/>
    </row>
    <row r="797">
      <c r="A797" s="54"/>
      <c r="B797" s="71" t="str">
        <f>IFERROR(HYPERLINK(VLOOKUP(A797,Internal_lists_bugs!$A$2:$C$73,3,FALSE()), VLOOKUP(A797,Internal_lists_bugs!$A$2:$C$73,3,FALSE())&amp;Char(10) &amp; Char(10) &amp; VLOOKUP(A797,Internal_lists_bugs!$A$2:$Z$73,26,FALSE())),"please select a BUG ID")</f>
        <v>please select a BUG ID</v>
      </c>
      <c r="C797" s="51" t="str">
        <f>IFERROR(VLOOKUP(A797,Internal_lists_bugs!$A$2:$G2002,7,FALSE()),"please select a BUG ID")</f>
        <v>please select a BUG ID</v>
      </c>
      <c r="D797" s="54"/>
      <c r="E797" s="56"/>
      <c r="F797" s="54"/>
      <c r="G797" s="56"/>
      <c r="H797" s="54"/>
      <c r="I797" s="56"/>
      <c r="J797" s="54"/>
      <c r="K797" s="92"/>
      <c r="L797" s="54"/>
      <c r="M797" s="92"/>
      <c r="N797" s="54"/>
      <c r="O797" s="92"/>
      <c r="P797" s="54"/>
      <c r="Q797" s="92"/>
      <c r="R797" s="54"/>
      <c r="S797" s="92"/>
      <c r="T797" s="117"/>
      <c r="U797" s="92"/>
      <c r="V797" s="54"/>
      <c r="W797" s="92"/>
      <c r="X797" s="54"/>
      <c r="Y797" s="92"/>
      <c r="Z797" s="54"/>
      <c r="AA797" s="92"/>
      <c r="AB797" s="54"/>
      <c r="AC797" s="92"/>
      <c r="AD797" s="54"/>
      <c r="AE797" s="92"/>
      <c r="AF797" s="54"/>
      <c r="AG797" s="92"/>
      <c r="AH797" s="54"/>
      <c r="AI797" s="92"/>
      <c r="AJ797" s="54"/>
      <c r="AK797" s="92"/>
      <c r="AL797" s="54"/>
      <c r="AM797" s="92"/>
      <c r="AO797" s="54"/>
      <c r="AP797" s="123"/>
      <c r="AQ797" s="54"/>
      <c r="AR797" s="154"/>
      <c r="AS797" s="1"/>
      <c r="AT797" s="1"/>
      <c r="AU797" s="9"/>
    </row>
    <row r="798">
      <c r="A798" s="54"/>
      <c r="B798" s="71" t="str">
        <f>IFERROR(HYPERLINK(VLOOKUP(A798,Internal_lists_bugs!$A$2:$C$73,3,FALSE()), VLOOKUP(A798,Internal_lists_bugs!$A$2:$C$73,3,FALSE())&amp;Char(10) &amp; Char(10) &amp; VLOOKUP(A798,Internal_lists_bugs!$A$2:$Z$73,26,FALSE())),"please select a BUG ID")</f>
        <v>please select a BUG ID</v>
      </c>
      <c r="C798" s="51" t="str">
        <f>IFERROR(VLOOKUP(A798,Internal_lists_bugs!$A$2:$G2002,7,FALSE()),"please select a BUG ID")</f>
        <v>please select a BUG ID</v>
      </c>
      <c r="D798" s="54"/>
      <c r="E798" s="56"/>
      <c r="F798" s="54"/>
      <c r="G798" s="56"/>
      <c r="H798" s="54"/>
      <c r="I798" s="56"/>
      <c r="J798" s="54"/>
      <c r="K798" s="92"/>
      <c r="L798" s="54"/>
      <c r="M798" s="92"/>
      <c r="N798" s="54"/>
      <c r="O798" s="92"/>
      <c r="P798" s="54"/>
      <c r="Q798" s="92"/>
      <c r="R798" s="54"/>
      <c r="S798" s="92"/>
      <c r="T798" s="117"/>
      <c r="U798" s="92"/>
      <c r="V798" s="54"/>
      <c r="W798" s="92"/>
      <c r="X798" s="54"/>
      <c r="Y798" s="92"/>
      <c r="Z798" s="54"/>
      <c r="AA798" s="92"/>
      <c r="AB798" s="54"/>
      <c r="AC798" s="92"/>
      <c r="AD798" s="54"/>
      <c r="AE798" s="92"/>
      <c r="AF798" s="54"/>
      <c r="AG798" s="92"/>
      <c r="AH798" s="54"/>
      <c r="AI798" s="92"/>
      <c r="AJ798" s="54"/>
      <c r="AK798" s="92"/>
      <c r="AL798" s="54"/>
      <c r="AM798" s="92"/>
      <c r="AO798" s="54"/>
      <c r="AP798" s="123"/>
      <c r="AQ798" s="54"/>
      <c r="AR798" s="154"/>
      <c r="AS798" s="1"/>
      <c r="AT798" s="1"/>
      <c r="AU798" s="9"/>
    </row>
    <row r="799">
      <c r="A799" s="54"/>
      <c r="B799" s="71" t="str">
        <f>IFERROR(HYPERLINK(VLOOKUP(A799,Internal_lists_bugs!$A$2:$C$73,3,FALSE()), VLOOKUP(A799,Internal_lists_bugs!$A$2:$C$73,3,FALSE())&amp;Char(10) &amp; Char(10) &amp; VLOOKUP(A799,Internal_lists_bugs!$A$2:$Z$73,26,FALSE())),"please select a BUG ID")</f>
        <v>please select a BUG ID</v>
      </c>
      <c r="C799" s="51" t="str">
        <f>IFERROR(VLOOKUP(A799,Internal_lists_bugs!$A$2:$G2002,7,FALSE()),"please select a BUG ID")</f>
        <v>please select a BUG ID</v>
      </c>
      <c r="D799" s="54"/>
      <c r="E799" s="56"/>
      <c r="F799" s="54"/>
      <c r="G799" s="56"/>
      <c r="H799" s="54"/>
      <c r="I799" s="56"/>
      <c r="J799" s="54"/>
      <c r="K799" s="92"/>
      <c r="L799" s="54"/>
      <c r="M799" s="92"/>
      <c r="N799" s="54"/>
      <c r="O799" s="92"/>
      <c r="P799" s="54"/>
      <c r="Q799" s="92"/>
      <c r="R799" s="54"/>
      <c r="S799" s="92"/>
      <c r="T799" s="117"/>
      <c r="U799" s="92"/>
      <c r="V799" s="54"/>
      <c r="W799" s="92"/>
      <c r="X799" s="54"/>
      <c r="Y799" s="92"/>
      <c r="Z799" s="54"/>
      <c r="AA799" s="92"/>
      <c r="AB799" s="54"/>
      <c r="AC799" s="92"/>
      <c r="AD799" s="54"/>
      <c r="AE799" s="92"/>
      <c r="AF799" s="54"/>
      <c r="AG799" s="92"/>
      <c r="AH799" s="54"/>
      <c r="AI799" s="92"/>
      <c r="AJ799" s="54"/>
      <c r="AK799" s="92"/>
      <c r="AL799" s="54"/>
      <c r="AM799" s="92"/>
      <c r="AO799" s="54"/>
      <c r="AP799" s="123"/>
      <c r="AQ799" s="54"/>
      <c r="AR799" s="154"/>
      <c r="AS799" s="1"/>
      <c r="AT799" s="1"/>
      <c r="AU799" s="9"/>
    </row>
    <row r="800">
      <c r="A800" s="54"/>
      <c r="B800" s="71" t="str">
        <f>IFERROR(HYPERLINK(VLOOKUP(A800,Internal_lists_bugs!$A$2:$C$73,3,FALSE()), VLOOKUP(A800,Internal_lists_bugs!$A$2:$C$73,3,FALSE())&amp;Char(10) &amp; Char(10) &amp; VLOOKUP(A800,Internal_lists_bugs!$A$2:$Z$73,26,FALSE())),"please select a BUG ID")</f>
        <v>please select a BUG ID</v>
      </c>
      <c r="C800" s="51" t="str">
        <f>IFERROR(VLOOKUP(A800,Internal_lists_bugs!$A$2:$G2002,7,FALSE()),"please select a BUG ID")</f>
        <v>please select a BUG ID</v>
      </c>
      <c r="D800" s="54"/>
      <c r="E800" s="56"/>
      <c r="F800" s="54"/>
      <c r="G800" s="56"/>
      <c r="H800" s="54"/>
      <c r="I800" s="56"/>
      <c r="J800" s="54"/>
      <c r="K800" s="92"/>
      <c r="L800" s="54"/>
      <c r="M800" s="92"/>
      <c r="N800" s="54"/>
      <c r="O800" s="92"/>
      <c r="P800" s="54"/>
      <c r="Q800" s="92"/>
      <c r="R800" s="54"/>
      <c r="S800" s="92"/>
      <c r="T800" s="117"/>
      <c r="U800" s="92"/>
      <c r="V800" s="54"/>
      <c r="W800" s="92"/>
      <c r="X800" s="54"/>
      <c r="Y800" s="92"/>
      <c r="Z800" s="54"/>
      <c r="AA800" s="92"/>
      <c r="AB800" s="54"/>
      <c r="AC800" s="92"/>
      <c r="AD800" s="54"/>
      <c r="AE800" s="92"/>
      <c r="AF800" s="54"/>
      <c r="AG800" s="92"/>
      <c r="AH800" s="54"/>
      <c r="AI800" s="92"/>
      <c r="AJ800" s="54"/>
      <c r="AK800" s="92"/>
      <c r="AL800" s="54"/>
      <c r="AM800" s="92"/>
      <c r="AO800" s="54"/>
      <c r="AP800" s="123"/>
      <c r="AQ800" s="54"/>
      <c r="AR800" s="154"/>
      <c r="AS800" s="1"/>
      <c r="AT800" s="1"/>
      <c r="AU800" s="9"/>
    </row>
    <row r="801">
      <c r="A801" s="54"/>
      <c r="B801" s="71" t="str">
        <f>IFERROR(HYPERLINK(VLOOKUP(A801,Internal_lists_bugs!$A$2:$C$73,3,FALSE()), VLOOKUP(A801,Internal_lists_bugs!$A$2:$C$73,3,FALSE())&amp;Char(10) &amp; Char(10) &amp; VLOOKUP(A801,Internal_lists_bugs!$A$2:$Z$73,26,FALSE())),"please select a BUG ID")</f>
        <v>please select a BUG ID</v>
      </c>
      <c r="C801" s="51" t="str">
        <f>IFERROR(VLOOKUP(A801,Internal_lists_bugs!$A$2:$G2002,7,FALSE()),"please select a BUG ID")</f>
        <v>please select a BUG ID</v>
      </c>
      <c r="D801" s="54"/>
      <c r="E801" s="56"/>
      <c r="F801" s="54"/>
      <c r="G801" s="56"/>
      <c r="H801" s="54"/>
      <c r="I801" s="56"/>
      <c r="J801" s="54"/>
      <c r="K801" s="92"/>
      <c r="L801" s="54"/>
      <c r="M801" s="92"/>
      <c r="N801" s="54"/>
      <c r="O801" s="92"/>
      <c r="P801" s="54"/>
      <c r="Q801" s="92"/>
      <c r="R801" s="54"/>
      <c r="S801" s="92"/>
      <c r="T801" s="117"/>
      <c r="U801" s="92"/>
      <c r="V801" s="54"/>
      <c r="W801" s="92"/>
      <c r="X801" s="54"/>
      <c r="Y801" s="92"/>
      <c r="Z801" s="54"/>
      <c r="AA801" s="92"/>
      <c r="AB801" s="54"/>
      <c r="AC801" s="92"/>
      <c r="AD801" s="54"/>
      <c r="AE801" s="92"/>
      <c r="AF801" s="54"/>
      <c r="AG801" s="92"/>
      <c r="AH801" s="54"/>
      <c r="AI801" s="92"/>
      <c r="AJ801" s="54"/>
      <c r="AK801" s="92"/>
      <c r="AL801" s="54"/>
      <c r="AM801" s="92"/>
      <c r="AO801" s="54"/>
      <c r="AP801" s="123"/>
      <c r="AQ801" s="54"/>
      <c r="AR801" s="154"/>
      <c r="AS801" s="1"/>
      <c r="AT801" s="1"/>
      <c r="AU801" s="9"/>
    </row>
    <row r="802">
      <c r="A802" s="54"/>
      <c r="B802" s="71" t="str">
        <f>IFERROR(HYPERLINK(VLOOKUP(A802,Internal_lists_bugs!$A$2:$C$73,3,FALSE()), VLOOKUP(A802,Internal_lists_bugs!$A$2:$C$73,3,FALSE())&amp;Char(10) &amp; Char(10) &amp; VLOOKUP(A802,Internal_lists_bugs!$A$2:$Z$73,26,FALSE())),"please select a BUG ID")</f>
        <v>please select a BUG ID</v>
      </c>
      <c r="C802" s="51" t="str">
        <f>IFERROR(VLOOKUP(A802,Internal_lists_bugs!$A$2:$G2002,7,FALSE()),"please select a BUG ID")</f>
        <v>please select a BUG ID</v>
      </c>
      <c r="D802" s="54"/>
      <c r="E802" s="56"/>
      <c r="F802" s="54"/>
      <c r="G802" s="56"/>
      <c r="H802" s="54"/>
      <c r="I802" s="56"/>
      <c r="J802" s="54"/>
      <c r="K802" s="92"/>
      <c r="L802" s="54"/>
      <c r="M802" s="92"/>
      <c r="N802" s="54"/>
      <c r="O802" s="92"/>
      <c r="P802" s="54"/>
      <c r="Q802" s="92"/>
      <c r="R802" s="54"/>
      <c r="S802" s="92"/>
      <c r="T802" s="117"/>
      <c r="U802" s="92"/>
      <c r="V802" s="54"/>
      <c r="W802" s="92"/>
      <c r="X802" s="54"/>
      <c r="Y802" s="92"/>
      <c r="Z802" s="54"/>
      <c r="AA802" s="92"/>
      <c r="AB802" s="54"/>
      <c r="AC802" s="92"/>
      <c r="AD802" s="54"/>
      <c r="AE802" s="92"/>
      <c r="AF802" s="54"/>
      <c r="AG802" s="92"/>
      <c r="AH802" s="54"/>
      <c r="AI802" s="92"/>
      <c r="AJ802" s="54"/>
      <c r="AK802" s="92"/>
      <c r="AL802" s="54"/>
      <c r="AM802" s="92"/>
      <c r="AO802" s="54"/>
      <c r="AP802" s="123"/>
      <c r="AQ802" s="54"/>
      <c r="AR802" s="154"/>
      <c r="AS802" s="1"/>
      <c r="AT802" s="1"/>
      <c r="AU802" s="9"/>
    </row>
    <row r="803">
      <c r="A803" s="54"/>
      <c r="B803" s="71" t="str">
        <f>IFERROR(HYPERLINK(VLOOKUP(A803,Internal_lists_bugs!$A$2:$C$73,3,FALSE()), VLOOKUP(A803,Internal_lists_bugs!$A$2:$C$73,3,FALSE())&amp;Char(10) &amp; Char(10) &amp; VLOOKUP(A803,Internal_lists_bugs!$A$2:$Z$73,26,FALSE())),"please select a BUG ID")</f>
        <v>please select a BUG ID</v>
      </c>
      <c r="C803" s="51" t="str">
        <f>IFERROR(VLOOKUP(A803,Internal_lists_bugs!$A$2:$G2002,7,FALSE()),"please select a BUG ID")</f>
        <v>please select a BUG ID</v>
      </c>
      <c r="D803" s="54"/>
      <c r="E803" s="56"/>
      <c r="F803" s="54"/>
      <c r="G803" s="56"/>
      <c r="H803" s="54"/>
      <c r="I803" s="56"/>
      <c r="J803" s="54"/>
      <c r="K803" s="92"/>
      <c r="L803" s="54"/>
      <c r="M803" s="92"/>
      <c r="N803" s="54"/>
      <c r="O803" s="92"/>
      <c r="P803" s="54"/>
      <c r="Q803" s="92"/>
      <c r="R803" s="54"/>
      <c r="S803" s="92"/>
      <c r="T803" s="117"/>
      <c r="U803" s="92"/>
      <c r="V803" s="54"/>
      <c r="W803" s="92"/>
      <c r="X803" s="54"/>
      <c r="Y803" s="92"/>
      <c r="Z803" s="54"/>
      <c r="AA803" s="92"/>
      <c r="AB803" s="54"/>
      <c r="AC803" s="92"/>
      <c r="AD803" s="54"/>
      <c r="AE803" s="92"/>
      <c r="AF803" s="54"/>
      <c r="AG803" s="92"/>
      <c r="AH803" s="54"/>
      <c r="AI803" s="92"/>
      <c r="AJ803" s="54"/>
      <c r="AK803" s="92"/>
      <c r="AL803" s="54"/>
      <c r="AM803" s="92"/>
      <c r="AO803" s="54"/>
      <c r="AP803" s="123"/>
      <c r="AQ803" s="54"/>
      <c r="AR803" s="154"/>
      <c r="AS803" s="1"/>
      <c r="AT803" s="1"/>
      <c r="AU803" s="9"/>
    </row>
    <row r="804">
      <c r="A804" s="54"/>
      <c r="B804" s="71" t="str">
        <f>IFERROR(HYPERLINK(VLOOKUP(A804,Internal_lists_bugs!$A$2:$C$73,3,FALSE()), VLOOKUP(A804,Internal_lists_bugs!$A$2:$C$73,3,FALSE())&amp;Char(10) &amp; Char(10) &amp; VLOOKUP(A804,Internal_lists_bugs!$A$2:$Z$73,26,FALSE())),"please select a BUG ID")</f>
        <v>please select a BUG ID</v>
      </c>
      <c r="C804" s="51" t="str">
        <f>IFERROR(VLOOKUP(A804,Internal_lists_bugs!$A$2:$G2002,7,FALSE()),"please select a BUG ID")</f>
        <v>please select a BUG ID</v>
      </c>
      <c r="D804" s="54"/>
      <c r="E804" s="56"/>
      <c r="F804" s="54"/>
      <c r="G804" s="56"/>
      <c r="H804" s="54"/>
      <c r="I804" s="56"/>
      <c r="J804" s="54"/>
      <c r="K804" s="92"/>
      <c r="L804" s="54"/>
      <c r="M804" s="92"/>
      <c r="N804" s="54"/>
      <c r="O804" s="92"/>
      <c r="P804" s="54"/>
      <c r="Q804" s="92"/>
      <c r="R804" s="54"/>
      <c r="S804" s="92"/>
      <c r="T804" s="117"/>
      <c r="U804" s="92"/>
      <c r="V804" s="54"/>
      <c r="W804" s="92"/>
      <c r="X804" s="54"/>
      <c r="Y804" s="92"/>
      <c r="Z804" s="54"/>
      <c r="AA804" s="92"/>
      <c r="AB804" s="54"/>
      <c r="AC804" s="92"/>
      <c r="AD804" s="54"/>
      <c r="AE804" s="92"/>
      <c r="AF804" s="54"/>
      <c r="AG804" s="92"/>
      <c r="AH804" s="54"/>
      <c r="AI804" s="92"/>
      <c r="AJ804" s="54"/>
      <c r="AK804" s="92"/>
      <c r="AL804" s="54"/>
      <c r="AM804" s="92"/>
      <c r="AO804" s="54"/>
      <c r="AP804" s="123"/>
      <c r="AQ804" s="54"/>
      <c r="AR804" s="154"/>
      <c r="AS804" s="1"/>
      <c r="AT804" s="1"/>
      <c r="AU804" s="9"/>
    </row>
    <row r="805">
      <c r="A805" s="54"/>
      <c r="B805" s="71" t="str">
        <f>IFERROR(HYPERLINK(VLOOKUP(A805,Internal_lists_bugs!$A$2:$C$73,3,FALSE()), VLOOKUP(A805,Internal_lists_bugs!$A$2:$C$73,3,FALSE())&amp;Char(10) &amp; Char(10) &amp; VLOOKUP(A805,Internal_lists_bugs!$A$2:$Z$73,26,FALSE())),"please select a BUG ID")</f>
        <v>please select a BUG ID</v>
      </c>
      <c r="C805" s="51" t="str">
        <f>IFERROR(VLOOKUP(A805,Internal_lists_bugs!$A$2:$G2002,7,FALSE()),"please select a BUG ID")</f>
        <v>please select a BUG ID</v>
      </c>
      <c r="D805" s="54"/>
      <c r="E805" s="56"/>
      <c r="F805" s="54"/>
      <c r="G805" s="56"/>
      <c r="H805" s="54"/>
      <c r="I805" s="56"/>
      <c r="J805" s="54"/>
      <c r="K805" s="92"/>
      <c r="L805" s="54"/>
      <c r="M805" s="92"/>
      <c r="N805" s="54"/>
      <c r="O805" s="92"/>
      <c r="P805" s="54"/>
      <c r="Q805" s="92"/>
      <c r="R805" s="54"/>
      <c r="S805" s="92"/>
      <c r="T805" s="117"/>
      <c r="U805" s="92"/>
      <c r="V805" s="54"/>
      <c r="W805" s="92"/>
      <c r="X805" s="54"/>
      <c r="Y805" s="92"/>
      <c r="Z805" s="54"/>
      <c r="AA805" s="92"/>
      <c r="AB805" s="54"/>
      <c r="AC805" s="92"/>
      <c r="AD805" s="54"/>
      <c r="AE805" s="92"/>
      <c r="AF805" s="54"/>
      <c r="AG805" s="92"/>
      <c r="AH805" s="54"/>
      <c r="AI805" s="92"/>
      <c r="AJ805" s="54"/>
      <c r="AK805" s="92"/>
      <c r="AL805" s="54"/>
      <c r="AM805" s="92"/>
      <c r="AO805" s="54"/>
      <c r="AP805" s="123"/>
      <c r="AQ805" s="54"/>
      <c r="AR805" s="154"/>
      <c r="AS805" s="1"/>
      <c r="AT805" s="1"/>
      <c r="AU805" s="9"/>
    </row>
    <row r="806">
      <c r="A806" s="54"/>
      <c r="B806" s="71" t="str">
        <f>IFERROR(HYPERLINK(VLOOKUP(A806,Internal_lists_bugs!$A$2:$C$73,3,FALSE()), VLOOKUP(A806,Internal_lists_bugs!$A$2:$C$73,3,FALSE())&amp;Char(10) &amp; Char(10) &amp; VLOOKUP(A806,Internal_lists_bugs!$A$2:$Z$73,26,FALSE())),"please select a BUG ID")</f>
        <v>please select a BUG ID</v>
      </c>
      <c r="C806" s="51" t="str">
        <f>IFERROR(VLOOKUP(A806,Internal_lists_bugs!$A$2:$G2002,7,FALSE()),"please select a BUG ID")</f>
        <v>please select a BUG ID</v>
      </c>
      <c r="D806" s="54"/>
      <c r="E806" s="56"/>
      <c r="F806" s="54"/>
      <c r="G806" s="56"/>
      <c r="H806" s="54"/>
      <c r="I806" s="56"/>
      <c r="J806" s="54"/>
      <c r="K806" s="92"/>
      <c r="L806" s="54"/>
      <c r="M806" s="92"/>
      <c r="N806" s="54"/>
      <c r="O806" s="92"/>
      <c r="P806" s="54"/>
      <c r="Q806" s="92"/>
      <c r="R806" s="54"/>
      <c r="S806" s="92"/>
      <c r="T806" s="117"/>
      <c r="U806" s="92"/>
      <c r="V806" s="54"/>
      <c r="W806" s="92"/>
      <c r="X806" s="54"/>
      <c r="Y806" s="92"/>
      <c r="Z806" s="54"/>
      <c r="AA806" s="92"/>
      <c r="AB806" s="54"/>
      <c r="AC806" s="92"/>
      <c r="AD806" s="54"/>
      <c r="AE806" s="92"/>
      <c r="AF806" s="54"/>
      <c r="AG806" s="92"/>
      <c r="AH806" s="54"/>
      <c r="AI806" s="92"/>
      <c r="AJ806" s="54"/>
      <c r="AK806" s="92"/>
      <c r="AL806" s="54"/>
      <c r="AM806" s="92"/>
      <c r="AO806" s="54"/>
      <c r="AP806" s="123"/>
      <c r="AQ806" s="54"/>
      <c r="AR806" s="154"/>
      <c r="AS806" s="1"/>
      <c r="AT806" s="1"/>
      <c r="AU806" s="9"/>
    </row>
    <row r="807">
      <c r="A807" s="54"/>
      <c r="B807" s="71" t="str">
        <f>IFERROR(HYPERLINK(VLOOKUP(A807,Internal_lists_bugs!$A$2:$C$73,3,FALSE()), VLOOKUP(A807,Internal_lists_bugs!$A$2:$C$73,3,FALSE())&amp;Char(10) &amp; Char(10) &amp; VLOOKUP(A807,Internal_lists_bugs!$A$2:$Z$73,26,FALSE())),"please select a BUG ID")</f>
        <v>please select a BUG ID</v>
      </c>
      <c r="C807" s="51" t="str">
        <f>IFERROR(VLOOKUP(A807,Internal_lists_bugs!$A$2:$G2002,7,FALSE()),"please select a BUG ID")</f>
        <v>please select a BUG ID</v>
      </c>
      <c r="D807" s="54"/>
      <c r="E807" s="56"/>
      <c r="F807" s="54"/>
      <c r="G807" s="56"/>
      <c r="H807" s="54"/>
      <c r="I807" s="56"/>
      <c r="J807" s="54"/>
      <c r="K807" s="92"/>
      <c r="L807" s="54"/>
      <c r="M807" s="92"/>
      <c r="N807" s="54"/>
      <c r="O807" s="92"/>
      <c r="P807" s="54"/>
      <c r="Q807" s="92"/>
      <c r="R807" s="54"/>
      <c r="S807" s="92"/>
      <c r="T807" s="117"/>
      <c r="U807" s="92"/>
      <c r="V807" s="54"/>
      <c r="W807" s="92"/>
      <c r="X807" s="54"/>
      <c r="Y807" s="92"/>
      <c r="Z807" s="54"/>
      <c r="AA807" s="92"/>
      <c r="AB807" s="54"/>
      <c r="AC807" s="92"/>
      <c r="AD807" s="54"/>
      <c r="AE807" s="92"/>
      <c r="AF807" s="54"/>
      <c r="AG807" s="92"/>
      <c r="AH807" s="54"/>
      <c r="AI807" s="92"/>
      <c r="AJ807" s="54"/>
      <c r="AK807" s="92"/>
      <c r="AL807" s="54"/>
      <c r="AM807" s="92"/>
      <c r="AO807" s="54"/>
      <c r="AP807" s="123"/>
      <c r="AQ807" s="54"/>
      <c r="AR807" s="154"/>
      <c r="AS807" s="1"/>
      <c r="AT807" s="1"/>
      <c r="AU807" s="9"/>
    </row>
    <row r="808">
      <c r="A808" s="54"/>
      <c r="B808" s="71" t="str">
        <f>IFERROR(HYPERLINK(VLOOKUP(A808,Internal_lists_bugs!$A$2:$C$73,3,FALSE()), VLOOKUP(A808,Internal_lists_bugs!$A$2:$C$73,3,FALSE())&amp;Char(10) &amp; Char(10) &amp; VLOOKUP(A808,Internal_lists_bugs!$A$2:$Z$73,26,FALSE())),"please select a BUG ID")</f>
        <v>please select a BUG ID</v>
      </c>
      <c r="C808" s="51" t="str">
        <f>IFERROR(VLOOKUP(A808,Internal_lists_bugs!$A$2:$G2002,7,FALSE()),"please select a BUG ID")</f>
        <v>please select a BUG ID</v>
      </c>
      <c r="D808" s="54"/>
      <c r="E808" s="56"/>
      <c r="F808" s="54"/>
      <c r="G808" s="56"/>
      <c r="H808" s="54"/>
      <c r="I808" s="56"/>
      <c r="J808" s="54"/>
      <c r="K808" s="92"/>
      <c r="L808" s="54"/>
      <c r="M808" s="92"/>
      <c r="N808" s="54"/>
      <c r="O808" s="92"/>
      <c r="P808" s="54"/>
      <c r="Q808" s="92"/>
      <c r="R808" s="54"/>
      <c r="S808" s="92"/>
      <c r="T808" s="117"/>
      <c r="U808" s="92"/>
      <c r="V808" s="54"/>
      <c r="W808" s="92"/>
      <c r="X808" s="54"/>
      <c r="Y808" s="92"/>
      <c r="Z808" s="54"/>
      <c r="AA808" s="92"/>
      <c r="AB808" s="54"/>
      <c r="AC808" s="92"/>
      <c r="AD808" s="54"/>
      <c r="AE808" s="92"/>
      <c r="AF808" s="54"/>
      <c r="AG808" s="92"/>
      <c r="AH808" s="54"/>
      <c r="AI808" s="92"/>
      <c r="AJ808" s="54"/>
      <c r="AK808" s="92"/>
      <c r="AL808" s="54"/>
      <c r="AM808" s="92"/>
      <c r="AO808" s="54"/>
      <c r="AP808" s="123"/>
      <c r="AQ808" s="54"/>
      <c r="AR808" s="154"/>
      <c r="AS808" s="1"/>
      <c r="AT808" s="1"/>
      <c r="AU808" s="9"/>
    </row>
    <row r="809">
      <c r="A809" s="54"/>
      <c r="B809" s="71" t="str">
        <f>IFERROR(HYPERLINK(VLOOKUP(A809,Internal_lists_bugs!$A$2:$C$73,3,FALSE()), VLOOKUP(A809,Internal_lists_bugs!$A$2:$C$73,3,FALSE())&amp;Char(10) &amp; Char(10) &amp; VLOOKUP(A809,Internal_lists_bugs!$A$2:$Z$73,26,FALSE())),"please select a BUG ID")</f>
        <v>please select a BUG ID</v>
      </c>
      <c r="C809" s="51" t="str">
        <f>IFERROR(VLOOKUP(A809,Internal_lists_bugs!$A$2:$G2002,7,FALSE()),"please select a BUG ID")</f>
        <v>please select a BUG ID</v>
      </c>
      <c r="D809" s="54"/>
      <c r="E809" s="56"/>
      <c r="F809" s="54"/>
      <c r="G809" s="56"/>
      <c r="H809" s="54"/>
      <c r="I809" s="56"/>
      <c r="J809" s="54"/>
      <c r="K809" s="92"/>
      <c r="L809" s="54"/>
      <c r="M809" s="92"/>
      <c r="N809" s="54"/>
      <c r="O809" s="92"/>
      <c r="P809" s="54"/>
      <c r="Q809" s="92"/>
      <c r="R809" s="54"/>
      <c r="S809" s="92"/>
      <c r="T809" s="117"/>
      <c r="U809" s="92"/>
      <c r="V809" s="54"/>
      <c r="W809" s="92"/>
      <c r="X809" s="54"/>
      <c r="Y809" s="92"/>
      <c r="Z809" s="54"/>
      <c r="AA809" s="92"/>
      <c r="AB809" s="54"/>
      <c r="AC809" s="92"/>
      <c r="AD809" s="54"/>
      <c r="AE809" s="92"/>
      <c r="AF809" s="54"/>
      <c r="AG809" s="92"/>
      <c r="AH809" s="54"/>
      <c r="AI809" s="92"/>
      <c r="AJ809" s="54"/>
      <c r="AK809" s="92"/>
      <c r="AL809" s="54"/>
      <c r="AM809" s="92"/>
      <c r="AO809" s="54"/>
      <c r="AP809" s="123"/>
      <c r="AQ809" s="54"/>
      <c r="AR809" s="154"/>
      <c r="AS809" s="1"/>
      <c r="AT809" s="1"/>
      <c r="AU809" s="9"/>
    </row>
    <row r="810">
      <c r="A810" s="54"/>
      <c r="B810" s="71" t="str">
        <f>IFERROR(HYPERLINK(VLOOKUP(A810,Internal_lists_bugs!$A$2:$C$73,3,FALSE()), VLOOKUP(A810,Internal_lists_bugs!$A$2:$C$73,3,FALSE())&amp;Char(10) &amp; Char(10) &amp; VLOOKUP(A810,Internal_lists_bugs!$A$2:$Z$73,26,FALSE())),"please select a BUG ID")</f>
        <v>please select a BUG ID</v>
      </c>
      <c r="C810" s="51" t="str">
        <f>IFERROR(VLOOKUP(A810,Internal_lists_bugs!$A$2:$G2002,7,FALSE()),"please select a BUG ID")</f>
        <v>please select a BUG ID</v>
      </c>
      <c r="D810" s="54"/>
      <c r="E810" s="56"/>
      <c r="F810" s="54"/>
      <c r="G810" s="56"/>
      <c r="H810" s="54"/>
      <c r="I810" s="56"/>
      <c r="J810" s="54"/>
      <c r="K810" s="92"/>
      <c r="L810" s="54"/>
      <c r="M810" s="92"/>
      <c r="N810" s="54"/>
      <c r="O810" s="92"/>
      <c r="P810" s="54"/>
      <c r="Q810" s="92"/>
      <c r="R810" s="54"/>
      <c r="S810" s="92"/>
      <c r="T810" s="117"/>
      <c r="U810" s="92"/>
      <c r="V810" s="54"/>
      <c r="W810" s="92"/>
      <c r="X810" s="54"/>
      <c r="Y810" s="92"/>
      <c r="Z810" s="54"/>
      <c r="AA810" s="92"/>
      <c r="AB810" s="54"/>
      <c r="AC810" s="92"/>
      <c r="AD810" s="54"/>
      <c r="AE810" s="92"/>
      <c r="AF810" s="54"/>
      <c r="AG810" s="92"/>
      <c r="AH810" s="54"/>
      <c r="AI810" s="92"/>
      <c r="AJ810" s="54"/>
      <c r="AK810" s="92"/>
      <c r="AL810" s="54"/>
      <c r="AM810" s="92"/>
      <c r="AO810" s="54"/>
      <c r="AP810" s="123"/>
      <c r="AQ810" s="54"/>
      <c r="AR810" s="154"/>
      <c r="AS810" s="1"/>
      <c r="AT810" s="1"/>
      <c r="AU810" s="9"/>
    </row>
    <row r="811">
      <c r="A811" s="54"/>
      <c r="B811" s="71" t="str">
        <f>IFERROR(HYPERLINK(VLOOKUP(A811,Internal_lists_bugs!$A$2:$C$73,3,FALSE()), VLOOKUP(A811,Internal_lists_bugs!$A$2:$C$73,3,FALSE())&amp;Char(10) &amp; Char(10) &amp; VLOOKUP(A811,Internal_lists_bugs!$A$2:$Z$73,26,FALSE())),"please select a BUG ID")</f>
        <v>please select a BUG ID</v>
      </c>
      <c r="C811" s="51" t="str">
        <f>IFERROR(VLOOKUP(A811,Internal_lists_bugs!$A$2:$G2002,7,FALSE()),"please select a BUG ID")</f>
        <v>please select a BUG ID</v>
      </c>
      <c r="D811" s="54"/>
      <c r="E811" s="56"/>
      <c r="F811" s="54"/>
      <c r="G811" s="56"/>
      <c r="H811" s="54"/>
      <c r="I811" s="56"/>
      <c r="J811" s="54"/>
      <c r="K811" s="92"/>
      <c r="L811" s="54"/>
      <c r="M811" s="92"/>
      <c r="N811" s="54"/>
      <c r="O811" s="92"/>
      <c r="P811" s="54"/>
      <c r="Q811" s="92"/>
      <c r="R811" s="54"/>
      <c r="S811" s="92"/>
      <c r="T811" s="117"/>
      <c r="U811" s="92"/>
      <c r="V811" s="54"/>
      <c r="W811" s="92"/>
      <c r="X811" s="54"/>
      <c r="Y811" s="92"/>
      <c r="Z811" s="54"/>
      <c r="AA811" s="92"/>
      <c r="AB811" s="54"/>
      <c r="AC811" s="92"/>
      <c r="AD811" s="54"/>
      <c r="AE811" s="92"/>
      <c r="AF811" s="54"/>
      <c r="AG811" s="92"/>
      <c r="AH811" s="54"/>
      <c r="AI811" s="92"/>
      <c r="AJ811" s="54"/>
      <c r="AK811" s="92"/>
      <c r="AL811" s="54"/>
      <c r="AM811" s="92"/>
      <c r="AO811" s="54"/>
      <c r="AP811" s="123"/>
      <c r="AQ811" s="54"/>
      <c r="AR811" s="154"/>
      <c r="AS811" s="1"/>
      <c r="AT811" s="1"/>
      <c r="AU811" s="9"/>
    </row>
    <row r="812">
      <c r="A812" s="54"/>
      <c r="B812" s="71" t="str">
        <f>IFERROR(HYPERLINK(VLOOKUP(A812,Internal_lists_bugs!$A$2:$C$73,3,FALSE()), VLOOKUP(A812,Internal_lists_bugs!$A$2:$C$73,3,FALSE())&amp;Char(10) &amp; Char(10) &amp; VLOOKUP(A812,Internal_lists_bugs!$A$2:$Z$73,26,FALSE())),"please select a BUG ID")</f>
        <v>please select a BUG ID</v>
      </c>
      <c r="C812" s="51" t="str">
        <f>IFERROR(VLOOKUP(A812,Internal_lists_bugs!$A$2:$G2002,7,FALSE()),"please select a BUG ID")</f>
        <v>please select a BUG ID</v>
      </c>
      <c r="D812" s="54"/>
      <c r="E812" s="56"/>
      <c r="F812" s="54"/>
      <c r="G812" s="56"/>
      <c r="H812" s="54"/>
      <c r="I812" s="56"/>
      <c r="J812" s="54"/>
      <c r="K812" s="92"/>
      <c r="L812" s="54"/>
      <c r="M812" s="92"/>
      <c r="N812" s="54"/>
      <c r="O812" s="92"/>
      <c r="P812" s="54"/>
      <c r="Q812" s="92"/>
      <c r="R812" s="54"/>
      <c r="S812" s="92"/>
      <c r="T812" s="117"/>
      <c r="U812" s="92"/>
      <c r="V812" s="54"/>
      <c r="W812" s="92"/>
      <c r="X812" s="54"/>
      <c r="Y812" s="92"/>
      <c r="Z812" s="54"/>
      <c r="AA812" s="92"/>
      <c r="AB812" s="54"/>
      <c r="AC812" s="92"/>
      <c r="AD812" s="54"/>
      <c r="AE812" s="92"/>
      <c r="AF812" s="54"/>
      <c r="AG812" s="92"/>
      <c r="AH812" s="54"/>
      <c r="AI812" s="92"/>
      <c r="AJ812" s="54"/>
      <c r="AK812" s="92"/>
      <c r="AL812" s="54"/>
      <c r="AM812" s="92"/>
      <c r="AO812" s="54"/>
      <c r="AP812" s="123"/>
      <c r="AQ812" s="54"/>
      <c r="AR812" s="154"/>
      <c r="AS812" s="1"/>
      <c r="AT812" s="1"/>
      <c r="AU812" s="9"/>
    </row>
    <row r="813">
      <c r="A813" s="54"/>
      <c r="B813" s="71" t="str">
        <f>IFERROR(HYPERLINK(VLOOKUP(A813,Internal_lists_bugs!$A$2:$C$73,3,FALSE()), VLOOKUP(A813,Internal_lists_bugs!$A$2:$C$73,3,FALSE())&amp;Char(10) &amp; Char(10) &amp; VLOOKUP(A813,Internal_lists_bugs!$A$2:$Z$73,26,FALSE())),"please select a BUG ID")</f>
        <v>please select a BUG ID</v>
      </c>
      <c r="C813" s="51" t="str">
        <f>IFERROR(VLOOKUP(A813,Internal_lists_bugs!$A$2:$G2002,7,FALSE()),"please select a BUG ID")</f>
        <v>please select a BUG ID</v>
      </c>
      <c r="D813" s="54"/>
      <c r="E813" s="56"/>
      <c r="F813" s="54"/>
      <c r="G813" s="56"/>
      <c r="H813" s="54"/>
      <c r="I813" s="56"/>
      <c r="J813" s="54"/>
      <c r="K813" s="92"/>
      <c r="L813" s="54"/>
      <c r="M813" s="92"/>
      <c r="N813" s="54"/>
      <c r="O813" s="92"/>
      <c r="P813" s="54"/>
      <c r="Q813" s="92"/>
      <c r="R813" s="54"/>
      <c r="S813" s="92"/>
      <c r="T813" s="117"/>
      <c r="U813" s="92"/>
      <c r="V813" s="54"/>
      <c r="W813" s="92"/>
      <c r="X813" s="54"/>
      <c r="Y813" s="92"/>
      <c r="Z813" s="54"/>
      <c r="AA813" s="92"/>
      <c r="AB813" s="54"/>
      <c r="AC813" s="92"/>
      <c r="AD813" s="54"/>
      <c r="AE813" s="92"/>
      <c r="AF813" s="54"/>
      <c r="AG813" s="92"/>
      <c r="AH813" s="54"/>
      <c r="AI813" s="92"/>
      <c r="AJ813" s="54"/>
      <c r="AK813" s="92"/>
      <c r="AL813" s="54"/>
      <c r="AM813" s="92"/>
      <c r="AO813" s="54"/>
      <c r="AP813" s="123"/>
      <c r="AQ813" s="54"/>
      <c r="AR813" s="154"/>
      <c r="AS813" s="1"/>
      <c r="AT813" s="1"/>
      <c r="AU813" s="9"/>
    </row>
    <row r="814">
      <c r="A814" s="54"/>
      <c r="B814" s="71" t="str">
        <f>IFERROR(HYPERLINK(VLOOKUP(A814,Internal_lists_bugs!$A$2:$C$73,3,FALSE()), VLOOKUP(A814,Internal_lists_bugs!$A$2:$C$73,3,FALSE())&amp;Char(10) &amp; Char(10) &amp; VLOOKUP(A814,Internal_lists_bugs!$A$2:$Z$73,26,FALSE())),"please select a BUG ID")</f>
        <v>please select a BUG ID</v>
      </c>
      <c r="C814" s="51" t="str">
        <f>IFERROR(VLOOKUP(A814,Internal_lists_bugs!$A$2:$G2002,7,FALSE()),"please select a BUG ID")</f>
        <v>please select a BUG ID</v>
      </c>
      <c r="D814" s="54"/>
      <c r="E814" s="56"/>
      <c r="F814" s="54"/>
      <c r="G814" s="56"/>
      <c r="H814" s="54"/>
      <c r="I814" s="56"/>
      <c r="J814" s="54"/>
      <c r="K814" s="92"/>
      <c r="L814" s="54"/>
      <c r="M814" s="92"/>
      <c r="N814" s="54"/>
      <c r="O814" s="92"/>
      <c r="P814" s="54"/>
      <c r="Q814" s="92"/>
      <c r="R814" s="54"/>
      <c r="S814" s="92"/>
      <c r="T814" s="117"/>
      <c r="U814" s="92"/>
      <c r="V814" s="54"/>
      <c r="W814" s="92"/>
      <c r="X814" s="54"/>
      <c r="Y814" s="92"/>
      <c r="Z814" s="54"/>
      <c r="AA814" s="92"/>
      <c r="AB814" s="54"/>
      <c r="AC814" s="92"/>
      <c r="AD814" s="54"/>
      <c r="AE814" s="92"/>
      <c r="AF814" s="54"/>
      <c r="AG814" s="92"/>
      <c r="AH814" s="54"/>
      <c r="AI814" s="92"/>
      <c r="AJ814" s="54"/>
      <c r="AK814" s="92"/>
      <c r="AL814" s="54"/>
      <c r="AM814" s="92"/>
      <c r="AO814" s="54"/>
      <c r="AP814" s="123"/>
      <c r="AQ814" s="54"/>
      <c r="AR814" s="154"/>
      <c r="AS814" s="1"/>
      <c r="AT814" s="1"/>
      <c r="AU814" s="9"/>
    </row>
    <row r="815">
      <c r="A815" s="54"/>
      <c r="B815" s="71" t="str">
        <f>IFERROR(HYPERLINK(VLOOKUP(A815,Internal_lists_bugs!$A$2:$C$73,3,FALSE()), VLOOKUP(A815,Internal_lists_bugs!$A$2:$C$73,3,FALSE())&amp;Char(10) &amp; Char(10) &amp; VLOOKUP(A815,Internal_lists_bugs!$A$2:$Z$73,26,FALSE())),"please select a BUG ID")</f>
        <v>please select a BUG ID</v>
      </c>
      <c r="C815" s="51" t="str">
        <f>IFERROR(VLOOKUP(A815,Internal_lists_bugs!$A$2:$G2002,7,FALSE()),"please select a BUG ID")</f>
        <v>please select a BUG ID</v>
      </c>
      <c r="D815" s="54"/>
      <c r="E815" s="56"/>
      <c r="F815" s="54"/>
      <c r="G815" s="56"/>
      <c r="H815" s="54"/>
      <c r="I815" s="56"/>
      <c r="J815" s="54"/>
      <c r="K815" s="92"/>
      <c r="L815" s="54"/>
      <c r="M815" s="92"/>
      <c r="N815" s="54"/>
      <c r="O815" s="92"/>
      <c r="P815" s="54"/>
      <c r="Q815" s="92"/>
      <c r="R815" s="54"/>
      <c r="S815" s="92"/>
      <c r="T815" s="117"/>
      <c r="U815" s="92"/>
      <c r="V815" s="54"/>
      <c r="W815" s="92"/>
      <c r="X815" s="54"/>
      <c r="Y815" s="92"/>
      <c r="Z815" s="54"/>
      <c r="AA815" s="92"/>
      <c r="AB815" s="54"/>
      <c r="AC815" s="92"/>
      <c r="AD815" s="54"/>
      <c r="AE815" s="92"/>
      <c r="AF815" s="54"/>
      <c r="AG815" s="92"/>
      <c r="AH815" s="54"/>
      <c r="AI815" s="92"/>
      <c r="AJ815" s="54"/>
      <c r="AK815" s="92"/>
      <c r="AL815" s="54"/>
      <c r="AM815" s="92"/>
      <c r="AO815" s="54"/>
      <c r="AP815" s="123"/>
      <c r="AQ815" s="54"/>
      <c r="AR815" s="154"/>
      <c r="AS815" s="1"/>
      <c r="AT815" s="1"/>
      <c r="AU815" s="9"/>
    </row>
    <row r="816">
      <c r="A816" s="54"/>
      <c r="B816" s="71" t="str">
        <f>IFERROR(HYPERLINK(VLOOKUP(A816,Internal_lists_bugs!$A$2:$C$73,3,FALSE()), VLOOKUP(A816,Internal_lists_bugs!$A$2:$C$73,3,FALSE())&amp;Char(10) &amp; Char(10) &amp; VLOOKUP(A816,Internal_lists_bugs!$A$2:$Z$73,26,FALSE())),"please select a BUG ID")</f>
        <v>please select a BUG ID</v>
      </c>
      <c r="C816" s="51" t="str">
        <f>IFERROR(VLOOKUP(A816,Internal_lists_bugs!$A$2:$G2002,7,FALSE()),"please select a BUG ID")</f>
        <v>please select a BUG ID</v>
      </c>
      <c r="D816" s="54"/>
      <c r="E816" s="56"/>
      <c r="F816" s="54"/>
      <c r="G816" s="56"/>
      <c r="H816" s="54"/>
      <c r="I816" s="56"/>
      <c r="J816" s="54"/>
      <c r="K816" s="92"/>
      <c r="L816" s="54"/>
      <c r="M816" s="92"/>
      <c r="N816" s="54"/>
      <c r="O816" s="92"/>
      <c r="P816" s="54"/>
      <c r="Q816" s="92"/>
      <c r="R816" s="54"/>
      <c r="S816" s="92"/>
      <c r="T816" s="117"/>
      <c r="U816" s="92"/>
      <c r="V816" s="54"/>
      <c r="W816" s="92"/>
      <c r="X816" s="54"/>
      <c r="Y816" s="92"/>
      <c r="Z816" s="54"/>
      <c r="AA816" s="92"/>
      <c r="AB816" s="54"/>
      <c r="AC816" s="92"/>
      <c r="AD816" s="54"/>
      <c r="AE816" s="92"/>
      <c r="AF816" s="54"/>
      <c r="AG816" s="92"/>
      <c r="AH816" s="54"/>
      <c r="AI816" s="92"/>
      <c r="AJ816" s="54"/>
      <c r="AK816" s="92"/>
      <c r="AL816" s="54"/>
      <c r="AM816" s="92"/>
      <c r="AO816" s="54"/>
      <c r="AP816" s="123"/>
      <c r="AQ816" s="54"/>
      <c r="AR816" s="154"/>
      <c r="AS816" s="1"/>
      <c r="AT816" s="1"/>
      <c r="AU816" s="9"/>
    </row>
    <row r="817">
      <c r="A817" s="54"/>
      <c r="B817" s="71" t="str">
        <f>IFERROR(HYPERLINK(VLOOKUP(A817,Internal_lists_bugs!$A$2:$C$73,3,FALSE()), VLOOKUP(A817,Internal_lists_bugs!$A$2:$C$73,3,FALSE())&amp;Char(10) &amp; Char(10) &amp; VLOOKUP(A817,Internal_lists_bugs!$A$2:$Z$73,26,FALSE())),"please select a BUG ID")</f>
        <v>please select a BUG ID</v>
      </c>
      <c r="C817" s="51" t="str">
        <f>IFERROR(VLOOKUP(A817,Internal_lists_bugs!$A$2:$G2002,7,FALSE()),"please select a BUG ID")</f>
        <v>please select a BUG ID</v>
      </c>
      <c r="D817" s="54"/>
      <c r="E817" s="56"/>
      <c r="F817" s="54"/>
      <c r="G817" s="56"/>
      <c r="H817" s="54"/>
      <c r="I817" s="56"/>
      <c r="J817" s="54"/>
      <c r="K817" s="92"/>
      <c r="L817" s="54"/>
      <c r="M817" s="92"/>
      <c r="N817" s="54"/>
      <c r="O817" s="92"/>
      <c r="P817" s="54"/>
      <c r="Q817" s="92"/>
      <c r="R817" s="54"/>
      <c r="S817" s="92"/>
      <c r="T817" s="117"/>
      <c r="U817" s="92"/>
      <c r="V817" s="54"/>
      <c r="W817" s="92"/>
      <c r="X817" s="54"/>
      <c r="Y817" s="92"/>
      <c r="Z817" s="54"/>
      <c r="AA817" s="92"/>
      <c r="AB817" s="54"/>
      <c r="AC817" s="92"/>
      <c r="AD817" s="54"/>
      <c r="AE817" s="92"/>
      <c r="AF817" s="54"/>
      <c r="AG817" s="92"/>
      <c r="AH817" s="54"/>
      <c r="AI817" s="92"/>
      <c r="AJ817" s="54"/>
      <c r="AK817" s="92"/>
      <c r="AL817" s="54"/>
      <c r="AM817" s="92"/>
      <c r="AO817" s="54"/>
      <c r="AP817" s="123"/>
      <c r="AQ817" s="54"/>
      <c r="AR817" s="154"/>
      <c r="AS817" s="1"/>
      <c r="AT817" s="1"/>
      <c r="AU817" s="9"/>
    </row>
    <row r="818">
      <c r="A818" s="54"/>
      <c r="B818" s="71" t="str">
        <f>IFERROR(HYPERLINK(VLOOKUP(A818,Internal_lists_bugs!$A$2:$C$73,3,FALSE()), VLOOKUP(A818,Internal_lists_bugs!$A$2:$C$73,3,FALSE())&amp;Char(10) &amp; Char(10) &amp; VLOOKUP(A818,Internal_lists_bugs!$A$2:$Z$73,26,FALSE())),"please select a BUG ID")</f>
        <v>please select a BUG ID</v>
      </c>
      <c r="C818" s="51" t="str">
        <f>IFERROR(VLOOKUP(A818,Internal_lists_bugs!$A$2:$G2002,7,FALSE()),"please select a BUG ID")</f>
        <v>please select a BUG ID</v>
      </c>
      <c r="D818" s="54"/>
      <c r="E818" s="56"/>
      <c r="F818" s="54"/>
      <c r="G818" s="56"/>
      <c r="H818" s="54"/>
      <c r="I818" s="56"/>
      <c r="J818" s="54"/>
      <c r="K818" s="92"/>
      <c r="L818" s="54"/>
      <c r="M818" s="92"/>
      <c r="N818" s="54"/>
      <c r="O818" s="92"/>
      <c r="P818" s="54"/>
      <c r="Q818" s="92"/>
      <c r="R818" s="54"/>
      <c r="S818" s="92"/>
      <c r="T818" s="117"/>
      <c r="U818" s="92"/>
      <c r="V818" s="54"/>
      <c r="W818" s="92"/>
      <c r="X818" s="54"/>
      <c r="Y818" s="92"/>
      <c r="Z818" s="54"/>
      <c r="AA818" s="92"/>
      <c r="AB818" s="54"/>
      <c r="AC818" s="92"/>
      <c r="AD818" s="54"/>
      <c r="AE818" s="92"/>
      <c r="AF818" s="54"/>
      <c r="AG818" s="92"/>
      <c r="AH818" s="54"/>
      <c r="AI818" s="92"/>
      <c r="AJ818" s="54"/>
      <c r="AK818" s="92"/>
      <c r="AL818" s="54"/>
      <c r="AM818" s="92"/>
      <c r="AO818" s="54"/>
      <c r="AP818" s="123"/>
      <c r="AQ818" s="54"/>
      <c r="AR818" s="154"/>
      <c r="AS818" s="1"/>
      <c r="AT818" s="1"/>
      <c r="AU818" s="9"/>
    </row>
    <row r="819">
      <c r="A819" s="54"/>
      <c r="B819" s="71" t="str">
        <f>IFERROR(HYPERLINK(VLOOKUP(A819,Internal_lists_bugs!$A$2:$C$73,3,FALSE()), VLOOKUP(A819,Internal_lists_bugs!$A$2:$C$73,3,FALSE())&amp;Char(10) &amp; Char(10) &amp; VLOOKUP(A819,Internal_lists_bugs!$A$2:$Z$73,26,FALSE())),"please select a BUG ID")</f>
        <v>please select a BUG ID</v>
      </c>
      <c r="C819" s="51" t="str">
        <f>IFERROR(VLOOKUP(A819,Internal_lists_bugs!$A$2:$G2002,7,FALSE()),"please select a BUG ID")</f>
        <v>please select a BUG ID</v>
      </c>
      <c r="D819" s="54"/>
      <c r="E819" s="56"/>
      <c r="F819" s="54"/>
      <c r="G819" s="56"/>
      <c r="H819" s="54"/>
      <c r="I819" s="56"/>
      <c r="J819" s="54"/>
      <c r="K819" s="92"/>
      <c r="L819" s="54"/>
      <c r="M819" s="92"/>
      <c r="N819" s="54"/>
      <c r="O819" s="92"/>
      <c r="P819" s="54"/>
      <c r="Q819" s="92"/>
      <c r="R819" s="54"/>
      <c r="S819" s="92"/>
      <c r="T819" s="117"/>
      <c r="U819" s="92"/>
      <c r="V819" s="54"/>
      <c r="W819" s="92"/>
      <c r="X819" s="54"/>
      <c r="Y819" s="92"/>
      <c r="Z819" s="54"/>
      <c r="AA819" s="92"/>
      <c r="AB819" s="54"/>
      <c r="AC819" s="92"/>
      <c r="AD819" s="54"/>
      <c r="AE819" s="92"/>
      <c r="AF819" s="54"/>
      <c r="AG819" s="92"/>
      <c r="AH819" s="54"/>
      <c r="AI819" s="92"/>
      <c r="AJ819" s="54"/>
      <c r="AK819" s="92"/>
      <c r="AL819" s="54"/>
      <c r="AM819" s="92"/>
      <c r="AO819" s="54"/>
      <c r="AP819" s="123"/>
      <c r="AQ819" s="54"/>
      <c r="AR819" s="154"/>
      <c r="AS819" s="1"/>
      <c r="AT819" s="1"/>
      <c r="AU819" s="9"/>
    </row>
    <row r="820">
      <c r="A820" s="54"/>
      <c r="B820" s="71" t="str">
        <f>IFERROR(HYPERLINK(VLOOKUP(A820,Internal_lists_bugs!$A$2:$C$73,3,FALSE()), VLOOKUP(A820,Internal_lists_bugs!$A$2:$C$73,3,FALSE())&amp;Char(10) &amp; Char(10) &amp; VLOOKUP(A820,Internal_lists_bugs!$A$2:$Z$73,26,FALSE())),"please select a BUG ID")</f>
        <v>please select a BUG ID</v>
      </c>
      <c r="C820" s="51" t="str">
        <f>IFERROR(VLOOKUP(A820,Internal_lists_bugs!$A$2:$G2002,7,FALSE()),"please select a BUG ID")</f>
        <v>please select a BUG ID</v>
      </c>
      <c r="D820" s="54"/>
      <c r="E820" s="56"/>
      <c r="F820" s="54"/>
      <c r="G820" s="56"/>
      <c r="H820" s="54"/>
      <c r="I820" s="56"/>
      <c r="J820" s="54"/>
      <c r="K820" s="92"/>
      <c r="L820" s="54"/>
      <c r="M820" s="92"/>
      <c r="N820" s="54"/>
      <c r="O820" s="92"/>
      <c r="P820" s="54"/>
      <c r="Q820" s="92"/>
      <c r="R820" s="54"/>
      <c r="S820" s="92"/>
      <c r="T820" s="117"/>
      <c r="U820" s="92"/>
      <c r="V820" s="54"/>
      <c r="W820" s="92"/>
      <c r="X820" s="54"/>
      <c r="Y820" s="92"/>
      <c r="Z820" s="54"/>
      <c r="AA820" s="92"/>
      <c r="AB820" s="54"/>
      <c r="AC820" s="92"/>
      <c r="AD820" s="54"/>
      <c r="AE820" s="92"/>
      <c r="AF820" s="54"/>
      <c r="AG820" s="92"/>
      <c r="AH820" s="54"/>
      <c r="AI820" s="92"/>
      <c r="AJ820" s="54"/>
      <c r="AK820" s="92"/>
      <c r="AL820" s="54"/>
      <c r="AM820" s="92"/>
      <c r="AO820" s="54"/>
      <c r="AP820" s="123"/>
      <c r="AQ820" s="54"/>
      <c r="AR820" s="154"/>
      <c r="AS820" s="1"/>
      <c r="AT820" s="1"/>
      <c r="AU820" s="9"/>
    </row>
    <row r="821">
      <c r="A821" s="54"/>
      <c r="B821" s="71" t="str">
        <f>IFERROR(HYPERLINK(VLOOKUP(A821,Internal_lists_bugs!$A$2:$C$73,3,FALSE()), VLOOKUP(A821,Internal_lists_bugs!$A$2:$C$73,3,FALSE())&amp;Char(10) &amp; Char(10) &amp; VLOOKUP(A821,Internal_lists_bugs!$A$2:$Z$73,26,FALSE())),"please select a BUG ID")</f>
        <v>please select a BUG ID</v>
      </c>
      <c r="C821" s="51" t="str">
        <f>IFERROR(VLOOKUP(A821,Internal_lists_bugs!$A$2:$G2002,7,FALSE()),"please select a BUG ID")</f>
        <v>please select a BUG ID</v>
      </c>
      <c r="D821" s="54"/>
      <c r="E821" s="56"/>
      <c r="F821" s="54"/>
      <c r="G821" s="56"/>
      <c r="H821" s="54"/>
      <c r="I821" s="56"/>
      <c r="J821" s="54"/>
      <c r="K821" s="92"/>
      <c r="L821" s="54"/>
      <c r="M821" s="92"/>
      <c r="N821" s="54"/>
      <c r="O821" s="92"/>
      <c r="P821" s="54"/>
      <c r="Q821" s="92"/>
      <c r="R821" s="54"/>
      <c r="S821" s="92"/>
      <c r="T821" s="117"/>
      <c r="U821" s="92"/>
      <c r="V821" s="54"/>
      <c r="W821" s="92"/>
      <c r="X821" s="54"/>
      <c r="Y821" s="92"/>
      <c r="Z821" s="54"/>
      <c r="AA821" s="92"/>
      <c r="AB821" s="54"/>
      <c r="AC821" s="92"/>
      <c r="AD821" s="54"/>
      <c r="AE821" s="92"/>
      <c r="AF821" s="54"/>
      <c r="AG821" s="92"/>
      <c r="AH821" s="54"/>
      <c r="AI821" s="92"/>
      <c r="AJ821" s="54"/>
      <c r="AK821" s="92"/>
      <c r="AL821" s="54"/>
      <c r="AM821" s="92"/>
      <c r="AO821" s="54"/>
      <c r="AP821" s="123"/>
      <c r="AQ821" s="54"/>
      <c r="AR821" s="154"/>
      <c r="AS821" s="1"/>
      <c r="AT821" s="1"/>
      <c r="AU821" s="9"/>
    </row>
    <row r="822">
      <c r="A822" s="54"/>
      <c r="B822" s="71" t="str">
        <f>IFERROR(HYPERLINK(VLOOKUP(A822,Internal_lists_bugs!$A$2:$C$73,3,FALSE()), VLOOKUP(A822,Internal_lists_bugs!$A$2:$C$73,3,FALSE())&amp;Char(10) &amp; Char(10) &amp; VLOOKUP(A822,Internal_lists_bugs!$A$2:$Z$73,26,FALSE())),"please select a BUG ID")</f>
        <v>please select a BUG ID</v>
      </c>
      <c r="C822" s="51" t="str">
        <f>IFERROR(VLOOKUP(A822,Internal_lists_bugs!$A$2:$G2002,7,FALSE()),"please select a BUG ID")</f>
        <v>please select a BUG ID</v>
      </c>
      <c r="D822" s="54"/>
      <c r="E822" s="56"/>
      <c r="F822" s="54"/>
      <c r="G822" s="56"/>
      <c r="H822" s="54"/>
      <c r="I822" s="56"/>
      <c r="J822" s="54"/>
      <c r="K822" s="92"/>
      <c r="L822" s="54"/>
      <c r="M822" s="92"/>
      <c r="N822" s="54"/>
      <c r="O822" s="92"/>
      <c r="P822" s="54"/>
      <c r="Q822" s="92"/>
      <c r="R822" s="54"/>
      <c r="S822" s="92"/>
      <c r="T822" s="117"/>
      <c r="U822" s="92"/>
      <c r="V822" s="54"/>
      <c r="W822" s="92"/>
      <c r="X822" s="54"/>
      <c r="Y822" s="92"/>
      <c r="Z822" s="54"/>
      <c r="AA822" s="92"/>
      <c r="AB822" s="54"/>
      <c r="AC822" s="92"/>
      <c r="AD822" s="54"/>
      <c r="AE822" s="92"/>
      <c r="AF822" s="54"/>
      <c r="AG822" s="92"/>
      <c r="AH822" s="54"/>
      <c r="AI822" s="92"/>
      <c r="AJ822" s="54"/>
      <c r="AK822" s="92"/>
      <c r="AL822" s="54"/>
      <c r="AM822" s="92"/>
      <c r="AO822" s="54"/>
      <c r="AP822" s="123"/>
      <c r="AQ822" s="54"/>
      <c r="AR822" s="154"/>
      <c r="AS822" s="1"/>
      <c r="AT822" s="1"/>
      <c r="AU822" s="9"/>
    </row>
    <row r="823">
      <c r="A823" s="54"/>
      <c r="B823" s="71" t="str">
        <f>IFERROR(HYPERLINK(VLOOKUP(A823,Internal_lists_bugs!$A$2:$C$73,3,FALSE()), VLOOKUP(A823,Internal_lists_bugs!$A$2:$C$73,3,FALSE())&amp;Char(10) &amp; Char(10) &amp; VLOOKUP(A823,Internal_lists_bugs!$A$2:$Z$73,26,FALSE())),"please select a BUG ID")</f>
        <v>please select a BUG ID</v>
      </c>
      <c r="C823" s="51" t="str">
        <f>IFERROR(VLOOKUP(A823,Internal_lists_bugs!$A$2:$G2002,7,FALSE()),"please select a BUG ID")</f>
        <v>please select a BUG ID</v>
      </c>
      <c r="D823" s="54"/>
      <c r="E823" s="56"/>
      <c r="F823" s="54"/>
      <c r="G823" s="56"/>
      <c r="H823" s="54"/>
      <c r="I823" s="56"/>
      <c r="J823" s="54"/>
      <c r="K823" s="92"/>
      <c r="L823" s="54"/>
      <c r="M823" s="92"/>
      <c r="N823" s="54"/>
      <c r="O823" s="92"/>
      <c r="P823" s="54"/>
      <c r="Q823" s="92"/>
      <c r="R823" s="54"/>
      <c r="S823" s="92"/>
      <c r="T823" s="117"/>
      <c r="U823" s="92"/>
      <c r="V823" s="54"/>
      <c r="W823" s="92"/>
      <c r="X823" s="54"/>
      <c r="Y823" s="92"/>
      <c r="Z823" s="54"/>
      <c r="AA823" s="92"/>
      <c r="AB823" s="54"/>
      <c r="AC823" s="92"/>
      <c r="AD823" s="54"/>
      <c r="AE823" s="92"/>
      <c r="AF823" s="54"/>
      <c r="AG823" s="92"/>
      <c r="AH823" s="54"/>
      <c r="AI823" s="92"/>
      <c r="AJ823" s="54"/>
      <c r="AK823" s="92"/>
      <c r="AL823" s="54"/>
      <c r="AM823" s="92"/>
      <c r="AO823" s="54"/>
      <c r="AP823" s="123"/>
      <c r="AQ823" s="54"/>
      <c r="AR823" s="154"/>
      <c r="AS823" s="1"/>
      <c r="AT823" s="1"/>
      <c r="AU823" s="9"/>
    </row>
    <row r="824">
      <c r="A824" s="54"/>
      <c r="B824" s="71" t="str">
        <f>IFERROR(HYPERLINK(VLOOKUP(A824,Internal_lists_bugs!$A$2:$C$73,3,FALSE()), VLOOKUP(A824,Internal_lists_bugs!$A$2:$C$73,3,FALSE())&amp;Char(10) &amp; Char(10) &amp; VLOOKUP(A824,Internal_lists_bugs!$A$2:$Z$73,26,FALSE())),"please select a BUG ID")</f>
        <v>please select a BUG ID</v>
      </c>
      <c r="C824" s="51" t="str">
        <f>IFERROR(VLOOKUP(A824,Internal_lists_bugs!$A$2:$G2002,7,FALSE()),"please select a BUG ID")</f>
        <v>please select a BUG ID</v>
      </c>
      <c r="D824" s="54"/>
      <c r="E824" s="56"/>
      <c r="F824" s="54"/>
      <c r="G824" s="56"/>
      <c r="H824" s="54"/>
      <c r="I824" s="56"/>
      <c r="J824" s="54"/>
      <c r="K824" s="92"/>
      <c r="L824" s="54"/>
      <c r="M824" s="92"/>
      <c r="N824" s="54"/>
      <c r="O824" s="92"/>
      <c r="P824" s="54"/>
      <c r="Q824" s="92"/>
      <c r="R824" s="54"/>
      <c r="S824" s="92"/>
      <c r="T824" s="117"/>
      <c r="U824" s="92"/>
      <c r="V824" s="54"/>
      <c r="W824" s="92"/>
      <c r="X824" s="54"/>
      <c r="Y824" s="92"/>
      <c r="Z824" s="54"/>
      <c r="AA824" s="92"/>
      <c r="AB824" s="54"/>
      <c r="AC824" s="92"/>
      <c r="AD824" s="54"/>
      <c r="AE824" s="92"/>
      <c r="AF824" s="54"/>
      <c r="AG824" s="92"/>
      <c r="AH824" s="54"/>
      <c r="AI824" s="92"/>
      <c r="AJ824" s="54"/>
      <c r="AK824" s="92"/>
      <c r="AL824" s="54"/>
      <c r="AM824" s="92"/>
      <c r="AO824" s="54"/>
      <c r="AP824" s="123"/>
      <c r="AQ824" s="54"/>
      <c r="AR824" s="154"/>
      <c r="AS824" s="1"/>
      <c r="AT824" s="1"/>
      <c r="AU824" s="9"/>
    </row>
    <row r="825">
      <c r="A825" s="54"/>
      <c r="B825" s="71" t="str">
        <f>IFERROR(HYPERLINK(VLOOKUP(A825,Internal_lists_bugs!$A$2:$C$73,3,FALSE()), VLOOKUP(A825,Internal_lists_bugs!$A$2:$C$73,3,FALSE())&amp;Char(10) &amp; Char(10) &amp; VLOOKUP(A825,Internal_lists_bugs!$A$2:$Z$73,26,FALSE())),"please select a BUG ID")</f>
        <v>please select a BUG ID</v>
      </c>
      <c r="C825" s="51" t="str">
        <f>IFERROR(VLOOKUP(A825,Internal_lists_bugs!$A$2:$G2002,7,FALSE()),"please select a BUG ID")</f>
        <v>please select a BUG ID</v>
      </c>
      <c r="D825" s="54"/>
      <c r="E825" s="56"/>
      <c r="F825" s="54"/>
      <c r="G825" s="56"/>
      <c r="H825" s="54"/>
      <c r="I825" s="56"/>
      <c r="J825" s="54"/>
      <c r="K825" s="92"/>
      <c r="L825" s="54"/>
      <c r="M825" s="92"/>
      <c r="N825" s="54"/>
      <c r="O825" s="92"/>
      <c r="P825" s="54"/>
      <c r="Q825" s="92"/>
      <c r="R825" s="54"/>
      <c r="S825" s="92"/>
      <c r="T825" s="117"/>
      <c r="U825" s="92"/>
      <c r="V825" s="54"/>
      <c r="W825" s="92"/>
      <c r="X825" s="54"/>
      <c r="Y825" s="92"/>
      <c r="Z825" s="54"/>
      <c r="AA825" s="92"/>
      <c r="AB825" s="54"/>
      <c r="AC825" s="92"/>
      <c r="AD825" s="54"/>
      <c r="AE825" s="92"/>
      <c r="AF825" s="54"/>
      <c r="AG825" s="92"/>
      <c r="AH825" s="54"/>
      <c r="AI825" s="92"/>
      <c r="AJ825" s="54"/>
      <c r="AK825" s="92"/>
      <c r="AL825" s="54"/>
      <c r="AM825" s="92"/>
      <c r="AO825" s="54"/>
      <c r="AP825" s="123"/>
      <c r="AQ825" s="54"/>
      <c r="AR825" s="154"/>
      <c r="AS825" s="1"/>
      <c r="AT825" s="1"/>
      <c r="AU825" s="9"/>
    </row>
    <row r="826">
      <c r="A826" s="54"/>
      <c r="B826" s="71" t="str">
        <f>IFERROR(HYPERLINK(VLOOKUP(A826,Internal_lists_bugs!$A$2:$C$73,3,FALSE()), VLOOKUP(A826,Internal_lists_bugs!$A$2:$C$73,3,FALSE())&amp;Char(10) &amp; Char(10) &amp; VLOOKUP(A826,Internal_lists_bugs!$A$2:$Z$73,26,FALSE())),"please select a BUG ID")</f>
        <v>please select a BUG ID</v>
      </c>
      <c r="C826" s="51" t="str">
        <f>IFERROR(VLOOKUP(A826,Internal_lists_bugs!$A$2:$G2002,7,FALSE()),"please select a BUG ID")</f>
        <v>please select a BUG ID</v>
      </c>
      <c r="D826" s="54"/>
      <c r="E826" s="56"/>
      <c r="F826" s="54"/>
      <c r="G826" s="56"/>
      <c r="H826" s="54"/>
      <c r="I826" s="56"/>
      <c r="J826" s="54"/>
      <c r="K826" s="92"/>
      <c r="L826" s="54"/>
      <c r="M826" s="92"/>
      <c r="N826" s="54"/>
      <c r="O826" s="92"/>
      <c r="P826" s="54"/>
      <c r="Q826" s="92"/>
      <c r="R826" s="54"/>
      <c r="S826" s="92"/>
      <c r="T826" s="117"/>
      <c r="U826" s="92"/>
      <c r="V826" s="54"/>
      <c r="W826" s="92"/>
      <c r="X826" s="54"/>
      <c r="Y826" s="92"/>
      <c r="Z826" s="54"/>
      <c r="AA826" s="92"/>
      <c r="AB826" s="54"/>
      <c r="AC826" s="92"/>
      <c r="AD826" s="54"/>
      <c r="AE826" s="92"/>
      <c r="AF826" s="54"/>
      <c r="AG826" s="92"/>
      <c r="AH826" s="54"/>
      <c r="AI826" s="92"/>
      <c r="AJ826" s="54"/>
      <c r="AK826" s="92"/>
      <c r="AL826" s="54"/>
      <c r="AM826" s="92"/>
      <c r="AO826" s="54"/>
      <c r="AP826" s="123"/>
      <c r="AQ826" s="54"/>
      <c r="AR826" s="154"/>
      <c r="AS826" s="1"/>
      <c r="AT826" s="1"/>
      <c r="AU826" s="9"/>
    </row>
    <row r="827">
      <c r="A827" s="54"/>
      <c r="B827" s="71" t="str">
        <f>IFERROR(HYPERLINK(VLOOKUP(A827,Internal_lists_bugs!$A$2:$C$73,3,FALSE()), VLOOKUP(A827,Internal_lists_bugs!$A$2:$C$73,3,FALSE())&amp;Char(10) &amp; Char(10) &amp; VLOOKUP(A827,Internal_lists_bugs!$A$2:$Z$73,26,FALSE())),"please select a BUG ID")</f>
        <v>please select a BUG ID</v>
      </c>
      <c r="C827" s="51" t="str">
        <f>IFERROR(VLOOKUP(A827,Internal_lists_bugs!$A$2:$G2002,7,FALSE()),"please select a BUG ID")</f>
        <v>please select a BUG ID</v>
      </c>
      <c r="D827" s="54"/>
      <c r="E827" s="56"/>
      <c r="F827" s="54"/>
      <c r="G827" s="56"/>
      <c r="H827" s="54"/>
      <c r="I827" s="56"/>
      <c r="J827" s="54"/>
      <c r="K827" s="92"/>
      <c r="L827" s="54"/>
      <c r="M827" s="92"/>
      <c r="N827" s="54"/>
      <c r="O827" s="92"/>
      <c r="P827" s="54"/>
      <c r="Q827" s="92"/>
      <c r="R827" s="54"/>
      <c r="S827" s="92"/>
      <c r="T827" s="117"/>
      <c r="U827" s="92"/>
      <c r="V827" s="54"/>
      <c r="W827" s="92"/>
      <c r="X827" s="54"/>
      <c r="Y827" s="92"/>
      <c r="Z827" s="54"/>
      <c r="AA827" s="92"/>
      <c r="AB827" s="54"/>
      <c r="AC827" s="92"/>
      <c r="AD827" s="54"/>
      <c r="AE827" s="92"/>
      <c r="AF827" s="54"/>
      <c r="AG827" s="92"/>
      <c r="AH827" s="54"/>
      <c r="AI827" s="92"/>
      <c r="AJ827" s="54"/>
      <c r="AK827" s="92"/>
      <c r="AL827" s="54"/>
      <c r="AM827" s="92"/>
      <c r="AO827" s="54"/>
      <c r="AP827" s="123"/>
      <c r="AQ827" s="54"/>
      <c r="AR827" s="154"/>
      <c r="AS827" s="1"/>
      <c r="AT827" s="1"/>
      <c r="AU827" s="9"/>
    </row>
    <row r="828">
      <c r="A828" s="54"/>
      <c r="B828" s="71" t="str">
        <f>IFERROR(HYPERLINK(VLOOKUP(A828,Internal_lists_bugs!$A$2:$C$73,3,FALSE()), VLOOKUP(A828,Internal_lists_bugs!$A$2:$C$73,3,FALSE())&amp;Char(10) &amp; Char(10) &amp; VLOOKUP(A828,Internal_lists_bugs!$A$2:$Z$73,26,FALSE())),"please select a BUG ID")</f>
        <v>please select a BUG ID</v>
      </c>
      <c r="C828" s="51" t="str">
        <f>IFERROR(VLOOKUP(A828,Internal_lists_bugs!$A$2:$G2002,7,FALSE()),"please select a BUG ID")</f>
        <v>please select a BUG ID</v>
      </c>
      <c r="D828" s="54"/>
      <c r="E828" s="56"/>
      <c r="F828" s="54"/>
      <c r="G828" s="56"/>
      <c r="H828" s="54"/>
      <c r="I828" s="56"/>
      <c r="J828" s="54"/>
      <c r="K828" s="92"/>
      <c r="L828" s="54"/>
      <c r="M828" s="92"/>
      <c r="N828" s="54"/>
      <c r="O828" s="92"/>
      <c r="P828" s="54"/>
      <c r="Q828" s="92"/>
      <c r="R828" s="54"/>
      <c r="S828" s="92"/>
      <c r="T828" s="117"/>
      <c r="U828" s="92"/>
      <c r="V828" s="54"/>
      <c r="W828" s="92"/>
      <c r="X828" s="54"/>
      <c r="Y828" s="92"/>
      <c r="Z828" s="54"/>
      <c r="AA828" s="92"/>
      <c r="AB828" s="54"/>
      <c r="AC828" s="92"/>
      <c r="AD828" s="54"/>
      <c r="AE828" s="92"/>
      <c r="AF828" s="54"/>
      <c r="AG828" s="92"/>
      <c r="AH828" s="54"/>
      <c r="AI828" s="92"/>
      <c r="AJ828" s="54"/>
      <c r="AK828" s="92"/>
      <c r="AL828" s="54"/>
      <c r="AM828" s="92"/>
      <c r="AO828" s="54"/>
      <c r="AP828" s="123"/>
      <c r="AQ828" s="54"/>
      <c r="AR828" s="154"/>
      <c r="AS828" s="1"/>
      <c r="AT828" s="1"/>
      <c r="AU828" s="9"/>
    </row>
    <row r="829">
      <c r="A829" s="54"/>
      <c r="B829" s="71" t="str">
        <f>IFERROR(HYPERLINK(VLOOKUP(A829,Internal_lists_bugs!$A$2:$C$73,3,FALSE()), VLOOKUP(A829,Internal_lists_bugs!$A$2:$C$73,3,FALSE())&amp;Char(10) &amp; Char(10) &amp; VLOOKUP(A829,Internal_lists_bugs!$A$2:$Z$73,26,FALSE())),"please select a BUG ID")</f>
        <v>please select a BUG ID</v>
      </c>
      <c r="C829" s="51" t="str">
        <f>IFERROR(VLOOKUP(A829,Internal_lists_bugs!$A$2:$G2002,7,FALSE()),"please select a BUG ID")</f>
        <v>please select a BUG ID</v>
      </c>
      <c r="D829" s="54"/>
      <c r="E829" s="56"/>
      <c r="F829" s="54"/>
      <c r="G829" s="56"/>
      <c r="H829" s="54"/>
      <c r="I829" s="56"/>
      <c r="J829" s="54"/>
      <c r="K829" s="92"/>
      <c r="L829" s="54"/>
      <c r="M829" s="92"/>
      <c r="N829" s="54"/>
      <c r="O829" s="92"/>
      <c r="P829" s="54"/>
      <c r="Q829" s="92"/>
      <c r="R829" s="54"/>
      <c r="S829" s="92"/>
      <c r="T829" s="117"/>
      <c r="U829" s="92"/>
      <c r="V829" s="54"/>
      <c r="W829" s="92"/>
      <c r="X829" s="54"/>
      <c r="Y829" s="92"/>
      <c r="Z829" s="54"/>
      <c r="AA829" s="92"/>
      <c r="AB829" s="54"/>
      <c r="AC829" s="92"/>
      <c r="AD829" s="54"/>
      <c r="AE829" s="92"/>
      <c r="AF829" s="54"/>
      <c r="AG829" s="92"/>
      <c r="AH829" s="54"/>
      <c r="AI829" s="92"/>
      <c r="AJ829" s="54"/>
      <c r="AK829" s="92"/>
      <c r="AL829" s="54"/>
      <c r="AM829" s="92"/>
      <c r="AO829" s="54"/>
      <c r="AP829" s="123"/>
      <c r="AQ829" s="54"/>
      <c r="AR829" s="154"/>
      <c r="AS829" s="1"/>
      <c r="AT829" s="1"/>
      <c r="AU829" s="9"/>
    </row>
    <row r="830">
      <c r="A830" s="54"/>
      <c r="B830" s="71" t="str">
        <f>IFERROR(HYPERLINK(VLOOKUP(A830,Internal_lists_bugs!$A$2:$C$73,3,FALSE()), VLOOKUP(A830,Internal_lists_bugs!$A$2:$C$73,3,FALSE())&amp;Char(10) &amp; Char(10) &amp; VLOOKUP(A830,Internal_lists_bugs!$A$2:$Z$73,26,FALSE())),"please select a BUG ID")</f>
        <v>please select a BUG ID</v>
      </c>
      <c r="C830" s="51" t="str">
        <f>IFERROR(VLOOKUP(A830,Internal_lists_bugs!$A$2:$G2002,7,FALSE()),"please select a BUG ID")</f>
        <v>please select a BUG ID</v>
      </c>
      <c r="D830" s="54"/>
      <c r="E830" s="56"/>
      <c r="F830" s="54"/>
      <c r="G830" s="56"/>
      <c r="H830" s="54"/>
      <c r="I830" s="56"/>
      <c r="J830" s="54"/>
      <c r="K830" s="92"/>
      <c r="L830" s="54"/>
      <c r="M830" s="92"/>
      <c r="N830" s="54"/>
      <c r="O830" s="92"/>
      <c r="P830" s="54"/>
      <c r="Q830" s="92"/>
      <c r="R830" s="54"/>
      <c r="S830" s="92"/>
      <c r="T830" s="117"/>
      <c r="U830" s="92"/>
      <c r="V830" s="54"/>
      <c r="W830" s="92"/>
      <c r="X830" s="54"/>
      <c r="Y830" s="92"/>
      <c r="Z830" s="54"/>
      <c r="AA830" s="92"/>
      <c r="AB830" s="54"/>
      <c r="AC830" s="92"/>
      <c r="AD830" s="54"/>
      <c r="AE830" s="92"/>
      <c r="AF830" s="54"/>
      <c r="AG830" s="92"/>
      <c r="AH830" s="54"/>
      <c r="AI830" s="92"/>
      <c r="AJ830" s="54"/>
      <c r="AK830" s="92"/>
      <c r="AL830" s="54"/>
      <c r="AM830" s="92"/>
      <c r="AO830" s="54"/>
      <c r="AP830" s="123"/>
      <c r="AQ830" s="54"/>
      <c r="AR830" s="154"/>
      <c r="AS830" s="1"/>
      <c r="AT830" s="1"/>
      <c r="AU830" s="9"/>
    </row>
    <row r="831">
      <c r="A831" s="54"/>
      <c r="B831" s="71" t="str">
        <f>IFERROR(HYPERLINK(VLOOKUP(A831,Internal_lists_bugs!$A$2:$C$73,3,FALSE()), VLOOKUP(A831,Internal_lists_bugs!$A$2:$C$73,3,FALSE())&amp;Char(10) &amp; Char(10) &amp; VLOOKUP(A831,Internal_lists_bugs!$A$2:$Z$73,26,FALSE())),"please select a BUG ID")</f>
        <v>please select a BUG ID</v>
      </c>
      <c r="C831" s="51" t="str">
        <f>IFERROR(VLOOKUP(A831,Internal_lists_bugs!$A$2:$G2002,7,FALSE()),"please select a BUG ID")</f>
        <v>please select a BUG ID</v>
      </c>
      <c r="D831" s="54"/>
      <c r="E831" s="56"/>
      <c r="F831" s="54"/>
      <c r="G831" s="56"/>
      <c r="H831" s="54"/>
      <c r="I831" s="56"/>
      <c r="J831" s="54"/>
      <c r="K831" s="92"/>
      <c r="L831" s="54"/>
      <c r="M831" s="92"/>
      <c r="N831" s="54"/>
      <c r="O831" s="92"/>
      <c r="P831" s="54"/>
      <c r="Q831" s="92"/>
      <c r="R831" s="54"/>
      <c r="S831" s="92"/>
      <c r="T831" s="117"/>
      <c r="U831" s="92"/>
      <c r="V831" s="54"/>
      <c r="W831" s="92"/>
      <c r="X831" s="54"/>
      <c r="Y831" s="92"/>
      <c r="Z831" s="54"/>
      <c r="AA831" s="92"/>
      <c r="AB831" s="54"/>
      <c r="AC831" s="92"/>
      <c r="AD831" s="54"/>
      <c r="AE831" s="92"/>
      <c r="AF831" s="54"/>
      <c r="AG831" s="92"/>
      <c r="AH831" s="54"/>
      <c r="AI831" s="92"/>
      <c r="AJ831" s="54"/>
      <c r="AK831" s="92"/>
      <c r="AL831" s="54"/>
      <c r="AM831" s="92"/>
      <c r="AO831" s="54"/>
      <c r="AP831" s="123"/>
      <c r="AQ831" s="54"/>
      <c r="AR831" s="154"/>
      <c r="AS831" s="1"/>
      <c r="AT831" s="1"/>
      <c r="AU831" s="9"/>
    </row>
    <row r="832">
      <c r="A832" s="54"/>
      <c r="B832" s="71" t="str">
        <f>IFERROR(HYPERLINK(VLOOKUP(A832,Internal_lists_bugs!$A$2:$C$73,3,FALSE()), VLOOKUP(A832,Internal_lists_bugs!$A$2:$C$73,3,FALSE())&amp;Char(10) &amp; Char(10) &amp; VLOOKUP(A832,Internal_lists_bugs!$A$2:$Z$73,26,FALSE())),"please select a BUG ID")</f>
        <v>please select a BUG ID</v>
      </c>
      <c r="C832" s="51" t="str">
        <f>IFERROR(VLOOKUP(A832,Internal_lists_bugs!$A$2:$G2002,7,FALSE()),"please select a BUG ID")</f>
        <v>please select a BUG ID</v>
      </c>
      <c r="D832" s="54"/>
      <c r="E832" s="56"/>
      <c r="F832" s="54"/>
      <c r="G832" s="56"/>
      <c r="H832" s="54"/>
      <c r="I832" s="56"/>
      <c r="J832" s="54"/>
      <c r="K832" s="92"/>
      <c r="L832" s="54"/>
      <c r="M832" s="92"/>
      <c r="N832" s="54"/>
      <c r="O832" s="92"/>
      <c r="P832" s="54"/>
      <c r="Q832" s="92"/>
      <c r="R832" s="54"/>
      <c r="S832" s="92"/>
      <c r="T832" s="117"/>
      <c r="U832" s="92"/>
      <c r="V832" s="54"/>
      <c r="W832" s="92"/>
      <c r="X832" s="54"/>
      <c r="Y832" s="92"/>
      <c r="Z832" s="54"/>
      <c r="AA832" s="92"/>
      <c r="AB832" s="54"/>
      <c r="AC832" s="92"/>
      <c r="AD832" s="54"/>
      <c r="AE832" s="92"/>
      <c r="AF832" s="54"/>
      <c r="AG832" s="92"/>
      <c r="AH832" s="54"/>
      <c r="AI832" s="92"/>
      <c r="AJ832" s="54"/>
      <c r="AK832" s="92"/>
      <c r="AL832" s="54"/>
      <c r="AM832" s="92"/>
      <c r="AO832" s="54"/>
      <c r="AP832" s="123"/>
      <c r="AQ832" s="54"/>
      <c r="AR832" s="154"/>
      <c r="AS832" s="1"/>
      <c r="AT832" s="1"/>
      <c r="AU832" s="9"/>
    </row>
    <row r="833">
      <c r="A833" s="54"/>
      <c r="B833" s="71" t="str">
        <f>IFERROR(HYPERLINK(VLOOKUP(A833,Internal_lists_bugs!$A$2:$C$73,3,FALSE()), VLOOKUP(A833,Internal_lists_bugs!$A$2:$C$73,3,FALSE())&amp;Char(10) &amp; Char(10) &amp; VLOOKUP(A833,Internal_lists_bugs!$A$2:$Z$73,26,FALSE())),"please select a BUG ID")</f>
        <v>please select a BUG ID</v>
      </c>
      <c r="C833" s="51" t="str">
        <f>IFERROR(VLOOKUP(A833,Internal_lists_bugs!$A$2:$G2002,7,FALSE()),"please select a BUG ID")</f>
        <v>please select a BUG ID</v>
      </c>
      <c r="D833" s="54"/>
      <c r="E833" s="56"/>
      <c r="F833" s="54"/>
      <c r="G833" s="56"/>
      <c r="H833" s="54"/>
      <c r="I833" s="56"/>
      <c r="J833" s="54"/>
      <c r="K833" s="92"/>
      <c r="L833" s="54"/>
      <c r="M833" s="92"/>
      <c r="N833" s="54"/>
      <c r="O833" s="92"/>
      <c r="P833" s="54"/>
      <c r="Q833" s="92"/>
      <c r="R833" s="54"/>
      <c r="S833" s="92"/>
      <c r="T833" s="117"/>
      <c r="U833" s="92"/>
      <c r="V833" s="54"/>
      <c r="W833" s="92"/>
      <c r="X833" s="54"/>
      <c r="Y833" s="92"/>
      <c r="Z833" s="54"/>
      <c r="AA833" s="92"/>
      <c r="AB833" s="54"/>
      <c r="AC833" s="92"/>
      <c r="AD833" s="54"/>
      <c r="AE833" s="92"/>
      <c r="AF833" s="54"/>
      <c r="AG833" s="92"/>
      <c r="AH833" s="54"/>
      <c r="AI833" s="92"/>
      <c r="AJ833" s="54"/>
      <c r="AK833" s="92"/>
      <c r="AL833" s="54"/>
      <c r="AM833" s="92"/>
      <c r="AO833" s="54"/>
      <c r="AP833" s="123"/>
      <c r="AQ833" s="54"/>
      <c r="AR833" s="154"/>
      <c r="AS833" s="1"/>
      <c r="AT833" s="1"/>
      <c r="AU833" s="9"/>
    </row>
    <row r="834">
      <c r="A834" s="54"/>
      <c r="B834" s="71" t="str">
        <f>IFERROR(HYPERLINK(VLOOKUP(A834,Internal_lists_bugs!$A$2:$C$73,3,FALSE()), VLOOKUP(A834,Internal_lists_bugs!$A$2:$C$73,3,FALSE())&amp;Char(10) &amp; Char(10) &amp; VLOOKUP(A834,Internal_lists_bugs!$A$2:$Z$73,26,FALSE())),"please select a BUG ID")</f>
        <v>please select a BUG ID</v>
      </c>
      <c r="C834" s="51" t="str">
        <f>IFERROR(VLOOKUP(A834,Internal_lists_bugs!$A$2:$G2002,7,FALSE()),"please select a BUG ID")</f>
        <v>please select a BUG ID</v>
      </c>
      <c r="D834" s="54"/>
      <c r="E834" s="56"/>
      <c r="F834" s="54"/>
      <c r="G834" s="56"/>
      <c r="H834" s="54"/>
      <c r="I834" s="56"/>
      <c r="J834" s="54"/>
      <c r="K834" s="92"/>
      <c r="L834" s="54"/>
      <c r="M834" s="92"/>
      <c r="N834" s="54"/>
      <c r="O834" s="92"/>
      <c r="P834" s="54"/>
      <c r="Q834" s="92"/>
      <c r="R834" s="54"/>
      <c r="S834" s="92"/>
      <c r="T834" s="117"/>
      <c r="U834" s="92"/>
      <c r="V834" s="54"/>
      <c r="W834" s="92"/>
      <c r="X834" s="54"/>
      <c r="Y834" s="92"/>
      <c r="Z834" s="54"/>
      <c r="AA834" s="92"/>
      <c r="AB834" s="54"/>
      <c r="AC834" s="92"/>
      <c r="AD834" s="54"/>
      <c r="AE834" s="92"/>
      <c r="AF834" s="54"/>
      <c r="AG834" s="92"/>
      <c r="AH834" s="54"/>
      <c r="AI834" s="92"/>
      <c r="AJ834" s="54"/>
      <c r="AK834" s="92"/>
      <c r="AL834" s="54"/>
      <c r="AM834" s="92"/>
      <c r="AO834" s="54"/>
      <c r="AP834" s="123"/>
      <c r="AQ834" s="54"/>
      <c r="AR834" s="154"/>
      <c r="AS834" s="1"/>
      <c r="AT834" s="1"/>
      <c r="AU834" s="9"/>
    </row>
    <row r="835">
      <c r="A835" s="54"/>
      <c r="B835" s="71" t="str">
        <f>IFERROR(HYPERLINK(VLOOKUP(A835,Internal_lists_bugs!$A$2:$C$73,3,FALSE()), VLOOKUP(A835,Internal_lists_bugs!$A$2:$C$73,3,FALSE())&amp;Char(10) &amp; Char(10) &amp; VLOOKUP(A835,Internal_lists_bugs!$A$2:$Z$73,26,FALSE())),"please select a BUG ID")</f>
        <v>please select a BUG ID</v>
      </c>
      <c r="C835" s="51" t="str">
        <f>IFERROR(VLOOKUP(A835,Internal_lists_bugs!$A$2:$G2002,7,FALSE()),"please select a BUG ID")</f>
        <v>please select a BUG ID</v>
      </c>
      <c r="D835" s="54"/>
      <c r="E835" s="56"/>
      <c r="F835" s="54"/>
      <c r="G835" s="56"/>
      <c r="H835" s="54"/>
      <c r="I835" s="56"/>
      <c r="J835" s="54"/>
      <c r="K835" s="92"/>
      <c r="L835" s="54"/>
      <c r="M835" s="92"/>
      <c r="N835" s="54"/>
      <c r="O835" s="92"/>
      <c r="P835" s="54"/>
      <c r="Q835" s="92"/>
      <c r="R835" s="54"/>
      <c r="S835" s="92"/>
      <c r="T835" s="117"/>
      <c r="U835" s="92"/>
      <c r="V835" s="54"/>
      <c r="W835" s="92"/>
      <c r="X835" s="54"/>
      <c r="Y835" s="92"/>
      <c r="Z835" s="54"/>
      <c r="AA835" s="92"/>
      <c r="AB835" s="54"/>
      <c r="AC835" s="92"/>
      <c r="AD835" s="54"/>
      <c r="AE835" s="92"/>
      <c r="AF835" s="54"/>
      <c r="AG835" s="92"/>
      <c r="AH835" s="54"/>
      <c r="AI835" s="92"/>
      <c r="AJ835" s="54"/>
      <c r="AK835" s="92"/>
      <c r="AL835" s="54"/>
      <c r="AM835" s="92"/>
      <c r="AO835" s="54"/>
      <c r="AP835" s="123"/>
      <c r="AQ835" s="54"/>
      <c r="AR835" s="154"/>
      <c r="AS835" s="1"/>
      <c r="AT835" s="1"/>
      <c r="AU835" s="9"/>
    </row>
    <row r="836">
      <c r="A836" s="54"/>
      <c r="B836" s="71" t="str">
        <f>IFERROR(HYPERLINK(VLOOKUP(A836,Internal_lists_bugs!$A$2:$C$73,3,FALSE()), VLOOKUP(A836,Internal_lists_bugs!$A$2:$C$73,3,FALSE())&amp;Char(10) &amp; Char(10) &amp; VLOOKUP(A836,Internal_lists_bugs!$A$2:$Z$73,26,FALSE())),"please select a BUG ID")</f>
        <v>please select a BUG ID</v>
      </c>
      <c r="C836" s="51" t="str">
        <f>IFERROR(VLOOKUP(A836,Internal_lists_bugs!$A$2:$G2002,7,FALSE()),"please select a BUG ID")</f>
        <v>please select a BUG ID</v>
      </c>
      <c r="D836" s="54"/>
      <c r="E836" s="56"/>
      <c r="F836" s="54"/>
      <c r="G836" s="56"/>
      <c r="H836" s="54"/>
      <c r="I836" s="56"/>
      <c r="J836" s="54"/>
      <c r="K836" s="92"/>
      <c r="L836" s="54"/>
      <c r="M836" s="92"/>
      <c r="N836" s="54"/>
      <c r="O836" s="92"/>
      <c r="P836" s="54"/>
      <c r="Q836" s="92"/>
      <c r="R836" s="54"/>
      <c r="S836" s="92"/>
      <c r="T836" s="117"/>
      <c r="U836" s="92"/>
      <c r="V836" s="54"/>
      <c r="W836" s="92"/>
      <c r="X836" s="54"/>
      <c r="Y836" s="92"/>
      <c r="Z836" s="54"/>
      <c r="AA836" s="92"/>
      <c r="AB836" s="54"/>
      <c r="AC836" s="92"/>
      <c r="AD836" s="54"/>
      <c r="AE836" s="92"/>
      <c r="AF836" s="54"/>
      <c r="AG836" s="92"/>
      <c r="AH836" s="54"/>
      <c r="AI836" s="92"/>
      <c r="AJ836" s="54"/>
      <c r="AK836" s="92"/>
      <c r="AL836" s="54"/>
      <c r="AM836" s="92"/>
      <c r="AO836" s="54"/>
      <c r="AP836" s="123"/>
      <c r="AQ836" s="54"/>
      <c r="AR836" s="154"/>
      <c r="AS836" s="1"/>
      <c r="AT836" s="1"/>
      <c r="AU836" s="9"/>
    </row>
    <row r="837">
      <c r="A837" s="54"/>
      <c r="B837" s="71" t="str">
        <f>IFERROR(HYPERLINK(VLOOKUP(A837,Internal_lists_bugs!$A$2:$C$73,3,FALSE()), VLOOKUP(A837,Internal_lists_bugs!$A$2:$C$73,3,FALSE())&amp;Char(10) &amp; Char(10) &amp; VLOOKUP(A837,Internal_lists_bugs!$A$2:$Z$73,26,FALSE())),"please select a BUG ID")</f>
        <v>please select a BUG ID</v>
      </c>
      <c r="C837" s="51" t="str">
        <f>IFERROR(VLOOKUP(A837,Internal_lists_bugs!$A$2:$G2002,7,FALSE()),"please select a BUG ID")</f>
        <v>please select a BUG ID</v>
      </c>
      <c r="D837" s="54"/>
      <c r="E837" s="56"/>
      <c r="F837" s="54"/>
      <c r="G837" s="56"/>
      <c r="H837" s="54"/>
      <c r="I837" s="56"/>
      <c r="J837" s="54"/>
      <c r="K837" s="92"/>
      <c r="L837" s="54"/>
      <c r="M837" s="92"/>
      <c r="N837" s="54"/>
      <c r="O837" s="92"/>
      <c r="P837" s="54"/>
      <c r="Q837" s="92"/>
      <c r="R837" s="54"/>
      <c r="S837" s="92"/>
      <c r="T837" s="117"/>
      <c r="U837" s="92"/>
      <c r="V837" s="54"/>
      <c r="W837" s="92"/>
      <c r="X837" s="54"/>
      <c r="Y837" s="92"/>
      <c r="Z837" s="54"/>
      <c r="AA837" s="92"/>
      <c r="AB837" s="54"/>
      <c r="AC837" s="92"/>
      <c r="AD837" s="54"/>
      <c r="AE837" s="92"/>
      <c r="AF837" s="54"/>
      <c r="AG837" s="92"/>
      <c r="AH837" s="54"/>
      <c r="AI837" s="92"/>
      <c r="AJ837" s="54"/>
      <c r="AK837" s="92"/>
      <c r="AL837" s="54"/>
      <c r="AM837" s="92"/>
      <c r="AO837" s="54"/>
      <c r="AP837" s="123"/>
      <c r="AQ837" s="54"/>
      <c r="AR837" s="154"/>
      <c r="AS837" s="1"/>
      <c r="AT837" s="1"/>
      <c r="AU837" s="9"/>
    </row>
    <row r="838">
      <c r="A838" s="54"/>
      <c r="B838" s="71" t="str">
        <f>IFERROR(HYPERLINK(VLOOKUP(A838,Internal_lists_bugs!$A$2:$C$73,3,FALSE()), VLOOKUP(A838,Internal_lists_bugs!$A$2:$C$73,3,FALSE())&amp;Char(10) &amp; Char(10) &amp; VLOOKUP(A838,Internal_lists_bugs!$A$2:$Z$73,26,FALSE())),"please select a BUG ID")</f>
        <v>please select a BUG ID</v>
      </c>
      <c r="C838" s="51" t="str">
        <f>IFERROR(VLOOKUP(A838,Internal_lists_bugs!$A$2:$G2002,7,FALSE()),"please select a BUG ID")</f>
        <v>please select a BUG ID</v>
      </c>
      <c r="D838" s="54"/>
      <c r="E838" s="56"/>
      <c r="F838" s="54"/>
      <c r="G838" s="56"/>
      <c r="H838" s="54"/>
      <c r="I838" s="56"/>
      <c r="J838" s="54"/>
      <c r="K838" s="92"/>
      <c r="L838" s="54"/>
      <c r="M838" s="92"/>
      <c r="N838" s="54"/>
      <c r="O838" s="92"/>
      <c r="P838" s="54"/>
      <c r="Q838" s="92"/>
      <c r="R838" s="54"/>
      <c r="S838" s="92"/>
      <c r="T838" s="117"/>
      <c r="U838" s="92"/>
      <c r="V838" s="54"/>
      <c r="W838" s="92"/>
      <c r="X838" s="54"/>
      <c r="Y838" s="92"/>
      <c r="Z838" s="54"/>
      <c r="AA838" s="92"/>
      <c r="AB838" s="54"/>
      <c r="AC838" s="92"/>
      <c r="AD838" s="54"/>
      <c r="AE838" s="92"/>
      <c r="AF838" s="54"/>
      <c r="AG838" s="92"/>
      <c r="AH838" s="54"/>
      <c r="AI838" s="92"/>
      <c r="AJ838" s="54"/>
      <c r="AK838" s="92"/>
      <c r="AL838" s="54"/>
      <c r="AM838" s="92"/>
      <c r="AO838" s="54"/>
      <c r="AP838" s="123"/>
      <c r="AQ838" s="54"/>
      <c r="AR838" s="154"/>
      <c r="AS838" s="1"/>
      <c r="AT838" s="1"/>
      <c r="AU838" s="9"/>
    </row>
    <row r="839">
      <c r="A839" s="54"/>
      <c r="B839" s="71" t="str">
        <f>IFERROR(HYPERLINK(VLOOKUP(A839,Internal_lists_bugs!$A$2:$C$73,3,FALSE()), VLOOKUP(A839,Internal_lists_bugs!$A$2:$C$73,3,FALSE())&amp;Char(10) &amp; Char(10) &amp; VLOOKUP(A839,Internal_lists_bugs!$A$2:$Z$73,26,FALSE())),"please select a BUG ID")</f>
        <v>please select a BUG ID</v>
      </c>
      <c r="C839" s="51" t="str">
        <f>IFERROR(VLOOKUP(A839,Internal_lists_bugs!$A$2:$G2002,7,FALSE()),"please select a BUG ID")</f>
        <v>please select a BUG ID</v>
      </c>
      <c r="D839" s="54"/>
      <c r="E839" s="56"/>
      <c r="F839" s="54"/>
      <c r="G839" s="56"/>
      <c r="H839" s="54"/>
      <c r="I839" s="56"/>
      <c r="J839" s="54"/>
      <c r="K839" s="92"/>
      <c r="L839" s="54"/>
      <c r="M839" s="92"/>
      <c r="N839" s="54"/>
      <c r="O839" s="92"/>
      <c r="P839" s="54"/>
      <c r="Q839" s="92"/>
      <c r="R839" s="54"/>
      <c r="S839" s="92"/>
      <c r="T839" s="117"/>
      <c r="U839" s="92"/>
      <c r="V839" s="54"/>
      <c r="W839" s="92"/>
      <c r="X839" s="54"/>
      <c r="Y839" s="92"/>
      <c r="Z839" s="54"/>
      <c r="AA839" s="92"/>
      <c r="AB839" s="54"/>
      <c r="AC839" s="92"/>
      <c r="AD839" s="54"/>
      <c r="AE839" s="92"/>
      <c r="AF839" s="54"/>
      <c r="AG839" s="92"/>
      <c r="AH839" s="54"/>
      <c r="AI839" s="92"/>
      <c r="AJ839" s="54"/>
      <c r="AK839" s="92"/>
      <c r="AL839" s="54"/>
      <c r="AM839" s="92"/>
      <c r="AO839" s="54"/>
      <c r="AP839" s="123"/>
      <c r="AQ839" s="54"/>
      <c r="AR839" s="154"/>
      <c r="AS839" s="1"/>
      <c r="AT839" s="1"/>
      <c r="AU839" s="9"/>
    </row>
    <row r="840">
      <c r="A840" s="54"/>
      <c r="B840" s="71" t="str">
        <f>IFERROR(HYPERLINK(VLOOKUP(A840,Internal_lists_bugs!$A$2:$C$73,3,FALSE()), VLOOKUP(A840,Internal_lists_bugs!$A$2:$C$73,3,FALSE())&amp;Char(10) &amp; Char(10) &amp; VLOOKUP(A840,Internal_lists_bugs!$A$2:$Z$73,26,FALSE())),"please select a BUG ID")</f>
        <v>please select a BUG ID</v>
      </c>
      <c r="C840" s="51" t="str">
        <f>IFERROR(VLOOKUP(A840,Internal_lists_bugs!$A$2:$G2002,7,FALSE()),"please select a BUG ID")</f>
        <v>please select a BUG ID</v>
      </c>
      <c r="D840" s="54"/>
      <c r="E840" s="56"/>
      <c r="F840" s="54"/>
      <c r="G840" s="56"/>
      <c r="H840" s="54"/>
      <c r="I840" s="56"/>
      <c r="J840" s="54"/>
      <c r="K840" s="92"/>
      <c r="L840" s="54"/>
      <c r="M840" s="92"/>
      <c r="N840" s="54"/>
      <c r="O840" s="92"/>
      <c r="P840" s="54"/>
      <c r="Q840" s="92"/>
      <c r="R840" s="54"/>
      <c r="S840" s="92"/>
      <c r="T840" s="117"/>
      <c r="U840" s="92"/>
      <c r="V840" s="54"/>
      <c r="W840" s="92"/>
      <c r="X840" s="54"/>
      <c r="Y840" s="92"/>
      <c r="Z840" s="54"/>
      <c r="AA840" s="92"/>
      <c r="AB840" s="54"/>
      <c r="AC840" s="92"/>
      <c r="AD840" s="54"/>
      <c r="AE840" s="92"/>
      <c r="AF840" s="54"/>
      <c r="AG840" s="92"/>
      <c r="AH840" s="54"/>
      <c r="AI840" s="92"/>
      <c r="AJ840" s="54"/>
      <c r="AK840" s="92"/>
      <c r="AL840" s="54"/>
      <c r="AM840" s="92"/>
      <c r="AO840" s="54"/>
      <c r="AP840" s="123"/>
      <c r="AQ840" s="54"/>
      <c r="AR840" s="154"/>
      <c r="AS840" s="1"/>
      <c r="AT840" s="1"/>
      <c r="AU840" s="9"/>
    </row>
    <row r="841">
      <c r="A841" s="54"/>
      <c r="B841" s="71" t="str">
        <f>IFERROR(HYPERLINK(VLOOKUP(A841,Internal_lists_bugs!$A$2:$C$73,3,FALSE()), VLOOKUP(A841,Internal_lists_bugs!$A$2:$C$73,3,FALSE())&amp;Char(10) &amp; Char(10) &amp; VLOOKUP(A841,Internal_lists_bugs!$A$2:$Z$73,26,FALSE())),"please select a BUG ID")</f>
        <v>please select a BUG ID</v>
      </c>
      <c r="C841" s="51" t="str">
        <f>IFERROR(VLOOKUP(A841,Internal_lists_bugs!$A$2:$G2002,7,FALSE()),"please select a BUG ID")</f>
        <v>please select a BUG ID</v>
      </c>
      <c r="D841" s="54"/>
      <c r="E841" s="56"/>
      <c r="F841" s="54"/>
      <c r="G841" s="56"/>
      <c r="H841" s="54"/>
      <c r="I841" s="56"/>
      <c r="J841" s="54"/>
      <c r="K841" s="92"/>
      <c r="L841" s="54"/>
      <c r="M841" s="92"/>
      <c r="N841" s="54"/>
      <c r="O841" s="92"/>
      <c r="P841" s="54"/>
      <c r="Q841" s="92"/>
      <c r="R841" s="54"/>
      <c r="S841" s="92"/>
      <c r="T841" s="117"/>
      <c r="U841" s="92"/>
      <c r="V841" s="54"/>
      <c r="W841" s="92"/>
      <c r="X841" s="54"/>
      <c r="Y841" s="92"/>
      <c r="Z841" s="54"/>
      <c r="AA841" s="92"/>
      <c r="AB841" s="54"/>
      <c r="AC841" s="92"/>
      <c r="AD841" s="54"/>
      <c r="AE841" s="92"/>
      <c r="AF841" s="54"/>
      <c r="AG841" s="92"/>
      <c r="AH841" s="54"/>
      <c r="AI841" s="92"/>
      <c r="AJ841" s="54"/>
      <c r="AK841" s="92"/>
      <c r="AL841" s="54"/>
      <c r="AM841" s="92"/>
      <c r="AO841" s="54"/>
      <c r="AP841" s="123"/>
      <c r="AQ841" s="54"/>
      <c r="AR841" s="154"/>
      <c r="AS841" s="1"/>
      <c r="AT841" s="1"/>
      <c r="AU841" s="9"/>
    </row>
    <row r="842">
      <c r="A842" s="54"/>
      <c r="B842" s="71" t="str">
        <f>IFERROR(HYPERLINK(VLOOKUP(A842,Internal_lists_bugs!$A$2:$C$73,3,FALSE()), VLOOKUP(A842,Internal_lists_bugs!$A$2:$C$73,3,FALSE())&amp;Char(10) &amp; Char(10) &amp; VLOOKUP(A842,Internal_lists_bugs!$A$2:$Z$73,26,FALSE())),"please select a BUG ID")</f>
        <v>please select a BUG ID</v>
      </c>
      <c r="C842" s="51" t="str">
        <f>IFERROR(VLOOKUP(A842,Internal_lists_bugs!$A$2:$G2002,7,FALSE()),"please select a BUG ID")</f>
        <v>please select a BUG ID</v>
      </c>
      <c r="D842" s="54"/>
      <c r="E842" s="56"/>
      <c r="F842" s="54"/>
      <c r="G842" s="56"/>
      <c r="H842" s="54"/>
      <c r="I842" s="56"/>
      <c r="J842" s="54"/>
      <c r="K842" s="92"/>
      <c r="L842" s="54"/>
      <c r="M842" s="92"/>
      <c r="N842" s="54"/>
      <c r="O842" s="92"/>
      <c r="P842" s="54"/>
      <c r="Q842" s="92"/>
      <c r="R842" s="54"/>
      <c r="S842" s="92"/>
      <c r="T842" s="117"/>
      <c r="U842" s="92"/>
      <c r="V842" s="54"/>
      <c r="W842" s="92"/>
      <c r="X842" s="54"/>
      <c r="Y842" s="92"/>
      <c r="Z842" s="54"/>
      <c r="AA842" s="92"/>
      <c r="AB842" s="54"/>
      <c r="AC842" s="92"/>
      <c r="AD842" s="54"/>
      <c r="AE842" s="92"/>
      <c r="AF842" s="54"/>
      <c r="AG842" s="92"/>
      <c r="AH842" s="54"/>
      <c r="AI842" s="92"/>
      <c r="AJ842" s="54"/>
      <c r="AK842" s="92"/>
      <c r="AL842" s="54"/>
      <c r="AM842" s="92"/>
      <c r="AO842" s="54"/>
      <c r="AP842" s="123"/>
      <c r="AQ842" s="54"/>
      <c r="AR842" s="154"/>
      <c r="AS842" s="1"/>
      <c r="AT842" s="1"/>
      <c r="AU842" s="9"/>
    </row>
    <row r="843">
      <c r="A843" s="54"/>
      <c r="B843" s="71" t="str">
        <f>IFERROR(HYPERLINK(VLOOKUP(A843,Internal_lists_bugs!$A$2:$C$73,3,FALSE()), VLOOKUP(A843,Internal_lists_bugs!$A$2:$C$73,3,FALSE())&amp;Char(10) &amp; Char(10) &amp; VLOOKUP(A843,Internal_lists_bugs!$A$2:$Z$73,26,FALSE())),"please select a BUG ID")</f>
        <v>please select a BUG ID</v>
      </c>
      <c r="C843" s="51" t="str">
        <f>IFERROR(VLOOKUP(A843,Internal_lists_bugs!$A$2:$G2002,7,FALSE()),"please select a BUG ID")</f>
        <v>please select a BUG ID</v>
      </c>
      <c r="D843" s="54"/>
      <c r="E843" s="56"/>
      <c r="F843" s="54"/>
      <c r="G843" s="56"/>
      <c r="H843" s="54"/>
      <c r="I843" s="56"/>
      <c r="J843" s="54"/>
      <c r="K843" s="92"/>
      <c r="L843" s="54"/>
      <c r="M843" s="92"/>
      <c r="N843" s="54"/>
      <c r="O843" s="92"/>
      <c r="P843" s="54"/>
      <c r="Q843" s="92"/>
      <c r="R843" s="54"/>
      <c r="S843" s="92"/>
      <c r="T843" s="117"/>
      <c r="U843" s="92"/>
      <c r="V843" s="54"/>
      <c r="W843" s="92"/>
      <c r="X843" s="54"/>
      <c r="Y843" s="92"/>
      <c r="Z843" s="54"/>
      <c r="AA843" s="92"/>
      <c r="AB843" s="54"/>
      <c r="AC843" s="92"/>
      <c r="AD843" s="54"/>
      <c r="AE843" s="92"/>
      <c r="AF843" s="54"/>
      <c r="AG843" s="92"/>
      <c r="AH843" s="54"/>
      <c r="AI843" s="92"/>
      <c r="AJ843" s="54"/>
      <c r="AK843" s="92"/>
      <c r="AL843" s="54"/>
      <c r="AM843" s="92"/>
      <c r="AO843" s="54"/>
      <c r="AP843" s="123"/>
      <c r="AQ843" s="54"/>
      <c r="AR843" s="154"/>
      <c r="AS843" s="1"/>
      <c r="AT843" s="1"/>
      <c r="AU843" s="9"/>
    </row>
    <row r="844">
      <c r="A844" s="54"/>
      <c r="B844" s="71" t="str">
        <f>IFERROR(HYPERLINK(VLOOKUP(A844,Internal_lists_bugs!$A$2:$C$73,3,FALSE()), VLOOKUP(A844,Internal_lists_bugs!$A$2:$C$73,3,FALSE())&amp;Char(10) &amp; Char(10) &amp; VLOOKUP(A844,Internal_lists_bugs!$A$2:$Z$73,26,FALSE())),"please select a BUG ID")</f>
        <v>please select a BUG ID</v>
      </c>
      <c r="C844" s="51" t="str">
        <f>IFERROR(VLOOKUP(A844,Internal_lists_bugs!$A$2:$G2002,7,FALSE()),"please select a BUG ID")</f>
        <v>please select a BUG ID</v>
      </c>
      <c r="D844" s="54"/>
      <c r="E844" s="56"/>
      <c r="F844" s="54"/>
      <c r="G844" s="56"/>
      <c r="H844" s="54"/>
      <c r="I844" s="56"/>
      <c r="J844" s="54"/>
      <c r="K844" s="92"/>
      <c r="L844" s="54"/>
      <c r="M844" s="92"/>
      <c r="N844" s="54"/>
      <c r="O844" s="92"/>
      <c r="P844" s="54"/>
      <c r="Q844" s="92"/>
      <c r="R844" s="54"/>
      <c r="S844" s="92"/>
      <c r="T844" s="117"/>
      <c r="U844" s="92"/>
      <c r="V844" s="54"/>
      <c r="W844" s="92"/>
      <c r="X844" s="54"/>
      <c r="Y844" s="92"/>
      <c r="Z844" s="54"/>
      <c r="AA844" s="92"/>
      <c r="AB844" s="54"/>
      <c r="AC844" s="92"/>
      <c r="AD844" s="54"/>
      <c r="AE844" s="92"/>
      <c r="AF844" s="54"/>
      <c r="AG844" s="92"/>
      <c r="AH844" s="54"/>
      <c r="AI844" s="92"/>
      <c r="AJ844" s="54"/>
      <c r="AK844" s="92"/>
      <c r="AL844" s="54"/>
      <c r="AM844" s="92"/>
      <c r="AO844" s="54"/>
      <c r="AP844" s="123"/>
      <c r="AQ844" s="54"/>
      <c r="AR844" s="154"/>
      <c r="AS844" s="1"/>
      <c r="AT844" s="1"/>
      <c r="AU844" s="9"/>
    </row>
    <row r="845">
      <c r="A845" s="54"/>
      <c r="B845" s="71" t="str">
        <f>IFERROR(HYPERLINK(VLOOKUP(A845,Internal_lists_bugs!$A$2:$C$73,3,FALSE()), VLOOKUP(A845,Internal_lists_bugs!$A$2:$C$73,3,FALSE())&amp;Char(10) &amp; Char(10) &amp; VLOOKUP(A845,Internal_lists_bugs!$A$2:$Z$73,26,FALSE())),"please select a BUG ID")</f>
        <v>please select a BUG ID</v>
      </c>
      <c r="C845" s="51" t="str">
        <f>IFERROR(VLOOKUP(A845,Internal_lists_bugs!$A$2:$G2002,7,FALSE()),"please select a BUG ID")</f>
        <v>please select a BUG ID</v>
      </c>
      <c r="D845" s="54"/>
      <c r="E845" s="56"/>
      <c r="F845" s="54"/>
      <c r="G845" s="56"/>
      <c r="H845" s="54"/>
      <c r="I845" s="56"/>
      <c r="J845" s="54"/>
      <c r="K845" s="92"/>
      <c r="L845" s="54"/>
      <c r="M845" s="92"/>
      <c r="N845" s="54"/>
      <c r="O845" s="92"/>
      <c r="P845" s="54"/>
      <c r="Q845" s="92"/>
      <c r="R845" s="54"/>
      <c r="S845" s="92"/>
      <c r="T845" s="117"/>
      <c r="U845" s="92"/>
      <c r="V845" s="54"/>
      <c r="W845" s="92"/>
      <c r="X845" s="54"/>
      <c r="Y845" s="92"/>
      <c r="Z845" s="54"/>
      <c r="AA845" s="92"/>
      <c r="AB845" s="54"/>
      <c r="AC845" s="92"/>
      <c r="AD845" s="54"/>
      <c r="AE845" s="92"/>
      <c r="AF845" s="54"/>
      <c r="AG845" s="92"/>
      <c r="AH845" s="54"/>
      <c r="AI845" s="92"/>
      <c r="AJ845" s="54"/>
      <c r="AK845" s="92"/>
      <c r="AL845" s="54"/>
      <c r="AM845" s="92"/>
      <c r="AO845" s="54"/>
      <c r="AP845" s="123"/>
      <c r="AQ845" s="54"/>
      <c r="AR845" s="154"/>
      <c r="AS845" s="1"/>
      <c r="AT845" s="1"/>
      <c r="AU845" s="9"/>
    </row>
    <row r="846">
      <c r="A846" s="54"/>
      <c r="B846" s="71" t="str">
        <f>IFERROR(HYPERLINK(VLOOKUP(A846,Internal_lists_bugs!$A$2:$C$73,3,FALSE()), VLOOKUP(A846,Internal_lists_bugs!$A$2:$C$73,3,FALSE())&amp;Char(10) &amp; Char(10) &amp; VLOOKUP(A846,Internal_lists_bugs!$A$2:$Z$73,26,FALSE())),"please select a BUG ID")</f>
        <v>please select a BUG ID</v>
      </c>
      <c r="C846" s="51" t="str">
        <f>IFERROR(VLOOKUP(A846,Internal_lists_bugs!$A$2:$G2002,7,FALSE()),"please select a BUG ID")</f>
        <v>please select a BUG ID</v>
      </c>
      <c r="D846" s="54"/>
      <c r="E846" s="56"/>
      <c r="F846" s="54"/>
      <c r="G846" s="56"/>
      <c r="H846" s="54"/>
      <c r="I846" s="56"/>
      <c r="J846" s="54"/>
      <c r="K846" s="92"/>
      <c r="L846" s="54"/>
      <c r="M846" s="92"/>
      <c r="N846" s="54"/>
      <c r="O846" s="92"/>
      <c r="P846" s="54"/>
      <c r="Q846" s="92"/>
      <c r="R846" s="54"/>
      <c r="S846" s="92"/>
      <c r="T846" s="117"/>
      <c r="U846" s="92"/>
      <c r="V846" s="54"/>
      <c r="W846" s="92"/>
      <c r="X846" s="54"/>
      <c r="Y846" s="92"/>
      <c r="Z846" s="54"/>
      <c r="AA846" s="92"/>
      <c r="AB846" s="54"/>
      <c r="AC846" s="92"/>
      <c r="AD846" s="54"/>
      <c r="AE846" s="92"/>
      <c r="AF846" s="54"/>
      <c r="AG846" s="92"/>
      <c r="AH846" s="54"/>
      <c r="AI846" s="92"/>
      <c r="AJ846" s="54"/>
      <c r="AK846" s="92"/>
      <c r="AL846" s="54"/>
      <c r="AM846" s="92"/>
      <c r="AO846" s="54"/>
      <c r="AP846" s="123"/>
      <c r="AQ846" s="54"/>
      <c r="AR846" s="154"/>
      <c r="AS846" s="1"/>
      <c r="AT846" s="1"/>
      <c r="AU846" s="9"/>
    </row>
    <row r="847">
      <c r="A847" s="54"/>
      <c r="B847" s="71" t="str">
        <f>IFERROR(HYPERLINK(VLOOKUP(A847,Internal_lists_bugs!$A$2:$C$73,3,FALSE()), VLOOKUP(A847,Internal_lists_bugs!$A$2:$C$73,3,FALSE())&amp;Char(10) &amp; Char(10) &amp; VLOOKUP(A847,Internal_lists_bugs!$A$2:$Z$73,26,FALSE())),"please select a BUG ID")</f>
        <v>please select a BUG ID</v>
      </c>
      <c r="C847" s="51" t="str">
        <f>IFERROR(VLOOKUP(A847,Internal_lists_bugs!$A$2:$G2002,7,FALSE()),"please select a BUG ID")</f>
        <v>please select a BUG ID</v>
      </c>
      <c r="D847" s="54"/>
      <c r="E847" s="56"/>
      <c r="F847" s="54"/>
      <c r="G847" s="56"/>
      <c r="H847" s="54"/>
      <c r="I847" s="56"/>
      <c r="J847" s="54"/>
      <c r="K847" s="92"/>
      <c r="L847" s="54"/>
      <c r="M847" s="92"/>
      <c r="N847" s="54"/>
      <c r="O847" s="92"/>
      <c r="P847" s="54"/>
      <c r="Q847" s="92"/>
      <c r="R847" s="54"/>
      <c r="S847" s="92"/>
      <c r="T847" s="117"/>
      <c r="U847" s="92"/>
      <c r="V847" s="54"/>
      <c r="W847" s="92"/>
      <c r="X847" s="54"/>
      <c r="Y847" s="92"/>
      <c r="Z847" s="54"/>
      <c r="AA847" s="92"/>
      <c r="AB847" s="54"/>
      <c r="AC847" s="92"/>
      <c r="AD847" s="54"/>
      <c r="AE847" s="92"/>
      <c r="AF847" s="54"/>
      <c r="AG847" s="92"/>
      <c r="AH847" s="54"/>
      <c r="AI847" s="92"/>
      <c r="AJ847" s="54"/>
      <c r="AK847" s="92"/>
      <c r="AL847" s="54"/>
      <c r="AM847" s="92"/>
      <c r="AO847" s="54"/>
      <c r="AP847" s="123"/>
      <c r="AQ847" s="54"/>
      <c r="AR847" s="154"/>
      <c r="AS847" s="1"/>
      <c r="AT847" s="1"/>
      <c r="AU847" s="9"/>
    </row>
    <row r="848">
      <c r="A848" s="54"/>
      <c r="B848" s="71" t="str">
        <f>IFERROR(HYPERLINK(VLOOKUP(A848,Internal_lists_bugs!$A$2:$C$73,3,FALSE()), VLOOKUP(A848,Internal_lists_bugs!$A$2:$C$73,3,FALSE())&amp;Char(10) &amp; Char(10) &amp; VLOOKUP(A848,Internal_lists_bugs!$A$2:$Z$73,26,FALSE())),"please select a BUG ID")</f>
        <v>please select a BUG ID</v>
      </c>
      <c r="C848" s="51" t="str">
        <f>IFERROR(VLOOKUP(A848,Internal_lists_bugs!$A$2:$G2002,7,FALSE()),"please select a BUG ID")</f>
        <v>please select a BUG ID</v>
      </c>
      <c r="D848" s="54"/>
      <c r="E848" s="56"/>
      <c r="F848" s="54"/>
      <c r="G848" s="56"/>
      <c r="H848" s="54"/>
      <c r="I848" s="56"/>
      <c r="J848" s="54"/>
      <c r="K848" s="92"/>
      <c r="L848" s="54"/>
      <c r="M848" s="92"/>
      <c r="N848" s="54"/>
      <c r="O848" s="92"/>
      <c r="P848" s="54"/>
      <c r="Q848" s="92"/>
      <c r="R848" s="54"/>
      <c r="S848" s="92"/>
      <c r="T848" s="117"/>
      <c r="U848" s="92"/>
      <c r="V848" s="54"/>
      <c r="W848" s="92"/>
      <c r="X848" s="54"/>
      <c r="Y848" s="92"/>
      <c r="Z848" s="54"/>
      <c r="AA848" s="92"/>
      <c r="AB848" s="54"/>
      <c r="AC848" s="92"/>
      <c r="AD848" s="54"/>
      <c r="AE848" s="92"/>
      <c r="AF848" s="54"/>
      <c r="AG848" s="92"/>
      <c r="AH848" s="54"/>
      <c r="AI848" s="92"/>
      <c r="AJ848" s="54"/>
      <c r="AK848" s="92"/>
      <c r="AL848" s="54"/>
      <c r="AM848" s="92"/>
      <c r="AO848" s="54"/>
      <c r="AP848" s="123"/>
      <c r="AQ848" s="54"/>
      <c r="AR848" s="154"/>
      <c r="AS848" s="1"/>
      <c r="AT848" s="1"/>
      <c r="AU848" s="9"/>
    </row>
    <row r="849">
      <c r="A849" s="54"/>
      <c r="B849" s="71" t="str">
        <f>IFERROR(HYPERLINK(VLOOKUP(A849,Internal_lists_bugs!$A$2:$C$73,3,FALSE()), VLOOKUP(A849,Internal_lists_bugs!$A$2:$C$73,3,FALSE())&amp;Char(10) &amp; Char(10) &amp; VLOOKUP(A849,Internal_lists_bugs!$A$2:$Z$73,26,FALSE())),"please select a BUG ID")</f>
        <v>please select a BUG ID</v>
      </c>
      <c r="C849" s="51" t="str">
        <f>IFERROR(VLOOKUP(A849,Internal_lists_bugs!$A$2:$G2002,7,FALSE()),"please select a BUG ID")</f>
        <v>please select a BUG ID</v>
      </c>
      <c r="D849" s="54"/>
      <c r="E849" s="56"/>
      <c r="F849" s="54"/>
      <c r="G849" s="56"/>
      <c r="H849" s="54"/>
      <c r="I849" s="56"/>
      <c r="J849" s="54"/>
      <c r="K849" s="92"/>
      <c r="L849" s="54"/>
      <c r="M849" s="92"/>
      <c r="N849" s="54"/>
      <c r="O849" s="92"/>
      <c r="P849" s="54"/>
      <c r="Q849" s="92"/>
      <c r="R849" s="54"/>
      <c r="S849" s="92"/>
      <c r="T849" s="117"/>
      <c r="U849" s="92"/>
      <c r="V849" s="54"/>
      <c r="W849" s="92"/>
      <c r="X849" s="54"/>
      <c r="Y849" s="92"/>
      <c r="Z849" s="54"/>
      <c r="AA849" s="92"/>
      <c r="AB849" s="54"/>
      <c r="AC849" s="92"/>
      <c r="AD849" s="54"/>
      <c r="AE849" s="92"/>
      <c r="AF849" s="54"/>
      <c r="AG849" s="92"/>
      <c r="AH849" s="54"/>
      <c r="AI849" s="92"/>
      <c r="AJ849" s="54"/>
      <c r="AK849" s="92"/>
      <c r="AL849" s="54"/>
      <c r="AM849" s="92"/>
      <c r="AO849" s="54"/>
      <c r="AP849" s="123"/>
      <c r="AQ849" s="54"/>
      <c r="AR849" s="154"/>
      <c r="AS849" s="1"/>
      <c r="AT849" s="1"/>
      <c r="AU849" s="9"/>
    </row>
    <row r="850">
      <c r="A850" s="54"/>
      <c r="B850" s="71" t="str">
        <f>IFERROR(HYPERLINK(VLOOKUP(A850,Internal_lists_bugs!$A$2:$C$73,3,FALSE()), VLOOKUP(A850,Internal_lists_bugs!$A$2:$C$73,3,FALSE())&amp;Char(10) &amp; Char(10) &amp; VLOOKUP(A850,Internal_lists_bugs!$A$2:$Z$73,26,FALSE())),"please select a BUG ID")</f>
        <v>please select a BUG ID</v>
      </c>
      <c r="C850" s="51" t="str">
        <f>IFERROR(VLOOKUP(A850,Internal_lists_bugs!$A$2:$G2002,7,FALSE()),"please select a BUG ID")</f>
        <v>please select a BUG ID</v>
      </c>
      <c r="D850" s="54"/>
      <c r="E850" s="56"/>
      <c r="F850" s="54"/>
      <c r="G850" s="56"/>
      <c r="H850" s="54"/>
      <c r="I850" s="56"/>
      <c r="J850" s="54"/>
      <c r="K850" s="92"/>
      <c r="L850" s="54"/>
      <c r="M850" s="92"/>
      <c r="N850" s="54"/>
      <c r="O850" s="92"/>
      <c r="P850" s="54"/>
      <c r="Q850" s="92"/>
      <c r="R850" s="54"/>
      <c r="S850" s="92"/>
      <c r="T850" s="117"/>
      <c r="U850" s="92"/>
      <c r="V850" s="54"/>
      <c r="W850" s="92"/>
      <c r="X850" s="54"/>
      <c r="Y850" s="92"/>
      <c r="Z850" s="54"/>
      <c r="AA850" s="92"/>
      <c r="AB850" s="54"/>
      <c r="AC850" s="92"/>
      <c r="AD850" s="54"/>
      <c r="AE850" s="92"/>
      <c r="AF850" s="54"/>
      <c r="AG850" s="92"/>
      <c r="AH850" s="54"/>
      <c r="AI850" s="92"/>
      <c r="AJ850" s="54"/>
      <c r="AK850" s="92"/>
      <c r="AL850" s="54"/>
      <c r="AM850" s="92"/>
      <c r="AO850" s="54"/>
      <c r="AP850" s="123"/>
      <c r="AQ850" s="54"/>
      <c r="AR850" s="154"/>
      <c r="AS850" s="1"/>
      <c r="AT850" s="1"/>
      <c r="AU850" s="9"/>
    </row>
    <row r="851">
      <c r="A851" s="54"/>
      <c r="B851" s="71" t="str">
        <f>IFERROR(HYPERLINK(VLOOKUP(A851,Internal_lists_bugs!$A$2:$C$73,3,FALSE()), VLOOKUP(A851,Internal_lists_bugs!$A$2:$C$73,3,FALSE())&amp;Char(10) &amp; Char(10) &amp; VLOOKUP(A851,Internal_lists_bugs!$A$2:$Z$73,26,FALSE())),"please select a BUG ID")</f>
        <v>please select a BUG ID</v>
      </c>
      <c r="C851" s="51" t="str">
        <f>IFERROR(VLOOKUP(A851,Internal_lists_bugs!$A$2:$G2002,7,FALSE()),"please select a BUG ID")</f>
        <v>please select a BUG ID</v>
      </c>
      <c r="D851" s="54"/>
      <c r="E851" s="56"/>
      <c r="F851" s="54"/>
      <c r="G851" s="56"/>
      <c r="H851" s="54"/>
      <c r="I851" s="56"/>
      <c r="J851" s="54"/>
      <c r="K851" s="92"/>
      <c r="L851" s="54"/>
      <c r="M851" s="92"/>
      <c r="N851" s="54"/>
      <c r="O851" s="92"/>
      <c r="P851" s="54"/>
      <c r="Q851" s="92"/>
      <c r="R851" s="54"/>
      <c r="S851" s="92"/>
      <c r="T851" s="117"/>
      <c r="U851" s="92"/>
      <c r="V851" s="54"/>
      <c r="W851" s="92"/>
      <c r="X851" s="54"/>
      <c r="Y851" s="92"/>
      <c r="Z851" s="54"/>
      <c r="AA851" s="92"/>
      <c r="AB851" s="54"/>
      <c r="AC851" s="92"/>
      <c r="AD851" s="54"/>
      <c r="AE851" s="92"/>
      <c r="AF851" s="54"/>
      <c r="AG851" s="92"/>
      <c r="AH851" s="54"/>
      <c r="AI851" s="92"/>
      <c r="AJ851" s="54"/>
      <c r="AK851" s="92"/>
      <c r="AL851" s="54"/>
      <c r="AM851" s="92"/>
      <c r="AO851" s="54"/>
      <c r="AP851" s="123"/>
      <c r="AQ851" s="54"/>
      <c r="AR851" s="154"/>
      <c r="AS851" s="1"/>
      <c r="AT851" s="1"/>
      <c r="AU851" s="9"/>
    </row>
    <row r="852">
      <c r="A852" s="54"/>
      <c r="B852" s="71" t="str">
        <f>IFERROR(HYPERLINK(VLOOKUP(A852,Internal_lists_bugs!$A$2:$C$73,3,FALSE()), VLOOKUP(A852,Internal_lists_bugs!$A$2:$C$73,3,FALSE())&amp;Char(10) &amp; Char(10) &amp; VLOOKUP(A852,Internal_lists_bugs!$A$2:$Z$73,26,FALSE())),"please select a BUG ID")</f>
        <v>please select a BUG ID</v>
      </c>
      <c r="C852" s="51" t="str">
        <f>IFERROR(VLOOKUP(A852,Internal_lists_bugs!$A$2:$G2002,7,FALSE()),"please select a BUG ID")</f>
        <v>please select a BUG ID</v>
      </c>
      <c r="D852" s="54"/>
      <c r="E852" s="56"/>
      <c r="F852" s="54"/>
      <c r="G852" s="56"/>
      <c r="H852" s="54"/>
      <c r="I852" s="56"/>
      <c r="J852" s="54"/>
      <c r="K852" s="92"/>
      <c r="L852" s="54"/>
      <c r="M852" s="92"/>
      <c r="N852" s="54"/>
      <c r="O852" s="92"/>
      <c r="P852" s="54"/>
      <c r="Q852" s="92"/>
      <c r="R852" s="54"/>
      <c r="S852" s="92"/>
      <c r="T852" s="117"/>
      <c r="U852" s="92"/>
      <c r="V852" s="54"/>
      <c r="W852" s="92"/>
      <c r="X852" s="54"/>
      <c r="Y852" s="92"/>
      <c r="Z852" s="54"/>
      <c r="AA852" s="92"/>
      <c r="AB852" s="54"/>
      <c r="AC852" s="92"/>
      <c r="AD852" s="54"/>
      <c r="AE852" s="92"/>
      <c r="AF852" s="54"/>
      <c r="AG852" s="92"/>
      <c r="AH852" s="54"/>
      <c r="AI852" s="92"/>
      <c r="AJ852" s="54"/>
      <c r="AK852" s="92"/>
      <c r="AL852" s="54"/>
      <c r="AM852" s="92"/>
      <c r="AO852" s="54"/>
      <c r="AP852" s="123"/>
      <c r="AQ852" s="54"/>
      <c r="AR852" s="154"/>
      <c r="AS852" s="1"/>
      <c r="AT852" s="1"/>
      <c r="AU852" s="9"/>
    </row>
    <row r="853">
      <c r="A853" s="54"/>
      <c r="B853" s="71" t="str">
        <f>IFERROR(HYPERLINK(VLOOKUP(A853,Internal_lists_bugs!$A$2:$C$73,3,FALSE()), VLOOKUP(A853,Internal_lists_bugs!$A$2:$C$73,3,FALSE())&amp;Char(10) &amp; Char(10) &amp; VLOOKUP(A853,Internal_lists_bugs!$A$2:$Z$73,26,FALSE())),"please select a BUG ID")</f>
        <v>please select a BUG ID</v>
      </c>
      <c r="C853" s="51" t="str">
        <f>IFERROR(VLOOKUP(A853,Internal_lists_bugs!$A$2:$G2002,7,FALSE()),"please select a BUG ID")</f>
        <v>please select a BUG ID</v>
      </c>
      <c r="D853" s="54"/>
      <c r="E853" s="56"/>
      <c r="F853" s="54"/>
      <c r="G853" s="56"/>
      <c r="H853" s="54"/>
      <c r="I853" s="56"/>
      <c r="J853" s="54"/>
      <c r="K853" s="92"/>
      <c r="L853" s="54"/>
      <c r="M853" s="92"/>
      <c r="N853" s="54"/>
      <c r="O853" s="92"/>
      <c r="P853" s="54"/>
      <c r="Q853" s="92"/>
      <c r="R853" s="54"/>
      <c r="S853" s="92"/>
      <c r="T853" s="117"/>
      <c r="U853" s="92"/>
      <c r="V853" s="54"/>
      <c r="W853" s="92"/>
      <c r="X853" s="54"/>
      <c r="Y853" s="92"/>
      <c r="Z853" s="54"/>
      <c r="AA853" s="92"/>
      <c r="AB853" s="54"/>
      <c r="AC853" s="92"/>
      <c r="AD853" s="54"/>
      <c r="AE853" s="92"/>
      <c r="AF853" s="54"/>
      <c r="AG853" s="92"/>
      <c r="AH853" s="54"/>
      <c r="AI853" s="92"/>
      <c r="AJ853" s="54"/>
      <c r="AK853" s="92"/>
      <c r="AL853" s="54"/>
      <c r="AM853" s="92"/>
      <c r="AO853" s="54"/>
      <c r="AP853" s="123"/>
      <c r="AQ853" s="54"/>
      <c r="AR853" s="154"/>
      <c r="AS853" s="1"/>
      <c r="AT853" s="1"/>
      <c r="AU853" s="9"/>
    </row>
    <row r="854">
      <c r="A854" s="54"/>
      <c r="B854" s="71" t="str">
        <f>IFERROR(HYPERLINK(VLOOKUP(A854,Internal_lists_bugs!$A$2:$C$73,3,FALSE()), VLOOKUP(A854,Internal_lists_bugs!$A$2:$C$73,3,FALSE())&amp;Char(10) &amp; Char(10) &amp; VLOOKUP(A854,Internal_lists_bugs!$A$2:$Z$73,26,FALSE())),"please select a BUG ID")</f>
        <v>please select a BUG ID</v>
      </c>
      <c r="C854" s="51" t="str">
        <f>IFERROR(VLOOKUP(A854,Internal_lists_bugs!$A$2:$G2002,7,FALSE()),"please select a BUG ID")</f>
        <v>please select a BUG ID</v>
      </c>
      <c r="D854" s="54"/>
      <c r="E854" s="56"/>
      <c r="F854" s="54"/>
      <c r="G854" s="56"/>
      <c r="H854" s="54"/>
      <c r="I854" s="56"/>
      <c r="J854" s="54"/>
      <c r="K854" s="92"/>
      <c r="L854" s="54"/>
      <c r="M854" s="92"/>
      <c r="N854" s="54"/>
      <c r="O854" s="92"/>
      <c r="P854" s="54"/>
      <c r="Q854" s="92"/>
      <c r="R854" s="54"/>
      <c r="S854" s="92"/>
      <c r="T854" s="117"/>
      <c r="U854" s="92"/>
      <c r="V854" s="54"/>
      <c r="W854" s="92"/>
      <c r="X854" s="54"/>
      <c r="Y854" s="92"/>
      <c r="Z854" s="54"/>
      <c r="AA854" s="92"/>
      <c r="AB854" s="54"/>
      <c r="AC854" s="92"/>
      <c r="AD854" s="54"/>
      <c r="AE854" s="92"/>
      <c r="AF854" s="54"/>
      <c r="AG854" s="92"/>
      <c r="AH854" s="54"/>
      <c r="AI854" s="92"/>
      <c r="AJ854" s="54"/>
      <c r="AK854" s="92"/>
      <c r="AL854" s="54"/>
      <c r="AM854" s="92"/>
      <c r="AO854" s="54"/>
      <c r="AP854" s="123"/>
      <c r="AQ854" s="54"/>
      <c r="AR854" s="154"/>
      <c r="AS854" s="1"/>
      <c r="AT854" s="1"/>
      <c r="AU854" s="9"/>
    </row>
    <row r="855">
      <c r="A855" s="54"/>
      <c r="B855" s="71" t="str">
        <f>IFERROR(HYPERLINK(VLOOKUP(A855,Internal_lists_bugs!$A$2:$C$73,3,FALSE()), VLOOKUP(A855,Internal_lists_bugs!$A$2:$C$73,3,FALSE())&amp;Char(10) &amp; Char(10) &amp; VLOOKUP(A855,Internal_lists_bugs!$A$2:$Z$73,26,FALSE())),"please select a BUG ID")</f>
        <v>please select a BUG ID</v>
      </c>
      <c r="C855" s="51" t="str">
        <f>IFERROR(VLOOKUP(A855,Internal_lists_bugs!$A$2:$G2002,7,FALSE()),"please select a BUG ID")</f>
        <v>please select a BUG ID</v>
      </c>
      <c r="D855" s="54"/>
      <c r="E855" s="56"/>
      <c r="F855" s="54"/>
      <c r="G855" s="56"/>
      <c r="H855" s="54"/>
      <c r="I855" s="56"/>
      <c r="J855" s="54"/>
      <c r="K855" s="92"/>
      <c r="L855" s="54"/>
      <c r="M855" s="92"/>
      <c r="N855" s="54"/>
      <c r="O855" s="92"/>
      <c r="P855" s="54"/>
      <c r="Q855" s="92"/>
      <c r="R855" s="54"/>
      <c r="S855" s="92"/>
      <c r="T855" s="117"/>
      <c r="U855" s="92"/>
      <c r="V855" s="54"/>
      <c r="W855" s="92"/>
      <c r="X855" s="54"/>
      <c r="Y855" s="92"/>
      <c r="Z855" s="54"/>
      <c r="AA855" s="92"/>
      <c r="AB855" s="54"/>
      <c r="AC855" s="92"/>
      <c r="AD855" s="54"/>
      <c r="AE855" s="92"/>
      <c r="AF855" s="54"/>
      <c r="AG855" s="92"/>
      <c r="AH855" s="54"/>
      <c r="AI855" s="92"/>
      <c r="AJ855" s="54"/>
      <c r="AK855" s="92"/>
      <c r="AL855" s="54"/>
      <c r="AM855" s="92"/>
      <c r="AO855" s="54"/>
      <c r="AP855" s="123"/>
      <c r="AQ855" s="54"/>
      <c r="AR855" s="154"/>
      <c r="AS855" s="1"/>
      <c r="AT855" s="1"/>
      <c r="AU855" s="9"/>
    </row>
    <row r="856">
      <c r="A856" s="54"/>
      <c r="B856" s="71" t="str">
        <f>IFERROR(HYPERLINK(VLOOKUP(A856,Internal_lists_bugs!$A$2:$C$73,3,FALSE()), VLOOKUP(A856,Internal_lists_bugs!$A$2:$C$73,3,FALSE())&amp;Char(10) &amp; Char(10) &amp; VLOOKUP(A856,Internal_lists_bugs!$A$2:$Z$73,26,FALSE())),"please select a BUG ID")</f>
        <v>please select a BUG ID</v>
      </c>
      <c r="C856" s="51" t="str">
        <f>IFERROR(VLOOKUP(A856,Internal_lists_bugs!$A$2:$G2002,7,FALSE()),"please select a BUG ID")</f>
        <v>please select a BUG ID</v>
      </c>
      <c r="D856" s="54"/>
      <c r="E856" s="56"/>
      <c r="F856" s="54"/>
      <c r="G856" s="56"/>
      <c r="H856" s="54"/>
      <c r="I856" s="56"/>
      <c r="J856" s="54"/>
      <c r="K856" s="92"/>
      <c r="L856" s="54"/>
      <c r="M856" s="92"/>
      <c r="N856" s="54"/>
      <c r="O856" s="92"/>
      <c r="P856" s="54"/>
      <c r="Q856" s="92"/>
      <c r="R856" s="54"/>
      <c r="S856" s="92"/>
      <c r="T856" s="117"/>
      <c r="U856" s="92"/>
      <c r="V856" s="54"/>
      <c r="W856" s="92"/>
      <c r="X856" s="54"/>
      <c r="Y856" s="92"/>
      <c r="Z856" s="54"/>
      <c r="AA856" s="92"/>
      <c r="AB856" s="54"/>
      <c r="AC856" s="92"/>
      <c r="AD856" s="54"/>
      <c r="AE856" s="92"/>
      <c r="AF856" s="54"/>
      <c r="AG856" s="92"/>
      <c r="AH856" s="54"/>
      <c r="AI856" s="92"/>
      <c r="AJ856" s="54"/>
      <c r="AK856" s="92"/>
      <c r="AL856" s="54"/>
      <c r="AM856" s="92"/>
      <c r="AO856" s="54"/>
      <c r="AP856" s="123"/>
      <c r="AQ856" s="54"/>
      <c r="AR856" s="154"/>
      <c r="AS856" s="1"/>
      <c r="AT856" s="1"/>
      <c r="AU856" s="9"/>
    </row>
    <row r="857">
      <c r="A857" s="54"/>
      <c r="B857" s="71" t="str">
        <f>IFERROR(HYPERLINK(VLOOKUP(A857,Internal_lists_bugs!$A$2:$C$73,3,FALSE()), VLOOKUP(A857,Internal_lists_bugs!$A$2:$C$73,3,FALSE())&amp;Char(10) &amp; Char(10) &amp; VLOOKUP(A857,Internal_lists_bugs!$A$2:$Z$73,26,FALSE())),"please select a BUG ID")</f>
        <v>please select a BUG ID</v>
      </c>
      <c r="C857" s="51" t="str">
        <f>IFERROR(VLOOKUP(A857,Internal_lists_bugs!$A$2:$G2002,7,FALSE()),"please select a BUG ID")</f>
        <v>please select a BUG ID</v>
      </c>
      <c r="D857" s="54"/>
      <c r="E857" s="56"/>
      <c r="F857" s="54"/>
      <c r="G857" s="56"/>
      <c r="H857" s="54"/>
      <c r="I857" s="56"/>
      <c r="J857" s="54"/>
      <c r="K857" s="92"/>
      <c r="L857" s="54"/>
      <c r="M857" s="92"/>
      <c r="N857" s="54"/>
      <c r="O857" s="92"/>
      <c r="P857" s="54"/>
      <c r="Q857" s="92"/>
      <c r="R857" s="54"/>
      <c r="S857" s="92"/>
      <c r="T857" s="117"/>
      <c r="U857" s="92"/>
      <c r="V857" s="54"/>
      <c r="W857" s="92"/>
      <c r="X857" s="54"/>
      <c r="Y857" s="92"/>
      <c r="Z857" s="54"/>
      <c r="AA857" s="92"/>
      <c r="AB857" s="54"/>
      <c r="AC857" s="92"/>
      <c r="AD857" s="54"/>
      <c r="AE857" s="92"/>
      <c r="AF857" s="54"/>
      <c r="AG857" s="92"/>
      <c r="AH857" s="54"/>
      <c r="AI857" s="92"/>
      <c r="AJ857" s="54"/>
      <c r="AK857" s="92"/>
      <c r="AL857" s="54"/>
      <c r="AM857" s="92"/>
      <c r="AO857" s="54"/>
      <c r="AP857" s="123"/>
      <c r="AQ857" s="54"/>
      <c r="AR857" s="154"/>
      <c r="AS857" s="1"/>
      <c r="AT857" s="1"/>
      <c r="AU857" s="9"/>
    </row>
    <row r="858">
      <c r="A858" s="54"/>
      <c r="B858" s="71" t="str">
        <f>IFERROR(HYPERLINK(VLOOKUP(A858,Internal_lists_bugs!$A$2:$C$73,3,FALSE()), VLOOKUP(A858,Internal_lists_bugs!$A$2:$C$73,3,FALSE())&amp;Char(10) &amp; Char(10) &amp; VLOOKUP(A858,Internal_lists_bugs!$A$2:$Z$73,26,FALSE())),"please select a BUG ID")</f>
        <v>please select a BUG ID</v>
      </c>
      <c r="C858" s="51" t="str">
        <f>IFERROR(VLOOKUP(A858,Internal_lists_bugs!$A$2:$G2002,7,FALSE()),"please select a BUG ID")</f>
        <v>please select a BUG ID</v>
      </c>
      <c r="D858" s="54"/>
      <c r="E858" s="56"/>
      <c r="F858" s="54"/>
      <c r="G858" s="56"/>
      <c r="H858" s="54"/>
      <c r="I858" s="56"/>
      <c r="J858" s="54"/>
      <c r="K858" s="92"/>
      <c r="L858" s="54"/>
      <c r="M858" s="92"/>
      <c r="N858" s="54"/>
      <c r="O858" s="92"/>
      <c r="P858" s="54"/>
      <c r="Q858" s="92"/>
      <c r="R858" s="54"/>
      <c r="S858" s="92"/>
      <c r="T858" s="117"/>
      <c r="U858" s="92"/>
      <c r="V858" s="54"/>
      <c r="W858" s="92"/>
      <c r="X858" s="54"/>
      <c r="Y858" s="92"/>
      <c r="Z858" s="54"/>
      <c r="AA858" s="92"/>
      <c r="AB858" s="54"/>
      <c r="AC858" s="92"/>
      <c r="AD858" s="54"/>
      <c r="AE858" s="92"/>
      <c r="AF858" s="54"/>
      <c r="AG858" s="92"/>
      <c r="AH858" s="54"/>
      <c r="AI858" s="92"/>
      <c r="AJ858" s="54"/>
      <c r="AK858" s="92"/>
      <c r="AL858" s="54"/>
      <c r="AM858" s="92"/>
      <c r="AO858" s="54"/>
      <c r="AP858" s="123"/>
      <c r="AQ858" s="54"/>
      <c r="AR858" s="154"/>
      <c r="AS858" s="1"/>
      <c r="AT858" s="1"/>
      <c r="AU858" s="9"/>
    </row>
    <row r="859">
      <c r="A859" s="54"/>
      <c r="B859" s="71" t="str">
        <f>IFERROR(HYPERLINK(VLOOKUP(A859,Internal_lists_bugs!$A$2:$C$73,3,FALSE()), VLOOKUP(A859,Internal_lists_bugs!$A$2:$C$73,3,FALSE())&amp;Char(10) &amp; Char(10) &amp; VLOOKUP(A859,Internal_lists_bugs!$A$2:$Z$73,26,FALSE())),"please select a BUG ID")</f>
        <v>please select a BUG ID</v>
      </c>
      <c r="C859" s="51" t="str">
        <f>IFERROR(VLOOKUP(A859,Internal_lists_bugs!$A$2:$G2002,7,FALSE()),"please select a BUG ID")</f>
        <v>please select a BUG ID</v>
      </c>
      <c r="D859" s="54"/>
      <c r="E859" s="56"/>
      <c r="F859" s="54"/>
      <c r="G859" s="56"/>
      <c r="H859" s="54"/>
      <c r="I859" s="56"/>
      <c r="J859" s="54"/>
      <c r="K859" s="92"/>
      <c r="L859" s="54"/>
      <c r="M859" s="92"/>
      <c r="N859" s="54"/>
      <c r="O859" s="92"/>
      <c r="P859" s="54"/>
      <c r="Q859" s="92"/>
      <c r="R859" s="54"/>
      <c r="S859" s="92"/>
      <c r="T859" s="117"/>
      <c r="U859" s="92"/>
      <c r="V859" s="54"/>
      <c r="W859" s="92"/>
      <c r="X859" s="54"/>
      <c r="Y859" s="92"/>
      <c r="Z859" s="54"/>
      <c r="AA859" s="92"/>
      <c r="AB859" s="54"/>
      <c r="AC859" s="92"/>
      <c r="AD859" s="54"/>
      <c r="AE859" s="92"/>
      <c r="AF859" s="54"/>
      <c r="AG859" s="92"/>
      <c r="AH859" s="54"/>
      <c r="AI859" s="92"/>
      <c r="AJ859" s="54"/>
      <c r="AK859" s="92"/>
      <c r="AL859" s="54"/>
      <c r="AM859" s="92"/>
      <c r="AO859" s="54"/>
      <c r="AP859" s="123"/>
      <c r="AQ859" s="54"/>
      <c r="AR859" s="154"/>
      <c r="AS859" s="1"/>
      <c r="AT859" s="1"/>
      <c r="AU859" s="9"/>
    </row>
    <row r="860">
      <c r="A860" s="54"/>
      <c r="B860" s="71" t="str">
        <f>IFERROR(HYPERLINK(VLOOKUP(A860,Internal_lists_bugs!$A$2:$C$73,3,FALSE()), VLOOKUP(A860,Internal_lists_bugs!$A$2:$C$73,3,FALSE())&amp;Char(10) &amp; Char(10) &amp; VLOOKUP(A860,Internal_lists_bugs!$A$2:$Z$73,26,FALSE())),"please select a BUG ID")</f>
        <v>please select a BUG ID</v>
      </c>
      <c r="C860" s="51" t="str">
        <f>IFERROR(VLOOKUP(A860,Internal_lists_bugs!$A$2:$G2002,7,FALSE()),"please select a BUG ID")</f>
        <v>please select a BUG ID</v>
      </c>
      <c r="D860" s="54"/>
      <c r="E860" s="56"/>
      <c r="F860" s="54"/>
      <c r="G860" s="56"/>
      <c r="H860" s="54"/>
      <c r="I860" s="56"/>
      <c r="J860" s="54"/>
      <c r="K860" s="92"/>
      <c r="L860" s="54"/>
      <c r="M860" s="92"/>
      <c r="N860" s="54"/>
      <c r="O860" s="92"/>
      <c r="P860" s="54"/>
      <c r="Q860" s="92"/>
      <c r="R860" s="54"/>
      <c r="S860" s="92"/>
      <c r="T860" s="117"/>
      <c r="U860" s="92"/>
      <c r="V860" s="54"/>
      <c r="W860" s="92"/>
      <c r="X860" s="54"/>
      <c r="Y860" s="92"/>
      <c r="Z860" s="54"/>
      <c r="AA860" s="92"/>
      <c r="AB860" s="54"/>
      <c r="AC860" s="92"/>
      <c r="AD860" s="54"/>
      <c r="AE860" s="92"/>
      <c r="AF860" s="54"/>
      <c r="AG860" s="92"/>
      <c r="AH860" s="54"/>
      <c r="AI860" s="92"/>
      <c r="AJ860" s="54"/>
      <c r="AK860" s="92"/>
      <c r="AL860" s="54"/>
      <c r="AM860" s="92"/>
      <c r="AO860" s="54"/>
      <c r="AP860" s="123"/>
      <c r="AQ860" s="54"/>
      <c r="AR860" s="154"/>
      <c r="AS860" s="1"/>
      <c r="AT860" s="1"/>
      <c r="AU860" s="9"/>
    </row>
    <row r="861">
      <c r="A861" s="54"/>
      <c r="B861" s="71" t="str">
        <f>IFERROR(HYPERLINK(VLOOKUP(A861,Internal_lists_bugs!$A$2:$C$73,3,FALSE()), VLOOKUP(A861,Internal_lists_bugs!$A$2:$C$73,3,FALSE())&amp;Char(10) &amp; Char(10) &amp; VLOOKUP(A861,Internal_lists_bugs!$A$2:$Z$73,26,FALSE())),"please select a BUG ID")</f>
        <v>please select a BUG ID</v>
      </c>
      <c r="C861" s="51" t="str">
        <f>IFERROR(VLOOKUP(A861,Internal_lists_bugs!$A$2:$G2002,7,FALSE()),"please select a BUG ID")</f>
        <v>please select a BUG ID</v>
      </c>
      <c r="D861" s="54"/>
      <c r="E861" s="56"/>
      <c r="F861" s="54"/>
      <c r="G861" s="56"/>
      <c r="H861" s="54"/>
      <c r="I861" s="56"/>
      <c r="J861" s="54"/>
      <c r="K861" s="92"/>
      <c r="L861" s="54"/>
      <c r="M861" s="92"/>
      <c r="N861" s="54"/>
      <c r="O861" s="92"/>
      <c r="P861" s="54"/>
      <c r="Q861" s="92"/>
      <c r="R861" s="54"/>
      <c r="S861" s="92"/>
      <c r="T861" s="117"/>
      <c r="U861" s="92"/>
      <c r="V861" s="54"/>
      <c r="W861" s="92"/>
      <c r="X861" s="54"/>
      <c r="Y861" s="92"/>
      <c r="Z861" s="54"/>
      <c r="AA861" s="92"/>
      <c r="AB861" s="54"/>
      <c r="AC861" s="92"/>
      <c r="AD861" s="54"/>
      <c r="AE861" s="92"/>
      <c r="AF861" s="54"/>
      <c r="AG861" s="92"/>
      <c r="AH861" s="54"/>
      <c r="AI861" s="92"/>
      <c r="AJ861" s="54"/>
      <c r="AK861" s="92"/>
      <c r="AL861" s="54"/>
      <c r="AM861" s="92"/>
      <c r="AO861" s="54"/>
      <c r="AP861" s="123"/>
      <c r="AQ861" s="54"/>
      <c r="AR861" s="154"/>
      <c r="AS861" s="1"/>
      <c r="AT861" s="1"/>
      <c r="AU861" s="9"/>
    </row>
    <row r="862">
      <c r="A862" s="54"/>
      <c r="B862" s="71" t="str">
        <f>IFERROR(HYPERLINK(VLOOKUP(A862,Internal_lists_bugs!$A$2:$C$73,3,FALSE()), VLOOKUP(A862,Internal_lists_bugs!$A$2:$C$73,3,FALSE())&amp;Char(10) &amp; Char(10) &amp; VLOOKUP(A862,Internal_lists_bugs!$A$2:$Z$73,26,FALSE())),"please select a BUG ID")</f>
        <v>please select a BUG ID</v>
      </c>
      <c r="C862" s="51" t="str">
        <f>IFERROR(VLOOKUP(A862,Internal_lists_bugs!$A$2:$G2002,7,FALSE()),"please select a BUG ID")</f>
        <v>please select a BUG ID</v>
      </c>
      <c r="D862" s="54"/>
      <c r="E862" s="56"/>
      <c r="F862" s="54"/>
      <c r="G862" s="56"/>
      <c r="H862" s="54"/>
      <c r="I862" s="56"/>
      <c r="J862" s="54"/>
      <c r="K862" s="92"/>
      <c r="L862" s="54"/>
      <c r="M862" s="92"/>
      <c r="N862" s="54"/>
      <c r="O862" s="92"/>
      <c r="P862" s="54"/>
      <c r="Q862" s="92"/>
      <c r="R862" s="54"/>
      <c r="S862" s="92"/>
      <c r="T862" s="117"/>
      <c r="U862" s="92"/>
      <c r="V862" s="54"/>
      <c r="W862" s="92"/>
      <c r="X862" s="54"/>
      <c r="Y862" s="92"/>
      <c r="Z862" s="54"/>
      <c r="AA862" s="92"/>
      <c r="AB862" s="54"/>
      <c r="AC862" s="92"/>
      <c r="AD862" s="54"/>
      <c r="AE862" s="92"/>
      <c r="AF862" s="54"/>
      <c r="AG862" s="92"/>
      <c r="AH862" s="54"/>
      <c r="AI862" s="92"/>
      <c r="AJ862" s="54"/>
      <c r="AK862" s="92"/>
      <c r="AL862" s="54"/>
      <c r="AM862" s="92"/>
      <c r="AO862" s="54"/>
      <c r="AP862" s="123"/>
      <c r="AQ862" s="54"/>
      <c r="AR862" s="154"/>
      <c r="AS862" s="1"/>
      <c r="AT862" s="1"/>
      <c r="AU862" s="9"/>
    </row>
    <row r="863">
      <c r="A863" s="54"/>
      <c r="B863" s="71" t="str">
        <f>IFERROR(HYPERLINK(VLOOKUP(A863,Internal_lists_bugs!$A$2:$C$73,3,FALSE()), VLOOKUP(A863,Internal_lists_bugs!$A$2:$C$73,3,FALSE())&amp;Char(10) &amp; Char(10) &amp; VLOOKUP(A863,Internal_lists_bugs!$A$2:$Z$73,26,FALSE())),"please select a BUG ID")</f>
        <v>please select a BUG ID</v>
      </c>
      <c r="C863" s="51" t="str">
        <f>IFERROR(VLOOKUP(A863,Internal_lists_bugs!$A$2:$G2002,7,FALSE()),"please select a BUG ID")</f>
        <v>please select a BUG ID</v>
      </c>
      <c r="D863" s="54"/>
      <c r="E863" s="56"/>
      <c r="F863" s="54"/>
      <c r="G863" s="56"/>
      <c r="H863" s="54"/>
      <c r="I863" s="56"/>
      <c r="J863" s="54"/>
      <c r="K863" s="92"/>
      <c r="L863" s="54"/>
      <c r="M863" s="92"/>
      <c r="N863" s="54"/>
      <c r="O863" s="92"/>
      <c r="P863" s="54"/>
      <c r="Q863" s="92"/>
      <c r="R863" s="54"/>
      <c r="S863" s="92"/>
      <c r="T863" s="117"/>
      <c r="U863" s="92"/>
      <c r="V863" s="54"/>
      <c r="W863" s="92"/>
      <c r="X863" s="54"/>
      <c r="Y863" s="92"/>
      <c r="Z863" s="54"/>
      <c r="AA863" s="92"/>
      <c r="AB863" s="54"/>
      <c r="AC863" s="92"/>
      <c r="AD863" s="54"/>
      <c r="AE863" s="92"/>
      <c r="AF863" s="54"/>
      <c r="AG863" s="92"/>
      <c r="AH863" s="54"/>
      <c r="AI863" s="92"/>
      <c r="AJ863" s="54"/>
      <c r="AK863" s="92"/>
      <c r="AL863" s="54"/>
      <c r="AM863" s="92"/>
      <c r="AO863" s="54"/>
      <c r="AP863" s="123"/>
      <c r="AQ863" s="54"/>
      <c r="AR863" s="154"/>
      <c r="AS863" s="1"/>
      <c r="AT863" s="1"/>
      <c r="AU863" s="9"/>
    </row>
    <row r="864">
      <c r="A864" s="54"/>
      <c r="B864" s="71" t="str">
        <f>IFERROR(HYPERLINK(VLOOKUP(A864,Internal_lists_bugs!$A$2:$C$73,3,FALSE()), VLOOKUP(A864,Internal_lists_bugs!$A$2:$C$73,3,FALSE())&amp;Char(10) &amp; Char(10) &amp; VLOOKUP(A864,Internal_lists_bugs!$A$2:$Z$73,26,FALSE())),"please select a BUG ID")</f>
        <v>please select a BUG ID</v>
      </c>
      <c r="C864" s="51" t="str">
        <f>IFERROR(VLOOKUP(A864,Internal_lists_bugs!$A$2:$G2002,7,FALSE()),"please select a BUG ID")</f>
        <v>please select a BUG ID</v>
      </c>
      <c r="D864" s="54"/>
      <c r="E864" s="56"/>
      <c r="F864" s="54"/>
      <c r="G864" s="56"/>
      <c r="H864" s="54"/>
      <c r="I864" s="56"/>
      <c r="J864" s="54"/>
      <c r="K864" s="92"/>
      <c r="L864" s="54"/>
      <c r="M864" s="92"/>
      <c r="N864" s="54"/>
      <c r="O864" s="92"/>
      <c r="P864" s="54"/>
      <c r="Q864" s="92"/>
      <c r="R864" s="54"/>
      <c r="S864" s="92"/>
      <c r="T864" s="117"/>
      <c r="U864" s="92"/>
      <c r="V864" s="54"/>
      <c r="W864" s="92"/>
      <c r="X864" s="54"/>
      <c r="Y864" s="92"/>
      <c r="Z864" s="54"/>
      <c r="AA864" s="92"/>
      <c r="AB864" s="54"/>
      <c r="AC864" s="92"/>
      <c r="AD864" s="54"/>
      <c r="AE864" s="92"/>
      <c r="AF864" s="54"/>
      <c r="AG864" s="92"/>
      <c r="AH864" s="54"/>
      <c r="AI864" s="92"/>
      <c r="AJ864" s="54"/>
      <c r="AK864" s="92"/>
      <c r="AL864" s="54"/>
      <c r="AM864" s="92"/>
      <c r="AO864" s="54"/>
      <c r="AP864" s="123"/>
      <c r="AQ864" s="54"/>
      <c r="AR864" s="154"/>
      <c r="AS864" s="1"/>
      <c r="AT864" s="1"/>
      <c r="AU864" s="9"/>
    </row>
    <row r="865">
      <c r="A865" s="54"/>
      <c r="B865" s="71" t="str">
        <f>IFERROR(HYPERLINK(VLOOKUP(A865,Internal_lists_bugs!$A$2:$C$73,3,FALSE()), VLOOKUP(A865,Internal_lists_bugs!$A$2:$C$73,3,FALSE())&amp;Char(10) &amp; Char(10) &amp; VLOOKUP(A865,Internal_lists_bugs!$A$2:$Z$73,26,FALSE())),"please select a BUG ID")</f>
        <v>please select a BUG ID</v>
      </c>
      <c r="C865" s="51" t="str">
        <f>IFERROR(VLOOKUP(A865,Internal_lists_bugs!$A$2:$G2002,7,FALSE()),"please select a BUG ID")</f>
        <v>please select a BUG ID</v>
      </c>
      <c r="D865" s="54"/>
      <c r="E865" s="56"/>
      <c r="F865" s="54"/>
      <c r="G865" s="56"/>
      <c r="H865" s="54"/>
      <c r="I865" s="56"/>
      <c r="J865" s="54"/>
      <c r="K865" s="92"/>
      <c r="L865" s="54"/>
      <c r="M865" s="92"/>
      <c r="N865" s="54"/>
      <c r="O865" s="92"/>
      <c r="P865" s="54"/>
      <c r="Q865" s="92"/>
      <c r="R865" s="54"/>
      <c r="S865" s="92"/>
      <c r="T865" s="117"/>
      <c r="U865" s="92"/>
      <c r="V865" s="54"/>
      <c r="W865" s="92"/>
      <c r="X865" s="54"/>
      <c r="Y865" s="92"/>
      <c r="Z865" s="54"/>
      <c r="AA865" s="92"/>
      <c r="AB865" s="54"/>
      <c r="AC865" s="92"/>
      <c r="AD865" s="54"/>
      <c r="AE865" s="92"/>
      <c r="AF865" s="54"/>
      <c r="AG865" s="92"/>
      <c r="AH865" s="54"/>
      <c r="AI865" s="92"/>
      <c r="AJ865" s="54"/>
      <c r="AK865" s="92"/>
      <c r="AL865" s="54"/>
      <c r="AM865" s="92"/>
      <c r="AO865" s="54"/>
      <c r="AP865" s="123"/>
      <c r="AQ865" s="54"/>
      <c r="AR865" s="154"/>
      <c r="AS865" s="1"/>
      <c r="AT865" s="1"/>
      <c r="AU865" s="9"/>
    </row>
    <row r="866">
      <c r="A866" s="54"/>
      <c r="B866" s="71" t="str">
        <f>IFERROR(HYPERLINK(VLOOKUP(A866,Internal_lists_bugs!$A$2:$C$73,3,FALSE()), VLOOKUP(A866,Internal_lists_bugs!$A$2:$C$73,3,FALSE())&amp;Char(10) &amp; Char(10) &amp; VLOOKUP(A866,Internal_lists_bugs!$A$2:$Z$73,26,FALSE())),"please select a BUG ID")</f>
        <v>please select a BUG ID</v>
      </c>
      <c r="C866" s="51" t="str">
        <f>IFERROR(VLOOKUP(A866,Internal_lists_bugs!$A$2:$G2002,7,FALSE()),"please select a BUG ID")</f>
        <v>please select a BUG ID</v>
      </c>
      <c r="D866" s="54"/>
      <c r="E866" s="56"/>
      <c r="F866" s="54"/>
      <c r="G866" s="56"/>
      <c r="H866" s="54"/>
      <c r="I866" s="56"/>
      <c r="J866" s="54"/>
      <c r="K866" s="92"/>
      <c r="L866" s="54"/>
      <c r="M866" s="92"/>
      <c r="N866" s="54"/>
      <c r="O866" s="92"/>
      <c r="P866" s="54"/>
      <c r="Q866" s="92"/>
      <c r="R866" s="54"/>
      <c r="S866" s="92"/>
      <c r="T866" s="117"/>
      <c r="U866" s="92"/>
      <c r="V866" s="54"/>
      <c r="W866" s="92"/>
      <c r="X866" s="54"/>
      <c r="Y866" s="92"/>
      <c r="Z866" s="54"/>
      <c r="AA866" s="92"/>
      <c r="AB866" s="54"/>
      <c r="AC866" s="92"/>
      <c r="AD866" s="54"/>
      <c r="AE866" s="92"/>
      <c r="AF866" s="54"/>
      <c r="AG866" s="92"/>
      <c r="AH866" s="54"/>
      <c r="AI866" s="92"/>
      <c r="AJ866" s="54"/>
      <c r="AK866" s="92"/>
      <c r="AL866" s="54"/>
      <c r="AM866" s="92"/>
      <c r="AO866" s="54"/>
      <c r="AP866" s="123"/>
      <c r="AQ866" s="54"/>
      <c r="AR866" s="154"/>
      <c r="AS866" s="1"/>
      <c r="AT866" s="1"/>
      <c r="AU866" s="9"/>
    </row>
    <row r="867">
      <c r="A867" s="54"/>
      <c r="B867" s="71" t="str">
        <f>IFERROR(HYPERLINK(VLOOKUP(A867,Internal_lists_bugs!$A$2:$C$73,3,FALSE()), VLOOKUP(A867,Internal_lists_bugs!$A$2:$C$73,3,FALSE())&amp;Char(10) &amp; Char(10) &amp; VLOOKUP(A867,Internal_lists_bugs!$A$2:$Z$73,26,FALSE())),"please select a BUG ID")</f>
        <v>please select a BUG ID</v>
      </c>
      <c r="C867" s="51" t="str">
        <f>IFERROR(VLOOKUP(A867,Internal_lists_bugs!$A$2:$G2002,7,FALSE()),"please select a BUG ID")</f>
        <v>please select a BUG ID</v>
      </c>
      <c r="D867" s="54"/>
      <c r="E867" s="56"/>
      <c r="F867" s="54"/>
      <c r="G867" s="56"/>
      <c r="H867" s="54"/>
      <c r="I867" s="56"/>
      <c r="J867" s="54"/>
      <c r="K867" s="92"/>
      <c r="L867" s="54"/>
      <c r="M867" s="92"/>
      <c r="N867" s="54"/>
      <c r="O867" s="92"/>
      <c r="P867" s="54"/>
      <c r="Q867" s="92"/>
      <c r="R867" s="54"/>
      <c r="S867" s="92"/>
      <c r="T867" s="117"/>
      <c r="U867" s="92"/>
      <c r="V867" s="54"/>
      <c r="W867" s="92"/>
      <c r="X867" s="54"/>
      <c r="Y867" s="92"/>
      <c r="Z867" s="54"/>
      <c r="AA867" s="92"/>
      <c r="AB867" s="54"/>
      <c r="AC867" s="92"/>
      <c r="AD867" s="54"/>
      <c r="AE867" s="92"/>
      <c r="AF867" s="54"/>
      <c r="AG867" s="92"/>
      <c r="AH867" s="54"/>
      <c r="AI867" s="92"/>
      <c r="AJ867" s="54"/>
      <c r="AK867" s="92"/>
      <c r="AL867" s="54"/>
      <c r="AM867" s="92"/>
      <c r="AO867" s="54"/>
      <c r="AP867" s="123"/>
      <c r="AQ867" s="54"/>
      <c r="AR867" s="154"/>
      <c r="AS867" s="1"/>
      <c r="AT867" s="1"/>
      <c r="AU867" s="9"/>
    </row>
    <row r="868">
      <c r="A868" s="54"/>
      <c r="B868" s="71" t="str">
        <f>IFERROR(HYPERLINK(VLOOKUP(A868,Internal_lists_bugs!$A$2:$C$73,3,FALSE()), VLOOKUP(A868,Internal_lists_bugs!$A$2:$C$73,3,FALSE())&amp;Char(10) &amp; Char(10) &amp; VLOOKUP(A868,Internal_lists_bugs!$A$2:$Z$73,26,FALSE())),"please select a BUG ID")</f>
        <v>please select a BUG ID</v>
      </c>
      <c r="C868" s="51" t="str">
        <f>IFERROR(VLOOKUP(A868,Internal_lists_bugs!$A$2:$G2002,7,FALSE()),"please select a BUG ID")</f>
        <v>please select a BUG ID</v>
      </c>
      <c r="D868" s="54"/>
      <c r="E868" s="56"/>
      <c r="F868" s="54"/>
      <c r="G868" s="56"/>
      <c r="H868" s="54"/>
      <c r="I868" s="56"/>
      <c r="J868" s="54"/>
      <c r="K868" s="92"/>
      <c r="L868" s="54"/>
      <c r="M868" s="92"/>
      <c r="N868" s="54"/>
      <c r="O868" s="92"/>
      <c r="P868" s="54"/>
      <c r="Q868" s="92"/>
      <c r="R868" s="54"/>
      <c r="S868" s="92"/>
      <c r="T868" s="117"/>
      <c r="U868" s="92"/>
      <c r="V868" s="54"/>
      <c r="W868" s="92"/>
      <c r="X868" s="54"/>
      <c r="Y868" s="92"/>
      <c r="Z868" s="54"/>
      <c r="AA868" s="92"/>
      <c r="AB868" s="54"/>
      <c r="AC868" s="92"/>
      <c r="AD868" s="54"/>
      <c r="AE868" s="92"/>
      <c r="AF868" s="54"/>
      <c r="AG868" s="92"/>
      <c r="AH868" s="54"/>
      <c r="AI868" s="92"/>
      <c r="AJ868" s="54"/>
      <c r="AK868" s="92"/>
      <c r="AL868" s="54"/>
      <c r="AM868" s="92"/>
      <c r="AO868" s="54"/>
      <c r="AP868" s="123"/>
      <c r="AQ868" s="54"/>
      <c r="AR868" s="154"/>
      <c r="AS868" s="1"/>
      <c r="AT868" s="1"/>
      <c r="AU868" s="9"/>
    </row>
    <row r="869">
      <c r="A869" s="54"/>
      <c r="B869" s="71" t="str">
        <f>IFERROR(HYPERLINK(VLOOKUP(A869,Internal_lists_bugs!$A$2:$C$73,3,FALSE()), VLOOKUP(A869,Internal_lists_bugs!$A$2:$C$73,3,FALSE())&amp;Char(10) &amp; Char(10) &amp; VLOOKUP(A869,Internal_lists_bugs!$A$2:$Z$73,26,FALSE())),"please select a BUG ID")</f>
        <v>please select a BUG ID</v>
      </c>
      <c r="C869" s="51" t="str">
        <f>IFERROR(VLOOKUP(A869,Internal_lists_bugs!$A$2:$G2002,7,FALSE()),"please select a BUG ID")</f>
        <v>please select a BUG ID</v>
      </c>
      <c r="D869" s="54"/>
      <c r="E869" s="56"/>
      <c r="F869" s="54"/>
      <c r="G869" s="56"/>
      <c r="H869" s="54"/>
      <c r="I869" s="56"/>
      <c r="J869" s="54"/>
      <c r="K869" s="92"/>
      <c r="L869" s="54"/>
      <c r="M869" s="92"/>
      <c r="N869" s="54"/>
      <c r="O869" s="92"/>
      <c r="P869" s="54"/>
      <c r="Q869" s="92"/>
      <c r="R869" s="54"/>
      <c r="S869" s="92"/>
      <c r="T869" s="117"/>
      <c r="U869" s="92"/>
      <c r="V869" s="54"/>
      <c r="W869" s="92"/>
      <c r="X869" s="54"/>
      <c r="Y869" s="92"/>
      <c r="Z869" s="54"/>
      <c r="AA869" s="92"/>
      <c r="AB869" s="54"/>
      <c r="AC869" s="92"/>
      <c r="AD869" s="54"/>
      <c r="AE869" s="92"/>
      <c r="AF869" s="54"/>
      <c r="AG869" s="92"/>
      <c r="AH869" s="54"/>
      <c r="AI869" s="92"/>
      <c r="AJ869" s="54"/>
      <c r="AK869" s="92"/>
      <c r="AL869" s="54"/>
      <c r="AM869" s="92"/>
      <c r="AO869" s="54"/>
      <c r="AP869" s="123"/>
      <c r="AQ869" s="54"/>
      <c r="AR869" s="154"/>
      <c r="AS869" s="1"/>
      <c r="AT869" s="1"/>
      <c r="AU869" s="9"/>
    </row>
    <row r="870">
      <c r="A870" s="54"/>
      <c r="B870" s="71" t="str">
        <f>IFERROR(HYPERLINK(VLOOKUP(A870,Internal_lists_bugs!$A$2:$C$73,3,FALSE()), VLOOKUP(A870,Internal_lists_bugs!$A$2:$C$73,3,FALSE())&amp;Char(10) &amp; Char(10) &amp; VLOOKUP(A870,Internal_lists_bugs!$A$2:$Z$73,26,FALSE())),"please select a BUG ID")</f>
        <v>please select a BUG ID</v>
      </c>
      <c r="C870" s="51" t="str">
        <f>IFERROR(VLOOKUP(A870,Internal_lists_bugs!$A$2:$G2002,7,FALSE()),"please select a BUG ID")</f>
        <v>please select a BUG ID</v>
      </c>
      <c r="D870" s="54"/>
      <c r="E870" s="56"/>
      <c r="F870" s="54"/>
      <c r="G870" s="56"/>
      <c r="H870" s="54"/>
      <c r="I870" s="56"/>
      <c r="J870" s="54"/>
      <c r="K870" s="92"/>
      <c r="L870" s="54"/>
      <c r="M870" s="92"/>
      <c r="N870" s="54"/>
      <c r="O870" s="92"/>
      <c r="P870" s="54"/>
      <c r="Q870" s="92"/>
      <c r="R870" s="54"/>
      <c r="S870" s="92"/>
      <c r="T870" s="117"/>
      <c r="U870" s="92"/>
      <c r="V870" s="54"/>
      <c r="W870" s="92"/>
      <c r="X870" s="54"/>
      <c r="Y870" s="92"/>
      <c r="Z870" s="54"/>
      <c r="AA870" s="92"/>
      <c r="AB870" s="54"/>
      <c r="AC870" s="92"/>
      <c r="AD870" s="54"/>
      <c r="AE870" s="92"/>
      <c r="AF870" s="54"/>
      <c r="AG870" s="92"/>
      <c r="AH870" s="54"/>
      <c r="AI870" s="92"/>
      <c r="AJ870" s="54"/>
      <c r="AK870" s="92"/>
      <c r="AL870" s="54"/>
      <c r="AM870" s="92"/>
      <c r="AO870" s="54"/>
      <c r="AP870" s="123"/>
      <c r="AQ870" s="54"/>
      <c r="AR870" s="154"/>
      <c r="AS870" s="1"/>
      <c r="AT870" s="1"/>
      <c r="AU870" s="9"/>
    </row>
    <row r="871">
      <c r="A871" s="54"/>
      <c r="B871" s="71" t="str">
        <f>IFERROR(HYPERLINK(VLOOKUP(A871,Internal_lists_bugs!$A$2:$C$73,3,FALSE()), VLOOKUP(A871,Internal_lists_bugs!$A$2:$C$73,3,FALSE())&amp;Char(10) &amp; Char(10) &amp; VLOOKUP(A871,Internal_lists_bugs!$A$2:$Z$73,26,FALSE())),"please select a BUG ID")</f>
        <v>please select a BUG ID</v>
      </c>
      <c r="C871" s="51" t="str">
        <f>IFERROR(VLOOKUP(A871,Internal_lists_bugs!$A$2:$G2002,7,FALSE()),"please select a BUG ID")</f>
        <v>please select a BUG ID</v>
      </c>
      <c r="D871" s="54"/>
      <c r="E871" s="56"/>
      <c r="F871" s="54"/>
      <c r="G871" s="56"/>
      <c r="H871" s="54"/>
      <c r="I871" s="56"/>
      <c r="J871" s="54"/>
      <c r="K871" s="92"/>
      <c r="L871" s="54"/>
      <c r="M871" s="92"/>
      <c r="N871" s="54"/>
      <c r="O871" s="92"/>
      <c r="P871" s="54"/>
      <c r="Q871" s="92"/>
      <c r="R871" s="54"/>
      <c r="S871" s="92"/>
      <c r="T871" s="117"/>
      <c r="U871" s="92"/>
      <c r="V871" s="54"/>
      <c r="W871" s="92"/>
      <c r="X871" s="54"/>
      <c r="Y871" s="92"/>
      <c r="Z871" s="54"/>
      <c r="AA871" s="92"/>
      <c r="AB871" s="54"/>
      <c r="AC871" s="92"/>
      <c r="AD871" s="54"/>
      <c r="AE871" s="92"/>
      <c r="AF871" s="54"/>
      <c r="AG871" s="92"/>
      <c r="AH871" s="54"/>
      <c r="AI871" s="92"/>
      <c r="AJ871" s="54"/>
      <c r="AK871" s="92"/>
      <c r="AL871" s="54"/>
      <c r="AM871" s="92"/>
      <c r="AO871" s="54"/>
      <c r="AP871" s="123"/>
      <c r="AQ871" s="54"/>
      <c r="AR871" s="154"/>
      <c r="AS871" s="1"/>
      <c r="AT871" s="1"/>
      <c r="AU871" s="9"/>
    </row>
    <row r="872">
      <c r="A872" s="54"/>
      <c r="B872" s="71" t="str">
        <f>IFERROR(HYPERLINK(VLOOKUP(A872,Internal_lists_bugs!$A$2:$C$73,3,FALSE()), VLOOKUP(A872,Internal_lists_bugs!$A$2:$C$73,3,FALSE())&amp;Char(10) &amp; Char(10) &amp; VLOOKUP(A872,Internal_lists_bugs!$A$2:$Z$73,26,FALSE())),"please select a BUG ID")</f>
        <v>please select a BUG ID</v>
      </c>
      <c r="C872" s="51" t="str">
        <f>IFERROR(VLOOKUP(A872,Internal_lists_bugs!$A$2:$G2002,7,FALSE()),"please select a BUG ID")</f>
        <v>please select a BUG ID</v>
      </c>
      <c r="D872" s="54"/>
      <c r="E872" s="56"/>
      <c r="F872" s="54"/>
      <c r="G872" s="56"/>
      <c r="H872" s="54"/>
      <c r="I872" s="56"/>
      <c r="J872" s="54"/>
      <c r="K872" s="92"/>
      <c r="L872" s="54"/>
      <c r="M872" s="92"/>
      <c r="N872" s="54"/>
      <c r="O872" s="92"/>
      <c r="P872" s="54"/>
      <c r="Q872" s="92"/>
      <c r="R872" s="54"/>
      <c r="S872" s="92"/>
      <c r="T872" s="117"/>
      <c r="U872" s="92"/>
      <c r="V872" s="54"/>
      <c r="W872" s="92"/>
      <c r="X872" s="54"/>
      <c r="Y872" s="92"/>
      <c r="Z872" s="54"/>
      <c r="AA872" s="92"/>
      <c r="AB872" s="54"/>
      <c r="AC872" s="92"/>
      <c r="AD872" s="54"/>
      <c r="AE872" s="92"/>
      <c r="AF872" s="54"/>
      <c r="AG872" s="92"/>
      <c r="AH872" s="54"/>
      <c r="AI872" s="92"/>
      <c r="AJ872" s="54"/>
      <c r="AK872" s="92"/>
      <c r="AL872" s="54"/>
      <c r="AM872" s="92"/>
      <c r="AO872" s="54"/>
      <c r="AP872" s="123"/>
      <c r="AQ872" s="54"/>
      <c r="AR872" s="154"/>
      <c r="AS872" s="1"/>
      <c r="AT872" s="1"/>
      <c r="AU872" s="9"/>
    </row>
    <row r="873">
      <c r="A873" s="54"/>
      <c r="B873" s="71" t="str">
        <f>IFERROR(HYPERLINK(VLOOKUP(A873,Internal_lists_bugs!$A$2:$C$73,3,FALSE()), VLOOKUP(A873,Internal_lists_bugs!$A$2:$C$73,3,FALSE())&amp;Char(10) &amp; Char(10) &amp; VLOOKUP(A873,Internal_lists_bugs!$A$2:$Z$73,26,FALSE())),"please select a BUG ID")</f>
        <v>please select a BUG ID</v>
      </c>
      <c r="C873" s="51" t="str">
        <f>IFERROR(VLOOKUP(A873,Internal_lists_bugs!$A$2:$G2002,7,FALSE()),"please select a BUG ID")</f>
        <v>please select a BUG ID</v>
      </c>
      <c r="D873" s="54"/>
      <c r="E873" s="56"/>
      <c r="F873" s="54"/>
      <c r="G873" s="56"/>
      <c r="H873" s="54"/>
      <c r="I873" s="56"/>
      <c r="J873" s="54"/>
      <c r="K873" s="92"/>
      <c r="L873" s="54"/>
      <c r="M873" s="92"/>
      <c r="N873" s="54"/>
      <c r="O873" s="92"/>
      <c r="P873" s="54"/>
      <c r="Q873" s="92"/>
      <c r="R873" s="54"/>
      <c r="S873" s="92"/>
      <c r="T873" s="117"/>
      <c r="U873" s="92"/>
      <c r="V873" s="54"/>
      <c r="W873" s="92"/>
      <c r="X873" s="54"/>
      <c r="Y873" s="92"/>
      <c r="Z873" s="54"/>
      <c r="AA873" s="92"/>
      <c r="AB873" s="54"/>
      <c r="AC873" s="92"/>
      <c r="AD873" s="54"/>
      <c r="AE873" s="92"/>
      <c r="AF873" s="54"/>
      <c r="AG873" s="92"/>
      <c r="AH873" s="54"/>
      <c r="AI873" s="92"/>
      <c r="AJ873" s="54"/>
      <c r="AK873" s="92"/>
      <c r="AL873" s="54"/>
      <c r="AM873" s="92"/>
      <c r="AO873" s="54"/>
      <c r="AP873" s="123"/>
      <c r="AQ873" s="54"/>
      <c r="AR873" s="154"/>
      <c r="AS873" s="1"/>
      <c r="AT873" s="1"/>
      <c r="AU873" s="9"/>
    </row>
    <row r="874">
      <c r="A874" s="54"/>
      <c r="B874" s="71" t="str">
        <f>IFERROR(HYPERLINK(VLOOKUP(A874,Internal_lists_bugs!$A$2:$C$73,3,FALSE()), VLOOKUP(A874,Internal_lists_bugs!$A$2:$C$73,3,FALSE())&amp;Char(10) &amp; Char(10) &amp; VLOOKUP(A874,Internal_lists_bugs!$A$2:$Z$73,26,FALSE())),"please select a BUG ID")</f>
        <v>please select a BUG ID</v>
      </c>
      <c r="C874" s="51" t="str">
        <f>IFERROR(VLOOKUP(A874,Internal_lists_bugs!$A$2:$G2002,7,FALSE()),"please select a BUG ID")</f>
        <v>please select a BUG ID</v>
      </c>
      <c r="D874" s="54"/>
      <c r="E874" s="56"/>
      <c r="F874" s="54"/>
      <c r="G874" s="56"/>
      <c r="H874" s="54"/>
      <c r="I874" s="56"/>
      <c r="J874" s="54"/>
      <c r="K874" s="92"/>
      <c r="L874" s="54"/>
      <c r="M874" s="92"/>
      <c r="N874" s="54"/>
      <c r="O874" s="92"/>
      <c r="P874" s="54"/>
      <c r="Q874" s="92"/>
      <c r="R874" s="54"/>
      <c r="S874" s="92"/>
      <c r="T874" s="117"/>
      <c r="U874" s="92"/>
      <c r="V874" s="54"/>
      <c r="W874" s="92"/>
      <c r="X874" s="54"/>
      <c r="Y874" s="92"/>
      <c r="Z874" s="54"/>
      <c r="AA874" s="92"/>
      <c r="AB874" s="54"/>
      <c r="AC874" s="92"/>
      <c r="AD874" s="54"/>
      <c r="AE874" s="92"/>
      <c r="AF874" s="54"/>
      <c r="AG874" s="92"/>
      <c r="AH874" s="54"/>
      <c r="AI874" s="92"/>
      <c r="AJ874" s="54"/>
      <c r="AK874" s="92"/>
      <c r="AL874" s="54"/>
      <c r="AM874" s="92"/>
      <c r="AO874" s="54"/>
      <c r="AP874" s="123"/>
      <c r="AQ874" s="54"/>
      <c r="AR874" s="154"/>
      <c r="AS874" s="1"/>
      <c r="AT874" s="1"/>
      <c r="AU874" s="9"/>
    </row>
    <row r="875">
      <c r="A875" s="54"/>
      <c r="B875" s="71" t="str">
        <f>IFERROR(HYPERLINK(VLOOKUP(A875,Internal_lists_bugs!$A$2:$C$73,3,FALSE()), VLOOKUP(A875,Internal_lists_bugs!$A$2:$C$73,3,FALSE())&amp;Char(10) &amp; Char(10) &amp; VLOOKUP(A875,Internal_lists_bugs!$A$2:$Z$73,26,FALSE())),"please select a BUG ID")</f>
        <v>please select a BUG ID</v>
      </c>
      <c r="C875" s="51" t="str">
        <f>IFERROR(VLOOKUP(A875,Internal_lists_bugs!$A$2:$G2002,7,FALSE()),"please select a BUG ID")</f>
        <v>please select a BUG ID</v>
      </c>
      <c r="D875" s="54"/>
      <c r="E875" s="56"/>
      <c r="F875" s="54"/>
      <c r="G875" s="56"/>
      <c r="H875" s="54"/>
      <c r="I875" s="56"/>
      <c r="J875" s="54"/>
      <c r="K875" s="92"/>
      <c r="L875" s="54"/>
      <c r="M875" s="92"/>
      <c r="N875" s="54"/>
      <c r="O875" s="92"/>
      <c r="P875" s="54"/>
      <c r="Q875" s="92"/>
      <c r="R875" s="54"/>
      <c r="S875" s="92"/>
      <c r="T875" s="117"/>
      <c r="U875" s="92"/>
      <c r="V875" s="54"/>
      <c r="W875" s="92"/>
      <c r="X875" s="54"/>
      <c r="Y875" s="92"/>
      <c r="Z875" s="54"/>
      <c r="AA875" s="92"/>
      <c r="AB875" s="54"/>
      <c r="AC875" s="92"/>
      <c r="AD875" s="54"/>
      <c r="AE875" s="92"/>
      <c r="AF875" s="54"/>
      <c r="AG875" s="92"/>
      <c r="AH875" s="54"/>
      <c r="AI875" s="92"/>
      <c r="AJ875" s="54"/>
      <c r="AK875" s="92"/>
      <c r="AL875" s="54"/>
      <c r="AM875" s="92"/>
      <c r="AO875" s="54"/>
      <c r="AP875" s="123"/>
      <c r="AQ875" s="54"/>
      <c r="AR875" s="154"/>
      <c r="AS875" s="1"/>
      <c r="AT875" s="1"/>
      <c r="AU875" s="9"/>
    </row>
    <row r="876">
      <c r="A876" s="54"/>
      <c r="B876" s="71" t="str">
        <f>IFERROR(HYPERLINK(VLOOKUP(A876,Internal_lists_bugs!$A$2:$C$73,3,FALSE()), VLOOKUP(A876,Internal_lists_bugs!$A$2:$C$73,3,FALSE())&amp;Char(10) &amp; Char(10) &amp; VLOOKUP(A876,Internal_lists_bugs!$A$2:$Z$73,26,FALSE())),"please select a BUG ID")</f>
        <v>please select a BUG ID</v>
      </c>
      <c r="C876" s="51" t="str">
        <f>IFERROR(VLOOKUP(A876,Internal_lists_bugs!$A$2:$G2002,7,FALSE()),"please select a BUG ID")</f>
        <v>please select a BUG ID</v>
      </c>
      <c r="D876" s="54"/>
      <c r="E876" s="56"/>
      <c r="F876" s="54"/>
      <c r="G876" s="56"/>
      <c r="H876" s="54"/>
      <c r="I876" s="56"/>
      <c r="J876" s="54"/>
      <c r="K876" s="92"/>
      <c r="L876" s="54"/>
      <c r="M876" s="92"/>
      <c r="N876" s="54"/>
      <c r="O876" s="92"/>
      <c r="P876" s="54"/>
      <c r="Q876" s="92"/>
      <c r="R876" s="54"/>
      <c r="S876" s="92"/>
      <c r="T876" s="117"/>
      <c r="U876" s="92"/>
      <c r="V876" s="54"/>
      <c r="W876" s="92"/>
      <c r="X876" s="54"/>
      <c r="Y876" s="92"/>
      <c r="Z876" s="54"/>
      <c r="AA876" s="92"/>
      <c r="AB876" s="54"/>
      <c r="AC876" s="92"/>
      <c r="AD876" s="54"/>
      <c r="AE876" s="92"/>
      <c r="AF876" s="54"/>
      <c r="AG876" s="92"/>
      <c r="AH876" s="54"/>
      <c r="AI876" s="92"/>
      <c r="AJ876" s="54"/>
      <c r="AK876" s="92"/>
      <c r="AL876" s="54"/>
      <c r="AM876" s="92"/>
      <c r="AO876" s="54"/>
      <c r="AP876" s="123"/>
      <c r="AQ876" s="54"/>
      <c r="AR876" s="154"/>
      <c r="AS876" s="1"/>
      <c r="AT876" s="1"/>
      <c r="AU876" s="9"/>
    </row>
    <row r="877">
      <c r="A877" s="54"/>
      <c r="B877" s="71" t="str">
        <f>IFERROR(HYPERLINK(VLOOKUP(A877,Internal_lists_bugs!$A$2:$C$73,3,FALSE()), VLOOKUP(A877,Internal_lists_bugs!$A$2:$C$73,3,FALSE())&amp;Char(10) &amp; Char(10) &amp; VLOOKUP(A877,Internal_lists_bugs!$A$2:$Z$73,26,FALSE())),"please select a BUG ID")</f>
        <v>please select a BUG ID</v>
      </c>
      <c r="C877" s="51" t="str">
        <f>IFERROR(VLOOKUP(A877,Internal_lists_bugs!$A$2:$G2002,7,FALSE()),"please select a BUG ID")</f>
        <v>please select a BUG ID</v>
      </c>
      <c r="D877" s="54"/>
      <c r="E877" s="56"/>
      <c r="F877" s="54"/>
      <c r="G877" s="56"/>
      <c r="H877" s="54"/>
      <c r="I877" s="56"/>
      <c r="J877" s="54"/>
      <c r="K877" s="92"/>
      <c r="L877" s="54"/>
      <c r="M877" s="92"/>
      <c r="N877" s="54"/>
      <c r="O877" s="92"/>
      <c r="P877" s="54"/>
      <c r="Q877" s="92"/>
      <c r="R877" s="54"/>
      <c r="S877" s="92"/>
      <c r="T877" s="117"/>
      <c r="U877" s="92"/>
      <c r="V877" s="54"/>
      <c r="W877" s="92"/>
      <c r="X877" s="54"/>
      <c r="Y877" s="92"/>
      <c r="Z877" s="54"/>
      <c r="AA877" s="92"/>
      <c r="AB877" s="54"/>
      <c r="AC877" s="92"/>
      <c r="AD877" s="54"/>
      <c r="AE877" s="92"/>
      <c r="AF877" s="54"/>
      <c r="AG877" s="92"/>
      <c r="AH877" s="54"/>
      <c r="AI877" s="92"/>
      <c r="AJ877" s="54"/>
      <c r="AK877" s="92"/>
      <c r="AL877" s="54"/>
      <c r="AM877" s="92"/>
      <c r="AO877" s="54"/>
      <c r="AP877" s="123"/>
      <c r="AQ877" s="54"/>
      <c r="AR877" s="154"/>
      <c r="AS877" s="1"/>
      <c r="AT877" s="1"/>
      <c r="AU877" s="9"/>
    </row>
    <row r="878">
      <c r="A878" s="54"/>
      <c r="B878" s="71" t="str">
        <f>IFERROR(HYPERLINK(VLOOKUP(A878,Internal_lists_bugs!$A$2:$C$73,3,FALSE()), VLOOKUP(A878,Internal_lists_bugs!$A$2:$C$73,3,FALSE())&amp;Char(10) &amp; Char(10) &amp; VLOOKUP(A878,Internal_lists_bugs!$A$2:$Z$73,26,FALSE())),"please select a BUG ID")</f>
        <v>please select a BUG ID</v>
      </c>
      <c r="C878" s="51" t="str">
        <f>IFERROR(VLOOKUP(A878,Internal_lists_bugs!$A$2:$G2002,7,FALSE()),"please select a BUG ID")</f>
        <v>please select a BUG ID</v>
      </c>
      <c r="D878" s="54"/>
      <c r="E878" s="56"/>
      <c r="F878" s="54"/>
      <c r="G878" s="56"/>
      <c r="H878" s="54"/>
      <c r="I878" s="56"/>
      <c r="J878" s="54"/>
      <c r="K878" s="92"/>
      <c r="L878" s="54"/>
      <c r="M878" s="92"/>
      <c r="N878" s="54"/>
      <c r="O878" s="92"/>
      <c r="P878" s="54"/>
      <c r="Q878" s="92"/>
      <c r="R878" s="54"/>
      <c r="S878" s="92"/>
      <c r="T878" s="117"/>
      <c r="U878" s="92"/>
      <c r="V878" s="54"/>
      <c r="W878" s="92"/>
      <c r="X878" s="54"/>
      <c r="Y878" s="92"/>
      <c r="Z878" s="54"/>
      <c r="AA878" s="92"/>
      <c r="AB878" s="54"/>
      <c r="AC878" s="92"/>
      <c r="AD878" s="54"/>
      <c r="AE878" s="92"/>
      <c r="AF878" s="54"/>
      <c r="AG878" s="92"/>
      <c r="AH878" s="54"/>
      <c r="AI878" s="92"/>
      <c r="AJ878" s="54"/>
      <c r="AK878" s="92"/>
      <c r="AL878" s="54"/>
      <c r="AM878" s="92"/>
      <c r="AO878" s="54"/>
      <c r="AP878" s="123"/>
      <c r="AQ878" s="54"/>
      <c r="AR878" s="154"/>
      <c r="AS878" s="1"/>
      <c r="AT878" s="1"/>
      <c r="AU878" s="9"/>
    </row>
    <row r="879">
      <c r="A879" s="54"/>
      <c r="B879" s="71" t="str">
        <f>IFERROR(HYPERLINK(VLOOKUP(A879,Internal_lists_bugs!$A$2:$C$73,3,FALSE()), VLOOKUP(A879,Internal_lists_bugs!$A$2:$C$73,3,FALSE())&amp;Char(10) &amp; Char(10) &amp; VLOOKUP(A879,Internal_lists_bugs!$A$2:$Z$73,26,FALSE())),"please select a BUG ID")</f>
        <v>please select a BUG ID</v>
      </c>
      <c r="C879" s="51" t="str">
        <f>IFERROR(VLOOKUP(A879,Internal_lists_bugs!$A$2:$G2002,7,FALSE()),"please select a BUG ID")</f>
        <v>please select a BUG ID</v>
      </c>
      <c r="D879" s="54"/>
      <c r="E879" s="56"/>
      <c r="F879" s="54"/>
      <c r="G879" s="56"/>
      <c r="H879" s="54"/>
      <c r="I879" s="56"/>
      <c r="J879" s="54"/>
      <c r="K879" s="92"/>
      <c r="L879" s="54"/>
      <c r="M879" s="92"/>
      <c r="N879" s="54"/>
      <c r="O879" s="92"/>
      <c r="P879" s="54"/>
      <c r="Q879" s="92"/>
      <c r="R879" s="54"/>
      <c r="S879" s="92"/>
      <c r="T879" s="117"/>
      <c r="U879" s="92"/>
      <c r="V879" s="54"/>
      <c r="W879" s="92"/>
      <c r="X879" s="54"/>
      <c r="Y879" s="92"/>
      <c r="Z879" s="54"/>
      <c r="AA879" s="92"/>
      <c r="AB879" s="54"/>
      <c r="AC879" s="92"/>
      <c r="AD879" s="54"/>
      <c r="AE879" s="92"/>
      <c r="AF879" s="54"/>
      <c r="AG879" s="92"/>
      <c r="AH879" s="54"/>
      <c r="AI879" s="92"/>
      <c r="AJ879" s="54"/>
      <c r="AK879" s="92"/>
      <c r="AL879" s="54"/>
      <c r="AM879" s="92"/>
      <c r="AO879" s="54"/>
      <c r="AP879" s="123"/>
      <c r="AQ879" s="54"/>
      <c r="AR879" s="154"/>
      <c r="AS879" s="1"/>
      <c r="AT879" s="1"/>
      <c r="AU879" s="9"/>
    </row>
    <row r="880">
      <c r="A880" s="54"/>
      <c r="B880" s="71" t="str">
        <f>IFERROR(HYPERLINK(VLOOKUP(A880,Internal_lists_bugs!$A$2:$C$73,3,FALSE()), VLOOKUP(A880,Internal_lists_bugs!$A$2:$C$73,3,FALSE())&amp;Char(10) &amp; Char(10) &amp; VLOOKUP(A880,Internal_lists_bugs!$A$2:$Z$73,26,FALSE())),"please select a BUG ID")</f>
        <v>please select a BUG ID</v>
      </c>
      <c r="C880" s="51" t="str">
        <f>IFERROR(VLOOKUP(A880,Internal_lists_bugs!$A$2:$G2002,7,FALSE()),"please select a BUG ID")</f>
        <v>please select a BUG ID</v>
      </c>
      <c r="D880" s="54"/>
      <c r="E880" s="56"/>
      <c r="F880" s="54"/>
      <c r="G880" s="56"/>
      <c r="H880" s="54"/>
      <c r="I880" s="56"/>
      <c r="J880" s="54"/>
      <c r="K880" s="92"/>
      <c r="L880" s="54"/>
      <c r="M880" s="92"/>
      <c r="N880" s="54"/>
      <c r="O880" s="92"/>
      <c r="P880" s="54"/>
      <c r="Q880" s="92"/>
      <c r="R880" s="54"/>
      <c r="S880" s="92"/>
      <c r="T880" s="117"/>
      <c r="U880" s="92"/>
      <c r="V880" s="54"/>
      <c r="W880" s="92"/>
      <c r="X880" s="54"/>
      <c r="Y880" s="92"/>
      <c r="Z880" s="54"/>
      <c r="AA880" s="92"/>
      <c r="AB880" s="54"/>
      <c r="AC880" s="92"/>
      <c r="AD880" s="54"/>
      <c r="AE880" s="92"/>
      <c r="AF880" s="54"/>
      <c r="AG880" s="92"/>
      <c r="AH880" s="54"/>
      <c r="AI880" s="92"/>
      <c r="AJ880" s="54"/>
      <c r="AK880" s="92"/>
      <c r="AL880" s="54"/>
      <c r="AM880" s="92"/>
      <c r="AO880" s="54"/>
      <c r="AP880" s="123"/>
      <c r="AQ880" s="54"/>
      <c r="AR880" s="154"/>
      <c r="AS880" s="1"/>
      <c r="AT880" s="1"/>
      <c r="AU880" s="9"/>
    </row>
    <row r="881">
      <c r="A881" s="54"/>
      <c r="B881" s="71" t="str">
        <f>IFERROR(HYPERLINK(VLOOKUP(A881,Internal_lists_bugs!$A$2:$C$73,3,FALSE()), VLOOKUP(A881,Internal_lists_bugs!$A$2:$C$73,3,FALSE())&amp;Char(10) &amp; Char(10) &amp; VLOOKUP(A881,Internal_lists_bugs!$A$2:$Z$73,26,FALSE())),"please select a BUG ID")</f>
        <v>please select a BUG ID</v>
      </c>
      <c r="C881" s="51" t="str">
        <f>IFERROR(VLOOKUP(A881,Internal_lists_bugs!$A$2:$G2002,7,FALSE()),"please select a BUG ID")</f>
        <v>please select a BUG ID</v>
      </c>
      <c r="D881" s="54"/>
      <c r="E881" s="56"/>
      <c r="F881" s="54"/>
      <c r="G881" s="56"/>
      <c r="H881" s="54"/>
      <c r="I881" s="56"/>
      <c r="J881" s="54"/>
      <c r="K881" s="92"/>
      <c r="L881" s="54"/>
      <c r="M881" s="92"/>
      <c r="N881" s="54"/>
      <c r="O881" s="92"/>
      <c r="P881" s="54"/>
      <c r="Q881" s="92"/>
      <c r="R881" s="54"/>
      <c r="S881" s="92"/>
      <c r="T881" s="117"/>
      <c r="U881" s="92"/>
      <c r="V881" s="54"/>
      <c r="W881" s="92"/>
      <c r="X881" s="54"/>
      <c r="Y881" s="92"/>
      <c r="Z881" s="54"/>
      <c r="AA881" s="92"/>
      <c r="AB881" s="54"/>
      <c r="AC881" s="92"/>
      <c r="AD881" s="54"/>
      <c r="AE881" s="92"/>
      <c r="AF881" s="54"/>
      <c r="AG881" s="92"/>
      <c r="AH881" s="54"/>
      <c r="AI881" s="92"/>
      <c r="AJ881" s="54"/>
      <c r="AK881" s="92"/>
      <c r="AL881" s="54"/>
      <c r="AM881" s="92"/>
      <c r="AO881" s="54"/>
      <c r="AP881" s="123"/>
      <c r="AQ881" s="54"/>
      <c r="AR881" s="154"/>
      <c r="AS881" s="1"/>
      <c r="AT881" s="1"/>
      <c r="AU881" s="9"/>
    </row>
    <row r="882">
      <c r="A882" s="54"/>
      <c r="B882" s="71" t="str">
        <f>IFERROR(HYPERLINK(VLOOKUP(A882,Internal_lists_bugs!$A$2:$C$73,3,FALSE()), VLOOKUP(A882,Internal_lists_bugs!$A$2:$C$73,3,FALSE())&amp;Char(10) &amp; Char(10) &amp; VLOOKUP(A882,Internal_lists_bugs!$A$2:$Z$73,26,FALSE())),"please select a BUG ID")</f>
        <v>please select a BUG ID</v>
      </c>
      <c r="C882" s="51" t="str">
        <f>IFERROR(VLOOKUP(A882,Internal_lists_bugs!$A$2:$G2002,7,FALSE()),"please select a BUG ID")</f>
        <v>please select a BUG ID</v>
      </c>
      <c r="D882" s="54"/>
      <c r="E882" s="56"/>
      <c r="F882" s="54"/>
      <c r="G882" s="56"/>
      <c r="H882" s="54"/>
      <c r="I882" s="56"/>
      <c r="J882" s="54"/>
      <c r="K882" s="92"/>
      <c r="L882" s="54"/>
      <c r="M882" s="92"/>
      <c r="N882" s="54"/>
      <c r="O882" s="92"/>
      <c r="P882" s="54"/>
      <c r="Q882" s="92"/>
      <c r="R882" s="54"/>
      <c r="S882" s="92"/>
      <c r="T882" s="117"/>
      <c r="U882" s="92"/>
      <c r="V882" s="54"/>
      <c r="W882" s="92"/>
      <c r="X882" s="54"/>
      <c r="Y882" s="92"/>
      <c r="Z882" s="54"/>
      <c r="AA882" s="92"/>
      <c r="AB882" s="54"/>
      <c r="AC882" s="92"/>
      <c r="AD882" s="54"/>
      <c r="AE882" s="92"/>
      <c r="AF882" s="54"/>
      <c r="AG882" s="92"/>
      <c r="AH882" s="54"/>
      <c r="AI882" s="92"/>
      <c r="AJ882" s="54"/>
      <c r="AK882" s="92"/>
      <c r="AL882" s="54"/>
      <c r="AM882" s="92"/>
      <c r="AO882" s="54"/>
      <c r="AP882" s="123"/>
      <c r="AQ882" s="54"/>
      <c r="AR882" s="154"/>
      <c r="AS882" s="1"/>
      <c r="AT882" s="1"/>
      <c r="AU882" s="9"/>
    </row>
    <row r="883">
      <c r="A883" s="54"/>
      <c r="B883" s="71" t="str">
        <f>IFERROR(HYPERLINK(VLOOKUP(A883,Internal_lists_bugs!$A$2:$C$73,3,FALSE()), VLOOKUP(A883,Internal_lists_bugs!$A$2:$C$73,3,FALSE())&amp;Char(10) &amp; Char(10) &amp; VLOOKUP(A883,Internal_lists_bugs!$A$2:$Z$73,26,FALSE())),"please select a BUG ID")</f>
        <v>please select a BUG ID</v>
      </c>
      <c r="C883" s="51" t="str">
        <f>IFERROR(VLOOKUP(A883,Internal_lists_bugs!$A$2:$G2002,7,FALSE()),"please select a BUG ID")</f>
        <v>please select a BUG ID</v>
      </c>
      <c r="D883" s="54"/>
      <c r="E883" s="56"/>
      <c r="F883" s="54"/>
      <c r="G883" s="56"/>
      <c r="H883" s="54"/>
      <c r="I883" s="56"/>
      <c r="J883" s="54"/>
      <c r="K883" s="92"/>
      <c r="L883" s="54"/>
      <c r="M883" s="92"/>
      <c r="N883" s="54"/>
      <c r="O883" s="92"/>
      <c r="P883" s="54"/>
      <c r="Q883" s="92"/>
      <c r="R883" s="54"/>
      <c r="S883" s="92"/>
      <c r="T883" s="117"/>
      <c r="U883" s="92"/>
      <c r="V883" s="54"/>
      <c r="W883" s="92"/>
      <c r="X883" s="54"/>
      <c r="Y883" s="92"/>
      <c r="Z883" s="54"/>
      <c r="AA883" s="92"/>
      <c r="AB883" s="54"/>
      <c r="AC883" s="92"/>
      <c r="AD883" s="54"/>
      <c r="AE883" s="92"/>
      <c r="AF883" s="54"/>
      <c r="AG883" s="92"/>
      <c r="AH883" s="54"/>
      <c r="AI883" s="92"/>
      <c r="AJ883" s="54"/>
      <c r="AK883" s="92"/>
      <c r="AL883" s="54"/>
      <c r="AM883" s="92"/>
      <c r="AO883" s="54"/>
      <c r="AP883" s="123"/>
      <c r="AQ883" s="54"/>
      <c r="AR883" s="154"/>
      <c r="AS883" s="1"/>
      <c r="AT883" s="1"/>
      <c r="AU883" s="9"/>
    </row>
    <row r="884">
      <c r="A884" s="54"/>
      <c r="B884" s="71" t="str">
        <f>IFERROR(HYPERLINK(VLOOKUP(A884,Internal_lists_bugs!$A$2:$C$73,3,FALSE()), VLOOKUP(A884,Internal_lists_bugs!$A$2:$C$73,3,FALSE())&amp;Char(10) &amp; Char(10) &amp; VLOOKUP(A884,Internal_lists_bugs!$A$2:$Z$73,26,FALSE())),"please select a BUG ID")</f>
        <v>please select a BUG ID</v>
      </c>
      <c r="C884" s="51" t="str">
        <f>IFERROR(VLOOKUP(A884,Internal_lists_bugs!$A$2:$G2002,7,FALSE()),"please select a BUG ID")</f>
        <v>please select a BUG ID</v>
      </c>
      <c r="D884" s="54"/>
      <c r="E884" s="56"/>
      <c r="F884" s="54"/>
      <c r="G884" s="56"/>
      <c r="H884" s="54"/>
      <c r="I884" s="56"/>
      <c r="J884" s="54"/>
      <c r="K884" s="92"/>
      <c r="L884" s="54"/>
      <c r="M884" s="92"/>
      <c r="N884" s="54"/>
      <c r="O884" s="92"/>
      <c r="P884" s="54"/>
      <c r="Q884" s="92"/>
      <c r="R884" s="54"/>
      <c r="S884" s="92"/>
      <c r="T884" s="117"/>
      <c r="U884" s="92"/>
      <c r="V884" s="54"/>
      <c r="W884" s="92"/>
      <c r="X884" s="54"/>
      <c r="Y884" s="92"/>
      <c r="Z884" s="54"/>
      <c r="AA884" s="92"/>
      <c r="AB884" s="54"/>
      <c r="AC884" s="92"/>
      <c r="AD884" s="54"/>
      <c r="AE884" s="92"/>
      <c r="AF884" s="54"/>
      <c r="AG884" s="92"/>
      <c r="AH884" s="54"/>
      <c r="AI884" s="92"/>
      <c r="AJ884" s="54"/>
      <c r="AK884" s="92"/>
      <c r="AL884" s="54"/>
      <c r="AM884" s="92"/>
      <c r="AO884" s="54"/>
      <c r="AP884" s="123"/>
      <c r="AQ884" s="54"/>
      <c r="AR884" s="154"/>
      <c r="AS884" s="1"/>
      <c r="AT884" s="1"/>
      <c r="AU884" s="9"/>
    </row>
    <row r="885">
      <c r="A885" s="54"/>
      <c r="B885" s="71" t="str">
        <f>IFERROR(HYPERLINK(VLOOKUP(A885,Internal_lists_bugs!$A$2:$C$73,3,FALSE()), VLOOKUP(A885,Internal_lists_bugs!$A$2:$C$73,3,FALSE())&amp;Char(10) &amp; Char(10) &amp; VLOOKUP(A885,Internal_lists_bugs!$A$2:$Z$73,26,FALSE())),"please select a BUG ID")</f>
        <v>please select a BUG ID</v>
      </c>
      <c r="C885" s="51" t="str">
        <f>IFERROR(VLOOKUP(A885,Internal_lists_bugs!$A$2:$G2002,7,FALSE()),"please select a BUG ID")</f>
        <v>please select a BUG ID</v>
      </c>
      <c r="D885" s="54"/>
      <c r="E885" s="56"/>
      <c r="F885" s="54"/>
      <c r="G885" s="56"/>
      <c r="H885" s="54"/>
      <c r="I885" s="56"/>
      <c r="J885" s="54"/>
      <c r="K885" s="92"/>
      <c r="L885" s="54"/>
      <c r="M885" s="92"/>
      <c r="N885" s="54"/>
      <c r="O885" s="92"/>
      <c r="P885" s="54"/>
      <c r="Q885" s="92"/>
      <c r="R885" s="54"/>
      <c r="S885" s="92"/>
      <c r="T885" s="117"/>
      <c r="U885" s="92"/>
      <c r="V885" s="54"/>
      <c r="W885" s="92"/>
      <c r="X885" s="54"/>
      <c r="Y885" s="92"/>
      <c r="Z885" s="54"/>
      <c r="AA885" s="92"/>
      <c r="AB885" s="54"/>
      <c r="AC885" s="92"/>
      <c r="AD885" s="54"/>
      <c r="AE885" s="92"/>
      <c r="AF885" s="54"/>
      <c r="AG885" s="92"/>
      <c r="AH885" s="54"/>
      <c r="AI885" s="92"/>
      <c r="AJ885" s="54"/>
      <c r="AK885" s="92"/>
      <c r="AL885" s="54"/>
      <c r="AM885" s="92"/>
      <c r="AO885" s="54"/>
      <c r="AP885" s="123"/>
      <c r="AQ885" s="54"/>
      <c r="AR885" s="154"/>
      <c r="AS885" s="1"/>
      <c r="AT885" s="1"/>
      <c r="AU885" s="9"/>
    </row>
    <row r="886">
      <c r="A886" s="54"/>
      <c r="B886" s="71" t="str">
        <f>IFERROR(HYPERLINK(VLOOKUP(A886,Internal_lists_bugs!$A$2:$C$73,3,FALSE()), VLOOKUP(A886,Internal_lists_bugs!$A$2:$C$73,3,FALSE())&amp;Char(10) &amp; Char(10) &amp; VLOOKUP(A886,Internal_lists_bugs!$A$2:$Z$73,26,FALSE())),"please select a BUG ID")</f>
        <v>please select a BUG ID</v>
      </c>
      <c r="C886" s="51" t="str">
        <f>IFERROR(VLOOKUP(A886,Internal_lists_bugs!$A$2:$G2002,7,FALSE()),"please select a BUG ID")</f>
        <v>please select a BUG ID</v>
      </c>
      <c r="D886" s="54"/>
      <c r="E886" s="56"/>
      <c r="F886" s="54"/>
      <c r="G886" s="56"/>
      <c r="H886" s="54"/>
      <c r="I886" s="56"/>
      <c r="J886" s="54"/>
      <c r="K886" s="92"/>
      <c r="L886" s="54"/>
      <c r="M886" s="92"/>
      <c r="N886" s="54"/>
      <c r="O886" s="92"/>
      <c r="P886" s="54"/>
      <c r="Q886" s="92"/>
      <c r="R886" s="54"/>
      <c r="S886" s="92"/>
      <c r="T886" s="117"/>
      <c r="U886" s="92"/>
      <c r="V886" s="54"/>
      <c r="W886" s="92"/>
      <c r="X886" s="54"/>
      <c r="Y886" s="92"/>
      <c r="Z886" s="54"/>
      <c r="AA886" s="92"/>
      <c r="AB886" s="54"/>
      <c r="AC886" s="92"/>
      <c r="AD886" s="54"/>
      <c r="AE886" s="92"/>
      <c r="AF886" s="54"/>
      <c r="AG886" s="92"/>
      <c r="AH886" s="54"/>
      <c r="AI886" s="92"/>
      <c r="AJ886" s="54"/>
      <c r="AK886" s="92"/>
      <c r="AL886" s="54"/>
      <c r="AM886" s="92"/>
      <c r="AO886" s="54"/>
      <c r="AP886" s="123"/>
      <c r="AQ886" s="54"/>
      <c r="AR886" s="154"/>
      <c r="AS886" s="1"/>
      <c r="AT886" s="1"/>
      <c r="AU886" s="9"/>
    </row>
    <row r="887">
      <c r="A887" s="54"/>
      <c r="B887" s="71" t="str">
        <f>IFERROR(HYPERLINK(VLOOKUP(A887,Internal_lists_bugs!$A$2:$C$73,3,FALSE()), VLOOKUP(A887,Internal_lists_bugs!$A$2:$C$73,3,FALSE())&amp;Char(10) &amp; Char(10) &amp; VLOOKUP(A887,Internal_lists_bugs!$A$2:$Z$73,26,FALSE())),"please select a BUG ID")</f>
        <v>please select a BUG ID</v>
      </c>
      <c r="C887" s="51" t="str">
        <f>IFERROR(VLOOKUP(A887,Internal_lists_bugs!$A$2:$G2002,7,FALSE()),"please select a BUG ID")</f>
        <v>please select a BUG ID</v>
      </c>
      <c r="D887" s="54"/>
      <c r="E887" s="56"/>
      <c r="F887" s="54"/>
      <c r="G887" s="56"/>
      <c r="H887" s="54"/>
      <c r="I887" s="56"/>
      <c r="J887" s="54"/>
      <c r="K887" s="92"/>
      <c r="L887" s="54"/>
      <c r="M887" s="92"/>
      <c r="N887" s="54"/>
      <c r="O887" s="92"/>
      <c r="P887" s="54"/>
      <c r="Q887" s="92"/>
      <c r="R887" s="54"/>
      <c r="S887" s="92"/>
      <c r="T887" s="117"/>
      <c r="U887" s="92"/>
      <c r="V887" s="54"/>
      <c r="W887" s="92"/>
      <c r="X887" s="54"/>
      <c r="Y887" s="92"/>
      <c r="Z887" s="54"/>
      <c r="AA887" s="92"/>
      <c r="AB887" s="54"/>
      <c r="AC887" s="92"/>
      <c r="AD887" s="54"/>
      <c r="AE887" s="92"/>
      <c r="AF887" s="54"/>
      <c r="AG887" s="92"/>
      <c r="AH887" s="54"/>
      <c r="AI887" s="92"/>
      <c r="AJ887" s="54"/>
      <c r="AK887" s="92"/>
      <c r="AL887" s="54"/>
      <c r="AM887" s="92"/>
      <c r="AO887" s="54"/>
      <c r="AP887" s="123"/>
      <c r="AQ887" s="54"/>
      <c r="AR887" s="154"/>
      <c r="AS887" s="1"/>
      <c r="AT887" s="1"/>
      <c r="AU887" s="9"/>
    </row>
    <row r="888">
      <c r="A888" s="54"/>
      <c r="B888" s="71" t="str">
        <f>IFERROR(HYPERLINK(VLOOKUP(A888,Internal_lists_bugs!$A$2:$C$73,3,FALSE()), VLOOKUP(A888,Internal_lists_bugs!$A$2:$C$73,3,FALSE())&amp;Char(10) &amp; Char(10) &amp; VLOOKUP(A888,Internal_lists_bugs!$A$2:$Z$73,26,FALSE())),"please select a BUG ID")</f>
        <v>please select a BUG ID</v>
      </c>
      <c r="C888" s="51" t="str">
        <f>IFERROR(VLOOKUP(A888,Internal_lists_bugs!$A$2:$G2002,7,FALSE()),"please select a BUG ID")</f>
        <v>please select a BUG ID</v>
      </c>
      <c r="D888" s="54"/>
      <c r="E888" s="56"/>
      <c r="F888" s="54"/>
      <c r="G888" s="56"/>
      <c r="H888" s="54"/>
      <c r="I888" s="56"/>
      <c r="J888" s="54"/>
      <c r="K888" s="92"/>
      <c r="L888" s="54"/>
      <c r="M888" s="92"/>
      <c r="N888" s="54"/>
      <c r="O888" s="92"/>
      <c r="P888" s="54"/>
      <c r="Q888" s="92"/>
      <c r="R888" s="54"/>
      <c r="S888" s="92"/>
      <c r="T888" s="117"/>
      <c r="U888" s="92"/>
      <c r="V888" s="54"/>
      <c r="W888" s="92"/>
      <c r="X888" s="54"/>
      <c r="Y888" s="92"/>
      <c r="Z888" s="54"/>
      <c r="AA888" s="92"/>
      <c r="AB888" s="54"/>
      <c r="AC888" s="92"/>
      <c r="AD888" s="54"/>
      <c r="AE888" s="92"/>
      <c r="AF888" s="54"/>
      <c r="AG888" s="92"/>
      <c r="AH888" s="54"/>
      <c r="AI888" s="92"/>
      <c r="AJ888" s="54"/>
      <c r="AK888" s="92"/>
      <c r="AL888" s="54"/>
      <c r="AM888" s="92"/>
      <c r="AO888" s="54"/>
      <c r="AP888" s="123"/>
      <c r="AQ888" s="54"/>
      <c r="AR888" s="154"/>
      <c r="AS888" s="1"/>
      <c r="AT888" s="1"/>
      <c r="AU888" s="9"/>
    </row>
    <row r="889">
      <c r="A889" s="54"/>
      <c r="B889" s="71" t="str">
        <f>IFERROR(HYPERLINK(VLOOKUP(A889,Internal_lists_bugs!$A$2:$C$73,3,FALSE()), VLOOKUP(A889,Internal_lists_bugs!$A$2:$C$73,3,FALSE())&amp;Char(10) &amp; Char(10) &amp; VLOOKUP(A889,Internal_lists_bugs!$A$2:$Z$73,26,FALSE())),"please select a BUG ID")</f>
        <v>please select a BUG ID</v>
      </c>
      <c r="C889" s="51" t="str">
        <f>IFERROR(VLOOKUP(A889,Internal_lists_bugs!$A$2:$G2002,7,FALSE()),"please select a BUG ID")</f>
        <v>please select a BUG ID</v>
      </c>
      <c r="D889" s="54"/>
      <c r="E889" s="56"/>
      <c r="F889" s="54"/>
      <c r="G889" s="56"/>
      <c r="H889" s="54"/>
      <c r="I889" s="56"/>
      <c r="J889" s="54"/>
      <c r="K889" s="92"/>
      <c r="L889" s="54"/>
      <c r="M889" s="92"/>
      <c r="N889" s="54"/>
      <c r="O889" s="92"/>
      <c r="P889" s="54"/>
      <c r="Q889" s="92"/>
      <c r="R889" s="54"/>
      <c r="S889" s="92"/>
      <c r="T889" s="117"/>
      <c r="U889" s="92"/>
      <c r="V889" s="54"/>
      <c r="W889" s="92"/>
      <c r="X889" s="54"/>
      <c r="Y889" s="92"/>
      <c r="Z889" s="54"/>
      <c r="AA889" s="92"/>
      <c r="AB889" s="54"/>
      <c r="AC889" s="92"/>
      <c r="AD889" s="54"/>
      <c r="AE889" s="92"/>
      <c r="AF889" s="54"/>
      <c r="AG889" s="92"/>
      <c r="AH889" s="54"/>
      <c r="AI889" s="92"/>
      <c r="AJ889" s="54"/>
      <c r="AK889" s="92"/>
      <c r="AL889" s="54"/>
      <c r="AM889" s="92"/>
      <c r="AO889" s="54"/>
      <c r="AP889" s="123"/>
      <c r="AQ889" s="54"/>
      <c r="AR889" s="154"/>
      <c r="AS889" s="1"/>
      <c r="AT889" s="1"/>
      <c r="AU889" s="9"/>
    </row>
    <row r="890">
      <c r="A890" s="54"/>
      <c r="B890" s="71" t="str">
        <f>IFERROR(HYPERLINK(VLOOKUP(A890,Internal_lists_bugs!$A$2:$C$73,3,FALSE()), VLOOKUP(A890,Internal_lists_bugs!$A$2:$C$73,3,FALSE())&amp;Char(10) &amp; Char(10) &amp; VLOOKUP(A890,Internal_lists_bugs!$A$2:$Z$73,26,FALSE())),"please select a BUG ID")</f>
        <v>please select a BUG ID</v>
      </c>
      <c r="C890" s="51" t="str">
        <f>IFERROR(VLOOKUP(A890,Internal_lists_bugs!$A$2:$G2002,7,FALSE()),"please select a BUG ID")</f>
        <v>please select a BUG ID</v>
      </c>
      <c r="D890" s="54"/>
      <c r="E890" s="56"/>
      <c r="F890" s="54"/>
      <c r="G890" s="56"/>
      <c r="H890" s="54"/>
      <c r="I890" s="56"/>
      <c r="J890" s="54"/>
      <c r="K890" s="92"/>
      <c r="L890" s="54"/>
      <c r="M890" s="92"/>
      <c r="N890" s="54"/>
      <c r="O890" s="92"/>
      <c r="P890" s="54"/>
      <c r="Q890" s="92"/>
      <c r="R890" s="54"/>
      <c r="S890" s="92"/>
      <c r="T890" s="117"/>
      <c r="U890" s="92"/>
      <c r="V890" s="54"/>
      <c r="W890" s="92"/>
      <c r="X890" s="54"/>
      <c r="Y890" s="92"/>
      <c r="Z890" s="54"/>
      <c r="AA890" s="92"/>
      <c r="AB890" s="54"/>
      <c r="AC890" s="92"/>
      <c r="AD890" s="54"/>
      <c r="AE890" s="92"/>
      <c r="AF890" s="54"/>
      <c r="AG890" s="92"/>
      <c r="AH890" s="54"/>
      <c r="AI890" s="92"/>
      <c r="AJ890" s="54"/>
      <c r="AK890" s="92"/>
      <c r="AL890" s="54"/>
      <c r="AM890" s="92"/>
      <c r="AO890" s="54"/>
      <c r="AP890" s="123"/>
      <c r="AQ890" s="54"/>
      <c r="AR890" s="154"/>
      <c r="AS890" s="1"/>
      <c r="AT890" s="1"/>
      <c r="AU890" s="9"/>
    </row>
    <row r="891">
      <c r="A891" s="54"/>
      <c r="B891" s="71" t="str">
        <f>IFERROR(HYPERLINK(VLOOKUP(A891,Internal_lists_bugs!$A$2:$C$73,3,FALSE()), VLOOKUP(A891,Internal_lists_bugs!$A$2:$C$73,3,FALSE())&amp;Char(10) &amp; Char(10) &amp; VLOOKUP(A891,Internal_lists_bugs!$A$2:$Z$73,26,FALSE())),"please select a BUG ID")</f>
        <v>please select a BUG ID</v>
      </c>
      <c r="C891" s="51" t="str">
        <f>IFERROR(VLOOKUP(A891,Internal_lists_bugs!$A$2:$G2002,7,FALSE()),"please select a BUG ID")</f>
        <v>please select a BUG ID</v>
      </c>
      <c r="D891" s="54"/>
      <c r="E891" s="56"/>
      <c r="F891" s="54"/>
      <c r="G891" s="56"/>
      <c r="H891" s="54"/>
      <c r="I891" s="56"/>
      <c r="J891" s="54"/>
      <c r="K891" s="92"/>
      <c r="L891" s="54"/>
      <c r="M891" s="92"/>
      <c r="N891" s="54"/>
      <c r="O891" s="92"/>
      <c r="P891" s="54"/>
      <c r="Q891" s="92"/>
      <c r="R891" s="54"/>
      <c r="S891" s="92"/>
      <c r="T891" s="117"/>
      <c r="U891" s="92"/>
      <c r="V891" s="54"/>
      <c r="W891" s="92"/>
      <c r="X891" s="54"/>
      <c r="Y891" s="92"/>
      <c r="Z891" s="54"/>
      <c r="AA891" s="92"/>
      <c r="AB891" s="54"/>
      <c r="AC891" s="92"/>
      <c r="AD891" s="54"/>
      <c r="AE891" s="92"/>
      <c r="AF891" s="54"/>
      <c r="AG891" s="92"/>
      <c r="AH891" s="54"/>
      <c r="AI891" s="92"/>
      <c r="AJ891" s="54"/>
      <c r="AK891" s="92"/>
      <c r="AL891" s="54"/>
      <c r="AM891" s="92"/>
      <c r="AO891" s="54"/>
      <c r="AP891" s="123"/>
      <c r="AQ891" s="54"/>
      <c r="AR891" s="154"/>
      <c r="AS891" s="1"/>
      <c r="AT891" s="1"/>
      <c r="AU891" s="9"/>
    </row>
    <row r="892">
      <c r="A892" s="54"/>
      <c r="B892" s="71" t="str">
        <f>IFERROR(HYPERLINK(VLOOKUP(A892,Internal_lists_bugs!$A$2:$C$73,3,FALSE()), VLOOKUP(A892,Internal_lists_bugs!$A$2:$C$73,3,FALSE())&amp;Char(10) &amp; Char(10) &amp; VLOOKUP(A892,Internal_lists_bugs!$A$2:$Z$73,26,FALSE())),"please select a BUG ID")</f>
        <v>please select a BUG ID</v>
      </c>
      <c r="C892" s="51" t="str">
        <f>IFERROR(VLOOKUP(A892,Internal_lists_bugs!$A$2:$G2002,7,FALSE()),"please select a BUG ID")</f>
        <v>please select a BUG ID</v>
      </c>
      <c r="D892" s="54"/>
      <c r="E892" s="56"/>
      <c r="F892" s="54"/>
      <c r="G892" s="56"/>
      <c r="H892" s="54"/>
      <c r="I892" s="56"/>
      <c r="J892" s="54"/>
      <c r="K892" s="92"/>
      <c r="L892" s="54"/>
      <c r="M892" s="92"/>
      <c r="N892" s="54"/>
      <c r="O892" s="92"/>
      <c r="P892" s="54"/>
      <c r="Q892" s="92"/>
      <c r="R892" s="54"/>
      <c r="S892" s="92"/>
      <c r="T892" s="117"/>
      <c r="U892" s="92"/>
      <c r="V892" s="54"/>
      <c r="W892" s="92"/>
      <c r="X892" s="54"/>
      <c r="Y892" s="92"/>
      <c r="Z892" s="54"/>
      <c r="AA892" s="92"/>
      <c r="AB892" s="54"/>
      <c r="AC892" s="92"/>
      <c r="AD892" s="54"/>
      <c r="AE892" s="92"/>
      <c r="AF892" s="54"/>
      <c r="AG892" s="92"/>
      <c r="AH892" s="54"/>
      <c r="AI892" s="92"/>
      <c r="AJ892" s="54"/>
      <c r="AK892" s="92"/>
      <c r="AL892" s="54"/>
      <c r="AM892" s="92"/>
      <c r="AO892" s="54"/>
      <c r="AP892" s="123"/>
      <c r="AQ892" s="54"/>
      <c r="AR892" s="154"/>
      <c r="AS892" s="1"/>
      <c r="AT892" s="1"/>
      <c r="AU892" s="9"/>
    </row>
    <row r="893">
      <c r="A893" s="54"/>
      <c r="B893" s="71" t="str">
        <f>IFERROR(HYPERLINK(VLOOKUP(A893,Internal_lists_bugs!$A$2:$C$73,3,FALSE()), VLOOKUP(A893,Internal_lists_bugs!$A$2:$C$73,3,FALSE())&amp;Char(10) &amp; Char(10) &amp; VLOOKUP(A893,Internal_lists_bugs!$A$2:$Z$73,26,FALSE())),"please select a BUG ID")</f>
        <v>please select a BUG ID</v>
      </c>
      <c r="C893" s="51" t="str">
        <f>IFERROR(VLOOKUP(A893,Internal_lists_bugs!$A$2:$G2002,7,FALSE()),"please select a BUG ID")</f>
        <v>please select a BUG ID</v>
      </c>
      <c r="D893" s="54"/>
      <c r="E893" s="56"/>
      <c r="F893" s="54"/>
      <c r="G893" s="56"/>
      <c r="H893" s="54"/>
      <c r="I893" s="56"/>
      <c r="J893" s="54"/>
      <c r="K893" s="92"/>
      <c r="L893" s="54"/>
      <c r="M893" s="92"/>
      <c r="N893" s="54"/>
      <c r="O893" s="92"/>
      <c r="P893" s="54"/>
      <c r="Q893" s="92"/>
      <c r="R893" s="54"/>
      <c r="S893" s="92"/>
      <c r="T893" s="117"/>
      <c r="U893" s="92"/>
      <c r="V893" s="54"/>
      <c r="W893" s="92"/>
      <c r="X893" s="54"/>
      <c r="Y893" s="92"/>
      <c r="Z893" s="54"/>
      <c r="AA893" s="92"/>
      <c r="AB893" s="54"/>
      <c r="AC893" s="92"/>
      <c r="AD893" s="54"/>
      <c r="AE893" s="92"/>
      <c r="AF893" s="54"/>
      <c r="AG893" s="92"/>
      <c r="AH893" s="54"/>
      <c r="AI893" s="92"/>
      <c r="AJ893" s="54"/>
      <c r="AK893" s="92"/>
      <c r="AL893" s="54"/>
      <c r="AM893" s="92"/>
      <c r="AO893" s="54"/>
      <c r="AP893" s="123"/>
      <c r="AQ893" s="54"/>
      <c r="AR893" s="154"/>
      <c r="AS893" s="1"/>
      <c r="AT893" s="1"/>
      <c r="AU893" s="9"/>
    </row>
    <row r="894">
      <c r="A894" s="54"/>
      <c r="B894" s="71" t="str">
        <f>IFERROR(HYPERLINK(VLOOKUP(A894,Internal_lists_bugs!$A$2:$C$73,3,FALSE()), VLOOKUP(A894,Internal_lists_bugs!$A$2:$C$73,3,FALSE())&amp;Char(10) &amp; Char(10) &amp; VLOOKUP(A894,Internal_lists_bugs!$A$2:$Z$73,26,FALSE())),"please select a BUG ID")</f>
        <v>please select a BUG ID</v>
      </c>
      <c r="C894" s="51" t="str">
        <f>IFERROR(VLOOKUP(A894,Internal_lists_bugs!$A$2:$G2002,7,FALSE()),"please select a BUG ID")</f>
        <v>please select a BUG ID</v>
      </c>
      <c r="D894" s="54"/>
      <c r="E894" s="56"/>
      <c r="F894" s="54"/>
      <c r="G894" s="56"/>
      <c r="H894" s="54"/>
      <c r="I894" s="56"/>
      <c r="J894" s="54"/>
      <c r="K894" s="92"/>
      <c r="L894" s="54"/>
      <c r="M894" s="92"/>
      <c r="N894" s="54"/>
      <c r="O894" s="92"/>
      <c r="P894" s="54"/>
      <c r="Q894" s="92"/>
      <c r="R894" s="54"/>
      <c r="S894" s="92"/>
      <c r="T894" s="117"/>
      <c r="U894" s="92"/>
      <c r="V894" s="54"/>
      <c r="W894" s="92"/>
      <c r="X894" s="54"/>
      <c r="Y894" s="92"/>
      <c r="Z894" s="54"/>
      <c r="AA894" s="92"/>
      <c r="AB894" s="54"/>
      <c r="AC894" s="92"/>
      <c r="AD894" s="54"/>
      <c r="AE894" s="92"/>
      <c r="AF894" s="54"/>
      <c r="AG894" s="92"/>
      <c r="AH894" s="54"/>
      <c r="AI894" s="92"/>
      <c r="AJ894" s="54"/>
      <c r="AK894" s="92"/>
      <c r="AL894" s="54"/>
      <c r="AM894" s="92"/>
      <c r="AO894" s="54"/>
      <c r="AP894" s="123"/>
      <c r="AQ894" s="54"/>
      <c r="AR894" s="154"/>
      <c r="AS894" s="1"/>
      <c r="AT894" s="1"/>
      <c r="AU894" s="9"/>
    </row>
    <row r="895">
      <c r="A895" s="54"/>
      <c r="B895" s="71" t="str">
        <f>IFERROR(HYPERLINK(VLOOKUP(A895,Internal_lists_bugs!$A$2:$C$73,3,FALSE()), VLOOKUP(A895,Internal_lists_bugs!$A$2:$C$73,3,FALSE())&amp;Char(10) &amp; Char(10) &amp; VLOOKUP(A895,Internal_lists_bugs!$A$2:$Z$73,26,FALSE())),"please select a BUG ID")</f>
        <v>please select a BUG ID</v>
      </c>
      <c r="C895" s="51" t="str">
        <f>IFERROR(VLOOKUP(A895,Internal_lists_bugs!$A$2:$G2002,7,FALSE()),"please select a BUG ID")</f>
        <v>please select a BUG ID</v>
      </c>
      <c r="D895" s="54"/>
      <c r="E895" s="56"/>
      <c r="F895" s="54"/>
      <c r="G895" s="56"/>
      <c r="H895" s="54"/>
      <c r="I895" s="56"/>
      <c r="J895" s="54"/>
      <c r="K895" s="92"/>
      <c r="L895" s="54"/>
      <c r="M895" s="92"/>
      <c r="N895" s="54"/>
      <c r="O895" s="92"/>
      <c r="P895" s="54"/>
      <c r="Q895" s="92"/>
      <c r="R895" s="54"/>
      <c r="S895" s="92"/>
      <c r="T895" s="117"/>
      <c r="U895" s="92"/>
      <c r="V895" s="54"/>
      <c r="W895" s="92"/>
      <c r="X895" s="54"/>
      <c r="Y895" s="92"/>
      <c r="Z895" s="54"/>
      <c r="AA895" s="92"/>
      <c r="AB895" s="54"/>
      <c r="AC895" s="92"/>
      <c r="AD895" s="54"/>
      <c r="AE895" s="92"/>
      <c r="AF895" s="54"/>
      <c r="AG895" s="92"/>
      <c r="AH895" s="54"/>
      <c r="AI895" s="92"/>
      <c r="AJ895" s="54"/>
      <c r="AK895" s="92"/>
      <c r="AL895" s="54"/>
      <c r="AM895" s="92"/>
      <c r="AO895" s="54"/>
      <c r="AP895" s="123"/>
      <c r="AQ895" s="54"/>
      <c r="AR895" s="154"/>
      <c r="AS895" s="1"/>
      <c r="AT895" s="1"/>
      <c r="AU895" s="9"/>
    </row>
    <row r="896">
      <c r="A896" s="54"/>
      <c r="B896" s="71" t="str">
        <f>IFERROR(HYPERLINK(VLOOKUP(A896,Internal_lists_bugs!$A$2:$C$73,3,FALSE()), VLOOKUP(A896,Internal_lists_bugs!$A$2:$C$73,3,FALSE())&amp;Char(10) &amp; Char(10) &amp; VLOOKUP(A896,Internal_lists_bugs!$A$2:$Z$73,26,FALSE())),"please select a BUG ID")</f>
        <v>please select a BUG ID</v>
      </c>
      <c r="C896" s="51" t="str">
        <f>IFERROR(VLOOKUP(A896,Internal_lists_bugs!$A$2:$G2002,7,FALSE()),"please select a BUG ID")</f>
        <v>please select a BUG ID</v>
      </c>
      <c r="D896" s="54"/>
      <c r="E896" s="56"/>
      <c r="F896" s="54"/>
      <c r="G896" s="56"/>
      <c r="H896" s="54"/>
      <c r="I896" s="56"/>
      <c r="J896" s="54"/>
      <c r="K896" s="92"/>
      <c r="L896" s="54"/>
      <c r="M896" s="92"/>
      <c r="N896" s="54"/>
      <c r="O896" s="92"/>
      <c r="P896" s="54"/>
      <c r="Q896" s="92"/>
      <c r="R896" s="54"/>
      <c r="S896" s="92"/>
      <c r="T896" s="117"/>
      <c r="U896" s="92"/>
      <c r="V896" s="54"/>
      <c r="W896" s="92"/>
      <c r="X896" s="54"/>
      <c r="Y896" s="92"/>
      <c r="Z896" s="54"/>
      <c r="AA896" s="92"/>
      <c r="AB896" s="54"/>
      <c r="AC896" s="92"/>
      <c r="AD896" s="54"/>
      <c r="AE896" s="92"/>
      <c r="AF896" s="54"/>
      <c r="AG896" s="92"/>
      <c r="AH896" s="54"/>
      <c r="AI896" s="92"/>
      <c r="AJ896" s="54"/>
      <c r="AK896" s="92"/>
      <c r="AL896" s="54"/>
      <c r="AM896" s="92"/>
      <c r="AO896" s="54"/>
      <c r="AP896" s="123"/>
      <c r="AQ896" s="54"/>
      <c r="AR896" s="154"/>
      <c r="AS896" s="1"/>
      <c r="AT896" s="1"/>
      <c r="AU896" s="9"/>
    </row>
    <row r="897">
      <c r="A897" s="54"/>
      <c r="B897" s="71" t="str">
        <f>IFERROR(HYPERLINK(VLOOKUP(A897,Internal_lists_bugs!$A$2:$C$73,3,FALSE()), VLOOKUP(A897,Internal_lists_bugs!$A$2:$C$73,3,FALSE())&amp;Char(10) &amp; Char(10) &amp; VLOOKUP(A897,Internal_lists_bugs!$A$2:$Z$73,26,FALSE())),"please select a BUG ID")</f>
        <v>please select a BUG ID</v>
      </c>
      <c r="C897" s="51" t="str">
        <f>IFERROR(VLOOKUP(A897,Internal_lists_bugs!$A$2:$G2002,7,FALSE()),"please select a BUG ID")</f>
        <v>please select a BUG ID</v>
      </c>
      <c r="D897" s="54"/>
      <c r="E897" s="56"/>
      <c r="F897" s="54"/>
      <c r="G897" s="56"/>
      <c r="H897" s="54"/>
      <c r="I897" s="56"/>
      <c r="J897" s="54"/>
      <c r="K897" s="92"/>
      <c r="L897" s="54"/>
      <c r="M897" s="92"/>
      <c r="N897" s="54"/>
      <c r="O897" s="92"/>
      <c r="P897" s="54"/>
      <c r="Q897" s="92"/>
      <c r="R897" s="54"/>
      <c r="S897" s="92"/>
      <c r="T897" s="117"/>
      <c r="U897" s="92"/>
      <c r="V897" s="54"/>
      <c r="W897" s="92"/>
      <c r="X897" s="54"/>
      <c r="Y897" s="92"/>
      <c r="Z897" s="54"/>
      <c r="AA897" s="92"/>
      <c r="AB897" s="54"/>
      <c r="AC897" s="92"/>
      <c r="AD897" s="54"/>
      <c r="AE897" s="92"/>
      <c r="AF897" s="54"/>
      <c r="AG897" s="92"/>
      <c r="AH897" s="54"/>
      <c r="AI897" s="92"/>
      <c r="AJ897" s="54"/>
      <c r="AK897" s="92"/>
      <c r="AL897" s="54"/>
      <c r="AM897" s="92"/>
      <c r="AO897" s="54"/>
      <c r="AP897" s="123"/>
      <c r="AQ897" s="54"/>
      <c r="AR897" s="154"/>
      <c r="AS897" s="1"/>
      <c r="AT897" s="1"/>
      <c r="AU897" s="9"/>
    </row>
    <row r="898">
      <c r="A898" s="54"/>
      <c r="B898" s="71" t="str">
        <f>IFERROR(HYPERLINK(VLOOKUP(A898,Internal_lists_bugs!$A$2:$C$73,3,FALSE()), VLOOKUP(A898,Internal_lists_bugs!$A$2:$C$73,3,FALSE())&amp;Char(10) &amp; Char(10) &amp; VLOOKUP(A898,Internal_lists_bugs!$A$2:$Z$73,26,FALSE())),"please select a BUG ID")</f>
        <v>please select a BUG ID</v>
      </c>
      <c r="C898" s="51" t="str">
        <f>IFERROR(VLOOKUP(A898,Internal_lists_bugs!$A$2:$G2002,7,FALSE()),"please select a BUG ID")</f>
        <v>please select a BUG ID</v>
      </c>
      <c r="D898" s="54"/>
      <c r="E898" s="56"/>
      <c r="F898" s="54"/>
      <c r="G898" s="56"/>
      <c r="H898" s="54"/>
      <c r="I898" s="56"/>
      <c r="J898" s="54"/>
      <c r="K898" s="92"/>
      <c r="L898" s="54"/>
      <c r="M898" s="92"/>
      <c r="N898" s="54"/>
      <c r="O898" s="92"/>
      <c r="P898" s="54"/>
      <c r="Q898" s="92"/>
      <c r="R898" s="54"/>
      <c r="S898" s="92"/>
      <c r="T898" s="117"/>
      <c r="U898" s="92"/>
      <c r="V898" s="54"/>
      <c r="W898" s="92"/>
      <c r="X898" s="54"/>
      <c r="Y898" s="92"/>
      <c r="Z898" s="54"/>
      <c r="AA898" s="92"/>
      <c r="AB898" s="54"/>
      <c r="AC898" s="92"/>
      <c r="AD898" s="54"/>
      <c r="AE898" s="92"/>
      <c r="AF898" s="54"/>
      <c r="AG898" s="92"/>
      <c r="AH898" s="54"/>
      <c r="AI898" s="92"/>
      <c r="AJ898" s="54"/>
      <c r="AK898" s="92"/>
      <c r="AL898" s="54"/>
      <c r="AM898" s="92"/>
      <c r="AO898" s="54"/>
      <c r="AP898" s="123"/>
      <c r="AQ898" s="54"/>
      <c r="AR898" s="154"/>
      <c r="AS898" s="1"/>
      <c r="AT898" s="1"/>
      <c r="AU898" s="9"/>
    </row>
    <row r="899">
      <c r="A899" s="54"/>
      <c r="B899" s="71" t="str">
        <f>IFERROR(HYPERLINK(VLOOKUP(A899,Internal_lists_bugs!$A$2:$C$73,3,FALSE()), VLOOKUP(A899,Internal_lists_bugs!$A$2:$C$73,3,FALSE())&amp;Char(10) &amp; Char(10) &amp; VLOOKUP(A899,Internal_lists_bugs!$A$2:$Z$73,26,FALSE())),"please select a BUG ID")</f>
        <v>please select a BUG ID</v>
      </c>
      <c r="C899" s="51" t="str">
        <f>IFERROR(VLOOKUP(A899,Internal_lists_bugs!$A$2:$G2002,7,FALSE()),"please select a BUG ID")</f>
        <v>please select a BUG ID</v>
      </c>
      <c r="D899" s="54"/>
      <c r="E899" s="56"/>
      <c r="F899" s="54"/>
      <c r="G899" s="56"/>
      <c r="H899" s="54"/>
      <c r="I899" s="56"/>
      <c r="J899" s="54"/>
      <c r="K899" s="92"/>
      <c r="L899" s="54"/>
      <c r="M899" s="92"/>
      <c r="N899" s="54"/>
      <c r="O899" s="92"/>
      <c r="P899" s="54"/>
      <c r="Q899" s="92"/>
      <c r="R899" s="54"/>
      <c r="S899" s="92"/>
      <c r="T899" s="117"/>
      <c r="U899" s="92"/>
      <c r="V899" s="54"/>
      <c r="W899" s="92"/>
      <c r="X899" s="54"/>
      <c r="Y899" s="92"/>
      <c r="Z899" s="54"/>
      <c r="AA899" s="92"/>
      <c r="AB899" s="54"/>
      <c r="AC899" s="92"/>
      <c r="AD899" s="54"/>
      <c r="AE899" s="92"/>
      <c r="AF899" s="54"/>
      <c r="AG899" s="92"/>
      <c r="AH899" s="54"/>
      <c r="AI899" s="92"/>
      <c r="AJ899" s="54"/>
      <c r="AK899" s="92"/>
      <c r="AL899" s="54"/>
      <c r="AM899" s="92"/>
      <c r="AO899" s="54"/>
      <c r="AP899" s="123"/>
      <c r="AQ899" s="54"/>
      <c r="AR899" s="154"/>
      <c r="AS899" s="1"/>
      <c r="AT899" s="1"/>
      <c r="AU899" s="9"/>
    </row>
    <row r="900">
      <c r="A900" s="54"/>
      <c r="B900" s="71" t="str">
        <f>IFERROR(HYPERLINK(VLOOKUP(A900,Internal_lists_bugs!$A$2:$C$73,3,FALSE()), VLOOKUP(A900,Internal_lists_bugs!$A$2:$C$73,3,FALSE())&amp;Char(10) &amp; Char(10) &amp; VLOOKUP(A900,Internal_lists_bugs!$A$2:$Z$73,26,FALSE())),"please select a BUG ID")</f>
        <v>please select a BUG ID</v>
      </c>
      <c r="C900" s="51" t="str">
        <f>IFERROR(VLOOKUP(A900,Internal_lists_bugs!$A$2:$G2002,7,FALSE()),"please select a BUG ID")</f>
        <v>please select a BUG ID</v>
      </c>
      <c r="D900" s="54"/>
      <c r="E900" s="56"/>
      <c r="F900" s="54"/>
      <c r="G900" s="56"/>
      <c r="H900" s="54"/>
      <c r="I900" s="56"/>
      <c r="J900" s="54"/>
      <c r="K900" s="92"/>
      <c r="L900" s="54"/>
      <c r="M900" s="92"/>
      <c r="N900" s="54"/>
      <c r="O900" s="92"/>
      <c r="P900" s="54"/>
      <c r="Q900" s="92"/>
      <c r="R900" s="54"/>
      <c r="S900" s="92"/>
      <c r="T900" s="117"/>
      <c r="U900" s="92"/>
      <c r="V900" s="54"/>
      <c r="W900" s="92"/>
      <c r="X900" s="54"/>
      <c r="Y900" s="92"/>
      <c r="Z900" s="54"/>
      <c r="AA900" s="92"/>
      <c r="AB900" s="54"/>
      <c r="AC900" s="92"/>
      <c r="AD900" s="54"/>
      <c r="AE900" s="92"/>
      <c r="AF900" s="54"/>
      <c r="AG900" s="92"/>
      <c r="AH900" s="54"/>
      <c r="AI900" s="92"/>
      <c r="AJ900" s="54"/>
      <c r="AK900" s="92"/>
      <c r="AL900" s="54"/>
      <c r="AM900" s="92"/>
      <c r="AO900" s="54"/>
      <c r="AP900" s="123"/>
      <c r="AQ900" s="54"/>
      <c r="AR900" s="154"/>
      <c r="AS900" s="1"/>
      <c r="AT900" s="1"/>
      <c r="AU900" s="9"/>
    </row>
    <row r="901">
      <c r="A901" s="54"/>
      <c r="B901" s="71" t="str">
        <f>IFERROR(HYPERLINK(VLOOKUP(A901,Internal_lists_bugs!$A$2:$C$73,3,FALSE()), VLOOKUP(A901,Internal_lists_bugs!$A$2:$C$73,3,FALSE())&amp;Char(10) &amp; Char(10) &amp; VLOOKUP(A901,Internal_lists_bugs!$A$2:$Z$73,26,FALSE())),"please select a BUG ID")</f>
        <v>please select a BUG ID</v>
      </c>
      <c r="C901" s="51" t="str">
        <f>IFERROR(VLOOKUP(A901,Internal_lists_bugs!$A$2:$G2002,7,FALSE()),"please select a BUG ID")</f>
        <v>please select a BUG ID</v>
      </c>
      <c r="D901" s="54"/>
      <c r="E901" s="56"/>
      <c r="F901" s="54"/>
      <c r="G901" s="56"/>
      <c r="H901" s="54"/>
      <c r="I901" s="56"/>
      <c r="J901" s="54"/>
      <c r="K901" s="92"/>
      <c r="L901" s="54"/>
      <c r="M901" s="92"/>
      <c r="N901" s="54"/>
      <c r="O901" s="92"/>
      <c r="P901" s="54"/>
      <c r="Q901" s="92"/>
      <c r="R901" s="54"/>
      <c r="S901" s="92"/>
      <c r="T901" s="117"/>
      <c r="U901" s="92"/>
      <c r="V901" s="54"/>
      <c r="W901" s="92"/>
      <c r="X901" s="54"/>
      <c r="Y901" s="92"/>
      <c r="Z901" s="54"/>
      <c r="AA901" s="92"/>
      <c r="AB901" s="54"/>
      <c r="AC901" s="92"/>
      <c r="AD901" s="54"/>
      <c r="AE901" s="92"/>
      <c r="AF901" s="54"/>
      <c r="AG901" s="92"/>
      <c r="AH901" s="54"/>
      <c r="AI901" s="92"/>
      <c r="AJ901" s="54"/>
      <c r="AK901" s="92"/>
      <c r="AL901" s="54"/>
      <c r="AM901" s="92"/>
      <c r="AO901" s="54"/>
      <c r="AP901" s="123"/>
      <c r="AQ901" s="54"/>
      <c r="AR901" s="154"/>
      <c r="AS901" s="1"/>
      <c r="AT901" s="1"/>
      <c r="AU901" s="9"/>
    </row>
    <row r="902">
      <c r="A902" s="54"/>
      <c r="B902" s="71" t="str">
        <f>IFERROR(HYPERLINK(VLOOKUP(A902,Internal_lists_bugs!$A$2:$C$73,3,FALSE()), VLOOKUP(A902,Internal_lists_bugs!$A$2:$C$73,3,FALSE())&amp;Char(10) &amp; Char(10) &amp; VLOOKUP(A902,Internal_lists_bugs!$A$2:$Z$73,26,FALSE())),"please select a BUG ID")</f>
        <v>please select a BUG ID</v>
      </c>
      <c r="C902" s="51" t="str">
        <f>IFERROR(VLOOKUP(A902,Internal_lists_bugs!$A$2:$G2002,7,FALSE()),"please select a BUG ID")</f>
        <v>please select a BUG ID</v>
      </c>
      <c r="D902" s="54"/>
      <c r="E902" s="56"/>
      <c r="F902" s="54"/>
      <c r="G902" s="56"/>
      <c r="H902" s="54"/>
      <c r="I902" s="56"/>
      <c r="J902" s="54"/>
      <c r="K902" s="92"/>
      <c r="L902" s="54"/>
      <c r="M902" s="92"/>
      <c r="N902" s="54"/>
      <c r="O902" s="92"/>
      <c r="P902" s="54"/>
      <c r="Q902" s="92"/>
      <c r="R902" s="54"/>
      <c r="S902" s="92"/>
      <c r="T902" s="117"/>
      <c r="U902" s="92"/>
      <c r="V902" s="54"/>
      <c r="W902" s="92"/>
      <c r="X902" s="54"/>
      <c r="Y902" s="92"/>
      <c r="Z902" s="54"/>
      <c r="AA902" s="92"/>
      <c r="AB902" s="54"/>
      <c r="AC902" s="92"/>
      <c r="AD902" s="54"/>
      <c r="AE902" s="92"/>
      <c r="AF902" s="54"/>
      <c r="AG902" s="92"/>
      <c r="AH902" s="54"/>
      <c r="AI902" s="92"/>
      <c r="AJ902" s="54"/>
      <c r="AK902" s="92"/>
      <c r="AL902" s="54"/>
      <c r="AM902" s="92"/>
      <c r="AO902" s="54"/>
      <c r="AP902" s="123"/>
      <c r="AQ902" s="54"/>
      <c r="AR902" s="154"/>
      <c r="AS902" s="1"/>
      <c r="AT902" s="1"/>
      <c r="AU902" s="9"/>
    </row>
    <row r="903">
      <c r="A903" s="54"/>
      <c r="B903" s="71" t="str">
        <f>IFERROR(HYPERLINK(VLOOKUP(A903,Internal_lists_bugs!$A$2:$C$73,3,FALSE()), VLOOKUP(A903,Internal_lists_bugs!$A$2:$C$73,3,FALSE())&amp;Char(10) &amp; Char(10) &amp; VLOOKUP(A903,Internal_lists_bugs!$A$2:$Z$73,26,FALSE())),"please select a BUG ID")</f>
        <v>please select a BUG ID</v>
      </c>
      <c r="C903" s="51" t="str">
        <f>IFERROR(VLOOKUP(A903,Internal_lists_bugs!$A$2:$G2002,7,FALSE()),"please select a BUG ID")</f>
        <v>please select a BUG ID</v>
      </c>
      <c r="D903" s="54"/>
      <c r="E903" s="56"/>
      <c r="F903" s="54"/>
      <c r="G903" s="56"/>
      <c r="H903" s="54"/>
      <c r="I903" s="56"/>
      <c r="J903" s="54"/>
      <c r="K903" s="92"/>
      <c r="L903" s="54"/>
      <c r="M903" s="92"/>
      <c r="N903" s="54"/>
      <c r="O903" s="92"/>
      <c r="P903" s="54"/>
      <c r="Q903" s="92"/>
      <c r="R903" s="54"/>
      <c r="S903" s="92"/>
      <c r="T903" s="117"/>
      <c r="U903" s="92"/>
      <c r="V903" s="54"/>
      <c r="W903" s="92"/>
      <c r="X903" s="54"/>
      <c r="Y903" s="92"/>
      <c r="Z903" s="54"/>
      <c r="AA903" s="92"/>
      <c r="AB903" s="54"/>
      <c r="AC903" s="92"/>
      <c r="AD903" s="54"/>
      <c r="AE903" s="92"/>
      <c r="AF903" s="54"/>
      <c r="AG903" s="92"/>
      <c r="AH903" s="54"/>
      <c r="AI903" s="92"/>
      <c r="AJ903" s="54"/>
      <c r="AK903" s="92"/>
      <c r="AL903" s="54"/>
      <c r="AM903" s="92"/>
      <c r="AO903" s="54"/>
      <c r="AP903" s="123"/>
      <c r="AQ903" s="54"/>
      <c r="AR903" s="154"/>
      <c r="AS903" s="1"/>
      <c r="AT903" s="1"/>
      <c r="AU903" s="9"/>
    </row>
    <row r="904">
      <c r="A904" s="54"/>
      <c r="B904" s="71" t="str">
        <f>IFERROR(HYPERLINK(VLOOKUP(A904,Internal_lists_bugs!$A$2:$C$73,3,FALSE()), VLOOKUP(A904,Internal_lists_bugs!$A$2:$C$73,3,FALSE())&amp;Char(10) &amp; Char(10) &amp; VLOOKUP(A904,Internal_lists_bugs!$A$2:$Z$73,26,FALSE())),"please select a BUG ID")</f>
        <v>please select a BUG ID</v>
      </c>
      <c r="C904" s="51" t="str">
        <f>IFERROR(VLOOKUP(A904,Internal_lists_bugs!$A$2:$G2002,7,FALSE()),"please select a BUG ID")</f>
        <v>please select a BUG ID</v>
      </c>
      <c r="D904" s="54"/>
      <c r="E904" s="56"/>
      <c r="F904" s="54"/>
      <c r="G904" s="56"/>
      <c r="H904" s="54"/>
      <c r="I904" s="56"/>
      <c r="J904" s="54"/>
      <c r="K904" s="92"/>
      <c r="L904" s="54"/>
      <c r="M904" s="92"/>
      <c r="N904" s="54"/>
      <c r="O904" s="92"/>
      <c r="P904" s="54"/>
      <c r="Q904" s="92"/>
      <c r="R904" s="54"/>
      <c r="S904" s="92"/>
      <c r="T904" s="117"/>
      <c r="U904" s="92"/>
      <c r="V904" s="54"/>
      <c r="W904" s="92"/>
      <c r="X904" s="54"/>
      <c r="Y904" s="92"/>
      <c r="Z904" s="54"/>
      <c r="AA904" s="92"/>
      <c r="AB904" s="54"/>
      <c r="AC904" s="92"/>
      <c r="AD904" s="54"/>
      <c r="AE904" s="92"/>
      <c r="AF904" s="54"/>
      <c r="AG904" s="92"/>
      <c r="AH904" s="54"/>
      <c r="AI904" s="92"/>
      <c r="AJ904" s="54"/>
      <c r="AK904" s="92"/>
      <c r="AL904" s="54"/>
      <c r="AM904" s="92"/>
      <c r="AO904" s="54"/>
      <c r="AP904" s="123"/>
      <c r="AQ904" s="54"/>
      <c r="AR904" s="154"/>
      <c r="AS904" s="1"/>
      <c r="AT904" s="1"/>
      <c r="AU904" s="9"/>
    </row>
    <row r="905">
      <c r="A905" s="54"/>
      <c r="B905" s="71" t="str">
        <f>IFERROR(HYPERLINK(VLOOKUP(A905,Internal_lists_bugs!$A$2:$C$73,3,FALSE()), VLOOKUP(A905,Internal_lists_bugs!$A$2:$C$73,3,FALSE())&amp;Char(10) &amp; Char(10) &amp; VLOOKUP(A905,Internal_lists_bugs!$A$2:$Z$73,26,FALSE())),"please select a BUG ID")</f>
        <v>please select a BUG ID</v>
      </c>
      <c r="C905" s="51" t="str">
        <f>IFERROR(VLOOKUP(A905,Internal_lists_bugs!$A$2:$G2002,7,FALSE()),"please select a BUG ID")</f>
        <v>please select a BUG ID</v>
      </c>
      <c r="D905" s="54"/>
      <c r="E905" s="56"/>
      <c r="F905" s="54"/>
      <c r="G905" s="56"/>
      <c r="H905" s="54"/>
      <c r="I905" s="56"/>
      <c r="J905" s="54"/>
      <c r="K905" s="92"/>
      <c r="L905" s="54"/>
      <c r="M905" s="92"/>
      <c r="N905" s="54"/>
      <c r="O905" s="92"/>
      <c r="P905" s="54"/>
      <c r="Q905" s="92"/>
      <c r="R905" s="54"/>
      <c r="S905" s="92"/>
      <c r="T905" s="117"/>
      <c r="U905" s="92"/>
      <c r="V905" s="54"/>
      <c r="W905" s="92"/>
      <c r="X905" s="54"/>
      <c r="Y905" s="92"/>
      <c r="Z905" s="54"/>
      <c r="AA905" s="92"/>
      <c r="AB905" s="54"/>
      <c r="AC905" s="92"/>
      <c r="AD905" s="54"/>
      <c r="AE905" s="92"/>
      <c r="AF905" s="54"/>
      <c r="AG905" s="92"/>
      <c r="AH905" s="54"/>
      <c r="AI905" s="92"/>
      <c r="AJ905" s="54"/>
      <c r="AK905" s="92"/>
      <c r="AL905" s="54"/>
      <c r="AM905" s="92"/>
      <c r="AO905" s="54"/>
      <c r="AP905" s="123"/>
      <c r="AQ905" s="54"/>
      <c r="AR905" s="154"/>
      <c r="AS905" s="1"/>
      <c r="AT905" s="1"/>
      <c r="AU905" s="9"/>
    </row>
    <row r="906">
      <c r="A906" s="54"/>
      <c r="B906" s="71" t="str">
        <f>IFERROR(HYPERLINK(VLOOKUP(A906,Internal_lists_bugs!$A$2:$C$73,3,FALSE()), VLOOKUP(A906,Internal_lists_bugs!$A$2:$C$73,3,FALSE())&amp;Char(10) &amp; Char(10) &amp; VLOOKUP(A906,Internal_lists_bugs!$A$2:$Z$73,26,FALSE())),"please select a BUG ID")</f>
        <v>please select a BUG ID</v>
      </c>
      <c r="C906" s="51" t="str">
        <f>IFERROR(VLOOKUP(A906,Internal_lists_bugs!$A$2:$G2002,7,FALSE()),"please select a BUG ID")</f>
        <v>please select a BUG ID</v>
      </c>
      <c r="D906" s="54"/>
      <c r="E906" s="56"/>
      <c r="F906" s="54"/>
      <c r="G906" s="56"/>
      <c r="H906" s="54"/>
      <c r="I906" s="56"/>
      <c r="J906" s="54"/>
      <c r="K906" s="92"/>
      <c r="L906" s="54"/>
      <c r="M906" s="92"/>
      <c r="N906" s="54"/>
      <c r="O906" s="92"/>
      <c r="P906" s="54"/>
      <c r="Q906" s="92"/>
      <c r="R906" s="54"/>
      <c r="S906" s="92"/>
      <c r="T906" s="117"/>
      <c r="U906" s="92"/>
      <c r="V906" s="54"/>
      <c r="W906" s="92"/>
      <c r="X906" s="54"/>
      <c r="Y906" s="92"/>
      <c r="Z906" s="54"/>
      <c r="AA906" s="92"/>
      <c r="AB906" s="54"/>
      <c r="AC906" s="92"/>
      <c r="AD906" s="54"/>
      <c r="AE906" s="92"/>
      <c r="AF906" s="54"/>
      <c r="AG906" s="92"/>
      <c r="AH906" s="54"/>
      <c r="AI906" s="92"/>
      <c r="AJ906" s="54"/>
      <c r="AK906" s="92"/>
      <c r="AL906" s="54"/>
      <c r="AM906" s="92"/>
      <c r="AO906" s="54"/>
      <c r="AP906" s="123"/>
      <c r="AQ906" s="54"/>
      <c r="AR906" s="154"/>
      <c r="AS906" s="1"/>
      <c r="AT906" s="1"/>
      <c r="AU906" s="9"/>
    </row>
    <row r="907">
      <c r="A907" s="54"/>
      <c r="B907" s="71" t="str">
        <f>IFERROR(HYPERLINK(VLOOKUP(A907,Internal_lists_bugs!$A$2:$C$73,3,FALSE()), VLOOKUP(A907,Internal_lists_bugs!$A$2:$C$73,3,FALSE())&amp;Char(10) &amp; Char(10) &amp; VLOOKUP(A907,Internal_lists_bugs!$A$2:$Z$73,26,FALSE())),"please select a BUG ID")</f>
        <v>please select a BUG ID</v>
      </c>
      <c r="C907" s="51" t="str">
        <f>IFERROR(VLOOKUP(A907,Internal_lists_bugs!$A$2:$G2002,7,FALSE()),"please select a BUG ID")</f>
        <v>please select a BUG ID</v>
      </c>
      <c r="D907" s="54"/>
      <c r="E907" s="56"/>
      <c r="F907" s="54"/>
      <c r="G907" s="56"/>
      <c r="H907" s="54"/>
      <c r="I907" s="56"/>
      <c r="J907" s="54"/>
      <c r="K907" s="92"/>
      <c r="L907" s="54"/>
      <c r="M907" s="92"/>
      <c r="N907" s="54"/>
      <c r="O907" s="92"/>
      <c r="P907" s="54"/>
      <c r="Q907" s="92"/>
      <c r="R907" s="54"/>
      <c r="S907" s="92"/>
      <c r="T907" s="117"/>
      <c r="U907" s="92"/>
      <c r="V907" s="54"/>
      <c r="W907" s="92"/>
      <c r="X907" s="54"/>
      <c r="Y907" s="92"/>
      <c r="Z907" s="54"/>
      <c r="AA907" s="92"/>
      <c r="AB907" s="54"/>
      <c r="AC907" s="92"/>
      <c r="AD907" s="54"/>
      <c r="AE907" s="92"/>
      <c r="AF907" s="54"/>
      <c r="AG907" s="92"/>
      <c r="AH907" s="54"/>
      <c r="AI907" s="92"/>
      <c r="AJ907" s="54"/>
      <c r="AK907" s="92"/>
      <c r="AL907" s="54"/>
      <c r="AM907" s="92"/>
      <c r="AO907" s="54"/>
      <c r="AP907" s="123"/>
      <c r="AQ907" s="54"/>
      <c r="AR907" s="154"/>
      <c r="AS907" s="1"/>
      <c r="AT907" s="1"/>
      <c r="AU907" s="9"/>
    </row>
    <row r="908">
      <c r="A908" s="54"/>
      <c r="B908" s="71" t="str">
        <f>IFERROR(HYPERLINK(VLOOKUP(A908,Internal_lists_bugs!$A$2:$C$73,3,FALSE()), VLOOKUP(A908,Internal_lists_bugs!$A$2:$C$73,3,FALSE())&amp;Char(10) &amp; Char(10) &amp; VLOOKUP(A908,Internal_lists_bugs!$A$2:$Z$73,26,FALSE())),"please select a BUG ID")</f>
        <v>please select a BUG ID</v>
      </c>
      <c r="C908" s="51" t="str">
        <f>IFERROR(VLOOKUP(A908,Internal_lists_bugs!$A$2:$G2002,7,FALSE()),"please select a BUG ID")</f>
        <v>please select a BUG ID</v>
      </c>
      <c r="D908" s="54"/>
      <c r="E908" s="56"/>
      <c r="F908" s="54"/>
      <c r="G908" s="56"/>
      <c r="H908" s="54"/>
      <c r="I908" s="56"/>
      <c r="J908" s="54"/>
      <c r="K908" s="92"/>
      <c r="L908" s="54"/>
      <c r="M908" s="92"/>
      <c r="N908" s="54"/>
      <c r="O908" s="92"/>
      <c r="P908" s="54"/>
      <c r="Q908" s="92"/>
      <c r="R908" s="54"/>
      <c r="S908" s="92"/>
      <c r="T908" s="117"/>
      <c r="U908" s="92"/>
      <c r="V908" s="54"/>
      <c r="W908" s="92"/>
      <c r="X908" s="54"/>
      <c r="Y908" s="92"/>
      <c r="Z908" s="54"/>
      <c r="AA908" s="92"/>
      <c r="AB908" s="54"/>
      <c r="AC908" s="92"/>
      <c r="AD908" s="54"/>
      <c r="AE908" s="92"/>
      <c r="AF908" s="54"/>
      <c r="AG908" s="92"/>
      <c r="AH908" s="54"/>
      <c r="AI908" s="92"/>
      <c r="AJ908" s="54"/>
      <c r="AK908" s="92"/>
      <c r="AL908" s="54"/>
      <c r="AM908" s="92"/>
      <c r="AO908" s="54"/>
      <c r="AP908" s="123"/>
      <c r="AQ908" s="54"/>
      <c r="AR908" s="154"/>
      <c r="AS908" s="1"/>
      <c r="AT908" s="1"/>
      <c r="AU908" s="9"/>
    </row>
    <row r="909">
      <c r="A909" s="54"/>
      <c r="B909" s="71" t="str">
        <f>IFERROR(HYPERLINK(VLOOKUP(A909,Internal_lists_bugs!$A$2:$C$73,3,FALSE()), VLOOKUP(A909,Internal_lists_bugs!$A$2:$C$73,3,FALSE())&amp;Char(10) &amp; Char(10) &amp; VLOOKUP(A909,Internal_lists_bugs!$A$2:$Z$73,26,FALSE())),"please select a BUG ID")</f>
        <v>please select a BUG ID</v>
      </c>
      <c r="C909" s="51" t="str">
        <f>IFERROR(VLOOKUP(A909,Internal_lists_bugs!$A$2:$G2002,7,FALSE()),"please select a BUG ID")</f>
        <v>please select a BUG ID</v>
      </c>
      <c r="D909" s="54"/>
      <c r="E909" s="56"/>
      <c r="F909" s="54"/>
      <c r="G909" s="56"/>
      <c r="H909" s="54"/>
      <c r="I909" s="56"/>
      <c r="J909" s="54"/>
      <c r="K909" s="92"/>
      <c r="L909" s="54"/>
      <c r="M909" s="92"/>
      <c r="N909" s="54"/>
      <c r="O909" s="92"/>
      <c r="P909" s="54"/>
      <c r="Q909" s="92"/>
      <c r="R909" s="54"/>
      <c r="S909" s="92"/>
      <c r="T909" s="117"/>
      <c r="U909" s="92"/>
      <c r="V909" s="54"/>
      <c r="W909" s="92"/>
      <c r="X909" s="54"/>
      <c r="Y909" s="92"/>
      <c r="Z909" s="54"/>
      <c r="AA909" s="92"/>
      <c r="AB909" s="54"/>
      <c r="AC909" s="92"/>
      <c r="AD909" s="54"/>
      <c r="AE909" s="92"/>
      <c r="AF909" s="54"/>
      <c r="AG909" s="92"/>
      <c r="AH909" s="54"/>
      <c r="AI909" s="92"/>
      <c r="AJ909" s="54"/>
      <c r="AK909" s="92"/>
      <c r="AL909" s="54"/>
      <c r="AM909" s="92"/>
      <c r="AO909" s="54"/>
      <c r="AP909" s="123"/>
      <c r="AQ909" s="54"/>
      <c r="AR909" s="154"/>
      <c r="AS909" s="1"/>
      <c r="AT909" s="1"/>
      <c r="AU909" s="9"/>
    </row>
    <row r="910">
      <c r="A910" s="54"/>
      <c r="B910" s="71" t="str">
        <f>IFERROR(HYPERLINK(VLOOKUP(A910,Internal_lists_bugs!$A$2:$C$73,3,FALSE()), VLOOKUP(A910,Internal_lists_bugs!$A$2:$C$73,3,FALSE())&amp;Char(10) &amp; Char(10) &amp; VLOOKUP(A910,Internal_lists_bugs!$A$2:$Z$73,26,FALSE())),"please select a BUG ID")</f>
        <v>please select a BUG ID</v>
      </c>
      <c r="C910" s="51" t="str">
        <f>IFERROR(VLOOKUP(A910,Internal_lists_bugs!$A$2:$G2002,7,FALSE()),"please select a BUG ID")</f>
        <v>please select a BUG ID</v>
      </c>
      <c r="D910" s="54"/>
      <c r="E910" s="56"/>
      <c r="F910" s="54"/>
      <c r="G910" s="56"/>
      <c r="H910" s="54"/>
      <c r="I910" s="56"/>
      <c r="J910" s="54"/>
      <c r="K910" s="92"/>
      <c r="L910" s="54"/>
      <c r="M910" s="92"/>
      <c r="N910" s="54"/>
      <c r="O910" s="92"/>
      <c r="P910" s="54"/>
      <c r="Q910" s="92"/>
      <c r="R910" s="54"/>
      <c r="S910" s="92"/>
      <c r="T910" s="117"/>
      <c r="U910" s="92"/>
      <c r="V910" s="54"/>
      <c r="W910" s="92"/>
      <c r="X910" s="54"/>
      <c r="Y910" s="92"/>
      <c r="Z910" s="54"/>
      <c r="AA910" s="92"/>
      <c r="AB910" s="54"/>
      <c r="AC910" s="92"/>
      <c r="AD910" s="54"/>
      <c r="AE910" s="92"/>
      <c r="AF910" s="54"/>
      <c r="AG910" s="92"/>
      <c r="AH910" s="54"/>
      <c r="AI910" s="92"/>
      <c r="AJ910" s="54"/>
      <c r="AK910" s="92"/>
      <c r="AL910" s="54"/>
      <c r="AM910" s="92"/>
      <c r="AO910" s="54"/>
      <c r="AP910" s="123"/>
      <c r="AQ910" s="54"/>
      <c r="AR910" s="154"/>
      <c r="AS910" s="1"/>
      <c r="AT910" s="1"/>
      <c r="AU910" s="9"/>
    </row>
    <row r="911">
      <c r="A911" s="54"/>
      <c r="B911" s="71" t="str">
        <f>IFERROR(HYPERLINK(VLOOKUP(A911,Internal_lists_bugs!$A$2:$C$73,3,FALSE()), VLOOKUP(A911,Internal_lists_bugs!$A$2:$C$73,3,FALSE())&amp;Char(10) &amp; Char(10) &amp; VLOOKUP(A911,Internal_lists_bugs!$A$2:$Z$73,26,FALSE())),"please select a BUG ID")</f>
        <v>please select a BUG ID</v>
      </c>
      <c r="C911" s="51" t="str">
        <f>IFERROR(VLOOKUP(A911,Internal_lists_bugs!$A$2:$G2002,7,FALSE()),"please select a BUG ID")</f>
        <v>please select a BUG ID</v>
      </c>
      <c r="D911" s="54"/>
      <c r="E911" s="56"/>
      <c r="F911" s="54"/>
      <c r="G911" s="56"/>
      <c r="H911" s="54"/>
      <c r="I911" s="56"/>
      <c r="J911" s="54"/>
      <c r="K911" s="92"/>
      <c r="L911" s="54"/>
      <c r="M911" s="92"/>
      <c r="N911" s="54"/>
      <c r="O911" s="92"/>
      <c r="P911" s="54"/>
      <c r="Q911" s="92"/>
      <c r="R911" s="54"/>
      <c r="S911" s="92"/>
      <c r="T911" s="117"/>
      <c r="U911" s="92"/>
      <c r="V911" s="54"/>
      <c r="W911" s="92"/>
      <c r="X911" s="54"/>
      <c r="Y911" s="92"/>
      <c r="Z911" s="54"/>
      <c r="AA911" s="92"/>
      <c r="AB911" s="54"/>
      <c r="AC911" s="92"/>
      <c r="AD911" s="54"/>
      <c r="AE911" s="92"/>
      <c r="AF911" s="54"/>
      <c r="AG911" s="92"/>
      <c r="AH911" s="54"/>
      <c r="AI911" s="92"/>
      <c r="AJ911" s="54"/>
      <c r="AK911" s="92"/>
      <c r="AL911" s="54"/>
      <c r="AM911" s="92"/>
      <c r="AO911" s="54"/>
      <c r="AP911" s="123"/>
      <c r="AQ911" s="54"/>
      <c r="AR911" s="154"/>
      <c r="AS911" s="1"/>
      <c r="AT911" s="1"/>
      <c r="AU911" s="9"/>
    </row>
    <row r="912">
      <c r="A912" s="54"/>
      <c r="B912" s="71" t="str">
        <f>IFERROR(HYPERLINK(VLOOKUP(A912,Internal_lists_bugs!$A$2:$C$73,3,FALSE()), VLOOKUP(A912,Internal_lists_bugs!$A$2:$C$73,3,FALSE())&amp;Char(10) &amp; Char(10) &amp; VLOOKUP(A912,Internal_lists_bugs!$A$2:$Z$73,26,FALSE())),"please select a BUG ID")</f>
        <v>please select a BUG ID</v>
      </c>
      <c r="C912" s="51" t="str">
        <f>IFERROR(VLOOKUP(A912,Internal_lists_bugs!$A$2:$G2002,7,FALSE()),"please select a BUG ID")</f>
        <v>please select a BUG ID</v>
      </c>
      <c r="D912" s="54"/>
      <c r="E912" s="56"/>
      <c r="F912" s="54"/>
      <c r="G912" s="56"/>
      <c r="H912" s="54"/>
      <c r="I912" s="56"/>
      <c r="J912" s="54"/>
      <c r="K912" s="92"/>
      <c r="L912" s="54"/>
      <c r="M912" s="92"/>
      <c r="N912" s="54"/>
      <c r="O912" s="92"/>
      <c r="P912" s="54"/>
      <c r="Q912" s="92"/>
      <c r="R912" s="54"/>
      <c r="S912" s="92"/>
      <c r="T912" s="117"/>
      <c r="U912" s="92"/>
      <c r="V912" s="54"/>
      <c r="W912" s="92"/>
      <c r="X912" s="54"/>
      <c r="Y912" s="92"/>
      <c r="Z912" s="54"/>
      <c r="AA912" s="92"/>
      <c r="AB912" s="54"/>
      <c r="AC912" s="92"/>
      <c r="AD912" s="54"/>
      <c r="AE912" s="92"/>
      <c r="AF912" s="54"/>
      <c r="AG912" s="92"/>
      <c r="AH912" s="54"/>
      <c r="AI912" s="92"/>
      <c r="AJ912" s="54"/>
      <c r="AK912" s="92"/>
      <c r="AL912" s="54"/>
      <c r="AM912" s="92"/>
      <c r="AO912" s="54"/>
      <c r="AP912" s="123"/>
      <c r="AQ912" s="54"/>
      <c r="AR912" s="154"/>
      <c r="AS912" s="1"/>
      <c r="AT912" s="1"/>
      <c r="AU912" s="9"/>
    </row>
    <row r="913">
      <c r="A913" s="54"/>
      <c r="B913" s="71" t="str">
        <f>IFERROR(HYPERLINK(VLOOKUP(A913,Internal_lists_bugs!$A$2:$C$73,3,FALSE()), VLOOKUP(A913,Internal_lists_bugs!$A$2:$C$73,3,FALSE())&amp;Char(10) &amp; Char(10) &amp; VLOOKUP(A913,Internal_lists_bugs!$A$2:$Z$73,26,FALSE())),"please select a BUG ID")</f>
        <v>please select a BUG ID</v>
      </c>
      <c r="C913" s="51" t="str">
        <f>IFERROR(VLOOKUP(A913,Internal_lists_bugs!$A$2:$G2002,7,FALSE()),"please select a BUG ID")</f>
        <v>please select a BUG ID</v>
      </c>
      <c r="D913" s="54"/>
      <c r="E913" s="56"/>
      <c r="F913" s="54"/>
      <c r="G913" s="56"/>
      <c r="H913" s="54"/>
      <c r="I913" s="56"/>
      <c r="J913" s="54"/>
      <c r="K913" s="92"/>
      <c r="L913" s="54"/>
      <c r="M913" s="92"/>
      <c r="N913" s="54"/>
      <c r="O913" s="92"/>
      <c r="P913" s="54"/>
      <c r="Q913" s="92"/>
      <c r="R913" s="54"/>
      <c r="S913" s="92"/>
      <c r="T913" s="117"/>
      <c r="U913" s="92"/>
      <c r="V913" s="54"/>
      <c r="W913" s="92"/>
      <c r="X913" s="54"/>
      <c r="Y913" s="92"/>
      <c r="Z913" s="54"/>
      <c r="AA913" s="92"/>
      <c r="AB913" s="54"/>
      <c r="AC913" s="92"/>
      <c r="AD913" s="54"/>
      <c r="AE913" s="92"/>
      <c r="AF913" s="54"/>
      <c r="AG913" s="92"/>
      <c r="AH913" s="54"/>
      <c r="AI913" s="92"/>
      <c r="AJ913" s="54"/>
      <c r="AK913" s="92"/>
      <c r="AL913" s="54"/>
      <c r="AM913" s="92"/>
      <c r="AO913" s="54"/>
      <c r="AP913" s="123"/>
      <c r="AQ913" s="54"/>
      <c r="AR913" s="154"/>
      <c r="AS913" s="1"/>
      <c r="AT913" s="1"/>
      <c r="AU913" s="9"/>
    </row>
    <row r="914">
      <c r="A914" s="54"/>
      <c r="B914" s="71" t="str">
        <f>IFERROR(HYPERLINK(VLOOKUP(A914,Internal_lists_bugs!$A$2:$C$73,3,FALSE()), VLOOKUP(A914,Internal_lists_bugs!$A$2:$C$73,3,FALSE())&amp;Char(10) &amp; Char(10) &amp; VLOOKUP(A914,Internal_lists_bugs!$A$2:$Z$73,26,FALSE())),"please select a BUG ID")</f>
        <v>please select a BUG ID</v>
      </c>
      <c r="C914" s="51" t="str">
        <f>IFERROR(VLOOKUP(A914,Internal_lists_bugs!$A$2:$G2002,7,FALSE()),"please select a BUG ID")</f>
        <v>please select a BUG ID</v>
      </c>
      <c r="D914" s="54"/>
      <c r="E914" s="56"/>
      <c r="F914" s="54"/>
      <c r="G914" s="56"/>
      <c r="H914" s="54"/>
      <c r="I914" s="56"/>
      <c r="J914" s="54"/>
      <c r="K914" s="92"/>
      <c r="L914" s="54"/>
      <c r="M914" s="92"/>
      <c r="N914" s="54"/>
      <c r="O914" s="92"/>
      <c r="P914" s="54"/>
      <c r="Q914" s="92"/>
      <c r="R914" s="54"/>
      <c r="S914" s="92"/>
      <c r="T914" s="117"/>
      <c r="U914" s="92"/>
      <c r="V914" s="54"/>
      <c r="W914" s="92"/>
      <c r="X914" s="54"/>
      <c r="Y914" s="92"/>
      <c r="Z914" s="54"/>
      <c r="AA914" s="92"/>
      <c r="AB914" s="54"/>
      <c r="AC914" s="92"/>
      <c r="AD914" s="54"/>
      <c r="AE914" s="92"/>
      <c r="AF914" s="54"/>
      <c r="AG914" s="92"/>
      <c r="AH914" s="54"/>
      <c r="AI914" s="92"/>
      <c r="AJ914" s="54"/>
      <c r="AK914" s="92"/>
      <c r="AL914" s="54"/>
      <c r="AM914" s="92"/>
      <c r="AO914" s="54"/>
      <c r="AP914" s="123"/>
      <c r="AQ914" s="54"/>
      <c r="AR914" s="154"/>
      <c r="AS914" s="1"/>
      <c r="AT914" s="1"/>
      <c r="AU914" s="9"/>
    </row>
    <row r="915">
      <c r="A915" s="54"/>
      <c r="B915" s="71" t="str">
        <f>IFERROR(HYPERLINK(VLOOKUP(A915,Internal_lists_bugs!$A$2:$C$73,3,FALSE()), VLOOKUP(A915,Internal_lists_bugs!$A$2:$C$73,3,FALSE())&amp;Char(10) &amp; Char(10) &amp; VLOOKUP(A915,Internal_lists_bugs!$A$2:$Z$73,26,FALSE())),"please select a BUG ID")</f>
        <v>please select a BUG ID</v>
      </c>
      <c r="C915" s="51" t="str">
        <f>IFERROR(VLOOKUP(A915,Internal_lists_bugs!$A$2:$G2002,7,FALSE()),"please select a BUG ID")</f>
        <v>please select a BUG ID</v>
      </c>
      <c r="D915" s="54"/>
      <c r="E915" s="56"/>
      <c r="F915" s="54"/>
      <c r="G915" s="56"/>
      <c r="H915" s="54"/>
      <c r="I915" s="56"/>
      <c r="J915" s="54"/>
      <c r="K915" s="92"/>
      <c r="L915" s="54"/>
      <c r="M915" s="92"/>
      <c r="N915" s="54"/>
      <c r="O915" s="92"/>
      <c r="P915" s="54"/>
      <c r="Q915" s="92"/>
      <c r="R915" s="54"/>
      <c r="S915" s="92"/>
      <c r="T915" s="117"/>
      <c r="U915" s="92"/>
      <c r="V915" s="54"/>
      <c r="W915" s="92"/>
      <c r="X915" s="54"/>
      <c r="Y915" s="92"/>
      <c r="Z915" s="54"/>
      <c r="AA915" s="92"/>
      <c r="AB915" s="54"/>
      <c r="AC915" s="92"/>
      <c r="AD915" s="54"/>
      <c r="AE915" s="92"/>
      <c r="AF915" s="54"/>
      <c r="AG915" s="92"/>
      <c r="AH915" s="54"/>
      <c r="AI915" s="92"/>
      <c r="AJ915" s="54"/>
      <c r="AK915" s="92"/>
      <c r="AL915" s="54"/>
      <c r="AM915" s="92"/>
      <c r="AO915" s="54"/>
      <c r="AP915" s="123"/>
      <c r="AQ915" s="54"/>
      <c r="AR915" s="154"/>
      <c r="AS915" s="1"/>
      <c r="AT915" s="1"/>
      <c r="AU915" s="9"/>
    </row>
    <row r="916">
      <c r="A916" s="54"/>
      <c r="B916" s="71" t="str">
        <f>IFERROR(HYPERLINK(VLOOKUP(A916,Internal_lists_bugs!$A$2:$C$73,3,FALSE()), VLOOKUP(A916,Internal_lists_bugs!$A$2:$C$73,3,FALSE())&amp;Char(10) &amp; Char(10) &amp; VLOOKUP(A916,Internal_lists_bugs!$A$2:$Z$73,26,FALSE())),"please select a BUG ID")</f>
        <v>please select a BUG ID</v>
      </c>
      <c r="C916" s="51" t="str">
        <f>IFERROR(VLOOKUP(A916,Internal_lists_bugs!$A$2:$G2002,7,FALSE()),"please select a BUG ID")</f>
        <v>please select a BUG ID</v>
      </c>
      <c r="D916" s="54"/>
      <c r="E916" s="56"/>
      <c r="F916" s="54"/>
      <c r="G916" s="56"/>
      <c r="H916" s="54"/>
      <c r="I916" s="56"/>
      <c r="J916" s="54"/>
      <c r="K916" s="92"/>
      <c r="L916" s="54"/>
      <c r="M916" s="92"/>
      <c r="N916" s="54"/>
      <c r="O916" s="92"/>
      <c r="P916" s="54"/>
      <c r="Q916" s="92"/>
      <c r="R916" s="54"/>
      <c r="S916" s="92"/>
      <c r="T916" s="117"/>
      <c r="U916" s="92"/>
      <c r="V916" s="54"/>
      <c r="W916" s="92"/>
      <c r="X916" s="54"/>
      <c r="Y916" s="92"/>
      <c r="Z916" s="54"/>
      <c r="AA916" s="92"/>
      <c r="AB916" s="54"/>
      <c r="AC916" s="92"/>
      <c r="AD916" s="54"/>
      <c r="AE916" s="92"/>
      <c r="AF916" s="54"/>
      <c r="AG916" s="92"/>
      <c r="AH916" s="54"/>
      <c r="AI916" s="92"/>
      <c r="AJ916" s="54"/>
      <c r="AK916" s="92"/>
      <c r="AL916" s="54"/>
      <c r="AM916" s="92"/>
      <c r="AO916" s="54"/>
      <c r="AP916" s="123"/>
      <c r="AQ916" s="54"/>
      <c r="AR916" s="154"/>
      <c r="AS916" s="1"/>
      <c r="AT916" s="1"/>
      <c r="AU916" s="9"/>
    </row>
    <row r="917">
      <c r="A917" s="54"/>
      <c r="B917" s="71" t="str">
        <f>IFERROR(HYPERLINK(VLOOKUP(A917,Internal_lists_bugs!$A$2:$C$73,3,FALSE()), VLOOKUP(A917,Internal_lists_bugs!$A$2:$C$73,3,FALSE())&amp;Char(10) &amp; Char(10) &amp; VLOOKUP(A917,Internal_lists_bugs!$A$2:$Z$73,26,FALSE())),"please select a BUG ID")</f>
        <v>please select a BUG ID</v>
      </c>
      <c r="C917" s="51" t="str">
        <f>IFERROR(VLOOKUP(A917,Internal_lists_bugs!$A$2:$G2002,7,FALSE()),"please select a BUG ID")</f>
        <v>please select a BUG ID</v>
      </c>
      <c r="D917" s="54"/>
      <c r="E917" s="56"/>
      <c r="F917" s="54"/>
      <c r="G917" s="56"/>
      <c r="H917" s="54"/>
      <c r="I917" s="56"/>
      <c r="J917" s="54"/>
      <c r="K917" s="92"/>
      <c r="L917" s="54"/>
      <c r="M917" s="92"/>
      <c r="N917" s="54"/>
      <c r="O917" s="92"/>
      <c r="P917" s="54"/>
      <c r="Q917" s="92"/>
      <c r="R917" s="54"/>
      <c r="S917" s="92"/>
      <c r="T917" s="117"/>
      <c r="U917" s="92"/>
      <c r="V917" s="54"/>
      <c r="W917" s="92"/>
      <c r="X917" s="54"/>
      <c r="Y917" s="92"/>
      <c r="Z917" s="54"/>
      <c r="AA917" s="92"/>
      <c r="AB917" s="54"/>
      <c r="AC917" s="92"/>
      <c r="AD917" s="54"/>
      <c r="AE917" s="92"/>
      <c r="AF917" s="54"/>
      <c r="AG917" s="92"/>
      <c r="AH917" s="54"/>
      <c r="AI917" s="92"/>
      <c r="AJ917" s="54"/>
      <c r="AK917" s="92"/>
      <c r="AL917" s="54"/>
      <c r="AM917" s="92"/>
      <c r="AO917" s="54"/>
      <c r="AP917" s="123"/>
      <c r="AQ917" s="54"/>
      <c r="AR917" s="154"/>
      <c r="AS917" s="1"/>
      <c r="AT917" s="1"/>
      <c r="AU917" s="9"/>
    </row>
    <row r="918">
      <c r="A918" s="54"/>
      <c r="B918" s="71" t="str">
        <f>IFERROR(HYPERLINK(VLOOKUP(A918,Internal_lists_bugs!$A$2:$C$73,3,FALSE()), VLOOKUP(A918,Internal_lists_bugs!$A$2:$C$73,3,FALSE())&amp;Char(10) &amp; Char(10) &amp; VLOOKUP(A918,Internal_lists_bugs!$A$2:$Z$73,26,FALSE())),"please select a BUG ID")</f>
        <v>please select a BUG ID</v>
      </c>
      <c r="C918" s="51" t="str">
        <f>IFERROR(VLOOKUP(A918,Internal_lists_bugs!$A$2:$G2002,7,FALSE()),"please select a BUG ID")</f>
        <v>please select a BUG ID</v>
      </c>
      <c r="D918" s="54"/>
      <c r="E918" s="56"/>
      <c r="F918" s="54"/>
      <c r="G918" s="56"/>
      <c r="H918" s="54"/>
      <c r="I918" s="56"/>
      <c r="J918" s="54"/>
      <c r="K918" s="92"/>
      <c r="L918" s="54"/>
      <c r="M918" s="92"/>
      <c r="N918" s="54"/>
      <c r="O918" s="92"/>
      <c r="P918" s="54"/>
      <c r="Q918" s="92"/>
      <c r="R918" s="54"/>
      <c r="S918" s="92"/>
      <c r="T918" s="117"/>
      <c r="U918" s="92"/>
      <c r="V918" s="54"/>
      <c r="W918" s="92"/>
      <c r="X918" s="54"/>
      <c r="Y918" s="92"/>
      <c r="Z918" s="54"/>
      <c r="AA918" s="92"/>
      <c r="AB918" s="54"/>
      <c r="AC918" s="92"/>
      <c r="AD918" s="54"/>
      <c r="AE918" s="92"/>
      <c r="AF918" s="54"/>
      <c r="AG918" s="92"/>
      <c r="AH918" s="54"/>
      <c r="AI918" s="92"/>
      <c r="AJ918" s="54"/>
      <c r="AK918" s="92"/>
      <c r="AL918" s="54"/>
      <c r="AM918" s="92"/>
      <c r="AO918" s="54"/>
      <c r="AP918" s="123"/>
      <c r="AQ918" s="54"/>
      <c r="AR918" s="154"/>
      <c r="AS918" s="1"/>
      <c r="AT918" s="1"/>
      <c r="AU918" s="9"/>
    </row>
    <row r="919">
      <c r="A919" s="54"/>
      <c r="B919" s="71" t="str">
        <f>IFERROR(HYPERLINK(VLOOKUP(A919,Internal_lists_bugs!$A$2:$C$73,3,FALSE()), VLOOKUP(A919,Internal_lists_bugs!$A$2:$C$73,3,FALSE())&amp;Char(10) &amp; Char(10) &amp; VLOOKUP(A919,Internal_lists_bugs!$A$2:$Z$73,26,FALSE())),"please select a BUG ID")</f>
        <v>please select a BUG ID</v>
      </c>
      <c r="C919" s="51" t="str">
        <f>IFERROR(VLOOKUP(A919,Internal_lists_bugs!$A$2:$G2002,7,FALSE()),"please select a BUG ID")</f>
        <v>please select a BUG ID</v>
      </c>
      <c r="D919" s="54"/>
      <c r="E919" s="56"/>
      <c r="F919" s="54"/>
      <c r="G919" s="56"/>
      <c r="H919" s="54"/>
      <c r="I919" s="56"/>
      <c r="J919" s="54"/>
      <c r="K919" s="92"/>
      <c r="L919" s="54"/>
      <c r="M919" s="92"/>
      <c r="N919" s="54"/>
      <c r="O919" s="92"/>
      <c r="P919" s="54"/>
      <c r="Q919" s="92"/>
      <c r="R919" s="54"/>
      <c r="S919" s="92"/>
      <c r="T919" s="117"/>
      <c r="U919" s="92"/>
      <c r="V919" s="54"/>
      <c r="W919" s="92"/>
      <c r="X919" s="54"/>
      <c r="Y919" s="92"/>
      <c r="Z919" s="54"/>
      <c r="AA919" s="92"/>
      <c r="AB919" s="54"/>
      <c r="AC919" s="92"/>
      <c r="AD919" s="54"/>
      <c r="AE919" s="92"/>
      <c r="AF919" s="54"/>
      <c r="AG919" s="92"/>
      <c r="AH919" s="54"/>
      <c r="AI919" s="92"/>
      <c r="AJ919" s="54"/>
      <c r="AK919" s="92"/>
      <c r="AL919" s="54"/>
      <c r="AM919" s="92"/>
      <c r="AO919" s="54"/>
      <c r="AP919" s="123"/>
      <c r="AQ919" s="54"/>
      <c r="AR919" s="154"/>
      <c r="AS919" s="1"/>
      <c r="AT919" s="1"/>
      <c r="AU919" s="9"/>
    </row>
    <row r="920">
      <c r="A920" s="54"/>
      <c r="B920" s="71" t="str">
        <f>IFERROR(HYPERLINK(VLOOKUP(A920,Internal_lists_bugs!$A$2:$C$73,3,FALSE()), VLOOKUP(A920,Internal_lists_bugs!$A$2:$C$73,3,FALSE())&amp;Char(10) &amp; Char(10) &amp; VLOOKUP(A920,Internal_lists_bugs!$A$2:$Z$73,26,FALSE())),"please select a BUG ID")</f>
        <v>please select a BUG ID</v>
      </c>
      <c r="C920" s="51" t="str">
        <f>IFERROR(VLOOKUP(A920,Internal_lists_bugs!$A$2:$G2002,7,FALSE()),"please select a BUG ID")</f>
        <v>please select a BUG ID</v>
      </c>
      <c r="D920" s="54"/>
      <c r="E920" s="56"/>
      <c r="F920" s="54"/>
      <c r="G920" s="56"/>
      <c r="H920" s="54"/>
      <c r="I920" s="56"/>
      <c r="J920" s="54"/>
      <c r="K920" s="92"/>
      <c r="L920" s="54"/>
      <c r="M920" s="92"/>
      <c r="N920" s="54"/>
      <c r="O920" s="92"/>
      <c r="P920" s="54"/>
      <c r="Q920" s="92"/>
      <c r="R920" s="54"/>
      <c r="S920" s="92"/>
      <c r="T920" s="117"/>
      <c r="U920" s="92"/>
      <c r="V920" s="54"/>
      <c r="W920" s="92"/>
      <c r="X920" s="54"/>
      <c r="Y920" s="92"/>
      <c r="Z920" s="54"/>
      <c r="AA920" s="92"/>
      <c r="AB920" s="54"/>
      <c r="AC920" s="92"/>
      <c r="AD920" s="54"/>
      <c r="AE920" s="92"/>
      <c r="AF920" s="54"/>
      <c r="AG920" s="92"/>
      <c r="AH920" s="54"/>
      <c r="AI920" s="92"/>
      <c r="AJ920" s="54"/>
      <c r="AK920" s="92"/>
      <c r="AL920" s="54"/>
      <c r="AM920" s="92"/>
      <c r="AO920" s="54"/>
      <c r="AP920" s="123"/>
      <c r="AQ920" s="54"/>
      <c r="AR920" s="154"/>
      <c r="AS920" s="1"/>
      <c r="AT920" s="1"/>
      <c r="AU920" s="9"/>
    </row>
    <row r="921">
      <c r="A921" s="54"/>
      <c r="B921" s="71" t="str">
        <f>IFERROR(HYPERLINK(VLOOKUP(A921,Internal_lists_bugs!$A$2:$C$73,3,FALSE()), VLOOKUP(A921,Internal_lists_bugs!$A$2:$C$73,3,FALSE())&amp;Char(10) &amp; Char(10) &amp; VLOOKUP(A921,Internal_lists_bugs!$A$2:$Z$73,26,FALSE())),"please select a BUG ID")</f>
        <v>please select a BUG ID</v>
      </c>
      <c r="C921" s="51" t="str">
        <f>IFERROR(VLOOKUP(A921,Internal_lists_bugs!$A$2:$G2002,7,FALSE()),"please select a BUG ID")</f>
        <v>please select a BUG ID</v>
      </c>
      <c r="D921" s="54"/>
      <c r="E921" s="56"/>
      <c r="F921" s="54"/>
      <c r="G921" s="56"/>
      <c r="H921" s="54"/>
      <c r="I921" s="56"/>
      <c r="J921" s="54"/>
      <c r="K921" s="92"/>
      <c r="L921" s="54"/>
      <c r="M921" s="92"/>
      <c r="N921" s="54"/>
      <c r="O921" s="92"/>
      <c r="P921" s="54"/>
      <c r="Q921" s="92"/>
      <c r="R921" s="54"/>
      <c r="S921" s="92"/>
      <c r="T921" s="117"/>
      <c r="U921" s="92"/>
      <c r="V921" s="54"/>
      <c r="W921" s="92"/>
      <c r="X921" s="54"/>
      <c r="Y921" s="92"/>
      <c r="Z921" s="54"/>
      <c r="AA921" s="92"/>
      <c r="AB921" s="54"/>
      <c r="AC921" s="92"/>
      <c r="AD921" s="54"/>
      <c r="AE921" s="92"/>
      <c r="AF921" s="54"/>
      <c r="AG921" s="92"/>
      <c r="AH921" s="54"/>
      <c r="AI921" s="92"/>
      <c r="AJ921" s="54"/>
      <c r="AK921" s="92"/>
      <c r="AL921" s="54"/>
      <c r="AM921" s="92"/>
      <c r="AO921" s="54"/>
      <c r="AP921" s="123"/>
      <c r="AQ921" s="54"/>
      <c r="AR921" s="154"/>
      <c r="AS921" s="1"/>
      <c r="AT921" s="1"/>
      <c r="AU921" s="9"/>
    </row>
    <row r="922">
      <c r="A922" s="54"/>
      <c r="B922" s="71" t="str">
        <f>IFERROR(HYPERLINK(VLOOKUP(A922,Internal_lists_bugs!$A$2:$C$73,3,FALSE()), VLOOKUP(A922,Internal_lists_bugs!$A$2:$C$73,3,FALSE())&amp;Char(10) &amp; Char(10) &amp; VLOOKUP(A922,Internal_lists_bugs!$A$2:$Z$73,26,FALSE())),"please select a BUG ID")</f>
        <v>please select a BUG ID</v>
      </c>
      <c r="C922" s="51" t="str">
        <f>IFERROR(VLOOKUP(A922,Internal_lists_bugs!$A$2:$G2002,7,FALSE()),"please select a BUG ID")</f>
        <v>please select a BUG ID</v>
      </c>
      <c r="D922" s="54"/>
      <c r="E922" s="56"/>
      <c r="F922" s="54"/>
      <c r="G922" s="56"/>
      <c r="H922" s="54"/>
      <c r="I922" s="56"/>
      <c r="J922" s="54"/>
      <c r="K922" s="92"/>
      <c r="L922" s="54"/>
      <c r="M922" s="92"/>
      <c r="N922" s="54"/>
      <c r="O922" s="92"/>
      <c r="P922" s="54"/>
      <c r="Q922" s="92"/>
      <c r="R922" s="54"/>
      <c r="S922" s="92"/>
      <c r="T922" s="117"/>
      <c r="U922" s="92"/>
      <c r="V922" s="54"/>
      <c r="W922" s="92"/>
      <c r="X922" s="54"/>
      <c r="Y922" s="92"/>
      <c r="Z922" s="54"/>
      <c r="AA922" s="92"/>
      <c r="AB922" s="54"/>
      <c r="AC922" s="92"/>
      <c r="AD922" s="54"/>
      <c r="AE922" s="92"/>
      <c r="AF922" s="54"/>
      <c r="AG922" s="92"/>
      <c r="AH922" s="54"/>
      <c r="AI922" s="92"/>
      <c r="AJ922" s="54"/>
      <c r="AK922" s="92"/>
      <c r="AL922" s="54"/>
      <c r="AM922" s="92"/>
      <c r="AO922" s="54"/>
      <c r="AP922" s="123"/>
      <c r="AQ922" s="54"/>
      <c r="AR922" s="154"/>
      <c r="AS922" s="1"/>
      <c r="AT922" s="1"/>
      <c r="AU922" s="9"/>
    </row>
    <row r="923">
      <c r="A923" s="54"/>
      <c r="B923" s="71" t="str">
        <f>IFERROR(HYPERLINK(VLOOKUP(A923,Internal_lists_bugs!$A$2:$C$73,3,FALSE()), VLOOKUP(A923,Internal_lists_bugs!$A$2:$C$73,3,FALSE())&amp;Char(10) &amp; Char(10) &amp; VLOOKUP(A923,Internal_lists_bugs!$A$2:$Z$73,26,FALSE())),"please select a BUG ID")</f>
        <v>please select a BUG ID</v>
      </c>
      <c r="C923" s="51" t="str">
        <f>IFERROR(VLOOKUP(A923,Internal_lists_bugs!$A$2:$G2002,7,FALSE()),"please select a BUG ID")</f>
        <v>please select a BUG ID</v>
      </c>
      <c r="D923" s="54"/>
      <c r="E923" s="56"/>
      <c r="F923" s="54"/>
      <c r="G923" s="56"/>
      <c r="H923" s="54"/>
      <c r="I923" s="56"/>
      <c r="J923" s="54"/>
      <c r="K923" s="92"/>
      <c r="L923" s="54"/>
      <c r="M923" s="92"/>
      <c r="N923" s="54"/>
      <c r="O923" s="92"/>
      <c r="P923" s="54"/>
      <c r="Q923" s="92"/>
      <c r="R923" s="54"/>
      <c r="S923" s="92"/>
      <c r="T923" s="117"/>
      <c r="U923" s="92"/>
      <c r="V923" s="54"/>
      <c r="W923" s="92"/>
      <c r="X923" s="54"/>
      <c r="Y923" s="92"/>
      <c r="Z923" s="54"/>
      <c r="AA923" s="92"/>
      <c r="AB923" s="54"/>
      <c r="AC923" s="92"/>
      <c r="AD923" s="54"/>
      <c r="AE923" s="92"/>
      <c r="AF923" s="54"/>
      <c r="AG923" s="92"/>
      <c r="AH923" s="54"/>
      <c r="AI923" s="92"/>
      <c r="AJ923" s="54"/>
      <c r="AK923" s="92"/>
      <c r="AL923" s="54"/>
      <c r="AM923" s="92"/>
      <c r="AN923" s="123"/>
      <c r="AO923" s="54"/>
      <c r="AP923" s="123"/>
      <c r="AQ923" s="54"/>
      <c r="AR923" s="154"/>
      <c r="AS923" s="1"/>
      <c r="AT923" s="1"/>
      <c r="AU923" s="9"/>
    </row>
    <row r="924">
      <c r="A924" s="54"/>
      <c r="B924" s="71" t="str">
        <f>IFERROR(HYPERLINK(VLOOKUP(A924,Internal_lists_bugs!$A$2:$C$73,3,FALSE()), VLOOKUP(A924,Internal_lists_bugs!$A$2:$C$73,3,FALSE())&amp;Char(10) &amp; Char(10) &amp; VLOOKUP(A924,Internal_lists_bugs!$A$2:$Z$73,26,FALSE())),"please select a BUG ID")</f>
        <v>please select a BUG ID</v>
      </c>
      <c r="C924" s="51" t="str">
        <f>IFERROR(VLOOKUP(A924,Internal_lists_bugs!$A$2:$G2002,7,FALSE()),"please select a BUG ID")</f>
        <v>please select a BUG ID</v>
      </c>
      <c r="D924" s="54"/>
      <c r="E924" s="56"/>
      <c r="F924" s="54"/>
      <c r="G924" s="56"/>
      <c r="H924" s="54"/>
      <c r="I924" s="56"/>
      <c r="J924" s="54"/>
      <c r="K924" s="92"/>
      <c r="L924" s="54"/>
      <c r="M924" s="92"/>
      <c r="N924" s="54"/>
      <c r="O924" s="92"/>
      <c r="P924" s="54"/>
      <c r="Q924" s="92"/>
      <c r="R924" s="54"/>
      <c r="S924" s="92"/>
      <c r="T924" s="117"/>
      <c r="U924" s="92"/>
      <c r="V924" s="54"/>
      <c r="W924" s="92"/>
      <c r="X924" s="54"/>
      <c r="Y924" s="92"/>
      <c r="Z924" s="54"/>
      <c r="AA924" s="92"/>
      <c r="AB924" s="54"/>
      <c r="AC924" s="92"/>
      <c r="AD924" s="54"/>
      <c r="AE924" s="92"/>
      <c r="AF924" s="54"/>
      <c r="AG924" s="92"/>
      <c r="AH924" s="54"/>
      <c r="AI924" s="92"/>
      <c r="AJ924" s="54"/>
      <c r="AK924" s="92"/>
      <c r="AL924" s="54"/>
      <c r="AM924" s="92"/>
      <c r="AN924" s="123"/>
      <c r="AO924" s="54"/>
      <c r="AP924" s="123"/>
      <c r="AQ924" s="54"/>
      <c r="AR924" s="154"/>
      <c r="AS924" s="1"/>
      <c r="AT924" s="1"/>
      <c r="AU924" s="9"/>
    </row>
    <row r="925">
      <c r="A925" s="54"/>
      <c r="B925" s="71" t="str">
        <f>IFERROR(HYPERLINK(VLOOKUP(A925,Internal_lists_bugs!$A$2:$C$73,3,FALSE()), VLOOKUP(A925,Internal_lists_bugs!$A$2:$C$73,3,FALSE())&amp;Char(10) &amp; Char(10) &amp; VLOOKUP(A925,Internal_lists_bugs!$A$2:$Z$73,26,FALSE())),"please select a BUG ID")</f>
        <v>please select a BUG ID</v>
      </c>
      <c r="C925" s="51" t="str">
        <f>IFERROR(VLOOKUP(A925,Internal_lists_bugs!$A$2:$G2002,7,FALSE()),"please select a BUG ID")</f>
        <v>please select a BUG ID</v>
      </c>
      <c r="D925" s="54"/>
      <c r="E925" s="56"/>
      <c r="F925" s="54"/>
      <c r="G925" s="56"/>
      <c r="H925" s="54"/>
      <c r="I925" s="56"/>
      <c r="J925" s="54"/>
      <c r="K925" s="92"/>
      <c r="L925" s="54"/>
      <c r="M925" s="92"/>
      <c r="N925" s="54"/>
      <c r="O925" s="92"/>
      <c r="P925" s="54"/>
      <c r="Q925" s="92"/>
      <c r="R925" s="54"/>
      <c r="S925" s="92"/>
      <c r="T925" s="117"/>
      <c r="U925" s="92"/>
      <c r="V925" s="54"/>
      <c r="W925" s="92"/>
      <c r="X925" s="54"/>
      <c r="Y925" s="92"/>
      <c r="Z925" s="54"/>
      <c r="AA925" s="92"/>
      <c r="AB925" s="54"/>
      <c r="AC925" s="92"/>
      <c r="AD925" s="54"/>
      <c r="AE925" s="92"/>
      <c r="AF925" s="54"/>
      <c r="AG925" s="92"/>
      <c r="AH925" s="54"/>
      <c r="AI925" s="92"/>
      <c r="AJ925" s="54"/>
      <c r="AK925" s="92"/>
      <c r="AL925" s="54"/>
      <c r="AM925" s="92"/>
      <c r="AN925" s="123"/>
      <c r="AO925" s="54"/>
      <c r="AP925" s="123"/>
      <c r="AQ925" s="54"/>
      <c r="AR925" s="154"/>
      <c r="AS925" s="1"/>
      <c r="AT925" s="1"/>
      <c r="AU925" s="9"/>
    </row>
    <row r="926">
      <c r="A926" s="54"/>
      <c r="B926" s="71" t="str">
        <f>IFERROR(HYPERLINK(VLOOKUP(A926,Internal_lists_bugs!$A$2:$C$73,3,FALSE()), VLOOKUP(A926,Internal_lists_bugs!$A$2:$C$73,3,FALSE())&amp;Char(10) &amp; Char(10) &amp; VLOOKUP(A926,Internal_lists_bugs!$A$2:$Z$73,26,FALSE())),"please select a BUG ID")</f>
        <v>please select a BUG ID</v>
      </c>
      <c r="C926" s="51" t="str">
        <f>IFERROR(VLOOKUP(A926,Internal_lists_bugs!$A$2:$G2002,7,FALSE()),"please select a BUG ID")</f>
        <v>please select a BUG ID</v>
      </c>
      <c r="D926" s="54"/>
      <c r="E926" s="56"/>
      <c r="F926" s="54"/>
      <c r="G926" s="56"/>
      <c r="H926" s="54"/>
      <c r="I926" s="56"/>
      <c r="J926" s="54"/>
      <c r="K926" s="92"/>
      <c r="L926" s="54"/>
      <c r="M926" s="92"/>
      <c r="N926" s="54"/>
      <c r="O926" s="92"/>
      <c r="P926" s="54"/>
      <c r="Q926" s="92"/>
      <c r="R926" s="54"/>
      <c r="S926" s="92"/>
      <c r="T926" s="117"/>
      <c r="U926" s="92"/>
      <c r="V926" s="54"/>
      <c r="W926" s="92"/>
      <c r="X926" s="54"/>
      <c r="Y926" s="92"/>
      <c r="Z926" s="54"/>
      <c r="AA926" s="92"/>
      <c r="AB926" s="54"/>
      <c r="AC926" s="92"/>
      <c r="AD926" s="54"/>
      <c r="AE926" s="92"/>
      <c r="AF926" s="54"/>
      <c r="AG926" s="92"/>
      <c r="AH926" s="54"/>
      <c r="AI926" s="92"/>
      <c r="AJ926" s="54"/>
      <c r="AK926" s="92"/>
      <c r="AL926" s="54"/>
      <c r="AM926" s="92"/>
      <c r="AN926" s="123"/>
      <c r="AO926" s="54"/>
      <c r="AP926" s="123"/>
      <c r="AQ926" s="54"/>
      <c r="AR926" s="154"/>
      <c r="AS926" s="1"/>
      <c r="AT926" s="1"/>
      <c r="AU926" s="9"/>
    </row>
    <row r="927">
      <c r="A927" s="54"/>
      <c r="B927" s="71" t="str">
        <f>IFERROR(HYPERLINK(VLOOKUP(A927,Internal_lists_bugs!$A$2:$C$73,3,FALSE()), VLOOKUP(A927,Internal_lists_bugs!$A$2:$C$73,3,FALSE())&amp;Char(10) &amp; Char(10) &amp; VLOOKUP(A927,Internal_lists_bugs!$A$2:$Z$73,26,FALSE())),"please select a BUG ID")</f>
        <v>please select a BUG ID</v>
      </c>
      <c r="C927" s="51" t="str">
        <f>IFERROR(VLOOKUP(A927,Internal_lists_bugs!$A$2:$G2002,7,FALSE()),"please select a BUG ID")</f>
        <v>please select a BUG ID</v>
      </c>
      <c r="D927" s="54"/>
      <c r="E927" s="56"/>
      <c r="F927" s="54"/>
      <c r="G927" s="56"/>
      <c r="H927" s="54"/>
      <c r="I927" s="56"/>
      <c r="J927" s="54"/>
      <c r="K927" s="92"/>
      <c r="L927" s="54"/>
      <c r="M927" s="92"/>
      <c r="N927" s="54"/>
      <c r="O927" s="92"/>
      <c r="P927" s="54"/>
      <c r="Q927" s="92"/>
      <c r="R927" s="54"/>
      <c r="S927" s="92"/>
      <c r="T927" s="117"/>
      <c r="U927" s="92"/>
      <c r="V927" s="54"/>
      <c r="W927" s="92"/>
      <c r="X927" s="54"/>
      <c r="Y927" s="92"/>
      <c r="Z927" s="54"/>
      <c r="AA927" s="92"/>
      <c r="AB927" s="54"/>
      <c r="AC927" s="92"/>
      <c r="AD927" s="54"/>
      <c r="AE927" s="92"/>
      <c r="AF927" s="54"/>
      <c r="AG927" s="92"/>
      <c r="AH927" s="54"/>
      <c r="AI927" s="92"/>
      <c r="AJ927" s="54"/>
      <c r="AK927" s="92"/>
      <c r="AL927" s="54"/>
      <c r="AM927" s="92"/>
      <c r="AN927" s="123"/>
      <c r="AO927" s="54"/>
      <c r="AP927" s="123"/>
      <c r="AQ927" s="54"/>
      <c r="AR927" s="154"/>
      <c r="AS927" s="1"/>
      <c r="AT927" s="1"/>
      <c r="AU927" s="9"/>
    </row>
    <row r="928">
      <c r="A928" s="54"/>
      <c r="B928" s="71" t="str">
        <f>IFERROR(HYPERLINK(VLOOKUP(A928,Internal_lists_bugs!$A$2:$C$73,3,FALSE()), VLOOKUP(A928,Internal_lists_bugs!$A$2:$C$73,3,FALSE())&amp;Char(10) &amp; Char(10) &amp; VLOOKUP(A928,Internal_lists_bugs!$A$2:$Z$73,26,FALSE())),"please select a BUG ID")</f>
        <v>please select a BUG ID</v>
      </c>
      <c r="C928" s="51" t="str">
        <f>IFERROR(VLOOKUP(A928,Internal_lists_bugs!$A$2:$G2002,7,FALSE()),"please select a BUG ID")</f>
        <v>please select a BUG ID</v>
      </c>
      <c r="D928" s="54"/>
      <c r="E928" s="56"/>
      <c r="F928" s="54"/>
      <c r="G928" s="56"/>
      <c r="H928" s="54"/>
      <c r="I928" s="56"/>
      <c r="J928" s="54"/>
      <c r="K928" s="92"/>
      <c r="L928" s="54"/>
      <c r="M928" s="92"/>
      <c r="N928" s="54"/>
      <c r="O928" s="92"/>
      <c r="P928" s="54"/>
      <c r="Q928" s="92"/>
      <c r="R928" s="54"/>
      <c r="S928" s="92"/>
      <c r="T928" s="117"/>
      <c r="U928" s="92"/>
      <c r="V928" s="54"/>
      <c r="W928" s="92"/>
      <c r="X928" s="54"/>
      <c r="Y928" s="92"/>
      <c r="Z928" s="54"/>
      <c r="AA928" s="92"/>
      <c r="AB928" s="54"/>
      <c r="AC928" s="92"/>
      <c r="AD928" s="54"/>
      <c r="AE928" s="92"/>
      <c r="AF928" s="54"/>
      <c r="AG928" s="92"/>
      <c r="AH928" s="54"/>
      <c r="AI928" s="92"/>
      <c r="AJ928" s="54"/>
      <c r="AK928" s="92"/>
      <c r="AL928" s="54"/>
      <c r="AM928" s="92"/>
      <c r="AN928" s="123"/>
      <c r="AO928" s="54"/>
      <c r="AP928" s="123"/>
      <c r="AQ928" s="54"/>
      <c r="AR928" s="154"/>
      <c r="AS928" s="1"/>
      <c r="AT928" s="1"/>
      <c r="AU928" s="9"/>
    </row>
    <row r="929">
      <c r="A929" s="54"/>
      <c r="B929" s="71" t="str">
        <f>IFERROR(HYPERLINK(VLOOKUP(A929,Internal_lists_bugs!$A$2:$C$73,3,FALSE()), VLOOKUP(A929,Internal_lists_bugs!$A$2:$C$73,3,FALSE())&amp;Char(10) &amp; Char(10) &amp; VLOOKUP(A929,Internal_lists_bugs!$A$2:$Z$73,26,FALSE())),"please select a BUG ID")</f>
        <v>please select a BUG ID</v>
      </c>
      <c r="C929" s="51" t="str">
        <f>IFERROR(VLOOKUP(A929,Internal_lists_bugs!$A$2:$G2002,7,FALSE()),"please select a BUG ID")</f>
        <v>please select a BUG ID</v>
      </c>
      <c r="D929" s="54"/>
      <c r="E929" s="56"/>
      <c r="F929" s="54"/>
      <c r="G929" s="56"/>
      <c r="H929" s="54"/>
      <c r="I929" s="56"/>
      <c r="J929" s="54"/>
      <c r="K929" s="92"/>
      <c r="L929" s="54"/>
      <c r="M929" s="92"/>
      <c r="N929" s="54"/>
      <c r="O929" s="92"/>
      <c r="P929" s="54"/>
      <c r="Q929" s="92"/>
      <c r="R929" s="54"/>
      <c r="S929" s="92"/>
      <c r="T929" s="117"/>
      <c r="U929" s="92"/>
      <c r="V929" s="54"/>
      <c r="W929" s="92"/>
      <c r="X929" s="54"/>
      <c r="Y929" s="92"/>
      <c r="Z929" s="54"/>
      <c r="AA929" s="92"/>
      <c r="AB929" s="54"/>
      <c r="AC929" s="92"/>
      <c r="AD929" s="54"/>
      <c r="AE929" s="92"/>
      <c r="AF929" s="54"/>
      <c r="AG929" s="92"/>
      <c r="AH929" s="54"/>
      <c r="AI929" s="92"/>
      <c r="AJ929" s="54"/>
      <c r="AK929" s="92"/>
      <c r="AL929" s="54"/>
      <c r="AM929" s="92"/>
      <c r="AN929" s="123"/>
      <c r="AO929" s="54"/>
      <c r="AP929" s="123"/>
      <c r="AQ929" s="54"/>
      <c r="AR929" s="154"/>
      <c r="AS929" s="1"/>
      <c r="AT929" s="1"/>
      <c r="AU929" s="9"/>
    </row>
    <row r="930">
      <c r="A930" s="54"/>
      <c r="B930" s="71" t="str">
        <f>IFERROR(HYPERLINK(VLOOKUP(A930,Internal_lists_bugs!$A$2:$C$73,3,FALSE()), VLOOKUP(A930,Internal_lists_bugs!$A$2:$C$73,3,FALSE())&amp;Char(10) &amp; Char(10) &amp; VLOOKUP(A930,Internal_lists_bugs!$A$2:$Z$73,26,FALSE())),"please select a BUG ID")</f>
        <v>please select a BUG ID</v>
      </c>
      <c r="C930" s="51" t="str">
        <f>IFERROR(VLOOKUP(A930,Internal_lists_bugs!$A$2:$G2002,7,FALSE()),"please select a BUG ID")</f>
        <v>please select a BUG ID</v>
      </c>
      <c r="D930" s="54"/>
      <c r="E930" s="56"/>
      <c r="F930" s="54"/>
      <c r="G930" s="56"/>
      <c r="H930" s="54"/>
      <c r="I930" s="56"/>
      <c r="J930" s="54"/>
      <c r="K930" s="92"/>
      <c r="L930" s="54"/>
      <c r="M930" s="92"/>
      <c r="N930" s="54"/>
      <c r="O930" s="92"/>
      <c r="P930" s="54"/>
      <c r="Q930" s="92"/>
      <c r="R930" s="54"/>
      <c r="S930" s="92"/>
      <c r="T930" s="117"/>
      <c r="U930" s="92"/>
      <c r="V930" s="54"/>
      <c r="W930" s="92"/>
      <c r="X930" s="54"/>
      <c r="Y930" s="92"/>
      <c r="Z930" s="54"/>
      <c r="AA930" s="92"/>
      <c r="AB930" s="54"/>
      <c r="AC930" s="92"/>
      <c r="AD930" s="54"/>
      <c r="AE930" s="92"/>
      <c r="AF930" s="54"/>
      <c r="AG930" s="92"/>
      <c r="AH930" s="54"/>
      <c r="AI930" s="92"/>
      <c r="AJ930" s="54"/>
      <c r="AK930" s="92"/>
      <c r="AL930" s="54"/>
      <c r="AM930" s="92"/>
      <c r="AN930" s="123"/>
      <c r="AO930" s="54"/>
      <c r="AP930" s="123"/>
      <c r="AQ930" s="54"/>
      <c r="AR930" s="154"/>
      <c r="AS930" s="1"/>
      <c r="AT930" s="1"/>
      <c r="AU930" s="9"/>
    </row>
    <row r="931">
      <c r="A931" s="54"/>
      <c r="B931" s="71" t="str">
        <f>IFERROR(HYPERLINK(VLOOKUP(A931,Internal_lists_bugs!$A$2:$C$73,3,FALSE()), VLOOKUP(A931,Internal_lists_bugs!$A$2:$C$73,3,FALSE())&amp;Char(10) &amp; Char(10) &amp; VLOOKUP(A931,Internal_lists_bugs!$A$2:$Z$73,26,FALSE())),"please select a BUG ID")</f>
        <v>please select a BUG ID</v>
      </c>
      <c r="C931" s="51" t="str">
        <f>IFERROR(VLOOKUP(A931,Internal_lists_bugs!$A$2:$G2002,7,FALSE()),"please select a BUG ID")</f>
        <v>please select a BUG ID</v>
      </c>
      <c r="D931" s="54"/>
      <c r="E931" s="56"/>
      <c r="F931" s="54"/>
      <c r="G931" s="56"/>
      <c r="H931" s="54"/>
      <c r="I931" s="56"/>
      <c r="J931" s="54"/>
      <c r="K931" s="92"/>
      <c r="L931" s="54"/>
      <c r="M931" s="92"/>
      <c r="N931" s="54"/>
      <c r="O931" s="92"/>
      <c r="P931" s="54"/>
      <c r="Q931" s="92"/>
      <c r="R931" s="54"/>
      <c r="S931" s="92"/>
      <c r="T931" s="117"/>
      <c r="U931" s="92"/>
      <c r="V931" s="54"/>
      <c r="W931" s="92"/>
      <c r="X931" s="54"/>
      <c r="Y931" s="92"/>
      <c r="Z931" s="54"/>
      <c r="AA931" s="92"/>
      <c r="AB931" s="54"/>
      <c r="AC931" s="92"/>
      <c r="AD931" s="54"/>
      <c r="AE931" s="92"/>
      <c r="AF931" s="54"/>
      <c r="AG931" s="92"/>
      <c r="AH931" s="54"/>
      <c r="AI931" s="92"/>
      <c r="AJ931" s="54"/>
      <c r="AK931" s="92"/>
      <c r="AL931" s="54"/>
      <c r="AM931" s="92"/>
      <c r="AN931" s="123"/>
      <c r="AO931" s="54"/>
      <c r="AP931" s="123"/>
      <c r="AQ931" s="54"/>
      <c r="AR931" s="154"/>
      <c r="AS931" s="1"/>
      <c r="AT931" s="1"/>
      <c r="AU931" s="9"/>
    </row>
    <row r="932">
      <c r="A932" s="54"/>
      <c r="B932" s="71" t="str">
        <f>IFERROR(HYPERLINK(VLOOKUP(A932,Internal_lists_bugs!$A$2:$C$73,3,FALSE()), VLOOKUP(A932,Internal_lists_bugs!$A$2:$C$73,3,FALSE())&amp;Char(10) &amp; Char(10) &amp; VLOOKUP(A932,Internal_lists_bugs!$A$2:$Z$73,26,FALSE())),"please select a BUG ID")</f>
        <v>please select a BUG ID</v>
      </c>
      <c r="C932" s="51" t="str">
        <f>IFERROR(VLOOKUP(A932,Internal_lists_bugs!$A$2:$G2002,7,FALSE()),"please select a BUG ID")</f>
        <v>please select a BUG ID</v>
      </c>
      <c r="D932" s="54"/>
      <c r="E932" s="56"/>
      <c r="F932" s="54"/>
      <c r="G932" s="56"/>
      <c r="H932" s="54"/>
      <c r="I932" s="56"/>
      <c r="J932" s="54"/>
      <c r="K932" s="92"/>
      <c r="L932" s="54"/>
      <c r="M932" s="92"/>
      <c r="N932" s="54"/>
      <c r="O932" s="92"/>
      <c r="P932" s="54"/>
      <c r="Q932" s="92"/>
      <c r="R932" s="54"/>
      <c r="S932" s="92"/>
      <c r="T932" s="117"/>
      <c r="U932" s="92"/>
      <c r="V932" s="54"/>
      <c r="W932" s="92"/>
      <c r="X932" s="54"/>
      <c r="Y932" s="92"/>
      <c r="Z932" s="54"/>
      <c r="AA932" s="92"/>
      <c r="AB932" s="54"/>
      <c r="AC932" s="92"/>
      <c r="AD932" s="54"/>
      <c r="AE932" s="92"/>
      <c r="AF932" s="54"/>
      <c r="AG932" s="92"/>
      <c r="AH932" s="54"/>
      <c r="AI932" s="92"/>
      <c r="AJ932" s="54"/>
      <c r="AK932" s="92"/>
      <c r="AL932" s="54"/>
      <c r="AM932" s="92"/>
      <c r="AN932" s="123"/>
      <c r="AO932" s="54"/>
      <c r="AP932" s="123"/>
      <c r="AQ932" s="54"/>
      <c r="AR932" s="154"/>
      <c r="AS932" s="1"/>
      <c r="AT932" s="1"/>
      <c r="AU932" s="9"/>
    </row>
    <row r="933">
      <c r="A933" s="54"/>
      <c r="B933" s="71" t="str">
        <f>IFERROR(HYPERLINK(VLOOKUP(A933,Internal_lists_bugs!$A$2:$C$73,3,FALSE()), VLOOKUP(A933,Internal_lists_bugs!$A$2:$C$73,3,FALSE())&amp;Char(10) &amp; Char(10) &amp; VLOOKUP(A933,Internal_lists_bugs!$A$2:$Z$73,26,FALSE())),"please select a BUG ID")</f>
        <v>please select a BUG ID</v>
      </c>
      <c r="C933" s="51" t="str">
        <f>IFERROR(VLOOKUP(A933,Internal_lists_bugs!$A$2:$G2002,7,FALSE()),"please select a BUG ID")</f>
        <v>please select a BUG ID</v>
      </c>
      <c r="D933" s="54"/>
      <c r="E933" s="56"/>
      <c r="F933" s="54"/>
      <c r="G933" s="56"/>
      <c r="H933" s="54"/>
      <c r="I933" s="56"/>
      <c r="J933" s="54"/>
      <c r="K933" s="92"/>
      <c r="L933" s="54"/>
      <c r="M933" s="92"/>
      <c r="N933" s="54"/>
      <c r="O933" s="92"/>
      <c r="P933" s="54"/>
      <c r="Q933" s="92"/>
      <c r="R933" s="54"/>
      <c r="S933" s="92"/>
      <c r="T933" s="117"/>
      <c r="U933" s="92"/>
      <c r="V933" s="54"/>
      <c r="W933" s="92"/>
      <c r="X933" s="54"/>
      <c r="Y933" s="92"/>
      <c r="Z933" s="54"/>
      <c r="AA933" s="92"/>
      <c r="AB933" s="54"/>
      <c r="AC933" s="92"/>
      <c r="AD933" s="54"/>
      <c r="AE933" s="92"/>
      <c r="AF933" s="54"/>
      <c r="AG933" s="92"/>
      <c r="AH933" s="54"/>
      <c r="AI933" s="92"/>
      <c r="AJ933" s="54"/>
      <c r="AK933" s="92"/>
      <c r="AL933" s="54"/>
      <c r="AM933" s="92"/>
      <c r="AN933" s="123"/>
      <c r="AO933" s="54"/>
      <c r="AP933" s="123"/>
      <c r="AQ933" s="54"/>
      <c r="AR933" s="154"/>
      <c r="AS933" s="1"/>
      <c r="AT933" s="1"/>
      <c r="AU933" s="9"/>
    </row>
    <row r="934">
      <c r="A934" s="54"/>
      <c r="B934" s="71" t="str">
        <f>IFERROR(HYPERLINK(VLOOKUP(A934,Internal_lists_bugs!$A$2:$C$73,3,FALSE()), VLOOKUP(A934,Internal_lists_bugs!$A$2:$C$73,3,FALSE())&amp;Char(10) &amp; Char(10) &amp; VLOOKUP(A934,Internal_lists_bugs!$A$2:$Z$73,26,FALSE())),"please select a BUG ID")</f>
        <v>please select a BUG ID</v>
      </c>
      <c r="C934" s="51" t="str">
        <f>IFERROR(VLOOKUP(A934,Internal_lists_bugs!$A$2:$G2002,7,FALSE()),"please select a BUG ID")</f>
        <v>please select a BUG ID</v>
      </c>
      <c r="D934" s="54"/>
      <c r="E934" s="56"/>
      <c r="F934" s="54"/>
      <c r="G934" s="56"/>
      <c r="H934" s="54"/>
      <c r="I934" s="56"/>
      <c r="J934" s="54"/>
      <c r="K934" s="92"/>
      <c r="L934" s="54"/>
      <c r="M934" s="92"/>
      <c r="N934" s="54"/>
      <c r="O934" s="92"/>
      <c r="P934" s="54"/>
      <c r="Q934" s="92"/>
      <c r="R934" s="54"/>
      <c r="S934" s="92"/>
      <c r="T934" s="117"/>
      <c r="U934" s="92"/>
      <c r="V934" s="54"/>
      <c r="W934" s="92"/>
      <c r="X934" s="54"/>
      <c r="Y934" s="92"/>
      <c r="Z934" s="54"/>
      <c r="AA934" s="92"/>
      <c r="AB934" s="54"/>
      <c r="AC934" s="92"/>
      <c r="AD934" s="54"/>
      <c r="AE934" s="92"/>
      <c r="AF934" s="54"/>
      <c r="AG934" s="92"/>
      <c r="AH934" s="54"/>
      <c r="AI934" s="92"/>
      <c r="AJ934" s="54"/>
      <c r="AK934" s="92"/>
      <c r="AL934" s="54"/>
      <c r="AM934" s="92"/>
      <c r="AN934" s="123"/>
      <c r="AO934" s="54"/>
      <c r="AP934" s="123"/>
      <c r="AQ934" s="54"/>
      <c r="AR934" s="154"/>
      <c r="AS934" s="1"/>
      <c r="AT934" s="1"/>
      <c r="AU934" s="9"/>
    </row>
    <row r="935">
      <c r="A935" s="54"/>
      <c r="B935" s="71" t="str">
        <f>IFERROR(HYPERLINK(VLOOKUP(A935,Internal_lists_bugs!$A$2:$C$73,3,FALSE()), VLOOKUP(A935,Internal_lists_bugs!$A$2:$C$73,3,FALSE())&amp;Char(10) &amp; Char(10) &amp; VLOOKUP(A935,Internal_lists_bugs!$A$2:$Z$73,26,FALSE())),"please select a BUG ID")</f>
        <v>please select a BUG ID</v>
      </c>
      <c r="C935" s="51" t="str">
        <f>IFERROR(VLOOKUP(A935,Internal_lists_bugs!$A$2:$G2002,7,FALSE()),"please select a BUG ID")</f>
        <v>please select a BUG ID</v>
      </c>
      <c r="D935" s="54"/>
      <c r="E935" s="56"/>
      <c r="F935" s="54"/>
      <c r="G935" s="56"/>
      <c r="H935" s="54"/>
      <c r="I935" s="56"/>
      <c r="J935" s="54"/>
      <c r="K935" s="92"/>
      <c r="L935" s="54"/>
      <c r="M935" s="92"/>
      <c r="N935" s="54"/>
      <c r="O935" s="92"/>
      <c r="P935" s="54"/>
      <c r="Q935" s="92"/>
      <c r="R935" s="54"/>
      <c r="S935" s="92"/>
      <c r="T935" s="117"/>
      <c r="U935" s="92"/>
      <c r="V935" s="54"/>
      <c r="W935" s="92"/>
      <c r="X935" s="54"/>
      <c r="Y935" s="92"/>
      <c r="Z935" s="54"/>
      <c r="AA935" s="92"/>
      <c r="AB935" s="54"/>
      <c r="AC935" s="92"/>
      <c r="AD935" s="54"/>
      <c r="AE935" s="92"/>
      <c r="AF935" s="54"/>
      <c r="AG935" s="92"/>
      <c r="AH935" s="54"/>
      <c r="AI935" s="92"/>
      <c r="AJ935" s="54"/>
      <c r="AK935" s="92"/>
      <c r="AL935" s="54"/>
      <c r="AM935" s="92"/>
      <c r="AN935" s="123"/>
      <c r="AO935" s="54"/>
      <c r="AP935" s="123"/>
      <c r="AQ935" s="54"/>
      <c r="AR935" s="154"/>
      <c r="AS935" s="1"/>
      <c r="AT935" s="1"/>
      <c r="AU935" s="9"/>
    </row>
    <row r="936">
      <c r="A936" s="54"/>
      <c r="B936" s="71" t="str">
        <f>IFERROR(HYPERLINK(VLOOKUP(A936,Internal_lists_bugs!$A$2:$C$73,3,FALSE()), VLOOKUP(A936,Internal_lists_bugs!$A$2:$C$73,3,FALSE())&amp;Char(10) &amp; Char(10) &amp; VLOOKUP(A936,Internal_lists_bugs!$A$2:$Z$73,26,FALSE())),"please select a BUG ID")</f>
        <v>please select a BUG ID</v>
      </c>
      <c r="C936" s="51" t="str">
        <f>IFERROR(VLOOKUP(A936,Internal_lists_bugs!$A$2:$G2002,7,FALSE()),"please select a BUG ID")</f>
        <v>please select a BUG ID</v>
      </c>
      <c r="D936" s="54"/>
      <c r="E936" s="56"/>
      <c r="F936" s="54"/>
      <c r="G936" s="56"/>
      <c r="H936" s="54"/>
      <c r="I936" s="56"/>
      <c r="J936" s="54"/>
      <c r="K936" s="92"/>
      <c r="L936" s="54"/>
      <c r="M936" s="92"/>
      <c r="N936" s="54"/>
      <c r="O936" s="92"/>
      <c r="P936" s="54"/>
      <c r="Q936" s="92"/>
      <c r="R936" s="54"/>
      <c r="S936" s="92"/>
      <c r="T936" s="117"/>
      <c r="U936" s="92"/>
      <c r="V936" s="54"/>
      <c r="W936" s="92"/>
      <c r="X936" s="54"/>
      <c r="Y936" s="92"/>
      <c r="Z936" s="54"/>
      <c r="AA936" s="92"/>
      <c r="AB936" s="54"/>
      <c r="AC936" s="92"/>
      <c r="AD936" s="54"/>
      <c r="AE936" s="92"/>
      <c r="AF936" s="54"/>
      <c r="AG936" s="92"/>
      <c r="AH936" s="54"/>
      <c r="AI936" s="92"/>
      <c r="AJ936" s="54"/>
      <c r="AK936" s="92"/>
      <c r="AL936" s="54"/>
      <c r="AM936" s="92"/>
      <c r="AN936" s="123"/>
      <c r="AO936" s="54"/>
      <c r="AP936" s="123"/>
      <c r="AQ936" s="54"/>
      <c r="AR936" s="154"/>
      <c r="AS936" s="1"/>
      <c r="AT936" s="1"/>
      <c r="AU936" s="9"/>
    </row>
    <row r="937">
      <c r="A937" s="54"/>
      <c r="B937" s="71" t="str">
        <f>IFERROR(HYPERLINK(VLOOKUP(A937,Internal_lists_bugs!$A$2:$C$73,3,FALSE()), VLOOKUP(A937,Internal_lists_bugs!$A$2:$C$73,3,FALSE())&amp;Char(10) &amp; Char(10) &amp; VLOOKUP(A937,Internal_lists_bugs!$A$2:$Z$73,26,FALSE())),"please select a BUG ID")</f>
        <v>please select a BUG ID</v>
      </c>
      <c r="C937" s="51" t="str">
        <f>IFERROR(VLOOKUP(A937,Internal_lists_bugs!$A$2:$G2002,7,FALSE()),"please select a BUG ID")</f>
        <v>please select a BUG ID</v>
      </c>
      <c r="D937" s="54"/>
      <c r="E937" s="56"/>
      <c r="F937" s="54"/>
      <c r="G937" s="56"/>
      <c r="H937" s="54"/>
      <c r="I937" s="56"/>
      <c r="J937" s="54"/>
      <c r="K937" s="92"/>
      <c r="L937" s="54"/>
      <c r="M937" s="92"/>
      <c r="N937" s="54"/>
      <c r="O937" s="92"/>
      <c r="P937" s="54"/>
      <c r="Q937" s="92"/>
      <c r="R937" s="54"/>
      <c r="S937" s="92"/>
      <c r="T937" s="117"/>
      <c r="U937" s="92"/>
      <c r="V937" s="54"/>
      <c r="W937" s="92"/>
      <c r="X937" s="54"/>
      <c r="Y937" s="92"/>
      <c r="Z937" s="54"/>
      <c r="AA937" s="92"/>
      <c r="AB937" s="54"/>
      <c r="AC937" s="92"/>
      <c r="AD937" s="54"/>
      <c r="AE937" s="92"/>
      <c r="AF937" s="54"/>
      <c r="AG937" s="92"/>
      <c r="AH937" s="54"/>
      <c r="AI937" s="92"/>
      <c r="AJ937" s="54"/>
      <c r="AK937" s="92"/>
      <c r="AL937" s="54"/>
      <c r="AM937" s="92"/>
      <c r="AN937" s="123"/>
      <c r="AO937" s="54"/>
      <c r="AP937" s="123"/>
      <c r="AQ937" s="54"/>
      <c r="AR937" s="154"/>
      <c r="AS937" s="1"/>
      <c r="AT937" s="1"/>
      <c r="AU937" s="9"/>
    </row>
    <row r="938">
      <c r="A938" s="54"/>
      <c r="B938" s="71" t="str">
        <f>IFERROR(HYPERLINK(VLOOKUP(A938,Internal_lists_bugs!$A$2:$C$73,3,FALSE()), VLOOKUP(A938,Internal_lists_bugs!$A$2:$C$73,3,FALSE())&amp;Char(10) &amp; Char(10) &amp; VLOOKUP(A938,Internal_lists_bugs!$A$2:$Z$73,26,FALSE())),"please select a BUG ID")</f>
        <v>please select a BUG ID</v>
      </c>
      <c r="C938" s="51" t="str">
        <f>IFERROR(VLOOKUP(A938,Internal_lists_bugs!$A$2:$G2002,7,FALSE()),"please select a BUG ID")</f>
        <v>please select a BUG ID</v>
      </c>
      <c r="D938" s="54"/>
      <c r="E938" s="56"/>
      <c r="F938" s="54"/>
      <c r="G938" s="56"/>
      <c r="H938" s="54"/>
      <c r="I938" s="56"/>
      <c r="J938" s="54"/>
      <c r="K938" s="92"/>
      <c r="L938" s="54"/>
      <c r="M938" s="92"/>
      <c r="N938" s="54"/>
      <c r="O938" s="92"/>
      <c r="P938" s="54"/>
      <c r="Q938" s="92"/>
      <c r="R938" s="54"/>
      <c r="S938" s="92"/>
      <c r="T938" s="117"/>
      <c r="U938" s="92"/>
      <c r="V938" s="54"/>
      <c r="W938" s="92"/>
      <c r="X938" s="54"/>
      <c r="Y938" s="92"/>
      <c r="Z938" s="54"/>
      <c r="AA938" s="92"/>
      <c r="AB938" s="54"/>
      <c r="AC938" s="92"/>
      <c r="AD938" s="54"/>
      <c r="AE938" s="92"/>
      <c r="AF938" s="54"/>
      <c r="AG938" s="92"/>
      <c r="AH938" s="54"/>
      <c r="AI938" s="92"/>
      <c r="AJ938" s="54"/>
      <c r="AK938" s="92"/>
      <c r="AL938" s="54"/>
      <c r="AM938" s="92"/>
      <c r="AN938" s="123"/>
      <c r="AO938" s="54"/>
      <c r="AP938" s="123"/>
      <c r="AQ938" s="54"/>
      <c r="AR938" s="154"/>
      <c r="AS938" s="1"/>
      <c r="AT938" s="1"/>
      <c r="AU938" s="9"/>
    </row>
    <row r="939">
      <c r="A939" s="54"/>
      <c r="B939" s="71" t="str">
        <f>IFERROR(HYPERLINK(VLOOKUP(A939,Internal_lists_bugs!$A$2:$C$73,3,FALSE()), VLOOKUP(A939,Internal_lists_bugs!$A$2:$C$73,3,FALSE())&amp;Char(10) &amp; Char(10) &amp; VLOOKUP(A939,Internal_lists_bugs!$A$2:$Z$73,26,FALSE())),"please select a BUG ID")</f>
        <v>please select a BUG ID</v>
      </c>
      <c r="C939" s="51" t="str">
        <f>IFERROR(VLOOKUP(A939,Internal_lists_bugs!$A$2:$G2002,7,FALSE()),"please select a BUG ID")</f>
        <v>please select a BUG ID</v>
      </c>
      <c r="D939" s="54"/>
      <c r="E939" s="56"/>
      <c r="F939" s="54"/>
      <c r="G939" s="56"/>
      <c r="H939" s="54"/>
      <c r="I939" s="56"/>
      <c r="J939" s="54"/>
      <c r="K939" s="92"/>
      <c r="L939" s="54"/>
      <c r="M939" s="92"/>
      <c r="N939" s="54"/>
      <c r="O939" s="92"/>
      <c r="P939" s="54"/>
      <c r="Q939" s="92"/>
      <c r="R939" s="54"/>
      <c r="S939" s="92"/>
      <c r="T939" s="117"/>
      <c r="U939" s="92"/>
      <c r="V939" s="54"/>
      <c r="W939" s="92"/>
      <c r="X939" s="54"/>
      <c r="Y939" s="92"/>
      <c r="Z939" s="54"/>
      <c r="AA939" s="92"/>
      <c r="AB939" s="54"/>
      <c r="AC939" s="92"/>
      <c r="AD939" s="54"/>
      <c r="AE939" s="92"/>
      <c r="AF939" s="54"/>
      <c r="AG939" s="92"/>
      <c r="AH939" s="54"/>
      <c r="AI939" s="92"/>
      <c r="AJ939" s="54"/>
      <c r="AK939" s="92"/>
      <c r="AL939" s="54"/>
      <c r="AM939" s="92"/>
      <c r="AN939" s="123"/>
      <c r="AO939" s="54"/>
      <c r="AP939" s="123"/>
      <c r="AQ939" s="54"/>
      <c r="AR939" s="154"/>
      <c r="AS939" s="1"/>
      <c r="AT939" s="1"/>
      <c r="AU939" s="9"/>
    </row>
    <row r="940">
      <c r="A940" s="54"/>
      <c r="B940" s="71" t="str">
        <f>IFERROR(HYPERLINK(VLOOKUP(A940,Internal_lists_bugs!$A$2:$C$73,3,FALSE()), VLOOKUP(A940,Internal_lists_bugs!$A$2:$C$73,3,FALSE())&amp;Char(10) &amp; Char(10) &amp; VLOOKUP(A940,Internal_lists_bugs!$A$2:$Z$73,26,FALSE())),"please select a BUG ID")</f>
        <v>please select a BUG ID</v>
      </c>
      <c r="C940" s="51" t="str">
        <f>IFERROR(VLOOKUP(A940,Internal_lists_bugs!$A$2:$G2002,7,FALSE()),"please select a BUG ID")</f>
        <v>please select a BUG ID</v>
      </c>
      <c r="D940" s="54"/>
      <c r="E940" s="56"/>
      <c r="F940" s="54"/>
      <c r="G940" s="56"/>
      <c r="H940" s="54"/>
      <c r="I940" s="56"/>
      <c r="J940" s="54"/>
      <c r="K940" s="92"/>
      <c r="L940" s="54"/>
      <c r="M940" s="92"/>
      <c r="N940" s="54"/>
      <c r="O940" s="92"/>
      <c r="P940" s="54"/>
      <c r="Q940" s="92"/>
      <c r="R940" s="54"/>
      <c r="S940" s="92"/>
      <c r="T940" s="117"/>
      <c r="U940" s="92"/>
      <c r="V940" s="54"/>
      <c r="W940" s="92"/>
      <c r="X940" s="54"/>
      <c r="Y940" s="92"/>
      <c r="Z940" s="54"/>
      <c r="AA940" s="92"/>
      <c r="AB940" s="54"/>
      <c r="AC940" s="92"/>
      <c r="AD940" s="54"/>
      <c r="AE940" s="92"/>
      <c r="AF940" s="54"/>
      <c r="AG940" s="92"/>
      <c r="AH940" s="54"/>
      <c r="AI940" s="92"/>
      <c r="AJ940" s="54"/>
      <c r="AK940" s="92"/>
      <c r="AL940" s="54"/>
      <c r="AM940" s="92"/>
      <c r="AN940" s="123"/>
      <c r="AO940" s="54"/>
      <c r="AP940" s="123"/>
      <c r="AQ940" s="54"/>
      <c r="AR940" s="154"/>
      <c r="AS940" s="1"/>
      <c r="AT940" s="1"/>
      <c r="AU940" s="9"/>
    </row>
    <row r="941">
      <c r="A941" s="54"/>
      <c r="B941" s="71" t="str">
        <f>IFERROR(HYPERLINK(VLOOKUP(A941,Internal_lists_bugs!$A$2:$C$73,3,FALSE()), VLOOKUP(A941,Internal_lists_bugs!$A$2:$C$73,3,FALSE())&amp;Char(10) &amp; Char(10) &amp; VLOOKUP(A941,Internal_lists_bugs!$A$2:$Z$73,26,FALSE())),"please select a BUG ID")</f>
        <v>please select a BUG ID</v>
      </c>
      <c r="C941" s="51" t="str">
        <f>IFERROR(VLOOKUP(A941,Internal_lists_bugs!$A$2:$G2002,7,FALSE()),"please select a BUG ID")</f>
        <v>please select a BUG ID</v>
      </c>
      <c r="D941" s="54"/>
      <c r="E941" s="56"/>
      <c r="F941" s="54"/>
      <c r="G941" s="56"/>
      <c r="H941" s="54"/>
      <c r="I941" s="56"/>
      <c r="J941" s="54"/>
      <c r="K941" s="92"/>
      <c r="L941" s="54"/>
      <c r="M941" s="92"/>
      <c r="N941" s="54"/>
      <c r="O941" s="92"/>
      <c r="P941" s="54"/>
      <c r="Q941" s="92"/>
      <c r="R941" s="54"/>
      <c r="S941" s="92"/>
      <c r="T941" s="117"/>
      <c r="U941" s="92"/>
      <c r="V941" s="54"/>
      <c r="W941" s="92"/>
      <c r="X941" s="54"/>
      <c r="Y941" s="92"/>
      <c r="Z941" s="54"/>
      <c r="AA941" s="92"/>
      <c r="AB941" s="54"/>
      <c r="AC941" s="92"/>
      <c r="AD941" s="54"/>
      <c r="AE941" s="92"/>
      <c r="AF941" s="54"/>
      <c r="AG941" s="92"/>
      <c r="AH941" s="54"/>
      <c r="AI941" s="92"/>
      <c r="AJ941" s="54"/>
      <c r="AK941" s="92"/>
      <c r="AL941" s="54"/>
      <c r="AM941" s="92"/>
      <c r="AN941" s="123"/>
      <c r="AO941" s="54"/>
      <c r="AP941" s="123"/>
      <c r="AQ941" s="54"/>
      <c r="AR941" s="154"/>
      <c r="AS941" s="1"/>
      <c r="AT941" s="1"/>
      <c r="AU941" s="9"/>
    </row>
    <row r="942">
      <c r="A942" s="54"/>
      <c r="B942" s="71" t="str">
        <f>IFERROR(HYPERLINK(VLOOKUP(A942,Internal_lists_bugs!$A$2:$C$73,3,FALSE()), VLOOKUP(A942,Internal_lists_bugs!$A$2:$C$73,3,FALSE())&amp;Char(10) &amp; Char(10) &amp; VLOOKUP(A942,Internal_lists_bugs!$A$2:$Z$73,26,FALSE())),"please select a BUG ID")</f>
        <v>please select a BUG ID</v>
      </c>
      <c r="C942" s="51" t="str">
        <f>IFERROR(VLOOKUP(A942,Internal_lists_bugs!$A$2:$G2002,7,FALSE()),"please select a BUG ID")</f>
        <v>please select a BUG ID</v>
      </c>
      <c r="D942" s="54"/>
      <c r="E942" s="56"/>
      <c r="F942" s="54"/>
      <c r="G942" s="56"/>
      <c r="H942" s="54"/>
      <c r="I942" s="56"/>
      <c r="J942" s="54"/>
      <c r="K942" s="92"/>
      <c r="L942" s="54"/>
      <c r="M942" s="92"/>
      <c r="N942" s="54"/>
      <c r="O942" s="92"/>
      <c r="P942" s="54"/>
      <c r="Q942" s="92"/>
      <c r="R942" s="54"/>
      <c r="S942" s="92"/>
      <c r="T942" s="117"/>
      <c r="U942" s="92"/>
      <c r="V942" s="54"/>
      <c r="W942" s="92"/>
      <c r="X942" s="54"/>
      <c r="Y942" s="92"/>
      <c r="Z942" s="54"/>
      <c r="AA942" s="92"/>
      <c r="AB942" s="54"/>
      <c r="AC942" s="92"/>
      <c r="AD942" s="54"/>
      <c r="AE942" s="92"/>
      <c r="AF942" s="54"/>
      <c r="AG942" s="92"/>
      <c r="AH942" s="54"/>
      <c r="AI942" s="92"/>
      <c r="AJ942" s="54"/>
      <c r="AK942" s="92"/>
      <c r="AL942" s="54"/>
      <c r="AM942" s="92"/>
      <c r="AN942" s="123"/>
      <c r="AO942" s="54"/>
      <c r="AP942" s="123"/>
      <c r="AQ942" s="54"/>
      <c r="AR942" s="154"/>
      <c r="AS942" s="1"/>
      <c r="AT942" s="1"/>
      <c r="AU942" s="9"/>
    </row>
    <row r="943">
      <c r="A943" s="54"/>
      <c r="B943" s="71" t="str">
        <f>IFERROR(HYPERLINK(VLOOKUP(A943,Internal_lists_bugs!$A$2:$C$73,3,FALSE()), VLOOKUP(A943,Internal_lists_bugs!$A$2:$C$73,3,FALSE())&amp;Char(10) &amp; Char(10) &amp; VLOOKUP(A943,Internal_lists_bugs!$A$2:$Z$73,26,FALSE())),"please select a BUG ID")</f>
        <v>please select a BUG ID</v>
      </c>
      <c r="C943" s="51" t="str">
        <f>IFERROR(VLOOKUP(A943,Internal_lists_bugs!$A$2:$G2002,7,FALSE()),"please select a BUG ID")</f>
        <v>please select a BUG ID</v>
      </c>
      <c r="D943" s="54"/>
      <c r="E943" s="56"/>
      <c r="F943" s="54"/>
      <c r="G943" s="56"/>
      <c r="H943" s="54"/>
      <c r="I943" s="56"/>
      <c r="J943" s="54"/>
      <c r="K943" s="92"/>
      <c r="L943" s="54"/>
      <c r="M943" s="92"/>
      <c r="N943" s="54"/>
      <c r="O943" s="92"/>
      <c r="P943" s="54"/>
      <c r="Q943" s="92"/>
      <c r="R943" s="54"/>
      <c r="S943" s="92"/>
      <c r="T943" s="117"/>
      <c r="U943" s="92"/>
      <c r="V943" s="54"/>
      <c r="W943" s="92"/>
      <c r="X943" s="54"/>
      <c r="Y943" s="92"/>
      <c r="Z943" s="54"/>
      <c r="AA943" s="92"/>
      <c r="AB943" s="54"/>
      <c r="AC943" s="92"/>
      <c r="AD943" s="54"/>
      <c r="AE943" s="92"/>
      <c r="AF943" s="54"/>
      <c r="AG943" s="92"/>
      <c r="AH943" s="54"/>
      <c r="AI943" s="92"/>
      <c r="AJ943" s="54"/>
      <c r="AK943" s="92"/>
      <c r="AL943" s="54"/>
      <c r="AM943" s="92"/>
      <c r="AN943" s="123"/>
      <c r="AO943" s="54"/>
      <c r="AP943" s="123"/>
      <c r="AQ943" s="54"/>
      <c r="AR943" s="154"/>
      <c r="AS943" s="1"/>
      <c r="AT943" s="1"/>
      <c r="AU943" s="9"/>
    </row>
    <row r="944">
      <c r="A944" s="54"/>
      <c r="B944" s="71" t="str">
        <f>IFERROR(HYPERLINK(VLOOKUP(A944,Internal_lists_bugs!$A$2:$C$73,3,FALSE()), VLOOKUP(A944,Internal_lists_bugs!$A$2:$C$73,3,FALSE())&amp;Char(10) &amp; Char(10) &amp; VLOOKUP(A944,Internal_lists_bugs!$A$2:$Z$73,26,FALSE())),"please select a BUG ID")</f>
        <v>please select a BUG ID</v>
      </c>
      <c r="C944" s="51" t="str">
        <f>IFERROR(VLOOKUP(A944,Internal_lists_bugs!$A$2:$G2002,7,FALSE()),"please select a BUG ID")</f>
        <v>please select a BUG ID</v>
      </c>
      <c r="D944" s="54"/>
      <c r="E944" s="56"/>
      <c r="F944" s="54"/>
      <c r="G944" s="56"/>
      <c r="H944" s="54"/>
      <c r="I944" s="56"/>
      <c r="J944" s="54"/>
      <c r="K944" s="92"/>
      <c r="L944" s="54"/>
      <c r="M944" s="92"/>
      <c r="N944" s="54"/>
      <c r="O944" s="92"/>
      <c r="P944" s="54"/>
      <c r="Q944" s="92"/>
      <c r="R944" s="54"/>
      <c r="S944" s="92"/>
      <c r="T944" s="117"/>
      <c r="U944" s="92"/>
      <c r="V944" s="54"/>
      <c r="W944" s="92"/>
      <c r="X944" s="54"/>
      <c r="Y944" s="92"/>
      <c r="Z944" s="54"/>
      <c r="AA944" s="92"/>
      <c r="AB944" s="54"/>
      <c r="AC944" s="92"/>
      <c r="AD944" s="54"/>
      <c r="AE944" s="92"/>
      <c r="AF944" s="54"/>
      <c r="AG944" s="92"/>
      <c r="AH944" s="54"/>
      <c r="AI944" s="92"/>
      <c r="AJ944" s="54"/>
      <c r="AK944" s="92"/>
      <c r="AL944" s="54"/>
      <c r="AM944" s="92"/>
      <c r="AN944" s="123"/>
      <c r="AO944" s="54"/>
      <c r="AP944" s="123"/>
      <c r="AQ944" s="54"/>
      <c r="AR944" s="154"/>
      <c r="AS944" s="1"/>
      <c r="AT944" s="1"/>
      <c r="AU944" s="9"/>
    </row>
    <row r="945">
      <c r="A945" s="54"/>
      <c r="B945" s="71" t="str">
        <f>IFERROR(HYPERLINK(VLOOKUP(A945,Internal_lists_bugs!$A$2:$C$73,3,FALSE()), VLOOKUP(A945,Internal_lists_bugs!$A$2:$C$73,3,FALSE())&amp;Char(10) &amp; Char(10) &amp; VLOOKUP(A945,Internal_lists_bugs!$A$2:$Z$73,26,FALSE())),"please select a BUG ID")</f>
        <v>please select a BUG ID</v>
      </c>
      <c r="C945" s="51" t="str">
        <f>IFERROR(VLOOKUP(A945,Internal_lists_bugs!$A$2:$G2002,7,FALSE()),"please select a BUG ID")</f>
        <v>please select a BUG ID</v>
      </c>
      <c r="D945" s="54"/>
      <c r="E945" s="56"/>
      <c r="F945" s="54"/>
      <c r="G945" s="56"/>
      <c r="H945" s="54"/>
      <c r="I945" s="56"/>
      <c r="J945" s="54"/>
      <c r="K945" s="92"/>
      <c r="L945" s="54"/>
      <c r="M945" s="92"/>
      <c r="N945" s="54"/>
      <c r="O945" s="92"/>
      <c r="P945" s="54"/>
      <c r="Q945" s="92"/>
      <c r="R945" s="54"/>
      <c r="S945" s="92"/>
      <c r="T945" s="117"/>
      <c r="U945" s="92"/>
      <c r="V945" s="54"/>
      <c r="W945" s="92"/>
      <c r="X945" s="54"/>
      <c r="Y945" s="92"/>
      <c r="Z945" s="54"/>
      <c r="AA945" s="92"/>
      <c r="AB945" s="54"/>
      <c r="AC945" s="92"/>
      <c r="AD945" s="54"/>
      <c r="AE945" s="92"/>
      <c r="AF945" s="54"/>
      <c r="AG945" s="92"/>
      <c r="AH945" s="54"/>
      <c r="AI945" s="92"/>
      <c r="AJ945" s="54"/>
      <c r="AK945" s="92"/>
      <c r="AL945" s="54"/>
      <c r="AM945" s="92"/>
      <c r="AN945" s="123"/>
      <c r="AO945" s="54"/>
      <c r="AP945" s="123"/>
      <c r="AQ945" s="54"/>
      <c r="AR945" s="154"/>
      <c r="AS945" s="1"/>
      <c r="AT945" s="1"/>
      <c r="AU945" s="9"/>
    </row>
    <row r="946">
      <c r="A946" s="54"/>
      <c r="B946" s="71" t="str">
        <f>IFERROR(HYPERLINK(VLOOKUP(A946,Internal_lists_bugs!$A$2:$C$73,3,FALSE()), VLOOKUP(A946,Internal_lists_bugs!$A$2:$C$73,3,FALSE())&amp;Char(10) &amp; Char(10) &amp; VLOOKUP(A946,Internal_lists_bugs!$A$2:$Z$73,26,FALSE())),"please select a BUG ID")</f>
        <v>please select a BUG ID</v>
      </c>
      <c r="C946" s="51" t="str">
        <f>IFERROR(VLOOKUP(A946,Internal_lists_bugs!$A$2:$G2002,7,FALSE()),"please select a BUG ID")</f>
        <v>please select a BUG ID</v>
      </c>
      <c r="D946" s="54"/>
      <c r="E946" s="56"/>
      <c r="F946" s="54"/>
      <c r="G946" s="56"/>
      <c r="H946" s="54"/>
      <c r="I946" s="56"/>
      <c r="J946" s="54"/>
      <c r="K946" s="92"/>
      <c r="L946" s="54"/>
      <c r="M946" s="92"/>
      <c r="N946" s="54"/>
      <c r="O946" s="92"/>
      <c r="P946" s="54"/>
      <c r="Q946" s="92"/>
      <c r="R946" s="54"/>
      <c r="S946" s="92"/>
      <c r="T946" s="117"/>
      <c r="U946" s="92"/>
      <c r="V946" s="54"/>
      <c r="W946" s="92"/>
      <c r="X946" s="54"/>
      <c r="Y946" s="92"/>
      <c r="Z946" s="54"/>
      <c r="AA946" s="92"/>
      <c r="AB946" s="54"/>
      <c r="AC946" s="92"/>
      <c r="AD946" s="54"/>
      <c r="AE946" s="92"/>
      <c r="AF946" s="54"/>
      <c r="AG946" s="92"/>
      <c r="AH946" s="54"/>
      <c r="AI946" s="92"/>
      <c r="AJ946" s="54"/>
      <c r="AK946" s="92"/>
      <c r="AL946" s="54"/>
      <c r="AM946" s="92"/>
      <c r="AN946" s="123"/>
      <c r="AO946" s="54"/>
      <c r="AP946" s="123"/>
      <c r="AQ946" s="54"/>
      <c r="AR946" s="154"/>
      <c r="AS946" s="1"/>
      <c r="AT946" s="1"/>
      <c r="AU946" s="9"/>
    </row>
    <row r="947">
      <c r="A947" s="54"/>
      <c r="B947" s="71" t="str">
        <f>IFERROR(HYPERLINK(VLOOKUP(A947,Internal_lists_bugs!$A$2:$C$73,3,FALSE()), VLOOKUP(A947,Internal_lists_bugs!$A$2:$C$73,3,FALSE())&amp;Char(10) &amp; Char(10) &amp; VLOOKUP(A947,Internal_lists_bugs!$A$2:$Z$73,26,FALSE())),"please select a BUG ID")</f>
        <v>please select a BUG ID</v>
      </c>
      <c r="C947" s="51" t="str">
        <f>IFERROR(VLOOKUP(A947,Internal_lists_bugs!$A$2:$G2002,7,FALSE()),"please select a BUG ID")</f>
        <v>please select a BUG ID</v>
      </c>
      <c r="D947" s="54"/>
      <c r="E947" s="56"/>
      <c r="F947" s="54"/>
      <c r="G947" s="56"/>
      <c r="H947" s="54"/>
      <c r="I947" s="56"/>
      <c r="J947" s="54"/>
      <c r="K947" s="92"/>
      <c r="L947" s="54"/>
      <c r="M947" s="92"/>
      <c r="N947" s="54"/>
      <c r="O947" s="92"/>
      <c r="P947" s="54"/>
      <c r="Q947" s="92"/>
      <c r="R947" s="54"/>
      <c r="S947" s="92"/>
      <c r="T947" s="117"/>
      <c r="U947" s="92"/>
      <c r="V947" s="54"/>
      <c r="W947" s="92"/>
      <c r="X947" s="54"/>
      <c r="Y947" s="92"/>
      <c r="Z947" s="54"/>
      <c r="AA947" s="92"/>
      <c r="AB947" s="54"/>
      <c r="AC947" s="92"/>
      <c r="AD947" s="54"/>
      <c r="AE947" s="92"/>
      <c r="AF947" s="54"/>
      <c r="AG947" s="92"/>
      <c r="AH947" s="54"/>
      <c r="AI947" s="92"/>
      <c r="AJ947" s="54"/>
      <c r="AK947" s="92"/>
      <c r="AL947" s="54"/>
      <c r="AM947" s="92"/>
      <c r="AN947" s="123"/>
      <c r="AO947" s="54"/>
      <c r="AP947" s="123"/>
      <c r="AQ947" s="54"/>
      <c r="AR947" s="154"/>
      <c r="AS947" s="1"/>
      <c r="AT947" s="1"/>
      <c r="AU947" s="9"/>
    </row>
    <row r="948">
      <c r="A948" s="54"/>
      <c r="B948" s="71" t="str">
        <f>IFERROR(HYPERLINK(VLOOKUP(A948,Internal_lists_bugs!$A$2:$C$73,3,FALSE()), VLOOKUP(A948,Internal_lists_bugs!$A$2:$C$73,3,FALSE())&amp;Char(10) &amp; Char(10) &amp; VLOOKUP(A948,Internal_lists_bugs!$A$2:$Z$73,26,FALSE())),"please select a BUG ID")</f>
        <v>please select a BUG ID</v>
      </c>
      <c r="C948" s="51" t="str">
        <f>IFERROR(VLOOKUP(A948,Internal_lists_bugs!$A$2:$G2002,7,FALSE()),"please select a BUG ID")</f>
        <v>please select a BUG ID</v>
      </c>
      <c r="D948" s="54"/>
      <c r="E948" s="56"/>
      <c r="F948" s="54"/>
      <c r="G948" s="56"/>
      <c r="H948" s="54"/>
      <c r="I948" s="56"/>
      <c r="J948" s="54"/>
      <c r="K948" s="92"/>
      <c r="L948" s="54"/>
      <c r="M948" s="92"/>
      <c r="N948" s="54"/>
      <c r="O948" s="92"/>
      <c r="P948" s="54"/>
      <c r="Q948" s="92"/>
      <c r="R948" s="54"/>
      <c r="S948" s="92"/>
      <c r="T948" s="117"/>
      <c r="U948" s="92"/>
      <c r="V948" s="54"/>
      <c r="W948" s="92"/>
      <c r="X948" s="54"/>
      <c r="Y948" s="92"/>
      <c r="Z948" s="54"/>
      <c r="AA948" s="92"/>
      <c r="AB948" s="54"/>
      <c r="AC948" s="92"/>
      <c r="AD948" s="54"/>
      <c r="AE948" s="92"/>
      <c r="AF948" s="54"/>
      <c r="AG948" s="92"/>
      <c r="AH948" s="54"/>
      <c r="AI948" s="92"/>
      <c r="AJ948" s="54"/>
      <c r="AK948" s="92"/>
      <c r="AL948" s="54"/>
      <c r="AM948" s="92"/>
      <c r="AN948" s="123"/>
      <c r="AO948" s="54"/>
      <c r="AP948" s="123"/>
      <c r="AQ948" s="54"/>
      <c r="AR948" s="154"/>
      <c r="AS948" s="1"/>
      <c r="AT948" s="1"/>
      <c r="AU948" s="9"/>
    </row>
    <row r="949">
      <c r="A949" s="54"/>
      <c r="B949" s="71" t="str">
        <f>IFERROR(HYPERLINK(VLOOKUP(A949,Internal_lists_bugs!$A$2:$C$73,3,FALSE()), VLOOKUP(A949,Internal_lists_bugs!$A$2:$C$73,3,FALSE())&amp;Char(10) &amp; Char(10) &amp; VLOOKUP(A949,Internal_lists_bugs!$A$2:$Z$73,26,FALSE())),"please select a BUG ID")</f>
        <v>please select a BUG ID</v>
      </c>
      <c r="C949" s="51" t="str">
        <f>IFERROR(VLOOKUP(A949,Internal_lists_bugs!$A$2:$G2002,7,FALSE()),"please select a BUG ID")</f>
        <v>please select a BUG ID</v>
      </c>
      <c r="D949" s="54"/>
      <c r="E949" s="56"/>
      <c r="F949" s="54"/>
      <c r="G949" s="56"/>
      <c r="H949" s="54"/>
      <c r="I949" s="56"/>
      <c r="J949" s="54"/>
      <c r="K949" s="92"/>
      <c r="L949" s="54"/>
      <c r="M949" s="92"/>
      <c r="N949" s="54"/>
      <c r="O949" s="92"/>
      <c r="P949" s="54"/>
      <c r="Q949" s="92"/>
      <c r="R949" s="54"/>
      <c r="S949" s="92"/>
      <c r="T949" s="117"/>
      <c r="U949" s="92"/>
      <c r="V949" s="54"/>
      <c r="W949" s="92"/>
      <c r="X949" s="54"/>
      <c r="Y949" s="92"/>
      <c r="Z949" s="54"/>
      <c r="AA949" s="92"/>
      <c r="AB949" s="54"/>
      <c r="AC949" s="92"/>
      <c r="AD949" s="54"/>
      <c r="AE949" s="92"/>
      <c r="AF949" s="54"/>
      <c r="AG949" s="92"/>
      <c r="AH949" s="54"/>
      <c r="AI949" s="92"/>
      <c r="AJ949" s="54"/>
      <c r="AK949" s="92"/>
      <c r="AL949" s="54"/>
      <c r="AM949" s="92"/>
      <c r="AN949" s="123"/>
      <c r="AO949" s="54"/>
      <c r="AP949" s="123"/>
      <c r="AQ949" s="54"/>
      <c r="AR949" s="154"/>
      <c r="AS949" s="1"/>
      <c r="AT949" s="1"/>
      <c r="AU949" s="9"/>
    </row>
    <row r="950">
      <c r="A950" s="54"/>
      <c r="B950" s="71" t="str">
        <f>IFERROR(HYPERLINK(VLOOKUP(A950,Internal_lists_bugs!$A$2:$C$73,3,FALSE()), VLOOKUP(A950,Internal_lists_bugs!$A$2:$C$73,3,FALSE())&amp;Char(10) &amp; Char(10) &amp; VLOOKUP(A950,Internal_lists_bugs!$A$2:$Z$73,26,FALSE())),"please select a BUG ID")</f>
        <v>please select a BUG ID</v>
      </c>
      <c r="C950" s="51" t="str">
        <f>IFERROR(VLOOKUP(A950,Internal_lists_bugs!$A$2:$G2002,7,FALSE()),"please select a BUG ID")</f>
        <v>please select a BUG ID</v>
      </c>
      <c r="D950" s="54"/>
      <c r="E950" s="56"/>
      <c r="F950" s="54"/>
      <c r="G950" s="56"/>
      <c r="H950" s="54"/>
      <c r="I950" s="56"/>
      <c r="J950" s="54"/>
      <c r="K950" s="92"/>
      <c r="L950" s="54"/>
      <c r="M950" s="92"/>
      <c r="N950" s="54"/>
      <c r="O950" s="92"/>
      <c r="P950" s="54"/>
      <c r="Q950" s="92"/>
      <c r="R950" s="54"/>
      <c r="S950" s="92"/>
      <c r="T950" s="117"/>
      <c r="U950" s="92"/>
      <c r="V950" s="54"/>
      <c r="W950" s="92"/>
      <c r="X950" s="54"/>
      <c r="Y950" s="92"/>
      <c r="Z950" s="54"/>
      <c r="AA950" s="92"/>
      <c r="AB950" s="54"/>
      <c r="AC950" s="92"/>
      <c r="AD950" s="54"/>
      <c r="AE950" s="92"/>
      <c r="AF950" s="54"/>
      <c r="AG950" s="92"/>
      <c r="AH950" s="54"/>
      <c r="AI950" s="92"/>
      <c r="AJ950" s="54"/>
      <c r="AK950" s="92"/>
      <c r="AL950" s="54"/>
      <c r="AM950" s="92"/>
      <c r="AN950" s="123"/>
      <c r="AO950" s="54"/>
      <c r="AP950" s="123"/>
      <c r="AQ950" s="54"/>
      <c r="AR950" s="154"/>
      <c r="AS950" s="1"/>
      <c r="AT950" s="1"/>
      <c r="AU950" s="9"/>
    </row>
    <row r="951">
      <c r="A951" s="54"/>
      <c r="B951" s="71" t="str">
        <f>IFERROR(HYPERLINK(VLOOKUP(A951,Internal_lists_bugs!$A$2:$C$73,3,FALSE()), VLOOKUP(A951,Internal_lists_bugs!$A$2:$C$73,3,FALSE())&amp;Char(10) &amp; Char(10) &amp; VLOOKUP(A951,Internal_lists_bugs!$A$2:$Z$73,26,FALSE())),"please select a BUG ID")</f>
        <v>please select a BUG ID</v>
      </c>
      <c r="C951" s="51" t="str">
        <f>IFERROR(VLOOKUP(A951,Internal_lists_bugs!$A$2:$G2002,7,FALSE()),"please select a BUG ID")</f>
        <v>please select a BUG ID</v>
      </c>
      <c r="D951" s="54"/>
      <c r="E951" s="56"/>
      <c r="F951" s="54"/>
      <c r="G951" s="56"/>
      <c r="H951" s="54"/>
      <c r="I951" s="56"/>
      <c r="J951" s="54"/>
      <c r="K951" s="92"/>
      <c r="L951" s="54"/>
      <c r="M951" s="92"/>
      <c r="N951" s="54"/>
      <c r="O951" s="92"/>
      <c r="P951" s="54"/>
      <c r="Q951" s="92"/>
      <c r="R951" s="54"/>
      <c r="S951" s="92"/>
      <c r="T951" s="117"/>
      <c r="U951" s="92"/>
      <c r="V951" s="54"/>
      <c r="W951" s="92"/>
      <c r="X951" s="54"/>
      <c r="Y951" s="92"/>
      <c r="Z951" s="54"/>
      <c r="AA951" s="92"/>
      <c r="AB951" s="54"/>
      <c r="AC951" s="92"/>
      <c r="AD951" s="54"/>
      <c r="AE951" s="92"/>
      <c r="AF951" s="54"/>
      <c r="AG951" s="92"/>
      <c r="AH951" s="54"/>
      <c r="AI951" s="92"/>
      <c r="AJ951" s="54"/>
      <c r="AK951" s="92"/>
      <c r="AL951" s="54"/>
      <c r="AM951" s="92"/>
      <c r="AN951" s="123"/>
      <c r="AO951" s="54"/>
      <c r="AP951" s="123"/>
      <c r="AQ951" s="54"/>
      <c r="AR951" s="154"/>
      <c r="AS951" s="1"/>
      <c r="AT951" s="1"/>
      <c r="AU951" s="9"/>
    </row>
    <row r="952">
      <c r="A952" s="54"/>
      <c r="B952" s="71" t="str">
        <f>IFERROR(HYPERLINK(VLOOKUP(A952,Internal_lists_bugs!$A$2:$C$73,3,FALSE()), VLOOKUP(A952,Internal_lists_bugs!$A$2:$C$73,3,FALSE())&amp;Char(10) &amp; Char(10) &amp; VLOOKUP(A952,Internal_lists_bugs!$A$2:$Z$73,26,FALSE())),"please select a BUG ID")</f>
        <v>please select a BUG ID</v>
      </c>
      <c r="C952" s="51" t="str">
        <f>IFERROR(VLOOKUP(A952,Internal_lists_bugs!$A$2:$G2002,7,FALSE()),"please select a BUG ID")</f>
        <v>please select a BUG ID</v>
      </c>
      <c r="D952" s="54"/>
      <c r="E952" s="56"/>
      <c r="F952" s="54"/>
      <c r="G952" s="56"/>
      <c r="H952" s="54"/>
      <c r="I952" s="56"/>
      <c r="J952" s="54"/>
      <c r="K952" s="92"/>
      <c r="L952" s="54"/>
      <c r="M952" s="92"/>
      <c r="N952" s="54"/>
      <c r="O952" s="92"/>
      <c r="P952" s="54"/>
      <c r="Q952" s="92"/>
      <c r="R952" s="54"/>
      <c r="S952" s="92"/>
      <c r="T952" s="117"/>
      <c r="U952" s="92"/>
      <c r="V952" s="54"/>
      <c r="W952" s="92"/>
      <c r="X952" s="54"/>
      <c r="Y952" s="92"/>
      <c r="Z952" s="54"/>
      <c r="AA952" s="92"/>
      <c r="AB952" s="54"/>
      <c r="AC952" s="92"/>
      <c r="AD952" s="54"/>
      <c r="AE952" s="92"/>
      <c r="AF952" s="54"/>
      <c r="AG952" s="92"/>
      <c r="AH952" s="54"/>
      <c r="AI952" s="92"/>
      <c r="AJ952" s="54"/>
      <c r="AK952" s="92"/>
      <c r="AL952" s="54"/>
      <c r="AM952" s="92"/>
      <c r="AN952" s="123"/>
      <c r="AO952" s="54"/>
      <c r="AP952" s="123"/>
      <c r="AQ952" s="54"/>
      <c r="AR952" s="154"/>
      <c r="AS952" s="1"/>
      <c r="AT952" s="1"/>
      <c r="AU952" s="9"/>
    </row>
    <row r="953">
      <c r="A953" s="54"/>
      <c r="B953" s="71" t="str">
        <f>IFERROR(HYPERLINK(VLOOKUP(A953,Internal_lists_bugs!$A$2:$C$73,3,FALSE()), VLOOKUP(A953,Internal_lists_bugs!$A$2:$C$73,3,FALSE())&amp;Char(10) &amp; Char(10) &amp; VLOOKUP(A953,Internal_lists_bugs!$A$2:$Z$73,26,FALSE())),"please select a BUG ID")</f>
        <v>please select a BUG ID</v>
      </c>
      <c r="C953" s="51" t="str">
        <f>IFERROR(VLOOKUP(A953,Internal_lists_bugs!$A$2:$G2002,7,FALSE()),"please select a BUG ID")</f>
        <v>please select a BUG ID</v>
      </c>
      <c r="D953" s="54"/>
      <c r="E953" s="56"/>
      <c r="F953" s="54"/>
      <c r="G953" s="56"/>
      <c r="H953" s="54"/>
      <c r="I953" s="56"/>
      <c r="J953" s="54"/>
      <c r="K953" s="92"/>
      <c r="L953" s="54"/>
      <c r="M953" s="92"/>
      <c r="N953" s="54"/>
      <c r="O953" s="92"/>
      <c r="P953" s="54"/>
      <c r="Q953" s="92"/>
      <c r="R953" s="54"/>
      <c r="S953" s="92"/>
      <c r="T953" s="117"/>
      <c r="U953" s="92"/>
      <c r="V953" s="54"/>
      <c r="W953" s="92"/>
      <c r="X953" s="54"/>
      <c r="Y953" s="92"/>
      <c r="Z953" s="54"/>
      <c r="AA953" s="92"/>
      <c r="AB953" s="54"/>
      <c r="AC953" s="92"/>
      <c r="AD953" s="54"/>
      <c r="AE953" s="92"/>
      <c r="AF953" s="54"/>
      <c r="AG953" s="92"/>
      <c r="AH953" s="54"/>
      <c r="AI953" s="92"/>
      <c r="AJ953" s="54"/>
      <c r="AK953" s="92"/>
      <c r="AL953" s="54"/>
      <c r="AM953" s="92"/>
      <c r="AN953" s="123"/>
      <c r="AO953" s="54"/>
      <c r="AP953" s="123"/>
      <c r="AQ953" s="54"/>
      <c r="AR953" s="154"/>
      <c r="AS953" s="1"/>
      <c r="AT953" s="1"/>
      <c r="AU953" s="9"/>
    </row>
    <row r="954">
      <c r="A954" s="54"/>
      <c r="B954" s="71" t="str">
        <f>IFERROR(HYPERLINK(VLOOKUP(A954,Internal_lists_bugs!$A$2:$C$73,3,FALSE()), VLOOKUP(A954,Internal_lists_bugs!$A$2:$C$73,3,FALSE())&amp;Char(10) &amp; Char(10) &amp; VLOOKUP(A954,Internal_lists_bugs!$A$2:$Z$73,26,FALSE())),"please select a BUG ID")</f>
        <v>please select a BUG ID</v>
      </c>
      <c r="C954" s="51" t="str">
        <f>IFERROR(VLOOKUP(A954,Internal_lists_bugs!$A$2:$G2002,7,FALSE()),"please select a BUG ID")</f>
        <v>please select a BUG ID</v>
      </c>
      <c r="D954" s="54"/>
      <c r="E954" s="56"/>
      <c r="F954" s="54"/>
      <c r="G954" s="56"/>
      <c r="H954" s="54"/>
      <c r="I954" s="56"/>
      <c r="J954" s="54"/>
      <c r="K954" s="92"/>
      <c r="L954" s="54"/>
      <c r="M954" s="92"/>
      <c r="N954" s="54"/>
      <c r="O954" s="92"/>
      <c r="P954" s="54"/>
      <c r="Q954" s="92"/>
      <c r="R954" s="54"/>
      <c r="S954" s="92"/>
      <c r="T954" s="117"/>
      <c r="U954" s="92"/>
      <c r="V954" s="54"/>
      <c r="W954" s="92"/>
      <c r="X954" s="54"/>
      <c r="Y954" s="92"/>
      <c r="Z954" s="54"/>
      <c r="AA954" s="92"/>
      <c r="AB954" s="54"/>
      <c r="AC954" s="92"/>
      <c r="AD954" s="54"/>
      <c r="AE954" s="92"/>
      <c r="AF954" s="54"/>
      <c r="AG954" s="92"/>
      <c r="AH954" s="54"/>
      <c r="AI954" s="92"/>
      <c r="AJ954" s="54"/>
      <c r="AK954" s="92"/>
      <c r="AL954" s="54"/>
      <c r="AM954" s="92"/>
      <c r="AN954" s="123"/>
      <c r="AO954" s="54"/>
      <c r="AP954" s="123"/>
      <c r="AQ954" s="54"/>
      <c r="AR954" s="154"/>
      <c r="AS954" s="1"/>
      <c r="AT954" s="1"/>
      <c r="AU954" s="9"/>
    </row>
    <row r="955">
      <c r="A955" s="54"/>
      <c r="B955" s="71" t="str">
        <f>IFERROR(HYPERLINK(VLOOKUP(A955,Internal_lists_bugs!$A$2:$C$73,3,FALSE()), VLOOKUP(A955,Internal_lists_bugs!$A$2:$C$73,3,FALSE())&amp;Char(10) &amp; Char(10) &amp; VLOOKUP(A955,Internal_lists_bugs!$A$2:$Z$73,26,FALSE())),"please select a BUG ID")</f>
        <v>please select a BUG ID</v>
      </c>
      <c r="C955" s="51" t="str">
        <f>IFERROR(VLOOKUP(A955,Internal_lists_bugs!$A$2:$G2002,7,FALSE()),"please select a BUG ID")</f>
        <v>please select a BUG ID</v>
      </c>
      <c r="D955" s="54"/>
      <c r="E955" s="56"/>
      <c r="F955" s="54"/>
      <c r="G955" s="56"/>
      <c r="H955" s="54"/>
      <c r="I955" s="56"/>
      <c r="J955" s="54"/>
      <c r="K955" s="92"/>
      <c r="L955" s="54"/>
      <c r="M955" s="92"/>
      <c r="N955" s="54"/>
      <c r="O955" s="92"/>
      <c r="P955" s="54"/>
      <c r="Q955" s="92"/>
      <c r="R955" s="54"/>
      <c r="S955" s="92"/>
      <c r="T955" s="117"/>
      <c r="U955" s="92"/>
      <c r="V955" s="54"/>
      <c r="W955" s="92"/>
      <c r="X955" s="54"/>
      <c r="Y955" s="92"/>
      <c r="Z955" s="54"/>
      <c r="AA955" s="92"/>
      <c r="AB955" s="54"/>
      <c r="AC955" s="92"/>
      <c r="AD955" s="54"/>
      <c r="AE955" s="92"/>
      <c r="AF955" s="54"/>
      <c r="AG955" s="92"/>
      <c r="AH955" s="54"/>
      <c r="AI955" s="92"/>
      <c r="AJ955" s="54"/>
      <c r="AK955" s="92"/>
      <c r="AL955" s="54"/>
      <c r="AM955" s="92"/>
      <c r="AN955" s="123"/>
      <c r="AO955" s="54"/>
      <c r="AP955" s="123"/>
      <c r="AQ955" s="54"/>
      <c r="AR955" s="154"/>
      <c r="AS955" s="1"/>
      <c r="AT955" s="1"/>
      <c r="AU955" s="9"/>
    </row>
    <row r="956">
      <c r="A956" s="54"/>
      <c r="B956" s="71" t="str">
        <f>IFERROR(HYPERLINK(VLOOKUP(A956,Internal_lists_bugs!$A$2:$C$73,3,FALSE()), VLOOKUP(A956,Internal_lists_bugs!$A$2:$C$73,3,FALSE())&amp;Char(10) &amp; Char(10) &amp; VLOOKUP(A956,Internal_lists_bugs!$A$2:$Z$73,26,FALSE())),"please select a BUG ID")</f>
        <v>please select a BUG ID</v>
      </c>
      <c r="C956" s="51" t="str">
        <f>IFERROR(VLOOKUP(A956,Internal_lists_bugs!$A$2:$G2002,7,FALSE()),"please select a BUG ID")</f>
        <v>please select a BUG ID</v>
      </c>
      <c r="D956" s="54"/>
      <c r="E956" s="56"/>
      <c r="F956" s="54"/>
      <c r="G956" s="56"/>
      <c r="H956" s="54"/>
      <c r="I956" s="56"/>
      <c r="J956" s="54"/>
      <c r="K956" s="92"/>
      <c r="L956" s="54"/>
      <c r="M956" s="92"/>
      <c r="N956" s="54"/>
      <c r="O956" s="92"/>
      <c r="P956" s="54"/>
      <c r="Q956" s="92"/>
      <c r="R956" s="54"/>
      <c r="S956" s="92"/>
      <c r="T956" s="117"/>
      <c r="U956" s="92"/>
      <c r="V956" s="54"/>
      <c r="W956" s="92"/>
      <c r="X956" s="54"/>
      <c r="Y956" s="92"/>
      <c r="Z956" s="54"/>
      <c r="AA956" s="92"/>
      <c r="AB956" s="54"/>
      <c r="AC956" s="92"/>
      <c r="AD956" s="54"/>
      <c r="AE956" s="92"/>
      <c r="AF956" s="54"/>
      <c r="AG956" s="92"/>
      <c r="AH956" s="54"/>
      <c r="AI956" s="92"/>
      <c r="AJ956" s="54"/>
      <c r="AK956" s="92"/>
      <c r="AL956" s="54"/>
      <c r="AM956" s="92"/>
      <c r="AN956" s="123"/>
      <c r="AO956" s="54"/>
      <c r="AP956" s="123"/>
      <c r="AQ956" s="54"/>
      <c r="AR956" s="154"/>
      <c r="AS956" s="1"/>
      <c r="AT956" s="1"/>
      <c r="AU956" s="9"/>
    </row>
    <row r="957">
      <c r="A957" s="54"/>
      <c r="B957" s="71" t="str">
        <f>IFERROR(HYPERLINK(VLOOKUP(A957,Internal_lists_bugs!$A$2:$C$73,3,FALSE()), VLOOKUP(A957,Internal_lists_bugs!$A$2:$C$73,3,FALSE())&amp;Char(10) &amp; Char(10) &amp; VLOOKUP(A957,Internal_lists_bugs!$A$2:$Z$73,26,FALSE())),"please select a BUG ID")</f>
        <v>please select a BUG ID</v>
      </c>
      <c r="C957" s="51" t="str">
        <f>IFERROR(VLOOKUP(A957,Internal_lists_bugs!$A$2:$G2002,7,FALSE()),"please select a BUG ID")</f>
        <v>please select a BUG ID</v>
      </c>
      <c r="D957" s="54"/>
      <c r="E957" s="56"/>
      <c r="F957" s="54"/>
      <c r="G957" s="56"/>
      <c r="H957" s="54"/>
      <c r="I957" s="56"/>
      <c r="J957" s="54"/>
      <c r="K957" s="92"/>
      <c r="L957" s="54"/>
      <c r="M957" s="92"/>
      <c r="N957" s="54"/>
      <c r="O957" s="92"/>
      <c r="P957" s="54"/>
      <c r="Q957" s="92"/>
      <c r="R957" s="54"/>
      <c r="S957" s="92"/>
      <c r="T957" s="117"/>
      <c r="U957" s="92"/>
      <c r="V957" s="54"/>
      <c r="W957" s="92"/>
      <c r="X957" s="54"/>
      <c r="Y957" s="92"/>
      <c r="Z957" s="54"/>
      <c r="AA957" s="92"/>
      <c r="AB957" s="54"/>
      <c r="AC957" s="92"/>
      <c r="AD957" s="54"/>
      <c r="AE957" s="92"/>
      <c r="AF957" s="54"/>
      <c r="AG957" s="92"/>
      <c r="AH957" s="54"/>
      <c r="AI957" s="92"/>
      <c r="AJ957" s="54"/>
      <c r="AK957" s="92"/>
      <c r="AL957" s="54"/>
      <c r="AM957" s="92"/>
      <c r="AN957" s="123"/>
      <c r="AO957" s="54"/>
      <c r="AP957" s="123"/>
      <c r="AQ957" s="54"/>
      <c r="AR957" s="154"/>
      <c r="AS957" s="1"/>
      <c r="AT957" s="1"/>
      <c r="AU957" s="9"/>
    </row>
    <row r="958">
      <c r="A958" s="54"/>
      <c r="B958" s="71" t="str">
        <f>IFERROR(HYPERLINK(VLOOKUP(A958,Internal_lists_bugs!$A$2:$C$73,3,FALSE()), VLOOKUP(A958,Internal_lists_bugs!$A$2:$C$73,3,FALSE())&amp;Char(10) &amp; Char(10) &amp; VLOOKUP(A958,Internal_lists_bugs!$A$2:$Z$73,26,FALSE())),"please select a BUG ID")</f>
        <v>please select a BUG ID</v>
      </c>
      <c r="C958" s="51" t="str">
        <f>IFERROR(VLOOKUP(A958,Internal_lists_bugs!$A$2:$G2002,7,FALSE()),"please select a BUG ID")</f>
        <v>please select a BUG ID</v>
      </c>
      <c r="D958" s="54"/>
      <c r="E958" s="56"/>
      <c r="F958" s="54"/>
      <c r="G958" s="56"/>
      <c r="H958" s="54"/>
      <c r="I958" s="56"/>
      <c r="J958" s="54"/>
      <c r="K958" s="92"/>
      <c r="L958" s="54"/>
      <c r="M958" s="92"/>
      <c r="N958" s="54"/>
      <c r="O958" s="92"/>
      <c r="P958" s="54"/>
      <c r="Q958" s="92"/>
      <c r="R958" s="54"/>
      <c r="S958" s="92"/>
      <c r="T958" s="117"/>
      <c r="U958" s="92"/>
      <c r="V958" s="54"/>
      <c r="W958" s="92"/>
      <c r="X958" s="54"/>
      <c r="Y958" s="92"/>
      <c r="Z958" s="54"/>
      <c r="AA958" s="92"/>
      <c r="AB958" s="54"/>
      <c r="AC958" s="92"/>
      <c r="AD958" s="54"/>
      <c r="AE958" s="92"/>
      <c r="AF958" s="54"/>
      <c r="AG958" s="92"/>
      <c r="AH958" s="54"/>
      <c r="AI958" s="92"/>
      <c r="AJ958" s="54"/>
      <c r="AK958" s="92"/>
      <c r="AL958" s="54"/>
      <c r="AM958" s="92"/>
      <c r="AN958" s="123"/>
      <c r="AO958" s="54"/>
      <c r="AP958" s="123"/>
      <c r="AQ958" s="54"/>
      <c r="AR958" s="154"/>
      <c r="AS958" s="1"/>
      <c r="AT958" s="1"/>
      <c r="AU958" s="9"/>
    </row>
    <row r="959">
      <c r="A959" s="54"/>
      <c r="B959" s="71" t="str">
        <f>IFERROR(HYPERLINK(VLOOKUP(A959,Internal_lists_bugs!$A$2:$C$73,3,FALSE()), VLOOKUP(A959,Internal_lists_bugs!$A$2:$C$73,3,FALSE())&amp;Char(10) &amp; Char(10) &amp; VLOOKUP(A959,Internal_lists_bugs!$A$2:$Z$73,26,FALSE())),"please select a BUG ID")</f>
        <v>please select a BUG ID</v>
      </c>
      <c r="C959" s="51" t="str">
        <f>IFERROR(VLOOKUP(A959,Internal_lists_bugs!$A$2:$G2002,7,FALSE()),"please select a BUG ID")</f>
        <v>please select a BUG ID</v>
      </c>
      <c r="D959" s="54"/>
      <c r="E959" s="56"/>
      <c r="F959" s="54"/>
      <c r="G959" s="56"/>
      <c r="H959" s="54"/>
      <c r="I959" s="56"/>
      <c r="J959" s="54"/>
      <c r="K959" s="92"/>
      <c r="L959" s="54"/>
      <c r="M959" s="92"/>
      <c r="N959" s="54"/>
      <c r="O959" s="92"/>
      <c r="P959" s="54"/>
      <c r="Q959" s="92"/>
      <c r="R959" s="54"/>
      <c r="S959" s="92"/>
      <c r="T959" s="117"/>
      <c r="U959" s="92"/>
      <c r="V959" s="54"/>
      <c r="W959" s="92"/>
      <c r="X959" s="54"/>
      <c r="Y959" s="92"/>
      <c r="Z959" s="54"/>
      <c r="AA959" s="92"/>
      <c r="AB959" s="54"/>
      <c r="AC959" s="92"/>
      <c r="AD959" s="54"/>
      <c r="AE959" s="92"/>
      <c r="AF959" s="54"/>
      <c r="AG959" s="92"/>
      <c r="AH959" s="54"/>
      <c r="AI959" s="92"/>
      <c r="AJ959" s="54"/>
      <c r="AK959" s="92"/>
      <c r="AL959" s="54"/>
      <c r="AM959" s="92"/>
      <c r="AN959" s="123"/>
      <c r="AO959" s="54"/>
      <c r="AP959" s="123"/>
      <c r="AQ959" s="54"/>
      <c r="AR959" s="154"/>
      <c r="AS959" s="1"/>
      <c r="AT959" s="1"/>
      <c r="AU959" s="9"/>
    </row>
    <row r="960">
      <c r="A960" s="54"/>
      <c r="B960" s="71" t="str">
        <f>IFERROR(HYPERLINK(VLOOKUP(A960,Internal_lists_bugs!$A$2:$C$73,3,FALSE()), VLOOKUP(A960,Internal_lists_bugs!$A$2:$C$73,3,FALSE())&amp;Char(10) &amp; Char(10) &amp; VLOOKUP(A960,Internal_lists_bugs!$A$2:$Z$73,26,FALSE())),"please select a BUG ID")</f>
        <v>please select a BUG ID</v>
      </c>
      <c r="C960" s="51" t="str">
        <f>IFERROR(VLOOKUP(A960,Internal_lists_bugs!$A$2:$G2002,7,FALSE()),"please select a BUG ID")</f>
        <v>please select a BUG ID</v>
      </c>
      <c r="D960" s="54"/>
      <c r="E960" s="56"/>
      <c r="F960" s="54"/>
      <c r="G960" s="56"/>
      <c r="H960" s="54"/>
      <c r="I960" s="56"/>
      <c r="J960" s="54"/>
      <c r="K960" s="92"/>
      <c r="L960" s="54"/>
      <c r="M960" s="92"/>
      <c r="N960" s="54"/>
      <c r="O960" s="92"/>
      <c r="P960" s="54"/>
      <c r="Q960" s="92"/>
      <c r="R960" s="54"/>
      <c r="S960" s="92"/>
      <c r="T960" s="117"/>
      <c r="U960" s="92"/>
      <c r="V960" s="54"/>
      <c r="W960" s="92"/>
      <c r="X960" s="54"/>
      <c r="Y960" s="92"/>
      <c r="Z960" s="54"/>
      <c r="AA960" s="92"/>
      <c r="AB960" s="54"/>
      <c r="AC960" s="92"/>
      <c r="AD960" s="54"/>
      <c r="AE960" s="92"/>
      <c r="AF960" s="54"/>
      <c r="AG960" s="92"/>
      <c r="AH960" s="54"/>
      <c r="AI960" s="92"/>
      <c r="AJ960" s="54"/>
      <c r="AK960" s="92"/>
      <c r="AL960" s="54"/>
      <c r="AM960" s="92"/>
      <c r="AN960" s="123"/>
      <c r="AO960" s="54"/>
      <c r="AP960" s="123"/>
      <c r="AQ960" s="54"/>
      <c r="AR960" s="154"/>
      <c r="AS960" s="1"/>
      <c r="AT960" s="1"/>
      <c r="AU960" s="9"/>
    </row>
    <row r="961">
      <c r="A961" s="54"/>
      <c r="B961" s="71" t="str">
        <f>IFERROR(HYPERLINK(VLOOKUP(A961,Internal_lists_bugs!$A$2:$C$73,3,FALSE()), VLOOKUP(A961,Internal_lists_bugs!$A$2:$C$73,3,FALSE())&amp;Char(10) &amp; Char(10) &amp; VLOOKUP(A961,Internal_lists_bugs!$A$2:$Z$73,26,FALSE())),"please select a BUG ID")</f>
        <v>please select a BUG ID</v>
      </c>
      <c r="C961" s="51" t="str">
        <f>IFERROR(VLOOKUP(A961,Internal_lists_bugs!$A$2:$G2002,7,FALSE()),"please select a BUG ID")</f>
        <v>please select a BUG ID</v>
      </c>
      <c r="D961" s="54"/>
      <c r="E961" s="56"/>
      <c r="F961" s="54"/>
      <c r="G961" s="56"/>
      <c r="H961" s="54"/>
      <c r="I961" s="56"/>
      <c r="J961" s="54"/>
      <c r="K961" s="92"/>
      <c r="L961" s="54"/>
      <c r="M961" s="92"/>
      <c r="N961" s="54"/>
      <c r="O961" s="92"/>
      <c r="P961" s="54"/>
      <c r="Q961" s="92"/>
      <c r="R961" s="54"/>
      <c r="S961" s="92"/>
      <c r="T961" s="117"/>
      <c r="U961" s="92"/>
      <c r="V961" s="54"/>
      <c r="W961" s="92"/>
      <c r="X961" s="54"/>
      <c r="Y961" s="92"/>
      <c r="Z961" s="54"/>
      <c r="AA961" s="92"/>
      <c r="AB961" s="54"/>
      <c r="AC961" s="92"/>
      <c r="AD961" s="54"/>
      <c r="AE961" s="92"/>
      <c r="AF961" s="54"/>
      <c r="AG961" s="92"/>
      <c r="AH961" s="54"/>
      <c r="AI961" s="92"/>
      <c r="AJ961" s="54"/>
      <c r="AK961" s="92"/>
      <c r="AL961" s="54"/>
      <c r="AM961" s="92"/>
      <c r="AN961" s="123"/>
      <c r="AO961" s="54"/>
      <c r="AP961" s="123"/>
      <c r="AQ961" s="54"/>
      <c r="AR961" s="154"/>
      <c r="AS961" s="1"/>
      <c r="AT961" s="1"/>
      <c r="AU961" s="9"/>
    </row>
    <row r="962">
      <c r="A962" s="54"/>
      <c r="B962" s="71" t="str">
        <f>IFERROR(HYPERLINK(VLOOKUP(A962,Internal_lists_bugs!$A$2:$C$73,3,FALSE()), VLOOKUP(A962,Internal_lists_bugs!$A$2:$C$73,3,FALSE())&amp;Char(10) &amp; Char(10) &amp; VLOOKUP(A962,Internal_lists_bugs!$A$2:$Z$73,26,FALSE())),"please select a BUG ID")</f>
        <v>please select a BUG ID</v>
      </c>
      <c r="C962" s="51" t="str">
        <f>IFERROR(VLOOKUP(A962,Internal_lists_bugs!$A$2:$G2002,7,FALSE()),"please select a BUG ID")</f>
        <v>please select a BUG ID</v>
      </c>
      <c r="D962" s="54"/>
      <c r="E962" s="56"/>
      <c r="F962" s="54"/>
      <c r="G962" s="56"/>
      <c r="H962" s="54"/>
      <c r="I962" s="56"/>
      <c r="J962" s="54"/>
      <c r="K962" s="92"/>
      <c r="L962" s="54"/>
      <c r="M962" s="92"/>
      <c r="N962" s="54"/>
      <c r="O962" s="92"/>
      <c r="P962" s="54"/>
      <c r="Q962" s="92"/>
      <c r="R962" s="54"/>
      <c r="S962" s="92"/>
      <c r="T962" s="117"/>
      <c r="U962" s="92"/>
      <c r="V962" s="54"/>
      <c r="W962" s="92"/>
      <c r="X962" s="54"/>
      <c r="Y962" s="92"/>
      <c r="Z962" s="54"/>
      <c r="AA962" s="92"/>
      <c r="AB962" s="54"/>
      <c r="AC962" s="92"/>
      <c r="AD962" s="54"/>
      <c r="AE962" s="92"/>
      <c r="AF962" s="54"/>
      <c r="AG962" s="92"/>
      <c r="AH962" s="54"/>
      <c r="AI962" s="92"/>
      <c r="AJ962" s="54"/>
      <c r="AK962" s="92"/>
      <c r="AL962" s="54"/>
      <c r="AM962" s="92"/>
      <c r="AN962" s="123"/>
      <c r="AO962" s="54"/>
      <c r="AP962" s="123"/>
      <c r="AQ962" s="54"/>
      <c r="AR962" s="154"/>
      <c r="AS962" s="1"/>
      <c r="AT962" s="1"/>
      <c r="AU962" s="9"/>
    </row>
    <row r="963">
      <c r="A963" s="54"/>
      <c r="B963" s="71" t="str">
        <f>IFERROR(HYPERLINK(VLOOKUP(A963,Internal_lists_bugs!$A$2:$C$73,3,FALSE()), VLOOKUP(A963,Internal_lists_bugs!$A$2:$C$73,3,FALSE())&amp;Char(10) &amp; Char(10) &amp; VLOOKUP(A963,Internal_lists_bugs!$A$2:$Z$73,26,FALSE())),"please select a BUG ID")</f>
        <v>please select a BUG ID</v>
      </c>
      <c r="C963" s="51" t="str">
        <f>IFERROR(VLOOKUP(A963,Internal_lists_bugs!$A$2:$G2002,7,FALSE()),"please select a BUG ID")</f>
        <v>please select a BUG ID</v>
      </c>
      <c r="D963" s="54"/>
      <c r="E963" s="56"/>
      <c r="F963" s="54"/>
      <c r="G963" s="56"/>
      <c r="H963" s="54"/>
      <c r="I963" s="56"/>
      <c r="J963" s="54"/>
      <c r="K963" s="92"/>
      <c r="L963" s="54"/>
      <c r="M963" s="92"/>
      <c r="N963" s="54"/>
      <c r="O963" s="92"/>
      <c r="P963" s="54"/>
      <c r="Q963" s="92"/>
      <c r="R963" s="54"/>
      <c r="S963" s="92"/>
      <c r="T963" s="117"/>
      <c r="U963" s="92"/>
      <c r="V963" s="54"/>
      <c r="W963" s="92"/>
      <c r="X963" s="54"/>
      <c r="Y963" s="92"/>
      <c r="Z963" s="54"/>
      <c r="AA963" s="92"/>
      <c r="AB963" s="54"/>
      <c r="AC963" s="92"/>
      <c r="AD963" s="54"/>
      <c r="AE963" s="92"/>
      <c r="AF963" s="54"/>
      <c r="AG963" s="92"/>
      <c r="AH963" s="54"/>
      <c r="AI963" s="92"/>
      <c r="AJ963" s="54"/>
      <c r="AK963" s="92"/>
      <c r="AL963" s="54"/>
      <c r="AM963" s="92"/>
      <c r="AN963" s="123"/>
      <c r="AO963" s="54"/>
      <c r="AP963" s="123"/>
      <c r="AQ963" s="54"/>
      <c r="AR963" s="154"/>
      <c r="AS963" s="1"/>
      <c r="AT963" s="1"/>
      <c r="AU963" s="9"/>
    </row>
    <row r="964">
      <c r="A964" s="54"/>
      <c r="B964" s="71" t="str">
        <f>IFERROR(HYPERLINK(VLOOKUP(A964,Internal_lists_bugs!$A$2:$C$73,3,FALSE()), VLOOKUP(A964,Internal_lists_bugs!$A$2:$C$73,3,FALSE())&amp;Char(10) &amp; Char(10) &amp; VLOOKUP(A964,Internal_lists_bugs!$A$2:$Z$73,26,FALSE())),"please select a BUG ID")</f>
        <v>please select a BUG ID</v>
      </c>
      <c r="C964" s="51" t="str">
        <f>IFERROR(VLOOKUP(A964,Internal_lists_bugs!$A$2:$G2002,7,FALSE()),"please select a BUG ID")</f>
        <v>please select a BUG ID</v>
      </c>
      <c r="D964" s="54"/>
      <c r="E964" s="56"/>
      <c r="F964" s="54"/>
      <c r="G964" s="56"/>
      <c r="H964" s="54"/>
      <c r="I964" s="56"/>
      <c r="J964" s="54"/>
      <c r="K964" s="92"/>
      <c r="L964" s="54"/>
      <c r="M964" s="92"/>
      <c r="N964" s="54"/>
      <c r="O964" s="92"/>
      <c r="P964" s="54"/>
      <c r="Q964" s="92"/>
      <c r="R964" s="54"/>
      <c r="S964" s="92"/>
      <c r="T964" s="117"/>
      <c r="U964" s="92"/>
      <c r="V964" s="54"/>
      <c r="W964" s="92"/>
      <c r="X964" s="54"/>
      <c r="Y964" s="92"/>
      <c r="Z964" s="54"/>
      <c r="AA964" s="92"/>
      <c r="AB964" s="54"/>
      <c r="AC964" s="92"/>
      <c r="AD964" s="54"/>
      <c r="AE964" s="92"/>
      <c r="AF964" s="54"/>
      <c r="AG964" s="92"/>
      <c r="AH964" s="54"/>
      <c r="AI964" s="92"/>
      <c r="AJ964" s="54"/>
      <c r="AK964" s="92"/>
      <c r="AL964" s="54"/>
      <c r="AM964" s="92"/>
      <c r="AN964" s="123"/>
      <c r="AO964" s="54"/>
      <c r="AP964" s="123"/>
      <c r="AQ964" s="54"/>
      <c r="AR964" s="154"/>
      <c r="AS964" s="1"/>
      <c r="AT964" s="1"/>
      <c r="AU964" s="9"/>
    </row>
    <row r="965">
      <c r="A965" s="54"/>
      <c r="B965" s="71" t="str">
        <f>IFERROR(HYPERLINK(VLOOKUP(A965,Internal_lists_bugs!$A$2:$C$73,3,FALSE()), VLOOKUP(A965,Internal_lists_bugs!$A$2:$C$73,3,FALSE())&amp;Char(10) &amp; Char(10) &amp; VLOOKUP(A965,Internal_lists_bugs!$A$2:$Z$73,26,FALSE())),"please select a BUG ID")</f>
        <v>please select a BUG ID</v>
      </c>
      <c r="C965" s="51" t="str">
        <f>IFERROR(VLOOKUP(A965,Internal_lists_bugs!$A$2:$G2002,7,FALSE()),"please select a BUG ID")</f>
        <v>please select a BUG ID</v>
      </c>
      <c r="D965" s="54"/>
      <c r="E965" s="56"/>
      <c r="F965" s="54"/>
      <c r="G965" s="56"/>
      <c r="H965" s="54"/>
      <c r="I965" s="56"/>
      <c r="J965" s="54"/>
      <c r="K965" s="92"/>
      <c r="L965" s="54"/>
      <c r="M965" s="92"/>
      <c r="N965" s="54"/>
      <c r="O965" s="92"/>
      <c r="P965" s="54"/>
      <c r="Q965" s="92"/>
      <c r="R965" s="54"/>
      <c r="S965" s="92"/>
      <c r="T965" s="117"/>
      <c r="U965" s="92"/>
      <c r="V965" s="54"/>
      <c r="W965" s="92"/>
      <c r="X965" s="54"/>
      <c r="Y965" s="92"/>
      <c r="Z965" s="54"/>
      <c r="AA965" s="92"/>
      <c r="AB965" s="54"/>
      <c r="AC965" s="92"/>
      <c r="AD965" s="54"/>
      <c r="AE965" s="92"/>
      <c r="AF965" s="54"/>
      <c r="AG965" s="92"/>
      <c r="AH965" s="54"/>
      <c r="AI965" s="92"/>
      <c r="AJ965" s="54"/>
      <c r="AK965" s="92"/>
      <c r="AL965" s="54"/>
      <c r="AM965" s="92"/>
      <c r="AN965" s="123"/>
      <c r="AO965" s="54"/>
      <c r="AP965" s="123"/>
      <c r="AQ965" s="54"/>
      <c r="AR965" s="154"/>
      <c r="AS965" s="1"/>
      <c r="AT965" s="1"/>
      <c r="AU965" s="9"/>
    </row>
    <row r="966">
      <c r="A966" s="54"/>
      <c r="B966" s="71" t="str">
        <f>IFERROR(HYPERLINK(VLOOKUP(A966,Internal_lists_bugs!$A$2:$C$73,3,FALSE()), VLOOKUP(A966,Internal_lists_bugs!$A$2:$C$73,3,FALSE())&amp;Char(10) &amp; Char(10) &amp; VLOOKUP(A966,Internal_lists_bugs!$A$2:$Z$73,26,FALSE())),"please select a BUG ID")</f>
        <v>please select a BUG ID</v>
      </c>
      <c r="C966" s="51" t="str">
        <f>IFERROR(VLOOKUP(A966,Internal_lists_bugs!$A$2:$G2002,7,FALSE()),"please select a BUG ID")</f>
        <v>please select a BUG ID</v>
      </c>
      <c r="D966" s="54"/>
      <c r="E966" s="56"/>
      <c r="F966" s="54"/>
      <c r="G966" s="56"/>
      <c r="H966" s="54"/>
      <c r="I966" s="56"/>
      <c r="J966" s="54"/>
      <c r="K966" s="92"/>
      <c r="L966" s="54"/>
      <c r="M966" s="92"/>
      <c r="N966" s="54"/>
      <c r="O966" s="92"/>
      <c r="P966" s="54"/>
      <c r="Q966" s="92"/>
      <c r="R966" s="54"/>
      <c r="S966" s="92"/>
      <c r="T966" s="117"/>
      <c r="U966" s="92"/>
      <c r="V966" s="54"/>
      <c r="W966" s="92"/>
      <c r="X966" s="54"/>
      <c r="Y966" s="92"/>
      <c r="Z966" s="54"/>
      <c r="AA966" s="92"/>
      <c r="AB966" s="54"/>
      <c r="AC966" s="92"/>
      <c r="AD966" s="54"/>
      <c r="AE966" s="92"/>
      <c r="AF966" s="54"/>
      <c r="AG966" s="92"/>
      <c r="AH966" s="54"/>
      <c r="AI966" s="92"/>
      <c r="AJ966" s="54"/>
      <c r="AK966" s="92"/>
      <c r="AL966" s="54"/>
      <c r="AM966" s="92"/>
      <c r="AN966" s="123"/>
      <c r="AO966" s="54"/>
      <c r="AP966" s="123"/>
      <c r="AQ966" s="54"/>
      <c r="AR966" s="154"/>
      <c r="AS966" s="1"/>
      <c r="AT966" s="1"/>
      <c r="AU966" s="9"/>
    </row>
    <row r="967">
      <c r="A967" s="54"/>
      <c r="B967" s="71" t="str">
        <f>IFERROR(HYPERLINK(VLOOKUP(A967,Internal_lists_bugs!$A$2:$C$73,3,FALSE()), VLOOKUP(A967,Internal_lists_bugs!$A$2:$C$73,3,FALSE())&amp;Char(10) &amp; Char(10) &amp; VLOOKUP(A967,Internal_lists_bugs!$A$2:$Z$73,26,FALSE())),"please select a BUG ID")</f>
        <v>please select a BUG ID</v>
      </c>
      <c r="C967" s="51" t="str">
        <f>IFERROR(VLOOKUP(A967,Internal_lists_bugs!$A$2:$G2002,7,FALSE()),"please select a BUG ID")</f>
        <v>please select a BUG ID</v>
      </c>
      <c r="D967" s="54"/>
      <c r="E967" s="56"/>
      <c r="F967" s="54"/>
      <c r="G967" s="56"/>
      <c r="H967" s="54"/>
      <c r="I967" s="56"/>
      <c r="J967" s="54"/>
      <c r="K967" s="92"/>
      <c r="L967" s="54"/>
      <c r="M967" s="92"/>
      <c r="N967" s="54"/>
      <c r="O967" s="92"/>
      <c r="P967" s="54"/>
      <c r="Q967" s="92"/>
      <c r="R967" s="54"/>
      <c r="S967" s="92"/>
      <c r="T967" s="117"/>
      <c r="U967" s="92"/>
      <c r="V967" s="54"/>
      <c r="W967" s="92"/>
      <c r="X967" s="54"/>
      <c r="Y967" s="92"/>
      <c r="Z967" s="54"/>
      <c r="AA967" s="92"/>
      <c r="AB967" s="54"/>
      <c r="AC967" s="92"/>
      <c r="AD967" s="54"/>
      <c r="AE967" s="92"/>
      <c r="AF967" s="54"/>
      <c r="AG967" s="92"/>
      <c r="AH967" s="54"/>
      <c r="AI967" s="92"/>
      <c r="AJ967" s="54"/>
      <c r="AK967" s="92"/>
      <c r="AL967" s="54"/>
      <c r="AM967" s="92"/>
      <c r="AN967" s="123"/>
      <c r="AO967" s="54"/>
      <c r="AP967" s="123"/>
      <c r="AQ967" s="54"/>
      <c r="AR967" s="154"/>
      <c r="AS967" s="1"/>
      <c r="AT967" s="1"/>
      <c r="AU967" s="9"/>
    </row>
    <row r="968">
      <c r="A968" s="54"/>
      <c r="B968" s="71" t="str">
        <f>IFERROR(HYPERLINK(VLOOKUP(A968,Internal_lists_bugs!$A$2:$C$73,3,FALSE()), VLOOKUP(A968,Internal_lists_bugs!$A$2:$C$73,3,FALSE())&amp;Char(10) &amp; Char(10) &amp; VLOOKUP(A968,Internal_lists_bugs!$A$2:$Z$73,26,FALSE())),"please select a BUG ID")</f>
        <v>please select a BUG ID</v>
      </c>
      <c r="C968" s="51" t="str">
        <f>IFERROR(VLOOKUP(A968,Internal_lists_bugs!$A$2:$G2002,7,FALSE()),"please select a BUG ID")</f>
        <v>please select a BUG ID</v>
      </c>
      <c r="D968" s="54"/>
      <c r="E968" s="56"/>
      <c r="F968" s="54"/>
      <c r="G968" s="56"/>
      <c r="H968" s="54"/>
      <c r="I968" s="56"/>
      <c r="J968" s="54"/>
      <c r="K968" s="92"/>
      <c r="L968" s="54"/>
      <c r="M968" s="92"/>
      <c r="N968" s="54"/>
      <c r="O968" s="92"/>
      <c r="P968" s="54"/>
      <c r="Q968" s="92"/>
      <c r="R968" s="54"/>
      <c r="S968" s="92"/>
      <c r="T968" s="117"/>
      <c r="U968" s="92"/>
      <c r="V968" s="54"/>
      <c r="W968" s="92"/>
      <c r="X968" s="54"/>
      <c r="Y968" s="92"/>
      <c r="Z968" s="54"/>
      <c r="AA968" s="92"/>
      <c r="AB968" s="54"/>
      <c r="AC968" s="92"/>
      <c r="AD968" s="54"/>
      <c r="AE968" s="92"/>
      <c r="AF968" s="54"/>
      <c r="AG968" s="92"/>
      <c r="AH968" s="54"/>
      <c r="AI968" s="92"/>
      <c r="AJ968" s="54"/>
      <c r="AK968" s="92"/>
      <c r="AL968" s="54"/>
      <c r="AM968" s="92"/>
      <c r="AN968" s="123"/>
      <c r="AO968" s="54"/>
      <c r="AP968" s="123"/>
      <c r="AQ968" s="54"/>
      <c r="AR968" s="154"/>
      <c r="AS968" s="1"/>
      <c r="AT968" s="1"/>
      <c r="AU968" s="9"/>
    </row>
    <row r="969">
      <c r="A969" s="54"/>
      <c r="B969" s="71" t="str">
        <f>IFERROR(HYPERLINK(VLOOKUP(A969,Internal_lists_bugs!$A$2:$C$73,3,FALSE()), VLOOKUP(A969,Internal_lists_bugs!$A$2:$C$73,3,FALSE())&amp;Char(10) &amp; Char(10) &amp; VLOOKUP(A969,Internal_lists_bugs!$A$2:$Z$73,26,FALSE())),"please select a BUG ID")</f>
        <v>please select a BUG ID</v>
      </c>
      <c r="C969" s="51" t="str">
        <f>IFERROR(VLOOKUP(A969,Internal_lists_bugs!$A$2:$G2002,7,FALSE()),"please select a BUG ID")</f>
        <v>please select a BUG ID</v>
      </c>
      <c r="D969" s="54"/>
      <c r="E969" s="56"/>
      <c r="F969" s="54"/>
      <c r="G969" s="56"/>
      <c r="H969" s="54"/>
      <c r="I969" s="56"/>
      <c r="J969" s="54"/>
      <c r="K969" s="92"/>
      <c r="L969" s="54"/>
      <c r="M969" s="92"/>
      <c r="N969" s="54"/>
      <c r="O969" s="92"/>
      <c r="P969" s="54"/>
      <c r="Q969" s="92"/>
      <c r="R969" s="54"/>
      <c r="S969" s="92"/>
      <c r="T969" s="117"/>
      <c r="U969" s="92"/>
      <c r="V969" s="54"/>
      <c r="W969" s="92"/>
      <c r="X969" s="54"/>
      <c r="Y969" s="92"/>
      <c r="Z969" s="54"/>
      <c r="AA969" s="92"/>
      <c r="AB969" s="54"/>
      <c r="AC969" s="92"/>
      <c r="AD969" s="54"/>
      <c r="AE969" s="92"/>
      <c r="AF969" s="54"/>
      <c r="AG969" s="92"/>
      <c r="AH969" s="54"/>
      <c r="AI969" s="92"/>
      <c r="AJ969" s="54"/>
      <c r="AK969" s="92"/>
      <c r="AL969" s="54"/>
      <c r="AM969" s="92"/>
      <c r="AN969" s="123"/>
      <c r="AO969" s="54"/>
      <c r="AP969" s="123"/>
      <c r="AQ969" s="54"/>
      <c r="AR969" s="154"/>
      <c r="AS969" s="1"/>
      <c r="AT969" s="1"/>
      <c r="AU969" s="9"/>
    </row>
    <row r="970">
      <c r="A970" s="54"/>
      <c r="B970" s="71" t="str">
        <f>IFERROR(HYPERLINK(VLOOKUP(A970,Internal_lists_bugs!$A$2:$C$73,3,FALSE()), VLOOKUP(A970,Internal_lists_bugs!$A$2:$C$73,3,FALSE())&amp;Char(10) &amp; Char(10) &amp; VLOOKUP(A970,Internal_lists_bugs!$A$2:$Z$73,26,FALSE())),"please select a BUG ID")</f>
        <v>please select a BUG ID</v>
      </c>
      <c r="C970" s="51" t="str">
        <f>IFERROR(VLOOKUP(A970,Internal_lists_bugs!$A$2:$G2002,7,FALSE()),"please select a BUG ID")</f>
        <v>please select a BUG ID</v>
      </c>
      <c r="D970" s="54"/>
      <c r="E970" s="56"/>
      <c r="F970" s="54"/>
      <c r="G970" s="56"/>
      <c r="H970" s="54"/>
      <c r="I970" s="56"/>
      <c r="J970" s="54"/>
      <c r="K970" s="92"/>
      <c r="L970" s="54"/>
      <c r="M970" s="92"/>
      <c r="N970" s="54"/>
      <c r="O970" s="92"/>
      <c r="P970" s="54"/>
      <c r="Q970" s="92"/>
      <c r="R970" s="54"/>
      <c r="S970" s="92"/>
      <c r="T970" s="117"/>
      <c r="U970" s="92"/>
      <c r="V970" s="54"/>
      <c r="W970" s="92"/>
      <c r="X970" s="54"/>
      <c r="Y970" s="92"/>
      <c r="Z970" s="54"/>
      <c r="AA970" s="92"/>
      <c r="AB970" s="54"/>
      <c r="AC970" s="92"/>
      <c r="AD970" s="54"/>
      <c r="AE970" s="92"/>
      <c r="AF970" s="54"/>
      <c r="AG970" s="92"/>
      <c r="AH970" s="54"/>
      <c r="AI970" s="92"/>
      <c r="AJ970" s="54"/>
      <c r="AK970" s="92"/>
      <c r="AL970" s="54"/>
      <c r="AM970" s="92"/>
      <c r="AN970" s="123"/>
      <c r="AO970" s="54"/>
      <c r="AP970" s="123"/>
      <c r="AQ970" s="54"/>
      <c r="AR970" s="154"/>
      <c r="AS970" s="1"/>
      <c r="AT970" s="1"/>
      <c r="AU970" s="9"/>
    </row>
    <row r="971">
      <c r="A971" s="54"/>
      <c r="B971" s="71" t="str">
        <f>IFERROR(HYPERLINK(VLOOKUP(A971,Internal_lists_bugs!$A$2:$C$73,3,FALSE()), VLOOKUP(A971,Internal_lists_bugs!$A$2:$C$73,3,FALSE())&amp;Char(10) &amp; Char(10) &amp; VLOOKUP(A971,Internal_lists_bugs!$A$2:$Z$73,26,FALSE())),"please select a BUG ID")</f>
        <v>please select a BUG ID</v>
      </c>
      <c r="C971" s="51" t="str">
        <f>IFERROR(VLOOKUP(A971,Internal_lists_bugs!$A$2:$G2002,7,FALSE()),"please select a BUG ID")</f>
        <v>please select a BUG ID</v>
      </c>
      <c r="D971" s="54"/>
      <c r="E971" s="56"/>
      <c r="F971" s="54"/>
      <c r="G971" s="56"/>
      <c r="H971" s="54"/>
      <c r="I971" s="56"/>
      <c r="J971" s="54"/>
      <c r="K971" s="92"/>
      <c r="L971" s="54"/>
      <c r="M971" s="92"/>
      <c r="N971" s="54"/>
      <c r="O971" s="92"/>
      <c r="P971" s="54"/>
      <c r="Q971" s="92"/>
      <c r="R971" s="54"/>
      <c r="S971" s="92"/>
      <c r="T971" s="117"/>
      <c r="U971" s="92"/>
      <c r="V971" s="54"/>
      <c r="W971" s="92"/>
      <c r="X971" s="54"/>
      <c r="Y971" s="92"/>
      <c r="Z971" s="54"/>
      <c r="AA971" s="92"/>
      <c r="AB971" s="54"/>
      <c r="AC971" s="92"/>
      <c r="AD971" s="54"/>
      <c r="AE971" s="92"/>
      <c r="AF971" s="54"/>
      <c r="AG971" s="92"/>
      <c r="AH971" s="54"/>
      <c r="AI971" s="92"/>
      <c r="AJ971" s="54"/>
      <c r="AK971" s="92"/>
      <c r="AL971" s="54"/>
      <c r="AM971" s="92"/>
      <c r="AN971" s="123"/>
      <c r="AO971" s="54"/>
      <c r="AP971" s="123"/>
      <c r="AQ971" s="54"/>
      <c r="AR971" s="154"/>
      <c r="AS971" s="1"/>
      <c r="AT971" s="1"/>
      <c r="AU971" s="9"/>
    </row>
    <row r="972">
      <c r="A972" s="54"/>
      <c r="B972" s="71" t="str">
        <f>IFERROR(HYPERLINK(VLOOKUP(A972,Internal_lists_bugs!$A$2:$C$73,3,FALSE()), VLOOKUP(A972,Internal_lists_bugs!$A$2:$C$73,3,FALSE())&amp;Char(10) &amp; Char(10) &amp; VLOOKUP(A972,Internal_lists_bugs!$A$2:$Z$73,26,FALSE())),"please select a BUG ID")</f>
        <v>please select a BUG ID</v>
      </c>
      <c r="C972" s="51" t="str">
        <f>IFERROR(VLOOKUP(A972,Internal_lists_bugs!$A$2:$G2002,7,FALSE()),"please select a BUG ID")</f>
        <v>please select a BUG ID</v>
      </c>
      <c r="D972" s="54"/>
      <c r="E972" s="56"/>
      <c r="F972" s="54"/>
      <c r="G972" s="56"/>
      <c r="H972" s="54"/>
      <c r="I972" s="56"/>
      <c r="J972" s="54"/>
      <c r="K972" s="92"/>
      <c r="L972" s="54"/>
      <c r="N972" s="82"/>
      <c r="O972" s="92"/>
      <c r="P972" s="82"/>
      <c r="Q972" s="92"/>
      <c r="R972" s="79"/>
      <c r="S972" s="92"/>
      <c r="T972" s="117"/>
      <c r="U972" s="92"/>
      <c r="V972" s="82"/>
      <c r="W972" s="92"/>
      <c r="X972" s="82"/>
      <c r="Y972" s="92"/>
      <c r="Z972" s="82"/>
      <c r="AA972" s="92"/>
      <c r="AB972" s="82"/>
      <c r="AC972" s="92"/>
      <c r="AD972" s="82"/>
      <c r="AE972" s="92"/>
      <c r="AF972" s="82"/>
      <c r="AG972" s="92"/>
      <c r="AH972" s="82"/>
      <c r="AI972" s="92"/>
      <c r="AJ972" s="82"/>
      <c r="AK972" s="92"/>
      <c r="AL972" s="82"/>
      <c r="AM972" s="92"/>
      <c r="AN972" s="123"/>
      <c r="AO972" s="54"/>
      <c r="AP972" s="123"/>
      <c r="AQ972" s="54"/>
      <c r="AR972" s="154"/>
      <c r="AS972" s="1"/>
      <c r="AT972" s="1"/>
      <c r="AU972" s="9"/>
    </row>
    <row r="973">
      <c r="A973" s="54"/>
      <c r="B973" s="71" t="str">
        <f>IFERROR(HYPERLINK(VLOOKUP(A973,Internal_lists_bugs!$A$2:$C$73,3,FALSE()), VLOOKUP(A973,Internal_lists_bugs!$A$2:$C$73,3,FALSE())&amp;Char(10) &amp; Char(10) &amp; VLOOKUP(A973,Internal_lists_bugs!$A$2:$Z$73,26,FALSE())),"please select a BUG ID")</f>
        <v>please select a BUG ID</v>
      </c>
      <c r="C973" s="51" t="str">
        <f>IFERROR(VLOOKUP(A973,Internal_lists_bugs!$A$2:$G2002,7,FALSE()),"please select a BUG ID")</f>
        <v>please select a BUG ID</v>
      </c>
      <c r="D973" s="54"/>
      <c r="E973" s="56"/>
      <c r="F973" s="54"/>
      <c r="G973" s="56"/>
      <c r="H973" s="54"/>
      <c r="I973" s="56"/>
      <c r="J973" s="54"/>
      <c r="K973" s="92"/>
      <c r="L973" s="54"/>
      <c r="N973" s="82"/>
      <c r="O973" s="92"/>
      <c r="P973" s="82"/>
      <c r="Q973" s="92"/>
      <c r="R973" s="82"/>
      <c r="S973" s="92"/>
      <c r="T973" s="117"/>
      <c r="U973" s="92"/>
      <c r="V973" s="82"/>
      <c r="W973" s="92"/>
      <c r="X973" s="82"/>
      <c r="Y973" s="92"/>
      <c r="Z973" s="82"/>
      <c r="AA973" s="92"/>
      <c r="AB973" s="82"/>
      <c r="AC973" s="92"/>
      <c r="AD973" s="82"/>
      <c r="AE973" s="92"/>
      <c r="AF973" s="82"/>
      <c r="AG973" s="92"/>
      <c r="AH973" s="82"/>
      <c r="AI973" s="92"/>
      <c r="AJ973" s="82"/>
      <c r="AK973" s="92"/>
      <c r="AL973" s="82"/>
      <c r="AM973" s="92"/>
      <c r="AN973" s="123"/>
      <c r="AO973" s="54"/>
      <c r="AP973" s="123"/>
      <c r="AQ973" s="54"/>
      <c r="AR973" s="154"/>
      <c r="AS973" s="1"/>
      <c r="AT973" s="1"/>
      <c r="AU973" s="9"/>
    </row>
    <row r="974">
      <c r="A974" s="54"/>
      <c r="B974" s="71" t="str">
        <f>IFERROR(HYPERLINK(VLOOKUP(A974,Internal_lists_bugs!$A$2:$C$73,3,FALSE()), VLOOKUP(A974,Internal_lists_bugs!$A$2:$C$73,3,FALSE())&amp;Char(10) &amp; Char(10) &amp; VLOOKUP(A974,Internal_lists_bugs!$A$2:$Z$73,26,FALSE())),"please select a BUG ID")</f>
        <v>please select a BUG ID</v>
      </c>
      <c r="C974" s="51" t="str">
        <f>IFERROR(VLOOKUP(A974,Internal_lists_bugs!$A$2:$G2002,7,FALSE()),"please select a BUG ID")</f>
        <v>please select a BUG ID</v>
      </c>
      <c r="D974" s="54"/>
      <c r="E974" s="56"/>
      <c r="F974" s="54"/>
      <c r="G974" s="56"/>
      <c r="H974" s="54"/>
      <c r="I974" s="56"/>
      <c r="J974" s="54"/>
      <c r="K974" s="92"/>
      <c r="L974" s="54"/>
      <c r="N974" s="82"/>
      <c r="O974" s="92"/>
      <c r="P974" s="82"/>
      <c r="Q974" s="92"/>
      <c r="R974" s="79"/>
      <c r="S974" s="92"/>
      <c r="T974" s="117"/>
      <c r="U974" s="92"/>
      <c r="V974" s="82"/>
      <c r="W974" s="92"/>
      <c r="X974" s="82"/>
      <c r="Y974" s="92"/>
      <c r="Z974" s="82"/>
      <c r="AA974" s="92"/>
      <c r="AB974" s="82"/>
      <c r="AC974" s="92"/>
      <c r="AD974" s="82"/>
      <c r="AE974" s="92"/>
      <c r="AF974" s="82"/>
      <c r="AG974" s="92"/>
      <c r="AH974" s="82"/>
      <c r="AI974" s="92"/>
      <c r="AJ974" s="82"/>
      <c r="AK974" s="92"/>
      <c r="AL974" s="82"/>
      <c r="AM974" s="92"/>
      <c r="AN974" s="123"/>
      <c r="AO974" s="54"/>
      <c r="AP974" s="123"/>
      <c r="AQ974" s="54"/>
      <c r="AR974" s="154"/>
      <c r="AS974" s="1"/>
      <c r="AT974" s="1"/>
      <c r="AU974" s="9"/>
    </row>
    <row r="975">
      <c r="A975" s="54"/>
      <c r="B975" s="71" t="str">
        <f>IFERROR(HYPERLINK(VLOOKUP(A975,Internal_lists_bugs!$A$2:$C$73,3,FALSE()), VLOOKUP(A975,Internal_lists_bugs!$A$2:$C$73,3,FALSE())&amp;Char(10) &amp; Char(10) &amp; VLOOKUP(A975,Internal_lists_bugs!$A$2:$Z$73,26,FALSE())),"please select a BUG ID")</f>
        <v>please select a BUG ID</v>
      </c>
      <c r="C975" s="51" t="str">
        <f>IFERROR(VLOOKUP(A975,Internal_lists_bugs!$A$2:$G2002,7,FALSE()),"please select a BUG ID")</f>
        <v>please select a BUG ID</v>
      </c>
      <c r="D975" s="54"/>
      <c r="E975" s="56"/>
      <c r="F975" s="54"/>
      <c r="G975" s="56"/>
      <c r="H975" s="54"/>
      <c r="I975" s="56"/>
      <c r="J975" s="54"/>
      <c r="K975" s="92"/>
      <c r="L975" s="54"/>
      <c r="N975" s="82"/>
      <c r="O975" s="92"/>
      <c r="P975" s="82"/>
      <c r="Q975" s="92"/>
      <c r="R975" s="79"/>
      <c r="S975" s="92"/>
      <c r="T975" s="117"/>
      <c r="U975" s="92"/>
      <c r="V975" s="82"/>
      <c r="W975" s="92"/>
      <c r="X975" s="82"/>
      <c r="Y975" s="92"/>
      <c r="Z975" s="82"/>
      <c r="AA975" s="92"/>
      <c r="AB975" s="82"/>
      <c r="AC975" s="92"/>
      <c r="AD975" s="82"/>
      <c r="AE975" s="92"/>
      <c r="AF975" s="82"/>
      <c r="AG975" s="92"/>
      <c r="AH975" s="82"/>
      <c r="AI975" s="92"/>
      <c r="AJ975" s="82"/>
      <c r="AK975" s="92"/>
      <c r="AL975" s="82"/>
      <c r="AM975" s="92"/>
      <c r="AN975" s="123"/>
      <c r="AO975" s="54"/>
      <c r="AP975" s="123"/>
      <c r="AQ975" s="54"/>
      <c r="AR975" s="154"/>
      <c r="AS975" s="1"/>
      <c r="AT975" s="1"/>
      <c r="AU975" s="9"/>
    </row>
    <row r="976">
      <c r="A976" s="54"/>
      <c r="B976" s="71" t="str">
        <f>IFERROR(HYPERLINK(VLOOKUP(A976,Internal_lists_bugs!$A$2:$C$73,3,FALSE()), VLOOKUP(A976,Internal_lists_bugs!$A$2:$C$73,3,FALSE())&amp;Char(10) &amp; Char(10) &amp; VLOOKUP(A976,Internal_lists_bugs!$A$2:$Z$73,26,FALSE())),"please select a BUG ID")</f>
        <v>please select a BUG ID</v>
      </c>
      <c r="C976" s="51" t="str">
        <f>IFERROR(VLOOKUP(A976,Internal_lists_bugs!$A$2:$G2002,7,FALSE()),"please select a BUG ID")</f>
        <v>please select a BUG ID</v>
      </c>
      <c r="D976" s="54"/>
      <c r="E976" s="56"/>
      <c r="F976" s="54"/>
      <c r="G976" s="56"/>
      <c r="H976" s="54"/>
      <c r="I976" s="56"/>
      <c r="J976" s="54"/>
      <c r="K976" s="92"/>
      <c r="L976" s="54"/>
      <c r="N976" s="82"/>
      <c r="O976" s="92"/>
      <c r="P976" s="82"/>
      <c r="Q976" s="92"/>
      <c r="R976" s="82"/>
      <c r="S976" s="92"/>
      <c r="T976" s="117"/>
      <c r="U976" s="92"/>
      <c r="V976" s="82"/>
      <c r="W976" s="92"/>
      <c r="X976" s="82"/>
      <c r="Y976" s="92"/>
      <c r="Z976" s="82"/>
      <c r="AA976" s="92"/>
      <c r="AB976" s="82"/>
      <c r="AC976" s="92"/>
      <c r="AD976" s="82"/>
      <c r="AE976" s="92"/>
      <c r="AF976" s="82"/>
      <c r="AG976" s="92"/>
      <c r="AH976" s="82"/>
      <c r="AI976" s="92"/>
      <c r="AJ976" s="82"/>
      <c r="AK976" s="92"/>
      <c r="AL976" s="82"/>
      <c r="AM976" s="92"/>
      <c r="AN976" s="123"/>
      <c r="AO976" s="54"/>
      <c r="AP976" s="123"/>
      <c r="AQ976" s="54"/>
      <c r="AR976" s="154"/>
      <c r="AS976" s="1"/>
      <c r="AT976" s="1"/>
      <c r="AU976" s="9"/>
    </row>
    <row r="977">
      <c r="A977" s="54"/>
      <c r="B977" s="71" t="str">
        <f>IFERROR(HYPERLINK(VLOOKUP(A977,Internal_lists_bugs!$A$2:$C$73,3,FALSE()), VLOOKUP(A977,Internal_lists_bugs!$A$2:$C$73,3,FALSE())&amp;Char(10) &amp; Char(10) &amp; VLOOKUP(A977,Internal_lists_bugs!$A$2:$Z$73,26,FALSE())),"please select a BUG ID")</f>
        <v>please select a BUG ID</v>
      </c>
      <c r="C977" s="51" t="str">
        <f>IFERROR(VLOOKUP(A977,Internal_lists_bugs!$A$2:$G2002,7,FALSE()),"please select a BUG ID")</f>
        <v>please select a BUG ID</v>
      </c>
      <c r="D977" s="54"/>
      <c r="E977" s="56"/>
      <c r="F977" s="54"/>
      <c r="G977" s="56"/>
      <c r="H977" s="54"/>
      <c r="I977" s="56"/>
      <c r="J977" s="54"/>
      <c r="K977" s="92"/>
      <c r="L977" s="54"/>
      <c r="N977" s="82"/>
      <c r="O977" s="92"/>
      <c r="P977" s="82"/>
      <c r="Q977" s="92"/>
      <c r="R977" s="82"/>
      <c r="S977" s="92"/>
      <c r="T977" s="117"/>
      <c r="U977" s="92"/>
      <c r="V977" s="82"/>
      <c r="W977" s="92"/>
      <c r="X977" s="82"/>
      <c r="Y977" s="92"/>
      <c r="Z977" s="82"/>
      <c r="AA977" s="92"/>
      <c r="AB977" s="82"/>
      <c r="AC977" s="92"/>
      <c r="AD977" s="82"/>
      <c r="AE977" s="92"/>
      <c r="AF977" s="82"/>
      <c r="AG977" s="92"/>
      <c r="AH977" s="82"/>
      <c r="AI977" s="92"/>
      <c r="AJ977" s="82"/>
      <c r="AK977" s="92"/>
      <c r="AL977" s="82"/>
      <c r="AM977" s="92"/>
      <c r="AN977" s="123"/>
      <c r="AO977" s="54"/>
      <c r="AP977" s="123"/>
      <c r="AQ977" s="54"/>
      <c r="AR977" s="154"/>
      <c r="AS977" s="1"/>
      <c r="AT977" s="1"/>
      <c r="AU977" s="9"/>
    </row>
    <row r="978">
      <c r="A978" s="54"/>
      <c r="B978" s="71" t="str">
        <f>IFERROR(HYPERLINK(VLOOKUP(A978,Internal_lists_bugs!$A$2:$C$73,3,FALSE()), VLOOKUP(A978,Internal_lists_bugs!$A$2:$C$73,3,FALSE())&amp;Char(10) &amp; Char(10) &amp; VLOOKUP(A978,Internal_lists_bugs!$A$2:$Z$73,26,FALSE())),"please select a BUG ID")</f>
        <v>please select a BUG ID</v>
      </c>
      <c r="C978" s="51" t="str">
        <f>IFERROR(VLOOKUP(A978,Internal_lists_bugs!$A$2:$G2002,7,FALSE()),"please select a BUG ID")</f>
        <v>please select a BUG ID</v>
      </c>
      <c r="D978" s="54"/>
      <c r="E978" s="56"/>
      <c r="F978" s="54"/>
      <c r="G978" s="56"/>
      <c r="H978" s="54"/>
      <c r="I978" s="56"/>
      <c r="J978" s="54"/>
      <c r="K978" s="92"/>
      <c r="L978" s="54"/>
      <c r="N978" s="82"/>
      <c r="O978" s="92"/>
      <c r="P978" s="82"/>
      <c r="Q978" s="92"/>
      <c r="R978" s="82"/>
      <c r="S978" s="92"/>
      <c r="T978" s="117"/>
      <c r="U978" s="92"/>
      <c r="V978" s="82"/>
      <c r="W978" s="92"/>
      <c r="X978" s="82"/>
      <c r="Y978" s="92"/>
      <c r="Z978" s="82"/>
      <c r="AA978" s="92"/>
      <c r="AB978" s="82"/>
      <c r="AC978" s="92"/>
      <c r="AD978" s="82"/>
      <c r="AE978" s="92"/>
      <c r="AF978" s="82"/>
      <c r="AG978" s="92"/>
      <c r="AH978" s="82"/>
      <c r="AI978" s="92"/>
      <c r="AJ978" s="82"/>
      <c r="AK978" s="92"/>
      <c r="AL978" s="82"/>
      <c r="AM978" s="92"/>
      <c r="AN978" s="123"/>
      <c r="AO978" s="54"/>
      <c r="AP978" s="123"/>
      <c r="AQ978" s="54"/>
      <c r="AR978" s="154"/>
      <c r="AS978" s="1"/>
      <c r="AT978" s="1"/>
      <c r="AU978" s="9"/>
    </row>
    <row r="979">
      <c r="A979" s="54"/>
      <c r="B979" s="71" t="str">
        <f>IFERROR(HYPERLINK(VLOOKUP(A979,Internal_lists_bugs!$A$2:$C$73,3,FALSE()), VLOOKUP(A979,Internal_lists_bugs!$A$2:$C$73,3,FALSE())&amp;Char(10) &amp; Char(10) &amp; VLOOKUP(A979,Internal_lists_bugs!$A$2:$Z$73,26,FALSE())),"please select a BUG ID")</f>
        <v>please select a BUG ID</v>
      </c>
      <c r="C979" s="51" t="str">
        <f>IFERROR(VLOOKUP(A979,Internal_lists_bugs!$A$2:$G2002,7,FALSE()),"please select a BUG ID")</f>
        <v>please select a BUG ID</v>
      </c>
      <c r="D979" s="54"/>
      <c r="E979" s="56"/>
      <c r="F979" s="54"/>
      <c r="G979" s="56"/>
      <c r="H979" s="54"/>
      <c r="I979" s="56"/>
      <c r="J979" s="54"/>
      <c r="K979" s="92"/>
      <c r="L979" s="54"/>
      <c r="N979" s="82"/>
      <c r="O979" s="92"/>
      <c r="P979" s="82"/>
      <c r="Q979" s="92"/>
      <c r="R979" s="82"/>
      <c r="S979" s="92"/>
      <c r="T979" s="117"/>
      <c r="U979" s="92"/>
      <c r="V979" s="82"/>
      <c r="W979" s="92"/>
      <c r="X979" s="82"/>
      <c r="Y979" s="92"/>
      <c r="Z979" s="82"/>
      <c r="AA979" s="92"/>
      <c r="AB979" s="82"/>
      <c r="AC979" s="92"/>
      <c r="AD979" s="82"/>
      <c r="AE979" s="92"/>
      <c r="AF979" s="82"/>
      <c r="AG979" s="92"/>
      <c r="AH979" s="82"/>
      <c r="AI979" s="92"/>
      <c r="AJ979" s="82"/>
      <c r="AK979" s="92"/>
      <c r="AL979" s="82"/>
      <c r="AM979" s="92"/>
      <c r="AN979" s="123"/>
      <c r="AO979" s="54"/>
      <c r="AP979" s="123"/>
      <c r="AQ979" s="54"/>
      <c r="AR979" s="154"/>
      <c r="AS979" s="1"/>
      <c r="AT979" s="1"/>
      <c r="AU979" s="9"/>
    </row>
    <row r="980">
      <c r="A980" s="54"/>
      <c r="B980" s="71" t="str">
        <f>IFERROR(HYPERLINK(VLOOKUP(A980,Internal_lists_bugs!$A$2:$C$73,3,FALSE()), VLOOKUP(A980,Internal_lists_bugs!$A$2:$C$73,3,FALSE())&amp;Char(10) &amp; Char(10) &amp; VLOOKUP(A980,Internal_lists_bugs!$A$2:$Z$73,26,FALSE())),"please select a BUG ID")</f>
        <v>please select a BUG ID</v>
      </c>
      <c r="C980" s="51" t="str">
        <f>IFERROR(VLOOKUP(A980,Internal_lists_bugs!$A$2:$G2002,7,FALSE()),"please select a BUG ID")</f>
        <v>please select a BUG ID</v>
      </c>
      <c r="D980" s="54"/>
      <c r="E980" s="56"/>
      <c r="F980" s="54"/>
      <c r="G980" s="56"/>
      <c r="H980" s="54"/>
      <c r="I980" s="56"/>
      <c r="J980" s="54"/>
      <c r="K980" s="92"/>
      <c r="L980" s="54"/>
      <c r="N980" s="82"/>
      <c r="O980" s="92"/>
      <c r="P980" s="82"/>
      <c r="Q980" s="92"/>
      <c r="R980" s="82"/>
      <c r="S980" s="92"/>
      <c r="T980" s="117"/>
      <c r="U980" s="92"/>
      <c r="V980" s="82"/>
      <c r="W980" s="92"/>
      <c r="X980" s="82"/>
      <c r="Y980" s="92"/>
      <c r="Z980" s="82"/>
      <c r="AA980" s="92"/>
      <c r="AB980" s="82"/>
      <c r="AC980" s="92"/>
      <c r="AD980" s="82"/>
      <c r="AE980" s="92"/>
      <c r="AF980" s="82"/>
      <c r="AG980" s="92"/>
      <c r="AH980" s="82"/>
      <c r="AI980" s="92"/>
      <c r="AJ980" s="82"/>
      <c r="AK980" s="92"/>
      <c r="AL980" s="82"/>
      <c r="AM980" s="92"/>
      <c r="AN980" s="123"/>
      <c r="AO980" s="54"/>
      <c r="AP980" s="123"/>
      <c r="AQ980" s="54"/>
      <c r="AR980" s="154"/>
      <c r="AS980" s="1"/>
      <c r="AT980" s="1"/>
      <c r="AU980" s="9"/>
    </row>
    <row r="981">
      <c r="A981" s="54"/>
      <c r="B981" s="71" t="str">
        <f>IFERROR(HYPERLINK(VLOOKUP(A981,Internal_lists_bugs!$A$2:$C$73,3,FALSE()), VLOOKUP(A981,Internal_lists_bugs!$A$2:$C$73,3,FALSE())&amp;Char(10) &amp; Char(10) &amp; VLOOKUP(A981,Internal_lists_bugs!$A$2:$Z$73,26,FALSE())),"please select a BUG ID")</f>
        <v>please select a BUG ID</v>
      </c>
      <c r="C981" s="51" t="str">
        <f>IFERROR(VLOOKUP(A981,Internal_lists_bugs!$A$2:$G2002,7,FALSE()),"please select a BUG ID")</f>
        <v>please select a BUG ID</v>
      </c>
      <c r="D981" s="54"/>
      <c r="E981" s="56"/>
      <c r="F981" s="54"/>
      <c r="G981" s="56"/>
      <c r="H981" s="54"/>
      <c r="I981" s="56"/>
      <c r="J981" s="54"/>
      <c r="K981" s="92"/>
      <c r="L981" s="54"/>
      <c r="N981" s="82"/>
      <c r="O981" s="92"/>
      <c r="P981" s="82"/>
      <c r="Q981" s="92"/>
      <c r="R981" s="82"/>
      <c r="S981" s="92"/>
      <c r="T981" s="117"/>
      <c r="U981" s="92"/>
      <c r="V981" s="82"/>
      <c r="W981" s="92"/>
      <c r="X981" s="82"/>
      <c r="Y981" s="92"/>
      <c r="Z981" s="82"/>
      <c r="AA981" s="92"/>
      <c r="AB981" s="82"/>
      <c r="AC981" s="92"/>
      <c r="AD981" s="82"/>
      <c r="AE981" s="92"/>
      <c r="AF981" s="82"/>
      <c r="AG981" s="92"/>
      <c r="AH981" s="82"/>
      <c r="AI981" s="92"/>
      <c r="AJ981" s="82"/>
      <c r="AK981" s="92"/>
      <c r="AL981" s="82"/>
      <c r="AM981" s="92"/>
      <c r="AN981" s="123"/>
      <c r="AO981" s="54"/>
      <c r="AP981" s="123"/>
      <c r="AQ981" s="54"/>
      <c r="AR981" s="154"/>
      <c r="AS981" s="1"/>
      <c r="AT981" s="1"/>
      <c r="AU981" s="9"/>
    </row>
    <row r="982">
      <c r="A982" s="54"/>
      <c r="B982" s="71" t="str">
        <f>IFERROR(HYPERLINK(VLOOKUP(A982,Internal_lists_bugs!$A$2:$C$73,3,FALSE()), VLOOKUP(A982,Internal_lists_bugs!$A$2:$C$73,3,FALSE())&amp;Char(10) &amp; Char(10) &amp; VLOOKUP(A982,Internal_lists_bugs!$A$2:$Z$73,26,FALSE())),"please select a BUG ID")</f>
        <v>please select a BUG ID</v>
      </c>
      <c r="C982" s="51" t="str">
        <f>IFERROR(VLOOKUP(A982,Internal_lists_bugs!$A$2:$G2002,7,FALSE()),"please select a BUG ID")</f>
        <v>please select a BUG ID</v>
      </c>
      <c r="D982" s="54"/>
      <c r="E982" s="56"/>
      <c r="F982" s="54"/>
      <c r="G982" s="56"/>
      <c r="H982" s="54"/>
      <c r="I982" s="56"/>
      <c r="J982" s="54"/>
      <c r="K982" s="92"/>
      <c r="L982" s="54"/>
      <c r="N982" s="82"/>
      <c r="O982" s="92"/>
      <c r="P982" s="82"/>
      <c r="Q982" s="92"/>
      <c r="R982" s="82"/>
      <c r="S982" s="92"/>
      <c r="T982" s="117"/>
      <c r="U982" s="92"/>
      <c r="V982" s="82"/>
      <c r="W982" s="92"/>
      <c r="X982" s="82"/>
      <c r="Y982" s="92"/>
      <c r="Z982" s="82"/>
      <c r="AA982" s="92"/>
      <c r="AB982" s="82"/>
      <c r="AC982" s="92"/>
      <c r="AD982" s="82"/>
      <c r="AE982" s="92"/>
      <c r="AF982" s="82"/>
      <c r="AG982" s="92"/>
      <c r="AH982" s="82"/>
      <c r="AI982" s="92"/>
      <c r="AJ982" s="82"/>
      <c r="AK982" s="92"/>
      <c r="AL982" s="82"/>
      <c r="AM982" s="92"/>
      <c r="AN982" s="123"/>
      <c r="AO982" s="54"/>
      <c r="AP982" s="123"/>
      <c r="AQ982" s="54"/>
      <c r="AR982" s="154"/>
      <c r="AS982" s="1"/>
      <c r="AT982" s="1"/>
      <c r="AU982" s="9"/>
    </row>
    <row r="983">
      <c r="A983" s="54"/>
      <c r="B983" s="71" t="str">
        <f>IFERROR(HYPERLINK(VLOOKUP(A983,Internal_lists_bugs!$A$2:$C$73,3,FALSE()), VLOOKUP(A983,Internal_lists_bugs!$A$2:$C$73,3,FALSE())&amp;Char(10) &amp; Char(10) &amp; VLOOKUP(A983,Internal_lists_bugs!$A$2:$Z$73,26,FALSE())),"please select a BUG ID")</f>
        <v>please select a BUG ID</v>
      </c>
      <c r="C983" s="51" t="str">
        <f>IFERROR(VLOOKUP(A983,Internal_lists_bugs!$A$2:$G2002,7,FALSE()),"please select a BUG ID")</f>
        <v>please select a BUG ID</v>
      </c>
      <c r="D983" s="54"/>
      <c r="E983" s="56"/>
      <c r="F983" s="54"/>
      <c r="G983" s="56"/>
      <c r="H983" s="54"/>
      <c r="I983" s="56"/>
      <c r="J983" s="54"/>
      <c r="K983" s="92"/>
      <c r="L983" s="54"/>
      <c r="N983" s="82"/>
      <c r="O983" s="92"/>
      <c r="P983" s="82"/>
      <c r="Q983" s="92"/>
      <c r="R983" s="82"/>
      <c r="S983" s="92"/>
      <c r="T983" s="117"/>
      <c r="U983" s="92"/>
      <c r="V983" s="82"/>
      <c r="W983" s="92"/>
      <c r="X983" s="82"/>
      <c r="Y983" s="92"/>
      <c r="Z983" s="82"/>
      <c r="AA983" s="92"/>
      <c r="AB983" s="82"/>
      <c r="AC983" s="92"/>
      <c r="AD983" s="82"/>
      <c r="AE983" s="92"/>
      <c r="AF983" s="82"/>
      <c r="AG983" s="92"/>
      <c r="AH983" s="82"/>
      <c r="AI983" s="92"/>
      <c r="AJ983" s="82"/>
      <c r="AK983" s="92"/>
      <c r="AL983" s="82"/>
      <c r="AM983" s="92"/>
      <c r="AN983" s="123"/>
      <c r="AO983" s="54"/>
      <c r="AP983" s="123"/>
      <c r="AQ983" s="54"/>
      <c r="AR983" s="154"/>
      <c r="AS983" s="1"/>
      <c r="AT983" s="1"/>
      <c r="AU983" s="9"/>
    </row>
    <row r="984">
      <c r="A984" s="54"/>
      <c r="B984" s="71" t="str">
        <f>IFERROR(HYPERLINK(VLOOKUP(A984,Internal_lists_bugs!$A$2:$C$73,3,FALSE()), VLOOKUP(A984,Internal_lists_bugs!$A$2:$C$73,3,FALSE())&amp;Char(10) &amp; Char(10) &amp; VLOOKUP(A984,Internal_lists_bugs!$A$2:$Z$73,26,FALSE())),"please select a BUG ID")</f>
        <v>please select a BUG ID</v>
      </c>
      <c r="C984" s="51" t="str">
        <f>IFERROR(VLOOKUP(A984,Internal_lists_bugs!$A$2:$G2002,7,FALSE()),"please select a BUG ID")</f>
        <v>please select a BUG ID</v>
      </c>
      <c r="D984" s="54"/>
      <c r="E984" s="56"/>
      <c r="F984" s="54"/>
      <c r="G984" s="56"/>
      <c r="H984" s="54"/>
      <c r="I984" s="56"/>
      <c r="J984" s="54"/>
      <c r="K984" s="92"/>
      <c r="L984" s="54"/>
      <c r="N984" s="82"/>
      <c r="O984" s="92"/>
      <c r="P984" s="82"/>
      <c r="Q984" s="92"/>
      <c r="R984" s="82"/>
      <c r="S984" s="92"/>
      <c r="T984" s="117"/>
      <c r="U984" s="92"/>
      <c r="V984" s="82"/>
      <c r="W984" s="92"/>
      <c r="X984" s="82"/>
      <c r="Y984" s="92"/>
      <c r="Z984" s="82"/>
      <c r="AA984" s="92"/>
      <c r="AB984" s="82"/>
      <c r="AC984" s="92"/>
      <c r="AD984" s="82"/>
      <c r="AE984" s="92"/>
      <c r="AF984" s="82"/>
      <c r="AG984" s="92"/>
      <c r="AH984" s="82"/>
      <c r="AI984" s="92"/>
      <c r="AJ984" s="82"/>
      <c r="AK984" s="92"/>
      <c r="AL984" s="82"/>
      <c r="AM984" s="92"/>
      <c r="AN984" s="123"/>
      <c r="AO984" s="54"/>
      <c r="AP984" s="123"/>
      <c r="AQ984" s="54"/>
      <c r="AR984" s="154"/>
      <c r="AS984" s="1"/>
      <c r="AT984" s="1"/>
      <c r="AU984" s="9"/>
    </row>
    <row r="985">
      <c r="A985" s="54"/>
      <c r="B985" s="71" t="str">
        <f>IFERROR(HYPERLINK(VLOOKUP(A985,Internal_lists_bugs!$A$2:$C$73,3,FALSE()), VLOOKUP(A985,Internal_lists_bugs!$A$2:$C$73,3,FALSE())&amp;Char(10) &amp; Char(10) &amp; VLOOKUP(A985,Internal_lists_bugs!$A$2:$Z$73,26,FALSE())),"please select a BUG ID")</f>
        <v>please select a BUG ID</v>
      </c>
      <c r="C985" s="51" t="str">
        <f>IFERROR(VLOOKUP(A985,Internal_lists_bugs!$A$2:$G2002,7,FALSE()),"please select a BUG ID")</f>
        <v>please select a BUG ID</v>
      </c>
      <c r="D985" s="54"/>
      <c r="E985" s="56"/>
      <c r="F985" s="54"/>
      <c r="G985" s="56"/>
      <c r="H985" s="54"/>
      <c r="I985" s="56"/>
      <c r="J985" s="54"/>
      <c r="K985" s="92"/>
      <c r="L985" s="54"/>
      <c r="N985" s="82"/>
      <c r="O985" s="92"/>
      <c r="P985" s="82"/>
      <c r="Q985" s="92"/>
      <c r="R985" s="82"/>
      <c r="S985" s="92"/>
      <c r="T985" s="117"/>
      <c r="U985" s="92"/>
      <c r="V985" s="82"/>
      <c r="W985" s="92"/>
      <c r="X985" s="82"/>
      <c r="Y985" s="92"/>
      <c r="Z985" s="82"/>
      <c r="AA985" s="92"/>
      <c r="AB985" s="82"/>
      <c r="AC985" s="92"/>
      <c r="AD985" s="82"/>
      <c r="AE985" s="92"/>
      <c r="AF985" s="82"/>
      <c r="AG985" s="92"/>
      <c r="AH985" s="82"/>
      <c r="AI985" s="92"/>
      <c r="AJ985" s="82"/>
      <c r="AK985" s="92"/>
      <c r="AL985" s="82"/>
      <c r="AM985" s="92"/>
      <c r="AN985" s="123"/>
      <c r="AO985" s="54"/>
      <c r="AP985" s="123"/>
      <c r="AQ985" s="54"/>
      <c r="AR985" s="154"/>
      <c r="AS985" s="1"/>
      <c r="AT985" s="1"/>
      <c r="AU985" s="9"/>
    </row>
    <row r="986">
      <c r="A986" s="54"/>
      <c r="B986" s="71" t="str">
        <f>IFERROR(HYPERLINK(VLOOKUP(A986,Internal_lists_bugs!$A$2:$C$73,3,FALSE()), VLOOKUP(A986,Internal_lists_bugs!$A$2:$C$73,3,FALSE())&amp;Char(10) &amp; Char(10) &amp; VLOOKUP(A986,Internal_lists_bugs!$A$2:$Z$73,26,FALSE())),"please select a BUG ID")</f>
        <v>please select a BUG ID</v>
      </c>
      <c r="C986" s="51" t="str">
        <f>IFERROR(VLOOKUP(A986,Internal_lists_bugs!$A$2:$G2002,7,FALSE()),"please select a BUG ID")</f>
        <v>please select a BUG ID</v>
      </c>
      <c r="D986" s="54"/>
      <c r="E986" s="56"/>
      <c r="F986" s="54"/>
      <c r="G986" s="56"/>
      <c r="H986" s="54"/>
      <c r="I986" s="56"/>
      <c r="J986" s="54"/>
      <c r="K986" s="92"/>
      <c r="L986" s="54"/>
      <c r="N986" s="82"/>
      <c r="O986" s="92"/>
      <c r="P986" s="82"/>
      <c r="Q986" s="92"/>
      <c r="R986" s="82"/>
      <c r="S986" s="92"/>
      <c r="T986" s="117"/>
      <c r="U986" s="92"/>
      <c r="V986" s="82"/>
      <c r="W986" s="92"/>
      <c r="X986" s="82"/>
      <c r="Y986" s="92"/>
      <c r="Z986" s="82"/>
      <c r="AA986" s="92"/>
      <c r="AB986" s="82"/>
      <c r="AC986" s="92"/>
      <c r="AD986" s="82"/>
      <c r="AE986" s="92"/>
      <c r="AF986" s="82"/>
      <c r="AG986" s="92"/>
      <c r="AH986" s="82"/>
      <c r="AI986" s="92"/>
      <c r="AJ986" s="82"/>
      <c r="AK986" s="92"/>
      <c r="AL986" s="82"/>
      <c r="AM986" s="92"/>
      <c r="AN986" s="123"/>
      <c r="AO986" s="54"/>
      <c r="AP986" s="123"/>
      <c r="AQ986" s="54"/>
      <c r="AR986" s="154"/>
      <c r="AS986" s="1"/>
      <c r="AT986" s="1"/>
      <c r="AU986" s="9"/>
    </row>
    <row r="987">
      <c r="A987" s="54"/>
      <c r="B987" s="71" t="str">
        <f>IFERROR(HYPERLINK(VLOOKUP(A987,Internal_lists_bugs!$A$2:$C$73,3,FALSE()), VLOOKUP(A987,Internal_lists_bugs!$A$2:$C$73,3,FALSE())&amp;Char(10) &amp; Char(10) &amp; VLOOKUP(A987,Internal_lists_bugs!$A$2:$Z$73,26,FALSE())),"please select a BUG ID")</f>
        <v>please select a BUG ID</v>
      </c>
      <c r="C987" s="51" t="str">
        <f>IFERROR(VLOOKUP(A987,Internal_lists_bugs!$A$2:$G2002,7,FALSE()),"please select a BUG ID")</f>
        <v>please select a BUG ID</v>
      </c>
      <c r="D987" s="54"/>
      <c r="E987" s="56"/>
      <c r="F987" s="54"/>
      <c r="G987" s="56"/>
      <c r="H987" s="54"/>
      <c r="I987" s="56"/>
      <c r="J987" s="54"/>
      <c r="K987" s="92"/>
      <c r="L987" s="54"/>
      <c r="N987" s="82"/>
      <c r="O987" s="92"/>
      <c r="P987" s="82"/>
      <c r="Q987" s="92"/>
      <c r="R987" s="82"/>
      <c r="S987" s="92"/>
      <c r="T987" s="117"/>
      <c r="U987" s="92"/>
      <c r="V987" s="82"/>
      <c r="W987" s="92"/>
      <c r="X987" s="82"/>
      <c r="Y987" s="92"/>
      <c r="Z987" s="82"/>
      <c r="AA987" s="92"/>
      <c r="AB987" s="82"/>
      <c r="AC987" s="92"/>
      <c r="AD987" s="82"/>
      <c r="AE987" s="92"/>
      <c r="AF987" s="82"/>
      <c r="AG987" s="92"/>
      <c r="AH987" s="82"/>
      <c r="AI987" s="92"/>
      <c r="AJ987" s="82"/>
      <c r="AK987" s="92"/>
      <c r="AL987" s="82"/>
      <c r="AM987" s="92"/>
      <c r="AN987" s="123"/>
      <c r="AO987" s="54"/>
      <c r="AP987" s="123"/>
      <c r="AQ987" s="54"/>
      <c r="AR987" s="154"/>
      <c r="AS987" s="1"/>
      <c r="AT987" s="1"/>
      <c r="AU987" s="9"/>
    </row>
    <row r="988">
      <c r="A988" s="54"/>
      <c r="B988" s="71" t="str">
        <f>IFERROR(HYPERLINK(VLOOKUP(A988,Internal_lists_bugs!$A$2:$C$73,3,FALSE()), VLOOKUP(A988,Internal_lists_bugs!$A$2:$C$73,3,FALSE())&amp;Char(10) &amp; Char(10) &amp; VLOOKUP(A988,Internal_lists_bugs!$A$2:$Z$73,26,FALSE())),"please select a BUG ID")</f>
        <v>please select a BUG ID</v>
      </c>
      <c r="C988" s="51" t="str">
        <f>IFERROR(VLOOKUP(A988,Internal_lists_bugs!$A$2:$G2002,7,FALSE()),"please select a BUG ID")</f>
        <v>please select a BUG ID</v>
      </c>
      <c r="D988" s="54"/>
      <c r="E988" s="56"/>
      <c r="F988" s="54"/>
      <c r="G988" s="56"/>
      <c r="H988" s="54"/>
      <c r="I988" s="56"/>
      <c r="J988" s="54"/>
      <c r="K988" s="92"/>
      <c r="L988" s="54"/>
      <c r="N988" s="82"/>
      <c r="O988" s="92"/>
      <c r="P988" s="82"/>
      <c r="Q988" s="92"/>
      <c r="R988" s="82"/>
      <c r="S988" s="92"/>
      <c r="T988" s="117"/>
      <c r="U988" s="92"/>
      <c r="V988" s="82"/>
      <c r="W988" s="92"/>
      <c r="X988" s="82"/>
      <c r="Y988" s="92"/>
      <c r="Z988" s="82"/>
      <c r="AA988" s="92"/>
      <c r="AB988" s="82"/>
      <c r="AC988" s="92"/>
      <c r="AD988" s="82"/>
      <c r="AE988" s="92"/>
      <c r="AF988" s="82"/>
      <c r="AG988" s="92"/>
      <c r="AH988" s="82"/>
      <c r="AI988" s="92"/>
      <c r="AJ988" s="82"/>
      <c r="AK988" s="92"/>
      <c r="AL988" s="82"/>
      <c r="AM988" s="92"/>
      <c r="AN988" s="123"/>
      <c r="AO988" s="54"/>
      <c r="AP988" s="123"/>
      <c r="AQ988" s="54"/>
      <c r="AR988" s="154"/>
      <c r="AS988" s="1"/>
      <c r="AT988" s="1"/>
      <c r="AU988" s="9"/>
    </row>
    <row r="989">
      <c r="A989" s="54"/>
      <c r="B989" s="71" t="str">
        <f>IFERROR(HYPERLINK(VLOOKUP(A989,Internal_lists_bugs!$A$2:$C$73,3,FALSE()), VLOOKUP(A989,Internal_lists_bugs!$A$2:$C$73,3,FALSE())&amp;Char(10) &amp; Char(10) &amp; VLOOKUP(A989,Internal_lists_bugs!$A$2:$Z$73,26,FALSE())),"please select a BUG ID")</f>
        <v>please select a BUG ID</v>
      </c>
      <c r="C989" s="51" t="str">
        <f>IFERROR(VLOOKUP(A989,Internal_lists_bugs!$A$2:$G2002,7,FALSE()),"please select a BUG ID")</f>
        <v>please select a BUG ID</v>
      </c>
      <c r="D989" s="54"/>
      <c r="E989" s="56"/>
      <c r="F989" s="54"/>
      <c r="G989" s="56"/>
      <c r="H989" s="54"/>
      <c r="I989" s="56"/>
      <c r="J989" s="54"/>
      <c r="K989" s="92"/>
      <c r="L989" s="54"/>
      <c r="N989" s="82"/>
      <c r="O989" s="92"/>
      <c r="P989" s="82"/>
      <c r="Q989" s="92"/>
      <c r="R989" s="82"/>
      <c r="S989" s="92"/>
      <c r="T989" s="117"/>
      <c r="U989" s="92"/>
      <c r="V989" s="82"/>
      <c r="W989" s="92"/>
      <c r="X989" s="82"/>
      <c r="Y989" s="92"/>
      <c r="Z989" s="82"/>
      <c r="AA989" s="92"/>
      <c r="AB989" s="82"/>
      <c r="AC989" s="92"/>
      <c r="AD989" s="82"/>
      <c r="AE989" s="92"/>
      <c r="AF989" s="82"/>
      <c r="AG989" s="92"/>
      <c r="AH989" s="82"/>
      <c r="AI989" s="92"/>
      <c r="AJ989" s="82"/>
      <c r="AK989" s="92"/>
      <c r="AL989" s="82"/>
      <c r="AM989" s="92"/>
      <c r="AN989" s="123"/>
      <c r="AO989" s="54"/>
      <c r="AP989" s="123"/>
      <c r="AQ989" s="54"/>
      <c r="AR989" s="154"/>
      <c r="AS989" s="1"/>
      <c r="AT989" s="1"/>
      <c r="AU989" s="9"/>
    </row>
    <row r="990">
      <c r="A990" s="54"/>
      <c r="B990" s="71" t="str">
        <f>IFERROR(HYPERLINK(VLOOKUP(A990,Internal_lists_bugs!$A$2:$C$73,3,FALSE()), VLOOKUP(A990,Internal_lists_bugs!$A$2:$C$73,3,FALSE())&amp;Char(10) &amp; Char(10) &amp; VLOOKUP(A990,Internal_lists_bugs!$A$2:$Z$73,26,FALSE())),"please select a BUG ID")</f>
        <v>please select a BUG ID</v>
      </c>
      <c r="C990" s="51" t="str">
        <f>IFERROR(VLOOKUP(A990,Internal_lists_bugs!$A$2:$G2002,7,FALSE()),"please select a BUG ID")</f>
        <v>please select a BUG ID</v>
      </c>
      <c r="D990" s="54"/>
      <c r="E990" s="56"/>
      <c r="F990" s="54"/>
      <c r="G990" s="56"/>
      <c r="H990" s="54"/>
      <c r="I990" s="56"/>
      <c r="J990" s="54"/>
      <c r="K990" s="92"/>
      <c r="L990" s="54"/>
      <c r="N990" s="82"/>
      <c r="O990" s="92"/>
      <c r="P990" s="82"/>
      <c r="Q990" s="92"/>
      <c r="R990" s="82"/>
      <c r="S990" s="92"/>
      <c r="T990" s="170"/>
      <c r="U990" s="92"/>
      <c r="V990" s="82"/>
      <c r="W990" s="92"/>
      <c r="X990" s="82"/>
      <c r="Y990" s="92"/>
      <c r="Z990" s="82"/>
      <c r="AA990" s="92"/>
      <c r="AB990" s="82"/>
      <c r="AC990" s="92"/>
      <c r="AD990" s="82"/>
      <c r="AE990" s="92"/>
      <c r="AF990" s="82"/>
      <c r="AG990" s="92"/>
      <c r="AH990" s="82"/>
      <c r="AI990" s="92"/>
      <c r="AJ990" s="82"/>
      <c r="AK990" s="92"/>
      <c r="AL990" s="82"/>
      <c r="AM990" s="92"/>
      <c r="AN990" s="123"/>
      <c r="AO990" s="54"/>
      <c r="AP990" s="123"/>
      <c r="AQ990" s="54"/>
      <c r="AR990" s="154"/>
      <c r="AS990" s="1"/>
      <c r="AT990" s="1"/>
      <c r="AU990" s="9"/>
    </row>
    <row r="991">
      <c r="A991" s="54"/>
      <c r="B991" s="71" t="str">
        <f>IFERROR(HYPERLINK(VLOOKUP(A991,Internal_lists_bugs!$A$2:$C$73,3,FALSE()), VLOOKUP(A991,Internal_lists_bugs!$A$2:$C$73,3,FALSE())&amp;Char(10) &amp; Char(10) &amp; VLOOKUP(A991,Internal_lists_bugs!$A$2:$Z$73,26,FALSE())),"please select a BUG ID")</f>
        <v>please select a BUG ID</v>
      </c>
      <c r="C991" s="51" t="str">
        <f>IFERROR(VLOOKUP(A991,Internal_lists_bugs!$A$2:$G2002,7,FALSE()),"please select a BUG ID")</f>
        <v>please select a BUG ID</v>
      </c>
      <c r="D991" s="54"/>
      <c r="E991" s="56"/>
      <c r="F991" s="54"/>
      <c r="G991" s="56"/>
      <c r="H991" s="54"/>
      <c r="I991" s="56"/>
      <c r="J991" s="54"/>
      <c r="K991" s="92"/>
      <c r="L991" s="54"/>
      <c r="N991" s="82"/>
      <c r="O991" s="92"/>
      <c r="P991" s="82"/>
      <c r="Q991" s="92"/>
      <c r="R991" s="82"/>
      <c r="S991" s="92"/>
      <c r="T991" s="117"/>
      <c r="U991" s="92"/>
      <c r="V991" s="82"/>
      <c r="W991" s="92"/>
      <c r="X991" s="82"/>
      <c r="Y991" s="92"/>
      <c r="Z991" s="82"/>
      <c r="AA991" s="92"/>
      <c r="AB991" s="82"/>
      <c r="AC991" s="92"/>
      <c r="AD991" s="82"/>
      <c r="AE991" s="92"/>
      <c r="AF991" s="82"/>
      <c r="AG991" s="92"/>
      <c r="AH991" s="82"/>
      <c r="AI991" s="92"/>
      <c r="AJ991" s="82"/>
      <c r="AK991" s="92"/>
      <c r="AL991" s="82"/>
      <c r="AM991" s="92"/>
      <c r="AN991" s="123"/>
      <c r="AO991" s="54"/>
      <c r="AP991" s="123"/>
      <c r="AQ991" s="54"/>
      <c r="AR991" s="154"/>
      <c r="AS991" s="1"/>
      <c r="AT991" s="1"/>
      <c r="AU991" s="9"/>
    </row>
    <row r="992">
      <c r="A992" s="54"/>
      <c r="B992" s="71" t="str">
        <f>IFERROR(HYPERLINK(VLOOKUP(A992,Internal_lists_bugs!$A$2:$C$73,3,FALSE()), VLOOKUP(A992,Internal_lists_bugs!$A$2:$C$73,3,FALSE())&amp;Char(10) &amp; Char(10) &amp; VLOOKUP(A992,Internal_lists_bugs!$A$2:$Z$73,26,FALSE())),"please select a BUG ID")</f>
        <v>please select a BUG ID</v>
      </c>
      <c r="C992" s="51" t="str">
        <f>IFERROR(VLOOKUP(A992,Internal_lists_bugs!$A$2:$G2002,7,FALSE()),"please select a BUG ID")</f>
        <v>please select a BUG ID</v>
      </c>
      <c r="D992" s="54"/>
      <c r="E992" s="56"/>
      <c r="F992" s="54"/>
      <c r="G992" s="56"/>
      <c r="H992" s="54"/>
      <c r="I992" s="56"/>
      <c r="J992" s="54"/>
      <c r="K992" s="92"/>
      <c r="L992" s="54"/>
      <c r="N992" s="82"/>
      <c r="O992" s="92"/>
      <c r="P992" s="82"/>
      <c r="Q992" s="92"/>
      <c r="R992" s="82"/>
      <c r="S992" s="92"/>
      <c r="T992" s="117"/>
      <c r="U992" s="92"/>
      <c r="V992" s="82"/>
      <c r="W992" s="92"/>
      <c r="X992" s="82"/>
      <c r="Y992" s="92"/>
      <c r="Z992" s="82"/>
      <c r="AA992" s="92"/>
      <c r="AB992" s="82"/>
      <c r="AC992" s="92"/>
      <c r="AD992" s="82"/>
      <c r="AE992" s="92"/>
      <c r="AF992" s="82"/>
      <c r="AG992" s="92"/>
      <c r="AH992" s="82"/>
      <c r="AI992" s="92"/>
      <c r="AJ992" s="82"/>
      <c r="AK992" s="92"/>
      <c r="AL992" s="82"/>
      <c r="AM992" s="92"/>
      <c r="AN992" s="123"/>
      <c r="AO992" s="54"/>
      <c r="AP992" s="123"/>
      <c r="AQ992" s="54"/>
      <c r="AR992" s="154"/>
      <c r="AS992" s="1"/>
      <c r="AT992" s="1"/>
      <c r="AU992" s="9"/>
    </row>
    <row r="993">
      <c r="A993" s="54"/>
      <c r="B993" s="71" t="str">
        <f>IFERROR(HYPERLINK(VLOOKUP(A993,Internal_lists_bugs!$A$2:$C$73,3,FALSE()), VLOOKUP(A993,Internal_lists_bugs!$A$2:$C$73,3,FALSE())&amp;Char(10) &amp; Char(10) &amp; VLOOKUP(A993,Internal_lists_bugs!$A$2:$Z$73,26,FALSE())),"please select a BUG ID")</f>
        <v>please select a BUG ID</v>
      </c>
      <c r="C993" s="51" t="str">
        <f>IFERROR(VLOOKUP(A993,Internal_lists_bugs!$A$2:$G2002,7,FALSE()),"please select a BUG ID")</f>
        <v>please select a BUG ID</v>
      </c>
      <c r="D993" s="54"/>
      <c r="E993" s="56"/>
      <c r="F993" s="54"/>
      <c r="G993" s="56"/>
      <c r="H993" s="54"/>
      <c r="I993" s="56"/>
      <c r="J993" s="54"/>
      <c r="K993" s="92"/>
      <c r="L993" s="54"/>
      <c r="N993" s="82"/>
      <c r="O993" s="92"/>
      <c r="P993" s="82"/>
      <c r="Q993" s="92"/>
      <c r="R993" s="82"/>
      <c r="S993" s="92"/>
      <c r="T993" s="117"/>
      <c r="U993" s="92"/>
      <c r="V993" s="82"/>
      <c r="W993" s="92"/>
      <c r="X993" s="82"/>
      <c r="Y993" s="92"/>
      <c r="Z993" s="82"/>
      <c r="AA993" s="92"/>
      <c r="AB993" s="82"/>
      <c r="AC993" s="92"/>
      <c r="AD993" s="82"/>
      <c r="AE993" s="92"/>
      <c r="AF993" s="82"/>
      <c r="AG993" s="92"/>
      <c r="AH993" s="82"/>
      <c r="AI993" s="92"/>
      <c r="AJ993" s="82"/>
      <c r="AK993" s="92"/>
      <c r="AL993" s="82"/>
      <c r="AM993" s="92"/>
      <c r="AN993" s="123"/>
      <c r="AO993" s="54"/>
      <c r="AP993" s="123"/>
      <c r="AQ993" s="54"/>
      <c r="AR993" s="154"/>
      <c r="AS993" s="1"/>
      <c r="AT993" s="1"/>
      <c r="AU993" s="9"/>
    </row>
    <row r="994">
      <c r="A994" s="54"/>
      <c r="B994" s="71" t="str">
        <f>IFERROR(HYPERLINK(VLOOKUP(A994,Internal_lists_bugs!$A$2:$C$73,3,FALSE()), VLOOKUP(A994,Internal_lists_bugs!$A$2:$C$73,3,FALSE())&amp;Char(10) &amp; Char(10) &amp; VLOOKUP(A994,Internal_lists_bugs!$A$2:$Z$73,26,FALSE())),"please select a BUG ID")</f>
        <v>please select a BUG ID</v>
      </c>
      <c r="C994" s="51" t="str">
        <f>IFERROR(VLOOKUP(A994,Internal_lists_bugs!$A$2:$G2002,7,FALSE()),"please select a BUG ID")</f>
        <v>please select a BUG ID</v>
      </c>
      <c r="D994" s="54"/>
      <c r="E994" s="56"/>
      <c r="F994" s="54"/>
      <c r="G994" s="56"/>
      <c r="H994" s="54"/>
      <c r="I994" s="56"/>
      <c r="J994" s="54"/>
      <c r="K994" s="92"/>
      <c r="L994" s="54"/>
      <c r="N994" s="82"/>
      <c r="O994" s="92"/>
      <c r="P994" s="82"/>
      <c r="Q994" s="92"/>
      <c r="R994" s="82"/>
      <c r="S994" s="92"/>
      <c r="T994" s="117"/>
      <c r="U994" s="92"/>
      <c r="V994" s="82"/>
      <c r="W994" s="92"/>
      <c r="X994" s="82"/>
      <c r="Y994" s="92"/>
      <c r="Z994" s="82"/>
      <c r="AA994" s="92"/>
      <c r="AB994" s="82"/>
      <c r="AC994" s="92"/>
      <c r="AD994" s="82"/>
      <c r="AE994" s="92"/>
      <c r="AF994" s="82"/>
      <c r="AG994" s="92"/>
      <c r="AH994" s="82"/>
      <c r="AI994" s="92"/>
      <c r="AJ994" s="82"/>
      <c r="AK994" s="92"/>
      <c r="AL994" s="82"/>
      <c r="AM994" s="92"/>
      <c r="AN994" s="123"/>
      <c r="AO994" s="54"/>
      <c r="AP994" s="123"/>
      <c r="AQ994" s="54"/>
      <c r="AR994" s="154"/>
      <c r="AS994" s="1"/>
      <c r="AT994" s="1"/>
      <c r="AU994" s="9"/>
    </row>
    <row r="995">
      <c r="A995" s="54"/>
      <c r="B995" s="71" t="str">
        <f>IFERROR(HYPERLINK(VLOOKUP(A995,Internal_lists_bugs!$A$2:$C$73,3,FALSE()), VLOOKUP(A995,Internal_lists_bugs!$A$2:$C$73,3,FALSE())&amp;Char(10) &amp; Char(10) &amp; VLOOKUP(A995,Internal_lists_bugs!$A$2:$Z$73,26,FALSE())),"please select a BUG ID")</f>
        <v>please select a BUG ID</v>
      </c>
      <c r="C995" s="51" t="str">
        <f>IFERROR(VLOOKUP(A995,Internal_lists_bugs!$A$2:$G2002,7,FALSE()),"please select a BUG ID")</f>
        <v>please select a BUG ID</v>
      </c>
      <c r="D995" s="54"/>
      <c r="E995" s="56"/>
      <c r="F995" s="54"/>
      <c r="G995" s="56"/>
      <c r="H995" s="54"/>
      <c r="I995" s="56"/>
      <c r="J995" s="54"/>
      <c r="K995" s="92"/>
      <c r="L995" s="54"/>
      <c r="N995" s="82"/>
      <c r="O995" s="92"/>
      <c r="P995" s="82"/>
      <c r="Q995" s="92"/>
      <c r="R995" s="82"/>
      <c r="S995" s="92"/>
      <c r="T995" s="117"/>
      <c r="U995" s="92"/>
      <c r="V995" s="82"/>
      <c r="W995" s="92"/>
      <c r="X995" s="82"/>
      <c r="Y995" s="92"/>
      <c r="Z995" s="82"/>
      <c r="AA995" s="92"/>
      <c r="AB995" s="82"/>
      <c r="AC995" s="92"/>
      <c r="AD995" s="82"/>
      <c r="AE995" s="92"/>
      <c r="AF995" s="82"/>
      <c r="AG995" s="92"/>
      <c r="AH995" s="82"/>
      <c r="AI995" s="92"/>
      <c r="AJ995" s="82"/>
      <c r="AK995" s="92"/>
      <c r="AL995" s="82"/>
      <c r="AM995" s="92"/>
      <c r="AN995" s="123"/>
      <c r="AO995" s="54"/>
      <c r="AP995" s="123"/>
      <c r="AQ995" s="54"/>
      <c r="AR995" s="154"/>
      <c r="AS995" s="1"/>
      <c r="AT995" s="1"/>
      <c r="AU995" s="9"/>
    </row>
    <row r="996">
      <c r="A996" s="54"/>
      <c r="B996" s="71" t="str">
        <f>IFERROR(HYPERLINK(VLOOKUP(A996,Internal_lists_bugs!$A$2:$C$73,3,FALSE()), VLOOKUP(A996,Internal_lists_bugs!$A$2:$C$73,3,FALSE())&amp;Char(10) &amp; Char(10) &amp; VLOOKUP(A996,Internal_lists_bugs!$A$2:$Z$73,26,FALSE())),"please select a BUG ID")</f>
        <v>please select a BUG ID</v>
      </c>
      <c r="C996" s="51" t="str">
        <f>IFERROR(VLOOKUP(A996,Internal_lists_bugs!$A$2:$G2002,7,FALSE()),"please select a BUG ID")</f>
        <v>please select a BUG ID</v>
      </c>
      <c r="D996" s="54"/>
      <c r="E996" s="56"/>
      <c r="F996" s="54"/>
      <c r="G996" s="56"/>
      <c r="H996" s="54"/>
      <c r="I996" s="56"/>
      <c r="J996" s="54"/>
      <c r="K996" s="92"/>
      <c r="L996" s="54"/>
      <c r="N996" s="82"/>
      <c r="O996" s="92"/>
      <c r="P996" s="82"/>
      <c r="Q996" s="16"/>
      <c r="R996" s="82"/>
      <c r="S996" s="92"/>
      <c r="T996" s="117"/>
      <c r="U996" s="92"/>
      <c r="V996" s="82"/>
      <c r="W996" s="92"/>
      <c r="X996" s="82"/>
      <c r="Y996" s="92"/>
      <c r="Z996" s="82"/>
      <c r="AA996" s="92"/>
      <c r="AB996" s="82"/>
      <c r="AC996" s="92"/>
      <c r="AD996" s="82"/>
      <c r="AE996" s="92"/>
      <c r="AF996" s="82"/>
      <c r="AG996" s="92"/>
      <c r="AH996" s="82"/>
      <c r="AI996" s="92"/>
      <c r="AJ996" s="82"/>
      <c r="AK996" s="92"/>
      <c r="AL996" s="82"/>
      <c r="AM996" s="92"/>
      <c r="AN996" s="123"/>
      <c r="AO996" s="54"/>
      <c r="AP996" s="123"/>
      <c r="AQ996" s="54"/>
      <c r="AR996" s="154"/>
      <c r="AS996" s="1"/>
      <c r="AT996" s="1"/>
      <c r="AU996" s="9"/>
    </row>
    <row r="997">
      <c r="A997" s="54"/>
      <c r="B997" s="71" t="str">
        <f>IFERROR(HYPERLINK(VLOOKUP(A997,Internal_lists_bugs!$A$2:$C$73,3,FALSE()), VLOOKUP(A997,Internal_lists_bugs!$A$2:$C$73,3,FALSE())&amp;Char(10) &amp; Char(10) &amp; VLOOKUP(A997,Internal_lists_bugs!$A$2:$Z$73,26,FALSE())),"please select a BUG ID")</f>
        <v>please select a BUG ID</v>
      </c>
      <c r="C997" s="51" t="str">
        <f>IFERROR(VLOOKUP(A997,Internal_lists_bugs!$A$2:$G2002,7,FALSE()),"please select a BUG ID")</f>
        <v>please select a BUG ID</v>
      </c>
      <c r="D997" s="54"/>
      <c r="E997" s="56"/>
      <c r="F997" s="54"/>
      <c r="G997" s="56"/>
      <c r="H997" s="54"/>
      <c r="I997" s="56"/>
      <c r="J997" s="54"/>
      <c r="K997" s="92"/>
      <c r="L997" s="54"/>
      <c r="N997" s="82"/>
      <c r="O997" s="92"/>
      <c r="P997" s="82"/>
      <c r="Q997" s="16"/>
      <c r="R997" s="82"/>
      <c r="S997" s="92"/>
      <c r="T997" s="117"/>
      <c r="U997" s="92"/>
      <c r="V997" s="82"/>
      <c r="W997" s="92"/>
      <c r="X997" s="82"/>
      <c r="Y997" s="92"/>
      <c r="Z997" s="82"/>
      <c r="AA997" s="92"/>
      <c r="AB997" s="82"/>
      <c r="AC997" s="92"/>
      <c r="AD997" s="82"/>
      <c r="AE997" s="92"/>
      <c r="AF997" s="82"/>
      <c r="AG997" s="92"/>
      <c r="AH997" s="82"/>
      <c r="AI997" s="92"/>
      <c r="AJ997" s="82"/>
      <c r="AK997" s="92"/>
      <c r="AL997" s="82"/>
      <c r="AM997" s="92"/>
      <c r="AN997" s="123"/>
      <c r="AO997" s="54"/>
      <c r="AP997" s="123"/>
      <c r="AQ997" s="54"/>
      <c r="AR997" s="154"/>
      <c r="AS997" s="1"/>
      <c r="AT997" s="1"/>
      <c r="AU997" s="9"/>
    </row>
    <row r="998">
      <c r="A998" s="54"/>
      <c r="B998" s="71" t="str">
        <f>IFERROR(HYPERLINK(VLOOKUP(A998,Internal_lists_bugs!$A$2:$C$73,3,FALSE()), VLOOKUP(A998,Internal_lists_bugs!$A$2:$C$73,3,FALSE())&amp;Char(10) &amp; Char(10) &amp; VLOOKUP(A998,Internal_lists_bugs!$A$2:$Z$73,26,FALSE())),"please select a BUG ID")</f>
        <v>please select a BUG ID</v>
      </c>
      <c r="C998" s="51" t="str">
        <f>IFERROR(VLOOKUP(A998,Internal_lists_bugs!$A$2:$G2002,7,FALSE()),"please select a BUG ID")</f>
        <v>please select a BUG ID</v>
      </c>
      <c r="D998" s="54"/>
      <c r="E998" s="56"/>
      <c r="F998" s="54"/>
      <c r="G998" s="56"/>
      <c r="H998" s="54"/>
      <c r="I998" s="56"/>
      <c r="J998" s="54"/>
      <c r="K998" s="92"/>
      <c r="L998" s="54"/>
      <c r="N998" s="82"/>
      <c r="O998" s="92"/>
      <c r="P998" s="82"/>
      <c r="Q998" s="16"/>
      <c r="R998" s="82"/>
      <c r="S998" s="92"/>
      <c r="T998" s="117"/>
      <c r="U998" s="92"/>
      <c r="V998" s="82"/>
      <c r="W998" s="92"/>
      <c r="X998" s="82"/>
      <c r="Y998" s="92"/>
      <c r="Z998" s="82"/>
      <c r="AA998" s="92"/>
      <c r="AB998" s="82"/>
      <c r="AC998" s="92"/>
      <c r="AD998" s="82"/>
      <c r="AE998" s="92"/>
      <c r="AF998" s="82"/>
      <c r="AG998" s="92"/>
      <c r="AH998" s="82"/>
      <c r="AI998" s="92"/>
      <c r="AJ998" s="82"/>
      <c r="AK998" s="92"/>
      <c r="AL998" s="82"/>
      <c r="AM998" s="92"/>
      <c r="AN998" s="123"/>
      <c r="AO998" s="54"/>
      <c r="AP998" s="123"/>
      <c r="AQ998" s="54"/>
      <c r="AR998" s="154"/>
      <c r="AS998" s="1"/>
      <c r="AT998" s="1"/>
      <c r="AU998" s="9"/>
    </row>
    <row r="999">
      <c r="A999" s="54"/>
      <c r="B999" s="71" t="str">
        <f>IFERROR(HYPERLINK(VLOOKUP(A999,Internal_lists_bugs!$A$2:$C$73,3,FALSE()), VLOOKUP(A999,Internal_lists_bugs!$A$2:$C$73,3,FALSE())&amp;Char(10) &amp; Char(10) &amp; VLOOKUP(A999,Internal_lists_bugs!$A$2:$Z$73,26,FALSE())),"please select a BUG ID")</f>
        <v>please select a BUG ID</v>
      </c>
      <c r="C999" s="51" t="str">
        <f>IFERROR(VLOOKUP(A999,Internal_lists_bugs!$A$2:$G2002,7,FALSE()),"please select a BUG ID")</f>
        <v>please select a BUG ID</v>
      </c>
      <c r="D999" s="54"/>
      <c r="E999" s="56"/>
      <c r="F999" s="54"/>
      <c r="G999" s="56"/>
      <c r="H999" s="54"/>
      <c r="I999" s="56"/>
      <c r="J999" s="54"/>
      <c r="K999" s="92"/>
      <c r="L999" s="54"/>
      <c r="N999" s="82"/>
      <c r="O999" s="92"/>
      <c r="P999" s="82"/>
      <c r="Q999" s="16"/>
      <c r="R999" s="82"/>
      <c r="S999" s="92"/>
      <c r="T999" s="117"/>
      <c r="U999" s="92"/>
      <c r="V999" s="82"/>
      <c r="W999" s="92"/>
      <c r="X999" s="82"/>
      <c r="Y999" s="92"/>
      <c r="Z999" s="82"/>
      <c r="AA999" s="92"/>
      <c r="AB999" s="82"/>
      <c r="AC999" s="92"/>
      <c r="AD999" s="82"/>
      <c r="AE999" s="92"/>
      <c r="AF999" s="82"/>
      <c r="AG999" s="92"/>
      <c r="AH999" s="82"/>
      <c r="AI999" s="92"/>
      <c r="AJ999" s="82"/>
      <c r="AK999" s="92"/>
      <c r="AL999" s="82"/>
      <c r="AM999" s="92"/>
      <c r="AN999" s="123"/>
      <c r="AO999" s="54"/>
      <c r="AP999" s="123"/>
      <c r="AQ999" s="54"/>
      <c r="AR999" s="154"/>
      <c r="AS999" s="1"/>
      <c r="AT999" s="1"/>
      <c r="AU999" s="9"/>
    </row>
    <row r="1000">
      <c r="A1000" s="54"/>
      <c r="B1000" s="71" t="str">
        <f>IFERROR(HYPERLINK(VLOOKUP(A1000,Internal_lists_bugs!$A$2:$C$73,3,FALSE()), VLOOKUP(A1000,Internal_lists_bugs!$A$2:$C$73,3,FALSE())&amp;Char(10) &amp; Char(10) &amp; VLOOKUP(A1000,Internal_lists_bugs!$A$2:$Z$73,26,FALSE())),"please select a BUG ID")</f>
        <v>please select a BUG ID</v>
      </c>
      <c r="C1000" s="51" t="str">
        <f>IFERROR(VLOOKUP(A1000,Internal_lists_bugs!$A$2:$G2002,7,FALSE()),"please select a BUG ID")</f>
        <v>please select a BUG ID</v>
      </c>
      <c r="D1000" s="54"/>
      <c r="E1000" s="56"/>
      <c r="F1000" s="54"/>
      <c r="G1000" s="56"/>
      <c r="H1000" s="54"/>
      <c r="I1000" s="56"/>
      <c r="J1000" s="54"/>
      <c r="K1000" s="92"/>
      <c r="L1000" s="54"/>
      <c r="N1000" s="82"/>
      <c r="O1000" s="92"/>
      <c r="P1000" s="82"/>
      <c r="Q1000" s="137"/>
      <c r="R1000" s="82"/>
      <c r="S1000" s="92"/>
      <c r="T1000" s="117"/>
      <c r="U1000" s="92"/>
      <c r="V1000" s="82"/>
      <c r="W1000" s="92"/>
      <c r="X1000" s="82"/>
      <c r="Y1000" s="92"/>
      <c r="Z1000" s="82"/>
      <c r="AA1000" s="92"/>
      <c r="AB1000" s="82"/>
      <c r="AC1000" s="92"/>
      <c r="AD1000" s="82"/>
      <c r="AE1000" s="92"/>
      <c r="AF1000" s="82"/>
      <c r="AG1000" s="92"/>
      <c r="AH1000" s="82"/>
      <c r="AI1000" s="92"/>
      <c r="AJ1000" s="82"/>
      <c r="AK1000" s="92"/>
      <c r="AL1000" s="82"/>
      <c r="AM1000" s="92"/>
      <c r="AN1000" s="123"/>
      <c r="AO1000" s="54"/>
      <c r="AP1000" s="123"/>
      <c r="AQ1000" s="54"/>
      <c r="AR1000" s="154"/>
      <c r="AS1000" s="1"/>
      <c r="AT1000" s="1"/>
      <c r="AU1000" s="9"/>
    </row>
    <row r="1001">
      <c r="A1001" s="54"/>
      <c r="B1001" s="71" t="str">
        <f>IFERROR(HYPERLINK(VLOOKUP(A1001,Internal_lists_bugs!$A$2:$C$73,3,FALSE()), VLOOKUP(A1001,Internal_lists_bugs!$A$2:$C$73,3,FALSE())&amp;Char(10) &amp; Char(10) &amp; VLOOKUP(A1001,Internal_lists_bugs!$A$2:$Z$73,26,FALSE())),"please select a BUG ID")</f>
        <v>please select a BUG ID</v>
      </c>
      <c r="C1001" s="51" t="str">
        <f>IFERROR(VLOOKUP(A1001,Internal_lists_bugs!$A$2:$G2002,7,FALSE()),"please select a BUG ID")</f>
        <v>please select a BUG ID</v>
      </c>
      <c r="D1001" s="54"/>
      <c r="E1001" s="56"/>
      <c r="F1001" s="54"/>
      <c r="G1001" s="56"/>
      <c r="H1001" s="54"/>
      <c r="I1001" s="56"/>
      <c r="J1001" s="54"/>
      <c r="K1001" s="92"/>
      <c r="L1001" s="54"/>
      <c r="N1001" s="82"/>
      <c r="O1001" s="92"/>
      <c r="P1001" s="82"/>
      <c r="R1001" s="82"/>
      <c r="S1001" s="92"/>
      <c r="T1001" s="117"/>
      <c r="U1001" s="92"/>
      <c r="V1001" s="82"/>
      <c r="W1001" s="92"/>
      <c r="X1001" s="82"/>
      <c r="Y1001" s="92"/>
      <c r="Z1001" s="82"/>
      <c r="AA1001" s="92"/>
      <c r="AB1001" s="82"/>
      <c r="AC1001" s="92"/>
      <c r="AD1001" s="82"/>
      <c r="AE1001" s="92"/>
      <c r="AF1001" s="82"/>
      <c r="AG1001" s="92"/>
      <c r="AH1001" s="82"/>
      <c r="AI1001" s="92"/>
      <c r="AJ1001" s="82"/>
      <c r="AK1001" s="92"/>
      <c r="AL1001" s="82"/>
      <c r="AM1001" s="92"/>
      <c r="AN1001" s="123"/>
      <c r="AO1001" s="54"/>
      <c r="AP1001" s="123"/>
      <c r="AQ1001" s="54"/>
      <c r="AR1001" s="154"/>
      <c r="AS1001" s="1"/>
      <c r="AT1001" s="1"/>
      <c r="AU1001" s="9"/>
    </row>
    <row r="1002">
      <c r="A1002" s="54"/>
      <c r="B1002" s="71" t="str">
        <f>IFERROR(HYPERLINK(VLOOKUP(A1002,Internal_lists_bugs!$A$2:$C$73,3,FALSE()), VLOOKUP(A1002,Internal_lists_bugs!$A$2:$C$73,3,FALSE())&amp;Char(10) &amp; Char(10) &amp; VLOOKUP(A1002,Internal_lists_bugs!$A$2:$Z$73,26,FALSE())),"please select a BUG ID")</f>
        <v>please select a BUG ID</v>
      </c>
      <c r="C1002" s="51" t="str">
        <f>IFERROR(VLOOKUP(A1002,Internal_lists_bugs!$A$2:$G2002,7,FALSE()),"please select a BUG ID")</f>
        <v>please select a BUG ID</v>
      </c>
      <c r="D1002" s="54"/>
      <c r="E1002" s="56"/>
      <c r="F1002" s="54"/>
      <c r="G1002" s="56"/>
      <c r="H1002" s="54"/>
      <c r="I1002" s="56"/>
      <c r="J1002" s="54"/>
      <c r="K1002" s="92"/>
      <c r="L1002" s="54"/>
      <c r="N1002" s="82"/>
      <c r="O1002" s="92"/>
      <c r="P1002" s="82"/>
      <c r="R1002" s="82"/>
      <c r="S1002" s="92"/>
      <c r="T1002" s="117"/>
      <c r="U1002" s="92"/>
      <c r="V1002" s="82"/>
      <c r="W1002" s="92"/>
      <c r="X1002" s="82"/>
      <c r="Y1002" s="92"/>
      <c r="Z1002" s="82"/>
      <c r="AA1002" s="92"/>
      <c r="AB1002" s="82"/>
      <c r="AC1002" s="92"/>
      <c r="AD1002" s="82"/>
      <c r="AE1002" s="92"/>
      <c r="AF1002" s="82"/>
      <c r="AG1002" s="92"/>
      <c r="AH1002" s="82"/>
      <c r="AI1002" s="92"/>
      <c r="AJ1002" s="82"/>
      <c r="AK1002" s="92"/>
      <c r="AL1002" s="82"/>
      <c r="AM1002" s="92"/>
      <c r="AN1002" s="123"/>
      <c r="AO1002" s="54"/>
      <c r="AP1002" s="123"/>
      <c r="AQ1002" s="54"/>
      <c r="AR1002" s="154"/>
      <c r="AS1002" s="1"/>
      <c r="AT1002" s="1"/>
      <c r="AU1002" s="9"/>
    </row>
    <row r="1003">
      <c r="A1003" s="54"/>
      <c r="B1003" s="71" t="str">
        <f>IFERROR(HYPERLINK(VLOOKUP(A1003,Internal_lists_bugs!$A$2:$C$73,3,FALSE()), VLOOKUP(A1003,Internal_lists_bugs!$A$2:$C$73,3,FALSE())&amp;Char(10) &amp; Char(10) &amp; VLOOKUP(A1003,Internal_lists_bugs!$A$2:$Z$73,26,FALSE())),"please select a BUG ID")</f>
        <v>please select a BUG ID</v>
      </c>
      <c r="C1003" s="51" t="str">
        <f>IFERROR(VLOOKUP(A1003,Internal_lists_bugs!$A$2:$G2002,7,FALSE()),"please select a BUG ID")</f>
        <v>please select a BUG ID</v>
      </c>
      <c r="D1003" s="54"/>
      <c r="E1003" s="56"/>
      <c r="F1003" s="54"/>
      <c r="G1003" s="56"/>
      <c r="H1003" s="54"/>
      <c r="I1003" s="56"/>
      <c r="J1003" s="54"/>
      <c r="K1003" s="92"/>
      <c r="L1003" s="54"/>
      <c r="N1003" s="82"/>
      <c r="O1003" s="92"/>
      <c r="P1003" s="82"/>
      <c r="R1003" s="82"/>
      <c r="S1003" s="92"/>
      <c r="T1003" s="117"/>
      <c r="U1003" s="92"/>
      <c r="V1003" s="82"/>
      <c r="W1003" s="92"/>
      <c r="X1003" s="82"/>
      <c r="Y1003" s="92"/>
      <c r="Z1003" s="82"/>
      <c r="AA1003" s="92"/>
      <c r="AB1003" s="82"/>
      <c r="AC1003" s="92"/>
      <c r="AD1003" s="82"/>
      <c r="AE1003" s="92"/>
      <c r="AF1003" s="82"/>
      <c r="AG1003" s="92"/>
      <c r="AH1003" s="82"/>
      <c r="AI1003" s="92"/>
      <c r="AJ1003" s="82"/>
      <c r="AK1003" s="92"/>
      <c r="AL1003" s="82"/>
      <c r="AM1003" s="92"/>
      <c r="AN1003" s="123"/>
      <c r="AO1003" s="54"/>
      <c r="AP1003" s="123"/>
      <c r="AQ1003" s="54"/>
      <c r="AR1003" s="154"/>
      <c r="AS1003" s="1"/>
      <c r="AT1003" s="1"/>
      <c r="AU1003" s="9"/>
    </row>
    <row r="1004">
      <c r="A1004" s="54"/>
      <c r="B1004" s="71" t="str">
        <f>IFERROR(HYPERLINK(VLOOKUP(A1004,Internal_lists_bugs!$A$2:$C$73,3,FALSE()), VLOOKUP(A1004,Internal_lists_bugs!$A$2:$C$73,3,FALSE())&amp;Char(10) &amp; Char(10) &amp; VLOOKUP(A1004,Internal_lists_bugs!$A$2:$Z$73,26,FALSE())),"please select a BUG ID")</f>
        <v>please select a BUG ID</v>
      </c>
      <c r="C1004" s="51" t="str">
        <f>IFERROR(VLOOKUP(A1004,Internal_lists_bugs!$A$2:$G2002,7,FALSE()),"please select a BUG ID")</f>
        <v>please select a BUG ID</v>
      </c>
      <c r="D1004" s="54"/>
      <c r="E1004" s="56"/>
      <c r="F1004" s="54"/>
      <c r="G1004" s="56"/>
      <c r="H1004" s="54"/>
      <c r="I1004" s="56"/>
      <c r="J1004" s="54"/>
      <c r="K1004" s="92"/>
      <c r="L1004" s="54"/>
      <c r="N1004" s="82"/>
      <c r="O1004" s="92"/>
      <c r="P1004" s="82"/>
      <c r="R1004" s="82"/>
      <c r="S1004" s="92"/>
      <c r="T1004" s="117"/>
      <c r="U1004" s="92"/>
      <c r="V1004" s="82"/>
      <c r="W1004" s="92"/>
      <c r="X1004" s="82"/>
      <c r="Y1004" s="92"/>
      <c r="Z1004" s="82"/>
      <c r="AA1004" s="92"/>
      <c r="AB1004" s="82"/>
      <c r="AC1004" s="92"/>
      <c r="AD1004" s="82"/>
      <c r="AE1004" s="92"/>
      <c r="AF1004" s="82"/>
      <c r="AG1004" s="92"/>
      <c r="AH1004" s="82"/>
      <c r="AI1004" s="92"/>
      <c r="AJ1004" s="82"/>
      <c r="AK1004" s="92"/>
      <c r="AL1004" s="82"/>
      <c r="AM1004" s="92"/>
      <c r="AN1004" s="123"/>
      <c r="AO1004" s="54"/>
      <c r="AP1004" s="123"/>
      <c r="AQ1004" s="54"/>
      <c r="AR1004" s="154"/>
      <c r="AS1004" s="1"/>
      <c r="AT1004" s="1"/>
      <c r="AU1004" s="9"/>
    </row>
    <row r="1005">
      <c r="A1005" s="54"/>
      <c r="B1005" s="71" t="str">
        <f>IFERROR(HYPERLINK(VLOOKUP(A1005,Internal_lists_bugs!$A$2:$C$73,3,FALSE()), VLOOKUP(A1005,Internal_lists_bugs!$A$2:$C$73,3,FALSE())&amp;Char(10) &amp; Char(10) &amp; VLOOKUP(A1005,Internal_lists_bugs!$A$2:$Z$73,26,FALSE())),"please select a BUG ID")</f>
        <v>please select a BUG ID</v>
      </c>
      <c r="C1005" s="51" t="str">
        <f>IFERROR(VLOOKUP(A1005,Internal_lists_bugs!$A$2:$G2002,7,FALSE()),"please select a BUG ID")</f>
        <v>please select a BUG ID</v>
      </c>
      <c r="D1005" s="54"/>
      <c r="E1005" s="56"/>
      <c r="F1005" s="54"/>
      <c r="G1005" s="56"/>
      <c r="H1005" s="54"/>
      <c r="I1005" s="56"/>
      <c r="J1005" s="54"/>
      <c r="K1005" s="92"/>
      <c r="L1005" s="54"/>
      <c r="N1005" s="82"/>
      <c r="O1005" s="92"/>
      <c r="P1005" s="82"/>
      <c r="R1005" s="82"/>
      <c r="S1005" s="92"/>
      <c r="T1005" s="117"/>
      <c r="U1005" s="92"/>
      <c r="V1005" s="82"/>
      <c r="W1005" s="92"/>
      <c r="X1005" s="82"/>
      <c r="Y1005" s="92"/>
      <c r="Z1005" s="82"/>
      <c r="AA1005" s="92"/>
      <c r="AB1005" s="82"/>
      <c r="AC1005" s="92"/>
      <c r="AD1005" s="82"/>
      <c r="AE1005" s="92"/>
      <c r="AF1005" s="82"/>
      <c r="AG1005" s="92"/>
      <c r="AH1005" s="82"/>
      <c r="AI1005" s="92"/>
      <c r="AJ1005" s="82"/>
      <c r="AK1005" s="92"/>
      <c r="AL1005" s="82"/>
      <c r="AM1005" s="92"/>
      <c r="AN1005" s="123"/>
      <c r="AO1005" s="54"/>
      <c r="AP1005" s="123"/>
      <c r="AQ1005" s="54"/>
      <c r="AR1005" s="154"/>
      <c r="AS1005" s="1"/>
      <c r="AT1005" s="1"/>
      <c r="AU1005" s="9"/>
    </row>
    <row r="1006">
      <c r="A1006" s="54"/>
      <c r="B1006" s="71" t="str">
        <f>IFERROR(HYPERLINK(VLOOKUP(A1006,Internal_lists_bugs!$A$2:$C$73,3,FALSE()), VLOOKUP(A1006,Internal_lists_bugs!$A$2:$C$73,3,FALSE())&amp;Char(10) &amp; Char(10) &amp; VLOOKUP(A1006,Internal_lists_bugs!$A$2:$Z$73,26,FALSE())),"please select a BUG ID")</f>
        <v>please select a BUG ID</v>
      </c>
      <c r="C1006" s="51" t="str">
        <f>IFERROR(VLOOKUP(A1006,Internal_lists_bugs!$A$2:$G2002,7,FALSE()),"please select a BUG ID")</f>
        <v>please select a BUG ID</v>
      </c>
      <c r="D1006" s="54"/>
      <c r="E1006" s="56"/>
      <c r="F1006" s="54"/>
      <c r="G1006" s="56"/>
      <c r="H1006" s="54"/>
      <c r="I1006" s="56"/>
      <c r="J1006" s="54"/>
      <c r="K1006" s="92"/>
      <c r="L1006" s="54"/>
      <c r="N1006" s="82"/>
      <c r="O1006" s="92"/>
      <c r="P1006" s="82"/>
      <c r="Q1006" s="148"/>
      <c r="R1006" s="82"/>
      <c r="S1006" s="92"/>
      <c r="T1006" s="117"/>
      <c r="U1006" s="92"/>
      <c r="V1006" s="82"/>
      <c r="W1006" s="92"/>
      <c r="X1006" s="82"/>
      <c r="Y1006" s="92"/>
      <c r="Z1006" s="82"/>
      <c r="AA1006" s="92"/>
      <c r="AB1006" s="82"/>
      <c r="AC1006" s="92"/>
      <c r="AD1006" s="82"/>
      <c r="AE1006" s="92"/>
      <c r="AF1006" s="82"/>
      <c r="AG1006" s="92"/>
      <c r="AH1006" s="82"/>
      <c r="AI1006" s="92"/>
      <c r="AJ1006" s="82"/>
      <c r="AK1006" s="92"/>
      <c r="AL1006" s="82"/>
      <c r="AM1006" s="92"/>
      <c r="AN1006" s="123"/>
      <c r="AO1006" s="54"/>
      <c r="AP1006" s="123"/>
      <c r="AQ1006" s="54"/>
      <c r="AR1006" s="154"/>
      <c r="AS1006" s="1"/>
      <c r="AT1006" s="1"/>
      <c r="AU1006" s="9"/>
    </row>
    <row r="1007">
      <c r="A1007" s="54"/>
      <c r="B1007" s="71" t="str">
        <f>IFERROR(HYPERLINK(VLOOKUP(A1007,Internal_lists_bugs!$A$2:$C$73,3,FALSE()), VLOOKUP(A1007,Internal_lists_bugs!$A$2:$C$73,3,FALSE())&amp;Char(10) &amp; Char(10) &amp; VLOOKUP(A1007,Internal_lists_bugs!$A$2:$Z$73,26,FALSE())),"please select a BUG ID")</f>
        <v>please select a BUG ID</v>
      </c>
      <c r="C1007" s="51" t="str">
        <f>IFERROR(VLOOKUP(A1007,Internal_lists_bugs!$A$2:$G2002,7,FALSE()),"please select a BUG ID")</f>
        <v>please select a BUG ID</v>
      </c>
      <c r="D1007" s="54"/>
      <c r="E1007" s="56"/>
      <c r="F1007" s="54"/>
      <c r="G1007" s="56"/>
      <c r="H1007" s="54"/>
      <c r="I1007" s="56"/>
      <c r="J1007" s="54"/>
      <c r="K1007" s="92"/>
      <c r="L1007" s="54"/>
      <c r="N1007" s="82"/>
      <c r="O1007" s="92"/>
      <c r="P1007" s="82"/>
      <c r="R1007" s="82"/>
      <c r="S1007" s="92"/>
      <c r="T1007" s="117"/>
      <c r="U1007" s="92"/>
      <c r="V1007" s="82"/>
      <c r="W1007" s="92"/>
      <c r="X1007" s="82"/>
      <c r="Y1007" s="92"/>
      <c r="Z1007" s="82"/>
      <c r="AA1007" s="92"/>
      <c r="AB1007" s="82"/>
      <c r="AC1007" s="92"/>
      <c r="AD1007" s="82"/>
      <c r="AE1007" s="92"/>
      <c r="AF1007" s="82"/>
      <c r="AG1007" s="92"/>
      <c r="AH1007" s="82"/>
      <c r="AI1007" s="92"/>
      <c r="AJ1007" s="82"/>
      <c r="AK1007" s="92"/>
      <c r="AL1007" s="82"/>
      <c r="AM1007" s="92"/>
      <c r="AN1007" s="123"/>
      <c r="AO1007" s="54"/>
      <c r="AP1007" s="123"/>
      <c r="AQ1007" s="54"/>
      <c r="AR1007" s="154"/>
      <c r="AS1007" s="1"/>
      <c r="AT1007" s="1"/>
      <c r="AU1007" s="9"/>
    </row>
    <row r="1008">
      <c r="A1008" s="54"/>
      <c r="B1008" s="71" t="str">
        <f>IFERROR(HYPERLINK(VLOOKUP(A1008,Internal_lists_bugs!$A$2:$C$73,3,FALSE()), VLOOKUP(A1008,Internal_lists_bugs!$A$2:$C$73,3,FALSE())&amp;Char(10) &amp; Char(10) &amp; VLOOKUP(A1008,Internal_lists_bugs!$A$2:$Z$73,26,FALSE())),"please select a BUG ID")</f>
        <v>please select a BUG ID</v>
      </c>
      <c r="C1008" s="51" t="str">
        <f>IFERROR(VLOOKUP(A1008,Internal_lists_bugs!$A$2:$G2002,7,FALSE()),"please select a BUG ID")</f>
        <v>please select a BUG ID</v>
      </c>
      <c r="D1008" s="54"/>
      <c r="E1008" s="56"/>
      <c r="F1008" s="54"/>
      <c r="G1008" s="56"/>
      <c r="H1008" s="54"/>
      <c r="I1008" s="56"/>
      <c r="J1008" s="54"/>
      <c r="K1008" s="92"/>
      <c r="L1008" s="54"/>
      <c r="N1008" s="82"/>
      <c r="O1008" s="92"/>
      <c r="P1008" s="82"/>
      <c r="R1008" s="82"/>
      <c r="S1008" s="92"/>
      <c r="T1008" s="117"/>
      <c r="U1008" s="92"/>
      <c r="V1008" s="82"/>
      <c r="W1008" s="92"/>
      <c r="X1008" s="82"/>
      <c r="Y1008" s="92"/>
      <c r="Z1008" s="82"/>
      <c r="AA1008" s="92"/>
      <c r="AB1008" s="82"/>
      <c r="AC1008" s="92"/>
      <c r="AD1008" s="82"/>
      <c r="AE1008" s="92"/>
      <c r="AF1008" s="82"/>
      <c r="AG1008" s="92"/>
      <c r="AH1008" s="82"/>
      <c r="AI1008" s="92"/>
      <c r="AJ1008" s="82"/>
      <c r="AK1008" s="92"/>
      <c r="AL1008" s="82"/>
      <c r="AM1008" s="92"/>
      <c r="AO1008" s="54"/>
      <c r="AP1008" s="123"/>
      <c r="AQ1008" s="54"/>
      <c r="AR1008" s="154"/>
      <c r="AS1008" s="1"/>
      <c r="AT1008" s="1"/>
      <c r="AU1008" s="9"/>
    </row>
    <row r="1009">
      <c r="A1009" s="54"/>
      <c r="B1009" s="71"/>
      <c r="C1009" s="51"/>
      <c r="D1009" s="54"/>
      <c r="E1009" s="114"/>
      <c r="F1009" s="16"/>
      <c r="G1009" s="114"/>
      <c r="H1009" s="54"/>
      <c r="I1009" s="114"/>
      <c r="J1009" s="54"/>
      <c r="L1009" s="54"/>
      <c r="N1009" s="54"/>
      <c r="P1009" s="54"/>
      <c r="R1009" s="54"/>
      <c r="T1009" s="1"/>
      <c r="V1009" s="54"/>
      <c r="X1009" s="54"/>
      <c r="Z1009" s="54"/>
      <c r="AB1009" s="54"/>
      <c r="AD1009" s="54"/>
      <c r="AF1009" s="54"/>
      <c r="AH1009" s="54"/>
      <c r="AJ1009" s="54"/>
      <c r="AL1009" s="54"/>
      <c r="AO1009" s="54"/>
      <c r="AP1009" s="1"/>
      <c r="AQ1009" s="54"/>
      <c r="AR1009" s="171"/>
      <c r="AS1009" s="1"/>
      <c r="AT1009" s="1"/>
      <c r="AU1009" s="1"/>
    </row>
    <row r="1010">
      <c r="A1010" s="54"/>
      <c r="B1010" s="71"/>
      <c r="C1010" s="51"/>
      <c r="D1010" s="54"/>
      <c r="E1010" s="114"/>
      <c r="F1010" s="16"/>
      <c r="G1010" s="114"/>
      <c r="H1010" s="54"/>
      <c r="I1010" s="114"/>
      <c r="J1010" s="54"/>
      <c r="L1010" s="54"/>
      <c r="N1010" s="54"/>
      <c r="P1010" s="54"/>
      <c r="R1010" s="54"/>
      <c r="T1010" s="1"/>
      <c r="V1010" s="54"/>
      <c r="X1010" s="54"/>
      <c r="Z1010" s="54"/>
      <c r="AB1010" s="54"/>
      <c r="AD1010" s="54"/>
      <c r="AF1010" s="54"/>
      <c r="AH1010" s="54"/>
      <c r="AJ1010" s="54"/>
      <c r="AL1010" s="54"/>
      <c r="AO1010" s="54"/>
      <c r="AP1010" s="1"/>
      <c r="AQ1010" s="54"/>
      <c r="AR1010" s="171"/>
      <c r="AS1010" s="1"/>
      <c r="AT1010" s="1"/>
      <c r="AU1010" s="1"/>
    </row>
    <row r="1011">
      <c r="A1011" s="54"/>
      <c r="B1011" s="71"/>
      <c r="C1011" s="51"/>
      <c r="D1011" s="54"/>
      <c r="E1011" s="114"/>
      <c r="F1011" s="16"/>
      <c r="G1011" s="114"/>
      <c r="H1011" s="54"/>
      <c r="I1011" s="114"/>
      <c r="J1011" s="54"/>
      <c r="L1011" s="54"/>
      <c r="N1011" s="54"/>
      <c r="P1011" s="54"/>
      <c r="R1011" s="54"/>
      <c r="T1011" s="1"/>
      <c r="V1011" s="54"/>
      <c r="X1011" s="54"/>
      <c r="Z1011" s="54"/>
      <c r="AB1011" s="54"/>
      <c r="AD1011" s="54"/>
      <c r="AF1011" s="54"/>
      <c r="AH1011" s="54"/>
      <c r="AJ1011" s="54"/>
      <c r="AL1011" s="54"/>
      <c r="AO1011" s="54"/>
      <c r="AP1011" s="1"/>
      <c r="AQ1011" s="54"/>
      <c r="AR1011" s="171"/>
      <c r="AS1011" s="1"/>
      <c r="AT1011" s="1"/>
      <c r="AU1011" s="1"/>
    </row>
    <row r="1012">
      <c r="A1012" s="54"/>
      <c r="B1012" s="71"/>
      <c r="C1012" s="51"/>
      <c r="D1012" s="54"/>
      <c r="E1012" s="114"/>
      <c r="F1012" s="16"/>
      <c r="G1012" s="114"/>
      <c r="H1012" s="54"/>
      <c r="I1012" s="114"/>
      <c r="J1012" s="54"/>
      <c r="L1012" s="54"/>
      <c r="N1012" s="54"/>
      <c r="P1012" s="54"/>
      <c r="Q1012" s="148"/>
      <c r="R1012" s="54"/>
      <c r="T1012" s="1"/>
      <c r="V1012" s="54"/>
      <c r="X1012" s="54"/>
      <c r="Z1012" s="54"/>
      <c r="AB1012" s="54"/>
      <c r="AD1012" s="54"/>
      <c r="AF1012" s="54"/>
      <c r="AH1012" s="54"/>
      <c r="AJ1012" s="54"/>
      <c r="AL1012" s="54"/>
      <c r="AO1012" s="54"/>
      <c r="AP1012" s="1"/>
      <c r="AQ1012" s="54"/>
      <c r="AR1012" s="171"/>
      <c r="AS1012" s="1"/>
      <c r="AT1012" s="1"/>
      <c r="AU1012" s="1"/>
    </row>
    <row r="1013">
      <c r="A1013" s="54"/>
      <c r="B1013" s="71"/>
      <c r="C1013" s="51"/>
      <c r="D1013" s="54"/>
      <c r="E1013" s="114"/>
      <c r="F1013" s="16"/>
      <c r="G1013" s="114"/>
      <c r="H1013" s="54"/>
      <c r="I1013" s="114"/>
      <c r="J1013" s="54"/>
      <c r="L1013" s="54"/>
      <c r="N1013" s="54"/>
      <c r="P1013" s="54"/>
      <c r="R1013" s="54"/>
      <c r="T1013" s="1"/>
      <c r="V1013" s="54"/>
      <c r="X1013" s="54"/>
      <c r="Z1013" s="54"/>
      <c r="AB1013" s="54"/>
      <c r="AD1013" s="54"/>
      <c r="AF1013" s="54"/>
      <c r="AH1013" s="54"/>
      <c r="AJ1013" s="54"/>
      <c r="AL1013" s="54"/>
      <c r="AO1013" s="54"/>
      <c r="AP1013" s="1"/>
      <c r="AQ1013" s="54"/>
      <c r="AR1013" s="171"/>
      <c r="AS1013" s="1"/>
      <c r="AT1013" s="1"/>
      <c r="AU1013" s="1"/>
    </row>
    <row r="1014">
      <c r="A1014" s="54"/>
      <c r="B1014" s="71"/>
      <c r="C1014" s="51"/>
      <c r="D1014" s="54"/>
      <c r="E1014" s="114"/>
      <c r="F1014" s="16"/>
      <c r="G1014" s="114"/>
      <c r="H1014" s="54"/>
      <c r="I1014" s="114"/>
      <c r="J1014" s="54"/>
      <c r="L1014" s="54"/>
      <c r="N1014" s="54"/>
      <c r="P1014" s="54"/>
      <c r="R1014" s="54"/>
      <c r="T1014" s="1"/>
      <c r="V1014" s="54"/>
      <c r="X1014" s="54"/>
      <c r="Z1014" s="54"/>
      <c r="AB1014" s="54"/>
      <c r="AD1014" s="54"/>
      <c r="AF1014" s="54"/>
      <c r="AH1014" s="54"/>
      <c r="AJ1014" s="54"/>
      <c r="AL1014" s="54"/>
      <c r="AO1014" s="54"/>
      <c r="AP1014" s="1"/>
      <c r="AQ1014" s="54"/>
      <c r="AR1014" s="171"/>
      <c r="AS1014" s="1"/>
      <c r="AT1014" s="1"/>
      <c r="AU1014" s="1"/>
    </row>
    <row r="1015">
      <c r="A1015" s="54"/>
      <c r="B1015" s="71"/>
      <c r="C1015" s="51"/>
      <c r="D1015" s="54"/>
      <c r="E1015" s="114"/>
      <c r="F1015" s="16"/>
      <c r="G1015" s="114"/>
      <c r="H1015" s="54"/>
      <c r="I1015" s="114"/>
      <c r="J1015" s="54"/>
      <c r="L1015" s="54"/>
      <c r="N1015" s="54"/>
      <c r="P1015" s="54"/>
      <c r="R1015" s="54"/>
      <c r="T1015" s="1"/>
      <c r="V1015" s="54"/>
      <c r="X1015" s="54"/>
      <c r="Z1015" s="54"/>
      <c r="AB1015" s="54"/>
      <c r="AD1015" s="54"/>
      <c r="AF1015" s="54"/>
      <c r="AH1015" s="54"/>
      <c r="AJ1015" s="54"/>
      <c r="AL1015" s="54"/>
      <c r="AO1015" s="54"/>
      <c r="AP1015" s="1"/>
      <c r="AQ1015" s="54"/>
      <c r="AR1015" s="171"/>
      <c r="AS1015" s="1"/>
      <c r="AT1015" s="1"/>
      <c r="AU1015" s="1"/>
    </row>
    <row r="1016">
      <c r="A1016" s="54"/>
      <c r="B1016" s="71"/>
      <c r="C1016" s="51"/>
      <c r="D1016" s="54"/>
      <c r="E1016" s="114"/>
      <c r="F1016" s="16"/>
      <c r="G1016" s="114"/>
      <c r="H1016" s="54"/>
      <c r="I1016" s="114"/>
      <c r="J1016" s="54"/>
      <c r="L1016" s="54"/>
      <c r="N1016" s="54"/>
      <c r="P1016" s="54"/>
      <c r="R1016" s="54"/>
      <c r="T1016" s="1"/>
      <c r="V1016" s="54"/>
      <c r="X1016" s="54"/>
      <c r="Z1016" s="54"/>
      <c r="AB1016" s="54"/>
      <c r="AD1016" s="54"/>
      <c r="AF1016" s="54"/>
      <c r="AH1016" s="54"/>
      <c r="AJ1016" s="54"/>
      <c r="AL1016" s="54"/>
      <c r="AO1016" s="54"/>
      <c r="AP1016" s="1"/>
      <c r="AQ1016" s="54"/>
      <c r="AR1016" s="171"/>
      <c r="AS1016" s="1"/>
      <c r="AT1016" s="1"/>
      <c r="AU1016" s="1"/>
    </row>
    <row r="1017">
      <c r="A1017" s="54"/>
      <c r="B1017" s="71"/>
      <c r="C1017" s="51"/>
      <c r="D1017" s="54"/>
      <c r="E1017" s="114"/>
      <c r="F1017" s="16"/>
      <c r="G1017" s="114"/>
      <c r="H1017" s="54"/>
      <c r="I1017" s="114"/>
      <c r="J1017" s="54"/>
      <c r="L1017" s="54"/>
      <c r="N1017" s="54"/>
      <c r="P1017" s="54"/>
      <c r="R1017" s="54"/>
      <c r="T1017" s="1"/>
      <c r="V1017" s="54"/>
      <c r="X1017" s="54"/>
      <c r="Z1017" s="54"/>
      <c r="AB1017" s="54"/>
      <c r="AD1017" s="54"/>
      <c r="AF1017" s="54"/>
      <c r="AH1017" s="54"/>
      <c r="AJ1017" s="54"/>
      <c r="AL1017" s="54"/>
      <c r="AO1017" s="54"/>
      <c r="AP1017" s="1"/>
      <c r="AQ1017" s="54"/>
      <c r="AR1017" s="171"/>
      <c r="AS1017" s="1"/>
      <c r="AT1017" s="1"/>
      <c r="AU1017" s="1"/>
    </row>
    <row r="1018">
      <c r="A1018" s="54"/>
      <c r="B1018" s="71"/>
      <c r="C1018" s="51"/>
      <c r="D1018" s="54"/>
      <c r="E1018" s="114"/>
      <c r="F1018" s="16"/>
      <c r="G1018" s="114"/>
      <c r="H1018" s="54"/>
      <c r="I1018" s="114"/>
      <c r="J1018" s="54"/>
      <c r="L1018" s="54"/>
      <c r="N1018" s="54"/>
      <c r="P1018" s="54"/>
      <c r="Q1018" s="148"/>
      <c r="R1018" s="54"/>
      <c r="T1018" s="1"/>
      <c r="V1018" s="54"/>
      <c r="X1018" s="54"/>
      <c r="Z1018" s="54"/>
      <c r="AB1018" s="54"/>
      <c r="AD1018" s="54"/>
      <c r="AF1018" s="54"/>
      <c r="AH1018" s="54"/>
      <c r="AJ1018" s="54"/>
      <c r="AL1018" s="54"/>
      <c r="AO1018" s="54"/>
      <c r="AP1018" s="1"/>
      <c r="AQ1018" s="54"/>
      <c r="AR1018" s="171"/>
      <c r="AS1018" s="1"/>
      <c r="AT1018" s="1"/>
      <c r="AU1018" s="1"/>
    </row>
    <row r="1019">
      <c r="A1019" s="54"/>
      <c r="B1019" s="71"/>
      <c r="C1019" s="51"/>
      <c r="D1019" s="54"/>
      <c r="E1019" s="114"/>
      <c r="F1019" s="16"/>
      <c r="G1019" s="114"/>
      <c r="H1019" s="54"/>
      <c r="I1019" s="114"/>
      <c r="J1019" s="54"/>
      <c r="L1019" s="54"/>
      <c r="N1019" s="54"/>
      <c r="P1019" s="54"/>
      <c r="R1019" s="54"/>
      <c r="T1019" s="1"/>
      <c r="V1019" s="54"/>
      <c r="X1019" s="54"/>
      <c r="Z1019" s="54"/>
      <c r="AB1019" s="54"/>
      <c r="AD1019" s="54"/>
      <c r="AF1019" s="54"/>
      <c r="AH1019" s="54"/>
      <c r="AJ1019" s="54"/>
      <c r="AL1019" s="54"/>
      <c r="AO1019" s="54"/>
      <c r="AP1019" s="1"/>
      <c r="AQ1019" s="54"/>
      <c r="AR1019" s="171"/>
      <c r="AS1019" s="1"/>
      <c r="AT1019" s="1"/>
      <c r="AU1019" s="1"/>
    </row>
    <row r="1020">
      <c r="A1020" s="54"/>
      <c r="B1020" s="71"/>
      <c r="C1020" s="51"/>
      <c r="D1020" s="54"/>
      <c r="E1020" s="114"/>
      <c r="F1020" s="16"/>
      <c r="G1020" s="114"/>
      <c r="H1020" s="54"/>
      <c r="I1020" s="114"/>
      <c r="J1020" s="54"/>
      <c r="L1020" s="54"/>
      <c r="N1020" s="54"/>
      <c r="P1020" s="54"/>
      <c r="R1020" s="54"/>
      <c r="T1020" s="1"/>
      <c r="V1020" s="54"/>
      <c r="X1020" s="54"/>
      <c r="Z1020" s="54"/>
      <c r="AB1020" s="54"/>
      <c r="AD1020" s="54"/>
      <c r="AF1020" s="54"/>
      <c r="AH1020" s="54"/>
      <c r="AJ1020" s="54"/>
      <c r="AL1020" s="54"/>
      <c r="AO1020" s="54"/>
      <c r="AP1020" s="1"/>
      <c r="AQ1020" s="54"/>
      <c r="AR1020" s="171"/>
      <c r="AS1020" s="1"/>
      <c r="AT1020" s="1"/>
      <c r="AU1020" s="1"/>
    </row>
    <row r="1021">
      <c r="A1021" s="54"/>
      <c r="B1021" s="71"/>
      <c r="C1021" s="51"/>
      <c r="D1021" s="54"/>
      <c r="E1021" s="114"/>
      <c r="F1021" s="16"/>
      <c r="G1021" s="114"/>
      <c r="H1021" s="54"/>
      <c r="I1021" s="114"/>
      <c r="J1021" s="54"/>
      <c r="L1021" s="54"/>
      <c r="N1021" s="54"/>
      <c r="P1021" s="54"/>
      <c r="R1021" s="54"/>
      <c r="T1021" s="1"/>
      <c r="V1021" s="54"/>
      <c r="X1021" s="54"/>
      <c r="Z1021" s="54"/>
      <c r="AB1021" s="54"/>
      <c r="AD1021" s="54"/>
      <c r="AF1021" s="54"/>
      <c r="AH1021" s="54"/>
      <c r="AJ1021" s="54"/>
      <c r="AL1021" s="54"/>
      <c r="AO1021" s="54"/>
      <c r="AP1021" s="1"/>
      <c r="AQ1021" s="54"/>
      <c r="AR1021" s="171"/>
      <c r="AS1021" s="1"/>
      <c r="AT1021" s="1"/>
      <c r="AU1021" s="1"/>
    </row>
    <row r="1022">
      <c r="A1022" s="54"/>
      <c r="B1022" s="71"/>
      <c r="C1022" s="51"/>
      <c r="D1022" s="54"/>
      <c r="E1022" s="114"/>
      <c r="F1022" s="16"/>
      <c r="G1022" s="114"/>
      <c r="H1022" s="54"/>
      <c r="I1022" s="114"/>
      <c r="J1022" s="54"/>
      <c r="L1022" s="54"/>
      <c r="N1022" s="54"/>
      <c r="P1022" s="54"/>
      <c r="R1022" s="54"/>
      <c r="T1022" s="1"/>
      <c r="V1022" s="54"/>
      <c r="X1022" s="54"/>
      <c r="Z1022" s="54"/>
      <c r="AB1022" s="54"/>
      <c r="AD1022" s="54"/>
      <c r="AF1022" s="54"/>
      <c r="AH1022" s="54"/>
      <c r="AJ1022" s="54"/>
      <c r="AL1022" s="54"/>
      <c r="AO1022" s="54"/>
      <c r="AP1022" s="1"/>
      <c r="AQ1022" s="54"/>
      <c r="AR1022" s="171"/>
      <c r="AS1022" s="1"/>
      <c r="AT1022" s="1"/>
      <c r="AU1022" s="1"/>
    </row>
    <row r="1023">
      <c r="A1023" s="54"/>
      <c r="B1023" s="71"/>
      <c r="C1023" s="51"/>
      <c r="D1023" s="54"/>
      <c r="E1023" s="114"/>
      <c r="F1023" s="16"/>
      <c r="G1023" s="114"/>
      <c r="H1023" s="54"/>
      <c r="I1023" s="114"/>
      <c r="J1023" s="54"/>
      <c r="L1023" s="54"/>
      <c r="N1023" s="54"/>
      <c r="P1023" s="54"/>
      <c r="R1023" s="54"/>
      <c r="T1023" s="1"/>
      <c r="V1023" s="54"/>
      <c r="X1023" s="54"/>
      <c r="Z1023" s="54"/>
      <c r="AB1023" s="54"/>
      <c r="AD1023" s="54"/>
      <c r="AF1023" s="54"/>
      <c r="AH1023" s="54"/>
      <c r="AJ1023" s="54"/>
      <c r="AL1023" s="54"/>
      <c r="AO1023" s="54"/>
      <c r="AP1023" s="1"/>
      <c r="AQ1023" s="54"/>
      <c r="AR1023" s="171"/>
      <c r="AS1023" s="1"/>
      <c r="AT1023" s="1"/>
      <c r="AU1023" s="1"/>
    </row>
    <row r="1024">
      <c r="A1024" s="54"/>
      <c r="B1024" s="71"/>
      <c r="C1024" s="51"/>
      <c r="D1024" s="54"/>
      <c r="E1024" s="114"/>
      <c r="F1024" s="16"/>
      <c r="G1024" s="114"/>
      <c r="H1024" s="54"/>
      <c r="I1024" s="114"/>
      <c r="J1024" s="54"/>
      <c r="L1024" s="54"/>
      <c r="N1024" s="54"/>
      <c r="P1024" s="54"/>
      <c r="R1024" s="54"/>
      <c r="T1024" s="1"/>
      <c r="V1024" s="54"/>
      <c r="X1024" s="54"/>
      <c r="Z1024" s="54"/>
      <c r="AB1024" s="54"/>
      <c r="AD1024" s="54"/>
      <c r="AF1024" s="54"/>
      <c r="AH1024" s="54"/>
      <c r="AJ1024" s="54"/>
      <c r="AL1024" s="54"/>
      <c r="AO1024" s="54"/>
      <c r="AP1024" s="1"/>
      <c r="AQ1024" s="54"/>
      <c r="AR1024" s="171"/>
      <c r="AS1024" s="1"/>
      <c r="AT1024" s="1"/>
      <c r="AU1024" s="1"/>
    </row>
    <row r="1025">
      <c r="A1025" s="54"/>
      <c r="B1025" s="71"/>
      <c r="C1025" s="51"/>
      <c r="D1025" s="54"/>
      <c r="E1025" s="114"/>
      <c r="F1025" s="16"/>
      <c r="G1025" s="114"/>
      <c r="H1025" s="54"/>
      <c r="I1025" s="114"/>
      <c r="J1025" s="54"/>
      <c r="L1025" s="54"/>
      <c r="N1025" s="54"/>
      <c r="P1025" s="54"/>
      <c r="R1025" s="54"/>
      <c r="T1025" s="1"/>
      <c r="V1025" s="54"/>
      <c r="X1025" s="54"/>
      <c r="Z1025" s="54"/>
      <c r="AB1025" s="54"/>
      <c r="AD1025" s="54"/>
      <c r="AF1025" s="54"/>
      <c r="AH1025" s="54"/>
      <c r="AJ1025" s="54"/>
      <c r="AL1025" s="54"/>
      <c r="AO1025" s="54"/>
      <c r="AP1025" s="1"/>
      <c r="AQ1025" s="54"/>
      <c r="AR1025" s="171"/>
      <c r="AS1025" s="1"/>
      <c r="AT1025" s="1"/>
      <c r="AU1025" s="1"/>
    </row>
    <row r="1026">
      <c r="A1026" s="54"/>
      <c r="B1026" s="71"/>
      <c r="C1026" s="51"/>
      <c r="D1026" s="54"/>
      <c r="E1026" s="114"/>
      <c r="F1026" s="16"/>
      <c r="G1026" s="114"/>
      <c r="H1026" s="54"/>
      <c r="I1026" s="114"/>
      <c r="J1026" s="54"/>
      <c r="L1026" s="54"/>
      <c r="N1026" s="54"/>
      <c r="P1026" s="54"/>
      <c r="R1026" s="54"/>
      <c r="T1026" s="1"/>
      <c r="V1026" s="54"/>
      <c r="X1026" s="54"/>
      <c r="Z1026" s="54"/>
      <c r="AB1026" s="54"/>
      <c r="AD1026" s="54"/>
      <c r="AF1026" s="54"/>
      <c r="AH1026" s="54"/>
      <c r="AJ1026" s="54"/>
      <c r="AL1026" s="54"/>
      <c r="AO1026" s="54"/>
      <c r="AP1026" s="1"/>
      <c r="AQ1026" s="54"/>
      <c r="AR1026" s="171"/>
      <c r="AS1026" s="1"/>
      <c r="AT1026" s="1"/>
      <c r="AU1026" s="1"/>
    </row>
    <row r="1027">
      <c r="A1027" s="54"/>
      <c r="B1027" s="71"/>
      <c r="C1027" s="51"/>
      <c r="D1027" s="54"/>
      <c r="E1027" s="114"/>
      <c r="F1027" s="16"/>
      <c r="G1027" s="114"/>
      <c r="H1027" s="54"/>
      <c r="I1027" s="114"/>
      <c r="J1027" s="54"/>
      <c r="L1027" s="54"/>
      <c r="N1027" s="54"/>
      <c r="P1027" s="54"/>
      <c r="R1027" s="54"/>
      <c r="T1027" s="1"/>
      <c r="V1027" s="54"/>
      <c r="X1027" s="54"/>
      <c r="Z1027" s="54"/>
      <c r="AB1027" s="54"/>
      <c r="AD1027" s="54"/>
      <c r="AF1027" s="54"/>
      <c r="AH1027" s="54"/>
      <c r="AJ1027" s="54"/>
      <c r="AL1027" s="54"/>
      <c r="AO1027" s="54"/>
      <c r="AP1027" s="1"/>
      <c r="AQ1027" s="54"/>
      <c r="AR1027" s="171"/>
      <c r="AS1027" s="1"/>
      <c r="AT1027" s="1"/>
      <c r="AU1027" s="1"/>
    </row>
    <row r="1028">
      <c r="A1028" s="54"/>
      <c r="B1028" s="71"/>
      <c r="C1028" s="51"/>
      <c r="D1028" s="54"/>
      <c r="E1028" s="114"/>
      <c r="F1028" s="16"/>
      <c r="G1028" s="114"/>
      <c r="H1028" s="54"/>
      <c r="I1028" s="114"/>
      <c r="J1028" s="54"/>
      <c r="L1028" s="54"/>
      <c r="N1028" s="54"/>
      <c r="P1028" s="54"/>
      <c r="Q1028" s="148"/>
      <c r="R1028" s="54"/>
      <c r="T1028" s="1"/>
      <c r="V1028" s="54"/>
      <c r="X1028" s="54"/>
      <c r="Z1028" s="54"/>
      <c r="AB1028" s="54"/>
      <c r="AD1028" s="54"/>
      <c r="AF1028" s="54"/>
      <c r="AH1028" s="54"/>
      <c r="AJ1028" s="54"/>
      <c r="AL1028" s="54"/>
      <c r="AO1028" s="54"/>
      <c r="AP1028" s="1"/>
      <c r="AQ1028" s="54"/>
      <c r="AR1028" s="171"/>
      <c r="AS1028" s="1"/>
      <c r="AT1028" s="1"/>
      <c r="AU1028" s="1"/>
    </row>
    <row r="1029">
      <c r="A1029" s="54"/>
      <c r="B1029" s="71"/>
      <c r="C1029" s="51"/>
      <c r="D1029" s="54"/>
      <c r="E1029" s="114"/>
      <c r="F1029" s="16"/>
      <c r="G1029" s="114"/>
      <c r="H1029" s="54"/>
      <c r="I1029" s="114"/>
      <c r="J1029" s="54"/>
      <c r="L1029" s="54"/>
      <c r="N1029" s="54"/>
      <c r="P1029" s="54"/>
      <c r="R1029" s="54"/>
      <c r="T1029" s="1"/>
      <c r="V1029" s="54"/>
      <c r="X1029" s="54"/>
      <c r="Z1029" s="54"/>
      <c r="AB1029" s="54"/>
      <c r="AD1029" s="54"/>
      <c r="AF1029" s="54"/>
      <c r="AH1029" s="54"/>
      <c r="AJ1029" s="54"/>
      <c r="AL1029" s="54"/>
      <c r="AO1029" s="54"/>
      <c r="AP1029" s="1"/>
      <c r="AQ1029" s="54"/>
      <c r="AR1029" s="171"/>
      <c r="AS1029" s="1"/>
      <c r="AT1029" s="1"/>
      <c r="AU1029" s="1"/>
    </row>
    <row r="1030">
      <c r="A1030" s="54"/>
      <c r="B1030" s="71"/>
      <c r="C1030" s="51"/>
      <c r="D1030" s="54"/>
      <c r="E1030" s="114"/>
      <c r="F1030" s="16"/>
      <c r="G1030" s="114"/>
      <c r="H1030" s="54"/>
      <c r="I1030" s="114"/>
      <c r="J1030" s="54"/>
      <c r="L1030" s="54"/>
      <c r="N1030" s="54"/>
      <c r="P1030" s="54"/>
      <c r="Q1030" s="148"/>
      <c r="R1030" s="54"/>
      <c r="T1030" s="1"/>
      <c r="V1030" s="54"/>
      <c r="X1030" s="54"/>
      <c r="Z1030" s="54"/>
      <c r="AB1030" s="54"/>
      <c r="AD1030" s="54"/>
      <c r="AF1030" s="54"/>
      <c r="AH1030" s="54"/>
      <c r="AJ1030" s="54"/>
      <c r="AL1030" s="54"/>
      <c r="AO1030" s="54"/>
      <c r="AP1030" s="1"/>
      <c r="AQ1030" s="54"/>
      <c r="AR1030" s="171"/>
      <c r="AS1030" s="1"/>
      <c r="AT1030" s="1"/>
      <c r="AU1030" s="1"/>
    </row>
    <row r="1031">
      <c r="A1031" s="54"/>
      <c r="B1031" s="71"/>
      <c r="C1031" s="51"/>
      <c r="D1031" s="54"/>
      <c r="E1031" s="114"/>
      <c r="F1031" s="16"/>
      <c r="G1031" s="114"/>
      <c r="H1031" s="54"/>
      <c r="I1031" s="114"/>
      <c r="J1031" s="54"/>
      <c r="L1031" s="54"/>
      <c r="N1031" s="54"/>
      <c r="P1031" s="54"/>
      <c r="R1031" s="54"/>
      <c r="T1031" s="1"/>
      <c r="V1031" s="54"/>
      <c r="X1031" s="54"/>
      <c r="Z1031" s="54"/>
      <c r="AB1031" s="54"/>
      <c r="AD1031" s="54"/>
      <c r="AF1031" s="54"/>
      <c r="AH1031" s="54"/>
      <c r="AJ1031" s="54"/>
      <c r="AL1031" s="54"/>
      <c r="AO1031" s="54"/>
      <c r="AP1031" s="1"/>
      <c r="AQ1031" s="54"/>
      <c r="AR1031" s="171"/>
      <c r="AS1031" s="1"/>
      <c r="AT1031" s="1"/>
      <c r="AU1031" s="1"/>
    </row>
    <row r="1032">
      <c r="A1032" s="54"/>
      <c r="B1032" s="71"/>
      <c r="C1032" s="51"/>
      <c r="D1032" s="54"/>
      <c r="E1032" s="114"/>
      <c r="F1032" s="16"/>
      <c r="G1032" s="114"/>
      <c r="H1032" s="54"/>
      <c r="I1032" s="114"/>
      <c r="J1032" s="54"/>
      <c r="L1032" s="54"/>
      <c r="N1032" s="54"/>
      <c r="P1032" s="54"/>
      <c r="R1032" s="54"/>
      <c r="T1032" s="1"/>
      <c r="V1032" s="54"/>
      <c r="X1032" s="54"/>
      <c r="Z1032" s="54"/>
      <c r="AB1032" s="54"/>
      <c r="AD1032" s="54"/>
      <c r="AF1032" s="54"/>
      <c r="AH1032" s="54"/>
      <c r="AJ1032" s="54"/>
      <c r="AL1032" s="54"/>
      <c r="AO1032" s="54"/>
      <c r="AP1032" s="1"/>
      <c r="AQ1032" s="54"/>
      <c r="AR1032" s="171"/>
      <c r="AS1032" s="1"/>
      <c r="AT1032" s="1"/>
      <c r="AU1032" s="1"/>
    </row>
    <row r="1033">
      <c r="A1033" s="54"/>
      <c r="B1033" s="71"/>
      <c r="C1033" s="51"/>
      <c r="D1033" s="54"/>
      <c r="E1033" s="114"/>
      <c r="F1033" s="16"/>
      <c r="G1033" s="114"/>
      <c r="H1033" s="54"/>
      <c r="I1033" s="114"/>
      <c r="J1033" s="54"/>
      <c r="L1033" s="54"/>
      <c r="N1033" s="54"/>
      <c r="P1033" s="54"/>
      <c r="R1033" s="54"/>
      <c r="T1033" s="1"/>
      <c r="V1033" s="54"/>
      <c r="X1033" s="54"/>
      <c r="Z1033" s="54"/>
      <c r="AB1033" s="54"/>
      <c r="AD1033" s="54"/>
      <c r="AF1033" s="54"/>
      <c r="AH1033" s="54"/>
      <c r="AJ1033" s="54"/>
      <c r="AL1033" s="54"/>
      <c r="AO1033" s="54"/>
      <c r="AP1033" s="1"/>
      <c r="AQ1033" s="54"/>
      <c r="AR1033" s="171"/>
      <c r="AS1033" s="1"/>
      <c r="AT1033" s="1"/>
      <c r="AU1033" s="1"/>
    </row>
    <row r="1034">
      <c r="A1034" s="54"/>
      <c r="B1034" s="71"/>
      <c r="C1034" s="51"/>
      <c r="D1034" s="54"/>
      <c r="E1034" s="114"/>
      <c r="F1034" s="16"/>
      <c r="G1034" s="114"/>
      <c r="H1034" s="54"/>
      <c r="I1034" s="114"/>
      <c r="J1034" s="54"/>
      <c r="L1034" s="54"/>
      <c r="N1034" s="54"/>
      <c r="P1034" s="54"/>
      <c r="R1034" s="54"/>
      <c r="T1034" s="1"/>
      <c r="V1034" s="54"/>
      <c r="X1034" s="54"/>
      <c r="Z1034" s="54"/>
      <c r="AB1034" s="54"/>
      <c r="AD1034" s="54"/>
      <c r="AF1034" s="54"/>
      <c r="AH1034" s="54"/>
      <c r="AJ1034" s="54"/>
      <c r="AL1034" s="54"/>
      <c r="AO1034" s="54"/>
      <c r="AP1034" s="1"/>
      <c r="AQ1034" s="54"/>
      <c r="AR1034" s="171"/>
      <c r="AS1034" s="1"/>
      <c r="AT1034" s="1"/>
      <c r="AU1034" s="1"/>
    </row>
    <row r="1035">
      <c r="A1035" s="54"/>
      <c r="B1035" s="71"/>
      <c r="C1035" s="51"/>
      <c r="D1035" s="54"/>
      <c r="E1035" s="114"/>
      <c r="F1035" s="16"/>
      <c r="G1035" s="114"/>
      <c r="H1035" s="54"/>
      <c r="I1035" s="114"/>
      <c r="J1035" s="54"/>
      <c r="L1035" s="54"/>
      <c r="N1035" s="54"/>
      <c r="P1035" s="54"/>
      <c r="Q1035" s="148"/>
      <c r="R1035" s="54"/>
      <c r="T1035" s="1"/>
      <c r="V1035" s="54"/>
      <c r="X1035" s="54"/>
      <c r="Z1035" s="54"/>
      <c r="AB1035" s="54"/>
      <c r="AD1035" s="54"/>
      <c r="AF1035" s="54"/>
      <c r="AH1035" s="54"/>
      <c r="AJ1035" s="54"/>
      <c r="AL1035" s="54"/>
      <c r="AO1035" s="54"/>
      <c r="AP1035" s="1"/>
      <c r="AQ1035" s="54"/>
      <c r="AR1035" s="171"/>
      <c r="AS1035" s="1"/>
      <c r="AT1035" s="1"/>
      <c r="AU1035" s="1"/>
    </row>
    <row r="1036">
      <c r="A1036" s="54"/>
      <c r="B1036" s="71"/>
      <c r="C1036" s="51"/>
      <c r="D1036" s="54"/>
      <c r="E1036" s="114"/>
      <c r="F1036" s="16"/>
      <c r="G1036" s="114"/>
      <c r="H1036" s="54"/>
      <c r="I1036" s="114"/>
      <c r="J1036" s="54"/>
      <c r="L1036" s="54"/>
      <c r="N1036" s="54"/>
      <c r="P1036" s="54"/>
      <c r="R1036" s="54"/>
      <c r="T1036" s="1"/>
      <c r="V1036" s="54"/>
      <c r="X1036" s="54"/>
      <c r="Z1036" s="54"/>
      <c r="AB1036" s="54"/>
      <c r="AD1036" s="54"/>
      <c r="AF1036" s="54"/>
      <c r="AH1036" s="54"/>
      <c r="AJ1036" s="54"/>
      <c r="AL1036" s="54"/>
      <c r="AO1036" s="54"/>
      <c r="AP1036" s="1"/>
      <c r="AQ1036" s="54"/>
      <c r="AR1036" s="171"/>
      <c r="AS1036" s="1"/>
      <c r="AT1036" s="1"/>
      <c r="AU1036" s="1"/>
    </row>
    <row r="1037">
      <c r="A1037" s="54"/>
      <c r="B1037" s="71"/>
      <c r="C1037" s="51"/>
      <c r="D1037" s="54"/>
      <c r="E1037" s="114"/>
      <c r="F1037" s="16"/>
      <c r="G1037" s="114"/>
      <c r="H1037" s="54"/>
      <c r="I1037" s="114"/>
      <c r="J1037" s="54"/>
      <c r="L1037" s="54"/>
      <c r="N1037" s="54"/>
      <c r="P1037" s="54"/>
      <c r="R1037" s="54"/>
      <c r="T1037" s="1"/>
      <c r="V1037" s="54"/>
      <c r="X1037" s="54"/>
      <c r="Z1037" s="54"/>
      <c r="AB1037" s="54"/>
      <c r="AD1037" s="54"/>
      <c r="AF1037" s="54"/>
      <c r="AH1037" s="54"/>
      <c r="AJ1037" s="54"/>
      <c r="AL1037" s="54"/>
      <c r="AO1037" s="54"/>
      <c r="AP1037" s="1"/>
      <c r="AQ1037" s="54"/>
      <c r="AR1037" s="171"/>
      <c r="AS1037" s="1"/>
      <c r="AT1037" s="1"/>
      <c r="AU1037" s="1"/>
    </row>
    <row r="1038">
      <c r="A1038" s="54"/>
      <c r="B1038" s="71"/>
      <c r="C1038" s="51"/>
      <c r="D1038" s="54"/>
      <c r="E1038" s="114"/>
      <c r="F1038" s="16"/>
      <c r="G1038" s="114"/>
      <c r="H1038" s="54"/>
      <c r="I1038" s="114"/>
      <c r="J1038" s="54"/>
      <c r="L1038" s="54"/>
      <c r="N1038" s="54"/>
      <c r="P1038" s="54"/>
      <c r="R1038" s="54"/>
      <c r="T1038" s="1"/>
      <c r="V1038" s="54"/>
      <c r="X1038" s="54"/>
      <c r="Z1038" s="54"/>
      <c r="AB1038" s="54"/>
      <c r="AD1038" s="54"/>
      <c r="AF1038" s="54"/>
      <c r="AH1038" s="54"/>
      <c r="AJ1038" s="54"/>
      <c r="AL1038" s="54"/>
      <c r="AO1038" s="54"/>
      <c r="AP1038" s="1"/>
      <c r="AQ1038" s="54"/>
      <c r="AR1038" s="171"/>
      <c r="AS1038" s="1"/>
      <c r="AT1038" s="1"/>
      <c r="AU1038" s="1"/>
    </row>
    <row r="1039">
      <c r="A1039" s="54"/>
      <c r="B1039" s="71"/>
      <c r="C1039" s="51"/>
      <c r="D1039" s="54"/>
      <c r="E1039" s="114"/>
      <c r="F1039" s="16"/>
      <c r="G1039" s="114"/>
      <c r="H1039" s="54"/>
      <c r="I1039" s="114"/>
      <c r="J1039" s="54"/>
      <c r="L1039" s="54"/>
      <c r="N1039" s="54"/>
      <c r="P1039" s="54"/>
      <c r="R1039" s="54"/>
      <c r="T1039" s="1"/>
      <c r="V1039" s="54"/>
      <c r="X1039" s="54"/>
      <c r="Z1039" s="54"/>
      <c r="AB1039" s="54"/>
      <c r="AD1039" s="54"/>
      <c r="AF1039" s="54"/>
      <c r="AH1039" s="54"/>
      <c r="AJ1039" s="54"/>
      <c r="AL1039" s="54"/>
      <c r="AO1039" s="54"/>
      <c r="AP1039" s="1"/>
      <c r="AQ1039" s="54"/>
      <c r="AR1039" s="171"/>
      <c r="AS1039" s="1"/>
      <c r="AT1039" s="1"/>
      <c r="AU1039" s="1"/>
    </row>
    <row r="1040">
      <c r="A1040" s="54"/>
      <c r="B1040" s="71"/>
      <c r="C1040" s="51"/>
      <c r="D1040" s="54"/>
      <c r="E1040" s="114"/>
      <c r="F1040" s="16"/>
      <c r="G1040" s="114"/>
      <c r="H1040" s="54"/>
      <c r="I1040" s="114"/>
      <c r="J1040" s="54"/>
      <c r="L1040" s="54"/>
      <c r="N1040" s="54"/>
      <c r="P1040" s="54"/>
      <c r="R1040" s="54"/>
      <c r="T1040" s="1"/>
      <c r="V1040" s="54"/>
      <c r="X1040" s="54"/>
      <c r="Z1040" s="54"/>
      <c r="AB1040" s="54"/>
      <c r="AD1040" s="54"/>
      <c r="AF1040" s="54"/>
      <c r="AH1040" s="54"/>
      <c r="AJ1040" s="54"/>
      <c r="AL1040" s="54"/>
      <c r="AO1040" s="54"/>
      <c r="AP1040" s="1"/>
      <c r="AQ1040" s="54"/>
      <c r="AR1040" s="171"/>
      <c r="AS1040" s="1"/>
      <c r="AT1040" s="1"/>
      <c r="AU1040" s="1"/>
    </row>
    <row r="1041">
      <c r="A1041" s="54"/>
      <c r="B1041" s="71"/>
      <c r="C1041" s="51"/>
      <c r="D1041" s="54"/>
      <c r="E1041" s="114"/>
      <c r="F1041" s="16"/>
      <c r="G1041" s="114"/>
      <c r="H1041" s="54"/>
      <c r="I1041" s="114"/>
      <c r="J1041" s="54"/>
      <c r="L1041" s="54"/>
      <c r="N1041" s="54"/>
      <c r="P1041" s="54"/>
      <c r="R1041" s="54"/>
      <c r="T1041" s="1"/>
      <c r="V1041" s="54"/>
      <c r="X1041" s="54"/>
      <c r="Z1041" s="54"/>
      <c r="AB1041" s="54"/>
      <c r="AD1041" s="54"/>
      <c r="AF1041" s="54"/>
      <c r="AH1041" s="54"/>
      <c r="AJ1041" s="54"/>
      <c r="AL1041" s="54"/>
      <c r="AO1041" s="54"/>
      <c r="AP1041" s="1"/>
      <c r="AQ1041" s="54"/>
      <c r="AR1041" s="171"/>
      <c r="AS1041" s="1"/>
      <c r="AT1041" s="1"/>
      <c r="AU1041" s="1"/>
    </row>
    <row r="1042">
      <c r="A1042" s="54"/>
      <c r="B1042" s="71"/>
      <c r="C1042" s="51"/>
      <c r="D1042" s="54"/>
      <c r="E1042" s="114"/>
      <c r="F1042" s="16"/>
      <c r="G1042" s="114"/>
      <c r="H1042" s="54"/>
      <c r="I1042" s="114"/>
      <c r="J1042" s="54"/>
      <c r="L1042" s="54"/>
      <c r="N1042" s="54"/>
      <c r="P1042" s="54"/>
      <c r="R1042" s="54"/>
      <c r="T1042" s="1"/>
      <c r="V1042" s="54"/>
      <c r="X1042" s="54"/>
      <c r="Z1042" s="54"/>
      <c r="AB1042" s="54"/>
      <c r="AD1042" s="54"/>
      <c r="AF1042" s="54"/>
      <c r="AH1042" s="54"/>
      <c r="AJ1042" s="54"/>
      <c r="AL1042" s="54"/>
      <c r="AO1042" s="54"/>
      <c r="AP1042" s="1"/>
      <c r="AQ1042" s="54"/>
      <c r="AR1042" s="171"/>
      <c r="AS1042" s="1"/>
      <c r="AT1042" s="1"/>
      <c r="AU1042" s="1"/>
    </row>
    <row r="1043">
      <c r="A1043" s="54"/>
      <c r="B1043" s="71"/>
      <c r="C1043" s="51"/>
      <c r="D1043" s="54"/>
      <c r="E1043" s="114"/>
      <c r="F1043" s="16"/>
      <c r="G1043" s="114"/>
      <c r="H1043" s="54"/>
      <c r="I1043" s="114"/>
      <c r="J1043" s="54"/>
      <c r="L1043" s="54"/>
      <c r="N1043" s="54"/>
      <c r="P1043" s="54"/>
      <c r="R1043" s="54"/>
      <c r="T1043" s="1"/>
      <c r="V1043" s="54"/>
      <c r="X1043" s="54"/>
      <c r="Z1043" s="54"/>
      <c r="AB1043" s="54"/>
      <c r="AD1043" s="54"/>
      <c r="AF1043" s="54"/>
      <c r="AH1043" s="54"/>
      <c r="AJ1043" s="54"/>
      <c r="AL1043" s="54"/>
      <c r="AO1043" s="54"/>
      <c r="AP1043" s="1"/>
      <c r="AQ1043" s="54"/>
      <c r="AR1043" s="171"/>
      <c r="AS1043" s="1"/>
      <c r="AT1043" s="1"/>
      <c r="AU1043" s="1"/>
    </row>
    <row r="1044">
      <c r="A1044" s="54"/>
      <c r="B1044" s="71"/>
      <c r="C1044" s="51"/>
      <c r="D1044" s="54"/>
      <c r="E1044" s="114"/>
      <c r="F1044" s="16"/>
      <c r="G1044" s="114"/>
      <c r="H1044" s="54"/>
      <c r="I1044" s="114"/>
      <c r="J1044" s="54"/>
      <c r="L1044" s="54"/>
      <c r="N1044" s="54"/>
      <c r="P1044" s="54"/>
      <c r="R1044" s="54"/>
      <c r="T1044" s="1"/>
      <c r="V1044" s="54"/>
      <c r="X1044" s="54"/>
      <c r="Z1044" s="54"/>
      <c r="AB1044" s="54"/>
      <c r="AD1044" s="54"/>
      <c r="AF1044" s="54"/>
      <c r="AH1044" s="54"/>
      <c r="AJ1044" s="54"/>
      <c r="AL1044" s="54"/>
      <c r="AO1044" s="54"/>
      <c r="AP1044" s="1"/>
      <c r="AQ1044" s="54"/>
      <c r="AR1044" s="171"/>
      <c r="AS1044" s="1"/>
      <c r="AT1044" s="1"/>
      <c r="AU1044" s="1"/>
    </row>
    <row r="1045">
      <c r="A1045" s="54"/>
      <c r="B1045" s="71"/>
      <c r="C1045" s="51"/>
      <c r="D1045" s="54"/>
      <c r="E1045" s="114"/>
      <c r="F1045" s="16"/>
      <c r="G1045" s="114"/>
      <c r="H1045" s="54"/>
      <c r="I1045" s="114"/>
      <c r="J1045" s="54"/>
      <c r="L1045" s="54"/>
      <c r="N1045" s="54"/>
      <c r="P1045" s="54"/>
      <c r="R1045" s="54"/>
      <c r="T1045" s="1"/>
      <c r="V1045" s="54"/>
      <c r="X1045" s="54"/>
      <c r="Z1045" s="54"/>
      <c r="AB1045" s="54"/>
      <c r="AD1045" s="54"/>
      <c r="AF1045" s="54"/>
      <c r="AH1045" s="54"/>
      <c r="AJ1045" s="54"/>
      <c r="AL1045" s="54"/>
      <c r="AO1045" s="54"/>
      <c r="AP1045" s="1"/>
      <c r="AQ1045" s="54"/>
      <c r="AR1045" s="171"/>
      <c r="AS1045" s="1"/>
      <c r="AT1045" s="1"/>
      <c r="AU1045" s="1"/>
    </row>
    <row r="1046">
      <c r="A1046" s="54"/>
      <c r="B1046" s="71"/>
      <c r="C1046" s="51"/>
      <c r="D1046" s="54"/>
      <c r="E1046" s="114"/>
      <c r="F1046" s="16"/>
      <c r="G1046" s="114"/>
      <c r="H1046" s="54"/>
      <c r="I1046" s="114"/>
      <c r="J1046" s="54"/>
      <c r="L1046" s="54"/>
      <c r="N1046" s="54"/>
      <c r="P1046" s="54"/>
      <c r="R1046" s="54"/>
      <c r="T1046" s="1"/>
      <c r="V1046" s="54"/>
      <c r="X1046" s="54"/>
      <c r="Z1046" s="54"/>
      <c r="AB1046" s="54"/>
      <c r="AD1046" s="54"/>
      <c r="AF1046" s="54"/>
      <c r="AH1046" s="54"/>
      <c r="AJ1046" s="54"/>
      <c r="AL1046" s="54"/>
      <c r="AO1046" s="54"/>
      <c r="AP1046" s="1"/>
      <c r="AQ1046" s="54"/>
      <c r="AR1046" s="171"/>
      <c r="AS1046" s="1"/>
      <c r="AT1046" s="1"/>
      <c r="AU1046" s="1"/>
    </row>
    <row r="1047">
      <c r="A1047" s="54"/>
      <c r="B1047" s="71"/>
      <c r="C1047" s="51"/>
      <c r="D1047" s="54"/>
      <c r="E1047" s="114"/>
      <c r="F1047" s="16"/>
      <c r="G1047" s="114"/>
      <c r="H1047" s="54"/>
      <c r="I1047" s="114"/>
      <c r="J1047" s="54"/>
      <c r="L1047" s="54"/>
      <c r="N1047" s="54"/>
      <c r="P1047" s="54"/>
      <c r="R1047" s="54"/>
      <c r="T1047" s="1"/>
      <c r="V1047" s="54"/>
      <c r="X1047" s="54"/>
      <c r="Z1047" s="54"/>
      <c r="AB1047" s="54"/>
      <c r="AD1047" s="54"/>
      <c r="AF1047" s="54"/>
      <c r="AH1047" s="54"/>
      <c r="AJ1047" s="54"/>
      <c r="AL1047" s="54"/>
      <c r="AO1047" s="54"/>
      <c r="AP1047" s="1"/>
      <c r="AQ1047" s="54"/>
      <c r="AR1047" s="171"/>
      <c r="AS1047" s="1"/>
      <c r="AT1047" s="1"/>
      <c r="AU1047" s="1"/>
    </row>
    <row r="1048">
      <c r="A1048" s="54"/>
      <c r="B1048" s="71"/>
      <c r="C1048" s="51"/>
      <c r="D1048" s="54"/>
      <c r="E1048" s="114"/>
      <c r="F1048" s="16"/>
      <c r="G1048" s="114"/>
      <c r="H1048" s="54"/>
      <c r="I1048" s="114"/>
      <c r="J1048" s="54"/>
      <c r="L1048" s="54"/>
      <c r="N1048" s="54"/>
      <c r="P1048" s="54"/>
      <c r="R1048" s="54"/>
      <c r="T1048" s="1"/>
      <c r="V1048" s="54"/>
      <c r="X1048" s="54"/>
      <c r="Z1048" s="54"/>
      <c r="AB1048" s="54"/>
      <c r="AD1048" s="54"/>
      <c r="AF1048" s="54"/>
      <c r="AH1048" s="54"/>
      <c r="AJ1048" s="54"/>
      <c r="AL1048" s="54"/>
      <c r="AO1048" s="54"/>
      <c r="AP1048" s="1"/>
      <c r="AQ1048" s="54"/>
      <c r="AR1048" s="171"/>
      <c r="AS1048" s="1"/>
      <c r="AT1048" s="1"/>
      <c r="AU1048" s="1"/>
    </row>
    <row r="1049">
      <c r="A1049" s="54"/>
      <c r="B1049" s="71"/>
      <c r="C1049" s="51"/>
      <c r="D1049" s="54"/>
      <c r="E1049" s="114"/>
      <c r="F1049" s="16"/>
      <c r="G1049" s="114"/>
      <c r="H1049" s="54"/>
      <c r="I1049" s="114"/>
      <c r="J1049" s="54"/>
      <c r="L1049" s="54"/>
      <c r="N1049" s="54"/>
      <c r="P1049" s="54"/>
      <c r="R1049" s="54"/>
      <c r="T1049" s="1"/>
      <c r="V1049" s="54"/>
      <c r="X1049" s="54"/>
      <c r="Z1049" s="54"/>
      <c r="AB1049" s="54"/>
      <c r="AD1049" s="54"/>
      <c r="AF1049" s="54"/>
      <c r="AH1049" s="54"/>
      <c r="AJ1049" s="54"/>
      <c r="AL1049" s="54"/>
      <c r="AO1049" s="54"/>
      <c r="AP1049" s="1"/>
      <c r="AQ1049" s="54"/>
      <c r="AR1049" s="171"/>
      <c r="AS1049" s="1"/>
      <c r="AT1049" s="1"/>
      <c r="AU1049" s="1"/>
    </row>
    <row r="1050">
      <c r="A1050" s="54"/>
      <c r="B1050" s="71"/>
      <c r="C1050" s="51"/>
      <c r="D1050" s="54"/>
      <c r="E1050" s="114"/>
      <c r="F1050" s="16"/>
      <c r="G1050" s="114"/>
      <c r="H1050" s="54"/>
      <c r="I1050" s="114"/>
      <c r="J1050" s="54"/>
      <c r="L1050" s="54"/>
      <c r="N1050" s="54"/>
      <c r="P1050" s="54"/>
      <c r="R1050" s="54"/>
      <c r="T1050" s="1"/>
      <c r="V1050" s="54"/>
      <c r="X1050" s="54"/>
      <c r="Z1050" s="54"/>
      <c r="AB1050" s="54"/>
      <c r="AD1050" s="54"/>
      <c r="AF1050" s="54"/>
      <c r="AH1050" s="54"/>
      <c r="AJ1050" s="54"/>
      <c r="AL1050" s="54"/>
      <c r="AO1050" s="54"/>
      <c r="AP1050" s="1"/>
      <c r="AQ1050" s="54"/>
      <c r="AR1050" s="171"/>
      <c r="AS1050" s="1"/>
      <c r="AT1050" s="1"/>
      <c r="AU1050" s="1"/>
    </row>
    <row r="1051">
      <c r="A1051" s="54"/>
      <c r="B1051" s="71"/>
      <c r="C1051" s="51"/>
      <c r="D1051" s="54"/>
      <c r="E1051" s="114"/>
      <c r="F1051" s="16"/>
      <c r="G1051" s="114"/>
      <c r="H1051" s="54"/>
      <c r="I1051" s="114"/>
      <c r="J1051" s="54"/>
      <c r="L1051" s="54"/>
      <c r="N1051" s="54"/>
      <c r="P1051" s="54"/>
      <c r="R1051" s="54"/>
      <c r="T1051" s="1"/>
      <c r="V1051" s="54"/>
      <c r="X1051" s="54"/>
      <c r="Z1051" s="54"/>
      <c r="AB1051" s="54"/>
      <c r="AD1051" s="54"/>
      <c r="AF1051" s="54"/>
      <c r="AH1051" s="54"/>
      <c r="AJ1051" s="54"/>
      <c r="AL1051" s="54"/>
      <c r="AO1051" s="54"/>
      <c r="AP1051" s="1"/>
      <c r="AQ1051" s="54"/>
      <c r="AR1051" s="171"/>
      <c r="AS1051" s="1"/>
      <c r="AT1051" s="1"/>
      <c r="AU1051" s="1"/>
    </row>
    <row r="1052">
      <c r="A1052" s="54"/>
      <c r="B1052" s="71"/>
      <c r="C1052" s="51"/>
      <c r="D1052" s="54"/>
      <c r="E1052" s="114"/>
      <c r="F1052" s="16"/>
      <c r="G1052" s="114"/>
      <c r="H1052" s="54"/>
      <c r="I1052" s="114"/>
      <c r="J1052" s="54"/>
      <c r="L1052" s="54"/>
      <c r="N1052" s="54"/>
      <c r="P1052" s="54"/>
      <c r="R1052" s="54"/>
      <c r="T1052" s="1"/>
      <c r="V1052" s="54"/>
      <c r="X1052" s="54"/>
      <c r="Z1052" s="54"/>
      <c r="AB1052" s="54"/>
      <c r="AD1052" s="54"/>
      <c r="AF1052" s="54"/>
      <c r="AH1052" s="54"/>
      <c r="AJ1052" s="54"/>
      <c r="AL1052" s="54"/>
      <c r="AO1052" s="54"/>
      <c r="AP1052" s="1"/>
      <c r="AQ1052" s="54"/>
      <c r="AR1052" s="171"/>
      <c r="AS1052" s="1"/>
      <c r="AT1052" s="1"/>
      <c r="AU1052" s="1"/>
    </row>
    <row r="1053">
      <c r="A1053" s="54"/>
      <c r="B1053" s="71"/>
      <c r="C1053" s="51"/>
      <c r="D1053" s="54"/>
      <c r="E1053" s="114"/>
      <c r="F1053" s="16"/>
      <c r="G1053" s="114"/>
      <c r="H1053" s="54"/>
      <c r="I1053" s="114"/>
      <c r="J1053" s="54"/>
      <c r="L1053" s="54"/>
      <c r="N1053" s="54"/>
      <c r="P1053" s="54"/>
      <c r="R1053" s="54"/>
      <c r="T1053" s="1"/>
      <c r="V1053" s="54"/>
      <c r="X1053" s="54"/>
      <c r="Z1053" s="54"/>
      <c r="AB1053" s="54"/>
      <c r="AD1053" s="54"/>
      <c r="AF1053" s="54"/>
      <c r="AH1053" s="54"/>
      <c r="AJ1053" s="54"/>
      <c r="AL1053" s="54"/>
      <c r="AO1053" s="54"/>
      <c r="AP1053" s="1"/>
      <c r="AQ1053" s="54"/>
      <c r="AR1053" s="171"/>
      <c r="AS1053" s="1"/>
      <c r="AT1053" s="1"/>
      <c r="AU1053" s="1"/>
    </row>
    <row r="1054">
      <c r="A1054" s="54"/>
      <c r="B1054" s="71"/>
      <c r="C1054" s="51"/>
      <c r="D1054" s="54"/>
      <c r="E1054" s="114"/>
      <c r="F1054" s="16"/>
      <c r="G1054" s="114"/>
      <c r="H1054" s="54"/>
      <c r="I1054" s="114"/>
      <c r="J1054" s="54"/>
      <c r="L1054" s="54"/>
      <c r="N1054" s="54"/>
      <c r="P1054" s="54"/>
      <c r="R1054" s="54"/>
      <c r="T1054" s="1"/>
      <c r="V1054" s="54"/>
      <c r="X1054" s="54"/>
      <c r="Z1054" s="54"/>
      <c r="AB1054" s="54"/>
      <c r="AD1054" s="54"/>
      <c r="AF1054" s="54"/>
      <c r="AH1054" s="54"/>
      <c r="AJ1054" s="54"/>
      <c r="AL1054" s="54"/>
      <c r="AO1054" s="54"/>
      <c r="AP1054" s="1"/>
      <c r="AQ1054" s="54"/>
      <c r="AR1054" s="171"/>
      <c r="AS1054" s="1"/>
      <c r="AT1054" s="1"/>
      <c r="AU1054" s="1"/>
    </row>
    <row r="1055">
      <c r="A1055" s="54"/>
      <c r="B1055" s="71"/>
      <c r="C1055" s="51"/>
      <c r="D1055" s="54"/>
      <c r="E1055" s="114"/>
      <c r="F1055" s="16"/>
      <c r="G1055" s="114"/>
      <c r="H1055" s="54"/>
      <c r="I1055" s="114"/>
      <c r="J1055" s="54"/>
      <c r="L1055" s="54"/>
      <c r="N1055" s="54"/>
      <c r="P1055" s="54"/>
      <c r="R1055" s="54"/>
      <c r="T1055" s="1"/>
      <c r="V1055" s="54"/>
      <c r="X1055" s="54"/>
      <c r="Z1055" s="54"/>
      <c r="AB1055" s="54"/>
      <c r="AD1055" s="54"/>
      <c r="AF1055" s="54"/>
      <c r="AH1055" s="54"/>
      <c r="AJ1055" s="54"/>
      <c r="AL1055" s="54"/>
      <c r="AO1055" s="54"/>
      <c r="AP1055" s="1"/>
      <c r="AQ1055" s="54"/>
      <c r="AR1055" s="171"/>
      <c r="AS1055" s="1"/>
      <c r="AT1055" s="1"/>
      <c r="AU1055" s="1"/>
    </row>
    <row r="1056">
      <c r="A1056" s="54"/>
      <c r="B1056" s="71"/>
      <c r="C1056" s="51"/>
      <c r="D1056" s="54"/>
      <c r="E1056" s="114"/>
      <c r="F1056" s="16"/>
      <c r="G1056" s="114"/>
      <c r="H1056" s="54"/>
      <c r="I1056" s="114"/>
      <c r="J1056" s="54"/>
      <c r="L1056" s="54"/>
      <c r="N1056" s="54"/>
      <c r="P1056" s="54"/>
      <c r="R1056" s="54"/>
      <c r="T1056" s="1"/>
      <c r="V1056" s="54"/>
      <c r="X1056" s="54"/>
      <c r="Z1056" s="54"/>
      <c r="AB1056" s="54"/>
      <c r="AD1056" s="54"/>
      <c r="AF1056" s="54"/>
      <c r="AH1056" s="54"/>
      <c r="AJ1056" s="54"/>
      <c r="AL1056" s="54"/>
      <c r="AO1056" s="54"/>
      <c r="AP1056" s="1"/>
      <c r="AQ1056" s="54"/>
      <c r="AR1056" s="171"/>
      <c r="AS1056" s="1"/>
      <c r="AT1056" s="1"/>
      <c r="AU1056" s="1"/>
    </row>
    <row r="1057">
      <c r="A1057" s="54"/>
      <c r="B1057" s="71"/>
      <c r="C1057" s="51"/>
      <c r="D1057" s="54"/>
      <c r="E1057" s="114"/>
      <c r="F1057" s="16"/>
      <c r="G1057" s="114"/>
      <c r="H1057" s="54"/>
      <c r="I1057" s="114"/>
      <c r="J1057" s="54"/>
      <c r="L1057" s="54"/>
      <c r="N1057" s="54"/>
      <c r="P1057" s="54"/>
      <c r="R1057" s="54"/>
      <c r="T1057" s="1"/>
      <c r="V1057" s="54"/>
      <c r="X1057" s="54"/>
      <c r="Z1057" s="54"/>
      <c r="AB1057" s="54"/>
      <c r="AD1057" s="54"/>
      <c r="AF1057" s="54"/>
      <c r="AH1057" s="54"/>
      <c r="AJ1057" s="54"/>
      <c r="AL1057" s="54"/>
      <c r="AO1057" s="54"/>
      <c r="AP1057" s="1"/>
      <c r="AQ1057" s="54"/>
      <c r="AR1057" s="171"/>
      <c r="AS1057" s="1"/>
      <c r="AT1057" s="1"/>
      <c r="AU1057" s="1"/>
    </row>
    <row r="1058">
      <c r="A1058" s="54"/>
      <c r="B1058" s="71"/>
      <c r="C1058" s="51"/>
      <c r="D1058" s="54"/>
      <c r="E1058" s="114"/>
      <c r="F1058" s="16"/>
      <c r="G1058" s="114"/>
      <c r="H1058" s="54"/>
      <c r="I1058" s="114"/>
      <c r="J1058" s="54"/>
      <c r="L1058" s="54"/>
      <c r="N1058" s="54"/>
      <c r="P1058" s="54"/>
      <c r="R1058" s="54"/>
      <c r="T1058" s="1"/>
      <c r="V1058" s="54"/>
      <c r="X1058" s="54"/>
      <c r="Z1058" s="54"/>
      <c r="AB1058" s="54"/>
      <c r="AD1058" s="54"/>
      <c r="AF1058" s="54"/>
      <c r="AH1058" s="54"/>
      <c r="AJ1058" s="54"/>
      <c r="AL1058" s="54"/>
      <c r="AO1058" s="54"/>
      <c r="AP1058" s="1"/>
      <c r="AQ1058" s="54"/>
      <c r="AR1058" s="171"/>
      <c r="AS1058" s="1"/>
      <c r="AT1058" s="1"/>
      <c r="AU1058" s="1"/>
    </row>
    <row r="1059">
      <c r="A1059" s="54"/>
      <c r="B1059" s="71"/>
      <c r="C1059" s="51"/>
      <c r="D1059" s="54"/>
      <c r="E1059" s="114"/>
      <c r="F1059" s="16"/>
      <c r="G1059" s="114"/>
      <c r="H1059" s="54"/>
      <c r="I1059" s="114"/>
      <c r="J1059" s="54"/>
      <c r="L1059" s="54"/>
      <c r="N1059" s="54"/>
      <c r="P1059" s="54"/>
      <c r="R1059" s="54"/>
      <c r="T1059" s="1"/>
      <c r="V1059" s="54"/>
      <c r="X1059" s="54"/>
      <c r="Z1059" s="54"/>
      <c r="AB1059" s="54"/>
      <c r="AD1059" s="54"/>
      <c r="AF1059" s="54"/>
      <c r="AH1059" s="54"/>
      <c r="AJ1059" s="54"/>
      <c r="AL1059" s="54"/>
      <c r="AO1059" s="54"/>
      <c r="AP1059" s="1"/>
      <c r="AQ1059" s="54"/>
      <c r="AR1059" s="171"/>
      <c r="AS1059" s="1"/>
      <c r="AT1059" s="1"/>
      <c r="AU1059" s="1"/>
    </row>
    <row r="1060">
      <c r="A1060" s="54"/>
      <c r="B1060" s="71"/>
      <c r="C1060" s="51"/>
      <c r="D1060" s="54"/>
      <c r="E1060" s="114"/>
      <c r="F1060" s="16"/>
      <c r="G1060" s="114"/>
      <c r="H1060" s="54"/>
      <c r="I1060" s="114"/>
      <c r="J1060" s="54"/>
      <c r="L1060" s="54"/>
      <c r="N1060" s="54"/>
      <c r="P1060" s="54"/>
      <c r="R1060" s="54"/>
      <c r="T1060" s="1"/>
      <c r="V1060" s="54"/>
      <c r="X1060" s="54"/>
      <c r="Z1060" s="54"/>
      <c r="AB1060" s="54"/>
      <c r="AD1060" s="54"/>
      <c r="AF1060" s="54"/>
      <c r="AH1060" s="54"/>
      <c r="AJ1060" s="54"/>
      <c r="AL1060" s="54"/>
      <c r="AO1060" s="54"/>
      <c r="AP1060" s="1"/>
      <c r="AQ1060" s="54"/>
      <c r="AR1060" s="171"/>
      <c r="AS1060" s="1"/>
      <c r="AT1060" s="1"/>
      <c r="AU1060" s="1"/>
    </row>
    <row r="1061">
      <c r="A1061" s="54"/>
      <c r="B1061" s="71"/>
      <c r="C1061" s="51"/>
      <c r="D1061" s="54"/>
      <c r="E1061" s="114"/>
      <c r="F1061" s="16"/>
      <c r="G1061" s="114"/>
      <c r="H1061" s="54"/>
      <c r="I1061" s="114"/>
      <c r="J1061" s="54"/>
      <c r="L1061" s="54"/>
      <c r="N1061" s="54"/>
      <c r="P1061" s="54"/>
      <c r="R1061" s="54"/>
      <c r="T1061" s="1"/>
      <c r="V1061" s="54"/>
      <c r="X1061" s="54"/>
      <c r="Z1061" s="54"/>
      <c r="AB1061" s="54"/>
      <c r="AD1061" s="54"/>
      <c r="AF1061" s="54"/>
      <c r="AH1061" s="54"/>
      <c r="AJ1061" s="54"/>
      <c r="AL1061" s="54"/>
      <c r="AO1061" s="54"/>
      <c r="AP1061" s="1"/>
      <c r="AQ1061" s="54"/>
      <c r="AR1061" s="171"/>
      <c r="AS1061" s="1"/>
      <c r="AT1061" s="1"/>
      <c r="AU1061" s="1"/>
    </row>
    <row r="1062">
      <c r="A1062" s="54"/>
      <c r="B1062" s="71"/>
      <c r="C1062" s="51"/>
      <c r="D1062" s="54"/>
      <c r="E1062" s="114"/>
      <c r="F1062" s="16"/>
      <c r="G1062" s="114"/>
      <c r="H1062" s="54"/>
      <c r="I1062" s="114"/>
      <c r="J1062" s="54"/>
      <c r="L1062" s="54"/>
      <c r="N1062" s="54"/>
      <c r="P1062" s="54"/>
      <c r="R1062" s="54"/>
      <c r="T1062" s="1"/>
      <c r="V1062" s="54"/>
      <c r="X1062" s="54"/>
      <c r="Z1062" s="54"/>
      <c r="AB1062" s="54"/>
      <c r="AD1062" s="54"/>
      <c r="AF1062" s="54"/>
      <c r="AH1062" s="54"/>
      <c r="AJ1062" s="54"/>
      <c r="AL1062" s="54"/>
      <c r="AO1062" s="54"/>
      <c r="AP1062" s="1"/>
      <c r="AQ1062" s="54"/>
      <c r="AR1062" s="171"/>
      <c r="AS1062" s="1"/>
      <c r="AT1062" s="1"/>
      <c r="AU1062" s="1"/>
    </row>
    <row r="1063">
      <c r="A1063" s="54"/>
      <c r="B1063" s="71"/>
      <c r="C1063" s="51"/>
      <c r="D1063" s="54"/>
      <c r="E1063" s="114"/>
      <c r="F1063" s="16"/>
      <c r="G1063" s="114"/>
      <c r="H1063" s="54"/>
      <c r="I1063" s="114"/>
      <c r="J1063" s="54"/>
      <c r="L1063" s="54"/>
      <c r="N1063" s="54"/>
      <c r="P1063" s="54"/>
      <c r="R1063" s="54"/>
      <c r="T1063" s="1"/>
      <c r="V1063" s="54"/>
      <c r="X1063" s="54"/>
      <c r="Z1063" s="54"/>
      <c r="AB1063" s="54"/>
      <c r="AD1063" s="54"/>
      <c r="AF1063" s="54"/>
      <c r="AH1063" s="54"/>
      <c r="AJ1063" s="54"/>
      <c r="AL1063" s="54"/>
      <c r="AO1063" s="54"/>
      <c r="AP1063" s="1"/>
      <c r="AQ1063" s="54"/>
      <c r="AR1063" s="171"/>
      <c r="AS1063" s="1"/>
      <c r="AT1063" s="1"/>
      <c r="AU1063" s="1"/>
    </row>
    <row r="1064">
      <c r="A1064" s="54"/>
      <c r="B1064" s="71"/>
      <c r="C1064" s="51"/>
      <c r="D1064" s="54"/>
      <c r="E1064" s="114"/>
      <c r="F1064" s="16"/>
      <c r="G1064" s="114"/>
      <c r="H1064" s="54"/>
      <c r="I1064" s="114"/>
      <c r="J1064" s="54"/>
      <c r="L1064" s="54"/>
      <c r="N1064" s="54"/>
      <c r="P1064" s="54"/>
      <c r="R1064" s="54"/>
      <c r="T1064" s="1"/>
      <c r="V1064" s="54"/>
      <c r="X1064" s="54"/>
      <c r="Z1064" s="54"/>
      <c r="AB1064" s="54"/>
      <c r="AD1064" s="54"/>
      <c r="AF1064" s="54"/>
      <c r="AH1064" s="54"/>
      <c r="AJ1064" s="54"/>
      <c r="AL1064" s="54"/>
      <c r="AO1064" s="54"/>
      <c r="AP1064" s="1"/>
      <c r="AQ1064" s="54"/>
      <c r="AR1064" s="171"/>
      <c r="AS1064" s="1"/>
      <c r="AT1064" s="1"/>
      <c r="AU1064" s="1"/>
    </row>
    <row r="1065">
      <c r="A1065" s="54"/>
      <c r="B1065" s="71"/>
      <c r="C1065" s="51"/>
      <c r="D1065" s="54"/>
      <c r="E1065" s="114"/>
      <c r="F1065" s="16"/>
      <c r="G1065" s="114"/>
      <c r="H1065" s="54"/>
      <c r="I1065" s="114"/>
      <c r="J1065" s="54"/>
      <c r="L1065" s="54"/>
      <c r="N1065" s="54"/>
      <c r="P1065" s="54"/>
      <c r="R1065" s="54"/>
      <c r="T1065" s="1"/>
      <c r="V1065" s="54"/>
      <c r="X1065" s="54"/>
      <c r="Z1065" s="54"/>
      <c r="AB1065" s="54"/>
      <c r="AD1065" s="54"/>
      <c r="AF1065" s="54"/>
      <c r="AH1065" s="54"/>
      <c r="AJ1065" s="54"/>
      <c r="AL1065" s="54"/>
      <c r="AO1065" s="54"/>
      <c r="AP1065" s="1"/>
      <c r="AQ1065" s="54"/>
      <c r="AR1065" s="171"/>
      <c r="AS1065" s="1"/>
      <c r="AT1065" s="1"/>
      <c r="AU1065" s="1"/>
    </row>
    <row r="1066">
      <c r="A1066" s="54"/>
      <c r="B1066" s="71"/>
      <c r="C1066" s="51"/>
      <c r="D1066" s="54"/>
      <c r="E1066" s="114"/>
      <c r="F1066" s="16"/>
      <c r="G1066" s="114"/>
      <c r="H1066" s="54"/>
      <c r="I1066" s="114"/>
      <c r="J1066" s="54"/>
      <c r="L1066" s="54"/>
      <c r="N1066" s="54"/>
      <c r="P1066" s="54"/>
      <c r="R1066" s="54"/>
      <c r="T1066" s="1"/>
      <c r="V1066" s="54"/>
      <c r="X1066" s="54"/>
      <c r="Z1066" s="54"/>
      <c r="AB1066" s="54"/>
      <c r="AD1066" s="54"/>
      <c r="AF1066" s="54"/>
      <c r="AH1066" s="54"/>
      <c r="AJ1066" s="54"/>
      <c r="AL1066" s="54"/>
      <c r="AO1066" s="54"/>
      <c r="AP1066" s="1"/>
      <c r="AQ1066" s="54"/>
      <c r="AR1066" s="171"/>
      <c r="AS1066" s="1"/>
      <c r="AT1066" s="1"/>
      <c r="AU1066" s="1"/>
    </row>
    <row r="1067">
      <c r="A1067" s="54"/>
      <c r="B1067" s="71"/>
      <c r="C1067" s="51"/>
      <c r="D1067" s="54"/>
      <c r="E1067" s="114"/>
      <c r="F1067" s="16"/>
      <c r="G1067" s="114"/>
      <c r="H1067" s="54"/>
      <c r="I1067" s="114"/>
      <c r="J1067" s="54"/>
      <c r="L1067" s="54"/>
      <c r="N1067" s="54"/>
      <c r="P1067" s="54"/>
      <c r="R1067" s="54"/>
      <c r="T1067" s="1"/>
      <c r="V1067" s="54"/>
      <c r="X1067" s="54"/>
      <c r="Z1067" s="54"/>
      <c r="AB1067" s="54"/>
      <c r="AD1067" s="54"/>
      <c r="AF1067" s="54"/>
      <c r="AH1067" s="54"/>
      <c r="AJ1067" s="54"/>
      <c r="AL1067" s="54"/>
      <c r="AO1067" s="54"/>
      <c r="AP1067" s="1"/>
      <c r="AQ1067" s="54"/>
      <c r="AR1067" s="171"/>
      <c r="AS1067" s="1"/>
      <c r="AT1067" s="1"/>
      <c r="AU1067" s="1"/>
    </row>
    <row r="1068">
      <c r="A1068" s="54"/>
      <c r="B1068" s="71"/>
      <c r="C1068" s="51"/>
      <c r="D1068" s="54"/>
      <c r="E1068" s="114"/>
      <c r="F1068" s="16"/>
      <c r="G1068" s="114"/>
      <c r="H1068" s="54"/>
      <c r="I1068" s="114"/>
      <c r="J1068" s="54"/>
      <c r="L1068" s="54"/>
      <c r="N1068" s="54"/>
      <c r="P1068" s="54"/>
      <c r="R1068" s="54"/>
      <c r="T1068" s="1"/>
      <c r="V1068" s="54"/>
      <c r="X1068" s="54"/>
      <c r="Z1068" s="54"/>
      <c r="AB1068" s="54"/>
      <c r="AD1068" s="54"/>
      <c r="AF1068" s="54"/>
      <c r="AH1068" s="54"/>
      <c r="AJ1068" s="54"/>
      <c r="AL1068" s="54"/>
      <c r="AO1068" s="54"/>
      <c r="AP1068" s="1"/>
      <c r="AQ1068" s="54"/>
      <c r="AR1068" s="171"/>
      <c r="AS1068" s="1"/>
      <c r="AT1068" s="1"/>
      <c r="AU1068" s="1"/>
    </row>
    <row r="1069">
      <c r="A1069" s="54"/>
      <c r="B1069" s="71"/>
      <c r="C1069" s="51"/>
      <c r="D1069" s="54"/>
      <c r="E1069" s="114"/>
      <c r="F1069" s="16"/>
      <c r="G1069" s="114"/>
      <c r="H1069" s="54"/>
      <c r="I1069" s="114"/>
      <c r="J1069" s="54"/>
      <c r="L1069" s="54"/>
      <c r="N1069" s="54"/>
      <c r="P1069" s="54"/>
      <c r="R1069" s="54"/>
      <c r="T1069" s="1"/>
      <c r="V1069" s="54"/>
      <c r="X1069" s="54"/>
      <c r="Z1069" s="54"/>
      <c r="AB1069" s="54"/>
      <c r="AD1069" s="54"/>
      <c r="AF1069" s="54"/>
      <c r="AH1069" s="54"/>
      <c r="AJ1069" s="54"/>
      <c r="AL1069" s="54"/>
      <c r="AO1069" s="54"/>
      <c r="AP1069" s="1"/>
      <c r="AQ1069" s="54"/>
      <c r="AR1069" s="171"/>
      <c r="AS1069" s="1"/>
      <c r="AT1069" s="1"/>
      <c r="AU1069" s="1"/>
    </row>
    <row r="1070">
      <c r="A1070" s="54"/>
      <c r="B1070" s="71"/>
      <c r="C1070" s="51"/>
      <c r="D1070" s="54"/>
      <c r="E1070" s="114"/>
      <c r="F1070" s="16"/>
      <c r="G1070" s="114"/>
      <c r="H1070" s="54"/>
      <c r="I1070" s="114"/>
      <c r="J1070" s="54"/>
      <c r="L1070" s="54"/>
      <c r="N1070" s="54"/>
      <c r="P1070" s="54"/>
      <c r="R1070" s="54"/>
      <c r="T1070" s="1"/>
      <c r="V1070" s="54"/>
      <c r="X1070" s="54"/>
      <c r="Z1070" s="54"/>
      <c r="AB1070" s="54"/>
      <c r="AD1070" s="54"/>
      <c r="AF1070" s="54"/>
      <c r="AH1070" s="54"/>
      <c r="AJ1070" s="54"/>
      <c r="AL1070" s="54"/>
      <c r="AO1070" s="54"/>
      <c r="AP1070" s="1"/>
      <c r="AQ1070" s="54"/>
      <c r="AR1070" s="171"/>
      <c r="AS1070" s="1"/>
      <c r="AT1070" s="1"/>
      <c r="AU1070" s="1"/>
    </row>
    <row r="1071">
      <c r="A1071" s="54"/>
      <c r="B1071" s="71"/>
      <c r="C1071" s="51"/>
      <c r="D1071" s="54"/>
      <c r="E1071" s="114"/>
      <c r="F1071" s="16"/>
      <c r="G1071" s="114"/>
      <c r="H1071" s="54"/>
      <c r="I1071" s="114"/>
      <c r="J1071" s="54"/>
      <c r="L1071" s="54"/>
      <c r="N1071" s="54"/>
      <c r="P1071" s="54"/>
      <c r="R1071" s="54"/>
      <c r="T1071" s="1"/>
      <c r="V1071" s="54"/>
      <c r="X1071" s="54"/>
      <c r="Z1071" s="54"/>
      <c r="AB1071" s="54"/>
      <c r="AD1071" s="54"/>
      <c r="AF1071" s="54"/>
      <c r="AH1071" s="54"/>
      <c r="AJ1071" s="54"/>
      <c r="AL1071" s="54"/>
      <c r="AO1071" s="54"/>
      <c r="AP1071" s="1"/>
      <c r="AQ1071" s="54"/>
      <c r="AR1071" s="171"/>
      <c r="AS1071" s="1"/>
      <c r="AT1071" s="1"/>
      <c r="AU1071" s="1"/>
    </row>
    <row r="1072">
      <c r="A1072" s="54"/>
      <c r="B1072" s="71"/>
      <c r="C1072" s="51"/>
      <c r="D1072" s="54"/>
      <c r="E1072" s="114"/>
      <c r="F1072" s="16"/>
      <c r="G1072" s="114"/>
      <c r="H1072" s="54"/>
      <c r="I1072" s="114"/>
      <c r="J1072" s="54"/>
      <c r="L1072" s="54"/>
      <c r="N1072" s="54"/>
      <c r="P1072" s="54"/>
      <c r="R1072" s="54"/>
      <c r="T1072" s="1"/>
      <c r="V1072" s="54"/>
      <c r="X1072" s="54"/>
      <c r="Z1072" s="54"/>
      <c r="AB1072" s="54"/>
      <c r="AD1072" s="54"/>
      <c r="AF1072" s="54"/>
      <c r="AH1072" s="54"/>
      <c r="AJ1072" s="54"/>
      <c r="AL1072" s="54"/>
      <c r="AO1072" s="54"/>
      <c r="AP1072" s="1"/>
      <c r="AQ1072" s="54"/>
      <c r="AR1072" s="171"/>
      <c r="AS1072" s="1"/>
      <c r="AT1072" s="1"/>
      <c r="AU1072" s="1"/>
    </row>
    <row r="1073">
      <c r="A1073" s="54"/>
      <c r="B1073" s="71"/>
      <c r="C1073" s="51"/>
      <c r="D1073" s="54"/>
      <c r="E1073" s="114"/>
      <c r="F1073" s="16"/>
      <c r="G1073" s="114"/>
      <c r="H1073" s="54"/>
      <c r="I1073" s="114"/>
      <c r="J1073" s="54"/>
      <c r="L1073" s="54"/>
      <c r="N1073" s="54"/>
      <c r="P1073" s="54"/>
      <c r="R1073" s="54"/>
      <c r="T1073" s="1"/>
      <c r="V1073" s="54"/>
      <c r="X1073" s="54"/>
      <c r="Z1073" s="54"/>
      <c r="AB1073" s="54"/>
      <c r="AD1073" s="54"/>
      <c r="AF1073" s="54"/>
      <c r="AH1073" s="54"/>
      <c r="AJ1073" s="54"/>
      <c r="AL1073" s="54"/>
      <c r="AO1073" s="54"/>
      <c r="AP1073" s="1"/>
      <c r="AQ1073" s="54"/>
      <c r="AR1073" s="171"/>
      <c r="AS1073" s="1"/>
      <c r="AT1073" s="1"/>
      <c r="AU1073" s="1"/>
    </row>
    <row r="1074">
      <c r="A1074" s="54"/>
      <c r="B1074" s="71"/>
      <c r="C1074" s="51"/>
      <c r="D1074" s="54"/>
      <c r="E1074" s="114"/>
      <c r="F1074" s="16"/>
      <c r="G1074" s="114"/>
      <c r="H1074" s="54"/>
      <c r="I1074" s="114"/>
      <c r="J1074" s="54"/>
      <c r="L1074" s="54"/>
      <c r="N1074" s="54"/>
      <c r="P1074" s="54"/>
      <c r="R1074" s="54"/>
      <c r="T1074" s="1"/>
      <c r="V1074" s="54"/>
      <c r="X1074" s="54"/>
      <c r="Z1074" s="54"/>
      <c r="AB1074" s="54"/>
      <c r="AD1074" s="54"/>
      <c r="AF1074" s="54"/>
      <c r="AH1074" s="54"/>
      <c r="AJ1074" s="54"/>
      <c r="AL1074" s="54"/>
      <c r="AO1074" s="54"/>
      <c r="AP1074" s="1"/>
      <c r="AQ1074" s="54"/>
      <c r="AR1074" s="171"/>
      <c r="AS1074" s="1"/>
      <c r="AT1074" s="1"/>
      <c r="AU1074" s="1"/>
    </row>
    <row r="1075">
      <c r="A1075" s="54"/>
      <c r="B1075" s="71"/>
      <c r="C1075" s="51"/>
      <c r="D1075" s="54"/>
      <c r="E1075" s="114"/>
      <c r="F1075" s="16"/>
      <c r="G1075" s="114"/>
      <c r="H1075" s="54"/>
      <c r="I1075" s="114"/>
      <c r="J1075" s="54"/>
      <c r="L1075" s="54"/>
      <c r="N1075" s="54"/>
      <c r="P1075" s="54"/>
      <c r="R1075" s="54"/>
      <c r="T1075" s="1"/>
      <c r="V1075" s="54"/>
      <c r="X1075" s="54"/>
      <c r="Z1075" s="54"/>
      <c r="AB1075" s="54"/>
      <c r="AD1075" s="54"/>
      <c r="AF1075" s="54"/>
      <c r="AH1075" s="54"/>
      <c r="AJ1075" s="54"/>
      <c r="AL1075" s="54"/>
      <c r="AO1075" s="54"/>
      <c r="AP1075" s="1"/>
      <c r="AQ1075" s="54"/>
      <c r="AR1075" s="171"/>
      <c r="AS1075" s="1"/>
      <c r="AT1075" s="1"/>
      <c r="AU1075" s="1"/>
    </row>
    <row r="1076">
      <c r="A1076" s="54"/>
      <c r="B1076" s="71"/>
      <c r="C1076" s="51"/>
      <c r="D1076" s="54"/>
      <c r="E1076" s="114"/>
      <c r="F1076" s="16"/>
      <c r="G1076" s="114"/>
      <c r="H1076" s="54"/>
      <c r="I1076" s="114"/>
      <c r="J1076" s="54"/>
      <c r="L1076" s="54"/>
      <c r="N1076" s="54"/>
      <c r="P1076" s="54"/>
      <c r="R1076" s="54"/>
      <c r="T1076" s="1"/>
      <c r="V1076" s="54"/>
      <c r="X1076" s="54"/>
      <c r="Z1076" s="54"/>
      <c r="AB1076" s="54"/>
      <c r="AD1076" s="54"/>
      <c r="AF1076" s="54"/>
      <c r="AH1076" s="54"/>
      <c r="AJ1076" s="54"/>
      <c r="AL1076" s="54"/>
      <c r="AO1076" s="54"/>
      <c r="AP1076" s="1"/>
      <c r="AQ1076" s="54"/>
      <c r="AR1076" s="171"/>
      <c r="AS1076" s="1"/>
      <c r="AT1076" s="1"/>
      <c r="AU1076" s="1"/>
    </row>
    <row r="1077">
      <c r="A1077" s="54"/>
      <c r="B1077" s="71"/>
      <c r="C1077" s="51"/>
      <c r="D1077" s="54"/>
      <c r="E1077" s="114"/>
      <c r="F1077" s="16"/>
      <c r="G1077" s="114"/>
      <c r="H1077" s="54"/>
      <c r="I1077" s="114"/>
      <c r="J1077" s="54"/>
      <c r="L1077" s="54"/>
      <c r="N1077" s="54"/>
      <c r="P1077" s="54"/>
      <c r="R1077" s="54"/>
      <c r="T1077" s="1"/>
      <c r="V1077" s="54"/>
      <c r="X1077" s="54"/>
      <c r="Z1077" s="54"/>
      <c r="AB1077" s="54"/>
      <c r="AD1077" s="54"/>
      <c r="AF1077" s="54"/>
      <c r="AH1077" s="54"/>
      <c r="AJ1077" s="54"/>
      <c r="AL1077" s="54"/>
      <c r="AO1077" s="54"/>
      <c r="AP1077" s="1"/>
      <c r="AQ1077" s="54"/>
      <c r="AR1077" s="171"/>
      <c r="AS1077" s="1"/>
      <c r="AT1077" s="1"/>
      <c r="AU1077" s="1"/>
    </row>
    <row r="1078">
      <c r="A1078" s="54"/>
      <c r="B1078" s="71"/>
      <c r="C1078" s="51"/>
      <c r="D1078" s="54"/>
      <c r="E1078" s="114"/>
      <c r="F1078" s="16"/>
      <c r="G1078" s="114"/>
      <c r="H1078" s="54"/>
      <c r="I1078" s="114"/>
      <c r="J1078" s="54"/>
      <c r="L1078" s="54"/>
      <c r="N1078" s="54"/>
      <c r="P1078" s="54"/>
      <c r="R1078" s="54"/>
      <c r="T1078" s="1"/>
      <c r="V1078" s="54"/>
      <c r="X1078" s="54"/>
      <c r="Z1078" s="54"/>
      <c r="AB1078" s="54"/>
      <c r="AD1078" s="54"/>
      <c r="AF1078" s="54"/>
      <c r="AH1078" s="54"/>
      <c r="AJ1078" s="54"/>
      <c r="AL1078" s="54"/>
      <c r="AO1078" s="54"/>
      <c r="AP1078" s="1"/>
      <c r="AQ1078" s="54"/>
      <c r="AR1078" s="171"/>
      <c r="AS1078" s="1"/>
      <c r="AT1078" s="1"/>
      <c r="AU1078" s="1"/>
    </row>
    <row r="1079">
      <c r="A1079" s="54"/>
      <c r="B1079" s="71"/>
      <c r="C1079" s="51"/>
      <c r="D1079" s="54"/>
      <c r="E1079" s="114"/>
      <c r="F1079" s="16"/>
      <c r="G1079" s="114"/>
      <c r="H1079" s="54"/>
      <c r="I1079" s="114"/>
      <c r="J1079" s="54"/>
      <c r="L1079" s="54"/>
      <c r="N1079" s="54"/>
      <c r="P1079" s="54"/>
      <c r="R1079" s="54"/>
      <c r="T1079" s="1"/>
      <c r="V1079" s="54"/>
      <c r="X1079" s="54"/>
      <c r="Z1079" s="54"/>
      <c r="AB1079" s="54"/>
      <c r="AD1079" s="54"/>
      <c r="AF1079" s="54"/>
      <c r="AH1079" s="54"/>
      <c r="AJ1079" s="54"/>
      <c r="AL1079" s="54"/>
      <c r="AO1079" s="54"/>
      <c r="AP1079" s="1"/>
      <c r="AQ1079" s="54"/>
      <c r="AR1079" s="171"/>
      <c r="AS1079" s="1"/>
      <c r="AT1079" s="1"/>
      <c r="AU1079" s="1"/>
    </row>
    <row r="1080">
      <c r="A1080" s="54"/>
      <c r="B1080" s="71"/>
      <c r="C1080" s="51"/>
      <c r="D1080" s="54"/>
      <c r="E1080" s="114"/>
      <c r="F1080" s="16"/>
      <c r="G1080" s="114"/>
      <c r="H1080" s="54"/>
      <c r="I1080" s="114"/>
      <c r="J1080" s="54"/>
      <c r="L1080" s="54"/>
      <c r="N1080" s="54"/>
      <c r="P1080" s="54"/>
      <c r="R1080" s="54"/>
      <c r="T1080" s="1"/>
      <c r="V1080" s="54"/>
      <c r="X1080" s="54"/>
      <c r="Z1080" s="54"/>
      <c r="AB1080" s="54"/>
      <c r="AD1080" s="54"/>
      <c r="AF1080" s="54"/>
      <c r="AH1080" s="54"/>
      <c r="AJ1080" s="54"/>
      <c r="AL1080" s="54"/>
      <c r="AO1080" s="54"/>
      <c r="AP1080" s="1"/>
      <c r="AQ1080" s="54"/>
      <c r="AR1080" s="171"/>
      <c r="AS1080" s="1"/>
      <c r="AT1080" s="1"/>
      <c r="AU1080" s="1"/>
    </row>
    <row r="1081">
      <c r="A1081" s="54"/>
      <c r="B1081" s="71"/>
      <c r="C1081" s="51"/>
      <c r="D1081" s="54"/>
      <c r="E1081" s="114"/>
      <c r="F1081" s="16"/>
      <c r="G1081" s="114"/>
      <c r="H1081" s="54"/>
      <c r="I1081" s="114"/>
      <c r="J1081" s="54"/>
      <c r="L1081" s="54"/>
      <c r="N1081" s="54"/>
      <c r="P1081" s="54"/>
      <c r="R1081" s="54"/>
      <c r="T1081" s="1"/>
      <c r="V1081" s="54"/>
      <c r="X1081" s="54"/>
      <c r="Z1081" s="54"/>
      <c r="AB1081" s="54"/>
      <c r="AD1081" s="54"/>
      <c r="AF1081" s="54"/>
      <c r="AH1081" s="54"/>
      <c r="AJ1081" s="54"/>
      <c r="AL1081" s="54"/>
      <c r="AO1081" s="54"/>
      <c r="AP1081" s="1"/>
      <c r="AQ1081" s="54"/>
      <c r="AR1081" s="171"/>
      <c r="AS1081" s="1"/>
      <c r="AT1081" s="1"/>
      <c r="AU1081" s="1"/>
    </row>
    <row r="1082">
      <c r="A1082" s="54"/>
      <c r="B1082" s="71"/>
      <c r="C1082" s="51"/>
      <c r="D1082" s="54"/>
      <c r="E1082" s="114"/>
      <c r="F1082" s="16"/>
      <c r="G1082" s="114"/>
      <c r="H1082" s="54"/>
      <c r="I1082" s="114"/>
      <c r="J1082" s="54"/>
      <c r="L1082" s="54"/>
      <c r="N1082" s="54"/>
      <c r="P1082" s="54"/>
      <c r="R1082" s="54"/>
      <c r="T1082" s="1"/>
      <c r="V1082" s="54"/>
      <c r="X1082" s="54"/>
      <c r="Z1082" s="54"/>
      <c r="AB1082" s="54"/>
      <c r="AD1082" s="54"/>
      <c r="AF1082" s="54"/>
      <c r="AH1082" s="54"/>
      <c r="AJ1082" s="54"/>
      <c r="AL1082" s="54"/>
      <c r="AO1082" s="54"/>
      <c r="AP1082" s="1"/>
      <c r="AQ1082" s="54"/>
      <c r="AR1082" s="171"/>
      <c r="AS1082" s="1"/>
      <c r="AT1082" s="1"/>
      <c r="AU1082" s="1"/>
    </row>
    <row r="1083">
      <c r="A1083" s="54"/>
      <c r="B1083" s="71"/>
      <c r="C1083" s="51"/>
      <c r="D1083" s="54"/>
      <c r="E1083" s="114"/>
      <c r="F1083" s="16"/>
      <c r="G1083" s="114"/>
      <c r="H1083" s="54"/>
      <c r="I1083" s="114"/>
      <c r="J1083" s="54"/>
      <c r="L1083" s="54"/>
      <c r="N1083" s="54"/>
      <c r="P1083" s="54"/>
      <c r="R1083" s="54"/>
      <c r="T1083" s="1"/>
      <c r="V1083" s="54"/>
      <c r="X1083" s="54"/>
      <c r="Z1083" s="54"/>
      <c r="AB1083" s="54"/>
      <c r="AD1083" s="54"/>
      <c r="AF1083" s="54"/>
      <c r="AH1083" s="54"/>
      <c r="AJ1083" s="54"/>
      <c r="AL1083" s="54"/>
      <c r="AO1083" s="54"/>
      <c r="AP1083" s="1"/>
      <c r="AQ1083" s="54"/>
      <c r="AR1083" s="171"/>
      <c r="AS1083" s="1"/>
      <c r="AT1083" s="1"/>
      <c r="AU1083" s="1"/>
    </row>
    <row r="1084">
      <c r="A1084" s="54"/>
      <c r="B1084" s="71"/>
      <c r="C1084" s="51"/>
      <c r="D1084" s="54"/>
      <c r="E1084" s="114"/>
      <c r="F1084" s="16"/>
      <c r="G1084" s="114"/>
      <c r="H1084" s="54"/>
      <c r="I1084" s="114"/>
      <c r="J1084" s="54"/>
      <c r="L1084" s="54"/>
      <c r="N1084" s="54"/>
      <c r="P1084" s="54"/>
      <c r="R1084" s="54"/>
      <c r="T1084" s="1"/>
      <c r="V1084" s="54"/>
      <c r="X1084" s="54"/>
      <c r="Z1084" s="54"/>
      <c r="AB1084" s="54"/>
      <c r="AD1084" s="54"/>
      <c r="AF1084" s="54"/>
      <c r="AH1084" s="54"/>
      <c r="AJ1084" s="54"/>
      <c r="AL1084" s="54"/>
      <c r="AO1084" s="54"/>
      <c r="AP1084" s="1"/>
      <c r="AQ1084" s="54"/>
      <c r="AR1084" s="171"/>
      <c r="AS1084" s="1"/>
      <c r="AT1084" s="1"/>
      <c r="AU1084" s="1"/>
    </row>
    <row r="1085">
      <c r="A1085" s="54"/>
      <c r="B1085" s="71"/>
      <c r="C1085" s="51"/>
      <c r="D1085" s="54"/>
      <c r="E1085" s="114"/>
      <c r="F1085" s="16"/>
      <c r="G1085" s="114"/>
      <c r="H1085" s="54"/>
      <c r="I1085" s="114"/>
      <c r="J1085" s="54"/>
      <c r="L1085" s="54"/>
      <c r="N1085" s="54"/>
      <c r="P1085" s="54"/>
      <c r="R1085" s="54"/>
      <c r="T1085" s="1"/>
      <c r="V1085" s="54"/>
      <c r="X1085" s="54"/>
      <c r="Z1085" s="54"/>
      <c r="AB1085" s="54"/>
      <c r="AD1085" s="54"/>
      <c r="AF1085" s="54"/>
      <c r="AH1085" s="54"/>
      <c r="AJ1085" s="54"/>
      <c r="AL1085" s="54"/>
      <c r="AO1085" s="54"/>
      <c r="AP1085" s="1"/>
      <c r="AQ1085" s="54"/>
      <c r="AR1085" s="171"/>
      <c r="AS1085" s="1"/>
      <c r="AT1085" s="1"/>
      <c r="AU1085" s="1"/>
    </row>
    <row r="1086">
      <c r="A1086" s="54"/>
      <c r="B1086" s="71"/>
      <c r="C1086" s="51"/>
      <c r="D1086" s="54"/>
      <c r="E1086" s="114"/>
      <c r="F1086" s="16"/>
      <c r="G1086" s="114"/>
      <c r="H1086" s="54"/>
      <c r="I1086" s="114"/>
      <c r="J1086" s="54"/>
      <c r="L1086" s="54"/>
      <c r="N1086" s="54"/>
      <c r="P1086" s="54"/>
      <c r="R1086" s="54"/>
      <c r="T1086" s="1"/>
      <c r="V1086" s="54"/>
      <c r="X1086" s="54"/>
      <c r="Z1086" s="54"/>
      <c r="AB1086" s="54"/>
      <c r="AD1086" s="54"/>
      <c r="AF1086" s="54"/>
      <c r="AH1086" s="54"/>
      <c r="AJ1086" s="54"/>
      <c r="AL1086" s="54"/>
      <c r="AO1086" s="54"/>
      <c r="AP1086" s="1"/>
      <c r="AQ1086" s="54"/>
      <c r="AR1086" s="171"/>
      <c r="AS1086" s="1"/>
      <c r="AT1086" s="1"/>
      <c r="AU1086" s="1"/>
    </row>
    <row r="1087">
      <c r="A1087" s="54"/>
      <c r="B1087" s="71"/>
      <c r="C1087" s="51"/>
      <c r="D1087" s="54"/>
      <c r="E1087" s="114"/>
      <c r="F1087" s="16"/>
      <c r="G1087" s="114"/>
      <c r="H1087" s="54"/>
      <c r="I1087" s="114"/>
      <c r="J1087" s="54"/>
      <c r="L1087" s="54"/>
      <c r="N1087" s="54"/>
      <c r="P1087" s="54"/>
      <c r="R1087" s="54"/>
      <c r="T1087" s="1"/>
      <c r="V1087" s="54"/>
      <c r="X1087" s="54"/>
      <c r="Z1087" s="54"/>
      <c r="AB1087" s="54"/>
      <c r="AD1087" s="54"/>
      <c r="AF1087" s="54"/>
      <c r="AH1087" s="54"/>
      <c r="AJ1087" s="54"/>
      <c r="AL1087" s="54"/>
      <c r="AO1087" s="54"/>
      <c r="AP1087" s="1"/>
      <c r="AQ1087" s="54"/>
      <c r="AR1087" s="171"/>
      <c r="AS1087" s="1"/>
      <c r="AT1087" s="1"/>
      <c r="AU1087" s="1"/>
    </row>
    <row r="1088">
      <c r="A1088" s="54"/>
      <c r="B1088" s="71"/>
      <c r="C1088" s="51"/>
      <c r="D1088" s="54"/>
      <c r="E1088" s="114"/>
      <c r="F1088" s="16"/>
      <c r="G1088" s="114"/>
      <c r="H1088" s="54"/>
      <c r="I1088" s="114"/>
      <c r="J1088" s="54"/>
      <c r="L1088" s="54"/>
      <c r="N1088" s="54"/>
      <c r="P1088" s="54"/>
      <c r="R1088" s="54"/>
      <c r="T1088" s="1"/>
      <c r="V1088" s="54"/>
      <c r="X1088" s="54"/>
      <c r="Z1088" s="54"/>
      <c r="AB1088" s="54"/>
      <c r="AD1088" s="54"/>
      <c r="AF1088" s="54"/>
      <c r="AH1088" s="54"/>
      <c r="AJ1088" s="54"/>
      <c r="AL1088" s="54"/>
      <c r="AO1088" s="54"/>
      <c r="AP1088" s="1"/>
      <c r="AQ1088" s="54"/>
      <c r="AR1088" s="171"/>
      <c r="AS1088" s="1"/>
      <c r="AT1088" s="1"/>
      <c r="AU1088" s="1"/>
    </row>
    <row r="1089">
      <c r="A1089" s="54"/>
      <c r="B1089" s="71"/>
      <c r="C1089" s="51"/>
      <c r="D1089" s="54"/>
      <c r="E1089" s="114"/>
      <c r="F1089" s="16"/>
      <c r="G1089" s="114"/>
      <c r="H1089" s="54"/>
      <c r="I1089" s="114"/>
      <c r="J1089" s="54"/>
      <c r="L1089" s="54"/>
      <c r="N1089" s="54"/>
      <c r="P1089" s="54"/>
      <c r="R1089" s="54"/>
      <c r="T1089" s="1"/>
      <c r="V1089" s="54"/>
      <c r="X1089" s="54"/>
      <c r="Z1089" s="54"/>
      <c r="AB1089" s="54"/>
      <c r="AD1089" s="54"/>
      <c r="AF1089" s="54"/>
      <c r="AH1089" s="54"/>
      <c r="AJ1089" s="54"/>
      <c r="AL1089" s="54"/>
      <c r="AO1089" s="54"/>
      <c r="AP1089" s="1"/>
      <c r="AQ1089" s="54"/>
      <c r="AR1089" s="171"/>
      <c r="AS1089" s="1"/>
      <c r="AT1089" s="1"/>
      <c r="AU1089" s="1"/>
    </row>
    <row r="1090">
      <c r="A1090" s="54"/>
      <c r="B1090" s="71"/>
      <c r="C1090" s="51"/>
      <c r="D1090" s="54"/>
      <c r="E1090" s="114"/>
      <c r="F1090" s="16"/>
      <c r="G1090" s="114"/>
      <c r="H1090" s="54"/>
      <c r="I1090" s="114"/>
      <c r="J1090" s="54"/>
      <c r="L1090" s="54"/>
      <c r="N1090" s="54"/>
      <c r="P1090" s="54"/>
      <c r="R1090" s="54"/>
      <c r="T1090" s="1"/>
      <c r="V1090" s="54"/>
      <c r="X1090" s="54"/>
      <c r="Z1090" s="54"/>
      <c r="AB1090" s="54"/>
      <c r="AD1090" s="54"/>
      <c r="AF1090" s="54"/>
      <c r="AH1090" s="54"/>
      <c r="AJ1090" s="54"/>
      <c r="AL1090" s="54"/>
      <c r="AO1090" s="54"/>
      <c r="AP1090" s="1"/>
      <c r="AQ1090" s="54"/>
      <c r="AR1090" s="171"/>
      <c r="AS1090" s="1"/>
      <c r="AT1090" s="1"/>
      <c r="AU1090" s="1"/>
    </row>
    <row r="1091">
      <c r="A1091" s="54"/>
      <c r="B1091" s="71"/>
      <c r="C1091" s="51"/>
      <c r="D1091" s="54"/>
      <c r="E1091" s="114"/>
      <c r="F1091" s="16"/>
      <c r="G1091" s="114"/>
      <c r="H1091" s="54"/>
      <c r="I1091" s="114"/>
      <c r="J1091" s="54"/>
      <c r="L1091" s="54"/>
      <c r="N1091" s="54"/>
      <c r="P1091" s="54"/>
      <c r="R1091" s="54"/>
      <c r="T1091" s="1"/>
      <c r="V1091" s="54"/>
      <c r="X1091" s="54"/>
      <c r="Z1091" s="54"/>
      <c r="AB1091" s="54"/>
      <c r="AD1091" s="54"/>
      <c r="AF1091" s="54"/>
      <c r="AH1091" s="54"/>
      <c r="AJ1091" s="54"/>
      <c r="AL1091" s="54"/>
      <c r="AO1091" s="54"/>
      <c r="AP1091" s="1"/>
      <c r="AQ1091" s="54"/>
      <c r="AR1091" s="171"/>
      <c r="AS1091" s="1"/>
      <c r="AT1091" s="1"/>
      <c r="AU1091" s="1"/>
    </row>
    <row r="1092">
      <c r="A1092" s="54"/>
      <c r="B1092" s="71"/>
      <c r="C1092" s="51"/>
      <c r="D1092" s="54"/>
      <c r="E1092" s="114"/>
      <c r="F1092" s="16"/>
      <c r="G1092" s="114"/>
      <c r="H1092" s="54"/>
      <c r="I1092" s="114"/>
      <c r="J1092" s="54"/>
      <c r="L1092" s="54"/>
      <c r="N1092" s="54"/>
      <c r="P1092" s="54"/>
      <c r="R1092" s="54"/>
      <c r="T1092" s="1"/>
      <c r="V1092" s="54"/>
      <c r="X1092" s="54"/>
      <c r="Z1092" s="54"/>
      <c r="AB1092" s="54"/>
      <c r="AD1092" s="54"/>
      <c r="AF1092" s="54"/>
      <c r="AH1092" s="54"/>
      <c r="AJ1092" s="54"/>
      <c r="AL1092" s="54"/>
      <c r="AO1092" s="54"/>
      <c r="AP1092" s="1"/>
      <c r="AQ1092" s="54"/>
      <c r="AR1092" s="171"/>
      <c r="AS1092" s="1"/>
      <c r="AT1092" s="1"/>
      <c r="AU1092" s="1"/>
    </row>
    <row r="1093">
      <c r="A1093" s="54"/>
      <c r="B1093" s="71"/>
      <c r="C1093" s="51"/>
      <c r="D1093" s="54"/>
      <c r="E1093" s="114"/>
      <c r="F1093" s="16"/>
      <c r="G1093" s="114"/>
      <c r="H1093" s="54"/>
      <c r="I1093" s="114"/>
      <c r="J1093" s="54"/>
      <c r="L1093" s="54"/>
      <c r="N1093" s="54"/>
      <c r="P1093" s="54"/>
      <c r="R1093" s="54"/>
      <c r="T1093" s="1"/>
      <c r="V1093" s="54"/>
      <c r="X1093" s="54"/>
      <c r="Z1093" s="54"/>
      <c r="AB1093" s="54"/>
      <c r="AD1093" s="54"/>
      <c r="AF1093" s="54"/>
      <c r="AH1093" s="54"/>
      <c r="AJ1093" s="54"/>
      <c r="AL1093" s="54"/>
      <c r="AO1093" s="54"/>
      <c r="AP1093" s="1"/>
      <c r="AQ1093" s="54"/>
      <c r="AR1093" s="171"/>
      <c r="AS1093" s="1"/>
      <c r="AT1093" s="1"/>
      <c r="AU1093" s="1"/>
    </row>
    <row r="1094">
      <c r="A1094" s="54"/>
      <c r="B1094" s="71"/>
      <c r="C1094" s="51"/>
      <c r="D1094" s="54"/>
      <c r="E1094" s="114"/>
      <c r="F1094" s="16"/>
      <c r="G1094" s="114"/>
      <c r="H1094" s="54"/>
      <c r="I1094" s="114"/>
      <c r="J1094" s="54"/>
      <c r="L1094" s="54"/>
      <c r="N1094" s="54"/>
      <c r="P1094" s="54"/>
      <c r="R1094" s="54"/>
      <c r="T1094" s="1"/>
      <c r="V1094" s="54"/>
      <c r="X1094" s="54"/>
      <c r="Z1094" s="54"/>
      <c r="AB1094" s="54"/>
      <c r="AD1094" s="54"/>
      <c r="AF1094" s="54"/>
      <c r="AH1094" s="54"/>
      <c r="AJ1094" s="54"/>
      <c r="AL1094" s="54"/>
      <c r="AO1094" s="54"/>
      <c r="AP1094" s="1"/>
      <c r="AQ1094" s="54"/>
      <c r="AR1094" s="171"/>
      <c r="AS1094" s="1"/>
      <c r="AT1094" s="1"/>
      <c r="AU1094" s="1"/>
    </row>
    <row r="1095">
      <c r="A1095" s="54"/>
      <c r="B1095" s="71"/>
      <c r="C1095" s="51"/>
      <c r="D1095" s="54"/>
      <c r="E1095" s="114"/>
      <c r="F1095" s="16"/>
      <c r="G1095" s="114"/>
      <c r="H1095" s="54"/>
      <c r="I1095" s="114"/>
      <c r="J1095" s="54"/>
      <c r="L1095" s="54"/>
      <c r="N1095" s="54"/>
      <c r="P1095" s="54"/>
      <c r="R1095" s="54"/>
      <c r="T1095" s="1"/>
      <c r="V1095" s="54"/>
      <c r="X1095" s="54"/>
      <c r="Z1095" s="54"/>
      <c r="AB1095" s="54"/>
      <c r="AD1095" s="54"/>
      <c r="AF1095" s="54"/>
      <c r="AH1095" s="54"/>
      <c r="AJ1095" s="54"/>
      <c r="AL1095" s="54"/>
      <c r="AO1095" s="54"/>
      <c r="AP1095" s="1"/>
      <c r="AQ1095" s="54"/>
      <c r="AR1095" s="171"/>
      <c r="AS1095" s="1"/>
      <c r="AT1095" s="1"/>
      <c r="AU1095" s="1"/>
    </row>
    <row r="1096">
      <c r="A1096" s="54"/>
      <c r="B1096" s="71"/>
      <c r="C1096" s="51"/>
      <c r="D1096" s="54"/>
      <c r="E1096" s="114"/>
      <c r="F1096" s="16"/>
      <c r="G1096" s="114"/>
      <c r="H1096" s="54"/>
      <c r="I1096" s="114"/>
      <c r="J1096" s="54"/>
      <c r="L1096" s="54"/>
      <c r="N1096" s="54"/>
      <c r="P1096" s="54"/>
      <c r="R1096" s="54"/>
      <c r="T1096" s="1"/>
      <c r="V1096" s="54"/>
      <c r="X1096" s="54"/>
      <c r="Z1096" s="54"/>
      <c r="AB1096" s="54"/>
      <c r="AD1096" s="54"/>
      <c r="AF1096" s="54"/>
      <c r="AH1096" s="54"/>
      <c r="AJ1096" s="54"/>
      <c r="AL1096" s="54"/>
      <c r="AO1096" s="54"/>
      <c r="AP1096" s="1"/>
      <c r="AQ1096" s="54"/>
      <c r="AR1096" s="171"/>
      <c r="AS1096" s="1"/>
      <c r="AT1096" s="1"/>
      <c r="AU1096" s="1"/>
    </row>
    <row r="1097">
      <c r="A1097" s="54"/>
      <c r="B1097" s="71"/>
      <c r="C1097" s="51"/>
      <c r="D1097" s="54"/>
      <c r="E1097" s="114"/>
      <c r="F1097" s="16"/>
      <c r="G1097" s="114"/>
      <c r="H1097" s="54"/>
      <c r="I1097" s="114"/>
      <c r="J1097" s="54"/>
      <c r="L1097" s="54"/>
      <c r="N1097" s="54"/>
      <c r="P1097" s="54"/>
      <c r="R1097" s="54"/>
      <c r="T1097" s="1"/>
      <c r="V1097" s="54"/>
      <c r="X1097" s="54"/>
      <c r="Z1097" s="54"/>
      <c r="AB1097" s="54"/>
      <c r="AD1097" s="54"/>
      <c r="AF1097" s="54"/>
      <c r="AH1097" s="54"/>
      <c r="AJ1097" s="54"/>
      <c r="AL1097" s="54"/>
      <c r="AO1097" s="54"/>
      <c r="AP1097" s="1"/>
      <c r="AQ1097" s="54"/>
      <c r="AR1097" s="171"/>
      <c r="AS1097" s="1"/>
      <c r="AT1097" s="1"/>
      <c r="AU1097" s="1"/>
    </row>
    <row r="1098">
      <c r="A1098" s="54"/>
      <c r="B1098" s="71"/>
      <c r="C1098" s="51"/>
      <c r="D1098" s="54"/>
      <c r="E1098" s="114"/>
      <c r="F1098" s="16"/>
      <c r="G1098" s="114"/>
      <c r="H1098" s="54"/>
      <c r="I1098" s="114"/>
      <c r="J1098" s="54"/>
      <c r="L1098" s="54"/>
      <c r="N1098" s="54"/>
      <c r="P1098" s="54"/>
      <c r="R1098" s="54"/>
      <c r="T1098" s="1"/>
      <c r="V1098" s="54"/>
      <c r="X1098" s="54"/>
      <c r="Z1098" s="54"/>
      <c r="AB1098" s="54"/>
      <c r="AD1098" s="54"/>
      <c r="AF1098" s="54"/>
      <c r="AH1098" s="54"/>
      <c r="AJ1098" s="54"/>
      <c r="AL1098" s="54"/>
      <c r="AO1098" s="54"/>
      <c r="AP1098" s="1"/>
      <c r="AQ1098" s="54"/>
      <c r="AR1098" s="171"/>
      <c r="AS1098" s="1"/>
      <c r="AT1098" s="1"/>
      <c r="AU1098" s="1"/>
    </row>
    <row r="1099">
      <c r="A1099" s="54"/>
      <c r="B1099" s="71"/>
      <c r="C1099" s="51"/>
      <c r="D1099" s="54"/>
      <c r="E1099" s="114"/>
      <c r="F1099" s="16"/>
      <c r="G1099" s="114"/>
      <c r="H1099" s="54"/>
      <c r="I1099" s="114"/>
      <c r="J1099" s="54"/>
      <c r="L1099" s="54"/>
      <c r="N1099" s="54"/>
      <c r="P1099" s="54"/>
      <c r="R1099" s="54"/>
      <c r="T1099" s="1"/>
      <c r="V1099" s="54"/>
      <c r="X1099" s="54"/>
      <c r="Z1099" s="54"/>
      <c r="AB1099" s="54"/>
      <c r="AD1099" s="54"/>
      <c r="AF1099" s="54"/>
      <c r="AH1099" s="54"/>
      <c r="AJ1099" s="54"/>
      <c r="AL1099" s="54"/>
      <c r="AO1099" s="54"/>
      <c r="AP1099" s="1"/>
      <c r="AQ1099" s="54"/>
      <c r="AR1099" s="171"/>
      <c r="AS1099" s="1"/>
      <c r="AT1099" s="1"/>
      <c r="AU1099" s="1"/>
    </row>
    <row r="1100">
      <c r="A1100" s="54"/>
      <c r="B1100" s="71"/>
      <c r="C1100" s="51"/>
      <c r="D1100" s="54"/>
      <c r="E1100" s="114"/>
      <c r="F1100" s="16"/>
      <c r="G1100" s="114"/>
      <c r="H1100" s="54"/>
      <c r="I1100" s="114"/>
      <c r="J1100" s="54"/>
      <c r="L1100" s="54"/>
      <c r="N1100" s="54"/>
      <c r="P1100" s="54"/>
      <c r="R1100" s="54"/>
      <c r="T1100" s="1"/>
      <c r="V1100" s="54"/>
      <c r="X1100" s="54"/>
      <c r="Z1100" s="54"/>
      <c r="AB1100" s="54"/>
      <c r="AD1100" s="54"/>
      <c r="AF1100" s="54"/>
      <c r="AH1100" s="54"/>
      <c r="AJ1100" s="54"/>
      <c r="AL1100" s="54"/>
      <c r="AO1100" s="54"/>
      <c r="AP1100" s="1"/>
      <c r="AQ1100" s="54"/>
      <c r="AR1100" s="171"/>
      <c r="AS1100" s="1"/>
      <c r="AT1100" s="1"/>
      <c r="AU1100" s="1"/>
    </row>
    <row r="1101">
      <c r="A1101" s="54"/>
      <c r="B1101" s="71"/>
      <c r="C1101" s="51"/>
      <c r="D1101" s="54"/>
      <c r="E1101" s="114"/>
      <c r="F1101" s="16"/>
      <c r="G1101" s="114"/>
      <c r="H1101" s="54"/>
      <c r="I1101" s="114"/>
      <c r="J1101" s="54"/>
      <c r="L1101" s="54"/>
      <c r="N1101" s="54"/>
      <c r="P1101" s="54"/>
      <c r="R1101" s="54"/>
      <c r="T1101" s="1"/>
      <c r="V1101" s="54"/>
      <c r="X1101" s="54"/>
      <c r="Z1101" s="54"/>
      <c r="AB1101" s="54"/>
      <c r="AD1101" s="54"/>
      <c r="AF1101" s="54"/>
      <c r="AH1101" s="54"/>
      <c r="AJ1101" s="54"/>
      <c r="AL1101" s="54"/>
      <c r="AO1101" s="54"/>
      <c r="AP1101" s="1"/>
      <c r="AQ1101" s="54"/>
      <c r="AR1101" s="171"/>
      <c r="AS1101" s="1"/>
      <c r="AT1101" s="1"/>
      <c r="AU1101" s="1"/>
    </row>
    <row r="1102">
      <c r="A1102" s="54"/>
      <c r="B1102" s="71"/>
      <c r="C1102" s="51"/>
      <c r="D1102" s="54"/>
      <c r="E1102" s="114"/>
      <c r="F1102" s="16"/>
      <c r="G1102" s="114"/>
      <c r="H1102" s="54"/>
      <c r="I1102" s="114"/>
      <c r="J1102" s="54"/>
      <c r="L1102" s="54"/>
      <c r="N1102" s="54"/>
      <c r="P1102" s="54"/>
      <c r="R1102" s="54"/>
      <c r="T1102" s="1"/>
      <c r="V1102" s="54"/>
      <c r="X1102" s="54"/>
      <c r="Z1102" s="54"/>
      <c r="AB1102" s="54"/>
      <c r="AD1102" s="54"/>
      <c r="AF1102" s="54"/>
      <c r="AH1102" s="54"/>
      <c r="AJ1102" s="54"/>
      <c r="AL1102" s="54"/>
      <c r="AO1102" s="54"/>
      <c r="AP1102" s="1"/>
      <c r="AQ1102" s="54"/>
      <c r="AR1102" s="171"/>
      <c r="AS1102" s="1"/>
      <c r="AT1102" s="1"/>
      <c r="AU1102" s="1"/>
    </row>
    <row r="1103">
      <c r="A1103" s="54"/>
      <c r="B1103" s="71"/>
      <c r="C1103" s="51"/>
      <c r="D1103" s="54"/>
      <c r="E1103" s="114"/>
      <c r="F1103" s="16"/>
      <c r="G1103" s="114"/>
      <c r="H1103" s="54"/>
      <c r="I1103" s="114"/>
      <c r="J1103" s="54"/>
      <c r="L1103" s="54"/>
      <c r="N1103" s="54"/>
      <c r="P1103" s="54"/>
      <c r="R1103" s="54"/>
      <c r="T1103" s="1"/>
      <c r="V1103" s="54"/>
      <c r="X1103" s="54"/>
      <c r="Z1103" s="54"/>
      <c r="AB1103" s="54"/>
      <c r="AD1103" s="54"/>
      <c r="AF1103" s="54"/>
      <c r="AH1103" s="54"/>
      <c r="AJ1103" s="54"/>
      <c r="AL1103" s="54"/>
      <c r="AO1103" s="54"/>
      <c r="AP1103" s="1"/>
      <c r="AQ1103" s="54"/>
      <c r="AR1103" s="171"/>
      <c r="AS1103" s="1"/>
      <c r="AT1103" s="1"/>
      <c r="AU1103" s="1"/>
    </row>
    <row r="1104">
      <c r="A1104" s="54"/>
      <c r="B1104" s="71"/>
      <c r="C1104" s="51"/>
      <c r="D1104" s="54"/>
      <c r="E1104" s="114"/>
      <c r="F1104" s="16"/>
      <c r="G1104" s="114"/>
      <c r="H1104" s="54"/>
      <c r="I1104" s="114"/>
      <c r="J1104" s="54"/>
      <c r="L1104" s="54"/>
      <c r="N1104" s="54"/>
      <c r="P1104" s="54"/>
      <c r="R1104" s="54"/>
      <c r="T1104" s="1"/>
      <c r="V1104" s="54"/>
      <c r="X1104" s="54"/>
      <c r="Z1104" s="54"/>
      <c r="AB1104" s="54"/>
      <c r="AD1104" s="54"/>
      <c r="AF1104" s="54"/>
      <c r="AH1104" s="54"/>
      <c r="AJ1104" s="54"/>
      <c r="AL1104" s="54"/>
      <c r="AO1104" s="54"/>
      <c r="AP1104" s="1"/>
      <c r="AQ1104" s="54"/>
      <c r="AR1104" s="171"/>
      <c r="AS1104" s="1"/>
      <c r="AT1104" s="1"/>
      <c r="AU1104" s="1"/>
    </row>
    <row r="1105">
      <c r="A1105" s="54"/>
      <c r="B1105" s="71"/>
      <c r="C1105" s="51"/>
      <c r="D1105" s="54"/>
      <c r="E1105" s="114"/>
      <c r="F1105" s="16"/>
      <c r="G1105" s="114"/>
      <c r="H1105" s="54"/>
      <c r="I1105" s="114"/>
      <c r="J1105" s="54"/>
      <c r="L1105" s="54"/>
      <c r="N1105" s="54"/>
      <c r="P1105" s="54"/>
      <c r="R1105" s="54"/>
      <c r="T1105" s="1"/>
      <c r="V1105" s="54"/>
      <c r="X1105" s="54"/>
      <c r="Z1105" s="54"/>
      <c r="AB1105" s="54"/>
      <c r="AD1105" s="54"/>
      <c r="AF1105" s="54"/>
      <c r="AH1105" s="54"/>
      <c r="AJ1105" s="54"/>
      <c r="AL1105" s="54"/>
      <c r="AO1105" s="54"/>
      <c r="AP1105" s="1"/>
      <c r="AQ1105" s="54"/>
      <c r="AR1105" s="171"/>
      <c r="AS1105" s="1"/>
      <c r="AT1105" s="1"/>
      <c r="AU1105" s="1"/>
    </row>
    <row r="1106">
      <c r="A1106" s="54"/>
      <c r="B1106" s="71"/>
      <c r="C1106" s="51"/>
      <c r="D1106" s="54"/>
      <c r="E1106" s="114"/>
      <c r="F1106" s="16"/>
      <c r="G1106" s="114"/>
      <c r="H1106" s="54"/>
      <c r="I1106" s="114"/>
      <c r="J1106" s="54"/>
      <c r="L1106" s="54"/>
      <c r="N1106" s="54"/>
      <c r="P1106" s="54"/>
      <c r="R1106" s="54"/>
      <c r="T1106" s="1"/>
      <c r="V1106" s="54"/>
      <c r="X1106" s="54"/>
      <c r="Z1106" s="54"/>
      <c r="AB1106" s="54"/>
      <c r="AD1106" s="54"/>
      <c r="AF1106" s="54"/>
      <c r="AH1106" s="54"/>
      <c r="AJ1106" s="54"/>
      <c r="AL1106" s="54"/>
      <c r="AO1106" s="54"/>
      <c r="AP1106" s="1"/>
      <c r="AQ1106" s="54"/>
      <c r="AR1106" s="171"/>
      <c r="AS1106" s="1"/>
      <c r="AT1106" s="1"/>
      <c r="AU1106" s="1"/>
    </row>
    <row r="1107">
      <c r="A1107" s="54"/>
      <c r="B1107" s="71"/>
      <c r="C1107" s="51"/>
      <c r="D1107" s="54"/>
      <c r="E1107" s="114"/>
      <c r="F1107" s="16"/>
      <c r="G1107" s="114"/>
      <c r="H1107" s="54"/>
      <c r="I1107" s="114"/>
      <c r="J1107" s="54"/>
      <c r="L1107" s="54"/>
      <c r="N1107" s="54"/>
      <c r="P1107" s="54"/>
      <c r="R1107" s="54"/>
      <c r="T1107" s="1"/>
      <c r="V1107" s="54"/>
      <c r="X1107" s="54"/>
      <c r="Z1107" s="54"/>
      <c r="AB1107" s="54"/>
      <c r="AD1107" s="54"/>
      <c r="AF1107" s="54"/>
      <c r="AH1107" s="54"/>
      <c r="AJ1107" s="54"/>
      <c r="AL1107" s="54"/>
      <c r="AO1107" s="54"/>
      <c r="AP1107" s="1"/>
      <c r="AQ1107" s="54"/>
      <c r="AR1107" s="171"/>
      <c r="AS1107" s="1"/>
      <c r="AT1107" s="1"/>
      <c r="AU1107" s="1"/>
    </row>
    <row r="1108">
      <c r="A1108" s="54"/>
      <c r="B1108" s="71"/>
      <c r="C1108" s="51"/>
      <c r="D1108" s="54"/>
      <c r="E1108" s="114"/>
      <c r="F1108" s="16"/>
      <c r="G1108" s="114"/>
      <c r="H1108" s="54"/>
      <c r="I1108" s="114"/>
      <c r="J1108" s="54"/>
      <c r="L1108" s="54"/>
      <c r="N1108" s="54"/>
      <c r="P1108" s="54"/>
      <c r="R1108" s="54"/>
      <c r="T1108" s="1"/>
      <c r="V1108" s="54"/>
      <c r="X1108" s="54"/>
      <c r="Z1108" s="54"/>
      <c r="AB1108" s="54"/>
      <c r="AD1108" s="54"/>
      <c r="AF1108" s="54"/>
      <c r="AH1108" s="54"/>
      <c r="AJ1108" s="54"/>
      <c r="AL1108" s="54"/>
      <c r="AO1108" s="54"/>
      <c r="AP1108" s="1"/>
      <c r="AQ1108" s="54"/>
      <c r="AR1108" s="171"/>
      <c r="AS1108" s="1"/>
      <c r="AT1108" s="1"/>
      <c r="AU1108" s="1"/>
    </row>
    <row r="1109">
      <c r="A1109" s="54"/>
      <c r="B1109" s="71"/>
      <c r="C1109" s="51"/>
      <c r="D1109" s="54"/>
      <c r="E1109" s="114"/>
      <c r="F1109" s="16"/>
      <c r="G1109" s="114"/>
      <c r="H1109" s="54"/>
      <c r="I1109" s="114"/>
      <c r="J1109" s="54"/>
      <c r="L1109" s="54"/>
      <c r="N1109" s="54"/>
      <c r="P1109" s="54"/>
      <c r="R1109" s="54"/>
      <c r="T1109" s="1"/>
      <c r="V1109" s="54"/>
      <c r="X1109" s="54"/>
      <c r="Z1109" s="54"/>
      <c r="AB1109" s="54"/>
      <c r="AD1109" s="54"/>
      <c r="AF1109" s="54"/>
      <c r="AH1109" s="54"/>
      <c r="AJ1109" s="54"/>
      <c r="AL1109" s="54"/>
      <c r="AO1109" s="54"/>
      <c r="AP1109" s="1"/>
      <c r="AQ1109" s="54"/>
      <c r="AR1109" s="171"/>
      <c r="AS1109" s="1"/>
      <c r="AT1109" s="1"/>
      <c r="AU1109" s="1"/>
    </row>
    <row r="1110">
      <c r="A1110" s="54"/>
      <c r="B1110" s="71"/>
      <c r="C1110" s="51"/>
      <c r="D1110" s="54"/>
      <c r="E1110" s="114"/>
      <c r="F1110" s="16"/>
      <c r="G1110" s="114"/>
      <c r="H1110" s="54"/>
      <c r="I1110" s="114"/>
      <c r="J1110" s="54"/>
      <c r="L1110" s="54"/>
      <c r="N1110" s="54"/>
      <c r="P1110" s="54"/>
      <c r="R1110" s="54"/>
      <c r="T1110" s="1"/>
      <c r="V1110" s="54"/>
      <c r="X1110" s="54"/>
      <c r="Z1110" s="54"/>
      <c r="AB1110" s="54"/>
      <c r="AD1110" s="54"/>
      <c r="AF1110" s="54"/>
      <c r="AH1110" s="54"/>
      <c r="AJ1110" s="54"/>
      <c r="AL1110" s="54"/>
      <c r="AO1110" s="54"/>
      <c r="AP1110" s="1"/>
      <c r="AQ1110" s="54"/>
      <c r="AR1110" s="171"/>
      <c r="AS1110" s="1"/>
      <c r="AT1110" s="1"/>
      <c r="AU1110" s="1"/>
    </row>
    <row r="1111">
      <c r="A1111" s="54"/>
      <c r="B1111" s="71"/>
      <c r="C1111" s="51"/>
      <c r="D1111" s="54"/>
      <c r="E1111" s="114"/>
      <c r="F1111" s="16"/>
      <c r="G1111" s="114"/>
      <c r="H1111" s="54"/>
      <c r="I1111" s="114"/>
      <c r="J1111" s="54"/>
      <c r="L1111" s="54"/>
      <c r="N1111" s="54"/>
      <c r="P1111" s="54"/>
      <c r="R1111" s="54"/>
      <c r="T1111" s="1"/>
      <c r="V1111" s="54"/>
      <c r="X1111" s="54"/>
      <c r="Z1111" s="54"/>
      <c r="AB1111" s="54"/>
      <c r="AD1111" s="54"/>
      <c r="AF1111" s="54"/>
      <c r="AH1111" s="54"/>
      <c r="AJ1111" s="54"/>
      <c r="AL1111" s="54"/>
      <c r="AO1111" s="54"/>
      <c r="AP1111" s="1"/>
      <c r="AQ1111" s="54"/>
      <c r="AR1111" s="171"/>
      <c r="AS1111" s="1"/>
      <c r="AT1111" s="1"/>
      <c r="AU1111" s="1"/>
    </row>
    <row r="1112">
      <c r="A1112" s="54"/>
      <c r="B1112" s="71"/>
      <c r="C1112" s="51"/>
      <c r="D1112" s="54"/>
      <c r="E1112" s="114"/>
      <c r="F1112" s="16"/>
      <c r="G1112" s="114"/>
      <c r="H1112" s="54"/>
      <c r="I1112" s="114"/>
      <c r="J1112" s="54"/>
      <c r="L1112" s="54"/>
      <c r="N1112" s="54"/>
      <c r="P1112" s="54"/>
      <c r="R1112" s="54"/>
      <c r="T1112" s="1"/>
      <c r="V1112" s="54"/>
      <c r="X1112" s="54"/>
      <c r="Z1112" s="54"/>
      <c r="AB1112" s="54"/>
      <c r="AD1112" s="54"/>
      <c r="AF1112" s="54"/>
      <c r="AH1112" s="54"/>
      <c r="AJ1112" s="54"/>
      <c r="AL1112" s="54"/>
      <c r="AO1112" s="54"/>
      <c r="AP1112" s="1"/>
      <c r="AQ1112" s="54"/>
      <c r="AR1112" s="171"/>
      <c r="AS1112" s="1"/>
      <c r="AT1112" s="1"/>
      <c r="AU1112" s="1"/>
    </row>
    <row r="1113">
      <c r="A1113" s="54"/>
      <c r="B1113" s="71"/>
      <c r="C1113" s="51"/>
      <c r="D1113" s="54"/>
      <c r="E1113" s="114"/>
      <c r="F1113" s="16"/>
      <c r="G1113" s="114"/>
      <c r="H1113" s="54"/>
      <c r="I1113" s="114"/>
      <c r="J1113" s="54"/>
      <c r="L1113" s="54"/>
      <c r="N1113" s="54"/>
      <c r="P1113" s="54"/>
      <c r="R1113" s="54"/>
      <c r="T1113" s="1"/>
      <c r="V1113" s="54"/>
      <c r="X1113" s="54"/>
      <c r="Z1113" s="54"/>
      <c r="AB1113" s="54"/>
      <c r="AD1113" s="54"/>
      <c r="AF1113" s="54"/>
      <c r="AH1113" s="54"/>
      <c r="AJ1113" s="54"/>
      <c r="AL1113" s="54"/>
      <c r="AO1113" s="54"/>
      <c r="AP1113" s="1"/>
      <c r="AQ1113" s="54"/>
      <c r="AR1113" s="171"/>
      <c r="AS1113" s="1"/>
      <c r="AT1113" s="1"/>
      <c r="AU1113" s="1"/>
    </row>
    <row r="1114">
      <c r="A1114" s="54"/>
      <c r="B1114" s="71"/>
      <c r="C1114" s="51"/>
      <c r="D1114" s="54"/>
      <c r="E1114" s="114"/>
      <c r="F1114" s="16"/>
      <c r="G1114" s="114"/>
      <c r="H1114" s="54"/>
      <c r="I1114" s="114"/>
      <c r="J1114" s="54"/>
      <c r="L1114" s="54"/>
      <c r="N1114" s="54"/>
      <c r="P1114" s="54"/>
      <c r="R1114" s="54"/>
      <c r="T1114" s="1"/>
      <c r="V1114" s="54"/>
      <c r="X1114" s="54"/>
      <c r="Z1114" s="54"/>
      <c r="AB1114" s="54"/>
      <c r="AD1114" s="54"/>
      <c r="AF1114" s="54"/>
      <c r="AH1114" s="54"/>
      <c r="AJ1114" s="54"/>
      <c r="AL1114" s="54"/>
      <c r="AO1114" s="54"/>
      <c r="AP1114" s="1"/>
      <c r="AQ1114" s="54"/>
      <c r="AR1114" s="171"/>
      <c r="AS1114" s="1"/>
      <c r="AT1114" s="1"/>
      <c r="AU1114" s="1"/>
    </row>
    <row r="1115">
      <c r="A1115" s="54"/>
      <c r="B1115" s="71"/>
      <c r="C1115" s="51"/>
      <c r="D1115" s="54"/>
      <c r="E1115" s="114"/>
      <c r="F1115" s="16"/>
      <c r="G1115" s="114"/>
      <c r="H1115" s="54"/>
      <c r="I1115" s="114"/>
      <c r="J1115" s="54"/>
      <c r="L1115" s="54"/>
      <c r="N1115" s="54"/>
      <c r="P1115" s="54"/>
      <c r="R1115" s="54"/>
      <c r="T1115" s="1"/>
      <c r="V1115" s="54"/>
      <c r="X1115" s="54"/>
      <c r="Z1115" s="54"/>
      <c r="AB1115" s="54"/>
      <c r="AD1115" s="54"/>
      <c r="AF1115" s="54"/>
      <c r="AH1115" s="54"/>
      <c r="AJ1115" s="54"/>
      <c r="AL1115" s="54"/>
      <c r="AO1115" s="54"/>
      <c r="AP1115" s="1"/>
      <c r="AQ1115" s="54"/>
      <c r="AR1115" s="171"/>
      <c r="AS1115" s="1"/>
      <c r="AT1115" s="1"/>
      <c r="AU1115" s="1"/>
    </row>
    <row r="1116">
      <c r="A1116" s="54"/>
      <c r="B1116" s="71"/>
      <c r="C1116" s="51"/>
      <c r="D1116" s="54"/>
      <c r="E1116" s="114"/>
      <c r="F1116" s="16"/>
      <c r="G1116" s="114"/>
      <c r="H1116" s="54"/>
      <c r="I1116" s="114"/>
      <c r="J1116" s="54"/>
      <c r="L1116" s="54"/>
      <c r="N1116" s="54"/>
      <c r="P1116" s="54"/>
      <c r="R1116" s="54"/>
      <c r="T1116" s="1"/>
      <c r="V1116" s="54"/>
      <c r="X1116" s="54"/>
      <c r="Z1116" s="54"/>
      <c r="AB1116" s="54"/>
      <c r="AD1116" s="54"/>
      <c r="AF1116" s="54"/>
      <c r="AH1116" s="54"/>
      <c r="AJ1116" s="54"/>
      <c r="AL1116" s="54"/>
      <c r="AO1116" s="54"/>
      <c r="AP1116" s="1"/>
      <c r="AQ1116" s="54"/>
      <c r="AR1116" s="171"/>
      <c r="AS1116" s="1"/>
      <c r="AT1116" s="1"/>
      <c r="AU1116" s="1"/>
    </row>
    <row r="1117">
      <c r="A1117" s="54"/>
      <c r="B1117" s="71"/>
      <c r="C1117" s="51"/>
      <c r="D1117" s="54"/>
      <c r="E1117" s="114"/>
      <c r="F1117" s="16"/>
      <c r="G1117" s="114"/>
      <c r="H1117" s="54"/>
      <c r="I1117" s="114"/>
      <c r="J1117" s="54"/>
      <c r="L1117" s="54"/>
      <c r="N1117" s="54"/>
      <c r="P1117" s="54"/>
      <c r="R1117" s="54"/>
      <c r="T1117" s="1"/>
      <c r="V1117" s="54"/>
      <c r="X1117" s="54"/>
      <c r="Z1117" s="54"/>
      <c r="AB1117" s="54"/>
      <c r="AD1117" s="54"/>
      <c r="AF1117" s="54"/>
      <c r="AH1117" s="54"/>
      <c r="AJ1117" s="54"/>
      <c r="AL1117" s="54"/>
      <c r="AO1117" s="54"/>
      <c r="AP1117" s="1"/>
      <c r="AQ1117" s="54"/>
      <c r="AR1117" s="171"/>
      <c r="AS1117" s="1"/>
      <c r="AT1117" s="1"/>
      <c r="AU1117" s="1"/>
    </row>
    <row r="1118">
      <c r="A1118" s="54"/>
      <c r="B1118" s="71"/>
      <c r="C1118" s="51"/>
      <c r="D1118" s="54"/>
      <c r="E1118" s="114"/>
      <c r="F1118" s="16"/>
      <c r="G1118" s="114"/>
      <c r="H1118" s="54"/>
      <c r="I1118" s="114"/>
      <c r="J1118" s="54"/>
      <c r="L1118" s="54"/>
      <c r="N1118" s="54"/>
      <c r="P1118" s="54"/>
      <c r="R1118" s="54"/>
      <c r="T1118" s="1"/>
      <c r="V1118" s="54"/>
      <c r="X1118" s="54"/>
      <c r="Z1118" s="54"/>
      <c r="AB1118" s="54"/>
      <c r="AD1118" s="54"/>
      <c r="AF1118" s="54"/>
      <c r="AH1118" s="54"/>
      <c r="AJ1118" s="54"/>
      <c r="AL1118" s="54"/>
      <c r="AO1118" s="54"/>
      <c r="AP1118" s="1"/>
      <c r="AQ1118" s="54"/>
      <c r="AR1118" s="171"/>
      <c r="AS1118" s="1"/>
      <c r="AT1118" s="1"/>
      <c r="AU1118" s="1"/>
    </row>
    <row r="1119">
      <c r="A1119" s="54"/>
      <c r="B1119" s="71"/>
      <c r="C1119" s="51"/>
      <c r="D1119" s="54"/>
      <c r="E1119" s="114"/>
      <c r="F1119" s="16"/>
      <c r="G1119" s="114"/>
      <c r="H1119" s="54"/>
      <c r="I1119" s="114"/>
      <c r="J1119" s="54"/>
      <c r="L1119" s="54"/>
      <c r="N1119" s="54"/>
      <c r="P1119" s="54"/>
      <c r="R1119" s="54"/>
      <c r="T1119" s="1"/>
      <c r="V1119" s="54"/>
      <c r="X1119" s="54"/>
      <c r="Z1119" s="54"/>
      <c r="AB1119" s="54"/>
      <c r="AD1119" s="54"/>
      <c r="AF1119" s="54"/>
      <c r="AH1119" s="54"/>
      <c r="AJ1119" s="54"/>
      <c r="AL1119" s="54"/>
      <c r="AO1119" s="54"/>
      <c r="AP1119" s="1"/>
      <c r="AQ1119" s="54"/>
      <c r="AR1119" s="171"/>
      <c r="AS1119" s="1"/>
      <c r="AT1119" s="1"/>
      <c r="AU1119" s="1"/>
    </row>
    <row r="1120">
      <c r="A1120" s="54"/>
      <c r="B1120" s="71"/>
      <c r="C1120" s="51"/>
      <c r="D1120" s="54"/>
      <c r="E1120" s="114"/>
      <c r="F1120" s="16"/>
      <c r="G1120" s="114"/>
      <c r="H1120" s="54"/>
      <c r="I1120" s="114"/>
      <c r="J1120" s="54"/>
      <c r="L1120" s="54"/>
      <c r="N1120" s="54"/>
      <c r="P1120" s="54"/>
      <c r="R1120" s="54"/>
      <c r="T1120" s="1"/>
      <c r="V1120" s="54"/>
      <c r="X1120" s="54"/>
      <c r="Z1120" s="54"/>
      <c r="AB1120" s="54"/>
      <c r="AD1120" s="54"/>
      <c r="AF1120" s="54"/>
      <c r="AH1120" s="54"/>
      <c r="AJ1120" s="54"/>
      <c r="AL1120" s="54"/>
      <c r="AO1120" s="54"/>
      <c r="AP1120" s="1"/>
      <c r="AQ1120" s="54"/>
      <c r="AR1120" s="171"/>
      <c r="AS1120" s="1"/>
      <c r="AT1120" s="1"/>
      <c r="AU1120" s="1"/>
    </row>
    <row r="1121">
      <c r="A1121" s="54"/>
      <c r="B1121" s="71"/>
      <c r="C1121" s="51"/>
      <c r="D1121" s="54"/>
      <c r="E1121" s="114"/>
      <c r="F1121" s="16"/>
      <c r="G1121" s="114"/>
      <c r="H1121" s="54"/>
      <c r="I1121" s="114"/>
      <c r="J1121" s="54"/>
      <c r="L1121" s="54"/>
      <c r="N1121" s="54"/>
      <c r="P1121" s="54"/>
      <c r="R1121" s="54"/>
      <c r="T1121" s="1"/>
      <c r="V1121" s="54"/>
      <c r="X1121" s="54"/>
      <c r="Z1121" s="54"/>
      <c r="AB1121" s="54"/>
      <c r="AD1121" s="54"/>
      <c r="AF1121" s="54"/>
      <c r="AH1121" s="54"/>
      <c r="AJ1121" s="54"/>
      <c r="AL1121" s="54"/>
      <c r="AO1121" s="54"/>
      <c r="AP1121" s="1"/>
      <c r="AQ1121" s="54"/>
      <c r="AR1121" s="171"/>
      <c r="AS1121" s="1"/>
      <c r="AT1121" s="1"/>
      <c r="AU1121" s="1"/>
    </row>
    <row r="1122">
      <c r="A1122" s="54"/>
      <c r="B1122" s="71"/>
      <c r="C1122" s="51"/>
      <c r="D1122" s="54"/>
      <c r="E1122" s="114"/>
      <c r="F1122" s="16"/>
      <c r="G1122" s="114"/>
      <c r="H1122" s="54"/>
      <c r="I1122" s="114"/>
      <c r="J1122" s="54"/>
      <c r="L1122" s="54"/>
      <c r="N1122" s="54"/>
      <c r="P1122" s="54"/>
      <c r="R1122" s="54"/>
      <c r="T1122" s="1"/>
      <c r="V1122" s="54"/>
      <c r="X1122" s="54"/>
      <c r="Z1122" s="54"/>
      <c r="AB1122" s="54"/>
      <c r="AD1122" s="54"/>
      <c r="AF1122" s="54"/>
      <c r="AH1122" s="54"/>
      <c r="AJ1122" s="54"/>
      <c r="AL1122" s="54"/>
      <c r="AO1122" s="54"/>
      <c r="AP1122" s="1"/>
      <c r="AQ1122" s="54"/>
      <c r="AR1122" s="171"/>
      <c r="AS1122" s="1"/>
      <c r="AT1122" s="1"/>
      <c r="AU1122" s="1"/>
    </row>
    <row r="1123">
      <c r="A1123" s="54"/>
      <c r="B1123" s="71"/>
      <c r="C1123" s="51"/>
      <c r="D1123" s="54"/>
      <c r="E1123" s="114"/>
      <c r="F1123" s="16"/>
      <c r="G1123" s="114"/>
      <c r="H1123" s="54"/>
      <c r="I1123" s="114"/>
      <c r="J1123" s="54"/>
      <c r="L1123" s="54"/>
      <c r="N1123" s="54"/>
      <c r="P1123" s="54"/>
      <c r="R1123" s="54"/>
      <c r="T1123" s="1"/>
      <c r="V1123" s="54"/>
      <c r="X1123" s="54"/>
      <c r="Z1123" s="54"/>
      <c r="AB1123" s="54"/>
      <c r="AD1123" s="54"/>
      <c r="AF1123" s="54"/>
      <c r="AH1123" s="54"/>
      <c r="AJ1123" s="54"/>
      <c r="AL1123" s="54"/>
      <c r="AO1123" s="54"/>
      <c r="AP1123" s="1"/>
      <c r="AQ1123" s="54"/>
      <c r="AR1123" s="171"/>
      <c r="AS1123" s="1"/>
      <c r="AT1123" s="1"/>
      <c r="AU1123" s="1"/>
    </row>
    <row r="1124">
      <c r="A1124" s="54"/>
      <c r="B1124" s="71"/>
      <c r="C1124" s="51"/>
      <c r="D1124" s="54"/>
      <c r="E1124" s="114"/>
      <c r="F1124" s="16"/>
      <c r="G1124" s="114"/>
      <c r="H1124" s="54"/>
      <c r="I1124" s="114"/>
      <c r="J1124" s="54"/>
      <c r="L1124" s="54"/>
      <c r="N1124" s="54"/>
      <c r="P1124" s="54"/>
      <c r="R1124" s="54"/>
      <c r="T1124" s="1"/>
      <c r="V1124" s="54"/>
      <c r="X1124" s="54"/>
      <c r="Z1124" s="54"/>
      <c r="AB1124" s="54"/>
      <c r="AD1124" s="54"/>
      <c r="AF1124" s="54"/>
      <c r="AH1124" s="54"/>
      <c r="AJ1124" s="54"/>
      <c r="AL1124" s="54"/>
      <c r="AO1124" s="54"/>
      <c r="AP1124" s="1"/>
      <c r="AQ1124" s="54"/>
      <c r="AR1124" s="171"/>
      <c r="AS1124" s="1"/>
      <c r="AT1124" s="1"/>
      <c r="AU1124" s="1"/>
    </row>
    <row r="1125">
      <c r="A1125" s="54"/>
      <c r="B1125" s="71"/>
      <c r="C1125" s="51"/>
      <c r="D1125" s="54"/>
      <c r="E1125" s="114"/>
      <c r="F1125" s="16"/>
      <c r="G1125" s="114"/>
      <c r="H1125" s="54"/>
      <c r="I1125" s="114"/>
      <c r="J1125" s="54"/>
      <c r="L1125" s="54"/>
      <c r="N1125" s="54"/>
      <c r="P1125" s="54"/>
      <c r="R1125" s="54"/>
      <c r="T1125" s="1"/>
      <c r="V1125" s="54"/>
      <c r="X1125" s="54"/>
      <c r="Z1125" s="54"/>
      <c r="AB1125" s="54"/>
      <c r="AD1125" s="54"/>
      <c r="AF1125" s="54"/>
      <c r="AH1125" s="54"/>
      <c r="AJ1125" s="54"/>
      <c r="AL1125" s="54"/>
      <c r="AO1125" s="54"/>
      <c r="AP1125" s="1"/>
      <c r="AQ1125" s="54"/>
      <c r="AR1125" s="171"/>
      <c r="AS1125" s="1"/>
      <c r="AT1125" s="1"/>
      <c r="AU1125" s="1"/>
    </row>
    <row r="1126">
      <c r="A1126" s="54"/>
      <c r="B1126" s="71"/>
      <c r="C1126" s="51"/>
      <c r="D1126" s="54"/>
      <c r="E1126" s="114"/>
      <c r="F1126" s="16"/>
      <c r="G1126" s="114"/>
      <c r="H1126" s="54"/>
      <c r="I1126" s="114"/>
      <c r="J1126" s="54"/>
      <c r="L1126" s="54"/>
      <c r="N1126" s="54"/>
      <c r="P1126" s="54"/>
      <c r="R1126" s="54"/>
      <c r="T1126" s="1"/>
      <c r="V1126" s="54"/>
      <c r="X1126" s="54"/>
      <c r="Z1126" s="54"/>
      <c r="AB1126" s="54"/>
      <c r="AD1126" s="54"/>
      <c r="AF1126" s="54"/>
      <c r="AH1126" s="54"/>
      <c r="AJ1126" s="54"/>
      <c r="AL1126" s="54"/>
      <c r="AO1126" s="54"/>
      <c r="AP1126" s="1"/>
      <c r="AQ1126" s="54"/>
      <c r="AR1126" s="171"/>
      <c r="AS1126" s="1"/>
      <c r="AT1126" s="1"/>
      <c r="AU1126" s="1"/>
    </row>
    <row r="1127">
      <c r="A1127" s="54"/>
      <c r="B1127" s="71"/>
      <c r="C1127" s="51"/>
      <c r="D1127" s="54"/>
      <c r="E1127" s="114"/>
      <c r="F1127" s="16"/>
      <c r="G1127" s="114"/>
      <c r="H1127" s="54"/>
      <c r="I1127" s="114"/>
      <c r="J1127" s="54"/>
      <c r="L1127" s="54"/>
      <c r="N1127" s="54"/>
      <c r="P1127" s="54"/>
      <c r="R1127" s="54"/>
      <c r="T1127" s="1"/>
      <c r="V1127" s="54"/>
      <c r="X1127" s="54"/>
      <c r="Z1127" s="54"/>
      <c r="AB1127" s="54"/>
      <c r="AD1127" s="54"/>
      <c r="AF1127" s="54"/>
      <c r="AH1127" s="54"/>
      <c r="AJ1127" s="54"/>
      <c r="AL1127" s="54"/>
      <c r="AO1127" s="54"/>
      <c r="AP1127" s="1"/>
      <c r="AQ1127" s="54"/>
      <c r="AR1127" s="171"/>
      <c r="AS1127" s="1"/>
      <c r="AT1127" s="1"/>
      <c r="AU1127" s="1"/>
    </row>
    <row r="1128">
      <c r="A1128" s="54"/>
      <c r="B1128" s="71"/>
      <c r="C1128" s="51"/>
      <c r="D1128" s="54"/>
      <c r="E1128" s="114"/>
      <c r="F1128" s="16"/>
      <c r="G1128" s="114"/>
      <c r="H1128" s="54"/>
      <c r="I1128" s="114"/>
      <c r="J1128" s="54"/>
      <c r="L1128" s="54"/>
      <c r="N1128" s="54"/>
      <c r="P1128" s="54"/>
      <c r="R1128" s="54"/>
      <c r="T1128" s="1"/>
      <c r="V1128" s="54"/>
      <c r="X1128" s="54"/>
      <c r="Z1128" s="54"/>
      <c r="AB1128" s="54"/>
      <c r="AD1128" s="54"/>
      <c r="AF1128" s="54"/>
      <c r="AH1128" s="54"/>
      <c r="AJ1128" s="54"/>
      <c r="AL1128" s="54"/>
      <c r="AO1128" s="54"/>
      <c r="AP1128" s="1"/>
      <c r="AQ1128" s="54"/>
      <c r="AR1128" s="171"/>
      <c r="AS1128" s="1"/>
      <c r="AT1128" s="1"/>
      <c r="AU1128" s="1"/>
    </row>
    <row r="1129">
      <c r="A1129" s="54"/>
      <c r="B1129" s="71"/>
      <c r="C1129" s="51"/>
      <c r="D1129" s="54"/>
      <c r="E1129" s="114"/>
      <c r="F1129" s="16"/>
      <c r="G1129" s="114"/>
      <c r="H1129" s="54"/>
      <c r="I1129" s="114"/>
      <c r="J1129" s="54"/>
      <c r="L1129" s="54"/>
      <c r="N1129" s="54"/>
      <c r="P1129" s="54"/>
      <c r="R1129" s="54"/>
      <c r="T1129" s="1"/>
      <c r="V1129" s="54"/>
      <c r="X1129" s="54"/>
      <c r="Z1129" s="54"/>
      <c r="AB1129" s="54"/>
      <c r="AD1129" s="54"/>
      <c r="AF1129" s="54"/>
      <c r="AH1129" s="54"/>
      <c r="AJ1129" s="54"/>
      <c r="AL1129" s="54"/>
      <c r="AO1129" s="54"/>
      <c r="AP1129" s="1"/>
      <c r="AQ1129" s="54"/>
      <c r="AR1129" s="171"/>
      <c r="AS1129" s="1"/>
      <c r="AT1129" s="1"/>
      <c r="AU1129" s="1"/>
    </row>
    <row r="1130">
      <c r="A1130" s="54"/>
      <c r="B1130" s="71"/>
      <c r="C1130" s="51"/>
      <c r="D1130" s="54"/>
      <c r="E1130" s="114"/>
      <c r="F1130" s="16"/>
      <c r="G1130" s="114"/>
      <c r="H1130" s="54"/>
      <c r="I1130" s="114"/>
      <c r="J1130" s="54"/>
      <c r="L1130" s="54"/>
      <c r="N1130" s="54"/>
      <c r="P1130" s="54"/>
      <c r="R1130" s="54"/>
      <c r="T1130" s="1"/>
      <c r="V1130" s="54"/>
      <c r="X1130" s="54"/>
      <c r="Z1130" s="54"/>
      <c r="AB1130" s="54"/>
      <c r="AD1130" s="54"/>
      <c r="AF1130" s="54"/>
      <c r="AH1130" s="54"/>
      <c r="AJ1130" s="54"/>
      <c r="AL1130" s="54"/>
      <c r="AO1130" s="54"/>
      <c r="AP1130" s="1"/>
      <c r="AQ1130" s="54"/>
      <c r="AR1130" s="171"/>
      <c r="AS1130" s="1"/>
      <c r="AT1130" s="1"/>
      <c r="AU1130" s="1"/>
    </row>
    <row r="1131">
      <c r="A1131" s="54"/>
      <c r="B1131" s="71"/>
      <c r="C1131" s="51"/>
      <c r="D1131" s="54"/>
      <c r="E1131" s="114"/>
      <c r="F1131" s="16"/>
      <c r="G1131" s="114"/>
      <c r="H1131" s="54"/>
      <c r="I1131" s="114"/>
      <c r="J1131" s="54"/>
      <c r="L1131" s="54"/>
      <c r="N1131" s="54"/>
      <c r="P1131" s="54"/>
      <c r="R1131" s="54"/>
      <c r="T1131" s="1"/>
      <c r="V1131" s="54"/>
      <c r="X1131" s="54"/>
      <c r="Z1131" s="54"/>
      <c r="AB1131" s="54"/>
      <c r="AD1131" s="54"/>
      <c r="AF1131" s="54"/>
      <c r="AH1131" s="54"/>
      <c r="AJ1131" s="54"/>
      <c r="AL1131" s="54"/>
      <c r="AO1131" s="54"/>
      <c r="AP1131" s="1"/>
      <c r="AQ1131" s="54"/>
      <c r="AR1131" s="171"/>
      <c r="AS1131" s="1"/>
      <c r="AT1131" s="1"/>
      <c r="AU1131" s="1"/>
    </row>
    <row r="1132">
      <c r="A1132" s="54"/>
      <c r="B1132" s="71"/>
      <c r="C1132" s="51"/>
      <c r="D1132" s="54"/>
      <c r="E1132" s="114"/>
      <c r="F1132" s="16"/>
      <c r="G1132" s="114"/>
      <c r="H1132" s="54"/>
      <c r="I1132" s="114"/>
      <c r="J1132" s="54"/>
      <c r="L1132" s="54"/>
      <c r="N1132" s="54"/>
      <c r="P1132" s="54"/>
      <c r="R1132" s="54"/>
      <c r="T1132" s="1"/>
      <c r="V1132" s="54"/>
      <c r="X1132" s="54"/>
      <c r="Z1132" s="54"/>
      <c r="AB1132" s="54"/>
      <c r="AD1132" s="54"/>
      <c r="AF1132" s="54"/>
      <c r="AH1132" s="54"/>
      <c r="AJ1132" s="54"/>
      <c r="AL1132" s="54"/>
      <c r="AO1132" s="54"/>
      <c r="AP1132" s="1"/>
      <c r="AQ1132" s="54"/>
      <c r="AR1132" s="171"/>
      <c r="AS1132" s="1"/>
      <c r="AT1132" s="1"/>
      <c r="AU1132" s="1"/>
    </row>
    <row r="1133">
      <c r="A1133" s="54"/>
      <c r="B1133" s="71"/>
      <c r="C1133" s="51"/>
      <c r="D1133" s="54"/>
      <c r="E1133" s="114"/>
      <c r="F1133" s="16"/>
      <c r="G1133" s="114"/>
      <c r="H1133" s="54"/>
      <c r="I1133" s="114"/>
      <c r="J1133" s="54"/>
      <c r="L1133" s="54"/>
      <c r="N1133" s="54"/>
      <c r="P1133" s="54"/>
      <c r="R1133" s="54"/>
      <c r="T1133" s="1"/>
      <c r="V1133" s="54"/>
      <c r="X1133" s="54"/>
      <c r="Z1133" s="54"/>
      <c r="AB1133" s="54"/>
      <c r="AD1133" s="54"/>
      <c r="AF1133" s="54"/>
      <c r="AH1133" s="54"/>
      <c r="AJ1133" s="54"/>
      <c r="AL1133" s="54"/>
      <c r="AO1133" s="54"/>
      <c r="AP1133" s="1"/>
      <c r="AQ1133" s="54"/>
      <c r="AR1133" s="171"/>
      <c r="AS1133" s="1"/>
      <c r="AT1133" s="1"/>
      <c r="AU1133" s="1"/>
    </row>
    <row r="1134">
      <c r="A1134" s="54"/>
      <c r="B1134" s="71"/>
      <c r="C1134" s="51"/>
      <c r="D1134" s="54"/>
      <c r="E1134" s="114"/>
      <c r="F1134" s="16"/>
      <c r="G1134" s="114"/>
      <c r="H1134" s="54"/>
      <c r="I1134" s="114"/>
      <c r="J1134" s="54"/>
      <c r="L1134" s="54"/>
      <c r="N1134" s="54"/>
      <c r="P1134" s="54"/>
      <c r="R1134" s="54"/>
      <c r="T1134" s="1"/>
      <c r="V1134" s="54"/>
      <c r="X1134" s="54"/>
      <c r="Z1134" s="54"/>
      <c r="AB1134" s="54"/>
      <c r="AD1134" s="54"/>
      <c r="AF1134" s="54"/>
      <c r="AH1134" s="54"/>
      <c r="AJ1134" s="54"/>
      <c r="AL1134" s="54"/>
      <c r="AO1134" s="54"/>
      <c r="AP1134" s="1"/>
      <c r="AQ1134" s="54"/>
      <c r="AR1134" s="171"/>
      <c r="AS1134" s="1"/>
      <c r="AT1134" s="1"/>
      <c r="AU1134" s="1"/>
    </row>
    <row r="1135">
      <c r="A1135" s="54"/>
      <c r="B1135" s="71"/>
      <c r="C1135" s="51"/>
      <c r="D1135" s="54"/>
      <c r="E1135" s="114"/>
      <c r="F1135" s="16"/>
      <c r="G1135" s="114"/>
      <c r="H1135" s="54"/>
      <c r="I1135" s="114"/>
      <c r="J1135" s="54"/>
      <c r="L1135" s="54"/>
      <c r="N1135" s="54"/>
      <c r="P1135" s="54"/>
      <c r="R1135" s="54"/>
      <c r="T1135" s="1"/>
      <c r="V1135" s="54"/>
      <c r="X1135" s="54"/>
      <c r="Z1135" s="54"/>
      <c r="AB1135" s="54"/>
      <c r="AD1135" s="54"/>
      <c r="AF1135" s="54"/>
      <c r="AH1135" s="54"/>
      <c r="AJ1135" s="54"/>
      <c r="AL1135" s="54"/>
      <c r="AO1135" s="54"/>
      <c r="AP1135" s="1"/>
      <c r="AQ1135" s="54"/>
      <c r="AR1135" s="171"/>
      <c r="AS1135" s="1"/>
      <c r="AT1135" s="1"/>
      <c r="AU1135" s="1"/>
    </row>
    <row r="1136">
      <c r="A1136" s="54"/>
      <c r="B1136" s="71"/>
      <c r="C1136" s="51"/>
      <c r="D1136" s="54"/>
      <c r="E1136" s="114"/>
      <c r="F1136" s="16"/>
      <c r="G1136" s="114"/>
      <c r="H1136" s="54"/>
      <c r="I1136" s="114"/>
      <c r="J1136" s="54"/>
      <c r="L1136" s="54"/>
      <c r="N1136" s="54"/>
      <c r="P1136" s="54"/>
      <c r="R1136" s="54"/>
      <c r="T1136" s="1"/>
      <c r="V1136" s="54"/>
      <c r="X1136" s="54"/>
      <c r="Z1136" s="54"/>
      <c r="AB1136" s="54"/>
      <c r="AD1136" s="54"/>
      <c r="AF1136" s="54"/>
      <c r="AH1136" s="54"/>
      <c r="AJ1136" s="54"/>
      <c r="AL1136" s="54"/>
      <c r="AO1136" s="54"/>
      <c r="AP1136" s="1"/>
      <c r="AQ1136" s="54"/>
      <c r="AR1136" s="171"/>
      <c r="AS1136" s="1"/>
      <c r="AT1136" s="1"/>
      <c r="AU1136" s="1"/>
    </row>
    <row r="1137">
      <c r="A1137" s="54"/>
      <c r="B1137" s="71"/>
      <c r="C1137" s="51"/>
      <c r="D1137" s="54"/>
      <c r="E1137" s="114"/>
      <c r="F1137" s="16"/>
      <c r="G1137" s="114"/>
      <c r="H1137" s="54"/>
      <c r="I1137" s="114"/>
      <c r="J1137" s="54"/>
      <c r="L1137" s="54"/>
      <c r="N1137" s="54"/>
      <c r="P1137" s="54"/>
      <c r="R1137" s="54"/>
      <c r="T1137" s="1"/>
      <c r="V1137" s="54"/>
      <c r="X1137" s="54"/>
      <c r="Z1137" s="54"/>
      <c r="AB1137" s="54"/>
      <c r="AD1137" s="54"/>
      <c r="AF1137" s="54"/>
      <c r="AH1137" s="54"/>
      <c r="AJ1137" s="54"/>
      <c r="AL1137" s="54"/>
      <c r="AO1137" s="54"/>
      <c r="AP1137" s="1"/>
      <c r="AQ1137" s="54"/>
      <c r="AR1137" s="171"/>
      <c r="AS1137" s="1"/>
      <c r="AT1137" s="1"/>
      <c r="AU1137" s="1"/>
    </row>
    <row r="1138">
      <c r="A1138" s="54"/>
      <c r="B1138" s="71"/>
      <c r="C1138" s="51"/>
      <c r="D1138" s="54"/>
      <c r="E1138" s="114"/>
      <c r="F1138" s="16"/>
      <c r="G1138" s="114"/>
      <c r="H1138" s="54"/>
      <c r="I1138" s="114"/>
      <c r="J1138" s="54"/>
      <c r="L1138" s="54"/>
      <c r="N1138" s="54"/>
      <c r="P1138" s="54"/>
      <c r="R1138" s="54"/>
      <c r="T1138" s="1"/>
      <c r="V1138" s="54"/>
      <c r="X1138" s="54"/>
      <c r="Z1138" s="54"/>
      <c r="AB1138" s="54"/>
      <c r="AD1138" s="54"/>
      <c r="AF1138" s="54"/>
      <c r="AH1138" s="54"/>
      <c r="AJ1138" s="54"/>
      <c r="AL1138" s="54"/>
      <c r="AO1138" s="54"/>
      <c r="AP1138" s="1"/>
      <c r="AQ1138" s="54"/>
      <c r="AR1138" s="171"/>
      <c r="AS1138" s="1"/>
      <c r="AT1138" s="1"/>
      <c r="AU1138" s="1"/>
    </row>
    <row r="1139">
      <c r="A1139" s="54"/>
      <c r="B1139" s="71"/>
      <c r="C1139" s="51"/>
      <c r="D1139" s="54"/>
      <c r="E1139" s="114"/>
      <c r="F1139" s="16"/>
      <c r="G1139" s="114"/>
      <c r="H1139" s="54"/>
      <c r="I1139" s="114"/>
      <c r="J1139" s="54"/>
      <c r="L1139" s="54"/>
      <c r="N1139" s="54"/>
      <c r="P1139" s="54"/>
      <c r="R1139" s="54"/>
      <c r="T1139" s="1"/>
      <c r="V1139" s="54"/>
      <c r="X1139" s="54"/>
      <c r="Z1139" s="54"/>
      <c r="AB1139" s="54"/>
      <c r="AD1139" s="54"/>
      <c r="AF1139" s="54"/>
      <c r="AH1139" s="54"/>
      <c r="AJ1139" s="54"/>
      <c r="AL1139" s="54"/>
      <c r="AO1139" s="54"/>
      <c r="AP1139" s="1"/>
      <c r="AQ1139" s="54"/>
      <c r="AR1139" s="171"/>
      <c r="AS1139" s="1"/>
      <c r="AT1139" s="1"/>
      <c r="AU1139" s="1"/>
    </row>
    <row r="1140">
      <c r="A1140" s="54"/>
      <c r="B1140" s="71"/>
      <c r="C1140" s="51"/>
      <c r="D1140" s="54"/>
      <c r="E1140" s="114"/>
      <c r="F1140" s="16"/>
      <c r="G1140" s="114"/>
      <c r="H1140" s="54"/>
      <c r="I1140" s="114"/>
      <c r="J1140" s="54"/>
      <c r="L1140" s="54"/>
      <c r="N1140" s="54"/>
      <c r="P1140" s="54"/>
      <c r="R1140" s="54"/>
      <c r="T1140" s="1"/>
      <c r="V1140" s="54"/>
      <c r="X1140" s="54"/>
      <c r="Z1140" s="54"/>
      <c r="AB1140" s="54"/>
      <c r="AD1140" s="54"/>
      <c r="AF1140" s="54"/>
      <c r="AH1140" s="54"/>
      <c r="AJ1140" s="54"/>
      <c r="AL1140" s="54"/>
      <c r="AO1140" s="54"/>
      <c r="AP1140" s="1"/>
      <c r="AQ1140" s="54"/>
      <c r="AR1140" s="171"/>
      <c r="AS1140" s="1"/>
      <c r="AT1140" s="1"/>
      <c r="AU1140" s="1"/>
    </row>
    <row r="1141">
      <c r="A1141" s="54"/>
      <c r="B1141" s="71"/>
      <c r="C1141" s="51"/>
      <c r="D1141" s="54"/>
      <c r="E1141" s="114"/>
      <c r="F1141" s="16"/>
      <c r="G1141" s="114"/>
      <c r="H1141" s="54"/>
      <c r="I1141" s="114"/>
      <c r="J1141" s="54"/>
      <c r="L1141" s="54"/>
      <c r="N1141" s="54"/>
      <c r="P1141" s="54"/>
      <c r="R1141" s="54"/>
      <c r="T1141" s="1"/>
      <c r="V1141" s="54"/>
      <c r="X1141" s="54"/>
      <c r="Z1141" s="54"/>
      <c r="AB1141" s="54"/>
      <c r="AD1141" s="54"/>
      <c r="AF1141" s="54"/>
      <c r="AH1141" s="54"/>
      <c r="AJ1141" s="54"/>
      <c r="AL1141" s="54"/>
      <c r="AO1141" s="54"/>
      <c r="AP1141" s="1"/>
      <c r="AQ1141" s="54"/>
      <c r="AR1141" s="171"/>
      <c r="AS1141" s="1"/>
      <c r="AT1141" s="1"/>
      <c r="AU1141" s="1"/>
    </row>
    <row r="1142">
      <c r="A1142" s="54"/>
      <c r="B1142" s="71"/>
      <c r="C1142" s="51"/>
      <c r="D1142" s="54"/>
      <c r="E1142" s="114"/>
      <c r="F1142" s="16"/>
      <c r="G1142" s="114"/>
      <c r="H1142" s="54"/>
      <c r="I1142" s="114"/>
      <c r="J1142" s="54"/>
      <c r="L1142" s="54"/>
      <c r="N1142" s="54"/>
      <c r="P1142" s="54"/>
      <c r="R1142" s="54"/>
      <c r="T1142" s="1"/>
      <c r="V1142" s="54"/>
      <c r="X1142" s="54"/>
      <c r="Z1142" s="54"/>
      <c r="AB1142" s="54"/>
      <c r="AD1142" s="54"/>
      <c r="AF1142" s="54"/>
      <c r="AH1142" s="54"/>
      <c r="AJ1142" s="54"/>
      <c r="AL1142" s="54"/>
      <c r="AO1142" s="54"/>
      <c r="AP1142" s="1"/>
      <c r="AQ1142" s="54"/>
      <c r="AR1142" s="171"/>
      <c r="AS1142" s="1"/>
      <c r="AT1142" s="1"/>
      <c r="AU1142" s="1"/>
    </row>
    <row r="1143">
      <c r="A1143" s="54"/>
      <c r="B1143" s="71"/>
      <c r="C1143" s="51"/>
      <c r="D1143" s="54"/>
      <c r="E1143" s="114"/>
      <c r="F1143" s="16"/>
      <c r="G1143" s="114"/>
      <c r="H1143" s="54"/>
      <c r="I1143" s="114"/>
      <c r="J1143" s="54"/>
      <c r="L1143" s="54"/>
      <c r="N1143" s="54"/>
      <c r="P1143" s="54"/>
      <c r="R1143" s="54"/>
      <c r="T1143" s="1"/>
      <c r="V1143" s="54"/>
      <c r="X1143" s="54"/>
      <c r="Z1143" s="54"/>
      <c r="AB1143" s="54"/>
      <c r="AD1143" s="54"/>
      <c r="AF1143" s="54"/>
      <c r="AH1143" s="54"/>
      <c r="AJ1143" s="54"/>
      <c r="AL1143" s="54"/>
      <c r="AO1143" s="54"/>
      <c r="AP1143" s="1"/>
      <c r="AQ1143" s="54"/>
      <c r="AR1143" s="171"/>
      <c r="AS1143" s="1"/>
      <c r="AT1143" s="1"/>
      <c r="AU1143" s="1"/>
    </row>
    <row r="1144">
      <c r="A1144" s="54"/>
      <c r="B1144" s="71"/>
      <c r="C1144" s="51"/>
      <c r="D1144" s="54"/>
      <c r="E1144" s="114"/>
      <c r="F1144" s="16"/>
      <c r="G1144" s="114"/>
      <c r="H1144" s="54"/>
      <c r="I1144" s="114"/>
      <c r="J1144" s="54"/>
      <c r="L1144" s="54"/>
      <c r="N1144" s="54"/>
      <c r="P1144" s="54"/>
      <c r="R1144" s="54"/>
      <c r="T1144" s="1"/>
      <c r="V1144" s="54"/>
      <c r="X1144" s="54"/>
      <c r="Z1144" s="54"/>
      <c r="AB1144" s="54"/>
      <c r="AD1144" s="54"/>
      <c r="AF1144" s="54"/>
      <c r="AH1144" s="54"/>
      <c r="AJ1144" s="54"/>
      <c r="AL1144" s="54"/>
      <c r="AO1144" s="54"/>
      <c r="AP1144" s="1"/>
      <c r="AQ1144" s="54"/>
      <c r="AR1144" s="171"/>
      <c r="AS1144" s="1"/>
      <c r="AT1144" s="1"/>
      <c r="AU1144" s="1"/>
    </row>
    <row r="1145">
      <c r="A1145" s="54"/>
      <c r="B1145" s="71"/>
      <c r="C1145" s="51"/>
      <c r="D1145" s="54"/>
      <c r="E1145" s="114"/>
      <c r="F1145" s="16"/>
      <c r="G1145" s="114"/>
      <c r="H1145" s="54"/>
      <c r="I1145" s="114"/>
      <c r="J1145" s="54"/>
      <c r="L1145" s="54"/>
      <c r="N1145" s="54"/>
      <c r="P1145" s="54"/>
      <c r="R1145" s="54"/>
      <c r="T1145" s="1"/>
      <c r="V1145" s="54"/>
      <c r="X1145" s="54"/>
      <c r="Z1145" s="54"/>
      <c r="AB1145" s="54"/>
      <c r="AD1145" s="54"/>
      <c r="AF1145" s="54"/>
      <c r="AH1145" s="54"/>
      <c r="AJ1145" s="54"/>
      <c r="AL1145" s="54"/>
      <c r="AO1145" s="54"/>
      <c r="AP1145" s="1"/>
      <c r="AQ1145" s="54"/>
      <c r="AR1145" s="171"/>
      <c r="AS1145" s="1"/>
      <c r="AT1145" s="1"/>
      <c r="AU1145" s="1"/>
    </row>
    <row r="1146">
      <c r="A1146" s="54"/>
      <c r="B1146" s="71"/>
      <c r="C1146" s="51"/>
      <c r="D1146" s="54"/>
      <c r="E1146" s="114"/>
      <c r="F1146" s="16"/>
      <c r="G1146" s="114"/>
      <c r="H1146" s="54"/>
      <c r="I1146" s="114"/>
      <c r="J1146" s="54"/>
      <c r="L1146" s="54"/>
      <c r="N1146" s="54"/>
      <c r="P1146" s="54"/>
      <c r="R1146" s="54"/>
      <c r="T1146" s="1"/>
      <c r="V1146" s="54"/>
      <c r="X1146" s="54"/>
      <c r="Z1146" s="54"/>
      <c r="AB1146" s="54"/>
      <c r="AD1146" s="54"/>
      <c r="AF1146" s="54"/>
      <c r="AH1146" s="54"/>
      <c r="AJ1146" s="54"/>
      <c r="AL1146" s="54"/>
      <c r="AO1146" s="54"/>
      <c r="AP1146" s="1"/>
      <c r="AQ1146" s="54"/>
      <c r="AR1146" s="171"/>
      <c r="AS1146" s="1"/>
      <c r="AT1146" s="1"/>
      <c r="AU1146" s="1"/>
    </row>
    <row r="1147">
      <c r="A1147" s="54"/>
      <c r="B1147" s="71"/>
      <c r="C1147" s="51"/>
      <c r="D1147" s="54"/>
      <c r="E1147" s="114"/>
      <c r="F1147" s="16"/>
      <c r="G1147" s="114"/>
      <c r="H1147" s="54"/>
      <c r="I1147" s="114"/>
      <c r="J1147" s="54"/>
      <c r="L1147" s="54"/>
      <c r="N1147" s="54"/>
      <c r="P1147" s="54"/>
      <c r="R1147" s="54"/>
      <c r="T1147" s="1"/>
      <c r="V1147" s="54"/>
      <c r="X1147" s="54"/>
      <c r="Z1147" s="54"/>
      <c r="AB1147" s="54"/>
      <c r="AD1147" s="54"/>
      <c r="AF1147" s="54"/>
      <c r="AH1147" s="54"/>
      <c r="AJ1147" s="54"/>
      <c r="AL1147" s="54"/>
      <c r="AO1147" s="54"/>
      <c r="AP1147" s="1"/>
      <c r="AQ1147" s="54"/>
      <c r="AR1147" s="171"/>
      <c r="AS1147" s="1"/>
      <c r="AT1147" s="1"/>
      <c r="AU1147" s="1"/>
    </row>
    <row r="1148">
      <c r="A1148" s="54"/>
      <c r="B1148" s="71"/>
      <c r="C1148" s="51"/>
      <c r="D1148" s="54"/>
      <c r="E1148" s="114"/>
      <c r="F1148" s="16"/>
      <c r="G1148" s="114"/>
      <c r="H1148" s="54"/>
      <c r="I1148" s="114"/>
      <c r="J1148" s="54"/>
      <c r="L1148" s="54"/>
      <c r="N1148" s="54"/>
      <c r="P1148" s="54"/>
      <c r="R1148" s="54"/>
      <c r="T1148" s="1"/>
      <c r="V1148" s="54"/>
      <c r="X1148" s="54"/>
      <c r="Z1148" s="54"/>
      <c r="AB1148" s="54"/>
      <c r="AD1148" s="54"/>
      <c r="AF1148" s="54"/>
      <c r="AH1148" s="54"/>
      <c r="AJ1148" s="54"/>
      <c r="AL1148" s="54"/>
      <c r="AO1148" s="54"/>
      <c r="AP1148" s="1"/>
      <c r="AQ1148" s="54"/>
      <c r="AR1148" s="171"/>
      <c r="AS1148" s="1"/>
      <c r="AT1148" s="1"/>
      <c r="AU1148" s="1"/>
    </row>
    <row r="1149">
      <c r="A1149" s="54"/>
      <c r="B1149" s="71"/>
      <c r="C1149" s="51"/>
      <c r="D1149" s="54"/>
      <c r="E1149" s="114"/>
      <c r="F1149" s="16"/>
      <c r="G1149" s="114"/>
      <c r="H1149" s="54"/>
      <c r="I1149" s="114"/>
      <c r="J1149" s="54"/>
      <c r="L1149" s="54"/>
      <c r="N1149" s="54"/>
      <c r="P1149" s="54"/>
      <c r="R1149" s="54"/>
      <c r="T1149" s="1"/>
      <c r="V1149" s="54"/>
      <c r="X1149" s="54"/>
      <c r="Z1149" s="54"/>
      <c r="AB1149" s="54"/>
      <c r="AD1149" s="54"/>
      <c r="AF1149" s="54"/>
      <c r="AH1149" s="54"/>
      <c r="AJ1149" s="54"/>
      <c r="AL1149" s="54"/>
      <c r="AO1149" s="54"/>
      <c r="AP1149" s="1"/>
      <c r="AQ1149" s="54"/>
      <c r="AR1149" s="171"/>
      <c r="AS1149" s="1"/>
      <c r="AT1149" s="1"/>
      <c r="AU1149" s="1"/>
    </row>
    <row r="1150">
      <c r="A1150" s="54"/>
      <c r="B1150" s="71"/>
      <c r="C1150" s="51"/>
      <c r="D1150" s="54"/>
      <c r="E1150" s="114"/>
      <c r="F1150" s="16"/>
      <c r="G1150" s="114"/>
      <c r="H1150" s="54"/>
      <c r="I1150" s="114"/>
      <c r="J1150" s="54"/>
      <c r="L1150" s="54"/>
      <c r="N1150" s="54"/>
      <c r="P1150" s="54"/>
      <c r="R1150" s="54"/>
      <c r="T1150" s="1"/>
      <c r="V1150" s="54"/>
      <c r="X1150" s="54"/>
      <c r="Z1150" s="54"/>
      <c r="AB1150" s="54"/>
      <c r="AD1150" s="54"/>
      <c r="AF1150" s="54"/>
      <c r="AH1150" s="54"/>
      <c r="AJ1150" s="54"/>
      <c r="AL1150" s="54"/>
      <c r="AO1150" s="54"/>
      <c r="AP1150" s="1"/>
      <c r="AQ1150" s="54"/>
      <c r="AR1150" s="171"/>
      <c r="AS1150" s="1"/>
      <c r="AT1150" s="1"/>
      <c r="AU1150" s="1"/>
    </row>
    <row r="1151">
      <c r="A1151" s="54"/>
      <c r="B1151" s="71"/>
      <c r="C1151" s="51"/>
      <c r="D1151" s="54"/>
      <c r="E1151" s="114"/>
      <c r="F1151" s="16"/>
      <c r="G1151" s="114"/>
      <c r="H1151" s="54"/>
      <c r="I1151" s="114"/>
      <c r="J1151" s="54"/>
      <c r="L1151" s="54"/>
      <c r="N1151" s="54"/>
      <c r="P1151" s="54"/>
      <c r="R1151" s="54"/>
      <c r="T1151" s="1"/>
      <c r="V1151" s="54"/>
      <c r="X1151" s="54"/>
      <c r="Z1151" s="54"/>
      <c r="AB1151" s="54"/>
      <c r="AD1151" s="54"/>
      <c r="AF1151" s="54"/>
      <c r="AH1151" s="54"/>
      <c r="AJ1151" s="54"/>
      <c r="AL1151" s="54"/>
      <c r="AO1151" s="54"/>
      <c r="AP1151" s="1"/>
      <c r="AQ1151" s="54"/>
      <c r="AR1151" s="171"/>
      <c r="AS1151" s="1"/>
      <c r="AT1151" s="1"/>
      <c r="AU1151" s="1"/>
    </row>
    <row r="1152">
      <c r="A1152" s="54"/>
      <c r="B1152" s="71"/>
      <c r="C1152" s="51"/>
      <c r="D1152" s="54"/>
      <c r="E1152" s="114"/>
      <c r="F1152" s="16"/>
      <c r="G1152" s="114"/>
      <c r="H1152" s="54"/>
      <c r="I1152" s="114"/>
      <c r="J1152" s="54"/>
      <c r="L1152" s="54"/>
      <c r="N1152" s="54"/>
      <c r="P1152" s="54"/>
      <c r="R1152" s="54"/>
      <c r="T1152" s="1"/>
      <c r="V1152" s="54"/>
      <c r="X1152" s="54"/>
      <c r="Z1152" s="54"/>
      <c r="AB1152" s="54"/>
      <c r="AD1152" s="54"/>
      <c r="AF1152" s="54"/>
      <c r="AH1152" s="54"/>
      <c r="AJ1152" s="54"/>
      <c r="AL1152" s="54"/>
      <c r="AO1152" s="54"/>
      <c r="AP1152" s="1"/>
      <c r="AQ1152" s="54"/>
      <c r="AR1152" s="171"/>
      <c r="AS1152" s="1"/>
      <c r="AT1152" s="1"/>
      <c r="AU1152" s="1"/>
    </row>
    <row r="1153">
      <c r="A1153" s="54"/>
      <c r="B1153" s="71"/>
      <c r="C1153" s="51"/>
      <c r="D1153" s="54"/>
      <c r="E1153" s="114"/>
      <c r="F1153" s="16"/>
      <c r="G1153" s="114"/>
      <c r="H1153" s="54"/>
      <c r="I1153" s="114"/>
      <c r="J1153" s="54"/>
      <c r="L1153" s="54"/>
      <c r="N1153" s="54"/>
      <c r="P1153" s="54"/>
      <c r="R1153" s="54"/>
      <c r="T1153" s="1"/>
      <c r="V1153" s="54"/>
      <c r="X1153" s="54"/>
      <c r="Z1153" s="54"/>
      <c r="AB1153" s="54"/>
      <c r="AD1153" s="54"/>
      <c r="AF1153" s="54"/>
      <c r="AH1153" s="54"/>
      <c r="AJ1153" s="54"/>
      <c r="AL1153" s="54"/>
      <c r="AO1153" s="54"/>
      <c r="AP1153" s="1"/>
      <c r="AQ1153" s="54"/>
      <c r="AR1153" s="171"/>
      <c r="AS1153" s="1"/>
      <c r="AT1153" s="1"/>
      <c r="AU1153" s="1"/>
    </row>
    <row r="1154">
      <c r="A1154" s="54"/>
      <c r="B1154" s="71"/>
      <c r="C1154" s="51"/>
      <c r="D1154" s="54"/>
      <c r="E1154" s="114"/>
      <c r="F1154" s="16"/>
      <c r="G1154" s="114"/>
      <c r="H1154" s="54"/>
      <c r="I1154" s="114"/>
      <c r="J1154" s="54"/>
      <c r="L1154" s="54"/>
      <c r="N1154" s="54"/>
      <c r="P1154" s="54"/>
      <c r="R1154" s="54"/>
      <c r="T1154" s="1"/>
      <c r="V1154" s="54"/>
      <c r="X1154" s="54"/>
      <c r="Z1154" s="54"/>
      <c r="AB1154" s="54"/>
      <c r="AD1154" s="54"/>
      <c r="AF1154" s="54"/>
      <c r="AH1154" s="54"/>
      <c r="AJ1154" s="54"/>
      <c r="AL1154" s="54"/>
      <c r="AO1154" s="54"/>
      <c r="AP1154" s="1"/>
      <c r="AQ1154" s="54"/>
      <c r="AR1154" s="171"/>
      <c r="AS1154" s="1"/>
      <c r="AT1154" s="1"/>
      <c r="AU1154" s="1"/>
    </row>
    <row r="1155">
      <c r="A1155" s="54"/>
      <c r="B1155" s="71"/>
      <c r="C1155" s="51"/>
      <c r="D1155" s="54"/>
      <c r="E1155" s="114"/>
      <c r="F1155" s="16"/>
      <c r="G1155" s="114"/>
      <c r="H1155" s="54"/>
      <c r="I1155" s="114"/>
      <c r="J1155" s="54"/>
      <c r="L1155" s="54"/>
      <c r="N1155" s="54"/>
      <c r="P1155" s="54"/>
      <c r="R1155" s="54"/>
      <c r="T1155" s="1"/>
      <c r="V1155" s="54"/>
      <c r="X1155" s="54"/>
      <c r="Z1155" s="54"/>
      <c r="AB1155" s="54"/>
      <c r="AD1155" s="54"/>
      <c r="AF1155" s="54"/>
      <c r="AH1155" s="54"/>
      <c r="AJ1155" s="54"/>
      <c r="AL1155" s="54"/>
      <c r="AO1155" s="54"/>
      <c r="AP1155" s="1"/>
      <c r="AQ1155" s="54"/>
      <c r="AR1155" s="171"/>
      <c r="AS1155" s="1"/>
      <c r="AT1155" s="1"/>
      <c r="AU1155" s="1"/>
    </row>
    <row r="1156">
      <c r="A1156" s="54"/>
      <c r="B1156" s="71"/>
      <c r="C1156" s="51"/>
      <c r="D1156" s="54"/>
      <c r="E1156" s="114"/>
      <c r="F1156" s="16"/>
      <c r="G1156" s="114"/>
      <c r="H1156" s="54"/>
      <c r="I1156" s="114"/>
      <c r="J1156" s="54"/>
      <c r="L1156" s="54"/>
      <c r="N1156" s="54"/>
      <c r="P1156" s="54"/>
      <c r="R1156" s="54"/>
      <c r="T1156" s="1"/>
      <c r="V1156" s="54"/>
      <c r="X1156" s="54"/>
      <c r="Z1156" s="54"/>
      <c r="AB1156" s="54"/>
      <c r="AD1156" s="54"/>
      <c r="AF1156" s="54"/>
      <c r="AH1156" s="54"/>
      <c r="AJ1156" s="54"/>
      <c r="AL1156" s="54"/>
      <c r="AO1156" s="54"/>
      <c r="AP1156" s="1"/>
      <c r="AQ1156" s="54"/>
      <c r="AR1156" s="171"/>
      <c r="AS1156" s="1"/>
      <c r="AT1156" s="1"/>
      <c r="AU1156" s="1"/>
    </row>
    <row r="1157">
      <c r="A1157" s="54"/>
      <c r="B1157" s="71"/>
      <c r="C1157" s="51"/>
      <c r="D1157" s="54"/>
      <c r="E1157" s="114"/>
      <c r="F1157" s="16"/>
      <c r="G1157" s="114"/>
      <c r="H1157" s="54"/>
      <c r="I1157" s="114"/>
      <c r="J1157" s="54"/>
      <c r="L1157" s="54"/>
      <c r="N1157" s="54"/>
      <c r="P1157" s="54"/>
      <c r="R1157" s="54"/>
      <c r="T1157" s="1"/>
      <c r="V1157" s="54"/>
      <c r="X1157" s="54"/>
      <c r="Z1157" s="54"/>
      <c r="AB1157" s="54"/>
      <c r="AD1157" s="54"/>
      <c r="AF1157" s="54"/>
      <c r="AH1157" s="54"/>
      <c r="AJ1157" s="54"/>
      <c r="AL1157" s="54"/>
      <c r="AO1157" s="54"/>
      <c r="AP1157" s="1"/>
      <c r="AQ1157" s="54"/>
      <c r="AR1157" s="171"/>
      <c r="AS1157" s="1"/>
      <c r="AT1157" s="1"/>
      <c r="AU1157" s="1"/>
    </row>
    <row r="1158">
      <c r="A1158" s="54"/>
      <c r="B1158" s="71"/>
      <c r="C1158" s="51"/>
      <c r="D1158" s="54"/>
      <c r="E1158" s="114"/>
      <c r="F1158" s="16"/>
      <c r="G1158" s="114"/>
      <c r="H1158" s="54"/>
      <c r="I1158" s="114"/>
      <c r="J1158" s="54"/>
      <c r="L1158" s="54"/>
      <c r="N1158" s="54"/>
      <c r="P1158" s="54"/>
      <c r="R1158" s="54"/>
      <c r="T1158" s="1"/>
      <c r="V1158" s="54"/>
      <c r="X1158" s="54"/>
      <c r="Z1158" s="54"/>
      <c r="AB1158" s="54"/>
      <c r="AD1158" s="54"/>
      <c r="AF1158" s="54"/>
      <c r="AH1158" s="54"/>
      <c r="AJ1158" s="54"/>
      <c r="AL1158" s="54"/>
      <c r="AO1158" s="54"/>
      <c r="AP1158" s="1"/>
      <c r="AQ1158" s="54"/>
      <c r="AR1158" s="171"/>
      <c r="AS1158" s="1"/>
      <c r="AT1158" s="1"/>
      <c r="AU1158" s="1"/>
    </row>
    <row r="1159">
      <c r="A1159" s="54"/>
      <c r="B1159" s="71"/>
      <c r="C1159" s="51"/>
      <c r="D1159" s="54"/>
      <c r="E1159" s="114"/>
      <c r="F1159" s="16"/>
      <c r="G1159" s="114"/>
      <c r="H1159" s="54"/>
      <c r="I1159" s="114"/>
      <c r="J1159" s="54"/>
      <c r="L1159" s="54"/>
      <c r="N1159" s="54"/>
      <c r="P1159" s="54"/>
      <c r="R1159" s="54"/>
      <c r="T1159" s="1"/>
      <c r="V1159" s="54"/>
      <c r="X1159" s="54"/>
      <c r="Z1159" s="54"/>
      <c r="AB1159" s="54"/>
      <c r="AD1159" s="54"/>
      <c r="AF1159" s="54"/>
      <c r="AH1159" s="54"/>
      <c r="AJ1159" s="54"/>
      <c r="AL1159" s="54"/>
      <c r="AO1159" s="54"/>
      <c r="AP1159" s="1"/>
      <c r="AQ1159" s="54"/>
      <c r="AR1159" s="171"/>
      <c r="AS1159" s="1"/>
      <c r="AT1159" s="1"/>
      <c r="AU1159" s="1"/>
    </row>
    <row r="1160">
      <c r="A1160" s="54"/>
      <c r="B1160" s="71"/>
      <c r="C1160" s="51"/>
      <c r="D1160" s="54"/>
      <c r="E1160" s="114"/>
      <c r="F1160" s="16"/>
      <c r="G1160" s="114"/>
      <c r="H1160" s="54"/>
      <c r="I1160" s="114"/>
      <c r="J1160" s="54"/>
      <c r="L1160" s="54"/>
      <c r="N1160" s="54"/>
      <c r="P1160" s="54"/>
      <c r="R1160" s="54"/>
      <c r="T1160" s="1"/>
      <c r="V1160" s="54"/>
      <c r="X1160" s="54"/>
      <c r="Z1160" s="54"/>
      <c r="AB1160" s="54"/>
      <c r="AD1160" s="54"/>
      <c r="AF1160" s="54"/>
      <c r="AH1160" s="54"/>
      <c r="AJ1160" s="54"/>
      <c r="AL1160" s="54"/>
      <c r="AO1160" s="54"/>
      <c r="AP1160" s="1"/>
      <c r="AQ1160" s="54"/>
      <c r="AR1160" s="171"/>
      <c r="AS1160" s="1"/>
      <c r="AT1160" s="1"/>
      <c r="AU1160" s="1"/>
    </row>
    <row r="1161">
      <c r="A1161" s="54"/>
      <c r="B1161" s="71"/>
      <c r="C1161" s="51"/>
      <c r="D1161" s="54"/>
      <c r="E1161" s="114"/>
      <c r="F1161" s="16"/>
      <c r="G1161" s="114"/>
      <c r="H1161" s="54"/>
      <c r="I1161" s="114"/>
      <c r="J1161" s="54"/>
      <c r="L1161" s="54"/>
      <c r="N1161" s="54"/>
      <c r="P1161" s="54"/>
      <c r="R1161" s="54"/>
      <c r="T1161" s="1"/>
      <c r="V1161" s="54"/>
      <c r="X1161" s="54"/>
      <c r="Z1161" s="54"/>
      <c r="AB1161" s="54"/>
      <c r="AD1161" s="54"/>
      <c r="AF1161" s="54"/>
      <c r="AH1161" s="54"/>
      <c r="AJ1161" s="54"/>
      <c r="AL1161" s="54"/>
      <c r="AO1161" s="54"/>
      <c r="AP1161" s="1"/>
      <c r="AQ1161" s="54"/>
      <c r="AR1161" s="171"/>
      <c r="AS1161" s="1"/>
      <c r="AT1161" s="1"/>
      <c r="AU1161" s="1"/>
    </row>
    <row r="1162">
      <c r="A1162" s="54"/>
      <c r="B1162" s="71"/>
      <c r="C1162" s="51"/>
      <c r="D1162" s="54"/>
      <c r="E1162" s="114"/>
      <c r="F1162" s="16"/>
      <c r="G1162" s="114"/>
      <c r="H1162" s="54"/>
      <c r="I1162" s="114"/>
      <c r="J1162" s="54"/>
      <c r="L1162" s="54"/>
      <c r="N1162" s="54"/>
      <c r="P1162" s="54"/>
      <c r="R1162" s="54"/>
      <c r="T1162" s="1"/>
      <c r="V1162" s="54"/>
      <c r="X1162" s="54"/>
      <c r="Z1162" s="54"/>
      <c r="AB1162" s="54"/>
      <c r="AD1162" s="54"/>
      <c r="AF1162" s="54"/>
      <c r="AH1162" s="54"/>
      <c r="AJ1162" s="54"/>
      <c r="AL1162" s="54"/>
      <c r="AO1162" s="54"/>
      <c r="AP1162" s="1"/>
      <c r="AQ1162" s="54"/>
      <c r="AR1162" s="171"/>
      <c r="AS1162" s="1"/>
      <c r="AT1162" s="1"/>
      <c r="AU1162" s="1"/>
    </row>
    <row r="1163">
      <c r="A1163" s="54"/>
      <c r="B1163" s="71"/>
      <c r="C1163" s="51"/>
      <c r="D1163" s="54"/>
      <c r="E1163" s="114"/>
      <c r="F1163" s="16"/>
      <c r="G1163" s="114"/>
      <c r="H1163" s="54"/>
      <c r="I1163" s="114"/>
      <c r="J1163" s="54"/>
      <c r="L1163" s="54"/>
      <c r="N1163" s="54"/>
      <c r="P1163" s="54"/>
      <c r="R1163" s="54"/>
      <c r="T1163" s="1"/>
      <c r="V1163" s="54"/>
      <c r="X1163" s="54"/>
      <c r="Z1163" s="54"/>
      <c r="AB1163" s="54"/>
      <c r="AD1163" s="54"/>
      <c r="AF1163" s="54"/>
      <c r="AH1163" s="54"/>
      <c r="AJ1163" s="54"/>
      <c r="AL1163" s="54"/>
      <c r="AO1163" s="54"/>
      <c r="AP1163" s="1"/>
      <c r="AQ1163" s="54"/>
      <c r="AR1163" s="171"/>
      <c r="AS1163" s="1"/>
      <c r="AT1163" s="1"/>
      <c r="AU1163" s="1"/>
    </row>
    <row r="1164">
      <c r="A1164" s="54"/>
      <c r="B1164" s="71"/>
      <c r="C1164" s="51"/>
      <c r="D1164" s="54"/>
      <c r="E1164" s="114"/>
      <c r="F1164" s="16"/>
      <c r="G1164" s="114"/>
      <c r="H1164" s="54"/>
      <c r="I1164" s="114"/>
      <c r="J1164" s="54"/>
      <c r="L1164" s="54"/>
      <c r="N1164" s="54"/>
      <c r="P1164" s="54"/>
      <c r="R1164" s="54"/>
      <c r="T1164" s="1"/>
      <c r="V1164" s="54"/>
      <c r="X1164" s="54"/>
      <c r="Z1164" s="54"/>
      <c r="AB1164" s="54"/>
      <c r="AD1164" s="54"/>
      <c r="AF1164" s="54"/>
      <c r="AH1164" s="54"/>
      <c r="AJ1164" s="54"/>
      <c r="AL1164" s="54"/>
      <c r="AO1164" s="54"/>
      <c r="AP1164" s="1"/>
      <c r="AQ1164" s="54"/>
      <c r="AR1164" s="171"/>
      <c r="AS1164" s="1"/>
      <c r="AT1164" s="1"/>
      <c r="AU1164" s="1"/>
    </row>
    <row r="1165">
      <c r="A1165" s="54"/>
      <c r="B1165" s="71"/>
      <c r="C1165" s="51"/>
      <c r="D1165" s="54"/>
      <c r="E1165" s="114"/>
      <c r="F1165" s="16"/>
      <c r="G1165" s="114"/>
      <c r="H1165" s="54"/>
      <c r="I1165" s="114"/>
      <c r="J1165" s="54"/>
      <c r="L1165" s="54"/>
      <c r="N1165" s="54"/>
      <c r="P1165" s="54"/>
      <c r="R1165" s="54"/>
      <c r="T1165" s="1"/>
      <c r="V1165" s="54"/>
      <c r="X1165" s="54"/>
      <c r="Z1165" s="54"/>
      <c r="AB1165" s="54"/>
      <c r="AD1165" s="54"/>
      <c r="AF1165" s="54"/>
      <c r="AH1165" s="54"/>
      <c r="AJ1165" s="54"/>
      <c r="AL1165" s="54"/>
      <c r="AO1165" s="54"/>
      <c r="AP1165" s="1"/>
      <c r="AQ1165" s="54"/>
      <c r="AR1165" s="171"/>
      <c r="AS1165" s="1"/>
      <c r="AT1165" s="1"/>
      <c r="AU1165" s="1"/>
    </row>
    <row r="1166">
      <c r="A1166" s="54"/>
      <c r="B1166" s="71"/>
      <c r="C1166" s="51"/>
      <c r="D1166" s="54"/>
      <c r="E1166" s="114"/>
      <c r="F1166" s="16"/>
      <c r="G1166" s="114"/>
      <c r="H1166" s="54"/>
      <c r="I1166" s="114"/>
      <c r="J1166" s="54"/>
      <c r="L1166" s="54"/>
      <c r="N1166" s="54"/>
      <c r="P1166" s="54"/>
      <c r="R1166" s="54"/>
      <c r="T1166" s="1"/>
      <c r="V1166" s="54"/>
      <c r="X1166" s="54"/>
      <c r="Z1166" s="54"/>
      <c r="AB1166" s="54"/>
      <c r="AD1166" s="54"/>
      <c r="AF1166" s="54"/>
      <c r="AH1166" s="54"/>
      <c r="AJ1166" s="54"/>
      <c r="AL1166" s="54"/>
      <c r="AO1166" s="54"/>
      <c r="AP1166" s="1"/>
      <c r="AQ1166" s="54"/>
      <c r="AR1166" s="171"/>
      <c r="AS1166" s="1"/>
      <c r="AT1166" s="1"/>
      <c r="AU1166" s="1"/>
    </row>
    <row r="1167">
      <c r="A1167" s="54"/>
      <c r="B1167" s="71"/>
      <c r="C1167" s="51"/>
      <c r="D1167" s="54"/>
      <c r="E1167" s="114"/>
      <c r="F1167" s="16"/>
      <c r="G1167" s="114"/>
      <c r="H1167" s="54"/>
      <c r="I1167" s="114"/>
      <c r="J1167" s="54"/>
      <c r="L1167" s="54"/>
      <c r="N1167" s="54"/>
      <c r="P1167" s="54"/>
      <c r="R1167" s="54"/>
      <c r="T1167" s="1"/>
      <c r="V1167" s="54"/>
      <c r="X1167" s="54"/>
      <c r="Z1167" s="54"/>
      <c r="AB1167" s="54"/>
      <c r="AD1167" s="54"/>
      <c r="AF1167" s="54"/>
      <c r="AH1167" s="54"/>
      <c r="AJ1167" s="54"/>
      <c r="AL1167" s="54"/>
      <c r="AO1167" s="54"/>
      <c r="AP1167" s="1"/>
      <c r="AQ1167" s="54"/>
      <c r="AR1167" s="171"/>
      <c r="AS1167" s="1"/>
      <c r="AT1167" s="1"/>
      <c r="AU1167" s="1"/>
    </row>
    <row r="1168">
      <c r="A1168" s="54"/>
      <c r="B1168" s="71"/>
      <c r="C1168" s="51"/>
      <c r="D1168" s="54"/>
      <c r="E1168" s="114"/>
      <c r="F1168" s="16"/>
      <c r="G1168" s="114"/>
      <c r="H1168" s="54"/>
      <c r="I1168" s="114"/>
      <c r="J1168" s="54"/>
      <c r="L1168" s="54"/>
      <c r="N1168" s="54"/>
      <c r="P1168" s="54"/>
      <c r="R1168" s="54"/>
      <c r="T1168" s="1"/>
      <c r="V1168" s="54"/>
      <c r="X1168" s="54"/>
      <c r="Z1168" s="54"/>
      <c r="AB1168" s="54"/>
      <c r="AD1168" s="54"/>
      <c r="AF1168" s="54"/>
      <c r="AH1168" s="54"/>
      <c r="AJ1168" s="54"/>
      <c r="AL1168" s="54"/>
      <c r="AO1168" s="54"/>
      <c r="AP1168" s="1"/>
      <c r="AQ1168" s="54"/>
      <c r="AR1168" s="171"/>
      <c r="AS1168" s="1"/>
      <c r="AT1168" s="1"/>
      <c r="AU1168" s="1"/>
    </row>
    <row r="1169">
      <c r="A1169" s="54"/>
      <c r="B1169" s="71"/>
      <c r="C1169" s="51"/>
      <c r="D1169" s="54"/>
      <c r="E1169" s="114"/>
      <c r="F1169" s="16"/>
      <c r="G1169" s="114"/>
      <c r="H1169" s="54"/>
      <c r="I1169" s="114"/>
      <c r="J1169" s="54"/>
      <c r="L1169" s="54"/>
      <c r="N1169" s="54"/>
      <c r="P1169" s="54"/>
      <c r="R1169" s="54"/>
      <c r="T1169" s="1"/>
      <c r="V1169" s="54"/>
      <c r="X1169" s="54"/>
      <c r="Z1169" s="54"/>
      <c r="AB1169" s="54"/>
      <c r="AD1169" s="54"/>
      <c r="AF1169" s="54"/>
      <c r="AH1169" s="54"/>
      <c r="AJ1169" s="54"/>
      <c r="AL1169" s="54"/>
      <c r="AO1169" s="54"/>
      <c r="AP1169" s="1"/>
      <c r="AQ1169" s="54"/>
      <c r="AR1169" s="171"/>
      <c r="AS1169" s="1"/>
      <c r="AT1169" s="1"/>
      <c r="AU1169" s="1"/>
    </row>
    <row r="1170">
      <c r="A1170" s="54"/>
      <c r="B1170" s="71"/>
      <c r="C1170" s="51"/>
      <c r="D1170" s="54"/>
      <c r="E1170" s="114"/>
      <c r="F1170" s="16"/>
      <c r="G1170" s="114"/>
      <c r="H1170" s="54"/>
      <c r="I1170" s="114"/>
      <c r="J1170" s="54"/>
      <c r="L1170" s="54"/>
      <c r="N1170" s="54"/>
      <c r="P1170" s="54"/>
      <c r="R1170" s="54"/>
      <c r="T1170" s="1"/>
      <c r="V1170" s="54"/>
      <c r="X1170" s="54"/>
      <c r="Z1170" s="54"/>
      <c r="AB1170" s="54"/>
      <c r="AD1170" s="54"/>
      <c r="AF1170" s="54"/>
      <c r="AH1170" s="54"/>
      <c r="AJ1170" s="54"/>
      <c r="AL1170" s="54"/>
      <c r="AO1170" s="54"/>
      <c r="AP1170" s="1"/>
      <c r="AQ1170" s="54"/>
      <c r="AR1170" s="171"/>
      <c r="AS1170" s="1"/>
      <c r="AT1170" s="1"/>
      <c r="AU1170" s="1"/>
    </row>
    <row r="1171">
      <c r="A1171" s="54"/>
      <c r="B1171" s="71"/>
      <c r="C1171" s="51"/>
      <c r="D1171" s="54"/>
      <c r="E1171" s="114"/>
      <c r="F1171" s="16"/>
      <c r="G1171" s="114"/>
      <c r="H1171" s="54"/>
      <c r="I1171" s="114"/>
      <c r="J1171" s="54"/>
      <c r="L1171" s="54"/>
      <c r="N1171" s="54"/>
      <c r="P1171" s="54"/>
      <c r="R1171" s="54"/>
      <c r="T1171" s="1"/>
      <c r="V1171" s="54"/>
      <c r="X1171" s="54"/>
      <c r="Z1171" s="54"/>
      <c r="AB1171" s="54"/>
      <c r="AD1171" s="54"/>
      <c r="AF1171" s="54"/>
      <c r="AH1171" s="54"/>
      <c r="AJ1171" s="54"/>
      <c r="AL1171" s="54"/>
      <c r="AO1171" s="54"/>
      <c r="AP1171" s="1"/>
      <c r="AQ1171" s="54"/>
      <c r="AR1171" s="171"/>
      <c r="AS1171" s="1"/>
      <c r="AT1171" s="1"/>
      <c r="AU1171" s="1"/>
    </row>
    <row r="1172">
      <c r="A1172" s="54"/>
      <c r="B1172" s="71"/>
      <c r="C1172" s="51"/>
      <c r="D1172" s="54"/>
      <c r="E1172" s="114"/>
      <c r="F1172" s="16"/>
      <c r="G1172" s="114"/>
      <c r="H1172" s="54"/>
      <c r="I1172" s="114"/>
      <c r="J1172" s="54"/>
      <c r="L1172" s="54"/>
      <c r="N1172" s="54"/>
      <c r="P1172" s="54"/>
      <c r="R1172" s="54"/>
      <c r="T1172" s="1"/>
      <c r="V1172" s="54"/>
      <c r="X1172" s="54"/>
      <c r="Z1172" s="54"/>
      <c r="AB1172" s="54"/>
      <c r="AD1172" s="54"/>
      <c r="AF1172" s="54"/>
      <c r="AH1172" s="54"/>
      <c r="AJ1172" s="54"/>
      <c r="AL1172" s="54"/>
      <c r="AO1172" s="54"/>
      <c r="AP1172" s="1"/>
      <c r="AQ1172" s="54"/>
      <c r="AR1172" s="171"/>
      <c r="AS1172" s="1"/>
      <c r="AT1172" s="1"/>
      <c r="AU1172" s="1"/>
    </row>
    <row r="1173">
      <c r="A1173" s="54"/>
      <c r="B1173" s="71"/>
      <c r="C1173" s="51"/>
      <c r="D1173" s="54"/>
      <c r="E1173" s="114"/>
      <c r="F1173" s="16"/>
      <c r="G1173" s="114"/>
      <c r="H1173" s="54"/>
      <c r="I1173" s="114"/>
      <c r="J1173" s="54"/>
      <c r="L1173" s="54"/>
      <c r="N1173" s="54"/>
      <c r="P1173" s="54"/>
      <c r="R1173" s="54"/>
      <c r="T1173" s="1"/>
      <c r="V1173" s="54"/>
      <c r="X1173" s="54"/>
      <c r="Z1173" s="54"/>
      <c r="AB1173" s="54"/>
      <c r="AD1173" s="54"/>
      <c r="AF1173" s="54"/>
      <c r="AH1173" s="54"/>
      <c r="AJ1173" s="54"/>
      <c r="AL1173" s="54"/>
      <c r="AO1173" s="54"/>
      <c r="AP1173" s="1"/>
      <c r="AQ1173" s="54"/>
      <c r="AR1173" s="171"/>
      <c r="AS1173" s="1"/>
      <c r="AT1173" s="1"/>
      <c r="AU1173" s="1"/>
    </row>
    <row r="1174">
      <c r="A1174" s="54"/>
      <c r="B1174" s="71"/>
      <c r="C1174" s="51"/>
      <c r="D1174" s="54"/>
      <c r="E1174" s="114"/>
      <c r="F1174" s="16"/>
      <c r="G1174" s="114"/>
      <c r="H1174" s="54"/>
      <c r="I1174" s="114"/>
      <c r="J1174" s="54"/>
      <c r="L1174" s="54"/>
      <c r="N1174" s="54"/>
      <c r="P1174" s="54"/>
      <c r="R1174" s="54"/>
      <c r="T1174" s="1"/>
      <c r="V1174" s="54"/>
      <c r="X1174" s="54"/>
      <c r="Z1174" s="54"/>
      <c r="AB1174" s="54"/>
      <c r="AD1174" s="54"/>
      <c r="AF1174" s="54"/>
      <c r="AH1174" s="54"/>
      <c r="AJ1174" s="54"/>
      <c r="AL1174" s="54"/>
      <c r="AO1174" s="54"/>
      <c r="AP1174" s="1"/>
      <c r="AQ1174" s="54"/>
      <c r="AR1174" s="171"/>
      <c r="AS1174" s="1"/>
      <c r="AT1174" s="1"/>
      <c r="AU1174" s="1"/>
    </row>
    <row r="1175">
      <c r="A1175" s="54"/>
      <c r="B1175" s="71"/>
      <c r="C1175" s="51"/>
      <c r="D1175" s="54"/>
      <c r="E1175" s="114"/>
      <c r="F1175" s="16"/>
      <c r="G1175" s="114"/>
      <c r="H1175" s="54"/>
      <c r="I1175" s="114"/>
      <c r="J1175" s="54"/>
      <c r="L1175" s="54"/>
      <c r="N1175" s="54"/>
      <c r="P1175" s="54"/>
      <c r="R1175" s="54"/>
      <c r="T1175" s="1"/>
      <c r="V1175" s="54"/>
      <c r="X1175" s="54"/>
      <c r="Z1175" s="54"/>
      <c r="AB1175" s="54"/>
      <c r="AD1175" s="54"/>
      <c r="AF1175" s="54"/>
      <c r="AH1175" s="54"/>
      <c r="AJ1175" s="54"/>
      <c r="AL1175" s="54"/>
      <c r="AO1175" s="54"/>
      <c r="AP1175" s="1"/>
      <c r="AQ1175" s="54"/>
      <c r="AR1175" s="171"/>
      <c r="AS1175" s="1"/>
      <c r="AT1175" s="1"/>
      <c r="AU1175" s="1"/>
    </row>
    <row r="1176">
      <c r="A1176" s="54"/>
      <c r="B1176" s="71"/>
      <c r="C1176" s="51"/>
      <c r="D1176" s="54"/>
      <c r="E1176" s="114"/>
      <c r="F1176" s="16"/>
      <c r="G1176" s="114"/>
      <c r="H1176" s="54"/>
      <c r="I1176" s="114"/>
      <c r="J1176" s="54"/>
      <c r="L1176" s="54"/>
      <c r="N1176" s="54"/>
      <c r="P1176" s="54"/>
      <c r="R1176" s="54"/>
      <c r="T1176" s="1"/>
      <c r="V1176" s="54"/>
      <c r="X1176" s="54"/>
      <c r="Z1176" s="54"/>
      <c r="AB1176" s="54"/>
      <c r="AD1176" s="54"/>
      <c r="AF1176" s="54"/>
      <c r="AH1176" s="54"/>
      <c r="AJ1176" s="54"/>
      <c r="AL1176" s="54"/>
      <c r="AO1176" s="54"/>
      <c r="AP1176" s="1"/>
      <c r="AQ1176" s="54"/>
      <c r="AR1176" s="171"/>
      <c r="AS1176" s="1"/>
      <c r="AT1176" s="1"/>
      <c r="AU1176" s="1"/>
    </row>
    <row r="1177">
      <c r="A1177" s="54"/>
      <c r="B1177" s="71"/>
      <c r="C1177" s="51"/>
      <c r="D1177" s="54"/>
      <c r="E1177" s="114"/>
      <c r="F1177" s="16"/>
      <c r="G1177" s="114"/>
      <c r="H1177" s="54"/>
      <c r="I1177" s="114"/>
      <c r="J1177" s="54"/>
      <c r="L1177" s="54"/>
      <c r="N1177" s="54"/>
      <c r="P1177" s="54"/>
      <c r="R1177" s="54"/>
      <c r="T1177" s="1"/>
      <c r="V1177" s="54"/>
      <c r="X1177" s="54"/>
      <c r="Z1177" s="54"/>
      <c r="AB1177" s="54"/>
      <c r="AD1177" s="54"/>
      <c r="AF1177" s="54"/>
      <c r="AH1177" s="54"/>
      <c r="AJ1177" s="54"/>
      <c r="AL1177" s="54"/>
      <c r="AO1177" s="54"/>
      <c r="AP1177" s="1"/>
      <c r="AQ1177" s="54"/>
      <c r="AR1177" s="171"/>
      <c r="AS1177" s="1"/>
      <c r="AT1177" s="1"/>
      <c r="AU1177" s="1"/>
    </row>
    <row r="1178">
      <c r="A1178" s="54"/>
      <c r="B1178" s="71"/>
      <c r="C1178" s="51"/>
      <c r="D1178" s="54"/>
      <c r="E1178" s="114"/>
      <c r="F1178" s="16"/>
      <c r="G1178" s="114"/>
      <c r="H1178" s="54"/>
      <c r="I1178" s="114"/>
      <c r="J1178" s="54"/>
      <c r="L1178" s="54"/>
      <c r="N1178" s="54"/>
      <c r="P1178" s="54"/>
      <c r="R1178" s="54"/>
      <c r="T1178" s="1"/>
      <c r="V1178" s="54"/>
      <c r="X1178" s="54"/>
      <c r="Z1178" s="54"/>
      <c r="AB1178" s="54"/>
      <c r="AD1178" s="54"/>
      <c r="AF1178" s="54"/>
      <c r="AH1178" s="54"/>
      <c r="AJ1178" s="54"/>
      <c r="AL1178" s="54"/>
      <c r="AO1178" s="54"/>
      <c r="AP1178" s="1"/>
      <c r="AQ1178" s="54"/>
      <c r="AR1178" s="171"/>
      <c r="AS1178" s="1"/>
      <c r="AT1178" s="1"/>
      <c r="AU1178" s="1"/>
    </row>
    <row r="1179">
      <c r="A1179" s="54"/>
      <c r="B1179" s="71"/>
      <c r="C1179" s="51"/>
      <c r="D1179" s="54"/>
      <c r="E1179" s="114"/>
      <c r="F1179" s="16"/>
      <c r="G1179" s="114"/>
      <c r="H1179" s="54"/>
      <c r="I1179" s="114"/>
      <c r="J1179" s="54"/>
      <c r="L1179" s="54"/>
      <c r="N1179" s="54"/>
      <c r="P1179" s="54"/>
      <c r="R1179" s="54"/>
      <c r="T1179" s="1"/>
      <c r="V1179" s="54"/>
      <c r="X1179" s="54"/>
      <c r="Z1179" s="54"/>
      <c r="AB1179" s="54"/>
      <c r="AD1179" s="54"/>
      <c r="AF1179" s="54"/>
      <c r="AH1179" s="54"/>
      <c r="AJ1179" s="54"/>
      <c r="AL1179" s="54"/>
      <c r="AO1179" s="54"/>
      <c r="AP1179" s="1"/>
      <c r="AQ1179" s="54"/>
      <c r="AR1179" s="171"/>
      <c r="AS1179" s="1"/>
      <c r="AT1179" s="1"/>
      <c r="AU1179" s="1"/>
    </row>
    <row r="1180">
      <c r="A1180" s="54"/>
      <c r="B1180" s="71"/>
      <c r="C1180" s="51"/>
      <c r="D1180" s="54"/>
      <c r="E1180" s="114"/>
      <c r="F1180" s="16"/>
      <c r="G1180" s="114"/>
      <c r="H1180" s="54"/>
      <c r="I1180" s="114"/>
      <c r="J1180" s="54"/>
      <c r="L1180" s="54"/>
      <c r="N1180" s="54"/>
      <c r="P1180" s="54"/>
      <c r="R1180" s="54"/>
      <c r="T1180" s="1"/>
      <c r="V1180" s="54"/>
      <c r="X1180" s="54"/>
      <c r="Z1180" s="54"/>
      <c r="AB1180" s="54"/>
      <c r="AD1180" s="54"/>
      <c r="AF1180" s="54"/>
      <c r="AH1180" s="54"/>
      <c r="AJ1180" s="54"/>
      <c r="AL1180" s="54"/>
      <c r="AO1180" s="54"/>
      <c r="AP1180" s="1"/>
      <c r="AQ1180" s="54"/>
      <c r="AR1180" s="171"/>
      <c r="AS1180" s="1"/>
      <c r="AT1180" s="1"/>
      <c r="AU1180" s="1"/>
    </row>
    <row r="1181">
      <c r="A1181" s="54"/>
      <c r="B1181" s="71"/>
      <c r="C1181" s="51"/>
      <c r="D1181" s="54"/>
      <c r="E1181" s="114"/>
      <c r="F1181" s="16"/>
      <c r="G1181" s="114"/>
      <c r="H1181" s="54"/>
      <c r="I1181" s="114"/>
      <c r="J1181" s="54"/>
      <c r="L1181" s="54"/>
      <c r="N1181" s="54"/>
      <c r="P1181" s="54"/>
      <c r="R1181" s="54"/>
      <c r="T1181" s="1"/>
      <c r="V1181" s="54"/>
      <c r="X1181" s="54"/>
      <c r="Z1181" s="54"/>
      <c r="AB1181" s="54"/>
      <c r="AD1181" s="54"/>
      <c r="AF1181" s="54"/>
      <c r="AH1181" s="54"/>
      <c r="AJ1181" s="54"/>
      <c r="AL1181" s="54"/>
      <c r="AO1181" s="54"/>
      <c r="AP1181" s="1"/>
      <c r="AQ1181" s="54"/>
      <c r="AR1181" s="171"/>
      <c r="AS1181" s="1"/>
      <c r="AT1181" s="1"/>
      <c r="AU1181" s="1"/>
    </row>
    <row r="1182">
      <c r="A1182" s="54"/>
      <c r="B1182" s="71"/>
      <c r="C1182" s="51"/>
      <c r="D1182" s="54"/>
      <c r="E1182" s="114"/>
      <c r="F1182" s="16"/>
      <c r="G1182" s="114"/>
      <c r="H1182" s="54"/>
      <c r="I1182" s="114"/>
      <c r="J1182" s="54"/>
      <c r="L1182" s="54"/>
      <c r="N1182" s="54"/>
      <c r="P1182" s="54"/>
      <c r="R1182" s="54"/>
      <c r="T1182" s="1"/>
      <c r="V1182" s="54"/>
      <c r="X1182" s="54"/>
      <c r="Z1182" s="54"/>
      <c r="AB1182" s="54"/>
      <c r="AD1182" s="54"/>
      <c r="AF1182" s="54"/>
      <c r="AH1182" s="54"/>
      <c r="AJ1182" s="54"/>
      <c r="AL1182" s="54"/>
      <c r="AO1182" s="54"/>
      <c r="AP1182" s="1"/>
      <c r="AQ1182" s="54"/>
      <c r="AR1182" s="171"/>
      <c r="AS1182" s="1"/>
      <c r="AT1182" s="1"/>
      <c r="AU1182" s="1"/>
    </row>
    <row r="1183">
      <c r="A1183" s="54"/>
      <c r="B1183" s="71"/>
      <c r="C1183" s="51"/>
      <c r="D1183" s="54"/>
      <c r="E1183" s="114"/>
      <c r="F1183" s="16"/>
      <c r="G1183" s="114"/>
      <c r="H1183" s="54"/>
      <c r="I1183" s="114"/>
      <c r="J1183" s="54"/>
      <c r="L1183" s="54"/>
      <c r="N1183" s="54"/>
      <c r="P1183" s="54"/>
      <c r="R1183" s="54"/>
      <c r="T1183" s="1"/>
      <c r="V1183" s="54"/>
      <c r="X1183" s="54"/>
      <c r="Z1183" s="54"/>
      <c r="AB1183" s="54"/>
      <c r="AD1183" s="54"/>
      <c r="AF1183" s="54"/>
      <c r="AH1183" s="54"/>
      <c r="AJ1183" s="54"/>
      <c r="AL1183" s="54"/>
      <c r="AO1183" s="54"/>
      <c r="AP1183" s="1"/>
      <c r="AQ1183" s="54"/>
      <c r="AR1183" s="171"/>
      <c r="AS1183" s="1"/>
      <c r="AT1183" s="1"/>
      <c r="AU1183" s="1"/>
    </row>
    <row r="1184">
      <c r="A1184" s="54"/>
      <c r="B1184" s="71"/>
      <c r="C1184" s="51"/>
      <c r="D1184" s="54"/>
      <c r="E1184" s="114"/>
      <c r="F1184" s="16"/>
      <c r="G1184" s="114"/>
      <c r="H1184" s="54"/>
      <c r="I1184" s="114"/>
      <c r="J1184" s="54"/>
      <c r="L1184" s="54"/>
      <c r="N1184" s="54"/>
      <c r="P1184" s="54"/>
      <c r="R1184" s="54"/>
      <c r="T1184" s="1"/>
      <c r="V1184" s="54"/>
      <c r="X1184" s="54"/>
      <c r="Z1184" s="54"/>
      <c r="AB1184" s="54"/>
      <c r="AD1184" s="54"/>
      <c r="AF1184" s="54"/>
      <c r="AH1184" s="54"/>
      <c r="AJ1184" s="54"/>
      <c r="AL1184" s="54"/>
      <c r="AO1184" s="54"/>
      <c r="AP1184" s="1"/>
      <c r="AQ1184" s="54"/>
      <c r="AR1184" s="171"/>
      <c r="AS1184" s="1"/>
      <c r="AT1184" s="1"/>
      <c r="AU1184" s="1"/>
    </row>
    <row r="1185">
      <c r="A1185" s="54"/>
      <c r="B1185" s="71"/>
      <c r="C1185" s="51"/>
      <c r="D1185" s="54"/>
      <c r="E1185" s="114"/>
      <c r="F1185" s="16"/>
      <c r="G1185" s="114"/>
      <c r="H1185" s="54"/>
      <c r="I1185" s="114"/>
      <c r="J1185" s="54"/>
      <c r="L1185" s="54"/>
      <c r="N1185" s="54"/>
      <c r="P1185" s="54"/>
      <c r="R1185" s="54"/>
      <c r="T1185" s="1"/>
      <c r="V1185" s="54"/>
      <c r="X1185" s="54"/>
      <c r="Z1185" s="54"/>
      <c r="AB1185" s="54"/>
      <c r="AD1185" s="54"/>
      <c r="AF1185" s="54"/>
      <c r="AH1185" s="54"/>
      <c r="AJ1185" s="54"/>
      <c r="AL1185" s="54"/>
      <c r="AO1185" s="54"/>
      <c r="AP1185" s="1"/>
      <c r="AQ1185" s="54"/>
      <c r="AR1185" s="171"/>
      <c r="AS1185" s="1"/>
      <c r="AT1185" s="1"/>
      <c r="AU1185" s="1"/>
    </row>
    <row r="1186">
      <c r="A1186" s="54"/>
      <c r="B1186" s="71"/>
      <c r="C1186" s="51"/>
      <c r="D1186" s="54"/>
      <c r="E1186" s="114"/>
      <c r="F1186" s="16"/>
      <c r="G1186" s="114"/>
      <c r="H1186" s="54"/>
      <c r="I1186" s="114"/>
      <c r="J1186" s="54"/>
      <c r="L1186" s="54"/>
      <c r="N1186" s="54"/>
      <c r="P1186" s="54"/>
      <c r="R1186" s="54"/>
      <c r="T1186" s="1"/>
      <c r="V1186" s="54"/>
      <c r="X1186" s="54"/>
      <c r="Z1186" s="54"/>
      <c r="AB1186" s="54"/>
      <c r="AD1186" s="54"/>
      <c r="AF1186" s="54"/>
      <c r="AH1186" s="54"/>
      <c r="AJ1186" s="54"/>
      <c r="AL1186" s="54"/>
      <c r="AO1186" s="54"/>
      <c r="AP1186" s="1"/>
      <c r="AQ1186" s="54"/>
      <c r="AR1186" s="171"/>
      <c r="AS1186" s="1"/>
      <c r="AT1186" s="1"/>
      <c r="AU1186" s="1"/>
    </row>
    <row r="1187">
      <c r="A1187" s="54"/>
      <c r="B1187" s="71"/>
      <c r="C1187" s="51"/>
      <c r="D1187" s="54"/>
      <c r="E1187" s="114"/>
      <c r="F1187" s="16"/>
      <c r="G1187" s="114"/>
      <c r="H1187" s="54"/>
      <c r="I1187" s="114"/>
      <c r="J1187" s="54"/>
      <c r="L1187" s="54"/>
      <c r="N1187" s="54"/>
      <c r="P1187" s="54"/>
      <c r="R1187" s="54"/>
      <c r="T1187" s="1"/>
      <c r="V1187" s="54"/>
      <c r="X1187" s="54"/>
      <c r="Z1187" s="54"/>
      <c r="AB1187" s="54"/>
      <c r="AD1187" s="54"/>
      <c r="AF1187" s="54"/>
      <c r="AH1187" s="54"/>
      <c r="AJ1187" s="54"/>
      <c r="AL1187" s="54"/>
      <c r="AO1187" s="54"/>
      <c r="AP1187" s="1"/>
      <c r="AQ1187" s="54"/>
      <c r="AR1187" s="171"/>
      <c r="AS1187" s="1"/>
      <c r="AT1187" s="1"/>
      <c r="AU1187" s="1"/>
    </row>
    <row r="1188">
      <c r="A1188" s="54"/>
      <c r="B1188" s="71"/>
      <c r="C1188" s="51"/>
      <c r="D1188" s="54"/>
      <c r="E1188" s="114"/>
      <c r="F1188" s="16"/>
      <c r="G1188" s="114"/>
      <c r="H1188" s="54"/>
      <c r="I1188" s="114"/>
      <c r="J1188" s="54"/>
      <c r="L1188" s="54"/>
      <c r="N1188" s="54"/>
      <c r="P1188" s="54"/>
      <c r="R1188" s="54"/>
      <c r="T1188" s="1"/>
      <c r="V1188" s="54"/>
      <c r="X1188" s="54"/>
      <c r="Z1188" s="54"/>
      <c r="AB1188" s="54"/>
      <c r="AD1188" s="54"/>
      <c r="AF1188" s="54"/>
      <c r="AH1188" s="54"/>
      <c r="AJ1188" s="54"/>
      <c r="AL1188" s="54"/>
      <c r="AO1188" s="54"/>
      <c r="AP1188" s="1"/>
      <c r="AQ1188" s="54"/>
      <c r="AR1188" s="171"/>
      <c r="AS1188" s="1"/>
      <c r="AT1188" s="1"/>
      <c r="AU1188" s="1"/>
    </row>
    <row r="1189">
      <c r="A1189" s="54"/>
      <c r="B1189" s="71"/>
      <c r="C1189" s="51"/>
      <c r="D1189" s="54"/>
      <c r="E1189" s="114"/>
      <c r="F1189" s="16"/>
      <c r="G1189" s="114"/>
      <c r="H1189" s="54"/>
      <c r="I1189" s="114"/>
      <c r="J1189" s="54"/>
      <c r="L1189" s="54"/>
      <c r="N1189" s="54"/>
      <c r="P1189" s="54"/>
      <c r="R1189" s="54"/>
      <c r="T1189" s="1"/>
      <c r="V1189" s="54"/>
      <c r="X1189" s="54"/>
      <c r="Z1189" s="54"/>
      <c r="AB1189" s="54"/>
      <c r="AD1189" s="54"/>
      <c r="AF1189" s="54"/>
      <c r="AH1189" s="54"/>
      <c r="AJ1189" s="54"/>
      <c r="AL1189" s="54"/>
      <c r="AO1189" s="54"/>
      <c r="AP1189" s="1"/>
      <c r="AQ1189" s="54"/>
      <c r="AR1189" s="171"/>
      <c r="AS1189" s="1"/>
      <c r="AT1189" s="1"/>
      <c r="AU1189" s="1"/>
    </row>
    <row r="1190">
      <c r="A1190" s="54"/>
      <c r="B1190" s="71"/>
      <c r="C1190" s="51"/>
      <c r="D1190" s="54"/>
      <c r="E1190" s="114"/>
      <c r="F1190" s="16"/>
      <c r="G1190" s="114"/>
      <c r="H1190" s="54"/>
      <c r="I1190" s="114"/>
      <c r="J1190" s="54"/>
      <c r="L1190" s="54"/>
      <c r="N1190" s="54"/>
      <c r="P1190" s="54"/>
      <c r="R1190" s="54"/>
      <c r="T1190" s="1"/>
      <c r="V1190" s="54"/>
      <c r="X1190" s="54"/>
      <c r="Z1190" s="54"/>
      <c r="AB1190" s="54"/>
      <c r="AD1190" s="54"/>
      <c r="AF1190" s="54"/>
      <c r="AH1190" s="54"/>
      <c r="AJ1190" s="54"/>
      <c r="AL1190" s="54"/>
      <c r="AO1190" s="54"/>
      <c r="AP1190" s="1"/>
      <c r="AQ1190" s="54"/>
      <c r="AR1190" s="171"/>
      <c r="AS1190" s="1"/>
      <c r="AT1190" s="1"/>
      <c r="AU1190" s="1"/>
    </row>
    <row r="1191">
      <c r="A1191" s="54"/>
      <c r="B1191" s="71"/>
      <c r="C1191" s="51"/>
      <c r="D1191" s="54"/>
      <c r="E1191" s="114"/>
      <c r="F1191" s="16"/>
      <c r="G1191" s="114"/>
      <c r="H1191" s="54"/>
      <c r="I1191" s="114"/>
      <c r="J1191" s="54"/>
      <c r="L1191" s="54"/>
      <c r="N1191" s="54"/>
      <c r="P1191" s="54"/>
      <c r="R1191" s="54"/>
      <c r="T1191" s="1"/>
      <c r="V1191" s="54"/>
      <c r="X1191" s="54"/>
      <c r="Z1191" s="54"/>
      <c r="AB1191" s="54"/>
      <c r="AD1191" s="54"/>
      <c r="AF1191" s="54"/>
      <c r="AH1191" s="54"/>
      <c r="AJ1191" s="54"/>
      <c r="AL1191" s="54"/>
      <c r="AO1191" s="54"/>
      <c r="AP1191" s="1"/>
      <c r="AQ1191" s="54"/>
      <c r="AR1191" s="171"/>
      <c r="AS1191" s="1"/>
      <c r="AT1191" s="1"/>
      <c r="AU1191" s="1"/>
    </row>
    <row r="1192">
      <c r="A1192" s="54"/>
      <c r="B1192" s="71"/>
      <c r="C1192" s="51"/>
      <c r="D1192" s="54"/>
      <c r="E1192" s="114"/>
      <c r="F1192" s="16"/>
      <c r="G1192" s="114"/>
      <c r="H1192" s="54"/>
      <c r="I1192" s="114"/>
      <c r="J1192" s="54"/>
      <c r="L1192" s="54"/>
      <c r="N1192" s="54"/>
      <c r="P1192" s="54"/>
      <c r="R1192" s="54"/>
      <c r="T1192" s="1"/>
      <c r="V1192" s="54"/>
      <c r="X1192" s="54"/>
      <c r="Z1192" s="54"/>
      <c r="AB1192" s="54"/>
      <c r="AD1192" s="54"/>
      <c r="AF1192" s="54"/>
      <c r="AH1192" s="54"/>
      <c r="AJ1192" s="54"/>
      <c r="AL1192" s="54"/>
      <c r="AO1192" s="54"/>
      <c r="AP1192" s="1"/>
      <c r="AQ1192" s="54"/>
      <c r="AR1192" s="171"/>
      <c r="AS1192" s="1"/>
      <c r="AT1192" s="1"/>
      <c r="AU1192" s="1"/>
    </row>
    <row r="1193">
      <c r="A1193" s="54"/>
      <c r="B1193" s="71"/>
      <c r="C1193" s="51"/>
      <c r="D1193" s="54"/>
      <c r="E1193" s="114"/>
      <c r="F1193" s="16"/>
      <c r="G1193" s="114"/>
      <c r="H1193" s="54"/>
      <c r="I1193" s="114"/>
      <c r="J1193" s="54"/>
      <c r="L1193" s="54"/>
      <c r="N1193" s="54"/>
      <c r="P1193" s="54"/>
      <c r="R1193" s="54"/>
      <c r="T1193" s="1"/>
      <c r="V1193" s="54"/>
      <c r="X1193" s="54"/>
      <c r="Z1193" s="54"/>
      <c r="AB1193" s="54"/>
      <c r="AD1193" s="54"/>
      <c r="AF1193" s="54"/>
      <c r="AH1193" s="54"/>
      <c r="AJ1193" s="54"/>
      <c r="AL1193" s="54"/>
      <c r="AO1193" s="54"/>
      <c r="AP1193" s="1"/>
      <c r="AQ1193" s="54"/>
      <c r="AR1193" s="171"/>
      <c r="AS1193" s="1"/>
      <c r="AT1193" s="1"/>
      <c r="AU1193" s="1"/>
    </row>
    <row r="1194">
      <c r="A1194" s="54"/>
      <c r="B1194" s="71"/>
      <c r="C1194" s="51"/>
      <c r="D1194" s="54"/>
      <c r="E1194" s="114"/>
      <c r="F1194" s="16"/>
      <c r="G1194" s="114"/>
      <c r="H1194" s="54"/>
      <c r="I1194" s="114"/>
      <c r="J1194" s="54"/>
      <c r="L1194" s="54"/>
      <c r="N1194" s="54"/>
      <c r="P1194" s="54"/>
      <c r="R1194" s="54"/>
      <c r="T1194" s="1"/>
      <c r="V1194" s="54"/>
      <c r="X1194" s="54"/>
      <c r="Z1194" s="54"/>
      <c r="AB1194" s="54"/>
      <c r="AD1194" s="54"/>
      <c r="AF1194" s="54"/>
      <c r="AH1194" s="54"/>
      <c r="AJ1194" s="54"/>
      <c r="AL1194" s="54"/>
      <c r="AO1194" s="54"/>
      <c r="AP1194" s="1"/>
      <c r="AQ1194" s="54"/>
      <c r="AR1194" s="171"/>
      <c r="AS1194" s="1"/>
      <c r="AT1194" s="1"/>
      <c r="AU1194" s="1"/>
    </row>
    <row r="1195">
      <c r="A1195" s="54"/>
      <c r="B1195" s="71"/>
      <c r="C1195" s="51"/>
      <c r="D1195" s="54"/>
      <c r="E1195" s="114"/>
      <c r="F1195" s="16"/>
      <c r="G1195" s="114"/>
      <c r="H1195" s="54"/>
      <c r="I1195" s="114"/>
      <c r="J1195" s="54"/>
      <c r="L1195" s="54"/>
      <c r="N1195" s="54"/>
      <c r="P1195" s="54"/>
      <c r="R1195" s="54"/>
      <c r="T1195" s="1"/>
      <c r="V1195" s="54"/>
      <c r="X1195" s="54"/>
      <c r="Z1195" s="54"/>
      <c r="AB1195" s="54"/>
      <c r="AD1195" s="54"/>
      <c r="AF1195" s="54"/>
      <c r="AH1195" s="54"/>
      <c r="AJ1195" s="54"/>
      <c r="AL1195" s="54"/>
      <c r="AO1195" s="54"/>
      <c r="AP1195" s="1"/>
      <c r="AQ1195" s="54"/>
      <c r="AR1195" s="171"/>
      <c r="AS1195" s="1"/>
      <c r="AT1195" s="1"/>
      <c r="AU1195" s="1"/>
    </row>
    <row r="1196">
      <c r="A1196" s="54"/>
      <c r="B1196" s="71"/>
      <c r="C1196" s="51"/>
      <c r="D1196" s="54"/>
      <c r="E1196" s="114"/>
      <c r="F1196" s="16"/>
      <c r="G1196" s="114"/>
      <c r="H1196" s="54"/>
      <c r="I1196" s="114"/>
      <c r="J1196" s="54"/>
      <c r="L1196" s="54"/>
      <c r="N1196" s="54"/>
      <c r="P1196" s="54"/>
      <c r="R1196" s="54"/>
      <c r="T1196" s="1"/>
      <c r="V1196" s="54"/>
      <c r="X1196" s="54"/>
      <c r="Z1196" s="54"/>
      <c r="AB1196" s="54"/>
      <c r="AD1196" s="54"/>
      <c r="AF1196" s="54"/>
      <c r="AH1196" s="54"/>
      <c r="AJ1196" s="54"/>
      <c r="AL1196" s="54"/>
      <c r="AO1196" s="54"/>
      <c r="AP1196" s="1"/>
      <c r="AQ1196" s="54"/>
      <c r="AR1196" s="171"/>
      <c r="AS1196" s="1"/>
      <c r="AT1196" s="1"/>
      <c r="AU1196" s="1"/>
    </row>
    <row r="1197">
      <c r="A1197" s="54"/>
      <c r="B1197" s="71"/>
      <c r="C1197" s="51"/>
      <c r="D1197" s="54"/>
      <c r="E1197" s="114"/>
      <c r="F1197" s="16"/>
      <c r="G1197" s="114"/>
      <c r="H1197" s="54"/>
      <c r="I1197" s="114"/>
      <c r="J1197" s="54"/>
      <c r="L1197" s="54"/>
      <c r="N1197" s="54"/>
      <c r="P1197" s="54"/>
      <c r="R1197" s="54"/>
      <c r="T1197" s="1"/>
      <c r="V1197" s="54"/>
      <c r="X1197" s="54"/>
      <c r="Z1197" s="54"/>
      <c r="AB1197" s="54"/>
      <c r="AD1197" s="54"/>
      <c r="AF1197" s="54"/>
      <c r="AH1197" s="54"/>
      <c r="AJ1197" s="54"/>
      <c r="AL1197" s="54"/>
      <c r="AO1197" s="54"/>
      <c r="AP1197" s="1"/>
      <c r="AQ1197" s="54"/>
      <c r="AR1197" s="171"/>
      <c r="AS1197" s="1"/>
      <c r="AT1197" s="1"/>
      <c r="AU1197" s="1"/>
    </row>
    <row r="1198">
      <c r="A1198" s="54"/>
      <c r="B1198" s="71"/>
      <c r="C1198" s="51"/>
      <c r="D1198" s="54"/>
      <c r="E1198" s="114"/>
      <c r="F1198" s="16"/>
      <c r="G1198" s="114"/>
      <c r="H1198" s="54"/>
      <c r="I1198" s="114"/>
      <c r="J1198" s="54"/>
      <c r="L1198" s="54"/>
      <c r="N1198" s="54"/>
      <c r="P1198" s="54"/>
      <c r="R1198" s="54"/>
      <c r="T1198" s="1"/>
      <c r="V1198" s="54"/>
      <c r="X1198" s="54"/>
      <c r="Z1198" s="54"/>
      <c r="AB1198" s="54"/>
      <c r="AD1198" s="54"/>
      <c r="AF1198" s="54"/>
      <c r="AH1198" s="54"/>
      <c r="AJ1198" s="54"/>
      <c r="AL1198" s="54"/>
      <c r="AO1198" s="54"/>
      <c r="AP1198" s="1"/>
      <c r="AQ1198" s="54"/>
      <c r="AR1198" s="171"/>
      <c r="AS1198" s="1"/>
      <c r="AT1198" s="1"/>
      <c r="AU1198" s="1"/>
    </row>
    <row r="1199">
      <c r="A1199" s="54"/>
      <c r="B1199" s="71"/>
      <c r="C1199" s="51"/>
      <c r="D1199" s="54"/>
      <c r="E1199" s="114"/>
      <c r="F1199" s="16"/>
      <c r="G1199" s="114"/>
      <c r="H1199" s="54"/>
      <c r="I1199" s="114"/>
      <c r="J1199" s="54"/>
      <c r="L1199" s="54"/>
      <c r="N1199" s="54"/>
      <c r="P1199" s="54"/>
      <c r="R1199" s="54"/>
      <c r="T1199" s="1"/>
      <c r="V1199" s="54"/>
      <c r="X1199" s="54"/>
      <c r="Z1199" s="54"/>
      <c r="AB1199" s="54"/>
      <c r="AD1199" s="54"/>
      <c r="AF1199" s="54"/>
      <c r="AH1199" s="54"/>
      <c r="AJ1199" s="54"/>
      <c r="AL1199" s="54"/>
      <c r="AO1199" s="54"/>
      <c r="AP1199" s="1"/>
      <c r="AQ1199" s="54"/>
      <c r="AR1199" s="171"/>
      <c r="AS1199" s="1"/>
      <c r="AT1199" s="1"/>
      <c r="AU1199" s="1"/>
    </row>
    <row r="1200">
      <c r="A1200" s="54"/>
      <c r="B1200" s="71"/>
      <c r="C1200" s="51"/>
      <c r="D1200" s="54"/>
      <c r="E1200" s="114"/>
      <c r="F1200" s="16"/>
      <c r="G1200" s="114"/>
      <c r="H1200" s="54"/>
      <c r="I1200" s="114"/>
      <c r="J1200" s="54"/>
      <c r="L1200" s="54"/>
      <c r="N1200" s="54"/>
      <c r="P1200" s="54"/>
      <c r="R1200" s="54"/>
      <c r="T1200" s="1"/>
      <c r="V1200" s="54"/>
      <c r="X1200" s="54"/>
      <c r="Z1200" s="54"/>
      <c r="AB1200" s="54"/>
      <c r="AD1200" s="54"/>
      <c r="AF1200" s="54"/>
      <c r="AH1200" s="54"/>
      <c r="AJ1200" s="54"/>
      <c r="AL1200" s="54"/>
      <c r="AO1200" s="54"/>
      <c r="AP1200" s="1"/>
      <c r="AQ1200" s="54"/>
      <c r="AR1200" s="171"/>
      <c r="AS1200" s="1"/>
      <c r="AT1200" s="1"/>
      <c r="AU1200" s="1"/>
    </row>
    <row r="1201">
      <c r="A1201" s="54"/>
      <c r="B1201" s="71"/>
      <c r="C1201" s="51"/>
      <c r="D1201" s="54"/>
      <c r="E1201" s="114"/>
      <c r="F1201" s="16"/>
      <c r="G1201" s="114"/>
      <c r="H1201" s="54"/>
      <c r="I1201" s="114"/>
      <c r="J1201" s="54"/>
      <c r="L1201" s="54"/>
      <c r="N1201" s="54"/>
      <c r="P1201" s="54"/>
      <c r="R1201" s="54"/>
      <c r="T1201" s="1"/>
      <c r="V1201" s="54"/>
      <c r="X1201" s="54"/>
      <c r="Z1201" s="54"/>
      <c r="AB1201" s="54"/>
      <c r="AD1201" s="54"/>
      <c r="AF1201" s="54"/>
      <c r="AH1201" s="54"/>
      <c r="AJ1201" s="54"/>
      <c r="AL1201" s="54"/>
      <c r="AO1201" s="54"/>
      <c r="AP1201" s="1"/>
      <c r="AQ1201" s="54"/>
      <c r="AR1201" s="171"/>
      <c r="AS1201" s="1"/>
      <c r="AT1201" s="1"/>
      <c r="AU1201" s="1"/>
    </row>
    <row r="1202">
      <c r="A1202" s="54"/>
      <c r="B1202" s="71"/>
      <c r="C1202" s="51"/>
      <c r="D1202" s="54"/>
      <c r="E1202" s="114"/>
      <c r="F1202" s="16"/>
      <c r="G1202" s="114"/>
      <c r="H1202" s="54"/>
      <c r="I1202" s="114"/>
      <c r="J1202" s="54"/>
      <c r="L1202" s="54"/>
      <c r="N1202" s="54"/>
      <c r="P1202" s="54"/>
      <c r="R1202" s="54"/>
      <c r="T1202" s="1"/>
      <c r="V1202" s="54"/>
      <c r="X1202" s="54"/>
      <c r="Z1202" s="54"/>
      <c r="AB1202" s="54"/>
      <c r="AD1202" s="54"/>
      <c r="AF1202" s="54"/>
      <c r="AH1202" s="54"/>
      <c r="AJ1202" s="54"/>
      <c r="AL1202" s="54"/>
      <c r="AO1202" s="54"/>
      <c r="AP1202" s="1"/>
      <c r="AQ1202" s="54"/>
      <c r="AR1202" s="171"/>
      <c r="AS1202" s="1"/>
      <c r="AT1202" s="1"/>
      <c r="AU1202" s="1"/>
    </row>
    <row r="1203">
      <c r="A1203" s="54"/>
      <c r="B1203" s="71"/>
      <c r="C1203" s="51"/>
      <c r="D1203" s="54"/>
      <c r="E1203" s="114"/>
      <c r="F1203" s="16"/>
      <c r="G1203" s="114"/>
      <c r="H1203" s="54"/>
      <c r="I1203" s="114"/>
      <c r="J1203" s="54"/>
      <c r="L1203" s="54"/>
      <c r="N1203" s="54"/>
      <c r="P1203" s="54"/>
      <c r="R1203" s="54"/>
      <c r="T1203" s="1"/>
      <c r="V1203" s="54"/>
      <c r="X1203" s="54"/>
      <c r="Z1203" s="54"/>
      <c r="AB1203" s="54"/>
      <c r="AD1203" s="54"/>
      <c r="AF1203" s="54"/>
      <c r="AH1203" s="54"/>
      <c r="AJ1203" s="54"/>
      <c r="AL1203" s="54"/>
      <c r="AO1203" s="54"/>
      <c r="AP1203" s="1"/>
      <c r="AQ1203" s="54"/>
      <c r="AR1203" s="171"/>
      <c r="AS1203" s="1"/>
      <c r="AT1203" s="1"/>
      <c r="AU1203" s="1"/>
    </row>
    <row r="1204">
      <c r="A1204" s="54"/>
      <c r="B1204" s="71"/>
      <c r="C1204" s="51"/>
      <c r="D1204" s="54"/>
      <c r="E1204" s="114"/>
      <c r="F1204" s="16"/>
      <c r="G1204" s="114"/>
      <c r="H1204" s="54"/>
      <c r="I1204" s="114"/>
      <c r="J1204" s="54"/>
      <c r="L1204" s="54"/>
      <c r="N1204" s="54"/>
      <c r="P1204" s="54"/>
      <c r="R1204" s="54"/>
      <c r="T1204" s="1"/>
      <c r="V1204" s="54"/>
      <c r="X1204" s="54"/>
      <c r="Z1204" s="54"/>
      <c r="AB1204" s="54"/>
      <c r="AD1204" s="54"/>
      <c r="AF1204" s="54"/>
      <c r="AH1204" s="54"/>
      <c r="AJ1204" s="54"/>
      <c r="AL1204" s="54"/>
      <c r="AO1204" s="54"/>
      <c r="AP1204" s="1"/>
      <c r="AQ1204" s="54"/>
      <c r="AR1204" s="171"/>
      <c r="AS1204" s="1"/>
      <c r="AT1204" s="1"/>
      <c r="AU1204" s="1"/>
    </row>
    <row r="1205">
      <c r="A1205" s="54"/>
      <c r="B1205" s="71"/>
      <c r="C1205" s="51"/>
      <c r="D1205" s="54"/>
      <c r="E1205" s="114"/>
      <c r="F1205" s="16"/>
      <c r="G1205" s="114"/>
      <c r="H1205" s="54"/>
      <c r="I1205" s="114"/>
      <c r="J1205" s="54"/>
      <c r="L1205" s="54"/>
      <c r="N1205" s="54"/>
      <c r="P1205" s="54"/>
      <c r="R1205" s="54"/>
      <c r="T1205" s="1"/>
      <c r="V1205" s="54"/>
      <c r="X1205" s="54"/>
      <c r="Z1205" s="54"/>
      <c r="AB1205" s="54"/>
      <c r="AD1205" s="54"/>
      <c r="AF1205" s="54"/>
      <c r="AH1205" s="54"/>
      <c r="AJ1205" s="54"/>
      <c r="AL1205" s="54"/>
      <c r="AO1205" s="54"/>
      <c r="AP1205" s="1"/>
      <c r="AQ1205" s="54"/>
      <c r="AR1205" s="171"/>
      <c r="AS1205" s="1"/>
      <c r="AT1205" s="1"/>
      <c r="AU1205" s="1"/>
    </row>
    <row r="1206">
      <c r="A1206" s="54"/>
      <c r="B1206" s="71"/>
      <c r="C1206" s="51"/>
      <c r="D1206" s="54"/>
      <c r="E1206" s="114"/>
      <c r="F1206" s="16"/>
      <c r="G1206" s="114"/>
      <c r="H1206" s="54"/>
      <c r="I1206" s="114"/>
      <c r="J1206" s="54"/>
      <c r="L1206" s="54"/>
      <c r="N1206" s="54"/>
      <c r="P1206" s="54"/>
      <c r="R1206" s="54"/>
      <c r="T1206" s="1"/>
      <c r="V1206" s="54"/>
      <c r="X1206" s="54"/>
      <c r="Z1206" s="54"/>
      <c r="AB1206" s="54"/>
      <c r="AD1206" s="54"/>
      <c r="AF1206" s="54"/>
      <c r="AH1206" s="54"/>
      <c r="AJ1206" s="54"/>
      <c r="AL1206" s="54"/>
      <c r="AO1206" s="54"/>
      <c r="AP1206" s="1"/>
      <c r="AQ1206" s="54"/>
      <c r="AR1206" s="171"/>
      <c r="AS1206" s="1"/>
      <c r="AT1206" s="1"/>
      <c r="AU1206" s="1"/>
    </row>
    <row r="1207">
      <c r="A1207" s="54"/>
      <c r="B1207" s="71"/>
      <c r="C1207" s="51"/>
      <c r="D1207" s="54"/>
      <c r="E1207" s="114"/>
      <c r="F1207" s="16"/>
      <c r="G1207" s="114"/>
      <c r="H1207" s="54"/>
      <c r="I1207" s="114"/>
      <c r="J1207" s="54"/>
      <c r="L1207" s="54"/>
      <c r="N1207" s="54"/>
      <c r="P1207" s="54"/>
      <c r="R1207" s="54"/>
      <c r="T1207" s="1"/>
      <c r="V1207" s="54"/>
      <c r="X1207" s="54"/>
      <c r="Z1207" s="54"/>
      <c r="AB1207" s="54"/>
      <c r="AD1207" s="54"/>
      <c r="AF1207" s="54"/>
      <c r="AH1207" s="54"/>
      <c r="AJ1207" s="54"/>
      <c r="AL1207" s="54"/>
      <c r="AO1207" s="54"/>
      <c r="AP1207" s="1"/>
      <c r="AQ1207" s="54"/>
      <c r="AR1207" s="171"/>
      <c r="AS1207" s="1"/>
      <c r="AT1207" s="1"/>
      <c r="AU1207" s="1"/>
    </row>
    <row r="1208">
      <c r="A1208" s="54"/>
      <c r="B1208" s="71"/>
      <c r="C1208" s="51"/>
      <c r="D1208" s="54"/>
      <c r="E1208" s="114"/>
      <c r="F1208" s="16"/>
      <c r="G1208" s="114"/>
      <c r="H1208" s="54"/>
      <c r="I1208" s="114"/>
      <c r="J1208" s="54"/>
      <c r="L1208" s="54"/>
      <c r="N1208" s="54"/>
      <c r="P1208" s="54"/>
      <c r="R1208" s="54"/>
      <c r="T1208" s="1"/>
      <c r="V1208" s="54"/>
      <c r="X1208" s="54"/>
      <c r="Z1208" s="54"/>
      <c r="AB1208" s="54"/>
      <c r="AD1208" s="54"/>
      <c r="AF1208" s="54"/>
      <c r="AH1208" s="54"/>
      <c r="AJ1208" s="54"/>
      <c r="AL1208" s="54"/>
      <c r="AO1208" s="54"/>
      <c r="AP1208" s="1"/>
      <c r="AQ1208" s="54"/>
      <c r="AR1208" s="171"/>
      <c r="AS1208" s="1"/>
      <c r="AT1208" s="1"/>
      <c r="AU1208" s="1"/>
    </row>
    <row r="1209">
      <c r="A1209" s="54"/>
      <c r="B1209" s="71"/>
      <c r="C1209" s="51"/>
      <c r="D1209" s="54"/>
      <c r="E1209" s="114"/>
      <c r="F1209" s="16"/>
      <c r="G1209" s="114"/>
      <c r="H1209" s="54"/>
      <c r="I1209" s="114"/>
      <c r="J1209" s="54"/>
      <c r="L1209" s="54"/>
      <c r="N1209" s="54"/>
      <c r="P1209" s="54"/>
      <c r="R1209" s="54"/>
      <c r="T1209" s="1"/>
      <c r="V1209" s="54"/>
      <c r="X1209" s="54"/>
      <c r="Z1209" s="54"/>
      <c r="AB1209" s="54"/>
      <c r="AD1209" s="54"/>
      <c r="AF1209" s="54"/>
      <c r="AH1209" s="54"/>
      <c r="AJ1209" s="54"/>
      <c r="AL1209" s="54"/>
      <c r="AO1209" s="54"/>
      <c r="AP1209" s="1"/>
      <c r="AQ1209" s="54"/>
      <c r="AR1209" s="171"/>
      <c r="AS1209" s="1"/>
      <c r="AT1209" s="1"/>
      <c r="AU1209" s="1"/>
    </row>
    <row r="1210">
      <c r="A1210" s="54"/>
      <c r="B1210" s="71"/>
      <c r="C1210" s="51"/>
      <c r="D1210" s="54"/>
      <c r="E1210" s="114"/>
      <c r="F1210" s="16"/>
      <c r="G1210" s="114"/>
      <c r="H1210" s="54"/>
      <c r="I1210" s="114"/>
      <c r="J1210" s="54"/>
      <c r="L1210" s="54"/>
      <c r="N1210" s="54"/>
      <c r="P1210" s="54"/>
      <c r="R1210" s="54"/>
      <c r="T1210" s="1"/>
      <c r="V1210" s="54"/>
      <c r="X1210" s="54"/>
      <c r="Z1210" s="54"/>
      <c r="AB1210" s="54"/>
      <c r="AD1210" s="54"/>
      <c r="AF1210" s="54"/>
      <c r="AH1210" s="54"/>
      <c r="AJ1210" s="54"/>
      <c r="AL1210" s="54"/>
      <c r="AO1210" s="54"/>
      <c r="AP1210" s="1"/>
      <c r="AQ1210" s="54"/>
      <c r="AR1210" s="171"/>
      <c r="AS1210" s="1"/>
      <c r="AT1210" s="1"/>
      <c r="AU1210" s="1"/>
    </row>
    <row r="1211">
      <c r="A1211" s="54"/>
      <c r="B1211" s="71"/>
      <c r="C1211" s="51"/>
      <c r="D1211" s="54"/>
      <c r="E1211" s="114"/>
      <c r="F1211" s="16"/>
      <c r="G1211" s="114"/>
      <c r="H1211" s="54"/>
      <c r="I1211" s="114"/>
      <c r="J1211" s="54"/>
      <c r="L1211" s="54"/>
      <c r="N1211" s="54"/>
      <c r="P1211" s="54"/>
      <c r="R1211" s="54"/>
      <c r="T1211" s="1"/>
      <c r="V1211" s="54"/>
      <c r="X1211" s="54"/>
      <c r="Z1211" s="54"/>
      <c r="AB1211" s="54"/>
      <c r="AD1211" s="54"/>
      <c r="AF1211" s="54"/>
      <c r="AH1211" s="54"/>
      <c r="AJ1211" s="54"/>
      <c r="AL1211" s="54"/>
      <c r="AO1211" s="54"/>
      <c r="AP1211" s="1"/>
      <c r="AQ1211" s="54"/>
      <c r="AR1211" s="171"/>
      <c r="AS1211" s="1"/>
      <c r="AT1211" s="1"/>
      <c r="AU1211" s="1"/>
    </row>
    <row r="1212">
      <c r="A1212" s="54"/>
      <c r="B1212" s="71"/>
      <c r="C1212" s="51"/>
      <c r="D1212" s="54"/>
      <c r="E1212" s="114"/>
      <c r="F1212" s="16"/>
      <c r="G1212" s="114"/>
      <c r="H1212" s="54"/>
      <c r="I1212" s="114"/>
      <c r="J1212" s="54"/>
      <c r="L1212" s="54"/>
      <c r="N1212" s="54"/>
      <c r="P1212" s="54"/>
      <c r="R1212" s="54"/>
      <c r="T1212" s="1"/>
      <c r="V1212" s="54"/>
      <c r="X1212" s="54"/>
      <c r="Z1212" s="54"/>
      <c r="AB1212" s="54"/>
      <c r="AD1212" s="54"/>
      <c r="AF1212" s="54"/>
      <c r="AH1212" s="54"/>
      <c r="AJ1212" s="54"/>
      <c r="AL1212" s="54"/>
      <c r="AO1212" s="54"/>
      <c r="AP1212" s="1"/>
      <c r="AQ1212" s="54"/>
      <c r="AR1212" s="171"/>
      <c r="AS1212" s="1"/>
      <c r="AT1212" s="1"/>
      <c r="AU1212" s="1"/>
    </row>
    <row r="1213">
      <c r="A1213" s="54"/>
      <c r="B1213" s="71"/>
      <c r="C1213" s="51"/>
      <c r="D1213" s="54"/>
      <c r="E1213" s="114"/>
      <c r="F1213" s="16"/>
      <c r="G1213" s="114"/>
      <c r="H1213" s="54"/>
      <c r="I1213" s="114"/>
      <c r="J1213" s="54"/>
      <c r="L1213" s="54"/>
      <c r="N1213" s="54"/>
      <c r="P1213" s="54"/>
      <c r="R1213" s="54"/>
      <c r="T1213" s="1"/>
      <c r="V1213" s="54"/>
      <c r="X1213" s="54"/>
      <c r="Z1213" s="54"/>
      <c r="AB1213" s="54"/>
      <c r="AD1213" s="54"/>
      <c r="AF1213" s="54"/>
      <c r="AH1213" s="54"/>
      <c r="AJ1213" s="54"/>
      <c r="AL1213" s="54"/>
      <c r="AO1213" s="54"/>
      <c r="AP1213" s="1"/>
      <c r="AQ1213" s="54"/>
      <c r="AR1213" s="171"/>
      <c r="AS1213" s="1"/>
      <c r="AT1213" s="1"/>
      <c r="AU1213" s="1"/>
    </row>
    <row r="1214">
      <c r="A1214" s="54"/>
      <c r="B1214" s="71"/>
      <c r="C1214" s="51"/>
      <c r="D1214" s="54"/>
      <c r="E1214" s="114"/>
      <c r="F1214" s="16"/>
      <c r="G1214" s="114"/>
      <c r="H1214" s="54"/>
      <c r="I1214" s="114"/>
      <c r="J1214" s="54"/>
      <c r="L1214" s="54"/>
      <c r="N1214" s="54"/>
      <c r="P1214" s="54"/>
      <c r="R1214" s="54"/>
      <c r="T1214" s="1"/>
      <c r="V1214" s="54"/>
      <c r="X1214" s="54"/>
      <c r="Z1214" s="54"/>
      <c r="AB1214" s="54"/>
      <c r="AD1214" s="54"/>
      <c r="AF1214" s="54"/>
      <c r="AH1214" s="54"/>
      <c r="AJ1214" s="54"/>
      <c r="AL1214" s="54"/>
      <c r="AO1214" s="54"/>
      <c r="AP1214" s="1"/>
      <c r="AQ1214" s="54"/>
      <c r="AR1214" s="171"/>
      <c r="AS1214" s="1"/>
      <c r="AT1214" s="1"/>
      <c r="AU1214" s="1"/>
    </row>
    <row r="1215">
      <c r="A1215" s="54"/>
      <c r="B1215" s="71"/>
      <c r="C1215" s="51"/>
      <c r="D1215" s="54"/>
      <c r="E1215" s="114"/>
      <c r="F1215" s="16"/>
      <c r="G1215" s="114"/>
      <c r="H1215" s="54"/>
      <c r="I1215" s="114"/>
      <c r="J1215" s="54"/>
      <c r="L1215" s="54"/>
      <c r="N1215" s="54"/>
      <c r="P1215" s="54"/>
      <c r="R1215" s="54"/>
      <c r="T1215" s="1"/>
      <c r="V1215" s="54"/>
      <c r="X1215" s="54"/>
      <c r="Z1215" s="54"/>
      <c r="AB1215" s="54"/>
      <c r="AD1215" s="54"/>
      <c r="AF1215" s="54"/>
      <c r="AH1215" s="54"/>
      <c r="AJ1215" s="54"/>
      <c r="AL1215" s="54"/>
      <c r="AO1215" s="54"/>
      <c r="AP1215" s="1"/>
      <c r="AQ1215" s="54"/>
      <c r="AR1215" s="171"/>
      <c r="AS1215" s="1"/>
      <c r="AT1215" s="1"/>
      <c r="AU1215" s="1"/>
    </row>
    <row r="1216">
      <c r="A1216" s="54"/>
      <c r="B1216" s="71"/>
      <c r="C1216" s="51"/>
      <c r="D1216" s="54"/>
      <c r="E1216" s="114"/>
      <c r="F1216" s="16"/>
      <c r="G1216" s="114"/>
      <c r="H1216" s="54"/>
      <c r="I1216" s="114"/>
      <c r="J1216" s="54"/>
      <c r="L1216" s="54"/>
      <c r="N1216" s="54"/>
      <c r="P1216" s="54"/>
      <c r="R1216" s="54"/>
      <c r="T1216" s="1"/>
      <c r="V1216" s="54"/>
      <c r="X1216" s="54"/>
      <c r="Z1216" s="54"/>
      <c r="AB1216" s="54"/>
      <c r="AD1216" s="54"/>
      <c r="AF1216" s="54"/>
      <c r="AH1216" s="54"/>
      <c r="AJ1216" s="54"/>
      <c r="AL1216" s="54"/>
      <c r="AO1216" s="54"/>
      <c r="AP1216" s="1"/>
      <c r="AQ1216" s="54"/>
      <c r="AR1216" s="171"/>
      <c r="AS1216" s="1"/>
      <c r="AT1216" s="1"/>
      <c r="AU1216" s="1"/>
    </row>
    <row r="1217">
      <c r="A1217" s="54"/>
      <c r="B1217" s="71"/>
      <c r="C1217" s="51"/>
      <c r="D1217" s="54"/>
      <c r="E1217" s="114"/>
      <c r="F1217" s="16"/>
      <c r="G1217" s="114"/>
      <c r="H1217" s="54"/>
      <c r="I1217" s="114"/>
      <c r="J1217" s="54"/>
      <c r="L1217" s="54"/>
      <c r="N1217" s="54"/>
      <c r="P1217" s="54"/>
      <c r="R1217" s="54"/>
      <c r="T1217" s="1"/>
      <c r="V1217" s="54"/>
      <c r="X1217" s="54"/>
      <c r="Z1217" s="54"/>
      <c r="AB1217" s="54"/>
      <c r="AD1217" s="54"/>
      <c r="AF1217" s="54"/>
      <c r="AH1217" s="54"/>
      <c r="AJ1217" s="54"/>
      <c r="AL1217" s="54"/>
      <c r="AO1217" s="54"/>
      <c r="AP1217" s="1"/>
      <c r="AQ1217" s="54"/>
      <c r="AR1217" s="171"/>
      <c r="AS1217" s="1"/>
      <c r="AT1217" s="1"/>
      <c r="AU1217" s="1"/>
    </row>
    <row r="1218">
      <c r="A1218" s="54"/>
      <c r="B1218" s="71"/>
      <c r="C1218" s="51"/>
      <c r="D1218" s="54"/>
      <c r="E1218" s="114"/>
      <c r="F1218" s="16"/>
      <c r="G1218" s="114"/>
      <c r="H1218" s="54"/>
      <c r="I1218" s="114"/>
      <c r="J1218" s="54"/>
      <c r="L1218" s="54"/>
      <c r="N1218" s="54"/>
      <c r="P1218" s="54"/>
      <c r="R1218" s="54"/>
      <c r="T1218" s="1"/>
      <c r="V1218" s="54"/>
      <c r="X1218" s="54"/>
      <c r="Z1218" s="54"/>
      <c r="AB1218" s="54"/>
      <c r="AD1218" s="54"/>
      <c r="AF1218" s="54"/>
      <c r="AH1218" s="54"/>
      <c r="AJ1218" s="54"/>
      <c r="AL1218" s="54"/>
      <c r="AO1218" s="54"/>
      <c r="AP1218" s="1"/>
      <c r="AQ1218" s="54"/>
      <c r="AR1218" s="171"/>
      <c r="AS1218" s="1"/>
      <c r="AT1218" s="1"/>
      <c r="AU1218" s="1"/>
    </row>
    <row r="1219">
      <c r="A1219" s="54"/>
      <c r="B1219" s="71"/>
      <c r="C1219" s="51"/>
      <c r="D1219" s="54"/>
      <c r="E1219" s="114"/>
      <c r="F1219" s="16"/>
      <c r="G1219" s="114"/>
      <c r="H1219" s="54"/>
      <c r="I1219" s="114"/>
      <c r="J1219" s="54"/>
      <c r="L1219" s="54"/>
      <c r="N1219" s="54"/>
      <c r="P1219" s="54"/>
      <c r="R1219" s="54"/>
      <c r="T1219" s="1"/>
      <c r="V1219" s="54"/>
      <c r="X1219" s="54"/>
      <c r="Z1219" s="54"/>
      <c r="AB1219" s="54"/>
      <c r="AD1219" s="54"/>
      <c r="AF1219" s="54"/>
      <c r="AH1219" s="54"/>
      <c r="AJ1219" s="54"/>
      <c r="AL1219" s="54"/>
      <c r="AO1219" s="54"/>
      <c r="AP1219" s="1"/>
      <c r="AQ1219" s="54"/>
      <c r="AR1219" s="171"/>
      <c r="AS1219" s="1"/>
      <c r="AT1219" s="1"/>
      <c r="AU1219" s="1"/>
    </row>
    <row r="1220">
      <c r="A1220" s="54"/>
      <c r="B1220" s="71"/>
      <c r="C1220" s="51"/>
      <c r="D1220" s="54"/>
      <c r="E1220" s="114"/>
      <c r="F1220" s="16"/>
      <c r="G1220" s="114"/>
      <c r="H1220" s="54"/>
      <c r="I1220" s="114"/>
      <c r="J1220" s="54"/>
      <c r="L1220" s="54"/>
      <c r="N1220" s="54"/>
      <c r="P1220" s="54"/>
      <c r="R1220" s="54"/>
      <c r="T1220" s="1"/>
      <c r="V1220" s="54"/>
      <c r="X1220" s="54"/>
      <c r="Z1220" s="54"/>
      <c r="AB1220" s="54"/>
      <c r="AD1220" s="54"/>
      <c r="AF1220" s="54"/>
      <c r="AH1220" s="54"/>
      <c r="AJ1220" s="54"/>
      <c r="AL1220" s="54"/>
      <c r="AO1220" s="54"/>
      <c r="AP1220" s="1"/>
      <c r="AQ1220" s="54"/>
      <c r="AR1220" s="171"/>
      <c r="AS1220" s="1"/>
      <c r="AT1220" s="1"/>
      <c r="AU1220" s="1"/>
    </row>
    <row r="1221">
      <c r="A1221" s="54"/>
      <c r="B1221" s="71"/>
      <c r="C1221" s="51"/>
      <c r="D1221" s="54"/>
      <c r="E1221" s="114"/>
      <c r="F1221" s="16"/>
      <c r="G1221" s="114"/>
      <c r="H1221" s="54"/>
      <c r="I1221" s="114"/>
      <c r="J1221" s="54"/>
      <c r="L1221" s="54"/>
      <c r="N1221" s="54"/>
      <c r="P1221" s="54"/>
      <c r="R1221" s="54"/>
      <c r="T1221" s="1"/>
      <c r="V1221" s="54"/>
      <c r="X1221" s="54"/>
      <c r="Z1221" s="54"/>
      <c r="AB1221" s="54"/>
      <c r="AD1221" s="54"/>
      <c r="AF1221" s="54"/>
      <c r="AH1221" s="54"/>
      <c r="AJ1221" s="54"/>
      <c r="AL1221" s="54"/>
      <c r="AO1221" s="54"/>
      <c r="AP1221" s="1"/>
      <c r="AQ1221" s="54"/>
      <c r="AR1221" s="171"/>
      <c r="AS1221" s="1"/>
      <c r="AT1221" s="1"/>
      <c r="AU1221" s="1"/>
    </row>
    <row r="1222">
      <c r="A1222" s="54"/>
      <c r="B1222" s="71"/>
      <c r="C1222" s="51"/>
      <c r="D1222" s="54"/>
      <c r="E1222" s="114"/>
      <c r="F1222" s="16"/>
      <c r="G1222" s="114"/>
      <c r="H1222" s="54"/>
      <c r="I1222" s="114"/>
      <c r="J1222" s="54"/>
      <c r="L1222" s="54"/>
      <c r="N1222" s="54"/>
      <c r="P1222" s="54"/>
      <c r="R1222" s="54"/>
      <c r="T1222" s="1"/>
      <c r="V1222" s="54"/>
      <c r="X1222" s="54"/>
      <c r="Z1222" s="54"/>
      <c r="AB1222" s="54"/>
      <c r="AD1222" s="54"/>
      <c r="AF1222" s="54"/>
      <c r="AH1222" s="54"/>
      <c r="AJ1222" s="54"/>
      <c r="AL1222" s="54"/>
      <c r="AO1222" s="54"/>
      <c r="AP1222" s="1"/>
      <c r="AQ1222" s="54"/>
      <c r="AR1222" s="171"/>
      <c r="AS1222" s="1"/>
      <c r="AT1222" s="1"/>
      <c r="AU1222" s="1"/>
    </row>
    <row r="1223">
      <c r="A1223" s="54"/>
      <c r="B1223" s="71"/>
      <c r="C1223" s="51"/>
      <c r="D1223" s="54"/>
      <c r="E1223" s="114"/>
      <c r="F1223" s="16"/>
      <c r="G1223" s="114"/>
      <c r="H1223" s="54"/>
      <c r="I1223" s="114"/>
      <c r="J1223" s="54"/>
      <c r="L1223" s="54"/>
      <c r="N1223" s="54"/>
      <c r="P1223" s="54"/>
      <c r="R1223" s="54"/>
      <c r="T1223" s="1"/>
      <c r="V1223" s="54"/>
      <c r="X1223" s="54"/>
      <c r="Z1223" s="54"/>
      <c r="AB1223" s="54"/>
      <c r="AD1223" s="54"/>
      <c r="AF1223" s="54"/>
      <c r="AH1223" s="54"/>
      <c r="AJ1223" s="54"/>
      <c r="AL1223" s="54"/>
      <c r="AO1223" s="54"/>
      <c r="AP1223" s="1"/>
      <c r="AQ1223" s="54"/>
      <c r="AR1223" s="171"/>
      <c r="AS1223" s="1"/>
      <c r="AT1223" s="1"/>
      <c r="AU1223" s="1"/>
    </row>
    <row r="1224">
      <c r="A1224" s="54"/>
      <c r="B1224" s="71"/>
      <c r="C1224" s="51"/>
      <c r="D1224" s="54"/>
      <c r="E1224" s="114"/>
      <c r="F1224" s="16"/>
      <c r="G1224" s="114"/>
      <c r="H1224" s="54"/>
      <c r="I1224" s="114"/>
      <c r="J1224" s="54"/>
      <c r="L1224" s="54"/>
      <c r="N1224" s="54"/>
      <c r="P1224" s="54"/>
      <c r="R1224" s="54"/>
      <c r="T1224" s="1"/>
      <c r="V1224" s="54"/>
      <c r="X1224" s="54"/>
      <c r="Z1224" s="54"/>
      <c r="AB1224" s="54"/>
      <c r="AD1224" s="54"/>
      <c r="AF1224" s="54"/>
      <c r="AH1224" s="54"/>
      <c r="AJ1224" s="54"/>
      <c r="AL1224" s="54"/>
      <c r="AO1224" s="54"/>
      <c r="AP1224" s="1"/>
      <c r="AQ1224" s="54"/>
      <c r="AR1224" s="171"/>
      <c r="AS1224" s="1"/>
      <c r="AT1224" s="1"/>
      <c r="AU1224" s="1"/>
    </row>
    <row r="1225">
      <c r="A1225" s="54"/>
      <c r="B1225" s="71"/>
      <c r="C1225" s="51"/>
      <c r="D1225" s="54"/>
      <c r="E1225" s="114"/>
      <c r="F1225" s="16"/>
      <c r="G1225" s="114"/>
      <c r="H1225" s="54"/>
      <c r="I1225" s="114"/>
      <c r="J1225" s="54"/>
      <c r="L1225" s="54"/>
      <c r="N1225" s="54"/>
      <c r="P1225" s="54"/>
      <c r="R1225" s="54"/>
      <c r="T1225" s="1"/>
      <c r="V1225" s="54"/>
      <c r="X1225" s="54"/>
      <c r="Z1225" s="54"/>
      <c r="AB1225" s="54"/>
      <c r="AD1225" s="54"/>
      <c r="AF1225" s="54"/>
      <c r="AH1225" s="54"/>
      <c r="AJ1225" s="54"/>
      <c r="AL1225" s="54"/>
      <c r="AO1225" s="54"/>
      <c r="AP1225" s="1"/>
      <c r="AQ1225" s="54"/>
      <c r="AR1225" s="171"/>
      <c r="AS1225" s="1"/>
      <c r="AT1225" s="1"/>
      <c r="AU1225" s="1"/>
    </row>
    <row r="1226">
      <c r="A1226" s="54"/>
      <c r="B1226" s="71"/>
      <c r="C1226" s="51"/>
      <c r="D1226" s="54"/>
      <c r="E1226" s="114"/>
      <c r="F1226" s="16"/>
      <c r="G1226" s="114"/>
      <c r="H1226" s="54"/>
      <c r="I1226" s="114"/>
      <c r="J1226" s="54"/>
      <c r="L1226" s="54"/>
      <c r="N1226" s="54"/>
      <c r="P1226" s="54"/>
      <c r="R1226" s="54"/>
      <c r="T1226" s="1"/>
      <c r="V1226" s="54"/>
      <c r="X1226" s="54"/>
      <c r="Z1226" s="54"/>
      <c r="AB1226" s="54"/>
      <c r="AD1226" s="54"/>
      <c r="AF1226" s="54"/>
      <c r="AH1226" s="54"/>
      <c r="AJ1226" s="54"/>
      <c r="AL1226" s="54"/>
      <c r="AO1226" s="54"/>
      <c r="AP1226" s="1"/>
      <c r="AQ1226" s="54"/>
      <c r="AR1226" s="171"/>
      <c r="AS1226" s="1"/>
      <c r="AT1226" s="1"/>
      <c r="AU1226" s="1"/>
    </row>
    <row r="1227">
      <c r="A1227" s="54"/>
      <c r="B1227" s="71"/>
      <c r="C1227" s="51"/>
      <c r="D1227" s="54"/>
      <c r="E1227" s="114"/>
      <c r="F1227" s="16"/>
      <c r="G1227" s="114"/>
      <c r="H1227" s="54"/>
      <c r="I1227" s="114"/>
      <c r="J1227" s="54"/>
      <c r="L1227" s="54"/>
      <c r="N1227" s="54"/>
      <c r="P1227" s="54"/>
      <c r="R1227" s="54"/>
      <c r="T1227" s="1"/>
      <c r="V1227" s="54"/>
      <c r="X1227" s="54"/>
      <c r="Z1227" s="54"/>
      <c r="AB1227" s="54"/>
      <c r="AD1227" s="54"/>
      <c r="AF1227" s="54"/>
      <c r="AH1227" s="54"/>
      <c r="AJ1227" s="54"/>
      <c r="AL1227" s="54"/>
      <c r="AO1227" s="54"/>
      <c r="AP1227" s="1"/>
      <c r="AQ1227" s="54"/>
      <c r="AR1227" s="171"/>
      <c r="AS1227" s="1"/>
      <c r="AT1227" s="1"/>
      <c r="AU1227" s="1"/>
    </row>
    <row r="1228">
      <c r="A1228" s="54"/>
      <c r="B1228" s="71"/>
      <c r="C1228" s="51"/>
      <c r="D1228" s="54"/>
      <c r="E1228" s="114"/>
      <c r="F1228" s="16"/>
      <c r="G1228" s="114"/>
      <c r="H1228" s="54"/>
      <c r="I1228" s="114"/>
      <c r="J1228" s="54"/>
      <c r="L1228" s="54"/>
      <c r="N1228" s="54"/>
      <c r="P1228" s="54"/>
      <c r="R1228" s="54"/>
      <c r="T1228" s="1"/>
      <c r="V1228" s="54"/>
      <c r="X1228" s="54"/>
      <c r="Z1228" s="54"/>
      <c r="AB1228" s="54"/>
      <c r="AD1228" s="54"/>
      <c r="AF1228" s="54"/>
      <c r="AH1228" s="54"/>
      <c r="AJ1228" s="54"/>
      <c r="AL1228" s="54"/>
      <c r="AO1228" s="54"/>
      <c r="AP1228" s="1"/>
      <c r="AQ1228" s="54"/>
      <c r="AR1228" s="171"/>
      <c r="AS1228" s="1"/>
      <c r="AT1228" s="1"/>
      <c r="AU1228" s="1"/>
    </row>
    <row r="1229">
      <c r="A1229" s="54"/>
      <c r="B1229" s="71"/>
      <c r="C1229" s="51"/>
      <c r="D1229" s="54"/>
      <c r="E1229" s="114"/>
      <c r="F1229" s="16"/>
      <c r="G1229" s="114"/>
      <c r="H1229" s="54"/>
      <c r="I1229" s="114"/>
      <c r="J1229" s="54"/>
      <c r="L1229" s="54"/>
      <c r="N1229" s="54"/>
      <c r="P1229" s="54"/>
      <c r="R1229" s="54"/>
      <c r="T1229" s="1"/>
      <c r="V1229" s="54"/>
      <c r="X1229" s="54"/>
      <c r="Z1229" s="54"/>
      <c r="AB1229" s="54"/>
      <c r="AD1229" s="54"/>
      <c r="AF1229" s="54"/>
      <c r="AH1229" s="54"/>
      <c r="AJ1229" s="54"/>
      <c r="AL1229" s="54"/>
      <c r="AO1229" s="54"/>
      <c r="AP1229" s="1"/>
      <c r="AQ1229" s="54"/>
      <c r="AR1229" s="171"/>
      <c r="AS1229" s="1"/>
      <c r="AT1229" s="1"/>
      <c r="AU1229" s="1"/>
    </row>
    <row r="1230">
      <c r="A1230" s="54"/>
      <c r="B1230" s="71"/>
      <c r="C1230" s="51"/>
      <c r="D1230" s="54"/>
      <c r="E1230" s="114"/>
      <c r="F1230" s="16"/>
      <c r="G1230" s="114"/>
      <c r="H1230" s="54"/>
      <c r="I1230" s="114"/>
      <c r="J1230" s="54"/>
      <c r="L1230" s="54"/>
      <c r="N1230" s="54"/>
      <c r="P1230" s="54"/>
      <c r="R1230" s="54"/>
      <c r="T1230" s="1"/>
      <c r="V1230" s="54"/>
      <c r="X1230" s="54"/>
      <c r="Z1230" s="54"/>
      <c r="AB1230" s="54"/>
      <c r="AD1230" s="54"/>
      <c r="AF1230" s="54"/>
      <c r="AH1230" s="54"/>
      <c r="AJ1230" s="54"/>
      <c r="AL1230" s="54"/>
      <c r="AO1230" s="54"/>
      <c r="AP1230" s="1"/>
      <c r="AQ1230" s="54"/>
      <c r="AR1230" s="171"/>
      <c r="AS1230" s="1"/>
      <c r="AT1230" s="1"/>
      <c r="AU1230" s="1"/>
    </row>
    <row r="1231">
      <c r="A1231" s="54"/>
      <c r="B1231" s="71"/>
      <c r="C1231" s="51"/>
      <c r="D1231" s="54"/>
      <c r="E1231" s="114"/>
      <c r="F1231" s="16"/>
      <c r="G1231" s="114"/>
      <c r="H1231" s="54"/>
      <c r="I1231" s="114"/>
      <c r="J1231" s="54"/>
      <c r="L1231" s="54"/>
      <c r="N1231" s="54"/>
      <c r="P1231" s="54"/>
      <c r="R1231" s="54"/>
      <c r="T1231" s="1"/>
      <c r="V1231" s="54"/>
      <c r="X1231" s="54"/>
      <c r="Z1231" s="54"/>
      <c r="AB1231" s="54"/>
      <c r="AD1231" s="54"/>
      <c r="AF1231" s="54"/>
      <c r="AH1231" s="54"/>
      <c r="AJ1231" s="54"/>
      <c r="AL1231" s="54"/>
      <c r="AO1231" s="54"/>
      <c r="AP1231" s="1"/>
      <c r="AQ1231" s="54"/>
      <c r="AR1231" s="171"/>
      <c r="AS1231" s="1"/>
      <c r="AT1231" s="1"/>
      <c r="AU1231" s="1"/>
    </row>
    <row r="1232">
      <c r="A1232" s="54"/>
      <c r="B1232" s="71"/>
      <c r="C1232" s="51"/>
      <c r="D1232" s="54"/>
      <c r="E1232" s="114"/>
      <c r="F1232" s="16"/>
      <c r="G1232" s="114"/>
      <c r="H1232" s="54"/>
      <c r="I1232" s="114"/>
      <c r="J1232" s="54"/>
      <c r="L1232" s="54"/>
      <c r="N1232" s="54"/>
      <c r="P1232" s="54"/>
      <c r="R1232" s="54"/>
      <c r="T1232" s="1"/>
      <c r="V1232" s="54"/>
      <c r="X1232" s="54"/>
      <c r="Z1232" s="54"/>
      <c r="AB1232" s="54"/>
      <c r="AD1232" s="54"/>
      <c r="AF1232" s="54"/>
      <c r="AH1232" s="54"/>
      <c r="AJ1232" s="54"/>
      <c r="AL1232" s="54"/>
      <c r="AO1232" s="54"/>
      <c r="AP1232" s="1"/>
      <c r="AQ1232" s="54"/>
      <c r="AR1232" s="171"/>
      <c r="AS1232" s="1"/>
      <c r="AT1232" s="1"/>
      <c r="AU1232" s="1"/>
    </row>
    <row r="1233">
      <c r="A1233" s="54"/>
      <c r="B1233" s="71"/>
      <c r="C1233" s="51"/>
      <c r="D1233" s="54"/>
      <c r="E1233" s="114"/>
      <c r="F1233" s="16"/>
      <c r="G1233" s="114"/>
      <c r="H1233" s="54"/>
      <c r="I1233" s="114"/>
      <c r="J1233" s="54"/>
      <c r="L1233" s="54"/>
      <c r="N1233" s="54"/>
      <c r="P1233" s="54"/>
      <c r="R1233" s="54"/>
      <c r="T1233" s="1"/>
      <c r="V1233" s="54"/>
      <c r="X1233" s="54"/>
      <c r="Z1233" s="54"/>
      <c r="AB1233" s="54"/>
      <c r="AD1233" s="54"/>
      <c r="AF1233" s="54"/>
      <c r="AH1233" s="54"/>
      <c r="AJ1233" s="54"/>
      <c r="AL1233" s="54"/>
      <c r="AO1233" s="54"/>
      <c r="AP1233" s="1"/>
      <c r="AQ1233" s="54"/>
      <c r="AR1233" s="171"/>
      <c r="AS1233" s="1"/>
      <c r="AT1233" s="1"/>
      <c r="AU1233" s="1"/>
    </row>
    <row r="1234">
      <c r="A1234" s="54"/>
      <c r="B1234" s="71"/>
      <c r="C1234" s="51"/>
      <c r="D1234" s="54"/>
      <c r="E1234" s="114"/>
      <c r="F1234" s="16"/>
      <c r="G1234" s="114"/>
      <c r="H1234" s="54"/>
      <c r="I1234" s="114"/>
      <c r="J1234" s="54"/>
      <c r="L1234" s="54"/>
      <c r="N1234" s="54"/>
      <c r="P1234" s="54"/>
      <c r="R1234" s="54"/>
      <c r="T1234" s="1"/>
      <c r="V1234" s="54"/>
      <c r="X1234" s="54"/>
      <c r="Z1234" s="54"/>
      <c r="AB1234" s="54"/>
      <c r="AD1234" s="54"/>
      <c r="AF1234" s="54"/>
      <c r="AH1234" s="54"/>
      <c r="AJ1234" s="54"/>
      <c r="AL1234" s="54"/>
      <c r="AO1234" s="54"/>
      <c r="AP1234" s="1"/>
      <c r="AQ1234" s="54"/>
      <c r="AR1234" s="171"/>
      <c r="AS1234" s="1"/>
      <c r="AT1234" s="1"/>
      <c r="AU1234" s="1"/>
    </row>
    <row r="1235">
      <c r="A1235" s="54"/>
      <c r="B1235" s="71"/>
      <c r="C1235" s="51"/>
      <c r="D1235" s="54"/>
      <c r="E1235" s="114"/>
      <c r="F1235" s="16"/>
      <c r="G1235" s="114"/>
      <c r="H1235" s="54"/>
      <c r="I1235" s="114"/>
      <c r="J1235" s="54"/>
      <c r="L1235" s="54"/>
      <c r="N1235" s="54"/>
      <c r="P1235" s="54"/>
      <c r="R1235" s="54"/>
      <c r="T1235" s="1"/>
      <c r="V1235" s="54"/>
      <c r="X1235" s="54"/>
      <c r="Z1235" s="54"/>
      <c r="AB1235" s="54"/>
      <c r="AD1235" s="54"/>
      <c r="AF1235" s="54"/>
      <c r="AH1235" s="54"/>
      <c r="AJ1235" s="54"/>
      <c r="AL1235" s="54"/>
      <c r="AO1235" s="54"/>
      <c r="AP1235" s="1"/>
      <c r="AQ1235" s="54"/>
      <c r="AR1235" s="171"/>
      <c r="AS1235" s="1"/>
      <c r="AT1235" s="1"/>
      <c r="AU1235" s="1"/>
    </row>
    <row r="1236">
      <c r="A1236" s="54"/>
      <c r="B1236" s="71"/>
      <c r="C1236" s="51"/>
      <c r="D1236" s="54"/>
      <c r="E1236" s="114"/>
      <c r="F1236" s="16"/>
      <c r="G1236" s="114"/>
      <c r="H1236" s="54"/>
      <c r="I1236" s="114"/>
      <c r="J1236" s="54"/>
      <c r="L1236" s="54"/>
      <c r="N1236" s="54"/>
      <c r="P1236" s="54"/>
      <c r="R1236" s="54"/>
      <c r="T1236" s="1"/>
      <c r="V1236" s="54"/>
      <c r="X1236" s="54"/>
      <c r="Z1236" s="54"/>
      <c r="AB1236" s="54"/>
      <c r="AD1236" s="54"/>
      <c r="AF1236" s="54"/>
      <c r="AH1236" s="54"/>
      <c r="AJ1236" s="54"/>
      <c r="AL1236" s="54"/>
      <c r="AO1236" s="54"/>
      <c r="AP1236" s="1"/>
      <c r="AQ1236" s="54"/>
      <c r="AR1236" s="171"/>
      <c r="AS1236" s="1"/>
      <c r="AT1236" s="1"/>
      <c r="AU1236" s="1"/>
    </row>
    <row r="1237">
      <c r="A1237" s="54"/>
      <c r="B1237" s="71"/>
      <c r="C1237" s="51"/>
      <c r="D1237" s="54"/>
      <c r="E1237" s="114"/>
      <c r="F1237" s="16"/>
      <c r="G1237" s="114"/>
      <c r="H1237" s="54"/>
      <c r="I1237" s="114"/>
      <c r="J1237" s="54"/>
      <c r="L1237" s="54"/>
      <c r="N1237" s="54"/>
      <c r="P1237" s="54"/>
      <c r="R1237" s="54"/>
      <c r="T1237" s="1"/>
      <c r="V1237" s="54"/>
      <c r="X1237" s="54"/>
      <c r="Z1237" s="54"/>
      <c r="AB1237" s="54"/>
      <c r="AD1237" s="54"/>
      <c r="AF1237" s="54"/>
      <c r="AH1237" s="54"/>
      <c r="AJ1237" s="54"/>
      <c r="AL1237" s="54"/>
      <c r="AO1237" s="54"/>
      <c r="AP1237" s="1"/>
      <c r="AQ1237" s="54"/>
      <c r="AR1237" s="171"/>
      <c r="AS1237" s="1"/>
      <c r="AT1237" s="1"/>
      <c r="AU1237" s="1"/>
    </row>
    <row r="1238">
      <c r="A1238" s="54"/>
      <c r="B1238" s="71"/>
      <c r="C1238" s="51"/>
      <c r="D1238" s="54"/>
      <c r="E1238" s="114"/>
      <c r="F1238" s="16"/>
      <c r="G1238" s="114"/>
      <c r="H1238" s="54"/>
      <c r="I1238" s="114"/>
      <c r="J1238" s="54"/>
      <c r="L1238" s="54"/>
      <c r="N1238" s="54"/>
      <c r="P1238" s="54"/>
      <c r="R1238" s="54"/>
      <c r="T1238" s="1"/>
      <c r="V1238" s="54"/>
      <c r="X1238" s="54"/>
      <c r="Z1238" s="54"/>
      <c r="AB1238" s="54"/>
      <c r="AD1238" s="54"/>
      <c r="AF1238" s="54"/>
      <c r="AH1238" s="54"/>
      <c r="AJ1238" s="54"/>
      <c r="AL1238" s="54"/>
      <c r="AO1238" s="54"/>
      <c r="AP1238" s="1"/>
      <c r="AQ1238" s="54"/>
      <c r="AR1238" s="171"/>
      <c r="AS1238" s="1"/>
      <c r="AT1238" s="1"/>
      <c r="AU1238" s="1"/>
    </row>
    <row r="1239">
      <c r="A1239" s="54"/>
      <c r="B1239" s="71"/>
      <c r="C1239" s="51"/>
      <c r="D1239" s="54"/>
      <c r="E1239" s="114"/>
      <c r="F1239" s="16"/>
      <c r="G1239" s="114"/>
      <c r="H1239" s="54"/>
      <c r="I1239" s="114"/>
      <c r="J1239" s="54"/>
      <c r="L1239" s="54"/>
      <c r="N1239" s="54"/>
      <c r="P1239" s="54"/>
      <c r="R1239" s="54"/>
      <c r="T1239" s="1"/>
      <c r="V1239" s="54"/>
      <c r="X1239" s="54"/>
      <c r="Z1239" s="54"/>
      <c r="AB1239" s="54"/>
      <c r="AD1239" s="54"/>
      <c r="AF1239" s="54"/>
      <c r="AH1239" s="54"/>
      <c r="AJ1239" s="54"/>
      <c r="AL1239" s="54"/>
      <c r="AO1239" s="54"/>
      <c r="AP1239" s="1"/>
      <c r="AQ1239" s="54"/>
      <c r="AR1239" s="171"/>
      <c r="AS1239" s="1"/>
      <c r="AT1239" s="1"/>
      <c r="AU1239" s="1"/>
    </row>
    <row r="1240">
      <c r="A1240" s="54"/>
      <c r="B1240" s="71"/>
      <c r="C1240" s="51"/>
      <c r="D1240" s="54"/>
      <c r="E1240" s="114"/>
      <c r="F1240" s="16"/>
      <c r="G1240" s="114"/>
      <c r="H1240" s="54"/>
      <c r="I1240" s="114"/>
      <c r="J1240" s="54"/>
      <c r="L1240" s="54"/>
      <c r="N1240" s="54"/>
      <c r="P1240" s="54"/>
      <c r="R1240" s="54"/>
      <c r="T1240" s="1"/>
      <c r="V1240" s="54"/>
      <c r="X1240" s="54"/>
      <c r="Z1240" s="54"/>
      <c r="AB1240" s="54"/>
      <c r="AD1240" s="54"/>
      <c r="AF1240" s="54"/>
      <c r="AH1240" s="54"/>
      <c r="AJ1240" s="54"/>
      <c r="AL1240" s="54"/>
      <c r="AO1240" s="54"/>
      <c r="AP1240" s="1"/>
      <c r="AQ1240" s="54"/>
      <c r="AR1240" s="171"/>
      <c r="AS1240" s="1"/>
      <c r="AT1240" s="1"/>
      <c r="AU1240" s="1"/>
    </row>
    <row r="1241">
      <c r="A1241" s="54"/>
      <c r="B1241" s="71"/>
      <c r="C1241" s="51"/>
      <c r="D1241" s="54"/>
      <c r="E1241" s="114"/>
      <c r="F1241" s="16"/>
      <c r="G1241" s="114"/>
      <c r="H1241" s="54"/>
      <c r="I1241" s="114"/>
      <c r="J1241" s="54"/>
      <c r="L1241" s="54"/>
      <c r="N1241" s="54"/>
      <c r="P1241" s="54"/>
      <c r="R1241" s="54"/>
      <c r="T1241" s="1"/>
      <c r="V1241" s="54"/>
      <c r="X1241" s="54"/>
      <c r="Z1241" s="54"/>
      <c r="AB1241" s="54"/>
      <c r="AD1241" s="54"/>
      <c r="AF1241" s="54"/>
      <c r="AH1241" s="54"/>
      <c r="AJ1241" s="54"/>
      <c r="AL1241" s="54"/>
      <c r="AO1241" s="54"/>
      <c r="AP1241" s="1"/>
      <c r="AQ1241" s="54"/>
      <c r="AR1241" s="171"/>
      <c r="AS1241" s="1"/>
      <c r="AT1241" s="1"/>
      <c r="AU1241" s="1"/>
    </row>
    <row r="1242">
      <c r="A1242" s="54"/>
      <c r="B1242" s="71"/>
      <c r="C1242" s="51"/>
      <c r="D1242" s="54"/>
      <c r="E1242" s="114"/>
      <c r="F1242" s="16"/>
      <c r="G1242" s="114"/>
      <c r="H1242" s="54"/>
      <c r="I1242" s="114"/>
      <c r="J1242" s="54"/>
      <c r="L1242" s="54"/>
      <c r="N1242" s="54"/>
      <c r="P1242" s="54"/>
      <c r="R1242" s="54"/>
      <c r="T1242" s="1"/>
      <c r="V1242" s="54"/>
      <c r="X1242" s="54"/>
      <c r="Z1242" s="54"/>
      <c r="AB1242" s="54"/>
      <c r="AD1242" s="54"/>
      <c r="AF1242" s="54"/>
      <c r="AH1242" s="54"/>
      <c r="AJ1242" s="54"/>
      <c r="AL1242" s="54"/>
      <c r="AO1242" s="54"/>
      <c r="AP1242" s="1"/>
      <c r="AQ1242" s="54"/>
      <c r="AR1242" s="171"/>
      <c r="AS1242" s="1"/>
      <c r="AT1242" s="1"/>
      <c r="AU1242" s="1"/>
    </row>
    <row r="1243">
      <c r="A1243" s="54"/>
      <c r="B1243" s="71"/>
      <c r="C1243" s="51"/>
      <c r="D1243" s="54"/>
      <c r="E1243" s="114"/>
      <c r="F1243" s="16"/>
      <c r="G1243" s="114"/>
      <c r="H1243" s="54"/>
      <c r="I1243" s="114"/>
      <c r="J1243" s="54"/>
      <c r="L1243" s="54"/>
      <c r="N1243" s="54"/>
      <c r="P1243" s="54"/>
      <c r="R1243" s="54"/>
      <c r="T1243" s="1"/>
      <c r="V1243" s="54"/>
      <c r="X1243" s="54"/>
      <c r="Z1243" s="54"/>
      <c r="AB1243" s="54"/>
      <c r="AD1243" s="54"/>
      <c r="AF1243" s="54"/>
      <c r="AH1243" s="54"/>
      <c r="AJ1243" s="54"/>
      <c r="AL1243" s="54"/>
      <c r="AO1243" s="54"/>
      <c r="AP1243" s="1"/>
      <c r="AQ1243" s="54"/>
      <c r="AR1243" s="171"/>
      <c r="AS1243" s="1"/>
      <c r="AT1243" s="1"/>
      <c r="AU1243" s="1"/>
    </row>
    <row r="1244">
      <c r="A1244" s="54"/>
      <c r="B1244" s="71"/>
      <c r="C1244" s="51"/>
      <c r="D1244" s="54"/>
      <c r="E1244" s="114"/>
      <c r="F1244" s="16"/>
      <c r="G1244" s="114"/>
      <c r="H1244" s="54"/>
      <c r="I1244" s="114"/>
      <c r="J1244" s="54"/>
      <c r="L1244" s="54"/>
      <c r="N1244" s="54"/>
      <c r="P1244" s="54"/>
      <c r="R1244" s="54"/>
      <c r="T1244" s="1"/>
      <c r="V1244" s="54"/>
      <c r="X1244" s="54"/>
      <c r="Z1244" s="54"/>
      <c r="AB1244" s="54"/>
      <c r="AD1244" s="54"/>
      <c r="AF1244" s="54"/>
      <c r="AH1244" s="54"/>
      <c r="AJ1244" s="54"/>
      <c r="AL1244" s="54"/>
      <c r="AO1244" s="54"/>
      <c r="AP1244" s="1"/>
      <c r="AQ1244" s="54"/>
      <c r="AR1244" s="171"/>
      <c r="AS1244" s="1"/>
      <c r="AT1244" s="1"/>
      <c r="AU1244" s="1"/>
    </row>
    <row r="1245">
      <c r="A1245" s="54"/>
      <c r="B1245" s="71"/>
      <c r="C1245" s="51"/>
      <c r="D1245" s="54"/>
      <c r="E1245" s="114"/>
      <c r="F1245" s="16"/>
      <c r="G1245" s="114"/>
      <c r="H1245" s="54"/>
      <c r="I1245" s="114"/>
      <c r="J1245" s="54"/>
      <c r="L1245" s="54"/>
      <c r="N1245" s="54"/>
      <c r="P1245" s="54"/>
      <c r="R1245" s="54"/>
      <c r="T1245" s="1"/>
      <c r="V1245" s="54"/>
      <c r="X1245" s="54"/>
      <c r="Z1245" s="54"/>
      <c r="AB1245" s="54"/>
      <c r="AD1245" s="54"/>
      <c r="AF1245" s="54"/>
      <c r="AH1245" s="54"/>
      <c r="AJ1245" s="54"/>
      <c r="AL1245" s="54"/>
      <c r="AO1245" s="54"/>
      <c r="AP1245" s="1"/>
      <c r="AQ1245" s="54"/>
      <c r="AR1245" s="171"/>
      <c r="AS1245" s="1"/>
      <c r="AT1245" s="1"/>
      <c r="AU1245" s="1"/>
    </row>
    <row r="1246">
      <c r="A1246" s="54"/>
      <c r="B1246" s="71"/>
      <c r="C1246" s="51"/>
      <c r="D1246" s="54"/>
      <c r="E1246" s="114"/>
      <c r="F1246" s="16"/>
      <c r="G1246" s="114"/>
      <c r="H1246" s="54"/>
      <c r="I1246" s="114"/>
      <c r="J1246" s="54"/>
      <c r="L1246" s="54"/>
      <c r="N1246" s="54"/>
      <c r="P1246" s="54"/>
      <c r="R1246" s="54"/>
      <c r="T1246" s="1"/>
      <c r="V1246" s="54"/>
      <c r="X1246" s="54"/>
      <c r="Z1246" s="54"/>
      <c r="AB1246" s="54"/>
      <c r="AD1246" s="54"/>
      <c r="AF1246" s="54"/>
      <c r="AH1246" s="54"/>
      <c r="AJ1246" s="54"/>
      <c r="AL1246" s="54"/>
      <c r="AO1246" s="54"/>
      <c r="AP1246" s="1"/>
      <c r="AQ1246" s="54"/>
      <c r="AR1246" s="171"/>
      <c r="AS1246" s="1"/>
      <c r="AT1246" s="1"/>
      <c r="AU1246" s="1"/>
    </row>
    <row r="1247">
      <c r="A1247" s="54"/>
      <c r="B1247" s="71"/>
      <c r="C1247" s="51"/>
      <c r="D1247" s="54"/>
      <c r="E1247" s="114"/>
      <c r="F1247" s="16"/>
      <c r="G1247" s="114"/>
      <c r="H1247" s="54"/>
      <c r="I1247" s="114"/>
      <c r="J1247" s="54"/>
      <c r="L1247" s="54"/>
      <c r="N1247" s="54"/>
      <c r="P1247" s="54"/>
      <c r="R1247" s="54"/>
      <c r="T1247" s="1"/>
      <c r="V1247" s="54"/>
      <c r="X1247" s="54"/>
      <c r="Z1247" s="54"/>
      <c r="AB1247" s="54"/>
      <c r="AD1247" s="54"/>
      <c r="AF1247" s="54"/>
      <c r="AH1247" s="54"/>
      <c r="AJ1247" s="54"/>
      <c r="AL1247" s="54"/>
      <c r="AO1247" s="54"/>
      <c r="AP1247" s="1"/>
      <c r="AQ1247" s="54"/>
      <c r="AR1247" s="171"/>
      <c r="AS1247" s="1"/>
      <c r="AT1247" s="1"/>
      <c r="AU1247" s="1"/>
    </row>
    <row r="1248">
      <c r="A1248" s="54"/>
      <c r="B1248" s="71"/>
      <c r="C1248" s="51"/>
      <c r="D1248" s="54"/>
      <c r="E1248" s="114"/>
      <c r="F1248" s="16"/>
      <c r="G1248" s="114"/>
      <c r="H1248" s="54"/>
      <c r="I1248" s="114"/>
      <c r="J1248" s="54"/>
      <c r="L1248" s="54"/>
      <c r="N1248" s="54"/>
      <c r="P1248" s="54"/>
      <c r="R1248" s="54"/>
      <c r="T1248" s="1"/>
      <c r="V1248" s="54"/>
      <c r="X1248" s="54"/>
      <c r="Z1248" s="54"/>
      <c r="AB1248" s="54"/>
      <c r="AD1248" s="54"/>
      <c r="AF1248" s="54"/>
      <c r="AH1248" s="54"/>
      <c r="AJ1248" s="54"/>
      <c r="AL1248" s="54"/>
      <c r="AO1248" s="54"/>
      <c r="AP1248" s="1"/>
      <c r="AQ1248" s="54"/>
      <c r="AR1248" s="171"/>
      <c r="AS1248" s="1"/>
      <c r="AT1248" s="1"/>
      <c r="AU1248" s="1"/>
    </row>
    <row r="1249">
      <c r="A1249" s="54"/>
      <c r="B1249" s="71"/>
      <c r="C1249" s="51"/>
      <c r="D1249" s="54"/>
      <c r="E1249" s="114"/>
      <c r="F1249" s="16"/>
      <c r="G1249" s="114"/>
      <c r="H1249" s="54"/>
      <c r="I1249" s="114"/>
      <c r="J1249" s="54"/>
      <c r="L1249" s="54"/>
      <c r="N1249" s="54"/>
      <c r="P1249" s="54"/>
      <c r="R1249" s="54"/>
      <c r="T1249" s="1"/>
      <c r="V1249" s="54"/>
      <c r="X1249" s="54"/>
      <c r="Z1249" s="54"/>
      <c r="AB1249" s="54"/>
      <c r="AD1249" s="54"/>
      <c r="AF1249" s="54"/>
      <c r="AH1249" s="54"/>
      <c r="AJ1249" s="54"/>
      <c r="AL1249" s="54"/>
      <c r="AO1249" s="54"/>
      <c r="AP1249" s="1"/>
      <c r="AQ1249" s="54"/>
      <c r="AR1249" s="171"/>
      <c r="AS1249" s="1"/>
      <c r="AT1249" s="1"/>
      <c r="AU1249" s="1"/>
    </row>
    <row r="1250">
      <c r="A1250" s="54"/>
      <c r="B1250" s="71"/>
      <c r="C1250" s="51"/>
      <c r="D1250" s="54"/>
      <c r="E1250" s="114"/>
      <c r="F1250" s="16"/>
      <c r="G1250" s="114"/>
      <c r="H1250" s="54"/>
      <c r="I1250" s="114"/>
      <c r="J1250" s="54"/>
      <c r="L1250" s="54"/>
      <c r="N1250" s="54"/>
      <c r="P1250" s="54"/>
      <c r="R1250" s="54"/>
      <c r="T1250" s="1"/>
      <c r="V1250" s="54"/>
      <c r="X1250" s="54"/>
      <c r="Z1250" s="54"/>
      <c r="AB1250" s="54"/>
      <c r="AD1250" s="54"/>
      <c r="AF1250" s="54"/>
      <c r="AH1250" s="54"/>
      <c r="AJ1250" s="54"/>
      <c r="AL1250" s="54"/>
      <c r="AO1250" s="54"/>
      <c r="AP1250" s="1"/>
      <c r="AQ1250" s="54"/>
      <c r="AR1250" s="171"/>
      <c r="AS1250" s="1"/>
      <c r="AT1250" s="1"/>
      <c r="AU1250" s="1"/>
    </row>
    <row r="1251">
      <c r="A1251" s="54"/>
      <c r="B1251" s="71"/>
      <c r="C1251" s="51"/>
      <c r="D1251" s="54"/>
      <c r="E1251" s="114"/>
      <c r="F1251" s="16"/>
      <c r="G1251" s="114"/>
      <c r="H1251" s="54"/>
      <c r="I1251" s="114"/>
      <c r="J1251" s="54"/>
      <c r="L1251" s="54"/>
      <c r="N1251" s="54"/>
      <c r="P1251" s="54"/>
      <c r="R1251" s="54"/>
      <c r="T1251" s="1"/>
      <c r="V1251" s="54"/>
      <c r="X1251" s="54"/>
      <c r="Z1251" s="54"/>
      <c r="AB1251" s="54"/>
      <c r="AD1251" s="54"/>
      <c r="AF1251" s="54"/>
      <c r="AH1251" s="54"/>
      <c r="AJ1251" s="54"/>
      <c r="AL1251" s="54"/>
      <c r="AO1251" s="54"/>
      <c r="AP1251" s="1"/>
      <c r="AQ1251" s="54"/>
      <c r="AR1251" s="171"/>
      <c r="AS1251" s="1"/>
      <c r="AT1251" s="1"/>
      <c r="AU1251" s="1"/>
    </row>
    <row r="1252">
      <c r="A1252" s="54"/>
      <c r="B1252" s="71"/>
      <c r="C1252" s="51"/>
      <c r="D1252" s="54"/>
      <c r="E1252" s="114"/>
      <c r="F1252" s="16"/>
      <c r="G1252" s="114"/>
      <c r="H1252" s="54"/>
      <c r="I1252" s="114"/>
      <c r="J1252" s="54"/>
      <c r="L1252" s="54"/>
      <c r="N1252" s="54"/>
      <c r="P1252" s="54"/>
      <c r="R1252" s="54"/>
      <c r="T1252" s="1"/>
      <c r="V1252" s="54"/>
      <c r="X1252" s="54"/>
      <c r="Z1252" s="54"/>
      <c r="AB1252" s="54"/>
      <c r="AD1252" s="54"/>
      <c r="AF1252" s="54"/>
      <c r="AH1252" s="54"/>
      <c r="AJ1252" s="54"/>
      <c r="AL1252" s="54"/>
      <c r="AO1252" s="54"/>
      <c r="AP1252" s="1"/>
      <c r="AQ1252" s="54"/>
      <c r="AR1252" s="171"/>
      <c r="AS1252" s="1"/>
      <c r="AT1252" s="1"/>
      <c r="AU1252" s="1"/>
    </row>
    <row r="1253">
      <c r="A1253" s="54"/>
      <c r="B1253" s="71"/>
      <c r="C1253" s="51"/>
      <c r="D1253" s="54"/>
      <c r="E1253" s="114"/>
      <c r="F1253" s="16"/>
      <c r="G1253" s="114"/>
      <c r="H1253" s="54"/>
      <c r="I1253" s="114"/>
      <c r="J1253" s="54"/>
      <c r="L1253" s="54"/>
      <c r="N1253" s="54"/>
      <c r="P1253" s="54"/>
      <c r="R1253" s="54"/>
      <c r="T1253" s="1"/>
      <c r="V1253" s="54"/>
      <c r="X1253" s="54"/>
      <c r="Z1253" s="54"/>
      <c r="AB1253" s="54"/>
      <c r="AD1253" s="54"/>
      <c r="AF1253" s="54"/>
      <c r="AH1253" s="54"/>
      <c r="AJ1253" s="54"/>
      <c r="AL1253" s="54"/>
      <c r="AO1253" s="54"/>
      <c r="AP1253" s="1"/>
      <c r="AQ1253" s="54"/>
      <c r="AR1253" s="171"/>
      <c r="AS1253" s="1"/>
      <c r="AT1253" s="1"/>
      <c r="AU1253" s="1"/>
    </row>
    <row r="1254">
      <c r="A1254" s="54"/>
      <c r="B1254" s="71"/>
      <c r="C1254" s="51"/>
      <c r="D1254" s="54"/>
      <c r="E1254" s="114"/>
      <c r="F1254" s="16"/>
      <c r="G1254" s="114"/>
      <c r="H1254" s="54"/>
      <c r="I1254" s="114"/>
      <c r="J1254" s="54"/>
      <c r="L1254" s="54"/>
      <c r="N1254" s="54"/>
      <c r="P1254" s="54"/>
      <c r="R1254" s="54"/>
      <c r="T1254" s="1"/>
      <c r="V1254" s="54"/>
      <c r="X1254" s="54"/>
      <c r="Z1254" s="54"/>
      <c r="AB1254" s="54"/>
      <c r="AD1254" s="54"/>
      <c r="AF1254" s="54"/>
      <c r="AH1254" s="54"/>
      <c r="AJ1254" s="54"/>
      <c r="AL1254" s="54"/>
      <c r="AO1254" s="54"/>
      <c r="AP1254" s="1"/>
      <c r="AQ1254" s="54"/>
      <c r="AR1254" s="171"/>
      <c r="AS1254" s="1"/>
      <c r="AT1254" s="1"/>
      <c r="AU1254" s="1"/>
    </row>
    <row r="1255">
      <c r="A1255" s="54"/>
      <c r="B1255" s="71"/>
      <c r="C1255" s="51"/>
      <c r="D1255" s="54"/>
      <c r="E1255" s="114"/>
      <c r="F1255" s="16"/>
      <c r="G1255" s="114"/>
      <c r="H1255" s="54"/>
      <c r="I1255" s="114"/>
      <c r="J1255" s="54"/>
      <c r="L1255" s="54"/>
      <c r="N1255" s="54"/>
      <c r="P1255" s="54"/>
      <c r="R1255" s="54"/>
      <c r="T1255" s="1"/>
      <c r="V1255" s="54"/>
      <c r="X1255" s="54"/>
      <c r="Z1255" s="54"/>
      <c r="AB1255" s="54"/>
      <c r="AD1255" s="54"/>
      <c r="AF1255" s="54"/>
      <c r="AH1255" s="54"/>
      <c r="AJ1255" s="54"/>
      <c r="AL1255" s="54"/>
      <c r="AO1255" s="54"/>
      <c r="AP1255" s="1"/>
      <c r="AQ1255" s="54"/>
      <c r="AR1255" s="171"/>
      <c r="AS1255" s="1"/>
      <c r="AT1255" s="1"/>
      <c r="AU1255" s="1"/>
    </row>
    <row r="1256">
      <c r="A1256" s="54"/>
      <c r="B1256" s="71"/>
      <c r="C1256" s="51"/>
      <c r="D1256" s="54"/>
      <c r="E1256" s="114"/>
      <c r="F1256" s="16"/>
      <c r="G1256" s="114"/>
      <c r="H1256" s="54"/>
      <c r="I1256" s="114"/>
      <c r="J1256" s="54"/>
      <c r="L1256" s="54"/>
      <c r="N1256" s="54"/>
      <c r="P1256" s="54"/>
      <c r="R1256" s="54"/>
      <c r="T1256" s="1"/>
      <c r="V1256" s="54"/>
      <c r="X1256" s="54"/>
      <c r="Z1256" s="54"/>
      <c r="AB1256" s="54"/>
      <c r="AD1256" s="54"/>
      <c r="AF1256" s="54"/>
      <c r="AH1256" s="54"/>
      <c r="AJ1256" s="54"/>
      <c r="AL1256" s="54"/>
      <c r="AO1256" s="54"/>
      <c r="AP1256" s="1"/>
      <c r="AQ1256" s="54"/>
      <c r="AR1256" s="171"/>
      <c r="AS1256" s="1"/>
      <c r="AT1256" s="1"/>
      <c r="AU1256" s="1"/>
    </row>
    <row r="1257">
      <c r="A1257" s="54"/>
      <c r="B1257" s="71"/>
      <c r="C1257" s="51"/>
      <c r="D1257" s="54"/>
      <c r="E1257" s="114"/>
      <c r="F1257" s="16"/>
      <c r="G1257" s="114"/>
      <c r="H1257" s="54"/>
      <c r="I1257" s="114"/>
      <c r="J1257" s="54"/>
      <c r="L1257" s="54"/>
      <c r="N1257" s="54"/>
      <c r="P1257" s="54"/>
      <c r="R1257" s="54"/>
      <c r="T1257" s="1"/>
      <c r="V1257" s="54"/>
      <c r="X1257" s="54"/>
      <c r="Z1257" s="54"/>
      <c r="AB1257" s="54"/>
      <c r="AD1257" s="54"/>
      <c r="AF1257" s="54"/>
      <c r="AH1257" s="54"/>
      <c r="AJ1257" s="54"/>
      <c r="AL1257" s="54"/>
      <c r="AO1257" s="54"/>
      <c r="AP1257" s="1"/>
      <c r="AQ1257" s="54"/>
      <c r="AR1257" s="171"/>
      <c r="AS1257" s="1"/>
      <c r="AT1257" s="1"/>
      <c r="AU1257" s="1"/>
    </row>
    <row r="1258">
      <c r="A1258" s="54"/>
      <c r="B1258" s="71"/>
      <c r="C1258" s="51"/>
      <c r="D1258" s="54"/>
      <c r="E1258" s="114"/>
      <c r="F1258" s="16"/>
      <c r="G1258" s="114"/>
      <c r="H1258" s="54"/>
      <c r="I1258" s="114"/>
      <c r="J1258" s="54"/>
      <c r="L1258" s="54"/>
      <c r="N1258" s="54"/>
      <c r="P1258" s="54"/>
      <c r="R1258" s="54"/>
      <c r="T1258" s="1"/>
      <c r="V1258" s="54"/>
      <c r="X1258" s="54"/>
      <c r="Z1258" s="54"/>
      <c r="AB1258" s="54"/>
      <c r="AD1258" s="54"/>
      <c r="AF1258" s="54"/>
      <c r="AH1258" s="54"/>
      <c r="AJ1258" s="54"/>
      <c r="AL1258" s="54"/>
      <c r="AO1258" s="54"/>
      <c r="AP1258" s="1"/>
      <c r="AQ1258" s="54"/>
      <c r="AR1258" s="171"/>
      <c r="AS1258" s="1"/>
      <c r="AT1258" s="1"/>
      <c r="AU1258" s="1"/>
    </row>
    <row r="1259">
      <c r="A1259" s="54"/>
      <c r="B1259" s="71"/>
      <c r="C1259" s="51"/>
      <c r="D1259" s="54"/>
      <c r="E1259" s="114"/>
      <c r="F1259" s="16"/>
      <c r="G1259" s="114"/>
      <c r="H1259" s="54"/>
      <c r="I1259" s="114"/>
      <c r="J1259" s="54"/>
      <c r="L1259" s="54"/>
      <c r="N1259" s="54"/>
      <c r="P1259" s="54"/>
      <c r="R1259" s="54"/>
      <c r="T1259" s="1"/>
      <c r="V1259" s="54"/>
      <c r="X1259" s="54"/>
      <c r="Z1259" s="54"/>
      <c r="AB1259" s="54"/>
      <c r="AD1259" s="54"/>
      <c r="AF1259" s="54"/>
      <c r="AH1259" s="54"/>
      <c r="AJ1259" s="54"/>
      <c r="AL1259" s="54"/>
      <c r="AO1259" s="54"/>
      <c r="AP1259" s="1"/>
      <c r="AQ1259" s="54"/>
      <c r="AR1259" s="171"/>
      <c r="AS1259" s="1"/>
      <c r="AT1259" s="1"/>
      <c r="AU1259" s="1"/>
    </row>
    <row r="1260">
      <c r="A1260" s="54"/>
      <c r="B1260" s="71"/>
      <c r="C1260" s="51"/>
      <c r="D1260" s="54"/>
      <c r="E1260" s="114"/>
      <c r="F1260" s="16"/>
      <c r="G1260" s="114"/>
      <c r="H1260" s="54"/>
      <c r="I1260" s="114"/>
      <c r="J1260" s="54"/>
      <c r="L1260" s="54"/>
      <c r="N1260" s="54"/>
      <c r="P1260" s="54"/>
      <c r="R1260" s="54"/>
      <c r="T1260" s="1"/>
      <c r="V1260" s="54"/>
      <c r="X1260" s="54"/>
      <c r="Z1260" s="54"/>
      <c r="AB1260" s="54"/>
      <c r="AD1260" s="54"/>
      <c r="AF1260" s="54"/>
      <c r="AH1260" s="54"/>
      <c r="AJ1260" s="54"/>
      <c r="AL1260" s="54"/>
      <c r="AO1260" s="54"/>
      <c r="AP1260" s="1"/>
      <c r="AQ1260" s="54"/>
      <c r="AR1260" s="171"/>
      <c r="AS1260" s="1"/>
      <c r="AT1260" s="1"/>
      <c r="AU1260" s="1"/>
    </row>
    <row r="1261">
      <c r="A1261" s="54"/>
      <c r="B1261" s="71"/>
      <c r="C1261" s="51"/>
      <c r="D1261" s="54"/>
      <c r="E1261" s="114"/>
      <c r="F1261" s="16"/>
      <c r="G1261" s="114"/>
      <c r="H1261" s="54"/>
      <c r="I1261" s="114"/>
      <c r="J1261" s="54"/>
      <c r="L1261" s="54"/>
      <c r="N1261" s="54"/>
      <c r="P1261" s="54"/>
      <c r="R1261" s="54"/>
      <c r="T1261" s="1"/>
      <c r="V1261" s="54"/>
      <c r="X1261" s="54"/>
      <c r="Z1261" s="54"/>
      <c r="AB1261" s="54"/>
      <c r="AD1261" s="54"/>
      <c r="AF1261" s="54"/>
      <c r="AH1261" s="54"/>
      <c r="AJ1261" s="54"/>
      <c r="AL1261" s="54"/>
      <c r="AO1261" s="54"/>
      <c r="AP1261" s="1"/>
      <c r="AQ1261" s="54"/>
      <c r="AR1261" s="171"/>
      <c r="AS1261" s="1"/>
      <c r="AT1261" s="1"/>
      <c r="AU1261" s="1"/>
    </row>
    <row r="1262">
      <c r="A1262" s="54"/>
      <c r="B1262" s="71"/>
      <c r="C1262" s="51"/>
      <c r="D1262" s="54"/>
      <c r="E1262" s="114"/>
      <c r="F1262" s="16"/>
      <c r="G1262" s="114"/>
      <c r="H1262" s="54"/>
      <c r="I1262" s="114"/>
      <c r="J1262" s="54"/>
      <c r="L1262" s="54"/>
      <c r="N1262" s="54"/>
      <c r="P1262" s="54"/>
      <c r="R1262" s="54"/>
      <c r="T1262" s="1"/>
      <c r="V1262" s="54"/>
      <c r="X1262" s="54"/>
      <c r="Z1262" s="54"/>
      <c r="AB1262" s="54"/>
      <c r="AD1262" s="54"/>
      <c r="AF1262" s="54"/>
      <c r="AH1262" s="54"/>
      <c r="AJ1262" s="54"/>
      <c r="AL1262" s="54"/>
      <c r="AO1262" s="54"/>
      <c r="AP1262" s="1"/>
      <c r="AQ1262" s="54"/>
      <c r="AR1262" s="171"/>
      <c r="AS1262" s="1"/>
      <c r="AT1262" s="1"/>
      <c r="AU1262" s="1"/>
    </row>
    <row r="1263">
      <c r="A1263" s="54"/>
      <c r="B1263" s="71"/>
      <c r="C1263" s="51"/>
      <c r="D1263" s="54"/>
      <c r="E1263" s="114"/>
      <c r="F1263" s="16"/>
      <c r="G1263" s="114"/>
      <c r="H1263" s="54"/>
      <c r="I1263" s="114"/>
      <c r="J1263" s="54"/>
      <c r="L1263" s="54"/>
      <c r="N1263" s="54"/>
      <c r="P1263" s="54"/>
      <c r="R1263" s="54"/>
      <c r="T1263" s="1"/>
      <c r="V1263" s="54"/>
      <c r="X1263" s="54"/>
      <c r="Z1263" s="54"/>
      <c r="AB1263" s="54"/>
      <c r="AD1263" s="54"/>
      <c r="AF1263" s="54"/>
      <c r="AH1263" s="54"/>
      <c r="AJ1263" s="54"/>
      <c r="AL1263" s="54"/>
      <c r="AO1263" s="54"/>
      <c r="AP1263" s="1"/>
      <c r="AQ1263" s="54"/>
      <c r="AR1263" s="171"/>
      <c r="AS1263" s="1"/>
      <c r="AT1263" s="1"/>
      <c r="AU1263" s="1"/>
    </row>
    <row r="1264">
      <c r="A1264" s="54"/>
      <c r="B1264" s="71"/>
      <c r="C1264" s="51"/>
      <c r="D1264" s="54"/>
      <c r="E1264" s="114"/>
      <c r="F1264" s="16"/>
      <c r="G1264" s="114"/>
      <c r="H1264" s="54"/>
      <c r="I1264" s="114"/>
      <c r="J1264" s="54"/>
      <c r="L1264" s="54"/>
      <c r="N1264" s="54"/>
      <c r="P1264" s="54"/>
      <c r="R1264" s="54"/>
      <c r="T1264" s="1"/>
      <c r="V1264" s="54"/>
      <c r="X1264" s="54"/>
      <c r="Z1264" s="54"/>
      <c r="AB1264" s="54"/>
      <c r="AD1264" s="54"/>
      <c r="AF1264" s="54"/>
      <c r="AH1264" s="54"/>
      <c r="AJ1264" s="54"/>
      <c r="AL1264" s="54"/>
      <c r="AO1264" s="54"/>
      <c r="AP1264" s="1"/>
      <c r="AQ1264" s="54"/>
      <c r="AR1264" s="171"/>
      <c r="AS1264" s="1"/>
      <c r="AT1264" s="1"/>
      <c r="AU1264" s="1"/>
    </row>
    <row r="1265">
      <c r="A1265" s="54"/>
      <c r="B1265" s="71"/>
      <c r="C1265" s="51"/>
      <c r="D1265" s="54"/>
      <c r="E1265" s="114"/>
      <c r="F1265" s="16"/>
      <c r="G1265" s="114"/>
      <c r="H1265" s="54"/>
      <c r="I1265" s="114"/>
      <c r="J1265" s="54"/>
      <c r="L1265" s="54"/>
      <c r="N1265" s="54"/>
      <c r="P1265" s="54"/>
      <c r="R1265" s="54"/>
      <c r="T1265" s="1"/>
      <c r="V1265" s="54"/>
      <c r="X1265" s="54"/>
      <c r="Z1265" s="54"/>
      <c r="AB1265" s="54"/>
      <c r="AD1265" s="54"/>
      <c r="AF1265" s="54"/>
      <c r="AH1265" s="54"/>
      <c r="AJ1265" s="54"/>
      <c r="AL1265" s="54"/>
      <c r="AO1265" s="54"/>
      <c r="AP1265" s="1"/>
      <c r="AQ1265" s="54"/>
      <c r="AR1265" s="171"/>
      <c r="AS1265" s="1"/>
      <c r="AT1265" s="1"/>
      <c r="AU1265" s="1"/>
    </row>
    <row r="1266">
      <c r="A1266" s="54"/>
      <c r="B1266" s="71"/>
      <c r="C1266" s="51"/>
      <c r="D1266" s="54"/>
      <c r="E1266" s="114"/>
      <c r="F1266" s="16"/>
      <c r="G1266" s="114"/>
      <c r="H1266" s="54"/>
      <c r="I1266" s="114"/>
      <c r="J1266" s="54"/>
      <c r="L1266" s="54"/>
      <c r="N1266" s="54"/>
      <c r="P1266" s="54"/>
      <c r="R1266" s="54"/>
      <c r="T1266" s="1"/>
      <c r="V1266" s="54"/>
      <c r="X1266" s="54"/>
      <c r="Z1266" s="54"/>
      <c r="AB1266" s="54"/>
      <c r="AD1266" s="54"/>
      <c r="AF1266" s="54"/>
      <c r="AH1266" s="54"/>
      <c r="AJ1266" s="54"/>
      <c r="AL1266" s="54"/>
      <c r="AO1266" s="54"/>
      <c r="AP1266" s="1"/>
      <c r="AQ1266" s="54"/>
      <c r="AR1266" s="171"/>
      <c r="AS1266" s="1"/>
      <c r="AT1266" s="1"/>
      <c r="AU1266" s="1"/>
    </row>
    <row r="1267">
      <c r="A1267" s="54"/>
      <c r="B1267" s="71"/>
      <c r="C1267" s="51"/>
      <c r="D1267" s="54"/>
      <c r="E1267" s="114"/>
      <c r="F1267" s="16"/>
      <c r="G1267" s="114"/>
      <c r="H1267" s="54"/>
      <c r="I1267" s="114"/>
      <c r="J1267" s="54"/>
      <c r="L1267" s="54"/>
      <c r="N1267" s="54"/>
      <c r="P1267" s="54"/>
      <c r="R1267" s="54"/>
      <c r="T1267" s="1"/>
      <c r="V1267" s="54"/>
      <c r="X1267" s="54"/>
      <c r="Z1267" s="54"/>
      <c r="AB1267" s="54"/>
      <c r="AD1267" s="54"/>
      <c r="AF1267" s="54"/>
      <c r="AH1267" s="54"/>
      <c r="AJ1267" s="54"/>
      <c r="AL1267" s="54"/>
      <c r="AO1267" s="54"/>
      <c r="AP1267" s="1"/>
      <c r="AQ1267" s="54"/>
      <c r="AR1267" s="171"/>
      <c r="AS1267" s="1"/>
      <c r="AT1267" s="1"/>
      <c r="AU1267" s="1"/>
    </row>
    <row r="1268">
      <c r="A1268" s="54"/>
      <c r="B1268" s="71"/>
      <c r="C1268" s="51"/>
      <c r="D1268" s="54"/>
      <c r="E1268" s="114"/>
      <c r="F1268" s="16"/>
      <c r="G1268" s="114"/>
      <c r="H1268" s="54"/>
      <c r="I1268" s="114"/>
      <c r="J1268" s="54"/>
      <c r="L1268" s="54"/>
      <c r="N1268" s="54"/>
      <c r="P1268" s="54"/>
      <c r="R1268" s="54"/>
      <c r="T1268" s="1"/>
      <c r="V1268" s="54"/>
      <c r="X1268" s="54"/>
      <c r="Z1268" s="54"/>
      <c r="AB1268" s="54"/>
      <c r="AD1268" s="54"/>
      <c r="AF1268" s="54"/>
      <c r="AH1268" s="54"/>
      <c r="AJ1268" s="54"/>
      <c r="AL1268" s="54"/>
      <c r="AO1268" s="54"/>
      <c r="AP1268" s="1"/>
      <c r="AQ1268" s="54"/>
      <c r="AR1268" s="171"/>
      <c r="AS1268" s="1"/>
      <c r="AT1268" s="1"/>
      <c r="AU1268" s="1"/>
    </row>
    <row r="1269">
      <c r="A1269" s="54"/>
      <c r="B1269" s="71"/>
      <c r="C1269" s="51"/>
      <c r="D1269" s="54"/>
      <c r="E1269" s="114"/>
      <c r="F1269" s="16"/>
      <c r="G1269" s="114"/>
      <c r="H1269" s="54"/>
      <c r="I1269" s="114"/>
      <c r="J1269" s="54"/>
      <c r="L1269" s="54"/>
      <c r="N1269" s="54"/>
      <c r="P1269" s="54"/>
      <c r="R1269" s="54"/>
      <c r="T1269" s="1"/>
      <c r="V1269" s="54"/>
      <c r="X1269" s="54"/>
      <c r="Z1269" s="54"/>
      <c r="AB1269" s="54"/>
      <c r="AD1269" s="54"/>
      <c r="AF1269" s="54"/>
      <c r="AH1269" s="54"/>
      <c r="AJ1269" s="54"/>
      <c r="AL1269" s="54"/>
      <c r="AO1269" s="54"/>
      <c r="AP1269" s="1"/>
      <c r="AQ1269" s="54"/>
      <c r="AR1269" s="171"/>
      <c r="AS1269" s="1"/>
      <c r="AT1269" s="1"/>
      <c r="AU1269" s="1"/>
    </row>
    <row r="1270">
      <c r="A1270" s="54"/>
      <c r="B1270" s="71"/>
      <c r="C1270" s="51"/>
      <c r="D1270" s="54"/>
      <c r="E1270" s="114"/>
      <c r="F1270" s="16"/>
      <c r="G1270" s="114"/>
      <c r="H1270" s="54"/>
      <c r="I1270" s="114"/>
      <c r="J1270" s="54"/>
      <c r="L1270" s="54"/>
      <c r="N1270" s="54"/>
      <c r="P1270" s="54"/>
      <c r="R1270" s="54"/>
      <c r="T1270" s="1"/>
      <c r="V1270" s="54"/>
      <c r="X1270" s="54"/>
      <c r="Z1270" s="54"/>
      <c r="AB1270" s="54"/>
      <c r="AD1270" s="54"/>
      <c r="AF1270" s="54"/>
      <c r="AH1270" s="54"/>
      <c r="AJ1270" s="54"/>
      <c r="AL1270" s="54"/>
      <c r="AO1270" s="54"/>
      <c r="AP1270" s="1"/>
      <c r="AQ1270" s="54"/>
      <c r="AR1270" s="171"/>
      <c r="AS1270" s="1"/>
      <c r="AT1270" s="1"/>
      <c r="AU1270" s="1"/>
    </row>
    <row r="1271">
      <c r="A1271" s="54"/>
      <c r="B1271" s="71"/>
      <c r="C1271" s="51"/>
      <c r="D1271" s="54"/>
      <c r="E1271" s="114"/>
      <c r="F1271" s="16"/>
      <c r="G1271" s="114"/>
      <c r="H1271" s="54"/>
      <c r="I1271" s="114"/>
      <c r="J1271" s="54"/>
      <c r="L1271" s="54"/>
      <c r="N1271" s="54"/>
      <c r="P1271" s="54"/>
      <c r="R1271" s="54"/>
      <c r="T1271" s="1"/>
      <c r="V1271" s="54"/>
      <c r="X1271" s="54"/>
      <c r="Z1271" s="54"/>
      <c r="AB1271" s="54"/>
      <c r="AD1271" s="54"/>
      <c r="AF1271" s="54"/>
      <c r="AH1271" s="54"/>
      <c r="AJ1271" s="54"/>
      <c r="AL1271" s="54"/>
      <c r="AO1271" s="54"/>
      <c r="AP1271" s="1"/>
      <c r="AQ1271" s="54"/>
      <c r="AR1271" s="171"/>
      <c r="AS1271" s="1"/>
      <c r="AT1271" s="1"/>
      <c r="AU1271" s="1"/>
    </row>
    <row r="1272">
      <c r="A1272" s="54"/>
      <c r="B1272" s="71"/>
      <c r="C1272" s="51"/>
      <c r="D1272" s="54"/>
      <c r="E1272" s="114"/>
      <c r="F1272" s="16"/>
      <c r="G1272" s="114"/>
      <c r="H1272" s="54"/>
      <c r="I1272" s="114"/>
      <c r="J1272" s="54"/>
      <c r="L1272" s="54"/>
      <c r="N1272" s="54"/>
      <c r="P1272" s="54"/>
      <c r="R1272" s="54"/>
      <c r="T1272" s="1"/>
      <c r="V1272" s="54"/>
      <c r="X1272" s="54"/>
      <c r="Z1272" s="54"/>
      <c r="AB1272" s="54"/>
      <c r="AD1272" s="54"/>
      <c r="AF1272" s="54"/>
      <c r="AH1272" s="54"/>
      <c r="AJ1272" s="54"/>
      <c r="AL1272" s="54"/>
      <c r="AO1272" s="54"/>
      <c r="AP1272" s="1"/>
      <c r="AQ1272" s="54"/>
      <c r="AR1272" s="171"/>
      <c r="AS1272" s="1"/>
      <c r="AT1272" s="1"/>
      <c r="AU1272" s="1"/>
    </row>
    <row r="1273">
      <c r="A1273" s="54"/>
      <c r="B1273" s="71"/>
      <c r="C1273" s="51"/>
      <c r="D1273" s="54"/>
      <c r="E1273" s="114"/>
      <c r="F1273" s="16"/>
      <c r="G1273" s="114"/>
      <c r="H1273" s="54"/>
      <c r="I1273" s="114"/>
      <c r="J1273" s="54"/>
      <c r="L1273" s="54"/>
      <c r="N1273" s="54"/>
      <c r="P1273" s="54"/>
      <c r="R1273" s="54"/>
      <c r="T1273" s="1"/>
      <c r="V1273" s="54"/>
      <c r="X1273" s="54"/>
      <c r="Z1273" s="54"/>
      <c r="AB1273" s="54"/>
      <c r="AD1273" s="54"/>
      <c r="AF1273" s="54"/>
      <c r="AH1273" s="54"/>
      <c r="AJ1273" s="54"/>
      <c r="AL1273" s="54"/>
      <c r="AO1273" s="54"/>
      <c r="AP1273" s="1"/>
      <c r="AQ1273" s="54"/>
      <c r="AR1273" s="171"/>
      <c r="AS1273" s="1"/>
      <c r="AT1273" s="1"/>
      <c r="AU1273" s="1"/>
    </row>
    <row r="1274">
      <c r="A1274" s="54"/>
      <c r="B1274" s="71"/>
      <c r="C1274" s="51"/>
      <c r="D1274" s="54"/>
      <c r="E1274" s="114"/>
      <c r="F1274" s="16"/>
      <c r="G1274" s="114"/>
      <c r="H1274" s="54"/>
      <c r="I1274" s="114"/>
      <c r="J1274" s="54"/>
      <c r="L1274" s="54"/>
      <c r="N1274" s="54"/>
      <c r="P1274" s="54"/>
      <c r="R1274" s="54"/>
      <c r="T1274" s="1"/>
      <c r="V1274" s="54"/>
      <c r="X1274" s="54"/>
      <c r="Z1274" s="54"/>
      <c r="AB1274" s="54"/>
      <c r="AD1274" s="54"/>
      <c r="AF1274" s="54"/>
      <c r="AH1274" s="54"/>
      <c r="AJ1274" s="54"/>
      <c r="AL1274" s="54"/>
      <c r="AO1274" s="54"/>
      <c r="AP1274" s="1"/>
      <c r="AQ1274" s="54"/>
      <c r="AR1274" s="171"/>
      <c r="AS1274" s="1"/>
      <c r="AT1274" s="1"/>
      <c r="AU1274" s="1"/>
    </row>
    <row r="1275">
      <c r="A1275" s="54"/>
      <c r="B1275" s="71"/>
      <c r="C1275" s="51"/>
      <c r="D1275" s="54"/>
      <c r="E1275" s="114"/>
      <c r="F1275" s="16"/>
      <c r="G1275" s="114"/>
      <c r="H1275" s="54"/>
      <c r="I1275" s="114"/>
      <c r="J1275" s="54"/>
      <c r="L1275" s="54"/>
      <c r="N1275" s="54"/>
      <c r="P1275" s="54"/>
      <c r="R1275" s="54"/>
      <c r="T1275" s="1"/>
      <c r="V1275" s="54"/>
      <c r="X1275" s="54"/>
      <c r="Z1275" s="54"/>
      <c r="AB1275" s="54"/>
      <c r="AD1275" s="54"/>
      <c r="AF1275" s="54"/>
      <c r="AH1275" s="54"/>
      <c r="AJ1275" s="54"/>
      <c r="AL1275" s="54"/>
      <c r="AO1275" s="54"/>
      <c r="AP1275" s="1"/>
      <c r="AQ1275" s="54"/>
      <c r="AR1275" s="171"/>
      <c r="AS1275" s="1"/>
      <c r="AT1275" s="1"/>
      <c r="AU1275" s="1"/>
    </row>
    <row r="1276">
      <c r="A1276" s="54"/>
      <c r="B1276" s="71"/>
      <c r="C1276" s="51"/>
      <c r="D1276" s="54"/>
      <c r="E1276" s="114"/>
      <c r="F1276" s="16"/>
      <c r="G1276" s="114"/>
      <c r="H1276" s="54"/>
      <c r="I1276" s="114"/>
      <c r="J1276" s="54"/>
      <c r="L1276" s="54"/>
      <c r="N1276" s="54"/>
      <c r="P1276" s="54"/>
      <c r="R1276" s="54"/>
      <c r="T1276" s="1"/>
      <c r="V1276" s="54"/>
      <c r="X1276" s="54"/>
      <c r="Z1276" s="54"/>
      <c r="AB1276" s="54"/>
      <c r="AD1276" s="54"/>
      <c r="AF1276" s="54"/>
      <c r="AH1276" s="54"/>
      <c r="AJ1276" s="54"/>
      <c r="AL1276" s="54"/>
      <c r="AO1276" s="54"/>
      <c r="AP1276" s="1"/>
      <c r="AQ1276" s="54"/>
      <c r="AR1276" s="171"/>
      <c r="AS1276" s="1"/>
      <c r="AT1276" s="1"/>
      <c r="AU1276" s="1"/>
    </row>
    <row r="1277">
      <c r="A1277" s="54"/>
      <c r="B1277" s="71"/>
      <c r="C1277" s="51"/>
      <c r="D1277" s="54"/>
      <c r="E1277" s="114"/>
      <c r="F1277" s="16"/>
      <c r="G1277" s="114"/>
      <c r="H1277" s="54"/>
      <c r="I1277" s="114"/>
      <c r="J1277" s="54"/>
      <c r="L1277" s="54"/>
      <c r="N1277" s="54"/>
      <c r="P1277" s="54"/>
      <c r="R1277" s="54"/>
      <c r="T1277" s="1"/>
      <c r="V1277" s="54"/>
      <c r="X1277" s="54"/>
      <c r="Z1277" s="54"/>
      <c r="AB1277" s="54"/>
      <c r="AD1277" s="54"/>
      <c r="AF1277" s="54"/>
      <c r="AH1277" s="54"/>
      <c r="AJ1277" s="54"/>
      <c r="AL1277" s="54"/>
      <c r="AO1277" s="54"/>
      <c r="AP1277" s="1"/>
      <c r="AQ1277" s="54"/>
      <c r="AR1277" s="171"/>
      <c r="AS1277" s="1"/>
      <c r="AT1277" s="1"/>
      <c r="AU1277" s="1"/>
    </row>
    <row r="1278">
      <c r="A1278" s="54"/>
      <c r="B1278" s="71"/>
      <c r="C1278" s="51"/>
      <c r="D1278" s="54"/>
      <c r="E1278" s="114"/>
      <c r="F1278" s="16"/>
      <c r="G1278" s="114"/>
      <c r="H1278" s="54"/>
      <c r="I1278" s="114"/>
      <c r="J1278" s="54"/>
      <c r="L1278" s="54"/>
      <c r="N1278" s="54"/>
      <c r="P1278" s="54"/>
      <c r="R1278" s="54"/>
      <c r="T1278" s="1"/>
      <c r="V1278" s="54"/>
      <c r="X1278" s="54"/>
      <c r="Z1278" s="54"/>
      <c r="AB1278" s="54"/>
      <c r="AD1278" s="54"/>
      <c r="AF1278" s="54"/>
      <c r="AH1278" s="54"/>
      <c r="AJ1278" s="54"/>
      <c r="AL1278" s="54"/>
      <c r="AO1278" s="54"/>
      <c r="AP1278" s="1"/>
      <c r="AQ1278" s="54"/>
      <c r="AR1278" s="171"/>
      <c r="AS1278" s="1"/>
      <c r="AT1278" s="1"/>
      <c r="AU1278" s="1"/>
    </row>
    <row r="1279">
      <c r="A1279" s="54"/>
      <c r="B1279" s="71"/>
      <c r="C1279" s="51"/>
      <c r="D1279" s="54"/>
      <c r="E1279" s="114"/>
      <c r="F1279" s="16"/>
      <c r="G1279" s="114"/>
      <c r="H1279" s="54"/>
      <c r="I1279" s="114"/>
      <c r="J1279" s="54"/>
      <c r="L1279" s="54"/>
      <c r="N1279" s="54"/>
      <c r="P1279" s="54"/>
      <c r="R1279" s="54"/>
      <c r="T1279" s="1"/>
      <c r="V1279" s="54"/>
      <c r="X1279" s="54"/>
      <c r="Z1279" s="54"/>
      <c r="AB1279" s="54"/>
      <c r="AD1279" s="54"/>
      <c r="AF1279" s="54"/>
      <c r="AH1279" s="54"/>
      <c r="AJ1279" s="54"/>
      <c r="AL1279" s="54"/>
      <c r="AO1279" s="54"/>
      <c r="AP1279" s="1"/>
      <c r="AQ1279" s="54"/>
      <c r="AR1279" s="171"/>
      <c r="AS1279" s="1"/>
      <c r="AT1279" s="1"/>
      <c r="AU1279" s="1"/>
    </row>
    <row r="1280">
      <c r="A1280" s="54"/>
      <c r="B1280" s="71"/>
      <c r="C1280" s="51"/>
      <c r="D1280" s="54"/>
      <c r="E1280" s="114"/>
      <c r="F1280" s="16"/>
      <c r="G1280" s="114"/>
      <c r="H1280" s="54"/>
      <c r="I1280" s="114"/>
      <c r="J1280" s="54"/>
      <c r="L1280" s="54"/>
      <c r="N1280" s="54"/>
      <c r="P1280" s="54"/>
      <c r="R1280" s="54"/>
      <c r="T1280" s="1"/>
      <c r="V1280" s="54"/>
      <c r="X1280" s="54"/>
      <c r="Z1280" s="54"/>
      <c r="AB1280" s="54"/>
      <c r="AD1280" s="54"/>
      <c r="AF1280" s="54"/>
      <c r="AH1280" s="54"/>
      <c r="AJ1280" s="54"/>
      <c r="AL1280" s="54"/>
      <c r="AO1280" s="54"/>
      <c r="AP1280" s="1"/>
      <c r="AQ1280" s="54"/>
      <c r="AR1280" s="171"/>
      <c r="AS1280" s="1"/>
      <c r="AT1280" s="1"/>
      <c r="AU1280" s="1"/>
    </row>
    <row r="1281">
      <c r="A1281" s="54"/>
      <c r="B1281" s="71"/>
      <c r="C1281" s="51"/>
      <c r="D1281" s="54"/>
      <c r="E1281" s="114"/>
      <c r="F1281" s="16"/>
      <c r="G1281" s="114"/>
      <c r="H1281" s="54"/>
      <c r="I1281" s="114"/>
      <c r="J1281" s="54"/>
      <c r="L1281" s="54"/>
      <c r="N1281" s="54"/>
      <c r="P1281" s="54"/>
      <c r="R1281" s="54"/>
      <c r="T1281" s="1"/>
      <c r="V1281" s="54"/>
      <c r="X1281" s="54"/>
      <c r="Z1281" s="54"/>
      <c r="AB1281" s="54"/>
      <c r="AD1281" s="54"/>
      <c r="AF1281" s="54"/>
      <c r="AH1281" s="54"/>
      <c r="AJ1281" s="54"/>
      <c r="AL1281" s="54"/>
      <c r="AO1281" s="54"/>
      <c r="AP1281" s="1"/>
      <c r="AQ1281" s="54"/>
      <c r="AR1281" s="171"/>
      <c r="AS1281" s="1"/>
      <c r="AT1281" s="1"/>
      <c r="AU1281" s="1"/>
    </row>
    <row r="1282">
      <c r="A1282" s="54"/>
      <c r="B1282" s="71"/>
      <c r="C1282" s="51"/>
      <c r="D1282" s="54"/>
      <c r="E1282" s="114"/>
      <c r="F1282" s="16"/>
      <c r="G1282" s="114"/>
      <c r="H1282" s="54"/>
      <c r="I1282" s="114"/>
      <c r="J1282" s="54"/>
      <c r="L1282" s="54"/>
      <c r="N1282" s="54"/>
      <c r="P1282" s="54"/>
      <c r="R1282" s="54"/>
      <c r="T1282" s="1"/>
      <c r="V1282" s="54"/>
      <c r="X1282" s="54"/>
      <c r="Z1282" s="54"/>
      <c r="AB1282" s="54"/>
      <c r="AD1282" s="54"/>
      <c r="AF1282" s="54"/>
      <c r="AH1282" s="54"/>
      <c r="AJ1282" s="54"/>
      <c r="AL1282" s="54"/>
      <c r="AO1282" s="54"/>
      <c r="AP1282" s="1"/>
      <c r="AQ1282" s="54"/>
      <c r="AR1282" s="171"/>
      <c r="AS1282" s="1"/>
      <c r="AT1282" s="1"/>
      <c r="AU1282" s="1"/>
    </row>
    <row r="1283">
      <c r="A1283" s="54"/>
      <c r="B1283" s="71"/>
      <c r="C1283" s="51"/>
      <c r="D1283" s="54"/>
      <c r="E1283" s="114"/>
      <c r="F1283" s="16"/>
      <c r="G1283" s="114"/>
      <c r="H1283" s="54"/>
      <c r="I1283" s="114"/>
      <c r="J1283" s="54"/>
      <c r="L1283" s="54"/>
      <c r="N1283" s="54"/>
      <c r="P1283" s="54"/>
      <c r="R1283" s="54"/>
      <c r="T1283" s="1"/>
      <c r="V1283" s="54"/>
      <c r="X1283" s="54"/>
      <c r="Z1283" s="54"/>
      <c r="AB1283" s="54"/>
      <c r="AD1283" s="54"/>
      <c r="AF1283" s="54"/>
      <c r="AH1283" s="54"/>
      <c r="AJ1283" s="54"/>
      <c r="AL1283" s="54"/>
      <c r="AO1283" s="54"/>
      <c r="AP1283" s="1"/>
      <c r="AQ1283" s="54"/>
      <c r="AR1283" s="171"/>
      <c r="AS1283" s="1"/>
      <c r="AT1283" s="1"/>
      <c r="AU1283" s="1"/>
    </row>
    <row r="1284">
      <c r="A1284" s="54"/>
      <c r="B1284" s="71"/>
      <c r="C1284" s="51"/>
      <c r="D1284" s="54"/>
      <c r="E1284" s="114"/>
      <c r="F1284" s="16"/>
      <c r="G1284" s="114"/>
      <c r="H1284" s="54"/>
      <c r="I1284" s="114"/>
      <c r="J1284" s="54"/>
      <c r="L1284" s="54"/>
      <c r="N1284" s="54"/>
      <c r="P1284" s="54"/>
      <c r="R1284" s="54"/>
      <c r="T1284" s="1"/>
      <c r="V1284" s="54"/>
      <c r="X1284" s="54"/>
      <c r="Z1284" s="54"/>
      <c r="AB1284" s="54"/>
      <c r="AD1284" s="54"/>
      <c r="AF1284" s="54"/>
      <c r="AH1284" s="54"/>
      <c r="AJ1284" s="54"/>
      <c r="AL1284" s="54"/>
      <c r="AO1284" s="54"/>
      <c r="AP1284" s="1"/>
      <c r="AQ1284" s="54"/>
      <c r="AR1284" s="171"/>
      <c r="AS1284" s="1"/>
      <c r="AT1284" s="1"/>
      <c r="AU1284" s="1"/>
    </row>
    <row r="1285">
      <c r="A1285" s="54"/>
      <c r="B1285" s="71"/>
      <c r="C1285" s="51"/>
      <c r="D1285" s="54"/>
      <c r="E1285" s="114"/>
      <c r="F1285" s="16"/>
      <c r="G1285" s="114"/>
      <c r="H1285" s="54"/>
      <c r="I1285" s="114"/>
      <c r="J1285" s="54"/>
      <c r="L1285" s="54"/>
      <c r="N1285" s="54"/>
      <c r="P1285" s="54"/>
      <c r="R1285" s="54"/>
      <c r="T1285" s="1"/>
      <c r="V1285" s="54"/>
      <c r="X1285" s="54"/>
      <c r="Z1285" s="54"/>
      <c r="AB1285" s="54"/>
      <c r="AD1285" s="54"/>
      <c r="AF1285" s="54"/>
      <c r="AH1285" s="54"/>
      <c r="AJ1285" s="54"/>
      <c r="AL1285" s="54"/>
      <c r="AO1285" s="54"/>
      <c r="AP1285" s="1"/>
      <c r="AQ1285" s="54"/>
      <c r="AR1285" s="171"/>
      <c r="AS1285" s="1"/>
      <c r="AT1285" s="1"/>
      <c r="AU1285" s="1"/>
    </row>
    <row r="1286">
      <c r="A1286" s="54"/>
      <c r="B1286" s="71"/>
      <c r="C1286" s="51"/>
      <c r="D1286" s="54"/>
      <c r="E1286" s="114"/>
      <c r="F1286" s="16"/>
      <c r="G1286" s="114"/>
      <c r="H1286" s="54"/>
      <c r="I1286" s="114"/>
      <c r="J1286" s="54"/>
      <c r="L1286" s="54"/>
      <c r="N1286" s="54"/>
      <c r="P1286" s="54"/>
      <c r="R1286" s="54"/>
      <c r="T1286" s="1"/>
      <c r="V1286" s="54"/>
      <c r="X1286" s="54"/>
      <c r="Z1286" s="54"/>
      <c r="AB1286" s="54"/>
      <c r="AD1286" s="54"/>
      <c r="AF1286" s="54"/>
      <c r="AH1286" s="54"/>
      <c r="AJ1286" s="54"/>
      <c r="AL1286" s="54"/>
      <c r="AO1286" s="54"/>
      <c r="AP1286" s="1"/>
      <c r="AQ1286" s="54"/>
      <c r="AR1286" s="171"/>
      <c r="AS1286" s="1"/>
      <c r="AT1286" s="1"/>
      <c r="AU1286" s="1"/>
    </row>
    <row r="1287">
      <c r="A1287" s="54"/>
      <c r="B1287" s="71"/>
      <c r="C1287" s="51"/>
      <c r="D1287" s="54"/>
      <c r="E1287" s="114"/>
      <c r="F1287" s="16"/>
      <c r="G1287" s="114"/>
      <c r="H1287" s="54"/>
      <c r="I1287" s="114"/>
      <c r="J1287" s="54"/>
      <c r="L1287" s="54"/>
      <c r="N1287" s="54"/>
      <c r="P1287" s="54"/>
      <c r="R1287" s="54"/>
      <c r="T1287" s="1"/>
      <c r="V1287" s="54"/>
      <c r="X1287" s="54"/>
      <c r="Z1287" s="54"/>
      <c r="AB1287" s="54"/>
      <c r="AD1287" s="54"/>
      <c r="AF1287" s="54"/>
      <c r="AH1287" s="54"/>
      <c r="AJ1287" s="54"/>
      <c r="AL1287" s="54"/>
      <c r="AO1287" s="54"/>
      <c r="AP1287" s="1"/>
      <c r="AQ1287" s="54"/>
      <c r="AR1287" s="171"/>
      <c r="AS1287" s="1"/>
      <c r="AT1287" s="1"/>
      <c r="AU1287" s="1"/>
    </row>
    <row r="1288">
      <c r="A1288" s="54"/>
      <c r="B1288" s="71"/>
      <c r="C1288" s="51"/>
      <c r="D1288" s="54"/>
      <c r="E1288" s="114"/>
      <c r="F1288" s="16"/>
      <c r="G1288" s="114"/>
      <c r="H1288" s="54"/>
      <c r="I1288" s="114"/>
      <c r="J1288" s="54"/>
      <c r="L1288" s="54"/>
      <c r="N1288" s="54"/>
      <c r="P1288" s="54"/>
      <c r="R1288" s="54"/>
      <c r="T1288" s="1"/>
      <c r="V1288" s="54"/>
      <c r="X1288" s="54"/>
      <c r="Z1288" s="54"/>
      <c r="AB1288" s="54"/>
      <c r="AD1288" s="54"/>
      <c r="AF1288" s="54"/>
      <c r="AH1288" s="54"/>
      <c r="AJ1288" s="54"/>
      <c r="AL1288" s="54"/>
      <c r="AO1288" s="54"/>
      <c r="AP1288" s="1"/>
      <c r="AQ1288" s="54"/>
      <c r="AR1288" s="171"/>
      <c r="AS1288" s="1"/>
      <c r="AT1288" s="1"/>
      <c r="AU1288" s="1"/>
    </row>
    <row r="1289">
      <c r="A1289" s="54"/>
      <c r="B1289" s="71"/>
      <c r="C1289" s="51"/>
      <c r="D1289" s="54"/>
      <c r="E1289" s="114"/>
      <c r="F1289" s="16"/>
      <c r="G1289" s="114"/>
      <c r="H1289" s="54"/>
      <c r="I1289" s="114"/>
      <c r="J1289" s="54"/>
      <c r="L1289" s="54"/>
      <c r="N1289" s="54"/>
      <c r="P1289" s="54"/>
      <c r="R1289" s="54"/>
      <c r="T1289" s="1"/>
      <c r="V1289" s="54"/>
      <c r="X1289" s="54"/>
      <c r="Z1289" s="54"/>
      <c r="AB1289" s="54"/>
      <c r="AD1289" s="54"/>
      <c r="AF1289" s="54"/>
      <c r="AH1289" s="54"/>
      <c r="AJ1289" s="54"/>
      <c r="AL1289" s="54"/>
      <c r="AO1289" s="54"/>
      <c r="AP1289" s="1"/>
      <c r="AQ1289" s="54"/>
      <c r="AR1289" s="171"/>
      <c r="AS1289" s="1"/>
      <c r="AT1289" s="1"/>
      <c r="AU1289" s="1"/>
    </row>
    <row r="1290">
      <c r="A1290" s="54"/>
      <c r="B1290" s="71"/>
      <c r="C1290" s="51"/>
      <c r="D1290" s="54"/>
      <c r="E1290" s="114"/>
      <c r="F1290" s="16"/>
      <c r="G1290" s="114"/>
      <c r="H1290" s="54"/>
      <c r="I1290" s="114"/>
      <c r="J1290" s="54"/>
      <c r="L1290" s="54"/>
      <c r="N1290" s="54"/>
      <c r="P1290" s="54"/>
      <c r="R1290" s="54"/>
      <c r="T1290" s="1"/>
      <c r="V1290" s="54"/>
      <c r="X1290" s="54"/>
      <c r="Z1290" s="54"/>
      <c r="AB1290" s="54"/>
      <c r="AD1290" s="54"/>
      <c r="AF1290" s="54"/>
      <c r="AH1290" s="54"/>
      <c r="AJ1290" s="54"/>
      <c r="AL1290" s="54"/>
      <c r="AO1290" s="54"/>
      <c r="AP1290" s="1"/>
      <c r="AQ1290" s="54"/>
      <c r="AR1290" s="171"/>
      <c r="AS1290" s="1"/>
      <c r="AT1290" s="1"/>
      <c r="AU1290" s="1"/>
    </row>
    <row r="1291">
      <c r="A1291" s="54"/>
      <c r="B1291" s="71"/>
      <c r="C1291" s="51"/>
      <c r="D1291" s="54"/>
      <c r="E1291" s="114"/>
      <c r="F1291" s="16"/>
      <c r="G1291" s="114"/>
      <c r="H1291" s="54"/>
      <c r="I1291" s="114"/>
      <c r="J1291" s="54"/>
      <c r="L1291" s="54"/>
      <c r="N1291" s="54"/>
      <c r="P1291" s="54"/>
      <c r="R1291" s="54"/>
      <c r="T1291" s="1"/>
      <c r="V1291" s="54"/>
      <c r="X1291" s="54"/>
      <c r="Z1291" s="54"/>
      <c r="AB1291" s="54"/>
      <c r="AD1291" s="54"/>
      <c r="AF1291" s="54"/>
      <c r="AH1291" s="54"/>
      <c r="AJ1291" s="54"/>
      <c r="AL1291" s="54"/>
      <c r="AO1291" s="54"/>
      <c r="AP1291" s="1"/>
      <c r="AQ1291" s="54"/>
      <c r="AR1291" s="171"/>
      <c r="AS1291" s="1"/>
      <c r="AT1291" s="1"/>
      <c r="AU1291" s="1"/>
    </row>
    <row r="1292">
      <c r="A1292" s="54"/>
      <c r="B1292" s="71"/>
      <c r="C1292" s="51"/>
      <c r="D1292" s="54"/>
      <c r="E1292" s="114"/>
      <c r="F1292" s="16"/>
      <c r="G1292" s="114"/>
      <c r="H1292" s="54"/>
      <c r="I1292" s="114"/>
      <c r="J1292" s="54"/>
      <c r="L1292" s="54"/>
      <c r="N1292" s="54"/>
      <c r="P1292" s="54"/>
      <c r="R1292" s="54"/>
      <c r="T1292" s="1"/>
      <c r="V1292" s="54"/>
      <c r="X1292" s="54"/>
      <c r="Z1292" s="54"/>
      <c r="AB1292" s="54"/>
      <c r="AD1292" s="54"/>
      <c r="AF1292" s="54"/>
      <c r="AH1292" s="54"/>
      <c r="AJ1292" s="54"/>
      <c r="AL1292" s="54"/>
      <c r="AO1292" s="54"/>
      <c r="AP1292" s="1"/>
      <c r="AQ1292" s="54"/>
      <c r="AR1292" s="171"/>
      <c r="AS1292" s="1"/>
      <c r="AT1292" s="1"/>
      <c r="AU1292" s="1"/>
    </row>
    <row r="1293">
      <c r="A1293" s="54"/>
      <c r="B1293" s="71"/>
      <c r="C1293" s="51"/>
      <c r="D1293" s="54"/>
      <c r="E1293" s="114"/>
      <c r="F1293" s="16"/>
      <c r="G1293" s="114"/>
      <c r="H1293" s="54"/>
      <c r="I1293" s="114"/>
      <c r="J1293" s="54"/>
      <c r="L1293" s="54"/>
      <c r="N1293" s="54"/>
      <c r="P1293" s="54"/>
      <c r="R1293" s="54"/>
      <c r="T1293" s="1"/>
      <c r="V1293" s="54"/>
      <c r="X1293" s="54"/>
      <c r="Z1293" s="54"/>
      <c r="AB1293" s="54"/>
      <c r="AD1293" s="54"/>
      <c r="AF1293" s="54"/>
      <c r="AH1293" s="54"/>
      <c r="AJ1293" s="54"/>
      <c r="AL1293" s="54"/>
      <c r="AO1293" s="54"/>
      <c r="AP1293" s="1"/>
      <c r="AQ1293" s="54"/>
      <c r="AR1293" s="171"/>
      <c r="AS1293" s="1"/>
      <c r="AT1293" s="1"/>
      <c r="AU1293" s="1"/>
    </row>
    <row r="1294">
      <c r="A1294" s="54"/>
      <c r="B1294" s="71"/>
      <c r="C1294" s="51"/>
      <c r="D1294" s="54"/>
      <c r="E1294" s="114"/>
      <c r="F1294" s="16"/>
      <c r="G1294" s="114"/>
      <c r="H1294" s="54"/>
      <c r="I1294" s="114"/>
      <c r="J1294" s="54"/>
      <c r="L1294" s="54"/>
      <c r="N1294" s="54"/>
      <c r="P1294" s="54"/>
      <c r="R1294" s="54"/>
      <c r="T1294" s="1"/>
      <c r="V1294" s="54"/>
      <c r="X1294" s="54"/>
      <c r="Z1294" s="54"/>
      <c r="AB1294" s="54"/>
      <c r="AD1294" s="54"/>
      <c r="AF1294" s="54"/>
      <c r="AH1294" s="54"/>
      <c r="AJ1294" s="54"/>
      <c r="AL1294" s="54"/>
      <c r="AO1294" s="54"/>
      <c r="AP1294" s="1"/>
      <c r="AQ1294" s="54"/>
      <c r="AR1294" s="171"/>
      <c r="AS1294" s="1"/>
      <c r="AT1294" s="1"/>
      <c r="AU1294" s="1"/>
    </row>
    <row r="1295">
      <c r="A1295" s="54"/>
      <c r="B1295" s="71"/>
      <c r="C1295" s="51"/>
      <c r="D1295" s="54"/>
      <c r="E1295" s="114"/>
      <c r="F1295" s="16"/>
      <c r="G1295" s="114"/>
      <c r="H1295" s="54"/>
      <c r="I1295" s="114"/>
      <c r="J1295" s="54"/>
      <c r="L1295" s="54"/>
      <c r="N1295" s="54"/>
      <c r="P1295" s="54"/>
      <c r="R1295" s="54"/>
      <c r="T1295" s="1"/>
      <c r="V1295" s="54"/>
      <c r="X1295" s="54"/>
      <c r="Z1295" s="54"/>
      <c r="AB1295" s="54"/>
      <c r="AD1295" s="54"/>
      <c r="AF1295" s="54"/>
      <c r="AH1295" s="54"/>
      <c r="AJ1295" s="54"/>
      <c r="AL1295" s="54"/>
      <c r="AO1295" s="54"/>
      <c r="AP1295" s="1"/>
      <c r="AQ1295" s="54"/>
      <c r="AR1295" s="171"/>
      <c r="AS1295" s="1"/>
      <c r="AT1295" s="1"/>
      <c r="AU1295" s="1"/>
    </row>
    <row r="1296">
      <c r="A1296" s="54"/>
      <c r="B1296" s="71"/>
      <c r="C1296" s="51"/>
      <c r="D1296" s="54"/>
      <c r="E1296" s="114"/>
      <c r="F1296" s="16"/>
      <c r="G1296" s="114"/>
      <c r="H1296" s="54"/>
      <c r="I1296" s="114"/>
      <c r="J1296" s="54"/>
      <c r="L1296" s="54"/>
      <c r="N1296" s="54"/>
      <c r="P1296" s="54"/>
      <c r="R1296" s="54"/>
      <c r="T1296" s="1"/>
      <c r="V1296" s="54"/>
      <c r="X1296" s="54"/>
      <c r="Z1296" s="54"/>
      <c r="AB1296" s="54"/>
      <c r="AD1296" s="54"/>
      <c r="AF1296" s="54"/>
      <c r="AH1296" s="54"/>
      <c r="AJ1296" s="54"/>
      <c r="AL1296" s="54"/>
      <c r="AO1296" s="54"/>
      <c r="AP1296" s="1"/>
      <c r="AQ1296" s="54"/>
      <c r="AR1296" s="171"/>
      <c r="AS1296" s="1"/>
      <c r="AT1296" s="1"/>
      <c r="AU1296" s="1"/>
    </row>
    <row r="1297">
      <c r="A1297" s="54"/>
      <c r="B1297" s="71"/>
      <c r="C1297" s="51"/>
      <c r="D1297" s="54"/>
      <c r="E1297" s="114"/>
      <c r="F1297" s="16"/>
      <c r="G1297" s="114"/>
      <c r="H1297" s="54"/>
      <c r="I1297" s="114"/>
      <c r="J1297" s="54"/>
      <c r="L1297" s="54"/>
      <c r="N1297" s="54"/>
      <c r="P1297" s="54"/>
      <c r="R1297" s="54"/>
      <c r="T1297" s="1"/>
      <c r="V1297" s="54"/>
      <c r="X1297" s="54"/>
      <c r="Z1297" s="54"/>
      <c r="AB1297" s="54"/>
      <c r="AD1297" s="54"/>
      <c r="AF1297" s="54"/>
      <c r="AH1297" s="54"/>
      <c r="AJ1297" s="54"/>
      <c r="AL1297" s="54"/>
      <c r="AO1297" s="54"/>
      <c r="AP1297" s="1"/>
      <c r="AQ1297" s="54"/>
      <c r="AR1297" s="171"/>
      <c r="AS1297" s="1"/>
      <c r="AT1297" s="1"/>
      <c r="AU1297" s="1"/>
    </row>
    <row r="1298">
      <c r="A1298" s="54"/>
      <c r="B1298" s="71"/>
      <c r="C1298" s="51"/>
      <c r="D1298" s="54"/>
      <c r="E1298" s="114"/>
      <c r="F1298" s="16"/>
      <c r="G1298" s="114"/>
      <c r="H1298" s="54"/>
      <c r="I1298" s="114"/>
      <c r="J1298" s="54"/>
      <c r="L1298" s="54"/>
      <c r="N1298" s="54"/>
      <c r="P1298" s="54"/>
      <c r="R1298" s="54"/>
      <c r="T1298" s="1"/>
      <c r="V1298" s="54"/>
      <c r="X1298" s="54"/>
      <c r="Z1298" s="54"/>
      <c r="AB1298" s="54"/>
      <c r="AD1298" s="54"/>
      <c r="AF1298" s="54"/>
      <c r="AH1298" s="54"/>
      <c r="AJ1298" s="54"/>
      <c r="AL1298" s="54"/>
      <c r="AO1298" s="54"/>
      <c r="AP1298" s="1"/>
      <c r="AQ1298" s="54"/>
      <c r="AR1298" s="171"/>
      <c r="AS1298" s="1"/>
      <c r="AT1298" s="1"/>
      <c r="AU1298" s="1"/>
    </row>
    <row r="1299">
      <c r="A1299" s="54"/>
      <c r="B1299" s="71"/>
      <c r="C1299" s="51"/>
      <c r="D1299" s="54"/>
      <c r="E1299" s="114"/>
      <c r="F1299" s="16"/>
      <c r="G1299" s="114"/>
      <c r="H1299" s="54"/>
      <c r="I1299" s="114"/>
      <c r="J1299" s="54"/>
      <c r="L1299" s="54"/>
      <c r="N1299" s="54"/>
      <c r="P1299" s="54"/>
      <c r="R1299" s="54"/>
      <c r="T1299" s="1"/>
      <c r="V1299" s="54"/>
      <c r="X1299" s="54"/>
      <c r="Z1299" s="54"/>
      <c r="AB1299" s="54"/>
      <c r="AD1299" s="54"/>
      <c r="AF1299" s="54"/>
      <c r="AH1299" s="54"/>
      <c r="AJ1299" s="54"/>
      <c r="AL1299" s="54"/>
      <c r="AO1299" s="54"/>
      <c r="AP1299" s="1"/>
      <c r="AQ1299" s="54"/>
      <c r="AR1299" s="171"/>
      <c r="AS1299" s="1"/>
      <c r="AT1299" s="1"/>
      <c r="AU1299" s="1"/>
    </row>
    <row r="1300">
      <c r="A1300" s="54"/>
      <c r="B1300" s="71"/>
      <c r="C1300" s="51"/>
      <c r="D1300" s="54"/>
      <c r="E1300" s="114"/>
      <c r="F1300" s="16"/>
      <c r="G1300" s="114"/>
      <c r="H1300" s="54"/>
      <c r="I1300" s="114"/>
      <c r="J1300" s="54"/>
      <c r="L1300" s="54"/>
      <c r="N1300" s="54"/>
      <c r="P1300" s="54"/>
      <c r="R1300" s="54"/>
      <c r="T1300" s="1"/>
      <c r="V1300" s="54"/>
      <c r="X1300" s="54"/>
      <c r="Z1300" s="54"/>
      <c r="AB1300" s="54"/>
      <c r="AD1300" s="54"/>
      <c r="AF1300" s="54"/>
      <c r="AH1300" s="54"/>
      <c r="AJ1300" s="54"/>
      <c r="AL1300" s="54"/>
      <c r="AO1300" s="54"/>
      <c r="AP1300" s="1"/>
      <c r="AQ1300" s="54"/>
      <c r="AR1300" s="171"/>
      <c r="AS1300" s="1"/>
      <c r="AT1300" s="1"/>
      <c r="AU1300" s="1"/>
    </row>
    <row r="1301">
      <c r="A1301" s="54"/>
      <c r="B1301" s="71"/>
      <c r="C1301" s="51"/>
      <c r="D1301" s="54"/>
      <c r="E1301" s="114"/>
      <c r="F1301" s="16"/>
      <c r="G1301" s="114"/>
      <c r="H1301" s="54"/>
      <c r="I1301" s="114"/>
      <c r="J1301" s="54"/>
      <c r="L1301" s="54"/>
      <c r="N1301" s="54"/>
      <c r="P1301" s="54"/>
      <c r="R1301" s="54"/>
      <c r="T1301" s="1"/>
      <c r="V1301" s="54"/>
      <c r="X1301" s="54"/>
      <c r="Z1301" s="54"/>
      <c r="AB1301" s="54"/>
      <c r="AD1301" s="54"/>
      <c r="AF1301" s="54"/>
      <c r="AH1301" s="54"/>
      <c r="AJ1301" s="54"/>
      <c r="AL1301" s="54"/>
      <c r="AO1301" s="54"/>
      <c r="AP1301" s="1"/>
      <c r="AQ1301" s="54"/>
      <c r="AR1301" s="171"/>
      <c r="AS1301" s="1"/>
      <c r="AT1301" s="1"/>
      <c r="AU1301" s="1"/>
    </row>
    <row r="1302">
      <c r="A1302" s="54"/>
      <c r="B1302" s="71"/>
      <c r="C1302" s="51"/>
      <c r="D1302" s="54"/>
      <c r="E1302" s="114"/>
      <c r="F1302" s="16"/>
      <c r="G1302" s="114"/>
      <c r="H1302" s="54"/>
      <c r="I1302" s="114"/>
      <c r="J1302" s="54"/>
      <c r="L1302" s="54"/>
      <c r="N1302" s="54"/>
      <c r="P1302" s="54"/>
      <c r="R1302" s="54"/>
      <c r="T1302" s="1"/>
      <c r="V1302" s="54"/>
      <c r="X1302" s="54"/>
      <c r="Z1302" s="54"/>
      <c r="AB1302" s="54"/>
      <c r="AD1302" s="54"/>
      <c r="AF1302" s="54"/>
      <c r="AH1302" s="54"/>
      <c r="AJ1302" s="54"/>
      <c r="AL1302" s="54"/>
      <c r="AO1302" s="54"/>
      <c r="AP1302" s="1"/>
      <c r="AQ1302" s="54"/>
      <c r="AR1302" s="171"/>
      <c r="AS1302" s="1"/>
      <c r="AT1302" s="1"/>
      <c r="AU1302" s="1"/>
    </row>
    <row r="1303">
      <c r="A1303" s="54"/>
      <c r="B1303" s="71"/>
      <c r="C1303" s="51"/>
      <c r="D1303" s="54"/>
      <c r="E1303" s="114"/>
      <c r="F1303" s="16"/>
      <c r="G1303" s="114"/>
      <c r="H1303" s="54"/>
      <c r="I1303" s="114"/>
      <c r="J1303" s="54"/>
      <c r="L1303" s="54"/>
      <c r="N1303" s="54"/>
      <c r="P1303" s="54"/>
      <c r="R1303" s="54"/>
      <c r="T1303" s="1"/>
      <c r="V1303" s="54"/>
      <c r="X1303" s="54"/>
      <c r="Z1303" s="54"/>
      <c r="AB1303" s="54"/>
      <c r="AD1303" s="54"/>
      <c r="AF1303" s="54"/>
      <c r="AH1303" s="54"/>
      <c r="AJ1303" s="54"/>
      <c r="AL1303" s="54"/>
      <c r="AO1303" s="54"/>
      <c r="AP1303" s="1"/>
      <c r="AQ1303" s="54"/>
      <c r="AR1303" s="171"/>
      <c r="AS1303" s="1"/>
      <c r="AT1303" s="1"/>
      <c r="AU1303" s="1"/>
    </row>
    <row r="1304">
      <c r="A1304" s="54"/>
      <c r="B1304" s="71"/>
      <c r="C1304" s="51"/>
      <c r="D1304" s="54"/>
      <c r="E1304" s="114"/>
      <c r="F1304" s="16"/>
      <c r="G1304" s="114"/>
      <c r="H1304" s="54"/>
      <c r="I1304" s="114"/>
      <c r="J1304" s="54"/>
      <c r="L1304" s="54"/>
      <c r="N1304" s="54"/>
      <c r="P1304" s="54"/>
      <c r="R1304" s="54"/>
      <c r="T1304" s="1"/>
      <c r="V1304" s="54"/>
      <c r="X1304" s="54"/>
      <c r="Z1304" s="54"/>
      <c r="AB1304" s="54"/>
      <c r="AD1304" s="54"/>
      <c r="AF1304" s="54"/>
      <c r="AH1304" s="54"/>
      <c r="AJ1304" s="54"/>
      <c r="AL1304" s="54"/>
      <c r="AO1304" s="54"/>
      <c r="AP1304" s="1"/>
      <c r="AQ1304" s="54"/>
      <c r="AR1304" s="171"/>
      <c r="AS1304" s="1"/>
      <c r="AT1304" s="1"/>
      <c r="AU1304" s="1"/>
    </row>
    <row r="1305">
      <c r="A1305" s="54"/>
      <c r="B1305" s="71"/>
      <c r="C1305" s="51"/>
      <c r="D1305" s="54"/>
      <c r="E1305" s="114"/>
      <c r="F1305" s="16"/>
      <c r="G1305" s="114"/>
      <c r="H1305" s="54"/>
      <c r="I1305" s="114"/>
      <c r="J1305" s="54"/>
      <c r="L1305" s="54"/>
      <c r="N1305" s="54"/>
      <c r="P1305" s="54"/>
      <c r="R1305" s="54"/>
      <c r="T1305" s="1"/>
      <c r="V1305" s="54"/>
      <c r="X1305" s="54"/>
      <c r="Z1305" s="54"/>
      <c r="AB1305" s="54"/>
      <c r="AD1305" s="54"/>
      <c r="AF1305" s="54"/>
      <c r="AH1305" s="54"/>
      <c r="AJ1305" s="54"/>
      <c r="AL1305" s="54"/>
      <c r="AO1305" s="54"/>
      <c r="AP1305" s="1"/>
      <c r="AQ1305" s="54"/>
      <c r="AR1305" s="171"/>
      <c r="AS1305" s="1"/>
      <c r="AT1305" s="1"/>
      <c r="AU1305" s="1"/>
    </row>
    <row r="1306">
      <c r="A1306" s="54"/>
      <c r="B1306" s="71"/>
      <c r="C1306" s="51"/>
      <c r="D1306" s="54"/>
      <c r="E1306" s="114"/>
      <c r="F1306" s="16"/>
      <c r="G1306" s="114"/>
      <c r="H1306" s="54"/>
      <c r="I1306" s="114"/>
      <c r="J1306" s="54"/>
      <c r="L1306" s="54"/>
      <c r="N1306" s="54"/>
      <c r="P1306" s="54"/>
      <c r="R1306" s="54"/>
      <c r="T1306" s="1"/>
      <c r="V1306" s="54"/>
      <c r="X1306" s="54"/>
      <c r="Z1306" s="54"/>
      <c r="AB1306" s="54"/>
      <c r="AD1306" s="54"/>
      <c r="AF1306" s="54"/>
      <c r="AH1306" s="54"/>
      <c r="AJ1306" s="54"/>
      <c r="AL1306" s="54"/>
      <c r="AO1306" s="54"/>
      <c r="AP1306" s="1"/>
      <c r="AQ1306" s="54"/>
      <c r="AR1306" s="171"/>
      <c r="AS1306" s="1"/>
      <c r="AT1306" s="1"/>
      <c r="AU1306" s="1"/>
    </row>
    <row r="1307">
      <c r="A1307" s="54"/>
      <c r="B1307" s="71"/>
      <c r="C1307" s="51"/>
      <c r="D1307" s="54"/>
      <c r="E1307" s="114"/>
      <c r="F1307" s="16"/>
      <c r="G1307" s="114"/>
      <c r="H1307" s="54"/>
      <c r="I1307" s="114"/>
      <c r="J1307" s="54"/>
      <c r="L1307" s="54"/>
      <c r="N1307" s="54"/>
      <c r="P1307" s="54"/>
      <c r="R1307" s="54"/>
      <c r="T1307" s="1"/>
      <c r="V1307" s="54"/>
      <c r="X1307" s="54"/>
      <c r="Z1307" s="54"/>
      <c r="AB1307" s="54"/>
      <c r="AD1307" s="54"/>
      <c r="AF1307" s="54"/>
      <c r="AH1307" s="54"/>
      <c r="AJ1307" s="54"/>
      <c r="AL1307" s="54"/>
      <c r="AO1307" s="54"/>
      <c r="AP1307" s="1"/>
      <c r="AQ1307" s="54"/>
      <c r="AR1307" s="171"/>
      <c r="AS1307" s="1"/>
      <c r="AT1307" s="1"/>
      <c r="AU1307" s="1"/>
    </row>
    <row r="1308">
      <c r="A1308" s="54"/>
      <c r="B1308" s="71"/>
      <c r="C1308" s="51"/>
      <c r="D1308" s="54"/>
      <c r="E1308" s="114"/>
      <c r="F1308" s="16"/>
      <c r="G1308" s="114"/>
      <c r="H1308" s="54"/>
      <c r="I1308" s="114"/>
      <c r="J1308" s="54"/>
      <c r="L1308" s="54"/>
      <c r="N1308" s="54"/>
      <c r="P1308" s="54"/>
      <c r="R1308" s="54"/>
      <c r="T1308" s="1"/>
      <c r="V1308" s="54"/>
      <c r="X1308" s="54"/>
      <c r="Z1308" s="54"/>
      <c r="AB1308" s="54"/>
      <c r="AD1308" s="54"/>
      <c r="AF1308" s="54"/>
      <c r="AH1308" s="54"/>
      <c r="AJ1308" s="54"/>
      <c r="AL1308" s="54"/>
      <c r="AO1308" s="54"/>
      <c r="AP1308" s="1"/>
      <c r="AQ1308" s="54"/>
      <c r="AR1308" s="171"/>
      <c r="AS1308" s="1"/>
      <c r="AT1308" s="1"/>
      <c r="AU1308" s="1"/>
    </row>
    <row r="1309">
      <c r="A1309" s="54"/>
      <c r="B1309" s="71"/>
      <c r="C1309" s="51"/>
      <c r="D1309" s="54"/>
      <c r="E1309" s="114"/>
      <c r="F1309" s="16"/>
      <c r="G1309" s="114"/>
      <c r="H1309" s="54"/>
      <c r="I1309" s="114"/>
      <c r="J1309" s="54"/>
      <c r="L1309" s="54"/>
      <c r="N1309" s="54"/>
      <c r="P1309" s="54"/>
      <c r="R1309" s="54"/>
      <c r="T1309" s="1"/>
      <c r="V1309" s="54"/>
      <c r="X1309" s="54"/>
      <c r="Z1309" s="54"/>
      <c r="AB1309" s="54"/>
      <c r="AD1309" s="54"/>
      <c r="AF1309" s="54"/>
      <c r="AH1309" s="54"/>
      <c r="AJ1309" s="54"/>
      <c r="AL1309" s="54"/>
      <c r="AO1309" s="54"/>
      <c r="AP1309" s="1"/>
      <c r="AQ1309" s="54"/>
      <c r="AR1309" s="171"/>
      <c r="AS1309" s="1"/>
      <c r="AT1309" s="1"/>
      <c r="AU1309" s="1"/>
    </row>
    <row r="1310">
      <c r="A1310" s="54"/>
      <c r="B1310" s="71"/>
      <c r="C1310" s="51"/>
      <c r="D1310" s="54"/>
      <c r="E1310" s="114"/>
      <c r="F1310" s="16"/>
      <c r="G1310" s="114"/>
      <c r="H1310" s="54"/>
      <c r="I1310" s="114"/>
      <c r="J1310" s="54"/>
      <c r="L1310" s="54"/>
      <c r="N1310" s="54"/>
      <c r="P1310" s="54"/>
      <c r="R1310" s="54"/>
      <c r="T1310" s="1"/>
      <c r="V1310" s="54"/>
      <c r="X1310" s="54"/>
      <c r="Z1310" s="54"/>
      <c r="AB1310" s="54"/>
      <c r="AD1310" s="54"/>
      <c r="AF1310" s="54"/>
      <c r="AH1310" s="54"/>
      <c r="AJ1310" s="54"/>
      <c r="AL1310" s="54"/>
      <c r="AO1310" s="54"/>
      <c r="AP1310" s="1"/>
      <c r="AQ1310" s="54"/>
      <c r="AR1310" s="171"/>
      <c r="AS1310" s="1"/>
      <c r="AT1310" s="1"/>
      <c r="AU1310" s="1"/>
    </row>
    <row r="1311">
      <c r="A1311" s="54"/>
      <c r="B1311" s="71"/>
      <c r="C1311" s="51"/>
      <c r="D1311" s="54"/>
      <c r="E1311" s="114"/>
      <c r="F1311" s="16"/>
      <c r="G1311" s="114"/>
      <c r="H1311" s="54"/>
      <c r="I1311" s="114"/>
      <c r="J1311" s="54"/>
      <c r="L1311" s="54"/>
      <c r="N1311" s="54"/>
      <c r="P1311" s="54"/>
      <c r="R1311" s="54"/>
      <c r="T1311" s="1"/>
      <c r="V1311" s="54"/>
      <c r="X1311" s="54"/>
      <c r="Z1311" s="54"/>
      <c r="AB1311" s="54"/>
      <c r="AD1311" s="54"/>
      <c r="AF1311" s="54"/>
      <c r="AH1311" s="54"/>
      <c r="AJ1311" s="54"/>
      <c r="AL1311" s="54"/>
      <c r="AO1311" s="54"/>
      <c r="AP1311" s="1"/>
      <c r="AQ1311" s="54"/>
      <c r="AR1311" s="171"/>
      <c r="AS1311" s="1"/>
      <c r="AT1311" s="1"/>
      <c r="AU1311" s="1"/>
    </row>
    <row r="1312">
      <c r="A1312" s="54"/>
      <c r="B1312" s="71"/>
      <c r="C1312" s="51"/>
      <c r="D1312" s="54"/>
      <c r="E1312" s="114"/>
      <c r="F1312" s="16"/>
      <c r="G1312" s="114"/>
      <c r="H1312" s="54"/>
      <c r="I1312" s="114"/>
      <c r="J1312" s="54"/>
      <c r="L1312" s="54"/>
      <c r="N1312" s="54"/>
      <c r="P1312" s="54"/>
      <c r="R1312" s="54"/>
      <c r="T1312" s="1"/>
      <c r="V1312" s="54"/>
      <c r="X1312" s="54"/>
      <c r="Z1312" s="54"/>
      <c r="AB1312" s="54"/>
      <c r="AD1312" s="54"/>
      <c r="AF1312" s="54"/>
      <c r="AH1312" s="54"/>
      <c r="AJ1312" s="54"/>
      <c r="AL1312" s="54"/>
      <c r="AO1312" s="54"/>
      <c r="AP1312" s="1"/>
      <c r="AQ1312" s="54"/>
      <c r="AR1312" s="171"/>
      <c r="AS1312" s="1"/>
      <c r="AT1312" s="1"/>
      <c r="AU1312" s="1"/>
    </row>
    <row r="1313">
      <c r="A1313" s="54"/>
      <c r="B1313" s="71"/>
      <c r="C1313" s="51"/>
      <c r="D1313" s="54"/>
      <c r="E1313" s="114"/>
      <c r="F1313" s="16"/>
      <c r="G1313" s="114"/>
      <c r="H1313" s="54"/>
      <c r="I1313" s="114"/>
      <c r="J1313" s="54"/>
      <c r="L1313" s="54"/>
      <c r="N1313" s="54"/>
      <c r="P1313" s="54"/>
      <c r="R1313" s="54"/>
      <c r="T1313" s="1"/>
      <c r="V1313" s="54"/>
      <c r="X1313" s="54"/>
      <c r="Z1313" s="54"/>
      <c r="AB1313" s="54"/>
      <c r="AD1313" s="54"/>
      <c r="AF1313" s="54"/>
      <c r="AH1313" s="54"/>
      <c r="AJ1313" s="54"/>
      <c r="AL1313" s="54"/>
      <c r="AO1313" s="54"/>
      <c r="AP1313" s="1"/>
      <c r="AQ1313" s="54"/>
      <c r="AR1313" s="171"/>
      <c r="AS1313" s="1"/>
      <c r="AT1313" s="1"/>
      <c r="AU1313" s="1"/>
    </row>
    <row r="1314">
      <c r="A1314" s="54"/>
      <c r="B1314" s="71"/>
      <c r="C1314" s="51"/>
      <c r="D1314" s="54"/>
      <c r="E1314" s="114"/>
      <c r="F1314" s="16"/>
      <c r="G1314" s="114"/>
      <c r="H1314" s="54"/>
      <c r="I1314" s="114"/>
      <c r="J1314" s="54"/>
      <c r="L1314" s="54"/>
      <c r="N1314" s="54"/>
      <c r="P1314" s="54"/>
      <c r="R1314" s="54"/>
      <c r="T1314" s="1"/>
      <c r="V1314" s="54"/>
      <c r="X1314" s="54"/>
      <c r="Z1314" s="54"/>
      <c r="AB1314" s="54"/>
      <c r="AD1314" s="54"/>
      <c r="AF1314" s="54"/>
      <c r="AH1314" s="54"/>
      <c r="AJ1314" s="54"/>
      <c r="AL1314" s="54"/>
      <c r="AO1314" s="54"/>
      <c r="AP1314" s="1"/>
      <c r="AQ1314" s="54"/>
      <c r="AR1314" s="171"/>
      <c r="AS1314" s="1"/>
      <c r="AT1314" s="1"/>
      <c r="AU1314" s="1"/>
    </row>
    <row r="1315">
      <c r="A1315" s="54"/>
      <c r="B1315" s="71"/>
      <c r="C1315" s="51"/>
      <c r="D1315" s="54"/>
      <c r="E1315" s="114"/>
      <c r="F1315" s="16"/>
      <c r="G1315" s="114"/>
      <c r="H1315" s="54"/>
      <c r="I1315" s="114"/>
      <c r="J1315" s="54"/>
      <c r="L1315" s="54"/>
      <c r="N1315" s="54"/>
      <c r="P1315" s="54"/>
      <c r="R1315" s="54"/>
      <c r="T1315" s="1"/>
      <c r="V1315" s="54"/>
      <c r="X1315" s="54"/>
      <c r="Z1315" s="54"/>
      <c r="AB1315" s="54"/>
      <c r="AD1315" s="54"/>
      <c r="AF1315" s="54"/>
      <c r="AH1315" s="54"/>
      <c r="AJ1315" s="54"/>
      <c r="AL1315" s="54"/>
      <c r="AO1315" s="54"/>
      <c r="AP1315" s="1"/>
      <c r="AQ1315" s="54"/>
      <c r="AR1315" s="171"/>
      <c r="AS1315" s="1"/>
      <c r="AT1315" s="1"/>
      <c r="AU1315" s="1"/>
    </row>
    <row r="1316">
      <c r="A1316" s="54"/>
      <c r="B1316" s="71"/>
      <c r="C1316" s="51"/>
      <c r="D1316" s="54"/>
      <c r="E1316" s="114"/>
      <c r="F1316" s="16"/>
      <c r="G1316" s="114"/>
      <c r="H1316" s="54"/>
      <c r="I1316" s="114"/>
      <c r="J1316" s="54"/>
      <c r="L1316" s="54"/>
      <c r="N1316" s="54"/>
      <c r="P1316" s="54"/>
      <c r="R1316" s="54"/>
      <c r="T1316" s="1"/>
      <c r="V1316" s="54"/>
      <c r="X1316" s="54"/>
      <c r="Z1316" s="54"/>
      <c r="AB1316" s="54"/>
      <c r="AD1316" s="54"/>
      <c r="AF1316" s="54"/>
      <c r="AH1316" s="54"/>
      <c r="AJ1316" s="54"/>
      <c r="AL1316" s="54"/>
      <c r="AO1316" s="54"/>
      <c r="AP1316" s="1"/>
      <c r="AQ1316" s="54"/>
      <c r="AR1316" s="171"/>
      <c r="AS1316" s="1"/>
      <c r="AT1316" s="1"/>
      <c r="AU1316" s="1"/>
    </row>
    <row r="1317">
      <c r="A1317" s="54"/>
      <c r="B1317" s="71"/>
      <c r="C1317" s="51"/>
      <c r="D1317" s="54"/>
      <c r="E1317" s="114"/>
      <c r="F1317" s="16"/>
      <c r="G1317" s="114"/>
      <c r="H1317" s="54"/>
      <c r="I1317" s="114"/>
      <c r="J1317" s="54"/>
      <c r="L1317" s="54"/>
      <c r="N1317" s="54"/>
      <c r="P1317" s="54"/>
      <c r="R1317" s="54"/>
      <c r="T1317" s="1"/>
      <c r="V1317" s="54"/>
      <c r="X1317" s="54"/>
      <c r="Z1317" s="54"/>
      <c r="AB1317" s="54"/>
      <c r="AD1317" s="54"/>
      <c r="AF1317" s="54"/>
      <c r="AH1317" s="54"/>
      <c r="AJ1317" s="54"/>
      <c r="AL1317" s="54"/>
      <c r="AO1317" s="54"/>
      <c r="AP1317" s="1"/>
      <c r="AQ1317" s="54"/>
      <c r="AR1317" s="171"/>
      <c r="AS1317" s="1"/>
      <c r="AT1317" s="1"/>
      <c r="AU1317" s="1"/>
    </row>
    <row r="1318">
      <c r="A1318" s="54"/>
      <c r="B1318" s="71"/>
      <c r="C1318" s="51"/>
      <c r="D1318" s="54"/>
      <c r="E1318" s="114"/>
      <c r="F1318" s="16"/>
      <c r="G1318" s="114"/>
      <c r="H1318" s="54"/>
      <c r="I1318" s="114"/>
      <c r="J1318" s="54"/>
      <c r="L1318" s="54"/>
      <c r="N1318" s="54"/>
      <c r="P1318" s="54"/>
      <c r="R1318" s="54"/>
      <c r="T1318" s="1"/>
      <c r="V1318" s="54"/>
      <c r="X1318" s="54"/>
      <c r="Z1318" s="54"/>
      <c r="AB1318" s="54"/>
      <c r="AD1318" s="54"/>
      <c r="AF1318" s="54"/>
      <c r="AH1318" s="54"/>
      <c r="AJ1318" s="54"/>
      <c r="AL1318" s="54"/>
      <c r="AO1318" s="54"/>
      <c r="AP1318" s="1"/>
      <c r="AQ1318" s="54"/>
      <c r="AR1318" s="171"/>
      <c r="AS1318" s="1"/>
      <c r="AT1318" s="1"/>
      <c r="AU1318" s="1"/>
    </row>
    <row r="1319">
      <c r="A1319" s="54"/>
      <c r="B1319" s="71"/>
      <c r="C1319" s="51"/>
      <c r="D1319" s="54"/>
      <c r="E1319" s="114"/>
      <c r="F1319" s="16"/>
      <c r="G1319" s="114"/>
      <c r="H1319" s="54"/>
      <c r="I1319" s="114"/>
      <c r="J1319" s="54"/>
      <c r="L1319" s="54"/>
      <c r="N1319" s="54"/>
      <c r="P1319" s="54"/>
      <c r="R1319" s="54"/>
      <c r="T1319" s="1"/>
      <c r="V1319" s="54"/>
      <c r="X1319" s="54"/>
      <c r="Z1319" s="54"/>
      <c r="AB1319" s="54"/>
      <c r="AD1319" s="54"/>
      <c r="AF1319" s="54"/>
      <c r="AH1319" s="54"/>
      <c r="AJ1319" s="54"/>
      <c r="AL1319" s="54"/>
      <c r="AO1319" s="54"/>
      <c r="AP1319" s="1"/>
      <c r="AQ1319" s="54"/>
      <c r="AR1319" s="171"/>
      <c r="AS1319" s="1"/>
      <c r="AT1319" s="1"/>
      <c r="AU1319" s="1"/>
    </row>
    <row r="1320">
      <c r="A1320" s="54"/>
      <c r="B1320" s="71"/>
      <c r="C1320" s="51"/>
      <c r="D1320" s="54"/>
      <c r="E1320" s="114"/>
      <c r="F1320" s="16"/>
      <c r="G1320" s="114"/>
      <c r="H1320" s="54"/>
      <c r="I1320" s="114"/>
      <c r="J1320" s="54"/>
      <c r="L1320" s="54"/>
      <c r="N1320" s="54"/>
      <c r="P1320" s="54"/>
      <c r="R1320" s="54"/>
      <c r="T1320" s="1"/>
      <c r="V1320" s="54"/>
      <c r="X1320" s="54"/>
      <c r="Z1320" s="54"/>
      <c r="AB1320" s="54"/>
      <c r="AD1320" s="54"/>
      <c r="AF1320" s="54"/>
      <c r="AH1320" s="54"/>
      <c r="AJ1320" s="54"/>
      <c r="AL1320" s="54"/>
      <c r="AO1320" s="54"/>
      <c r="AP1320" s="1"/>
      <c r="AQ1320" s="54"/>
      <c r="AR1320" s="171"/>
      <c r="AS1320" s="1"/>
      <c r="AT1320" s="1"/>
      <c r="AU1320" s="1"/>
    </row>
    <row r="1321">
      <c r="A1321" s="54"/>
      <c r="B1321" s="71"/>
      <c r="C1321" s="51"/>
      <c r="D1321" s="54"/>
      <c r="E1321" s="114"/>
      <c r="F1321" s="16"/>
      <c r="G1321" s="114"/>
      <c r="H1321" s="54"/>
      <c r="I1321" s="114"/>
      <c r="J1321" s="54"/>
      <c r="L1321" s="54"/>
      <c r="N1321" s="54"/>
      <c r="P1321" s="54"/>
      <c r="R1321" s="54"/>
      <c r="T1321" s="1"/>
      <c r="V1321" s="54"/>
      <c r="X1321" s="54"/>
      <c r="Z1321" s="54"/>
      <c r="AB1321" s="54"/>
      <c r="AD1321" s="54"/>
      <c r="AF1321" s="54"/>
      <c r="AH1321" s="54"/>
      <c r="AJ1321" s="54"/>
      <c r="AL1321" s="54"/>
      <c r="AO1321" s="54"/>
      <c r="AP1321" s="1"/>
      <c r="AQ1321" s="54"/>
      <c r="AR1321" s="171"/>
      <c r="AS1321" s="1"/>
      <c r="AT1321" s="1"/>
      <c r="AU1321" s="1"/>
    </row>
    <row r="1322">
      <c r="A1322" s="54"/>
      <c r="B1322" s="71"/>
      <c r="C1322" s="51"/>
      <c r="D1322" s="54"/>
      <c r="E1322" s="114"/>
      <c r="F1322" s="16"/>
      <c r="G1322" s="114"/>
      <c r="H1322" s="54"/>
      <c r="I1322" s="114"/>
      <c r="J1322" s="54"/>
      <c r="L1322" s="54"/>
      <c r="N1322" s="54"/>
      <c r="P1322" s="54"/>
      <c r="R1322" s="54"/>
      <c r="T1322" s="1"/>
      <c r="V1322" s="54"/>
      <c r="X1322" s="54"/>
      <c r="Z1322" s="54"/>
      <c r="AB1322" s="54"/>
      <c r="AD1322" s="54"/>
      <c r="AF1322" s="54"/>
      <c r="AH1322" s="54"/>
      <c r="AJ1322" s="54"/>
      <c r="AL1322" s="54"/>
      <c r="AO1322" s="54"/>
      <c r="AP1322" s="1"/>
      <c r="AQ1322" s="54"/>
      <c r="AR1322" s="171"/>
      <c r="AS1322" s="1"/>
      <c r="AT1322" s="1"/>
      <c r="AU1322" s="1"/>
    </row>
    <row r="1323">
      <c r="A1323" s="54"/>
      <c r="B1323" s="71"/>
      <c r="C1323" s="51"/>
      <c r="D1323" s="54"/>
      <c r="E1323" s="114"/>
      <c r="F1323" s="16"/>
      <c r="G1323" s="114"/>
      <c r="H1323" s="54"/>
      <c r="I1323" s="114"/>
      <c r="J1323" s="54"/>
      <c r="L1323" s="54"/>
      <c r="N1323" s="54"/>
      <c r="P1323" s="54"/>
      <c r="R1323" s="54"/>
      <c r="T1323" s="1"/>
      <c r="V1323" s="54"/>
      <c r="X1323" s="54"/>
      <c r="Z1323" s="54"/>
      <c r="AB1323" s="54"/>
      <c r="AD1323" s="54"/>
      <c r="AF1323" s="54"/>
      <c r="AH1323" s="54"/>
      <c r="AJ1323" s="54"/>
      <c r="AL1323" s="54"/>
      <c r="AO1323" s="54"/>
      <c r="AP1323" s="1"/>
      <c r="AQ1323" s="54"/>
      <c r="AR1323" s="171"/>
      <c r="AS1323" s="1"/>
      <c r="AT1323" s="1"/>
      <c r="AU1323" s="1"/>
    </row>
    <row r="1324">
      <c r="A1324" s="54"/>
      <c r="B1324" s="71"/>
      <c r="C1324" s="51"/>
      <c r="D1324" s="54"/>
      <c r="E1324" s="114"/>
      <c r="F1324" s="16"/>
      <c r="G1324" s="114"/>
      <c r="H1324" s="54"/>
      <c r="I1324" s="114"/>
      <c r="J1324" s="54"/>
      <c r="L1324" s="54"/>
      <c r="N1324" s="54"/>
      <c r="P1324" s="54"/>
      <c r="R1324" s="54"/>
      <c r="T1324" s="1"/>
      <c r="V1324" s="54"/>
      <c r="X1324" s="54"/>
      <c r="Z1324" s="54"/>
      <c r="AB1324" s="54"/>
      <c r="AD1324" s="54"/>
      <c r="AF1324" s="54"/>
      <c r="AH1324" s="54"/>
      <c r="AJ1324" s="54"/>
      <c r="AL1324" s="54"/>
      <c r="AO1324" s="54"/>
      <c r="AP1324" s="1"/>
      <c r="AQ1324" s="54"/>
      <c r="AR1324" s="171"/>
      <c r="AS1324" s="1"/>
      <c r="AT1324" s="1"/>
      <c r="AU1324" s="1"/>
    </row>
    <row r="1325">
      <c r="A1325" s="54"/>
      <c r="B1325" s="71"/>
      <c r="C1325" s="51"/>
      <c r="D1325" s="54"/>
      <c r="E1325" s="114"/>
      <c r="F1325" s="16"/>
      <c r="G1325" s="114"/>
      <c r="H1325" s="54"/>
      <c r="I1325" s="114"/>
      <c r="J1325" s="54"/>
      <c r="L1325" s="54"/>
      <c r="N1325" s="54"/>
      <c r="P1325" s="54"/>
      <c r="R1325" s="54"/>
      <c r="T1325" s="1"/>
      <c r="V1325" s="54"/>
      <c r="X1325" s="54"/>
      <c r="Z1325" s="54"/>
      <c r="AB1325" s="54"/>
      <c r="AD1325" s="54"/>
      <c r="AF1325" s="54"/>
      <c r="AH1325" s="54"/>
      <c r="AJ1325" s="54"/>
      <c r="AL1325" s="54"/>
      <c r="AO1325" s="54"/>
      <c r="AP1325" s="1"/>
      <c r="AQ1325" s="54"/>
      <c r="AR1325" s="171"/>
      <c r="AS1325" s="1"/>
      <c r="AT1325" s="1"/>
      <c r="AU1325" s="1"/>
    </row>
    <row r="1326">
      <c r="A1326" s="54"/>
      <c r="B1326" s="71"/>
      <c r="C1326" s="51"/>
      <c r="D1326" s="54"/>
      <c r="E1326" s="114"/>
      <c r="F1326" s="16"/>
      <c r="G1326" s="114"/>
      <c r="H1326" s="54"/>
      <c r="I1326" s="114"/>
      <c r="J1326" s="54"/>
      <c r="L1326" s="54"/>
      <c r="N1326" s="54"/>
      <c r="P1326" s="54"/>
      <c r="R1326" s="54"/>
      <c r="T1326" s="1"/>
      <c r="V1326" s="54"/>
      <c r="X1326" s="54"/>
      <c r="Z1326" s="54"/>
      <c r="AB1326" s="54"/>
      <c r="AD1326" s="54"/>
      <c r="AF1326" s="54"/>
      <c r="AH1326" s="54"/>
      <c r="AJ1326" s="54"/>
      <c r="AL1326" s="54"/>
      <c r="AO1326" s="54"/>
      <c r="AP1326" s="1"/>
      <c r="AQ1326" s="54"/>
      <c r="AR1326" s="171"/>
      <c r="AS1326" s="1"/>
      <c r="AT1326" s="1"/>
      <c r="AU1326" s="1"/>
    </row>
    <row r="1327">
      <c r="A1327" s="54"/>
      <c r="B1327" s="71"/>
      <c r="C1327" s="51"/>
      <c r="D1327" s="54"/>
      <c r="E1327" s="114"/>
      <c r="F1327" s="16"/>
      <c r="G1327" s="114"/>
      <c r="H1327" s="54"/>
      <c r="I1327" s="114"/>
      <c r="J1327" s="54"/>
      <c r="L1327" s="54"/>
      <c r="N1327" s="54"/>
      <c r="P1327" s="54"/>
      <c r="R1327" s="54"/>
      <c r="T1327" s="1"/>
      <c r="V1327" s="54"/>
      <c r="X1327" s="54"/>
      <c r="Z1327" s="54"/>
      <c r="AB1327" s="54"/>
      <c r="AD1327" s="54"/>
      <c r="AF1327" s="54"/>
      <c r="AH1327" s="54"/>
      <c r="AJ1327" s="54"/>
      <c r="AL1327" s="54"/>
      <c r="AO1327" s="54"/>
      <c r="AP1327" s="1"/>
      <c r="AQ1327" s="54"/>
      <c r="AR1327" s="171"/>
      <c r="AS1327" s="1"/>
      <c r="AT1327" s="1"/>
      <c r="AU1327" s="1"/>
    </row>
    <row r="1328">
      <c r="A1328" s="54"/>
      <c r="B1328" s="71"/>
      <c r="C1328" s="51"/>
      <c r="D1328" s="54"/>
      <c r="E1328" s="114"/>
      <c r="F1328" s="16"/>
      <c r="G1328" s="114"/>
      <c r="H1328" s="54"/>
      <c r="I1328" s="114"/>
      <c r="J1328" s="54"/>
      <c r="L1328" s="54"/>
      <c r="N1328" s="54"/>
      <c r="P1328" s="54"/>
      <c r="R1328" s="54"/>
      <c r="T1328" s="1"/>
      <c r="V1328" s="54"/>
      <c r="X1328" s="54"/>
      <c r="Z1328" s="54"/>
      <c r="AB1328" s="54"/>
      <c r="AD1328" s="54"/>
      <c r="AF1328" s="54"/>
      <c r="AH1328" s="54"/>
      <c r="AJ1328" s="54"/>
      <c r="AL1328" s="54"/>
      <c r="AO1328" s="54"/>
      <c r="AP1328" s="1"/>
      <c r="AQ1328" s="54"/>
      <c r="AR1328" s="171"/>
      <c r="AS1328" s="1"/>
      <c r="AT1328" s="1"/>
      <c r="AU1328" s="1"/>
    </row>
    <row r="1329">
      <c r="A1329" s="54"/>
      <c r="B1329" s="71"/>
      <c r="C1329" s="51"/>
      <c r="D1329" s="54"/>
      <c r="E1329" s="114"/>
      <c r="F1329" s="16"/>
      <c r="G1329" s="114"/>
      <c r="H1329" s="54"/>
      <c r="I1329" s="114"/>
      <c r="J1329" s="54"/>
      <c r="L1329" s="54"/>
      <c r="N1329" s="54"/>
      <c r="P1329" s="54"/>
      <c r="R1329" s="54"/>
      <c r="T1329" s="1"/>
      <c r="V1329" s="54"/>
      <c r="X1329" s="54"/>
      <c r="Z1329" s="54"/>
      <c r="AB1329" s="54"/>
      <c r="AD1329" s="54"/>
      <c r="AF1329" s="54"/>
      <c r="AH1329" s="54"/>
      <c r="AJ1329" s="54"/>
      <c r="AL1329" s="54"/>
      <c r="AO1329" s="54"/>
      <c r="AP1329" s="1"/>
      <c r="AQ1329" s="54"/>
      <c r="AR1329" s="171"/>
      <c r="AS1329" s="1"/>
      <c r="AT1329" s="1"/>
      <c r="AU1329" s="1"/>
    </row>
    <row r="1330">
      <c r="A1330" s="54"/>
      <c r="B1330" s="71"/>
      <c r="C1330" s="51"/>
      <c r="D1330" s="54"/>
      <c r="E1330" s="114"/>
      <c r="F1330" s="16"/>
      <c r="G1330" s="114"/>
      <c r="H1330" s="54"/>
      <c r="I1330" s="114"/>
      <c r="J1330" s="54"/>
      <c r="L1330" s="54"/>
      <c r="N1330" s="54"/>
      <c r="P1330" s="54"/>
      <c r="R1330" s="54"/>
      <c r="T1330" s="1"/>
      <c r="V1330" s="54"/>
      <c r="X1330" s="54"/>
      <c r="Z1330" s="54"/>
      <c r="AB1330" s="54"/>
      <c r="AD1330" s="54"/>
      <c r="AF1330" s="54"/>
      <c r="AH1330" s="54"/>
      <c r="AJ1330" s="54"/>
      <c r="AL1330" s="54"/>
      <c r="AO1330" s="54"/>
      <c r="AP1330" s="1"/>
      <c r="AQ1330" s="54"/>
      <c r="AR1330" s="171"/>
      <c r="AS1330" s="1"/>
      <c r="AT1330" s="1"/>
      <c r="AU1330" s="1"/>
    </row>
    <row r="1331">
      <c r="A1331" s="54"/>
      <c r="B1331" s="71"/>
      <c r="C1331" s="51"/>
      <c r="D1331" s="54"/>
      <c r="E1331" s="114"/>
      <c r="F1331" s="16"/>
      <c r="G1331" s="114"/>
      <c r="H1331" s="54"/>
      <c r="I1331" s="114"/>
      <c r="J1331" s="54"/>
      <c r="L1331" s="54"/>
      <c r="N1331" s="54"/>
      <c r="P1331" s="54"/>
      <c r="R1331" s="54"/>
      <c r="T1331" s="1"/>
      <c r="V1331" s="54"/>
      <c r="X1331" s="54"/>
      <c r="Z1331" s="54"/>
      <c r="AB1331" s="54"/>
      <c r="AD1331" s="54"/>
      <c r="AF1331" s="54"/>
      <c r="AH1331" s="54"/>
      <c r="AJ1331" s="54"/>
      <c r="AL1331" s="54"/>
      <c r="AO1331" s="54"/>
      <c r="AP1331" s="1"/>
      <c r="AQ1331" s="54"/>
      <c r="AR1331" s="171"/>
      <c r="AS1331" s="1"/>
      <c r="AT1331" s="1"/>
      <c r="AU1331" s="1"/>
    </row>
    <row r="1332">
      <c r="A1332" s="54"/>
      <c r="B1332" s="71"/>
      <c r="C1332" s="51"/>
      <c r="D1332" s="54"/>
      <c r="E1332" s="114"/>
      <c r="F1332" s="16"/>
      <c r="G1332" s="114"/>
      <c r="H1332" s="54"/>
      <c r="I1332" s="114"/>
      <c r="J1332" s="54"/>
      <c r="L1332" s="54"/>
      <c r="N1332" s="54"/>
      <c r="P1332" s="54"/>
      <c r="R1332" s="54"/>
      <c r="T1332" s="1"/>
      <c r="V1332" s="54"/>
      <c r="X1332" s="54"/>
      <c r="Z1332" s="54"/>
      <c r="AB1332" s="54"/>
      <c r="AD1332" s="54"/>
      <c r="AF1332" s="54"/>
      <c r="AH1332" s="54"/>
      <c r="AJ1332" s="54"/>
      <c r="AL1332" s="54"/>
      <c r="AO1332" s="54"/>
      <c r="AP1332" s="1"/>
      <c r="AQ1332" s="54"/>
      <c r="AR1332" s="171"/>
      <c r="AS1332" s="1"/>
      <c r="AT1332" s="1"/>
      <c r="AU1332" s="1"/>
    </row>
    <row r="1333">
      <c r="A1333" s="54"/>
      <c r="B1333" s="71"/>
      <c r="C1333" s="51"/>
      <c r="D1333" s="54"/>
      <c r="E1333" s="114"/>
      <c r="F1333" s="16"/>
      <c r="G1333" s="114"/>
      <c r="H1333" s="54"/>
      <c r="I1333" s="114"/>
      <c r="J1333" s="54"/>
      <c r="L1333" s="54"/>
      <c r="N1333" s="54"/>
      <c r="P1333" s="54"/>
      <c r="R1333" s="54"/>
      <c r="T1333" s="1"/>
      <c r="V1333" s="54"/>
      <c r="X1333" s="54"/>
      <c r="Z1333" s="54"/>
      <c r="AB1333" s="54"/>
      <c r="AD1333" s="54"/>
      <c r="AF1333" s="54"/>
      <c r="AH1333" s="54"/>
      <c r="AJ1333" s="54"/>
      <c r="AL1333" s="54"/>
      <c r="AO1333" s="54"/>
      <c r="AP1333" s="1"/>
      <c r="AQ1333" s="54"/>
      <c r="AR1333" s="171"/>
      <c r="AS1333" s="1"/>
      <c r="AT1333" s="1"/>
      <c r="AU1333" s="1"/>
    </row>
    <row r="1334">
      <c r="A1334" s="54"/>
      <c r="B1334" s="71"/>
      <c r="C1334" s="51"/>
      <c r="D1334" s="54"/>
      <c r="E1334" s="114"/>
      <c r="F1334" s="16"/>
      <c r="G1334" s="114"/>
      <c r="H1334" s="54"/>
      <c r="I1334" s="114"/>
      <c r="J1334" s="54"/>
      <c r="L1334" s="54"/>
      <c r="N1334" s="54"/>
      <c r="P1334" s="54"/>
      <c r="R1334" s="54"/>
      <c r="T1334" s="1"/>
      <c r="V1334" s="54"/>
      <c r="X1334" s="54"/>
      <c r="Z1334" s="54"/>
      <c r="AB1334" s="54"/>
      <c r="AD1334" s="54"/>
      <c r="AF1334" s="54"/>
      <c r="AH1334" s="54"/>
      <c r="AJ1334" s="54"/>
      <c r="AL1334" s="54"/>
      <c r="AO1334" s="54"/>
      <c r="AP1334" s="1"/>
      <c r="AQ1334" s="54"/>
      <c r="AR1334" s="171"/>
      <c r="AS1334" s="1"/>
      <c r="AT1334" s="1"/>
      <c r="AU1334" s="1"/>
    </row>
    <row r="1335">
      <c r="A1335" s="54"/>
      <c r="B1335" s="71"/>
      <c r="C1335" s="51"/>
      <c r="D1335" s="54"/>
      <c r="E1335" s="114"/>
      <c r="F1335" s="16"/>
      <c r="G1335" s="114"/>
      <c r="H1335" s="54"/>
      <c r="I1335" s="114"/>
      <c r="J1335" s="54"/>
      <c r="L1335" s="54"/>
      <c r="N1335" s="54"/>
      <c r="P1335" s="54"/>
      <c r="R1335" s="54"/>
      <c r="T1335" s="1"/>
      <c r="V1335" s="54"/>
      <c r="X1335" s="54"/>
      <c r="Z1335" s="54"/>
      <c r="AB1335" s="54"/>
      <c r="AD1335" s="54"/>
      <c r="AF1335" s="54"/>
      <c r="AH1335" s="54"/>
      <c r="AJ1335" s="54"/>
      <c r="AL1335" s="54"/>
      <c r="AO1335" s="54"/>
      <c r="AP1335" s="1"/>
      <c r="AQ1335" s="54"/>
      <c r="AR1335" s="171"/>
      <c r="AS1335" s="1"/>
      <c r="AT1335" s="1"/>
      <c r="AU1335" s="1"/>
    </row>
    <row r="1336">
      <c r="A1336" s="54"/>
      <c r="B1336" s="71"/>
      <c r="C1336" s="51"/>
      <c r="D1336" s="54"/>
      <c r="E1336" s="114"/>
      <c r="F1336" s="16"/>
      <c r="G1336" s="114"/>
      <c r="H1336" s="54"/>
      <c r="I1336" s="114"/>
      <c r="J1336" s="54"/>
      <c r="L1336" s="54"/>
      <c r="N1336" s="54"/>
      <c r="P1336" s="54"/>
      <c r="R1336" s="54"/>
      <c r="T1336" s="1"/>
      <c r="V1336" s="54"/>
      <c r="X1336" s="54"/>
      <c r="Z1336" s="54"/>
      <c r="AB1336" s="54"/>
      <c r="AD1336" s="54"/>
      <c r="AF1336" s="54"/>
      <c r="AH1336" s="54"/>
      <c r="AJ1336" s="54"/>
      <c r="AL1336" s="54"/>
      <c r="AO1336" s="54"/>
      <c r="AP1336" s="1"/>
      <c r="AQ1336" s="54"/>
      <c r="AR1336" s="171"/>
      <c r="AS1336" s="1"/>
      <c r="AT1336" s="1"/>
      <c r="AU1336" s="1"/>
    </row>
    <row r="1337">
      <c r="A1337" s="54"/>
      <c r="B1337" s="71"/>
      <c r="C1337" s="51"/>
      <c r="D1337" s="54"/>
      <c r="E1337" s="114"/>
      <c r="F1337" s="16"/>
      <c r="G1337" s="114"/>
      <c r="H1337" s="54"/>
      <c r="I1337" s="114"/>
      <c r="J1337" s="54"/>
      <c r="L1337" s="54"/>
      <c r="N1337" s="54"/>
      <c r="P1337" s="54"/>
      <c r="R1337" s="54"/>
      <c r="T1337" s="1"/>
      <c r="V1337" s="54"/>
      <c r="X1337" s="54"/>
      <c r="Z1337" s="54"/>
      <c r="AB1337" s="54"/>
      <c r="AD1337" s="54"/>
      <c r="AF1337" s="54"/>
      <c r="AH1337" s="54"/>
      <c r="AJ1337" s="54"/>
      <c r="AL1337" s="54"/>
      <c r="AO1337" s="54"/>
      <c r="AP1337" s="1"/>
      <c r="AQ1337" s="54"/>
      <c r="AR1337" s="171"/>
      <c r="AS1337" s="1"/>
      <c r="AT1337" s="1"/>
      <c r="AU1337" s="1"/>
    </row>
    <row r="1338">
      <c r="A1338" s="54"/>
      <c r="B1338" s="71"/>
      <c r="C1338" s="51"/>
      <c r="D1338" s="54"/>
      <c r="E1338" s="114"/>
      <c r="F1338" s="16"/>
      <c r="G1338" s="114"/>
      <c r="H1338" s="54"/>
      <c r="I1338" s="114"/>
      <c r="J1338" s="54"/>
      <c r="L1338" s="54"/>
      <c r="N1338" s="54"/>
      <c r="P1338" s="54"/>
      <c r="R1338" s="54"/>
      <c r="T1338" s="1"/>
      <c r="V1338" s="54"/>
      <c r="X1338" s="54"/>
      <c r="Z1338" s="54"/>
      <c r="AB1338" s="54"/>
      <c r="AD1338" s="54"/>
      <c r="AF1338" s="54"/>
      <c r="AH1338" s="54"/>
      <c r="AJ1338" s="54"/>
      <c r="AL1338" s="54"/>
      <c r="AO1338" s="54"/>
      <c r="AP1338" s="1"/>
      <c r="AQ1338" s="54"/>
      <c r="AR1338" s="171"/>
      <c r="AS1338" s="1"/>
      <c r="AT1338" s="1"/>
      <c r="AU1338" s="1"/>
    </row>
    <row r="1339">
      <c r="A1339" s="54"/>
      <c r="B1339" s="71"/>
      <c r="C1339" s="51"/>
      <c r="D1339" s="54"/>
      <c r="E1339" s="114"/>
      <c r="F1339" s="16"/>
      <c r="G1339" s="114"/>
      <c r="H1339" s="54"/>
      <c r="I1339" s="114"/>
      <c r="J1339" s="54"/>
      <c r="L1339" s="54"/>
      <c r="N1339" s="54"/>
      <c r="P1339" s="54"/>
      <c r="R1339" s="54"/>
      <c r="T1339" s="1"/>
      <c r="V1339" s="54"/>
      <c r="X1339" s="54"/>
      <c r="Z1339" s="54"/>
      <c r="AB1339" s="54"/>
      <c r="AD1339" s="54"/>
      <c r="AF1339" s="54"/>
      <c r="AH1339" s="54"/>
      <c r="AJ1339" s="54"/>
      <c r="AL1339" s="54"/>
      <c r="AO1339" s="54"/>
      <c r="AP1339" s="1"/>
      <c r="AQ1339" s="54"/>
      <c r="AR1339" s="171"/>
      <c r="AS1339" s="1"/>
      <c r="AT1339" s="1"/>
      <c r="AU1339" s="1"/>
    </row>
    <row r="1340">
      <c r="A1340" s="54"/>
      <c r="B1340" s="71"/>
      <c r="C1340" s="51"/>
      <c r="D1340" s="54"/>
      <c r="E1340" s="114"/>
      <c r="F1340" s="16"/>
      <c r="G1340" s="114"/>
      <c r="H1340" s="54"/>
      <c r="I1340" s="114"/>
      <c r="J1340" s="54"/>
      <c r="L1340" s="54"/>
      <c r="N1340" s="54"/>
      <c r="P1340" s="54"/>
      <c r="R1340" s="54"/>
      <c r="T1340" s="1"/>
      <c r="V1340" s="54"/>
      <c r="X1340" s="54"/>
      <c r="Z1340" s="54"/>
      <c r="AB1340" s="54"/>
      <c r="AD1340" s="54"/>
      <c r="AF1340" s="54"/>
      <c r="AH1340" s="54"/>
      <c r="AJ1340" s="54"/>
      <c r="AL1340" s="54"/>
      <c r="AO1340" s="54"/>
      <c r="AP1340" s="1"/>
      <c r="AQ1340" s="54"/>
      <c r="AR1340" s="171"/>
      <c r="AS1340" s="1"/>
      <c r="AT1340" s="1"/>
      <c r="AU1340" s="1"/>
    </row>
    <row r="1341">
      <c r="A1341" s="54"/>
      <c r="B1341" s="71"/>
      <c r="C1341" s="51"/>
      <c r="D1341" s="54"/>
      <c r="E1341" s="114"/>
      <c r="F1341" s="16"/>
      <c r="G1341" s="114"/>
      <c r="H1341" s="54"/>
      <c r="I1341" s="114"/>
      <c r="J1341" s="54"/>
      <c r="L1341" s="54"/>
      <c r="N1341" s="54"/>
      <c r="P1341" s="54"/>
      <c r="R1341" s="54"/>
      <c r="T1341" s="1"/>
      <c r="V1341" s="54"/>
      <c r="X1341" s="54"/>
      <c r="Z1341" s="54"/>
      <c r="AB1341" s="54"/>
      <c r="AD1341" s="54"/>
      <c r="AF1341" s="54"/>
      <c r="AH1341" s="54"/>
      <c r="AJ1341" s="54"/>
      <c r="AL1341" s="54"/>
      <c r="AO1341" s="54"/>
      <c r="AP1341" s="1"/>
      <c r="AQ1341" s="54"/>
      <c r="AR1341" s="171"/>
      <c r="AS1341" s="1"/>
      <c r="AT1341" s="1"/>
      <c r="AU1341" s="1"/>
    </row>
    <row r="1342">
      <c r="A1342" s="54"/>
      <c r="B1342" s="71"/>
      <c r="C1342" s="51"/>
      <c r="D1342" s="54"/>
      <c r="E1342" s="114"/>
      <c r="F1342" s="16"/>
      <c r="G1342" s="114"/>
      <c r="H1342" s="54"/>
      <c r="I1342" s="114"/>
      <c r="J1342" s="54"/>
      <c r="L1342" s="54"/>
      <c r="N1342" s="54"/>
      <c r="P1342" s="54"/>
      <c r="R1342" s="54"/>
      <c r="T1342" s="1"/>
      <c r="V1342" s="54"/>
      <c r="X1342" s="54"/>
      <c r="Z1342" s="54"/>
      <c r="AB1342" s="54"/>
      <c r="AD1342" s="54"/>
      <c r="AF1342" s="54"/>
      <c r="AH1342" s="54"/>
      <c r="AJ1342" s="54"/>
      <c r="AL1342" s="54"/>
      <c r="AO1342" s="54"/>
      <c r="AP1342" s="1"/>
      <c r="AQ1342" s="54"/>
      <c r="AR1342" s="171"/>
      <c r="AS1342" s="1"/>
      <c r="AT1342" s="1"/>
      <c r="AU1342" s="1"/>
    </row>
    <row r="1343">
      <c r="A1343" s="54"/>
      <c r="B1343" s="71"/>
      <c r="C1343" s="51"/>
      <c r="D1343" s="54"/>
      <c r="E1343" s="114"/>
      <c r="F1343" s="16"/>
      <c r="G1343" s="114"/>
      <c r="H1343" s="54"/>
      <c r="I1343" s="114"/>
      <c r="J1343" s="54"/>
      <c r="L1343" s="54"/>
      <c r="N1343" s="54"/>
      <c r="P1343" s="54"/>
      <c r="R1343" s="54"/>
      <c r="T1343" s="1"/>
      <c r="V1343" s="54"/>
      <c r="X1343" s="54"/>
      <c r="Z1343" s="54"/>
      <c r="AB1343" s="54"/>
      <c r="AD1343" s="54"/>
      <c r="AF1343" s="54"/>
      <c r="AH1343" s="54"/>
      <c r="AJ1343" s="54"/>
      <c r="AL1343" s="54"/>
      <c r="AO1343" s="54"/>
      <c r="AP1343" s="1"/>
      <c r="AQ1343" s="54"/>
      <c r="AR1343" s="171"/>
      <c r="AS1343" s="1"/>
      <c r="AT1343" s="1"/>
      <c r="AU1343" s="1"/>
    </row>
    <row r="1344">
      <c r="A1344" s="54"/>
      <c r="B1344" s="71"/>
      <c r="C1344" s="51"/>
      <c r="D1344" s="54"/>
      <c r="E1344" s="114"/>
      <c r="F1344" s="16"/>
      <c r="G1344" s="114"/>
      <c r="H1344" s="54"/>
      <c r="I1344" s="114"/>
      <c r="J1344" s="54"/>
      <c r="L1344" s="54"/>
      <c r="N1344" s="54"/>
      <c r="P1344" s="54"/>
      <c r="R1344" s="54"/>
      <c r="T1344" s="1"/>
      <c r="V1344" s="54"/>
      <c r="X1344" s="54"/>
      <c r="Z1344" s="54"/>
      <c r="AB1344" s="54"/>
      <c r="AD1344" s="54"/>
      <c r="AF1344" s="54"/>
      <c r="AH1344" s="54"/>
      <c r="AJ1344" s="54"/>
      <c r="AL1344" s="54"/>
      <c r="AO1344" s="54"/>
      <c r="AP1344" s="1"/>
      <c r="AQ1344" s="54"/>
      <c r="AR1344" s="171"/>
      <c r="AS1344" s="1"/>
      <c r="AT1344" s="1"/>
      <c r="AU1344" s="1"/>
    </row>
    <row r="1345">
      <c r="A1345" s="54"/>
      <c r="B1345" s="71"/>
      <c r="C1345" s="51"/>
      <c r="D1345" s="54"/>
      <c r="E1345" s="114"/>
      <c r="F1345" s="16"/>
      <c r="G1345" s="114"/>
      <c r="H1345" s="54"/>
      <c r="I1345" s="114"/>
      <c r="J1345" s="54"/>
      <c r="L1345" s="54"/>
      <c r="N1345" s="54"/>
      <c r="P1345" s="54"/>
      <c r="R1345" s="54"/>
      <c r="T1345" s="1"/>
      <c r="V1345" s="54"/>
      <c r="X1345" s="54"/>
      <c r="Z1345" s="54"/>
      <c r="AB1345" s="54"/>
      <c r="AD1345" s="54"/>
      <c r="AF1345" s="54"/>
      <c r="AH1345" s="54"/>
      <c r="AJ1345" s="54"/>
      <c r="AL1345" s="54"/>
      <c r="AO1345" s="54"/>
      <c r="AP1345" s="1"/>
      <c r="AQ1345" s="54"/>
      <c r="AR1345" s="171"/>
      <c r="AS1345" s="1"/>
      <c r="AT1345" s="1"/>
      <c r="AU1345" s="1"/>
    </row>
    <row r="1346">
      <c r="A1346" s="54"/>
      <c r="B1346" s="71"/>
      <c r="C1346" s="51"/>
      <c r="D1346" s="54"/>
      <c r="E1346" s="114"/>
      <c r="F1346" s="16"/>
      <c r="G1346" s="114"/>
      <c r="H1346" s="54"/>
      <c r="I1346" s="114"/>
      <c r="J1346" s="54"/>
      <c r="L1346" s="54"/>
      <c r="N1346" s="54"/>
      <c r="P1346" s="54"/>
      <c r="R1346" s="54"/>
      <c r="T1346" s="1"/>
      <c r="V1346" s="54"/>
      <c r="X1346" s="54"/>
      <c r="Z1346" s="54"/>
      <c r="AB1346" s="54"/>
      <c r="AD1346" s="54"/>
      <c r="AF1346" s="54"/>
      <c r="AH1346" s="54"/>
      <c r="AJ1346" s="54"/>
      <c r="AL1346" s="54"/>
      <c r="AO1346" s="54"/>
      <c r="AP1346" s="1"/>
      <c r="AQ1346" s="54"/>
      <c r="AR1346" s="171"/>
      <c r="AS1346" s="1"/>
      <c r="AT1346" s="1"/>
      <c r="AU1346" s="1"/>
    </row>
    <row r="1347">
      <c r="A1347" s="54"/>
      <c r="B1347" s="71"/>
      <c r="C1347" s="51"/>
      <c r="D1347" s="54"/>
      <c r="E1347" s="114"/>
      <c r="F1347" s="16"/>
      <c r="G1347" s="114"/>
      <c r="H1347" s="54"/>
      <c r="I1347" s="114"/>
      <c r="J1347" s="54"/>
      <c r="L1347" s="54"/>
      <c r="N1347" s="54"/>
      <c r="P1347" s="54"/>
      <c r="R1347" s="54"/>
      <c r="T1347" s="1"/>
      <c r="V1347" s="54"/>
      <c r="X1347" s="54"/>
      <c r="Z1347" s="54"/>
      <c r="AB1347" s="54"/>
      <c r="AD1347" s="54"/>
      <c r="AF1347" s="54"/>
      <c r="AH1347" s="54"/>
      <c r="AJ1347" s="54"/>
      <c r="AL1347" s="54"/>
      <c r="AO1347" s="54"/>
      <c r="AP1347" s="1"/>
      <c r="AQ1347" s="54"/>
      <c r="AR1347" s="171"/>
      <c r="AS1347" s="1"/>
      <c r="AT1347" s="1"/>
      <c r="AU1347" s="1"/>
    </row>
    <row r="1348">
      <c r="A1348" s="54"/>
      <c r="B1348" s="71"/>
      <c r="C1348" s="51"/>
      <c r="D1348" s="54"/>
      <c r="E1348" s="114"/>
      <c r="F1348" s="16"/>
      <c r="G1348" s="114"/>
      <c r="H1348" s="54"/>
      <c r="I1348" s="114"/>
      <c r="J1348" s="54"/>
      <c r="L1348" s="54"/>
      <c r="N1348" s="54"/>
      <c r="P1348" s="54"/>
      <c r="R1348" s="54"/>
      <c r="T1348" s="1"/>
      <c r="V1348" s="54"/>
      <c r="X1348" s="54"/>
      <c r="Z1348" s="54"/>
      <c r="AB1348" s="54"/>
      <c r="AD1348" s="54"/>
      <c r="AF1348" s="54"/>
      <c r="AH1348" s="54"/>
      <c r="AJ1348" s="54"/>
      <c r="AL1348" s="54"/>
      <c r="AO1348" s="54"/>
      <c r="AP1348" s="1"/>
      <c r="AQ1348" s="54"/>
      <c r="AR1348" s="171"/>
      <c r="AS1348" s="1"/>
      <c r="AT1348" s="1"/>
      <c r="AU1348" s="1"/>
    </row>
    <row r="1349">
      <c r="A1349" s="54"/>
      <c r="B1349" s="71"/>
      <c r="C1349" s="51"/>
      <c r="D1349" s="54"/>
      <c r="E1349" s="114"/>
      <c r="F1349" s="16"/>
      <c r="G1349" s="114"/>
      <c r="H1349" s="54"/>
      <c r="I1349" s="114"/>
      <c r="J1349" s="54"/>
      <c r="L1349" s="54"/>
      <c r="N1349" s="54"/>
      <c r="P1349" s="54"/>
      <c r="R1349" s="54"/>
      <c r="T1349" s="1"/>
      <c r="V1349" s="54"/>
      <c r="X1349" s="54"/>
      <c r="Z1349" s="54"/>
      <c r="AB1349" s="54"/>
      <c r="AD1349" s="54"/>
      <c r="AF1349" s="54"/>
      <c r="AH1349" s="54"/>
      <c r="AJ1349" s="54"/>
      <c r="AL1349" s="54"/>
      <c r="AO1349" s="54"/>
      <c r="AP1349" s="1"/>
      <c r="AQ1349" s="54"/>
      <c r="AR1349" s="171"/>
      <c r="AS1349" s="1"/>
      <c r="AT1349" s="1"/>
      <c r="AU1349" s="1"/>
    </row>
    <row r="1350">
      <c r="A1350" s="54"/>
      <c r="B1350" s="71"/>
      <c r="C1350" s="51"/>
      <c r="D1350" s="54"/>
      <c r="E1350" s="114"/>
      <c r="F1350" s="16"/>
      <c r="G1350" s="114"/>
      <c r="H1350" s="54"/>
      <c r="I1350" s="114"/>
      <c r="J1350" s="54"/>
      <c r="L1350" s="54"/>
      <c r="N1350" s="54"/>
      <c r="P1350" s="54"/>
      <c r="R1350" s="54"/>
      <c r="T1350" s="1"/>
      <c r="V1350" s="54"/>
      <c r="X1350" s="54"/>
      <c r="Z1350" s="54"/>
      <c r="AB1350" s="54"/>
      <c r="AD1350" s="54"/>
      <c r="AF1350" s="54"/>
      <c r="AH1350" s="54"/>
      <c r="AJ1350" s="54"/>
      <c r="AL1350" s="54"/>
      <c r="AO1350" s="54"/>
      <c r="AP1350" s="1"/>
      <c r="AQ1350" s="54"/>
      <c r="AR1350" s="171"/>
      <c r="AS1350" s="1"/>
      <c r="AT1350" s="1"/>
      <c r="AU1350" s="1"/>
    </row>
    <row r="1351">
      <c r="A1351" s="54"/>
      <c r="B1351" s="71"/>
      <c r="C1351" s="51"/>
      <c r="D1351" s="54"/>
      <c r="E1351" s="114"/>
      <c r="F1351" s="16"/>
      <c r="G1351" s="114"/>
      <c r="H1351" s="54"/>
      <c r="I1351" s="114"/>
      <c r="J1351" s="54"/>
      <c r="L1351" s="54"/>
      <c r="N1351" s="54"/>
      <c r="P1351" s="54"/>
      <c r="R1351" s="54"/>
      <c r="T1351" s="1"/>
      <c r="V1351" s="54"/>
      <c r="X1351" s="54"/>
      <c r="Z1351" s="54"/>
      <c r="AB1351" s="54"/>
      <c r="AD1351" s="54"/>
      <c r="AF1351" s="54"/>
      <c r="AH1351" s="54"/>
      <c r="AJ1351" s="54"/>
      <c r="AL1351" s="54"/>
      <c r="AO1351" s="54"/>
      <c r="AP1351" s="1"/>
      <c r="AQ1351" s="54"/>
      <c r="AR1351" s="171"/>
      <c r="AS1351" s="1"/>
      <c r="AT1351" s="1"/>
      <c r="AU1351" s="1"/>
    </row>
    <row r="1352">
      <c r="A1352" s="54"/>
      <c r="B1352" s="71"/>
      <c r="C1352" s="51"/>
      <c r="D1352" s="54"/>
      <c r="E1352" s="114"/>
      <c r="F1352" s="16"/>
      <c r="G1352" s="114"/>
      <c r="H1352" s="54"/>
      <c r="I1352" s="114"/>
      <c r="J1352" s="54"/>
      <c r="L1352" s="54"/>
      <c r="N1352" s="54"/>
      <c r="P1352" s="54"/>
      <c r="R1352" s="54"/>
      <c r="T1352" s="1"/>
      <c r="V1352" s="54"/>
      <c r="X1352" s="54"/>
      <c r="Z1352" s="54"/>
      <c r="AB1352" s="54"/>
      <c r="AD1352" s="54"/>
      <c r="AF1352" s="54"/>
      <c r="AH1352" s="54"/>
      <c r="AJ1352" s="54"/>
      <c r="AL1352" s="54"/>
      <c r="AO1352" s="54"/>
      <c r="AP1352" s="1"/>
      <c r="AQ1352" s="54"/>
      <c r="AR1352" s="171"/>
      <c r="AS1352" s="1"/>
      <c r="AT1352" s="1"/>
      <c r="AU1352" s="1"/>
    </row>
    <row r="1353">
      <c r="A1353" s="54"/>
      <c r="B1353" s="71"/>
      <c r="C1353" s="51"/>
      <c r="D1353" s="54"/>
      <c r="E1353" s="114"/>
      <c r="F1353" s="16"/>
      <c r="G1353" s="114"/>
      <c r="H1353" s="54"/>
      <c r="I1353" s="114"/>
      <c r="J1353" s="54"/>
      <c r="L1353" s="54"/>
      <c r="N1353" s="54"/>
      <c r="P1353" s="54"/>
      <c r="R1353" s="54"/>
      <c r="T1353" s="1"/>
      <c r="V1353" s="54"/>
      <c r="X1353" s="54"/>
      <c r="Z1353" s="54"/>
      <c r="AB1353" s="54"/>
      <c r="AD1353" s="54"/>
      <c r="AF1353" s="54"/>
      <c r="AH1353" s="54"/>
      <c r="AJ1353" s="54"/>
      <c r="AL1353" s="54"/>
      <c r="AO1353" s="54"/>
      <c r="AP1353" s="1"/>
      <c r="AQ1353" s="54"/>
      <c r="AR1353" s="171"/>
      <c r="AS1353" s="1"/>
      <c r="AT1353" s="1"/>
      <c r="AU1353" s="1"/>
    </row>
    <row r="1354">
      <c r="A1354" s="54"/>
      <c r="B1354" s="71"/>
      <c r="C1354" s="51"/>
      <c r="D1354" s="54"/>
      <c r="E1354" s="114"/>
      <c r="F1354" s="16"/>
      <c r="G1354" s="114"/>
      <c r="H1354" s="54"/>
      <c r="I1354" s="114"/>
      <c r="J1354" s="54"/>
      <c r="L1354" s="54"/>
      <c r="N1354" s="54"/>
      <c r="P1354" s="54"/>
      <c r="R1354" s="54"/>
      <c r="T1354" s="1"/>
      <c r="V1354" s="54"/>
      <c r="X1354" s="54"/>
      <c r="Z1354" s="54"/>
      <c r="AB1354" s="54"/>
      <c r="AD1354" s="54"/>
      <c r="AF1354" s="54"/>
      <c r="AH1354" s="54"/>
      <c r="AJ1354" s="54"/>
      <c r="AL1354" s="54"/>
      <c r="AO1354" s="54"/>
      <c r="AP1354" s="1"/>
      <c r="AQ1354" s="54"/>
      <c r="AR1354" s="171"/>
      <c r="AS1354" s="1"/>
      <c r="AT1354" s="1"/>
      <c r="AU1354" s="1"/>
    </row>
    <row r="1355">
      <c r="A1355" s="54"/>
      <c r="B1355" s="71"/>
      <c r="C1355" s="51"/>
      <c r="D1355" s="54"/>
      <c r="E1355" s="114"/>
      <c r="F1355" s="16"/>
      <c r="G1355" s="114"/>
      <c r="H1355" s="54"/>
      <c r="I1355" s="114"/>
      <c r="J1355" s="54"/>
      <c r="L1355" s="54"/>
      <c r="N1355" s="54"/>
      <c r="P1355" s="54"/>
      <c r="R1355" s="54"/>
      <c r="T1355" s="1"/>
      <c r="V1355" s="54"/>
      <c r="X1355" s="54"/>
      <c r="Z1355" s="54"/>
      <c r="AB1355" s="54"/>
      <c r="AD1355" s="54"/>
      <c r="AF1355" s="54"/>
      <c r="AH1355" s="54"/>
      <c r="AJ1355" s="54"/>
      <c r="AL1355" s="54"/>
      <c r="AO1355" s="54"/>
      <c r="AP1355" s="1"/>
      <c r="AQ1355" s="54"/>
      <c r="AR1355" s="171"/>
      <c r="AS1355" s="1"/>
      <c r="AT1355" s="1"/>
      <c r="AU1355" s="1"/>
    </row>
    <row r="1356">
      <c r="A1356" s="54"/>
      <c r="B1356" s="71"/>
      <c r="C1356" s="51"/>
      <c r="D1356" s="54"/>
      <c r="E1356" s="114"/>
      <c r="F1356" s="16"/>
      <c r="G1356" s="114"/>
      <c r="H1356" s="54"/>
      <c r="I1356" s="114"/>
      <c r="J1356" s="54"/>
      <c r="L1356" s="54"/>
      <c r="N1356" s="54"/>
      <c r="P1356" s="54"/>
      <c r="R1356" s="54"/>
      <c r="T1356" s="1"/>
      <c r="V1356" s="54"/>
      <c r="X1356" s="54"/>
      <c r="Z1356" s="54"/>
      <c r="AB1356" s="54"/>
      <c r="AD1356" s="54"/>
      <c r="AF1356" s="54"/>
      <c r="AH1356" s="54"/>
      <c r="AJ1356" s="54"/>
      <c r="AL1356" s="54"/>
      <c r="AO1356" s="54"/>
      <c r="AP1356" s="1"/>
      <c r="AQ1356" s="54"/>
      <c r="AR1356" s="171"/>
      <c r="AS1356" s="1"/>
      <c r="AT1356" s="1"/>
      <c r="AU1356" s="1"/>
    </row>
    <row r="1357">
      <c r="A1357" s="54"/>
      <c r="B1357" s="71"/>
      <c r="C1357" s="51"/>
      <c r="D1357" s="54"/>
      <c r="E1357" s="114"/>
      <c r="F1357" s="16"/>
      <c r="G1357" s="114"/>
      <c r="H1357" s="54"/>
      <c r="I1357" s="114"/>
      <c r="J1357" s="54"/>
      <c r="L1357" s="54"/>
      <c r="N1357" s="54"/>
      <c r="P1357" s="54"/>
      <c r="R1357" s="54"/>
      <c r="T1357" s="1"/>
      <c r="V1357" s="54"/>
      <c r="X1357" s="54"/>
      <c r="Z1357" s="54"/>
      <c r="AB1357" s="54"/>
      <c r="AD1357" s="54"/>
      <c r="AF1357" s="54"/>
      <c r="AH1357" s="54"/>
      <c r="AJ1357" s="54"/>
      <c r="AL1357" s="54"/>
      <c r="AO1357" s="54"/>
      <c r="AP1357" s="1"/>
      <c r="AQ1357" s="54"/>
      <c r="AR1357" s="171"/>
      <c r="AS1357" s="1"/>
      <c r="AT1357" s="1"/>
      <c r="AU1357" s="1"/>
    </row>
    <row r="1358">
      <c r="A1358" s="54"/>
      <c r="B1358" s="71"/>
      <c r="C1358" s="51"/>
      <c r="D1358" s="54"/>
      <c r="E1358" s="114"/>
      <c r="F1358" s="16"/>
      <c r="G1358" s="114"/>
      <c r="H1358" s="54"/>
      <c r="I1358" s="114"/>
      <c r="J1358" s="54"/>
      <c r="L1358" s="54"/>
      <c r="N1358" s="54"/>
      <c r="P1358" s="54"/>
      <c r="R1358" s="54"/>
      <c r="T1358" s="1"/>
      <c r="V1358" s="54"/>
      <c r="X1358" s="54"/>
      <c r="Z1358" s="54"/>
      <c r="AB1358" s="54"/>
      <c r="AD1358" s="54"/>
      <c r="AF1358" s="54"/>
      <c r="AH1358" s="54"/>
      <c r="AJ1358" s="54"/>
      <c r="AL1358" s="54"/>
      <c r="AO1358" s="54"/>
      <c r="AP1358" s="1"/>
      <c r="AQ1358" s="54"/>
      <c r="AR1358" s="171"/>
      <c r="AS1358" s="1"/>
      <c r="AT1358" s="1"/>
      <c r="AU1358" s="1"/>
    </row>
    <row r="1359">
      <c r="A1359" s="54"/>
      <c r="B1359" s="71"/>
      <c r="C1359" s="51"/>
      <c r="D1359" s="54"/>
      <c r="E1359" s="114"/>
      <c r="F1359" s="16"/>
      <c r="G1359" s="114"/>
      <c r="H1359" s="54"/>
      <c r="I1359" s="114"/>
      <c r="J1359" s="54"/>
      <c r="L1359" s="54"/>
      <c r="N1359" s="54"/>
      <c r="P1359" s="54"/>
      <c r="R1359" s="54"/>
      <c r="T1359" s="1"/>
      <c r="V1359" s="54"/>
      <c r="X1359" s="54"/>
      <c r="Z1359" s="54"/>
      <c r="AB1359" s="54"/>
      <c r="AD1359" s="54"/>
      <c r="AF1359" s="54"/>
      <c r="AH1359" s="54"/>
      <c r="AJ1359" s="54"/>
      <c r="AL1359" s="54"/>
      <c r="AO1359" s="54"/>
      <c r="AP1359" s="1"/>
      <c r="AQ1359" s="54"/>
      <c r="AR1359" s="171"/>
      <c r="AS1359" s="1"/>
      <c r="AT1359" s="1"/>
      <c r="AU1359" s="1"/>
    </row>
    <row r="1360">
      <c r="A1360" s="54"/>
      <c r="B1360" s="71"/>
      <c r="C1360" s="51"/>
      <c r="D1360" s="54"/>
      <c r="E1360" s="114"/>
      <c r="F1360" s="16"/>
      <c r="G1360" s="114"/>
      <c r="H1360" s="54"/>
      <c r="I1360" s="114"/>
      <c r="J1360" s="54"/>
      <c r="L1360" s="54"/>
      <c r="N1360" s="54"/>
      <c r="P1360" s="54"/>
      <c r="R1360" s="54"/>
      <c r="T1360" s="1"/>
      <c r="V1360" s="54"/>
      <c r="X1360" s="54"/>
      <c r="Z1360" s="54"/>
      <c r="AB1360" s="54"/>
      <c r="AD1360" s="54"/>
      <c r="AF1360" s="54"/>
      <c r="AH1360" s="54"/>
      <c r="AJ1360" s="54"/>
      <c r="AL1360" s="54"/>
      <c r="AO1360" s="54"/>
      <c r="AP1360" s="1"/>
      <c r="AQ1360" s="54"/>
      <c r="AR1360" s="171"/>
      <c r="AS1360" s="1"/>
      <c r="AT1360" s="1"/>
      <c r="AU1360" s="1"/>
    </row>
    <row r="1361">
      <c r="A1361" s="54"/>
      <c r="B1361" s="71"/>
      <c r="C1361" s="51"/>
      <c r="D1361" s="54"/>
      <c r="E1361" s="114"/>
      <c r="F1361" s="16"/>
      <c r="G1361" s="114"/>
      <c r="H1361" s="54"/>
      <c r="I1361" s="114"/>
      <c r="J1361" s="54"/>
      <c r="L1361" s="54"/>
      <c r="N1361" s="54"/>
      <c r="P1361" s="54"/>
      <c r="R1361" s="54"/>
      <c r="T1361" s="1"/>
      <c r="V1361" s="54"/>
      <c r="X1361" s="54"/>
      <c r="Z1361" s="54"/>
      <c r="AB1361" s="54"/>
      <c r="AD1361" s="54"/>
      <c r="AF1361" s="54"/>
      <c r="AH1361" s="54"/>
      <c r="AJ1361" s="54"/>
      <c r="AL1361" s="54"/>
      <c r="AO1361" s="54"/>
      <c r="AP1361" s="1"/>
      <c r="AQ1361" s="54"/>
      <c r="AR1361" s="171"/>
      <c r="AS1361" s="1"/>
      <c r="AT1361" s="1"/>
      <c r="AU1361" s="1"/>
    </row>
    <row r="1362">
      <c r="A1362" s="54"/>
      <c r="B1362" s="71"/>
      <c r="C1362" s="51"/>
      <c r="D1362" s="54"/>
      <c r="E1362" s="114"/>
      <c r="F1362" s="16"/>
      <c r="G1362" s="114"/>
      <c r="H1362" s="54"/>
      <c r="I1362" s="114"/>
      <c r="J1362" s="54"/>
      <c r="L1362" s="54"/>
      <c r="N1362" s="54"/>
      <c r="P1362" s="54"/>
      <c r="R1362" s="54"/>
      <c r="T1362" s="1"/>
      <c r="V1362" s="54"/>
      <c r="X1362" s="54"/>
      <c r="Z1362" s="54"/>
      <c r="AB1362" s="54"/>
      <c r="AD1362" s="54"/>
      <c r="AF1362" s="54"/>
      <c r="AH1362" s="54"/>
      <c r="AJ1362" s="54"/>
      <c r="AL1362" s="54"/>
      <c r="AO1362" s="54"/>
      <c r="AP1362" s="1"/>
      <c r="AQ1362" s="54"/>
      <c r="AR1362" s="171"/>
      <c r="AS1362" s="1"/>
      <c r="AT1362" s="1"/>
      <c r="AU1362" s="1"/>
    </row>
    <row r="1363">
      <c r="A1363" s="54"/>
      <c r="B1363" s="71"/>
      <c r="C1363" s="51"/>
      <c r="D1363" s="54"/>
      <c r="E1363" s="114"/>
      <c r="F1363" s="16"/>
      <c r="G1363" s="114"/>
      <c r="H1363" s="54"/>
      <c r="I1363" s="114"/>
      <c r="J1363" s="54"/>
      <c r="L1363" s="54"/>
      <c r="N1363" s="54"/>
      <c r="P1363" s="54"/>
      <c r="R1363" s="54"/>
      <c r="T1363" s="1"/>
      <c r="V1363" s="54"/>
      <c r="X1363" s="54"/>
      <c r="Z1363" s="54"/>
      <c r="AB1363" s="54"/>
      <c r="AD1363" s="54"/>
      <c r="AF1363" s="54"/>
      <c r="AH1363" s="54"/>
      <c r="AJ1363" s="54"/>
      <c r="AL1363" s="54"/>
      <c r="AO1363" s="54"/>
      <c r="AP1363" s="1"/>
      <c r="AQ1363" s="54"/>
      <c r="AR1363" s="171"/>
      <c r="AS1363" s="1"/>
      <c r="AT1363" s="1"/>
      <c r="AU1363" s="1"/>
    </row>
    <row r="1364">
      <c r="A1364" s="54"/>
      <c r="B1364" s="71"/>
      <c r="C1364" s="51"/>
      <c r="D1364" s="54"/>
      <c r="E1364" s="114"/>
      <c r="F1364" s="16"/>
      <c r="G1364" s="114"/>
      <c r="H1364" s="54"/>
      <c r="I1364" s="114"/>
      <c r="J1364" s="54"/>
      <c r="L1364" s="54"/>
      <c r="N1364" s="54"/>
      <c r="P1364" s="54"/>
      <c r="R1364" s="54"/>
      <c r="T1364" s="1"/>
      <c r="V1364" s="54"/>
      <c r="X1364" s="54"/>
      <c r="Z1364" s="54"/>
      <c r="AB1364" s="54"/>
      <c r="AD1364" s="54"/>
      <c r="AF1364" s="54"/>
      <c r="AH1364" s="54"/>
      <c r="AJ1364" s="54"/>
      <c r="AL1364" s="54"/>
      <c r="AO1364" s="54"/>
      <c r="AP1364" s="1"/>
      <c r="AQ1364" s="54"/>
      <c r="AR1364" s="171"/>
      <c r="AS1364" s="1"/>
      <c r="AT1364" s="1"/>
      <c r="AU1364" s="1"/>
    </row>
    <row r="1365">
      <c r="A1365" s="54"/>
      <c r="B1365" s="71"/>
      <c r="C1365" s="51"/>
      <c r="D1365" s="54"/>
      <c r="E1365" s="114"/>
      <c r="F1365" s="16"/>
      <c r="G1365" s="114"/>
      <c r="H1365" s="54"/>
      <c r="I1365" s="114"/>
      <c r="J1365" s="54"/>
      <c r="L1365" s="54"/>
      <c r="N1365" s="54"/>
      <c r="P1365" s="54"/>
      <c r="R1365" s="54"/>
      <c r="T1365" s="1"/>
      <c r="V1365" s="54"/>
      <c r="X1365" s="54"/>
      <c r="Z1365" s="54"/>
      <c r="AB1365" s="54"/>
      <c r="AD1365" s="54"/>
      <c r="AF1365" s="54"/>
      <c r="AH1365" s="54"/>
      <c r="AJ1365" s="54"/>
      <c r="AL1365" s="54"/>
      <c r="AO1365" s="54"/>
      <c r="AP1365" s="1"/>
      <c r="AQ1365" s="54"/>
      <c r="AR1365" s="171"/>
      <c r="AS1365" s="1"/>
      <c r="AT1365" s="1"/>
      <c r="AU1365" s="1"/>
    </row>
    <row r="1366">
      <c r="A1366" s="54"/>
      <c r="B1366" s="71"/>
      <c r="C1366" s="51"/>
      <c r="D1366" s="54"/>
      <c r="E1366" s="114"/>
      <c r="F1366" s="16"/>
      <c r="G1366" s="114"/>
      <c r="H1366" s="54"/>
      <c r="I1366" s="114"/>
      <c r="J1366" s="54"/>
      <c r="L1366" s="54"/>
      <c r="N1366" s="54"/>
      <c r="P1366" s="54"/>
      <c r="R1366" s="54"/>
      <c r="T1366" s="1"/>
      <c r="V1366" s="54"/>
      <c r="X1366" s="54"/>
      <c r="Z1366" s="54"/>
      <c r="AB1366" s="54"/>
      <c r="AD1366" s="54"/>
      <c r="AF1366" s="54"/>
      <c r="AH1366" s="54"/>
      <c r="AJ1366" s="54"/>
      <c r="AL1366" s="54"/>
      <c r="AO1366" s="54"/>
      <c r="AP1366" s="1"/>
      <c r="AQ1366" s="54"/>
      <c r="AR1366" s="171"/>
      <c r="AS1366" s="1"/>
      <c r="AT1366" s="1"/>
      <c r="AU1366" s="1"/>
    </row>
    <row r="1367">
      <c r="A1367" s="54"/>
      <c r="B1367" s="71"/>
      <c r="C1367" s="51"/>
      <c r="D1367" s="54"/>
      <c r="E1367" s="114"/>
      <c r="F1367" s="16"/>
      <c r="G1367" s="114"/>
      <c r="H1367" s="54"/>
      <c r="I1367" s="114"/>
      <c r="J1367" s="54"/>
      <c r="L1367" s="54"/>
      <c r="N1367" s="54"/>
      <c r="P1367" s="54"/>
      <c r="R1367" s="54"/>
      <c r="T1367" s="1"/>
      <c r="V1367" s="54"/>
      <c r="X1367" s="54"/>
      <c r="Z1367" s="54"/>
      <c r="AB1367" s="54"/>
      <c r="AD1367" s="54"/>
      <c r="AF1367" s="54"/>
      <c r="AH1367" s="54"/>
      <c r="AJ1367" s="54"/>
      <c r="AL1367" s="54"/>
      <c r="AO1367" s="54"/>
      <c r="AP1367" s="1"/>
      <c r="AQ1367" s="54"/>
      <c r="AR1367" s="171"/>
      <c r="AS1367" s="1"/>
      <c r="AT1367" s="1"/>
      <c r="AU1367" s="1"/>
    </row>
    <row r="1368">
      <c r="A1368" s="54"/>
      <c r="B1368" s="71"/>
      <c r="C1368" s="51"/>
      <c r="D1368" s="54"/>
      <c r="E1368" s="114"/>
      <c r="F1368" s="16"/>
      <c r="G1368" s="114"/>
      <c r="H1368" s="54"/>
      <c r="I1368" s="114"/>
      <c r="J1368" s="54"/>
      <c r="L1368" s="54"/>
      <c r="N1368" s="54"/>
      <c r="P1368" s="54"/>
      <c r="R1368" s="54"/>
      <c r="T1368" s="1"/>
      <c r="V1368" s="54"/>
      <c r="X1368" s="54"/>
      <c r="Z1368" s="54"/>
      <c r="AB1368" s="54"/>
      <c r="AD1368" s="54"/>
      <c r="AF1368" s="54"/>
      <c r="AH1368" s="54"/>
      <c r="AJ1368" s="54"/>
      <c r="AL1368" s="54"/>
      <c r="AO1368" s="54"/>
      <c r="AP1368" s="1"/>
      <c r="AQ1368" s="54"/>
      <c r="AR1368" s="171"/>
      <c r="AS1368" s="1"/>
      <c r="AT1368" s="1"/>
      <c r="AU1368" s="1"/>
    </row>
    <row r="1369">
      <c r="A1369" s="54"/>
      <c r="B1369" s="71"/>
      <c r="C1369" s="51"/>
      <c r="D1369" s="54"/>
      <c r="E1369" s="114"/>
      <c r="F1369" s="16"/>
      <c r="G1369" s="114"/>
      <c r="H1369" s="54"/>
      <c r="I1369" s="114"/>
      <c r="J1369" s="54"/>
      <c r="L1369" s="54"/>
      <c r="N1369" s="54"/>
      <c r="P1369" s="54"/>
      <c r="R1369" s="54"/>
      <c r="T1369" s="1"/>
      <c r="V1369" s="54"/>
      <c r="X1369" s="54"/>
      <c r="Z1369" s="54"/>
      <c r="AB1369" s="54"/>
      <c r="AD1369" s="54"/>
      <c r="AF1369" s="54"/>
      <c r="AH1369" s="54"/>
      <c r="AJ1369" s="54"/>
      <c r="AL1369" s="54"/>
      <c r="AO1369" s="54"/>
      <c r="AP1369" s="1"/>
      <c r="AQ1369" s="54"/>
      <c r="AR1369" s="171"/>
      <c r="AS1369" s="1"/>
      <c r="AT1369" s="1"/>
      <c r="AU1369" s="1"/>
    </row>
    <row r="1370">
      <c r="A1370" s="54"/>
      <c r="B1370" s="71"/>
      <c r="C1370" s="51"/>
      <c r="D1370" s="54"/>
      <c r="E1370" s="114"/>
      <c r="F1370" s="16"/>
      <c r="G1370" s="114"/>
      <c r="H1370" s="54"/>
      <c r="I1370" s="114"/>
      <c r="J1370" s="54"/>
      <c r="L1370" s="54"/>
      <c r="N1370" s="54"/>
      <c r="P1370" s="54"/>
      <c r="R1370" s="54"/>
      <c r="T1370" s="1"/>
      <c r="V1370" s="54"/>
      <c r="X1370" s="54"/>
      <c r="Z1370" s="54"/>
      <c r="AB1370" s="54"/>
      <c r="AD1370" s="54"/>
      <c r="AF1370" s="54"/>
      <c r="AH1370" s="54"/>
      <c r="AJ1370" s="54"/>
      <c r="AL1370" s="54"/>
      <c r="AO1370" s="54"/>
      <c r="AP1370" s="1"/>
      <c r="AQ1370" s="54"/>
      <c r="AR1370" s="171"/>
      <c r="AS1370" s="1"/>
      <c r="AT1370" s="1"/>
      <c r="AU1370" s="1"/>
    </row>
    <row r="1371">
      <c r="A1371" s="54"/>
      <c r="B1371" s="71"/>
      <c r="C1371" s="51"/>
      <c r="D1371" s="54"/>
      <c r="E1371" s="114"/>
      <c r="F1371" s="16"/>
      <c r="G1371" s="114"/>
      <c r="H1371" s="54"/>
      <c r="I1371" s="114"/>
      <c r="J1371" s="54"/>
      <c r="L1371" s="54"/>
      <c r="N1371" s="54"/>
      <c r="P1371" s="54"/>
      <c r="R1371" s="54"/>
      <c r="T1371" s="1"/>
      <c r="V1371" s="54"/>
      <c r="X1371" s="54"/>
      <c r="Z1371" s="54"/>
      <c r="AB1371" s="54"/>
      <c r="AD1371" s="54"/>
      <c r="AF1371" s="54"/>
      <c r="AH1371" s="54"/>
      <c r="AJ1371" s="54"/>
      <c r="AL1371" s="54"/>
      <c r="AO1371" s="54"/>
      <c r="AP1371" s="1"/>
      <c r="AQ1371" s="54"/>
      <c r="AR1371" s="171"/>
      <c r="AS1371" s="1"/>
      <c r="AT1371" s="1"/>
      <c r="AU1371" s="1"/>
    </row>
    <row r="1372">
      <c r="A1372" s="54"/>
      <c r="B1372" s="71"/>
      <c r="C1372" s="51"/>
      <c r="D1372" s="54"/>
      <c r="E1372" s="114"/>
      <c r="F1372" s="16"/>
      <c r="G1372" s="114"/>
      <c r="H1372" s="54"/>
      <c r="I1372" s="114"/>
      <c r="J1372" s="54"/>
      <c r="L1372" s="54"/>
      <c r="N1372" s="54"/>
      <c r="P1372" s="54"/>
      <c r="R1372" s="54"/>
      <c r="T1372" s="1"/>
      <c r="V1372" s="54"/>
      <c r="X1372" s="54"/>
      <c r="Z1372" s="54"/>
      <c r="AB1372" s="54"/>
      <c r="AD1372" s="54"/>
      <c r="AF1372" s="54"/>
      <c r="AH1372" s="54"/>
      <c r="AJ1372" s="54"/>
      <c r="AL1372" s="54"/>
      <c r="AO1372" s="54"/>
      <c r="AP1372" s="1"/>
      <c r="AQ1372" s="54"/>
      <c r="AR1372" s="171"/>
      <c r="AS1372" s="1"/>
      <c r="AT1372" s="1"/>
      <c r="AU1372" s="1"/>
    </row>
    <row r="1373">
      <c r="A1373" s="54"/>
      <c r="B1373" s="71"/>
      <c r="C1373" s="51"/>
      <c r="D1373" s="54"/>
      <c r="E1373" s="114"/>
      <c r="F1373" s="16"/>
      <c r="G1373" s="114"/>
      <c r="H1373" s="54"/>
      <c r="I1373" s="114"/>
      <c r="J1373" s="54"/>
      <c r="L1373" s="54"/>
      <c r="N1373" s="54"/>
      <c r="P1373" s="54"/>
      <c r="R1373" s="54"/>
      <c r="T1373" s="1"/>
      <c r="V1373" s="54"/>
      <c r="X1373" s="54"/>
      <c r="Z1373" s="54"/>
      <c r="AB1373" s="54"/>
      <c r="AD1373" s="54"/>
      <c r="AF1373" s="54"/>
      <c r="AH1373" s="54"/>
      <c r="AJ1373" s="54"/>
      <c r="AL1373" s="54"/>
      <c r="AO1373" s="54"/>
      <c r="AP1373" s="1"/>
      <c r="AQ1373" s="54"/>
      <c r="AR1373" s="171"/>
      <c r="AS1373" s="1"/>
      <c r="AT1373" s="1"/>
      <c r="AU1373" s="1"/>
    </row>
    <row r="1374">
      <c r="A1374" s="54"/>
      <c r="B1374" s="71"/>
      <c r="C1374" s="51"/>
      <c r="D1374" s="54"/>
      <c r="E1374" s="114"/>
      <c r="F1374" s="16"/>
      <c r="G1374" s="114"/>
      <c r="H1374" s="54"/>
      <c r="I1374" s="114"/>
      <c r="J1374" s="54"/>
      <c r="L1374" s="54"/>
      <c r="N1374" s="54"/>
      <c r="P1374" s="54"/>
      <c r="R1374" s="54"/>
      <c r="T1374" s="1"/>
      <c r="V1374" s="54"/>
      <c r="X1374" s="54"/>
      <c r="Z1374" s="54"/>
      <c r="AB1374" s="54"/>
      <c r="AD1374" s="54"/>
      <c r="AF1374" s="54"/>
      <c r="AH1374" s="54"/>
      <c r="AJ1374" s="54"/>
      <c r="AL1374" s="54"/>
      <c r="AO1374" s="54"/>
      <c r="AP1374" s="1"/>
      <c r="AQ1374" s="54"/>
      <c r="AR1374" s="171"/>
      <c r="AS1374" s="1"/>
      <c r="AT1374" s="1"/>
      <c r="AU1374" s="1"/>
    </row>
    <row r="1375">
      <c r="A1375" s="54"/>
      <c r="B1375" s="71"/>
      <c r="C1375" s="51"/>
      <c r="D1375" s="54"/>
      <c r="E1375" s="114"/>
      <c r="F1375" s="16"/>
      <c r="G1375" s="114"/>
      <c r="H1375" s="54"/>
      <c r="I1375" s="114"/>
      <c r="J1375" s="54"/>
      <c r="L1375" s="54"/>
      <c r="N1375" s="54"/>
      <c r="P1375" s="54"/>
      <c r="R1375" s="54"/>
      <c r="T1375" s="1"/>
      <c r="V1375" s="54"/>
      <c r="X1375" s="54"/>
      <c r="Z1375" s="54"/>
      <c r="AB1375" s="54"/>
      <c r="AD1375" s="54"/>
      <c r="AF1375" s="54"/>
      <c r="AH1375" s="54"/>
      <c r="AJ1375" s="54"/>
      <c r="AL1375" s="54"/>
      <c r="AO1375" s="54"/>
      <c r="AP1375" s="1"/>
      <c r="AQ1375" s="54"/>
      <c r="AR1375" s="171"/>
      <c r="AS1375" s="1"/>
      <c r="AT1375" s="1"/>
      <c r="AU1375" s="1"/>
    </row>
    <row r="1376">
      <c r="A1376" s="54"/>
      <c r="B1376" s="71"/>
      <c r="C1376" s="51"/>
      <c r="D1376" s="54"/>
      <c r="E1376" s="114"/>
      <c r="F1376" s="16"/>
      <c r="G1376" s="114"/>
      <c r="H1376" s="54"/>
      <c r="I1376" s="114"/>
      <c r="J1376" s="54"/>
      <c r="L1376" s="54"/>
      <c r="N1376" s="54"/>
      <c r="P1376" s="54"/>
      <c r="R1376" s="54"/>
      <c r="T1376" s="1"/>
      <c r="V1376" s="54"/>
      <c r="X1376" s="54"/>
      <c r="Z1376" s="54"/>
      <c r="AB1376" s="54"/>
      <c r="AD1376" s="54"/>
      <c r="AF1376" s="54"/>
      <c r="AH1376" s="54"/>
      <c r="AJ1376" s="54"/>
      <c r="AL1376" s="54"/>
      <c r="AO1376" s="54"/>
      <c r="AP1376" s="1"/>
      <c r="AQ1376" s="54"/>
      <c r="AR1376" s="171"/>
      <c r="AS1376" s="1"/>
      <c r="AT1376" s="1"/>
      <c r="AU1376" s="1"/>
    </row>
    <row r="1377">
      <c r="A1377" s="54"/>
      <c r="B1377" s="71"/>
      <c r="C1377" s="51"/>
      <c r="D1377" s="54"/>
      <c r="E1377" s="114"/>
      <c r="F1377" s="16"/>
      <c r="G1377" s="114"/>
      <c r="H1377" s="54"/>
      <c r="I1377" s="114"/>
      <c r="J1377" s="54"/>
      <c r="L1377" s="54"/>
      <c r="N1377" s="54"/>
      <c r="P1377" s="54"/>
      <c r="R1377" s="54"/>
      <c r="T1377" s="1"/>
      <c r="V1377" s="54"/>
      <c r="X1377" s="54"/>
      <c r="Z1377" s="54"/>
      <c r="AB1377" s="54"/>
      <c r="AD1377" s="54"/>
      <c r="AF1377" s="54"/>
      <c r="AH1377" s="54"/>
      <c r="AJ1377" s="54"/>
      <c r="AL1377" s="54"/>
      <c r="AO1377" s="54"/>
      <c r="AP1377" s="1"/>
      <c r="AQ1377" s="54"/>
      <c r="AR1377" s="171"/>
      <c r="AS1377" s="1"/>
      <c r="AT1377" s="1"/>
      <c r="AU1377" s="1"/>
    </row>
    <row r="1378">
      <c r="A1378" s="54"/>
      <c r="B1378" s="71"/>
      <c r="C1378" s="51"/>
      <c r="D1378" s="54"/>
      <c r="E1378" s="114"/>
      <c r="F1378" s="16"/>
      <c r="G1378" s="114"/>
      <c r="H1378" s="54"/>
      <c r="I1378" s="114"/>
      <c r="J1378" s="54"/>
      <c r="L1378" s="54"/>
      <c r="N1378" s="54"/>
      <c r="P1378" s="54"/>
      <c r="R1378" s="54"/>
      <c r="T1378" s="1"/>
      <c r="V1378" s="54"/>
      <c r="X1378" s="54"/>
      <c r="Z1378" s="54"/>
      <c r="AB1378" s="54"/>
      <c r="AD1378" s="54"/>
      <c r="AF1378" s="54"/>
      <c r="AH1378" s="54"/>
      <c r="AJ1378" s="54"/>
      <c r="AL1378" s="54"/>
      <c r="AO1378" s="54"/>
      <c r="AP1378" s="1"/>
      <c r="AQ1378" s="54"/>
      <c r="AR1378" s="171"/>
      <c r="AS1378" s="1"/>
      <c r="AT1378" s="1"/>
      <c r="AU1378" s="1"/>
    </row>
    <row r="1379">
      <c r="A1379" s="54"/>
      <c r="B1379" s="71"/>
      <c r="C1379" s="51"/>
      <c r="D1379" s="54"/>
      <c r="E1379" s="114"/>
      <c r="F1379" s="16"/>
      <c r="G1379" s="114"/>
      <c r="H1379" s="54"/>
      <c r="I1379" s="114"/>
      <c r="J1379" s="54"/>
      <c r="L1379" s="54"/>
      <c r="N1379" s="54"/>
      <c r="P1379" s="54"/>
      <c r="R1379" s="54"/>
      <c r="T1379" s="1"/>
      <c r="V1379" s="54"/>
      <c r="X1379" s="54"/>
      <c r="Z1379" s="54"/>
      <c r="AB1379" s="54"/>
      <c r="AD1379" s="54"/>
      <c r="AF1379" s="54"/>
      <c r="AH1379" s="54"/>
      <c r="AJ1379" s="54"/>
      <c r="AL1379" s="54"/>
      <c r="AO1379" s="54"/>
      <c r="AP1379" s="1"/>
      <c r="AQ1379" s="54"/>
      <c r="AR1379" s="171"/>
      <c r="AS1379" s="1"/>
      <c r="AT1379" s="1"/>
      <c r="AU1379" s="1"/>
    </row>
    <row r="1380">
      <c r="A1380" s="54"/>
      <c r="B1380" s="71"/>
      <c r="C1380" s="51"/>
      <c r="D1380" s="54"/>
      <c r="E1380" s="114"/>
      <c r="F1380" s="16"/>
      <c r="G1380" s="114"/>
      <c r="H1380" s="54"/>
      <c r="I1380" s="114"/>
      <c r="J1380" s="54"/>
      <c r="L1380" s="54"/>
      <c r="N1380" s="54"/>
      <c r="P1380" s="54"/>
      <c r="R1380" s="54"/>
      <c r="T1380" s="1"/>
      <c r="V1380" s="54"/>
      <c r="X1380" s="54"/>
      <c r="Z1380" s="54"/>
      <c r="AB1380" s="54"/>
      <c r="AD1380" s="54"/>
      <c r="AF1380" s="54"/>
      <c r="AH1380" s="54"/>
      <c r="AJ1380" s="54"/>
      <c r="AL1380" s="54"/>
      <c r="AO1380" s="54"/>
      <c r="AP1380" s="1"/>
      <c r="AQ1380" s="54"/>
      <c r="AR1380" s="171"/>
      <c r="AS1380" s="1"/>
      <c r="AT1380" s="1"/>
      <c r="AU1380" s="1"/>
    </row>
    <row r="1381">
      <c r="A1381" s="54"/>
      <c r="B1381" s="71"/>
      <c r="C1381" s="51"/>
      <c r="D1381" s="54"/>
      <c r="E1381" s="114"/>
      <c r="F1381" s="16"/>
      <c r="G1381" s="114"/>
      <c r="H1381" s="54"/>
      <c r="I1381" s="114"/>
      <c r="J1381" s="54"/>
      <c r="L1381" s="54"/>
      <c r="N1381" s="54"/>
      <c r="P1381" s="54"/>
      <c r="R1381" s="54"/>
      <c r="T1381" s="1"/>
      <c r="V1381" s="54"/>
      <c r="X1381" s="54"/>
      <c r="Z1381" s="54"/>
      <c r="AB1381" s="54"/>
      <c r="AD1381" s="54"/>
      <c r="AF1381" s="54"/>
      <c r="AH1381" s="54"/>
      <c r="AJ1381" s="54"/>
      <c r="AL1381" s="54"/>
      <c r="AO1381" s="54"/>
      <c r="AP1381" s="1"/>
      <c r="AQ1381" s="54"/>
      <c r="AR1381" s="171"/>
      <c r="AS1381" s="1"/>
      <c r="AT1381" s="1"/>
      <c r="AU1381" s="1"/>
    </row>
    <row r="1382">
      <c r="A1382" s="54"/>
      <c r="B1382" s="71"/>
      <c r="C1382" s="51"/>
      <c r="D1382" s="54"/>
      <c r="E1382" s="114"/>
      <c r="F1382" s="16"/>
      <c r="G1382" s="114"/>
      <c r="H1382" s="54"/>
      <c r="I1382" s="114"/>
      <c r="J1382" s="54"/>
      <c r="L1382" s="54"/>
      <c r="N1382" s="54"/>
      <c r="P1382" s="54"/>
      <c r="R1382" s="54"/>
      <c r="T1382" s="1"/>
      <c r="V1382" s="54"/>
      <c r="X1382" s="54"/>
      <c r="Z1382" s="54"/>
      <c r="AB1382" s="54"/>
      <c r="AD1382" s="54"/>
      <c r="AF1382" s="54"/>
      <c r="AH1382" s="54"/>
      <c r="AJ1382" s="54"/>
      <c r="AL1382" s="54"/>
      <c r="AO1382" s="54"/>
      <c r="AP1382" s="1"/>
      <c r="AQ1382" s="54"/>
      <c r="AR1382" s="171"/>
      <c r="AS1382" s="1"/>
      <c r="AT1382" s="1"/>
      <c r="AU1382" s="1"/>
    </row>
    <row r="1383">
      <c r="A1383" s="54"/>
      <c r="B1383" s="71"/>
      <c r="C1383" s="51"/>
      <c r="D1383" s="54"/>
      <c r="E1383" s="114"/>
      <c r="F1383" s="16"/>
      <c r="G1383" s="114"/>
      <c r="H1383" s="54"/>
      <c r="I1383" s="114"/>
      <c r="J1383" s="54"/>
      <c r="L1383" s="54"/>
      <c r="N1383" s="54"/>
      <c r="P1383" s="54"/>
      <c r="R1383" s="54"/>
      <c r="T1383" s="1"/>
      <c r="V1383" s="54"/>
      <c r="X1383" s="54"/>
      <c r="Z1383" s="54"/>
      <c r="AB1383" s="54"/>
      <c r="AD1383" s="54"/>
      <c r="AF1383" s="54"/>
      <c r="AH1383" s="54"/>
      <c r="AJ1383" s="54"/>
      <c r="AL1383" s="54"/>
      <c r="AO1383" s="54"/>
      <c r="AP1383" s="1"/>
      <c r="AQ1383" s="54"/>
      <c r="AR1383" s="171"/>
      <c r="AS1383" s="1"/>
      <c r="AT1383" s="1"/>
      <c r="AU1383" s="1"/>
    </row>
    <row r="1384">
      <c r="A1384" s="54"/>
      <c r="B1384" s="71"/>
      <c r="C1384" s="51"/>
      <c r="D1384" s="54"/>
      <c r="E1384" s="114"/>
      <c r="F1384" s="16"/>
      <c r="G1384" s="114"/>
      <c r="H1384" s="54"/>
      <c r="I1384" s="114"/>
      <c r="J1384" s="54"/>
      <c r="L1384" s="54"/>
      <c r="N1384" s="54"/>
      <c r="P1384" s="54"/>
      <c r="R1384" s="54"/>
      <c r="T1384" s="1"/>
      <c r="V1384" s="54"/>
      <c r="X1384" s="54"/>
      <c r="Z1384" s="54"/>
      <c r="AB1384" s="54"/>
      <c r="AD1384" s="54"/>
      <c r="AF1384" s="54"/>
      <c r="AH1384" s="54"/>
      <c r="AJ1384" s="54"/>
      <c r="AL1384" s="54"/>
      <c r="AO1384" s="54"/>
      <c r="AP1384" s="1"/>
      <c r="AQ1384" s="54"/>
      <c r="AR1384" s="171"/>
      <c r="AS1384" s="1"/>
      <c r="AT1384" s="1"/>
      <c r="AU1384" s="1"/>
    </row>
    <row r="1385">
      <c r="A1385" s="54"/>
      <c r="B1385" s="71"/>
      <c r="C1385" s="51"/>
      <c r="D1385" s="54"/>
      <c r="E1385" s="114"/>
      <c r="F1385" s="16"/>
      <c r="G1385" s="114"/>
      <c r="H1385" s="54"/>
      <c r="I1385" s="114"/>
      <c r="J1385" s="54"/>
      <c r="L1385" s="54"/>
      <c r="N1385" s="54"/>
      <c r="P1385" s="54"/>
      <c r="R1385" s="54"/>
      <c r="T1385" s="1"/>
      <c r="V1385" s="54"/>
      <c r="X1385" s="54"/>
      <c r="Z1385" s="54"/>
      <c r="AB1385" s="54"/>
      <c r="AD1385" s="54"/>
      <c r="AF1385" s="54"/>
      <c r="AH1385" s="54"/>
      <c r="AJ1385" s="54"/>
      <c r="AL1385" s="54"/>
      <c r="AO1385" s="54"/>
      <c r="AP1385" s="1"/>
      <c r="AQ1385" s="54"/>
      <c r="AR1385" s="171"/>
      <c r="AS1385" s="1"/>
      <c r="AT1385" s="1"/>
      <c r="AU1385" s="1"/>
    </row>
    <row r="1386">
      <c r="A1386" s="54"/>
      <c r="B1386" s="71"/>
      <c r="C1386" s="51"/>
      <c r="D1386" s="54"/>
      <c r="E1386" s="114"/>
      <c r="F1386" s="16"/>
      <c r="G1386" s="114"/>
      <c r="H1386" s="54"/>
      <c r="I1386" s="114"/>
      <c r="J1386" s="54"/>
      <c r="L1386" s="54"/>
      <c r="N1386" s="54"/>
      <c r="P1386" s="54"/>
      <c r="R1386" s="54"/>
      <c r="T1386" s="1"/>
      <c r="V1386" s="54"/>
      <c r="X1386" s="54"/>
      <c r="Z1386" s="54"/>
      <c r="AB1386" s="54"/>
      <c r="AD1386" s="54"/>
      <c r="AF1386" s="54"/>
      <c r="AH1386" s="54"/>
      <c r="AJ1386" s="54"/>
      <c r="AL1386" s="54"/>
      <c r="AO1386" s="54"/>
      <c r="AP1386" s="1"/>
      <c r="AQ1386" s="54"/>
      <c r="AR1386" s="171"/>
      <c r="AS1386" s="1"/>
      <c r="AT1386" s="1"/>
      <c r="AU1386" s="1"/>
    </row>
    <row r="1387">
      <c r="A1387" s="54"/>
      <c r="B1387" s="71"/>
      <c r="C1387" s="51"/>
      <c r="D1387" s="54"/>
      <c r="E1387" s="114"/>
      <c r="F1387" s="16"/>
      <c r="G1387" s="114"/>
      <c r="H1387" s="54"/>
      <c r="I1387" s="114"/>
      <c r="J1387" s="54"/>
      <c r="L1387" s="54"/>
      <c r="N1387" s="54"/>
      <c r="P1387" s="54"/>
      <c r="R1387" s="54"/>
      <c r="T1387" s="1"/>
      <c r="V1387" s="54"/>
      <c r="X1387" s="54"/>
      <c r="Z1387" s="54"/>
      <c r="AB1387" s="54"/>
      <c r="AD1387" s="54"/>
      <c r="AF1387" s="54"/>
      <c r="AH1387" s="54"/>
      <c r="AJ1387" s="54"/>
      <c r="AL1387" s="54"/>
      <c r="AO1387" s="54"/>
      <c r="AP1387" s="1"/>
      <c r="AQ1387" s="54"/>
      <c r="AR1387" s="171"/>
      <c r="AS1387" s="1"/>
      <c r="AT1387" s="1"/>
      <c r="AU1387" s="1"/>
    </row>
    <row r="1388">
      <c r="A1388" s="54"/>
      <c r="B1388" s="71"/>
      <c r="C1388" s="51"/>
      <c r="D1388" s="54"/>
      <c r="E1388" s="114"/>
      <c r="F1388" s="16"/>
      <c r="G1388" s="114"/>
      <c r="H1388" s="54"/>
      <c r="I1388" s="114"/>
      <c r="J1388" s="54"/>
      <c r="L1388" s="54"/>
      <c r="N1388" s="54"/>
      <c r="P1388" s="54"/>
      <c r="R1388" s="54"/>
      <c r="T1388" s="1"/>
      <c r="V1388" s="54"/>
      <c r="X1388" s="54"/>
      <c r="Z1388" s="54"/>
      <c r="AB1388" s="54"/>
      <c r="AD1388" s="54"/>
      <c r="AF1388" s="54"/>
      <c r="AH1388" s="54"/>
      <c r="AJ1388" s="54"/>
      <c r="AL1388" s="54"/>
      <c r="AO1388" s="54"/>
      <c r="AP1388" s="1"/>
      <c r="AQ1388" s="54"/>
      <c r="AR1388" s="171"/>
      <c r="AS1388" s="1"/>
      <c r="AT1388" s="1"/>
      <c r="AU1388" s="1"/>
    </row>
    <row r="1389">
      <c r="A1389" s="54"/>
      <c r="B1389" s="71"/>
      <c r="C1389" s="51"/>
      <c r="D1389" s="54"/>
      <c r="E1389" s="114"/>
      <c r="F1389" s="16"/>
      <c r="G1389" s="114"/>
      <c r="H1389" s="54"/>
      <c r="I1389" s="114"/>
      <c r="J1389" s="54"/>
      <c r="L1389" s="54"/>
      <c r="N1389" s="54"/>
      <c r="P1389" s="54"/>
      <c r="R1389" s="54"/>
      <c r="T1389" s="1"/>
      <c r="V1389" s="54"/>
      <c r="X1389" s="54"/>
      <c r="Z1389" s="54"/>
      <c r="AB1389" s="54"/>
      <c r="AD1389" s="54"/>
      <c r="AF1389" s="54"/>
      <c r="AH1389" s="54"/>
      <c r="AJ1389" s="54"/>
      <c r="AL1389" s="54"/>
      <c r="AO1389" s="54"/>
      <c r="AP1389" s="1"/>
      <c r="AQ1389" s="54"/>
      <c r="AR1389" s="171"/>
      <c r="AS1389" s="1"/>
      <c r="AT1389" s="1"/>
      <c r="AU1389" s="1"/>
    </row>
    <row r="1390">
      <c r="A1390" s="54"/>
      <c r="B1390" s="71"/>
      <c r="C1390" s="51"/>
      <c r="D1390" s="54"/>
      <c r="E1390" s="114"/>
      <c r="F1390" s="16"/>
      <c r="G1390" s="114"/>
      <c r="H1390" s="54"/>
      <c r="I1390" s="114"/>
      <c r="J1390" s="54"/>
      <c r="L1390" s="54"/>
      <c r="N1390" s="54"/>
      <c r="P1390" s="54"/>
      <c r="R1390" s="54"/>
      <c r="T1390" s="1"/>
      <c r="V1390" s="54"/>
      <c r="X1390" s="54"/>
      <c r="Z1390" s="54"/>
      <c r="AB1390" s="54"/>
      <c r="AD1390" s="54"/>
      <c r="AF1390" s="54"/>
      <c r="AH1390" s="54"/>
      <c r="AJ1390" s="54"/>
      <c r="AL1390" s="54"/>
      <c r="AO1390" s="54"/>
      <c r="AP1390" s="1"/>
      <c r="AQ1390" s="54"/>
      <c r="AR1390" s="171"/>
      <c r="AS1390" s="1"/>
      <c r="AT1390" s="1"/>
      <c r="AU1390" s="1"/>
    </row>
    <row r="1391">
      <c r="A1391" s="54"/>
      <c r="B1391" s="71"/>
      <c r="C1391" s="51"/>
      <c r="D1391" s="54"/>
      <c r="E1391" s="114"/>
      <c r="F1391" s="16"/>
      <c r="G1391" s="114"/>
      <c r="H1391" s="54"/>
      <c r="I1391" s="114"/>
      <c r="J1391" s="54"/>
      <c r="L1391" s="54"/>
      <c r="N1391" s="54"/>
      <c r="P1391" s="54"/>
      <c r="R1391" s="54"/>
      <c r="T1391" s="1"/>
      <c r="V1391" s="54"/>
      <c r="X1391" s="54"/>
      <c r="Z1391" s="54"/>
      <c r="AB1391" s="54"/>
      <c r="AD1391" s="54"/>
      <c r="AF1391" s="54"/>
      <c r="AH1391" s="54"/>
      <c r="AJ1391" s="54"/>
      <c r="AL1391" s="54"/>
      <c r="AO1391" s="54"/>
      <c r="AP1391" s="1"/>
      <c r="AQ1391" s="54"/>
      <c r="AR1391" s="171"/>
      <c r="AS1391" s="1"/>
      <c r="AT1391" s="1"/>
      <c r="AU1391" s="1"/>
    </row>
    <row r="1392">
      <c r="A1392" s="54"/>
      <c r="B1392" s="71"/>
      <c r="C1392" s="51"/>
      <c r="D1392" s="54"/>
      <c r="E1392" s="114"/>
      <c r="F1392" s="16"/>
      <c r="G1392" s="114"/>
      <c r="H1392" s="54"/>
      <c r="I1392" s="114"/>
      <c r="J1392" s="54"/>
      <c r="L1392" s="54"/>
      <c r="N1392" s="54"/>
      <c r="P1392" s="54"/>
      <c r="R1392" s="54"/>
      <c r="T1392" s="1"/>
      <c r="V1392" s="54"/>
      <c r="X1392" s="54"/>
      <c r="Z1392" s="54"/>
      <c r="AB1392" s="54"/>
      <c r="AD1392" s="54"/>
      <c r="AF1392" s="54"/>
      <c r="AH1392" s="54"/>
      <c r="AJ1392" s="54"/>
      <c r="AL1392" s="54"/>
      <c r="AO1392" s="54"/>
      <c r="AP1392" s="1"/>
      <c r="AQ1392" s="54"/>
      <c r="AR1392" s="171"/>
      <c r="AS1392" s="1"/>
      <c r="AT1392" s="1"/>
      <c r="AU1392" s="1"/>
    </row>
    <row r="1393">
      <c r="A1393" s="54"/>
      <c r="B1393" s="71"/>
      <c r="C1393" s="51"/>
      <c r="D1393" s="54"/>
      <c r="E1393" s="114"/>
      <c r="F1393" s="16"/>
      <c r="G1393" s="114"/>
      <c r="H1393" s="54"/>
      <c r="I1393" s="114"/>
      <c r="J1393" s="54"/>
      <c r="L1393" s="54"/>
      <c r="N1393" s="54"/>
      <c r="P1393" s="54"/>
      <c r="R1393" s="54"/>
      <c r="T1393" s="1"/>
      <c r="V1393" s="54"/>
      <c r="X1393" s="54"/>
      <c r="Z1393" s="54"/>
      <c r="AB1393" s="54"/>
      <c r="AD1393" s="54"/>
      <c r="AF1393" s="54"/>
      <c r="AH1393" s="54"/>
      <c r="AJ1393" s="54"/>
      <c r="AL1393" s="54"/>
      <c r="AO1393" s="54"/>
      <c r="AP1393" s="1"/>
      <c r="AQ1393" s="54"/>
      <c r="AR1393" s="171"/>
      <c r="AS1393" s="1"/>
      <c r="AT1393" s="1"/>
      <c r="AU1393" s="1"/>
    </row>
    <row r="1394">
      <c r="A1394" s="54"/>
      <c r="B1394" s="71"/>
      <c r="C1394" s="51"/>
      <c r="D1394" s="54"/>
      <c r="E1394" s="114"/>
      <c r="F1394" s="16"/>
      <c r="G1394" s="114"/>
      <c r="H1394" s="54"/>
      <c r="I1394" s="114"/>
      <c r="J1394" s="54"/>
      <c r="L1394" s="54"/>
      <c r="N1394" s="54"/>
      <c r="P1394" s="54"/>
      <c r="R1394" s="54"/>
      <c r="T1394" s="1"/>
      <c r="V1394" s="54"/>
      <c r="X1394" s="54"/>
      <c r="Z1394" s="54"/>
      <c r="AB1394" s="54"/>
      <c r="AD1394" s="54"/>
      <c r="AF1394" s="54"/>
      <c r="AH1394" s="54"/>
      <c r="AJ1394" s="54"/>
      <c r="AL1394" s="54"/>
      <c r="AO1394" s="54"/>
      <c r="AP1394" s="1"/>
      <c r="AQ1394" s="54"/>
      <c r="AR1394" s="171"/>
      <c r="AS1394" s="1"/>
      <c r="AT1394" s="1"/>
      <c r="AU1394" s="1"/>
    </row>
    <row r="1395">
      <c r="A1395" s="54"/>
      <c r="B1395" s="71"/>
      <c r="C1395" s="51"/>
      <c r="D1395" s="54"/>
      <c r="E1395" s="114"/>
      <c r="F1395" s="16"/>
      <c r="G1395" s="114"/>
      <c r="H1395" s="54"/>
      <c r="I1395" s="114"/>
      <c r="J1395" s="54"/>
      <c r="L1395" s="54"/>
      <c r="N1395" s="54"/>
      <c r="P1395" s="54"/>
      <c r="R1395" s="54"/>
      <c r="T1395" s="1"/>
      <c r="V1395" s="54"/>
      <c r="X1395" s="54"/>
      <c r="Z1395" s="54"/>
      <c r="AB1395" s="54"/>
      <c r="AD1395" s="54"/>
      <c r="AF1395" s="54"/>
      <c r="AH1395" s="54"/>
      <c r="AJ1395" s="54"/>
      <c r="AL1395" s="54"/>
      <c r="AO1395" s="54"/>
      <c r="AP1395" s="1"/>
      <c r="AQ1395" s="54"/>
      <c r="AR1395" s="171"/>
      <c r="AS1395" s="1"/>
      <c r="AT1395" s="1"/>
      <c r="AU1395" s="1"/>
    </row>
    <row r="1396">
      <c r="A1396" s="54"/>
      <c r="B1396" s="71"/>
      <c r="C1396" s="51"/>
      <c r="D1396" s="54"/>
      <c r="E1396" s="114"/>
      <c r="F1396" s="16"/>
      <c r="G1396" s="114"/>
      <c r="H1396" s="54"/>
      <c r="I1396" s="114"/>
      <c r="J1396" s="54"/>
      <c r="L1396" s="54"/>
      <c r="N1396" s="54"/>
      <c r="P1396" s="54"/>
      <c r="R1396" s="54"/>
      <c r="T1396" s="1"/>
      <c r="V1396" s="54"/>
      <c r="X1396" s="54"/>
      <c r="Z1396" s="54"/>
      <c r="AB1396" s="54"/>
      <c r="AD1396" s="54"/>
      <c r="AF1396" s="54"/>
      <c r="AH1396" s="54"/>
      <c r="AJ1396" s="54"/>
      <c r="AL1396" s="54"/>
      <c r="AO1396" s="54"/>
      <c r="AP1396" s="1"/>
      <c r="AQ1396" s="54"/>
      <c r="AR1396" s="171"/>
      <c r="AS1396" s="1"/>
      <c r="AT1396" s="1"/>
      <c r="AU1396" s="1"/>
    </row>
    <row r="1397">
      <c r="A1397" s="54"/>
      <c r="B1397" s="71"/>
      <c r="C1397" s="51"/>
      <c r="D1397" s="54"/>
      <c r="E1397" s="114"/>
      <c r="F1397" s="16"/>
      <c r="G1397" s="114"/>
      <c r="H1397" s="54"/>
      <c r="I1397" s="114"/>
      <c r="J1397" s="54"/>
      <c r="L1397" s="54"/>
      <c r="N1397" s="54"/>
      <c r="P1397" s="54"/>
      <c r="R1397" s="54"/>
      <c r="T1397" s="1"/>
      <c r="V1397" s="54"/>
      <c r="X1397" s="54"/>
      <c r="Z1397" s="54"/>
      <c r="AB1397" s="54"/>
      <c r="AD1397" s="54"/>
      <c r="AF1397" s="54"/>
      <c r="AH1397" s="54"/>
      <c r="AJ1397" s="54"/>
      <c r="AL1397" s="54"/>
      <c r="AO1397" s="54"/>
      <c r="AP1397" s="1"/>
      <c r="AQ1397" s="54"/>
      <c r="AR1397" s="171"/>
      <c r="AS1397" s="1"/>
      <c r="AT1397" s="1"/>
      <c r="AU1397" s="1"/>
    </row>
    <row r="1398">
      <c r="A1398" s="54"/>
      <c r="B1398" s="71"/>
      <c r="C1398" s="51"/>
      <c r="D1398" s="54"/>
      <c r="E1398" s="114"/>
      <c r="F1398" s="16"/>
      <c r="G1398" s="114"/>
      <c r="H1398" s="54"/>
      <c r="I1398" s="114"/>
      <c r="J1398" s="54"/>
      <c r="L1398" s="54"/>
      <c r="N1398" s="54"/>
      <c r="P1398" s="54"/>
      <c r="R1398" s="54"/>
      <c r="T1398" s="1"/>
      <c r="V1398" s="54"/>
      <c r="X1398" s="54"/>
      <c r="Z1398" s="54"/>
      <c r="AB1398" s="54"/>
      <c r="AD1398" s="54"/>
      <c r="AF1398" s="54"/>
      <c r="AH1398" s="54"/>
      <c r="AJ1398" s="54"/>
      <c r="AL1398" s="54"/>
      <c r="AO1398" s="54"/>
      <c r="AP1398" s="1"/>
      <c r="AQ1398" s="54"/>
      <c r="AR1398" s="171"/>
      <c r="AS1398" s="1"/>
      <c r="AT1398" s="1"/>
      <c r="AU1398" s="1"/>
    </row>
    <row r="1399">
      <c r="A1399" s="54"/>
      <c r="B1399" s="71"/>
      <c r="C1399" s="51"/>
      <c r="D1399" s="54"/>
      <c r="E1399" s="114"/>
      <c r="F1399" s="16"/>
      <c r="G1399" s="114"/>
      <c r="H1399" s="54"/>
      <c r="I1399" s="114"/>
      <c r="J1399" s="54"/>
      <c r="L1399" s="54"/>
      <c r="N1399" s="54"/>
      <c r="P1399" s="54"/>
      <c r="R1399" s="54"/>
      <c r="T1399" s="1"/>
      <c r="V1399" s="54"/>
      <c r="X1399" s="54"/>
      <c r="Z1399" s="54"/>
      <c r="AB1399" s="54"/>
      <c r="AD1399" s="54"/>
      <c r="AF1399" s="54"/>
      <c r="AH1399" s="54"/>
      <c r="AJ1399" s="54"/>
      <c r="AL1399" s="54"/>
      <c r="AO1399" s="54"/>
      <c r="AP1399" s="1"/>
      <c r="AQ1399" s="54"/>
      <c r="AR1399" s="171"/>
      <c r="AS1399" s="1"/>
      <c r="AT1399" s="1"/>
      <c r="AU1399" s="1"/>
    </row>
    <row r="1400">
      <c r="A1400" s="54"/>
      <c r="B1400" s="71"/>
      <c r="C1400" s="51"/>
      <c r="D1400" s="54"/>
      <c r="E1400" s="114"/>
      <c r="F1400" s="16"/>
      <c r="G1400" s="114"/>
      <c r="H1400" s="54"/>
      <c r="I1400" s="114"/>
      <c r="J1400" s="54"/>
      <c r="L1400" s="54"/>
      <c r="N1400" s="54"/>
      <c r="P1400" s="54"/>
      <c r="R1400" s="54"/>
      <c r="T1400" s="1"/>
      <c r="V1400" s="54"/>
      <c r="X1400" s="54"/>
      <c r="Z1400" s="54"/>
      <c r="AB1400" s="54"/>
      <c r="AD1400" s="54"/>
      <c r="AF1400" s="54"/>
      <c r="AH1400" s="54"/>
      <c r="AJ1400" s="54"/>
      <c r="AL1400" s="54"/>
      <c r="AO1400" s="54"/>
      <c r="AP1400" s="1"/>
      <c r="AQ1400" s="54"/>
      <c r="AR1400" s="171"/>
      <c r="AS1400" s="1"/>
      <c r="AT1400" s="1"/>
      <c r="AU1400" s="1"/>
    </row>
    <row r="1401">
      <c r="A1401" s="54"/>
      <c r="B1401" s="71"/>
      <c r="C1401" s="51"/>
      <c r="D1401" s="54"/>
      <c r="E1401" s="114"/>
      <c r="F1401" s="16"/>
      <c r="G1401" s="114"/>
      <c r="H1401" s="54"/>
      <c r="I1401" s="114"/>
      <c r="J1401" s="54"/>
      <c r="L1401" s="54"/>
      <c r="N1401" s="54"/>
      <c r="P1401" s="54"/>
      <c r="R1401" s="54"/>
      <c r="T1401" s="1"/>
      <c r="V1401" s="54"/>
      <c r="X1401" s="54"/>
      <c r="Z1401" s="54"/>
      <c r="AB1401" s="54"/>
      <c r="AD1401" s="54"/>
      <c r="AF1401" s="54"/>
      <c r="AH1401" s="54"/>
      <c r="AJ1401" s="54"/>
      <c r="AL1401" s="54"/>
      <c r="AO1401" s="54"/>
      <c r="AP1401" s="1"/>
      <c r="AQ1401" s="54"/>
      <c r="AR1401" s="171"/>
      <c r="AS1401" s="1"/>
      <c r="AT1401" s="1"/>
      <c r="AU1401" s="1"/>
    </row>
    <row r="1402">
      <c r="A1402" s="54"/>
      <c r="B1402" s="71"/>
      <c r="C1402" s="51"/>
      <c r="D1402" s="54"/>
      <c r="E1402" s="114"/>
      <c r="F1402" s="16"/>
      <c r="G1402" s="114"/>
      <c r="H1402" s="54"/>
      <c r="I1402" s="114"/>
      <c r="J1402" s="54"/>
      <c r="L1402" s="54"/>
      <c r="N1402" s="54"/>
      <c r="P1402" s="54"/>
      <c r="R1402" s="54"/>
      <c r="T1402" s="1"/>
      <c r="V1402" s="54"/>
      <c r="X1402" s="54"/>
      <c r="Z1402" s="54"/>
      <c r="AB1402" s="54"/>
      <c r="AD1402" s="54"/>
      <c r="AF1402" s="54"/>
      <c r="AH1402" s="54"/>
      <c r="AJ1402" s="54"/>
      <c r="AL1402" s="54"/>
      <c r="AO1402" s="54"/>
      <c r="AP1402" s="1"/>
      <c r="AQ1402" s="54"/>
      <c r="AR1402" s="171"/>
      <c r="AS1402" s="1"/>
      <c r="AT1402" s="1"/>
      <c r="AU1402" s="1"/>
    </row>
    <row r="1403">
      <c r="A1403" s="54"/>
      <c r="B1403" s="71"/>
      <c r="C1403" s="51"/>
      <c r="D1403" s="54"/>
      <c r="E1403" s="114"/>
      <c r="F1403" s="16"/>
      <c r="G1403" s="114"/>
      <c r="H1403" s="54"/>
      <c r="I1403" s="114"/>
      <c r="J1403" s="54"/>
      <c r="L1403" s="54"/>
      <c r="N1403" s="54"/>
      <c r="P1403" s="54"/>
      <c r="R1403" s="54"/>
      <c r="T1403" s="1"/>
      <c r="V1403" s="54"/>
      <c r="X1403" s="54"/>
      <c r="Z1403" s="54"/>
      <c r="AB1403" s="54"/>
      <c r="AD1403" s="54"/>
      <c r="AF1403" s="54"/>
      <c r="AH1403" s="54"/>
      <c r="AJ1403" s="54"/>
      <c r="AL1403" s="54"/>
      <c r="AO1403" s="54"/>
      <c r="AP1403" s="1"/>
      <c r="AQ1403" s="54"/>
      <c r="AR1403" s="171"/>
      <c r="AS1403" s="1"/>
      <c r="AT1403" s="1"/>
      <c r="AU1403" s="1"/>
    </row>
    <row r="1404">
      <c r="A1404" s="54"/>
      <c r="B1404" s="71"/>
      <c r="C1404" s="51"/>
      <c r="D1404" s="54"/>
      <c r="E1404" s="114"/>
      <c r="F1404" s="16"/>
      <c r="G1404" s="114"/>
      <c r="H1404" s="54"/>
      <c r="I1404" s="114"/>
      <c r="J1404" s="54"/>
      <c r="L1404" s="54"/>
      <c r="N1404" s="54"/>
      <c r="P1404" s="54"/>
      <c r="R1404" s="54"/>
      <c r="T1404" s="1"/>
      <c r="V1404" s="54"/>
      <c r="X1404" s="54"/>
      <c r="Z1404" s="54"/>
      <c r="AB1404" s="54"/>
      <c r="AD1404" s="54"/>
      <c r="AF1404" s="54"/>
      <c r="AH1404" s="54"/>
      <c r="AJ1404" s="54"/>
      <c r="AL1404" s="54"/>
      <c r="AO1404" s="54"/>
      <c r="AP1404" s="1"/>
      <c r="AQ1404" s="54"/>
      <c r="AR1404" s="171"/>
      <c r="AS1404" s="1"/>
      <c r="AT1404" s="1"/>
      <c r="AU1404" s="1"/>
    </row>
    <row r="1405">
      <c r="A1405" s="54"/>
      <c r="B1405" s="71"/>
      <c r="C1405" s="51"/>
      <c r="D1405" s="54"/>
      <c r="E1405" s="114"/>
      <c r="F1405" s="16"/>
      <c r="G1405" s="114"/>
      <c r="H1405" s="54"/>
      <c r="I1405" s="114"/>
      <c r="J1405" s="54"/>
      <c r="L1405" s="54"/>
      <c r="N1405" s="54"/>
      <c r="P1405" s="54"/>
      <c r="R1405" s="54"/>
      <c r="T1405" s="1"/>
      <c r="V1405" s="54"/>
      <c r="X1405" s="54"/>
      <c r="Z1405" s="54"/>
      <c r="AB1405" s="54"/>
      <c r="AD1405" s="54"/>
      <c r="AF1405" s="54"/>
      <c r="AH1405" s="54"/>
      <c r="AJ1405" s="54"/>
      <c r="AL1405" s="54"/>
      <c r="AO1405" s="54"/>
      <c r="AP1405" s="1"/>
      <c r="AQ1405" s="54"/>
      <c r="AR1405" s="171"/>
      <c r="AS1405" s="1"/>
      <c r="AT1405" s="1"/>
      <c r="AU1405" s="1"/>
    </row>
    <row r="1406">
      <c r="A1406" s="54"/>
      <c r="B1406" s="71"/>
      <c r="C1406" s="51"/>
      <c r="D1406" s="54"/>
      <c r="E1406" s="114"/>
      <c r="F1406" s="16"/>
      <c r="G1406" s="114"/>
      <c r="H1406" s="54"/>
      <c r="I1406" s="114"/>
      <c r="J1406" s="54"/>
      <c r="L1406" s="54"/>
      <c r="N1406" s="54"/>
      <c r="P1406" s="54"/>
      <c r="R1406" s="54"/>
      <c r="T1406" s="1"/>
      <c r="V1406" s="54"/>
      <c r="X1406" s="54"/>
      <c r="Z1406" s="54"/>
      <c r="AB1406" s="54"/>
      <c r="AD1406" s="54"/>
      <c r="AF1406" s="54"/>
      <c r="AH1406" s="54"/>
      <c r="AJ1406" s="54"/>
      <c r="AL1406" s="54"/>
      <c r="AO1406" s="54"/>
      <c r="AP1406" s="1"/>
      <c r="AQ1406" s="54"/>
      <c r="AR1406" s="171"/>
      <c r="AS1406" s="1"/>
      <c r="AT1406" s="1"/>
      <c r="AU1406" s="1"/>
    </row>
    <row r="1407">
      <c r="A1407" s="54"/>
      <c r="B1407" s="71"/>
      <c r="C1407" s="51"/>
      <c r="D1407" s="54"/>
      <c r="E1407" s="114"/>
      <c r="F1407" s="16"/>
      <c r="G1407" s="114"/>
      <c r="H1407" s="54"/>
      <c r="I1407" s="114"/>
      <c r="J1407" s="54"/>
      <c r="L1407" s="54"/>
      <c r="N1407" s="54"/>
      <c r="P1407" s="54"/>
      <c r="R1407" s="54"/>
      <c r="T1407" s="1"/>
      <c r="V1407" s="54"/>
      <c r="X1407" s="54"/>
      <c r="Z1407" s="54"/>
      <c r="AB1407" s="54"/>
      <c r="AD1407" s="54"/>
      <c r="AF1407" s="54"/>
      <c r="AH1407" s="54"/>
      <c r="AJ1407" s="54"/>
      <c r="AL1407" s="54"/>
      <c r="AO1407" s="54"/>
      <c r="AP1407" s="1"/>
      <c r="AQ1407" s="54"/>
      <c r="AR1407" s="171"/>
      <c r="AS1407" s="1"/>
      <c r="AT1407" s="1"/>
      <c r="AU1407" s="1"/>
    </row>
    <row r="1408">
      <c r="A1408" s="54"/>
      <c r="B1408" s="71"/>
      <c r="C1408" s="51"/>
      <c r="D1408" s="54"/>
      <c r="E1408" s="114"/>
      <c r="F1408" s="16"/>
      <c r="G1408" s="114"/>
      <c r="H1408" s="54"/>
      <c r="I1408" s="114"/>
      <c r="J1408" s="54"/>
      <c r="L1408" s="54"/>
      <c r="N1408" s="54"/>
      <c r="P1408" s="54"/>
      <c r="R1408" s="54"/>
      <c r="T1408" s="1"/>
      <c r="V1408" s="54"/>
      <c r="X1408" s="54"/>
      <c r="Z1408" s="54"/>
      <c r="AB1408" s="54"/>
      <c r="AD1408" s="54"/>
      <c r="AF1408" s="54"/>
      <c r="AH1408" s="54"/>
      <c r="AJ1408" s="54"/>
      <c r="AL1408" s="54"/>
      <c r="AO1408" s="54"/>
      <c r="AP1408" s="1"/>
      <c r="AQ1408" s="54"/>
      <c r="AR1408" s="171"/>
      <c r="AS1408" s="1"/>
      <c r="AT1408" s="1"/>
      <c r="AU1408" s="1"/>
    </row>
    <row r="1409">
      <c r="A1409" s="54"/>
      <c r="B1409" s="71"/>
      <c r="C1409" s="51"/>
      <c r="D1409" s="54"/>
      <c r="E1409" s="114"/>
      <c r="F1409" s="16"/>
      <c r="G1409" s="114"/>
      <c r="H1409" s="54"/>
      <c r="I1409" s="114"/>
      <c r="J1409" s="54"/>
      <c r="L1409" s="54"/>
      <c r="N1409" s="54"/>
      <c r="P1409" s="54"/>
      <c r="R1409" s="54"/>
      <c r="T1409" s="1"/>
      <c r="V1409" s="54"/>
      <c r="X1409" s="54"/>
      <c r="Z1409" s="54"/>
      <c r="AB1409" s="54"/>
      <c r="AD1409" s="54"/>
      <c r="AF1409" s="54"/>
      <c r="AH1409" s="54"/>
      <c r="AJ1409" s="54"/>
      <c r="AL1409" s="54"/>
      <c r="AO1409" s="54"/>
      <c r="AP1409" s="1"/>
      <c r="AQ1409" s="54"/>
      <c r="AR1409" s="171"/>
      <c r="AS1409" s="1"/>
      <c r="AT1409" s="1"/>
      <c r="AU1409" s="1"/>
    </row>
    <row r="1410">
      <c r="A1410" s="54"/>
      <c r="B1410" s="71"/>
      <c r="C1410" s="51"/>
      <c r="D1410" s="54"/>
      <c r="E1410" s="114"/>
      <c r="F1410" s="16"/>
      <c r="G1410" s="114"/>
      <c r="H1410" s="54"/>
      <c r="I1410" s="114"/>
      <c r="J1410" s="54"/>
      <c r="L1410" s="54"/>
      <c r="N1410" s="54"/>
      <c r="P1410" s="54"/>
      <c r="R1410" s="54"/>
      <c r="T1410" s="1"/>
      <c r="V1410" s="54"/>
      <c r="X1410" s="54"/>
      <c r="Z1410" s="54"/>
      <c r="AB1410" s="54"/>
      <c r="AD1410" s="54"/>
      <c r="AF1410" s="54"/>
      <c r="AH1410" s="54"/>
      <c r="AJ1410" s="54"/>
      <c r="AL1410" s="54"/>
      <c r="AO1410" s="54"/>
      <c r="AP1410" s="1"/>
      <c r="AQ1410" s="54"/>
      <c r="AR1410" s="171"/>
      <c r="AS1410" s="1"/>
      <c r="AT1410" s="1"/>
      <c r="AU1410" s="1"/>
    </row>
    <row r="1411">
      <c r="A1411" s="54"/>
      <c r="B1411" s="71"/>
      <c r="C1411" s="51"/>
      <c r="D1411" s="54"/>
      <c r="E1411" s="114"/>
      <c r="F1411" s="16"/>
      <c r="G1411" s="114"/>
      <c r="H1411" s="54"/>
      <c r="I1411" s="114"/>
      <c r="J1411" s="54"/>
      <c r="L1411" s="54"/>
      <c r="N1411" s="54"/>
      <c r="P1411" s="54"/>
      <c r="R1411" s="54"/>
      <c r="T1411" s="1"/>
      <c r="V1411" s="54"/>
      <c r="X1411" s="54"/>
      <c r="Z1411" s="54"/>
      <c r="AB1411" s="54"/>
      <c r="AD1411" s="54"/>
      <c r="AF1411" s="54"/>
      <c r="AH1411" s="54"/>
      <c r="AJ1411" s="54"/>
      <c r="AL1411" s="54"/>
      <c r="AO1411" s="54"/>
      <c r="AP1411" s="1"/>
      <c r="AQ1411" s="54"/>
      <c r="AR1411" s="171"/>
      <c r="AS1411" s="1"/>
      <c r="AT1411" s="1"/>
      <c r="AU1411" s="1"/>
    </row>
    <row r="1412">
      <c r="A1412" s="54"/>
      <c r="B1412" s="71"/>
      <c r="C1412" s="51"/>
      <c r="D1412" s="54"/>
      <c r="E1412" s="114"/>
      <c r="F1412" s="16"/>
      <c r="G1412" s="114"/>
      <c r="H1412" s="54"/>
      <c r="I1412" s="114"/>
      <c r="J1412" s="54"/>
      <c r="L1412" s="54"/>
      <c r="N1412" s="54"/>
      <c r="P1412" s="54"/>
      <c r="R1412" s="54"/>
      <c r="T1412" s="1"/>
      <c r="V1412" s="54"/>
      <c r="X1412" s="54"/>
      <c r="Z1412" s="54"/>
      <c r="AB1412" s="54"/>
      <c r="AD1412" s="54"/>
      <c r="AF1412" s="54"/>
      <c r="AH1412" s="54"/>
      <c r="AJ1412" s="54"/>
      <c r="AL1412" s="54"/>
      <c r="AO1412" s="54"/>
      <c r="AP1412" s="1"/>
      <c r="AQ1412" s="54"/>
      <c r="AR1412" s="171"/>
      <c r="AS1412" s="1"/>
      <c r="AT1412" s="1"/>
      <c r="AU1412" s="1"/>
    </row>
    <row r="1413">
      <c r="A1413" s="54"/>
      <c r="B1413" s="71"/>
      <c r="C1413" s="51"/>
      <c r="D1413" s="54"/>
      <c r="E1413" s="114"/>
      <c r="F1413" s="16"/>
      <c r="G1413" s="114"/>
      <c r="H1413" s="54"/>
      <c r="I1413" s="114"/>
      <c r="J1413" s="54"/>
      <c r="L1413" s="54"/>
      <c r="N1413" s="54"/>
      <c r="P1413" s="54"/>
      <c r="R1413" s="54"/>
      <c r="T1413" s="1"/>
      <c r="V1413" s="54"/>
      <c r="X1413" s="54"/>
      <c r="Z1413" s="54"/>
      <c r="AB1413" s="54"/>
      <c r="AD1413" s="54"/>
      <c r="AF1413" s="54"/>
      <c r="AH1413" s="54"/>
      <c r="AJ1413" s="54"/>
      <c r="AL1413" s="54"/>
      <c r="AO1413" s="54"/>
      <c r="AP1413" s="1"/>
      <c r="AQ1413" s="54"/>
      <c r="AR1413" s="171"/>
      <c r="AS1413" s="1"/>
      <c r="AT1413" s="1"/>
      <c r="AU1413" s="1"/>
    </row>
    <row r="1414">
      <c r="A1414" s="54"/>
      <c r="B1414" s="71"/>
      <c r="C1414" s="51"/>
      <c r="D1414" s="54"/>
      <c r="E1414" s="114"/>
      <c r="F1414" s="16"/>
      <c r="G1414" s="114"/>
      <c r="H1414" s="54"/>
      <c r="I1414" s="114"/>
      <c r="J1414" s="54"/>
      <c r="L1414" s="54"/>
      <c r="N1414" s="54"/>
      <c r="P1414" s="54"/>
      <c r="R1414" s="54"/>
      <c r="T1414" s="1"/>
      <c r="V1414" s="54"/>
      <c r="X1414" s="54"/>
      <c r="Z1414" s="54"/>
      <c r="AB1414" s="54"/>
      <c r="AD1414" s="54"/>
      <c r="AF1414" s="54"/>
      <c r="AH1414" s="54"/>
      <c r="AJ1414" s="54"/>
      <c r="AL1414" s="54"/>
      <c r="AO1414" s="54"/>
      <c r="AP1414" s="1"/>
      <c r="AQ1414" s="54"/>
      <c r="AR1414" s="171"/>
      <c r="AS1414" s="1"/>
      <c r="AT1414" s="1"/>
      <c r="AU1414" s="1"/>
    </row>
    <row r="1415">
      <c r="A1415" s="54"/>
      <c r="B1415" s="71"/>
      <c r="C1415" s="51"/>
      <c r="D1415" s="54"/>
      <c r="E1415" s="114"/>
      <c r="F1415" s="16"/>
      <c r="G1415" s="114"/>
      <c r="H1415" s="54"/>
      <c r="I1415" s="114"/>
      <c r="J1415" s="54"/>
      <c r="L1415" s="54"/>
      <c r="N1415" s="54"/>
      <c r="P1415" s="54"/>
      <c r="R1415" s="54"/>
      <c r="T1415" s="1"/>
      <c r="V1415" s="54"/>
      <c r="X1415" s="54"/>
      <c r="Z1415" s="54"/>
      <c r="AB1415" s="54"/>
      <c r="AD1415" s="54"/>
      <c r="AF1415" s="54"/>
      <c r="AH1415" s="54"/>
      <c r="AJ1415" s="54"/>
      <c r="AL1415" s="54"/>
      <c r="AO1415" s="54"/>
      <c r="AP1415" s="1"/>
      <c r="AQ1415" s="54"/>
      <c r="AR1415" s="171"/>
      <c r="AS1415" s="1"/>
      <c r="AT1415" s="1"/>
      <c r="AU1415" s="1"/>
    </row>
    <row r="1416">
      <c r="A1416" s="54"/>
      <c r="B1416" s="71"/>
      <c r="C1416" s="51"/>
      <c r="D1416" s="54"/>
      <c r="E1416" s="114"/>
      <c r="F1416" s="16"/>
      <c r="G1416" s="114"/>
      <c r="H1416" s="54"/>
      <c r="I1416" s="114"/>
      <c r="J1416" s="54"/>
      <c r="L1416" s="54"/>
      <c r="N1416" s="54"/>
      <c r="P1416" s="54"/>
      <c r="R1416" s="54"/>
      <c r="T1416" s="1"/>
      <c r="V1416" s="54"/>
      <c r="X1416" s="54"/>
      <c r="Z1416" s="54"/>
      <c r="AB1416" s="54"/>
      <c r="AD1416" s="54"/>
      <c r="AF1416" s="54"/>
      <c r="AH1416" s="54"/>
      <c r="AJ1416" s="54"/>
      <c r="AL1416" s="54"/>
      <c r="AO1416" s="54"/>
      <c r="AP1416" s="1"/>
      <c r="AQ1416" s="54"/>
      <c r="AR1416" s="171"/>
      <c r="AS1416" s="1"/>
      <c r="AT1416" s="1"/>
      <c r="AU1416" s="1"/>
    </row>
    <row r="1417">
      <c r="A1417" s="54"/>
      <c r="B1417" s="71"/>
      <c r="C1417" s="51"/>
      <c r="D1417" s="54"/>
      <c r="E1417" s="114"/>
      <c r="F1417" s="16"/>
      <c r="G1417" s="114"/>
      <c r="H1417" s="54"/>
      <c r="I1417" s="114"/>
      <c r="J1417" s="54"/>
      <c r="L1417" s="54"/>
      <c r="N1417" s="54"/>
      <c r="P1417" s="54"/>
      <c r="R1417" s="54"/>
      <c r="T1417" s="1"/>
      <c r="V1417" s="54"/>
      <c r="X1417" s="54"/>
      <c r="Z1417" s="54"/>
      <c r="AB1417" s="54"/>
      <c r="AD1417" s="54"/>
      <c r="AF1417" s="54"/>
      <c r="AH1417" s="54"/>
      <c r="AJ1417" s="54"/>
      <c r="AL1417" s="54"/>
      <c r="AO1417" s="54"/>
      <c r="AP1417" s="1"/>
      <c r="AQ1417" s="54"/>
      <c r="AR1417" s="171"/>
      <c r="AS1417" s="1"/>
      <c r="AT1417" s="1"/>
      <c r="AU1417" s="1"/>
    </row>
    <row r="1418">
      <c r="A1418" s="54"/>
      <c r="B1418" s="71"/>
      <c r="C1418" s="51"/>
      <c r="D1418" s="54"/>
      <c r="E1418" s="114"/>
      <c r="F1418" s="16"/>
      <c r="G1418" s="114"/>
      <c r="H1418" s="54"/>
      <c r="I1418" s="114"/>
      <c r="J1418" s="54"/>
      <c r="L1418" s="54"/>
      <c r="N1418" s="54"/>
      <c r="P1418" s="54"/>
      <c r="R1418" s="54"/>
      <c r="T1418" s="1"/>
      <c r="V1418" s="54"/>
      <c r="X1418" s="54"/>
      <c r="Z1418" s="54"/>
      <c r="AB1418" s="54"/>
      <c r="AD1418" s="54"/>
      <c r="AF1418" s="54"/>
      <c r="AH1418" s="54"/>
      <c r="AJ1418" s="54"/>
      <c r="AL1418" s="54"/>
      <c r="AO1418" s="54"/>
      <c r="AP1418" s="1"/>
      <c r="AQ1418" s="54"/>
      <c r="AR1418" s="171"/>
      <c r="AS1418" s="1"/>
      <c r="AT1418" s="1"/>
      <c r="AU1418" s="1"/>
    </row>
    <row r="1419">
      <c r="A1419" s="54"/>
      <c r="B1419" s="71"/>
      <c r="C1419" s="51"/>
      <c r="D1419" s="54"/>
      <c r="E1419" s="114"/>
      <c r="F1419" s="16"/>
      <c r="G1419" s="114"/>
      <c r="H1419" s="54"/>
      <c r="I1419" s="114"/>
      <c r="J1419" s="54"/>
      <c r="L1419" s="54"/>
      <c r="N1419" s="54"/>
      <c r="P1419" s="54"/>
      <c r="R1419" s="54"/>
      <c r="T1419" s="1"/>
      <c r="V1419" s="54"/>
      <c r="X1419" s="54"/>
      <c r="Z1419" s="54"/>
      <c r="AB1419" s="54"/>
      <c r="AD1419" s="54"/>
      <c r="AF1419" s="54"/>
      <c r="AH1419" s="54"/>
      <c r="AJ1419" s="54"/>
      <c r="AL1419" s="54"/>
      <c r="AO1419" s="54"/>
      <c r="AP1419" s="1"/>
      <c r="AQ1419" s="54"/>
      <c r="AR1419" s="171"/>
      <c r="AS1419" s="1"/>
      <c r="AT1419" s="1"/>
      <c r="AU1419" s="1"/>
    </row>
    <row r="1420">
      <c r="A1420" s="54"/>
      <c r="B1420" s="71"/>
      <c r="C1420" s="51"/>
      <c r="D1420" s="54"/>
      <c r="E1420" s="114"/>
      <c r="F1420" s="16"/>
      <c r="G1420" s="114"/>
      <c r="H1420" s="54"/>
      <c r="I1420" s="114"/>
      <c r="J1420" s="54"/>
      <c r="L1420" s="54"/>
      <c r="N1420" s="54"/>
      <c r="P1420" s="54"/>
      <c r="R1420" s="54"/>
      <c r="T1420" s="1"/>
      <c r="V1420" s="54"/>
      <c r="X1420" s="54"/>
      <c r="Z1420" s="54"/>
      <c r="AB1420" s="54"/>
      <c r="AD1420" s="54"/>
      <c r="AF1420" s="54"/>
      <c r="AH1420" s="54"/>
      <c r="AJ1420" s="54"/>
      <c r="AL1420" s="54"/>
      <c r="AO1420" s="54"/>
      <c r="AP1420" s="1"/>
      <c r="AQ1420" s="54"/>
      <c r="AR1420" s="171"/>
      <c r="AS1420" s="1"/>
      <c r="AT1420" s="1"/>
      <c r="AU1420" s="1"/>
    </row>
    <row r="1421">
      <c r="A1421" s="54"/>
      <c r="B1421" s="71"/>
      <c r="C1421" s="51"/>
      <c r="D1421" s="54"/>
      <c r="E1421" s="114"/>
      <c r="F1421" s="16"/>
      <c r="G1421" s="114"/>
      <c r="H1421" s="54"/>
      <c r="I1421" s="114"/>
      <c r="J1421" s="54"/>
      <c r="L1421" s="54"/>
      <c r="N1421" s="54"/>
      <c r="P1421" s="54"/>
      <c r="R1421" s="54"/>
      <c r="T1421" s="1"/>
      <c r="V1421" s="54"/>
      <c r="X1421" s="54"/>
      <c r="Z1421" s="54"/>
      <c r="AB1421" s="54"/>
      <c r="AD1421" s="54"/>
      <c r="AF1421" s="54"/>
      <c r="AH1421" s="54"/>
      <c r="AJ1421" s="54"/>
      <c r="AL1421" s="54"/>
      <c r="AO1421" s="54"/>
      <c r="AP1421" s="1"/>
      <c r="AQ1421" s="54"/>
      <c r="AR1421" s="171"/>
      <c r="AS1421" s="1"/>
      <c r="AT1421" s="1"/>
      <c r="AU1421" s="1"/>
    </row>
    <row r="1422">
      <c r="A1422" s="54"/>
      <c r="B1422" s="71"/>
      <c r="C1422" s="51"/>
      <c r="D1422" s="54"/>
      <c r="E1422" s="114"/>
      <c r="F1422" s="16"/>
      <c r="G1422" s="114"/>
      <c r="H1422" s="54"/>
      <c r="I1422" s="114"/>
      <c r="J1422" s="54"/>
      <c r="L1422" s="54"/>
      <c r="N1422" s="54"/>
      <c r="P1422" s="54"/>
      <c r="R1422" s="54"/>
      <c r="T1422" s="1"/>
      <c r="V1422" s="54"/>
      <c r="X1422" s="54"/>
      <c r="Z1422" s="54"/>
      <c r="AB1422" s="54"/>
      <c r="AD1422" s="54"/>
      <c r="AF1422" s="54"/>
      <c r="AH1422" s="54"/>
      <c r="AJ1422" s="54"/>
      <c r="AL1422" s="54"/>
      <c r="AO1422" s="54"/>
      <c r="AP1422" s="1"/>
      <c r="AQ1422" s="54"/>
      <c r="AR1422" s="171"/>
      <c r="AS1422" s="1"/>
      <c r="AT1422" s="1"/>
      <c r="AU1422" s="1"/>
    </row>
    <row r="1423">
      <c r="A1423" s="54"/>
      <c r="B1423" s="71"/>
      <c r="C1423" s="51"/>
      <c r="D1423" s="54"/>
      <c r="E1423" s="114"/>
      <c r="F1423" s="16"/>
      <c r="G1423" s="114"/>
      <c r="H1423" s="54"/>
      <c r="I1423" s="114"/>
      <c r="J1423" s="54"/>
      <c r="L1423" s="54"/>
      <c r="N1423" s="54"/>
      <c r="P1423" s="54"/>
      <c r="R1423" s="54"/>
      <c r="T1423" s="1"/>
      <c r="V1423" s="54"/>
      <c r="X1423" s="54"/>
      <c r="Z1423" s="54"/>
      <c r="AB1423" s="54"/>
      <c r="AD1423" s="54"/>
      <c r="AF1423" s="54"/>
      <c r="AH1423" s="54"/>
      <c r="AJ1423" s="54"/>
      <c r="AL1423" s="54"/>
      <c r="AO1423" s="54"/>
      <c r="AP1423" s="1"/>
      <c r="AQ1423" s="54"/>
      <c r="AR1423" s="171"/>
      <c r="AS1423" s="1"/>
      <c r="AT1423" s="1"/>
      <c r="AU1423" s="1"/>
    </row>
    <row r="1424">
      <c r="A1424" s="54"/>
      <c r="B1424" s="71"/>
      <c r="C1424" s="51"/>
      <c r="D1424" s="54"/>
      <c r="E1424" s="114"/>
      <c r="F1424" s="16"/>
      <c r="G1424" s="114"/>
      <c r="H1424" s="54"/>
      <c r="I1424" s="114"/>
      <c r="J1424" s="54"/>
      <c r="L1424" s="54"/>
      <c r="N1424" s="54"/>
      <c r="P1424" s="54"/>
      <c r="R1424" s="54"/>
      <c r="T1424" s="1"/>
      <c r="V1424" s="54"/>
      <c r="X1424" s="54"/>
      <c r="Z1424" s="54"/>
      <c r="AB1424" s="54"/>
      <c r="AD1424" s="54"/>
      <c r="AF1424" s="54"/>
      <c r="AH1424" s="54"/>
      <c r="AJ1424" s="54"/>
      <c r="AL1424" s="54"/>
      <c r="AO1424" s="54"/>
      <c r="AP1424" s="1"/>
      <c r="AQ1424" s="54"/>
      <c r="AR1424" s="171"/>
      <c r="AS1424" s="1"/>
      <c r="AT1424" s="1"/>
      <c r="AU1424" s="1"/>
    </row>
    <row r="1425">
      <c r="A1425" s="54"/>
      <c r="B1425" s="71"/>
      <c r="C1425" s="51"/>
      <c r="D1425" s="54"/>
      <c r="E1425" s="114"/>
      <c r="F1425" s="16"/>
      <c r="G1425" s="114"/>
      <c r="H1425" s="54"/>
      <c r="I1425" s="114"/>
      <c r="J1425" s="54"/>
      <c r="L1425" s="54"/>
      <c r="N1425" s="54"/>
      <c r="P1425" s="54"/>
      <c r="R1425" s="54"/>
      <c r="T1425" s="1"/>
      <c r="V1425" s="54"/>
      <c r="X1425" s="54"/>
      <c r="Z1425" s="54"/>
      <c r="AB1425" s="54"/>
      <c r="AD1425" s="54"/>
      <c r="AF1425" s="54"/>
      <c r="AH1425" s="54"/>
      <c r="AJ1425" s="54"/>
      <c r="AL1425" s="54"/>
      <c r="AO1425" s="54"/>
      <c r="AP1425" s="1"/>
      <c r="AQ1425" s="54"/>
      <c r="AR1425" s="171"/>
      <c r="AS1425" s="1"/>
      <c r="AT1425" s="1"/>
      <c r="AU1425" s="1"/>
    </row>
    <row r="1426">
      <c r="A1426" s="54"/>
      <c r="B1426" s="71"/>
      <c r="C1426" s="51"/>
      <c r="D1426" s="54"/>
      <c r="E1426" s="114"/>
      <c r="F1426" s="16"/>
      <c r="G1426" s="114"/>
      <c r="H1426" s="54"/>
      <c r="I1426" s="114"/>
      <c r="J1426" s="54"/>
      <c r="L1426" s="54"/>
      <c r="N1426" s="54"/>
      <c r="P1426" s="54"/>
      <c r="R1426" s="54"/>
      <c r="T1426" s="1"/>
      <c r="V1426" s="54"/>
      <c r="X1426" s="54"/>
      <c r="Z1426" s="54"/>
      <c r="AB1426" s="54"/>
      <c r="AD1426" s="54"/>
      <c r="AF1426" s="54"/>
      <c r="AH1426" s="54"/>
      <c r="AJ1426" s="54"/>
      <c r="AL1426" s="54"/>
      <c r="AO1426" s="54"/>
      <c r="AP1426" s="1"/>
      <c r="AQ1426" s="54"/>
      <c r="AR1426" s="171"/>
      <c r="AS1426" s="1"/>
      <c r="AT1426" s="1"/>
      <c r="AU1426" s="1"/>
    </row>
    <row r="1427">
      <c r="A1427" s="54"/>
      <c r="B1427" s="71"/>
      <c r="C1427" s="51"/>
      <c r="D1427" s="54"/>
      <c r="E1427" s="114"/>
      <c r="F1427" s="16"/>
      <c r="G1427" s="114"/>
      <c r="H1427" s="54"/>
      <c r="I1427" s="114"/>
      <c r="J1427" s="54"/>
      <c r="L1427" s="54"/>
      <c r="N1427" s="54"/>
      <c r="P1427" s="54"/>
      <c r="R1427" s="54"/>
      <c r="T1427" s="1"/>
      <c r="V1427" s="54"/>
      <c r="X1427" s="54"/>
      <c r="Z1427" s="54"/>
      <c r="AB1427" s="54"/>
      <c r="AD1427" s="54"/>
      <c r="AF1427" s="54"/>
      <c r="AH1427" s="54"/>
      <c r="AJ1427" s="54"/>
      <c r="AL1427" s="54"/>
      <c r="AO1427" s="54"/>
      <c r="AP1427" s="1"/>
      <c r="AQ1427" s="54"/>
      <c r="AR1427" s="171"/>
      <c r="AS1427" s="1"/>
      <c r="AT1427" s="1"/>
      <c r="AU1427" s="1"/>
    </row>
    <row r="1428">
      <c r="A1428" s="54"/>
      <c r="B1428" s="71"/>
      <c r="C1428" s="51"/>
      <c r="D1428" s="54"/>
      <c r="E1428" s="114"/>
      <c r="F1428" s="16"/>
      <c r="G1428" s="114"/>
      <c r="H1428" s="54"/>
      <c r="I1428" s="114"/>
      <c r="J1428" s="54"/>
      <c r="L1428" s="54"/>
      <c r="N1428" s="54"/>
      <c r="P1428" s="54"/>
      <c r="R1428" s="54"/>
      <c r="T1428" s="1"/>
      <c r="V1428" s="54"/>
      <c r="X1428" s="54"/>
      <c r="Z1428" s="54"/>
      <c r="AB1428" s="54"/>
      <c r="AD1428" s="54"/>
      <c r="AF1428" s="54"/>
      <c r="AH1428" s="54"/>
      <c r="AJ1428" s="54"/>
      <c r="AL1428" s="54"/>
      <c r="AO1428" s="54"/>
      <c r="AP1428" s="1"/>
      <c r="AQ1428" s="54"/>
      <c r="AR1428" s="171"/>
      <c r="AS1428" s="1"/>
      <c r="AT1428" s="1"/>
      <c r="AU1428" s="1"/>
    </row>
    <row r="1429">
      <c r="A1429" s="54"/>
      <c r="B1429" s="71"/>
      <c r="C1429" s="51"/>
      <c r="D1429" s="54"/>
      <c r="E1429" s="114"/>
      <c r="F1429" s="16"/>
      <c r="G1429" s="114"/>
      <c r="H1429" s="54"/>
      <c r="I1429" s="114"/>
      <c r="J1429" s="54"/>
      <c r="L1429" s="54"/>
      <c r="N1429" s="54"/>
      <c r="P1429" s="54"/>
      <c r="R1429" s="54"/>
      <c r="T1429" s="1"/>
      <c r="V1429" s="54"/>
      <c r="X1429" s="54"/>
      <c r="Z1429" s="54"/>
      <c r="AB1429" s="54"/>
      <c r="AD1429" s="54"/>
      <c r="AF1429" s="54"/>
      <c r="AH1429" s="54"/>
      <c r="AJ1429" s="54"/>
      <c r="AL1429" s="54"/>
      <c r="AO1429" s="54"/>
      <c r="AP1429" s="1"/>
      <c r="AQ1429" s="54"/>
      <c r="AR1429" s="171"/>
      <c r="AS1429" s="1"/>
      <c r="AT1429" s="1"/>
      <c r="AU1429" s="1"/>
    </row>
    <row r="1430">
      <c r="A1430" s="54"/>
      <c r="B1430" s="71"/>
      <c r="C1430" s="51"/>
      <c r="D1430" s="54"/>
      <c r="E1430" s="114"/>
      <c r="F1430" s="16"/>
      <c r="G1430" s="114"/>
      <c r="H1430" s="54"/>
      <c r="I1430" s="114"/>
      <c r="J1430" s="54"/>
      <c r="L1430" s="54"/>
      <c r="N1430" s="54"/>
      <c r="P1430" s="54"/>
      <c r="R1430" s="54"/>
      <c r="T1430" s="1"/>
      <c r="V1430" s="54"/>
      <c r="X1430" s="54"/>
      <c r="Z1430" s="54"/>
      <c r="AB1430" s="54"/>
      <c r="AD1430" s="54"/>
      <c r="AF1430" s="54"/>
      <c r="AH1430" s="54"/>
      <c r="AJ1430" s="54"/>
      <c r="AL1430" s="54"/>
      <c r="AO1430" s="54"/>
      <c r="AP1430" s="1"/>
      <c r="AQ1430" s="54"/>
      <c r="AR1430" s="171"/>
      <c r="AS1430" s="1"/>
      <c r="AT1430" s="1"/>
      <c r="AU1430" s="1"/>
    </row>
    <row r="1431">
      <c r="A1431" s="54"/>
      <c r="B1431" s="71"/>
      <c r="C1431" s="51"/>
      <c r="D1431" s="54"/>
      <c r="E1431" s="114"/>
      <c r="F1431" s="16"/>
      <c r="G1431" s="114"/>
      <c r="H1431" s="54"/>
      <c r="I1431" s="114"/>
      <c r="J1431" s="54"/>
      <c r="L1431" s="54"/>
      <c r="N1431" s="54"/>
      <c r="P1431" s="54"/>
      <c r="R1431" s="54"/>
      <c r="T1431" s="1"/>
      <c r="V1431" s="54"/>
      <c r="X1431" s="54"/>
      <c r="Z1431" s="54"/>
      <c r="AB1431" s="54"/>
      <c r="AD1431" s="54"/>
      <c r="AF1431" s="54"/>
      <c r="AH1431" s="54"/>
      <c r="AJ1431" s="54"/>
      <c r="AL1431" s="54"/>
      <c r="AO1431" s="54"/>
      <c r="AP1431" s="1"/>
      <c r="AQ1431" s="54"/>
      <c r="AR1431" s="171"/>
      <c r="AS1431" s="1"/>
      <c r="AT1431" s="1"/>
      <c r="AU1431" s="1"/>
    </row>
    <row r="1432">
      <c r="A1432" s="54"/>
      <c r="B1432" s="71"/>
      <c r="C1432" s="51"/>
      <c r="D1432" s="54"/>
      <c r="E1432" s="114"/>
      <c r="F1432" s="16"/>
      <c r="G1432" s="114"/>
      <c r="H1432" s="54"/>
      <c r="I1432" s="114"/>
      <c r="J1432" s="54"/>
      <c r="L1432" s="54"/>
      <c r="N1432" s="54"/>
      <c r="P1432" s="54"/>
      <c r="R1432" s="54"/>
      <c r="T1432" s="1"/>
      <c r="V1432" s="54"/>
      <c r="X1432" s="54"/>
      <c r="Z1432" s="54"/>
      <c r="AB1432" s="54"/>
      <c r="AD1432" s="54"/>
      <c r="AF1432" s="54"/>
      <c r="AH1432" s="54"/>
      <c r="AJ1432" s="54"/>
      <c r="AL1432" s="54"/>
      <c r="AO1432" s="54"/>
      <c r="AP1432" s="1"/>
      <c r="AQ1432" s="54"/>
      <c r="AR1432" s="171"/>
      <c r="AS1432" s="1"/>
      <c r="AT1432" s="1"/>
      <c r="AU1432" s="1"/>
    </row>
    <row r="1433">
      <c r="A1433" s="54"/>
      <c r="B1433" s="71"/>
      <c r="C1433" s="51"/>
      <c r="D1433" s="54"/>
      <c r="E1433" s="114"/>
      <c r="F1433" s="16"/>
      <c r="G1433" s="114"/>
      <c r="H1433" s="54"/>
      <c r="I1433" s="114"/>
      <c r="J1433" s="54"/>
      <c r="L1433" s="54"/>
      <c r="N1433" s="54"/>
      <c r="P1433" s="54"/>
      <c r="R1433" s="54"/>
      <c r="T1433" s="1"/>
      <c r="V1433" s="54"/>
      <c r="X1433" s="54"/>
      <c r="Z1433" s="54"/>
      <c r="AB1433" s="54"/>
      <c r="AD1433" s="54"/>
      <c r="AF1433" s="54"/>
      <c r="AH1433" s="54"/>
      <c r="AJ1433" s="54"/>
      <c r="AL1433" s="54"/>
      <c r="AO1433" s="54"/>
      <c r="AP1433" s="1"/>
      <c r="AQ1433" s="54"/>
      <c r="AR1433" s="171"/>
      <c r="AS1433" s="1"/>
      <c r="AT1433" s="1"/>
      <c r="AU1433" s="1"/>
    </row>
    <row r="1434">
      <c r="A1434" s="54"/>
      <c r="B1434" s="71"/>
      <c r="C1434" s="51"/>
      <c r="D1434" s="54"/>
      <c r="E1434" s="114"/>
      <c r="F1434" s="16"/>
      <c r="G1434" s="114"/>
      <c r="H1434" s="54"/>
      <c r="I1434" s="114"/>
      <c r="J1434" s="54"/>
      <c r="L1434" s="54"/>
      <c r="N1434" s="54"/>
      <c r="P1434" s="54"/>
      <c r="R1434" s="54"/>
      <c r="T1434" s="1"/>
      <c r="V1434" s="54"/>
      <c r="X1434" s="54"/>
      <c r="Z1434" s="54"/>
      <c r="AB1434" s="54"/>
      <c r="AD1434" s="54"/>
      <c r="AF1434" s="54"/>
      <c r="AH1434" s="54"/>
      <c r="AJ1434" s="54"/>
      <c r="AL1434" s="54"/>
      <c r="AO1434" s="54"/>
      <c r="AP1434" s="1"/>
      <c r="AQ1434" s="54"/>
      <c r="AR1434" s="171"/>
      <c r="AS1434" s="1"/>
      <c r="AT1434" s="1"/>
      <c r="AU1434" s="1"/>
    </row>
    <row r="1435">
      <c r="A1435" s="54"/>
      <c r="B1435" s="71"/>
      <c r="C1435" s="51"/>
      <c r="D1435" s="54"/>
      <c r="E1435" s="114"/>
      <c r="F1435" s="16"/>
      <c r="G1435" s="114"/>
      <c r="H1435" s="54"/>
      <c r="I1435" s="114"/>
      <c r="J1435" s="54"/>
      <c r="L1435" s="54"/>
      <c r="N1435" s="54"/>
      <c r="P1435" s="54"/>
      <c r="R1435" s="54"/>
      <c r="T1435" s="1"/>
      <c r="V1435" s="54"/>
      <c r="X1435" s="54"/>
      <c r="Z1435" s="54"/>
      <c r="AB1435" s="54"/>
      <c r="AD1435" s="54"/>
      <c r="AF1435" s="54"/>
      <c r="AH1435" s="54"/>
      <c r="AJ1435" s="54"/>
      <c r="AL1435" s="54"/>
      <c r="AO1435" s="54"/>
      <c r="AP1435" s="1"/>
      <c r="AQ1435" s="54"/>
      <c r="AR1435" s="171"/>
      <c r="AS1435" s="1"/>
      <c r="AT1435" s="1"/>
      <c r="AU1435" s="1"/>
    </row>
    <row r="1436">
      <c r="A1436" s="54"/>
      <c r="B1436" s="71"/>
      <c r="C1436" s="51"/>
      <c r="D1436" s="54"/>
      <c r="E1436" s="114"/>
      <c r="F1436" s="16"/>
      <c r="G1436" s="114"/>
      <c r="H1436" s="54"/>
      <c r="I1436" s="114"/>
      <c r="J1436" s="54"/>
      <c r="L1436" s="54"/>
      <c r="N1436" s="54"/>
      <c r="P1436" s="54"/>
      <c r="R1436" s="54"/>
      <c r="T1436" s="1"/>
      <c r="V1436" s="54"/>
      <c r="X1436" s="54"/>
      <c r="Z1436" s="54"/>
      <c r="AB1436" s="54"/>
      <c r="AD1436" s="54"/>
      <c r="AF1436" s="54"/>
      <c r="AH1436" s="54"/>
      <c r="AJ1436" s="54"/>
      <c r="AL1436" s="54"/>
      <c r="AO1436" s="54"/>
      <c r="AP1436" s="1"/>
      <c r="AQ1436" s="54"/>
      <c r="AR1436" s="171"/>
      <c r="AS1436" s="1"/>
      <c r="AT1436" s="1"/>
      <c r="AU1436" s="1"/>
    </row>
    <row r="1437">
      <c r="A1437" s="54"/>
      <c r="B1437" s="71"/>
      <c r="C1437" s="51"/>
      <c r="D1437" s="54"/>
      <c r="E1437" s="114"/>
      <c r="F1437" s="16"/>
      <c r="G1437" s="114"/>
      <c r="H1437" s="54"/>
      <c r="I1437" s="114"/>
      <c r="J1437" s="54"/>
      <c r="L1437" s="54"/>
      <c r="N1437" s="54"/>
      <c r="P1437" s="54"/>
      <c r="R1437" s="54"/>
      <c r="T1437" s="1"/>
      <c r="V1437" s="54"/>
      <c r="X1437" s="54"/>
      <c r="Z1437" s="54"/>
      <c r="AB1437" s="54"/>
      <c r="AD1437" s="54"/>
      <c r="AF1437" s="54"/>
      <c r="AH1437" s="54"/>
      <c r="AJ1437" s="54"/>
      <c r="AL1437" s="54"/>
      <c r="AO1437" s="54"/>
      <c r="AP1437" s="1"/>
      <c r="AQ1437" s="54"/>
      <c r="AR1437" s="171"/>
      <c r="AS1437" s="1"/>
      <c r="AT1437" s="1"/>
      <c r="AU1437" s="1"/>
    </row>
    <row r="1438">
      <c r="A1438" s="54"/>
      <c r="B1438" s="71"/>
      <c r="C1438" s="51"/>
      <c r="D1438" s="54"/>
      <c r="E1438" s="114"/>
      <c r="F1438" s="16"/>
      <c r="G1438" s="114"/>
      <c r="H1438" s="54"/>
      <c r="I1438" s="114"/>
      <c r="J1438" s="54"/>
      <c r="L1438" s="54"/>
      <c r="N1438" s="54"/>
      <c r="P1438" s="54"/>
      <c r="R1438" s="54"/>
      <c r="T1438" s="1"/>
      <c r="V1438" s="54"/>
      <c r="X1438" s="54"/>
      <c r="Z1438" s="54"/>
      <c r="AB1438" s="54"/>
      <c r="AD1438" s="54"/>
      <c r="AF1438" s="54"/>
      <c r="AH1438" s="54"/>
      <c r="AJ1438" s="54"/>
      <c r="AL1438" s="54"/>
      <c r="AO1438" s="54"/>
      <c r="AP1438" s="1"/>
      <c r="AQ1438" s="54"/>
      <c r="AR1438" s="171"/>
      <c r="AS1438" s="1"/>
      <c r="AT1438" s="1"/>
      <c r="AU1438" s="1"/>
    </row>
    <row r="1439">
      <c r="A1439" s="54"/>
      <c r="B1439" s="71"/>
      <c r="C1439" s="51"/>
      <c r="D1439" s="54"/>
      <c r="E1439" s="114"/>
      <c r="F1439" s="16"/>
      <c r="G1439" s="114"/>
      <c r="H1439" s="54"/>
      <c r="I1439" s="114"/>
      <c r="J1439" s="54"/>
      <c r="L1439" s="54"/>
      <c r="N1439" s="54"/>
      <c r="P1439" s="54"/>
      <c r="R1439" s="54"/>
      <c r="T1439" s="1"/>
      <c r="V1439" s="54"/>
      <c r="X1439" s="54"/>
      <c r="Z1439" s="54"/>
      <c r="AB1439" s="54"/>
      <c r="AD1439" s="54"/>
      <c r="AF1439" s="54"/>
      <c r="AH1439" s="54"/>
      <c r="AJ1439" s="54"/>
      <c r="AL1439" s="54"/>
      <c r="AO1439" s="54"/>
      <c r="AP1439" s="1"/>
      <c r="AQ1439" s="54"/>
      <c r="AR1439" s="171"/>
      <c r="AS1439" s="1"/>
      <c r="AT1439" s="1"/>
      <c r="AU1439" s="1"/>
    </row>
    <row r="1440">
      <c r="A1440" s="54"/>
      <c r="B1440" s="71"/>
      <c r="C1440" s="51"/>
      <c r="D1440" s="54"/>
      <c r="E1440" s="114"/>
      <c r="F1440" s="16"/>
      <c r="G1440" s="114"/>
      <c r="H1440" s="54"/>
      <c r="I1440" s="114"/>
      <c r="J1440" s="54"/>
      <c r="L1440" s="54"/>
      <c r="N1440" s="54"/>
      <c r="P1440" s="54"/>
      <c r="R1440" s="54"/>
      <c r="T1440" s="1"/>
      <c r="V1440" s="54"/>
      <c r="X1440" s="54"/>
      <c r="Z1440" s="54"/>
      <c r="AB1440" s="54"/>
      <c r="AD1440" s="54"/>
      <c r="AF1440" s="54"/>
      <c r="AH1440" s="54"/>
      <c r="AJ1440" s="54"/>
      <c r="AL1440" s="54"/>
      <c r="AO1440" s="54"/>
      <c r="AP1440" s="1"/>
      <c r="AQ1440" s="54"/>
      <c r="AR1440" s="171"/>
      <c r="AS1440" s="1"/>
      <c r="AT1440" s="1"/>
      <c r="AU1440" s="1"/>
    </row>
    <row r="1441">
      <c r="A1441" s="54"/>
      <c r="B1441" s="71"/>
      <c r="C1441" s="51"/>
      <c r="D1441" s="54"/>
      <c r="E1441" s="114"/>
      <c r="F1441" s="16"/>
      <c r="G1441" s="114"/>
      <c r="H1441" s="54"/>
      <c r="I1441" s="114"/>
      <c r="J1441" s="54"/>
      <c r="L1441" s="54"/>
      <c r="N1441" s="54"/>
      <c r="P1441" s="54"/>
      <c r="R1441" s="54"/>
      <c r="T1441" s="1"/>
      <c r="V1441" s="54"/>
      <c r="X1441" s="54"/>
      <c r="Z1441" s="54"/>
      <c r="AB1441" s="54"/>
      <c r="AD1441" s="54"/>
      <c r="AF1441" s="54"/>
      <c r="AH1441" s="54"/>
      <c r="AJ1441" s="54"/>
      <c r="AL1441" s="54"/>
      <c r="AO1441" s="54"/>
      <c r="AP1441" s="1"/>
      <c r="AQ1441" s="54"/>
      <c r="AR1441" s="171"/>
      <c r="AS1441" s="1"/>
      <c r="AT1441" s="1"/>
      <c r="AU1441" s="1"/>
    </row>
    <row r="1442">
      <c r="A1442" s="54"/>
      <c r="B1442" s="71"/>
      <c r="C1442" s="51"/>
      <c r="D1442" s="54"/>
      <c r="E1442" s="114"/>
      <c r="F1442" s="16"/>
      <c r="G1442" s="114"/>
      <c r="H1442" s="54"/>
      <c r="I1442" s="114"/>
      <c r="J1442" s="54"/>
      <c r="L1442" s="54"/>
      <c r="N1442" s="54"/>
      <c r="P1442" s="54"/>
      <c r="R1442" s="54"/>
      <c r="T1442" s="1"/>
      <c r="V1442" s="54"/>
      <c r="X1442" s="54"/>
      <c r="Z1442" s="54"/>
      <c r="AB1442" s="54"/>
      <c r="AD1442" s="54"/>
      <c r="AF1442" s="54"/>
      <c r="AH1442" s="54"/>
      <c r="AJ1442" s="54"/>
      <c r="AL1442" s="54"/>
      <c r="AO1442" s="54"/>
      <c r="AP1442" s="1"/>
      <c r="AQ1442" s="54"/>
      <c r="AR1442" s="171"/>
      <c r="AS1442" s="1"/>
      <c r="AT1442" s="1"/>
      <c r="AU1442" s="1"/>
    </row>
    <row r="1443">
      <c r="A1443" s="54"/>
      <c r="B1443" s="71"/>
      <c r="C1443" s="51"/>
      <c r="D1443" s="54"/>
      <c r="E1443" s="114"/>
      <c r="F1443" s="16"/>
      <c r="G1443" s="114"/>
      <c r="H1443" s="54"/>
      <c r="I1443" s="114"/>
      <c r="J1443" s="54"/>
      <c r="L1443" s="54"/>
      <c r="N1443" s="54"/>
      <c r="P1443" s="54"/>
      <c r="R1443" s="54"/>
      <c r="T1443" s="1"/>
      <c r="V1443" s="54"/>
      <c r="X1443" s="54"/>
      <c r="Z1443" s="54"/>
      <c r="AB1443" s="54"/>
      <c r="AD1443" s="54"/>
      <c r="AF1443" s="54"/>
      <c r="AH1443" s="54"/>
      <c r="AJ1443" s="54"/>
      <c r="AL1443" s="54"/>
      <c r="AO1443" s="54"/>
      <c r="AP1443" s="1"/>
      <c r="AQ1443" s="54"/>
      <c r="AR1443" s="171"/>
      <c r="AS1443" s="1"/>
      <c r="AT1443" s="1"/>
      <c r="AU1443" s="1"/>
    </row>
    <row r="1444">
      <c r="A1444" s="54"/>
      <c r="B1444" s="71"/>
      <c r="C1444" s="51"/>
      <c r="D1444" s="54"/>
      <c r="E1444" s="114"/>
      <c r="F1444" s="16"/>
      <c r="G1444" s="114"/>
      <c r="H1444" s="54"/>
      <c r="I1444" s="114"/>
      <c r="J1444" s="54"/>
      <c r="L1444" s="54"/>
      <c r="N1444" s="54"/>
      <c r="P1444" s="54"/>
      <c r="R1444" s="54"/>
      <c r="T1444" s="1"/>
      <c r="V1444" s="54"/>
      <c r="X1444" s="54"/>
      <c r="Z1444" s="54"/>
      <c r="AB1444" s="54"/>
      <c r="AD1444" s="54"/>
      <c r="AF1444" s="54"/>
      <c r="AH1444" s="54"/>
      <c r="AJ1444" s="54"/>
      <c r="AL1444" s="54"/>
      <c r="AO1444" s="54"/>
      <c r="AP1444" s="1"/>
      <c r="AQ1444" s="54"/>
      <c r="AR1444" s="171"/>
      <c r="AS1444" s="1"/>
      <c r="AT1444" s="1"/>
      <c r="AU1444" s="1"/>
    </row>
    <row r="1445">
      <c r="A1445" s="54"/>
      <c r="B1445" s="71"/>
      <c r="C1445" s="51"/>
      <c r="D1445" s="54"/>
      <c r="E1445" s="114"/>
      <c r="F1445" s="16"/>
      <c r="G1445" s="114"/>
      <c r="H1445" s="54"/>
      <c r="I1445" s="114"/>
      <c r="J1445" s="54"/>
      <c r="L1445" s="54"/>
      <c r="N1445" s="54"/>
      <c r="P1445" s="54"/>
      <c r="R1445" s="54"/>
      <c r="T1445" s="1"/>
      <c r="V1445" s="54"/>
      <c r="X1445" s="54"/>
      <c r="Z1445" s="54"/>
      <c r="AB1445" s="54"/>
      <c r="AD1445" s="54"/>
      <c r="AF1445" s="54"/>
      <c r="AH1445" s="54"/>
      <c r="AJ1445" s="54"/>
      <c r="AL1445" s="54"/>
      <c r="AO1445" s="54"/>
      <c r="AP1445" s="1"/>
      <c r="AQ1445" s="54"/>
      <c r="AR1445" s="171"/>
      <c r="AS1445" s="1"/>
      <c r="AT1445" s="1"/>
      <c r="AU1445" s="1"/>
    </row>
    <row r="1446">
      <c r="A1446" s="54"/>
      <c r="B1446" s="71"/>
      <c r="C1446" s="51"/>
      <c r="D1446" s="54"/>
      <c r="E1446" s="114"/>
      <c r="F1446" s="16"/>
      <c r="G1446" s="114"/>
      <c r="H1446" s="54"/>
      <c r="I1446" s="114"/>
      <c r="J1446" s="54"/>
      <c r="L1446" s="54"/>
      <c r="N1446" s="54"/>
      <c r="P1446" s="54"/>
      <c r="R1446" s="54"/>
      <c r="T1446" s="1"/>
      <c r="V1446" s="54"/>
      <c r="X1446" s="54"/>
      <c r="Z1446" s="54"/>
      <c r="AB1446" s="54"/>
      <c r="AD1446" s="54"/>
      <c r="AF1446" s="54"/>
      <c r="AH1446" s="54"/>
      <c r="AJ1446" s="54"/>
      <c r="AL1446" s="54"/>
      <c r="AO1446" s="54"/>
      <c r="AP1446" s="1"/>
      <c r="AQ1446" s="54"/>
      <c r="AR1446" s="171"/>
      <c r="AS1446" s="1"/>
      <c r="AT1446" s="1"/>
      <c r="AU1446" s="1"/>
    </row>
    <row r="1447">
      <c r="A1447" s="54"/>
      <c r="B1447" s="71"/>
      <c r="C1447" s="51"/>
      <c r="D1447" s="54"/>
      <c r="E1447" s="114"/>
      <c r="F1447" s="16"/>
      <c r="G1447" s="114"/>
      <c r="H1447" s="54"/>
      <c r="I1447" s="114"/>
      <c r="J1447" s="54"/>
      <c r="L1447" s="54"/>
      <c r="N1447" s="54"/>
      <c r="P1447" s="54"/>
      <c r="R1447" s="54"/>
      <c r="T1447" s="1"/>
      <c r="V1447" s="54"/>
      <c r="X1447" s="54"/>
      <c r="Z1447" s="54"/>
      <c r="AB1447" s="54"/>
      <c r="AD1447" s="54"/>
      <c r="AF1447" s="54"/>
      <c r="AH1447" s="54"/>
      <c r="AJ1447" s="54"/>
      <c r="AL1447" s="54"/>
      <c r="AO1447" s="54"/>
      <c r="AP1447" s="1"/>
      <c r="AQ1447" s="54"/>
      <c r="AR1447" s="171"/>
      <c r="AS1447" s="1"/>
      <c r="AT1447" s="1"/>
      <c r="AU1447" s="1"/>
    </row>
    <row r="1448">
      <c r="A1448" s="54"/>
      <c r="B1448" s="71"/>
      <c r="C1448" s="51"/>
      <c r="D1448" s="54"/>
      <c r="E1448" s="114"/>
      <c r="F1448" s="16"/>
      <c r="G1448" s="114"/>
      <c r="H1448" s="54"/>
      <c r="I1448" s="114"/>
      <c r="J1448" s="54"/>
      <c r="L1448" s="54"/>
      <c r="N1448" s="54"/>
      <c r="P1448" s="54"/>
      <c r="R1448" s="54"/>
      <c r="T1448" s="1"/>
      <c r="V1448" s="54"/>
      <c r="X1448" s="54"/>
      <c r="Z1448" s="54"/>
      <c r="AB1448" s="54"/>
      <c r="AD1448" s="54"/>
      <c r="AF1448" s="54"/>
      <c r="AH1448" s="54"/>
      <c r="AJ1448" s="54"/>
      <c r="AL1448" s="54"/>
      <c r="AO1448" s="54"/>
      <c r="AP1448" s="1"/>
      <c r="AQ1448" s="54"/>
      <c r="AR1448" s="171"/>
      <c r="AS1448" s="1"/>
      <c r="AT1448" s="1"/>
      <c r="AU1448" s="1"/>
    </row>
    <row r="1449">
      <c r="A1449" s="54"/>
      <c r="B1449" s="71"/>
      <c r="C1449" s="51"/>
      <c r="D1449" s="54"/>
      <c r="E1449" s="114"/>
      <c r="F1449" s="16"/>
      <c r="G1449" s="114"/>
      <c r="H1449" s="54"/>
      <c r="I1449" s="114"/>
      <c r="J1449" s="54"/>
      <c r="L1449" s="54"/>
      <c r="N1449" s="54"/>
      <c r="P1449" s="54"/>
      <c r="R1449" s="54"/>
      <c r="T1449" s="1"/>
      <c r="V1449" s="54"/>
      <c r="X1449" s="54"/>
      <c r="Z1449" s="54"/>
      <c r="AB1449" s="54"/>
      <c r="AD1449" s="54"/>
      <c r="AF1449" s="54"/>
      <c r="AH1449" s="54"/>
      <c r="AJ1449" s="54"/>
      <c r="AL1449" s="54"/>
      <c r="AO1449" s="54"/>
      <c r="AP1449" s="1"/>
      <c r="AQ1449" s="54"/>
      <c r="AR1449" s="171"/>
      <c r="AS1449" s="1"/>
      <c r="AT1449" s="1"/>
      <c r="AU1449" s="1"/>
    </row>
    <row r="1450">
      <c r="A1450" s="54"/>
      <c r="B1450" s="71"/>
      <c r="C1450" s="51"/>
      <c r="D1450" s="54"/>
      <c r="E1450" s="114"/>
      <c r="F1450" s="16"/>
      <c r="G1450" s="114"/>
      <c r="H1450" s="54"/>
      <c r="I1450" s="114"/>
      <c r="J1450" s="54"/>
      <c r="L1450" s="54"/>
      <c r="N1450" s="54"/>
      <c r="P1450" s="54"/>
      <c r="R1450" s="54"/>
      <c r="T1450" s="1"/>
      <c r="V1450" s="54"/>
      <c r="X1450" s="54"/>
      <c r="Z1450" s="54"/>
      <c r="AB1450" s="54"/>
      <c r="AD1450" s="54"/>
      <c r="AF1450" s="54"/>
      <c r="AH1450" s="54"/>
      <c r="AJ1450" s="54"/>
      <c r="AL1450" s="54"/>
      <c r="AO1450" s="54"/>
      <c r="AP1450" s="1"/>
      <c r="AQ1450" s="54"/>
      <c r="AR1450" s="171"/>
      <c r="AS1450" s="1"/>
      <c r="AT1450" s="1"/>
      <c r="AU1450" s="1"/>
    </row>
    <row r="1451">
      <c r="A1451" s="54"/>
      <c r="B1451" s="71"/>
      <c r="C1451" s="51"/>
      <c r="D1451" s="54"/>
      <c r="E1451" s="114"/>
      <c r="F1451" s="16"/>
      <c r="G1451" s="114"/>
      <c r="H1451" s="54"/>
      <c r="I1451" s="114"/>
      <c r="J1451" s="54"/>
      <c r="L1451" s="54"/>
      <c r="N1451" s="54"/>
      <c r="P1451" s="54"/>
      <c r="R1451" s="54"/>
      <c r="T1451" s="1"/>
      <c r="V1451" s="54"/>
      <c r="X1451" s="54"/>
      <c r="Z1451" s="54"/>
      <c r="AB1451" s="54"/>
      <c r="AD1451" s="54"/>
      <c r="AF1451" s="54"/>
      <c r="AH1451" s="54"/>
      <c r="AJ1451" s="54"/>
      <c r="AL1451" s="54"/>
      <c r="AO1451" s="54"/>
      <c r="AP1451" s="1"/>
      <c r="AQ1451" s="54"/>
      <c r="AR1451" s="171"/>
      <c r="AS1451" s="1"/>
      <c r="AT1451" s="1"/>
      <c r="AU1451" s="1"/>
    </row>
    <row r="1452">
      <c r="A1452" s="54"/>
      <c r="B1452" s="71"/>
      <c r="C1452" s="51"/>
      <c r="D1452" s="54"/>
      <c r="E1452" s="114"/>
      <c r="F1452" s="16"/>
      <c r="G1452" s="114"/>
      <c r="H1452" s="54"/>
      <c r="I1452" s="114"/>
      <c r="J1452" s="54"/>
      <c r="L1452" s="54"/>
      <c r="N1452" s="54"/>
      <c r="P1452" s="54"/>
      <c r="R1452" s="54"/>
      <c r="T1452" s="1"/>
      <c r="V1452" s="54"/>
      <c r="X1452" s="54"/>
      <c r="Z1452" s="54"/>
      <c r="AB1452" s="54"/>
      <c r="AD1452" s="54"/>
      <c r="AF1452" s="54"/>
      <c r="AH1452" s="54"/>
      <c r="AJ1452" s="54"/>
      <c r="AL1452" s="54"/>
      <c r="AO1452" s="54"/>
      <c r="AP1452" s="1"/>
      <c r="AQ1452" s="54"/>
      <c r="AR1452" s="171"/>
      <c r="AS1452" s="1"/>
      <c r="AT1452" s="1"/>
      <c r="AU1452" s="1"/>
    </row>
    <row r="1453">
      <c r="A1453" s="54"/>
      <c r="B1453" s="71"/>
      <c r="C1453" s="51"/>
      <c r="D1453" s="54"/>
      <c r="E1453" s="114"/>
      <c r="F1453" s="16"/>
      <c r="G1453" s="114"/>
      <c r="H1453" s="54"/>
      <c r="I1453" s="114"/>
      <c r="J1453" s="54"/>
      <c r="L1453" s="54"/>
      <c r="N1453" s="54"/>
      <c r="P1453" s="54"/>
      <c r="R1453" s="54"/>
      <c r="T1453" s="1"/>
      <c r="V1453" s="54"/>
      <c r="X1453" s="54"/>
      <c r="Z1453" s="54"/>
      <c r="AB1453" s="54"/>
      <c r="AD1453" s="54"/>
      <c r="AF1453" s="54"/>
      <c r="AH1453" s="54"/>
      <c r="AJ1453" s="54"/>
      <c r="AL1453" s="54"/>
      <c r="AO1453" s="54"/>
      <c r="AP1453" s="1"/>
      <c r="AQ1453" s="54"/>
      <c r="AR1453" s="171"/>
      <c r="AS1453" s="1"/>
      <c r="AT1453" s="1"/>
      <c r="AU1453" s="1"/>
    </row>
    <row r="1454">
      <c r="A1454" s="54"/>
      <c r="B1454" s="71"/>
      <c r="C1454" s="51"/>
      <c r="D1454" s="54"/>
      <c r="E1454" s="114"/>
      <c r="F1454" s="16"/>
      <c r="G1454" s="114"/>
      <c r="H1454" s="54"/>
      <c r="I1454" s="114"/>
      <c r="J1454" s="54"/>
      <c r="L1454" s="54"/>
      <c r="N1454" s="54"/>
      <c r="P1454" s="54"/>
      <c r="R1454" s="54"/>
      <c r="T1454" s="1"/>
      <c r="V1454" s="54"/>
      <c r="X1454" s="54"/>
      <c r="Z1454" s="54"/>
      <c r="AB1454" s="54"/>
      <c r="AD1454" s="54"/>
      <c r="AF1454" s="54"/>
      <c r="AH1454" s="54"/>
      <c r="AJ1454" s="54"/>
      <c r="AL1454" s="54"/>
      <c r="AO1454" s="54"/>
      <c r="AP1454" s="1"/>
      <c r="AQ1454" s="54"/>
      <c r="AR1454" s="171"/>
      <c r="AS1454" s="1"/>
      <c r="AT1454" s="1"/>
      <c r="AU1454" s="1"/>
    </row>
    <row r="1455">
      <c r="A1455" s="54"/>
      <c r="B1455" s="71"/>
      <c r="C1455" s="51"/>
      <c r="D1455" s="54"/>
      <c r="E1455" s="114"/>
      <c r="F1455" s="16"/>
      <c r="G1455" s="114"/>
      <c r="H1455" s="54"/>
      <c r="I1455" s="114"/>
      <c r="J1455" s="54"/>
      <c r="L1455" s="54"/>
      <c r="N1455" s="54"/>
      <c r="P1455" s="54"/>
      <c r="R1455" s="54"/>
      <c r="T1455" s="1"/>
      <c r="V1455" s="54"/>
      <c r="X1455" s="54"/>
      <c r="Z1455" s="54"/>
      <c r="AB1455" s="54"/>
      <c r="AD1455" s="54"/>
      <c r="AF1455" s="54"/>
      <c r="AH1455" s="54"/>
      <c r="AJ1455" s="54"/>
      <c r="AL1455" s="54"/>
      <c r="AO1455" s="54"/>
      <c r="AP1455" s="1"/>
      <c r="AQ1455" s="54"/>
      <c r="AR1455" s="171"/>
      <c r="AS1455" s="1"/>
      <c r="AT1455" s="1"/>
      <c r="AU1455" s="1"/>
    </row>
    <row r="1456">
      <c r="A1456" s="54"/>
      <c r="B1456" s="71"/>
      <c r="C1456" s="51"/>
      <c r="D1456" s="54"/>
      <c r="E1456" s="114"/>
      <c r="F1456" s="16"/>
      <c r="G1456" s="114"/>
      <c r="H1456" s="54"/>
      <c r="I1456" s="114"/>
      <c r="J1456" s="54"/>
      <c r="L1456" s="54"/>
      <c r="N1456" s="54"/>
      <c r="P1456" s="54"/>
      <c r="R1456" s="54"/>
      <c r="T1456" s="1"/>
      <c r="V1456" s="54"/>
      <c r="X1456" s="54"/>
      <c r="Z1456" s="54"/>
      <c r="AB1456" s="54"/>
      <c r="AD1456" s="54"/>
      <c r="AF1456" s="54"/>
      <c r="AH1456" s="54"/>
      <c r="AJ1456" s="54"/>
      <c r="AL1456" s="54"/>
      <c r="AO1456" s="54"/>
      <c r="AP1456" s="1"/>
      <c r="AQ1456" s="54"/>
      <c r="AR1456" s="171"/>
      <c r="AS1456" s="1"/>
      <c r="AT1456" s="1"/>
      <c r="AU1456" s="1"/>
    </row>
    <row r="1457">
      <c r="A1457" s="54"/>
      <c r="B1457" s="71"/>
      <c r="C1457" s="51"/>
      <c r="D1457" s="54"/>
      <c r="E1457" s="114"/>
      <c r="F1457" s="16"/>
      <c r="G1457" s="114"/>
      <c r="H1457" s="54"/>
      <c r="I1457" s="114"/>
      <c r="J1457" s="54"/>
      <c r="L1457" s="54"/>
      <c r="N1457" s="54"/>
      <c r="P1457" s="54"/>
      <c r="R1457" s="54"/>
      <c r="T1457" s="1"/>
      <c r="V1457" s="54"/>
      <c r="X1457" s="54"/>
      <c r="Z1457" s="54"/>
      <c r="AB1457" s="54"/>
      <c r="AD1457" s="54"/>
      <c r="AF1457" s="54"/>
      <c r="AH1457" s="54"/>
      <c r="AJ1457" s="54"/>
      <c r="AL1457" s="54"/>
      <c r="AO1457" s="54"/>
      <c r="AP1457" s="1"/>
      <c r="AQ1457" s="54"/>
      <c r="AR1457" s="171"/>
      <c r="AS1457" s="1"/>
      <c r="AT1457" s="1"/>
      <c r="AU1457" s="1"/>
    </row>
    <row r="1458">
      <c r="A1458" s="54"/>
      <c r="B1458" s="71"/>
      <c r="C1458" s="51"/>
      <c r="D1458" s="54"/>
      <c r="E1458" s="114"/>
      <c r="F1458" s="16"/>
      <c r="G1458" s="114"/>
      <c r="H1458" s="54"/>
      <c r="I1458" s="114"/>
      <c r="J1458" s="54"/>
      <c r="L1458" s="54"/>
      <c r="N1458" s="54"/>
      <c r="P1458" s="54"/>
      <c r="R1458" s="54"/>
      <c r="T1458" s="1"/>
      <c r="V1458" s="54"/>
      <c r="X1458" s="54"/>
      <c r="Z1458" s="54"/>
      <c r="AB1458" s="54"/>
      <c r="AD1458" s="54"/>
      <c r="AF1458" s="54"/>
      <c r="AH1458" s="54"/>
      <c r="AJ1458" s="54"/>
      <c r="AL1458" s="54"/>
      <c r="AO1458" s="54"/>
      <c r="AP1458" s="1"/>
      <c r="AQ1458" s="54"/>
      <c r="AR1458" s="171"/>
      <c r="AS1458" s="1"/>
      <c r="AT1458" s="1"/>
      <c r="AU1458" s="1"/>
    </row>
    <row r="1459">
      <c r="A1459" s="54"/>
      <c r="B1459" s="71"/>
      <c r="C1459" s="51"/>
      <c r="D1459" s="54"/>
      <c r="E1459" s="114"/>
      <c r="F1459" s="16"/>
      <c r="G1459" s="114"/>
      <c r="H1459" s="54"/>
      <c r="I1459" s="114"/>
      <c r="J1459" s="54"/>
      <c r="L1459" s="54"/>
      <c r="N1459" s="54"/>
      <c r="P1459" s="54"/>
      <c r="R1459" s="54"/>
      <c r="T1459" s="1"/>
      <c r="V1459" s="54"/>
      <c r="X1459" s="54"/>
      <c r="Z1459" s="54"/>
      <c r="AB1459" s="54"/>
      <c r="AD1459" s="54"/>
      <c r="AF1459" s="54"/>
      <c r="AH1459" s="54"/>
      <c r="AJ1459" s="54"/>
      <c r="AL1459" s="54"/>
      <c r="AO1459" s="54"/>
      <c r="AP1459" s="1"/>
      <c r="AQ1459" s="54"/>
      <c r="AR1459" s="171"/>
      <c r="AS1459" s="1"/>
      <c r="AT1459" s="1"/>
      <c r="AU1459" s="1"/>
    </row>
    <row r="1460">
      <c r="A1460" s="54"/>
      <c r="B1460" s="71"/>
      <c r="C1460" s="51"/>
      <c r="D1460" s="54"/>
      <c r="E1460" s="114"/>
      <c r="F1460" s="16"/>
      <c r="G1460" s="114"/>
      <c r="H1460" s="54"/>
      <c r="I1460" s="114"/>
      <c r="J1460" s="54"/>
      <c r="L1460" s="54"/>
      <c r="N1460" s="54"/>
      <c r="P1460" s="54"/>
      <c r="R1460" s="54"/>
      <c r="T1460" s="1"/>
      <c r="V1460" s="54"/>
      <c r="X1460" s="54"/>
      <c r="Z1460" s="54"/>
      <c r="AB1460" s="54"/>
      <c r="AD1460" s="54"/>
      <c r="AF1460" s="54"/>
      <c r="AH1460" s="54"/>
      <c r="AJ1460" s="54"/>
      <c r="AL1460" s="54"/>
      <c r="AO1460" s="54"/>
      <c r="AP1460" s="1"/>
      <c r="AQ1460" s="54"/>
      <c r="AR1460" s="171"/>
      <c r="AS1460" s="1"/>
      <c r="AT1460" s="1"/>
      <c r="AU1460" s="1"/>
    </row>
    <row r="1461">
      <c r="A1461" s="54"/>
      <c r="B1461" s="71"/>
      <c r="C1461" s="51"/>
      <c r="D1461" s="54"/>
      <c r="E1461" s="114"/>
      <c r="F1461" s="16"/>
      <c r="G1461" s="114"/>
      <c r="H1461" s="54"/>
      <c r="I1461" s="114"/>
      <c r="J1461" s="54"/>
      <c r="L1461" s="54"/>
      <c r="N1461" s="54"/>
      <c r="P1461" s="54"/>
      <c r="R1461" s="54"/>
      <c r="T1461" s="1"/>
      <c r="V1461" s="54"/>
      <c r="X1461" s="54"/>
      <c r="Z1461" s="54"/>
      <c r="AB1461" s="54"/>
      <c r="AD1461" s="54"/>
      <c r="AF1461" s="54"/>
      <c r="AH1461" s="54"/>
      <c r="AJ1461" s="54"/>
      <c r="AL1461" s="54"/>
      <c r="AO1461" s="54"/>
      <c r="AP1461" s="1"/>
      <c r="AQ1461" s="54"/>
      <c r="AR1461" s="171"/>
      <c r="AS1461" s="1"/>
      <c r="AT1461" s="1"/>
      <c r="AU1461" s="1"/>
    </row>
    <row r="1462">
      <c r="A1462" s="54"/>
      <c r="B1462" s="71"/>
      <c r="C1462" s="51"/>
      <c r="D1462" s="54"/>
      <c r="E1462" s="114"/>
      <c r="F1462" s="16"/>
      <c r="G1462" s="114"/>
      <c r="H1462" s="54"/>
      <c r="I1462" s="114"/>
      <c r="J1462" s="54"/>
      <c r="L1462" s="54"/>
      <c r="N1462" s="54"/>
      <c r="P1462" s="54"/>
      <c r="R1462" s="54"/>
      <c r="T1462" s="1"/>
      <c r="V1462" s="54"/>
      <c r="X1462" s="54"/>
      <c r="Z1462" s="54"/>
      <c r="AB1462" s="54"/>
      <c r="AD1462" s="54"/>
      <c r="AF1462" s="54"/>
      <c r="AH1462" s="54"/>
      <c r="AJ1462" s="54"/>
      <c r="AL1462" s="54"/>
      <c r="AO1462" s="54"/>
      <c r="AP1462" s="1"/>
      <c r="AQ1462" s="54"/>
      <c r="AR1462" s="171"/>
      <c r="AS1462" s="1"/>
      <c r="AT1462" s="1"/>
      <c r="AU1462" s="1"/>
    </row>
    <row r="1463">
      <c r="A1463" s="54"/>
      <c r="B1463" s="71"/>
      <c r="C1463" s="51"/>
      <c r="D1463" s="54"/>
      <c r="E1463" s="114"/>
      <c r="F1463" s="16"/>
      <c r="G1463" s="114"/>
      <c r="H1463" s="54"/>
      <c r="I1463" s="114"/>
      <c r="J1463" s="54"/>
      <c r="L1463" s="54"/>
      <c r="N1463" s="54"/>
      <c r="P1463" s="54"/>
      <c r="R1463" s="54"/>
      <c r="T1463" s="1"/>
      <c r="V1463" s="54"/>
      <c r="X1463" s="54"/>
      <c r="Z1463" s="54"/>
      <c r="AB1463" s="54"/>
      <c r="AD1463" s="54"/>
      <c r="AF1463" s="54"/>
      <c r="AH1463" s="54"/>
      <c r="AJ1463" s="54"/>
      <c r="AL1463" s="54"/>
      <c r="AO1463" s="54"/>
      <c r="AP1463" s="1"/>
      <c r="AQ1463" s="54"/>
      <c r="AR1463" s="171"/>
      <c r="AS1463" s="1"/>
      <c r="AT1463" s="1"/>
      <c r="AU1463" s="1"/>
    </row>
    <row r="1464">
      <c r="A1464" s="54"/>
      <c r="B1464" s="71"/>
      <c r="C1464" s="51"/>
      <c r="D1464" s="54"/>
      <c r="E1464" s="114"/>
      <c r="F1464" s="16"/>
      <c r="G1464" s="114"/>
      <c r="H1464" s="54"/>
      <c r="I1464" s="114"/>
      <c r="J1464" s="54"/>
      <c r="L1464" s="54"/>
      <c r="N1464" s="54"/>
      <c r="P1464" s="54"/>
      <c r="R1464" s="54"/>
      <c r="T1464" s="1"/>
      <c r="V1464" s="54"/>
      <c r="X1464" s="54"/>
      <c r="Z1464" s="54"/>
      <c r="AB1464" s="54"/>
      <c r="AD1464" s="54"/>
      <c r="AF1464" s="54"/>
      <c r="AH1464" s="54"/>
      <c r="AJ1464" s="54"/>
      <c r="AL1464" s="54"/>
      <c r="AO1464" s="54"/>
      <c r="AP1464" s="1"/>
      <c r="AQ1464" s="54"/>
      <c r="AR1464" s="171"/>
      <c r="AS1464" s="1"/>
      <c r="AT1464" s="1"/>
      <c r="AU1464" s="1"/>
    </row>
    <row r="1465">
      <c r="A1465" s="54"/>
      <c r="B1465" s="71"/>
      <c r="C1465" s="51"/>
      <c r="D1465" s="54"/>
      <c r="E1465" s="114"/>
      <c r="F1465" s="16"/>
      <c r="G1465" s="114"/>
      <c r="H1465" s="54"/>
      <c r="I1465" s="114"/>
      <c r="J1465" s="54"/>
      <c r="L1465" s="54"/>
      <c r="N1465" s="54"/>
      <c r="P1465" s="54"/>
      <c r="R1465" s="54"/>
      <c r="T1465" s="1"/>
      <c r="V1465" s="54"/>
      <c r="X1465" s="54"/>
      <c r="Z1465" s="54"/>
      <c r="AB1465" s="54"/>
      <c r="AD1465" s="54"/>
      <c r="AF1465" s="54"/>
      <c r="AH1465" s="54"/>
      <c r="AJ1465" s="54"/>
      <c r="AL1465" s="54"/>
      <c r="AO1465" s="54"/>
      <c r="AP1465" s="1"/>
      <c r="AQ1465" s="54"/>
      <c r="AR1465" s="171"/>
      <c r="AS1465" s="1"/>
      <c r="AT1465" s="1"/>
      <c r="AU1465" s="1"/>
    </row>
    <row r="1466">
      <c r="A1466" s="54"/>
      <c r="B1466" s="71"/>
      <c r="C1466" s="51"/>
      <c r="D1466" s="54"/>
      <c r="E1466" s="114"/>
      <c r="F1466" s="16"/>
      <c r="G1466" s="114"/>
      <c r="H1466" s="54"/>
      <c r="I1466" s="114"/>
      <c r="J1466" s="54"/>
      <c r="L1466" s="54"/>
      <c r="N1466" s="54"/>
      <c r="P1466" s="54"/>
      <c r="R1466" s="54"/>
      <c r="T1466" s="1"/>
      <c r="V1466" s="54"/>
      <c r="X1466" s="54"/>
      <c r="Z1466" s="54"/>
      <c r="AB1466" s="54"/>
      <c r="AD1466" s="54"/>
      <c r="AF1466" s="54"/>
      <c r="AH1466" s="54"/>
      <c r="AJ1466" s="54"/>
      <c r="AL1466" s="54"/>
      <c r="AO1466" s="54"/>
      <c r="AP1466" s="1"/>
      <c r="AQ1466" s="54"/>
      <c r="AR1466" s="171"/>
      <c r="AS1466" s="1"/>
      <c r="AT1466" s="1"/>
      <c r="AU1466" s="1"/>
    </row>
    <row r="1467">
      <c r="A1467" s="54"/>
      <c r="B1467" s="71"/>
      <c r="C1467" s="51"/>
      <c r="D1467" s="54"/>
      <c r="E1467" s="114"/>
      <c r="F1467" s="16"/>
      <c r="G1467" s="114"/>
      <c r="H1467" s="54"/>
      <c r="I1467" s="114"/>
      <c r="J1467" s="54"/>
      <c r="L1467" s="54"/>
      <c r="N1467" s="54"/>
      <c r="P1467" s="54"/>
      <c r="R1467" s="54"/>
      <c r="T1467" s="1"/>
      <c r="V1467" s="54"/>
      <c r="X1467" s="54"/>
      <c r="Z1467" s="54"/>
      <c r="AB1467" s="54"/>
      <c r="AD1467" s="54"/>
      <c r="AF1467" s="54"/>
      <c r="AH1467" s="54"/>
      <c r="AJ1467" s="54"/>
      <c r="AL1467" s="54"/>
      <c r="AO1467" s="54"/>
      <c r="AP1467" s="1"/>
      <c r="AQ1467" s="54"/>
      <c r="AR1467" s="171"/>
      <c r="AS1467" s="1"/>
      <c r="AT1467" s="1"/>
      <c r="AU1467" s="1"/>
    </row>
    <row r="1468">
      <c r="A1468" s="54"/>
      <c r="B1468" s="71"/>
      <c r="C1468" s="51"/>
      <c r="D1468" s="54"/>
      <c r="E1468" s="114"/>
      <c r="F1468" s="16"/>
      <c r="G1468" s="114"/>
      <c r="H1468" s="54"/>
      <c r="I1468" s="114"/>
      <c r="J1468" s="54"/>
      <c r="L1468" s="54"/>
      <c r="N1468" s="54"/>
      <c r="P1468" s="54"/>
      <c r="R1468" s="54"/>
      <c r="T1468" s="1"/>
      <c r="V1468" s="54"/>
      <c r="X1468" s="54"/>
      <c r="Z1468" s="54"/>
      <c r="AB1468" s="54"/>
      <c r="AD1468" s="54"/>
      <c r="AF1468" s="54"/>
      <c r="AH1468" s="54"/>
      <c r="AJ1468" s="54"/>
      <c r="AL1468" s="54"/>
      <c r="AO1468" s="54"/>
      <c r="AP1468" s="1"/>
      <c r="AQ1468" s="54"/>
      <c r="AR1468" s="171"/>
      <c r="AS1468" s="1"/>
      <c r="AT1468" s="1"/>
      <c r="AU1468" s="1"/>
    </row>
    <row r="1469">
      <c r="A1469" s="54"/>
      <c r="B1469" s="71"/>
      <c r="C1469" s="51"/>
      <c r="D1469" s="54"/>
      <c r="E1469" s="114"/>
      <c r="F1469" s="16"/>
      <c r="G1469" s="114"/>
      <c r="H1469" s="54"/>
      <c r="I1469" s="114"/>
      <c r="J1469" s="54"/>
      <c r="L1469" s="54"/>
      <c r="N1469" s="54"/>
      <c r="P1469" s="54"/>
      <c r="R1469" s="54"/>
      <c r="T1469" s="1"/>
      <c r="V1469" s="54"/>
      <c r="X1469" s="54"/>
      <c r="Z1469" s="54"/>
      <c r="AB1469" s="54"/>
      <c r="AD1469" s="54"/>
      <c r="AF1469" s="54"/>
      <c r="AH1469" s="54"/>
      <c r="AJ1469" s="54"/>
      <c r="AL1469" s="54"/>
      <c r="AO1469" s="54"/>
      <c r="AP1469" s="1"/>
      <c r="AQ1469" s="54"/>
      <c r="AR1469" s="171"/>
      <c r="AS1469" s="1"/>
      <c r="AT1469" s="1"/>
      <c r="AU1469" s="1"/>
    </row>
    <row r="1470">
      <c r="A1470" s="54"/>
      <c r="B1470" s="71"/>
      <c r="C1470" s="51"/>
      <c r="D1470" s="54"/>
      <c r="E1470" s="114"/>
      <c r="F1470" s="16"/>
      <c r="G1470" s="114"/>
      <c r="H1470" s="54"/>
      <c r="I1470" s="114"/>
      <c r="J1470" s="54"/>
      <c r="L1470" s="54"/>
      <c r="N1470" s="54"/>
      <c r="P1470" s="54"/>
      <c r="R1470" s="54"/>
      <c r="T1470" s="1"/>
      <c r="V1470" s="54"/>
      <c r="X1470" s="54"/>
      <c r="Z1470" s="54"/>
      <c r="AB1470" s="54"/>
      <c r="AD1470" s="54"/>
      <c r="AF1470" s="54"/>
      <c r="AH1470" s="54"/>
      <c r="AJ1470" s="54"/>
      <c r="AL1470" s="54"/>
      <c r="AO1470" s="54"/>
      <c r="AP1470" s="1"/>
      <c r="AQ1470" s="54"/>
      <c r="AR1470" s="171"/>
      <c r="AS1470" s="1"/>
      <c r="AT1470" s="1"/>
      <c r="AU1470" s="1"/>
    </row>
    <row r="1471">
      <c r="A1471" s="54"/>
      <c r="B1471" s="71"/>
      <c r="C1471" s="51"/>
      <c r="D1471" s="54"/>
      <c r="E1471" s="114"/>
      <c r="F1471" s="16"/>
      <c r="G1471" s="114"/>
      <c r="H1471" s="54"/>
      <c r="I1471" s="114"/>
      <c r="J1471" s="54"/>
      <c r="L1471" s="54"/>
      <c r="N1471" s="54"/>
      <c r="P1471" s="54"/>
      <c r="R1471" s="54"/>
      <c r="T1471" s="1"/>
      <c r="V1471" s="54"/>
      <c r="X1471" s="54"/>
      <c r="Z1471" s="54"/>
      <c r="AB1471" s="54"/>
      <c r="AD1471" s="54"/>
      <c r="AF1471" s="54"/>
      <c r="AH1471" s="54"/>
      <c r="AJ1471" s="54"/>
      <c r="AL1471" s="54"/>
      <c r="AO1471" s="54"/>
      <c r="AP1471" s="1"/>
      <c r="AQ1471" s="54"/>
      <c r="AR1471" s="171"/>
      <c r="AS1471" s="1"/>
      <c r="AT1471" s="1"/>
      <c r="AU1471" s="1"/>
    </row>
    <row r="1472">
      <c r="A1472" s="54"/>
      <c r="B1472" s="71"/>
      <c r="C1472" s="51"/>
      <c r="D1472" s="54"/>
      <c r="E1472" s="114"/>
      <c r="F1472" s="16"/>
      <c r="G1472" s="114"/>
      <c r="H1472" s="54"/>
      <c r="I1472" s="114"/>
      <c r="J1472" s="54"/>
      <c r="L1472" s="54"/>
      <c r="N1472" s="54"/>
      <c r="P1472" s="54"/>
      <c r="R1472" s="54"/>
      <c r="T1472" s="1"/>
      <c r="V1472" s="54"/>
      <c r="X1472" s="54"/>
      <c r="Z1472" s="54"/>
      <c r="AB1472" s="54"/>
      <c r="AD1472" s="54"/>
      <c r="AF1472" s="54"/>
      <c r="AH1472" s="54"/>
      <c r="AJ1472" s="54"/>
      <c r="AL1472" s="54"/>
      <c r="AO1472" s="54"/>
      <c r="AP1472" s="1"/>
      <c r="AQ1472" s="54"/>
      <c r="AR1472" s="171"/>
      <c r="AS1472" s="1"/>
      <c r="AT1472" s="1"/>
      <c r="AU1472" s="1"/>
    </row>
    <row r="1473">
      <c r="A1473" s="54"/>
      <c r="B1473" s="71"/>
      <c r="C1473" s="51"/>
      <c r="D1473" s="54"/>
      <c r="E1473" s="114"/>
      <c r="F1473" s="16"/>
      <c r="G1473" s="114"/>
      <c r="H1473" s="54"/>
      <c r="I1473" s="114"/>
      <c r="J1473" s="54"/>
      <c r="L1473" s="54"/>
      <c r="N1473" s="54"/>
      <c r="P1473" s="54"/>
      <c r="R1473" s="54"/>
      <c r="T1473" s="1"/>
      <c r="V1473" s="54"/>
      <c r="X1473" s="54"/>
      <c r="Z1473" s="54"/>
      <c r="AB1473" s="54"/>
      <c r="AD1473" s="54"/>
      <c r="AF1473" s="54"/>
      <c r="AH1473" s="54"/>
      <c r="AJ1473" s="54"/>
      <c r="AL1473" s="54"/>
      <c r="AO1473" s="54"/>
      <c r="AP1473" s="1"/>
      <c r="AQ1473" s="54"/>
      <c r="AR1473" s="171"/>
      <c r="AS1473" s="1"/>
      <c r="AT1473" s="1"/>
      <c r="AU1473" s="1"/>
    </row>
    <row r="1474">
      <c r="A1474" s="54"/>
      <c r="B1474" s="71"/>
      <c r="C1474" s="51"/>
      <c r="D1474" s="54"/>
      <c r="E1474" s="114"/>
      <c r="F1474" s="16"/>
      <c r="G1474" s="114"/>
      <c r="H1474" s="54"/>
      <c r="I1474" s="114"/>
      <c r="J1474" s="54"/>
      <c r="L1474" s="54"/>
      <c r="N1474" s="54"/>
      <c r="P1474" s="54"/>
      <c r="R1474" s="54"/>
      <c r="T1474" s="1"/>
      <c r="V1474" s="54"/>
      <c r="X1474" s="54"/>
      <c r="Z1474" s="54"/>
      <c r="AB1474" s="54"/>
      <c r="AD1474" s="54"/>
      <c r="AF1474" s="54"/>
      <c r="AH1474" s="54"/>
      <c r="AJ1474" s="54"/>
      <c r="AL1474" s="54"/>
      <c r="AO1474" s="54"/>
      <c r="AP1474" s="1"/>
      <c r="AQ1474" s="54"/>
      <c r="AR1474" s="171"/>
      <c r="AS1474" s="1"/>
      <c r="AT1474" s="1"/>
      <c r="AU1474" s="1"/>
    </row>
    <row r="1475">
      <c r="A1475" s="54"/>
      <c r="B1475" s="71"/>
      <c r="C1475" s="51"/>
      <c r="D1475" s="54"/>
      <c r="E1475" s="114"/>
      <c r="F1475" s="16"/>
      <c r="G1475" s="114"/>
      <c r="H1475" s="54"/>
      <c r="I1475" s="114"/>
      <c r="J1475" s="54"/>
      <c r="L1475" s="54"/>
      <c r="N1475" s="54"/>
      <c r="P1475" s="54"/>
      <c r="R1475" s="54"/>
      <c r="T1475" s="1"/>
      <c r="V1475" s="54"/>
      <c r="X1475" s="54"/>
      <c r="Z1475" s="54"/>
      <c r="AB1475" s="54"/>
      <c r="AD1475" s="54"/>
      <c r="AF1475" s="54"/>
      <c r="AH1475" s="54"/>
      <c r="AJ1475" s="54"/>
      <c r="AL1475" s="54"/>
      <c r="AO1475" s="54"/>
      <c r="AP1475" s="1"/>
      <c r="AQ1475" s="54"/>
      <c r="AR1475" s="171"/>
      <c r="AS1475" s="1"/>
      <c r="AT1475" s="1"/>
      <c r="AU1475" s="1"/>
    </row>
    <row r="1476">
      <c r="A1476" s="54"/>
      <c r="B1476" s="71"/>
      <c r="C1476" s="51"/>
      <c r="D1476" s="54"/>
      <c r="E1476" s="114"/>
      <c r="F1476" s="16"/>
      <c r="G1476" s="114"/>
      <c r="H1476" s="54"/>
      <c r="I1476" s="114"/>
      <c r="J1476" s="54"/>
      <c r="L1476" s="54"/>
      <c r="N1476" s="54"/>
      <c r="P1476" s="54"/>
      <c r="R1476" s="54"/>
      <c r="T1476" s="1"/>
      <c r="V1476" s="54"/>
      <c r="X1476" s="54"/>
      <c r="Z1476" s="54"/>
      <c r="AB1476" s="54"/>
      <c r="AD1476" s="54"/>
      <c r="AF1476" s="54"/>
      <c r="AH1476" s="54"/>
      <c r="AJ1476" s="54"/>
      <c r="AL1476" s="54"/>
      <c r="AO1476" s="54"/>
      <c r="AP1476" s="1"/>
      <c r="AQ1476" s="54"/>
      <c r="AR1476" s="171"/>
      <c r="AS1476" s="1"/>
      <c r="AT1476" s="1"/>
      <c r="AU1476" s="1"/>
    </row>
    <row r="1477">
      <c r="A1477" s="54"/>
      <c r="B1477" s="71"/>
      <c r="C1477" s="51"/>
      <c r="D1477" s="54"/>
      <c r="E1477" s="114"/>
      <c r="F1477" s="16"/>
      <c r="G1477" s="114"/>
      <c r="H1477" s="54"/>
      <c r="I1477" s="114"/>
      <c r="J1477" s="54"/>
      <c r="L1477" s="54"/>
      <c r="N1477" s="54"/>
      <c r="P1477" s="54"/>
      <c r="R1477" s="54"/>
      <c r="T1477" s="1"/>
      <c r="V1477" s="54"/>
      <c r="X1477" s="54"/>
      <c r="Z1477" s="54"/>
      <c r="AB1477" s="54"/>
      <c r="AD1477" s="54"/>
      <c r="AF1477" s="54"/>
      <c r="AH1477" s="54"/>
      <c r="AJ1477" s="54"/>
      <c r="AL1477" s="54"/>
      <c r="AO1477" s="54"/>
      <c r="AP1477" s="1"/>
      <c r="AQ1477" s="54"/>
      <c r="AR1477" s="171"/>
      <c r="AS1477" s="1"/>
      <c r="AT1477" s="1"/>
      <c r="AU1477" s="1"/>
    </row>
    <row r="1478">
      <c r="A1478" s="54"/>
      <c r="B1478" s="71"/>
      <c r="C1478" s="51"/>
      <c r="D1478" s="54"/>
      <c r="E1478" s="114"/>
      <c r="F1478" s="16"/>
      <c r="G1478" s="114"/>
      <c r="H1478" s="54"/>
      <c r="I1478" s="114"/>
      <c r="J1478" s="54"/>
      <c r="L1478" s="54"/>
      <c r="N1478" s="54"/>
      <c r="P1478" s="54"/>
      <c r="R1478" s="54"/>
      <c r="T1478" s="1"/>
      <c r="V1478" s="54"/>
      <c r="X1478" s="54"/>
      <c r="Z1478" s="54"/>
      <c r="AB1478" s="54"/>
      <c r="AD1478" s="54"/>
      <c r="AF1478" s="54"/>
      <c r="AH1478" s="54"/>
      <c r="AJ1478" s="54"/>
      <c r="AL1478" s="54"/>
      <c r="AO1478" s="54"/>
      <c r="AP1478" s="1"/>
      <c r="AQ1478" s="54"/>
      <c r="AR1478" s="171"/>
      <c r="AS1478" s="1"/>
      <c r="AT1478" s="1"/>
      <c r="AU1478" s="1"/>
    </row>
    <row r="1479">
      <c r="A1479" s="54"/>
      <c r="B1479" s="71"/>
      <c r="C1479" s="51"/>
      <c r="D1479" s="54"/>
      <c r="E1479" s="114"/>
      <c r="F1479" s="16"/>
      <c r="G1479" s="114"/>
      <c r="H1479" s="54"/>
      <c r="I1479" s="114"/>
      <c r="J1479" s="54"/>
      <c r="L1479" s="54"/>
      <c r="N1479" s="54"/>
      <c r="P1479" s="54"/>
      <c r="R1479" s="54"/>
      <c r="T1479" s="1"/>
      <c r="V1479" s="54"/>
      <c r="X1479" s="54"/>
      <c r="Z1479" s="54"/>
      <c r="AB1479" s="54"/>
      <c r="AD1479" s="54"/>
      <c r="AF1479" s="54"/>
      <c r="AH1479" s="54"/>
      <c r="AJ1479" s="54"/>
      <c r="AL1479" s="54"/>
      <c r="AO1479" s="54"/>
      <c r="AP1479" s="1"/>
      <c r="AQ1479" s="54"/>
      <c r="AR1479" s="171"/>
      <c r="AS1479" s="1"/>
      <c r="AT1479" s="1"/>
      <c r="AU1479" s="1"/>
    </row>
    <row r="1480">
      <c r="A1480" s="54"/>
      <c r="B1480" s="71"/>
      <c r="C1480" s="51"/>
      <c r="D1480" s="54"/>
      <c r="E1480" s="114"/>
      <c r="F1480" s="16"/>
      <c r="G1480" s="114"/>
      <c r="H1480" s="54"/>
      <c r="I1480" s="114"/>
      <c r="J1480" s="54"/>
      <c r="L1480" s="54"/>
      <c r="N1480" s="54"/>
      <c r="P1480" s="54"/>
      <c r="R1480" s="54"/>
      <c r="T1480" s="1"/>
      <c r="V1480" s="54"/>
      <c r="X1480" s="54"/>
      <c r="Z1480" s="54"/>
      <c r="AB1480" s="54"/>
      <c r="AD1480" s="54"/>
      <c r="AF1480" s="54"/>
      <c r="AH1480" s="54"/>
      <c r="AJ1480" s="54"/>
      <c r="AL1480" s="54"/>
      <c r="AO1480" s="54"/>
      <c r="AP1480" s="1"/>
      <c r="AQ1480" s="54"/>
      <c r="AR1480" s="171"/>
      <c r="AS1480" s="1"/>
      <c r="AT1480" s="1"/>
      <c r="AU1480" s="1"/>
    </row>
    <row r="1481">
      <c r="A1481" s="54"/>
      <c r="B1481" s="71"/>
      <c r="C1481" s="51"/>
      <c r="D1481" s="54"/>
      <c r="E1481" s="114"/>
      <c r="F1481" s="16"/>
      <c r="G1481" s="114"/>
      <c r="H1481" s="54"/>
      <c r="I1481" s="114"/>
      <c r="J1481" s="54"/>
      <c r="L1481" s="54"/>
      <c r="N1481" s="54"/>
      <c r="P1481" s="54"/>
      <c r="R1481" s="54"/>
      <c r="T1481" s="1"/>
      <c r="V1481" s="54"/>
      <c r="X1481" s="54"/>
      <c r="Z1481" s="54"/>
      <c r="AB1481" s="54"/>
      <c r="AD1481" s="54"/>
      <c r="AF1481" s="54"/>
      <c r="AH1481" s="54"/>
      <c r="AJ1481" s="54"/>
      <c r="AL1481" s="54"/>
      <c r="AO1481" s="54"/>
      <c r="AP1481" s="1"/>
      <c r="AQ1481" s="54"/>
      <c r="AR1481" s="171"/>
      <c r="AS1481" s="1"/>
      <c r="AT1481" s="1"/>
      <c r="AU1481" s="1"/>
    </row>
    <row r="1482">
      <c r="A1482" s="54"/>
      <c r="B1482" s="71"/>
      <c r="C1482" s="51"/>
      <c r="D1482" s="54"/>
      <c r="E1482" s="114"/>
      <c r="F1482" s="16"/>
      <c r="G1482" s="114"/>
      <c r="H1482" s="54"/>
      <c r="I1482" s="114"/>
      <c r="J1482" s="54"/>
      <c r="L1482" s="54"/>
      <c r="N1482" s="54"/>
      <c r="P1482" s="54"/>
      <c r="R1482" s="54"/>
      <c r="T1482" s="1"/>
      <c r="V1482" s="54"/>
      <c r="X1482" s="54"/>
      <c r="Z1482" s="54"/>
      <c r="AB1482" s="54"/>
      <c r="AD1482" s="54"/>
      <c r="AF1482" s="54"/>
      <c r="AH1482" s="54"/>
      <c r="AJ1482" s="54"/>
      <c r="AL1482" s="54"/>
      <c r="AO1482" s="54"/>
      <c r="AP1482" s="1"/>
      <c r="AQ1482" s="54"/>
      <c r="AR1482" s="171"/>
      <c r="AS1482" s="1"/>
      <c r="AT1482" s="1"/>
      <c r="AU1482" s="1"/>
    </row>
    <row r="1483">
      <c r="A1483" s="54"/>
      <c r="B1483" s="71"/>
      <c r="C1483" s="51"/>
      <c r="D1483" s="54"/>
      <c r="E1483" s="114"/>
      <c r="F1483" s="16"/>
      <c r="G1483" s="114"/>
      <c r="H1483" s="54"/>
      <c r="I1483" s="114"/>
      <c r="J1483" s="54"/>
      <c r="L1483" s="54"/>
      <c r="N1483" s="54"/>
      <c r="P1483" s="54"/>
      <c r="R1483" s="54"/>
      <c r="T1483" s="1"/>
      <c r="V1483" s="54"/>
      <c r="X1483" s="54"/>
      <c r="Z1483" s="54"/>
      <c r="AB1483" s="54"/>
      <c r="AD1483" s="54"/>
      <c r="AF1483" s="54"/>
      <c r="AH1483" s="54"/>
      <c r="AJ1483" s="54"/>
      <c r="AL1483" s="54"/>
      <c r="AO1483" s="54"/>
      <c r="AP1483" s="1"/>
      <c r="AQ1483" s="54"/>
      <c r="AR1483" s="171"/>
      <c r="AS1483" s="1"/>
      <c r="AT1483" s="1"/>
      <c r="AU1483" s="1"/>
    </row>
    <row r="1484">
      <c r="A1484" s="54"/>
      <c r="B1484" s="71"/>
      <c r="C1484" s="51"/>
      <c r="D1484" s="54"/>
      <c r="E1484" s="114"/>
      <c r="F1484" s="16"/>
      <c r="G1484" s="114"/>
      <c r="H1484" s="54"/>
      <c r="I1484" s="114"/>
      <c r="J1484" s="54"/>
      <c r="L1484" s="54"/>
      <c r="N1484" s="54"/>
      <c r="P1484" s="54"/>
      <c r="R1484" s="54"/>
      <c r="T1484" s="1"/>
      <c r="V1484" s="54"/>
      <c r="X1484" s="54"/>
      <c r="Z1484" s="54"/>
      <c r="AB1484" s="54"/>
      <c r="AD1484" s="54"/>
      <c r="AF1484" s="54"/>
      <c r="AH1484" s="54"/>
      <c r="AJ1484" s="54"/>
      <c r="AL1484" s="54"/>
      <c r="AO1484" s="54"/>
      <c r="AP1484" s="1"/>
      <c r="AQ1484" s="54"/>
      <c r="AR1484" s="171"/>
      <c r="AS1484" s="1"/>
      <c r="AT1484" s="1"/>
      <c r="AU1484" s="1"/>
    </row>
    <row r="1485">
      <c r="A1485" s="54"/>
      <c r="B1485" s="71"/>
      <c r="C1485" s="51"/>
      <c r="D1485" s="54"/>
      <c r="E1485" s="114"/>
      <c r="F1485" s="16"/>
      <c r="G1485" s="114"/>
      <c r="H1485" s="54"/>
      <c r="I1485" s="114"/>
      <c r="J1485" s="54"/>
      <c r="L1485" s="54"/>
      <c r="N1485" s="54"/>
      <c r="P1485" s="54"/>
      <c r="R1485" s="54"/>
      <c r="T1485" s="1"/>
      <c r="V1485" s="54"/>
      <c r="X1485" s="54"/>
      <c r="Z1485" s="54"/>
      <c r="AB1485" s="54"/>
      <c r="AD1485" s="54"/>
      <c r="AF1485" s="54"/>
      <c r="AH1485" s="54"/>
      <c r="AJ1485" s="54"/>
      <c r="AL1485" s="54"/>
      <c r="AO1485" s="54"/>
      <c r="AP1485" s="1"/>
      <c r="AQ1485" s="54"/>
      <c r="AR1485" s="171"/>
      <c r="AS1485" s="1"/>
      <c r="AT1485" s="1"/>
      <c r="AU1485" s="1"/>
    </row>
    <row r="1486">
      <c r="A1486" s="54"/>
      <c r="B1486" s="71"/>
      <c r="C1486" s="51"/>
      <c r="D1486" s="54"/>
      <c r="E1486" s="114"/>
      <c r="F1486" s="16"/>
      <c r="G1486" s="114"/>
      <c r="H1486" s="54"/>
      <c r="I1486" s="114"/>
      <c r="J1486" s="54"/>
      <c r="L1486" s="54"/>
      <c r="N1486" s="54"/>
      <c r="P1486" s="54"/>
      <c r="R1486" s="54"/>
      <c r="T1486" s="1"/>
      <c r="V1486" s="54"/>
      <c r="X1486" s="54"/>
      <c r="Z1486" s="54"/>
      <c r="AB1486" s="54"/>
      <c r="AD1486" s="54"/>
      <c r="AF1486" s="54"/>
      <c r="AH1486" s="54"/>
      <c r="AJ1486" s="54"/>
      <c r="AL1486" s="54"/>
      <c r="AO1486" s="54"/>
      <c r="AP1486" s="1"/>
      <c r="AQ1486" s="54"/>
      <c r="AR1486" s="171"/>
      <c r="AS1486" s="1"/>
      <c r="AT1486" s="1"/>
      <c r="AU1486" s="1"/>
    </row>
    <row r="1487">
      <c r="A1487" s="54"/>
      <c r="B1487" s="71"/>
      <c r="C1487" s="51"/>
      <c r="D1487" s="54"/>
      <c r="E1487" s="114"/>
      <c r="F1487" s="16"/>
      <c r="G1487" s="114"/>
      <c r="H1487" s="54"/>
      <c r="I1487" s="114"/>
      <c r="J1487" s="54"/>
      <c r="L1487" s="54"/>
      <c r="N1487" s="54"/>
      <c r="P1487" s="54"/>
      <c r="R1487" s="54"/>
      <c r="T1487" s="1"/>
      <c r="V1487" s="54"/>
      <c r="X1487" s="54"/>
      <c r="Z1487" s="54"/>
      <c r="AB1487" s="54"/>
      <c r="AD1487" s="54"/>
      <c r="AF1487" s="54"/>
      <c r="AH1487" s="54"/>
      <c r="AJ1487" s="54"/>
      <c r="AL1487" s="54"/>
      <c r="AO1487" s="54"/>
      <c r="AP1487" s="1"/>
      <c r="AQ1487" s="54"/>
      <c r="AR1487" s="171"/>
      <c r="AS1487" s="1"/>
      <c r="AT1487" s="1"/>
      <c r="AU1487" s="1"/>
    </row>
    <row r="1488">
      <c r="A1488" s="54"/>
      <c r="B1488" s="71"/>
      <c r="C1488" s="51"/>
      <c r="D1488" s="54"/>
      <c r="E1488" s="114"/>
      <c r="F1488" s="16"/>
      <c r="G1488" s="114"/>
      <c r="H1488" s="54"/>
      <c r="I1488" s="114"/>
      <c r="J1488" s="54"/>
      <c r="L1488" s="54"/>
      <c r="N1488" s="54"/>
      <c r="P1488" s="54"/>
      <c r="R1488" s="54"/>
      <c r="T1488" s="1"/>
      <c r="V1488" s="54"/>
      <c r="X1488" s="54"/>
      <c r="Z1488" s="54"/>
      <c r="AB1488" s="54"/>
      <c r="AD1488" s="54"/>
      <c r="AF1488" s="54"/>
      <c r="AH1488" s="54"/>
      <c r="AJ1488" s="54"/>
      <c r="AL1488" s="54"/>
      <c r="AO1488" s="54"/>
      <c r="AP1488" s="1"/>
      <c r="AQ1488" s="54"/>
      <c r="AR1488" s="171"/>
      <c r="AS1488" s="1"/>
      <c r="AT1488" s="1"/>
      <c r="AU1488" s="1"/>
    </row>
    <row r="1489">
      <c r="A1489" s="54"/>
      <c r="B1489" s="71"/>
      <c r="C1489" s="51"/>
      <c r="D1489" s="54"/>
      <c r="E1489" s="114"/>
      <c r="F1489" s="16"/>
      <c r="G1489" s="114"/>
      <c r="H1489" s="54"/>
      <c r="I1489" s="114"/>
      <c r="J1489" s="54"/>
      <c r="L1489" s="54"/>
      <c r="N1489" s="54"/>
      <c r="P1489" s="54"/>
      <c r="R1489" s="54"/>
      <c r="T1489" s="1"/>
      <c r="V1489" s="54"/>
      <c r="X1489" s="54"/>
      <c r="Z1489" s="54"/>
      <c r="AB1489" s="54"/>
      <c r="AD1489" s="54"/>
      <c r="AF1489" s="54"/>
      <c r="AH1489" s="54"/>
      <c r="AJ1489" s="54"/>
      <c r="AL1489" s="54"/>
      <c r="AO1489" s="54"/>
      <c r="AP1489" s="1"/>
      <c r="AQ1489" s="54"/>
      <c r="AR1489" s="171"/>
      <c r="AS1489" s="1"/>
      <c r="AT1489" s="1"/>
      <c r="AU1489" s="1"/>
    </row>
    <row r="1490">
      <c r="A1490" s="54"/>
      <c r="B1490" s="71"/>
      <c r="C1490" s="51"/>
      <c r="D1490" s="54"/>
      <c r="E1490" s="114"/>
      <c r="F1490" s="16"/>
      <c r="G1490" s="114"/>
      <c r="H1490" s="54"/>
      <c r="I1490" s="114"/>
      <c r="J1490" s="54"/>
      <c r="L1490" s="54"/>
      <c r="N1490" s="54"/>
      <c r="P1490" s="54"/>
      <c r="R1490" s="54"/>
      <c r="T1490" s="1"/>
      <c r="V1490" s="54"/>
      <c r="X1490" s="54"/>
      <c r="Z1490" s="54"/>
      <c r="AB1490" s="54"/>
      <c r="AD1490" s="54"/>
      <c r="AF1490" s="54"/>
      <c r="AH1490" s="54"/>
      <c r="AJ1490" s="54"/>
      <c r="AL1490" s="54"/>
      <c r="AO1490" s="54"/>
      <c r="AP1490" s="1"/>
      <c r="AQ1490" s="54"/>
      <c r="AR1490" s="171"/>
      <c r="AS1490" s="1"/>
      <c r="AT1490" s="1"/>
      <c r="AU1490" s="1"/>
    </row>
    <row r="1491">
      <c r="A1491" s="54"/>
      <c r="B1491" s="71"/>
      <c r="C1491" s="51"/>
      <c r="D1491" s="54"/>
      <c r="E1491" s="114"/>
      <c r="F1491" s="16"/>
      <c r="G1491" s="114"/>
      <c r="H1491" s="54"/>
      <c r="I1491" s="114"/>
      <c r="J1491" s="54"/>
      <c r="L1491" s="54"/>
      <c r="N1491" s="54"/>
      <c r="P1491" s="54"/>
      <c r="R1491" s="54"/>
      <c r="T1491" s="1"/>
      <c r="V1491" s="54"/>
      <c r="X1491" s="54"/>
      <c r="Z1491" s="54"/>
      <c r="AB1491" s="54"/>
      <c r="AD1491" s="54"/>
      <c r="AF1491" s="54"/>
      <c r="AH1491" s="54"/>
      <c r="AJ1491" s="54"/>
      <c r="AL1491" s="54"/>
      <c r="AO1491" s="54"/>
      <c r="AP1491" s="1"/>
      <c r="AQ1491" s="54"/>
      <c r="AR1491" s="171"/>
      <c r="AS1491" s="1"/>
      <c r="AT1491" s="1"/>
      <c r="AU1491" s="1"/>
    </row>
    <row r="1492">
      <c r="A1492" s="54"/>
      <c r="B1492" s="71"/>
      <c r="C1492" s="51"/>
      <c r="D1492" s="54"/>
      <c r="E1492" s="114"/>
      <c r="F1492" s="16"/>
      <c r="G1492" s="114"/>
      <c r="H1492" s="54"/>
      <c r="I1492" s="114"/>
      <c r="J1492" s="54"/>
      <c r="L1492" s="54"/>
      <c r="N1492" s="54"/>
      <c r="P1492" s="54"/>
      <c r="R1492" s="54"/>
      <c r="T1492" s="1"/>
      <c r="V1492" s="54"/>
      <c r="X1492" s="54"/>
      <c r="Z1492" s="54"/>
      <c r="AB1492" s="54"/>
      <c r="AD1492" s="54"/>
      <c r="AF1492" s="54"/>
      <c r="AH1492" s="54"/>
      <c r="AJ1492" s="54"/>
      <c r="AL1492" s="54"/>
      <c r="AO1492" s="54"/>
      <c r="AP1492" s="1"/>
      <c r="AQ1492" s="54"/>
      <c r="AR1492" s="171"/>
      <c r="AS1492" s="1"/>
      <c r="AT1492" s="1"/>
      <c r="AU1492" s="1"/>
    </row>
    <row r="1493">
      <c r="A1493" s="54"/>
      <c r="B1493" s="71"/>
      <c r="C1493" s="51"/>
      <c r="D1493" s="54"/>
      <c r="E1493" s="114"/>
      <c r="F1493" s="16"/>
      <c r="G1493" s="114"/>
      <c r="H1493" s="54"/>
      <c r="I1493" s="114"/>
      <c r="J1493" s="54"/>
      <c r="L1493" s="54"/>
      <c r="N1493" s="54"/>
      <c r="P1493" s="54"/>
      <c r="R1493" s="54"/>
      <c r="T1493" s="1"/>
      <c r="V1493" s="54"/>
      <c r="X1493" s="54"/>
      <c r="Z1493" s="54"/>
      <c r="AB1493" s="54"/>
      <c r="AD1493" s="54"/>
      <c r="AF1493" s="54"/>
      <c r="AH1493" s="54"/>
      <c r="AJ1493" s="54"/>
      <c r="AL1493" s="54"/>
      <c r="AO1493" s="54"/>
      <c r="AP1493" s="1"/>
      <c r="AQ1493" s="54"/>
      <c r="AR1493" s="171"/>
      <c r="AS1493" s="1"/>
      <c r="AT1493" s="1"/>
      <c r="AU1493" s="1"/>
    </row>
    <row r="1494">
      <c r="A1494" s="54"/>
      <c r="B1494" s="71"/>
      <c r="C1494" s="51"/>
      <c r="D1494" s="54"/>
      <c r="E1494" s="114"/>
      <c r="F1494" s="16"/>
      <c r="G1494" s="114"/>
      <c r="H1494" s="54"/>
      <c r="I1494" s="114"/>
      <c r="J1494" s="54"/>
      <c r="L1494" s="54"/>
      <c r="N1494" s="54"/>
      <c r="P1494" s="54"/>
      <c r="R1494" s="54"/>
      <c r="T1494" s="1"/>
      <c r="V1494" s="54"/>
      <c r="X1494" s="54"/>
      <c r="Z1494" s="54"/>
      <c r="AB1494" s="54"/>
      <c r="AD1494" s="54"/>
      <c r="AF1494" s="54"/>
      <c r="AH1494" s="54"/>
      <c r="AJ1494" s="54"/>
      <c r="AL1494" s="54"/>
      <c r="AO1494" s="54"/>
      <c r="AP1494" s="1"/>
      <c r="AQ1494" s="54"/>
      <c r="AR1494" s="171"/>
      <c r="AS1494" s="1"/>
      <c r="AT1494" s="1"/>
      <c r="AU1494" s="1"/>
    </row>
    <row r="1495">
      <c r="A1495" s="54"/>
      <c r="B1495" s="71"/>
      <c r="C1495" s="51"/>
      <c r="D1495" s="54"/>
      <c r="E1495" s="114"/>
      <c r="F1495" s="16"/>
      <c r="G1495" s="114"/>
      <c r="H1495" s="54"/>
      <c r="I1495" s="114"/>
      <c r="J1495" s="54"/>
      <c r="L1495" s="54"/>
      <c r="N1495" s="54"/>
      <c r="P1495" s="54"/>
      <c r="R1495" s="54"/>
      <c r="T1495" s="1"/>
      <c r="V1495" s="54"/>
      <c r="X1495" s="54"/>
      <c r="Z1495" s="54"/>
      <c r="AB1495" s="54"/>
      <c r="AD1495" s="54"/>
      <c r="AF1495" s="54"/>
      <c r="AH1495" s="54"/>
      <c r="AJ1495" s="54"/>
      <c r="AL1495" s="54"/>
      <c r="AO1495" s="54"/>
      <c r="AP1495" s="1"/>
      <c r="AQ1495" s="54"/>
      <c r="AR1495" s="171"/>
      <c r="AS1495" s="1"/>
      <c r="AT1495" s="1"/>
      <c r="AU1495" s="1"/>
    </row>
    <row r="1496">
      <c r="A1496" s="54"/>
      <c r="B1496" s="71"/>
      <c r="C1496" s="51"/>
      <c r="D1496" s="54"/>
      <c r="E1496" s="114"/>
      <c r="F1496" s="16"/>
      <c r="G1496" s="114"/>
      <c r="H1496" s="54"/>
      <c r="I1496" s="114"/>
      <c r="J1496" s="54"/>
      <c r="L1496" s="54"/>
      <c r="N1496" s="54"/>
      <c r="P1496" s="54"/>
      <c r="R1496" s="54"/>
      <c r="T1496" s="1"/>
      <c r="V1496" s="54"/>
      <c r="X1496" s="54"/>
      <c r="Z1496" s="54"/>
      <c r="AB1496" s="54"/>
      <c r="AD1496" s="54"/>
      <c r="AF1496" s="54"/>
      <c r="AH1496" s="54"/>
      <c r="AJ1496" s="54"/>
      <c r="AL1496" s="54"/>
      <c r="AO1496" s="54"/>
      <c r="AP1496" s="1"/>
      <c r="AQ1496" s="54"/>
      <c r="AR1496" s="171"/>
      <c r="AS1496" s="1"/>
      <c r="AT1496" s="1"/>
      <c r="AU1496" s="1"/>
    </row>
    <row r="1497">
      <c r="A1497" s="54"/>
      <c r="B1497" s="71"/>
      <c r="C1497" s="51"/>
      <c r="D1497" s="54"/>
      <c r="E1497" s="114"/>
      <c r="F1497" s="16"/>
      <c r="G1497" s="114"/>
      <c r="H1497" s="54"/>
      <c r="I1497" s="114"/>
      <c r="J1497" s="54"/>
      <c r="L1497" s="54"/>
      <c r="N1497" s="54"/>
      <c r="P1497" s="54"/>
      <c r="R1497" s="54"/>
      <c r="T1497" s="1"/>
      <c r="V1497" s="54"/>
      <c r="X1497" s="54"/>
      <c r="Z1497" s="54"/>
      <c r="AB1497" s="54"/>
      <c r="AD1497" s="54"/>
      <c r="AF1497" s="54"/>
      <c r="AH1497" s="54"/>
      <c r="AJ1497" s="54"/>
      <c r="AL1497" s="54"/>
      <c r="AO1497" s="54"/>
      <c r="AP1497" s="1"/>
      <c r="AQ1497" s="54"/>
      <c r="AR1497" s="171"/>
      <c r="AS1497" s="1"/>
      <c r="AT1497" s="1"/>
      <c r="AU1497" s="1"/>
    </row>
    <row r="1498">
      <c r="A1498" s="54"/>
      <c r="B1498" s="71"/>
      <c r="C1498" s="51"/>
      <c r="D1498" s="54"/>
      <c r="E1498" s="114"/>
      <c r="F1498" s="16"/>
      <c r="G1498" s="114"/>
      <c r="H1498" s="54"/>
      <c r="I1498" s="114"/>
      <c r="J1498" s="54"/>
      <c r="L1498" s="54"/>
      <c r="N1498" s="54"/>
      <c r="P1498" s="54"/>
      <c r="R1498" s="54"/>
      <c r="T1498" s="1"/>
      <c r="V1498" s="54"/>
      <c r="X1498" s="54"/>
      <c r="Z1498" s="54"/>
      <c r="AB1498" s="54"/>
      <c r="AD1498" s="54"/>
      <c r="AF1498" s="54"/>
      <c r="AH1498" s="54"/>
      <c r="AJ1498" s="54"/>
      <c r="AL1498" s="54"/>
      <c r="AO1498" s="54"/>
      <c r="AP1498" s="1"/>
      <c r="AQ1498" s="54"/>
      <c r="AR1498" s="171"/>
      <c r="AS1498" s="1"/>
      <c r="AT1498" s="1"/>
      <c r="AU1498" s="1"/>
    </row>
    <row r="1499">
      <c r="A1499" s="54"/>
      <c r="B1499" s="71"/>
      <c r="C1499" s="51"/>
      <c r="D1499" s="54"/>
      <c r="E1499" s="114"/>
      <c r="F1499" s="16"/>
      <c r="G1499" s="114"/>
      <c r="H1499" s="54"/>
      <c r="I1499" s="114"/>
      <c r="J1499" s="54"/>
      <c r="L1499" s="54"/>
      <c r="N1499" s="54"/>
      <c r="P1499" s="54"/>
      <c r="R1499" s="54"/>
      <c r="T1499" s="1"/>
      <c r="V1499" s="54"/>
      <c r="X1499" s="54"/>
      <c r="Z1499" s="54"/>
      <c r="AB1499" s="54"/>
      <c r="AD1499" s="54"/>
      <c r="AF1499" s="54"/>
      <c r="AH1499" s="54"/>
      <c r="AJ1499" s="54"/>
      <c r="AL1499" s="54"/>
      <c r="AO1499" s="54"/>
      <c r="AP1499" s="1"/>
      <c r="AQ1499" s="54"/>
      <c r="AR1499" s="171"/>
      <c r="AS1499" s="1"/>
      <c r="AT1499" s="1"/>
      <c r="AU1499" s="1"/>
    </row>
    <row r="1500">
      <c r="A1500" s="54"/>
      <c r="B1500" s="71"/>
      <c r="C1500" s="51"/>
      <c r="D1500" s="54"/>
      <c r="E1500" s="114"/>
      <c r="F1500" s="16"/>
      <c r="G1500" s="114"/>
      <c r="H1500" s="54"/>
      <c r="I1500" s="114"/>
      <c r="J1500" s="54"/>
      <c r="L1500" s="54"/>
      <c r="N1500" s="54"/>
      <c r="P1500" s="54"/>
      <c r="R1500" s="54"/>
      <c r="T1500" s="1"/>
      <c r="V1500" s="54"/>
      <c r="X1500" s="54"/>
      <c r="Z1500" s="54"/>
      <c r="AB1500" s="54"/>
      <c r="AD1500" s="54"/>
      <c r="AF1500" s="54"/>
      <c r="AH1500" s="54"/>
      <c r="AJ1500" s="54"/>
      <c r="AL1500" s="54"/>
      <c r="AO1500" s="54"/>
      <c r="AP1500" s="1"/>
      <c r="AQ1500" s="54"/>
      <c r="AR1500" s="171"/>
      <c r="AS1500" s="1"/>
      <c r="AT1500" s="1"/>
      <c r="AU1500" s="1"/>
    </row>
    <row r="1501">
      <c r="A1501" s="54"/>
      <c r="B1501" s="71"/>
      <c r="C1501" s="51"/>
      <c r="D1501" s="54"/>
      <c r="E1501" s="114"/>
      <c r="F1501" s="16"/>
      <c r="G1501" s="114"/>
      <c r="H1501" s="54"/>
      <c r="I1501" s="114"/>
      <c r="J1501" s="54"/>
      <c r="L1501" s="54"/>
      <c r="N1501" s="54"/>
      <c r="P1501" s="54"/>
      <c r="R1501" s="54"/>
      <c r="T1501" s="1"/>
      <c r="V1501" s="54"/>
      <c r="X1501" s="54"/>
      <c r="Z1501" s="54"/>
      <c r="AB1501" s="54"/>
      <c r="AD1501" s="54"/>
      <c r="AF1501" s="54"/>
      <c r="AH1501" s="54"/>
      <c r="AJ1501" s="54"/>
      <c r="AL1501" s="54"/>
      <c r="AO1501" s="54"/>
      <c r="AP1501" s="1"/>
      <c r="AQ1501" s="54"/>
      <c r="AR1501" s="171"/>
      <c r="AS1501" s="1"/>
      <c r="AT1501" s="1"/>
      <c r="AU1501" s="1"/>
    </row>
    <row r="1502">
      <c r="A1502" s="54"/>
      <c r="B1502" s="71"/>
      <c r="C1502" s="51"/>
      <c r="D1502" s="54"/>
      <c r="E1502" s="114"/>
      <c r="F1502" s="16"/>
      <c r="G1502" s="114"/>
      <c r="H1502" s="54"/>
      <c r="I1502" s="114"/>
      <c r="J1502" s="54"/>
      <c r="L1502" s="54"/>
      <c r="N1502" s="54"/>
      <c r="P1502" s="54"/>
      <c r="R1502" s="54"/>
      <c r="T1502" s="1"/>
      <c r="V1502" s="54"/>
      <c r="X1502" s="54"/>
      <c r="Z1502" s="54"/>
      <c r="AB1502" s="54"/>
      <c r="AD1502" s="54"/>
      <c r="AF1502" s="54"/>
      <c r="AH1502" s="54"/>
      <c r="AJ1502" s="54"/>
      <c r="AL1502" s="54"/>
      <c r="AO1502" s="54"/>
      <c r="AP1502" s="1"/>
      <c r="AQ1502" s="54"/>
      <c r="AR1502" s="171"/>
      <c r="AS1502" s="1"/>
      <c r="AT1502" s="1"/>
      <c r="AU1502" s="1"/>
    </row>
    <row r="1503">
      <c r="A1503" s="54"/>
      <c r="B1503" s="71"/>
      <c r="C1503" s="51"/>
      <c r="D1503" s="54"/>
      <c r="E1503" s="114"/>
      <c r="F1503" s="16"/>
      <c r="G1503" s="114"/>
      <c r="H1503" s="54"/>
      <c r="I1503" s="114"/>
      <c r="J1503" s="54"/>
      <c r="L1503" s="54"/>
      <c r="N1503" s="54"/>
      <c r="P1503" s="54"/>
      <c r="R1503" s="54"/>
      <c r="T1503" s="1"/>
      <c r="V1503" s="54"/>
      <c r="X1503" s="54"/>
      <c r="Z1503" s="54"/>
      <c r="AB1503" s="54"/>
      <c r="AD1503" s="54"/>
      <c r="AF1503" s="54"/>
      <c r="AH1503" s="54"/>
      <c r="AJ1503" s="54"/>
      <c r="AL1503" s="54"/>
      <c r="AO1503" s="54"/>
      <c r="AP1503" s="1"/>
      <c r="AQ1503" s="54"/>
      <c r="AR1503" s="171"/>
      <c r="AS1503" s="1"/>
      <c r="AT1503" s="1"/>
      <c r="AU1503" s="1"/>
    </row>
    <row r="1504">
      <c r="A1504" s="54"/>
      <c r="B1504" s="71"/>
      <c r="C1504" s="51"/>
      <c r="D1504" s="54"/>
      <c r="E1504" s="114"/>
      <c r="F1504" s="16"/>
      <c r="G1504" s="114"/>
      <c r="H1504" s="54"/>
      <c r="I1504" s="114"/>
      <c r="J1504" s="54"/>
      <c r="L1504" s="54"/>
      <c r="N1504" s="54"/>
      <c r="P1504" s="54"/>
      <c r="R1504" s="54"/>
      <c r="T1504" s="1"/>
      <c r="V1504" s="54"/>
      <c r="X1504" s="54"/>
      <c r="Z1504" s="54"/>
      <c r="AB1504" s="54"/>
      <c r="AD1504" s="54"/>
      <c r="AF1504" s="54"/>
      <c r="AH1504" s="54"/>
      <c r="AJ1504" s="54"/>
      <c r="AL1504" s="54"/>
      <c r="AO1504" s="54"/>
      <c r="AP1504" s="1"/>
      <c r="AQ1504" s="54"/>
      <c r="AR1504" s="171"/>
      <c r="AS1504" s="1"/>
      <c r="AT1504" s="1"/>
      <c r="AU1504" s="1"/>
    </row>
    <row r="1505">
      <c r="A1505" s="54"/>
      <c r="B1505" s="71"/>
      <c r="C1505" s="51"/>
      <c r="D1505" s="54"/>
      <c r="E1505" s="114"/>
      <c r="F1505" s="16"/>
      <c r="G1505" s="114"/>
      <c r="H1505" s="54"/>
      <c r="I1505" s="114"/>
      <c r="J1505" s="54"/>
      <c r="L1505" s="54"/>
      <c r="N1505" s="54"/>
      <c r="P1505" s="54"/>
      <c r="R1505" s="54"/>
      <c r="T1505" s="1"/>
      <c r="V1505" s="54"/>
      <c r="X1505" s="54"/>
      <c r="Z1505" s="54"/>
      <c r="AB1505" s="54"/>
      <c r="AD1505" s="54"/>
      <c r="AF1505" s="54"/>
      <c r="AH1505" s="54"/>
      <c r="AJ1505" s="54"/>
      <c r="AL1505" s="54"/>
      <c r="AO1505" s="54"/>
      <c r="AP1505" s="1"/>
      <c r="AQ1505" s="54"/>
      <c r="AR1505" s="171"/>
      <c r="AS1505" s="1"/>
      <c r="AT1505" s="1"/>
      <c r="AU1505" s="1"/>
    </row>
    <row r="1506">
      <c r="A1506" s="54"/>
      <c r="B1506" s="71"/>
      <c r="C1506" s="51"/>
      <c r="D1506" s="54"/>
      <c r="E1506" s="114"/>
      <c r="F1506" s="16"/>
      <c r="G1506" s="114"/>
      <c r="H1506" s="54"/>
      <c r="I1506" s="114"/>
      <c r="J1506" s="54"/>
      <c r="L1506" s="54"/>
      <c r="N1506" s="54"/>
      <c r="P1506" s="54"/>
      <c r="R1506" s="54"/>
      <c r="T1506" s="1"/>
      <c r="V1506" s="54"/>
      <c r="X1506" s="54"/>
      <c r="Z1506" s="54"/>
      <c r="AB1506" s="54"/>
      <c r="AD1506" s="54"/>
      <c r="AF1506" s="54"/>
      <c r="AH1506" s="54"/>
      <c r="AJ1506" s="54"/>
      <c r="AL1506" s="54"/>
      <c r="AO1506" s="54"/>
      <c r="AP1506" s="1"/>
      <c r="AQ1506" s="54"/>
      <c r="AR1506" s="171"/>
      <c r="AS1506" s="1"/>
      <c r="AT1506" s="1"/>
      <c r="AU1506" s="1"/>
    </row>
    <row r="1507">
      <c r="A1507" s="54"/>
      <c r="B1507" s="71"/>
      <c r="C1507" s="51"/>
      <c r="D1507" s="54"/>
      <c r="E1507" s="114"/>
      <c r="F1507" s="16"/>
      <c r="G1507" s="114"/>
      <c r="H1507" s="54"/>
      <c r="I1507" s="114"/>
      <c r="J1507" s="54"/>
      <c r="L1507" s="54"/>
      <c r="N1507" s="54"/>
      <c r="P1507" s="54"/>
      <c r="R1507" s="54"/>
      <c r="T1507" s="1"/>
      <c r="V1507" s="54"/>
      <c r="X1507" s="54"/>
      <c r="Z1507" s="54"/>
      <c r="AB1507" s="54"/>
      <c r="AD1507" s="54"/>
      <c r="AF1507" s="54"/>
      <c r="AH1507" s="54"/>
      <c r="AJ1507" s="54"/>
      <c r="AL1507" s="54"/>
      <c r="AO1507" s="54"/>
      <c r="AP1507" s="1"/>
      <c r="AQ1507" s="54"/>
      <c r="AR1507" s="171"/>
      <c r="AS1507" s="1"/>
      <c r="AT1507" s="1"/>
      <c r="AU1507" s="1"/>
    </row>
    <row r="1508">
      <c r="A1508" s="54"/>
      <c r="B1508" s="71"/>
      <c r="C1508" s="51"/>
      <c r="D1508" s="54"/>
      <c r="E1508" s="114"/>
      <c r="F1508" s="16"/>
      <c r="G1508" s="114"/>
      <c r="H1508" s="54"/>
      <c r="I1508" s="114"/>
      <c r="J1508" s="54"/>
      <c r="L1508" s="54"/>
      <c r="N1508" s="54"/>
      <c r="P1508" s="54"/>
      <c r="R1508" s="54"/>
      <c r="T1508" s="1"/>
      <c r="V1508" s="54"/>
      <c r="X1508" s="54"/>
      <c r="Z1508" s="54"/>
      <c r="AB1508" s="54"/>
      <c r="AD1508" s="54"/>
      <c r="AF1508" s="54"/>
      <c r="AH1508" s="54"/>
      <c r="AJ1508" s="54"/>
      <c r="AL1508" s="54"/>
      <c r="AO1508" s="54"/>
      <c r="AP1508" s="1"/>
      <c r="AQ1508" s="54"/>
      <c r="AR1508" s="171"/>
      <c r="AS1508" s="1"/>
      <c r="AT1508" s="1"/>
      <c r="AU1508" s="1"/>
    </row>
    <row r="1509">
      <c r="A1509" s="54"/>
      <c r="B1509" s="71"/>
      <c r="C1509" s="51"/>
      <c r="D1509" s="54"/>
      <c r="E1509" s="114"/>
      <c r="F1509" s="16"/>
      <c r="G1509" s="114"/>
      <c r="H1509" s="54"/>
      <c r="I1509" s="114"/>
      <c r="J1509" s="54"/>
      <c r="L1509" s="54"/>
      <c r="N1509" s="54"/>
      <c r="P1509" s="54"/>
      <c r="R1509" s="54"/>
      <c r="T1509" s="1"/>
      <c r="V1509" s="54"/>
      <c r="X1509" s="54"/>
      <c r="Z1509" s="54"/>
      <c r="AB1509" s="54"/>
      <c r="AD1509" s="54"/>
      <c r="AF1509" s="54"/>
      <c r="AH1509" s="54"/>
      <c r="AJ1509" s="54"/>
      <c r="AL1509" s="54"/>
      <c r="AO1509" s="54"/>
      <c r="AP1509" s="1"/>
      <c r="AQ1509" s="54"/>
      <c r="AR1509" s="171"/>
      <c r="AS1509" s="1"/>
      <c r="AT1509" s="1"/>
      <c r="AU1509" s="1"/>
    </row>
    <row r="1510">
      <c r="A1510" s="54"/>
      <c r="B1510" s="71"/>
      <c r="C1510" s="51"/>
      <c r="D1510" s="54"/>
      <c r="E1510" s="114"/>
      <c r="F1510" s="16"/>
      <c r="G1510" s="114"/>
      <c r="H1510" s="54"/>
      <c r="I1510" s="114"/>
      <c r="J1510" s="54"/>
      <c r="L1510" s="54"/>
      <c r="N1510" s="54"/>
      <c r="P1510" s="54"/>
      <c r="R1510" s="54"/>
      <c r="T1510" s="1"/>
      <c r="V1510" s="54"/>
      <c r="X1510" s="54"/>
      <c r="Z1510" s="54"/>
      <c r="AB1510" s="54"/>
      <c r="AD1510" s="54"/>
      <c r="AF1510" s="54"/>
      <c r="AH1510" s="54"/>
      <c r="AJ1510" s="54"/>
      <c r="AL1510" s="54"/>
      <c r="AO1510" s="54"/>
      <c r="AP1510" s="1"/>
      <c r="AQ1510" s="54"/>
      <c r="AR1510" s="171"/>
      <c r="AS1510" s="1"/>
      <c r="AT1510" s="1"/>
      <c r="AU1510" s="1"/>
    </row>
    <row r="1511">
      <c r="A1511" s="54"/>
      <c r="B1511" s="71"/>
      <c r="C1511" s="51"/>
      <c r="D1511" s="54"/>
      <c r="E1511" s="114"/>
      <c r="F1511" s="16"/>
      <c r="G1511" s="114"/>
      <c r="H1511" s="54"/>
      <c r="I1511" s="114"/>
      <c r="J1511" s="54"/>
      <c r="L1511" s="54"/>
      <c r="N1511" s="54"/>
      <c r="P1511" s="54"/>
      <c r="R1511" s="54"/>
      <c r="T1511" s="1"/>
      <c r="V1511" s="54"/>
      <c r="X1511" s="54"/>
      <c r="Z1511" s="54"/>
      <c r="AB1511" s="54"/>
      <c r="AD1511" s="54"/>
      <c r="AF1511" s="54"/>
      <c r="AH1511" s="54"/>
      <c r="AJ1511" s="54"/>
      <c r="AL1511" s="54"/>
      <c r="AO1511" s="54"/>
      <c r="AP1511" s="1"/>
      <c r="AQ1511" s="54"/>
      <c r="AR1511" s="171"/>
      <c r="AS1511" s="1"/>
      <c r="AT1511" s="1"/>
      <c r="AU1511" s="1"/>
    </row>
    <row r="1512">
      <c r="A1512" s="54"/>
      <c r="B1512" s="71"/>
      <c r="C1512" s="51"/>
      <c r="D1512" s="54"/>
      <c r="E1512" s="114"/>
      <c r="F1512" s="16"/>
      <c r="G1512" s="114"/>
      <c r="H1512" s="54"/>
      <c r="I1512" s="114"/>
      <c r="J1512" s="54"/>
      <c r="L1512" s="54"/>
      <c r="N1512" s="54"/>
      <c r="P1512" s="54"/>
      <c r="R1512" s="54"/>
      <c r="T1512" s="1"/>
      <c r="V1512" s="54"/>
      <c r="X1512" s="54"/>
      <c r="Z1512" s="54"/>
      <c r="AB1512" s="54"/>
      <c r="AD1512" s="54"/>
      <c r="AF1512" s="54"/>
      <c r="AH1512" s="54"/>
      <c r="AJ1512" s="54"/>
      <c r="AL1512" s="54"/>
      <c r="AO1512" s="54"/>
      <c r="AP1512" s="1"/>
      <c r="AQ1512" s="54"/>
      <c r="AR1512" s="171"/>
      <c r="AS1512" s="1"/>
      <c r="AT1512" s="1"/>
      <c r="AU1512" s="1"/>
    </row>
    <row r="1513">
      <c r="A1513" s="54"/>
      <c r="B1513" s="71"/>
      <c r="C1513" s="51"/>
      <c r="D1513" s="54"/>
      <c r="E1513" s="114"/>
      <c r="F1513" s="16"/>
      <c r="G1513" s="114"/>
      <c r="H1513" s="54"/>
      <c r="I1513" s="114"/>
      <c r="J1513" s="54"/>
      <c r="L1513" s="54"/>
      <c r="N1513" s="54"/>
      <c r="P1513" s="54"/>
      <c r="R1513" s="54"/>
      <c r="T1513" s="1"/>
      <c r="V1513" s="54"/>
      <c r="X1513" s="54"/>
      <c r="Z1513" s="54"/>
      <c r="AB1513" s="54"/>
      <c r="AD1513" s="54"/>
      <c r="AF1513" s="54"/>
      <c r="AH1513" s="54"/>
      <c r="AJ1513" s="54"/>
      <c r="AL1513" s="54"/>
      <c r="AO1513" s="54"/>
      <c r="AP1513" s="1"/>
      <c r="AQ1513" s="54"/>
      <c r="AR1513" s="171"/>
      <c r="AS1513" s="1"/>
      <c r="AT1513" s="1"/>
      <c r="AU1513" s="1"/>
    </row>
    <row r="1514">
      <c r="A1514" s="54"/>
      <c r="B1514" s="71"/>
      <c r="C1514" s="51"/>
      <c r="D1514" s="54"/>
      <c r="E1514" s="114"/>
      <c r="F1514" s="16"/>
      <c r="G1514" s="114"/>
      <c r="H1514" s="54"/>
      <c r="I1514" s="114"/>
      <c r="J1514" s="54"/>
      <c r="L1514" s="54"/>
      <c r="N1514" s="54"/>
      <c r="P1514" s="54"/>
      <c r="R1514" s="54"/>
      <c r="T1514" s="1"/>
      <c r="V1514" s="54"/>
      <c r="X1514" s="54"/>
      <c r="Z1514" s="54"/>
      <c r="AB1514" s="54"/>
      <c r="AD1514" s="54"/>
      <c r="AF1514" s="54"/>
      <c r="AH1514" s="54"/>
      <c r="AJ1514" s="54"/>
      <c r="AL1514" s="54"/>
      <c r="AO1514" s="54"/>
      <c r="AP1514" s="1"/>
      <c r="AQ1514" s="54"/>
      <c r="AR1514" s="171"/>
      <c r="AS1514" s="1"/>
      <c r="AT1514" s="1"/>
      <c r="AU1514" s="1"/>
    </row>
    <row r="1515">
      <c r="A1515" s="54"/>
      <c r="B1515" s="71"/>
      <c r="C1515" s="51"/>
      <c r="D1515" s="54"/>
      <c r="E1515" s="114"/>
      <c r="F1515" s="16"/>
      <c r="G1515" s="114"/>
      <c r="H1515" s="54"/>
      <c r="I1515" s="114"/>
      <c r="J1515" s="54"/>
      <c r="L1515" s="54"/>
      <c r="N1515" s="54"/>
      <c r="P1515" s="54"/>
      <c r="R1515" s="54"/>
      <c r="T1515" s="1"/>
      <c r="V1515" s="54"/>
      <c r="X1515" s="54"/>
      <c r="Z1515" s="54"/>
      <c r="AB1515" s="54"/>
      <c r="AD1515" s="54"/>
      <c r="AF1515" s="54"/>
      <c r="AH1515" s="54"/>
      <c r="AJ1515" s="54"/>
      <c r="AL1515" s="54"/>
      <c r="AO1515" s="54"/>
      <c r="AP1515" s="1"/>
      <c r="AQ1515" s="54"/>
      <c r="AR1515" s="171"/>
      <c r="AS1515" s="1"/>
      <c r="AT1515" s="1"/>
      <c r="AU1515" s="1"/>
    </row>
    <row r="1516">
      <c r="A1516" s="54"/>
      <c r="B1516" s="71"/>
      <c r="C1516" s="51"/>
      <c r="D1516" s="54"/>
      <c r="E1516" s="114"/>
      <c r="F1516" s="16"/>
      <c r="G1516" s="114"/>
      <c r="H1516" s="54"/>
      <c r="I1516" s="114"/>
      <c r="J1516" s="54"/>
      <c r="L1516" s="54"/>
      <c r="N1516" s="54"/>
      <c r="P1516" s="54"/>
      <c r="R1516" s="54"/>
      <c r="T1516" s="1"/>
      <c r="V1516" s="54"/>
      <c r="X1516" s="54"/>
      <c r="Z1516" s="54"/>
      <c r="AB1516" s="54"/>
      <c r="AD1516" s="54"/>
      <c r="AF1516" s="54"/>
      <c r="AH1516" s="54"/>
      <c r="AJ1516" s="54"/>
      <c r="AL1516" s="54"/>
      <c r="AO1516" s="54"/>
      <c r="AP1516" s="1"/>
      <c r="AQ1516" s="54"/>
      <c r="AR1516" s="171"/>
      <c r="AS1516" s="1"/>
      <c r="AT1516" s="1"/>
      <c r="AU1516" s="1"/>
    </row>
    <row r="1517">
      <c r="A1517" s="54"/>
      <c r="B1517" s="71"/>
      <c r="C1517" s="51"/>
      <c r="D1517" s="54"/>
      <c r="E1517" s="114"/>
      <c r="F1517" s="16"/>
      <c r="G1517" s="114"/>
      <c r="H1517" s="54"/>
      <c r="I1517" s="114"/>
      <c r="J1517" s="54"/>
      <c r="L1517" s="54"/>
      <c r="N1517" s="54"/>
      <c r="P1517" s="54"/>
      <c r="R1517" s="54"/>
      <c r="T1517" s="1"/>
      <c r="V1517" s="54"/>
      <c r="X1517" s="54"/>
      <c r="Z1517" s="54"/>
      <c r="AB1517" s="54"/>
      <c r="AD1517" s="54"/>
      <c r="AF1517" s="54"/>
      <c r="AH1517" s="54"/>
      <c r="AJ1517" s="54"/>
      <c r="AL1517" s="54"/>
      <c r="AO1517" s="54"/>
      <c r="AP1517" s="1"/>
      <c r="AQ1517" s="54"/>
      <c r="AR1517" s="171"/>
      <c r="AS1517" s="1"/>
      <c r="AT1517" s="1"/>
      <c r="AU1517" s="1"/>
    </row>
    <row r="1518">
      <c r="A1518" s="54"/>
      <c r="B1518" s="71"/>
      <c r="C1518" s="51"/>
      <c r="D1518" s="54"/>
      <c r="E1518" s="114"/>
      <c r="F1518" s="16"/>
      <c r="G1518" s="114"/>
      <c r="H1518" s="54"/>
      <c r="I1518" s="114"/>
      <c r="J1518" s="54"/>
      <c r="L1518" s="54"/>
      <c r="N1518" s="54"/>
      <c r="P1518" s="54"/>
      <c r="R1518" s="54"/>
      <c r="T1518" s="1"/>
      <c r="V1518" s="54"/>
      <c r="X1518" s="54"/>
      <c r="Z1518" s="54"/>
      <c r="AB1518" s="54"/>
      <c r="AD1518" s="54"/>
      <c r="AF1518" s="54"/>
      <c r="AH1518" s="54"/>
      <c r="AJ1518" s="54"/>
      <c r="AL1518" s="54"/>
      <c r="AO1518" s="54"/>
      <c r="AP1518" s="1"/>
      <c r="AQ1518" s="54"/>
      <c r="AR1518" s="171"/>
      <c r="AS1518" s="1"/>
      <c r="AT1518" s="1"/>
      <c r="AU1518" s="1"/>
    </row>
    <row r="1519">
      <c r="A1519" s="54"/>
      <c r="B1519" s="71"/>
      <c r="C1519" s="51"/>
      <c r="D1519" s="54"/>
      <c r="E1519" s="114"/>
      <c r="F1519" s="16"/>
      <c r="G1519" s="114"/>
      <c r="H1519" s="54"/>
      <c r="I1519" s="114"/>
      <c r="J1519" s="54"/>
      <c r="L1519" s="54"/>
      <c r="N1519" s="54"/>
      <c r="P1519" s="54"/>
      <c r="R1519" s="54"/>
      <c r="T1519" s="1"/>
      <c r="V1519" s="54"/>
      <c r="X1519" s="54"/>
      <c r="Z1519" s="54"/>
      <c r="AB1519" s="54"/>
      <c r="AD1519" s="54"/>
      <c r="AF1519" s="54"/>
      <c r="AH1519" s="54"/>
      <c r="AJ1519" s="54"/>
      <c r="AL1519" s="54"/>
      <c r="AO1519" s="54"/>
      <c r="AP1519" s="1"/>
      <c r="AQ1519" s="54"/>
      <c r="AR1519" s="171"/>
      <c r="AS1519" s="1"/>
      <c r="AT1519" s="1"/>
      <c r="AU1519" s="1"/>
    </row>
    <row r="1520">
      <c r="A1520" s="54"/>
      <c r="B1520" s="71"/>
      <c r="C1520" s="51"/>
      <c r="D1520" s="54"/>
      <c r="E1520" s="114"/>
      <c r="F1520" s="16"/>
      <c r="G1520" s="114"/>
      <c r="H1520" s="54"/>
      <c r="I1520" s="114"/>
      <c r="J1520" s="54"/>
      <c r="L1520" s="54"/>
      <c r="N1520" s="54"/>
      <c r="P1520" s="54"/>
      <c r="R1520" s="54"/>
      <c r="T1520" s="1"/>
      <c r="V1520" s="54"/>
      <c r="X1520" s="54"/>
      <c r="Z1520" s="54"/>
      <c r="AB1520" s="54"/>
      <c r="AD1520" s="54"/>
      <c r="AF1520" s="54"/>
      <c r="AH1520" s="54"/>
      <c r="AJ1520" s="54"/>
      <c r="AL1520" s="54"/>
      <c r="AO1520" s="54"/>
      <c r="AP1520" s="1"/>
      <c r="AQ1520" s="54"/>
      <c r="AR1520" s="171"/>
      <c r="AS1520" s="1"/>
      <c r="AT1520" s="1"/>
      <c r="AU1520" s="1"/>
    </row>
    <row r="1521">
      <c r="A1521" s="54"/>
      <c r="B1521" s="71"/>
      <c r="C1521" s="51"/>
      <c r="D1521" s="54"/>
      <c r="E1521" s="114"/>
      <c r="F1521" s="16"/>
      <c r="G1521" s="114"/>
      <c r="H1521" s="54"/>
      <c r="I1521" s="114"/>
      <c r="J1521" s="54"/>
      <c r="L1521" s="54"/>
      <c r="N1521" s="54"/>
      <c r="P1521" s="54"/>
      <c r="R1521" s="54"/>
      <c r="T1521" s="1"/>
      <c r="V1521" s="54"/>
      <c r="X1521" s="54"/>
      <c r="Z1521" s="54"/>
      <c r="AB1521" s="54"/>
      <c r="AD1521" s="54"/>
      <c r="AF1521" s="54"/>
      <c r="AH1521" s="54"/>
      <c r="AJ1521" s="54"/>
      <c r="AL1521" s="54"/>
      <c r="AO1521" s="54"/>
      <c r="AP1521" s="1"/>
      <c r="AQ1521" s="54"/>
      <c r="AR1521" s="171"/>
      <c r="AS1521" s="1"/>
      <c r="AT1521" s="1"/>
      <c r="AU1521" s="1"/>
    </row>
    <row r="1522">
      <c r="A1522" s="54"/>
      <c r="B1522" s="71"/>
      <c r="C1522" s="51"/>
      <c r="D1522" s="54"/>
      <c r="E1522" s="114"/>
      <c r="F1522" s="16"/>
      <c r="G1522" s="114"/>
      <c r="H1522" s="54"/>
      <c r="I1522" s="114"/>
      <c r="J1522" s="54"/>
      <c r="L1522" s="54"/>
      <c r="N1522" s="54"/>
      <c r="P1522" s="54"/>
      <c r="R1522" s="54"/>
      <c r="T1522" s="1"/>
      <c r="V1522" s="54"/>
      <c r="X1522" s="54"/>
      <c r="Z1522" s="54"/>
      <c r="AB1522" s="54"/>
      <c r="AD1522" s="54"/>
      <c r="AF1522" s="54"/>
      <c r="AH1522" s="54"/>
      <c r="AJ1522" s="54"/>
      <c r="AL1522" s="54"/>
      <c r="AO1522" s="54"/>
      <c r="AP1522" s="1"/>
      <c r="AQ1522" s="54"/>
      <c r="AR1522" s="171"/>
      <c r="AS1522" s="1"/>
      <c r="AT1522" s="1"/>
      <c r="AU1522" s="1"/>
    </row>
    <row r="1523">
      <c r="A1523" s="54"/>
      <c r="B1523" s="71"/>
      <c r="C1523" s="51"/>
      <c r="D1523" s="54"/>
      <c r="E1523" s="114"/>
      <c r="F1523" s="16"/>
      <c r="G1523" s="114"/>
      <c r="H1523" s="54"/>
      <c r="I1523" s="114"/>
      <c r="J1523" s="54"/>
      <c r="L1523" s="54"/>
      <c r="N1523" s="54"/>
      <c r="P1523" s="54"/>
      <c r="R1523" s="54"/>
      <c r="T1523" s="1"/>
      <c r="V1523" s="54"/>
      <c r="X1523" s="54"/>
      <c r="Z1523" s="54"/>
      <c r="AB1523" s="54"/>
      <c r="AD1523" s="54"/>
      <c r="AF1523" s="54"/>
      <c r="AH1523" s="54"/>
      <c r="AJ1523" s="54"/>
      <c r="AL1523" s="54"/>
      <c r="AO1523" s="54"/>
      <c r="AP1523" s="1"/>
      <c r="AQ1523" s="54"/>
      <c r="AR1523" s="171"/>
      <c r="AS1523" s="1"/>
      <c r="AT1523" s="1"/>
      <c r="AU1523" s="1"/>
    </row>
    <row r="1524">
      <c r="A1524" s="54"/>
      <c r="B1524" s="71"/>
      <c r="C1524" s="51"/>
      <c r="D1524" s="54"/>
      <c r="E1524" s="114"/>
      <c r="F1524" s="16"/>
      <c r="G1524" s="114"/>
      <c r="H1524" s="54"/>
      <c r="I1524" s="114"/>
      <c r="J1524" s="54"/>
      <c r="L1524" s="54"/>
      <c r="N1524" s="54"/>
      <c r="P1524" s="54"/>
      <c r="R1524" s="54"/>
      <c r="T1524" s="1"/>
      <c r="V1524" s="54"/>
      <c r="X1524" s="54"/>
      <c r="Z1524" s="54"/>
      <c r="AB1524" s="54"/>
      <c r="AD1524" s="54"/>
      <c r="AF1524" s="54"/>
      <c r="AH1524" s="54"/>
      <c r="AJ1524" s="54"/>
      <c r="AL1524" s="54"/>
      <c r="AO1524" s="54"/>
      <c r="AP1524" s="1"/>
      <c r="AQ1524" s="54"/>
      <c r="AR1524" s="171"/>
      <c r="AS1524" s="1"/>
      <c r="AT1524" s="1"/>
      <c r="AU1524" s="1"/>
    </row>
    <row r="1525">
      <c r="A1525" s="54"/>
      <c r="B1525" s="71"/>
      <c r="C1525" s="51"/>
      <c r="D1525" s="54"/>
      <c r="E1525" s="114"/>
      <c r="F1525" s="16"/>
      <c r="G1525" s="114"/>
      <c r="H1525" s="54"/>
      <c r="I1525" s="114"/>
      <c r="J1525" s="54"/>
      <c r="L1525" s="54"/>
      <c r="N1525" s="54"/>
      <c r="P1525" s="54"/>
      <c r="R1525" s="54"/>
      <c r="T1525" s="1"/>
      <c r="V1525" s="54"/>
      <c r="X1525" s="54"/>
      <c r="Z1525" s="54"/>
      <c r="AB1525" s="54"/>
      <c r="AD1525" s="54"/>
      <c r="AF1525" s="54"/>
      <c r="AH1525" s="54"/>
      <c r="AJ1525" s="54"/>
      <c r="AL1525" s="54"/>
      <c r="AO1525" s="54"/>
      <c r="AP1525" s="1"/>
      <c r="AQ1525" s="54"/>
      <c r="AR1525" s="171"/>
      <c r="AS1525" s="1"/>
      <c r="AT1525" s="1"/>
      <c r="AU1525" s="1"/>
    </row>
    <row r="1526">
      <c r="A1526" s="54"/>
      <c r="B1526" s="71"/>
      <c r="C1526" s="51"/>
      <c r="D1526" s="54"/>
      <c r="E1526" s="114"/>
      <c r="F1526" s="16"/>
      <c r="G1526" s="114"/>
      <c r="H1526" s="54"/>
      <c r="I1526" s="114"/>
      <c r="J1526" s="54"/>
      <c r="L1526" s="54"/>
      <c r="N1526" s="54"/>
      <c r="P1526" s="54"/>
      <c r="R1526" s="54"/>
      <c r="T1526" s="1"/>
      <c r="V1526" s="54"/>
      <c r="X1526" s="54"/>
      <c r="Z1526" s="54"/>
      <c r="AB1526" s="54"/>
      <c r="AD1526" s="54"/>
      <c r="AF1526" s="54"/>
      <c r="AH1526" s="54"/>
      <c r="AJ1526" s="54"/>
      <c r="AL1526" s="54"/>
      <c r="AO1526" s="54"/>
      <c r="AP1526" s="1"/>
      <c r="AQ1526" s="54"/>
      <c r="AR1526" s="171"/>
      <c r="AS1526" s="1"/>
      <c r="AT1526" s="1"/>
      <c r="AU1526" s="1"/>
    </row>
    <row r="1527">
      <c r="A1527" s="54"/>
      <c r="B1527" s="71"/>
      <c r="C1527" s="51"/>
      <c r="D1527" s="54"/>
      <c r="E1527" s="114"/>
      <c r="F1527" s="16"/>
      <c r="G1527" s="114"/>
      <c r="H1527" s="54"/>
      <c r="I1527" s="114"/>
      <c r="J1527" s="54"/>
      <c r="L1527" s="54"/>
      <c r="N1527" s="54"/>
      <c r="P1527" s="54"/>
      <c r="R1527" s="54"/>
      <c r="T1527" s="1"/>
      <c r="V1527" s="54"/>
      <c r="X1527" s="54"/>
      <c r="Z1527" s="54"/>
      <c r="AB1527" s="54"/>
      <c r="AD1527" s="54"/>
      <c r="AF1527" s="54"/>
      <c r="AH1527" s="54"/>
      <c r="AJ1527" s="54"/>
      <c r="AL1527" s="54"/>
      <c r="AO1527" s="54"/>
      <c r="AP1527" s="1"/>
      <c r="AQ1527" s="54"/>
      <c r="AR1527" s="171"/>
      <c r="AS1527" s="1"/>
      <c r="AT1527" s="1"/>
      <c r="AU1527" s="1"/>
    </row>
    <row r="1528">
      <c r="A1528" s="54"/>
      <c r="B1528" s="71"/>
      <c r="C1528" s="51"/>
      <c r="D1528" s="54"/>
      <c r="E1528" s="114"/>
      <c r="F1528" s="16"/>
      <c r="G1528" s="114"/>
      <c r="H1528" s="54"/>
      <c r="I1528" s="114"/>
      <c r="J1528" s="54"/>
      <c r="L1528" s="54"/>
      <c r="N1528" s="54"/>
      <c r="P1528" s="54"/>
      <c r="R1528" s="54"/>
      <c r="T1528" s="1"/>
      <c r="V1528" s="54"/>
      <c r="X1528" s="54"/>
      <c r="Z1528" s="54"/>
      <c r="AB1528" s="54"/>
      <c r="AD1528" s="54"/>
      <c r="AF1528" s="54"/>
      <c r="AH1528" s="54"/>
      <c r="AJ1528" s="54"/>
      <c r="AL1528" s="54"/>
      <c r="AO1528" s="54"/>
      <c r="AP1528" s="1"/>
      <c r="AQ1528" s="54"/>
      <c r="AR1528" s="171"/>
      <c r="AS1528" s="1"/>
      <c r="AT1528" s="1"/>
      <c r="AU1528" s="1"/>
    </row>
    <row r="1529">
      <c r="A1529" s="54"/>
      <c r="B1529" s="71"/>
      <c r="C1529" s="51"/>
      <c r="D1529" s="54"/>
      <c r="E1529" s="114"/>
      <c r="F1529" s="16"/>
      <c r="G1529" s="114"/>
      <c r="H1529" s="54"/>
      <c r="I1529" s="114"/>
      <c r="J1529" s="54"/>
      <c r="L1529" s="54"/>
      <c r="N1529" s="54"/>
      <c r="P1529" s="54"/>
      <c r="R1529" s="54"/>
      <c r="T1529" s="1"/>
      <c r="V1529" s="54"/>
      <c r="X1529" s="54"/>
      <c r="Z1529" s="54"/>
      <c r="AB1529" s="54"/>
      <c r="AD1529" s="54"/>
      <c r="AF1529" s="54"/>
      <c r="AH1529" s="54"/>
      <c r="AJ1529" s="54"/>
      <c r="AL1529" s="54"/>
      <c r="AO1529" s="54"/>
      <c r="AP1529" s="1"/>
      <c r="AQ1529" s="54"/>
      <c r="AR1529" s="171"/>
      <c r="AS1529" s="1"/>
      <c r="AT1529" s="1"/>
      <c r="AU1529" s="1"/>
    </row>
    <row r="1530">
      <c r="A1530" s="54"/>
      <c r="B1530" s="71"/>
      <c r="C1530" s="51"/>
      <c r="D1530" s="54"/>
      <c r="E1530" s="114"/>
      <c r="F1530" s="16"/>
      <c r="G1530" s="114"/>
      <c r="H1530" s="54"/>
      <c r="I1530" s="114"/>
      <c r="J1530" s="54"/>
      <c r="L1530" s="54"/>
      <c r="N1530" s="54"/>
      <c r="P1530" s="54"/>
      <c r="R1530" s="54"/>
      <c r="T1530" s="1"/>
      <c r="V1530" s="54"/>
      <c r="X1530" s="54"/>
      <c r="Z1530" s="54"/>
      <c r="AB1530" s="54"/>
      <c r="AD1530" s="54"/>
      <c r="AF1530" s="54"/>
      <c r="AH1530" s="54"/>
      <c r="AJ1530" s="54"/>
      <c r="AL1530" s="54"/>
      <c r="AO1530" s="54"/>
      <c r="AP1530" s="1"/>
      <c r="AQ1530" s="54"/>
      <c r="AR1530" s="171"/>
      <c r="AS1530" s="1"/>
      <c r="AT1530" s="1"/>
      <c r="AU1530" s="1"/>
    </row>
    <row r="1531">
      <c r="A1531" s="54"/>
      <c r="B1531" s="71"/>
      <c r="C1531" s="51"/>
      <c r="D1531" s="54"/>
      <c r="E1531" s="114"/>
      <c r="F1531" s="16"/>
      <c r="G1531" s="114"/>
      <c r="H1531" s="54"/>
      <c r="I1531" s="114"/>
      <c r="J1531" s="54"/>
      <c r="L1531" s="54"/>
      <c r="N1531" s="54"/>
      <c r="P1531" s="54"/>
      <c r="R1531" s="54"/>
      <c r="T1531" s="1"/>
      <c r="V1531" s="54"/>
      <c r="X1531" s="54"/>
      <c r="Z1531" s="54"/>
      <c r="AB1531" s="54"/>
      <c r="AD1531" s="54"/>
      <c r="AF1531" s="54"/>
      <c r="AH1531" s="54"/>
      <c r="AJ1531" s="54"/>
      <c r="AL1531" s="54"/>
      <c r="AO1531" s="54"/>
      <c r="AP1531" s="1"/>
      <c r="AQ1531" s="54"/>
      <c r="AR1531" s="171"/>
      <c r="AS1531" s="1"/>
      <c r="AT1531" s="1"/>
      <c r="AU1531" s="1"/>
    </row>
    <row r="1532">
      <c r="A1532" s="54"/>
      <c r="B1532" s="71"/>
      <c r="C1532" s="51"/>
      <c r="D1532" s="54"/>
      <c r="E1532" s="114"/>
      <c r="F1532" s="16"/>
      <c r="G1532" s="114"/>
      <c r="H1532" s="54"/>
      <c r="I1532" s="114"/>
      <c r="J1532" s="54"/>
      <c r="L1532" s="54"/>
      <c r="N1532" s="54"/>
      <c r="P1532" s="54"/>
      <c r="R1532" s="54"/>
      <c r="T1532" s="1"/>
      <c r="V1532" s="54"/>
      <c r="X1532" s="54"/>
      <c r="Z1532" s="54"/>
      <c r="AB1532" s="54"/>
      <c r="AD1532" s="54"/>
      <c r="AF1532" s="54"/>
      <c r="AH1532" s="54"/>
      <c r="AJ1532" s="54"/>
      <c r="AL1532" s="54"/>
      <c r="AO1532" s="54"/>
      <c r="AP1532" s="1"/>
      <c r="AQ1532" s="54"/>
      <c r="AR1532" s="171"/>
      <c r="AS1532" s="1"/>
      <c r="AT1532" s="1"/>
      <c r="AU1532" s="1"/>
    </row>
    <row r="1533">
      <c r="A1533" s="54"/>
      <c r="B1533" s="71"/>
      <c r="C1533" s="51"/>
      <c r="D1533" s="54"/>
      <c r="E1533" s="114"/>
      <c r="F1533" s="16"/>
      <c r="G1533" s="114"/>
      <c r="H1533" s="54"/>
      <c r="I1533" s="114"/>
      <c r="J1533" s="54"/>
      <c r="L1533" s="54"/>
      <c r="N1533" s="54"/>
      <c r="P1533" s="54"/>
      <c r="R1533" s="54"/>
      <c r="T1533" s="1"/>
      <c r="V1533" s="54"/>
      <c r="X1533" s="54"/>
      <c r="Z1533" s="54"/>
      <c r="AB1533" s="54"/>
      <c r="AD1533" s="54"/>
      <c r="AF1533" s="54"/>
      <c r="AH1533" s="54"/>
      <c r="AJ1533" s="54"/>
      <c r="AL1533" s="54"/>
      <c r="AO1533" s="54"/>
      <c r="AP1533" s="1"/>
      <c r="AQ1533" s="54"/>
      <c r="AR1533" s="171"/>
      <c r="AS1533" s="1"/>
      <c r="AT1533" s="1"/>
      <c r="AU1533" s="1"/>
    </row>
    <row r="1534">
      <c r="A1534" s="54"/>
      <c r="B1534" s="71"/>
      <c r="C1534" s="51"/>
      <c r="D1534" s="54"/>
      <c r="E1534" s="114"/>
      <c r="F1534" s="16"/>
      <c r="G1534" s="114"/>
      <c r="H1534" s="54"/>
      <c r="I1534" s="114"/>
      <c r="J1534" s="54"/>
      <c r="L1534" s="54"/>
      <c r="N1534" s="54"/>
      <c r="P1534" s="54"/>
      <c r="R1534" s="54"/>
      <c r="T1534" s="1"/>
      <c r="V1534" s="54"/>
      <c r="X1534" s="54"/>
      <c r="Z1534" s="54"/>
      <c r="AB1534" s="54"/>
      <c r="AD1534" s="54"/>
      <c r="AF1534" s="54"/>
      <c r="AH1534" s="54"/>
      <c r="AJ1534" s="54"/>
      <c r="AL1534" s="54"/>
      <c r="AO1534" s="54"/>
      <c r="AP1534" s="1"/>
      <c r="AQ1534" s="54"/>
      <c r="AR1534" s="171"/>
      <c r="AS1534" s="1"/>
      <c r="AT1534" s="1"/>
      <c r="AU1534" s="1"/>
    </row>
    <row r="1535">
      <c r="A1535" s="54"/>
      <c r="B1535" s="71"/>
      <c r="C1535" s="51"/>
      <c r="D1535" s="54"/>
      <c r="E1535" s="114"/>
      <c r="F1535" s="16"/>
      <c r="G1535" s="114"/>
      <c r="H1535" s="54"/>
      <c r="I1535" s="114"/>
      <c r="J1535" s="54"/>
      <c r="L1535" s="54"/>
      <c r="N1535" s="54"/>
      <c r="P1535" s="54"/>
      <c r="R1535" s="54"/>
      <c r="T1535" s="1"/>
      <c r="V1535" s="54"/>
      <c r="X1535" s="54"/>
      <c r="Z1535" s="54"/>
      <c r="AB1535" s="54"/>
      <c r="AD1535" s="54"/>
      <c r="AF1535" s="54"/>
      <c r="AH1535" s="54"/>
      <c r="AJ1535" s="54"/>
      <c r="AL1535" s="54"/>
      <c r="AO1535" s="54"/>
      <c r="AP1535" s="1"/>
      <c r="AQ1535" s="54"/>
      <c r="AR1535" s="171"/>
      <c r="AS1535" s="1"/>
      <c r="AT1535" s="1"/>
      <c r="AU1535" s="1"/>
    </row>
    <row r="1536">
      <c r="A1536" s="54"/>
      <c r="B1536" s="71"/>
      <c r="C1536" s="51"/>
      <c r="D1536" s="54"/>
      <c r="E1536" s="114"/>
      <c r="F1536" s="16"/>
      <c r="G1536" s="114"/>
      <c r="H1536" s="54"/>
      <c r="I1536" s="114"/>
      <c r="J1536" s="54"/>
      <c r="L1536" s="54"/>
      <c r="N1536" s="54"/>
      <c r="P1536" s="54"/>
      <c r="R1536" s="54"/>
      <c r="T1536" s="1"/>
      <c r="V1536" s="54"/>
      <c r="X1536" s="54"/>
      <c r="Z1536" s="54"/>
      <c r="AB1536" s="54"/>
      <c r="AD1536" s="54"/>
      <c r="AF1536" s="54"/>
      <c r="AH1536" s="54"/>
      <c r="AJ1536" s="54"/>
      <c r="AL1536" s="54"/>
      <c r="AO1536" s="54"/>
      <c r="AP1536" s="1"/>
      <c r="AQ1536" s="54"/>
      <c r="AR1536" s="171"/>
      <c r="AS1536" s="1"/>
      <c r="AT1536" s="1"/>
      <c r="AU1536" s="1"/>
    </row>
    <row r="1537">
      <c r="A1537" s="54"/>
      <c r="B1537" s="71"/>
      <c r="C1537" s="51"/>
      <c r="D1537" s="54"/>
      <c r="E1537" s="114"/>
      <c r="F1537" s="16"/>
      <c r="G1537" s="114"/>
      <c r="H1537" s="54"/>
      <c r="I1537" s="114"/>
      <c r="J1537" s="54"/>
      <c r="L1537" s="54"/>
      <c r="N1537" s="54"/>
      <c r="P1537" s="54"/>
      <c r="R1537" s="54"/>
      <c r="T1537" s="1"/>
      <c r="V1537" s="54"/>
      <c r="X1537" s="54"/>
      <c r="Z1537" s="54"/>
      <c r="AB1537" s="54"/>
      <c r="AD1537" s="54"/>
      <c r="AF1537" s="54"/>
      <c r="AH1537" s="54"/>
      <c r="AJ1537" s="54"/>
      <c r="AL1537" s="54"/>
      <c r="AO1537" s="54"/>
      <c r="AP1537" s="1"/>
      <c r="AQ1537" s="54"/>
      <c r="AR1537" s="171"/>
      <c r="AS1537" s="1"/>
      <c r="AT1537" s="1"/>
      <c r="AU1537" s="1"/>
    </row>
    <row r="1538">
      <c r="A1538" s="54"/>
      <c r="B1538" s="71"/>
      <c r="C1538" s="51"/>
      <c r="D1538" s="54"/>
      <c r="E1538" s="114"/>
      <c r="F1538" s="16"/>
      <c r="G1538" s="114"/>
      <c r="H1538" s="54"/>
      <c r="I1538" s="114"/>
      <c r="J1538" s="54"/>
      <c r="L1538" s="54"/>
      <c r="N1538" s="54"/>
      <c r="P1538" s="54"/>
      <c r="R1538" s="54"/>
      <c r="T1538" s="1"/>
      <c r="V1538" s="54"/>
      <c r="X1538" s="54"/>
      <c r="Z1538" s="54"/>
      <c r="AB1538" s="54"/>
      <c r="AD1538" s="54"/>
      <c r="AF1538" s="54"/>
      <c r="AH1538" s="54"/>
      <c r="AJ1538" s="54"/>
      <c r="AL1538" s="54"/>
      <c r="AO1538" s="54"/>
      <c r="AP1538" s="1"/>
      <c r="AQ1538" s="54"/>
      <c r="AR1538" s="171"/>
      <c r="AS1538" s="1"/>
      <c r="AT1538" s="1"/>
      <c r="AU1538" s="1"/>
    </row>
    <row r="1539">
      <c r="A1539" s="54"/>
      <c r="B1539" s="71"/>
      <c r="C1539" s="51"/>
      <c r="D1539" s="54"/>
      <c r="E1539" s="114"/>
      <c r="F1539" s="16"/>
      <c r="G1539" s="114"/>
      <c r="H1539" s="54"/>
      <c r="I1539" s="114"/>
      <c r="J1539" s="54"/>
      <c r="L1539" s="54"/>
      <c r="N1539" s="54"/>
      <c r="P1539" s="54"/>
      <c r="R1539" s="54"/>
      <c r="T1539" s="1"/>
      <c r="V1539" s="54"/>
      <c r="X1539" s="54"/>
      <c r="Z1539" s="54"/>
      <c r="AB1539" s="54"/>
      <c r="AD1539" s="54"/>
      <c r="AF1539" s="54"/>
      <c r="AH1539" s="54"/>
      <c r="AJ1539" s="54"/>
      <c r="AL1539" s="54"/>
      <c r="AO1539" s="54"/>
      <c r="AP1539" s="1"/>
      <c r="AQ1539" s="54"/>
      <c r="AR1539" s="171"/>
      <c r="AS1539" s="1"/>
      <c r="AT1539" s="1"/>
      <c r="AU1539" s="1"/>
    </row>
    <row r="1540">
      <c r="A1540" s="54"/>
      <c r="B1540" s="71"/>
      <c r="C1540" s="51"/>
      <c r="D1540" s="54"/>
      <c r="E1540" s="114"/>
      <c r="F1540" s="16"/>
      <c r="G1540" s="114"/>
      <c r="H1540" s="54"/>
      <c r="I1540" s="114"/>
      <c r="J1540" s="54"/>
      <c r="L1540" s="54"/>
      <c r="N1540" s="54"/>
      <c r="P1540" s="54"/>
      <c r="R1540" s="54"/>
      <c r="T1540" s="1"/>
      <c r="V1540" s="54"/>
      <c r="X1540" s="54"/>
      <c r="Z1540" s="54"/>
      <c r="AB1540" s="54"/>
      <c r="AD1540" s="54"/>
      <c r="AF1540" s="54"/>
      <c r="AH1540" s="54"/>
      <c r="AJ1540" s="54"/>
      <c r="AL1540" s="54"/>
      <c r="AO1540" s="54"/>
      <c r="AP1540" s="1"/>
      <c r="AQ1540" s="54"/>
      <c r="AR1540" s="171"/>
      <c r="AS1540" s="1"/>
      <c r="AT1540" s="1"/>
      <c r="AU1540" s="1"/>
    </row>
    <row r="1541">
      <c r="A1541" s="54"/>
      <c r="B1541" s="71"/>
      <c r="C1541" s="51"/>
      <c r="D1541" s="54"/>
      <c r="E1541" s="114"/>
      <c r="F1541" s="16"/>
      <c r="G1541" s="114"/>
      <c r="H1541" s="54"/>
      <c r="I1541" s="114"/>
      <c r="J1541" s="54"/>
      <c r="L1541" s="54"/>
      <c r="N1541" s="54"/>
      <c r="P1541" s="54"/>
      <c r="R1541" s="54"/>
      <c r="T1541" s="1"/>
      <c r="V1541" s="54"/>
      <c r="X1541" s="54"/>
      <c r="Z1541" s="54"/>
      <c r="AB1541" s="54"/>
      <c r="AD1541" s="54"/>
      <c r="AF1541" s="54"/>
      <c r="AH1541" s="54"/>
      <c r="AJ1541" s="54"/>
      <c r="AL1541" s="54"/>
      <c r="AO1541" s="54"/>
      <c r="AP1541" s="1"/>
      <c r="AQ1541" s="54"/>
      <c r="AR1541" s="171"/>
      <c r="AS1541" s="1"/>
      <c r="AT1541" s="1"/>
      <c r="AU1541" s="1"/>
    </row>
    <row r="1542">
      <c r="A1542" s="54"/>
      <c r="B1542" s="71"/>
      <c r="C1542" s="51"/>
      <c r="D1542" s="54"/>
      <c r="E1542" s="114"/>
      <c r="F1542" s="16"/>
      <c r="G1542" s="114"/>
      <c r="H1542" s="54"/>
      <c r="I1542" s="114"/>
      <c r="J1542" s="54"/>
      <c r="L1542" s="54"/>
      <c r="N1542" s="54"/>
      <c r="P1542" s="54"/>
      <c r="R1542" s="54"/>
      <c r="T1542" s="1"/>
      <c r="V1542" s="54"/>
      <c r="X1542" s="54"/>
      <c r="Z1542" s="54"/>
      <c r="AB1542" s="54"/>
      <c r="AD1542" s="54"/>
      <c r="AF1542" s="54"/>
      <c r="AH1542" s="54"/>
      <c r="AJ1542" s="54"/>
      <c r="AL1542" s="54"/>
      <c r="AO1542" s="54"/>
      <c r="AP1542" s="1"/>
      <c r="AQ1542" s="54"/>
      <c r="AR1542" s="171"/>
      <c r="AS1542" s="1"/>
      <c r="AT1542" s="1"/>
      <c r="AU1542" s="1"/>
    </row>
    <row r="1543">
      <c r="A1543" s="54"/>
      <c r="B1543" s="71"/>
      <c r="C1543" s="51"/>
      <c r="D1543" s="54"/>
      <c r="E1543" s="114"/>
      <c r="F1543" s="16"/>
      <c r="G1543" s="114"/>
      <c r="H1543" s="54"/>
      <c r="I1543" s="114"/>
      <c r="J1543" s="54"/>
      <c r="L1543" s="54"/>
      <c r="N1543" s="54"/>
      <c r="P1543" s="54"/>
      <c r="R1543" s="54"/>
      <c r="T1543" s="1"/>
      <c r="V1543" s="54"/>
      <c r="X1543" s="54"/>
      <c r="Z1543" s="54"/>
      <c r="AB1543" s="54"/>
      <c r="AD1543" s="54"/>
      <c r="AF1543" s="54"/>
      <c r="AH1543" s="54"/>
      <c r="AJ1543" s="54"/>
      <c r="AL1543" s="54"/>
      <c r="AO1543" s="54"/>
      <c r="AP1543" s="1"/>
      <c r="AQ1543" s="54"/>
      <c r="AR1543" s="171"/>
      <c r="AS1543" s="1"/>
      <c r="AT1543" s="1"/>
      <c r="AU1543" s="1"/>
    </row>
    <row r="1544">
      <c r="A1544" s="54"/>
      <c r="B1544" s="71"/>
      <c r="C1544" s="51"/>
      <c r="D1544" s="54"/>
      <c r="E1544" s="114"/>
      <c r="F1544" s="16"/>
      <c r="G1544" s="114"/>
      <c r="H1544" s="54"/>
      <c r="I1544" s="114"/>
      <c r="J1544" s="54"/>
      <c r="L1544" s="54"/>
      <c r="N1544" s="54"/>
      <c r="P1544" s="54"/>
      <c r="R1544" s="54"/>
      <c r="T1544" s="1"/>
      <c r="V1544" s="54"/>
      <c r="X1544" s="54"/>
      <c r="Z1544" s="54"/>
      <c r="AB1544" s="54"/>
      <c r="AD1544" s="54"/>
      <c r="AF1544" s="54"/>
      <c r="AH1544" s="54"/>
      <c r="AJ1544" s="54"/>
      <c r="AL1544" s="54"/>
      <c r="AO1544" s="54"/>
      <c r="AP1544" s="1"/>
      <c r="AQ1544" s="54"/>
      <c r="AR1544" s="171"/>
      <c r="AS1544" s="1"/>
      <c r="AT1544" s="1"/>
      <c r="AU1544" s="1"/>
    </row>
    <row r="1545">
      <c r="A1545" s="54"/>
      <c r="B1545" s="71"/>
      <c r="C1545" s="51"/>
      <c r="D1545" s="54"/>
      <c r="E1545" s="114"/>
      <c r="F1545" s="16"/>
      <c r="G1545" s="114"/>
      <c r="H1545" s="54"/>
      <c r="I1545" s="114"/>
      <c r="J1545" s="54"/>
      <c r="L1545" s="54"/>
      <c r="N1545" s="54"/>
      <c r="P1545" s="54"/>
      <c r="R1545" s="54"/>
      <c r="T1545" s="1"/>
      <c r="V1545" s="54"/>
      <c r="X1545" s="54"/>
      <c r="Z1545" s="54"/>
      <c r="AB1545" s="54"/>
      <c r="AD1545" s="54"/>
      <c r="AF1545" s="54"/>
      <c r="AH1545" s="54"/>
      <c r="AJ1545" s="54"/>
      <c r="AL1545" s="54"/>
      <c r="AO1545" s="54"/>
      <c r="AP1545" s="1"/>
      <c r="AQ1545" s="54"/>
      <c r="AR1545" s="171"/>
      <c r="AS1545" s="1"/>
      <c r="AT1545" s="1"/>
      <c r="AU1545" s="1"/>
    </row>
    <row r="1546">
      <c r="A1546" s="54"/>
      <c r="B1546" s="71"/>
      <c r="C1546" s="51"/>
      <c r="D1546" s="54"/>
      <c r="E1546" s="114"/>
      <c r="F1546" s="16"/>
      <c r="G1546" s="114"/>
      <c r="H1546" s="54"/>
      <c r="I1546" s="114"/>
      <c r="J1546" s="54"/>
      <c r="L1546" s="54"/>
      <c r="N1546" s="54"/>
      <c r="P1546" s="54"/>
      <c r="R1546" s="54"/>
      <c r="T1546" s="1"/>
      <c r="V1546" s="54"/>
      <c r="X1546" s="54"/>
      <c r="Z1546" s="54"/>
      <c r="AB1546" s="54"/>
      <c r="AD1546" s="54"/>
      <c r="AF1546" s="54"/>
      <c r="AH1546" s="54"/>
      <c r="AJ1546" s="54"/>
      <c r="AL1546" s="54"/>
      <c r="AO1546" s="54"/>
      <c r="AP1546" s="1"/>
      <c r="AQ1546" s="54"/>
      <c r="AR1546" s="171"/>
      <c r="AS1546" s="1"/>
      <c r="AT1546" s="1"/>
      <c r="AU1546" s="1"/>
    </row>
    <row r="1547">
      <c r="A1547" s="54"/>
      <c r="B1547" s="71"/>
      <c r="C1547" s="51"/>
      <c r="D1547" s="54"/>
      <c r="E1547" s="114"/>
      <c r="F1547" s="16"/>
      <c r="G1547" s="114"/>
      <c r="H1547" s="54"/>
      <c r="I1547" s="114"/>
      <c r="J1547" s="54"/>
      <c r="L1547" s="54"/>
      <c r="N1547" s="54"/>
      <c r="P1547" s="54"/>
      <c r="R1547" s="54"/>
      <c r="T1547" s="1"/>
      <c r="V1547" s="54"/>
      <c r="X1547" s="54"/>
      <c r="Z1547" s="54"/>
      <c r="AB1547" s="54"/>
      <c r="AD1547" s="54"/>
      <c r="AF1547" s="54"/>
      <c r="AH1547" s="54"/>
      <c r="AJ1547" s="54"/>
      <c r="AL1547" s="54"/>
      <c r="AO1547" s="54"/>
      <c r="AP1547" s="1"/>
      <c r="AQ1547" s="54"/>
      <c r="AR1547" s="171"/>
      <c r="AS1547" s="1"/>
      <c r="AT1547" s="1"/>
      <c r="AU1547" s="1"/>
    </row>
    <row r="1548">
      <c r="A1548" s="54"/>
      <c r="B1548" s="71"/>
      <c r="C1548" s="51"/>
      <c r="D1548" s="54"/>
      <c r="E1548" s="114"/>
      <c r="F1548" s="16"/>
      <c r="G1548" s="114"/>
      <c r="H1548" s="54"/>
      <c r="I1548" s="114"/>
      <c r="J1548" s="54"/>
      <c r="L1548" s="54"/>
      <c r="N1548" s="54"/>
      <c r="P1548" s="54"/>
      <c r="R1548" s="54"/>
      <c r="T1548" s="1"/>
      <c r="V1548" s="54"/>
      <c r="X1548" s="54"/>
      <c r="Z1548" s="54"/>
      <c r="AB1548" s="54"/>
      <c r="AD1548" s="54"/>
      <c r="AF1548" s="54"/>
      <c r="AH1548" s="54"/>
      <c r="AJ1548" s="54"/>
      <c r="AL1548" s="54"/>
      <c r="AO1548" s="54"/>
      <c r="AP1548" s="1"/>
      <c r="AQ1548" s="54"/>
      <c r="AR1548" s="171"/>
      <c r="AS1548" s="1"/>
      <c r="AT1548" s="1"/>
      <c r="AU1548" s="1"/>
    </row>
    <row r="1549">
      <c r="A1549" s="54"/>
      <c r="B1549" s="71"/>
      <c r="C1549" s="51"/>
      <c r="D1549" s="54"/>
      <c r="E1549" s="114"/>
      <c r="F1549" s="16"/>
      <c r="G1549" s="114"/>
      <c r="H1549" s="54"/>
      <c r="I1549" s="114"/>
      <c r="J1549" s="54"/>
      <c r="L1549" s="54"/>
      <c r="N1549" s="54"/>
      <c r="P1549" s="54"/>
      <c r="R1549" s="54"/>
      <c r="T1549" s="1"/>
      <c r="V1549" s="54"/>
      <c r="X1549" s="54"/>
      <c r="Z1549" s="54"/>
      <c r="AB1549" s="54"/>
      <c r="AD1549" s="54"/>
      <c r="AF1549" s="54"/>
      <c r="AH1549" s="54"/>
      <c r="AJ1549" s="54"/>
      <c r="AL1549" s="54"/>
      <c r="AO1549" s="54"/>
      <c r="AP1549" s="1"/>
      <c r="AQ1549" s="54"/>
      <c r="AR1549" s="171"/>
      <c r="AS1549" s="1"/>
      <c r="AT1549" s="1"/>
      <c r="AU1549" s="1"/>
    </row>
    <row r="1550">
      <c r="A1550" s="54"/>
      <c r="B1550" s="71"/>
      <c r="C1550" s="51"/>
      <c r="D1550" s="54"/>
      <c r="E1550" s="114"/>
      <c r="F1550" s="16"/>
      <c r="G1550" s="114"/>
      <c r="H1550" s="54"/>
      <c r="I1550" s="114"/>
      <c r="J1550" s="54"/>
      <c r="L1550" s="54"/>
      <c r="N1550" s="54"/>
      <c r="P1550" s="54"/>
      <c r="R1550" s="54"/>
      <c r="T1550" s="1"/>
      <c r="V1550" s="54"/>
      <c r="X1550" s="54"/>
      <c r="Z1550" s="54"/>
      <c r="AB1550" s="54"/>
      <c r="AD1550" s="54"/>
      <c r="AF1550" s="54"/>
      <c r="AH1550" s="54"/>
      <c r="AJ1550" s="54"/>
      <c r="AL1550" s="54"/>
      <c r="AO1550" s="54"/>
      <c r="AP1550" s="1"/>
      <c r="AQ1550" s="54"/>
      <c r="AR1550" s="171"/>
      <c r="AS1550" s="1"/>
      <c r="AT1550" s="1"/>
      <c r="AU1550" s="1"/>
    </row>
    <row r="1551">
      <c r="A1551" s="54"/>
      <c r="B1551" s="71"/>
      <c r="C1551" s="51"/>
      <c r="D1551" s="54"/>
      <c r="E1551" s="114"/>
      <c r="F1551" s="16"/>
      <c r="G1551" s="114"/>
      <c r="H1551" s="54"/>
      <c r="I1551" s="114"/>
      <c r="J1551" s="54"/>
      <c r="L1551" s="54"/>
      <c r="N1551" s="54"/>
      <c r="P1551" s="54"/>
      <c r="R1551" s="54"/>
      <c r="T1551" s="1"/>
      <c r="V1551" s="54"/>
      <c r="X1551" s="54"/>
      <c r="Z1551" s="54"/>
      <c r="AB1551" s="54"/>
      <c r="AD1551" s="54"/>
      <c r="AF1551" s="54"/>
      <c r="AH1551" s="54"/>
      <c r="AJ1551" s="54"/>
      <c r="AL1551" s="54"/>
      <c r="AO1551" s="54"/>
      <c r="AP1551" s="1"/>
      <c r="AQ1551" s="54"/>
      <c r="AR1551" s="171"/>
      <c r="AS1551" s="1"/>
      <c r="AT1551" s="1"/>
      <c r="AU1551" s="1"/>
    </row>
    <row r="1552">
      <c r="A1552" s="54"/>
      <c r="B1552" s="71"/>
      <c r="C1552" s="51"/>
      <c r="D1552" s="54"/>
      <c r="E1552" s="114"/>
      <c r="F1552" s="16"/>
      <c r="G1552" s="114"/>
      <c r="H1552" s="54"/>
      <c r="I1552" s="114"/>
      <c r="J1552" s="54"/>
      <c r="L1552" s="54"/>
      <c r="N1552" s="54"/>
      <c r="P1552" s="54"/>
      <c r="R1552" s="54"/>
      <c r="T1552" s="1"/>
      <c r="V1552" s="54"/>
      <c r="X1552" s="54"/>
      <c r="Z1552" s="54"/>
      <c r="AB1552" s="54"/>
      <c r="AD1552" s="54"/>
      <c r="AF1552" s="54"/>
      <c r="AH1552" s="54"/>
      <c r="AJ1552" s="54"/>
      <c r="AL1552" s="54"/>
      <c r="AO1552" s="54"/>
      <c r="AP1552" s="1"/>
      <c r="AQ1552" s="54"/>
      <c r="AR1552" s="171"/>
      <c r="AS1552" s="1"/>
      <c r="AT1552" s="1"/>
      <c r="AU1552" s="1"/>
    </row>
    <row r="1553">
      <c r="A1553" s="54"/>
      <c r="B1553" s="71"/>
      <c r="C1553" s="51"/>
      <c r="D1553" s="54"/>
      <c r="E1553" s="114"/>
      <c r="F1553" s="16"/>
      <c r="G1553" s="114"/>
      <c r="H1553" s="54"/>
      <c r="I1553" s="114"/>
      <c r="J1553" s="54"/>
      <c r="L1553" s="54"/>
      <c r="N1553" s="54"/>
      <c r="P1553" s="54"/>
      <c r="R1553" s="54"/>
      <c r="T1553" s="1"/>
      <c r="V1553" s="54"/>
      <c r="X1553" s="54"/>
      <c r="Z1553" s="54"/>
      <c r="AB1553" s="54"/>
      <c r="AD1553" s="54"/>
      <c r="AF1553" s="54"/>
      <c r="AH1553" s="54"/>
      <c r="AJ1553" s="54"/>
      <c r="AL1553" s="54"/>
      <c r="AO1553" s="54"/>
      <c r="AP1553" s="1"/>
      <c r="AQ1553" s="54"/>
      <c r="AR1553" s="171"/>
      <c r="AS1553" s="1"/>
      <c r="AT1553" s="1"/>
      <c r="AU1553" s="1"/>
    </row>
    <row r="1554">
      <c r="A1554" s="54"/>
      <c r="B1554" s="71"/>
      <c r="C1554" s="51"/>
      <c r="D1554" s="54"/>
      <c r="E1554" s="114"/>
      <c r="F1554" s="16"/>
      <c r="G1554" s="114"/>
      <c r="H1554" s="54"/>
      <c r="I1554" s="114"/>
      <c r="J1554" s="54"/>
      <c r="L1554" s="54"/>
      <c r="N1554" s="54"/>
      <c r="P1554" s="54"/>
      <c r="R1554" s="54"/>
      <c r="T1554" s="1"/>
      <c r="V1554" s="54"/>
      <c r="X1554" s="54"/>
      <c r="Z1554" s="54"/>
      <c r="AB1554" s="54"/>
      <c r="AD1554" s="54"/>
      <c r="AF1554" s="54"/>
      <c r="AH1554" s="54"/>
      <c r="AJ1554" s="54"/>
      <c r="AL1554" s="54"/>
      <c r="AO1554" s="54"/>
      <c r="AP1554" s="1"/>
      <c r="AQ1554" s="54"/>
      <c r="AR1554" s="171"/>
      <c r="AS1554" s="1"/>
      <c r="AT1554" s="1"/>
      <c r="AU1554" s="1"/>
    </row>
    <row r="1555">
      <c r="A1555" s="54"/>
      <c r="B1555" s="71"/>
      <c r="C1555" s="51"/>
      <c r="D1555" s="54"/>
      <c r="E1555" s="114"/>
      <c r="F1555" s="16"/>
      <c r="G1555" s="114"/>
      <c r="H1555" s="54"/>
      <c r="I1555" s="114"/>
      <c r="J1555" s="54"/>
      <c r="L1555" s="54"/>
      <c r="N1555" s="54"/>
      <c r="P1555" s="54"/>
      <c r="R1555" s="54"/>
      <c r="T1555" s="1"/>
      <c r="V1555" s="54"/>
      <c r="X1555" s="54"/>
      <c r="Z1555" s="54"/>
      <c r="AB1555" s="54"/>
      <c r="AD1555" s="54"/>
      <c r="AF1555" s="54"/>
      <c r="AH1555" s="54"/>
      <c r="AJ1555" s="54"/>
      <c r="AL1555" s="54"/>
      <c r="AO1555" s="54"/>
      <c r="AP1555" s="1"/>
      <c r="AQ1555" s="54"/>
      <c r="AR1555" s="171"/>
      <c r="AS1555" s="1"/>
      <c r="AT1555" s="1"/>
      <c r="AU1555" s="1"/>
    </row>
    <row r="1556">
      <c r="A1556" s="54"/>
      <c r="B1556" s="71"/>
      <c r="C1556" s="51"/>
      <c r="D1556" s="54"/>
      <c r="E1556" s="114"/>
      <c r="F1556" s="16"/>
      <c r="G1556" s="114"/>
      <c r="H1556" s="54"/>
      <c r="I1556" s="114"/>
      <c r="J1556" s="54"/>
      <c r="L1556" s="54"/>
      <c r="N1556" s="54"/>
      <c r="P1556" s="54"/>
      <c r="R1556" s="54"/>
      <c r="T1556" s="1"/>
      <c r="V1556" s="54"/>
      <c r="X1556" s="54"/>
      <c r="Z1556" s="54"/>
      <c r="AB1556" s="54"/>
      <c r="AD1556" s="54"/>
      <c r="AF1556" s="54"/>
      <c r="AH1556" s="54"/>
      <c r="AJ1556" s="54"/>
      <c r="AL1556" s="54"/>
      <c r="AO1556" s="54"/>
      <c r="AP1556" s="1"/>
      <c r="AQ1556" s="54"/>
      <c r="AR1556" s="171"/>
      <c r="AS1556" s="1"/>
      <c r="AT1556" s="1"/>
      <c r="AU1556" s="1"/>
    </row>
    <row r="1557">
      <c r="A1557" s="54"/>
      <c r="B1557" s="71"/>
      <c r="C1557" s="51"/>
      <c r="D1557" s="54"/>
      <c r="E1557" s="114"/>
      <c r="F1557" s="16"/>
      <c r="G1557" s="114"/>
      <c r="H1557" s="54"/>
      <c r="I1557" s="114"/>
      <c r="J1557" s="54"/>
      <c r="L1557" s="54"/>
      <c r="N1557" s="54"/>
      <c r="P1557" s="54"/>
      <c r="R1557" s="54"/>
      <c r="T1557" s="1"/>
      <c r="V1557" s="54"/>
      <c r="X1557" s="54"/>
      <c r="Z1557" s="54"/>
      <c r="AB1557" s="54"/>
      <c r="AD1557" s="54"/>
      <c r="AF1557" s="54"/>
      <c r="AH1557" s="54"/>
      <c r="AJ1557" s="54"/>
      <c r="AL1557" s="54"/>
      <c r="AO1557" s="54"/>
      <c r="AP1557" s="1"/>
      <c r="AQ1557" s="54"/>
      <c r="AR1557" s="171"/>
      <c r="AS1557" s="1"/>
      <c r="AT1557" s="1"/>
      <c r="AU1557" s="1"/>
    </row>
    <row r="1558">
      <c r="A1558" s="54"/>
      <c r="B1558" s="71"/>
      <c r="C1558" s="51"/>
      <c r="D1558" s="54"/>
      <c r="E1558" s="114"/>
      <c r="F1558" s="16"/>
      <c r="G1558" s="114"/>
      <c r="H1558" s="54"/>
      <c r="I1558" s="114"/>
      <c r="J1558" s="54"/>
      <c r="L1558" s="54"/>
      <c r="N1558" s="54"/>
      <c r="P1558" s="54"/>
      <c r="R1558" s="54"/>
      <c r="T1558" s="1"/>
      <c r="V1558" s="54"/>
      <c r="X1558" s="54"/>
      <c r="Z1558" s="54"/>
      <c r="AB1558" s="54"/>
      <c r="AD1558" s="54"/>
      <c r="AF1558" s="54"/>
      <c r="AH1558" s="54"/>
      <c r="AJ1558" s="54"/>
      <c r="AL1558" s="54"/>
      <c r="AO1558" s="54"/>
      <c r="AP1558" s="1"/>
      <c r="AQ1558" s="54"/>
      <c r="AR1558" s="171"/>
      <c r="AS1558" s="1"/>
      <c r="AT1558" s="1"/>
      <c r="AU1558" s="1"/>
    </row>
    <row r="1559">
      <c r="A1559" s="54"/>
      <c r="B1559" s="71"/>
      <c r="C1559" s="51"/>
      <c r="D1559" s="54"/>
      <c r="E1559" s="114"/>
      <c r="F1559" s="16"/>
      <c r="G1559" s="114"/>
      <c r="H1559" s="54"/>
      <c r="I1559" s="114"/>
      <c r="J1559" s="54"/>
      <c r="L1559" s="54"/>
      <c r="N1559" s="54"/>
      <c r="P1559" s="54"/>
      <c r="R1559" s="54"/>
      <c r="T1559" s="1"/>
      <c r="V1559" s="54"/>
      <c r="X1559" s="54"/>
      <c r="Z1559" s="54"/>
      <c r="AB1559" s="54"/>
      <c r="AD1559" s="54"/>
      <c r="AF1559" s="54"/>
      <c r="AH1559" s="54"/>
      <c r="AJ1559" s="54"/>
      <c r="AL1559" s="54"/>
      <c r="AO1559" s="54"/>
      <c r="AP1559" s="1"/>
      <c r="AQ1559" s="54"/>
      <c r="AR1559" s="171"/>
      <c r="AS1559" s="1"/>
      <c r="AT1559" s="1"/>
      <c r="AU1559" s="1"/>
    </row>
    <row r="1560">
      <c r="A1560" s="54"/>
      <c r="B1560" s="71"/>
      <c r="C1560" s="51"/>
      <c r="D1560" s="54"/>
      <c r="E1560" s="114"/>
      <c r="F1560" s="16"/>
      <c r="G1560" s="114"/>
      <c r="H1560" s="54"/>
      <c r="I1560" s="114"/>
      <c r="J1560" s="54"/>
      <c r="L1560" s="54"/>
      <c r="N1560" s="54"/>
      <c r="P1560" s="54"/>
      <c r="R1560" s="54"/>
      <c r="T1560" s="1"/>
      <c r="V1560" s="54"/>
      <c r="X1560" s="54"/>
      <c r="Z1560" s="54"/>
      <c r="AB1560" s="54"/>
      <c r="AD1560" s="54"/>
      <c r="AF1560" s="54"/>
      <c r="AH1560" s="54"/>
      <c r="AJ1560" s="54"/>
      <c r="AL1560" s="54"/>
      <c r="AO1560" s="54"/>
      <c r="AP1560" s="1"/>
      <c r="AQ1560" s="54"/>
      <c r="AR1560" s="171"/>
      <c r="AS1560" s="1"/>
      <c r="AT1560" s="1"/>
      <c r="AU1560" s="1"/>
    </row>
    <row r="1561">
      <c r="A1561" s="54"/>
      <c r="B1561" s="71"/>
      <c r="C1561" s="51"/>
      <c r="D1561" s="54"/>
      <c r="E1561" s="114"/>
      <c r="F1561" s="16"/>
      <c r="G1561" s="114"/>
      <c r="H1561" s="54"/>
      <c r="I1561" s="114"/>
      <c r="J1561" s="54"/>
      <c r="L1561" s="54"/>
      <c r="N1561" s="54"/>
      <c r="P1561" s="54"/>
      <c r="R1561" s="54"/>
      <c r="T1561" s="1"/>
      <c r="V1561" s="54"/>
      <c r="X1561" s="54"/>
      <c r="Z1561" s="54"/>
      <c r="AB1561" s="54"/>
      <c r="AD1561" s="54"/>
      <c r="AF1561" s="54"/>
      <c r="AH1561" s="54"/>
      <c r="AJ1561" s="54"/>
      <c r="AL1561" s="54"/>
      <c r="AO1561" s="54"/>
      <c r="AP1561" s="1"/>
      <c r="AQ1561" s="54"/>
      <c r="AR1561" s="171"/>
      <c r="AS1561" s="1"/>
      <c r="AT1561" s="1"/>
      <c r="AU1561" s="1"/>
    </row>
    <row r="1562">
      <c r="A1562" s="54"/>
      <c r="B1562" s="71"/>
      <c r="C1562" s="51"/>
      <c r="D1562" s="54"/>
      <c r="E1562" s="114"/>
      <c r="F1562" s="16"/>
      <c r="G1562" s="114"/>
      <c r="H1562" s="54"/>
      <c r="I1562" s="114"/>
      <c r="J1562" s="54"/>
      <c r="L1562" s="54"/>
      <c r="N1562" s="54"/>
      <c r="P1562" s="54"/>
      <c r="R1562" s="54"/>
      <c r="T1562" s="1"/>
      <c r="V1562" s="54"/>
      <c r="X1562" s="54"/>
      <c r="Z1562" s="54"/>
      <c r="AB1562" s="54"/>
      <c r="AD1562" s="54"/>
      <c r="AF1562" s="54"/>
      <c r="AH1562" s="54"/>
      <c r="AJ1562" s="54"/>
      <c r="AL1562" s="54"/>
      <c r="AO1562" s="54"/>
      <c r="AP1562" s="1"/>
      <c r="AQ1562" s="54"/>
      <c r="AR1562" s="171"/>
      <c r="AS1562" s="1"/>
      <c r="AT1562" s="1"/>
      <c r="AU1562" s="1"/>
    </row>
    <row r="1563">
      <c r="A1563" s="54"/>
      <c r="B1563" s="71"/>
      <c r="C1563" s="51"/>
      <c r="D1563" s="54"/>
      <c r="E1563" s="114"/>
      <c r="F1563" s="16"/>
      <c r="G1563" s="114"/>
      <c r="H1563" s="54"/>
      <c r="I1563" s="114"/>
      <c r="J1563" s="54"/>
      <c r="L1563" s="54"/>
      <c r="N1563" s="54"/>
      <c r="P1563" s="54"/>
      <c r="R1563" s="54"/>
      <c r="T1563" s="1"/>
      <c r="V1563" s="54"/>
      <c r="X1563" s="54"/>
      <c r="Z1563" s="54"/>
      <c r="AB1563" s="54"/>
      <c r="AD1563" s="54"/>
      <c r="AF1563" s="54"/>
      <c r="AH1563" s="54"/>
      <c r="AJ1563" s="54"/>
      <c r="AL1563" s="54"/>
      <c r="AO1563" s="54"/>
      <c r="AP1563" s="1"/>
      <c r="AQ1563" s="54"/>
      <c r="AR1563" s="171"/>
      <c r="AS1563" s="1"/>
      <c r="AT1563" s="1"/>
      <c r="AU1563" s="1"/>
    </row>
    <row r="1564">
      <c r="A1564" s="54"/>
      <c r="B1564" s="71"/>
      <c r="C1564" s="51"/>
      <c r="D1564" s="54"/>
      <c r="E1564" s="114"/>
      <c r="F1564" s="16"/>
      <c r="G1564" s="114"/>
      <c r="H1564" s="54"/>
      <c r="I1564" s="114"/>
      <c r="J1564" s="54"/>
      <c r="L1564" s="54"/>
      <c r="N1564" s="54"/>
      <c r="P1564" s="54"/>
      <c r="R1564" s="54"/>
      <c r="T1564" s="1"/>
      <c r="V1564" s="54"/>
      <c r="X1564" s="54"/>
      <c r="Z1564" s="54"/>
      <c r="AB1564" s="54"/>
      <c r="AD1564" s="54"/>
      <c r="AF1564" s="54"/>
      <c r="AH1564" s="54"/>
      <c r="AJ1564" s="54"/>
      <c r="AL1564" s="54"/>
      <c r="AO1564" s="54"/>
      <c r="AP1564" s="1"/>
      <c r="AQ1564" s="54"/>
      <c r="AR1564" s="171"/>
      <c r="AS1564" s="1"/>
      <c r="AT1564" s="1"/>
      <c r="AU1564" s="1"/>
    </row>
    <row r="1565">
      <c r="A1565" s="54"/>
      <c r="B1565" s="71"/>
      <c r="C1565" s="51"/>
      <c r="D1565" s="54"/>
      <c r="E1565" s="114"/>
      <c r="F1565" s="16"/>
      <c r="G1565" s="114"/>
      <c r="H1565" s="54"/>
      <c r="I1565" s="114"/>
      <c r="J1565" s="54"/>
      <c r="L1565" s="54"/>
      <c r="N1565" s="54"/>
      <c r="P1565" s="54"/>
      <c r="R1565" s="54"/>
      <c r="T1565" s="1"/>
      <c r="V1565" s="54"/>
      <c r="X1565" s="54"/>
      <c r="Z1565" s="54"/>
      <c r="AB1565" s="54"/>
      <c r="AD1565" s="54"/>
      <c r="AF1565" s="54"/>
      <c r="AH1565" s="54"/>
      <c r="AJ1565" s="54"/>
      <c r="AL1565" s="54"/>
      <c r="AO1565" s="54"/>
      <c r="AP1565" s="1"/>
      <c r="AQ1565" s="54"/>
      <c r="AR1565" s="171"/>
      <c r="AS1565" s="1"/>
      <c r="AT1565" s="1"/>
      <c r="AU1565" s="1"/>
    </row>
    <row r="1566">
      <c r="A1566" s="54"/>
      <c r="B1566" s="71"/>
      <c r="C1566" s="51"/>
      <c r="D1566" s="54"/>
      <c r="E1566" s="114"/>
      <c r="F1566" s="16"/>
      <c r="G1566" s="114"/>
      <c r="H1566" s="54"/>
      <c r="I1566" s="114"/>
      <c r="J1566" s="54"/>
      <c r="L1566" s="54"/>
      <c r="N1566" s="54"/>
      <c r="P1566" s="54"/>
      <c r="R1566" s="54"/>
      <c r="T1566" s="1"/>
      <c r="V1566" s="54"/>
      <c r="X1566" s="54"/>
      <c r="Z1566" s="54"/>
      <c r="AB1566" s="54"/>
      <c r="AD1566" s="54"/>
      <c r="AF1566" s="54"/>
      <c r="AH1566" s="54"/>
      <c r="AJ1566" s="54"/>
      <c r="AL1566" s="54"/>
      <c r="AO1566" s="54"/>
      <c r="AP1566" s="1"/>
      <c r="AQ1566" s="54"/>
      <c r="AR1566" s="171"/>
      <c r="AS1566" s="1"/>
      <c r="AT1566" s="1"/>
      <c r="AU1566" s="1"/>
    </row>
    <row r="1567">
      <c r="A1567" s="54"/>
      <c r="B1567" s="71"/>
      <c r="C1567" s="51"/>
      <c r="D1567" s="54"/>
      <c r="E1567" s="114"/>
      <c r="F1567" s="16"/>
      <c r="G1567" s="114"/>
      <c r="H1567" s="54"/>
      <c r="I1567" s="114"/>
      <c r="J1567" s="54"/>
      <c r="L1567" s="54"/>
      <c r="N1567" s="54"/>
      <c r="P1567" s="54"/>
      <c r="R1567" s="54"/>
      <c r="T1567" s="1"/>
      <c r="V1567" s="54"/>
      <c r="X1567" s="54"/>
      <c r="Z1567" s="54"/>
      <c r="AB1567" s="54"/>
      <c r="AD1567" s="54"/>
      <c r="AF1567" s="54"/>
      <c r="AH1567" s="54"/>
      <c r="AJ1567" s="54"/>
      <c r="AL1567" s="54"/>
      <c r="AO1567" s="54"/>
      <c r="AP1567" s="1"/>
      <c r="AQ1567" s="54"/>
      <c r="AR1567" s="171"/>
      <c r="AS1567" s="1"/>
      <c r="AT1567" s="1"/>
      <c r="AU1567" s="1"/>
    </row>
    <row r="1568">
      <c r="A1568" s="54"/>
      <c r="B1568" s="71"/>
      <c r="C1568" s="51"/>
      <c r="D1568" s="54"/>
      <c r="E1568" s="114"/>
      <c r="F1568" s="16"/>
      <c r="G1568" s="114"/>
      <c r="H1568" s="54"/>
      <c r="I1568" s="114"/>
      <c r="J1568" s="54"/>
      <c r="L1568" s="54"/>
      <c r="N1568" s="54"/>
      <c r="P1568" s="54"/>
      <c r="R1568" s="54"/>
      <c r="T1568" s="1"/>
      <c r="V1568" s="54"/>
      <c r="X1568" s="54"/>
      <c r="Z1568" s="54"/>
      <c r="AB1568" s="54"/>
      <c r="AD1568" s="54"/>
      <c r="AF1568" s="54"/>
      <c r="AH1568" s="54"/>
      <c r="AJ1568" s="54"/>
      <c r="AL1568" s="54"/>
      <c r="AO1568" s="54"/>
      <c r="AP1568" s="1"/>
      <c r="AQ1568" s="54"/>
      <c r="AR1568" s="171"/>
      <c r="AS1568" s="1"/>
      <c r="AT1568" s="1"/>
      <c r="AU1568" s="1"/>
    </row>
    <row r="1569">
      <c r="A1569" s="54"/>
      <c r="B1569" s="71"/>
      <c r="C1569" s="51"/>
      <c r="D1569" s="54"/>
      <c r="E1569" s="114"/>
      <c r="F1569" s="16"/>
      <c r="G1569" s="114"/>
      <c r="H1569" s="54"/>
      <c r="I1569" s="114"/>
      <c r="J1569" s="54"/>
      <c r="L1569" s="54"/>
      <c r="N1569" s="54"/>
      <c r="P1569" s="54"/>
      <c r="R1569" s="54"/>
      <c r="T1569" s="1"/>
      <c r="V1569" s="54"/>
      <c r="X1569" s="54"/>
      <c r="Z1569" s="54"/>
      <c r="AB1569" s="54"/>
      <c r="AD1569" s="54"/>
      <c r="AF1569" s="54"/>
      <c r="AH1569" s="54"/>
      <c r="AJ1569" s="54"/>
      <c r="AL1569" s="54"/>
      <c r="AO1569" s="54"/>
      <c r="AP1569" s="1"/>
      <c r="AQ1569" s="54"/>
      <c r="AR1569" s="171"/>
      <c r="AS1569" s="1"/>
      <c r="AT1569" s="1"/>
      <c r="AU1569" s="1"/>
    </row>
    <row r="1570">
      <c r="A1570" s="54"/>
      <c r="B1570" s="71"/>
      <c r="C1570" s="51"/>
      <c r="D1570" s="54"/>
      <c r="E1570" s="114"/>
      <c r="F1570" s="16"/>
      <c r="G1570" s="114"/>
      <c r="H1570" s="54"/>
      <c r="I1570" s="114"/>
      <c r="J1570" s="54"/>
      <c r="L1570" s="54"/>
      <c r="N1570" s="54"/>
      <c r="P1570" s="54"/>
      <c r="R1570" s="54"/>
      <c r="T1570" s="1"/>
      <c r="V1570" s="54"/>
      <c r="X1570" s="54"/>
      <c r="Z1570" s="54"/>
      <c r="AB1570" s="54"/>
      <c r="AD1570" s="54"/>
      <c r="AF1570" s="54"/>
      <c r="AH1570" s="54"/>
      <c r="AJ1570" s="54"/>
      <c r="AL1570" s="54"/>
      <c r="AO1570" s="54"/>
      <c r="AP1570" s="1"/>
      <c r="AQ1570" s="54"/>
      <c r="AR1570" s="171"/>
      <c r="AS1570" s="1"/>
      <c r="AT1570" s="1"/>
      <c r="AU1570" s="1"/>
    </row>
    <row r="1571">
      <c r="A1571" s="54"/>
      <c r="B1571" s="71"/>
      <c r="C1571" s="51"/>
      <c r="D1571" s="54"/>
      <c r="E1571" s="114"/>
      <c r="F1571" s="16"/>
      <c r="G1571" s="114"/>
      <c r="H1571" s="54"/>
      <c r="I1571" s="114"/>
      <c r="J1571" s="54"/>
      <c r="L1571" s="54"/>
      <c r="N1571" s="54"/>
      <c r="P1571" s="54"/>
      <c r="R1571" s="54"/>
      <c r="T1571" s="1"/>
      <c r="V1571" s="54"/>
      <c r="X1571" s="54"/>
      <c r="Z1571" s="54"/>
      <c r="AB1571" s="54"/>
      <c r="AD1571" s="54"/>
      <c r="AF1571" s="54"/>
      <c r="AH1571" s="54"/>
      <c r="AJ1571" s="54"/>
      <c r="AL1571" s="54"/>
      <c r="AO1571" s="54"/>
      <c r="AP1571" s="1"/>
      <c r="AQ1571" s="54"/>
      <c r="AR1571" s="171"/>
      <c r="AS1571" s="1"/>
      <c r="AT1571" s="1"/>
      <c r="AU1571" s="1"/>
    </row>
    <row r="1572">
      <c r="A1572" s="54"/>
      <c r="B1572" s="71"/>
      <c r="C1572" s="51"/>
      <c r="D1572" s="54"/>
      <c r="E1572" s="114"/>
      <c r="F1572" s="16"/>
      <c r="G1572" s="114"/>
      <c r="H1572" s="54"/>
      <c r="I1572" s="114"/>
      <c r="J1572" s="54"/>
      <c r="L1572" s="54"/>
      <c r="N1572" s="54"/>
      <c r="P1572" s="54"/>
      <c r="R1572" s="54"/>
      <c r="T1572" s="1"/>
      <c r="V1572" s="54"/>
      <c r="X1572" s="54"/>
      <c r="Z1572" s="54"/>
      <c r="AB1572" s="54"/>
      <c r="AD1572" s="54"/>
      <c r="AF1572" s="54"/>
      <c r="AH1572" s="54"/>
      <c r="AJ1572" s="54"/>
      <c r="AL1572" s="54"/>
      <c r="AO1572" s="54"/>
      <c r="AP1572" s="1"/>
      <c r="AQ1572" s="54"/>
      <c r="AR1572" s="171"/>
      <c r="AS1572" s="1"/>
      <c r="AT1572" s="1"/>
      <c r="AU1572" s="1"/>
    </row>
    <row r="1573">
      <c r="A1573" s="54"/>
      <c r="B1573" s="71"/>
      <c r="C1573" s="51"/>
      <c r="D1573" s="54"/>
      <c r="E1573" s="114"/>
      <c r="F1573" s="16"/>
      <c r="G1573" s="114"/>
      <c r="H1573" s="54"/>
      <c r="I1573" s="114"/>
      <c r="J1573" s="54"/>
      <c r="L1573" s="54"/>
      <c r="N1573" s="54"/>
      <c r="P1573" s="54"/>
      <c r="R1573" s="54"/>
      <c r="T1573" s="1"/>
      <c r="V1573" s="54"/>
      <c r="X1573" s="54"/>
      <c r="Z1573" s="54"/>
      <c r="AB1573" s="54"/>
      <c r="AD1573" s="54"/>
      <c r="AF1573" s="54"/>
      <c r="AH1573" s="54"/>
      <c r="AJ1573" s="54"/>
      <c r="AL1573" s="54"/>
      <c r="AO1573" s="54"/>
      <c r="AP1573" s="1"/>
      <c r="AQ1573" s="54"/>
      <c r="AR1573" s="171"/>
      <c r="AS1573" s="1"/>
      <c r="AT1573" s="1"/>
      <c r="AU1573" s="1"/>
    </row>
    <row r="1574">
      <c r="A1574" s="54"/>
      <c r="B1574" s="71"/>
      <c r="C1574" s="51"/>
      <c r="D1574" s="54"/>
      <c r="E1574" s="114"/>
      <c r="F1574" s="16"/>
      <c r="G1574" s="114"/>
      <c r="H1574" s="54"/>
      <c r="I1574" s="114"/>
      <c r="J1574" s="54"/>
      <c r="L1574" s="54"/>
      <c r="N1574" s="54"/>
      <c r="P1574" s="54"/>
      <c r="R1574" s="54"/>
      <c r="T1574" s="1"/>
      <c r="V1574" s="54"/>
      <c r="X1574" s="54"/>
      <c r="Z1574" s="54"/>
      <c r="AB1574" s="54"/>
      <c r="AD1574" s="54"/>
      <c r="AF1574" s="54"/>
      <c r="AH1574" s="54"/>
      <c r="AJ1574" s="54"/>
      <c r="AL1574" s="54"/>
      <c r="AO1574" s="54"/>
      <c r="AP1574" s="1"/>
      <c r="AQ1574" s="54"/>
      <c r="AR1574" s="171"/>
      <c r="AS1574" s="1"/>
      <c r="AT1574" s="1"/>
      <c r="AU1574" s="1"/>
    </row>
    <row r="1575">
      <c r="A1575" s="54"/>
      <c r="B1575" s="71"/>
      <c r="C1575" s="51"/>
      <c r="D1575" s="54"/>
      <c r="E1575" s="114"/>
      <c r="F1575" s="16"/>
      <c r="G1575" s="114"/>
      <c r="H1575" s="54"/>
      <c r="I1575" s="114"/>
      <c r="J1575" s="54"/>
      <c r="L1575" s="54"/>
      <c r="N1575" s="54"/>
      <c r="P1575" s="54"/>
      <c r="R1575" s="54"/>
      <c r="T1575" s="1"/>
      <c r="V1575" s="54"/>
      <c r="X1575" s="54"/>
      <c r="Z1575" s="54"/>
      <c r="AB1575" s="54"/>
      <c r="AD1575" s="54"/>
      <c r="AF1575" s="54"/>
      <c r="AH1575" s="54"/>
      <c r="AJ1575" s="54"/>
      <c r="AL1575" s="54"/>
      <c r="AO1575" s="54"/>
      <c r="AP1575" s="1"/>
      <c r="AQ1575" s="54"/>
      <c r="AR1575" s="171"/>
      <c r="AS1575" s="1"/>
      <c r="AT1575" s="1"/>
      <c r="AU1575" s="1"/>
    </row>
    <row r="1576">
      <c r="A1576" s="54"/>
      <c r="B1576" s="71"/>
      <c r="C1576" s="51"/>
      <c r="D1576" s="54"/>
      <c r="E1576" s="114"/>
      <c r="F1576" s="16"/>
      <c r="G1576" s="114"/>
      <c r="H1576" s="54"/>
      <c r="I1576" s="114"/>
      <c r="J1576" s="54"/>
      <c r="L1576" s="54"/>
      <c r="N1576" s="54"/>
      <c r="P1576" s="54"/>
      <c r="R1576" s="54"/>
      <c r="T1576" s="1"/>
      <c r="V1576" s="54"/>
      <c r="X1576" s="54"/>
      <c r="Z1576" s="54"/>
      <c r="AB1576" s="54"/>
      <c r="AD1576" s="54"/>
      <c r="AF1576" s="54"/>
      <c r="AH1576" s="54"/>
      <c r="AJ1576" s="54"/>
      <c r="AL1576" s="54"/>
      <c r="AO1576" s="54"/>
      <c r="AP1576" s="1"/>
      <c r="AQ1576" s="54"/>
      <c r="AR1576" s="171"/>
      <c r="AS1576" s="1"/>
      <c r="AT1576" s="1"/>
      <c r="AU1576" s="1"/>
    </row>
    <row r="1577">
      <c r="A1577" s="54"/>
      <c r="B1577" s="71"/>
      <c r="C1577" s="51"/>
      <c r="D1577" s="54"/>
      <c r="E1577" s="114"/>
      <c r="F1577" s="16"/>
      <c r="G1577" s="114"/>
      <c r="H1577" s="54"/>
      <c r="I1577" s="114"/>
      <c r="J1577" s="54"/>
      <c r="L1577" s="54"/>
      <c r="N1577" s="54"/>
      <c r="P1577" s="54"/>
      <c r="R1577" s="54"/>
      <c r="T1577" s="1"/>
      <c r="V1577" s="54"/>
      <c r="X1577" s="54"/>
      <c r="Z1577" s="54"/>
      <c r="AB1577" s="54"/>
      <c r="AD1577" s="54"/>
      <c r="AF1577" s="54"/>
      <c r="AH1577" s="54"/>
      <c r="AJ1577" s="54"/>
      <c r="AL1577" s="54"/>
      <c r="AO1577" s="54"/>
      <c r="AP1577" s="1"/>
      <c r="AQ1577" s="54"/>
      <c r="AR1577" s="171"/>
      <c r="AS1577" s="1"/>
      <c r="AT1577" s="1"/>
      <c r="AU1577" s="1"/>
    </row>
    <row r="1578">
      <c r="A1578" s="54"/>
      <c r="B1578" s="71"/>
      <c r="C1578" s="51"/>
      <c r="D1578" s="54"/>
      <c r="E1578" s="114"/>
      <c r="F1578" s="16"/>
      <c r="G1578" s="114"/>
      <c r="H1578" s="54"/>
      <c r="I1578" s="114"/>
      <c r="J1578" s="54"/>
      <c r="L1578" s="54"/>
      <c r="N1578" s="54"/>
      <c r="P1578" s="54"/>
      <c r="R1578" s="54"/>
      <c r="T1578" s="1"/>
      <c r="V1578" s="54"/>
      <c r="X1578" s="54"/>
      <c r="Z1578" s="54"/>
      <c r="AB1578" s="54"/>
      <c r="AD1578" s="54"/>
      <c r="AF1578" s="54"/>
      <c r="AH1578" s="54"/>
      <c r="AJ1578" s="54"/>
      <c r="AL1578" s="54"/>
      <c r="AO1578" s="54"/>
      <c r="AP1578" s="1"/>
      <c r="AQ1578" s="54"/>
      <c r="AR1578" s="171"/>
      <c r="AS1578" s="1"/>
      <c r="AT1578" s="1"/>
      <c r="AU1578" s="1"/>
    </row>
    <row r="1579">
      <c r="A1579" s="54"/>
      <c r="B1579" s="71"/>
      <c r="C1579" s="51"/>
      <c r="D1579" s="54"/>
      <c r="E1579" s="114"/>
      <c r="F1579" s="16"/>
      <c r="G1579" s="114"/>
      <c r="H1579" s="54"/>
      <c r="I1579" s="114"/>
      <c r="J1579" s="54"/>
      <c r="L1579" s="54"/>
      <c r="N1579" s="54"/>
      <c r="P1579" s="54"/>
      <c r="R1579" s="54"/>
      <c r="T1579" s="1"/>
      <c r="V1579" s="54"/>
      <c r="X1579" s="54"/>
      <c r="Z1579" s="54"/>
      <c r="AB1579" s="54"/>
      <c r="AD1579" s="54"/>
      <c r="AF1579" s="54"/>
      <c r="AH1579" s="54"/>
      <c r="AJ1579" s="54"/>
      <c r="AL1579" s="54"/>
      <c r="AO1579" s="54"/>
      <c r="AP1579" s="1"/>
      <c r="AQ1579" s="54"/>
      <c r="AR1579" s="171"/>
      <c r="AS1579" s="1"/>
      <c r="AT1579" s="1"/>
      <c r="AU1579" s="1"/>
    </row>
    <row r="1580">
      <c r="A1580" s="54"/>
      <c r="B1580" s="71"/>
      <c r="C1580" s="51"/>
      <c r="D1580" s="54"/>
      <c r="E1580" s="114"/>
      <c r="F1580" s="16"/>
      <c r="G1580" s="114"/>
      <c r="H1580" s="54"/>
      <c r="I1580" s="114"/>
      <c r="J1580" s="54"/>
      <c r="L1580" s="54"/>
      <c r="N1580" s="54"/>
      <c r="P1580" s="54"/>
      <c r="R1580" s="54"/>
      <c r="T1580" s="1"/>
      <c r="V1580" s="54"/>
      <c r="X1580" s="54"/>
      <c r="Z1580" s="54"/>
      <c r="AB1580" s="54"/>
      <c r="AD1580" s="54"/>
      <c r="AF1580" s="54"/>
      <c r="AH1580" s="54"/>
      <c r="AJ1580" s="54"/>
      <c r="AL1580" s="54"/>
      <c r="AO1580" s="54"/>
      <c r="AP1580" s="1"/>
      <c r="AQ1580" s="54"/>
      <c r="AR1580" s="171"/>
      <c r="AS1580" s="1"/>
      <c r="AT1580" s="1"/>
      <c r="AU1580" s="1"/>
    </row>
    <row r="1581">
      <c r="A1581" s="54"/>
      <c r="B1581" s="71"/>
      <c r="C1581" s="51"/>
      <c r="D1581" s="54"/>
      <c r="E1581" s="114"/>
      <c r="F1581" s="16"/>
      <c r="G1581" s="114"/>
      <c r="H1581" s="54"/>
      <c r="I1581" s="114"/>
      <c r="J1581" s="54"/>
      <c r="L1581" s="54"/>
      <c r="N1581" s="54"/>
      <c r="P1581" s="54"/>
      <c r="R1581" s="54"/>
      <c r="T1581" s="1"/>
      <c r="V1581" s="54"/>
      <c r="X1581" s="54"/>
      <c r="Z1581" s="54"/>
      <c r="AB1581" s="54"/>
      <c r="AD1581" s="54"/>
      <c r="AF1581" s="54"/>
      <c r="AH1581" s="54"/>
      <c r="AJ1581" s="54"/>
      <c r="AL1581" s="54"/>
      <c r="AO1581" s="54"/>
      <c r="AP1581" s="1"/>
      <c r="AQ1581" s="54"/>
      <c r="AR1581" s="171"/>
      <c r="AS1581" s="1"/>
      <c r="AT1581" s="1"/>
      <c r="AU1581" s="1"/>
    </row>
    <row r="1582">
      <c r="A1582" s="54"/>
      <c r="B1582" s="71"/>
      <c r="C1582" s="51"/>
      <c r="D1582" s="54"/>
      <c r="E1582" s="114"/>
      <c r="F1582" s="16"/>
      <c r="G1582" s="114"/>
      <c r="H1582" s="54"/>
      <c r="I1582" s="114"/>
      <c r="J1582" s="54"/>
      <c r="L1582" s="54"/>
      <c r="N1582" s="54"/>
      <c r="P1582" s="54"/>
      <c r="R1582" s="54"/>
      <c r="T1582" s="1"/>
      <c r="V1582" s="54"/>
      <c r="X1582" s="54"/>
      <c r="Z1582" s="54"/>
      <c r="AB1582" s="54"/>
      <c r="AD1582" s="54"/>
      <c r="AF1582" s="54"/>
      <c r="AH1582" s="54"/>
      <c r="AJ1582" s="54"/>
      <c r="AL1582" s="54"/>
      <c r="AO1582" s="54"/>
      <c r="AP1582" s="1"/>
      <c r="AQ1582" s="54"/>
      <c r="AR1582" s="171"/>
      <c r="AS1582" s="1"/>
      <c r="AT1582" s="1"/>
      <c r="AU1582" s="1"/>
    </row>
    <row r="1583">
      <c r="A1583" s="54"/>
      <c r="B1583" s="71"/>
      <c r="C1583" s="51"/>
      <c r="D1583" s="54"/>
      <c r="E1583" s="114"/>
      <c r="F1583" s="16"/>
      <c r="G1583" s="114"/>
      <c r="H1583" s="54"/>
      <c r="I1583" s="114"/>
      <c r="J1583" s="54"/>
      <c r="L1583" s="54"/>
      <c r="N1583" s="54"/>
      <c r="P1583" s="54"/>
      <c r="R1583" s="54"/>
      <c r="T1583" s="1"/>
      <c r="V1583" s="54"/>
      <c r="X1583" s="54"/>
      <c r="Z1583" s="54"/>
      <c r="AB1583" s="54"/>
      <c r="AD1583" s="54"/>
      <c r="AF1583" s="54"/>
      <c r="AH1583" s="54"/>
      <c r="AJ1583" s="54"/>
      <c r="AL1583" s="54"/>
      <c r="AO1583" s="54"/>
      <c r="AP1583" s="1"/>
      <c r="AQ1583" s="54"/>
      <c r="AR1583" s="171"/>
      <c r="AS1583" s="1"/>
      <c r="AT1583" s="1"/>
      <c r="AU1583" s="1"/>
    </row>
    <row r="1584">
      <c r="A1584" s="54"/>
      <c r="B1584" s="71"/>
      <c r="C1584" s="51"/>
      <c r="D1584" s="54"/>
      <c r="E1584" s="114"/>
      <c r="F1584" s="16"/>
      <c r="G1584" s="114"/>
      <c r="H1584" s="54"/>
      <c r="I1584" s="114"/>
      <c r="J1584" s="54"/>
      <c r="L1584" s="54"/>
      <c r="N1584" s="54"/>
      <c r="P1584" s="54"/>
      <c r="R1584" s="54"/>
      <c r="T1584" s="1"/>
      <c r="V1584" s="54"/>
      <c r="X1584" s="54"/>
      <c r="Z1584" s="54"/>
      <c r="AB1584" s="54"/>
      <c r="AD1584" s="54"/>
      <c r="AF1584" s="54"/>
      <c r="AH1584" s="54"/>
      <c r="AJ1584" s="54"/>
      <c r="AL1584" s="54"/>
      <c r="AO1584" s="54"/>
      <c r="AP1584" s="1"/>
      <c r="AQ1584" s="54"/>
      <c r="AR1584" s="171"/>
      <c r="AS1584" s="1"/>
      <c r="AT1584" s="1"/>
      <c r="AU1584" s="1"/>
    </row>
    <row r="1585">
      <c r="A1585" s="54"/>
      <c r="B1585" s="71"/>
      <c r="C1585" s="51"/>
      <c r="D1585" s="54"/>
      <c r="E1585" s="114"/>
      <c r="F1585" s="16"/>
      <c r="G1585" s="114"/>
      <c r="H1585" s="54"/>
      <c r="I1585" s="114"/>
      <c r="J1585" s="54"/>
      <c r="L1585" s="54"/>
      <c r="N1585" s="54"/>
      <c r="P1585" s="54"/>
      <c r="R1585" s="54"/>
      <c r="T1585" s="1"/>
      <c r="V1585" s="54"/>
      <c r="X1585" s="54"/>
      <c r="Z1585" s="54"/>
      <c r="AB1585" s="54"/>
      <c r="AD1585" s="54"/>
      <c r="AF1585" s="54"/>
      <c r="AH1585" s="54"/>
      <c r="AJ1585" s="54"/>
      <c r="AL1585" s="54"/>
      <c r="AO1585" s="54"/>
      <c r="AP1585" s="1"/>
      <c r="AQ1585" s="54"/>
      <c r="AR1585" s="171"/>
      <c r="AS1585" s="1"/>
      <c r="AT1585" s="1"/>
      <c r="AU1585" s="1"/>
    </row>
    <row r="1586">
      <c r="A1586" s="54"/>
      <c r="B1586" s="71"/>
      <c r="C1586" s="51"/>
      <c r="D1586" s="54"/>
      <c r="E1586" s="114"/>
      <c r="F1586" s="16"/>
      <c r="G1586" s="114"/>
      <c r="H1586" s="54"/>
      <c r="I1586" s="114"/>
      <c r="J1586" s="54"/>
      <c r="L1586" s="54"/>
      <c r="N1586" s="54"/>
      <c r="P1586" s="54"/>
      <c r="R1586" s="54"/>
      <c r="T1586" s="1"/>
      <c r="V1586" s="54"/>
      <c r="X1586" s="54"/>
      <c r="Z1586" s="54"/>
      <c r="AB1586" s="54"/>
      <c r="AD1586" s="54"/>
      <c r="AF1586" s="54"/>
      <c r="AH1586" s="54"/>
      <c r="AJ1586" s="54"/>
      <c r="AL1586" s="54"/>
      <c r="AO1586" s="54"/>
      <c r="AP1586" s="1"/>
      <c r="AQ1586" s="54"/>
      <c r="AR1586" s="171"/>
      <c r="AS1586" s="1"/>
      <c r="AT1586" s="1"/>
      <c r="AU1586" s="1"/>
    </row>
    <row r="1587">
      <c r="A1587" s="54"/>
      <c r="B1587" s="71"/>
      <c r="C1587" s="51"/>
      <c r="D1587" s="54"/>
      <c r="E1587" s="114"/>
      <c r="F1587" s="16"/>
      <c r="G1587" s="114"/>
      <c r="H1587" s="54"/>
      <c r="I1587" s="114"/>
      <c r="J1587" s="54"/>
      <c r="L1587" s="54"/>
      <c r="N1587" s="54"/>
      <c r="P1587" s="54"/>
      <c r="R1587" s="54"/>
      <c r="T1587" s="1"/>
      <c r="V1587" s="54"/>
      <c r="X1587" s="54"/>
      <c r="Z1587" s="54"/>
      <c r="AB1587" s="54"/>
      <c r="AD1587" s="54"/>
      <c r="AF1587" s="54"/>
      <c r="AH1587" s="54"/>
      <c r="AJ1587" s="54"/>
      <c r="AL1587" s="54"/>
      <c r="AO1587" s="54"/>
      <c r="AP1587" s="1"/>
      <c r="AQ1587" s="54"/>
      <c r="AR1587" s="171"/>
      <c r="AS1587" s="1"/>
      <c r="AT1587" s="1"/>
      <c r="AU1587" s="1"/>
    </row>
    <row r="1588">
      <c r="A1588" s="54"/>
      <c r="B1588" s="71"/>
      <c r="C1588" s="51"/>
      <c r="D1588" s="54"/>
      <c r="E1588" s="114"/>
      <c r="F1588" s="16"/>
      <c r="G1588" s="114"/>
      <c r="H1588" s="54"/>
      <c r="I1588" s="114"/>
      <c r="J1588" s="54"/>
      <c r="L1588" s="54"/>
      <c r="N1588" s="54"/>
      <c r="P1588" s="54"/>
      <c r="R1588" s="54"/>
      <c r="T1588" s="1"/>
      <c r="V1588" s="54"/>
      <c r="X1588" s="54"/>
      <c r="Z1588" s="54"/>
      <c r="AB1588" s="54"/>
      <c r="AD1588" s="54"/>
      <c r="AF1588" s="54"/>
      <c r="AH1588" s="54"/>
      <c r="AJ1588" s="54"/>
      <c r="AL1588" s="54"/>
      <c r="AO1588" s="54"/>
      <c r="AP1588" s="1"/>
      <c r="AQ1588" s="54"/>
      <c r="AR1588" s="171"/>
      <c r="AS1588" s="1"/>
      <c r="AT1588" s="1"/>
      <c r="AU1588" s="1"/>
    </row>
    <row r="1589">
      <c r="A1589" s="54"/>
      <c r="B1589" s="71"/>
      <c r="C1589" s="51"/>
      <c r="D1589" s="54"/>
      <c r="E1589" s="114"/>
      <c r="F1589" s="16"/>
      <c r="G1589" s="114"/>
      <c r="H1589" s="54"/>
      <c r="I1589" s="114"/>
      <c r="J1589" s="54"/>
      <c r="L1589" s="54"/>
      <c r="N1589" s="54"/>
      <c r="P1589" s="54"/>
      <c r="R1589" s="54"/>
      <c r="T1589" s="1"/>
      <c r="V1589" s="54"/>
      <c r="X1589" s="54"/>
      <c r="Z1589" s="54"/>
      <c r="AB1589" s="54"/>
      <c r="AD1589" s="54"/>
      <c r="AF1589" s="54"/>
      <c r="AH1589" s="54"/>
      <c r="AJ1589" s="54"/>
      <c r="AL1589" s="54"/>
      <c r="AO1589" s="54"/>
      <c r="AP1589" s="1"/>
      <c r="AQ1589" s="54"/>
      <c r="AR1589" s="171"/>
      <c r="AS1589" s="1"/>
      <c r="AT1589" s="1"/>
      <c r="AU1589" s="1"/>
    </row>
    <row r="1590">
      <c r="A1590" s="54"/>
      <c r="B1590" s="71"/>
      <c r="C1590" s="51"/>
      <c r="D1590" s="54"/>
      <c r="E1590" s="114"/>
      <c r="F1590" s="16"/>
      <c r="G1590" s="114"/>
      <c r="H1590" s="54"/>
      <c r="I1590" s="114"/>
      <c r="J1590" s="54"/>
      <c r="L1590" s="54"/>
      <c r="N1590" s="54"/>
      <c r="P1590" s="54"/>
      <c r="R1590" s="54"/>
      <c r="T1590" s="1"/>
      <c r="V1590" s="54"/>
      <c r="X1590" s="54"/>
      <c r="Z1590" s="54"/>
      <c r="AB1590" s="54"/>
      <c r="AD1590" s="54"/>
      <c r="AF1590" s="54"/>
      <c r="AH1590" s="54"/>
      <c r="AJ1590" s="54"/>
      <c r="AL1590" s="54"/>
      <c r="AO1590" s="54"/>
      <c r="AP1590" s="1"/>
      <c r="AQ1590" s="54"/>
      <c r="AR1590" s="171"/>
      <c r="AS1590" s="1"/>
      <c r="AT1590" s="1"/>
      <c r="AU1590" s="1"/>
    </row>
    <row r="1591">
      <c r="A1591" s="54"/>
      <c r="B1591" s="71"/>
      <c r="C1591" s="51"/>
      <c r="D1591" s="54"/>
      <c r="E1591" s="114"/>
      <c r="F1591" s="16"/>
      <c r="G1591" s="114"/>
      <c r="H1591" s="54"/>
      <c r="I1591" s="114"/>
      <c r="J1591" s="54"/>
      <c r="L1591" s="54"/>
      <c r="N1591" s="54"/>
      <c r="P1591" s="54"/>
      <c r="R1591" s="54"/>
      <c r="T1591" s="1"/>
      <c r="V1591" s="54"/>
      <c r="X1591" s="54"/>
      <c r="Z1591" s="54"/>
      <c r="AB1591" s="54"/>
      <c r="AD1591" s="54"/>
      <c r="AF1591" s="54"/>
      <c r="AH1591" s="54"/>
      <c r="AJ1591" s="54"/>
      <c r="AL1591" s="54"/>
      <c r="AO1591" s="54"/>
      <c r="AP1591" s="1"/>
      <c r="AQ1591" s="54"/>
      <c r="AR1591" s="171"/>
      <c r="AS1591" s="1"/>
      <c r="AT1591" s="1"/>
      <c r="AU1591" s="1"/>
    </row>
    <row r="1592">
      <c r="A1592" s="54"/>
      <c r="B1592" s="71"/>
      <c r="C1592" s="51"/>
      <c r="D1592" s="54"/>
      <c r="E1592" s="114"/>
      <c r="F1592" s="16"/>
      <c r="G1592" s="114"/>
      <c r="H1592" s="54"/>
      <c r="I1592" s="114"/>
      <c r="J1592" s="54"/>
      <c r="L1592" s="54"/>
      <c r="N1592" s="54"/>
      <c r="P1592" s="54"/>
      <c r="R1592" s="54"/>
      <c r="T1592" s="1"/>
      <c r="V1592" s="54"/>
      <c r="X1592" s="54"/>
      <c r="Z1592" s="54"/>
      <c r="AB1592" s="54"/>
      <c r="AD1592" s="54"/>
      <c r="AF1592" s="54"/>
      <c r="AH1592" s="54"/>
      <c r="AJ1592" s="54"/>
      <c r="AL1592" s="54"/>
      <c r="AO1592" s="54"/>
      <c r="AP1592" s="1"/>
      <c r="AQ1592" s="54"/>
      <c r="AR1592" s="171"/>
      <c r="AS1592" s="1"/>
      <c r="AT1592" s="1"/>
      <c r="AU1592" s="1"/>
    </row>
    <row r="1593">
      <c r="A1593" s="54"/>
      <c r="B1593" s="71"/>
      <c r="C1593" s="51"/>
      <c r="D1593" s="54"/>
      <c r="E1593" s="114"/>
      <c r="F1593" s="16"/>
      <c r="G1593" s="114"/>
      <c r="H1593" s="54"/>
      <c r="I1593" s="114"/>
      <c r="J1593" s="54"/>
      <c r="L1593" s="54"/>
      <c r="N1593" s="54"/>
      <c r="P1593" s="54"/>
      <c r="R1593" s="54"/>
      <c r="T1593" s="1"/>
      <c r="V1593" s="54"/>
      <c r="X1593" s="54"/>
      <c r="Z1593" s="54"/>
      <c r="AB1593" s="54"/>
      <c r="AD1593" s="54"/>
      <c r="AF1593" s="54"/>
      <c r="AH1593" s="54"/>
      <c r="AJ1593" s="54"/>
      <c r="AL1593" s="54"/>
      <c r="AO1593" s="54"/>
      <c r="AP1593" s="1"/>
      <c r="AQ1593" s="54"/>
      <c r="AR1593" s="171"/>
      <c r="AS1593" s="1"/>
      <c r="AT1593" s="1"/>
      <c r="AU1593" s="1"/>
    </row>
    <row r="1594">
      <c r="A1594" s="54"/>
      <c r="B1594" s="71"/>
      <c r="C1594" s="51"/>
      <c r="D1594" s="54"/>
      <c r="E1594" s="114"/>
      <c r="F1594" s="16"/>
      <c r="G1594" s="114"/>
      <c r="H1594" s="54"/>
      <c r="I1594" s="114"/>
      <c r="J1594" s="54"/>
      <c r="L1594" s="54"/>
      <c r="N1594" s="54"/>
      <c r="P1594" s="54"/>
      <c r="R1594" s="54"/>
      <c r="T1594" s="1"/>
      <c r="V1594" s="54"/>
      <c r="X1594" s="54"/>
      <c r="Z1594" s="54"/>
      <c r="AB1594" s="54"/>
      <c r="AD1594" s="54"/>
      <c r="AF1594" s="54"/>
      <c r="AH1594" s="54"/>
      <c r="AJ1594" s="54"/>
      <c r="AL1594" s="54"/>
      <c r="AO1594" s="54"/>
      <c r="AP1594" s="1"/>
      <c r="AQ1594" s="54"/>
      <c r="AR1594" s="171"/>
      <c r="AS1594" s="1"/>
      <c r="AT1594" s="1"/>
      <c r="AU1594" s="1"/>
    </row>
    <row r="1595">
      <c r="A1595" s="54"/>
      <c r="B1595" s="71"/>
      <c r="C1595" s="51"/>
      <c r="D1595" s="54"/>
      <c r="E1595" s="114"/>
      <c r="F1595" s="16"/>
      <c r="G1595" s="114"/>
      <c r="H1595" s="54"/>
      <c r="I1595" s="114"/>
      <c r="J1595" s="54"/>
      <c r="L1595" s="54"/>
      <c r="N1595" s="54"/>
      <c r="P1595" s="54"/>
      <c r="R1595" s="54"/>
      <c r="T1595" s="1"/>
      <c r="V1595" s="54"/>
      <c r="X1595" s="54"/>
      <c r="Z1595" s="54"/>
      <c r="AB1595" s="54"/>
      <c r="AD1595" s="54"/>
      <c r="AF1595" s="54"/>
      <c r="AH1595" s="54"/>
      <c r="AJ1595" s="54"/>
      <c r="AL1595" s="54"/>
      <c r="AO1595" s="54"/>
      <c r="AP1595" s="1"/>
      <c r="AQ1595" s="54"/>
      <c r="AR1595" s="171"/>
      <c r="AS1595" s="1"/>
      <c r="AT1595" s="1"/>
      <c r="AU1595" s="1"/>
    </row>
    <row r="1596">
      <c r="A1596" s="54"/>
      <c r="B1596" s="71"/>
      <c r="C1596" s="51"/>
      <c r="D1596" s="54"/>
      <c r="E1596" s="114"/>
      <c r="F1596" s="16"/>
      <c r="G1596" s="114"/>
      <c r="H1596" s="54"/>
      <c r="I1596" s="114"/>
      <c r="J1596" s="54"/>
      <c r="L1596" s="54"/>
      <c r="N1596" s="54"/>
      <c r="P1596" s="54"/>
      <c r="R1596" s="54"/>
      <c r="T1596" s="1"/>
      <c r="V1596" s="54"/>
      <c r="X1596" s="54"/>
      <c r="Z1596" s="54"/>
      <c r="AB1596" s="54"/>
      <c r="AD1596" s="54"/>
      <c r="AF1596" s="54"/>
      <c r="AH1596" s="54"/>
      <c r="AJ1596" s="54"/>
      <c r="AL1596" s="54"/>
      <c r="AO1596" s="54"/>
      <c r="AP1596" s="1"/>
      <c r="AQ1596" s="54"/>
      <c r="AR1596" s="171"/>
      <c r="AS1596" s="1"/>
      <c r="AT1596" s="1"/>
      <c r="AU1596" s="1"/>
    </row>
    <row r="1597">
      <c r="A1597" s="54"/>
      <c r="B1597" s="71"/>
      <c r="C1597" s="51"/>
      <c r="D1597" s="54"/>
      <c r="E1597" s="114"/>
      <c r="F1597" s="16"/>
      <c r="G1597" s="114"/>
      <c r="H1597" s="54"/>
      <c r="I1597" s="114"/>
      <c r="J1597" s="54"/>
      <c r="L1597" s="54"/>
      <c r="N1597" s="54"/>
      <c r="P1597" s="54"/>
      <c r="R1597" s="54"/>
      <c r="T1597" s="1"/>
      <c r="V1597" s="54"/>
      <c r="X1597" s="54"/>
      <c r="Z1597" s="54"/>
      <c r="AB1597" s="54"/>
      <c r="AD1597" s="54"/>
      <c r="AF1597" s="54"/>
      <c r="AH1597" s="54"/>
      <c r="AJ1597" s="54"/>
      <c r="AL1597" s="54"/>
      <c r="AO1597" s="54"/>
      <c r="AP1597" s="1"/>
      <c r="AQ1597" s="54"/>
      <c r="AR1597" s="171"/>
      <c r="AS1597" s="1"/>
      <c r="AT1597" s="1"/>
      <c r="AU1597" s="1"/>
    </row>
    <row r="1598">
      <c r="A1598" s="54"/>
      <c r="B1598" s="71"/>
      <c r="C1598" s="51"/>
      <c r="D1598" s="54"/>
      <c r="E1598" s="114"/>
      <c r="F1598" s="16"/>
      <c r="G1598" s="114"/>
      <c r="H1598" s="54"/>
      <c r="I1598" s="114"/>
      <c r="J1598" s="54"/>
      <c r="L1598" s="54"/>
      <c r="N1598" s="54"/>
      <c r="P1598" s="54"/>
      <c r="R1598" s="54"/>
      <c r="T1598" s="1"/>
      <c r="V1598" s="54"/>
      <c r="X1598" s="54"/>
      <c r="Z1598" s="54"/>
      <c r="AB1598" s="54"/>
      <c r="AD1598" s="54"/>
      <c r="AF1598" s="54"/>
      <c r="AH1598" s="54"/>
      <c r="AJ1598" s="54"/>
      <c r="AL1598" s="54"/>
      <c r="AO1598" s="54"/>
      <c r="AP1598" s="1"/>
      <c r="AQ1598" s="54"/>
      <c r="AR1598" s="171"/>
      <c r="AS1598" s="1"/>
      <c r="AT1598" s="1"/>
      <c r="AU1598" s="1"/>
    </row>
    <row r="1599">
      <c r="A1599" s="54"/>
      <c r="B1599" s="71"/>
      <c r="C1599" s="51"/>
      <c r="D1599" s="54"/>
      <c r="E1599" s="114"/>
      <c r="F1599" s="16"/>
      <c r="G1599" s="114"/>
      <c r="H1599" s="54"/>
      <c r="I1599" s="114"/>
      <c r="J1599" s="54"/>
      <c r="L1599" s="54"/>
      <c r="N1599" s="54"/>
      <c r="P1599" s="54"/>
      <c r="R1599" s="54"/>
      <c r="T1599" s="1"/>
      <c r="V1599" s="54"/>
      <c r="X1599" s="54"/>
      <c r="Z1599" s="54"/>
      <c r="AB1599" s="54"/>
      <c r="AD1599" s="54"/>
      <c r="AF1599" s="54"/>
      <c r="AH1599" s="54"/>
      <c r="AJ1599" s="54"/>
      <c r="AL1599" s="54"/>
      <c r="AO1599" s="54"/>
      <c r="AP1599" s="1"/>
      <c r="AQ1599" s="54"/>
      <c r="AR1599" s="171"/>
      <c r="AS1599" s="1"/>
      <c r="AT1599" s="1"/>
      <c r="AU1599" s="1"/>
    </row>
    <row r="1600">
      <c r="A1600" s="54"/>
      <c r="B1600" s="71"/>
      <c r="C1600" s="51"/>
      <c r="D1600" s="54"/>
      <c r="E1600" s="114"/>
      <c r="F1600" s="16"/>
      <c r="G1600" s="114"/>
      <c r="H1600" s="54"/>
      <c r="I1600" s="114"/>
      <c r="J1600" s="54"/>
      <c r="L1600" s="54"/>
      <c r="N1600" s="54"/>
      <c r="P1600" s="54"/>
      <c r="R1600" s="54"/>
      <c r="T1600" s="1"/>
      <c r="V1600" s="54"/>
      <c r="X1600" s="54"/>
      <c r="Z1600" s="54"/>
      <c r="AB1600" s="54"/>
      <c r="AD1600" s="54"/>
      <c r="AF1600" s="54"/>
      <c r="AH1600" s="54"/>
      <c r="AJ1600" s="54"/>
      <c r="AL1600" s="54"/>
      <c r="AO1600" s="54"/>
      <c r="AP1600" s="1"/>
      <c r="AQ1600" s="54"/>
      <c r="AR1600" s="171"/>
      <c r="AS1600" s="1"/>
      <c r="AT1600" s="1"/>
      <c r="AU1600" s="1"/>
    </row>
    <row r="1601">
      <c r="A1601" s="54"/>
      <c r="B1601" s="71"/>
      <c r="C1601" s="51"/>
      <c r="D1601" s="54"/>
      <c r="E1601" s="114"/>
      <c r="F1601" s="16"/>
      <c r="G1601" s="114"/>
      <c r="H1601" s="54"/>
      <c r="I1601" s="114"/>
      <c r="J1601" s="54"/>
      <c r="L1601" s="54"/>
      <c r="N1601" s="54"/>
      <c r="P1601" s="54"/>
      <c r="R1601" s="54"/>
      <c r="T1601" s="1"/>
      <c r="V1601" s="54"/>
      <c r="X1601" s="54"/>
      <c r="Z1601" s="54"/>
      <c r="AB1601" s="54"/>
      <c r="AD1601" s="54"/>
      <c r="AF1601" s="54"/>
      <c r="AH1601" s="54"/>
      <c r="AJ1601" s="54"/>
      <c r="AL1601" s="54"/>
      <c r="AO1601" s="54"/>
      <c r="AP1601" s="1"/>
      <c r="AQ1601" s="54"/>
      <c r="AR1601" s="171"/>
      <c r="AS1601" s="1"/>
      <c r="AT1601" s="1"/>
      <c r="AU1601" s="1"/>
    </row>
    <row r="1602">
      <c r="A1602" s="54"/>
      <c r="B1602" s="71"/>
      <c r="C1602" s="51"/>
      <c r="D1602" s="54"/>
      <c r="E1602" s="114"/>
      <c r="F1602" s="16"/>
      <c r="G1602" s="114"/>
      <c r="H1602" s="54"/>
      <c r="I1602" s="114"/>
      <c r="J1602" s="54"/>
      <c r="L1602" s="54"/>
      <c r="N1602" s="54"/>
      <c r="P1602" s="54"/>
      <c r="R1602" s="54"/>
      <c r="T1602" s="1"/>
      <c r="V1602" s="54"/>
      <c r="X1602" s="54"/>
      <c r="Z1602" s="54"/>
      <c r="AB1602" s="54"/>
      <c r="AD1602" s="54"/>
      <c r="AF1602" s="54"/>
      <c r="AH1602" s="54"/>
      <c r="AJ1602" s="54"/>
      <c r="AL1602" s="54"/>
      <c r="AO1602" s="54"/>
      <c r="AP1602" s="1"/>
      <c r="AQ1602" s="54"/>
      <c r="AR1602" s="171"/>
      <c r="AS1602" s="1"/>
      <c r="AT1602" s="1"/>
      <c r="AU1602" s="1"/>
    </row>
    <row r="1603">
      <c r="A1603" s="54"/>
      <c r="B1603" s="71"/>
      <c r="C1603" s="51"/>
      <c r="D1603" s="54"/>
      <c r="E1603" s="114"/>
      <c r="F1603" s="16"/>
      <c r="G1603" s="114"/>
      <c r="H1603" s="54"/>
      <c r="I1603" s="114"/>
      <c r="J1603" s="54"/>
      <c r="L1603" s="54"/>
      <c r="N1603" s="54"/>
      <c r="P1603" s="54"/>
      <c r="R1603" s="54"/>
      <c r="T1603" s="1"/>
      <c r="V1603" s="54"/>
      <c r="X1603" s="54"/>
      <c r="Z1603" s="54"/>
      <c r="AB1603" s="54"/>
      <c r="AD1603" s="54"/>
      <c r="AF1603" s="54"/>
      <c r="AH1603" s="54"/>
      <c r="AJ1603" s="54"/>
      <c r="AL1603" s="54"/>
      <c r="AO1603" s="54"/>
      <c r="AP1603" s="1"/>
      <c r="AQ1603" s="54"/>
      <c r="AR1603" s="171"/>
      <c r="AS1603" s="1"/>
      <c r="AT1603" s="1"/>
      <c r="AU1603" s="1"/>
    </row>
    <row r="1604">
      <c r="A1604" s="54"/>
      <c r="B1604" s="71"/>
      <c r="C1604" s="51"/>
      <c r="D1604" s="54"/>
      <c r="E1604" s="114"/>
      <c r="F1604" s="16"/>
      <c r="G1604" s="114"/>
      <c r="H1604" s="54"/>
      <c r="I1604" s="114"/>
      <c r="J1604" s="54"/>
      <c r="L1604" s="54"/>
      <c r="N1604" s="54"/>
      <c r="P1604" s="54"/>
      <c r="R1604" s="54"/>
      <c r="T1604" s="1"/>
      <c r="V1604" s="54"/>
      <c r="X1604" s="54"/>
      <c r="Z1604" s="54"/>
      <c r="AB1604" s="54"/>
      <c r="AD1604" s="54"/>
      <c r="AF1604" s="54"/>
      <c r="AH1604" s="54"/>
      <c r="AJ1604" s="54"/>
      <c r="AL1604" s="54"/>
      <c r="AO1604" s="54"/>
      <c r="AP1604" s="1"/>
      <c r="AQ1604" s="54"/>
      <c r="AR1604" s="171"/>
      <c r="AS1604" s="1"/>
      <c r="AT1604" s="1"/>
      <c r="AU1604" s="1"/>
    </row>
    <row r="1605">
      <c r="A1605" s="54"/>
      <c r="B1605" s="71"/>
      <c r="C1605" s="51"/>
      <c r="D1605" s="54"/>
      <c r="E1605" s="114"/>
      <c r="F1605" s="16"/>
      <c r="G1605" s="114"/>
      <c r="H1605" s="54"/>
      <c r="I1605" s="114"/>
      <c r="J1605" s="54"/>
      <c r="L1605" s="54"/>
      <c r="N1605" s="54"/>
      <c r="P1605" s="54"/>
      <c r="R1605" s="54"/>
      <c r="T1605" s="1"/>
      <c r="V1605" s="54"/>
      <c r="X1605" s="54"/>
      <c r="Z1605" s="54"/>
      <c r="AB1605" s="54"/>
      <c r="AD1605" s="54"/>
      <c r="AF1605" s="54"/>
      <c r="AH1605" s="54"/>
      <c r="AJ1605" s="54"/>
      <c r="AL1605" s="54"/>
      <c r="AO1605" s="54"/>
      <c r="AP1605" s="1"/>
      <c r="AQ1605" s="54"/>
      <c r="AR1605" s="171"/>
      <c r="AS1605" s="1"/>
      <c r="AT1605" s="1"/>
      <c r="AU1605" s="1"/>
    </row>
    <row r="1606">
      <c r="A1606" s="54"/>
      <c r="B1606" s="71"/>
      <c r="C1606" s="51"/>
      <c r="D1606" s="54"/>
      <c r="E1606" s="114"/>
      <c r="F1606" s="16"/>
      <c r="G1606" s="114"/>
      <c r="H1606" s="54"/>
      <c r="I1606" s="114"/>
      <c r="J1606" s="54"/>
      <c r="L1606" s="54"/>
      <c r="N1606" s="54"/>
      <c r="P1606" s="54"/>
      <c r="R1606" s="54"/>
      <c r="T1606" s="1"/>
      <c r="V1606" s="54"/>
      <c r="X1606" s="54"/>
      <c r="Z1606" s="54"/>
      <c r="AB1606" s="54"/>
      <c r="AD1606" s="54"/>
      <c r="AF1606" s="54"/>
      <c r="AH1606" s="54"/>
      <c r="AJ1606" s="54"/>
      <c r="AL1606" s="54"/>
      <c r="AO1606" s="54"/>
      <c r="AP1606" s="1"/>
      <c r="AQ1606" s="54"/>
      <c r="AR1606" s="171"/>
      <c r="AS1606" s="1"/>
      <c r="AT1606" s="1"/>
      <c r="AU1606" s="1"/>
    </row>
    <row r="1607">
      <c r="A1607" s="54"/>
      <c r="B1607" s="71"/>
      <c r="C1607" s="51"/>
      <c r="D1607" s="54"/>
      <c r="E1607" s="114"/>
      <c r="F1607" s="16"/>
      <c r="G1607" s="114"/>
      <c r="H1607" s="54"/>
      <c r="I1607" s="114"/>
      <c r="J1607" s="54"/>
      <c r="L1607" s="54"/>
      <c r="N1607" s="54"/>
      <c r="P1607" s="54"/>
      <c r="R1607" s="54"/>
      <c r="T1607" s="1"/>
      <c r="V1607" s="54"/>
      <c r="X1607" s="54"/>
      <c r="Z1607" s="54"/>
      <c r="AB1607" s="54"/>
      <c r="AD1607" s="54"/>
      <c r="AF1607" s="54"/>
      <c r="AH1607" s="54"/>
      <c r="AJ1607" s="54"/>
      <c r="AL1607" s="54"/>
      <c r="AO1607" s="54"/>
      <c r="AP1607" s="1"/>
      <c r="AQ1607" s="54"/>
      <c r="AR1607" s="171"/>
      <c r="AS1607" s="1"/>
      <c r="AT1607" s="1"/>
      <c r="AU1607" s="1"/>
    </row>
    <row r="1608">
      <c r="A1608" s="54"/>
      <c r="B1608" s="71"/>
      <c r="C1608" s="51"/>
      <c r="D1608" s="54"/>
      <c r="E1608" s="114"/>
      <c r="F1608" s="16"/>
      <c r="G1608" s="114"/>
      <c r="H1608" s="54"/>
      <c r="I1608" s="114"/>
      <c r="J1608" s="54"/>
      <c r="L1608" s="54"/>
      <c r="N1608" s="54"/>
      <c r="P1608" s="54"/>
      <c r="R1608" s="54"/>
      <c r="T1608" s="1"/>
      <c r="V1608" s="54"/>
      <c r="X1608" s="54"/>
      <c r="Z1608" s="54"/>
      <c r="AB1608" s="54"/>
      <c r="AD1608" s="54"/>
      <c r="AF1608" s="54"/>
      <c r="AH1608" s="54"/>
      <c r="AJ1608" s="54"/>
      <c r="AL1608" s="54"/>
      <c r="AO1608" s="54"/>
      <c r="AP1608" s="1"/>
      <c r="AQ1608" s="54"/>
      <c r="AR1608" s="171"/>
      <c r="AS1608" s="1"/>
      <c r="AT1608" s="1"/>
      <c r="AU1608" s="1"/>
    </row>
    <row r="1609">
      <c r="A1609" s="54"/>
      <c r="B1609" s="71"/>
      <c r="C1609" s="51"/>
      <c r="D1609" s="54"/>
      <c r="E1609" s="114"/>
      <c r="F1609" s="16"/>
      <c r="G1609" s="114"/>
      <c r="H1609" s="54"/>
      <c r="I1609" s="114"/>
      <c r="J1609" s="54"/>
      <c r="L1609" s="54"/>
      <c r="N1609" s="54"/>
      <c r="P1609" s="54"/>
      <c r="R1609" s="54"/>
      <c r="T1609" s="1"/>
      <c r="V1609" s="54"/>
      <c r="X1609" s="54"/>
      <c r="Z1609" s="54"/>
      <c r="AB1609" s="54"/>
      <c r="AD1609" s="54"/>
      <c r="AF1609" s="54"/>
      <c r="AH1609" s="54"/>
      <c r="AJ1609" s="54"/>
      <c r="AL1609" s="54"/>
      <c r="AO1609" s="54"/>
      <c r="AP1609" s="1"/>
      <c r="AQ1609" s="54"/>
      <c r="AR1609" s="171"/>
      <c r="AS1609" s="1"/>
      <c r="AT1609" s="1"/>
      <c r="AU1609" s="1"/>
    </row>
    <row r="1610">
      <c r="A1610" s="54"/>
      <c r="B1610" s="71"/>
      <c r="C1610" s="51"/>
      <c r="D1610" s="54"/>
      <c r="E1610" s="114"/>
      <c r="F1610" s="16"/>
      <c r="G1610" s="114"/>
      <c r="H1610" s="54"/>
      <c r="I1610" s="114"/>
      <c r="J1610" s="54"/>
      <c r="L1610" s="54"/>
      <c r="N1610" s="54"/>
      <c r="P1610" s="54"/>
      <c r="R1610" s="54"/>
      <c r="T1610" s="1"/>
      <c r="V1610" s="54"/>
      <c r="X1610" s="54"/>
      <c r="Z1610" s="54"/>
      <c r="AB1610" s="54"/>
      <c r="AD1610" s="54"/>
      <c r="AF1610" s="54"/>
      <c r="AH1610" s="54"/>
      <c r="AJ1610" s="54"/>
      <c r="AL1610" s="54"/>
      <c r="AO1610" s="54"/>
      <c r="AP1610" s="1"/>
      <c r="AQ1610" s="54"/>
      <c r="AR1610" s="171"/>
      <c r="AS1610" s="1"/>
      <c r="AT1610" s="1"/>
      <c r="AU1610" s="1"/>
    </row>
    <row r="1611">
      <c r="A1611" s="54"/>
      <c r="B1611" s="71"/>
      <c r="C1611" s="51"/>
      <c r="D1611" s="54"/>
      <c r="E1611" s="114"/>
      <c r="F1611" s="16"/>
      <c r="G1611" s="114"/>
      <c r="H1611" s="54"/>
      <c r="I1611" s="114"/>
      <c r="J1611" s="54"/>
      <c r="L1611" s="54"/>
      <c r="N1611" s="54"/>
      <c r="P1611" s="54"/>
      <c r="R1611" s="54"/>
      <c r="T1611" s="1"/>
      <c r="V1611" s="54"/>
      <c r="X1611" s="54"/>
      <c r="Z1611" s="54"/>
      <c r="AB1611" s="54"/>
      <c r="AD1611" s="54"/>
      <c r="AF1611" s="54"/>
      <c r="AH1611" s="54"/>
      <c r="AJ1611" s="54"/>
      <c r="AL1611" s="54"/>
      <c r="AO1611" s="54"/>
      <c r="AP1611" s="1"/>
      <c r="AQ1611" s="54"/>
      <c r="AR1611" s="171"/>
      <c r="AS1611" s="1"/>
      <c r="AT1611" s="1"/>
      <c r="AU1611" s="1"/>
    </row>
    <row r="1612">
      <c r="A1612" s="54"/>
      <c r="B1612" s="71"/>
      <c r="C1612" s="51"/>
      <c r="D1612" s="54"/>
      <c r="E1612" s="114"/>
      <c r="F1612" s="16"/>
      <c r="G1612" s="114"/>
      <c r="H1612" s="54"/>
      <c r="I1612" s="114"/>
      <c r="J1612" s="54"/>
      <c r="L1612" s="54"/>
      <c r="N1612" s="54"/>
      <c r="P1612" s="54"/>
      <c r="R1612" s="54"/>
      <c r="T1612" s="1"/>
      <c r="V1612" s="54"/>
      <c r="X1612" s="54"/>
      <c r="Z1612" s="54"/>
      <c r="AB1612" s="54"/>
      <c r="AD1612" s="54"/>
      <c r="AF1612" s="54"/>
      <c r="AH1612" s="54"/>
      <c r="AJ1612" s="54"/>
      <c r="AL1612" s="54"/>
      <c r="AO1612" s="54"/>
      <c r="AP1612" s="1"/>
      <c r="AQ1612" s="54"/>
      <c r="AR1612" s="171"/>
      <c r="AS1612" s="1"/>
      <c r="AT1612" s="1"/>
      <c r="AU1612" s="1"/>
    </row>
    <row r="1613">
      <c r="A1613" s="54"/>
      <c r="B1613" s="71"/>
      <c r="C1613" s="51"/>
      <c r="D1613" s="54"/>
      <c r="E1613" s="114"/>
      <c r="F1613" s="16"/>
      <c r="G1613" s="114"/>
      <c r="H1613" s="54"/>
      <c r="I1613" s="114"/>
      <c r="J1613" s="54"/>
      <c r="L1613" s="54"/>
      <c r="N1613" s="54"/>
      <c r="P1613" s="54"/>
      <c r="R1613" s="54"/>
      <c r="T1613" s="1"/>
      <c r="V1613" s="54"/>
      <c r="X1613" s="54"/>
      <c r="Z1613" s="54"/>
      <c r="AB1613" s="54"/>
      <c r="AD1613" s="54"/>
      <c r="AF1613" s="54"/>
      <c r="AH1613" s="54"/>
      <c r="AJ1613" s="54"/>
      <c r="AL1613" s="54"/>
      <c r="AO1613" s="54"/>
      <c r="AP1613" s="1"/>
      <c r="AQ1613" s="54"/>
      <c r="AR1613" s="171"/>
      <c r="AS1613" s="1"/>
      <c r="AT1613" s="1"/>
      <c r="AU1613" s="1"/>
    </row>
    <row r="1614">
      <c r="A1614" s="54"/>
      <c r="B1614" s="71"/>
      <c r="C1614" s="51"/>
      <c r="D1614" s="54"/>
      <c r="E1614" s="114"/>
      <c r="F1614" s="16"/>
      <c r="G1614" s="114"/>
      <c r="H1614" s="54"/>
      <c r="I1614" s="114"/>
      <c r="J1614" s="54"/>
      <c r="L1614" s="54"/>
      <c r="N1614" s="54"/>
      <c r="P1614" s="54"/>
      <c r="R1614" s="54"/>
      <c r="T1614" s="1"/>
      <c r="V1614" s="54"/>
      <c r="X1614" s="54"/>
      <c r="Z1614" s="54"/>
      <c r="AB1614" s="54"/>
      <c r="AD1614" s="54"/>
      <c r="AF1614" s="54"/>
      <c r="AH1614" s="54"/>
      <c r="AJ1614" s="54"/>
      <c r="AL1614" s="54"/>
      <c r="AO1614" s="54"/>
      <c r="AP1614" s="1"/>
      <c r="AQ1614" s="54"/>
      <c r="AR1614" s="171"/>
      <c r="AS1614" s="1"/>
      <c r="AT1614" s="1"/>
      <c r="AU1614" s="1"/>
    </row>
    <row r="1615">
      <c r="A1615" s="54"/>
      <c r="B1615" s="71"/>
      <c r="C1615" s="51"/>
      <c r="D1615" s="54"/>
      <c r="E1615" s="114"/>
      <c r="F1615" s="16"/>
      <c r="G1615" s="114"/>
      <c r="H1615" s="54"/>
      <c r="I1615" s="114"/>
      <c r="J1615" s="54"/>
      <c r="L1615" s="54"/>
      <c r="N1615" s="54"/>
      <c r="P1615" s="54"/>
      <c r="R1615" s="54"/>
      <c r="T1615" s="1"/>
      <c r="V1615" s="54"/>
      <c r="X1615" s="54"/>
      <c r="Z1615" s="54"/>
      <c r="AB1615" s="54"/>
      <c r="AD1615" s="54"/>
      <c r="AF1615" s="54"/>
      <c r="AH1615" s="54"/>
      <c r="AJ1615" s="54"/>
      <c r="AL1615" s="54"/>
      <c r="AO1615" s="54"/>
      <c r="AP1615" s="1"/>
      <c r="AQ1615" s="54"/>
      <c r="AR1615" s="171"/>
      <c r="AS1615" s="1"/>
      <c r="AT1615" s="1"/>
      <c r="AU1615" s="1"/>
    </row>
    <row r="1616">
      <c r="A1616" s="54"/>
      <c r="B1616" s="71"/>
      <c r="C1616" s="51"/>
      <c r="D1616" s="54"/>
      <c r="E1616" s="114"/>
      <c r="F1616" s="16"/>
      <c r="G1616" s="114"/>
      <c r="H1616" s="54"/>
      <c r="I1616" s="114"/>
      <c r="J1616" s="54"/>
      <c r="L1616" s="54"/>
      <c r="N1616" s="54"/>
      <c r="P1616" s="54"/>
      <c r="R1616" s="54"/>
      <c r="T1616" s="1"/>
      <c r="V1616" s="54"/>
      <c r="X1616" s="54"/>
      <c r="Z1616" s="54"/>
      <c r="AB1616" s="54"/>
      <c r="AD1616" s="54"/>
      <c r="AF1616" s="54"/>
      <c r="AH1616" s="54"/>
      <c r="AJ1616" s="54"/>
      <c r="AL1616" s="54"/>
      <c r="AO1616" s="54"/>
      <c r="AP1616" s="1"/>
      <c r="AQ1616" s="54"/>
      <c r="AR1616" s="171"/>
      <c r="AS1616" s="1"/>
      <c r="AT1616" s="1"/>
      <c r="AU1616" s="1"/>
    </row>
    <row r="1617">
      <c r="A1617" s="54"/>
      <c r="B1617" s="71"/>
      <c r="C1617" s="51"/>
      <c r="D1617" s="54"/>
      <c r="E1617" s="114"/>
      <c r="F1617" s="16"/>
      <c r="G1617" s="114"/>
      <c r="H1617" s="54"/>
      <c r="I1617" s="114"/>
      <c r="J1617" s="54"/>
      <c r="L1617" s="54"/>
      <c r="N1617" s="54"/>
      <c r="P1617" s="54"/>
      <c r="R1617" s="54"/>
      <c r="T1617" s="1"/>
      <c r="V1617" s="54"/>
      <c r="X1617" s="54"/>
      <c r="Z1617" s="54"/>
      <c r="AB1617" s="54"/>
      <c r="AD1617" s="54"/>
      <c r="AF1617" s="54"/>
      <c r="AH1617" s="54"/>
      <c r="AJ1617" s="54"/>
      <c r="AL1617" s="54"/>
      <c r="AO1617" s="54"/>
      <c r="AP1617" s="1"/>
      <c r="AQ1617" s="54"/>
      <c r="AR1617" s="171"/>
      <c r="AS1617" s="1"/>
      <c r="AT1617" s="1"/>
      <c r="AU1617" s="1"/>
    </row>
    <row r="1618">
      <c r="A1618" s="54"/>
      <c r="B1618" s="71"/>
      <c r="C1618" s="51"/>
      <c r="D1618" s="54"/>
      <c r="E1618" s="114"/>
      <c r="F1618" s="16"/>
      <c r="G1618" s="114"/>
      <c r="H1618" s="54"/>
      <c r="I1618" s="114"/>
      <c r="J1618" s="54"/>
      <c r="L1618" s="54"/>
      <c r="N1618" s="54"/>
      <c r="P1618" s="54"/>
      <c r="R1618" s="54"/>
      <c r="T1618" s="1"/>
      <c r="V1618" s="54"/>
      <c r="X1618" s="54"/>
      <c r="Z1618" s="54"/>
      <c r="AB1618" s="54"/>
      <c r="AD1618" s="54"/>
      <c r="AF1618" s="54"/>
      <c r="AH1618" s="54"/>
      <c r="AJ1618" s="54"/>
      <c r="AL1618" s="54"/>
      <c r="AO1618" s="54"/>
      <c r="AP1618" s="1"/>
      <c r="AQ1618" s="54"/>
      <c r="AR1618" s="171"/>
      <c r="AS1618" s="1"/>
      <c r="AT1618" s="1"/>
      <c r="AU1618" s="1"/>
    </row>
    <row r="1619">
      <c r="A1619" s="54"/>
      <c r="B1619" s="71"/>
      <c r="C1619" s="51"/>
      <c r="D1619" s="54"/>
      <c r="E1619" s="114"/>
      <c r="F1619" s="16"/>
      <c r="G1619" s="114"/>
      <c r="H1619" s="54"/>
      <c r="I1619" s="114"/>
      <c r="J1619" s="54"/>
      <c r="L1619" s="54"/>
      <c r="N1619" s="54"/>
      <c r="P1619" s="54"/>
      <c r="R1619" s="54"/>
      <c r="T1619" s="1"/>
      <c r="V1619" s="54"/>
      <c r="X1619" s="54"/>
      <c r="Z1619" s="54"/>
      <c r="AB1619" s="54"/>
      <c r="AD1619" s="54"/>
      <c r="AF1619" s="54"/>
      <c r="AH1619" s="54"/>
      <c r="AJ1619" s="54"/>
      <c r="AL1619" s="54"/>
      <c r="AO1619" s="54"/>
      <c r="AP1619" s="1"/>
      <c r="AQ1619" s="54"/>
      <c r="AR1619" s="171"/>
      <c r="AS1619" s="1"/>
      <c r="AT1619" s="1"/>
      <c r="AU1619" s="1"/>
    </row>
    <row r="1620">
      <c r="A1620" s="54"/>
      <c r="B1620" s="71"/>
      <c r="C1620" s="51"/>
      <c r="D1620" s="54"/>
      <c r="E1620" s="114"/>
      <c r="F1620" s="16"/>
      <c r="G1620" s="114"/>
      <c r="H1620" s="54"/>
      <c r="I1620" s="114"/>
      <c r="J1620" s="54"/>
      <c r="L1620" s="54"/>
      <c r="N1620" s="54"/>
      <c r="P1620" s="54"/>
      <c r="R1620" s="54"/>
      <c r="T1620" s="1"/>
      <c r="V1620" s="54"/>
      <c r="X1620" s="54"/>
      <c r="Z1620" s="54"/>
      <c r="AB1620" s="54"/>
      <c r="AD1620" s="54"/>
      <c r="AF1620" s="54"/>
      <c r="AH1620" s="54"/>
      <c r="AJ1620" s="54"/>
      <c r="AL1620" s="54"/>
      <c r="AO1620" s="54"/>
      <c r="AP1620" s="1"/>
      <c r="AQ1620" s="54"/>
      <c r="AR1620" s="171"/>
      <c r="AS1620" s="1"/>
      <c r="AT1620" s="1"/>
      <c r="AU1620" s="1"/>
    </row>
    <row r="1621">
      <c r="A1621" s="54"/>
      <c r="B1621" s="71"/>
      <c r="C1621" s="51"/>
      <c r="D1621" s="54"/>
      <c r="E1621" s="114"/>
      <c r="F1621" s="16"/>
      <c r="G1621" s="114"/>
      <c r="H1621" s="54"/>
      <c r="I1621" s="114"/>
      <c r="J1621" s="54"/>
      <c r="L1621" s="54"/>
      <c r="N1621" s="54"/>
      <c r="P1621" s="54"/>
      <c r="R1621" s="54"/>
      <c r="T1621" s="1"/>
      <c r="V1621" s="54"/>
      <c r="X1621" s="54"/>
      <c r="Z1621" s="54"/>
      <c r="AB1621" s="54"/>
      <c r="AD1621" s="54"/>
      <c r="AF1621" s="54"/>
      <c r="AH1621" s="54"/>
      <c r="AJ1621" s="54"/>
      <c r="AL1621" s="54"/>
      <c r="AO1621" s="54"/>
      <c r="AP1621" s="1"/>
      <c r="AQ1621" s="54"/>
      <c r="AR1621" s="171"/>
      <c r="AS1621" s="1"/>
      <c r="AT1621" s="1"/>
      <c r="AU1621" s="1"/>
    </row>
    <row r="1622">
      <c r="A1622" s="54"/>
      <c r="B1622" s="71"/>
      <c r="C1622" s="51"/>
      <c r="D1622" s="54"/>
      <c r="E1622" s="114"/>
      <c r="F1622" s="16"/>
      <c r="G1622" s="114"/>
      <c r="H1622" s="54"/>
      <c r="I1622" s="114"/>
      <c r="J1622" s="54"/>
      <c r="L1622" s="54"/>
      <c r="N1622" s="54"/>
      <c r="P1622" s="54"/>
      <c r="R1622" s="54"/>
      <c r="T1622" s="1"/>
      <c r="V1622" s="54"/>
      <c r="X1622" s="54"/>
      <c r="Z1622" s="54"/>
      <c r="AB1622" s="54"/>
      <c r="AD1622" s="54"/>
      <c r="AF1622" s="54"/>
      <c r="AH1622" s="54"/>
      <c r="AJ1622" s="54"/>
      <c r="AL1622" s="54"/>
      <c r="AO1622" s="54"/>
      <c r="AP1622" s="1"/>
      <c r="AQ1622" s="54"/>
      <c r="AR1622" s="171"/>
      <c r="AS1622" s="1"/>
      <c r="AT1622" s="1"/>
      <c r="AU1622" s="1"/>
    </row>
    <row r="1623">
      <c r="A1623" s="54"/>
      <c r="B1623" s="71"/>
      <c r="C1623" s="51"/>
      <c r="D1623" s="54"/>
      <c r="E1623" s="114"/>
      <c r="F1623" s="16"/>
      <c r="G1623" s="114"/>
      <c r="H1623" s="54"/>
      <c r="I1623" s="114"/>
      <c r="J1623" s="54"/>
      <c r="L1623" s="54"/>
      <c r="N1623" s="54"/>
      <c r="P1623" s="54"/>
      <c r="R1623" s="54"/>
      <c r="T1623" s="1"/>
      <c r="V1623" s="54"/>
      <c r="X1623" s="54"/>
      <c r="Z1623" s="54"/>
      <c r="AB1623" s="54"/>
      <c r="AD1623" s="54"/>
      <c r="AF1623" s="54"/>
      <c r="AH1623" s="54"/>
      <c r="AJ1623" s="54"/>
      <c r="AL1623" s="54"/>
      <c r="AO1623" s="54"/>
      <c r="AP1623" s="1"/>
      <c r="AQ1623" s="54"/>
      <c r="AR1623" s="171"/>
      <c r="AS1623" s="1"/>
      <c r="AT1623" s="1"/>
      <c r="AU1623" s="1"/>
    </row>
    <row r="1624">
      <c r="A1624" s="54"/>
      <c r="B1624" s="71"/>
      <c r="C1624" s="51"/>
      <c r="D1624" s="54"/>
      <c r="E1624" s="114"/>
      <c r="F1624" s="16"/>
      <c r="G1624" s="114"/>
      <c r="H1624" s="54"/>
      <c r="I1624" s="114"/>
      <c r="J1624" s="54"/>
      <c r="L1624" s="54"/>
      <c r="N1624" s="54"/>
      <c r="P1624" s="54"/>
      <c r="R1624" s="54"/>
      <c r="T1624" s="1"/>
      <c r="V1624" s="54"/>
      <c r="X1624" s="54"/>
      <c r="Z1624" s="54"/>
      <c r="AB1624" s="54"/>
      <c r="AD1624" s="54"/>
      <c r="AF1624" s="54"/>
      <c r="AH1624" s="54"/>
      <c r="AJ1624" s="54"/>
      <c r="AL1624" s="54"/>
      <c r="AO1624" s="54"/>
      <c r="AP1624" s="1"/>
      <c r="AQ1624" s="54"/>
      <c r="AR1624" s="171"/>
      <c r="AS1624" s="1"/>
      <c r="AT1624" s="1"/>
      <c r="AU1624" s="1"/>
    </row>
    <row r="1625">
      <c r="A1625" s="54"/>
      <c r="B1625" s="71"/>
      <c r="C1625" s="51"/>
      <c r="D1625" s="54"/>
      <c r="E1625" s="114"/>
      <c r="F1625" s="16"/>
      <c r="G1625" s="114"/>
      <c r="H1625" s="54"/>
      <c r="I1625" s="114"/>
      <c r="J1625" s="54"/>
      <c r="L1625" s="54"/>
      <c r="N1625" s="54"/>
      <c r="P1625" s="54"/>
      <c r="R1625" s="54"/>
      <c r="T1625" s="1"/>
      <c r="V1625" s="54"/>
      <c r="X1625" s="54"/>
      <c r="Z1625" s="54"/>
      <c r="AB1625" s="54"/>
      <c r="AD1625" s="54"/>
      <c r="AF1625" s="54"/>
      <c r="AH1625" s="54"/>
      <c r="AJ1625" s="54"/>
      <c r="AL1625" s="54"/>
      <c r="AO1625" s="54"/>
      <c r="AP1625" s="1"/>
      <c r="AQ1625" s="54"/>
      <c r="AR1625" s="171"/>
      <c r="AS1625" s="1"/>
      <c r="AT1625" s="1"/>
      <c r="AU1625" s="1"/>
    </row>
    <row r="1626">
      <c r="A1626" s="54"/>
      <c r="B1626" s="71"/>
      <c r="C1626" s="51"/>
      <c r="D1626" s="54"/>
      <c r="E1626" s="114"/>
      <c r="F1626" s="16"/>
      <c r="G1626" s="114"/>
      <c r="H1626" s="54"/>
      <c r="I1626" s="114"/>
      <c r="J1626" s="54"/>
      <c r="L1626" s="54"/>
      <c r="N1626" s="54"/>
      <c r="P1626" s="54"/>
      <c r="R1626" s="54"/>
      <c r="T1626" s="1"/>
      <c r="V1626" s="54"/>
      <c r="X1626" s="54"/>
      <c r="Z1626" s="54"/>
      <c r="AB1626" s="54"/>
      <c r="AD1626" s="54"/>
      <c r="AF1626" s="54"/>
      <c r="AH1626" s="54"/>
      <c r="AJ1626" s="54"/>
      <c r="AL1626" s="54"/>
      <c r="AO1626" s="54"/>
      <c r="AP1626" s="1"/>
      <c r="AQ1626" s="54"/>
      <c r="AR1626" s="171"/>
      <c r="AS1626" s="1"/>
      <c r="AT1626" s="1"/>
      <c r="AU1626" s="1"/>
    </row>
    <row r="1627">
      <c r="A1627" s="54"/>
      <c r="B1627" s="71"/>
      <c r="C1627" s="51"/>
      <c r="D1627" s="54"/>
      <c r="E1627" s="114"/>
      <c r="F1627" s="16"/>
      <c r="G1627" s="114"/>
      <c r="H1627" s="54"/>
      <c r="I1627" s="114"/>
      <c r="J1627" s="54"/>
      <c r="L1627" s="54"/>
      <c r="N1627" s="54"/>
      <c r="P1627" s="54"/>
      <c r="R1627" s="54"/>
      <c r="T1627" s="1"/>
      <c r="V1627" s="54"/>
      <c r="X1627" s="54"/>
      <c r="Z1627" s="54"/>
      <c r="AB1627" s="54"/>
      <c r="AD1627" s="54"/>
      <c r="AF1627" s="54"/>
      <c r="AH1627" s="54"/>
      <c r="AJ1627" s="54"/>
      <c r="AL1627" s="54"/>
      <c r="AO1627" s="54"/>
      <c r="AP1627" s="1"/>
      <c r="AQ1627" s="54"/>
      <c r="AR1627" s="171"/>
      <c r="AS1627" s="1"/>
      <c r="AT1627" s="1"/>
      <c r="AU1627" s="1"/>
    </row>
    <row r="1628">
      <c r="A1628" s="54"/>
      <c r="B1628" s="71"/>
      <c r="C1628" s="51"/>
      <c r="D1628" s="54"/>
      <c r="E1628" s="114"/>
      <c r="F1628" s="16"/>
      <c r="G1628" s="114"/>
      <c r="H1628" s="54"/>
      <c r="I1628" s="114"/>
      <c r="J1628" s="54"/>
      <c r="L1628" s="54"/>
      <c r="N1628" s="54"/>
      <c r="P1628" s="54"/>
      <c r="R1628" s="54"/>
      <c r="T1628" s="1"/>
      <c r="V1628" s="54"/>
      <c r="X1628" s="54"/>
      <c r="Z1628" s="54"/>
      <c r="AB1628" s="54"/>
      <c r="AD1628" s="54"/>
      <c r="AF1628" s="54"/>
      <c r="AH1628" s="54"/>
      <c r="AJ1628" s="54"/>
      <c r="AL1628" s="54"/>
      <c r="AO1628" s="54"/>
      <c r="AP1628" s="1"/>
      <c r="AQ1628" s="54"/>
      <c r="AR1628" s="171"/>
      <c r="AS1628" s="1"/>
      <c r="AT1628" s="1"/>
      <c r="AU1628" s="1"/>
    </row>
    <row r="1629">
      <c r="A1629" s="54"/>
      <c r="B1629" s="71"/>
      <c r="C1629" s="51"/>
      <c r="D1629" s="54"/>
      <c r="E1629" s="114"/>
      <c r="F1629" s="16"/>
      <c r="G1629" s="114"/>
      <c r="H1629" s="54"/>
      <c r="I1629" s="114"/>
      <c r="J1629" s="54"/>
      <c r="L1629" s="54"/>
      <c r="N1629" s="54"/>
      <c r="P1629" s="54"/>
      <c r="R1629" s="54"/>
      <c r="T1629" s="1"/>
      <c r="V1629" s="54"/>
      <c r="X1629" s="54"/>
      <c r="Z1629" s="54"/>
      <c r="AB1629" s="54"/>
      <c r="AD1629" s="54"/>
      <c r="AF1629" s="54"/>
      <c r="AH1629" s="54"/>
      <c r="AJ1629" s="54"/>
      <c r="AL1629" s="54"/>
      <c r="AO1629" s="54"/>
      <c r="AP1629" s="1"/>
      <c r="AQ1629" s="54"/>
      <c r="AR1629" s="171"/>
      <c r="AS1629" s="1"/>
      <c r="AT1629" s="1"/>
      <c r="AU1629" s="1"/>
    </row>
    <row r="1630">
      <c r="A1630" s="54"/>
      <c r="B1630" s="71"/>
      <c r="C1630" s="51"/>
      <c r="D1630" s="54"/>
      <c r="E1630" s="114"/>
      <c r="F1630" s="16"/>
      <c r="G1630" s="114"/>
      <c r="H1630" s="54"/>
      <c r="I1630" s="114"/>
      <c r="J1630" s="54"/>
      <c r="L1630" s="54"/>
      <c r="N1630" s="54"/>
      <c r="P1630" s="54"/>
      <c r="R1630" s="54"/>
      <c r="T1630" s="1"/>
      <c r="V1630" s="54"/>
      <c r="X1630" s="54"/>
      <c r="Z1630" s="54"/>
      <c r="AB1630" s="54"/>
      <c r="AD1630" s="54"/>
      <c r="AF1630" s="54"/>
      <c r="AH1630" s="54"/>
      <c r="AJ1630" s="54"/>
      <c r="AL1630" s="54"/>
      <c r="AO1630" s="54"/>
      <c r="AP1630" s="1"/>
      <c r="AQ1630" s="54"/>
      <c r="AR1630" s="171"/>
      <c r="AS1630" s="1"/>
      <c r="AT1630" s="1"/>
      <c r="AU1630" s="1"/>
    </row>
    <row r="1631">
      <c r="A1631" s="54"/>
      <c r="B1631" s="71"/>
      <c r="C1631" s="51"/>
      <c r="D1631" s="54"/>
      <c r="E1631" s="114"/>
      <c r="F1631" s="16"/>
      <c r="G1631" s="114"/>
      <c r="H1631" s="54"/>
      <c r="I1631" s="114"/>
      <c r="J1631" s="54"/>
      <c r="L1631" s="54"/>
      <c r="N1631" s="54"/>
      <c r="P1631" s="54"/>
      <c r="R1631" s="54"/>
      <c r="T1631" s="1"/>
      <c r="V1631" s="54"/>
      <c r="X1631" s="54"/>
      <c r="Z1631" s="54"/>
      <c r="AB1631" s="54"/>
      <c r="AD1631" s="54"/>
      <c r="AF1631" s="54"/>
      <c r="AH1631" s="54"/>
      <c r="AJ1631" s="54"/>
      <c r="AL1631" s="54"/>
      <c r="AO1631" s="54"/>
      <c r="AP1631" s="1"/>
      <c r="AQ1631" s="54"/>
      <c r="AR1631" s="171"/>
      <c r="AS1631" s="1"/>
      <c r="AT1631" s="1"/>
      <c r="AU1631" s="1"/>
    </row>
    <row r="1632">
      <c r="A1632" s="54"/>
      <c r="B1632" s="71"/>
      <c r="C1632" s="51"/>
      <c r="D1632" s="54"/>
      <c r="E1632" s="114"/>
      <c r="F1632" s="16"/>
      <c r="G1632" s="114"/>
      <c r="H1632" s="54"/>
      <c r="I1632" s="114"/>
      <c r="J1632" s="54"/>
      <c r="L1632" s="54"/>
      <c r="N1632" s="54"/>
      <c r="P1632" s="54"/>
      <c r="R1632" s="54"/>
      <c r="T1632" s="1"/>
      <c r="V1632" s="54"/>
      <c r="X1632" s="54"/>
      <c r="Z1632" s="54"/>
      <c r="AB1632" s="54"/>
      <c r="AD1632" s="54"/>
      <c r="AF1632" s="54"/>
      <c r="AH1632" s="54"/>
      <c r="AJ1632" s="54"/>
      <c r="AL1632" s="54"/>
      <c r="AO1632" s="54"/>
      <c r="AP1632" s="1"/>
      <c r="AQ1632" s="54"/>
      <c r="AR1632" s="171"/>
      <c r="AS1632" s="1"/>
      <c r="AT1632" s="1"/>
      <c r="AU1632" s="1"/>
    </row>
    <row r="1633">
      <c r="A1633" s="54"/>
      <c r="B1633" s="71"/>
      <c r="C1633" s="51"/>
      <c r="D1633" s="54"/>
      <c r="E1633" s="114"/>
      <c r="F1633" s="16"/>
      <c r="G1633" s="114"/>
      <c r="H1633" s="54"/>
      <c r="I1633" s="114"/>
      <c r="J1633" s="54"/>
      <c r="L1633" s="54"/>
      <c r="N1633" s="54"/>
      <c r="P1633" s="54"/>
      <c r="R1633" s="54"/>
      <c r="T1633" s="1"/>
      <c r="V1633" s="54"/>
      <c r="X1633" s="54"/>
      <c r="Z1633" s="54"/>
      <c r="AB1633" s="54"/>
      <c r="AD1633" s="54"/>
      <c r="AF1633" s="54"/>
      <c r="AH1633" s="54"/>
      <c r="AJ1633" s="54"/>
      <c r="AL1633" s="54"/>
      <c r="AO1633" s="54"/>
      <c r="AP1633" s="1"/>
      <c r="AQ1633" s="54"/>
      <c r="AR1633" s="171"/>
      <c r="AS1633" s="1"/>
      <c r="AT1633" s="1"/>
      <c r="AU1633" s="1"/>
    </row>
    <row r="1634">
      <c r="A1634" s="54"/>
      <c r="B1634" s="71"/>
      <c r="C1634" s="51"/>
      <c r="D1634" s="54"/>
      <c r="E1634" s="114"/>
      <c r="F1634" s="16"/>
      <c r="G1634" s="114"/>
      <c r="H1634" s="54"/>
      <c r="I1634" s="114"/>
      <c r="J1634" s="54"/>
      <c r="L1634" s="54"/>
      <c r="N1634" s="54"/>
      <c r="P1634" s="54"/>
      <c r="R1634" s="54"/>
      <c r="T1634" s="1"/>
      <c r="V1634" s="54"/>
      <c r="X1634" s="54"/>
      <c r="Z1634" s="54"/>
      <c r="AB1634" s="54"/>
      <c r="AD1634" s="54"/>
      <c r="AF1634" s="54"/>
      <c r="AH1634" s="54"/>
      <c r="AJ1634" s="54"/>
      <c r="AL1634" s="54"/>
      <c r="AO1634" s="54"/>
      <c r="AP1634" s="1"/>
      <c r="AQ1634" s="54"/>
      <c r="AR1634" s="171"/>
      <c r="AS1634" s="1"/>
      <c r="AT1634" s="1"/>
      <c r="AU1634" s="1"/>
    </row>
    <row r="1635">
      <c r="A1635" s="54"/>
      <c r="B1635" s="71"/>
      <c r="C1635" s="51"/>
      <c r="D1635" s="54"/>
      <c r="E1635" s="114"/>
      <c r="F1635" s="16"/>
      <c r="G1635" s="114"/>
      <c r="H1635" s="54"/>
      <c r="I1635" s="114"/>
      <c r="J1635" s="54"/>
      <c r="L1635" s="54"/>
      <c r="N1635" s="54"/>
      <c r="P1635" s="54"/>
      <c r="R1635" s="54"/>
      <c r="T1635" s="1"/>
      <c r="V1635" s="54"/>
      <c r="X1635" s="54"/>
      <c r="Z1635" s="54"/>
      <c r="AB1635" s="54"/>
      <c r="AD1635" s="54"/>
      <c r="AF1635" s="54"/>
      <c r="AH1635" s="54"/>
      <c r="AJ1635" s="54"/>
      <c r="AL1635" s="54"/>
      <c r="AO1635" s="54"/>
      <c r="AP1635" s="1"/>
      <c r="AQ1635" s="54"/>
      <c r="AR1635" s="171"/>
      <c r="AS1635" s="1"/>
      <c r="AT1635" s="1"/>
      <c r="AU1635" s="1"/>
    </row>
    <row r="1636">
      <c r="A1636" s="54"/>
      <c r="B1636" s="71"/>
      <c r="C1636" s="51"/>
      <c r="D1636" s="54"/>
      <c r="E1636" s="114"/>
      <c r="F1636" s="16"/>
      <c r="G1636" s="114"/>
      <c r="H1636" s="54"/>
      <c r="I1636" s="114"/>
      <c r="J1636" s="54"/>
      <c r="L1636" s="54"/>
      <c r="N1636" s="54"/>
      <c r="P1636" s="54"/>
      <c r="R1636" s="54"/>
      <c r="T1636" s="1"/>
      <c r="V1636" s="54"/>
      <c r="X1636" s="54"/>
      <c r="Z1636" s="54"/>
      <c r="AB1636" s="54"/>
      <c r="AD1636" s="54"/>
      <c r="AF1636" s="54"/>
      <c r="AH1636" s="54"/>
      <c r="AJ1636" s="54"/>
      <c r="AL1636" s="54"/>
      <c r="AO1636" s="54"/>
      <c r="AP1636" s="1"/>
      <c r="AQ1636" s="54"/>
      <c r="AR1636" s="171"/>
      <c r="AS1636" s="1"/>
      <c r="AT1636" s="1"/>
      <c r="AU1636" s="1"/>
    </row>
    <row r="1637">
      <c r="A1637" s="54"/>
      <c r="B1637" s="71"/>
      <c r="C1637" s="51"/>
      <c r="D1637" s="54"/>
      <c r="E1637" s="114"/>
      <c r="F1637" s="16"/>
      <c r="G1637" s="114"/>
      <c r="H1637" s="54"/>
      <c r="I1637" s="114"/>
      <c r="J1637" s="54"/>
      <c r="L1637" s="54"/>
      <c r="N1637" s="54"/>
      <c r="P1637" s="54"/>
      <c r="R1637" s="54"/>
      <c r="T1637" s="1"/>
      <c r="V1637" s="54"/>
      <c r="X1637" s="54"/>
      <c r="Z1637" s="54"/>
      <c r="AB1637" s="54"/>
      <c r="AD1637" s="54"/>
      <c r="AF1637" s="54"/>
      <c r="AH1637" s="54"/>
      <c r="AJ1637" s="54"/>
      <c r="AL1637" s="54"/>
      <c r="AO1637" s="54"/>
      <c r="AP1637" s="1"/>
      <c r="AQ1637" s="54"/>
      <c r="AR1637" s="171"/>
      <c r="AS1637" s="1"/>
      <c r="AT1637" s="1"/>
      <c r="AU1637" s="1"/>
    </row>
    <row r="1638">
      <c r="A1638" s="54"/>
      <c r="B1638" s="71"/>
      <c r="C1638" s="51"/>
      <c r="D1638" s="54"/>
      <c r="E1638" s="114"/>
      <c r="F1638" s="16"/>
      <c r="G1638" s="114"/>
      <c r="H1638" s="54"/>
      <c r="I1638" s="114"/>
      <c r="J1638" s="54"/>
      <c r="L1638" s="54"/>
      <c r="N1638" s="54"/>
      <c r="P1638" s="54"/>
      <c r="R1638" s="54"/>
      <c r="T1638" s="1"/>
      <c r="V1638" s="54"/>
      <c r="X1638" s="54"/>
      <c r="Z1638" s="54"/>
      <c r="AB1638" s="54"/>
      <c r="AD1638" s="54"/>
      <c r="AF1638" s="54"/>
      <c r="AH1638" s="54"/>
      <c r="AJ1638" s="54"/>
      <c r="AL1638" s="54"/>
      <c r="AO1638" s="54"/>
      <c r="AP1638" s="1"/>
      <c r="AQ1638" s="54"/>
      <c r="AR1638" s="171"/>
      <c r="AS1638" s="1"/>
      <c r="AT1638" s="1"/>
      <c r="AU1638" s="1"/>
    </row>
    <row r="1639">
      <c r="A1639" s="54"/>
      <c r="B1639" s="71"/>
      <c r="C1639" s="51"/>
      <c r="D1639" s="54"/>
      <c r="E1639" s="114"/>
      <c r="F1639" s="16"/>
      <c r="G1639" s="114"/>
      <c r="H1639" s="54"/>
      <c r="I1639" s="114"/>
      <c r="J1639" s="54"/>
      <c r="L1639" s="54"/>
      <c r="N1639" s="54"/>
      <c r="P1639" s="54"/>
      <c r="R1639" s="54"/>
      <c r="T1639" s="1"/>
      <c r="V1639" s="54"/>
      <c r="X1639" s="54"/>
      <c r="Z1639" s="54"/>
      <c r="AB1639" s="54"/>
      <c r="AD1639" s="54"/>
      <c r="AF1639" s="54"/>
      <c r="AH1639" s="54"/>
      <c r="AJ1639" s="54"/>
      <c r="AL1639" s="54"/>
      <c r="AO1639" s="54"/>
      <c r="AP1639" s="1"/>
      <c r="AQ1639" s="54"/>
      <c r="AR1639" s="171"/>
      <c r="AS1639" s="1"/>
      <c r="AT1639" s="1"/>
      <c r="AU1639" s="1"/>
    </row>
    <row r="1640">
      <c r="A1640" s="54"/>
      <c r="B1640" s="71"/>
      <c r="C1640" s="51"/>
      <c r="D1640" s="54"/>
      <c r="E1640" s="114"/>
      <c r="F1640" s="16"/>
      <c r="G1640" s="114"/>
      <c r="H1640" s="54"/>
      <c r="I1640" s="114"/>
      <c r="J1640" s="54"/>
      <c r="L1640" s="54"/>
      <c r="N1640" s="54"/>
      <c r="P1640" s="54"/>
      <c r="R1640" s="54"/>
      <c r="T1640" s="1"/>
      <c r="V1640" s="54"/>
      <c r="X1640" s="54"/>
      <c r="Z1640" s="54"/>
      <c r="AB1640" s="54"/>
      <c r="AD1640" s="54"/>
      <c r="AF1640" s="54"/>
      <c r="AH1640" s="54"/>
      <c r="AJ1640" s="54"/>
      <c r="AL1640" s="54"/>
      <c r="AO1640" s="54"/>
      <c r="AP1640" s="1"/>
      <c r="AQ1640" s="54"/>
      <c r="AR1640" s="171"/>
      <c r="AS1640" s="1"/>
      <c r="AT1640" s="1"/>
      <c r="AU1640" s="1"/>
    </row>
    <row r="1641">
      <c r="A1641" s="54"/>
      <c r="B1641" s="71"/>
      <c r="C1641" s="51"/>
      <c r="D1641" s="54"/>
      <c r="E1641" s="114"/>
      <c r="F1641" s="16"/>
      <c r="G1641" s="114"/>
      <c r="H1641" s="54"/>
      <c r="I1641" s="114"/>
      <c r="J1641" s="54"/>
      <c r="L1641" s="54"/>
      <c r="N1641" s="54"/>
      <c r="P1641" s="54"/>
      <c r="R1641" s="54"/>
      <c r="T1641" s="1"/>
      <c r="V1641" s="54"/>
      <c r="X1641" s="54"/>
      <c r="Z1641" s="54"/>
      <c r="AB1641" s="54"/>
      <c r="AD1641" s="54"/>
      <c r="AF1641" s="54"/>
      <c r="AH1641" s="54"/>
      <c r="AJ1641" s="54"/>
      <c r="AL1641" s="54"/>
      <c r="AO1641" s="54"/>
      <c r="AP1641" s="1"/>
      <c r="AQ1641" s="54"/>
      <c r="AR1641" s="171"/>
      <c r="AS1641" s="1"/>
      <c r="AT1641" s="1"/>
      <c r="AU1641" s="1"/>
    </row>
    <row r="1642">
      <c r="A1642" s="54"/>
      <c r="B1642" s="71"/>
      <c r="C1642" s="51"/>
      <c r="D1642" s="54"/>
      <c r="E1642" s="114"/>
      <c r="F1642" s="16"/>
      <c r="G1642" s="114"/>
      <c r="H1642" s="54"/>
      <c r="I1642" s="114"/>
      <c r="J1642" s="54"/>
      <c r="L1642" s="54"/>
      <c r="N1642" s="54"/>
      <c r="P1642" s="54"/>
      <c r="R1642" s="54"/>
      <c r="T1642" s="1"/>
      <c r="V1642" s="54"/>
      <c r="X1642" s="54"/>
      <c r="Z1642" s="54"/>
      <c r="AB1642" s="54"/>
      <c r="AD1642" s="54"/>
      <c r="AF1642" s="54"/>
      <c r="AH1642" s="54"/>
      <c r="AJ1642" s="54"/>
      <c r="AL1642" s="54"/>
      <c r="AO1642" s="54"/>
      <c r="AP1642" s="1"/>
      <c r="AQ1642" s="54"/>
      <c r="AR1642" s="171"/>
      <c r="AS1642" s="1"/>
      <c r="AT1642" s="1"/>
      <c r="AU1642" s="1"/>
    </row>
    <row r="1643">
      <c r="A1643" s="54"/>
      <c r="B1643" s="71"/>
      <c r="C1643" s="51"/>
      <c r="D1643" s="54"/>
      <c r="E1643" s="114"/>
      <c r="F1643" s="16"/>
      <c r="G1643" s="114"/>
      <c r="H1643" s="54"/>
      <c r="I1643" s="114"/>
      <c r="J1643" s="54"/>
      <c r="L1643" s="54"/>
      <c r="N1643" s="54"/>
      <c r="P1643" s="54"/>
      <c r="R1643" s="54"/>
      <c r="T1643" s="1"/>
      <c r="V1643" s="54"/>
      <c r="X1643" s="54"/>
      <c r="Z1643" s="54"/>
      <c r="AB1643" s="54"/>
      <c r="AD1643" s="54"/>
      <c r="AF1643" s="54"/>
      <c r="AH1643" s="54"/>
      <c r="AJ1643" s="54"/>
      <c r="AL1643" s="54"/>
      <c r="AO1643" s="54"/>
      <c r="AP1643" s="1"/>
      <c r="AQ1643" s="54"/>
      <c r="AR1643" s="171"/>
      <c r="AS1643" s="1"/>
      <c r="AT1643" s="1"/>
      <c r="AU1643" s="1"/>
    </row>
    <row r="1644">
      <c r="A1644" s="54"/>
      <c r="B1644" s="71"/>
      <c r="C1644" s="51"/>
      <c r="D1644" s="54"/>
      <c r="E1644" s="114"/>
      <c r="F1644" s="16"/>
      <c r="G1644" s="114"/>
      <c r="H1644" s="54"/>
      <c r="I1644" s="114"/>
      <c r="J1644" s="54"/>
      <c r="L1644" s="54"/>
      <c r="N1644" s="54"/>
      <c r="P1644" s="54"/>
      <c r="R1644" s="54"/>
      <c r="T1644" s="1"/>
      <c r="V1644" s="54"/>
      <c r="X1644" s="54"/>
      <c r="Z1644" s="54"/>
      <c r="AB1644" s="54"/>
      <c r="AD1644" s="54"/>
      <c r="AF1644" s="54"/>
      <c r="AH1644" s="54"/>
      <c r="AJ1644" s="54"/>
      <c r="AL1644" s="54"/>
      <c r="AO1644" s="54"/>
      <c r="AP1644" s="1"/>
      <c r="AQ1644" s="54"/>
      <c r="AR1644" s="171"/>
      <c r="AS1644" s="1"/>
      <c r="AT1644" s="1"/>
      <c r="AU1644" s="1"/>
    </row>
    <row r="1645">
      <c r="A1645" s="54"/>
      <c r="B1645" s="71"/>
      <c r="C1645" s="51"/>
      <c r="D1645" s="54"/>
      <c r="E1645" s="114"/>
      <c r="F1645" s="16"/>
      <c r="G1645" s="114"/>
      <c r="H1645" s="54"/>
      <c r="I1645" s="114"/>
      <c r="J1645" s="54"/>
      <c r="L1645" s="54"/>
      <c r="N1645" s="54"/>
      <c r="P1645" s="54"/>
      <c r="R1645" s="54"/>
      <c r="T1645" s="1"/>
      <c r="V1645" s="54"/>
      <c r="X1645" s="54"/>
      <c r="Z1645" s="54"/>
      <c r="AB1645" s="54"/>
      <c r="AD1645" s="54"/>
      <c r="AF1645" s="54"/>
      <c r="AH1645" s="54"/>
      <c r="AJ1645" s="54"/>
      <c r="AL1645" s="54"/>
      <c r="AO1645" s="54"/>
      <c r="AP1645" s="1"/>
      <c r="AQ1645" s="54"/>
      <c r="AR1645" s="171"/>
      <c r="AS1645" s="1"/>
      <c r="AT1645" s="1"/>
      <c r="AU1645" s="1"/>
    </row>
    <row r="1646">
      <c r="A1646" s="54"/>
      <c r="B1646" s="71"/>
      <c r="C1646" s="51"/>
      <c r="D1646" s="54"/>
      <c r="E1646" s="114"/>
      <c r="F1646" s="16"/>
      <c r="G1646" s="114"/>
      <c r="H1646" s="54"/>
      <c r="I1646" s="114"/>
      <c r="J1646" s="54"/>
      <c r="L1646" s="54"/>
      <c r="N1646" s="54"/>
      <c r="P1646" s="54"/>
      <c r="R1646" s="54"/>
      <c r="T1646" s="1"/>
      <c r="V1646" s="54"/>
      <c r="X1646" s="54"/>
      <c r="Z1646" s="54"/>
      <c r="AB1646" s="54"/>
      <c r="AD1646" s="54"/>
      <c r="AF1646" s="54"/>
      <c r="AH1646" s="54"/>
      <c r="AJ1646" s="54"/>
      <c r="AL1646" s="54"/>
      <c r="AO1646" s="54"/>
      <c r="AP1646" s="1"/>
      <c r="AQ1646" s="54"/>
      <c r="AR1646" s="171"/>
      <c r="AS1646" s="1"/>
      <c r="AT1646" s="1"/>
      <c r="AU1646" s="1"/>
    </row>
    <row r="1647">
      <c r="A1647" s="54"/>
      <c r="B1647" s="71"/>
      <c r="C1647" s="51"/>
      <c r="D1647" s="54"/>
      <c r="E1647" s="114"/>
      <c r="F1647" s="16"/>
      <c r="G1647" s="114"/>
      <c r="H1647" s="54"/>
      <c r="I1647" s="114"/>
      <c r="J1647" s="54"/>
      <c r="L1647" s="54"/>
      <c r="N1647" s="54"/>
      <c r="P1647" s="54"/>
      <c r="R1647" s="54"/>
      <c r="T1647" s="1"/>
      <c r="V1647" s="54"/>
      <c r="X1647" s="54"/>
      <c r="Z1647" s="54"/>
      <c r="AB1647" s="54"/>
      <c r="AD1647" s="54"/>
      <c r="AF1647" s="54"/>
      <c r="AH1647" s="54"/>
      <c r="AJ1647" s="54"/>
      <c r="AL1647" s="54"/>
      <c r="AO1647" s="54"/>
      <c r="AP1647" s="1"/>
      <c r="AQ1647" s="54"/>
      <c r="AR1647" s="171"/>
      <c r="AS1647" s="1"/>
      <c r="AT1647" s="1"/>
      <c r="AU1647" s="1"/>
    </row>
    <row r="1648">
      <c r="A1648" s="54"/>
      <c r="B1648" s="71"/>
      <c r="C1648" s="51"/>
      <c r="D1648" s="54"/>
      <c r="E1648" s="114"/>
      <c r="F1648" s="16"/>
      <c r="G1648" s="114"/>
      <c r="H1648" s="54"/>
      <c r="I1648" s="114"/>
      <c r="J1648" s="54"/>
      <c r="L1648" s="54"/>
      <c r="N1648" s="54"/>
      <c r="P1648" s="54"/>
      <c r="R1648" s="54"/>
      <c r="T1648" s="1"/>
      <c r="V1648" s="54"/>
      <c r="X1648" s="54"/>
      <c r="Z1648" s="54"/>
      <c r="AB1648" s="54"/>
      <c r="AD1648" s="54"/>
      <c r="AF1648" s="54"/>
      <c r="AH1648" s="54"/>
      <c r="AJ1648" s="54"/>
      <c r="AL1648" s="54"/>
      <c r="AO1648" s="54"/>
      <c r="AP1648" s="1"/>
      <c r="AQ1648" s="54"/>
      <c r="AR1648" s="171"/>
      <c r="AS1648" s="1"/>
      <c r="AT1648" s="1"/>
      <c r="AU1648" s="1"/>
    </row>
    <row r="1649">
      <c r="A1649" s="54"/>
      <c r="B1649" s="71"/>
      <c r="C1649" s="51"/>
      <c r="D1649" s="54"/>
      <c r="E1649" s="114"/>
      <c r="F1649" s="16"/>
      <c r="G1649" s="114"/>
      <c r="H1649" s="54"/>
      <c r="I1649" s="114"/>
      <c r="J1649" s="54"/>
      <c r="L1649" s="54"/>
      <c r="N1649" s="54"/>
      <c r="P1649" s="54"/>
      <c r="R1649" s="54"/>
      <c r="T1649" s="1"/>
      <c r="V1649" s="54"/>
      <c r="X1649" s="54"/>
      <c r="Z1649" s="54"/>
      <c r="AB1649" s="54"/>
      <c r="AD1649" s="54"/>
      <c r="AF1649" s="54"/>
      <c r="AH1649" s="54"/>
      <c r="AJ1649" s="54"/>
      <c r="AL1649" s="54"/>
      <c r="AO1649" s="54"/>
      <c r="AP1649" s="1"/>
      <c r="AQ1649" s="54"/>
      <c r="AR1649" s="171"/>
      <c r="AS1649" s="1"/>
      <c r="AT1649" s="1"/>
      <c r="AU1649" s="1"/>
    </row>
    <row r="1650">
      <c r="A1650" s="54"/>
      <c r="B1650" s="71"/>
      <c r="C1650" s="51"/>
      <c r="D1650" s="54"/>
      <c r="E1650" s="114"/>
      <c r="F1650" s="16"/>
      <c r="G1650" s="114"/>
      <c r="H1650" s="54"/>
      <c r="I1650" s="114"/>
      <c r="J1650" s="54"/>
      <c r="L1650" s="54"/>
      <c r="N1650" s="54"/>
      <c r="P1650" s="54"/>
      <c r="R1650" s="54"/>
      <c r="T1650" s="1"/>
      <c r="V1650" s="54"/>
      <c r="X1650" s="54"/>
      <c r="Z1650" s="54"/>
      <c r="AB1650" s="54"/>
      <c r="AD1650" s="54"/>
      <c r="AF1650" s="54"/>
      <c r="AH1650" s="54"/>
      <c r="AJ1650" s="54"/>
      <c r="AL1650" s="54"/>
      <c r="AO1650" s="54"/>
      <c r="AP1650" s="1"/>
      <c r="AQ1650" s="54"/>
      <c r="AR1650" s="171"/>
      <c r="AS1650" s="1"/>
      <c r="AT1650" s="1"/>
      <c r="AU1650" s="1"/>
    </row>
    <row r="1651">
      <c r="A1651" s="54"/>
      <c r="B1651" s="71"/>
      <c r="C1651" s="51"/>
      <c r="D1651" s="54"/>
      <c r="E1651" s="114"/>
      <c r="F1651" s="16"/>
      <c r="G1651" s="114"/>
      <c r="H1651" s="54"/>
      <c r="I1651" s="114"/>
      <c r="J1651" s="54"/>
      <c r="L1651" s="54"/>
      <c r="N1651" s="54"/>
      <c r="P1651" s="54"/>
      <c r="R1651" s="54"/>
      <c r="T1651" s="1"/>
      <c r="V1651" s="54"/>
      <c r="X1651" s="54"/>
      <c r="Z1651" s="54"/>
      <c r="AB1651" s="54"/>
      <c r="AD1651" s="54"/>
      <c r="AF1651" s="54"/>
      <c r="AH1651" s="54"/>
      <c r="AJ1651" s="54"/>
      <c r="AL1651" s="54"/>
      <c r="AO1651" s="54"/>
      <c r="AP1651" s="1"/>
      <c r="AQ1651" s="54"/>
      <c r="AR1651" s="171"/>
      <c r="AS1651" s="1"/>
      <c r="AT1651" s="1"/>
      <c r="AU1651" s="1"/>
    </row>
    <row r="1652">
      <c r="A1652" s="54"/>
      <c r="B1652" s="71"/>
      <c r="C1652" s="51"/>
      <c r="D1652" s="54"/>
      <c r="E1652" s="114"/>
      <c r="F1652" s="16"/>
      <c r="G1652" s="114"/>
      <c r="H1652" s="54"/>
      <c r="I1652" s="114"/>
      <c r="J1652" s="54"/>
      <c r="L1652" s="54"/>
      <c r="N1652" s="54"/>
      <c r="P1652" s="54"/>
      <c r="R1652" s="54"/>
      <c r="T1652" s="1"/>
      <c r="V1652" s="54"/>
      <c r="X1652" s="54"/>
      <c r="Z1652" s="54"/>
      <c r="AB1652" s="54"/>
      <c r="AD1652" s="54"/>
      <c r="AF1652" s="54"/>
      <c r="AH1652" s="54"/>
      <c r="AJ1652" s="54"/>
      <c r="AL1652" s="54"/>
      <c r="AO1652" s="54"/>
      <c r="AP1652" s="1"/>
      <c r="AQ1652" s="54"/>
      <c r="AR1652" s="171"/>
      <c r="AS1652" s="1"/>
      <c r="AT1652" s="1"/>
      <c r="AU1652" s="1"/>
    </row>
    <row r="1653">
      <c r="A1653" s="54"/>
      <c r="B1653" s="71"/>
      <c r="C1653" s="51"/>
      <c r="D1653" s="54"/>
      <c r="E1653" s="114"/>
      <c r="F1653" s="16"/>
      <c r="G1653" s="114"/>
      <c r="H1653" s="54"/>
      <c r="I1653" s="114"/>
      <c r="J1653" s="54"/>
      <c r="L1653" s="54"/>
      <c r="N1653" s="54"/>
      <c r="P1653" s="54"/>
      <c r="R1653" s="54"/>
      <c r="T1653" s="1"/>
      <c r="V1653" s="54"/>
      <c r="X1653" s="54"/>
      <c r="Z1653" s="54"/>
      <c r="AB1653" s="54"/>
      <c r="AD1653" s="54"/>
      <c r="AF1653" s="54"/>
      <c r="AH1653" s="54"/>
      <c r="AJ1653" s="54"/>
      <c r="AL1653" s="54"/>
      <c r="AO1653" s="54"/>
      <c r="AP1653" s="1"/>
      <c r="AQ1653" s="54"/>
      <c r="AR1653" s="171"/>
      <c r="AS1653" s="1"/>
      <c r="AT1653" s="1"/>
      <c r="AU1653" s="1"/>
    </row>
    <row r="1654">
      <c r="A1654" s="54"/>
      <c r="B1654" s="71"/>
      <c r="C1654" s="51"/>
      <c r="D1654" s="54"/>
      <c r="E1654" s="114"/>
      <c r="F1654" s="16"/>
      <c r="G1654" s="114"/>
      <c r="H1654" s="54"/>
      <c r="I1654" s="114"/>
      <c r="J1654" s="54"/>
      <c r="L1654" s="54"/>
      <c r="N1654" s="54"/>
      <c r="P1654" s="54"/>
      <c r="R1654" s="54"/>
      <c r="T1654" s="1"/>
      <c r="V1654" s="54"/>
      <c r="X1654" s="54"/>
      <c r="Z1654" s="54"/>
      <c r="AB1654" s="54"/>
      <c r="AD1654" s="54"/>
      <c r="AF1654" s="54"/>
      <c r="AH1654" s="54"/>
      <c r="AJ1654" s="54"/>
      <c r="AL1654" s="54"/>
      <c r="AO1654" s="54"/>
      <c r="AP1654" s="1"/>
      <c r="AQ1654" s="54"/>
      <c r="AR1654" s="171"/>
      <c r="AS1654" s="1"/>
      <c r="AT1654" s="1"/>
      <c r="AU1654" s="1"/>
    </row>
    <row r="1655">
      <c r="A1655" s="54"/>
      <c r="B1655" s="71"/>
      <c r="C1655" s="51"/>
      <c r="D1655" s="54"/>
      <c r="E1655" s="114"/>
      <c r="F1655" s="16"/>
      <c r="G1655" s="114"/>
      <c r="H1655" s="54"/>
      <c r="I1655" s="114"/>
      <c r="J1655" s="54"/>
      <c r="L1655" s="54"/>
      <c r="N1655" s="54"/>
      <c r="P1655" s="54"/>
      <c r="R1655" s="54"/>
      <c r="T1655" s="1"/>
      <c r="V1655" s="54"/>
      <c r="X1655" s="54"/>
      <c r="Z1655" s="54"/>
      <c r="AB1655" s="54"/>
      <c r="AD1655" s="54"/>
      <c r="AF1655" s="54"/>
      <c r="AH1655" s="54"/>
      <c r="AJ1655" s="54"/>
      <c r="AL1655" s="54"/>
      <c r="AO1655" s="54"/>
      <c r="AP1655" s="1"/>
      <c r="AQ1655" s="54"/>
      <c r="AR1655" s="171"/>
      <c r="AS1655" s="1"/>
      <c r="AT1655" s="1"/>
      <c r="AU1655" s="1"/>
    </row>
    <row r="1656">
      <c r="A1656" s="54"/>
      <c r="B1656" s="71"/>
      <c r="C1656" s="51"/>
      <c r="D1656" s="54"/>
      <c r="E1656" s="114"/>
      <c r="F1656" s="16"/>
      <c r="G1656" s="114"/>
      <c r="H1656" s="54"/>
      <c r="I1656" s="114"/>
      <c r="J1656" s="54"/>
      <c r="L1656" s="54"/>
      <c r="N1656" s="54"/>
      <c r="P1656" s="54"/>
      <c r="R1656" s="54"/>
      <c r="T1656" s="1"/>
      <c r="V1656" s="54"/>
      <c r="X1656" s="54"/>
      <c r="Z1656" s="54"/>
      <c r="AB1656" s="54"/>
      <c r="AD1656" s="54"/>
      <c r="AF1656" s="54"/>
      <c r="AH1656" s="54"/>
      <c r="AJ1656" s="54"/>
      <c r="AL1656" s="54"/>
      <c r="AO1656" s="54"/>
      <c r="AP1656" s="1"/>
      <c r="AQ1656" s="54"/>
      <c r="AR1656" s="171"/>
      <c r="AS1656" s="1"/>
      <c r="AT1656" s="1"/>
      <c r="AU1656" s="1"/>
    </row>
    <row r="1657">
      <c r="A1657" s="54"/>
      <c r="B1657" s="71"/>
      <c r="C1657" s="51"/>
      <c r="D1657" s="54"/>
      <c r="E1657" s="114"/>
      <c r="F1657" s="16"/>
      <c r="G1657" s="114"/>
      <c r="H1657" s="54"/>
      <c r="I1657" s="114"/>
      <c r="J1657" s="54"/>
      <c r="L1657" s="54"/>
      <c r="N1657" s="54"/>
      <c r="P1657" s="54"/>
      <c r="R1657" s="54"/>
      <c r="T1657" s="1"/>
      <c r="V1657" s="54"/>
      <c r="X1657" s="54"/>
      <c r="Z1657" s="54"/>
      <c r="AB1657" s="54"/>
      <c r="AD1657" s="54"/>
      <c r="AF1657" s="54"/>
      <c r="AH1657" s="54"/>
      <c r="AJ1657" s="54"/>
      <c r="AL1657" s="54"/>
      <c r="AO1657" s="54"/>
      <c r="AP1657" s="1"/>
      <c r="AQ1657" s="54"/>
      <c r="AR1657" s="171"/>
      <c r="AS1657" s="1"/>
      <c r="AT1657" s="1"/>
      <c r="AU1657" s="1"/>
    </row>
    <row r="1658">
      <c r="A1658" s="54"/>
      <c r="B1658" s="71"/>
      <c r="C1658" s="51"/>
      <c r="D1658" s="54"/>
      <c r="E1658" s="114"/>
      <c r="F1658" s="16"/>
      <c r="G1658" s="114"/>
      <c r="H1658" s="54"/>
      <c r="I1658" s="114"/>
      <c r="J1658" s="54"/>
      <c r="L1658" s="54"/>
      <c r="N1658" s="54"/>
      <c r="P1658" s="54"/>
      <c r="R1658" s="54"/>
      <c r="T1658" s="1"/>
      <c r="V1658" s="54"/>
      <c r="X1658" s="54"/>
      <c r="Z1658" s="54"/>
      <c r="AB1658" s="54"/>
      <c r="AD1658" s="54"/>
      <c r="AF1658" s="54"/>
      <c r="AH1658" s="54"/>
      <c r="AJ1658" s="54"/>
      <c r="AL1658" s="54"/>
      <c r="AO1658" s="54"/>
      <c r="AP1658" s="1"/>
      <c r="AQ1658" s="54"/>
      <c r="AR1658" s="171"/>
      <c r="AS1658" s="1"/>
      <c r="AT1658" s="1"/>
      <c r="AU1658" s="1"/>
    </row>
    <row r="1659">
      <c r="A1659" s="54"/>
      <c r="B1659" s="71"/>
      <c r="C1659" s="51"/>
      <c r="D1659" s="54"/>
      <c r="E1659" s="114"/>
      <c r="F1659" s="16"/>
      <c r="G1659" s="114"/>
      <c r="H1659" s="54"/>
      <c r="I1659" s="114"/>
      <c r="J1659" s="54"/>
      <c r="L1659" s="54"/>
      <c r="N1659" s="54"/>
      <c r="P1659" s="54"/>
      <c r="R1659" s="54"/>
      <c r="T1659" s="1"/>
      <c r="V1659" s="54"/>
      <c r="X1659" s="54"/>
      <c r="Z1659" s="54"/>
      <c r="AB1659" s="54"/>
      <c r="AD1659" s="54"/>
      <c r="AF1659" s="54"/>
      <c r="AH1659" s="54"/>
      <c r="AJ1659" s="54"/>
      <c r="AL1659" s="54"/>
      <c r="AO1659" s="54"/>
      <c r="AP1659" s="1"/>
      <c r="AQ1659" s="54"/>
      <c r="AR1659" s="171"/>
      <c r="AS1659" s="1"/>
      <c r="AT1659" s="1"/>
      <c r="AU1659" s="1"/>
    </row>
    <row r="1660">
      <c r="A1660" s="54"/>
      <c r="B1660" s="71"/>
      <c r="C1660" s="51"/>
      <c r="D1660" s="54"/>
      <c r="E1660" s="114"/>
      <c r="F1660" s="16"/>
      <c r="G1660" s="114"/>
      <c r="H1660" s="54"/>
      <c r="I1660" s="114"/>
      <c r="J1660" s="54"/>
      <c r="L1660" s="54"/>
      <c r="N1660" s="54"/>
      <c r="P1660" s="54"/>
      <c r="R1660" s="54"/>
      <c r="T1660" s="1"/>
      <c r="V1660" s="54"/>
      <c r="X1660" s="54"/>
      <c r="Z1660" s="54"/>
      <c r="AB1660" s="54"/>
      <c r="AD1660" s="54"/>
      <c r="AF1660" s="54"/>
      <c r="AH1660" s="54"/>
      <c r="AJ1660" s="54"/>
      <c r="AL1660" s="54"/>
      <c r="AO1660" s="54"/>
      <c r="AP1660" s="1"/>
      <c r="AQ1660" s="54"/>
      <c r="AR1660" s="171"/>
      <c r="AS1660" s="1"/>
      <c r="AT1660" s="1"/>
      <c r="AU1660" s="1"/>
    </row>
    <row r="1661">
      <c r="A1661" s="54"/>
      <c r="B1661" s="71"/>
      <c r="C1661" s="51"/>
      <c r="D1661" s="54"/>
      <c r="E1661" s="114"/>
      <c r="F1661" s="16"/>
      <c r="G1661" s="114"/>
      <c r="H1661" s="54"/>
      <c r="I1661" s="114"/>
      <c r="J1661" s="54"/>
      <c r="L1661" s="54"/>
      <c r="N1661" s="54"/>
      <c r="P1661" s="54"/>
      <c r="R1661" s="54"/>
      <c r="T1661" s="1"/>
      <c r="V1661" s="54"/>
      <c r="X1661" s="54"/>
      <c r="Z1661" s="54"/>
      <c r="AB1661" s="54"/>
      <c r="AD1661" s="54"/>
      <c r="AF1661" s="54"/>
      <c r="AH1661" s="54"/>
      <c r="AJ1661" s="54"/>
      <c r="AL1661" s="54"/>
      <c r="AO1661" s="54"/>
      <c r="AP1661" s="1"/>
      <c r="AQ1661" s="54"/>
      <c r="AR1661" s="171"/>
      <c r="AS1661" s="1"/>
      <c r="AT1661" s="1"/>
      <c r="AU1661" s="1"/>
    </row>
    <row r="1662">
      <c r="A1662" s="54"/>
      <c r="B1662" s="71"/>
      <c r="C1662" s="51"/>
      <c r="D1662" s="54"/>
      <c r="E1662" s="114"/>
      <c r="F1662" s="16"/>
      <c r="G1662" s="114"/>
      <c r="H1662" s="54"/>
      <c r="I1662" s="114"/>
      <c r="J1662" s="54"/>
      <c r="L1662" s="54"/>
      <c r="N1662" s="54"/>
      <c r="P1662" s="54"/>
      <c r="R1662" s="54"/>
      <c r="T1662" s="1"/>
      <c r="V1662" s="54"/>
      <c r="X1662" s="54"/>
      <c r="Z1662" s="54"/>
      <c r="AB1662" s="54"/>
      <c r="AD1662" s="54"/>
      <c r="AF1662" s="54"/>
      <c r="AH1662" s="54"/>
      <c r="AJ1662" s="54"/>
      <c r="AL1662" s="54"/>
      <c r="AO1662" s="54"/>
      <c r="AP1662" s="1"/>
      <c r="AQ1662" s="54"/>
      <c r="AR1662" s="171"/>
      <c r="AS1662" s="1"/>
      <c r="AT1662" s="1"/>
      <c r="AU1662" s="1"/>
    </row>
    <row r="1663">
      <c r="A1663" s="54"/>
      <c r="B1663" s="71"/>
      <c r="C1663" s="51"/>
      <c r="D1663" s="54"/>
      <c r="E1663" s="114"/>
      <c r="F1663" s="16"/>
      <c r="G1663" s="114"/>
      <c r="H1663" s="54"/>
      <c r="I1663" s="114"/>
      <c r="J1663" s="54"/>
      <c r="L1663" s="54"/>
      <c r="N1663" s="54"/>
      <c r="P1663" s="54"/>
      <c r="R1663" s="54"/>
      <c r="T1663" s="1"/>
      <c r="V1663" s="54"/>
      <c r="X1663" s="54"/>
      <c r="Z1663" s="54"/>
      <c r="AB1663" s="54"/>
      <c r="AD1663" s="54"/>
      <c r="AF1663" s="54"/>
      <c r="AH1663" s="54"/>
      <c r="AJ1663" s="54"/>
      <c r="AL1663" s="54"/>
      <c r="AO1663" s="54"/>
      <c r="AP1663" s="1"/>
      <c r="AQ1663" s="54"/>
      <c r="AR1663" s="171"/>
      <c r="AS1663" s="1"/>
      <c r="AT1663" s="1"/>
      <c r="AU1663" s="1"/>
    </row>
    <row r="1664">
      <c r="A1664" s="54"/>
      <c r="B1664" s="71"/>
      <c r="C1664" s="51"/>
      <c r="D1664" s="54"/>
      <c r="E1664" s="114"/>
      <c r="F1664" s="16"/>
      <c r="G1664" s="114"/>
      <c r="H1664" s="54"/>
      <c r="I1664" s="114"/>
      <c r="J1664" s="54"/>
      <c r="L1664" s="54"/>
      <c r="N1664" s="54"/>
      <c r="P1664" s="54"/>
      <c r="R1664" s="54"/>
      <c r="T1664" s="1"/>
      <c r="V1664" s="54"/>
      <c r="X1664" s="54"/>
      <c r="Z1664" s="54"/>
      <c r="AB1664" s="54"/>
      <c r="AD1664" s="54"/>
      <c r="AF1664" s="54"/>
      <c r="AH1664" s="54"/>
      <c r="AJ1664" s="54"/>
      <c r="AL1664" s="54"/>
      <c r="AO1664" s="54"/>
      <c r="AP1664" s="1"/>
      <c r="AQ1664" s="54"/>
      <c r="AR1664" s="171"/>
      <c r="AS1664" s="1"/>
      <c r="AT1664" s="1"/>
      <c r="AU1664" s="1"/>
    </row>
    <row r="1665">
      <c r="A1665" s="54"/>
      <c r="B1665" s="71"/>
      <c r="C1665" s="51"/>
      <c r="D1665" s="54"/>
      <c r="E1665" s="114"/>
      <c r="F1665" s="16"/>
      <c r="G1665" s="114"/>
      <c r="H1665" s="54"/>
      <c r="I1665" s="114"/>
      <c r="J1665" s="54"/>
      <c r="L1665" s="54"/>
      <c r="N1665" s="54"/>
      <c r="P1665" s="54"/>
      <c r="R1665" s="54"/>
      <c r="T1665" s="1"/>
      <c r="V1665" s="54"/>
      <c r="X1665" s="54"/>
      <c r="Z1665" s="54"/>
      <c r="AB1665" s="54"/>
      <c r="AD1665" s="54"/>
      <c r="AF1665" s="54"/>
      <c r="AH1665" s="54"/>
      <c r="AJ1665" s="54"/>
      <c r="AL1665" s="54"/>
      <c r="AO1665" s="54"/>
      <c r="AP1665" s="1"/>
      <c r="AQ1665" s="54"/>
      <c r="AR1665" s="171"/>
      <c r="AS1665" s="1"/>
      <c r="AT1665" s="1"/>
      <c r="AU1665" s="1"/>
    </row>
    <row r="1666">
      <c r="A1666" s="54"/>
      <c r="B1666" s="71"/>
      <c r="C1666" s="51"/>
      <c r="D1666" s="54"/>
      <c r="E1666" s="114"/>
      <c r="F1666" s="16"/>
      <c r="G1666" s="114"/>
      <c r="H1666" s="54"/>
      <c r="I1666" s="114"/>
      <c r="J1666" s="54"/>
      <c r="L1666" s="54"/>
      <c r="N1666" s="54"/>
      <c r="P1666" s="54"/>
      <c r="R1666" s="54"/>
      <c r="T1666" s="1"/>
      <c r="V1666" s="54"/>
      <c r="X1666" s="54"/>
      <c r="Z1666" s="54"/>
      <c r="AB1666" s="54"/>
      <c r="AD1666" s="54"/>
      <c r="AF1666" s="54"/>
      <c r="AH1666" s="54"/>
      <c r="AJ1666" s="54"/>
      <c r="AL1666" s="54"/>
      <c r="AO1666" s="54"/>
      <c r="AP1666" s="1"/>
      <c r="AQ1666" s="54"/>
      <c r="AR1666" s="171"/>
      <c r="AS1666" s="1"/>
      <c r="AT1666" s="1"/>
      <c r="AU1666" s="1"/>
    </row>
    <row r="1667">
      <c r="A1667" s="54"/>
      <c r="B1667" s="71"/>
      <c r="C1667" s="51"/>
      <c r="D1667" s="54"/>
      <c r="E1667" s="114"/>
      <c r="F1667" s="16"/>
      <c r="G1667" s="114"/>
      <c r="H1667" s="54"/>
      <c r="I1667" s="114"/>
      <c r="J1667" s="54"/>
      <c r="L1667" s="54"/>
      <c r="N1667" s="54"/>
      <c r="P1667" s="54"/>
      <c r="R1667" s="54"/>
      <c r="T1667" s="1"/>
      <c r="V1667" s="54"/>
      <c r="X1667" s="54"/>
      <c r="Z1667" s="54"/>
      <c r="AB1667" s="54"/>
      <c r="AD1667" s="54"/>
      <c r="AF1667" s="54"/>
      <c r="AH1667" s="54"/>
      <c r="AJ1667" s="54"/>
      <c r="AL1667" s="54"/>
      <c r="AO1667" s="54"/>
      <c r="AP1667" s="1"/>
      <c r="AQ1667" s="54"/>
      <c r="AR1667" s="171"/>
      <c r="AS1667" s="1"/>
      <c r="AT1667" s="1"/>
      <c r="AU1667" s="1"/>
    </row>
    <row r="1668">
      <c r="A1668" s="54"/>
      <c r="B1668" s="71"/>
      <c r="C1668" s="51"/>
      <c r="D1668" s="54"/>
      <c r="E1668" s="114"/>
      <c r="F1668" s="16"/>
      <c r="G1668" s="114"/>
      <c r="H1668" s="54"/>
      <c r="I1668" s="114"/>
      <c r="J1668" s="54"/>
      <c r="L1668" s="54"/>
      <c r="N1668" s="54"/>
      <c r="P1668" s="54"/>
      <c r="R1668" s="54"/>
      <c r="T1668" s="1"/>
      <c r="V1668" s="54"/>
      <c r="X1668" s="54"/>
      <c r="Z1668" s="54"/>
      <c r="AB1668" s="54"/>
      <c r="AD1668" s="54"/>
      <c r="AF1668" s="54"/>
      <c r="AH1668" s="54"/>
      <c r="AJ1668" s="54"/>
      <c r="AL1668" s="54"/>
      <c r="AO1668" s="54"/>
      <c r="AP1668" s="1"/>
      <c r="AQ1668" s="54"/>
      <c r="AR1668" s="171"/>
      <c r="AS1668" s="1"/>
      <c r="AT1668" s="1"/>
      <c r="AU1668" s="1"/>
    </row>
    <row r="1669">
      <c r="A1669" s="54"/>
      <c r="B1669" s="71"/>
      <c r="C1669" s="51"/>
      <c r="D1669" s="54"/>
      <c r="E1669" s="114"/>
      <c r="F1669" s="16"/>
      <c r="G1669" s="114"/>
      <c r="H1669" s="54"/>
      <c r="I1669" s="114"/>
      <c r="J1669" s="54"/>
      <c r="L1669" s="54"/>
      <c r="N1669" s="54"/>
      <c r="P1669" s="54"/>
      <c r="R1669" s="54"/>
      <c r="T1669" s="1"/>
      <c r="V1669" s="54"/>
      <c r="X1669" s="54"/>
      <c r="Z1669" s="54"/>
      <c r="AB1669" s="54"/>
      <c r="AD1669" s="54"/>
      <c r="AF1669" s="54"/>
      <c r="AH1669" s="54"/>
      <c r="AJ1669" s="54"/>
      <c r="AL1669" s="54"/>
      <c r="AO1669" s="54"/>
      <c r="AP1669" s="1"/>
      <c r="AQ1669" s="54"/>
      <c r="AR1669" s="171"/>
      <c r="AS1669" s="1"/>
      <c r="AT1669" s="1"/>
      <c r="AU1669" s="1"/>
    </row>
    <row r="1670">
      <c r="A1670" s="54"/>
      <c r="B1670" s="71"/>
      <c r="C1670" s="51"/>
      <c r="D1670" s="54"/>
      <c r="E1670" s="114"/>
      <c r="F1670" s="16"/>
      <c r="G1670" s="114"/>
      <c r="H1670" s="54"/>
      <c r="I1670" s="114"/>
      <c r="J1670" s="54"/>
      <c r="L1670" s="54"/>
      <c r="N1670" s="54"/>
      <c r="P1670" s="54"/>
      <c r="R1670" s="54"/>
      <c r="T1670" s="1"/>
      <c r="V1670" s="54"/>
      <c r="X1670" s="54"/>
      <c r="Z1670" s="54"/>
      <c r="AB1670" s="54"/>
      <c r="AD1670" s="54"/>
      <c r="AF1670" s="54"/>
      <c r="AH1670" s="54"/>
      <c r="AJ1670" s="54"/>
      <c r="AL1670" s="54"/>
      <c r="AO1670" s="54"/>
      <c r="AP1670" s="1"/>
      <c r="AQ1670" s="54"/>
      <c r="AR1670" s="171"/>
      <c r="AS1670" s="1"/>
      <c r="AT1670" s="1"/>
      <c r="AU1670" s="1"/>
    </row>
    <row r="1671">
      <c r="A1671" s="54"/>
      <c r="B1671" s="71"/>
      <c r="C1671" s="51"/>
      <c r="D1671" s="54"/>
      <c r="E1671" s="114"/>
      <c r="F1671" s="16"/>
      <c r="G1671" s="114"/>
      <c r="H1671" s="54"/>
      <c r="I1671" s="114"/>
      <c r="J1671" s="54"/>
      <c r="L1671" s="54"/>
      <c r="N1671" s="54"/>
      <c r="P1671" s="54"/>
      <c r="R1671" s="54"/>
      <c r="T1671" s="1"/>
      <c r="V1671" s="54"/>
      <c r="X1671" s="54"/>
      <c r="Z1671" s="54"/>
      <c r="AB1671" s="54"/>
      <c r="AD1671" s="54"/>
      <c r="AF1671" s="54"/>
      <c r="AH1671" s="54"/>
      <c r="AJ1671" s="54"/>
      <c r="AL1671" s="54"/>
      <c r="AO1671" s="54"/>
      <c r="AP1671" s="1"/>
      <c r="AQ1671" s="54"/>
      <c r="AR1671" s="171"/>
      <c r="AS1671" s="1"/>
      <c r="AT1671" s="1"/>
      <c r="AU1671" s="1"/>
    </row>
    <row r="1672">
      <c r="A1672" s="54"/>
      <c r="B1672" s="71"/>
      <c r="C1672" s="51"/>
      <c r="D1672" s="54"/>
      <c r="E1672" s="114"/>
      <c r="F1672" s="16"/>
      <c r="G1672" s="114"/>
      <c r="H1672" s="54"/>
      <c r="I1672" s="114"/>
      <c r="J1672" s="54"/>
      <c r="L1672" s="54"/>
      <c r="N1672" s="54"/>
      <c r="P1672" s="54"/>
      <c r="R1672" s="54"/>
      <c r="T1672" s="1"/>
      <c r="V1672" s="54"/>
      <c r="X1672" s="54"/>
      <c r="Z1672" s="54"/>
      <c r="AB1672" s="54"/>
      <c r="AD1672" s="54"/>
      <c r="AF1672" s="54"/>
      <c r="AH1672" s="54"/>
      <c r="AJ1672" s="54"/>
      <c r="AL1672" s="54"/>
      <c r="AO1672" s="54"/>
      <c r="AP1672" s="1"/>
      <c r="AQ1672" s="54"/>
      <c r="AR1672" s="171"/>
      <c r="AS1672" s="1"/>
      <c r="AT1672" s="1"/>
      <c r="AU1672" s="1"/>
    </row>
    <row r="1673">
      <c r="A1673" s="54"/>
      <c r="B1673" s="71"/>
      <c r="C1673" s="51"/>
      <c r="D1673" s="54"/>
      <c r="E1673" s="114"/>
      <c r="F1673" s="16"/>
      <c r="G1673" s="114"/>
      <c r="H1673" s="54"/>
      <c r="I1673" s="114"/>
      <c r="J1673" s="54"/>
      <c r="L1673" s="54"/>
      <c r="N1673" s="54"/>
      <c r="P1673" s="54"/>
      <c r="R1673" s="54"/>
      <c r="T1673" s="1"/>
      <c r="V1673" s="54"/>
      <c r="X1673" s="54"/>
      <c r="Z1673" s="54"/>
      <c r="AB1673" s="54"/>
      <c r="AD1673" s="54"/>
      <c r="AF1673" s="54"/>
      <c r="AH1673" s="54"/>
      <c r="AJ1673" s="54"/>
      <c r="AL1673" s="54"/>
      <c r="AO1673" s="54"/>
      <c r="AP1673" s="1"/>
      <c r="AQ1673" s="54"/>
      <c r="AR1673" s="171"/>
      <c r="AS1673" s="1"/>
      <c r="AT1673" s="1"/>
      <c r="AU1673" s="1"/>
    </row>
    <row r="1674">
      <c r="A1674" s="54"/>
      <c r="B1674" s="71"/>
      <c r="C1674" s="51"/>
      <c r="D1674" s="54"/>
      <c r="E1674" s="114"/>
      <c r="F1674" s="16"/>
      <c r="G1674" s="114"/>
      <c r="H1674" s="54"/>
      <c r="I1674" s="114"/>
      <c r="J1674" s="54"/>
      <c r="L1674" s="54"/>
      <c r="N1674" s="54"/>
      <c r="P1674" s="54"/>
      <c r="R1674" s="54"/>
      <c r="T1674" s="1"/>
      <c r="V1674" s="54"/>
      <c r="X1674" s="54"/>
      <c r="Z1674" s="54"/>
      <c r="AB1674" s="54"/>
      <c r="AD1674" s="54"/>
      <c r="AF1674" s="54"/>
      <c r="AH1674" s="54"/>
      <c r="AJ1674" s="54"/>
      <c r="AL1674" s="54"/>
      <c r="AO1674" s="54"/>
      <c r="AP1674" s="1"/>
      <c r="AQ1674" s="54"/>
      <c r="AR1674" s="171"/>
      <c r="AS1674" s="1"/>
      <c r="AT1674" s="1"/>
      <c r="AU1674" s="1"/>
    </row>
    <row r="1675">
      <c r="A1675" s="54"/>
      <c r="B1675" s="71"/>
      <c r="C1675" s="51"/>
      <c r="D1675" s="54"/>
      <c r="E1675" s="114"/>
      <c r="F1675" s="16"/>
      <c r="G1675" s="114"/>
      <c r="H1675" s="54"/>
      <c r="I1675" s="114"/>
      <c r="J1675" s="54"/>
      <c r="L1675" s="54"/>
      <c r="N1675" s="54"/>
      <c r="P1675" s="54"/>
      <c r="R1675" s="54"/>
      <c r="T1675" s="1"/>
      <c r="V1675" s="54"/>
      <c r="X1675" s="54"/>
      <c r="Z1675" s="54"/>
      <c r="AB1675" s="54"/>
      <c r="AD1675" s="54"/>
      <c r="AF1675" s="54"/>
      <c r="AH1675" s="54"/>
      <c r="AJ1675" s="54"/>
      <c r="AL1675" s="54"/>
      <c r="AO1675" s="54"/>
      <c r="AP1675" s="1"/>
      <c r="AQ1675" s="54"/>
      <c r="AR1675" s="171"/>
      <c r="AS1675" s="1"/>
      <c r="AT1675" s="1"/>
      <c r="AU1675" s="1"/>
    </row>
    <row r="1676">
      <c r="A1676" s="54"/>
      <c r="B1676" s="71"/>
      <c r="C1676" s="51"/>
      <c r="D1676" s="54"/>
      <c r="E1676" s="114"/>
      <c r="F1676" s="16"/>
      <c r="G1676" s="114"/>
      <c r="H1676" s="54"/>
      <c r="I1676" s="114"/>
      <c r="J1676" s="54"/>
      <c r="L1676" s="54"/>
      <c r="N1676" s="54"/>
      <c r="P1676" s="54"/>
      <c r="R1676" s="54"/>
      <c r="T1676" s="1"/>
      <c r="V1676" s="54"/>
      <c r="X1676" s="54"/>
      <c r="Z1676" s="54"/>
      <c r="AB1676" s="54"/>
      <c r="AD1676" s="54"/>
      <c r="AF1676" s="54"/>
      <c r="AH1676" s="54"/>
      <c r="AJ1676" s="54"/>
      <c r="AL1676" s="54"/>
      <c r="AO1676" s="54"/>
      <c r="AP1676" s="1"/>
      <c r="AQ1676" s="54"/>
      <c r="AR1676" s="171"/>
      <c r="AS1676" s="1"/>
      <c r="AT1676" s="1"/>
      <c r="AU1676" s="1"/>
    </row>
    <row r="1677">
      <c r="A1677" s="54"/>
      <c r="B1677" s="71"/>
      <c r="C1677" s="51"/>
      <c r="D1677" s="54"/>
      <c r="E1677" s="114"/>
      <c r="F1677" s="16"/>
      <c r="G1677" s="114"/>
      <c r="H1677" s="54"/>
      <c r="I1677" s="114"/>
      <c r="J1677" s="54"/>
      <c r="L1677" s="54"/>
      <c r="N1677" s="54"/>
      <c r="P1677" s="54"/>
      <c r="R1677" s="54"/>
      <c r="T1677" s="1"/>
      <c r="V1677" s="54"/>
      <c r="X1677" s="54"/>
      <c r="Z1677" s="54"/>
      <c r="AB1677" s="54"/>
      <c r="AD1677" s="54"/>
      <c r="AF1677" s="54"/>
      <c r="AH1677" s="54"/>
      <c r="AJ1677" s="54"/>
      <c r="AL1677" s="54"/>
      <c r="AO1677" s="54"/>
      <c r="AP1677" s="1"/>
      <c r="AQ1677" s="54"/>
      <c r="AR1677" s="171"/>
      <c r="AS1677" s="1"/>
      <c r="AT1677" s="1"/>
      <c r="AU1677" s="1"/>
    </row>
    <row r="1678">
      <c r="A1678" s="54"/>
      <c r="B1678" s="71"/>
      <c r="C1678" s="51"/>
      <c r="D1678" s="54"/>
      <c r="E1678" s="114"/>
      <c r="F1678" s="16"/>
      <c r="G1678" s="114"/>
      <c r="H1678" s="54"/>
      <c r="I1678" s="114"/>
      <c r="J1678" s="54"/>
      <c r="L1678" s="54"/>
      <c r="N1678" s="54"/>
      <c r="P1678" s="54"/>
      <c r="R1678" s="54"/>
      <c r="T1678" s="1"/>
      <c r="V1678" s="54"/>
      <c r="X1678" s="54"/>
      <c r="Z1678" s="54"/>
      <c r="AB1678" s="54"/>
      <c r="AD1678" s="54"/>
      <c r="AF1678" s="54"/>
      <c r="AH1678" s="54"/>
      <c r="AJ1678" s="54"/>
      <c r="AL1678" s="54"/>
      <c r="AO1678" s="54"/>
      <c r="AP1678" s="1"/>
      <c r="AQ1678" s="54"/>
      <c r="AR1678" s="171"/>
      <c r="AS1678" s="1"/>
      <c r="AT1678" s="1"/>
      <c r="AU1678" s="1"/>
    </row>
    <row r="1679">
      <c r="A1679" s="54"/>
      <c r="B1679" s="71"/>
      <c r="C1679" s="51"/>
      <c r="D1679" s="54"/>
      <c r="E1679" s="114"/>
      <c r="F1679" s="16"/>
      <c r="G1679" s="114"/>
      <c r="H1679" s="54"/>
      <c r="I1679" s="114"/>
      <c r="J1679" s="54"/>
      <c r="L1679" s="54"/>
      <c r="N1679" s="54"/>
      <c r="P1679" s="54"/>
      <c r="R1679" s="54"/>
      <c r="T1679" s="1"/>
      <c r="V1679" s="54"/>
      <c r="X1679" s="54"/>
      <c r="Z1679" s="54"/>
      <c r="AB1679" s="54"/>
      <c r="AD1679" s="54"/>
      <c r="AF1679" s="54"/>
      <c r="AH1679" s="54"/>
      <c r="AJ1679" s="54"/>
      <c r="AL1679" s="54"/>
      <c r="AO1679" s="54"/>
      <c r="AP1679" s="1"/>
      <c r="AQ1679" s="54"/>
      <c r="AR1679" s="171"/>
      <c r="AS1679" s="1"/>
      <c r="AT1679" s="1"/>
      <c r="AU1679" s="1"/>
    </row>
    <row r="1680">
      <c r="A1680" s="54"/>
      <c r="B1680" s="71"/>
      <c r="C1680" s="51"/>
      <c r="D1680" s="54"/>
      <c r="E1680" s="114"/>
      <c r="F1680" s="16"/>
      <c r="G1680" s="114"/>
      <c r="H1680" s="54"/>
      <c r="I1680" s="114"/>
      <c r="J1680" s="54"/>
      <c r="L1680" s="54"/>
      <c r="N1680" s="54"/>
      <c r="P1680" s="54"/>
      <c r="R1680" s="54"/>
      <c r="T1680" s="1"/>
      <c r="V1680" s="54"/>
      <c r="X1680" s="54"/>
      <c r="Z1680" s="54"/>
      <c r="AB1680" s="54"/>
      <c r="AD1680" s="54"/>
      <c r="AF1680" s="54"/>
      <c r="AH1680" s="54"/>
      <c r="AJ1680" s="54"/>
      <c r="AL1680" s="54"/>
      <c r="AO1680" s="54"/>
      <c r="AP1680" s="1"/>
      <c r="AQ1680" s="54"/>
      <c r="AR1680" s="171"/>
      <c r="AS1680" s="1"/>
      <c r="AT1680" s="1"/>
      <c r="AU1680" s="1"/>
    </row>
    <row r="1681">
      <c r="A1681" s="54"/>
      <c r="B1681" s="71"/>
      <c r="C1681" s="51"/>
      <c r="D1681" s="54"/>
      <c r="E1681" s="114"/>
      <c r="F1681" s="16"/>
      <c r="G1681" s="114"/>
      <c r="H1681" s="54"/>
      <c r="I1681" s="114"/>
      <c r="J1681" s="54"/>
      <c r="L1681" s="54"/>
      <c r="N1681" s="54"/>
      <c r="P1681" s="54"/>
      <c r="R1681" s="54"/>
      <c r="T1681" s="1"/>
      <c r="V1681" s="54"/>
      <c r="X1681" s="54"/>
      <c r="Z1681" s="54"/>
      <c r="AB1681" s="54"/>
      <c r="AD1681" s="54"/>
      <c r="AF1681" s="54"/>
      <c r="AH1681" s="54"/>
      <c r="AJ1681" s="54"/>
      <c r="AL1681" s="54"/>
      <c r="AO1681" s="54"/>
      <c r="AP1681" s="1"/>
      <c r="AQ1681" s="54"/>
      <c r="AR1681" s="171"/>
      <c r="AS1681" s="1"/>
      <c r="AT1681" s="1"/>
      <c r="AU1681" s="1"/>
    </row>
    <row r="1682">
      <c r="A1682" s="54"/>
      <c r="B1682" s="71"/>
      <c r="C1682" s="51"/>
      <c r="D1682" s="54"/>
      <c r="E1682" s="114"/>
      <c r="F1682" s="16"/>
      <c r="G1682" s="114"/>
      <c r="H1682" s="54"/>
      <c r="I1682" s="114"/>
      <c r="J1682" s="54"/>
      <c r="L1682" s="54"/>
      <c r="N1682" s="54"/>
      <c r="P1682" s="54"/>
      <c r="R1682" s="54"/>
      <c r="T1682" s="1"/>
      <c r="V1682" s="54"/>
      <c r="X1682" s="54"/>
      <c r="Z1682" s="54"/>
      <c r="AB1682" s="54"/>
      <c r="AD1682" s="54"/>
      <c r="AF1682" s="54"/>
      <c r="AH1682" s="54"/>
      <c r="AJ1682" s="54"/>
      <c r="AL1682" s="54"/>
      <c r="AO1682" s="54"/>
      <c r="AP1682" s="1"/>
      <c r="AQ1682" s="54"/>
      <c r="AR1682" s="171"/>
      <c r="AS1682" s="1"/>
      <c r="AT1682" s="1"/>
      <c r="AU1682" s="1"/>
    </row>
    <row r="1683">
      <c r="A1683" s="54"/>
      <c r="B1683" s="71"/>
      <c r="C1683" s="51"/>
      <c r="D1683" s="54"/>
      <c r="E1683" s="114"/>
      <c r="F1683" s="16"/>
      <c r="G1683" s="114"/>
      <c r="H1683" s="54"/>
      <c r="I1683" s="114"/>
      <c r="J1683" s="54"/>
      <c r="L1683" s="54"/>
      <c r="N1683" s="54"/>
      <c r="P1683" s="54"/>
      <c r="R1683" s="54"/>
      <c r="T1683" s="1"/>
      <c r="V1683" s="54"/>
      <c r="X1683" s="54"/>
      <c r="Z1683" s="54"/>
      <c r="AB1683" s="54"/>
      <c r="AD1683" s="54"/>
      <c r="AF1683" s="54"/>
      <c r="AH1683" s="54"/>
      <c r="AJ1683" s="54"/>
      <c r="AL1683" s="54"/>
      <c r="AO1683" s="54"/>
      <c r="AP1683" s="1"/>
      <c r="AQ1683" s="54"/>
      <c r="AR1683" s="171"/>
      <c r="AS1683" s="1"/>
      <c r="AT1683" s="1"/>
      <c r="AU1683" s="1"/>
    </row>
    <row r="1684">
      <c r="A1684" s="54"/>
      <c r="B1684" s="71"/>
      <c r="C1684" s="51"/>
      <c r="D1684" s="54"/>
      <c r="E1684" s="114"/>
      <c r="F1684" s="16"/>
      <c r="G1684" s="114"/>
      <c r="H1684" s="54"/>
      <c r="I1684" s="114"/>
      <c r="J1684" s="54"/>
      <c r="L1684" s="54"/>
      <c r="N1684" s="54"/>
      <c r="P1684" s="54"/>
      <c r="R1684" s="54"/>
      <c r="T1684" s="1"/>
      <c r="V1684" s="54"/>
      <c r="X1684" s="54"/>
      <c r="Z1684" s="54"/>
      <c r="AB1684" s="54"/>
      <c r="AD1684" s="54"/>
      <c r="AF1684" s="54"/>
      <c r="AH1684" s="54"/>
      <c r="AJ1684" s="54"/>
      <c r="AL1684" s="54"/>
      <c r="AO1684" s="54"/>
      <c r="AP1684" s="1"/>
      <c r="AQ1684" s="54"/>
      <c r="AR1684" s="171"/>
      <c r="AS1684" s="1"/>
      <c r="AT1684" s="1"/>
      <c r="AU1684" s="1"/>
    </row>
    <row r="1685">
      <c r="A1685" s="54"/>
      <c r="B1685" s="71"/>
      <c r="C1685" s="51"/>
      <c r="D1685" s="54"/>
      <c r="E1685" s="114"/>
      <c r="F1685" s="16"/>
      <c r="G1685" s="114"/>
      <c r="H1685" s="54"/>
      <c r="I1685" s="114"/>
      <c r="J1685" s="54"/>
      <c r="L1685" s="54"/>
      <c r="N1685" s="54"/>
      <c r="P1685" s="54"/>
      <c r="R1685" s="54"/>
      <c r="T1685" s="1"/>
      <c r="V1685" s="54"/>
      <c r="X1685" s="54"/>
      <c r="Z1685" s="54"/>
      <c r="AB1685" s="54"/>
      <c r="AD1685" s="54"/>
      <c r="AF1685" s="54"/>
      <c r="AH1685" s="54"/>
      <c r="AJ1685" s="54"/>
      <c r="AL1685" s="54"/>
      <c r="AO1685" s="54"/>
      <c r="AP1685" s="1"/>
      <c r="AQ1685" s="54"/>
      <c r="AR1685" s="171"/>
      <c r="AS1685" s="1"/>
      <c r="AT1685" s="1"/>
      <c r="AU1685" s="1"/>
    </row>
    <row r="1686">
      <c r="A1686" s="54"/>
      <c r="B1686" s="71"/>
      <c r="C1686" s="51"/>
      <c r="D1686" s="54"/>
      <c r="E1686" s="114"/>
      <c r="F1686" s="16"/>
      <c r="G1686" s="114"/>
      <c r="H1686" s="54"/>
      <c r="I1686" s="114"/>
      <c r="J1686" s="54"/>
      <c r="L1686" s="54"/>
      <c r="N1686" s="54"/>
      <c r="P1686" s="54"/>
      <c r="R1686" s="54"/>
      <c r="T1686" s="1"/>
      <c r="V1686" s="54"/>
      <c r="X1686" s="54"/>
      <c r="Z1686" s="54"/>
      <c r="AB1686" s="54"/>
      <c r="AD1686" s="54"/>
      <c r="AF1686" s="54"/>
      <c r="AH1686" s="54"/>
      <c r="AJ1686" s="54"/>
      <c r="AL1686" s="54"/>
      <c r="AO1686" s="54"/>
      <c r="AP1686" s="1"/>
      <c r="AQ1686" s="54"/>
      <c r="AR1686" s="171"/>
      <c r="AS1686" s="1"/>
      <c r="AT1686" s="1"/>
      <c r="AU1686" s="1"/>
    </row>
    <row r="1687">
      <c r="A1687" s="54"/>
      <c r="B1687" s="71"/>
      <c r="C1687" s="51"/>
      <c r="D1687" s="54"/>
      <c r="E1687" s="114"/>
      <c r="F1687" s="16"/>
      <c r="G1687" s="114"/>
      <c r="H1687" s="54"/>
      <c r="I1687" s="114"/>
      <c r="J1687" s="54"/>
      <c r="L1687" s="54"/>
      <c r="N1687" s="54"/>
      <c r="P1687" s="54"/>
      <c r="R1687" s="54"/>
      <c r="T1687" s="1"/>
      <c r="V1687" s="54"/>
      <c r="X1687" s="54"/>
      <c r="Z1687" s="54"/>
      <c r="AB1687" s="54"/>
      <c r="AD1687" s="54"/>
      <c r="AF1687" s="54"/>
      <c r="AH1687" s="54"/>
      <c r="AJ1687" s="54"/>
      <c r="AL1687" s="54"/>
      <c r="AO1687" s="54"/>
      <c r="AP1687" s="1"/>
      <c r="AQ1687" s="54"/>
      <c r="AR1687" s="171"/>
      <c r="AS1687" s="1"/>
      <c r="AT1687" s="1"/>
      <c r="AU1687" s="1"/>
    </row>
    <row r="1688">
      <c r="A1688" s="54"/>
      <c r="B1688" s="71"/>
      <c r="C1688" s="51"/>
      <c r="D1688" s="54"/>
      <c r="E1688" s="114"/>
      <c r="F1688" s="16"/>
      <c r="G1688" s="114"/>
      <c r="H1688" s="54"/>
      <c r="I1688" s="114"/>
      <c r="J1688" s="54"/>
      <c r="L1688" s="54"/>
      <c r="N1688" s="54"/>
      <c r="P1688" s="54"/>
      <c r="R1688" s="54"/>
      <c r="T1688" s="1"/>
      <c r="V1688" s="54"/>
      <c r="X1688" s="54"/>
      <c r="Z1688" s="54"/>
      <c r="AB1688" s="54"/>
      <c r="AD1688" s="54"/>
      <c r="AF1688" s="54"/>
      <c r="AH1688" s="54"/>
      <c r="AJ1688" s="54"/>
      <c r="AL1688" s="54"/>
      <c r="AO1688" s="54"/>
      <c r="AP1688" s="1"/>
      <c r="AQ1688" s="54"/>
      <c r="AR1688" s="171"/>
      <c r="AS1688" s="1"/>
      <c r="AT1688" s="1"/>
      <c r="AU1688" s="1"/>
    </row>
    <row r="1689">
      <c r="A1689" s="54"/>
      <c r="B1689" s="71"/>
      <c r="C1689" s="51"/>
      <c r="D1689" s="54"/>
      <c r="E1689" s="114"/>
      <c r="F1689" s="16"/>
      <c r="G1689" s="114"/>
      <c r="H1689" s="54"/>
      <c r="I1689" s="114"/>
      <c r="J1689" s="54"/>
      <c r="L1689" s="54"/>
      <c r="N1689" s="54"/>
      <c r="P1689" s="54"/>
      <c r="R1689" s="54"/>
      <c r="T1689" s="1"/>
      <c r="V1689" s="54"/>
      <c r="X1689" s="54"/>
      <c r="Z1689" s="54"/>
      <c r="AB1689" s="54"/>
      <c r="AD1689" s="54"/>
      <c r="AF1689" s="54"/>
      <c r="AH1689" s="54"/>
      <c r="AJ1689" s="54"/>
      <c r="AL1689" s="54"/>
      <c r="AO1689" s="54"/>
      <c r="AP1689" s="1"/>
      <c r="AQ1689" s="54"/>
      <c r="AR1689" s="171"/>
      <c r="AS1689" s="1"/>
      <c r="AT1689" s="1"/>
      <c r="AU1689" s="1"/>
    </row>
    <row r="1690">
      <c r="A1690" s="54"/>
      <c r="B1690" s="71"/>
      <c r="C1690" s="51"/>
      <c r="D1690" s="54"/>
      <c r="E1690" s="114"/>
      <c r="F1690" s="16"/>
      <c r="G1690" s="114"/>
      <c r="H1690" s="54"/>
      <c r="I1690" s="114"/>
      <c r="J1690" s="54"/>
      <c r="L1690" s="54"/>
      <c r="N1690" s="54"/>
      <c r="P1690" s="54"/>
      <c r="R1690" s="54"/>
      <c r="T1690" s="1"/>
      <c r="V1690" s="54"/>
      <c r="X1690" s="54"/>
      <c r="Z1690" s="54"/>
      <c r="AB1690" s="54"/>
      <c r="AD1690" s="54"/>
      <c r="AF1690" s="54"/>
      <c r="AH1690" s="54"/>
      <c r="AJ1690" s="54"/>
      <c r="AL1690" s="54"/>
      <c r="AO1690" s="54"/>
      <c r="AP1690" s="1"/>
      <c r="AQ1690" s="54"/>
      <c r="AR1690" s="171"/>
      <c r="AS1690" s="1"/>
      <c r="AT1690" s="1"/>
      <c r="AU1690" s="1"/>
    </row>
    <row r="1691">
      <c r="A1691" s="54"/>
      <c r="B1691" s="71"/>
      <c r="C1691" s="51"/>
      <c r="D1691" s="54"/>
      <c r="E1691" s="114"/>
      <c r="F1691" s="16"/>
      <c r="G1691" s="114"/>
      <c r="H1691" s="54"/>
      <c r="I1691" s="114"/>
      <c r="J1691" s="54"/>
      <c r="L1691" s="54"/>
      <c r="N1691" s="54"/>
      <c r="P1691" s="54"/>
      <c r="R1691" s="54"/>
      <c r="T1691" s="1"/>
      <c r="V1691" s="54"/>
      <c r="X1691" s="54"/>
      <c r="Z1691" s="54"/>
      <c r="AB1691" s="54"/>
      <c r="AD1691" s="54"/>
      <c r="AF1691" s="54"/>
      <c r="AH1691" s="54"/>
      <c r="AJ1691" s="54"/>
      <c r="AL1691" s="54"/>
      <c r="AO1691" s="54"/>
      <c r="AP1691" s="1"/>
      <c r="AQ1691" s="54"/>
      <c r="AR1691" s="171"/>
      <c r="AS1691" s="1"/>
      <c r="AT1691" s="1"/>
      <c r="AU1691" s="1"/>
    </row>
    <row r="1692">
      <c r="A1692" s="54"/>
      <c r="B1692" s="71"/>
      <c r="C1692" s="51"/>
      <c r="D1692" s="54"/>
      <c r="E1692" s="114"/>
      <c r="F1692" s="16"/>
      <c r="G1692" s="114"/>
      <c r="H1692" s="54"/>
      <c r="I1692" s="114"/>
      <c r="J1692" s="54"/>
      <c r="L1692" s="54"/>
      <c r="N1692" s="54"/>
      <c r="P1692" s="54"/>
      <c r="R1692" s="54"/>
      <c r="T1692" s="1"/>
      <c r="V1692" s="54"/>
      <c r="X1692" s="54"/>
      <c r="Z1692" s="54"/>
      <c r="AB1692" s="54"/>
      <c r="AD1692" s="54"/>
      <c r="AF1692" s="54"/>
      <c r="AH1692" s="54"/>
      <c r="AJ1692" s="54"/>
      <c r="AL1692" s="54"/>
      <c r="AO1692" s="54"/>
      <c r="AP1692" s="1"/>
      <c r="AQ1692" s="54"/>
      <c r="AR1692" s="171"/>
      <c r="AS1692" s="1"/>
      <c r="AT1692" s="1"/>
      <c r="AU1692" s="1"/>
    </row>
    <row r="1693">
      <c r="A1693" s="54"/>
      <c r="B1693" s="71"/>
      <c r="C1693" s="51"/>
      <c r="D1693" s="54"/>
      <c r="E1693" s="114"/>
      <c r="F1693" s="16"/>
      <c r="G1693" s="114"/>
      <c r="H1693" s="54"/>
      <c r="I1693" s="114"/>
      <c r="J1693" s="54"/>
      <c r="L1693" s="54"/>
      <c r="N1693" s="54"/>
      <c r="P1693" s="54"/>
      <c r="R1693" s="54"/>
      <c r="T1693" s="1"/>
      <c r="V1693" s="54"/>
      <c r="X1693" s="54"/>
      <c r="Z1693" s="54"/>
      <c r="AB1693" s="54"/>
      <c r="AD1693" s="54"/>
      <c r="AF1693" s="54"/>
      <c r="AH1693" s="54"/>
      <c r="AJ1693" s="54"/>
      <c r="AL1693" s="54"/>
      <c r="AO1693" s="54"/>
      <c r="AP1693" s="1"/>
      <c r="AQ1693" s="54"/>
      <c r="AR1693" s="171"/>
      <c r="AS1693" s="1"/>
      <c r="AT1693" s="1"/>
      <c r="AU1693" s="1"/>
    </row>
    <row r="1694">
      <c r="A1694" s="54"/>
      <c r="B1694" s="71"/>
      <c r="C1694" s="51"/>
      <c r="D1694" s="54"/>
      <c r="E1694" s="114"/>
      <c r="F1694" s="16"/>
      <c r="G1694" s="114"/>
      <c r="H1694" s="54"/>
      <c r="I1694" s="114"/>
      <c r="J1694" s="54"/>
      <c r="L1694" s="54"/>
      <c r="N1694" s="54"/>
      <c r="P1694" s="54"/>
      <c r="R1694" s="54"/>
      <c r="T1694" s="1"/>
      <c r="V1694" s="54"/>
      <c r="X1694" s="54"/>
      <c r="Z1694" s="54"/>
      <c r="AB1694" s="54"/>
      <c r="AD1694" s="54"/>
      <c r="AF1694" s="54"/>
      <c r="AH1694" s="54"/>
      <c r="AJ1694" s="54"/>
      <c r="AL1694" s="54"/>
      <c r="AO1694" s="54"/>
      <c r="AP1694" s="1"/>
      <c r="AQ1694" s="54"/>
      <c r="AR1694" s="171"/>
      <c r="AS1694" s="1"/>
      <c r="AT1694" s="1"/>
      <c r="AU1694" s="1"/>
    </row>
    <row r="1695">
      <c r="A1695" s="54"/>
      <c r="B1695" s="71"/>
      <c r="C1695" s="51"/>
      <c r="D1695" s="54"/>
      <c r="E1695" s="114"/>
      <c r="F1695" s="16"/>
      <c r="G1695" s="114"/>
      <c r="H1695" s="54"/>
      <c r="I1695" s="114"/>
      <c r="J1695" s="54"/>
      <c r="L1695" s="54"/>
      <c r="N1695" s="54"/>
      <c r="P1695" s="54"/>
      <c r="R1695" s="54"/>
      <c r="T1695" s="1"/>
      <c r="V1695" s="54"/>
      <c r="X1695" s="54"/>
      <c r="Z1695" s="54"/>
      <c r="AB1695" s="54"/>
      <c r="AD1695" s="54"/>
      <c r="AF1695" s="54"/>
      <c r="AH1695" s="54"/>
      <c r="AJ1695" s="54"/>
      <c r="AL1695" s="54"/>
      <c r="AO1695" s="54"/>
      <c r="AP1695" s="1"/>
      <c r="AQ1695" s="54"/>
      <c r="AR1695" s="171"/>
      <c r="AS1695" s="1"/>
      <c r="AT1695" s="1"/>
      <c r="AU1695" s="1"/>
    </row>
    <row r="1696">
      <c r="A1696" s="54"/>
      <c r="B1696" s="71"/>
      <c r="C1696" s="51"/>
      <c r="D1696" s="54"/>
      <c r="E1696" s="114"/>
      <c r="F1696" s="16"/>
      <c r="G1696" s="114"/>
      <c r="H1696" s="54"/>
      <c r="I1696" s="114"/>
      <c r="J1696" s="54"/>
      <c r="L1696" s="54"/>
      <c r="N1696" s="54"/>
      <c r="P1696" s="54"/>
      <c r="R1696" s="54"/>
      <c r="T1696" s="1"/>
      <c r="V1696" s="54"/>
      <c r="X1696" s="54"/>
      <c r="Z1696" s="54"/>
      <c r="AB1696" s="54"/>
      <c r="AD1696" s="54"/>
      <c r="AF1696" s="54"/>
      <c r="AH1696" s="54"/>
      <c r="AJ1696" s="54"/>
      <c r="AL1696" s="54"/>
      <c r="AO1696" s="54"/>
      <c r="AP1696" s="1"/>
      <c r="AQ1696" s="54"/>
      <c r="AR1696" s="171"/>
      <c r="AS1696" s="1"/>
      <c r="AT1696" s="1"/>
      <c r="AU1696" s="1"/>
    </row>
    <row r="1697">
      <c r="A1697" s="54"/>
      <c r="B1697" s="71"/>
      <c r="C1697" s="51"/>
      <c r="D1697" s="54"/>
      <c r="E1697" s="114"/>
      <c r="F1697" s="16"/>
      <c r="G1697" s="114"/>
      <c r="H1697" s="54"/>
      <c r="I1697" s="114"/>
      <c r="J1697" s="54"/>
      <c r="L1697" s="54"/>
      <c r="N1697" s="54"/>
      <c r="P1697" s="54"/>
      <c r="R1697" s="54"/>
      <c r="T1697" s="1"/>
      <c r="V1697" s="54"/>
      <c r="X1697" s="54"/>
      <c r="Z1697" s="54"/>
      <c r="AB1697" s="54"/>
      <c r="AD1697" s="54"/>
      <c r="AF1697" s="54"/>
      <c r="AH1697" s="54"/>
      <c r="AJ1697" s="54"/>
      <c r="AL1697" s="54"/>
      <c r="AO1697" s="54"/>
      <c r="AP1697" s="1"/>
      <c r="AQ1697" s="54"/>
      <c r="AR1697" s="171"/>
      <c r="AS1697" s="1"/>
      <c r="AT1697" s="1"/>
      <c r="AU1697" s="1"/>
    </row>
    <row r="1698">
      <c r="A1698" s="54"/>
      <c r="B1698" s="71"/>
      <c r="C1698" s="51"/>
      <c r="D1698" s="54"/>
      <c r="E1698" s="114"/>
      <c r="F1698" s="16"/>
      <c r="G1698" s="114"/>
      <c r="H1698" s="54"/>
      <c r="I1698" s="114"/>
      <c r="J1698" s="54"/>
      <c r="L1698" s="54"/>
      <c r="N1698" s="54"/>
      <c r="P1698" s="54"/>
      <c r="R1698" s="54"/>
      <c r="T1698" s="1"/>
      <c r="V1698" s="54"/>
      <c r="X1698" s="54"/>
      <c r="Z1698" s="54"/>
      <c r="AB1698" s="54"/>
      <c r="AD1698" s="54"/>
      <c r="AF1698" s="54"/>
      <c r="AH1698" s="54"/>
      <c r="AJ1698" s="54"/>
      <c r="AL1698" s="54"/>
      <c r="AO1698" s="54"/>
      <c r="AP1698" s="1"/>
      <c r="AQ1698" s="54"/>
      <c r="AR1698" s="171"/>
      <c r="AS1698" s="1"/>
      <c r="AT1698" s="1"/>
      <c r="AU1698" s="1"/>
    </row>
    <row r="1699">
      <c r="A1699" s="54"/>
      <c r="B1699" s="71"/>
      <c r="C1699" s="51"/>
      <c r="D1699" s="54"/>
      <c r="E1699" s="114"/>
      <c r="F1699" s="16"/>
      <c r="G1699" s="114"/>
      <c r="H1699" s="54"/>
      <c r="I1699" s="114"/>
      <c r="J1699" s="54"/>
      <c r="L1699" s="54"/>
      <c r="N1699" s="54"/>
      <c r="P1699" s="54"/>
      <c r="R1699" s="54"/>
      <c r="T1699" s="1"/>
      <c r="V1699" s="54"/>
      <c r="X1699" s="54"/>
      <c r="Z1699" s="54"/>
      <c r="AB1699" s="54"/>
      <c r="AD1699" s="54"/>
      <c r="AF1699" s="54"/>
      <c r="AH1699" s="54"/>
      <c r="AJ1699" s="54"/>
      <c r="AL1699" s="54"/>
      <c r="AO1699" s="54"/>
      <c r="AP1699" s="1"/>
      <c r="AQ1699" s="54"/>
      <c r="AR1699" s="171"/>
      <c r="AS1699" s="1"/>
      <c r="AT1699" s="1"/>
      <c r="AU1699" s="1"/>
    </row>
    <row r="1700">
      <c r="A1700" s="54"/>
      <c r="B1700" s="71"/>
      <c r="C1700" s="51"/>
      <c r="D1700" s="54"/>
      <c r="E1700" s="114"/>
      <c r="F1700" s="16"/>
      <c r="G1700" s="114"/>
      <c r="H1700" s="54"/>
      <c r="I1700" s="114"/>
      <c r="J1700" s="54"/>
      <c r="L1700" s="54"/>
      <c r="N1700" s="54"/>
      <c r="P1700" s="54"/>
      <c r="R1700" s="54"/>
      <c r="T1700" s="1"/>
      <c r="V1700" s="54"/>
      <c r="X1700" s="54"/>
      <c r="Z1700" s="54"/>
      <c r="AB1700" s="54"/>
      <c r="AD1700" s="54"/>
      <c r="AF1700" s="54"/>
      <c r="AH1700" s="54"/>
      <c r="AJ1700" s="54"/>
      <c r="AL1700" s="54"/>
      <c r="AO1700" s="54"/>
      <c r="AP1700" s="1"/>
      <c r="AQ1700" s="54"/>
      <c r="AR1700" s="171"/>
      <c r="AS1700" s="1"/>
      <c r="AT1700" s="1"/>
      <c r="AU1700" s="1"/>
    </row>
    <row r="1701">
      <c r="A1701" s="54"/>
      <c r="B1701" s="71"/>
      <c r="C1701" s="51"/>
      <c r="D1701" s="54"/>
      <c r="E1701" s="114"/>
      <c r="F1701" s="16"/>
      <c r="G1701" s="114"/>
      <c r="H1701" s="54"/>
      <c r="I1701" s="114"/>
      <c r="J1701" s="54"/>
      <c r="L1701" s="54"/>
      <c r="N1701" s="54"/>
      <c r="P1701" s="54"/>
      <c r="R1701" s="54"/>
      <c r="T1701" s="1"/>
      <c r="V1701" s="54"/>
      <c r="X1701" s="54"/>
      <c r="Z1701" s="54"/>
      <c r="AB1701" s="54"/>
      <c r="AD1701" s="54"/>
      <c r="AF1701" s="54"/>
      <c r="AH1701" s="54"/>
      <c r="AJ1701" s="54"/>
      <c r="AL1701" s="54"/>
      <c r="AO1701" s="54"/>
      <c r="AP1701" s="1"/>
      <c r="AQ1701" s="54"/>
      <c r="AR1701" s="171"/>
      <c r="AS1701" s="1"/>
      <c r="AT1701" s="1"/>
      <c r="AU1701" s="1"/>
    </row>
    <row r="1702">
      <c r="A1702" s="54"/>
      <c r="B1702" s="71"/>
      <c r="C1702" s="51"/>
      <c r="D1702" s="54"/>
      <c r="E1702" s="114"/>
      <c r="F1702" s="16"/>
      <c r="G1702" s="114"/>
      <c r="H1702" s="54"/>
      <c r="I1702" s="114"/>
      <c r="J1702" s="54"/>
      <c r="L1702" s="54"/>
      <c r="N1702" s="54"/>
      <c r="P1702" s="54"/>
      <c r="R1702" s="54"/>
      <c r="T1702" s="1"/>
      <c r="V1702" s="54"/>
      <c r="X1702" s="54"/>
      <c r="Z1702" s="54"/>
      <c r="AB1702" s="54"/>
      <c r="AD1702" s="54"/>
      <c r="AF1702" s="54"/>
      <c r="AH1702" s="54"/>
      <c r="AJ1702" s="54"/>
      <c r="AL1702" s="54"/>
      <c r="AO1702" s="54"/>
      <c r="AP1702" s="1"/>
      <c r="AQ1702" s="54"/>
      <c r="AR1702" s="171"/>
      <c r="AS1702" s="1"/>
      <c r="AT1702" s="1"/>
      <c r="AU1702" s="1"/>
    </row>
    <row r="1703">
      <c r="A1703" s="54"/>
      <c r="B1703" s="71"/>
      <c r="C1703" s="51"/>
      <c r="D1703" s="54"/>
      <c r="E1703" s="114"/>
      <c r="F1703" s="16"/>
      <c r="G1703" s="114"/>
      <c r="H1703" s="54"/>
      <c r="I1703" s="114"/>
      <c r="J1703" s="54"/>
      <c r="L1703" s="54"/>
      <c r="N1703" s="54"/>
      <c r="P1703" s="54"/>
      <c r="R1703" s="54"/>
      <c r="T1703" s="1"/>
      <c r="V1703" s="54"/>
      <c r="X1703" s="54"/>
      <c r="Z1703" s="54"/>
      <c r="AB1703" s="54"/>
      <c r="AD1703" s="54"/>
      <c r="AF1703" s="54"/>
      <c r="AH1703" s="54"/>
      <c r="AJ1703" s="54"/>
      <c r="AL1703" s="54"/>
      <c r="AO1703" s="54"/>
      <c r="AP1703" s="1"/>
      <c r="AQ1703" s="54"/>
      <c r="AR1703" s="171"/>
      <c r="AS1703" s="1"/>
      <c r="AT1703" s="1"/>
      <c r="AU1703" s="1"/>
    </row>
    <row r="1704">
      <c r="A1704" s="54"/>
      <c r="B1704" s="71"/>
      <c r="C1704" s="51"/>
      <c r="D1704" s="54"/>
      <c r="E1704" s="114"/>
      <c r="F1704" s="16"/>
      <c r="G1704" s="114"/>
      <c r="H1704" s="54"/>
      <c r="I1704" s="114"/>
      <c r="J1704" s="54"/>
      <c r="L1704" s="54"/>
      <c r="N1704" s="54"/>
      <c r="P1704" s="54"/>
      <c r="R1704" s="54"/>
      <c r="T1704" s="1"/>
      <c r="V1704" s="54"/>
      <c r="X1704" s="54"/>
      <c r="Z1704" s="54"/>
      <c r="AB1704" s="54"/>
      <c r="AD1704" s="54"/>
      <c r="AF1704" s="54"/>
      <c r="AH1704" s="54"/>
      <c r="AJ1704" s="54"/>
      <c r="AL1704" s="54"/>
      <c r="AO1704" s="54"/>
      <c r="AP1704" s="1"/>
      <c r="AQ1704" s="54"/>
      <c r="AR1704" s="171"/>
      <c r="AS1704" s="1"/>
      <c r="AT1704" s="1"/>
      <c r="AU1704" s="1"/>
    </row>
    <row r="1705">
      <c r="A1705" s="54"/>
      <c r="B1705" s="71"/>
      <c r="C1705" s="51"/>
      <c r="D1705" s="54"/>
      <c r="E1705" s="114"/>
      <c r="F1705" s="16"/>
      <c r="G1705" s="114"/>
      <c r="H1705" s="54"/>
      <c r="I1705" s="114"/>
      <c r="J1705" s="54"/>
      <c r="L1705" s="54"/>
      <c r="N1705" s="54"/>
      <c r="P1705" s="54"/>
      <c r="R1705" s="54"/>
      <c r="T1705" s="1"/>
      <c r="V1705" s="54"/>
      <c r="X1705" s="54"/>
      <c r="Z1705" s="54"/>
      <c r="AB1705" s="54"/>
      <c r="AD1705" s="54"/>
      <c r="AF1705" s="54"/>
      <c r="AH1705" s="54"/>
      <c r="AJ1705" s="54"/>
      <c r="AL1705" s="54"/>
      <c r="AO1705" s="54"/>
      <c r="AP1705" s="1"/>
      <c r="AQ1705" s="54"/>
      <c r="AR1705" s="171"/>
      <c r="AS1705" s="1"/>
      <c r="AT1705" s="1"/>
      <c r="AU1705" s="1"/>
    </row>
    <row r="1706">
      <c r="A1706" s="54"/>
      <c r="B1706" s="71"/>
      <c r="C1706" s="51"/>
      <c r="D1706" s="54"/>
      <c r="E1706" s="114"/>
      <c r="F1706" s="16"/>
      <c r="G1706" s="114"/>
      <c r="H1706" s="54"/>
      <c r="I1706" s="114"/>
      <c r="J1706" s="54"/>
      <c r="L1706" s="54"/>
      <c r="N1706" s="54"/>
      <c r="P1706" s="54"/>
      <c r="R1706" s="54"/>
      <c r="T1706" s="1"/>
      <c r="V1706" s="54"/>
      <c r="X1706" s="54"/>
      <c r="Z1706" s="54"/>
      <c r="AB1706" s="54"/>
      <c r="AD1706" s="54"/>
      <c r="AF1706" s="54"/>
      <c r="AH1706" s="54"/>
      <c r="AJ1706" s="54"/>
      <c r="AL1706" s="54"/>
      <c r="AO1706" s="54"/>
      <c r="AP1706" s="1"/>
      <c r="AQ1706" s="54"/>
      <c r="AR1706" s="171"/>
      <c r="AS1706" s="1"/>
      <c r="AT1706" s="1"/>
      <c r="AU1706" s="1"/>
    </row>
    <row r="1707">
      <c r="A1707" s="54"/>
      <c r="B1707" s="71"/>
      <c r="C1707" s="51"/>
      <c r="D1707" s="54"/>
      <c r="E1707" s="114"/>
      <c r="F1707" s="16"/>
      <c r="G1707" s="114"/>
      <c r="H1707" s="54"/>
      <c r="I1707" s="114"/>
      <c r="J1707" s="54"/>
      <c r="L1707" s="54"/>
      <c r="N1707" s="54"/>
      <c r="P1707" s="54"/>
      <c r="R1707" s="54"/>
      <c r="T1707" s="1"/>
      <c r="V1707" s="54"/>
      <c r="X1707" s="54"/>
      <c r="Z1707" s="54"/>
      <c r="AB1707" s="54"/>
      <c r="AD1707" s="54"/>
      <c r="AF1707" s="54"/>
      <c r="AH1707" s="54"/>
      <c r="AJ1707" s="54"/>
      <c r="AL1707" s="54"/>
      <c r="AO1707" s="54"/>
      <c r="AP1707" s="1"/>
      <c r="AQ1707" s="54"/>
      <c r="AR1707" s="171"/>
      <c r="AS1707" s="1"/>
      <c r="AT1707" s="1"/>
      <c r="AU1707" s="1"/>
    </row>
    <row r="1708">
      <c r="A1708" s="54"/>
      <c r="B1708" s="71"/>
      <c r="C1708" s="51"/>
      <c r="D1708" s="54"/>
      <c r="E1708" s="114"/>
      <c r="F1708" s="16"/>
      <c r="G1708" s="114"/>
      <c r="H1708" s="54"/>
      <c r="I1708" s="114"/>
      <c r="J1708" s="54"/>
      <c r="L1708" s="54"/>
      <c r="N1708" s="54"/>
      <c r="P1708" s="54"/>
      <c r="R1708" s="54"/>
      <c r="T1708" s="1"/>
      <c r="V1708" s="54"/>
      <c r="X1708" s="54"/>
      <c r="Z1708" s="54"/>
      <c r="AB1708" s="54"/>
      <c r="AD1708" s="54"/>
      <c r="AF1708" s="54"/>
      <c r="AH1708" s="54"/>
      <c r="AJ1708" s="54"/>
      <c r="AL1708" s="54"/>
      <c r="AO1708" s="54"/>
      <c r="AP1708" s="1"/>
      <c r="AQ1708" s="54"/>
      <c r="AR1708" s="171"/>
      <c r="AS1708" s="1"/>
      <c r="AT1708" s="1"/>
      <c r="AU1708" s="1"/>
    </row>
    <row r="1709">
      <c r="A1709" s="54"/>
      <c r="B1709" s="71"/>
      <c r="C1709" s="51"/>
      <c r="D1709" s="54"/>
      <c r="E1709" s="114"/>
      <c r="F1709" s="16"/>
      <c r="G1709" s="114"/>
      <c r="H1709" s="54"/>
      <c r="I1709" s="114"/>
      <c r="J1709" s="54"/>
      <c r="L1709" s="54"/>
      <c r="N1709" s="54"/>
      <c r="P1709" s="54"/>
      <c r="R1709" s="54"/>
      <c r="T1709" s="1"/>
      <c r="V1709" s="54"/>
      <c r="X1709" s="54"/>
      <c r="Z1709" s="54"/>
      <c r="AB1709" s="54"/>
      <c r="AD1709" s="54"/>
      <c r="AF1709" s="54"/>
      <c r="AH1709" s="54"/>
      <c r="AJ1709" s="54"/>
      <c r="AL1709" s="54"/>
      <c r="AO1709" s="54"/>
      <c r="AP1709" s="1"/>
      <c r="AQ1709" s="54"/>
      <c r="AR1709" s="171"/>
      <c r="AS1709" s="1"/>
      <c r="AT1709" s="1"/>
      <c r="AU1709" s="1"/>
    </row>
    <row r="1710">
      <c r="A1710" s="54"/>
      <c r="B1710" s="71"/>
      <c r="C1710" s="51"/>
      <c r="D1710" s="54"/>
      <c r="E1710" s="114"/>
      <c r="F1710" s="16"/>
      <c r="G1710" s="114"/>
      <c r="H1710" s="54"/>
      <c r="I1710" s="114"/>
      <c r="J1710" s="54"/>
      <c r="L1710" s="54"/>
      <c r="N1710" s="54"/>
      <c r="P1710" s="54"/>
      <c r="R1710" s="54"/>
      <c r="T1710" s="1"/>
      <c r="V1710" s="54"/>
      <c r="X1710" s="54"/>
      <c r="Z1710" s="54"/>
      <c r="AB1710" s="54"/>
      <c r="AD1710" s="54"/>
      <c r="AF1710" s="54"/>
      <c r="AH1710" s="54"/>
      <c r="AJ1710" s="54"/>
      <c r="AL1710" s="54"/>
      <c r="AO1710" s="54"/>
      <c r="AP1710" s="1"/>
      <c r="AQ1710" s="54"/>
      <c r="AR1710" s="171"/>
      <c r="AS1710" s="1"/>
      <c r="AT1710" s="1"/>
      <c r="AU1710" s="1"/>
    </row>
    <row r="1711">
      <c r="A1711" s="54"/>
      <c r="B1711" s="71"/>
      <c r="C1711" s="51"/>
      <c r="D1711" s="54"/>
      <c r="E1711" s="114"/>
      <c r="F1711" s="16"/>
      <c r="G1711" s="114"/>
      <c r="H1711" s="54"/>
      <c r="I1711" s="114"/>
      <c r="J1711" s="54"/>
      <c r="L1711" s="54"/>
      <c r="N1711" s="54"/>
      <c r="P1711" s="54"/>
      <c r="R1711" s="54"/>
      <c r="T1711" s="1"/>
      <c r="V1711" s="54"/>
      <c r="X1711" s="54"/>
      <c r="Z1711" s="54"/>
      <c r="AB1711" s="54"/>
      <c r="AD1711" s="54"/>
      <c r="AF1711" s="54"/>
      <c r="AH1711" s="54"/>
      <c r="AJ1711" s="54"/>
      <c r="AL1711" s="54"/>
      <c r="AO1711" s="54"/>
      <c r="AP1711" s="1"/>
      <c r="AQ1711" s="54"/>
      <c r="AR1711" s="171"/>
      <c r="AS1711" s="1"/>
      <c r="AT1711" s="1"/>
      <c r="AU1711" s="1"/>
    </row>
    <row r="1712">
      <c r="A1712" s="54"/>
      <c r="B1712" s="71"/>
      <c r="C1712" s="51"/>
      <c r="D1712" s="54"/>
      <c r="E1712" s="114"/>
      <c r="F1712" s="16"/>
      <c r="G1712" s="114"/>
      <c r="H1712" s="54"/>
      <c r="I1712" s="114"/>
      <c r="J1712" s="54"/>
      <c r="L1712" s="54"/>
      <c r="N1712" s="54"/>
      <c r="P1712" s="54"/>
      <c r="R1712" s="54"/>
      <c r="T1712" s="1"/>
      <c r="V1712" s="54"/>
      <c r="X1712" s="54"/>
      <c r="Z1712" s="54"/>
      <c r="AB1712" s="54"/>
      <c r="AD1712" s="54"/>
      <c r="AF1712" s="54"/>
      <c r="AH1712" s="54"/>
      <c r="AJ1712" s="54"/>
      <c r="AL1712" s="54"/>
      <c r="AO1712" s="54"/>
      <c r="AP1712" s="1"/>
      <c r="AQ1712" s="54"/>
      <c r="AR1712" s="171"/>
      <c r="AS1712" s="1"/>
      <c r="AT1712" s="1"/>
      <c r="AU1712" s="1"/>
    </row>
    <row r="1713">
      <c r="A1713" s="54"/>
      <c r="B1713" s="71"/>
      <c r="C1713" s="51"/>
      <c r="D1713" s="54"/>
      <c r="E1713" s="114"/>
      <c r="F1713" s="16"/>
      <c r="G1713" s="114"/>
      <c r="H1713" s="54"/>
      <c r="I1713" s="114"/>
      <c r="J1713" s="54"/>
      <c r="L1713" s="54"/>
      <c r="N1713" s="54"/>
      <c r="P1713" s="54"/>
      <c r="R1713" s="54"/>
      <c r="T1713" s="1"/>
      <c r="V1713" s="54"/>
      <c r="X1713" s="54"/>
      <c r="Z1713" s="54"/>
      <c r="AB1713" s="54"/>
      <c r="AD1713" s="54"/>
      <c r="AF1713" s="54"/>
      <c r="AH1713" s="54"/>
      <c r="AJ1713" s="54"/>
      <c r="AL1713" s="54"/>
      <c r="AO1713" s="54"/>
      <c r="AP1713" s="1"/>
      <c r="AQ1713" s="54"/>
      <c r="AR1713" s="171"/>
      <c r="AS1713" s="1"/>
      <c r="AT1713" s="1"/>
      <c r="AU1713" s="1"/>
    </row>
    <row r="1714">
      <c r="A1714" s="54"/>
      <c r="B1714" s="71"/>
      <c r="C1714" s="51"/>
      <c r="D1714" s="54"/>
      <c r="E1714" s="114"/>
      <c r="F1714" s="16"/>
      <c r="G1714" s="114"/>
      <c r="H1714" s="54"/>
      <c r="I1714" s="114"/>
      <c r="J1714" s="54"/>
      <c r="L1714" s="54"/>
      <c r="N1714" s="54"/>
      <c r="P1714" s="54"/>
      <c r="R1714" s="54"/>
      <c r="T1714" s="1"/>
      <c r="V1714" s="54"/>
      <c r="X1714" s="54"/>
      <c r="Z1714" s="54"/>
      <c r="AB1714" s="54"/>
      <c r="AD1714" s="54"/>
      <c r="AF1714" s="54"/>
      <c r="AH1714" s="54"/>
      <c r="AJ1714" s="54"/>
      <c r="AL1714" s="54"/>
      <c r="AO1714" s="54"/>
      <c r="AP1714" s="1"/>
      <c r="AQ1714" s="54"/>
      <c r="AR1714" s="171"/>
      <c r="AS1714" s="1"/>
      <c r="AT1714" s="1"/>
      <c r="AU1714" s="1"/>
    </row>
    <row r="1715">
      <c r="A1715" s="54"/>
      <c r="B1715" s="71"/>
      <c r="C1715" s="51"/>
      <c r="D1715" s="54"/>
      <c r="E1715" s="114"/>
      <c r="F1715" s="16"/>
      <c r="G1715" s="114"/>
      <c r="H1715" s="54"/>
      <c r="I1715" s="114"/>
      <c r="J1715" s="54"/>
      <c r="L1715" s="54"/>
      <c r="N1715" s="54"/>
      <c r="P1715" s="54"/>
      <c r="R1715" s="54"/>
      <c r="T1715" s="1"/>
      <c r="V1715" s="54"/>
      <c r="X1715" s="54"/>
      <c r="Z1715" s="54"/>
      <c r="AB1715" s="54"/>
      <c r="AD1715" s="54"/>
      <c r="AF1715" s="54"/>
      <c r="AH1715" s="54"/>
      <c r="AJ1715" s="54"/>
      <c r="AL1715" s="54"/>
      <c r="AO1715" s="54"/>
      <c r="AP1715" s="1"/>
      <c r="AQ1715" s="54"/>
      <c r="AR1715" s="171"/>
      <c r="AS1715" s="1"/>
      <c r="AT1715" s="1"/>
      <c r="AU1715" s="1"/>
    </row>
    <row r="1716">
      <c r="A1716" s="54"/>
      <c r="B1716" s="71"/>
      <c r="C1716" s="51"/>
      <c r="D1716" s="54"/>
      <c r="E1716" s="114"/>
      <c r="F1716" s="16"/>
      <c r="G1716" s="114"/>
      <c r="H1716" s="54"/>
      <c r="I1716" s="114"/>
      <c r="J1716" s="54"/>
      <c r="L1716" s="54"/>
      <c r="N1716" s="54"/>
      <c r="P1716" s="54"/>
      <c r="R1716" s="54"/>
      <c r="T1716" s="1"/>
      <c r="V1716" s="54"/>
      <c r="X1716" s="54"/>
      <c r="Z1716" s="54"/>
      <c r="AB1716" s="54"/>
      <c r="AD1716" s="54"/>
      <c r="AF1716" s="54"/>
      <c r="AH1716" s="54"/>
      <c r="AJ1716" s="54"/>
      <c r="AL1716" s="54"/>
      <c r="AO1716" s="54"/>
      <c r="AP1716" s="1"/>
      <c r="AQ1716" s="54"/>
      <c r="AR1716" s="171"/>
      <c r="AS1716" s="1"/>
      <c r="AT1716" s="1"/>
      <c r="AU1716" s="1"/>
    </row>
    <row r="1717">
      <c r="A1717" s="54"/>
      <c r="B1717" s="71"/>
      <c r="C1717" s="51"/>
      <c r="D1717" s="54"/>
      <c r="E1717" s="114"/>
      <c r="F1717" s="16"/>
      <c r="G1717" s="114"/>
      <c r="H1717" s="54"/>
      <c r="I1717" s="114"/>
      <c r="J1717" s="54"/>
      <c r="L1717" s="54"/>
      <c r="N1717" s="54"/>
      <c r="P1717" s="54"/>
      <c r="R1717" s="54"/>
      <c r="T1717" s="1"/>
      <c r="V1717" s="54"/>
      <c r="X1717" s="54"/>
      <c r="Z1717" s="54"/>
      <c r="AB1717" s="54"/>
      <c r="AD1717" s="54"/>
      <c r="AF1717" s="54"/>
      <c r="AH1717" s="54"/>
      <c r="AJ1717" s="54"/>
      <c r="AL1717" s="54"/>
      <c r="AO1717" s="54"/>
      <c r="AP1717" s="1"/>
      <c r="AQ1717" s="54"/>
      <c r="AR1717" s="171"/>
      <c r="AS1717" s="1"/>
      <c r="AT1717" s="1"/>
      <c r="AU1717" s="1"/>
    </row>
    <row r="1718">
      <c r="A1718" s="54"/>
      <c r="B1718" s="71"/>
      <c r="C1718" s="51"/>
      <c r="D1718" s="54"/>
      <c r="E1718" s="114"/>
      <c r="F1718" s="16"/>
      <c r="G1718" s="114"/>
      <c r="H1718" s="54"/>
      <c r="I1718" s="114"/>
      <c r="J1718" s="54"/>
      <c r="L1718" s="54"/>
      <c r="N1718" s="54"/>
      <c r="P1718" s="54"/>
      <c r="R1718" s="54"/>
      <c r="T1718" s="1"/>
      <c r="V1718" s="54"/>
      <c r="X1718" s="54"/>
      <c r="Z1718" s="54"/>
      <c r="AB1718" s="54"/>
      <c r="AD1718" s="54"/>
      <c r="AF1718" s="54"/>
      <c r="AH1718" s="54"/>
      <c r="AJ1718" s="54"/>
      <c r="AL1718" s="54"/>
      <c r="AO1718" s="54"/>
      <c r="AP1718" s="1"/>
      <c r="AQ1718" s="54"/>
      <c r="AR1718" s="171"/>
      <c r="AS1718" s="1"/>
      <c r="AT1718" s="1"/>
      <c r="AU1718" s="1"/>
    </row>
    <row r="1719">
      <c r="A1719" s="54"/>
      <c r="B1719" s="71"/>
      <c r="C1719" s="51"/>
      <c r="D1719" s="54"/>
      <c r="E1719" s="114"/>
      <c r="F1719" s="16"/>
      <c r="G1719" s="114"/>
      <c r="H1719" s="54"/>
      <c r="I1719" s="114"/>
      <c r="J1719" s="54"/>
      <c r="L1719" s="54"/>
      <c r="N1719" s="54"/>
      <c r="P1719" s="54"/>
      <c r="R1719" s="54"/>
      <c r="T1719" s="1"/>
      <c r="V1719" s="54"/>
      <c r="X1719" s="54"/>
      <c r="Z1719" s="54"/>
      <c r="AB1719" s="54"/>
      <c r="AD1719" s="54"/>
      <c r="AF1719" s="54"/>
      <c r="AH1719" s="54"/>
      <c r="AJ1719" s="54"/>
      <c r="AL1719" s="54"/>
      <c r="AO1719" s="54"/>
      <c r="AP1719" s="1"/>
      <c r="AQ1719" s="54"/>
      <c r="AR1719" s="171"/>
      <c r="AS1719" s="1"/>
      <c r="AT1719" s="1"/>
      <c r="AU1719" s="1"/>
    </row>
    <row r="1720">
      <c r="A1720" s="54"/>
      <c r="B1720" s="71"/>
      <c r="C1720" s="51"/>
      <c r="D1720" s="54"/>
      <c r="E1720" s="114"/>
      <c r="F1720" s="16"/>
      <c r="G1720" s="114"/>
      <c r="H1720" s="54"/>
      <c r="I1720" s="114"/>
      <c r="J1720" s="54"/>
      <c r="L1720" s="54"/>
      <c r="N1720" s="54"/>
      <c r="P1720" s="54"/>
      <c r="R1720" s="54"/>
      <c r="T1720" s="1"/>
      <c r="V1720" s="54"/>
      <c r="X1720" s="54"/>
      <c r="Z1720" s="54"/>
      <c r="AB1720" s="54"/>
      <c r="AD1720" s="54"/>
      <c r="AF1720" s="54"/>
      <c r="AH1720" s="54"/>
      <c r="AJ1720" s="54"/>
      <c r="AL1720" s="54"/>
      <c r="AO1720" s="54"/>
      <c r="AP1720" s="1"/>
      <c r="AQ1720" s="54"/>
      <c r="AR1720" s="171"/>
      <c r="AS1720" s="1"/>
      <c r="AT1720" s="1"/>
      <c r="AU1720" s="1"/>
    </row>
    <row r="1721">
      <c r="A1721" s="54"/>
      <c r="B1721" s="71"/>
      <c r="C1721" s="51"/>
      <c r="D1721" s="54"/>
      <c r="E1721" s="114"/>
      <c r="F1721" s="16"/>
      <c r="G1721" s="114"/>
      <c r="H1721" s="54"/>
      <c r="I1721" s="114"/>
      <c r="J1721" s="54"/>
      <c r="L1721" s="54"/>
      <c r="N1721" s="54"/>
      <c r="P1721" s="54"/>
      <c r="R1721" s="54"/>
      <c r="T1721" s="1"/>
      <c r="V1721" s="54"/>
      <c r="X1721" s="54"/>
      <c r="Z1721" s="54"/>
      <c r="AB1721" s="54"/>
      <c r="AD1721" s="54"/>
      <c r="AF1721" s="54"/>
      <c r="AH1721" s="54"/>
      <c r="AJ1721" s="54"/>
      <c r="AL1721" s="54"/>
      <c r="AO1721" s="54"/>
      <c r="AP1721" s="1"/>
      <c r="AQ1721" s="54"/>
      <c r="AR1721" s="171"/>
      <c r="AS1721" s="1"/>
      <c r="AT1721" s="1"/>
      <c r="AU1721" s="1"/>
    </row>
    <row r="1722">
      <c r="A1722" s="54"/>
      <c r="B1722" s="71"/>
      <c r="C1722" s="51"/>
      <c r="D1722" s="54"/>
      <c r="E1722" s="114"/>
      <c r="F1722" s="16"/>
      <c r="G1722" s="114"/>
      <c r="H1722" s="54"/>
      <c r="I1722" s="114"/>
      <c r="J1722" s="54"/>
      <c r="L1722" s="54"/>
      <c r="N1722" s="54"/>
      <c r="P1722" s="54"/>
      <c r="R1722" s="54"/>
      <c r="T1722" s="1"/>
      <c r="V1722" s="54"/>
      <c r="X1722" s="54"/>
      <c r="Z1722" s="54"/>
      <c r="AB1722" s="54"/>
      <c r="AD1722" s="54"/>
      <c r="AF1722" s="54"/>
      <c r="AH1722" s="54"/>
      <c r="AJ1722" s="54"/>
      <c r="AL1722" s="54"/>
      <c r="AO1722" s="54"/>
      <c r="AP1722" s="1"/>
      <c r="AQ1722" s="54"/>
      <c r="AR1722" s="171"/>
      <c r="AS1722" s="1"/>
      <c r="AT1722" s="1"/>
      <c r="AU1722" s="1"/>
    </row>
    <row r="1723">
      <c r="A1723" s="54"/>
      <c r="B1723" s="71"/>
      <c r="C1723" s="51"/>
      <c r="D1723" s="54"/>
      <c r="E1723" s="114"/>
      <c r="F1723" s="16"/>
      <c r="G1723" s="114"/>
      <c r="H1723" s="54"/>
      <c r="I1723" s="114"/>
      <c r="J1723" s="54"/>
      <c r="L1723" s="54"/>
      <c r="N1723" s="54"/>
      <c r="P1723" s="54"/>
      <c r="R1723" s="54"/>
      <c r="T1723" s="1"/>
      <c r="V1723" s="54"/>
      <c r="X1723" s="54"/>
      <c r="Z1723" s="54"/>
      <c r="AB1723" s="54"/>
      <c r="AD1723" s="54"/>
      <c r="AF1723" s="54"/>
      <c r="AH1723" s="54"/>
      <c r="AJ1723" s="54"/>
      <c r="AL1723" s="54"/>
      <c r="AO1723" s="54"/>
      <c r="AP1723" s="1"/>
      <c r="AQ1723" s="54"/>
      <c r="AR1723" s="171"/>
      <c r="AS1723" s="1"/>
      <c r="AT1723" s="1"/>
      <c r="AU1723" s="1"/>
    </row>
    <row r="1724">
      <c r="A1724" s="54"/>
      <c r="B1724" s="71"/>
      <c r="C1724" s="51"/>
      <c r="D1724" s="54"/>
      <c r="E1724" s="114"/>
      <c r="F1724" s="16"/>
      <c r="G1724" s="114"/>
      <c r="H1724" s="54"/>
      <c r="I1724" s="114"/>
      <c r="J1724" s="54"/>
      <c r="L1724" s="54"/>
      <c r="N1724" s="54"/>
      <c r="P1724" s="54"/>
      <c r="R1724" s="54"/>
      <c r="T1724" s="1"/>
      <c r="V1724" s="54"/>
      <c r="X1724" s="54"/>
      <c r="Z1724" s="54"/>
      <c r="AB1724" s="54"/>
      <c r="AD1724" s="54"/>
      <c r="AF1724" s="54"/>
      <c r="AH1724" s="54"/>
      <c r="AJ1724" s="54"/>
      <c r="AL1724" s="54"/>
      <c r="AO1724" s="54"/>
      <c r="AP1724" s="1"/>
      <c r="AQ1724" s="54"/>
      <c r="AR1724" s="171"/>
      <c r="AS1724" s="1"/>
      <c r="AT1724" s="1"/>
      <c r="AU1724" s="1"/>
    </row>
    <row r="1725">
      <c r="A1725" s="54"/>
      <c r="B1725" s="71"/>
      <c r="C1725" s="51"/>
      <c r="D1725" s="54"/>
      <c r="E1725" s="114"/>
      <c r="F1725" s="16"/>
      <c r="G1725" s="114"/>
      <c r="H1725" s="54"/>
      <c r="I1725" s="114"/>
      <c r="J1725" s="54"/>
      <c r="L1725" s="54"/>
      <c r="N1725" s="54"/>
      <c r="P1725" s="54"/>
      <c r="R1725" s="54"/>
      <c r="T1725" s="1"/>
      <c r="V1725" s="54"/>
      <c r="X1725" s="54"/>
      <c r="Z1725" s="54"/>
      <c r="AB1725" s="54"/>
      <c r="AD1725" s="54"/>
      <c r="AF1725" s="54"/>
      <c r="AH1725" s="54"/>
      <c r="AJ1725" s="54"/>
      <c r="AL1725" s="54"/>
      <c r="AO1725" s="54"/>
      <c r="AP1725" s="1"/>
      <c r="AQ1725" s="54"/>
      <c r="AR1725" s="171"/>
      <c r="AS1725" s="1"/>
      <c r="AT1725" s="1"/>
      <c r="AU1725" s="1"/>
    </row>
    <row r="1726">
      <c r="A1726" s="54"/>
      <c r="B1726" s="71"/>
      <c r="C1726" s="51"/>
      <c r="D1726" s="54"/>
      <c r="E1726" s="114"/>
      <c r="F1726" s="16"/>
      <c r="G1726" s="114"/>
      <c r="H1726" s="54"/>
      <c r="I1726" s="114"/>
      <c r="J1726" s="54"/>
      <c r="L1726" s="54"/>
      <c r="N1726" s="54"/>
      <c r="P1726" s="54"/>
      <c r="R1726" s="54"/>
      <c r="T1726" s="1"/>
      <c r="V1726" s="54"/>
      <c r="X1726" s="54"/>
      <c r="Z1726" s="54"/>
      <c r="AB1726" s="54"/>
      <c r="AD1726" s="54"/>
      <c r="AF1726" s="54"/>
      <c r="AH1726" s="54"/>
      <c r="AJ1726" s="54"/>
      <c r="AL1726" s="54"/>
      <c r="AO1726" s="54"/>
      <c r="AP1726" s="1"/>
      <c r="AQ1726" s="54"/>
      <c r="AR1726" s="171"/>
      <c r="AS1726" s="1"/>
      <c r="AT1726" s="1"/>
      <c r="AU1726" s="1"/>
    </row>
    <row r="1727">
      <c r="A1727" s="54"/>
      <c r="B1727" s="71"/>
      <c r="C1727" s="51"/>
      <c r="D1727" s="54"/>
      <c r="E1727" s="114"/>
      <c r="F1727" s="16"/>
      <c r="G1727" s="114"/>
      <c r="H1727" s="54"/>
      <c r="I1727" s="114"/>
      <c r="J1727" s="54"/>
      <c r="L1727" s="54"/>
      <c r="N1727" s="54"/>
      <c r="P1727" s="54"/>
      <c r="R1727" s="54"/>
      <c r="T1727" s="1"/>
      <c r="V1727" s="54"/>
      <c r="X1727" s="54"/>
      <c r="Z1727" s="54"/>
      <c r="AB1727" s="54"/>
      <c r="AD1727" s="54"/>
      <c r="AF1727" s="54"/>
      <c r="AH1727" s="54"/>
      <c r="AJ1727" s="54"/>
      <c r="AL1727" s="54"/>
      <c r="AO1727" s="54"/>
      <c r="AP1727" s="1"/>
      <c r="AQ1727" s="54"/>
      <c r="AR1727" s="171"/>
      <c r="AS1727" s="1"/>
      <c r="AT1727" s="1"/>
      <c r="AU1727" s="1"/>
    </row>
    <row r="1728">
      <c r="A1728" s="54"/>
      <c r="B1728" s="71"/>
      <c r="C1728" s="51"/>
      <c r="D1728" s="54"/>
      <c r="E1728" s="114"/>
      <c r="F1728" s="16"/>
      <c r="G1728" s="114"/>
      <c r="H1728" s="54"/>
      <c r="I1728" s="114"/>
      <c r="J1728" s="54"/>
      <c r="L1728" s="54"/>
      <c r="N1728" s="54"/>
      <c r="P1728" s="54"/>
      <c r="R1728" s="54"/>
      <c r="T1728" s="1"/>
      <c r="V1728" s="54"/>
      <c r="X1728" s="54"/>
      <c r="Z1728" s="54"/>
      <c r="AB1728" s="54"/>
      <c r="AD1728" s="54"/>
      <c r="AF1728" s="54"/>
      <c r="AH1728" s="54"/>
      <c r="AJ1728" s="54"/>
      <c r="AL1728" s="54"/>
      <c r="AO1728" s="54"/>
      <c r="AP1728" s="1"/>
      <c r="AQ1728" s="54"/>
      <c r="AR1728" s="171"/>
      <c r="AS1728" s="1"/>
      <c r="AT1728" s="1"/>
      <c r="AU1728" s="1"/>
    </row>
    <row r="1729">
      <c r="A1729" s="54"/>
      <c r="B1729" s="71"/>
      <c r="C1729" s="51"/>
      <c r="D1729" s="54"/>
      <c r="E1729" s="114"/>
      <c r="F1729" s="16"/>
      <c r="G1729" s="114"/>
      <c r="H1729" s="54"/>
      <c r="I1729" s="114"/>
      <c r="J1729" s="54"/>
      <c r="L1729" s="54"/>
      <c r="N1729" s="54"/>
      <c r="P1729" s="54"/>
      <c r="R1729" s="54"/>
      <c r="T1729" s="1"/>
      <c r="V1729" s="54"/>
      <c r="X1729" s="54"/>
      <c r="Z1729" s="54"/>
      <c r="AB1729" s="54"/>
      <c r="AD1729" s="54"/>
      <c r="AF1729" s="54"/>
      <c r="AH1729" s="54"/>
      <c r="AJ1729" s="54"/>
      <c r="AL1729" s="54"/>
      <c r="AO1729" s="54"/>
      <c r="AP1729" s="1"/>
      <c r="AQ1729" s="54"/>
      <c r="AR1729" s="171"/>
      <c r="AS1729" s="1"/>
      <c r="AT1729" s="1"/>
      <c r="AU1729" s="1"/>
    </row>
    <row r="1730">
      <c r="A1730" s="54"/>
      <c r="B1730" s="71"/>
      <c r="C1730" s="51"/>
      <c r="D1730" s="54"/>
      <c r="E1730" s="114"/>
      <c r="F1730" s="16"/>
      <c r="G1730" s="114"/>
      <c r="H1730" s="54"/>
      <c r="I1730" s="114"/>
      <c r="J1730" s="54"/>
      <c r="L1730" s="54"/>
      <c r="N1730" s="54"/>
      <c r="P1730" s="54"/>
      <c r="R1730" s="54"/>
      <c r="T1730" s="1"/>
      <c r="V1730" s="54"/>
      <c r="X1730" s="54"/>
      <c r="Z1730" s="54"/>
      <c r="AB1730" s="54"/>
      <c r="AD1730" s="54"/>
      <c r="AF1730" s="54"/>
      <c r="AH1730" s="54"/>
      <c r="AJ1730" s="54"/>
      <c r="AL1730" s="54"/>
      <c r="AO1730" s="54"/>
      <c r="AP1730" s="1"/>
      <c r="AQ1730" s="54"/>
      <c r="AR1730" s="171"/>
      <c r="AS1730" s="1"/>
      <c r="AT1730" s="1"/>
      <c r="AU1730" s="1"/>
    </row>
    <row r="1731">
      <c r="A1731" s="54"/>
      <c r="B1731" s="71"/>
      <c r="C1731" s="51"/>
      <c r="D1731" s="54"/>
      <c r="E1731" s="114"/>
      <c r="F1731" s="16"/>
      <c r="G1731" s="114"/>
      <c r="H1731" s="54"/>
      <c r="I1731" s="114"/>
      <c r="J1731" s="54"/>
      <c r="L1731" s="54"/>
      <c r="N1731" s="54"/>
      <c r="P1731" s="54"/>
      <c r="R1731" s="54"/>
      <c r="T1731" s="1"/>
      <c r="V1731" s="54"/>
      <c r="X1731" s="54"/>
      <c r="Z1731" s="54"/>
      <c r="AB1731" s="54"/>
      <c r="AD1731" s="54"/>
      <c r="AF1731" s="54"/>
      <c r="AH1731" s="54"/>
      <c r="AJ1731" s="54"/>
      <c r="AL1731" s="54"/>
      <c r="AO1731" s="54"/>
      <c r="AP1731" s="1"/>
      <c r="AQ1731" s="54"/>
      <c r="AR1731" s="171"/>
      <c r="AS1731" s="1"/>
      <c r="AT1731" s="1"/>
      <c r="AU1731" s="1"/>
    </row>
    <row r="1732">
      <c r="A1732" s="54"/>
      <c r="B1732" s="71"/>
      <c r="C1732" s="51"/>
      <c r="D1732" s="54"/>
      <c r="E1732" s="114"/>
      <c r="F1732" s="16"/>
      <c r="G1732" s="114"/>
      <c r="H1732" s="54"/>
      <c r="I1732" s="114"/>
      <c r="J1732" s="54"/>
      <c r="L1732" s="54"/>
      <c r="N1732" s="54"/>
      <c r="P1732" s="54"/>
      <c r="R1732" s="54"/>
      <c r="T1732" s="1"/>
      <c r="V1732" s="54"/>
      <c r="X1732" s="54"/>
      <c r="Z1732" s="54"/>
      <c r="AB1732" s="54"/>
      <c r="AD1732" s="54"/>
      <c r="AF1732" s="54"/>
      <c r="AH1732" s="54"/>
      <c r="AJ1732" s="54"/>
      <c r="AL1732" s="54"/>
      <c r="AO1732" s="54"/>
      <c r="AP1732" s="1"/>
      <c r="AQ1732" s="54"/>
      <c r="AR1732" s="171"/>
      <c r="AS1732" s="1"/>
      <c r="AT1732" s="1"/>
      <c r="AU1732" s="1"/>
    </row>
    <row r="1733">
      <c r="A1733" s="54"/>
      <c r="B1733" s="71"/>
      <c r="C1733" s="51"/>
      <c r="D1733" s="54"/>
      <c r="E1733" s="114"/>
      <c r="F1733" s="16"/>
      <c r="G1733" s="114"/>
      <c r="H1733" s="54"/>
      <c r="I1733" s="114"/>
      <c r="J1733" s="54"/>
      <c r="L1733" s="54"/>
      <c r="N1733" s="54"/>
      <c r="P1733" s="54"/>
      <c r="R1733" s="54"/>
      <c r="T1733" s="1"/>
      <c r="V1733" s="54"/>
      <c r="X1733" s="54"/>
      <c r="Z1733" s="54"/>
      <c r="AB1733" s="54"/>
      <c r="AD1733" s="54"/>
      <c r="AF1733" s="54"/>
      <c r="AH1733" s="54"/>
      <c r="AJ1733" s="54"/>
      <c r="AL1733" s="54"/>
      <c r="AO1733" s="54"/>
      <c r="AP1733" s="1"/>
      <c r="AQ1733" s="54"/>
      <c r="AR1733" s="171"/>
      <c r="AS1733" s="1"/>
      <c r="AT1733" s="1"/>
      <c r="AU1733" s="1"/>
    </row>
    <row r="1734">
      <c r="A1734" s="54"/>
      <c r="B1734" s="71"/>
      <c r="C1734" s="51"/>
      <c r="D1734" s="54"/>
      <c r="E1734" s="114"/>
      <c r="F1734" s="16"/>
      <c r="G1734" s="114"/>
      <c r="H1734" s="54"/>
      <c r="I1734" s="114"/>
      <c r="J1734" s="54"/>
      <c r="L1734" s="54"/>
      <c r="N1734" s="54"/>
      <c r="P1734" s="54"/>
      <c r="R1734" s="54"/>
      <c r="T1734" s="1"/>
      <c r="V1734" s="54"/>
      <c r="X1734" s="54"/>
      <c r="Z1734" s="54"/>
      <c r="AB1734" s="54"/>
      <c r="AD1734" s="54"/>
      <c r="AF1734" s="54"/>
      <c r="AH1734" s="54"/>
      <c r="AJ1734" s="54"/>
      <c r="AL1734" s="54"/>
      <c r="AO1734" s="54"/>
      <c r="AP1734" s="1"/>
      <c r="AQ1734" s="54"/>
      <c r="AR1734" s="171"/>
      <c r="AS1734" s="1"/>
      <c r="AT1734" s="1"/>
      <c r="AU1734" s="1"/>
    </row>
    <row r="1735">
      <c r="A1735" s="54"/>
      <c r="B1735" s="71"/>
      <c r="C1735" s="51"/>
      <c r="D1735" s="54"/>
      <c r="E1735" s="114"/>
      <c r="F1735" s="16"/>
      <c r="G1735" s="114"/>
      <c r="H1735" s="54"/>
      <c r="I1735" s="114"/>
      <c r="J1735" s="54"/>
      <c r="L1735" s="54"/>
      <c r="N1735" s="54"/>
      <c r="P1735" s="54"/>
      <c r="R1735" s="54"/>
      <c r="T1735" s="1"/>
      <c r="V1735" s="54"/>
      <c r="X1735" s="54"/>
      <c r="Z1735" s="54"/>
      <c r="AB1735" s="54"/>
      <c r="AD1735" s="54"/>
      <c r="AF1735" s="54"/>
      <c r="AH1735" s="54"/>
      <c r="AJ1735" s="54"/>
      <c r="AL1735" s="54"/>
      <c r="AO1735" s="54"/>
      <c r="AP1735" s="1"/>
      <c r="AQ1735" s="54"/>
      <c r="AR1735" s="171"/>
      <c r="AS1735" s="1"/>
      <c r="AT1735" s="1"/>
      <c r="AU1735" s="1"/>
    </row>
    <row r="1736">
      <c r="A1736" s="54"/>
      <c r="B1736" s="71"/>
      <c r="C1736" s="51"/>
      <c r="D1736" s="54"/>
      <c r="E1736" s="114"/>
      <c r="F1736" s="16"/>
      <c r="G1736" s="114"/>
      <c r="H1736" s="54"/>
      <c r="I1736" s="114"/>
      <c r="J1736" s="54"/>
      <c r="L1736" s="54"/>
      <c r="N1736" s="54"/>
      <c r="P1736" s="54"/>
      <c r="R1736" s="54"/>
      <c r="T1736" s="1"/>
      <c r="V1736" s="54"/>
      <c r="X1736" s="54"/>
      <c r="Z1736" s="54"/>
      <c r="AB1736" s="54"/>
      <c r="AD1736" s="54"/>
      <c r="AF1736" s="54"/>
      <c r="AH1736" s="54"/>
      <c r="AJ1736" s="54"/>
      <c r="AL1736" s="54"/>
      <c r="AO1736" s="54"/>
      <c r="AP1736" s="1"/>
      <c r="AQ1736" s="54"/>
      <c r="AR1736" s="171"/>
      <c r="AS1736" s="1"/>
      <c r="AT1736" s="1"/>
      <c r="AU1736" s="1"/>
    </row>
    <row r="1737">
      <c r="A1737" s="54"/>
      <c r="B1737" s="71"/>
      <c r="C1737" s="51"/>
      <c r="D1737" s="54"/>
      <c r="E1737" s="114"/>
      <c r="F1737" s="16"/>
      <c r="G1737" s="114"/>
      <c r="H1737" s="54"/>
      <c r="I1737" s="114"/>
      <c r="J1737" s="54"/>
      <c r="L1737" s="54"/>
      <c r="N1737" s="54"/>
      <c r="P1737" s="54"/>
      <c r="R1737" s="54"/>
      <c r="T1737" s="1"/>
      <c r="V1737" s="54"/>
      <c r="X1737" s="54"/>
      <c r="Z1737" s="54"/>
      <c r="AB1737" s="54"/>
      <c r="AD1737" s="54"/>
      <c r="AF1737" s="54"/>
      <c r="AH1737" s="54"/>
      <c r="AJ1737" s="54"/>
      <c r="AL1737" s="54"/>
      <c r="AO1737" s="54"/>
      <c r="AP1737" s="1"/>
      <c r="AQ1737" s="54"/>
      <c r="AR1737" s="171"/>
      <c r="AS1737" s="1"/>
      <c r="AT1737" s="1"/>
      <c r="AU1737" s="1"/>
    </row>
    <row r="1738">
      <c r="A1738" s="54"/>
      <c r="B1738" s="71"/>
      <c r="C1738" s="51"/>
      <c r="D1738" s="54"/>
      <c r="E1738" s="114"/>
      <c r="F1738" s="16"/>
      <c r="G1738" s="114"/>
      <c r="H1738" s="54"/>
      <c r="I1738" s="114"/>
      <c r="J1738" s="54"/>
      <c r="L1738" s="54"/>
      <c r="N1738" s="54"/>
      <c r="P1738" s="54"/>
      <c r="R1738" s="54"/>
      <c r="T1738" s="1"/>
      <c r="V1738" s="54"/>
      <c r="X1738" s="54"/>
      <c r="Z1738" s="54"/>
      <c r="AB1738" s="54"/>
      <c r="AD1738" s="54"/>
      <c r="AF1738" s="54"/>
      <c r="AH1738" s="54"/>
      <c r="AJ1738" s="54"/>
      <c r="AL1738" s="54"/>
      <c r="AO1738" s="54"/>
      <c r="AP1738" s="1"/>
      <c r="AQ1738" s="54"/>
      <c r="AR1738" s="171"/>
      <c r="AS1738" s="1"/>
      <c r="AT1738" s="1"/>
      <c r="AU1738" s="1"/>
    </row>
    <row r="1739">
      <c r="A1739" s="54"/>
      <c r="B1739" s="71"/>
      <c r="C1739" s="51"/>
      <c r="D1739" s="54"/>
      <c r="E1739" s="114"/>
      <c r="F1739" s="16"/>
      <c r="G1739" s="114"/>
      <c r="H1739" s="54"/>
      <c r="I1739" s="114"/>
      <c r="J1739" s="54"/>
      <c r="L1739" s="54"/>
      <c r="N1739" s="54"/>
      <c r="P1739" s="54"/>
      <c r="R1739" s="54"/>
      <c r="T1739" s="1"/>
      <c r="V1739" s="54"/>
      <c r="X1739" s="54"/>
      <c r="Z1739" s="54"/>
      <c r="AB1739" s="54"/>
      <c r="AD1739" s="54"/>
      <c r="AF1739" s="54"/>
      <c r="AH1739" s="54"/>
      <c r="AJ1739" s="54"/>
      <c r="AL1739" s="54"/>
      <c r="AO1739" s="54"/>
      <c r="AP1739" s="1"/>
      <c r="AQ1739" s="54"/>
      <c r="AR1739" s="171"/>
      <c r="AS1739" s="1"/>
      <c r="AT1739" s="1"/>
      <c r="AU1739" s="1"/>
    </row>
    <row r="1740">
      <c r="A1740" s="54"/>
      <c r="B1740" s="71"/>
      <c r="C1740" s="51"/>
      <c r="D1740" s="54"/>
      <c r="E1740" s="114"/>
      <c r="F1740" s="16"/>
      <c r="G1740" s="114"/>
      <c r="H1740" s="54"/>
      <c r="I1740" s="114"/>
      <c r="J1740" s="54"/>
      <c r="L1740" s="54"/>
      <c r="N1740" s="54"/>
      <c r="P1740" s="54"/>
      <c r="R1740" s="54"/>
      <c r="T1740" s="1"/>
      <c r="V1740" s="54"/>
      <c r="X1740" s="54"/>
      <c r="Z1740" s="54"/>
      <c r="AB1740" s="54"/>
      <c r="AD1740" s="54"/>
      <c r="AF1740" s="54"/>
      <c r="AH1740" s="54"/>
      <c r="AJ1740" s="54"/>
      <c r="AL1740" s="54"/>
      <c r="AO1740" s="54"/>
      <c r="AP1740" s="1"/>
      <c r="AQ1740" s="54"/>
      <c r="AR1740" s="171"/>
      <c r="AS1740" s="1"/>
      <c r="AT1740" s="1"/>
      <c r="AU1740" s="1"/>
    </row>
    <row r="1741">
      <c r="A1741" s="54"/>
      <c r="B1741" s="71"/>
      <c r="C1741" s="51"/>
      <c r="D1741" s="54"/>
      <c r="E1741" s="114"/>
      <c r="F1741" s="16"/>
      <c r="G1741" s="114"/>
      <c r="H1741" s="54"/>
      <c r="I1741" s="114"/>
      <c r="J1741" s="54"/>
      <c r="L1741" s="54"/>
      <c r="N1741" s="54"/>
      <c r="P1741" s="54"/>
      <c r="R1741" s="54"/>
      <c r="T1741" s="1"/>
      <c r="V1741" s="54"/>
      <c r="X1741" s="54"/>
      <c r="Z1741" s="54"/>
      <c r="AB1741" s="54"/>
      <c r="AD1741" s="54"/>
      <c r="AF1741" s="54"/>
      <c r="AH1741" s="54"/>
      <c r="AJ1741" s="54"/>
      <c r="AL1741" s="54"/>
      <c r="AO1741" s="54"/>
      <c r="AP1741" s="1"/>
      <c r="AQ1741" s="54"/>
      <c r="AR1741" s="171"/>
      <c r="AS1741" s="1"/>
      <c r="AT1741" s="1"/>
      <c r="AU1741" s="1"/>
    </row>
    <row r="1742">
      <c r="A1742" s="54"/>
      <c r="B1742" s="71"/>
      <c r="C1742" s="51"/>
      <c r="D1742" s="54"/>
      <c r="E1742" s="114"/>
      <c r="F1742" s="16"/>
      <c r="G1742" s="114"/>
      <c r="H1742" s="54"/>
      <c r="I1742" s="114"/>
      <c r="J1742" s="54"/>
      <c r="L1742" s="54"/>
      <c r="N1742" s="54"/>
      <c r="P1742" s="54"/>
      <c r="R1742" s="54"/>
      <c r="T1742" s="1"/>
      <c r="V1742" s="54"/>
      <c r="X1742" s="54"/>
      <c r="Z1742" s="54"/>
      <c r="AB1742" s="54"/>
      <c r="AD1742" s="54"/>
      <c r="AF1742" s="54"/>
      <c r="AH1742" s="54"/>
      <c r="AJ1742" s="54"/>
      <c r="AL1742" s="54"/>
      <c r="AO1742" s="54"/>
      <c r="AP1742" s="1"/>
      <c r="AQ1742" s="54"/>
      <c r="AR1742" s="171"/>
      <c r="AS1742" s="1"/>
      <c r="AT1742" s="1"/>
      <c r="AU1742" s="1"/>
    </row>
    <row r="1743">
      <c r="A1743" s="54"/>
      <c r="B1743" s="71"/>
      <c r="C1743" s="51"/>
      <c r="D1743" s="54"/>
      <c r="E1743" s="114"/>
      <c r="F1743" s="16"/>
      <c r="G1743" s="114"/>
      <c r="H1743" s="54"/>
      <c r="I1743" s="114"/>
      <c r="J1743" s="54"/>
      <c r="L1743" s="54"/>
      <c r="N1743" s="54"/>
      <c r="P1743" s="54"/>
      <c r="R1743" s="54"/>
      <c r="T1743" s="1"/>
      <c r="V1743" s="54"/>
      <c r="X1743" s="54"/>
      <c r="Z1743" s="54"/>
      <c r="AB1743" s="54"/>
      <c r="AD1743" s="54"/>
      <c r="AF1743" s="54"/>
      <c r="AH1743" s="54"/>
      <c r="AJ1743" s="54"/>
      <c r="AL1743" s="54"/>
      <c r="AO1743" s="54"/>
      <c r="AP1743" s="1"/>
      <c r="AQ1743" s="54"/>
      <c r="AR1743" s="171"/>
      <c r="AS1743" s="1"/>
      <c r="AT1743" s="1"/>
      <c r="AU1743" s="1"/>
    </row>
    <row r="1744">
      <c r="A1744" s="54"/>
      <c r="B1744" s="71"/>
      <c r="C1744" s="51"/>
      <c r="D1744" s="54"/>
      <c r="E1744" s="114"/>
      <c r="F1744" s="16"/>
      <c r="G1744" s="114"/>
      <c r="H1744" s="54"/>
      <c r="I1744" s="114"/>
      <c r="J1744" s="54"/>
      <c r="L1744" s="54"/>
      <c r="N1744" s="54"/>
      <c r="P1744" s="54"/>
      <c r="R1744" s="54"/>
      <c r="T1744" s="1"/>
      <c r="V1744" s="54"/>
      <c r="X1744" s="54"/>
      <c r="Z1744" s="54"/>
      <c r="AB1744" s="54"/>
      <c r="AD1744" s="54"/>
      <c r="AF1744" s="54"/>
      <c r="AH1744" s="54"/>
      <c r="AJ1744" s="54"/>
      <c r="AL1744" s="54"/>
      <c r="AO1744" s="54"/>
      <c r="AP1744" s="1"/>
      <c r="AQ1744" s="54"/>
      <c r="AR1744" s="171"/>
      <c r="AS1744" s="1"/>
      <c r="AT1744" s="1"/>
      <c r="AU1744" s="1"/>
    </row>
    <row r="1745">
      <c r="A1745" s="54"/>
      <c r="B1745" s="71"/>
      <c r="C1745" s="51"/>
      <c r="D1745" s="54"/>
      <c r="E1745" s="114"/>
      <c r="F1745" s="16"/>
      <c r="G1745" s="114"/>
      <c r="H1745" s="54"/>
      <c r="I1745" s="114"/>
      <c r="J1745" s="54"/>
      <c r="L1745" s="54"/>
      <c r="N1745" s="54"/>
      <c r="P1745" s="54"/>
      <c r="R1745" s="54"/>
      <c r="T1745" s="1"/>
      <c r="V1745" s="54"/>
      <c r="X1745" s="54"/>
      <c r="Z1745" s="54"/>
      <c r="AB1745" s="54"/>
      <c r="AD1745" s="54"/>
      <c r="AF1745" s="54"/>
      <c r="AH1745" s="54"/>
      <c r="AJ1745" s="54"/>
      <c r="AL1745" s="54"/>
      <c r="AO1745" s="54"/>
      <c r="AP1745" s="1"/>
      <c r="AQ1745" s="54"/>
      <c r="AR1745" s="171"/>
      <c r="AS1745" s="1"/>
      <c r="AT1745" s="1"/>
      <c r="AU1745" s="1"/>
    </row>
    <row r="1746">
      <c r="A1746" s="54"/>
      <c r="B1746" s="71"/>
      <c r="C1746" s="51"/>
      <c r="D1746" s="54"/>
      <c r="E1746" s="114"/>
      <c r="F1746" s="16"/>
      <c r="G1746" s="114"/>
      <c r="H1746" s="54"/>
      <c r="I1746" s="114"/>
      <c r="J1746" s="54"/>
      <c r="L1746" s="54"/>
      <c r="N1746" s="54"/>
      <c r="P1746" s="54"/>
      <c r="R1746" s="54"/>
      <c r="T1746" s="1"/>
      <c r="V1746" s="54"/>
      <c r="X1746" s="54"/>
      <c r="Z1746" s="54"/>
      <c r="AB1746" s="54"/>
      <c r="AD1746" s="54"/>
      <c r="AF1746" s="54"/>
      <c r="AH1746" s="54"/>
      <c r="AJ1746" s="54"/>
      <c r="AL1746" s="54"/>
      <c r="AO1746" s="54"/>
      <c r="AP1746" s="1"/>
      <c r="AQ1746" s="54"/>
      <c r="AR1746" s="171"/>
      <c r="AS1746" s="1"/>
      <c r="AT1746" s="1"/>
      <c r="AU1746" s="1"/>
    </row>
    <row r="1747">
      <c r="A1747" s="54"/>
      <c r="B1747" s="71"/>
      <c r="C1747" s="51"/>
      <c r="D1747" s="54"/>
      <c r="E1747" s="114"/>
      <c r="F1747" s="16"/>
      <c r="G1747" s="114"/>
      <c r="H1747" s="54"/>
      <c r="I1747" s="114"/>
      <c r="J1747" s="54"/>
      <c r="L1747" s="54"/>
      <c r="N1747" s="54"/>
      <c r="P1747" s="54"/>
      <c r="R1747" s="54"/>
      <c r="T1747" s="1"/>
      <c r="V1747" s="54"/>
      <c r="X1747" s="54"/>
      <c r="Z1747" s="54"/>
      <c r="AB1747" s="54"/>
      <c r="AD1747" s="54"/>
      <c r="AF1747" s="54"/>
      <c r="AH1747" s="54"/>
      <c r="AJ1747" s="54"/>
      <c r="AL1747" s="54"/>
      <c r="AO1747" s="54"/>
      <c r="AP1747" s="1"/>
      <c r="AQ1747" s="54"/>
      <c r="AR1747" s="171"/>
      <c r="AS1747" s="1"/>
      <c r="AT1747" s="1"/>
      <c r="AU1747" s="1"/>
    </row>
    <row r="1748">
      <c r="A1748" s="54"/>
      <c r="B1748" s="71"/>
      <c r="C1748" s="51"/>
      <c r="D1748" s="54"/>
      <c r="E1748" s="114"/>
      <c r="F1748" s="16"/>
      <c r="G1748" s="114"/>
      <c r="H1748" s="54"/>
      <c r="I1748" s="114"/>
      <c r="J1748" s="54"/>
      <c r="L1748" s="54"/>
      <c r="N1748" s="54"/>
      <c r="P1748" s="54"/>
      <c r="R1748" s="54"/>
      <c r="T1748" s="1"/>
      <c r="V1748" s="54"/>
      <c r="X1748" s="54"/>
      <c r="Z1748" s="54"/>
      <c r="AB1748" s="54"/>
      <c r="AD1748" s="54"/>
      <c r="AF1748" s="54"/>
      <c r="AH1748" s="54"/>
      <c r="AJ1748" s="54"/>
      <c r="AL1748" s="54"/>
      <c r="AO1748" s="54"/>
      <c r="AP1748" s="1"/>
      <c r="AQ1748" s="54"/>
      <c r="AR1748" s="171"/>
      <c r="AS1748" s="1"/>
      <c r="AT1748" s="1"/>
      <c r="AU1748" s="1"/>
    </row>
    <row r="1749">
      <c r="A1749" s="54"/>
      <c r="B1749" s="71"/>
      <c r="C1749" s="51"/>
      <c r="D1749" s="54"/>
      <c r="E1749" s="114"/>
      <c r="F1749" s="16"/>
      <c r="G1749" s="114"/>
      <c r="H1749" s="54"/>
      <c r="I1749" s="114"/>
      <c r="J1749" s="54"/>
      <c r="L1749" s="54"/>
      <c r="N1749" s="54"/>
      <c r="P1749" s="54"/>
      <c r="R1749" s="54"/>
      <c r="T1749" s="1"/>
      <c r="V1749" s="54"/>
      <c r="X1749" s="54"/>
      <c r="Z1749" s="54"/>
      <c r="AB1749" s="54"/>
      <c r="AD1749" s="54"/>
      <c r="AF1749" s="54"/>
      <c r="AH1749" s="54"/>
      <c r="AJ1749" s="54"/>
      <c r="AL1749" s="54"/>
      <c r="AO1749" s="54"/>
      <c r="AP1749" s="1"/>
      <c r="AQ1749" s="54"/>
      <c r="AR1749" s="171"/>
      <c r="AS1749" s="1"/>
      <c r="AT1749" s="1"/>
      <c r="AU1749" s="1"/>
    </row>
    <row r="1750">
      <c r="A1750" s="54"/>
      <c r="B1750" s="71"/>
      <c r="C1750" s="51"/>
      <c r="D1750" s="54"/>
      <c r="E1750" s="114"/>
      <c r="F1750" s="16"/>
      <c r="G1750" s="114"/>
      <c r="H1750" s="54"/>
      <c r="I1750" s="114"/>
      <c r="J1750" s="54"/>
      <c r="L1750" s="54"/>
      <c r="N1750" s="54"/>
      <c r="P1750" s="54"/>
      <c r="R1750" s="54"/>
      <c r="T1750" s="1"/>
      <c r="V1750" s="54"/>
      <c r="X1750" s="54"/>
      <c r="Z1750" s="54"/>
      <c r="AB1750" s="54"/>
      <c r="AD1750" s="54"/>
      <c r="AF1750" s="54"/>
      <c r="AH1750" s="54"/>
      <c r="AJ1750" s="54"/>
      <c r="AL1750" s="54"/>
      <c r="AO1750" s="54"/>
      <c r="AP1750" s="1"/>
      <c r="AQ1750" s="54"/>
      <c r="AR1750" s="171"/>
      <c r="AS1750" s="1"/>
      <c r="AT1750" s="1"/>
      <c r="AU1750" s="1"/>
    </row>
    <row r="1751">
      <c r="A1751" s="54"/>
      <c r="B1751" s="71"/>
      <c r="C1751" s="51"/>
      <c r="D1751" s="54"/>
      <c r="E1751" s="114"/>
      <c r="F1751" s="16"/>
      <c r="G1751" s="114"/>
      <c r="H1751" s="54"/>
      <c r="I1751" s="114"/>
      <c r="J1751" s="54"/>
      <c r="L1751" s="54"/>
      <c r="N1751" s="54"/>
      <c r="P1751" s="54"/>
      <c r="R1751" s="54"/>
      <c r="T1751" s="1"/>
      <c r="V1751" s="54"/>
      <c r="X1751" s="54"/>
      <c r="Z1751" s="54"/>
      <c r="AB1751" s="54"/>
      <c r="AD1751" s="54"/>
      <c r="AF1751" s="54"/>
      <c r="AH1751" s="54"/>
      <c r="AJ1751" s="54"/>
      <c r="AL1751" s="54"/>
      <c r="AO1751" s="54"/>
      <c r="AP1751" s="1"/>
      <c r="AQ1751" s="54"/>
      <c r="AR1751" s="171"/>
      <c r="AS1751" s="1"/>
      <c r="AT1751" s="1"/>
      <c r="AU1751" s="1"/>
    </row>
    <row r="1752">
      <c r="A1752" s="54"/>
      <c r="B1752" s="71"/>
      <c r="C1752" s="51"/>
      <c r="D1752" s="54"/>
      <c r="E1752" s="114"/>
      <c r="F1752" s="16"/>
      <c r="G1752" s="114"/>
      <c r="H1752" s="54"/>
      <c r="I1752" s="114"/>
      <c r="J1752" s="54"/>
      <c r="L1752" s="54"/>
      <c r="N1752" s="54"/>
      <c r="P1752" s="54"/>
      <c r="R1752" s="54"/>
      <c r="T1752" s="1"/>
      <c r="V1752" s="54"/>
      <c r="X1752" s="54"/>
      <c r="Z1752" s="54"/>
      <c r="AB1752" s="54"/>
      <c r="AD1752" s="54"/>
      <c r="AF1752" s="54"/>
      <c r="AH1752" s="54"/>
      <c r="AJ1752" s="54"/>
      <c r="AL1752" s="54"/>
      <c r="AO1752" s="54"/>
      <c r="AP1752" s="1"/>
      <c r="AQ1752" s="54"/>
      <c r="AR1752" s="171"/>
      <c r="AS1752" s="1"/>
      <c r="AT1752" s="1"/>
      <c r="AU1752" s="1"/>
    </row>
    <row r="1753">
      <c r="A1753" s="54"/>
      <c r="B1753" s="71"/>
      <c r="C1753" s="51"/>
      <c r="D1753" s="54"/>
      <c r="E1753" s="114"/>
      <c r="F1753" s="16"/>
      <c r="G1753" s="114"/>
      <c r="H1753" s="54"/>
      <c r="I1753" s="114"/>
      <c r="J1753" s="54"/>
      <c r="L1753" s="54"/>
      <c r="N1753" s="54"/>
      <c r="P1753" s="54"/>
      <c r="R1753" s="54"/>
      <c r="T1753" s="1"/>
      <c r="V1753" s="54"/>
      <c r="X1753" s="54"/>
      <c r="Z1753" s="54"/>
      <c r="AB1753" s="54"/>
      <c r="AD1753" s="54"/>
      <c r="AF1753" s="54"/>
      <c r="AH1753" s="54"/>
      <c r="AJ1753" s="54"/>
      <c r="AL1753" s="54"/>
      <c r="AO1753" s="54"/>
      <c r="AP1753" s="1"/>
      <c r="AQ1753" s="54"/>
      <c r="AR1753" s="171"/>
      <c r="AS1753" s="1"/>
      <c r="AT1753" s="1"/>
      <c r="AU1753" s="1"/>
    </row>
    <row r="1754">
      <c r="A1754" s="54"/>
      <c r="B1754" s="71"/>
      <c r="C1754" s="51"/>
      <c r="D1754" s="54"/>
      <c r="E1754" s="114"/>
      <c r="F1754" s="16"/>
      <c r="G1754" s="114"/>
      <c r="H1754" s="54"/>
      <c r="I1754" s="114"/>
      <c r="J1754" s="54"/>
      <c r="L1754" s="54"/>
      <c r="N1754" s="54"/>
      <c r="P1754" s="54"/>
      <c r="R1754" s="54"/>
      <c r="T1754" s="1"/>
      <c r="V1754" s="54"/>
      <c r="X1754" s="54"/>
      <c r="Z1754" s="54"/>
      <c r="AB1754" s="54"/>
      <c r="AD1754" s="54"/>
      <c r="AF1754" s="54"/>
      <c r="AH1754" s="54"/>
      <c r="AJ1754" s="54"/>
      <c r="AL1754" s="54"/>
      <c r="AO1754" s="54"/>
      <c r="AP1754" s="1"/>
      <c r="AQ1754" s="54"/>
      <c r="AR1754" s="171"/>
      <c r="AS1754" s="1"/>
      <c r="AT1754" s="1"/>
      <c r="AU1754" s="1"/>
    </row>
    <row r="1755">
      <c r="A1755" s="54"/>
      <c r="B1755" s="71"/>
      <c r="C1755" s="51"/>
      <c r="D1755" s="54"/>
      <c r="E1755" s="114"/>
      <c r="F1755" s="16"/>
      <c r="G1755" s="114"/>
      <c r="H1755" s="54"/>
      <c r="I1755" s="114"/>
      <c r="J1755" s="54"/>
      <c r="L1755" s="54"/>
      <c r="N1755" s="54"/>
      <c r="P1755" s="54"/>
      <c r="R1755" s="54"/>
      <c r="T1755" s="1"/>
      <c r="V1755" s="54"/>
      <c r="X1755" s="54"/>
      <c r="Z1755" s="54"/>
      <c r="AB1755" s="54"/>
      <c r="AD1755" s="54"/>
      <c r="AF1755" s="54"/>
      <c r="AH1755" s="54"/>
      <c r="AJ1755" s="54"/>
      <c r="AL1755" s="54"/>
      <c r="AO1755" s="54"/>
      <c r="AP1755" s="1"/>
      <c r="AQ1755" s="54"/>
      <c r="AR1755" s="171"/>
      <c r="AS1755" s="1"/>
      <c r="AT1755" s="1"/>
      <c r="AU1755" s="1"/>
    </row>
    <row r="1756">
      <c r="A1756" s="54"/>
      <c r="B1756" s="71"/>
      <c r="C1756" s="51"/>
      <c r="D1756" s="54"/>
      <c r="E1756" s="114"/>
      <c r="F1756" s="16"/>
      <c r="G1756" s="114"/>
      <c r="H1756" s="54"/>
      <c r="I1756" s="114"/>
      <c r="J1756" s="54"/>
      <c r="L1756" s="54"/>
      <c r="N1756" s="54"/>
      <c r="P1756" s="54"/>
      <c r="R1756" s="54"/>
      <c r="T1756" s="1"/>
      <c r="V1756" s="54"/>
      <c r="X1756" s="54"/>
      <c r="Z1756" s="54"/>
      <c r="AB1756" s="54"/>
      <c r="AD1756" s="54"/>
      <c r="AF1756" s="54"/>
      <c r="AH1756" s="54"/>
      <c r="AJ1756" s="54"/>
      <c r="AL1756" s="54"/>
      <c r="AO1756" s="54"/>
      <c r="AP1756" s="1"/>
      <c r="AQ1756" s="54"/>
      <c r="AR1756" s="171"/>
      <c r="AS1756" s="1"/>
      <c r="AT1756" s="1"/>
      <c r="AU1756" s="1"/>
    </row>
    <row r="1757">
      <c r="A1757" s="54"/>
      <c r="B1757" s="71"/>
      <c r="C1757" s="51"/>
      <c r="D1757" s="54"/>
      <c r="E1757" s="114"/>
      <c r="F1757" s="16"/>
      <c r="G1757" s="114"/>
      <c r="H1757" s="54"/>
      <c r="I1757" s="114"/>
      <c r="J1757" s="54"/>
      <c r="L1757" s="54"/>
      <c r="N1757" s="54"/>
      <c r="P1757" s="54"/>
      <c r="R1757" s="54"/>
      <c r="T1757" s="1"/>
      <c r="V1757" s="54"/>
      <c r="X1757" s="54"/>
      <c r="Z1757" s="54"/>
      <c r="AB1757" s="54"/>
      <c r="AD1757" s="54"/>
      <c r="AF1757" s="54"/>
      <c r="AH1757" s="54"/>
      <c r="AJ1757" s="54"/>
      <c r="AL1757" s="54"/>
      <c r="AO1757" s="54"/>
      <c r="AP1757" s="1"/>
      <c r="AQ1757" s="54"/>
      <c r="AR1757" s="171"/>
      <c r="AS1757" s="1"/>
      <c r="AT1757" s="1"/>
      <c r="AU1757" s="1"/>
    </row>
    <row r="1758">
      <c r="A1758" s="54"/>
      <c r="B1758" s="71"/>
      <c r="C1758" s="51"/>
      <c r="D1758" s="54"/>
      <c r="E1758" s="114"/>
      <c r="F1758" s="16"/>
      <c r="G1758" s="114"/>
      <c r="H1758" s="54"/>
      <c r="I1758" s="114"/>
      <c r="J1758" s="54"/>
      <c r="L1758" s="54"/>
      <c r="N1758" s="54"/>
      <c r="P1758" s="54"/>
      <c r="R1758" s="54"/>
      <c r="T1758" s="1"/>
      <c r="V1758" s="54"/>
      <c r="X1758" s="54"/>
      <c r="Z1758" s="54"/>
      <c r="AB1758" s="54"/>
      <c r="AD1758" s="54"/>
      <c r="AF1758" s="54"/>
      <c r="AH1758" s="54"/>
      <c r="AJ1758" s="54"/>
      <c r="AL1758" s="54"/>
      <c r="AO1758" s="54"/>
      <c r="AP1758" s="1"/>
      <c r="AQ1758" s="54"/>
      <c r="AR1758" s="171"/>
      <c r="AS1758" s="1"/>
      <c r="AT1758" s="1"/>
      <c r="AU1758" s="1"/>
    </row>
    <row r="1759">
      <c r="A1759" s="54"/>
      <c r="B1759" s="71"/>
      <c r="C1759" s="51"/>
      <c r="D1759" s="54"/>
      <c r="E1759" s="114"/>
      <c r="F1759" s="16"/>
      <c r="G1759" s="114"/>
      <c r="H1759" s="54"/>
      <c r="I1759" s="114"/>
      <c r="J1759" s="54"/>
      <c r="L1759" s="54"/>
      <c r="N1759" s="54"/>
      <c r="P1759" s="54"/>
      <c r="R1759" s="54"/>
      <c r="T1759" s="1"/>
      <c r="V1759" s="54"/>
      <c r="X1759" s="54"/>
      <c r="Z1759" s="54"/>
      <c r="AB1759" s="54"/>
      <c r="AD1759" s="54"/>
      <c r="AF1759" s="54"/>
      <c r="AH1759" s="54"/>
      <c r="AJ1759" s="54"/>
      <c r="AL1759" s="54"/>
      <c r="AO1759" s="54"/>
      <c r="AP1759" s="1"/>
      <c r="AQ1759" s="54"/>
      <c r="AR1759" s="171"/>
      <c r="AS1759" s="1"/>
      <c r="AT1759" s="1"/>
      <c r="AU1759" s="1"/>
    </row>
    <row r="1760">
      <c r="A1760" s="54"/>
      <c r="B1760" s="71"/>
      <c r="C1760" s="51"/>
      <c r="D1760" s="54"/>
      <c r="E1760" s="114"/>
      <c r="F1760" s="16"/>
      <c r="G1760" s="114"/>
      <c r="H1760" s="54"/>
      <c r="I1760" s="114"/>
      <c r="J1760" s="54"/>
      <c r="L1760" s="54"/>
      <c r="N1760" s="54"/>
      <c r="P1760" s="54"/>
      <c r="R1760" s="54"/>
      <c r="T1760" s="1"/>
      <c r="V1760" s="54"/>
      <c r="X1760" s="54"/>
      <c r="Z1760" s="54"/>
      <c r="AB1760" s="54"/>
      <c r="AD1760" s="54"/>
      <c r="AF1760" s="54"/>
      <c r="AH1760" s="54"/>
      <c r="AJ1760" s="54"/>
      <c r="AL1760" s="54"/>
      <c r="AO1760" s="54"/>
      <c r="AP1760" s="1"/>
      <c r="AQ1760" s="54"/>
      <c r="AR1760" s="171"/>
      <c r="AS1760" s="1"/>
      <c r="AT1760" s="1"/>
      <c r="AU1760" s="1"/>
    </row>
    <row r="1761">
      <c r="A1761" s="54"/>
      <c r="B1761" s="71"/>
      <c r="C1761" s="51"/>
      <c r="D1761" s="54"/>
      <c r="E1761" s="114"/>
      <c r="F1761" s="16"/>
      <c r="G1761" s="114"/>
      <c r="H1761" s="54"/>
      <c r="I1761" s="114"/>
      <c r="J1761" s="54"/>
      <c r="L1761" s="54"/>
      <c r="N1761" s="54"/>
      <c r="P1761" s="54"/>
      <c r="R1761" s="54"/>
      <c r="T1761" s="1"/>
      <c r="V1761" s="54"/>
      <c r="X1761" s="54"/>
      <c r="Z1761" s="54"/>
      <c r="AB1761" s="54"/>
      <c r="AD1761" s="54"/>
      <c r="AF1761" s="54"/>
      <c r="AH1761" s="54"/>
      <c r="AJ1761" s="54"/>
      <c r="AL1761" s="54"/>
      <c r="AO1761" s="54"/>
      <c r="AP1761" s="1"/>
      <c r="AQ1761" s="54"/>
      <c r="AR1761" s="171"/>
      <c r="AS1761" s="1"/>
      <c r="AT1761" s="1"/>
      <c r="AU1761" s="1"/>
    </row>
    <row r="1762">
      <c r="A1762" s="54"/>
      <c r="B1762" s="71"/>
      <c r="C1762" s="51"/>
      <c r="D1762" s="54"/>
      <c r="E1762" s="114"/>
      <c r="F1762" s="16"/>
      <c r="G1762" s="114"/>
      <c r="H1762" s="54"/>
      <c r="I1762" s="114"/>
      <c r="J1762" s="54"/>
      <c r="L1762" s="54"/>
      <c r="N1762" s="54"/>
      <c r="P1762" s="54"/>
      <c r="R1762" s="54"/>
      <c r="T1762" s="1"/>
      <c r="V1762" s="54"/>
      <c r="X1762" s="54"/>
      <c r="Z1762" s="54"/>
      <c r="AB1762" s="54"/>
      <c r="AD1762" s="54"/>
      <c r="AF1762" s="54"/>
      <c r="AH1762" s="54"/>
      <c r="AJ1762" s="54"/>
      <c r="AL1762" s="54"/>
      <c r="AO1762" s="54"/>
      <c r="AP1762" s="1"/>
      <c r="AQ1762" s="54"/>
      <c r="AR1762" s="171"/>
      <c r="AS1762" s="1"/>
      <c r="AT1762" s="1"/>
      <c r="AU1762" s="1"/>
    </row>
    <row r="1763">
      <c r="A1763" s="54"/>
      <c r="B1763" s="71"/>
      <c r="C1763" s="51"/>
      <c r="D1763" s="54"/>
      <c r="E1763" s="114"/>
      <c r="F1763" s="16"/>
      <c r="G1763" s="114"/>
      <c r="H1763" s="54"/>
      <c r="I1763" s="114"/>
      <c r="J1763" s="54"/>
      <c r="L1763" s="54"/>
      <c r="N1763" s="54"/>
      <c r="P1763" s="54"/>
      <c r="R1763" s="54"/>
      <c r="T1763" s="1"/>
      <c r="V1763" s="54"/>
      <c r="X1763" s="54"/>
      <c r="Z1763" s="54"/>
      <c r="AB1763" s="54"/>
      <c r="AD1763" s="54"/>
      <c r="AF1763" s="54"/>
      <c r="AH1763" s="54"/>
      <c r="AJ1763" s="54"/>
      <c r="AL1763" s="54"/>
      <c r="AO1763" s="54"/>
      <c r="AP1763" s="1"/>
      <c r="AQ1763" s="54"/>
      <c r="AR1763" s="171"/>
      <c r="AS1763" s="1"/>
      <c r="AT1763" s="1"/>
      <c r="AU1763" s="1"/>
    </row>
    <row r="1764">
      <c r="A1764" s="54"/>
      <c r="B1764" s="71"/>
      <c r="C1764" s="51"/>
      <c r="D1764" s="54"/>
      <c r="E1764" s="114"/>
      <c r="F1764" s="16"/>
      <c r="G1764" s="114"/>
      <c r="H1764" s="54"/>
      <c r="I1764" s="114"/>
      <c r="J1764" s="54"/>
      <c r="L1764" s="54"/>
      <c r="N1764" s="54"/>
      <c r="P1764" s="54"/>
      <c r="R1764" s="54"/>
      <c r="T1764" s="1"/>
      <c r="V1764" s="54"/>
      <c r="X1764" s="54"/>
      <c r="Z1764" s="54"/>
      <c r="AB1764" s="54"/>
      <c r="AD1764" s="54"/>
      <c r="AF1764" s="54"/>
      <c r="AH1764" s="54"/>
      <c r="AJ1764" s="54"/>
      <c r="AL1764" s="54"/>
      <c r="AO1764" s="54"/>
      <c r="AP1764" s="1"/>
      <c r="AQ1764" s="54"/>
      <c r="AR1764" s="171"/>
      <c r="AS1764" s="1"/>
      <c r="AT1764" s="1"/>
      <c r="AU1764" s="1"/>
    </row>
    <row r="1765">
      <c r="A1765" s="54"/>
      <c r="B1765" s="71"/>
      <c r="C1765" s="51"/>
      <c r="D1765" s="54"/>
      <c r="E1765" s="114"/>
      <c r="F1765" s="16"/>
      <c r="G1765" s="114"/>
      <c r="H1765" s="54"/>
      <c r="I1765" s="114"/>
      <c r="J1765" s="54"/>
      <c r="L1765" s="54"/>
      <c r="N1765" s="54"/>
      <c r="P1765" s="54"/>
      <c r="R1765" s="54"/>
      <c r="T1765" s="1"/>
      <c r="V1765" s="54"/>
      <c r="X1765" s="54"/>
      <c r="Z1765" s="54"/>
      <c r="AB1765" s="54"/>
      <c r="AD1765" s="54"/>
      <c r="AF1765" s="54"/>
      <c r="AH1765" s="54"/>
      <c r="AJ1765" s="54"/>
      <c r="AL1765" s="54"/>
      <c r="AO1765" s="54"/>
      <c r="AP1765" s="1"/>
      <c r="AQ1765" s="54"/>
      <c r="AR1765" s="171"/>
      <c r="AS1765" s="1"/>
      <c r="AT1765" s="1"/>
      <c r="AU1765" s="1"/>
    </row>
    <row r="1766">
      <c r="A1766" s="54"/>
      <c r="B1766" s="71"/>
      <c r="C1766" s="51"/>
      <c r="D1766" s="54"/>
      <c r="E1766" s="114"/>
      <c r="F1766" s="16"/>
      <c r="G1766" s="114"/>
      <c r="H1766" s="54"/>
      <c r="I1766" s="114"/>
      <c r="J1766" s="54"/>
      <c r="L1766" s="54"/>
      <c r="N1766" s="54"/>
      <c r="P1766" s="54"/>
      <c r="R1766" s="54"/>
      <c r="T1766" s="1"/>
      <c r="V1766" s="54"/>
      <c r="X1766" s="54"/>
      <c r="Z1766" s="54"/>
      <c r="AB1766" s="54"/>
      <c r="AD1766" s="54"/>
      <c r="AF1766" s="54"/>
      <c r="AH1766" s="54"/>
      <c r="AJ1766" s="54"/>
      <c r="AL1766" s="54"/>
      <c r="AO1766" s="54"/>
      <c r="AP1766" s="1"/>
      <c r="AQ1766" s="54"/>
      <c r="AR1766" s="171"/>
      <c r="AS1766" s="1"/>
      <c r="AT1766" s="1"/>
      <c r="AU1766" s="1"/>
    </row>
    <row r="1767">
      <c r="A1767" s="54"/>
      <c r="B1767" s="71"/>
      <c r="C1767" s="51"/>
      <c r="D1767" s="54"/>
      <c r="E1767" s="114"/>
      <c r="F1767" s="16"/>
      <c r="G1767" s="114"/>
      <c r="H1767" s="54"/>
      <c r="I1767" s="114"/>
      <c r="J1767" s="54"/>
      <c r="L1767" s="54"/>
      <c r="N1767" s="54"/>
      <c r="P1767" s="54"/>
      <c r="R1767" s="54"/>
      <c r="T1767" s="1"/>
      <c r="V1767" s="54"/>
      <c r="X1767" s="54"/>
      <c r="Z1767" s="54"/>
      <c r="AB1767" s="54"/>
      <c r="AD1767" s="54"/>
      <c r="AF1767" s="54"/>
      <c r="AH1767" s="54"/>
      <c r="AJ1767" s="54"/>
      <c r="AL1767" s="54"/>
      <c r="AO1767" s="54"/>
      <c r="AP1767" s="1"/>
      <c r="AQ1767" s="54"/>
      <c r="AR1767" s="171"/>
      <c r="AS1767" s="1"/>
      <c r="AT1767" s="1"/>
      <c r="AU1767" s="1"/>
    </row>
    <row r="1768">
      <c r="A1768" s="54"/>
      <c r="B1768" s="71"/>
      <c r="C1768" s="51"/>
      <c r="D1768" s="54"/>
      <c r="E1768" s="114"/>
      <c r="F1768" s="16"/>
      <c r="G1768" s="114"/>
      <c r="H1768" s="54"/>
      <c r="I1768" s="114"/>
      <c r="J1768" s="54"/>
      <c r="L1768" s="54"/>
      <c r="N1768" s="54"/>
      <c r="P1768" s="54"/>
      <c r="R1768" s="54"/>
      <c r="T1768" s="1"/>
      <c r="V1768" s="54"/>
      <c r="X1768" s="54"/>
      <c r="Z1768" s="54"/>
      <c r="AB1768" s="54"/>
      <c r="AD1768" s="54"/>
      <c r="AF1768" s="54"/>
      <c r="AH1768" s="54"/>
      <c r="AJ1768" s="54"/>
      <c r="AL1768" s="54"/>
      <c r="AO1768" s="54"/>
      <c r="AP1768" s="1"/>
      <c r="AQ1768" s="54"/>
      <c r="AR1768" s="171"/>
      <c r="AS1768" s="1"/>
      <c r="AT1768" s="1"/>
      <c r="AU1768" s="1"/>
    </row>
    <row r="1769">
      <c r="A1769" s="54"/>
      <c r="B1769" s="71"/>
      <c r="C1769" s="51"/>
      <c r="D1769" s="54"/>
      <c r="E1769" s="114"/>
      <c r="F1769" s="16"/>
      <c r="G1769" s="114"/>
      <c r="H1769" s="54"/>
      <c r="I1769" s="114"/>
      <c r="J1769" s="54"/>
      <c r="L1769" s="54"/>
      <c r="N1769" s="54"/>
      <c r="P1769" s="54"/>
      <c r="R1769" s="54"/>
      <c r="T1769" s="1"/>
      <c r="V1769" s="54"/>
      <c r="X1769" s="54"/>
      <c r="Z1769" s="54"/>
      <c r="AB1769" s="54"/>
      <c r="AD1769" s="54"/>
      <c r="AF1769" s="54"/>
      <c r="AH1769" s="54"/>
      <c r="AJ1769" s="54"/>
      <c r="AL1769" s="54"/>
      <c r="AO1769" s="54"/>
      <c r="AP1769" s="1"/>
      <c r="AQ1769" s="54"/>
      <c r="AR1769" s="171"/>
      <c r="AS1769" s="1"/>
      <c r="AT1769" s="1"/>
      <c r="AU1769" s="1"/>
    </row>
    <row r="1770">
      <c r="A1770" s="54"/>
      <c r="B1770" s="71"/>
      <c r="C1770" s="51"/>
      <c r="D1770" s="54"/>
      <c r="E1770" s="114"/>
      <c r="F1770" s="16"/>
      <c r="G1770" s="114"/>
      <c r="H1770" s="54"/>
      <c r="I1770" s="114"/>
      <c r="J1770" s="54"/>
      <c r="L1770" s="54"/>
      <c r="N1770" s="54"/>
      <c r="P1770" s="54"/>
      <c r="R1770" s="54"/>
      <c r="T1770" s="1"/>
      <c r="V1770" s="54"/>
      <c r="X1770" s="54"/>
      <c r="Z1770" s="54"/>
      <c r="AB1770" s="54"/>
      <c r="AD1770" s="54"/>
      <c r="AF1770" s="54"/>
      <c r="AH1770" s="54"/>
      <c r="AJ1770" s="54"/>
      <c r="AL1770" s="54"/>
      <c r="AO1770" s="54"/>
      <c r="AP1770" s="1"/>
      <c r="AQ1770" s="54"/>
      <c r="AR1770" s="171"/>
      <c r="AS1770" s="1"/>
      <c r="AT1770" s="1"/>
      <c r="AU1770" s="1"/>
    </row>
    <row r="1771">
      <c r="A1771" s="54"/>
      <c r="B1771" s="71"/>
      <c r="C1771" s="51"/>
      <c r="D1771" s="54"/>
      <c r="E1771" s="114"/>
      <c r="F1771" s="16"/>
      <c r="G1771" s="114"/>
      <c r="H1771" s="54"/>
      <c r="I1771" s="114"/>
      <c r="J1771" s="54"/>
      <c r="L1771" s="54"/>
      <c r="N1771" s="54"/>
      <c r="P1771" s="54"/>
      <c r="R1771" s="54"/>
      <c r="T1771" s="1"/>
      <c r="V1771" s="54"/>
      <c r="X1771" s="54"/>
      <c r="Z1771" s="54"/>
      <c r="AB1771" s="54"/>
      <c r="AD1771" s="54"/>
      <c r="AF1771" s="54"/>
      <c r="AH1771" s="54"/>
      <c r="AJ1771" s="54"/>
      <c r="AL1771" s="54"/>
      <c r="AO1771" s="54"/>
      <c r="AP1771" s="1"/>
      <c r="AQ1771" s="54"/>
      <c r="AR1771" s="171"/>
      <c r="AS1771" s="1"/>
      <c r="AT1771" s="1"/>
      <c r="AU1771" s="1"/>
    </row>
    <row r="1772">
      <c r="A1772" s="54"/>
      <c r="B1772" s="71"/>
      <c r="C1772" s="51"/>
      <c r="D1772" s="54"/>
      <c r="E1772" s="114"/>
      <c r="F1772" s="16"/>
      <c r="G1772" s="114"/>
      <c r="H1772" s="54"/>
      <c r="I1772" s="114"/>
      <c r="J1772" s="54"/>
      <c r="L1772" s="54"/>
      <c r="N1772" s="54"/>
      <c r="P1772" s="54"/>
      <c r="R1772" s="54"/>
      <c r="T1772" s="1"/>
      <c r="V1772" s="54"/>
      <c r="X1772" s="54"/>
      <c r="Z1772" s="54"/>
      <c r="AB1772" s="54"/>
      <c r="AD1772" s="54"/>
      <c r="AF1772" s="54"/>
      <c r="AH1772" s="54"/>
      <c r="AJ1772" s="54"/>
      <c r="AL1772" s="54"/>
      <c r="AO1772" s="54"/>
      <c r="AP1772" s="1"/>
      <c r="AQ1772" s="54"/>
      <c r="AR1772" s="171"/>
      <c r="AS1772" s="1"/>
      <c r="AT1772" s="1"/>
      <c r="AU1772" s="1"/>
    </row>
    <row r="1773">
      <c r="A1773" s="54"/>
      <c r="B1773" s="71"/>
      <c r="C1773" s="51"/>
      <c r="D1773" s="54"/>
      <c r="E1773" s="114"/>
      <c r="F1773" s="16"/>
      <c r="G1773" s="114"/>
      <c r="H1773" s="54"/>
      <c r="I1773" s="114"/>
      <c r="J1773" s="54"/>
      <c r="L1773" s="54"/>
      <c r="N1773" s="54"/>
      <c r="P1773" s="54"/>
      <c r="R1773" s="54"/>
      <c r="T1773" s="1"/>
      <c r="V1773" s="54"/>
      <c r="X1773" s="54"/>
      <c r="Z1773" s="54"/>
      <c r="AB1773" s="54"/>
      <c r="AD1773" s="54"/>
      <c r="AF1773" s="54"/>
      <c r="AH1773" s="54"/>
      <c r="AJ1773" s="54"/>
      <c r="AL1773" s="54"/>
      <c r="AO1773" s="54"/>
      <c r="AP1773" s="1"/>
      <c r="AQ1773" s="54"/>
      <c r="AR1773" s="171"/>
      <c r="AS1773" s="1"/>
      <c r="AT1773" s="1"/>
      <c r="AU1773" s="1"/>
    </row>
    <row r="1774">
      <c r="A1774" s="54"/>
      <c r="B1774" s="71"/>
      <c r="C1774" s="51"/>
      <c r="D1774" s="54"/>
      <c r="E1774" s="114"/>
      <c r="F1774" s="16"/>
      <c r="G1774" s="114"/>
      <c r="H1774" s="54"/>
      <c r="I1774" s="114"/>
      <c r="J1774" s="54"/>
      <c r="L1774" s="54"/>
      <c r="N1774" s="54"/>
      <c r="P1774" s="54"/>
      <c r="R1774" s="54"/>
      <c r="T1774" s="1"/>
      <c r="V1774" s="54"/>
      <c r="X1774" s="54"/>
      <c r="Z1774" s="54"/>
      <c r="AB1774" s="54"/>
      <c r="AD1774" s="54"/>
      <c r="AF1774" s="54"/>
      <c r="AH1774" s="54"/>
      <c r="AJ1774" s="54"/>
      <c r="AL1774" s="54"/>
      <c r="AO1774" s="54"/>
      <c r="AP1774" s="1"/>
      <c r="AQ1774" s="54"/>
      <c r="AR1774" s="171"/>
      <c r="AS1774" s="1"/>
      <c r="AT1774" s="1"/>
      <c r="AU1774" s="1"/>
    </row>
    <row r="1775">
      <c r="A1775" s="54"/>
      <c r="B1775" s="71"/>
      <c r="C1775" s="51"/>
      <c r="D1775" s="54"/>
      <c r="E1775" s="114"/>
      <c r="F1775" s="16"/>
      <c r="G1775" s="114"/>
      <c r="H1775" s="54"/>
      <c r="I1775" s="114"/>
      <c r="J1775" s="54"/>
      <c r="L1775" s="54"/>
      <c r="N1775" s="54"/>
      <c r="P1775" s="54"/>
      <c r="R1775" s="54"/>
      <c r="T1775" s="1"/>
      <c r="V1775" s="54"/>
      <c r="X1775" s="54"/>
      <c r="Z1775" s="54"/>
      <c r="AB1775" s="54"/>
      <c r="AD1775" s="54"/>
      <c r="AF1775" s="54"/>
      <c r="AH1775" s="54"/>
      <c r="AJ1775" s="54"/>
      <c r="AL1775" s="54"/>
      <c r="AO1775" s="54"/>
      <c r="AP1775" s="1"/>
      <c r="AQ1775" s="54"/>
      <c r="AR1775" s="171"/>
      <c r="AS1775" s="1"/>
      <c r="AT1775" s="1"/>
      <c r="AU1775" s="1"/>
    </row>
    <row r="1776">
      <c r="A1776" s="54"/>
      <c r="B1776" s="71"/>
      <c r="C1776" s="51"/>
      <c r="D1776" s="54"/>
      <c r="E1776" s="114"/>
      <c r="F1776" s="16"/>
      <c r="G1776" s="114"/>
      <c r="H1776" s="54"/>
      <c r="I1776" s="114"/>
      <c r="J1776" s="54"/>
      <c r="L1776" s="54"/>
      <c r="N1776" s="54"/>
      <c r="P1776" s="54"/>
      <c r="R1776" s="54"/>
      <c r="T1776" s="1"/>
      <c r="V1776" s="54"/>
      <c r="X1776" s="54"/>
      <c r="Z1776" s="54"/>
      <c r="AB1776" s="54"/>
      <c r="AD1776" s="54"/>
      <c r="AF1776" s="54"/>
      <c r="AH1776" s="54"/>
      <c r="AJ1776" s="54"/>
      <c r="AL1776" s="54"/>
      <c r="AO1776" s="54"/>
      <c r="AP1776" s="1"/>
      <c r="AQ1776" s="54"/>
      <c r="AR1776" s="171"/>
      <c r="AS1776" s="1"/>
      <c r="AT1776" s="1"/>
      <c r="AU1776" s="1"/>
    </row>
    <row r="1777">
      <c r="A1777" s="54"/>
      <c r="B1777" s="71"/>
      <c r="C1777" s="51"/>
      <c r="D1777" s="54"/>
      <c r="E1777" s="114"/>
      <c r="F1777" s="16"/>
      <c r="G1777" s="114"/>
      <c r="H1777" s="54"/>
      <c r="I1777" s="114"/>
      <c r="J1777" s="54"/>
      <c r="L1777" s="54"/>
      <c r="N1777" s="54"/>
      <c r="P1777" s="54"/>
      <c r="R1777" s="54"/>
      <c r="T1777" s="1"/>
      <c r="V1777" s="54"/>
      <c r="X1777" s="54"/>
      <c r="Z1777" s="54"/>
      <c r="AB1777" s="54"/>
      <c r="AD1777" s="54"/>
      <c r="AF1777" s="54"/>
      <c r="AH1777" s="54"/>
      <c r="AJ1777" s="54"/>
      <c r="AL1777" s="54"/>
      <c r="AO1777" s="54"/>
      <c r="AP1777" s="1"/>
      <c r="AQ1777" s="54"/>
      <c r="AR1777" s="171"/>
      <c r="AS1777" s="1"/>
      <c r="AT1777" s="1"/>
      <c r="AU1777" s="1"/>
    </row>
    <row r="1778">
      <c r="A1778" s="54"/>
      <c r="B1778" s="71"/>
      <c r="C1778" s="51"/>
      <c r="D1778" s="54"/>
      <c r="E1778" s="114"/>
      <c r="F1778" s="16"/>
      <c r="G1778" s="114"/>
      <c r="H1778" s="54"/>
      <c r="I1778" s="114"/>
      <c r="J1778" s="54"/>
      <c r="L1778" s="54"/>
      <c r="N1778" s="54"/>
      <c r="P1778" s="54"/>
      <c r="R1778" s="54"/>
      <c r="T1778" s="1"/>
      <c r="V1778" s="54"/>
      <c r="X1778" s="54"/>
      <c r="Z1778" s="54"/>
      <c r="AB1778" s="54"/>
      <c r="AD1778" s="54"/>
      <c r="AF1778" s="54"/>
      <c r="AH1778" s="54"/>
      <c r="AJ1778" s="54"/>
      <c r="AL1778" s="54"/>
      <c r="AO1778" s="54"/>
      <c r="AP1778" s="1"/>
      <c r="AQ1778" s="54"/>
      <c r="AR1778" s="171"/>
      <c r="AS1778" s="1"/>
      <c r="AT1778" s="1"/>
      <c r="AU1778" s="1"/>
    </row>
    <row r="1779">
      <c r="A1779" s="54"/>
      <c r="B1779" s="71"/>
      <c r="C1779" s="51"/>
      <c r="D1779" s="54"/>
      <c r="E1779" s="114"/>
      <c r="F1779" s="16"/>
      <c r="G1779" s="114"/>
      <c r="H1779" s="54"/>
      <c r="I1779" s="114"/>
      <c r="J1779" s="54"/>
      <c r="L1779" s="54"/>
      <c r="N1779" s="54"/>
      <c r="P1779" s="54"/>
      <c r="R1779" s="54"/>
      <c r="T1779" s="1"/>
      <c r="V1779" s="54"/>
      <c r="X1779" s="54"/>
      <c r="Z1779" s="54"/>
      <c r="AB1779" s="54"/>
      <c r="AD1779" s="54"/>
      <c r="AF1779" s="54"/>
      <c r="AH1779" s="54"/>
      <c r="AJ1779" s="54"/>
      <c r="AL1779" s="54"/>
      <c r="AO1779" s="54"/>
      <c r="AP1779" s="1"/>
      <c r="AQ1779" s="54"/>
      <c r="AR1779" s="171"/>
      <c r="AS1779" s="1"/>
      <c r="AT1779" s="1"/>
      <c r="AU1779" s="1"/>
    </row>
    <row r="1780">
      <c r="A1780" s="54"/>
      <c r="B1780" s="71"/>
      <c r="C1780" s="51"/>
      <c r="D1780" s="54"/>
      <c r="E1780" s="114"/>
      <c r="F1780" s="16"/>
      <c r="G1780" s="114"/>
      <c r="H1780" s="54"/>
      <c r="I1780" s="114"/>
      <c r="J1780" s="54"/>
      <c r="L1780" s="54"/>
      <c r="N1780" s="54"/>
      <c r="P1780" s="54"/>
      <c r="R1780" s="54"/>
      <c r="T1780" s="1"/>
      <c r="V1780" s="54"/>
      <c r="X1780" s="54"/>
      <c r="Z1780" s="54"/>
      <c r="AB1780" s="54"/>
      <c r="AD1780" s="54"/>
      <c r="AF1780" s="54"/>
      <c r="AH1780" s="54"/>
      <c r="AJ1780" s="54"/>
      <c r="AL1780" s="54"/>
      <c r="AO1780" s="54"/>
      <c r="AP1780" s="1"/>
      <c r="AQ1780" s="54"/>
      <c r="AR1780" s="171"/>
      <c r="AS1780" s="1"/>
      <c r="AT1780" s="1"/>
      <c r="AU1780" s="1"/>
    </row>
    <row r="1781">
      <c r="A1781" s="54"/>
      <c r="B1781" s="71"/>
      <c r="C1781" s="51"/>
      <c r="D1781" s="54"/>
      <c r="E1781" s="114"/>
      <c r="F1781" s="16"/>
      <c r="G1781" s="114"/>
      <c r="H1781" s="54"/>
      <c r="I1781" s="114"/>
      <c r="J1781" s="54"/>
      <c r="L1781" s="54"/>
      <c r="N1781" s="54"/>
      <c r="P1781" s="54"/>
      <c r="R1781" s="54"/>
      <c r="T1781" s="1"/>
      <c r="V1781" s="54"/>
      <c r="X1781" s="54"/>
      <c r="Z1781" s="54"/>
      <c r="AB1781" s="54"/>
      <c r="AD1781" s="54"/>
      <c r="AF1781" s="54"/>
      <c r="AH1781" s="54"/>
      <c r="AJ1781" s="54"/>
      <c r="AL1781" s="54"/>
      <c r="AO1781" s="54"/>
      <c r="AP1781" s="1"/>
      <c r="AQ1781" s="54"/>
      <c r="AR1781" s="171"/>
      <c r="AS1781" s="1"/>
      <c r="AT1781" s="1"/>
      <c r="AU1781" s="1"/>
    </row>
    <row r="1782">
      <c r="A1782" s="54"/>
      <c r="B1782" s="71"/>
      <c r="C1782" s="51"/>
      <c r="D1782" s="54"/>
      <c r="E1782" s="114"/>
      <c r="F1782" s="16"/>
      <c r="G1782" s="114"/>
      <c r="H1782" s="54"/>
      <c r="I1782" s="114"/>
      <c r="J1782" s="54"/>
      <c r="L1782" s="54"/>
      <c r="N1782" s="54"/>
      <c r="P1782" s="54"/>
      <c r="R1782" s="54"/>
      <c r="T1782" s="1"/>
      <c r="V1782" s="54"/>
      <c r="X1782" s="54"/>
      <c r="Z1782" s="54"/>
      <c r="AB1782" s="54"/>
      <c r="AD1782" s="54"/>
      <c r="AF1782" s="54"/>
      <c r="AH1782" s="54"/>
      <c r="AJ1782" s="54"/>
      <c r="AL1782" s="54"/>
      <c r="AO1782" s="54"/>
      <c r="AP1782" s="1"/>
      <c r="AQ1782" s="54"/>
      <c r="AR1782" s="171"/>
      <c r="AS1782" s="1"/>
      <c r="AT1782" s="1"/>
      <c r="AU1782" s="1"/>
    </row>
    <row r="1783">
      <c r="A1783" s="54"/>
      <c r="B1783" s="71"/>
      <c r="C1783" s="51"/>
      <c r="D1783" s="54"/>
      <c r="E1783" s="114"/>
      <c r="F1783" s="16"/>
      <c r="G1783" s="114"/>
      <c r="H1783" s="54"/>
      <c r="I1783" s="114"/>
      <c r="J1783" s="54"/>
      <c r="L1783" s="54"/>
      <c r="N1783" s="54"/>
      <c r="P1783" s="54"/>
      <c r="R1783" s="54"/>
      <c r="T1783" s="1"/>
      <c r="V1783" s="54"/>
      <c r="X1783" s="54"/>
      <c r="Z1783" s="54"/>
      <c r="AB1783" s="54"/>
      <c r="AD1783" s="54"/>
      <c r="AF1783" s="54"/>
      <c r="AH1783" s="54"/>
      <c r="AJ1783" s="54"/>
      <c r="AL1783" s="54"/>
      <c r="AO1783" s="54"/>
      <c r="AP1783" s="1"/>
      <c r="AQ1783" s="54"/>
      <c r="AR1783" s="171"/>
      <c r="AS1783" s="1"/>
      <c r="AT1783" s="1"/>
      <c r="AU1783" s="1"/>
    </row>
    <row r="1784">
      <c r="A1784" s="54"/>
      <c r="B1784" s="71"/>
      <c r="C1784" s="51"/>
      <c r="D1784" s="54"/>
      <c r="E1784" s="114"/>
      <c r="F1784" s="16"/>
      <c r="G1784" s="114"/>
      <c r="H1784" s="54"/>
      <c r="I1784" s="114"/>
      <c r="J1784" s="54"/>
      <c r="L1784" s="54"/>
      <c r="N1784" s="54"/>
      <c r="P1784" s="54"/>
      <c r="R1784" s="54"/>
      <c r="T1784" s="1"/>
      <c r="V1784" s="54"/>
      <c r="X1784" s="54"/>
      <c r="Z1784" s="54"/>
      <c r="AB1784" s="54"/>
      <c r="AD1784" s="54"/>
      <c r="AF1784" s="54"/>
      <c r="AH1784" s="54"/>
      <c r="AJ1784" s="54"/>
      <c r="AL1784" s="54"/>
      <c r="AO1784" s="54"/>
      <c r="AP1784" s="1"/>
      <c r="AQ1784" s="54"/>
      <c r="AR1784" s="171"/>
      <c r="AS1784" s="1"/>
      <c r="AT1784" s="1"/>
      <c r="AU1784" s="1"/>
    </row>
    <row r="1785">
      <c r="A1785" s="54"/>
      <c r="B1785" s="71"/>
      <c r="C1785" s="51"/>
      <c r="D1785" s="54"/>
      <c r="E1785" s="114"/>
      <c r="F1785" s="16"/>
      <c r="G1785" s="114"/>
      <c r="H1785" s="54"/>
      <c r="I1785" s="114"/>
      <c r="J1785" s="54"/>
      <c r="L1785" s="54"/>
      <c r="N1785" s="54"/>
      <c r="P1785" s="54"/>
      <c r="R1785" s="54"/>
      <c r="T1785" s="1"/>
      <c r="V1785" s="54"/>
      <c r="X1785" s="54"/>
      <c r="Z1785" s="54"/>
      <c r="AB1785" s="54"/>
      <c r="AD1785" s="54"/>
      <c r="AF1785" s="54"/>
      <c r="AH1785" s="54"/>
      <c r="AJ1785" s="54"/>
      <c r="AL1785" s="54"/>
      <c r="AO1785" s="54"/>
      <c r="AP1785" s="1"/>
      <c r="AQ1785" s="54"/>
      <c r="AR1785" s="171"/>
      <c r="AS1785" s="1"/>
      <c r="AT1785" s="1"/>
      <c r="AU1785" s="1"/>
    </row>
    <row r="1786">
      <c r="A1786" s="54"/>
      <c r="B1786" s="71"/>
      <c r="C1786" s="51"/>
      <c r="D1786" s="54"/>
      <c r="E1786" s="114"/>
      <c r="F1786" s="16"/>
      <c r="G1786" s="114"/>
      <c r="H1786" s="54"/>
      <c r="I1786" s="114"/>
      <c r="J1786" s="54"/>
      <c r="L1786" s="54"/>
      <c r="N1786" s="54"/>
      <c r="P1786" s="54"/>
      <c r="R1786" s="54"/>
      <c r="T1786" s="1"/>
      <c r="V1786" s="54"/>
      <c r="X1786" s="54"/>
      <c r="Z1786" s="54"/>
      <c r="AB1786" s="54"/>
      <c r="AD1786" s="54"/>
      <c r="AF1786" s="54"/>
      <c r="AH1786" s="54"/>
      <c r="AJ1786" s="54"/>
      <c r="AL1786" s="54"/>
      <c r="AO1786" s="54"/>
      <c r="AP1786" s="1"/>
      <c r="AQ1786" s="54"/>
      <c r="AR1786" s="171"/>
      <c r="AS1786" s="1"/>
      <c r="AT1786" s="1"/>
      <c r="AU1786" s="1"/>
    </row>
    <row r="1787">
      <c r="A1787" s="54"/>
      <c r="B1787" s="71"/>
      <c r="C1787" s="51"/>
      <c r="D1787" s="54"/>
      <c r="E1787" s="114"/>
      <c r="F1787" s="16"/>
      <c r="G1787" s="114"/>
      <c r="H1787" s="54"/>
      <c r="I1787" s="114"/>
      <c r="J1787" s="54"/>
      <c r="L1787" s="54"/>
      <c r="N1787" s="54"/>
      <c r="P1787" s="54"/>
      <c r="R1787" s="54"/>
      <c r="T1787" s="1"/>
      <c r="V1787" s="54"/>
      <c r="X1787" s="54"/>
      <c r="Z1787" s="54"/>
      <c r="AB1787" s="54"/>
      <c r="AD1787" s="54"/>
      <c r="AF1787" s="54"/>
      <c r="AH1787" s="54"/>
      <c r="AJ1787" s="54"/>
      <c r="AL1787" s="54"/>
      <c r="AO1787" s="54"/>
      <c r="AP1787" s="1"/>
      <c r="AQ1787" s="54"/>
      <c r="AR1787" s="171"/>
      <c r="AS1787" s="1"/>
      <c r="AT1787" s="1"/>
      <c r="AU1787" s="1"/>
    </row>
    <row r="1788">
      <c r="A1788" s="54"/>
      <c r="B1788" s="71"/>
      <c r="C1788" s="51"/>
      <c r="D1788" s="54"/>
      <c r="E1788" s="114"/>
      <c r="F1788" s="16"/>
      <c r="G1788" s="114"/>
      <c r="H1788" s="54"/>
      <c r="I1788" s="114"/>
      <c r="J1788" s="54"/>
      <c r="L1788" s="54"/>
      <c r="N1788" s="54"/>
      <c r="P1788" s="54"/>
      <c r="R1788" s="54"/>
      <c r="T1788" s="1"/>
      <c r="V1788" s="54"/>
      <c r="X1788" s="54"/>
      <c r="Z1788" s="54"/>
      <c r="AB1788" s="54"/>
      <c r="AD1788" s="54"/>
      <c r="AF1788" s="54"/>
      <c r="AH1788" s="54"/>
      <c r="AJ1788" s="54"/>
      <c r="AL1788" s="54"/>
      <c r="AO1788" s="54"/>
      <c r="AP1788" s="1"/>
      <c r="AQ1788" s="54"/>
      <c r="AR1788" s="171"/>
      <c r="AS1788" s="1"/>
      <c r="AT1788" s="1"/>
      <c r="AU1788" s="1"/>
    </row>
    <row r="1789">
      <c r="A1789" s="54"/>
      <c r="B1789" s="71"/>
      <c r="C1789" s="51"/>
      <c r="D1789" s="54"/>
      <c r="E1789" s="114"/>
      <c r="F1789" s="16"/>
      <c r="G1789" s="114"/>
      <c r="H1789" s="54"/>
      <c r="I1789" s="114"/>
      <c r="J1789" s="54"/>
      <c r="L1789" s="54"/>
      <c r="N1789" s="54"/>
      <c r="P1789" s="54"/>
      <c r="R1789" s="54"/>
      <c r="T1789" s="1"/>
      <c r="V1789" s="54"/>
      <c r="X1789" s="54"/>
      <c r="Z1789" s="54"/>
      <c r="AB1789" s="54"/>
      <c r="AD1789" s="54"/>
      <c r="AF1789" s="54"/>
      <c r="AH1789" s="54"/>
      <c r="AJ1789" s="54"/>
      <c r="AL1789" s="54"/>
      <c r="AO1789" s="54"/>
      <c r="AP1789" s="1"/>
      <c r="AQ1789" s="54"/>
      <c r="AR1789" s="171"/>
      <c r="AS1789" s="1"/>
      <c r="AT1789" s="1"/>
      <c r="AU1789" s="1"/>
    </row>
    <row r="1790">
      <c r="A1790" s="54"/>
      <c r="B1790" s="71"/>
      <c r="C1790" s="51"/>
      <c r="D1790" s="54"/>
      <c r="E1790" s="114"/>
      <c r="F1790" s="16"/>
      <c r="G1790" s="114"/>
      <c r="H1790" s="54"/>
      <c r="I1790" s="114"/>
      <c r="J1790" s="54"/>
      <c r="L1790" s="54"/>
      <c r="N1790" s="54"/>
      <c r="P1790" s="54"/>
      <c r="R1790" s="54"/>
      <c r="T1790" s="1"/>
      <c r="V1790" s="54"/>
      <c r="X1790" s="54"/>
      <c r="Z1790" s="54"/>
      <c r="AB1790" s="54"/>
      <c r="AD1790" s="54"/>
      <c r="AF1790" s="54"/>
      <c r="AH1790" s="54"/>
      <c r="AJ1790" s="54"/>
      <c r="AL1790" s="54"/>
      <c r="AO1790" s="54"/>
      <c r="AP1790" s="1"/>
      <c r="AQ1790" s="54"/>
      <c r="AR1790" s="171"/>
      <c r="AS1790" s="1"/>
      <c r="AT1790" s="1"/>
      <c r="AU1790" s="1"/>
    </row>
    <row r="1791">
      <c r="A1791" s="54"/>
      <c r="B1791" s="71"/>
      <c r="C1791" s="51"/>
      <c r="D1791" s="54"/>
      <c r="E1791" s="114"/>
      <c r="F1791" s="16"/>
      <c r="G1791" s="114"/>
      <c r="H1791" s="54"/>
      <c r="I1791" s="114"/>
      <c r="J1791" s="54"/>
      <c r="L1791" s="54"/>
      <c r="N1791" s="54"/>
      <c r="P1791" s="54"/>
      <c r="R1791" s="54"/>
      <c r="T1791" s="1"/>
      <c r="V1791" s="54"/>
      <c r="X1791" s="54"/>
      <c r="Z1791" s="54"/>
      <c r="AB1791" s="54"/>
      <c r="AD1791" s="54"/>
      <c r="AF1791" s="54"/>
      <c r="AH1791" s="54"/>
      <c r="AJ1791" s="54"/>
      <c r="AL1791" s="54"/>
      <c r="AO1791" s="54"/>
      <c r="AP1791" s="1"/>
      <c r="AQ1791" s="54"/>
      <c r="AR1791" s="171"/>
      <c r="AS1791" s="1"/>
      <c r="AT1791" s="1"/>
      <c r="AU1791" s="1"/>
    </row>
    <row r="1792">
      <c r="A1792" s="54"/>
      <c r="B1792" s="71"/>
      <c r="C1792" s="51"/>
      <c r="D1792" s="54"/>
      <c r="E1792" s="114"/>
      <c r="F1792" s="16"/>
      <c r="G1792" s="114"/>
      <c r="H1792" s="54"/>
      <c r="I1792" s="114"/>
      <c r="J1792" s="54"/>
      <c r="L1792" s="54"/>
      <c r="N1792" s="54"/>
      <c r="P1792" s="54"/>
      <c r="R1792" s="54"/>
      <c r="T1792" s="1"/>
      <c r="V1792" s="54"/>
      <c r="X1792" s="54"/>
      <c r="Z1792" s="54"/>
      <c r="AB1792" s="54"/>
      <c r="AD1792" s="54"/>
      <c r="AF1792" s="54"/>
      <c r="AH1792" s="54"/>
      <c r="AJ1792" s="54"/>
      <c r="AL1792" s="54"/>
      <c r="AO1792" s="54"/>
      <c r="AP1792" s="1"/>
      <c r="AQ1792" s="54"/>
      <c r="AR1792" s="171"/>
      <c r="AS1792" s="1"/>
      <c r="AT1792" s="1"/>
      <c r="AU1792" s="1"/>
    </row>
    <row r="1793">
      <c r="A1793" s="54"/>
      <c r="B1793" s="71"/>
      <c r="C1793" s="51"/>
      <c r="D1793" s="54"/>
      <c r="E1793" s="114"/>
      <c r="F1793" s="16"/>
      <c r="G1793" s="114"/>
      <c r="H1793" s="54"/>
      <c r="I1793" s="114"/>
      <c r="J1793" s="54"/>
      <c r="L1793" s="54"/>
      <c r="N1793" s="54"/>
      <c r="P1793" s="54"/>
      <c r="R1793" s="54"/>
      <c r="T1793" s="1"/>
      <c r="V1793" s="54"/>
      <c r="X1793" s="54"/>
      <c r="Z1793" s="54"/>
      <c r="AB1793" s="54"/>
      <c r="AD1793" s="54"/>
      <c r="AF1793" s="54"/>
      <c r="AH1793" s="54"/>
      <c r="AJ1793" s="54"/>
      <c r="AL1793" s="54"/>
      <c r="AO1793" s="54"/>
      <c r="AP1793" s="1"/>
      <c r="AQ1793" s="54"/>
      <c r="AR1793" s="171"/>
      <c r="AS1793" s="1"/>
      <c r="AT1793" s="1"/>
      <c r="AU1793" s="1"/>
    </row>
    <row r="1794">
      <c r="A1794" s="54"/>
      <c r="B1794" s="71"/>
      <c r="C1794" s="51"/>
      <c r="D1794" s="54"/>
      <c r="E1794" s="114"/>
      <c r="F1794" s="16"/>
      <c r="G1794" s="114"/>
      <c r="H1794" s="54"/>
      <c r="I1794" s="114"/>
      <c r="J1794" s="54"/>
      <c r="L1794" s="54"/>
      <c r="N1794" s="54"/>
      <c r="P1794" s="54"/>
      <c r="R1794" s="54"/>
      <c r="T1794" s="1"/>
      <c r="V1794" s="54"/>
      <c r="X1794" s="54"/>
      <c r="Z1794" s="54"/>
      <c r="AB1794" s="54"/>
      <c r="AD1794" s="54"/>
      <c r="AF1794" s="54"/>
      <c r="AH1794" s="54"/>
      <c r="AJ1794" s="54"/>
      <c r="AL1794" s="54"/>
      <c r="AO1794" s="54"/>
      <c r="AP1794" s="1"/>
      <c r="AQ1794" s="54"/>
      <c r="AR1794" s="171"/>
      <c r="AS1794" s="1"/>
      <c r="AT1794" s="1"/>
      <c r="AU1794" s="1"/>
    </row>
    <row r="1795">
      <c r="A1795" s="54"/>
      <c r="B1795" s="71"/>
      <c r="C1795" s="51"/>
      <c r="D1795" s="54"/>
      <c r="E1795" s="114"/>
      <c r="F1795" s="16"/>
      <c r="G1795" s="114"/>
      <c r="H1795" s="54"/>
      <c r="I1795" s="114"/>
      <c r="J1795" s="54"/>
      <c r="L1795" s="54"/>
      <c r="N1795" s="54"/>
      <c r="P1795" s="54"/>
      <c r="R1795" s="54"/>
      <c r="T1795" s="1"/>
      <c r="V1795" s="54"/>
      <c r="X1795" s="54"/>
      <c r="Z1795" s="54"/>
      <c r="AB1795" s="54"/>
      <c r="AD1795" s="54"/>
      <c r="AF1795" s="54"/>
      <c r="AH1795" s="54"/>
      <c r="AJ1795" s="54"/>
      <c r="AL1795" s="54"/>
      <c r="AO1795" s="54"/>
      <c r="AP1795" s="1"/>
      <c r="AQ1795" s="54"/>
      <c r="AR1795" s="171"/>
      <c r="AS1795" s="1"/>
      <c r="AT1795" s="1"/>
      <c r="AU1795" s="1"/>
    </row>
    <row r="1796">
      <c r="A1796" s="54"/>
      <c r="B1796" s="71"/>
      <c r="C1796" s="51"/>
      <c r="D1796" s="54"/>
      <c r="E1796" s="114"/>
      <c r="F1796" s="16"/>
      <c r="G1796" s="114"/>
      <c r="H1796" s="54"/>
      <c r="I1796" s="114"/>
      <c r="J1796" s="54"/>
      <c r="L1796" s="54"/>
      <c r="N1796" s="54"/>
      <c r="P1796" s="54"/>
      <c r="R1796" s="54"/>
      <c r="T1796" s="1"/>
      <c r="V1796" s="54"/>
      <c r="X1796" s="54"/>
      <c r="Z1796" s="54"/>
      <c r="AB1796" s="54"/>
      <c r="AD1796" s="54"/>
      <c r="AF1796" s="54"/>
      <c r="AH1796" s="54"/>
      <c r="AJ1796" s="54"/>
      <c r="AL1796" s="54"/>
      <c r="AO1796" s="54"/>
      <c r="AP1796" s="1"/>
      <c r="AQ1796" s="54"/>
      <c r="AR1796" s="171"/>
      <c r="AS1796" s="1"/>
      <c r="AT1796" s="1"/>
      <c r="AU1796" s="1"/>
    </row>
    <row r="1797">
      <c r="A1797" s="54"/>
      <c r="B1797" s="71"/>
      <c r="C1797" s="51"/>
      <c r="D1797" s="54"/>
      <c r="E1797" s="114"/>
      <c r="F1797" s="16"/>
      <c r="G1797" s="114"/>
      <c r="H1797" s="54"/>
      <c r="I1797" s="114"/>
      <c r="J1797" s="54"/>
      <c r="L1797" s="54"/>
      <c r="N1797" s="54"/>
      <c r="P1797" s="54"/>
      <c r="R1797" s="54"/>
      <c r="T1797" s="1"/>
      <c r="V1797" s="54"/>
      <c r="X1797" s="54"/>
      <c r="Z1797" s="54"/>
      <c r="AB1797" s="54"/>
      <c r="AD1797" s="54"/>
      <c r="AF1797" s="54"/>
      <c r="AH1797" s="54"/>
      <c r="AJ1797" s="54"/>
      <c r="AL1797" s="54"/>
      <c r="AO1797" s="54"/>
      <c r="AP1797" s="1"/>
      <c r="AQ1797" s="54"/>
      <c r="AR1797" s="171"/>
      <c r="AS1797" s="1"/>
      <c r="AT1797" s="1"/>
      <c r="AU1797" s="1"/>
    </row>
    <row r="1798">
      <c r="A1798" s="54"/>
      <c r="B1798" s="71"/>
      <c r="C1798" s="51"/>
      <c r="D1798" s="54"/>
      <c r="E1798" s="114"/>
      <c r="F1798" s="16"/>
      <c r="G1798" s="114"/>
      <c r="H1798" s="54"/>
      <c r="I1798" s="114"/>
      <c r="J1798" s="54"/>
      <c r="L1798" s="54"/>
      <c r="N1798" s="54"/>
      <c r="P1798" s="54"/>
      <c r="R1798" s="54"/>
      <c r="T1798" s="1"/>
      <c r="V1798" s="54"/>
      <c r="X1798" s="54"/>
      <c r="Z1798" s="54"/>
      <c r="AB1798" s="54"/>
      <c r="AD1798" s="54"/>
      <c r="AF1798" s="54"/>
      <c r="AH1798" s="54"/>
      <c r="AJ1798" s="54"/>
      <c r="AL1798" s="54"/>
      <c r="AO1798" s="54"/>
      <c r="AP1798" s="1"/>
      <c r="AQ1798" s="54"/>
      <c r="AR1798" s="171"/>
      <c r="AS1798" s="1"/>
      <c r="AT1798" s="1"/>
      <c r="AU1798" s="1"/>
    </row>
    <row r="1799">
      <c r="A1799" s="54"/>
      <c r="B1799" s="71"/>
      <c r="C1799" s="51"/>
      <c r="D1799" s="54"/>
      <c r="E1799" s="114"/>
      <c r="F1799" s="16"/>
      <c r="G1799" s="114"/>
      <c r="H1799" s="54"/>
      <c r="I1799" s="114"/>
      <c r="J1799" s="54"/>
      <c r="L1799" s="54"/>
      <c r="N1799" s="54"/>
      <c r="P1799" s="54"/>
      <c r="R1799" s="54"/>
      <c r="T1799" s="1"/>
      <c r="V1799" s="54"/>
      <c r="X1799" s="54"/>
      <c r="Z1799" s="54"/>
      <c r="AB1799" s="54"/>
      <c r="AD1799" s="54"/>
      <c r="AF1799" s="54"/>
      <c r="AH1799" s="54"/>
      <c r="AJ1799" s="54"/>
      <c r="AL1799" s="54"/>
      <c r="AO1799" s="54"/>
      <c r="AP1799" s="1"/>
      <c r="AQ1799" s="54"/>
      <c r="AR1799" s="171"/>
      <c r="AS1799" s="1"/>
      <c r="AT1799" s="1"/>
      <c r="AU1799" s="1"/>
    </row>
    <row r="1800">
      <c r="A1800" s="54"/>
      <c r="B1800" s="71"/>
      <c r="C1800" s="51"/>
      <c r="D1800" s="54"/>
      <c r="E1800" s="114"/>
      <c r="F1800" s="16"/>
      <c r="G1800" s="114"/>
      <c r="H1800" s="54"/>
      <c r="I1800" s="114"/>
      <c r="J1800" s="54"/>
      <c r="L1800" s="54"/>
      <c r="N1800" s="54"/>
      <c r="P1800" s="54"/>
      <c r="R1800" s="54"/>
      <c r="T1800" s="1"/>
      <c r="V1800" s="54"/>
      <c r="X1800" s="54"/>
      <c r="Z1800" s="54"/>
      <c r="AB1800" s="54"/>
      <c r="AD1800" s="54"/>
      <c r="AF1800" s="54"/>
      <c r="AH1800" s="54"/>
      <c r="AJ1800" s="54"/>
      <c r="AL1800" s="54"/>
      <c r="AO1800" s="54"/>
      <c r="AP1800" s="1"/>
      <c r="AQ1800" s="54"/>
      <c r="AR1800" s="171"/>
      <c r="AS1800" s="1"/>
      <c r="AT1800" s="1"/>
      <c r="AU1800" s="1"/>
    </row>
    <row r="1801">
      <c r="A1801" s="54"/>
      <c r="B1801" s="71"/>
      <c r="C1801" s="51"/>
      <c r="D1801" s="54"/>
      <c r="E1801" s="114"/>
      <c r="F1801" s="16"/>
      <c r="G1801" s="114"/>
      <c r="H1801" s="54"/>
      <c r="I1801" s="114"/>
      <c r="J1801" s="54"/>
      <c r="L1801" s="54"/>
      <c r="N1801" s="54"/>
      <c r="P1801" s="54"/>
      <c r="R1801" s="54"/>
      <c r="T1801" s="1"/>
      <c r="V1801" s="54"/>
      <c r="X1801" s="54"/>
      <c r="Z1801" s="54"/>
      <c r="AB1801" s="54"/>
      <c r="AD1801" s="54"/>
      <c r="AF1801" s="54"/>
      <c r="AH1801" s="54"/>
      <c r="AJ1801" s="54"/>
      <c r="AL1801" s="54"/>
      <c r="AO1801" s="54"/>
      <c r="AP1801" s="1"/>
      <c r="AQ1801" s="54"/>
      <c r="AR1801" s="171"/>
      <c r="AS1801" s="1"/>
      <c r="AT1801" s="1"/>
      <c r="AU1801" s="1"/>
    </row>
    <row r="1802">
      <c r="A1802" s="54"/>
      <c r="B1802" s="71"/>
      <c r="C1802" s="51"/>
      <c r="D1802" s="54"/>
      <c r="E1802" s="114"/>
      <c r="F1802" s="16"/>
      <c r="G1802" s="114"/>
      <c r="H1802" s="54"/>
      <c r="I1802" s="114"/>
      <c r="J1802" s="54"/>
      <c r="L1802" s="54"/>
      <c r="N1802" s="54"/>
      <c r="P1802" s="54"/>
      <c r="R1802" s="54"/>
      <c r="T1802" s="1"/>
      <c r="V1802" s="54"/>
      <c r="X1802" s="54"/>
      <c r="Z1802" s="54"/>
      <c r="AB1802" s="54"/>
      <c r="AD1802" s="54"/>
      <c r="AF1802" s="54"/>
      <c r="AH1802" s="54"/>
      <c r="AJ1802" s="54"/>
      <c r="AL1802" s="54"/>
      <c r="AO1802" s="54"/>
      <c r="AP1802" s="1"/>
      <c r="AQ1802" s="54"/>
      <c r="AR1802" s="171"/>
      <c r="AS1802" s="1"/>
      <c r="AT1802" s="1"/>
      <c r="AU1802" s="1"/>
    </row>
    <row r="1803">
      <c r="A1803" s="54"/>
      <c r="B1803" s="71"/>
      <c r="C1803" s="51"/>
      <c r="D1803" s="54"/>
      <c r="E1803" s="114"/>
      <c r="F1803" s="16"/>
      <c r="G1803" s="114"/>
      <c r="H1803" s="54"/>
      <c r="I1803" s="114"/>
      <c r="J1803" s="54"/>
      <c r="L1803" s="54"/>
      <c r="N1803" s="54"/>
      <c r="P1803" s="54"/>
      <c r="R1803" s="54"/>
      <c r="T1803" s="1"/>
      <c r="V1803" s="54"/>
      <c r="X1803" s="54"/>
      <c r="Z1803" s="54"/>
      <c r="AB1803" s="54"/>
      <c r="AD1803" s="54"/>
      <c r="AF1803" s="54"/>
      <c r="AH1803" s="54"/>
      <c r="AJ1803" s="54"/>
      <c r="AL1803" s="54"/>
      <c r="AO1803" s="54"/>
      <c r="AP1803" s="1"/>
      <c r="AQ1803" s="54"/>
      <c r="AR1803" s="171"/>
      <c r="AS1803" s="1"/>
      <c r="AT1803" s="1"/>
      <c r="AU1803" s="1"/>
    </row>
    <row r="1804">
      <c r="A1804" s="54"/>
      <c r="B1804" s="71"/>
      <c r="C1804" s="51"/>
      <c r="D1804" s="54"/>
      <c r="E1804" s="114"/>
      <c r="F1804" s="16"/>
      <c r="G1804" s="114"/>
      <c r="H1804" s="54"/>
      <c r="I1804" s="114"/>
      <c r="J1804" s="54"/>
      <c r="L1804" s="54"/>
      <c r="N1804" s="54"/>
      <c r="P1804" s="54"/>
      <c r="R1804" s="54"/>
      <c r="T1804" s="1"/>
      <c r="V1804" s="54"/>
      <c r="X1804" s="54"/>
      <c r="Z1804" s="54"/>
      <c r="AB1804" s="54"/>
      <c r="AD1804" s="54"/>
      <c r="AF1804" s="54"/>
      <c r="AH1804" s="54"/>
      <c r="AJ1804" s="54"/>
      <c r="AL1804" s="54"/>
      <c r="AO1804" s="54"/>
      <c r="AP1804" s="1"/>
      <c r="AQ1804" s="54"/>
      <c r="AR1804" s="171"/>
      <c r="AS1804" s="1"/>
      <c r="AT1804" s="1"/>
      <c r="AU1804" s="1"/>
    </row>
    <row r="1805">
      <c r="A1805" s="54"/>
      <c r="B1805" s="71"/>
      <c r="C1805" s="51"/>
      <c r="D1805" s="54"/>
      <c r="E1805" s="114"/>
      <c r="F1805" s="16"/>
      <c r="G1805" s="114"/>
      <c r="H1805" s="54"/>
      <c r="I1805" s="114"/>
      <c r="J1805" s="54"/>
      <c r="L1805" s="54"/>
      <c r="N1805" s="54"/>
      <c r="P1805" s="54"/>
      <c r="R1805" s="54"/>
      <c r="T1805" s="1"/>
      <c r="V1805" s="54"/>
      <c r="X1805" s="54"/>
      <c r="Z1805" s="54"/>
      <c r="AB1805" s="54"/>
      <c r="AD1805" s="54"/>
      <c r="AF1805" s="54"/>
      <c r="AH1805" s="54"/>
      <c r="AJ1805" s="54"/>
      <c r="AL1805" s="54"/>
      <c r="AO1805" s="54"/>
      <c r="AP1805" s="1"/>
      <c r="AQ1805" s="54"/>
      <c r="AR1805" s="171"/>
      <c r="AS1805" s="1"/>
      <c r="AT1805" s="1"/>
      <c r="AU1805" s="1"/>
    </row>
    <row r="1806">
      <c r="A1806" s="54"/>
      <c r="B1806" s="71"/>
      <c r="C1806" s="51"/>
      <c r="D1806" s="54"/>
      <c r="E1806" s="114"/>
      <c r="F1806" s="16"/>
      <c r="G1806" s="114"/>
      <c r="H1806" s="54"/>
      <c r="I1806" s="114"/>
      <c r="J1806" s="54"/>
      <c r="L1806" s="54"/>
      <c r="N1806" s="54"/>
      <c r="P1806" s="54"/>
      <c r="R1806" s="54"/>
      <c r="T1806" s="1"/>
      <c r="V1806" s="54"/>
      <c r="X1806" s="54"/>
      <c r="Z1806" s="54"/>
      <c r="AB1806" s="54"/>
      <c r="AD1806" s="54"/>
      <c r="AF1806" s="54"/>
      <c r="AH1806" s="54"/>
      <c r="AJ1806" s="54"/>
      <c r="AL1806" s="54"/>
      <c r="AO1806" s="54"/>
      <c r="AP1806" s="1"/>
      <c r="AQ1806" s="54"/>
      <c r="AR1806" s="171"/>
      <c r="AS1806" s="1"/>
      <c r="AT1806" s="1"/>
      <c r="AU1806" s="1"/>
    </row>
    <row r="1807">
      <c r="A1807" s="54"/>
      <c r="B1807" s="71"/>
      <c r="C1807" s="51"/>
      <c r="D1807" s="54"/>
      <c r="E1807" s="114"/>
      <c r="F1807" s="16"/>
      <c r="G1807" s="114"/>
      <c r="H1807" s="54"/>
      <c r="I1807" s="114"/>
      <c r="J1807" s="54"/>
      <c r="L1807" s="54"/>
      <c r="N1807" s="54"/>
      <c r="P1807" s="54"/>
      <c r="R1807" s="54"/>
      <c r="T1807" s="1"/>
      <c r="V1807" s="54"/>
      <c r="X1807" s="54"/>
      <c r="Z1807" s="54"/>
      <c r="AB1807" s="54"/>
      <c r="AD1807" s="54"/>
      <c r="AF1807" s="54"/>
      <c r="AH1807" s="54"/>
      <c r="AJ1807" s="54"/>
      <c r="AL1807" s="54"/>
      <c r="AO1807" s="54"/>
      <c r="AP1807" s="1"/>
      <c r="AQ1807" s="54"/>
      <c r="AR1807" s="171"/>
      <c r="AS1807" s="1"/>
      <c r="AT1807" s="1"/>
      <c r="AU1807" s="1"/>
    </row>
    <row r="1808">
      <c r="A1808" s="54"/>
      <c r="B1808" s="71"/>
      <c r="C1808" s="51"/>
      <c r="D1808" s="54"/>
      <c r="E1808" s="114"/>
      <c r="F1808" s="16"/>
      <c r="G1808" s="114"/>
      <c r="H1808" s="54"/>
      <c r="I1808" s="114"/>
      <c r="J1808" s="54"/>
      <c r="L1808" s="54"/>
      <c r="N1808" s="54"/>
      <c r="P1808" s="54"/>
      <c r="R1808" s="54"/>
      <c r="T1808" s="1"/>
      <c r="V1808" s="54"/>
      <c r="X1808" s="54"/>
      <c r="Z1808" s="54"/>
      <c r="AB1808" s="54"/>
      <c r="AD1808" s="54"/>
      <c r="AF1808" s="54"/>
      <c r="AH1808" s="54"/>
      <c r="AJ1808" s="54"/>
      <c r="AL1808" s="54"/>
      <c r="AO1808" s="54"/>
      <c r="AP1808" s="1"/>
      <c r="AQ1808" s="54"/>
      <c r="AR1808" s="171"/>
      <c r="AS1808" s="1"/>
      <c r="AT1808" s="1"/>
      <c r="AU1808" s="1"/>
    </row>
    <row r="1809">
      <c r="A1809" s="54"/>
      <c r="B1809" s="71"/>
      <c r="C1809" s="51"/>
      <c r="D1809" s="54"/>
      <c r="E1809" s="114"/>
      <c r="F1809" s="16"/>
      <c r="G1809" s="114"/>
      <c r="H1809" s="54"/>
      <c r="I1809" s="114"/>
      <c r="J1809" s="54"/>
      <c r="L1809" s="54"/>
      <c r="N1809" s="54"/>
      <c r="P1809" s="54"/>
      <c r="R1809" s="54"/>
      <c r="T1809" s="1"/>
      <c r="V1809" s="54"/>
      <c r="X1809" s="54"/>
      <c r="Z1809" s="54"/>
      <c r="AB1809" s="54"/>
      <c r="AD1809" s="54"/>
      <c r="AF1809" s="54"/>
      <c r="AH1809" s="54"/>
      <c r="AJ1809" s="54"/>
      <c r="AL1809" s="54"/>
      <c r="AO1809" s="54"/>
      <c r="AP1809" s="1"/>
      <c r="AQ1809" s="54"/>
      <c r="AR1809" s="171"/>
      <c r="AS1809" s="1"/>
      <c r="AT1809" s="1"/>
      <c r="AU1809" s="1"/>
    </row>
    <row r="1810">
      <c r="A1810" s="54"/>
      <c r="B1810" s="71"/>
      <c r="C1810" s="51"/>
      <c r="D1810" s="54"/>
      <c r="E1810" s="114"/>
      <c r="F1810" s="16"/>
      <c r="G1810" s="114"/>
      <c r="H1810" s="54"/>
      <c r="I1810" s="114"/>
      <c r="J1810" s="54"/>
      <c r="L1810" s="54"/>
      <c r="N1810" s="54"/>
      <c r="P1810" s="54"/>
      <c r="R1810" s="54"/>
      <c r="T1810" s="1"/>
      <c r="V1810" s="54"/>
      <c r="X1810" s="54"/>
      <c r="Z1810" s="54"/>
      <c r="AB1810" s="54"/>
      <c r="AD1810" s="54"/>
      <c r="AF1810" s="54"/>
      <c r="AH1810" s="54"/>
      <c r="AJ1810" s="54"/>
      <c r="AL1810" s="54"/>
      <c r="AO1810" s="54"/>
      <c r="AP1810" s="1"/>
      <c r="AQ1810" s="54"/>
      <c r="AR1810" s="171"/>
      <c r="AS1810" s="1"/>
      <c r="AT1810" s="1"/>
      <c r="AU1810" s="1"/>
    </row>
    <row r="1811">
      <c r="A1811" s="54"/>
      <c r="B1811" s="71"/>
      <c r="C1811" s="51"/>
      <c r="D1811" s="54"/>
      <c r="E1811" s="114"/>
      <c r="F1811" s="16"/>
      <c r="G1811" s="114"/>
      <c r="H1811" s="54"/>
      <c r="I1811" s="114"/>
      <c r="J1811" s="54"/>
      <c r="L1811" s="54"/>
      <c r="N1811" s="54"/>
      <c r="P1811" s="54"/>
      <c r="R1811" s="54"/>
      <c r="T1811" s="1"/>
      <c r="V1811" s="54"/>
      <c r="X1811" s="54"/>
      <c r="Z1811" s="54"/>
      <c r="AB1811" s="54"/>
      <c r="AD1811" s="54"/>
      <c r="AF1811" s="54"/>
      <c r="AH1811" s="54"/>
      <c r="AJ1811" s="54"/>
      <c r="AL1811" s="54"/>
      <c r="AO1811" s="54"/>
      <c r="AP1811" s="1"/>
      <c r="AQ1811" s="54"/>
      <c r="AR1811" s="171"/>
      <c r="AS1811" s="1"/>
      <c r="AT1811" s="1"/>
      <c r="AU1811" s="1"/>
    </row>
    <row r="1812">
      <c r="A1812" s="54"/>
      <c r="B1812" s="71"/>
      <c r="C1812" s="51"/>
      <c r="D1812" s="54"/>
      <c r="E1812" s="114"/>
      <c r="F1812" s="16"/>
      <c r="G1812" s="114"/>
      <c r="H1812" s="54"/>
      <c r="I1812" s="114"/>
      <c r="J1812" s="54"/>
      <c r="L1812" s="54"/>
      <c r="N1812" s="54"/>
      <c r="P1812" s="54"/>
      <c r="R1812" s="54"/>
      <c r="T1812" s="1"/>
      <c r="V1812" s="54"/>
      <c r="X1812" s="54"/>
      <c r="Z1812" s="54"/>
      <c r="AB1812" s="54"/>
      <c r="AD1812" s="54"/>
      <c r="AF1812" s="54"/>
      <c r="AH1812" s="54"/>
      <c r="AJ1812" s="54"/>
      <c r="AL1812" s="54"/>
      <c r="AO1812" s="54"/>
      <c r="AP1812" s="1"/>
      <c r="AQ1812" s="54"/>
      <c r="AR1812" s="171"/>
      <c r="AS1812" s="1"/>
      <c r="AT1812" s="1"/>
      <c r="AU1812" s="1"/>
    </row>
    <row r="1813">
      <c r="A1813" s="54"/>
      <c r="B1813" s="71"/>
      <c r="C1813" s="51"/>
      <c r="D1813" s="54"/>
      <c r="E1813" s="114"/>
      <c r="F1813" s="16"/>
      <c r="G1813" s="114"/>
      <c r="H1813" s="54"/>
      <c r="I1813" s="114"/>
      <c r="J1813" s="54"/>
      <c r="L1813" s="54"/>
      <c r="N1813" s="54"/>
      <c r="P1813" s="54"/>
      <c r="R1813" s="54"/>
      <c r="T1813" s="1"/>
      <c r="V1813" s="54"/>
      <c r="X1813" s="54"/>
      <c r="Z1813" s="54"/>
      <c r="AB1813" s="54"/>
      <c r="AD1813" s="54"/>
      <c r="AF1813" s="54"/>
      <c r="AH1813" s="54"/>
      <c r="AJ1813" s="54"/>
      <c r="AL1813" s="54"/>
      <c r="AO1813" s="54"/>
      <c r="AP1813" s="1"/>
      <c r="AQ1813" s="54"/>
      <c r="AR1813" s="171"/>
      <c r="AS1813" s="1"/>
      <c r="AT1813" s="1"/>
      <c r="AU1813" s="1"/>
    </row>
    <row r="1814">
      <c r="A1814" s="54"/>
      <c r="B1814" s="71"/>
      <c r="C1814" s="51"/>
      <c r="D1814" s="54"/>
      <c r="E1814" s="114"/>
      <c r="F1814" s="16"/>
      <c r="G1814" s="114"/>
      <c r="H1814" s="54"/>
      <c r="I1814" s="114"/>
      <c r="J1814" s="54"/>
      <c r="L1814" s="54"/>
      <c r="N1814" s="54"/>
      <c r="P1814" s="54"/>
      <c r="R1814" s="54"/>
      <c r="T1814" s="1"/>
      <c r="V1814" s="54"/>
      <c r="X1814" s="54"/>
      <c r="Z1814" s="54"/>
      <c r="AB1814" s="54"/>
      <c r="AD1814" s="54"/>
      <c r="AF1814" s="54"/>
      <c r="AH1814" s="54"/>
      <c r="AJ1814" s="54"/>
      <c r="AL1814" s="54"/>
      <c r="AO1814" s="54"/>
      <c r="AP1814" s="1"/>
      <c r="AQ1814" s="54"/>
      <c r="AR1814" s="171"/>
      <c r="AS1814" s="1"/>
      <c r="AT1814" s="1"/>
      <c r="AU1814" s="1"/>
    </row>
    <row r="1815">
      <c r="A1815" s="54"/>
      <c r="B1815" s="71"/>
      <c r="C1815" s="51"/>
      <c r="D1815" s="54"/>
      <c r="E1815" s="114"/>
      <c r="F1815" s="16"/>
      <c r="G1815" s="114"/>
      <c r="H1815" s="54"/>
      <c r="I1815" s="114"/>
      <c r="J1815" s="54"/>
      <c r="L1815" s="54"/>
      <c r="N1815" s="54"/>
      <c r="P1815" s="54"/>
      <c r="R1815" s="54"/>
      <c r="T1815" s="1"/>
      <c r="V1815" s="54"/>
      <c r="X1815" s="54"/>
      <c r="Z1815" s="54"/>
      <c r="AB1815" s="54"/>
      <c r="AD1815" s="54"/>
      <c r="AF1815" s="54"/>
      <c r="AH1815" s="54"/>
      <c r="AJ1815" s="54"/>
      <c r="AL1815" s="54"/>
      <c r="AO1815" s="54"/>
      <c r="AP1815" s="1"/>
      <c r="AQ1815" s="54"/>
      <c r="AR1815" s="171"/>
      <c r="AS1815" s="1"/>
      <c r="AT1815" s="1"/>
      <c r="AU1815" s="1"/>
    </row>
    <row r="1816">
      <c r="A1816" s="54"/>
      <c r="B1816" s="71"/>
      <c r="C1816" s="51"/>
      <c r="D1816" s="54"/>
      <c r="E1816" s="114"/>
      <c r="F1816" s="16"/>
      <c r="G1816" s="114"/>
      <c r="H1816" s="54"/>
      <c r="I1816" s="114"/>
      <c r="J1816" s="54"/>
      <c r="L1816" s="54"/>
      <c r="N1816" s="54"/>
      <c r="P1816" s="54"/>
      <c r="R1816" s="54"/>
      <c r="T1816" s="1"/>
      <c r="V1816" s="54"/>
      <c r="X1816" s="54"/>
      <c r="Z1816" s="54"/>
      <c r="AB1816" s="54"/>
      <c r="AD1816" s="54"/>
      <c r="AF1816" s="54"/>
      <c r="AH1816" s="54"/>
      <c r="AJ1816" s="54"/>
      <c r="AL1816" s="54"/>
      <c r="AO1816" s="54"/>
      <c r="AP1816" s="1"/>
      <c r="AQ1816" s="54"/>
      <c r="AR1816" s="171"/>
      <c r="AS1816" s="1"/>
      <c r="AT1816" s="1"/>
      <c r="AU1816" s="1"/>
    </row>
    <row r="1817">
      <c r="A1817" s="54"/>
      <c r="B1817" s="71"/>
      <c r="C1817" s="51"/>
      <c r="D1817" s="54"/>
      <c r="E1817" s="114"/>
      <c r="F1817" s="16"/>
      <c r="G1817" s="114"/>
      <c r="H1817" s="54"/>
      <c r="I1817" s="114"/>
      <c r="J1817" s="54"/>
      <c r="L1817" s="54"/>
      <c r="N1817" s="54"/>
      <c r="P1817" s="54"/>
      <c r="R1817" s="54"/>
      <c r="T1817" s="1"/>
      <c r="V1817" s="54"/>
      <c r="X1817" s="54"/>
      <c r="Z1817" s="54"/>
      <c r="AB1817" s="54"/>
      <c r="AD1817" s="54"/>
      <c r="AF1817" s="54"/>
      <c r="AH1817" s="54"/>
      <c r="AJ1817" s="54"/>
      <c r="AL1817" s="54"/>
      <c r="AO1817" s="54"/>
      <c r="AP1817" s="1"/>
      <c r="AQ1817" s="54"/>
      <c r="AR1817" s="171"/>
      <c r="AS1817" s="1"/>
      <c r="AT1817" s="1"/>
      <c r="AU1817" s="1"/>
    </row>
    <row r="1818">
      <c r="A1818" s="54"/>
      <c r="B1818" s="71"/>
      <c r="C1818" s="51"/>
      <c r="D1818" s="54"/>
      <c r="E1818" s="114"/>
      <c r="F1818" s="16"/>
      <c r="G1818" s="114"/>
      <c r="H1818" s="54"/>
      <c r="I1818" s="114"/>
      <c r="J1818" s="54"/>
      <c r="L1818" s="54"/>
      <c r="N1818" s="54"/>
      <c r="P1818" s="54"/>
      <c r="R1818" s="54"/>
      <c r="T1818" s="1"/>
      <c r="V1818" s="54"/>
      <c r="X1818" s="54"/>
      <c r="Z1818" s="54"/>
      <c r="AB1818" s="54"/>
      <c r="AD1818" s="54"/>
      <c r="AF1818" s="54"/>
      <c r="AH1818" s="54"/>
      <c r="AJ1818" s="54"/>
      <c r="AL1818" s="54"/>
      <c r="AO1818" s="54"/>
      <c r="AP1818" s="1"/>
      <c r="AQ1818" s="54"/>
      <c r="AR1818" s="171"/>
      <c r="AS1818" s="1"/>
      <c r="AT1818" s="1"/>
      <c r="AU1818" s="1"/>
    </row>
    <row r="1819">
      <c r="A1819" s="54"/>
      <c r="B1819" s="71"/>
      <c r="C1819" s="51"/>
      <c r="D1819" s="54"/>
      <c r="E1819" s="114"/>
      <c r="F1819" s="16"/>
      <c r="G1819" s="114"/>
      <c r="H1819" s="54"/>
      <c r="I1819" s="114"/>
      <c r="J1819" s="54"/>
      <c r="L1819" s="54"/>
      <c r="N1819" s="54"/>
      <c r="P1819" s="54"/>
      <c r="R1819" s="54"/>
      <c r="T1819" s="1"/>
      <c r="V1819" s="54"/>
      <c r="X1819" s="54"/>
      <c r="Z1819" s="54"/>
      <c r="AB1819" s="54"/>
      <c r="AD1819" s="54"/>
      <c r="AF1819" s="54"/>
      <c r="AH1819" s="54"/>
      <c r="AJ1819" s="54"/>
      <c r="AL1819" s="54"/>
      <c r="AO1819" s="54"/>
      <c r="AP1819" s="1"/>
      <c r="AQ1819" s="54"/>
      <c r="AR1819" s="171"/>
      <c r="AS1819" s="1"/>
      <c r="AT1819" s="1"/>
      <c r="AU1819" s="1"/>
    </row>
    <row r="1820">
      <c r="A1820" s="54"/>
      <c r="B1820" s="71"/>
      <c r="C1820" s="51"/>
      <c r="D1820" s="54"/>
      <c r="E1820" s="114"/>
      <c r="F1820" s="16"/>
      <c r="G1820" s="114"/>
      <c r="H1820" s="54"/>
      <c r="I1820" s="114"/>
      <c r="J1820" s="54"/>
      <c r="L1820" s="54"/>
      <c r="N1820" s="54"/>
      <c r="P1820" s="54"/>
      <c r="R1820" s="54"/>
      <c r="T1820" s="1"/>
      <c r="V1820" s="54"/>
      <c r="X1820" s="54"/>
      <c r="Z1820" s="54"/>
      <c r="AB1820" s="54"/>
      <c r="AD1820" s="54"/>
      <c r="AF1820" s="54"/>
      <c r="AH1820" s="54"/>
      <c r="AJ1820" s="54"/>
      <c r="AL1820" s="54"/>
      <c r="AO1820" s="54"/>
      <c r="AP1820" s="1"/>
      <c r="AQ1820" s="54"/>
      <c r="AR1820" s="171"/>
      <c r="AS1820" s="1"/>
      <c r="AT1820" s="1"/>
      <c r="AU1820" s="1"/>
    </row>
    <row r="1821">
      <c r="A1821" s="54"/>
      <c r="B1821" s="71"/>
      <c r="C1821" s="51"/>
      <c r="D1821" s="54"/>
      <c r="E1821" s="114"/>
      <c r="F1821" s="16"/>
      <c r="G1821" s="114"/>
      <c r="H1821" s="54"/>
      <c r="I1821" s="114"/>
      <c r="J1821" s="54"/>
      <c r="L1821" s="54"/>
      <c r="N1821" s="54"/>
      <c r="P1821" s="54"/>
      <c r="R1821" s="54"/>
      <c r="T1821" s="1"/>
      <c r="V1821" s="54"/>
      <c r="X1821" s="54"/>
      <c r="Z1821" s="54"/>
      <c r="AB1821" s="54"/>
      <c r="AD1821" s="54"/>
      <c r="AF1821" s="54"/>
      <c r="AH1821" s="54"/>
      <c r="AJ1821" s="54"/>
      <c r="AL1821" s="54"/>
      <c r="AO1821" s="54"/>
      <c r="AP1821" s="1"/>
      <c r="AQ1821" s="54"/>
      <c r="AR1821" s="171"/>
      <c r="AS1821" s="1"/>
      <c r="AT1821" s="1"/>
      <c r="AU1821" s="1"/>
    </row>
    <row r="1822">
      <c r="A1822" s="54"/>
      <c r="B1822" s="71"/>
      <c r="C1822" s="51"/>
      <c r="D1822" s="54"/>
      <c r="E1822" s="114"/>
      <c r="F1822" s="16"/>
      <c r="G1822" s="114"/>
      <c r="H1822" s="54"/>
      <c r="I1822" s="114"/>
      <c r="J1822" s="54"/>
      <c r="L1822" s="54"/>
      <c r="N1822" s="54"/>
      <c r="P1822" s="54"/>
      <c r="R1822" s="54"/>
      <c r="T1822" s="1"/>
      <c r="V1822" s="54"/>
      <c r="X1822" s="54"/>
      <c r="Z1822" s="54"/>
      <c r="AB1822" s="54"/>
      <c r="AD1822" s="54"/>
      <c r="AF1822" s="54"/>
      <c r="AH1822" s="54"/>
      <c r="AJ1822" s="54"/>
      <c r="AL1822" s="54"/>
      <c r="AO1822" s="54"/>
      <c r="AP1822" s="1"/>
      <c r="AQ1822" s="54"/>
      <c r="AR1822" s="171"/>
      <c r="AS1822" s="1"/>
      <c r="AT1822" s="1"/>
      <c r="AU1822" s="1"/>
    </row>
    <row r="1823">
      <c r="A1823" s="54"/>
      <c r="B1823" s="71"/>
      <c r="C1823" s="51"/>
      <c r="D1823" s="54"/>
      <c r="E1823" s="114"/>
      <c r="F1823" s="16"/>
      <c r="G1823" s="114"/>
      <c r="H1823" s="54"/>
      <c r="I1823" s="114"/>
      <c r="J1823" s="54"/>
      <c r="L1823" s="54"/>
      <c r="N1823" s="54"/>
      <c r="P1823" s="54"/>
      <c r="R1823" s="54"/>
      <c r="T1823" s="1"/>
      <c r="V1823" s="54"/>
      <c r="X1823" s="54"/>
      <c r="Z1823" s="54"/>
      <c r="AB1823" s="54"/>
      <c r="AD1823" s="54"/>
      <c r="AF1823" s="54"/>
      <c r="AH1823" s="54"/>
      <c r="AJ1823" s="54"/>
      <c r="AL1823" s="54"/>
      <c r="AO1823" s="54"/>
      <c r="AP1823" s="1"/>
      <c r="AQ1823" s="54"/>
      <c r="AR1823" s="171"/>
      <c r="AS1823" s="1"/>
      <c r="AT1823" s="1"/>
      <c r="AU1823" s="1"/>
    </row>
    <row r="1824">
      <c r="A1824" s="54"/>
      <c r="B1824" s="71"/>
      <c r="C1824" s="51"/>
      <c r="D1824" s="54"/>
      <c r="E1824" s="114"/>
      <c r="F1824" s="16"/>
      <c r="G1824" s="114"/>
      <c r="H1824" s="54"/>
      <c r="I1824" s="114"/>
      <c r="J1824" s="54"/>
      <c r="L1824" s="54"/>
      <c r="N1824" s="54"/>
      <c r="P1824" s="54"/>
      <c r="R1824" s="54"/>
      <c r="T1824" s="1"/>
      <c r="V1824" s="54"/>
      <c r="X1824" s="54"/>
      <c r="Z1824" s="54"/>
      <c r="AB1824" s="54"/>
      <c r="AD1824" s="54"/>
      <c r="AF1824" s="54"/>
      <c r="AH1824" s="54"/>
      <c r="AJ1824" s="54"/>
      <c r="AL1824" s="54"/>
      <c r="AO1824" s="54"/>
      <c r="AP1824" s="1"/>
      <c r="AQ1824" s="54"/>
      <c r="AR1824" s="171"/>
      <c r="AS1824" s="1"/>
      <c r="AT1824" s="1"/>
      <c r="AU1824" s="1"/>
    </row>
    <row r="1825">
      <c r="A1825" s="54"/>
      <c r="B1825" s="71"/>
      <c r="C1825" s="51"/>
      <c r="D1825" s="54"/>
      <c r="E1825" s="114"/>
      <c r="F1825" s="16"/>
      <c r="G1825" s="114"/>
      <c r="H1825" s="54"/>
      <c r="I1825" s="114"/>
      <c r="J1825" s="54"/>
      <c r="L1825" s="54"/>
      <c r="N1825" s="54"/>
      <c r="P1825" s="54"/>
      <c r="R1825" s="54"/>
      <c r="T1825" s="1"/>
      <c r="V1825" s="54"/>
      <c r="X1825" s="54"/>
      <c r="Z1825" s="54"/>
      <c r="AB1825" s="54"/>
      <c r="AD1825" s="54"/>
      <c r="AF1825" s="54"/>
      <c r="AH1825" s="54"/>
      <c r="AJ1825" s="54"/>
      <c r="AL1825" s="54"/>
      <c r="AO1825" s="54"/>
      <c r="AP1825" s="1"/>
      <c r="AQ1825" s="54"/>
      <c r="AR1825" s="171"/>
      <c r="AS1825" s="1"/>
      <c r="AT1825" s="1"/>
      <c r="AU1825" s="1"/>
    </row>
    <row r="1826">
      <c r="A1826" s="54"/>
      <c r="B1826" s="71"/>
      <c r="C1826" s="51"/>
      <c r="D1826" s="54"/>
      <c r="E1826" s="114"/>
      <c r="F1826" s="16"/>
      <c r="G1826" s="114"/>
      <c r="H1826" s="54"/>
      <c r="I1826" s="114"/>
      <c r="J1826" s="54"/>
      <c r="L1826" s="54"/>
      <c r="N1826" s="54"/>
      <c r="P1826" s="54"/>
      <c r="R1826" s="54"/>
      <c r="T1826" s="1"/>
      <c r="V1826" s="54"/>
      <c r="X1826" s="54"/>
      <c r="Z1826" s="54"/>
      <c r="AB1826" s="54"/>
      <c r="AD1826" s="54"/>
      <c r="AF1826" s="54"/>
      <c r="AH1826" s="54"/>
      <c r="AJ1826" s="54"/>
      <c r="AL1826" s="54"/>
      <c r="AO1826" s="54"/>
      <c r="AP1826" s="1"/>
      <c r="AQ1826" s="54"/>
      <c r="AR1826" s="171"/>
      <c r="AS1826" s="1"/>
      <c r="AT1826" s="1"/>
      <c r="AU1826" s="1"/>
    </row>
    <row r="1827">
      <c r="A1827" s="54"/>
      <c r="B1827" s="71"/>
      <c r="C1827" s="51"/>
      <c r="D1827" s="54"/>
      <c r="E1827" s="114"/>
      <c r="F1827" s="16"/>
      <c r="G1827" s="114"/>
      <c r="H1827" s="54"/>
      <c r="I1827" s="114"/>
      <c r="J1827" s="54"/>
      <c r="L1827" s="54"/>
      <c r="N1827" s="54"/>
      <c r="P1827" s="54"/>
      <c r="R1827" s="54"/>
      <c r="T1827" s="1"/>
      <c r="V1827" s="54"/>
      <c r="X1827" s="54"/>
      <c r="Z1827" s="54"/>
      <c r="AB1827" s="54"/>
      <c r="AD1827" s="54"/>
      <c r="AF1827" s="54"/>
      <c r="AH1827" s="54"/>
      <c r="AJ1827" s="54"/>
      <c r="AL1827" s="54"/>
      <c r="AO1827" s="54"/>
      <c r="AP1827" s="1"/>
      <c r="AQ1827" s="54"/>
      <c r="AR1827" s="171"/>
      <c r="AS1827" s="1"/>
      <c r="AT1827" s="1"/>
      <c r="AU1827" s="1"/>
    </row>
    <row r="1828">
      <c r="A1828" s="54"/>
      <c r="B1828" s="71"/>
      <c r="C1828" s="51"/>
      <c r="D1828" s="54"/>
      <c r="E1828" s="114"/>
      <c r="F1828" s="16"/>
      <c r="G1828" s="114"/>
      <c r="H1828" s="54"/>
      <c r="I1828" s="114"/>
      <c r="J1828" s="54"/>
      <c r="L1828" s="54"/>
      <c r="N1828" s="54"/>
      <c r="P1828" s="54"/>
      <c r="R1828" s="54"/>
      <c r="T1828" s="1"/>
      <c r="V1828" s="54"/>
      <c r="X1828" s="54"/>
      <c r="Z1828" s="54"/>
      <c r="AB1828" s="54"/>
      <c r="AD1828" s="54"/>
      <c r="AF1828" s="54"/>
      <c r="AH1828" s="54"/>
      <c r="AJ1828" s="54"/>
      <c r="AL1828" s="54"/>
      <c r="AO1828" s="54"/>
      <c r="AP1828" s="1"/>
      <c r="AQ1828" s="54"/>
      <c r="AR1828" s="171"/>
      <c r="AS1828" s="1"/>
      <c r="AT1828" s="1"/>
      <c r="AU1828" s="1"/>
    </row>
    <row r="1829">
      <c r="A1829" s="54"/>
      <c r="B1829" s="71"/>
      <c r="C1829" s="51"/>
      <c r="D1829" s="54"/>
      <c r="E1829" s="114"/>
      <c r="F1829" s="16"/>
      <c r="G1829" s="114"/>
      <c r="H1829" s="54"/>
      <c r="I1829" s="114"/>
      <c r="J1829" s="54"/>
      <c r="L1829" s="54"/>
      <c r="N1829" s="54"/>
      <c r="P1829" s="54"/>
      <c r="R1829" s="54"/>
      <c r="T1829" s="1"/>
      <c r="V1829" s="54"/>
      <c r="X1829" s="54"/>
      <c r="Z1829" s="54"/>
      <c r="AB1829" s="54"/>
      <c r="AD1829" s="54"/>
      <c r="AF1829" s="54"/>
      <c r="AH1829" s="54"/>
      <c r="AJ1829" s="54"/>
      <c r="AL1829" s="54"/>
      <c r="AO1829" s="54"/>
      <c r="AP1829" s="1"/>
      <c r="AQ1829" s="54"/>
      <c r="AR1829" s="171"/>
      <c r="AS1829" s="1"/>
      <c r="AT1829" s="1"/>
      <c r="AU1829" s="1"/>
    </row>
    <row r="1830">
      <c r="A1830" s="54"/>
      <c r="B1830" s="71"/>
      <c r="C1830" s="51"/>
      <c r="D1830" s="54"/>
      <c r="E1830" s="114"/>
      <c r="F1830" s="16"/>
      <c r="G1830" s="114"/>
      <c r="H1830" s="54"/>
      <c r="I1830" s="114"/>
      <c r="J1830" s="54"/>
      <c r="L1830" s="54"/>
      <c r="N1830" s="54"/>
      <c r="P1830" s="54"/>
      <c r="R1830" s="54"/>
      <c r="T1830" s="1"/>
      <c r="V1830" s="54"/>
      <c r="X1830" s="54"/>
      <c r="Z1830" s="54"/>
      <c r="AB1830" s="54"/>
      <c r="AD1830" s="54"/>
      <c r="AF1830" s="54"/>
      <c r="AH1830" s="54"/>
      <c r="AJ1830" s="54"/>
      <c r="AL1830" s="54"/>
      <c r="AO1830" s="54"/>
      <c r="AP1830" s="1"/>
      <c r="AQ1830" s="54"/>
      <c r="AR1830" s="171"/>
      <c r="AS1830" s="1"/>
      <c r="AT1830" s="1"/>
      <c r="AU1830" s="1"/>
    </row>
    <row r="1831">
      <c r="A1831" s="54"/>
      <c r="B1831" s="71"/>
      <c r="C1831" s="51"/>
      <c r="D1831" s="54"/>
      <c r="E1831" s="114"/>
      <c r="F1831" s="16"/>
      <c r="G1831" s="114"/>
      <c r="H1831" s="54"/>
      <c r="I1831" s="114"/>
      <c r="J1831" s="54"/>
      <c r="L1831" s="54"/>
      <c r="N1831" s="54"/>
      <c r="P1831" s="54"/>
      <c r="R1831" s="54"/>
      <c r="T1831" s="1"/>
      <c r="V1831" s="54"/>
      <c r="X1831" s="54"/>
      <c r="Z1831" s="54"/>
      <c r="AB1831" s="54"/>
      <c r="AD1831" s="54"/>
      <c r="AF1831" s="54"/>
      <c r="AH1831" s="54"/>
      <c r="AJ1831" s="54"/>
      <c r="AL1831" s="54"/>
      <c r="AO1831" s="54"/>
      <c r="AP1831" s="1"/>
      <c r="AQ1831" s="54"/>
      <c r="AR1831" s="171"/>
      <c r="AS1831" s="1"/>
      <c r="AT1831" s="1"/>
      <c r="AU1831" s="1"/>
    </row>
    <row r="1832">
      <c r="A1832" s="54"/>
      <c r="B1832" s="71"/>
      <c r="C1832" s="51"/>
      <c r="D1832" s="54"/>
      <c r="E1832" s="114"/>
      <c r="F1832" s="16"/>
      <c r="G1832" s="114"/>
      <c r="H1832" s="54"/>
      <c r="I1832" s="114"/>
      <c r="J1832" s="54"/>
      <c r="L1832" s="54"/>
      <c r="N1832" s="54"/>
      <c r="P1832" s="54"/>
      <c r="R1832" s="54"/>
      <c r="T1832" s="1"/>
      <c r="V1832" s="54"/>
      <c r="X1832" s="54"/>
      <c r="Z1832" s="54"/>
      <c r="AB1832" s="54"/>
      <c r="AD1832" s="54"/>
      <c r="AF1832" s="54"/>
      <c r="AH1832" s="54"/>
      <c r="AJ1832" s="54"/>
      <c r="AL1832" s="54"/>
      <c r="AO1832" s="54"/>
      <c r="AP1832" s="1"/>
      <c r="AQ1832" s="54"/>
      <c r="AR1832" s="171"/>
      <c r="AS1832" s="1"/>
      <c r="AT1832" s="1"/>
      <c r="AU1832" s="1"/>
    </row>
    <row r="1833">
      <c r="A1833" s="54"/>
      <c r="B1833" s="71"/>
      <c r="C1833" s="51"/>
      <c r="D1833" s="54"/>
      <c r="E1833" s="114"/>
      <c r="F1833" s="16"/>
      <c r="G1833" s="114"/>
      <c r="H1833" s="54"/>
      <c r="I1833" s="114"/>
      <c r="J1833" s="54"/>
      <c r="L1833" s="54"/>
      <c r="N1833" s="54"/>
      <c r="P1833" s="54"/>
      <c r="R1833" s="54"/>
      <c r="T1833" s="1"/>
      <c r="V1833" s="54"/>
      <c r="X1833" s="54"/>
      <c r="Z1833" s="54"/>
      <c r="AB1833" s="54"/>
      <c r="AD1833" s="54"/>
      <c r="AF1833" s="54"/>
      <c r="AH1833" s="54"/>
      <c r="AJ1833" s="54"/>
      <c r="AL1833" s="54"/>
      <c r="AO1833" s="54"/>
      <c r="AP1833" s="1"/>
      <c r="AQ1833" s="54"/>
      <c r="AR1833" s="171"/>
      <c r="AS1833" s="1"/>
      <c r="AT1833" s="1"/>
      <c r="AU1833" s="1"/>
    </row>
    <row r="1834">
      <c r="A1834" s="54"/>
      <c r="B1834" s="71"/>
      <c r="C1834" s="51"/>
      <c r="D1834" s="54"/>
      <c r="E1834" s="114"/>
      <c r="F1834" s="16"/>
      <c r="G1834" s="114"/>
      <c r="H1834" s="54"/>
      <c r="I1834" s="114"/>
      <c r="J1834" s="54"/>
      <c r="L1834" s="54"/>
      <c r="N1834" s="54"/>
      <c r="P1834" s="54"/>
      <c r="R1834" s="54"/>
      <c r="T1834" s="1"/>
      <c r="V1834" s="54"/>
      <c r="X1834" s="54"/>
      <c r="Z1834" s="54"/>
      <c r="AB1834" s="54"/>
      <c r="AD1834" s="54"/>
      <c r="AF1834" s="54"/>
      <c r="AH1834" s="54"/>
      <c r="AJ1834" s="54"/>
      <c r="AL1834" s="54"/>
      <c r="AO1834" s="54"/>
      <c r="AP1834" s="1"/>
      <c r="AQ1834" s="54"/>
      <c r="AR1834" s="171"/>
      <c r="AS1834" s="1"/>
      <c r="AT1834" s="1"/>
      <c r="AU1834" s="1"/>
    </row>
    <row r="1835">
      <c r="A1835" s="54"/>
      <c r="B1835" s="71"/>
      <c r="C1835" s="51"/>
      <c r="D1835" s="54"/>
      <c r="E1835" s="114"/>
      <c r="F1835" s="16"/>
      <c r="G1835" s="114"/>
      <c r="H1835" s="54"/>
      <c r="I1835" s="114"/>
      <c r="J1835" s="54"/>
      <c r="L1835" s="54"/>
      <c r="N1835" s="54"/>
      <c r="P1835" s="54"/>
      <c r="R1835" s="54"/>
      <c r="T1835" s="1"/>
      <c r="V1835" s="54"/>
      <c r="X1835" s="54"/>
      <c r="Z1835" s="54"/>
      <c r="AB1835" s="54"/>
      <c r="AD1835" s="54"/>
      <c r="AF1835" s="54"/>
      <c r="AH1835" s="54"/>
      <c r="AJ1835" s="54"/>
      <c r="AL1835" s="54"/>
      <c r="AO1835" s="54"/>
      <c r="AP1835" s="1"/>
      <c r="AQ1835" s="54"/>
      <c r="AR1835" s="171"/>
      <c r="AS1835" s="1"/>
      <c r="AT1835" s="1"/>
      <c r="AU1835" s="1"/>
    </row>
    <row r="1836">
      <c r="A1836" s="54"/>
      <c r="B1836" s="71"/>
      <c r="C1836" s="51"/>
      <c r="D1836" s="54"/>
      <c r="E1836" s="114"/>
      <c r="F1836" s="16"/>
      <c r="G1836" s="114"/>
      <c r="H1836" s="54"/>
      <c r="I1836" s="114"/>
      <c r="J1836" s="54"/>
      <c r="L1836" s="54"/>
      <c r="N1836" s="54"/>
      <c r="P1836" s="54"/>
      <c r="R1836" s="54"/>
      <c r="T1836" s="1"/>
      <c r="V1836" s="54"/>
      <c r="X1836" s="54"/>
      <c r="Z1836" s="54"/>
      <c r="AB1836" s="54"/>
      <c r="AD1836" s="54"/>
      <c r="AF1836" s="54"/>
      <c r="AH1836" s="54"/>
      <c r="AJ1836" s="54"/>
      <c r="AL1836" s="54"/>
      <c r="AO1836" s="54"/>
      <c r="AP1836" s="1"/>
      <c r="AQ1836" s="54"/>
      <c r="AR1836" s="171"/>
      <c r="AS1836" s="1"/>
      <c r="AT1836" s="1"/>
      <c r="AU1836" s="1"/>
    </row>
    <row r="1837">
      <c r="A1837" s="54"/>
      <c r="B1837" s="71"/>
      <c r="C1837" s="51"/>
      <c r="D1837" s="54"/>
      <c r="E1837" s="114"/>
      <c r="F1837" s="16"/>
      <c r="G1837" s="114"/>
      <c r="H1837" s="54"/>
      <c r="I1837" s="114"/>
      <c r="J1837" s="54"/>
      <c r="L1837" s="54"/>
      <c r="N1837" s="54"/>
      <c r="P1837" s="54"/>
      <c r="R1837" s="54"/>
      <c r="T1837" s="1"/>
      <c r="V1837" s="54"/>
      <c r="X1837" s="54"/>
      <c r="Z1837" s="54"/>
      <c r="AB1837" s="54"/>
      <c r="AD1837" s="54"/>
      <c r="AF1837" s="54"/>
      <c r="AH1837" s="54"/>
      <c r="AJ1837" s="54"/>
      <c r="AL1837" s="54"/>
      <c r="AO1837" s="54"/>
      <c r="AP1837" s="1"/>
      <c r="AQ1837" s="54"/>
      <c r="AR1837" s="171"/>
      <c r="AS1837" s="1"/>
      <c r="AT1837" s="1"/>
      <c r="AU1837" s="1"/>
    </row>
    <row r="1838">
      <c r="A1838" s="54"/>
      <c r="B1838" s="71"/>
      <c r="C1838" s="51"/>
      <c r="D1838" s="54"/>
      <c r="E1838" s="114"/>
      <c r="F1838" s="16"/>
      <c r="G1838" s="114"/>
      <c r="H1838" s="54"/>
      <c r="I1838" s="114"/>
      <c r="J1838" s="54"/>
      <c r="L1838" s="54"/>
      <c r="N1838" s="54"/>
      <c r="P1838" s="54"/>
      <c r="R1838" s="54"/>
      <c r="T1838" s="1"/>
      <c r="V1838" s="54"/>
      <c r="X1838" s="54"/>
      <c r="Z1838" s="54"/>
      <c r="AB1838" s="54"/>
      <c r="AD1838" s="54"/>
      <c r="AF1838" s="54"/>
      <c r="AH1838" s="54"/>
      <c r="AJ1838" s="54"/>
      <c r="AL1838" s="54"/>
      <c r="AO1838" s="54"/>
      <c r="AP1838" s="1"/>
      <c r="AQ1838" s="54"/>
      <c r="AR1838" s="171"/>
      <c r="AS1838" s="1"/>
      <c r="AT1838" s="1"/>
      <c r="AU1838" s="1"/>
    </row>
    <row r="1839">
      <c r="A1839" s="54"/>
      <c r="B1839" s="71"/>
      <c r="C1839" s="51"/>
      <c r="D1839" s="54"/>
      <c r="E1839" s="114"/>
      <c r="F1839" s="16"/>
      <c r="G1839" s="114"/>
      <c r="H1839" s="54"/>
      <c r="I1839" s="114"/>
      <c r="J1839" s="54"/>
      <c r="L1839" s="54"/>
      <c r="N1839" s="54"/>
      <c r="P1839" s="54"/>
      <c r="R1839" s="54"/>
      <c r="T1839" s="1"/>
      <c r="V1839" s="54"/>
      <c r="X1839" s="54"/>
      <c r="Z1839" s="54"/>
      <c r="AB1839" s="54"/>
      <c r="AD1839" s="54"/>
      <c r="AF1839" s="54"/>
      <c r="AH1839" s="54"/>
      <c r="AJ1839" s="54"/>
      <c r="AL1839" s="54"/>
      <c r="AO1839" s="54"/>
      <c r="AP1839" s="1"/>
      <c r="AQ1839" s="54"/>
      <c r="AR1839" s="171"/>
      <c r="AS1839" s="1"/>
      <c r="AT1839" s="1"/>
      <c r="AU1839" s="1"/>
    </row>
    <row r="1840">
      <c r="A1840" s="54"/>
      <c r="B1840" s="71"/>
      <c r="C1840" s="51"/>
      <c r="D1840" s="54"/>
      <c r="E1840" s="114"/>
      <c r="F1840" s="16"/>
      <c r="G1840" s="114"/>
      <c r="H1840" s="54"/>
      <c r="I1840" s="114"/>
      <c r="J1840" s="54"/>
      <c r="L1840" s="54"/>
      <c r="N1840" s="54"/>
      <c r="P1840" s="54"/>
      <c r="R1840" s="54"/>
      <c r="T1840" s="1"/>
      <c r="V1840" s="54"/>
      <c r="X1840" s="54"/>
      <c r="Z1840" s="54"/>
      <c r="AB1840" s="54"/>
      <c r="AD1840" s="54"/>
      <c r="AF1840" s="54"/>
      <c r="AH1840" s="54"/>
      <c r="AJ1840" s="54"/>
      <c r="AL1840" s="54"/>
      <c r="AO1840" s="54"/>
      <c r="AP1840" s="1"/>
      <c r="AQ1840" s="54"/>
      <c r="AR1840" s="171"/>
      <c r="AS1840" s="1"/>
      <c r="AT1840" s="1"/>
      <c r="AU1840" s="1"/>
    </row>
    <row r="1841">
      <c r="A1841" s="54"/>
      <c r="B1841" s="71"/>
      <c r="C1841" s="51"/>
      <c r="D1841" s="54"/>
      <c r="E1841" s="114"/>
      <c r="F1841" s="16"/>
      <c r="G1841" s="114"/>
      <c r="H1841" s="54"/>
      <c r="I1841" s="114"/>
      <c r="J1841" s="54"/>
      <c r="L1841" s="54"/>
      <c r="N1841" s="54"/>
      <c r="P1841" s="54"/>
      <c r="R1841" s="54"/>
      <c r="T1841" s="1"/>
      <c r="V1841" s="54"/>
      <c r="X1841" s="54"/>
      <c r="Z1841" s="54"/>
      <c r="AB1841" s="54"/>
      <c r="AD1841" s="54"/>
      <c r="AF1841" s="54"/>
      <c r="AH1841" s="54"/>
      <c r="AJ1841" s="54"/>
      <c r="AL1841" s="54"/>
      <c r="AO1841" s="54"/>
      <c r="AP1841" s="1"/>
      <c r="AQ1841" s="54"/>
      <c r="AR1841" s="171"/>
      <c r="AS1841" s="1"/>
      <c r="AT1841" s="1"/>
      <c r="AU1841" s="1"/>
    </row>
    <row r="1842">
      <c r="A1842" s="54"/>
      <c r="B1842" s="71"/>
      <c r="C1842" s="51"/>
      <c r="D1842" s="54"/>
      <c r="E1842" s="114"/>
      <c r="F1842" s="16"/>
      <c r="G1842" s="114"/>
      <c r="H1842" s="54"/>
      <c r="I1842" s="114"/>
      <c r="J1842" s="54"/>
      <c r="L1842" s="54"/>
      <c r="N1842" s="54"/>
      <c r="P1842" s="54"/>
      <c r="R1842" s="54"/>
      <c r="T1842" s="1"/>
      <c r="V1842" s="54"/>
      <c r="X1842" s="54"/>
      <c r="Z1842" s="54"/>
      <c r="AB1842" s="54"/>
      <c r="AD1842" s="54"/>
      <c r="AF1842" s="54"/>
      <c r="AH1842" s="54"/>
      <c r="AJ1842" s="54"/>
      <c r="AL1842" s="54"/>
      <c r="AO1842" s="54"/>
      <c r="AP1842" s="1"/>
      <c r="AQ1842" s="54"/>
      <c r="AR1842" s="171"/>
      <c r="AS1842" s="1"/>
      <c r="AT1842" s="1"/>
      <c r="AU1842" s="1"/>
    </row>
    <row r="1843">
      <c r="A1843" s="54"/>
      <c r="B1843" s="71"/>
      <c r="C1843" s="51"/>
      <c r="D1843" s="54"/>
      <c r="E1843" s="114"/>
      <c r="F1843" s="16"/>
      <c r="G1843" s="114"/>
      <c r="H1843" s="54"/>
      <c r="I1843" s="114"/>
      <c r="J1843" s="54"/>
      <c r="L1843" s="54"/>
      <c r="N1843" s="54"/>
      <c r="P1843" s="54"/>
      <c r="R1843" s="54"/>
      <c r="T1843" s="1"/>
      <c r="V1843" s="54"/>
      <c r="X1843" s="54"/>
      <c r="Z1843" s="54"/>
      <c r="AB1843" s="54"/>
      <c r="AD1843" s="54"/>
      <c r="AF1843" s="54"/>
      <c r="AH1843" s="54"/>
      <c r="AJ1843" s="54"/>
      <c r="AL1843" s="54"/>
      <c r="AO1843" s="54"/>
      <c r="AP1843" s="1"/>
      <c r="AQ1843" s="54"/>
      <c r="AR1843" s="171"/>
      <c r="AS1843" s="1"/>
      <c r="AT1843" s="1"/>
      <c r="AU1843" s="1"/>
    </row>
    <row r="1844">
      <c r="A1844" s="54"/>
      <c r="B1844" s="71"/>
      <c r="C1844" s="51"/>
      <c r="D1844" s="54"/>
      <c r="E1844" s="114"/>
      <c r="F1844" s="16"/>
      <c r="G1844" s="114"/>
      <c r="H1844" s="54"/>
      <c r="I1844" s="114"/>
      <c r="J1844" s="54"/>
      <c r="L1844" s="54"/>
      <c r="N1844" s="54"/>
      <c r="P1844" s="54"/>
      <c r="R1844" s="54"/>
      <c r="T1844" s="1"/>
      <c r="V1844" s="54"/>
      <c r="X1844" s="54"/>
      <c r="Z1844" s="54"/>
      <c r="AB1844" s="54"/>
      <c r="AD1844" s="54"/>
      <c r="AF1844" s="54"/>
      <c r="AH1844" s="54"/>
      <c r="AJ1844" s="54"/>
      <c r="AL1844" s="54"/>
      <c r="AO1844" s="54"/>
      <c r="AP1844" s="1"/>
      <c r="AQ1844" s="54"/>
      <c r="AR1844" s="171"/>
      <c r="AS1844" s="1"/>
      <c r="AT1844" s="1"/>
      <c r="AU1844" s="1"/>
    </row>
    <row r="1845">
      <c r="A1845" s="54"/>
      <c r="B1845" s="71"/>
      <c r="C1845" s="51"/>
      <c r="D1845" s="54"/>
      <c r="E1845" s="114"/>
      <c r="F1845" s="16"/>
      <c r="G1845" s="114"/>
      <c r="H1845" s="54"/>
      <c r="I1845" s="114"/>
      <c r="J1845" s="54"/>
      <c r="L1845" s="54"/>
      <c r="N1845" s="54"/>
      <c r="P1845" s="54"/>
      <c r="R1845" s="54"/>
      <c r="T1845" s="1"/>
      <c r="V1845" s="54"/>
      <c r="X1845" s="54"/>
      <c r="Z1845" s="54"/>
      <c r="AB1845" s="54"/>
      <c r="AD1845" s="54"/>
      <c r="AF1845" s="54"/>
      <c r="AH1845" s="54"/>
      <c r="AJ1845" s="54"/>
      <c r="AL1845" s="54"/>
      <c r="AO1845" s="54"/>
      <c r="AP1845" s="1"/>
      <c r="AQ1845" s="54"/>
      <c r="AR1845" s="171"/>
      <c r="AS1845" s="1"/>
      <c r="AT1845" s="1"/>
      <c r="AU1845" s="1"/>
    </row>
    <row r="1846">
      <c r="A1846" s="54"/>
      <c r="B1846" s="71"/>
      <c r="C1846" s="51"/>
      <c r="D1846" s="54"/>
      <c r="E1846" s="114"/>
      <c r="F1846" s="16"/>
      <c r="G1846" s="114"/>
      <c r="H1846" s="54"/>
      <c r="I1846" s="114"/>
      <c r="J1846" s="54"/>
      <c r="L1846" s="54"/>
      <c r="N1846" s="54"/>
      <c r="P1846" s="54"/>
      <c r="R1846" s="54"/>
      <c r="T1846" s="1"/>
      <c r="V1846" s="54"/>
      <c r="X1846" s="54"/>
      <c r="Z1846" s="54"/>
      <c r="AB1846" s="54"/>
      <c r="AD1846" s="54"/>
      <c r="AF1846" s="54"/>
      <c r="AH1846" s="54"/>
      <c r="AJ1846" s="54"/>
      <c r="AL1846" s="54"/>
      <c r="AO1846" s="54"/>
      <c r="AP1846" s="1"/>
      <c r="AQ1846" s="54"/>
      <c r="AR1846" s="171"/>
      <c r="AS1846" s="1"/>
      <c r="AT1846" s="1"/>
      <c r="AU1846" s="1"/>
    </row>
    <row r="1847">
      <c r="A1847" s="54"/>
      <c r="B1847" s="71"/>
      <c r="C1847" s="51"/>
      <c r="D1847" s="54"/>
      <c r="E1847" s="114"/>
      <c r="F1847" s="16"/>
      <c r="G1847" s="114"/>
      <c r="H1847" s="54"/>
      <c r="I1847" s="114"/>
      <c r="J1847" s="54"/>
      <c r="L1847" s="54"/>
      <c r="N1847" s="54"/>
      <c r="P1847" s="54"/>
      <c r="R1847" s="54"/>
      <c r="T1847" s="1"/>
      <c r="V1847" s="54"/>
      <c r="X1847" s="54"/>
      <c r="Z1847" s="54"/>
      <c r="AB1847" s="54"/>
      <c r="AD1847" s="54"/>
      <c r="AF1847" s="54"/>
      <c r="AH1847" s="54"/>
      <c r="AJ1847" s="54"/>
      <c r="AL1847" s="54"/>
      <c r="AO1847" s="54"/>
      <c r="AP1847" s="1"/>
      <c r="AQ1847" s="54"/>
      <c r="AR1847" s="171"/>
      <c r="AS1847" s="1"/>
      <c r="AT1847" s="1"/>
      <c r="AU1847" s="1"/>
    </row>
    <row r="1848">
      <c r="A1848" s="54"/>
      <c r="B1848" s="71"/>
      <c r="C1848" s="51"/>
      <c r="D1848" s="54"/>
      <c r="E1848" s="114"/>
      <c r="F1848" s="16"/>
      <c r="G1848" s="114"/>
      <c r="H1848" s="54"/>
      <c r="I1848" s="114"/>
      <c r="J1848" s="54"/>
      <c r="L1848" s="54"/>
      <c r="N1848" s="54"/>
      <c r="P1848" s="54"/>
      <c r="R1848" s="54"/>
      <c r="T1848" s="1"/>
      <c r="V1848" s="54"/>
      <c r="X1848" s="54"/>
      <c r="Z1848" s="54"/>
      <c r="AB1848" s="54"/>
      <c r="AD1848" s="54"/>
      <c r="AF1848" s="54"/>
      <c r="AH1848" s="54"/>
      <c r="AJ1848" s="54"/>
      <c r="AL1848" s="54"/>
      <c r="AO1848" s="54"/>
      <c r="AP1848" s="1"/>
      <c r="AQ1848" s="54"/>
      <c r="AR1848" s="171"/>
      <c r="AS1848" s="1"/>
      <c r="AT1848" s="1"/>
      <c r="AU1848" s="1"/>
    </row>
    <row r="1849">
      <c r="A1849" s="54"/>
      <c r="B1849" s="71"/>
      <c r="C1849" s="51"/>
      <c r="D1849" s="54"/>
      <c r="E1849" s="114"/>
      <c r="F1849" s="16"/>
      <c r="G1849" s="114"/>
      <c r="H1849" s="54"/>
      <c r="I1849" s="114"/>
      <c r="J1849" s="54"/>
      <c r="L1849" s="54"/>
      <c r="N1849" s="54"/>
      <c r="P1849" s="54"/>
      <c r="R1849" s="54"/>
      <c r="T1849" s="1"/>
      <c r="V1849" s="54"/>
      <c r="X1849" s="54"/>
      <c r="Z1849" s="54"/>
      <c r="AB1849" s="54"/>
      <c r="AD1849" s="54"/>
      <c r="AF1849" s="54"/>
      <c r="AH1849" s="54"/>
      <c r="AJ1849" s="54"/>
      <c r="AL1849" s="54"/>
      <c r="AO1849" s="54"/>
      <c r="AP1849" s="1"/>
      <c r="AQ1849" s="54"/>
      <c r="AR1849" s="171"/>
      <c r="AS1849" s="1"/>
      <c r="AT1849" s="1"/>
      <c r="AU1849" s="1"/>
    </row>
    <row r="1850">
      <c r="A1850" s="54"/>
      <c r="B1850" s="71"/>
      <c r="C1850" s="51"/>
      <c r="D1850" s="54"/>
      <c r="E1850" s="114"/>
      <c r="F1850" s="16"/>
      <c r="G1850" s="114"/>
      <c r="H1850" s="54"/>
      <c r="I1850" s="114"/>
      <c r="J1850" s="54"/>
      <c r="L1850" s="54"/>
      <c r="N1850" s="54"/>
      <c r="P1850" s="54"/>
      <c r="R1850" s="54"/>
      <c r="T1850" s="1"/>
      <c r="V1850" s="54"/>
      <c r="X1850" s="54"/>
      <c r="Z1850" s="54"/>
      <c r="AB1850" s="54"/>
      <c r="AD1850" s="54"/>
      <c r="AF1850" s="54"/>
      <c r="AH1850" s="54"/>
      <c r="AJ1850" s="54"/>
      <c r="AL1850" s="54"/>
      <c r="AO1850" s="54"/>
      <c r="AP1850" s="1"/>
      <c r="AQ1850" s="54"/>
      <c r="AR1850" s="171"/>
      <c r="AS1850" s="1"/>
      <c r="AT1850" s="1"/>
      <c r="AU1850" s="1"/>
    </row>
    <row r="1851">
      <c r="A1851" s="54"/>
      <c r="B1851" s="71"/>
      <c r="C1851" s="51"/>
      <c r="D1851" s="54"/>
      <c r="E1851" s="114"/>
      <c r="F1851" s="16"/>
      <c r="G1851" s="114"/>
      <c r="H1851" s="54"/>
      <c r="I1851" s="114"/>
      <c r="J1851" s="54"/>
      <c r="L1851" s="54"/>
      <c r="N1851" s="54"/>
      <c r="P1851" s="54"/>
      <c r="R1851" s="54"/>
      <c r="T1851" s="1"/>
      <c r="V1851" s="54"/>
      <c r="X1851" s="54"/>
      <c r="Z1851" s="54"/>
      <c r="AB1851" s="54"/>
      <c r="AD1851" s="54"/>
      <c r="AF1851" s="54"/>
      <c r="AH1851" s="54"/>
      <c r="AJ1851" s="54"/>
      <c r="AL1851" s="54"/>
      <c r="AO1851" s="54"/>
      <c r="AP1851" s="1"/>
      <c r="AQ1851" s="54"/>
      <c r="AR1851" s="171"/>
      <c r="AS1851" s="1"/>
      <c r="AT1851" s="1"/>
      <c r="AU1851" s="1"/>
    </row>
    <row r="1852">
      <c r="A1852" s="54"/>
      <c r="B1852" s="71"/>
      <c r="C1852" s="51"/>
      <c r="D1852" s="54"/>
      <c r="E1852" s="114"/>
      <c r="F1852" s="16"/>
      <c r="G1852" s="114"/>
      <c r="H1852" s="54"/>
      <c r="I1852" s="114"/>
      <c r="J1852" s="54"/>
      <c r="L1852" s="54"/>
      <c r="N1852" s="54"/>
      <c r="P1852" s="54"/>
      <c r="R1852" s="54"/>
      <c r="T1852" s="1"/>
      <c r="V1852" s="54"/>
      <c r="X1852" s="54"/>
      <c r="Z1852" s="54"/>
      <c r="AB1852" s="54"/>
      <c r="AD1852" s="54"/>
      <c r="AF1852" s="54"/>
      <c r="AH1852" s="54"/>
      <c r="AJ1852" s="54"/>
      <c r="AL1852" s="54"/>
      <c r="AO1852" s="54"/>
      <c r="AP1852" s="1"/>
      <c r="AQ1852" s="54"/>
      <c r="AR1852" s="171"/>
      <c r="AS1852" s="1"/>
      <c r="AT1852" s="1"/>
      <c r="AU1852" s="1"/>
    </row>
    <row r="1853">
      <c r="A1853" s="54"/>
      <c r="B1853" s="71"/>
      <c r="C1853" s="51"/>
      <c r="D1853" s="54"/>
      <c r="E1853" s="114"/>
      <c r="F1853" s="16"/>
      <c r="G1853" s="114"/>
      <c r="H1853" s="54"/>
      <c r="I1853" s="114"/>
      <c r="J1853" s="54"/>
      <c r="L1853" s="54"/>
      <c r="N1853" s="54"/>
      <c r="P1853" s="54"/>
      <c r="R1853" s="54"/>
      <c r="T1853" s="1"/>
      <c r="V1853" s="54"/>
      <c r="X1853" s="54"/>
      <c r="Z1853" s="54"/>
      <c r="AB1853" s="54"/>
      <c r="AD1853" s="54"/>
      <c r="AF1853" s="54"/>
      <c r="AH1853" s="54"/>
      <c r="AJ1853" s="54"/>
      <c r="AL1853" s="54"/>
      <c r="AO1853" s="54"/>
      <c r="AP1853" s="1"/>
      <c r="AQ1853" s="54"/>
      <c r="AR1853" s="171"/>
      <c r="AS1853" s="1"/>
      <c r="AT1853" s="1"/>
      <c r="AU1853" s="1"/>
    </row>
    <row r="1854">
      <c r="A1854" s="54"/>
      <c r="B1854" s="71"/>
      <c r="C1854" s="51"/>
      <c r="D1854" s="54"/>
      <c r="E1854" s="114"/>
      <c r="F1854" s="16"/>
      <c r="G1854" s="114"/>
      <c r="H1854" s="54"/>
      <c r="I1854" s="114"/>
      <c r="J1854" s="54"/>
      <c r="L1854" s="54"/>
      <c r="N1854" s="54"/>
      <c r="P1854" s="54"/>
      <c r="R1854" s="54"/>
      <c r="T1854" s="1"/>
      <c r="V1854" s="54"/>
      <c r="X1854" s="54"/>
      <c r="Z1854" s="54"/>
      <c r="AB1854" s="54"/>
      <c r="AD1854" s="54"/>
      <c r="AF1854" s="54"/>
      <c r="AH1854" s="54"/>
      <c r="AJ1854" s="54"/>
      <c r="AL1854" s="54"/>
      <c r="AO1854" s="54"/>
      <c r="AP1854" s="1"/>
      <c r="AQ1854" s="54"/>
      <c r="AR1854" s="171"/>
      <c r="AS1854" s="1"/>
      <c r="AT1854" s="1"/>
      <c r="AU1854" s="1"/>
    </row>
    <row r="1855">
      <c r="A1855" s="54"/>
      <c r="B1855" s="71"/>
      <c r="C1855" s="51"/>
      <c r="D1855" s="54"/>
      <c r="E1855" s="114"/>
      <c r="F1855" s="16"/>
      <c r="G1855" s="114"/>
      <c r="H1855" s="54"/>
      <c r="I1855" s="114"/>
      <c r="J1855" s="54"/>
      <c r="L1855" s="54"/>
      <c r="N1855" s="54"/>
      <c r="P1855" s="54"/>
      <c r="R1855" s="54"/>
      <c r="T1855" s="1"/>
      <c r="V1855" s="54"/>
      <c r="X1855" s="54"/>
      <c r="Z1855" s="54"/>
      <c r="AB1855" s="54"/>
      <c r="AD1855" s="54"/>
      <c r="AF1855" s="54"/>
      <c r="AH1855" s="54"/>
      <c r="AJ1855" s="54"/>
      <c r="AL1855" s="54"/>
      <c r="AO1855" s="54"/>
      <c r="AP1855" s="1"/>
      <c r="AQ1855" s="54"/>
      <c r="AR1855" s="171"/>
      <c r="AS1855" s="1"/>
      <c r="AT1855" s="1"/>
      <c r="AU1855" s="1"/>
    </row>
    <row r="1856">
      <c r="A1856" s="54"/>
      <c r="B1856" s="71"/>
      <c r="C1856" s="51"/>
      <c r="D1856" s="54"/>
      <c r="E1856" s="114"/>
      <c r="F1856" s="16"/>
      <c r="G1856" s="114"/>
      <c r="H1856" s="54"/>
      <c r="I1856" s="114"/>
      <c r="J1856" s="54"/>
      <c r="L1856" s="54"/>
      <c r="N1856" s="54"/>
      <c r="P1856" s="54"/>
      <c r="R1856" s="54"/>
      <c r="T1856" s="1"/>
      <c r="V1856" s="54"/>
      <c r="X1856" s="54"/>
      <c r="Z1856" s="54"/>
      <c r="AB1856" s="54"/>
      <c r="AD1856" s="54"/>
      <c r="AF1856" s="54"/>
      <c r="AH1856" s="54"/>
      <c r="AJ1856" s="54"/>
      <c r="AL1856" s="54"/>
      <c r="AO1856" s="54"/>
      <c r="AP1856" s="1"/>
      <c r="AQ1856" s="54"/>
      <c r="AR1856" s="171"/>
      <c r="AS1856" s="1"/>
      <c r="AT1856" s="1"/>
      <c r="AU1856" s="1"/>
    </row>
    <row r="1857">
      <c r="A1857" s="54"/>
      <c r="B1857" s="71"/>
      <c r="C1857" s="51"/>
      <c r="D1857" s="54"/>
      <c r="E1857" s="114"/>
      <c r="F1857" s="16"/>
      <c r="G1857" s="114"/>
      <c r="H1857" s="54"/>
      <c r="I1857" s="114"/>
      <c r="J1857" s="54"/>
      <c r="L1857" s="54"/>
      <c r="N1857" s="54"/>
      <c r="P1857" s="54"/>
      <c r="R1857" s="54"/>
      <c r="T1857" s="1"/>
      <c r="V1857" s="54"/>
      <c r="X1857" s="54"/>
      <c r="Z1857" s="54"/>
      <c r="AB1857" s="54"/>
      <c r="AD1857" s="54"/>
      <c r="AF1857" s="54"/>
      <c r="AH1857" s="54"/>
      <c r="AJ1857" s="54"/>
      <c r="AL1857" s="54"/>
      <c r="AO1857" s="54"/>
      <c r="AP1857" s="1"/>
      <c r="AQ1857" s="54"/>
      <c r="AR1857" s="171"/>
      <c r="AS1857" s="1"/>
      <c r="AT1857" s="1"/>
      <c r="AU1857" s="1"/>
    </row>
    <row r="1858">
      <c r="A1858" s="54"/>
      <c r="B1858" s="71"/>
      <c r="C1858" s="51"/>
      <c r="D1858" s="54"/>
      <c r="E1858" s="114"/>
      <c r="F1858" s="16"/>
      <c r="G1858" s="114"/>
      <c r="H1858" s="54"/>
      <c r="I1858" s="114"/>
      <c r="J1858" s="54"/>
      <c r="L1858" s="54"/>
      <c r="N1858" s="54"/>
      <c r="P1858" s="54"/>
      <c r="R1858" s="54"/>
      <c r="T1858" s="1"/>
      <c r="V1858" s="54"/>
      <c r="X1858" s="54"/>
      <c r="Z1858" s="54"/>
      <c r="AB1858" s="54"/>
      <c r="AD1858" s="54"/>
      <c r="AF1858" s="54"/>
      <c r="AH1858" s="54"/>
      <c r="AJ1858" s="54"/>
      <c r="AL1858" s="54"/>
      <c r="AO1858" s="54"/>
      <c r="AP1858" s="1"/>
      <c r="AQ1858" s="54"/>
      <c r="AR1858" s="171"/>
      <c r="AS1858" s="1"/>
      <c r="AT1858" s="1"/>
      <c r="AU1858" s="1"/>
    </row>
    <row r="1859">
      <c r="A1859" s="54"/>
      <c r="B1859" s="71"/>
      <c r="C1859" s="51"/>
      <c r="D1859" s="54"/>
      <c r="E1859" s="114"/>
      <c r="F1859" s="16"/>
      <c r="G1859" s="114"/>
      <c r="H1859" s="54"/>
      <c r="I1859" s="114"/>
      <c r="J1859" s="54"/>
      <c r="L1859" s="54"/>
      <c r="N1859" s="54"/>
      <c r="P1859" s="54"/>
      <c r="R1859" s="54"/>
      <c r="T1859" s="1"/>
      <c r="V1859" s="54"/>
      <c r="X1859" s="54"/>
      <c r="Z1859" s="54"/>
      <c r="AB1859" s="54"/>
      <c r="AD1859" s="54"/>
      <c r="AF1859" s="54"/>
      <c r="AH1859" s="54"/>
      <c r="AJ1859" s="54"/>
      <c r="AL1859" s="54"/>
      <c r="AO1859" s="54"/>
      <c r="AP1859" s="1"/>
      <c r="AQ1859" s="54"/>
      <c r="AR1859" s="171"/>
      <c r="AS1859" s="1"/>
      <c r="AT1859" s="1"/>
      <c r="AU1859" s="1"/>
    </row>
    <row r="1860">
      <c r="A1860" s="54"/>
      <c r="B1860" s="71"/>
      <c r="C1860" s="51"/>
      <c r="D1860" s="54"/>
      <c r="E1860" s="114"/>
      <c r="F1860" s="16"/>
      <c r="G1860" s="114"/>
      <c r="H1860" s="54"/>
      <c r="I1860" s="114"/>
      <c r="J1860" s="54"/>
      <c r="L1860" s="54"/>
      <c r="N1860" s="54"/>
      <c r="P1860" s="54"/>
      <c r="R1860" s="54"/>
      <c r="T1860" s="1"/>
      <c r="V1860" s="54"/>
      <c r="X1860" s="54"/>
      <c r="Z1860" s="54"/>
      <c r="AB1860" s="54"/>
      <c r="AD1860" s="54"/>
      <c r="AF1860" s="54"/>
      <c r="AH1860" s="54"/>
      <c r="AJ1860" s="54"/>
      <c r="AL1860" s="54"/>
      <c r="AO1860" s="54"/>
      <c r="AP1860" s="1"/>
      <c r="AQ1860" s="54"/>
      <c r="AR1860" s="171"/>
      <c r="AS1860" s="1"/>
      <c r="AT1860" s="1"/>
      <c r="AU1860" s="1"/>
    </row>
    <row r="1861">
      <c r="A1861" s="54"/>
      <c r="B1861" s="71"/>
      <c r="C1861" s="51"/>
      <c r="D1861" s="54"/>
      <c r="E1861" s="114"/>
      <c r="F1861" s="16"/>
      <c r="G1861" s="114"/>
      <c r="H1861" s="54"/>
      <c r="I1861" s="114"/>
      <c r="J1861" s="54"/>
      <c r="L1861" s="54"/>
      <c r="N1861" s="54"/>
      <c r="P1861" s="54"/>
      <c r="R1861" s="54"/>
      <c r="T1861" s="1"/>
      <c r="V1861" s="54"/>
      <c r="X1861" s="54"/>
      <c r="Z1861" s="54"/>
      <c r="AB1861" s="54"/>
      <c r="AD1861" s="54"/>
      <c r="AF1861" s="54"/>
      <c r="AH1861" s="54"/>
      <c r="AJ1861" s="54"/>
      <c r="AL1861" s="54"/>
      <c r="AO1861" s="54"/>
      <c r="AP1861" s="1"/>
      <c r="AQ1861" s="54"/>
      <c r="AR1861" s="171"/>
      <c r="AS1861" s="1"/>
      <c r="AT1861" s="1"/>
      <c r="AU1861" s="1"/>
    </row>
    <row r="1862">
      <c r="A1862" s="54"/>
      <c r="B1862" s="71"/>
      <c r="C1862" s="51"/>
      <c r="D1862" s="54"/>
      <c r="E1862" s="114"/>
      <c r="F1862" s="16"/>
      <c r="G1862" s="114"/>
      <c r="H1862" s="54"/>
      <c r="I1862" s="114"/>
      <c r="J1862" s="54"/>
      <c r="L1862" s="54"/>
      <c r="N1862" s="54"/>
      <c r="P1862" s="54"/>
      <c r="R1862" s="54"/>
      <c r="T1862" s="1"/>
      <c r="V1862" s="54"/>
      <c r="X1862" s="54"/>
      <c r="Z1862" s="54"/>
      <c r="AB1862" s="54"/>
      <c r="AD1862" s="54"/>
      <c r="AF1862" s="54"/>
      <c r="AH1862" s="54"/>
      <c r="AJ1862" s="54"/>
      <c r="AL1862" s="54"/>
      <c r="AO1862" s="54"/>
      <c r="AP1862" s="1"/>
      <c r="AQ1862" s="54"/>
      <c r="AR1862" s="171"/>
      <c r="AS1862" s="1"/>
      <c r="AT1862" s="1"/>
      <c r="AU1862" s="1"/>
    </row>
    <row r="1863">
      <c r="A1863" s="54"/>
      <c r="B1863" s="71"/>
      <c r="C1863" s="51"/>
      <c r="D1863" s="54"/>
      <c r="E1863" s="114"/>
      <c r="F1863" s="16"/>
      <c r="G1863" s="114"/>
      <c r="H1863" s="54"/>
      <c r="I1863" s="114"/>
      <c r="J1863" s="54"/>
      <c r="L1863" s="54"/>
      <c r="N1863" s="54"/>
      <c r="P1863" s="54"/>
      <c r="R1863" s="54"/>
      <c r="T1863" s="1"/>
      <c r="V1863" s="54"/>
      <c r="X1863" s="54"/>
      <c r="Z1863" s="54"/>
      <c r="AB1863" s="54"/>
      <c r="AD1863" s="54"/>
      <c r="AF1863" s="54"/>
      <c r="AH1863" s="54"/>
      <c r="AJ1863" s="54"/>
      <c r="AL1863" s="54"/>
      <c r="AO1863" s="54"/>
      <c r="AP1863" s="1"/>
      <c r="AQ1863" s="54"/>
      <c r="AR1863" s="171"/>
      <c r="AS1863" s="1"/>
      <c r="AT1863" s="1"/>
      <c r="AU1863" s="1"/>
    </row>
    <row r="1864">
      <c r="A1864" s="54"/>
      <c r="B1864" s="71"/>
      <c r="C1864" s="51"/>
      <c r="D1864" s="54"/>
      <c r="E1864" s="114"/>
      <c r="F1864" s="16"/>
      <c r="G1864" s="114"/>
      <c r="H1864" s="54"/>
      <c r="I1864" s="114"/>
      <c r="J1864" s="54"/>
      <c r="L1864" s="54"/>
      <c r="N1864" s="54"/>
      <c r="P1864" s="54"/>
      <c r="R1864" s="54"/>
      <c r="T1864" s="1"/>
      <c r="V1864" s="54"/>
      <c r="X1864" s="54"/>
      <c r="Z1864" s="54"/>
      <c r="AB1864" s="54"/>
      <c r="AD1864" s="54"/>
      <c r="AF1864" s="54"/>
      <c r="AH1864" s="54"/>
      <c r="AJ1864" s="54"/>
      <c r="AL1864" s="54"/>
      <c r="AO1864" s="54"/>
      <c r="AP1864" s="1"/>
      <c r="AQ1864" s="54"/>
      <c r="AR1864" s="171"/>
      <c r="AS1864" s="1"/>
      <c r="AT1864" s="1"/>
      <c r="AU1864" s="1"/>
    </row>
    <row r="1865">
      <c r="A1865" s="54"/>
      <c r="B1865" s="71"/>
      <c r="C1865" s="51"/>
      <c r="D1865" s="54"/>
      <c r="E1865" s="114"/>
      <c r="F1865" s="16"/>
      <c r="G1865" s="114"/>
      <c r="H1865" s="54"/>
      <c r="I1865" s="114"/>
      <c r="J1865" s="54"/>
      <c r="L1865" s="54"/>
      <c r="N1865" s="54"/>
      <c r="P1865" s="54"/>
      <c r="R1865" s="54"/>
      <c r="T1865" s="1"/>
      <c r="V1865" s="54"/>
      <c r="X1865" s="54"/>
      <c r="Z1865" s="54"/>
      <c r="AB1865" s="54"/>
      <c r="AD1865" s="54"/>
      <c r="AF1865" s="54"/>
      <c r="AH1865" s="54"/>
      <c r="AJ1865" s="54"/>
      <c r="AL1865" s="54"/>
      <c r="AO1865" s="54"/>
      <c r="AP1865" s="1"/>
      <c r="AQ1865" s="54"/>
      <c r="AR1865" s="171"/>
      <c r="AS1865" s="1"/>
      <c r="AT1865" s="1"/>
      <c r="AU1865" s="1"/>
    </row>
    <row r="1866">
      <c r="A1866" s="54"/>
      <c r="B1866" s="71"/>
      <c r="C1866" s="51"/>
      <c r="D1866" s="54"/>
      <c r="E1866" s="114"/>
      <c r="F1866" s="16"/>
      <c r="G1866" s="114"/>
      <c r="H1866" s="54"/>
      <c r="I1866" s="114"/>
      <c r="J1866" s="54"/>
      <c r="L1866" s="54"/>
      <c r="N1866" s="54"/>
      <c r="P1866" s="54"/>
      <c r="R1866" s="54"/>
      <c r="T1866" s="1"/>
      <c r="V1866" s="54"/>
      <c r="X1866" s="54"/>
      <c r="Z1866" s="54"/>
      <c r="AB1866" s="54"/>
      <c r="AD1866" s="54"/>
      <c r="AF1866" s="54"/>
      <c r="AH1866" s="54"/>
      <c r="AJ1866" s="54"/>
      <c r="AL1866" s="54"/>
      <c r="AO1866" s="54"/>
      <c r="AP1866" s="1"/>
      <c r="AQ1866" s="54"/>
      <c r="AR1866" s="171"/>
      <c r="AS1866" s="1"/>
      <c r="AT1866" s="1"/>
      <c r="AU1866" s="1"/>
    </row>
    <row r="1867">
      <c r="A1867" s="54"/>
      <c r="B1867" s="71"/>
      <c r="C1867" s="51"/>
      <c r="D1867" s="54"/>
      <c r="E1867" s="114"/>
      <c r="F1867" s="16"/>
      <c r="G1867" s="114"/>
      <c r="H1867" s="54"/>
      <c r="I1867" s="114"/>
      <c r="J1867" s="54"/>
      <c r="L1867" s="54"/>
      <c r="N1867" s="54"/>
      <c r="P1867" s="54"/>
      <c r="R1867" s="54"/>
      <c r="T1867" s="1"/>
      <c r="V1867" s="54"/>
      <c r="X1867" s="54"/>
      <c r="Z1867" s="54"/>
      <c r="AB1867" s="54"/>
      <c r="AD1867" s="54"/>
      <c r="AF1867" s="54"/>
      <c r="AH1867" s="54"/>
      <c r="AJ1867" s="54"/>
      <c r="AL1867" s="54"/>
      <c r="AO1867" s="54"/>
      <c r="AP1867" s="1"/>
      <c r="AQ1867" s="54"/>
      <c r="AR1867" s="171"/>
      <c r="AS1867" s="1"/>
      <c r="AT1867" s="1"/>
      <c r="AU1867" s="1"/>
    </row>
    <row r="1868">
      <c r="A1868" s="54"/>
      <c r="B1868" s="71"/>
      <c r="C1868" s="51"/>
      <c r="D1868" s="54"/>
      <c r="E1868" s="114"/>
      <c r="F1868" s="16"/>
      <c r="G1868" s="114"/>
      <c r="H1868" s="54"/>
      <c r="I1868" s="114"/>
      <c r="J1868" s="54"/>
      <c r="L1868" s="54"/>
      <c r="N1868" s="54"/>
      <c r="P1868" s="54"/>
      <c r="R1868" s="54"/>
      <c r="T1868" s="1"/>
      <c r="V1868" s="54"/>
      <c r="X1868" s="54"/>
      <c r="Z1868" s="54"/>
      <c r="AB1868" s="54"/>
      <c r="AD1868" s="54"/>
      <c r="AF1868" s="54"/>
      <c r="AH1868" s="54"/>
      <c r="AJ1868" s="54"/>
      <c r="AL1868" s="54"/>
      <c r="AO1868" s="54"/>
      <c r="AP1868" s="1"/>
      <c r="AQ1868" s="54"/>
      <c r="AR1868" s="171"/>
      <c r="AS1868" s="1"/>
      <c r="AT1868" s="1"/>
      <c r="AU1868" s="1"/>
    </row>
    <row r="1869">
      <c r="A1869" s="54"/>
      <c r="B1869" s="71"/>
      <c r="C1869" s="51"/>
      <c r="D1869" s="54"/>
      <c r="E1869" s="114"/>
      <c r="F1869" s="16"/>
      <c r="G1869" s="114"/>
      <c r="H1869" s="54"/>
      <c r="I1869" s="114"/>
      <c r="J1869" s="54"/>
      <c r="L1869" s="54"/>
      <c r="N1869" s="54"/>
      <c r="P1869" s="54"/>
      <c r="R1869" s="54"/>
      <c r="T1869" s="1"/>
      <c r="V1869" s="54"/>
      <c r="X1869" s="54"/>
      <c r="Z1869" s="54"/>
      <c r="AB1869" s="54"/>
      <c r="AD1869" s="54"/>
      <c r="AF1869" s="54"/>
      <c r="AH1869" s="54"/>
      <c r="AJ1869" s="54"/>
      <c r="AL1869" s="54"/>
      <c r="AO1869" s="54"/>
      <c r="AP1869" s="1"/>
      <c r="AQ1869" s="54"/>
      <c r="AR1869" s="171"/>
      <c r="AS1869" s="1"/>
      <c r="AT1869" s="1"/>
      <c r="AU1869" s="1"/>
    </row>
    <row r="1870">
      <c r="A1870" s="54"/>
      <c r="B1870" s="71"/>
      <c r="C1870" s="51"/>
      <c r="D1870" s="54"/>
      <c r="E1870" s="114"/>
      <c r="F1870" s="16"/>
      <c r="G1870" s="114"/>
      <c r="H1870" s="54"/>
      <c r="I1870" s="114"/>
      <c r="J1870" s="54"/>
      <c r="L1870" s="54"/>
      <c r="N1870" s="54"/>
      <c r="P1870" s="54"/>
      <c r="R1870" s="54"/>
      <c r="T1870" s="1"/>
      <c r="V1870" s="54"/>
      <c r="X1870" s="54"/>
      <c r="Z1870" s="54"/>
      <c r="AB1870" s="54"/>
      <c r="AD1870" s="54"/>
      <c r="AF1870" s="54"/>
      <c r="AH1870" s="54"/>
      <c r="AJ1870" s="54"/>
      <c r="AL1870" s="54"/>
      <c r="AO1870" s="54"/>
      <c r="AP1870" s="1"/>
      <c r="AQ1870" s="54"/>
      <c r="AR1870" s="171"/>
      <c r="AS1870" s="1"/>
      <c r="AT1870" s="1"/>
      <c r="AU1870" s="1"/>
    </row>
    <row r="1871">
      <c r="A1871" s="54"/>
      <c r="B1871" s="71"/>
      <c r="C1871" s="51"/>
      <c r="D1871" s="54"/>
      <c r="E1871" s="114"/>
      <c r="F1871" s="16"/>
      <c r="G1871" s="114"/>
      <c r="H1871" s="54"/>
      <c r="I1871" s="114"/>
      <c r="J1871" s="54"/>
      <c r="L1871" s="54"/>
      <c r="N1871" s="54"/>
      <c r="P1871" s="54"/>
      <c r="R1871" s="54"/>
      <c r="T1871" s="1"/>
      <c r="V1871" s="54"/>
      <c r="X1871" s="54"/>
      <c r="Z1871" s="54"/>
      <c r="AB1871" s="54"/>
      <c r="AD1871" s="54"/>
      <c r="AF1871" s="54"/>
      <c r="AH1871" s="54"/>
      <c r="AJ1871" s="54"/>
      <c r="AL1871" s="54"/>
      <c r="AO1871" s="54"/>
      <c r="AP1871" s="1"/>
      <c r="AQ1871" s="54"/>
      <c r="AR1871" s="171"/>
      <c r="AS1871" s="1"/>
      <c r="AT1871" s="1"/>
      <c r="AU1871" s="1"/>
    </row>
    <row r="1872">
      <c r="A1872" s="54"/>
      <c r="B1872" s="71"/>
      <c r="C1872" s="51"/>
      <c r="D1872" s="54"/>
      <c r="E1872" s="114"/>
      <c r="F1872" s="16"/>
      <c r="G1872" s="114"/>
      <c r="H1872" s="54"/>
      <c r="I1872" s="114"/>
      <c r="J1872" s="54"/>
      <c r="L1872" s="54"/>
      <c r="N1872" s="54"/>
      <c r="P1872" s="54"/>
      <c r="R1872" s="54"/>
      <c r="T1872" s="1"/>
      <c r="V1872" s="54"/>
      <c r="X1872" s="54"/>
      <c r="Z1872" s="54"/>
      <c r="AB1872" s="54"/>
      <c r="AD1872" s="54"/>
      <c r="AF1872" s="54"/>
      <c r="AH1872" s="54"/>
      <c r="AJ1872" s="54"/>
      <c r="AL1872" s="54"/>
      <c r="AO1872" s="54"/>
      <c r="AP1872" s="1"/>
      <c r="AQ1872" s="54"/>
      <c r="AR1872" s="171"/>
      <c r="AS1872" s="1"/>
      <c r="AT1872" s="1"/>
      <c r="AU1872" s="1"/>
    </row>
    <row r="1873">
      <c r="A1873" s="54"/>
      <c r="B1873" s="71"/>
      <c r="C1873" s="51"/>
      <c r="D1873" s="54"/>
      <c r="E1873" s="114"/>
      <c r="F1873" s="16"/>
      <c r="G1873" s="114"/>
      <c r="H1873" s="54"/>
      <c r="I1873" s="114"/>
      <c r="J1873" s="54"/>
      <c r="L1873" s="54"/>
      <c r="N1873" s="54"/>
      <c r="P1873" s="54"/>
      <c r="R1873" s="54"/>
      <c r="T1873" s="1"/>
      <c r="V1873" s="54"/>
      <c r="X1873" s="54"/>
      <c r="Z1873" s="54"/>
      <c r="AB1873" s="54"/>
      <c r="AD1873" s="54"/>
      <c r="AF1873" s="54"/>
      <c r="AH1873" s="54"/>
      <c r="AJ1873" s="54"/>
      <c r="AL1873" s="54"/>
      <c r="AO1873" s="54"/>
      <c r="AP1873" s="1"/>
      <c r="AQ1873" s="54"/>
      <c r="AR1873" s="171"/>
      <c r="AS1873" s="1"/>
      <c r="AT1873" s="1"/>
      <c r="AU1873" s="1"/>
    </row>
    <row r="1874">
      <c r="A1874" s="54"/>
      <c r="B1874" s="71"/>
      <c r="C1874" s="51"/>
      <c r="D1874" s="54"/>
      <c r="E1874" s="114"/>
      <c r="F1874" s="16"/>
      <c r="G1874" s="114"/>
      <c r="H1874" s="54"/>
      <c r="I1874" s="114"/>
      <c r="J1874" s="54"/>
      <c r="L1874" s="54"/>
      <c r="N1874" s="54"/>
      <c r="P1874" s="54"/>
      <c r="R1874" s="54"/>
      <c r="T1874" s="1"/>
      <c r="V1874" s="54"/>
      <c r="X1874" s="54"/>
      <c r="Z1874" s="54"/>
      <c r="AB1874" s="54"/>
      <c r="AD1874" s="54"/>
      <c r="AF1874" s="54"/>
      <c r="AH1874" s="54"/>
      <c r="AJ1874" s="54"/>
      <c r="AL1874" s="54"/>
      <c r="AO1874" s="54"/>
      <c r="AP1874" s="1"/>
      <c r="AQ1874" s="54"/>
      <c r="AR1874" s="171"/>
      <c r="AS1874" s="1"/>
      <c r="AT1874" s="1"/>
      <c r="AU1874" s="1"/>
    </row>
    <row r="1875">
      <c r="A1875" s="54"/>
      <c r="B1875" s="71"/>
      <c r="C1875" s="51"/>
      <c r="D1875" s="54"/>
      <c r="E1875" s="114"/>
      <c r="F1875" s="16"/>
      <c r="G1875" s="114"/>
      <c r="H1875" s="54"/>
      <c r="I1875" s="114"/>
      <c r="J1875" s="54"/>
      <c r="L1875" s="54"/>
      <c r="N1875" s="54"/>
      <c r="P1875" s="54"/>
      <c r="R1875" s="54"/>
      <c r="T1875" s="1"/>
      <c r="V1875" s="54"/>
      <c r="X1875" s="54"/>
      <c r="Z1875" s="54"/>
      <c r="AB1875" s="54"/>
      <c r="AD1875" s="54"/>
      <c r="AF1875" s="54"/>
      <c r="AH1875" s="54"/>
      <c r="AJ1875" s="54"/>
      <c r="AL1875" s="54"/>
      <c r="AO1875" s="54"/>
      <c r="AP1875" s="1"/>
      <c r="AQ1875" s="54"/>
      <c r="AR1875" s="171"/>
      <c r="AS1875" s="1"/>
      <c r="AT1875" s="1"/>
      <c r="AU1875" s="1"/>
    </row>
    <row r="1876">
      <c r="A1876" s="54"/>
      <c r="B1876" s="71"/>
      <c r="C1876" s="51"/>
      <c r="D1876" s="54"/>
      <c r="E1876" s="114"/>
      <c r="F1876" s="16"/>
      <c r="G1876" s="114"/>
      <c r="H1876" s="54"/>
      <c r="I1876" s="114"/>
      <c r="J1876" s="54"/>
      <c r="L1876" s="54"/>
      <c r="N1876" s="54"/>
      <c r="P1876" s="54"/>
      <c r="R1876" s="54"/>
      <c r="T1876" s="1"/>
      <c r="V1876" s="54"/>
      <c r="X1876" s="54"/>
      <c r="Z1876" s="54"/>
      <c r="AB1876" s="54"/>
      <c r="AD1876" s="54"/>
      <c r="AF1876" s="54"/>
      <c r="AH1876" s="54"/>
      <c r="AJ1876" s="54"/>
      <c r="AL1876" s="54"/>
      <c r="AO1876" s="54"/>
      <c r="AP1876" s="1"/>
      <c r="AQ1876" s="54"/>
      <c r="AR1876" s="171"/>
      <c r="AS1876" s="1"/>
      <c r="AT1876" s="1"/>
      <c r="AU1876" s="1"/>
    </row>
    <row r="1877">
      <c r="A1877" s="54"/>
      <c r="B1877" s="71"/>
      <c r="C1877" s="51"/>
      <c r="D1877" s="54"/>
      <c r="E1877" s="114"/>
      <c r="F1877" s="16"/>
      <c r="G1877" s="114"/>
      <c r="H1877" s="54"/>
      <c r="I1877" s="114"/>
      <c r="J1877" s="54"/>
      <c r="L1877" s="54"/>
      <c r="N1877" s="54"/>
      <c r="P1877" s="54"/>
      <c r="R1877" s="54"/>
      <c r="T1877" s="1"/>
      <c r="V1877" s="54"/>
      <c r="X1877" s="54"/>
      <c r="Z1877" s="54"/>
      <c r="AB1877" s="54"/>
      <c r="AD1877" s="54"/>
      <c r="AF1877" s="54"/>
      <c r="AH1877" s="54"/>
      <c r="AJ1877" s="54"/>
      <c r="AL1877" s="54"/>
      <c r="AO1877" s="54"/>
      <c r="AP1877" s="1"/>
      <c r="AQ1877" s="54"/>
      <c r="AR1877" s="171"/>
      <c r="AS1877" s="1"/>
      <c r="AT1877" s="1"/>
      <c r="AU1877" s="1"/>
    </row>
    <row r="1878">
      <c r="A1878" s="54"/>
      <c r="B1878" s="71"/>
      <c r="C1878" s="51"/>
      <c r="D1878" s="54"/>
      <c r="E1878" s="114"/>
      <c r="F1878" s="16"/>
      <c r="G1878" s="114"/>
      <c r="H1878" s="54"/>
      <c r="I1878" s="114"/>
      <c r="J1878" s="54"/>
      <c r="L1878" s="54"/>
      <c r="N1878" s="54"/>
      <c r="P1878" s="54"/>
      <c r="R1878" s="54"/>
      <c r="T1878" s="1"/>
      <c r="V1878" s="54"/>
      <c r="X1878" s="54"/>
      <c r="Z1878" s="54"/>
      <c r="AB1878" s="54"/>
      <c r="AD1878" s="54"/>
      <c r="AF1878" s="54"/>
      <c r="AH1878" s="54"/>
      <c r="AJ1878" s="54"/>
      <c r="AL1878" s="54"/>
      <c r="AO1878" s="54"/>
      <c r="AP1878" s="1"/>
      <c r="AQ1878" s="54"/>
      <c r="AR1878" s="171"/>
      <c r="AS1878" s="1"/>
      <c r="AT1878" s="1"/>
      <c r="AU1878" s="1"/>
    </row>
    <row r="1879">
      <c r="A1879" s="54"/>
      <c r="B1879" s="71"/>
      <c r="C1879" s="51"/>
      <c r="D1879" s="54"/>
      <c r="E1879" s="114"/>
      <c r="F1879" s="16"/>
      <c r="G1879" s="114"/>
      <c r="H1879" s="54"/>
      <c r="I1879" s="114"/>
      <c r="J1879" s="54"/>
      <c r="L1879" s="54"/>
      <c r="N1879" s="54"/>
      <c r="P1879" s="54"/>
      <c r="R1879" s="54"/>
      <c r="T1879" s="1"/>
      <c r="V1879" s="54"/>
      <c r="X1879" s="54"/>
      <c r="Z1879" s="54"/>
      <c r="AB1879" s="54"/>
      <c r="AD1879" s="54"/>
      <c r="AF1879" s="54"/>
      <c r="AH1879" s="54"/>
      <c r="AJ1879" s="54"/>
      <c r="AL1879" s="54"/>
      <c r="AO1879" s="54"/>
      <c r="AP1879" s="1"/>
      <c r="AQ1879" s="54"/>
      <c r="AR1879" s="171"/>
      <c r="AS1879" s="1"/>
      <c r="AT1879" s="1"/>
      <c r="AU1879" s="1"/>
    </row>
    <row r="1880">
      <c r="A1880" s="54"/>
      <c r="B1880" s="71"/>
      <c r="C1880" s="51"/>
      <c r="D1880" s="54"/>
      <c r="E1880" s="114"/>
      <c r="F1880" s="16"/>
      <c r="G1880" s="114"/>
      <c r="H1880" s="54"/>
      <c r="I1880" s="114"/>
      <c r="J1880" s="54"/>
      <c r="L1880" s="54"/>
      <c r="N1880" s="54"/>
      <c r="P1880" s="54"/>
      <c r="R1880" s="54"/>
      <c r="T1880" s="1"/>
      <c r="V1880" s="54"/>
      <c r="X1880" s="54"/>
      <c r="Z1880" s="54"/>
      <c r="AB1880" s="54"/>
      <c r="AD1880" s="54"/>
      <c r="AF1880" s="54"/>
      <c r="AH1880" s="54"/>
      <c r="AJ1880" s="54"/>
      <c r="AL1880" s="54"/>
      <c r="AO1880" s="54"/>
      <c r="AP1880" s="1"/>
      <c r="AQ1880" s="54"/>
      <c r="AR1880" s="171"/>
      <c r="AS1880" s="1"/>
      <c r="AT1880" s="1"/>
      <c r="AU1880" s="1"/>
    </row>
    <row r="1881">
      <c r="A1881" s="54"/>
      <c r="B1881" s="71"/>
      <c r="C1881" s="51"/>
      <c r="D1881" s="54"/>
      <c r="E1881" s="114"/>
      <c r="F1881" s="16"/>
      <c r="G1881" s="114"/>
      <c r="H1881" s="54"/>
      <c r="I1881" s="114"/>
      <c r="J1881" s="54"/>
      <c r="L1881" s="54"/>
      <c r="N1881" s="54"/>
      <c r="P1881" s="54"/>
      <c r="R1881" s="54"/>
      <c r="T1881" s="1"/>
      <c r="V1881" s="54"/>
      <c r="X1881" s="54"/>
      <c r="Z1881" s="54"/>
      <c r="AB1881" s="54"/>
      <c r="AD1881" s="54"/>
      <c r="AF1881" s="54"/>
      <c r="AH1881" s="54"/>
      <c r="AJ1881" s="54"/>
      <c r="AL1881" s="54"/>
      <c r="AO1881" s="54"/>
      <c r="AP1881" s="1"/>
      <c r="AQ1881" s="54"/>
      <c r="AR1881" s="171"/>
      <c r="AS1881" s="1"/>
      <c r="AT1881" s="1"/>
      <c r="AU1881" s="1"/>
    </row>
    <row r="1882">
      <c r="A1882" s="54"/>
      <c r="B1882" s="71"/>
      <c r="C1882" s="51"/>
      <c r="D1882" s="54"/>
      <c r="E1882" s="114"/>
      <c r="F1882" s="16"/>
      <c r="G1882" s="114"/>
      <c r="H1882" s="54"/>
      <c r="I1882" s="114"/>
      <c r="J1882" s="54"/>
      <c r="L1882" s="54"/>
      <c r="N1882" s="54"/>
      <c r="P1882" s="54"/>
      <c r="R1882" s="54"/>
      <c r="T1882" s="1"/>
      <c r="V1882" s="54"/>
      <c r="X1882" s="54"/>
      <c r="Z1882" s="54"/>
      <c r="AB1882" s="54"/>
      <c r="AD1882" s="54"/>
      <c r="AF1882" s="54"/>
      <c r="AH1882" s="54"/>
      <c r="AJ1882" s="54"/>
      <c r="AL1882" s="54"/>
      <c r="AO1882" s="54"/>
      <c r="AP1882" s="1"/>
      <c r="AQ1882" s="54"/>
      <c r="AR1882" s="171"/>
      <c r="AS1882" s="1"/>
      <c r="AT1882" s="1"/>
      <c r="AU1882" s="1"/>
    </row>
    <row r="1883">
      <c r="A1883" s="54"/>
      <c r="B1883" s="71"/>
      <c r="C1883" s="51"/>
      <c r="D1883" s="54"/>
      <c r="E1883" s="114"/>
      <c r="F1883" s="16"/>
      <c r="G1883" s="114"/>
      <c r="H1883" s="54"/>
      <c r="I1883" s="114"/>
      <c r="J1883" s="54"/>
      <c r="L1883" s="54"/>
      <c r="N1883" s="54"/>
      <c r="P1883" s="54"/>
      <c r="R1883" s="54"/>
      <c r="T1883" s="1"/>
      <c r="V1883" s="54"/>
      <c r="X1883" s="54"/>
      <c r="Z1883" s="54"/>
      <c r="AB1883" s="54"/>
      <c r="AD1883" s="54"/>
      <c r="AF1883" s="54"/>
      <c r="AH1883" s="54"/>
      <c r="AJ1883" s="54"/>
      <c r="AL1883" s="54"/>
      <c r="AO1883" s="54"/>
      <c r="AP1883" s="1"/>
      <c r="AQ1883" s="54"/>
      <c r="AR1883" s="171"/>
      <c r="AS1883" s="1"/>
      <c r="AT1883" s="1"/>
      <c r="AU1883" s="1"/>
    </row>
    <row r="1884">
      <c r="A1884" s="54"/>
      <c r="B1884" s="71"/>
      <c r="C1884" s="51"/>
      <c r="D1884" s="54"/>
      <c r="E1884" s="114"/>
      <c r="F1884" s="16"/>
      <c r="G1884" s="114"/>
      <c r="H1884" s="54"/>
      <c r="I1884" s="114"/>
      <c r="J1884" s="54"/>
      <c r="L1884" s="54"/>
      <c r="N1884" s="54"/>
      <c r="P1884" s="54"/>
      <c r="R1884" s="54"/>
      <c r="T1884" s="1"/>
      <c r="V1884" s="54"/>
      <c r="X1884" s="54"/>
      <c r="Z1884" s="54"/>
      <c r="AB1884" s="54"/>
      <c r="AD1884" s="54"/>
      <c r="AF1884" s="54"/>
      <c r="AH1884" s="54"/>
      <c r="AJ1884" s="54"/>
      <c r="AL1884" s="54"/>
      <c r="AO1884" s="54"/>
      <c r="AP1884" s="1"/>
      <c r="AQ1884" s="54"/>
      <c r="AR1884" s="171"/>
      <c r="AS1884" s="1"/>
      <c r="AT1884" s="1"/>
      <c r="AU1884" s="1"/>
    </row>
    <row r="1885">
      <c r="A1885" s="54"/>
      <c r="B1885" s="71"/>
      <c r="C1885" s="51"/>
      <c r="D1885" s="54"/>
      <c r="E1885" s="114"/>
      <c r="F1885" s="16"/>
      <c r="G1885" s="114"/>
      <c r="H1885" s="54"/>
      <c r="I1885" s="114"/>
      <c r="J1885" s="54"/>
      <c r="L1885" s="54"/>
      <c r="N1885" s="54"/>
      <c r="P1885" s="54"/>
      <c r="R1885" s="54"/>
      <c r="T1885" s="1"/>
      <c r="V1885" s="54"/>
      <c r="X1885" s="54"/>
      <c r="Z1885" s="54"/>
      <c r="AB1885" s="54"/>
      <c r="AD1885" s="54"/>
      <c r="AF1885" s="54"/>
      <c r="AH1885" s="54"/>
      <c r="AJ1885" s="54"/>
      <c r="AL1885" s="54"/>
      <c r="AO1885" s="54"/>
      <c r="AP1885" s="1"/>
      <c r="AQ1885" s="54"/>
      <c r="AR1885" s="171"/>
      <c r="AS1885" s="1"/>
      <c r="AT1885" s="1"/>
      <c r="AU1885" s="1"/>
    </row>
    <row r="1886">
      <c r="A1886" s="54"/>
      <c r="B1886" s="71"/>
      <c r="C1886" s="51"/>
      <c r="D1886" s="54"/>
      <c r="E1886" s="114"/>
      <c r="F1886" s="16"/>
      <c r="G1886" s="114"/>
      <c r="H1886" s="54"/>
      <c r="I1886" s="114"/>
      <c r="J1886" s="54"/>
      <c r="L1886" s="54"/>
      <c r="N1886" s="54"/>
      <c r="P1886" s="54"/>
      <c r="R1886" s="54"/>
      <c r="T1886" s="1"/>
      <c r="V1886" s="54"/>
      <c r="X1886" s="54"/>
      <c r="Z1886" s="54"/>
      <c r="AB1886" s="54"/>
      <c r="AD1886" s="54"/>
      <c r="AF1886" s="54"/>
      <c r="AH1886" s="54"/>
      <c r="AJ1886" s="54"/>
      <c r="AL1886" s="54"/>
      <c r="AO1886" s="54"/>
      <c r="AP1886" s="1"/>
      <c r="AQ1886" s="54"/>
      <c r="AR1886" s="171"/>
      <c r="AS1886" s="1"/>
      <c r="AT1886" s="1"/>
      <c r="AU1886" s="1"/>
    </row>
    <row r="1887">
      <c r="A1887" s="54"/>
      <c r="B1887" s="71"/>
      <c r="C1887" s="51"/>
      <c r="D1887" s="54"/>
      <c r="E1887" s="114"/>
      <c r="F1887" s="16"/>
      <c r="G1887" s="114"/>
      <c r="H1887" s="54"/>
      <c r="I1887" s="114"/>
      <c r="J1887" s="54"/>
      <c r="L1887" s="54"/>
      <c r="N1887" s="54"/>
      <c r="P1887" s="54"/>
      <c r="R1887" s="54"/>
      <c r="T1887" s="1"/>
      <c r="V1887" s="54"/>
      <c r="X1887" s="54"/>
      <c r="Z1887" s="54"/>
      <c r="AB1887" s="54"/>
      <c r="AD1887" s="54"/>
      <c r="AF1887" s="54"/>
      <c r="AH1887" s="54"/>
      <c r="AJ1887" s="54"/>
      <c r="AL1887" s="54"/>
      <c r="AO1887" s="54"/>
      <c r="AP1887" s="1"/>
      <c r="AQ1887" s="54"/>
      <c r="AR1887" s="171"/>
      <c r="AS1887" s="1"/>
      <c r="AT1887" s="1"/>
      <c r="AU1887" s="1"/>
    </row>
    <row r="1888">
      <c r="A1888" s="54"/>
      <c r="B1888" s="71"/>
      <c r="C1888" s="51"/>
      <c r="D1888" s="54"/>
      <c r="E1888" s="114"/>
      <c r="F1888" s="16"/>
      <c r="G1888" s="114"/>
      <c r="H1888" s="54"/>
      <c r="I1888" s="114"/>
      <c r="J1888" s="54"/>
      <c r="L1888" s="54"/>
      <c r="N1888" s="54"/>
      <c r="P1888" s="54"/>
      <c r="R1888" s="54"/>
      <c r="T1888" s="1"/>
      <c r="V1888" s="54"/>
      <c r="X1888" s="54"/>
      <c r="Z1888" s="54"/>
      <c r="AB1888" s="54"/>
      <c r="AD1888" s="54"/>
      <c r="AF1888" s="54"/>
      <c r="AH1888" s="54"/>
      <c r="AJ1888" s="54"/>
      <c r="AL1888" s="54"/>
      <c r="AO1888" s="54"/>
      <c r="AP1888" s="1"/>
      <c r="AQ1888" s="54"/>
      <c r="AR1888" s="171"/>
      <c r="AS1888" s="1"/>
      <c r="AT1888" s="1"/>
      <c r="AU1888" s="1"/>
    </row>
    <row r="1889">
      <c r="A1889" s="54"/>
      <c r="B1889" s="71"/>
      <c r="C1889" s="51"/>
      <c r="D1889" s="54"/>
      <c r="E1889" s="114"/>
      <c r="F1889" s="16"/>
      <c r="G1889" s="114"/>
      <c r="H1889" s="54"/>
      <c r="I1889" s="114"/>
      <c r="J1889" s="54"/>
      <c r="L1889" s="54"/>
      <c r="N1889" s="54"/>
      <c r="P1889" s="54"/>
      <c r="R1889" s="54"/>
      <c r="T1889" s="1"/>
      <c r="V1889" s="54"/>
      <c r="X1889" s="54"/>
      <c r="Z1889" s="54"/>
      <c r="AB1889" s="54"/>
      <c r="AD1889" s="54"/>
      <c r="AF1889" s="54"/>
      <c r="AH1889" s="54"/>
      <c r="AJ1889" s="54"/>
      <c r="AL1889" s="54"/>
      <c r="AO1889" s="54"/>
      <c r="AP1889" s="1"/>
      <c r="AQ1889" s="54"/>
      <c r="AR1889" s="171"/>
      <c r="AS1889" s="1"/>
      <c r="AT1889" s="1"/>
      <c r="AU1889" s="1"/>
    </row>
    <row r="1890">
      <c r="A1890" s="54"/>
      <c r="B1890" s="71"/>
      <c r="C1890" s="51"/>
      <c r="D1890" s="54"/>
      <c r="E1890" s="114"/>
      <c r="F1890" s="16"/>
      <c r="G1890" s="114"/>
      <c r="H1890" s="54"/>
      <c r="I1890" s="114"/>
      <c r="J1890" s="54"/>
      <c r="L1890" s="54"/>
      <c r="N1890" s="54"/>
      <c r="P1890" s="54"/>
      <c r="R1890" s="54"/>
      <c r="T1890" s="1"/>
      <c r="V1890" s="54"/>
      <c r="X1890" s="54"/>
      <c r="Z1890" s="54"/>
      <c r="AB1890" s="54"/>
      <c r="AD1890" s="54"/>
      <c r="AF1890" s="54"/>
      <c r="AH1890" s="54"/>
      <c r="AJ1890" s="54"/>
      <c r="AL1890" s="54"/>
      <c r="AO1890" s="54"/>
      <c r="AP1890" s="1"/>
      <c r="AQ1890" s="54"/>
      <c r="AR1890" s="171"/>
      <c r="AS1890" s="1"/>
      <c r="AT1890" s="1"/>
      <c r="AU1890" s="1"/>
    </row>
    <row r="1891">
      <c r="A1891" s="54"/>
      <c r="B1891" s="71"/>
      <c r="C1891" s="51"/>
      <c r="D1891" s="54"/>
      <c r="E1891" s="114"/>
      <c r="F1891" s="16"/>
      <c r="G1891" s="114"/>
      <c r="H1891" s="54"/>
      <c r="I1891" s="114"/>
      <c r="J1891" s="54"/>
      <c r="L1891" s="54"/>
      <c r="N1891" s="54"/>
      <c r="P1891" s="54"/>
      <c r="R1891" s="54"/>
      <c r="T1891" s="1"/>
      <c r="V1891" s="54"/>
      <c r="X1891" s="54"/>
      <c r="Z1891" s="54"/>
      <c r="AB1891" s="54"/>
      <c r="AD1891" s="54"/>
      <c r="AF1891" s="54"/>
      <c r="AH1891" s="54"/>
      <c r="AJ1891" s="54"/>
      <c r="AL1891" s="54"/>
      <c r="AO1891" s="54"/>
      <c r="AP1891" s="1"/>
      <c r="AQ1891" s="54"/>
      <c r="AR1891" s="171"/>
      <c r="AS1891" s="1"/>
      <c r="AT1891" s="1"/>
      <c r="AU1891" s="1"/>
    </row>
    <row r="1892">
      <c r="A1892" s="54"/>
      <c r="B1892" s="71"/>
      <c r="C1892" s="51"/>
      <c r="D1892" s="54"/>
      <c r="E1892" s="114"/>
      <c r="F1892" s="16"/>
      <c r="G1892" s="114"/>
      <c r="H1892" s="54"/>
      <c r="I1892" s="114"/>
      <c r="J1892" s="54"/>
      <c r="L1892" s="54"/>
      <c r="N1892" s="54"/>
      <c r="P1892" s="54"/>
      <c r="R1892" s="54"/>
      <c r="T1892" s="1"/>
      <c r="V1892" s="54"/>
      <c r="X1892" s="54"/>
      <c r="Z1892" s="54"/>
      <c r="AB1892" s="54"/>
      <c r="AD1892" s="54"/>
      <c r="AF1892" s="54"/>
      <c r="AH1892" s="54"/>
      <c r="AJ1892" s="54"/>
      <c r="AL1892" s="54"/>
      <c r="AO1892" s="54"/>
      <c r="AP1892" s="1"/>
      <c r="AQ1892" s="54"/>
      <c r="AR1892" s="171"/>
      <c r="AS1892" s="1"/>
      <c r="AT1892" s="1"/>
      <c r="AU1892" s="1"/>
    </row>
    <row r="1893">
      <c r="A1893" s="54"/>
      <c r="B1893" s="71"/>
      <c r="C1893" s="51"/>
      <c r="D1893" s="54"/>
      <c r="E1893" s="114"/>
      <c r="F1893" s="16"/>
      <c r="G1893" s="114"/>
      <c r="H1893" s="54"/>
      <c r="I1893" s="114"/>
      <c r="J1893" s="54"/>
      <c r="L1893" s="54"/>
      <c r="N1893" s="54"/>
      <c r="P1893" s="54"/>
      <c r="R1893" s="54"/>
      <c r="T1893" s="1"/>
      <c r="V1893" s="54"/>
      <c r="X1893" s="54"/>
      <c r="Z1893" s="54"/>
      <c r="AB1893" s="54"/>
      <c r="AD1893" s="54"/>
      <c r="AF1893" s="54"/>
      <c r="AH1893" s="54"/>
      <c r="AJ1893" s="54"/>
      <c r="AL1893" s="54"/>
      <c r="AO1893" s="54"/>
      <c r="AP1893" s="1"/>
      <c r="AQ1893" s="54"/>
      <c r="AR1893" s="171"/>
      <c r="AS1893" s="1"/>
      <c r="AT1893" s="1"/>
      <c r="AU1893" s="1"/>
    </row>
    <row r="1894">
      <c r="A1894" s="54"/>
      <c r="B1894" s="71"/>
      <c r="C1894" s="51"/>
      <c r="D1894" s="54"/>
      <c r="E1894" s="114"/>
      <c r="F1894" s="16"/>
      <c r="G1894" s="114"/>
      <c r="H1894" s="54"/>
      <c r="I1894" s="114"/>
      <c r="J1894" s="54"/>
      <c r="L1894" s="54"/>
      <c r="N1894" s="54"/>
      <c r="P1894" s="54"/>
      <c r="R1894" s="54"/>
      <c r="T1894" s="1"/>
      <c r="V1894" s="54"/>
      <c r="X1894" s="54"/>
      <c r="Z1894" s="54"/>
      <c r="AB1894" s="54"/>
      <c r="AD1894" s="54"/>
      <c r="AF1894" s="54"/>
      <c r="AH1894" s="54"/>
      <c r="AJ1894" s="54"/>
      <c r="AL1894" s="54"/>
      <c r="AO1894" s="54"/>
      <c r="AP1894" s="1"/>
      <c r="AQ1894" s="54"/>
      <c r="AR1894" s="171"/>
      <c r="AS1894" s="1"/>
      <c r="AT1894" s="1"/>
      <c r="AU1894" s="1"/>
    </row>
    <row r="1895">
      <c r="A1895" s="54"/>
      <c r="B1895" s="71"/>
      <c r="C1895" s="51"/>
      <c r="D1895" s="54"/>
      <c r="E1895" s="114"/>
      <c r="F1895" s="16"/>
      <c r="G1895" s="114"/>
      <c r="H1895" s="54"/>
      <c r="I1895" s="114"/>
      <c r="J1895" s="54"/>
      <c r="L1895" s="54"/>
      <c r="N1895" s="54"/>
      <c r="P1895" s="54"/>
      <c r="R1895" s="54"/>
      <c r="T1895" s="1"/>
      <c r="V1895" s="54"/>
      <c r="X1895" s="54"/>
      <c r="Z1895" s="54"/>
      <c r="AB1895" s="54"/>
      <c r="AD1895" s="54"/>
      <c r="AF1895" s="54"/>
      <c r="AH1895" s="54"/>
      <c r="AJ1895" s="54"/>
      <c r="AL1895" s="54"/>
      <c r="AO1895" s="54"/>
      <c r="AP1895" s="1"/>
      <c r="AQ1895" s="54"/>
      <c r="AR1895" s="171"/>
      <c r="AS1895" s="1"/>
      <c r="AT1895" s="1"/>
      <c r="AU1895" s="1"/>
    </row>
    <row r="1896">
      <c r="A1896" s="54"/>
      <c r="B1896" s="71"/>
      <c r="C1896" s="51"/>
      <c r="D1896" s="54"/>
      <c r="E1896" s="114"/>
      <c r="F1896" s="16"/>
      <c r="G1896" s="114"/>
      <c r="H1896" s="54"/>
      <c r="I1896" s="114"/>
      <c r="J1896" s="54"/>
      <c r="L1896" s="54"/>
      <c r="N1896" s="54"/>
      <c r="P1896" s="54"/>
      <c r="R1896" s="54"/>
      <c r="T1896" s="1"/>
      <c r="V1896" s="54"/>
      <c r="X1896" s="54"/>
      <c r="Z1896" s="54"/>
      <c r="AB1896" s="54"/>
      <c r="AD1896" s="54"/>
      <c r="AF1896" s="54"/>
      <c r="AH1896" s="54"/>
      <c r="AJ1896" s="54"/>
      <c r="AL1896" s="54"/>
      <c r="AO1896" s="54"/>
      <c r="AP1896" s="1"/>
      <c r="AQ1896" s="54"/>
      <c r="AR1896" s="171"/>
      <c r="AS1896" s="1"/>
      <c r="AT1896" s="1"/>
      <c r="AU1896" s="1"/>
    </row>
    <row r="1897">
      <c r="A1897" s="54"/>
      <c r="B1897" s="71"/>
      <c r="C1897" s="51"/>
      <c r="D1897" s="54"/>
      <c r="E1897" s="114"/>
      <c r="F1897" s="16"/>
      <c r="G1897" s="114"/>
      <c r="H1897" s="54"/>
      <c r="I1897" s="114"/>
      <c r="J1897" s="54"/>
      <c r="L1897" s="54"/>
      <c r="N1897" s="54"/>
      <c r="P1897" s="54"/>
      <c r="R1897" s="54"/>
      <c r="T1897" s="1"/>
      <c r="V1897" s="54"/>
      <c r="X1897" s="54"/>
      <c r="Z1897" s="54"/>
      <c r="AB1897" s="54"/>
      <c r="AD1897" s="54"/>
      <c r="AF1897" s="54"/>
      <c r="AH1897" s="54"/>
      <c r="AJ1897" s="54"/>
      <c r="AL1897" s="54"/>
      <c r="AO1897" s="54"/>
      <c r="AP1897" s="1"/>
      <c r="AQ1897" s="54"/>
      <c r="AR1897" s="171"/>
      <c r="AS1897" s="1"/>
      <c r="AT1897" s="1"/>
      <c r="AU1897" s="1"/>
    </row>
    <row r="1898">
      <c r="A1898" s="54"/>
      <c r="B1898" s="71"/>
      <c r="C1898" s="51"/>
      <c r="D1898" s="54"/>
      <c r="E1898" s="114"/>
      <c r="F1898" s="16"/>
      <c r="G1898" s="114"/>
      <c r="H1898" s="54"/>
      <c r="I1898" s="114"/>
      <c r="J1898" s="54"/>
      <c r="L1898" s="54"/>
      <c r="N1898" s="54"/>
      <c r="P1898" s="54"/>
      <c r="R1898" s="54"/>
      <c r="T1898" s="1"/>
      <c r="V1898" s="54"/>
      <c r="X1898" s="54"/>
      <c r="Z1898" s="54"/>
      <c r="AB1898" s="54"/>
      <c r="AD1898" s="54"/>
      <c r="AF1898" s="54"/>
      <c r="AH1898" s="54"/>
      <c r="AJ1898" s="54"/>
      <c r="AL1898" s="54"/>
      <c r="AO1898" s="54"/>
      <c r="AP1898" s="1"/>
      <c r="AQ1898" s="54"/>
      <c r="AR1898" s="171"/>
      <c r="AS1898" s="1"/>
      <c r="AT1898" s="1"/>
      <c r="AU1898" s="1"/>
    </row>
    <row r="1899">
      <c r="A1899" s="54"/>
      <c r="B1899" s="71"/>
      <c r="C1899" s="51"/>
      <c r="D1899" s="54"/>
      <c r="E1899" s="114"/>
      <c r="F1899" s="16"/>
      <c r="G1899" s="114"/>
      <c r="H1899" s="54"/>
      <c r="I1899" s="114"/>
      <c r="J1899" s="54"/>
      <c r="L1899" s="54"/>
      <c r="N1899" s="54"/>
      <c r="P1899" s="54"/>
      <c r="R1899" s="54"/>
      <c r="T1899" s="1"/>
      <c r="V1899" s="54"/>
      <c r="X1899" s="54"/>
      <c r="Z1899" s="54"/>
      <c r="AB1899" s="54"/>
      <c r="AD1899" s="54"/>
      <c r="AF1899" s="54"/>
      <c r="AH1899" s="54"/>
      <c r="AJ1899" s="54"/>
      <c r="AL1899" s="54"/>
      <c r="AO1899" s="54"/>
      <c r="AP1899" s="1"/>
      <c r="AQ1899" s="54"/>
      <c r="AR1899" s="171"/>
      <c r="AS1899" s="1"/>
      <c r="AT1899" s="1"/>
      <c r="AU1899" s="1"/>
    </row>
    <row r="1900">
      <c r="A1900" s="54"/>
      <c r="B1900" s="71"/>
      <c r="C1900" s="51"/>
      <c r="D1900" s="54"/>
      <c r="E1900" s="114"/>
      <c r="F1900" s="16"/>
      <c r="G1900" s="114"/>
      <c r="H1900" s="54"/>
      <c r="I1900" s="114"/>
      <c r="J1900" s="54"/>
      <c r="L1900" s="54"/>
      <c r="N1900" s="54"/>
      <c r="P1900" s="54"/>
      <c r="R1900" s="54"/>
      <c r="T1900" s="1"/>
      <c r="V1900" s="54"/>
      <c r="X1900" s="54"/>
      <c r="Z1900" s="54"/>
      <c r="AB1900" s="54"/>
      <c r="AD1900" s="54"/>
      <c r="AF1900" s="54"/>
      <c r="AH1900" s="54"/>
      <c r="AJ1900" s="54"/>
      <c r="AL1900" s="54"/>
      <c r="AO1900" s="54"/>
      <c r="AP1900" s="1"/>
      <c r="AQ1900" s="54"/>
      <c r="AR1900" s="171"/>
      <c r="AS1900" s="1"/>
      <c r="AT1900" s="1"/>
      <c r="AU1900" s="1"/>
    </row>
    <row r="1901">
      <c r="A1901" s="54"/>
      <c r="B1901" s="71"/>
      <c r="C1901" s="51"/>
      <c r="D1901" s="54"/>
      <c r="E1901" s="114"/>
      <c r="F1901" s="16"/>
      <c r="G1901" s="114"/>
      <c r="H1901" s="54"/>
      <c r="I1901" s="114"/>
      <c r="J1901" s="54"/>
      <c r="L1901" s="54"/>
      <c r="N1901" s="54"/>
      <c r="P1901" s="54"/>
      <c r="R1901" s="54"/>
      <c r="T1901" s="1"/>
      <c r="V1901" s="54"/>
      <c r="X1901" s="54"/>
      <c r="Z1901" s="54"/>
      <c r="AB1901" s="54"/>
      <c r="AD1901" s="54"/>
      <c r="AF1901" s="54"/>
      <c r="AH1901" s="54"/>
      <c r="AJ1901" s="54"/>
      <c r="AL1901" s="54"/>
      <c r="AO1901" s="54"/>
      <c r="AP1901" s="1"/>
      <c r="AQ1901" s="54"/>
      <c r="AR1901" s="171"/>
      <c r="AS1901" s="1"/>
      <c r="AT1901" s="1"/>
      <c r="AU1901" s="1"/>
    </row>
    <row r="1902">
      <c r="A1902" s="54"/>
      <c r="B1902" s="71"/>
      <c r="C1902" s="51"/>
      <c r="D1902" s="54"/>
      <c r="E1902" s="114"/>
      <c r="F1902" s="16"/>
      <c r="G1902" s="114"/>
      <c r="H1902" s="54"/>
      <c r="I1902" s="114"/>
      <c r="J1902" s="54"/>
      <c r="L1902" s="54"/>
      <c r="N1902" s="54"/>
      <c r="P1902" s="54"/>
      <c r="R1902" s="54"/>
      <c r="T1902" s="1"/>
      <c r="V1902" s="54"/>
      <c r="X1902" s="54"/>
      <c r="Z1902" s="54"/>
      <c r="AB1902" s="54"/>
      <c r="AD1902" s="54"/>
      <c r="AF1902" s="54"/>
      <c r="AH1902" s="54"/>
      <c r="AJ1902" s="54"/>
      <c r="AL1902" s="54"/>
      <c r="AO1902" s="54"/>
      <c r="AP1902" s="1"/>
      <c r="AQ1902" s="54"/>
      <c r="AR1902" s="171"/>
      <c r="AS1902" s="1"/>
      <c r="AT1902" s="1"/>
      <c r="AU1902" s="1"/>
    </row>
    <row r="1903">
      <c r="A1903" s="54"/>
      <c r="B1903" s="71"/>
      <c r="C1903" s="51"/>
      <c r="D1903" s="54"/>
      <c r="E1903" s="114"/>
      <c r="F1903" s="16"/>
      <c r="G1903" s="114"/>
      <c r="H1903" s="54"/>
      <c r="I1903" s="114"/>
      <c r="J1903" s="54"/>
      <c r="L1903" s="54"/>
      <c r="N1903" s="54"/>
      <c r="P1903" s="54"/>
      <c r="R1903" s="54"/>
      <c r="T1903" s="1"/>
      <c r="V1903" s="54"/>
      <c r="X1903" s="54"/>
      <c r="Z1903" s="54"/>
      <c r="AB1903" s="54"/>
      <c r="AD1903" s="54"/>
      <c r="AF1903" s="54"/>
      <c r="AH1903" s="54"/>
      <c r="AJ1903" s="54"/>
      <c r="AL1903" s="54"/>
      <c r="AO1903" s="54"/>
      <c r="AP1903" s="1"/>
      <c r="AQ1903" s="54"/>
      <c r="AR1903" s="171"/>
      <c r="AS1903" s="1"/>
      <c r="AT1903" s="1"/>
      <c r="AU1903" s="1"/>
    </row>
    <row r="1904">
      <c r="A1904" s="54"/>
      <c r="B1904" s="71"/>
      <c r="C1904" s="51"/>
      <c r="D1904" s="54"/>
      <c r="E1904" s="114"/>
      <c r="F1904" s="16"/>
      <c r="G1904" s="114"/>
      <c r="H1904" s="54"/>
      <c r="I1904" s="114"/>
      <c r="J1904" s="54"/>
      <c r="L1904" s="54"/>
      <c r="N1904" s="54"/>
      <c r="P1904" s="54"/>
      <c r="R1904" s="54"/>
      <c r="T1904" s="1"/>
      <c r="V1904" s="54"/>
      <c r="X1904" s="54"/>
      <c r="Z1904" s="54"/>
      <c r="AB1904" s="54"/>
      <c r="AD1904" s="54"/>
      <c r="AF1904" s="54"/>
      <c r="AH1904" s="54"/>
      <c r="AJ1904" s="54"/>
      <c r="AL1904" s="54"/>
      <c r="AO1904" s="54"/>
      <c r="AP1904" s="1"/>
      <c r="AQ1904" s="54"/>
      <c r="AR1904" s="171"/>
      <c r="AS1904" s="1"/>
      <c r="AT1904" s="1"/>
      <c r="AU1904" s="1"/>
    </row>
    <row r="1905">
      <c r="A1905" s="54"/>
      <c r="B1905" s="71"/>
      <c r="C1905" s="51"/>
      <c r="D1905" s="54"/>
      <c r="E1905" s="114"/>
      <c r="F1905" s="16"/>
      <c r="G1905" s="114"/>
      <c r="H1905" s="54"/>
      <c r="I1905" s="114"/>
      <c r="J1905" s="54"/>
      <c r="L1905" s="54"/>
      <c r="N1905" s="54"/>
      <c r="P1905" s="54"/>
      <c r="R1905" s="54"/>
      <c r="T1905" s="1"/>
      <c r="V1905" s="54"/>
      <c r="X1905" s="54"/>
      <c r="Z1905" s="54"/>
      <c r="AB1905" s="54"/>
      <c r="AD1905" s="54"/>
      <c r="AF1905" s="54"/>
      <c r="AH1905" s="54"/>
      <c r="AJ1905" s="54"/>
      <c r="AL1905" s="54"/>
      <c r="AO1905" s="54"/>
      <c r="AP1905" s="1"/>
      <c r="AQ1905" s="54"/>
      <c r="AR1905" s="171"/>
      <c r="AS1905" s="1"/>
      <c r="AT1905" s="1"/>
      <c r="AU1905" s="1"/>
    </row>
    <row r="1906">
      <c r="A1906" s="54"/>
      <c r="B1906" s="71"/>
      <c r="C1906" s="51"/>
      <c r="D1906" s="54"/>
      <c r="E1906" s="114"/>
      <c r="F1906" s="16"/>
      <c r="G1906" s="114"/>
      <c r="H1906" s="54"/>
      <c r="I1906" s="114"/>
      <c r="J1906" s="54"/>
      <c r="L1906" s="54"/>
      <c r="N1906" s="54"/>
      <c r="P1906" s="54"/>
      <c r="R1906" s="54"/>
      <c r="T1906" s="1"/>
      <c r="V1906" s="54"/>
      <c r="X1906" s="54"/>
      <c r="Z1906" s="54"/>
      <c r="AB1906" s="54"/>
      <c r="AD1906" s="54"/>
      <c r="AF1906" s="54"/>
      <c r="AH1906" s="54"/>
      <c r="AJ1906" s="54"/>
      <c r="AL1906" s="54"/>
      <c r="AO1906" s="54"/>
      <c r="AP1906" s="1"/>
      <c r="AQ1906" s="54"/>
      <c r="AR1906" s="171"/>
      <c r="AS1906" s="1"/>
      <c r="AT1906" s="1"/>
      <c r="AU1906" s="1"/>
    </row>
    <row r="1907">
      <c r="A1907" s="54"/>
      <c r="B1907" s="71"/>
      <c r="C1907" s="51"/>
      <c r="D1907" s="54"/>
      <c r="E1907" s="114"/>
      <c r="F1907" s="16"/>
      <c r="G1907" s="114"/>
      <c r="H1907" s="54"/>
      <c r="I1907" s="114"/>
      <c r="J1907" s="54"/>
      <c r="L1907" s="54"/>
      <c r="N1907" s="54"/>
      <c r="P1907" s="54"/>
      <c r="R1907" s="54"/>
      <c r="T1907" s="1"/>
      <c r="V1907" s="54"/>
      <c r="X1907" s="54"/>
      <c r="Z1907" s="54"/>
      <c r="AB1907" s="54"/>
      <c r="AD1907" s="54"/>
      <c r="AF1907" s="54"/>
      <c r="AH1907" s="54"/>
      <c r="AJ1907" s="54"/>
      <c r="AL1907" s="54"/>
      <c r="AO1907" s="54"/>
      <c r="AP1907" s="1"/>
      <c r="AQ1907" s="54"/>
      <c r="AR1907" s="171"/>
      <c r="AS1907" s="1"/>
      <c r="AT1907" s="1"/>
      <c r="AU1907" s="1"/>
    </row>
    <row r="1908">
      <c r="A1908" s="54"/>
      <c r="B1908" s="71"/>
      <c r="C1908" s="51"/>
      <c r="D1908" s="54"/>
      <c r="E1908" s="114"/>
      <c r="F1908" s="16"/>
      <c r="G1908" s="114"/>
      <c r="H1908" s="54"/>
      <c r="I1908" s="114"/>
      <c r="J1908" s="54"/>
      <c r="L1908" s="54"/>
      <c r="N1908" s="54"/>
      <c r="P1908" s="54"/>
      <c r="R1908" s="54"/>
      <c r="T1908" s="1"/>
      <c r="V1908" s="54"/>
      <c r="X1908" s="54"/>
      <c r="Z1908" s="54"/>
      <c r="AB1908" s="54"/>
      <c r="AD1908" s="54"/>
      <c r="AF1908" s="54"/>
      <c r="AH1908" s="54"/>
      <c r="AJ1908" s="54"/>
      <c r="AL1908" s="54"/>
      <c r="AO1908" s="54"/>
      <c r="AP1908" s="1"/>
      <c r="AQ1908" s="54"/>
      <c r="AR1908" s="171"/>
      <c r="AS1908" s="1"/>
      <c r="AT1908" s="1"/>
      <c r="AU1908" s="1"/>
    </row>
    <row r="1909">
      <c r="A1909" s="54"/>
      <c r="B1909" s="71"/>
      <c r="C1909" s="51"/>
      <c r="D1909" s="54"/>
      <c r="E1909" s="114"/>
      <c r="F1909" s="16"/>
      <c r="G1909" s="114"/>
      <c r="H1909" s="54"/>
      <c r="I1909" s="114"/>
      <c r="J1909" s="54"/>
      <c r="L1909" s="54"/>
      <c r="N1909" s="54"/>
      <c r="P1909" s="54"/>
      <c r="R1909" s="54"/>
      <c r="T1909" s="1"/>
      <c r="V1909" s="54"/>
      <c r="X1909" s="54"/>
      <c r="Z1909" s="54"/>
      <c r="AB1909" s="54"/>
      <c r="AD1909" s="54"/>
      <c r="AF1909" s="54"/>
      <c r="AH1909" s="54"/>
      <c r="AJ1909" s="54"/>
      <c r="AL1909" s="54"/>
      <c r="AO1909" s="54"/>
      <c r="AP1909" s="1"/>
      <c r="AQ1909" s="54"/>
      <c r="AR1909" s="171"/>
      <c r="AS1909" s="1"/>
      <c r="AT1909" s="1"/>
      <c r="AU1909" s="1"/>
    </row>
    <row r="1910">
      <c r="A1910" s="54"/>
      <c r="B1910" s="71"/>
      <c r="C1910" s="51"/>
      <c r="D1910" s="54"/>
      <c r="E1910" s="114"/>
      <c r="F1910" s="16"/>
      <c r="G1910" s="114"/>
      <c r="H1910" s="54"/>
      <c r="I1910" s="114"/>
      <c r="J1910" s="54"/>
      <c r="L1910" s="54"/>
      <c r="N1910" s="54"/>
      <c r="P1910" s="54"/>
      <c r="R1910" s="54"/>
      <c r="T1910" s="1"/>
      <c r="V1910" s="54"/>
      <c r="X1910" s="54"/>
      <c r="Z1910" s="54"/>
      <c r="AB1910" s="54"/>
      <c r="AD1910" s="54"/>
      <c r="AF1910" s="54"/>
      <c r="AH1910" s="54"/>
      <c r="AJ1910" s="54"/>
      <c r="AL1910" s="54"/>
      <c r="AO1910" s="54"/>
      <c r="AP1910" s="1"/>
      <c r="AQ1910" s="54"/>
      <c r="AR1910" s="171"/>
      <c r="AS1910" s="1"/>
      <c r="AT1910" s="1"/>
      <c r="AU1910" s="1"/>
    </row>
    <row r="1911">
      <c r="A1911" s="54"/>
      <c r="B1911" s="71"/>
      <c r="C1911" s="51"/>
      <c r="D1911" s="54"/>
      <c r="E1911" s="114"/>
      <c r="F1911" s="16"/>
      <c r="G1911" s="114"/>
      <c r="H1911" s="54"/>
      <c r="I1911" s="114"/>
      <c r="J1911" s="54"/>
      <c r="L1911" s="54"/>
      <c r="N1911" s="54"/>
      <c r="P1911" s="54"/>
      <c r="R1911" s="54"/>
      <c r="T1911" s="1"/>
      <c r="V1911" s="54"/>
      <c r="X1911" s="54"/>
      <c r="Z1911" s="54"/>
      <c r="AB1911" s="54"/>
      <c r="AD1911" s="54"/>
      <c r="AF1911" s="54"/>
      <c r="AH1911" s="54"/>
      <c r="AJ1911" s="54"/>
      <c r="AL1911" s="54"/>
      <c r="AO1911" s="54"/>
      <c r="AP1911" s="1"/>
      <c r="AQ1911" s="54"/>
      <c r="AR1911" s="171"/>
      <c r="AS1911" s="1"/>
      <c r="AT1911" s="1"/>
      <c r="AU1911" s="1"/>
    </row>
    <row r="1912">
      <c r="A1912" s="54"/>
      <c r="B1912" s="71"/>
      <c r="C1912" s="51"/>
      <c r="D1912" s="54"/>
      <c r="E1912" s="114"/>
      <c r="F1912" s="16"/>
      <c r="G1912" s="114"/>
      <c r="H1912" s="54"/>
      <c r="I1912" s="114"/>
      <c r="J1912" s="54"/>
      <c r="L1912" s="54"/>
      <c r="N1912" s="54"/>
      <c r="P1912" s="54"/>
      <c r="R1912" s="54"/>
      <c r="T1912" s="1"/>
      <c r="V1912" s="54"/>
      <c r="X1912" s="54"/>
      <c r="Z1912" s="54"/>
      <c r="AB1912" s="54"/>
      <c r="AD1912" s="54"/>
      <c r="AF1912" s="54"/>
      <c r="AH1912" s="54"/>
      <c r="AJ1912" s="54"/>
      <c r="AL1912" s="54"/>
      <c r="AO1912" s="54"/>
      <c r="AP1912" s="1"/>
      <c r="AQ1912" s="54"/>
      <c r="AR1912" s="171"/>
      <c r="AS1912" s="1"/>
      <c r="AT1912" s="1"/>
      <c r="AU1912" s="1"/>
    </row>
    <row r="1913">
      <c r="A1913" s="54"/>
      <c r="B1913" s="71"/>
      <c r="C1913" s="51"/>
      <c r="D1913" s="54"/>
      <c r="E1913" s="114"/>
      <c r="F1913" s="16"/>
      <c r="G1913" s="114"/>
      <c r="H1913" s="54"/>
      <c r="I1913" s="114"/>
      <c r="J1913" s="54"/>
      <c r="L1913" s="54"/>
      <c r="N1913" s="54"/>
      <c r="P1913" s="54"/>
      <c r="R1913" s="54"/>
      <c r="T1913" s="1"/>
      <c r="V1913" s="54"/>
      <c r="X1913" s="54"/>
      <c r="Z1913" s="54"/>
      <c r="AB1913" s="54"/>
      <c r="AD1913" s="54"/>
      <c r="AF1913" s="54"/>
      <c r="AH1913" s="54"/>
      <c r="AJ1913" s="54"/>
      <c r="AL1913" s="54"/>
      <c r="AO1913" s="54"/>
      <c r="AP1913" s="1"/>
      <c r="AQ1913" s="54"/>
      <c r="AR1913" s="171"/>
      <c r="AS1913" s="1"/>
      <c r="AT1913" s="1"/>
      <c r="AU1913" s="1"/>
    </row>
    <row r="1914">
      <c r="A1914" s="54"/>
      <c r="B1914" s="71"/>
      <c r="C1914" s="51"/>
      <c r="D1914" s="54"/>
      <c r="E1914" s="114"/>
      <c r="F1914" s="16"/>
      <c r="G1914" s="114"/>
      <c r="H1914" s="54"/>
      <c r="I1914" s="114"/>
      <c r="J1914" s="54"/>
      <c r="L1914" s="54"/>
      <c r="N1914" s="54"/>
      <c r="P1914" s="54"/>
      <c r="R1914" s="54"/>
      <c r="T1914" s="1"/>
      <c r="V1914" s="54"/>
      <c r="X1914" s="54"/>
      <c r="Z1914" s="54"/>
      <c r="AB1914" s="54"/>
      <c r="AD1914" s="54"/>
      <c r="AF1914" s="54"/>
      <c r="AH1914" s="54"/>
      <c r="AJ1914" s="54"/>
      <c r="AL1914" s="54"/>
      <c r="AO1914" s="54"/>
      <c r="AP1914" s="1"/>
      <c r="AQ1914" s="54"/>
      <c r="AR1914" s="171"/>
      <c r="AS1914" s="1"/>
      <c r="AT1914" s="1"/>
      <c r="AU1914" s="1"/>
    </row>
    <row r="1915">
      <c r="A1915" s="54"/>
      <c r="B1915" s="71"/>
      <c r="C1915" s="51"/>
      <c r="D1915" s="54"/>
      <c r="E1915" s="114"/>
      <c r="F1915" s="16"/>
      <c r="G1915" s="114"/>
      <c r="H1915" s="54"/>
      <c r="I1915" s="114"/>
      <c r="J1915" s="54"/>
      <c r="L1915" s="54"/>
      <c r="N1915" s="54"/>
      <c r="P1915" s="54"/>
      <c r="R1915" s="54"/>
      <c r="T1915" s="1"/>
      <c r="V1915" s="54"/>
      <c r="X1915" s="54"/>
      <c r="Z1915" s="54"/>
      <c r="AB1915" s="54"/>
      <c r="AD1915" s="54"/>
      <c r="AF1915" s="54"/>
      <c r="AH1915" s="54"/>
      <c r="AJ1915" s="54"/>
      <c r="AL1915" s="54"/>
      <c r="AO1915" s="54"/>
      <c r="AP1915" s="1"/>
      <c r="AQ1915" s="54"/>
      <c r="AR1915" s="171"/>
      <c r="AS1915" s="1"/>
      <c r="AT1915" s="1"/>
      <c r="AU1915" s="1"/>
    </row>
    <row r="1916">
      <c r="A1916" s="54"/>
      <c r="B1916" s="71"/>
      <c r="C1916" s="51"/>
      <c r="D1916" s="54"/>
      <c r="E1916" s="114"/>
      <c r="F1916" s="16"/>
      <c r="G1916" s="114"/>
      <c r="H1916" s="54"/>
      <c r="I1916" s="114"/>
      <c r="J1916" s="54"/>
      <c r="L1916" s="54"/>
      <c r="N1916" s="54"/>
      <c r="P1916" s="54"/>
      <c r="R1916" s="54"/>
      <c r="T1916" s="1"/>
      <c r="V1916" s="54"/>
      <c r="X1916" s="54"/>
      <c r="Z1916" s="54"/>
      <c r="AB1916" s="54"/>
      <c r="AD1916" s="54"/>
      <c r="AF1916" s="54"/>
      <c r="AH1916" s="54"/>
      <c r="AJ1916" s="54"/>
      <c r="AL1916" s="54"/>
      <c r="AO1916" s="54"/>
      <c r="AP1916" s="1"/>
      <c r="AQ1916" s="54"/>
      <c r="AR1916" s="171"/>
      <c r="AS1916" s="1"/>
      <c r="AT1916" s="1"/>
      <c r="AU1916" s="1"/>
    </row>
    <row r="1917">
      <c r="A1917" s="54"/>
      <c r="B1917" s="71"/>
      <c r="C1917" s="51"/>
      <c r="D1917" s="54"/>
      <c r="E1917" s="114"/>
      <c r="F1917" s="16"/>
      <c r="G1917" s="114"/>
      <c r="H1917" s="54"/>
      <c r="I1917" s="114"/>
      <c r="J1917" s="54"/>
      <c r="L1917" s="54"/>
      <c r="N1917" s="54"/>
      <c r="P1917" s="54"/>
      <c r="R1917" s="54"/>
      <c r="T1917" s="1"/>
      <c r="V1917" s="54"/>
      <c r="X1917" s="54"/>
      <c r="Z1917" s="54"/>
      <c r="AB1917" s="54"/>
      <c r="AD1917" s="54"/>
      <c r="AF1917" s="54"/>
      <c r="AH1917" s="54"/>
      <c r="AJ1917" s="54"/>
      <c r="AL1917" s="54"/>
      <c r="AO1917" s="54"/>
      <c r="AP1917" s="1"/>
      <c r="AQ1917" s="54"/>
      <c r="AR1917" s="171"/>
      <c r="AS1917" s="1"/>
      <c r="AT1917" s="1"/>
      <c r="AU1917" s="1"/>
    </row>
    <row r="1918">
      <c r="A1918" s="54"/>
      <c r="B1918" s="71"/>
      <c r="C1918" s="51"/>
      <c r="D1918" s="54"/>
      <c r="E1918" s="114"/>
      <c r="F1918" s="16"/>
      <c r="G1918" s="114"/>
      <c r="H1918" s="54"/>
      <c r="I1918" s="114"/>
      <c r="J1918" s="54"/>
      <c r="L1918" s="54"/>
      <c r="N1918" s="54"/>
      <c r="P1918" s="54"/>
      <c r="R1918" s="54"/>
      <c r="T1918" s="1"/>
      <c r="V1918" s="54"/>
      <c r="X1918" s="54"/>
      <c r="Z1918" s="54"/>
      <c r="AB1918" s="54"/>
      <c r="AD1918" s="54"/>
      <c r="AF1918" s="54"/>
      <c r="AH1918" s="54"/>
      <c r="AJ1918" s="54"/>
      <c r="AL1918" s="54"/>
      <c r="AO1918" s="54"/>
      <c r="AP1918" s="1"/>
      <c r="AQ1918" s="54"/>
      <c r="AR1918" s="171"/>
      <c r="AS1918" s="1"/>
      <c r="AT1918" s="1"/>
      <c r="AU1918" s="1"/>
    </row>
    <row r="1919">
      <c r="A1919" s="54"/>
      <c r="B1919" s="71"/>
      <c r="C1919" s="51"/>
      <c r="D1919" s="54"/>
      <c r="E1919" s="114"/>
      <c r="F1919" s="16"/>
      <c r="G1919" s="114"/>
      <c r="H1919" s="54"/>
      <c r="I1919" s="114"/>
      <c r="J1919" s="54"/>
      <c r="L1919" s="54"/>
      <c r="N1919" s="54"/>
      <c r="P1919" s="54"/>
      <c r="R1919" s="54"/>
      <c r="T1919" s="1"/>
      <c r="V1919" s="54"/>
      <c r="X1919" s="54"/>
      <c r="Z1919" s="54"/>
      <c r="AB1919" s="54"/>
      <c r="AD1919" s="54"/>
      <c r="AF1919" s="54"/>
      <c r="AH1919" s="54"/>
      <c r="AJ1919" s="54"/>
      <c r="AL1919" s="54"/>
      <c r="AO1919" s="54"/>
      <c r="AP1919" s="1"/>
      <c r="AQ1919" s="54"/>
      <c r="AR1919" s="171"/>
      <c r="AS1919" s="1"/>
      <c r="AT1919" s="1"/>
      <c r="AU1919" s="1"/>
    </row>
    <row r="1920">
      <c r="A1920" s="54"/>
      <c r="B1920" s="71"/>
      <c r="C1920" s="51"/>
      <c r="D1920" s="54"/>
      <c r="E1920" s="114"/>
      <c r="F1920" s="16"/>
      <c r="G1920" s="114"/>
      <c r="H1920" s="54"/>
      <c r="I1920" s="114"/>
      <c r="J1920" s="54"/>
      <c r="L1920" s="54"/>
      <c r="N1920" s="54"/>
      <c r="P1920" s="54"/>
      <c r="R1920" s="54"/>
      <c r="T1920" s="1"/>
      <c r="V1920" s="54"/>
      <c r="X1920" s="54"/>
      <c r="Z1920" s="54"/>
      <c r="AB1920" s="54"/>
      <c r="AD1920" s="54"/>
      <c r="AF1920" s="54"/>
      <c r="AH1920" s="54"/>
      <c r="AJ1920" s="54"/>
      <c r="AL1920" s="54"/>
      <c r="AO1920" s="54"/>
      <c r="AP1920" s="1"/>
      <c r="AQ1920" s="54"/>
      <c r="AR1920" s="171"/>
      <c r="AS1920" s="1"/>
      <c r="AT1920" s="1"/>
      <c r="AU1920" s="1"/>
    </row>
    <row r="1921">
      <c r="A1921" s="54"/>
      <c r="B1921" s="71"/>
      <c r="C1921" s="51"/>
      <c r="D1921" s="54"/>
      <c r="E1921" s="114"/>
      <c r="F1921" s="16"/>
      <c r="G1921" s="114"/>
      <c r="H1921" s="54"/>
      <c r="I1921" s="114"/>
      <c r="J1921" s="54"/>
      <c r="L1921" s="54"/>
      <c r="N1921" s="54"/>
      <c r="P1921" s="54"/>
      <c r="R1921" s="54"/>
      <c r="T1921" s="1"/>
      <c r="V1921" s="54"/>
      <c r="X1921" s="54"/>
      <c r="Z1921" s="54"/>
      <c r="AB1921" s="54"/>
      <c r="AD1921" s="54"/>
      <c r="AF1921" s="54"/>
      <c r="AH1921" s="54"/>
      <c r="AJ1921" s="54"/>
      <c r="AL1921" s="54"/>
      <c r="AO1921" s="54"/>
      <c r="AP1921" s="1"/>
      <c r="AQ1921" s="54"/>
      <c r="AR1921" s="171"/>
      <c r="AS1921" s="1"/>
      <c r="AT1921" s="1"/>
      <c r="AU1921" s="1"/>
    </row>
    <row r="1922">
      <c r="A1922" s="54"/>
      <c r="B1922" s="71"/>
      <c r="C1922" s="51"/>
      <c r="D1922" s="54"/>
      <c r="E1922" s="114"/>
      <c r="F1922" s="16"/>
      <c r="G1922" s="114"/>
      <c r="H1922" s="54"/>
      <c r="I1922" s="114"/>
      <c r="J1922" s="54"/>
      <c r="L1922" s="54"/>
      <c r="N1922" s="54"/>
      <c r="P1922" s="54"/>
      <c r="R1922" s="54"/>
      <c r="T1922" s="1"/>
      <c r="V1922" s="54"/>
      <c r="X1922" s="54"/>
      <c r="Z1922" s="54"/>
      <c r="AB1922" s="54"/>
      <c r="AD1922" s="54"/>
      <c r="AF1922" s="54"/>
      <c r="AH1922" s="54"/>
      <c r="AJ1922" s="54"/>
      <c r="AL1922" s="54"/>
      <c r="AO1922" s="54"/>
      <c r="AP1922" s="1"/>
      <c r="AQ1922" s="54"/>
      <c r="AR1922" s="171"/>
      <c r="AS1922" s="1"/>
      <c r="AT1922" s="1"/>
      <c r="AU1922" s="1"/>
    </row>
    <row r="1923">
      <c r="A1923" s="54"/>
      <c r="B1923" s="71"/>
      <c r="C1923" s="51"/>
      <c r="D1923" s="54"/>
      <c r="E1923" s="114"/>
      <c r="F1923" s="16"/>
      <c r="G1923" s="114"/>
      <c r="H1923" s="54"/>
      <c r="I1923" s="114"/>
      <c r="J1923" s="54"/>
      <c r="L1923" s="54"/>
      <c r="N1923" s="54"/>
      <c r="P1923" s="54"/>
      <c r="R1923" s="54"/>
      <c r="T1923" s="1"/>
      <c r="V1923" s="54"/>
      <c r="X1923" s="54"/>
      <c r="Z1923" s="54"/>
      <c r="AB1923" s="54"/>
      <c r="AD1923" s="54"/>
      <c r="AF1923" s="54"/>
      <c r="AH1923" s="54"/>
      <c r="AJ1923" s="54"/>
      <c r="AL1923" s="54"/>
      <c r="AO1923" s="54"/>
      <c r="AP1923" s="1"/>
      <c r="AQ1923" s="54"/>
      <c r="AR1923" s="171"/>
      <c r="AS1923" s="1"/>
      <c r="AT1923" s="1"/>
      <c r="AU1923" s="1"/>
    </row>
    <row r="1924">
      <c r="A1924" s="54"/>
      <c r="B1924" s="71"/>
      <c r="C1924" s="51"/>
      <c r="D1924" s="54"/>
      <c r="E1924" s="114"/>
      <c r="F1924" s="16"/>
      <c r="G1924" s="114"/>
      <c r="H1924" s="54"/>
      <c r="I1924" s="114"/>
      <c r="J1924" s="54"/>
      <c r="L1924" s="54"/>
      <c r="N1924" s="54"/>
      <c r="P1924" s="54"/>
      <c r="R1924" s="54"/>
      <c r="T1924" s="1"/>
      <c r="V1924" s="54"/>
      <c r="X1924" s="54"/>
      <c r="Z1924" s="54"/>
      <c r="AB1924" s="54"/>
      <c r="AD1924" s="54"/>
      <c r="AF1924" s="54"/>
      <c r="AH1924" s="54"/>
      <c r="AJ1924" s="54"/>
      <c r="AL1924" s="54"/>
      <c r="AO1924" s="54"/>
      <c r="AP1924" s="1"/>
      <c r="AQ1924" s="54"/>
      <c r="AR1924" s="171"/>
      <c r="AS1924" s="1"/>
      <c r="AT1924" s="1"/>
      <c r="AU1924" s="1"/>
    </row>
    <row r="1925">
      <c r="A1925" s="54"/>
      <c r="B1925" s="71"/>
      <c r="C1925" s="51"/>
      <c r="D1925" s="54"/>
      <c r="E1925" s="114"/>
      <c r="F1925" s="16"/>
      <c r="G1925" s="114"/>
      <c r="H1925" s="54"/>
      <c r="I1925" s="114"/>
      <c r="J1925" s="54"/>
      <c r="L1925" s="54"/>
      <c r="N1925" s="54"/>
      <c r="P1925" s="54"/>
      <c r="R1925" s="54"/>
      <c r="T1925" s="1"/>
      <c r="V1925" s="54"/>
      <c r="X1925" s="54"/>
      <c r="Z1925" s="54"/>
      <c r="AB1925" s="54"/>
      <c r="AD1925" s="54"/>
      <c r="AF1925" s="54"/>
      <c r="AH1925" s="54"/>
      <c r="AJ1925" s="54"/>
      <c r="AL1925" s="54"/>
      <c r="AO1925" s="54"/>
      <c r="AP1925" s="1"/>
      <c r="AQ1925" s="54"/>
      <c r="AR1925" s="171"/>
      <c r="AS1925" s="1"/>
      <c r="AT1925" s="1"/>
      <c r="AU1925" s="1"/>
    </row>
    <row r="1926">
      <c r="A1926" s="54"/>
      <c r="B1926" s="71"/>
      <c r="C1926" s="51"/>
      <c r="D1926" s="54"/>
      <c r="E1926" s="114"/>
      <c r="F1926" s="16"/>
      <c r="G1926" s="114"/>
      <c r="H1926" s="54"/>
      <c r="I1926" s="114"/>
      <c r="J1926" s="54"/>
      <c r="L1926" s="54"/>
      <c r="N1926" s="54"/>
      <c r="P1926" s="54"/>
      <c r="R1926" s="54"/>
      <c r="T1926" s="1"/>
      <c r="V1926" s="54"/>
      <c r="X1926" s="54"/>
      <c r="Z1926" s="54"/>
      <c r="AB1926" s="54"/>
      <c r="AD1926" s="54"/>
      <c r="AF1926" s="54"/>
      <c r="AH1926" s="54"/>
      <c r="AJ1926" s="54"/>
      <c r="AL1926" s="54"/>
      <c r="AO1926" s="54"/>
      <c r="AP1926" s="1"/>
      <c r="AQ1926" s="54"/>
      <c r="AR1926" s="171"/>
      <c r="AS1926" s="1"/>
      <c r="AT1926" s="1"/>
      <c r="AU1926" s="1"/>
    </row>
    <row r="1927">
      <c r="A1927" s="54"/>
      <c r="B1927" s="71"/>
      <c r="C1927" s="51"/>
      <c r="D1927" s="54"/>
      <c r="E1927" s="114"/>
      <c r="F1927" s="16"/>
      <c r="G1927" s="114"/>
      <c r="H1927" s="54"/>
      <c r="I1927" s="114"/>
      <c r="J1927" s="54"/>
      <c r="L1927" s="54"/>
      <c r="N1927" s="54"/>
      <c r="P1927" s="54"/>
      <c r="R1927" s="54"/>
      <c r="T1927" s="1"/>
      <c r="V1927" s="54"/>
      <c r="X1927" s="54"/>
      <c r="Z1927" s="54"/>
      <c r="AB1927" s="54"/>
      <c r="AD1927" s="54"/>
      <c r="AF1927" s="54"/>
      <c r="AH1927" s="54"/>
      <c r="AJ1927" s="54"/>
      <c r="AL1927" s="54"/>
      <c r="AO1927" s="54"/>
      <c r="AP1927" s="1"/>
      <c r="AQ1927" s="54"/>
      <c r="AR1927" s="171"/>
      <c r="AS1927" s="1"/>
      <c r="AT1927" s="1"/>
      <c r="AU1927" s="1"/>
    </row>
    <row r="1928">
      <c r="A1928" s="54"/>
      <c r="B1928" s="71"/>
      <c r="C1928" s="51"/>
      <c r="D1928" s="54"/>
      <c r="E1928" s="114"/>
      <c r="F1928" s="16"/>
      <c r="G1928" s="114"/>
      <c r="H1928" s="54"/>
      <c r="I1928" s="114"/>
      <c r="J1928" s="54"/>
      <c r="L1928" s="54"/>
      <c r="N1928" s="54"/>
      <c r="P1928" s="54"/>
      <c r="R1928" s="54"/>
      <c r="T1928" s="1"/>
      <c r="V1928" s="54"/>
      <c r="X1928" s="54"/>
      <c r="Z1928" s="54"/>
      <c r="AB1928" s="54"/>
      <c r="AD1928" s="54"/>
      <c r="AF1928" s="54"/>
      <c r="AH1928" s="54"/>
      <c r="AJ1928" s="54"/>
      <c r="AL1928" s="54"/>
      <c r="AO1928" s="54"/>
      <c r="AP1928" s="1"/>
      <c r="AQ1928" s="54"/>
      <c r="AR1928" s="171"/>
      <c r="AS1928" s="1"/>
      <c r="AT1928" s="1"/>
      <c r="AU1928" s="1"/>
    </row>
    <row r="1929">
      <c r="A1929" s="54"/>
      <c r="B1929" s="71"/>
      <c r="C1929" s="51"/>
      <c r="D1929" s="54"/>
      <c r="E1929" s="114"/>
      <c r="F1929" s="16"/>
      <c r="G1929" s="114"/>
      <c r="H1929" s="54"/>
      <c r="I1929" s="114"/>
      <c r="J1929" s="54"/>
      <c r="L1929" s="54"/>
      <c r="N1929" s="54"/>
      <c r="P1929" s="54"/>
      <c r="R1929" s="54"/>
      <c r="T1929" s="1"/>
      <c r="V1929" s="54"/>
      <c r="X1929" s="54"/>
      <c r="Z1929" s="54"/>
      <c r="AB1929" s="54"/>
      <c r="AD1929" s="54"/>
      <c r="AF1929" s="54"/>
      <c r="AH1929" s="54"/>
      <c r="AJ1929" s="54"/>
      <c r="AL1929" s="54"/>
      <c r="AO1929" s="54"/>
      <c r="AP1929" s="1"/>
      <c r="AQ1929" s="54"/>
      <c r="AR1929" s="171"/>
      <c r="AS1929" s="1"/>
      <c r="AT1929" s="1"/>
      <c r="AU1929" s="1"/>
    </row>
    <row r="1930">
      <c r="A1930" s="54"/>
      <c r="B1930" s="71"/>
      <c r="C1930" s="51"/>
      <c r="D1930" s="54"/>
      <c r="E1930" s="114"/>
      <c r="F1930" s="16"/>
      <c r="G1930" s="114"/>
      <c r="H1930" s="54"/>
      <c r="I1930" s="114"/>
      <c r="J1930" s="54"/>
      <c r="L1930" s="54"/>
      <c r="N1930" s="54"/>
      <c r="P1930" s="54"/>
      <c r="R1930" s="54"/>
      <c r="T1930" s="1"/>
      <c r="V1930" s="54"/>
      <c r="X1930" s="54"/>
      <c r="Z1930" s="54"/>
      <c r="AB1930" s="54"/>
      <c r="AD1930" s="54"/>
      <c r="AF1930" s="54"/>
      <c r="AH1930" s="54"/>
      <c r="AJ1930" s="54"/>
      <c r="AL1930" s="54"/>
      <c r="AO1930" s="54"/>
      <c r="AP1930" s="1"/>
      <c r="AQ1930" s="54"/>
      <c r="AR1930" s="171"/>
      <c r="AS1930" s="1"/>
      <c r="AT1930" s="1"/>
      <c r="AU1930" s="1"/>
    </row>
    <row r="1931">
      <c r="A1931" s="54"/>
      <c r="B1931" s="71"/>
      <c r="C1931" s="51"/>
      <c r="D1931" s="54"/>
      <c r="E1931" s="114"/>
      <c r="F1931" s="16"/>
      <c r="G1931" s="114"/>
      <c r="H1931" s="54"/>
      <c r="I1931" s="114"/>
      <c r="J1931" s="54"/>
      <c r="L1931" s="54"/>
      <c r="N1931" s="54"/>
      <c r="P1931" s="54"/>
      <c r="R1931" s="54"/>
      <c r="T1931" s="1"/>
      <c r="V1931" s="54"/>
      <c r="X1931" s="54"/>
      <c r="Z1931" s="54"/>
      <c r="AB1931" s="54"/>
      <c r="AD1931" s="54"/>
      <c r="AF1931" s="54"/>
      <c r="AH1931" s="54"/>
      <c r="AJ1931" s="54"/>
      <c r="AL1931" s="54"/>
      <c r="AO1931" s="54"/>
      <c r="AP1931" s="1"/>
      <c r="AQ1931" s="54"/>
      <c r="AR1931" s="171"/>
      <c r="AS1931" s="1"/>
      <c r="AT1931" s="1"/>
      <c r="AU1931" s="1"/>
    </row>
    <row r="1932">
      <c r="A1932" s="54"/>
      <c r="B1932" s="71"/>
      <c r="C1932" s="51"/>
      <c r="D1932" s="54"/>
      <c r="E1932" s="114"/>
      <c r="F1932" s="16"/>
      <c r="G1932" s="114"/>
      <c r="H1932" s="54"/>
      <c r="I1932" s="114"/>
      <c r="J1932" s="54"/>
      <c r="L1932" s="54"/>
      <c r="N1932" s="54"/>
      <c r="P1932" s="54"/>
      <c r="R1932" s="54"/>
      <c r="T1932" s="1"/>
      <c r="V1932" s="54"/>
      <c r="X1932" s="54"/>
      <c r="Z1932" s="54"/>
      <c r="AB1932" s="54"/>
      <c r="AD1932" s="54"/>
      <c r="AF1932" s="54"/>
      <c r="AH1932" s="54"/>
      <c r="AJ1932" s="54"/>
      <c r="AL1932" s="54"/>
      <c r="AO1932" s="54"/>
      <c r="AP1932" s="1"/>
      <c r="AQ1932" s="54"/>
      <c r="AR1932" s="171"/>
      <c r="AS1932" s="1"/>
      <c r="AT1932" s="1"/>
      <c r="AU1932" s="1"/>
    </row>
    <row r="1933">
      <c r="A1933" s="54"/>
      <c r="B1933" s="71"/>
      <c r="C1933" s="51"/>
      <c r="D1933" s="54"/>
      <c r="E1933" s="114"/>
      <c r="F1933" s="16"/>
      <c r="G1933" s="114"/>
      <c r="H1933" s="54"/>
      <c r="I1933" s="114"/>
      <c r="J1933" s="54"/>
      <c r="L1933" s="54"/>
      <c r="N1933" s="54"/>
      <c r="P1933" s="54"/>
      <c r="R1933" s="54"/>
      <c r="T1933" s="1"/>
      <c r="V1933" s="54"/>
      <c r="X1933" s="54"/>
      <c r="Z1933" s="54"/>
      <c r="AB1933" s="54"/>
      <c r="AD1933" s="54"/>
      <c r="AF1933" s="54"/>
      <c r="AH1933" s="54"/>
      <c r="AJ1933" s="54"/>
      <c r="AL1933" s="54"/>
      <c r="AO1933" s="54"/>
      <c r="AP1933" s="1"/>
      <c r="AQ1933" s="54"/>
      <c r="AR1933" s="171"/>
      <c r="AS1933" s="1"/>
      <c r="AT1933" s="1"/>
      <c r="AU1933" s="1"/>
    </row>
    <row r="1934">
      <c r="A1934" s="54"/>
      <c r="B1934" s="71"/>
      <c r="C1934" s="51"/>
      <c r="D1934" s="54"/>
      <c r="E1934" s="114"/>
      <c r="F1934" s="16"/>
      <c r="G1934" s="114"/>
      <c r="H1934" s="54"/>
      <c r="I1934" s="114"/>
      <c r="J1934" s="54"/>
      <c r="L1934" s="54"/>
      <c r="N1934" s="54"/>
      <c r="P1934" s="54"/>
      <c r="R1934" s="54"/>
      <c r="T1934" s="1"/>
      <c r="V1934" s="54"/>
      <c r="X1934" s="54"/>
      <c r="Z1934" s="54"/>
      <c r="AB1934" s="54"/>
      <c r="AD1934" s="54"/>
      <c r="AF1934" s="54"/>
      <c r="AH1934" s="54"/>
      <c r="AJ1934" s="54"/>
      <c r="AL1934" s="54"/>
      <c r="AO1934" s="54"/>
      <c r="AP1934" s="1"/>
      <c r="AQ1934" s="54"/>
      <c r="AR1934" s="171"/>
      <c r="AS1934" s="1"/>
      <c r="AT1934" s="1"/>
      <c r="AU1934" s="1"/>
    </row>
    <row r="1935">
      <c r="A1935" s="54"/>
      <c r="B1935" s="71"/>
      <c r="C1935" s="51"/>
      <c r="D1935" s="54"/>
      <c r="E1935" s="114"/>
      <c r="F1935" s="16"/>
      <c r="G1935" s="114"/>
      <c r="H1935" s="54"/>
      <c r="I1935" s="114"/>
      <c r="J1935" s="54"/>
      <c r="L1935" s="54"/>
      <c r="N1935" s="54"/>
      <c r="P1935" s="54"/>
      <c r="R1935" s="54"/>
      <c r="T1935" s="1"/>
      <c r="V1935" s="54"/>
      <c r="X1935" s="54"/>
      <c r="Z1935" s="54"/>
      <c r="AB1935" s="54"/>
      <c r="AD1935" s="54"/>
      <c r="AF1935" s="54"/>
      <c r="AH1935" s="54"/>
      <c r="AJ1935" s="54"/>
      <c r="AL1935" s="54"/>
      <c r="AO1935" s="54"/>
      <c r="AP1935" s="1"/>
      <c r="AQ1935" s="54"/>
      <c r="AR1935" s="171"/>
      <c r="AS1935" s="1"/>
      <c r="AT1935" s="1"/>
      <c r="AU1935" s="1"/>
    </row>
    <row r="1936">
      <c r="A1936" s="54"/>
      <c r="B1936" s="71"/>
      <c r="C1936" s="51"/>
      <c r="D1936" s="54"/>
      <c r="E1936" s="114"/>
      <c r="F1936" s="16"/>
      <c r="G1936" s="114"/>
      <c r="H1936" s="54"/>
      <c r="I1936" s="114"/>
      <c r="J1936" s="54"/>
      <c r="L1936" s="54"/>
      <c r="N1936" s="54"/>
      <c r="P1936" s="54"/>
      <c r="R1936" s="54"/>
      <c r="T1936" s="1"/>
      <c r="V1936" s="54"/>
      <c r="X1936" s="54"/>
      <c r="Z1936" s="54"/>
      <c r="AB1936" s="54"/>
      <c r="AD1936" s="54"/>
      <c r="AF1936" s="54"/>
      <c r="AH1936" s="54"/>
      <c r="AJ1936" s="54"/>
      <c r="AL1936" s="54"/>
      <c r="AO1936" s="54"/>
      <c r="AP1936" s="1"/>
      <c r="AQ1936" s="54"/>
      <c r="AR1936" s="171"/>
      <c r="AS1936" s="1"/>
      <c r="AT1936" s="1"/>
      <c r="AU1936" s="1"/>
    </row>
    <row r="1937">
      <c r="A1937" s="54"/>
      <c r="B1937" s="71"/>
      <c r="C1937" s="51"/>
      <c r="D1937" s="54"/>
      <c r="E1937" s="114"/>
      <c r="F1937" s="16"/>
      <c r="G1937" s="114"/>
      <c r="H1937" s="54"/>
      <c r="I1937" s="114"/>
      <c r="J1937" s="54"/>
      <c r="L1937" s="54"/>
      <c r="N1937" s="54"/>
      <c r="P1937" s="54"/>
      <c r="R1937" s="54"/>
      <c r="T1937" s="1"/>
      <c r="V1937" s="54"/>
      <c r="X1937" s="54"/>
      <c r="Z1937" s="54"/>
      <c r="AB1937" s="54"/>
      <c r="AD1937" s="54"/>
      <c r="AF1937" s="54"/>
      <c r="AH1937" s="54"/>
      <c r="AJ1937" s="54"/>
      <c r="AL1937" s="54"/>
      <c r="AO1937" s="54"/>
      <c r="AP1937" s="1"/>
      <c r="AQ1937" s="54"/>
      <c r="AR1937" s="171"/>
      <c r="AS1937" s="1"/>
      <c r="AT1937" s="1"/>
      <c r="AU1937" s="1"/>
    </row>
    <row r="1938">
      <c r="A1938" s="54"/>
      <c r="B1938" s="71"/>
      <c r="C1938" s="51"/>
      <c r="D1938" s="54"/>
      <c r="E1938" s="114"/>
      <c r="F1938" s="16"/>
      <c r="G1938" s="114"/>
      <c r="H1938" s="54"/>
      <c r="I1938" s="114"/>
      <c r="J1938" s="54"/>
      <c r="L1938" s="54"/>
      <c r="N1938" s="54"/>
      <c r="P1938" s="54"/>
      <c r="R1938" s="54"/>
      <c r="T1938" s="1"/>
      <c r="V1938" s="54"/>
      <c r="X1938" s="54"/>
      <c r="Z1938" s="54"/>
      <c r="AB1938" s="54"/>
      <c r="AD1938" s="54"/>
      <c r="AF1938" s="54"/>
      <c r="AH1938" s="54"/>
      <c r="AJ1938" s="54"/>
      <c r="AL1938" s="54"/>
      <c r="AO1938" s="54"/>
      <c r="AP1938" s="1"/>
      <c r="AQ1938" s="54"/>
      <c r="AR1938" s="171"/>
      <c r="AS1938" s="1"/>
      <c r="AT1938" s="1"/>
      <c r="AU1938" s="1"/>
    </row>
    <row r="1939">
      <c r="A1939" s="54"/>
      <c r="B1939" s="71"/>
      <c r="C1939" s="51"/>
      <c r="D1939" s="54"/>
      <c r="E1939" s="114"/>
      <c r="F1939" s="16"/>
      <c r="G1939" s="114"/>
      <c r="H1939" s="54"/>
      <c r="I1939" s="114"/>
      <c r="J1939" s="54"/>
      <c r="L1939" s="54"/>
      <c r="N1939" s="54"/>
      <c r="P1939" s="54"/>
      <c r="R1939" s="54"/>
      <c r="T1939" s="1"/>
      <c r="V1939" s="54"/>
      <c r="X1939" s="54"/>
      <c r="Z1939" s="54"/>
      <c r="AB1939" s="54"/>
      <c r="AD1939" s="54"/>
      <c r="AF1939" s="54"/>
      <c r="AH1939" s="54"/>
      <c r="AJ1939" s="54"/>
      <c r="AL1939" s="54"/>
      <c r="AO1939" s="54"/>
      <c r="AP1939" s="1"/>
      <c r="AQ1939" s="54"/>
      <c r="AR1939" s="171"/>
      <c r="AS1939" s="1"/>
      <c r="AT1939" s="1"/>
      <c r="AU1939" s="1"/>
    </row>
    <row r="1940">
      <c r="A1940" s="54"/>
      <c r="B1940" s="71"/>
      <c r="C1940" s="51"/>
      <c r="D1940" s="54"/>
      <c r="E1940" s="114"/>
      <c r="F1940" s="16"/>
      <c r="G1940" s="114"/>
      <c r="H1940" s="54"/>
      <c r="I1940" s="114"/>
      <c r="J1940" s="54"/>
      <c r="L1940" s="54"/>
      <c r="N1940" s="54"/>
      <c r="P1940" s="54"/>
      <c r="R1940" s="54"/>
      <c r="T1940" s="1"/>
      <c r="V1940" s="54"/>
      <c r="X1940" s="54"/>
      <c r="Z1940" s="54"/>
      <c r="AB1940" s="54"/>
      <c r="AD1940" s="54"/>
      <c r="AF1940" s="54"/>
      <c r="AH1940" s="54"/>
      <c r="AJ1940" s="54"/>
      <c r="AL1940" s="54"/>
      <c r="AO1940" s="54"/>
      <c r="AP1940" s="1"/>
      <c r="AQ1940" s="54"/>
      <c r="AR1940" s="171"/>
      <c r="AS1940" s="1"/>
      <c r="AT1940" s="1"/>
      <c r="AU1940" s="1"/>
    </row>
    <row r="1941">
      <c r="A1941" s="54"/>
      <c r="B1941" s="71"/>
      <c r="C1941" s="51"/>
      <c r="D1941" s="54"/>
      <c r="E1941" s="114"/>
      <c r="F1941" s="16"/>
      <c r="G1941" s="114"/>
      <c r="H1941" s="54"/>
      <c r="I1941" s="114"/>
      <c r="J1941" s="54"/>
      <c r="L1941" s="54"/>
      <c r="N1941" s="54"/>
      <c r="P1941" s="54"/>
      <c r="R1941" s="54"/>
      <c r="T1941" s="1"/>
      <c r="V1941" s="54"/>
      <c r="X1941" s="54"/>
      <c r="Z1941" s="54"/>
      <c r="AB1941" s="54"/>
      <c r="AD1941" s="54"/>
      <c r="AF1941" s="54"/>
      <c r="AH1941" s="54"/>
      <c r="AJ1941" s="54"/>
      <c r="AL1941" s="54"/>
      <c r="AO1941" s="54"/>
      <c r="AP1941" s="1"/>
      <c r="AQ1941" s="54"/>
      <c r="AR1941" s="171"/>
      <c r="AS1941" s="1"/>
      <c r="AT1941" s="1"/>
      <c r="AU1941" s="1"/>
    </row>
    <row r="1942">
      <c r="A1942" s="54"/>
      <c r="B1942" s="71"/>
      <c r="C1942" s="51"/>
      <c r="D1942" s="54"/>
      <c r="E1942" s="114"/>
      <c r="F1942" s="16"/>
      <c r="G1942" s="114"/>
      <c r="H1942" s="54"/>
      <c r="I1942" s="114"/>
      <c r="J1942" s="54"/>
      <c r="L1942" s="54"/>
      <c r="N1942" s="54"/>
      <c r="P1942" s="54"/>
      <c r="R1942" s="54"/>
      <c r="T1942" s="1"/>
      <c r="V1942" s="54"/>
      <c r="X1942" s="54"/>
      <c r="Z1942" s="54"/>
      <c r="AB1942" s="54"/>
      <c r="AD1942" s="54"/>
      <c r="AF1942" s="54"/>
      <c r="AH1942" s="54"/>
      <c r="AJ1942" s="54"/>
      <c r="AL1942" s="54"/>
      <c r="AO1942" s="54"/>
      <c r="AP1942" s="1"/>
      <c r="AQ1942" s="54"/>
      <c r="AR1942" s="171"/>
      <c r="AS1942" s="1"/>
      <c r="AT1942" s="1"/>
      <c r="AU1942" s="1"/>
    </row>
    <row r="1943">
      <c r="A1943" s="54"/>
      <c r="B1943" s="71"/>
      <c r="C1943" s="51"/>
      <c r="D1943" s="54"/>
      <c r="E1943" s="114"/>
      <c r="F1943" s="16"/>
      <c r="G1943" s="114"/>
      <c r="H1943" s="54"/>
      <c r="I1943" s="114"/>
      <c r="J1943" s="54"/>
      <c r="L1943" s="54"/>
      <c r="N1943" s="54"/>
      <c r="P1943" s="54"/>
      <c r="R1943" s="54"/>
      <c r="T1943" s="1"/>
      <c r="V1943" s="54"/>
      <c r="X1943" s="54"/>
      <c r="Z1943" s="54"/>
      <c r="AB1943" s="54"/>
      <c r="AD1943" s="54"/>
      <c r="AF1943" s="54"/>
      <c r="AH1943" s="54"/>
      <c r="AJ1943" s="54"/>
      <c r="AL1943" s="54"/>
      <c r="AO1943" s="54"/>
      <c r="AP1943" s="1"/>
      <c r="AQ1943" s="54"/>
      <c r="AR1943" s="171"/>
      <c r="AS1943" s="1"/>
      <c r="AT1943" s="1"/>
      <c r="AU1943" s="1"/>
    </row>
    <row r="1944">
      <c r="A1944" s="54"/>
      <c r="B1944" s="71"/>
      <c r="C1944" s="51"/>
      <c r="D1944" s="54"/>
      <c r="E1944" s="114"/>
      <c r="F1944" s="16"/>
      <c r="G1944" s="114"/>
      <c r="H1944" s="54"/>
      <c r="I1944" s="114"/>
      <c r="J1944" s="54"/>
      <c r="L1944" s="54"/>
      <c r="N1944" s="54"/>
      <c r="P1944" s="54"/>
      <c r="R1944" s="54"/>
      <c r="T1944" s="1"/>
      <c r="V1944" s="54"/>
      <c r="X1944" s="54"/>
      <c r="Z1944" s="54"/>
      <c r="AB1944" s="54"/>
      <c r="AD1944" s="54"/>
      <c r="AF1944" s="54"/>
      <c r="AH1944" s="54"/>
      <c r="AJ1944" s="54"/>
      <c r="AL1944" s="54"/>
      <c r="AO1944" s="54"/>
      <c r="AP1944" s="1"/>
      <c r="AQ1944" s="54"/>
      <c r="AR1944" s="171"/>
      <c r="AS1944" s="1"/>
      <c r="AT1944" s="1"/>
      <c r="AU1944" s="1"/>
    </row>
    <row r="1945">
      <c r="A1945" s="54"/>
      <c r="B1945" s="71"/>
      <c r="C1945" s="51"/>
      <c r="D1945" s="54"/>
      <c r="E1945" s="114"/>
      <c r="F1945" s="16"/>
      <c r="G1945" s="114"/>
      <c r="H1945" s="54"/>
      <c r="I1945" s="114"/>
      <c r="J1945" s="54"/>
      <c r="L1945" s="54"/>
      <c r="N1945" s="54"/>
      <c r="P1945" s="54"/>
      <c r="R1945" s="54"/>
      <c r="T1945" s="1"/>
      <c r="V1945" s="54"/>
      <c r="X1945" s="54"/>
      <c r="Z1945" s="54"/>
      <c r="AB1945" s="54"/>
      <c r="AD1945" s="54"/>
      <c r="AF1945" s="54"/>
      <c r="AH1945" s="54"/>
      <c r="AJ1945" s="54"/>
      <c r="AL1945" s="54"/>
      <c r="AO1945" s="54"/>
      <c r="AP1945" s="1"/>
      <c r="AQ1945" s="54"/>
      <c r="AR1945" s="171"/>
      <c r="AS1945" s="1"/>
      <c r="AT1945" s="1"/>
      <c r="AU1945" s="1"/>
    </row>
    <row r="1946">
      <c r="A1946" s="54"/>
      <c r="B1946" s="71"/>
      <c r="C1946" s="51"/>
      <c r="D1946" s="54"/>
      <c r="E1946" s="114"/>
      <c r="F1946" s="16"/>
      <c r="G1946" s="114"/>
      <c r="H1946" s="54"/>
      <c r="I1946" s="114"/>
      <c r="J1946" s="54"/>
      <c r="L1946" s="54"/>
      <c r="N1946" s="54"/>
      <c r="P1946" s="54"/>
      <c r="R1946" s="54"/>
      <c r="T1946" s="1"/>
      <c r="V1946" s="54"/>
      <c r="X1946" s="54"/>
      <c r="Z1946" s="54"/>
      <c r="AB1946" s="54"/>
      <c r="AD1946" s="54"/>
      <c r="AF1946" s="54"/>
      <c r="AH1946" s="54"/>
      <c r="AJ1946" s="54"/>
      <c r="AL1946" s="54"/>
      <c r="AO1946" s="54"/>
      <c r="AP1946" s="1"/>
      <c r="AQ1946" s="54"/>
      <c r="AR1946" s="171"/>
      <c r="AS1946" s="1"/>
      <c r="AT1946" s="1"/>
      <c r="AU1946" s="1"/>
    </row>
    <row r="1947">
      <c r="A1947" s="54"/>
      <c r="B1947" s="71"/>
      <c r="C1947" s="51"/>
      <c r="D1947" s="54"/>
      <c r="E1947" s="114"/>
      <c r="F1947" s="16"/>
      <c r="G1947" s="114"/>
      <c r="H1947" s="54"/>
      <c r="I1947" s="114"/>
      <c r="J1947" s="54"/>
      <c r="L1947" s="54"/>
      <c r="N1947" s="54"/>
      <c r="P1947" s="54"/>
      <c r="R1947" s="54"/>
      <c r="T1947" s="1"/>
      <c r="V1947" s="54"/>
      <c r="X1947" s="54"/>
      <c r="Z1947" s="54"/>
      <c r="AB1947" s="54"/>
      <c r="AD1947" s="54"/>
      <c r="AF1947" s="54"/>
      <c r="AH1947" s="54"/>
      <c r="AJ1947" s="54"/>
      <c r="AL1947" s="54"/>
      <c r="AO1947" s="54"/>
      <c r="AP1947" s="1"/>
      <c r="AQ1947" s="54"/>
      <c r="AR1947" s="171"/>
      <c r="AS1947" s="1"/>
      <c r="AT1947" s="1"/>
      <c r="AU1947" s="1"/>
    </row>
    <row r="1948">
      <c r="A1948" s="54"/>
      <c r="B1948" s="71"/>
      <c r="C1948" s="51"/>
      <c r="D1948" s="54"/>
      <c r="E1948" s="114"/>
      <c r="F1948" s="16"/>
      <c r="G1948" s="114"/>
      <c r="H1948" s="54"/>
      <c r="I1948" s="114"/>
      <c r="J1948" s="54"/>
      <c r="L1948" s="54"/>
      <c r="N1948" s="54"/>
      <c r="P1948" s="54"/>
      <c r="R1948" s="54"/>
      <c r="T1948" s="1"/>
      <c r="V1948" s="54"/>
      <c r="X1948" s="54"/>
      <c r="Z1948" s="54"/>
      <c r="AB1948" s="54"/>
      <c r="AD1948" s="54"/>
      <c r="AF1948" s="54"/>
      <c r="AH1948" s="54"/>
      <c r="AJ1948" s="54"/>
      <c r="AL1948" s="54"/>
      <c r="AO1948" s="54"/>
      <c r="AP1948" s="1"/>
      <c r="AQ1948" s="54"/>
      <c r="AR1948" s="171"/>
      <c r="AS1948" s="1"/>
      <c r="AT1948" s="1"/>
      <c r="AU1948" s="1"/>
    </row>
    <row r="1949">
      <c r="A1949" s="54"/>
      <c r="B1949" s="71"/>
      <c r="C1949" s="51"/>
      <c r="D1949" s="54"/>
      <c r="E1949" s="114"/>
      <c r="F1949" s="16"/>
      <c r="G1949" s="114"/>
      <c r="H1949" s="54"/>
      <c r="I1949" s="114"/>
      <c r="J1949" s="54"/>
      <c r="L1949" s="54"/>
      <c r="N1949" s="54"/>
      <c r="P1949" s="54"/>
      <c r="R1949" s="54"/>
      <c r="T1949" s="1"/>
      <c r="V1949" s="54"/>
      <c r="X1949" s="54"/>
      <c r="Z1949" s="54"/>
      <c r="AB1949" s="54"/>
      <c r="AD1949" s="54"/>
      <c r="AF1949" s="54"/>
      <c r="AH1949" s="54"/>
      <c r="AJ1949" s="54"/>
      <c r="AL1949" s="54"/>
      <c r="AO1949" s="54"/>
      <c r="AP1949" s="1"/>
      <c r="AQ1949" s="54"/>
      <c r="AR1949" s="171"/>
      <c r="AS1949" s="1"/>
      <c r="AT1949" s="1"/>
      <c r="AU1949" s="1"/>
    </row>
    <row r="1950">
      <c r="A1950" s="54"/>
      <c r="B1950" s="71"/>
      <c r="C1950" s="51"/>
      <c r="D1950" s="54"/>
      <c r="E1950" s="114"/>
      <c r="F1950" s="16"/>
      <c r="G1950" s="114"/>
      <c r="H1950" s="54"/>
      <c r="I1950" s="114"/>
      <c r="J1950" s="54"/>
      <c r="L1950" s="54"/>
      <c r="N1950" s="54"/>
      <c r="P1950" s="54"/>
      <c r="R1950" s="54"/>
      <c r="T1950" s="1"/>
      <c r="V1950" s="54"/>
      <c r="X1950" s="54"/>
      <c r="Z1950" s="54"/>
      <c r="AB1950" s="54"/>
      <c r="AD1950" s="54"/>
      <c r="AF1950" s="54"/>
      <c r="AH1950" s="54"/>
      <c r="AJ1950" s="54"/>
      <c r="AL1950" s="54"/>
      <c r="AO1950" s="54"/>
      <c r="AP1950" s="1"/>
      <c r="AQ1950" s="54"/>
      <c r="AR1950" s="171"/>
      <c r="AS1950" s="1"/>
      <c r="AT1950" s="1"/>
      <c r="AU1950" s="1"/>
    </row>
    <row r="1951">
      <c r="A1951" s="54"/>
      <c r="B1951" s="71"/>
      <c r="C1951" s="51"/>
      <c r="D1951" s="54"/>
      <c r="E1951" s="114"/>
      <c r="F1951" s="16"/>
      <c r="G1951" s="114"/>
      <c r="H1951" s="54"/>
      <c r="I1951" s="114"/>
      <c r="J1951" s="54"/>
      <c r="L1951" s="54"/>
      <c r="N1951" s="54"/>
      <c r="P1951" s="54"/>
      <c r="R1951" s="54"/>
      <c r="T1951" s="1"/>
      <c r="V1951" s="54"/>
      <c r="X1951" s="54"/>
      <c r="Z1951" s="54"/>
      <c r="AB1951" s="54"/>
      <c r="AD1951" s="54"/>
      <c r="AF1951" s="54"/>
      <c r="AH1951" s="54"/>
      <c r="AJ1951" s="54"/>
      <c r="AL1951" s="54"/>
      <c r="AO1951" s="54"/>
      <c r="AP1951" s="1"/>
      <c r="AQ1951" s="54"/>
      <c r="AR1951" s="171"/>
      <c r="AS1951" s="1"/>
      <c r="AT1951" s="1"/>
      <c r="AU1951" s="1"/>
    </row>
    <row r="1952">
      <c r="A1952" s="54"/>
      <c r="B1952" s="71"/>
      <c r="C1952" s="51"/>
      <c r="D1952" s="54"/>
      <c r="E1952" s="114"/>
      <c r="F1952" s="16"/>
      <c r="G1952" s="114"/>
      <c r="H1952" s="54"/>
      <c r="I1952" s="114"/>
      <c r="J1952" s="54"/>
      <c r="L1952" s="54"/>
      <c r="N1952" s="54"/>
      <c r="P1952" s="54"/>
      <c r="R1952" s="54"/>
      <c r="T1952" s="1"/>
      <c r="V1952" s="54"/>
      <c r="X1952" s="54"/>
      <c r="Z1952" s="54"/>
      <c r="AB1952" s="54"/>
      <c r="AD1952" s="54"/>
      <c r="AF1952" s="54"/>
      <c r="AH1952" s="54"/>
      <c r="AJ1952" s="54"/>
      <c r="AL1952" s="54"/>
      <c r="AO1952" s="54"/>
      <c r="AP1952" s="1"/>
      <c r="AQ1952" s="54"/>
      <c r="AR1952" s="171"/>
      <c r="AS1952" s="1"/>
      <c r="AT1952" s="1"/>
      <c r="AU1952" s="1"/>
    </row>
    <row r="1953">
      <c r="A1953" s="54"/>
      <c r="B1953" s="71"/>
      <c r="C1953" s="51"/>
      <c r="D1953" s="54"/>
      <c r="E1953" s="114"/>
      <c r="F1953" s="16"/>
      <c r="G1953" s="114"/>
      <c r="H1953" s="54"/>
      <c r="I1953" s="114"/>
      <c r="J1953" s="54"/>
      <c r="L1953" s="54"/>
      <c r="N1953" s="54"/>
      <c r="P1953" s="54"/>
      <c r="R1953" s="54"/>
      <c r="T1953" s="1"/>
      <c r="V1953" s="54"/>
      <c r="X1953" s="54"/>
      <c r="Z1953" s="54"/>
      <c r="AB1953" s="54"/>
      <c r="AD1953" s="54"/>
      <c r="AF1953" s="54"/>
      <c r="AH1953" s="54"/>
      <c r="AJ1953" s="54"/>
      <c r="AL1953" s="54"/>
      <c r="AO1953" s="54"/>
      <c r="AP1953" s="1"/>
      <c r="AQ1953" s="54"/>
      <c r="AR1953" s="171"/>
      <c r="AS1953" s="1"/>
      <c r="AT1953" s="1"/>
      <c r="AU1953" s="1"/>
    </row>
    <row r="1954">
      <c r="A1954" s="54"/>
      <c r="B1954" s="71"/>
      <c r="C1954" s="51"/>
      <c r="D1954" s="54"/>
      <c r="E1954" s="114"/>
      <c r="F1954" s="16"/>
      <c r="G1954" s="114"/>
      <c r="H1954" s="54"/>
      <c r="I1954" s="114"/>
      <c r="J1954" s="54"/>
      <c r="L1954" s="54"/>
      <c r="N1954" s="54"/>
      <c r="P1954" s="54"/>
      <c r="R1954" s="54"/>
      <c r="T1954" s="1"/>
      <c r="V1954" s="54"/>
      <c r="X1954" s="54"/>
      <c r="Z1954" s="54"/>
      <c r="AB1954" s="54"/>
      <c r="AD1954" s="54"/>
      <c r="AF1954" s="54"/>
      <c r="AH1954" s="54"/>
      <c r="AJ1954" s="54"/>
      <c r="AL1954" s="54"/>
      <c r="AO1954" s="54"/>
      <c r="AP1954" s="1"/>
      <c r="AQ1954" s="54"/>
      <c r="AR1954" s="171"/>
      <c r="AS1954" s="1"/>
      <c r="AT1954" s="1"/>
      <c r="AU1954" s="1"/>
    </row>
    <row r="1955">
      <c r="A1955" s="54"/>
      <c r="B1955" s="71"/>
      <c r="C1955" s="51"/>
      <c r="D1955" s="54"/>
      <c r="E1955" s="114"/>
      <c r="F1955" s="16"/>
      <c r="G1955" s="114"/>
      <c r="H1955" s="54"/>
      <c r="I1955" s="114"/>
      <c r="J1955" s="54"/>
      <c r="L1955" s="54"/>
      <c r="N1955" s="54"/>
      <c r="P1955" s="54"/>
      <c r="R1955" s="54"/>
      <c r="T1955" s="1"/>
      <c r="V1955" s="54"/>
      <c r="X1955" s="54"/>
      <c r="Z1955" s="54"/>
      <c r="AB1955" s="54"/>
      <c r="AD1955" s="54"/>
      <c r="AF1955" s="54"/>
      <c r="AH1955" s="54"/>
      <c r="AJ1955" s="54"/>
      <c r="AL1955" s="54"/>
      <c r="AO1955" s="54"/>
      <c r="AP1955" s="1"/>
      <c r="AQ1955" s="54"/>
      <c r="AR1955" s="171"/>
      <c r="AS1955" s="1"/>
      <c r="AT1955" s="1"/>
      <c r="AU1955" s="1"/>
    </row>
    <row r="1956">
      <c r="A1956" s="54"/>
      <c r="B1956" s="71"/>
      <c r="C1956" s="51"/>
      <c r="D1956" s="54"/>
      <c r="E1956" s="114"/>
      <c r="F1956" s="16"/>
      <c r="G1956" s="114"/>
      <c r="H1956" s="54"/>
      <c r="I1956" s="114"/>
      <c r="J1956" s="54"/>
      <c r="L1956" s="54"/>
      <c r="N1956" s="54"/>
      <c r="P1956" s="54"/>
      <c r="R1956" s="54"/>
      <c r="T1956" s="1"/>
      <c r="V1956" s="54"/>
      <c r="X1956" s="54"/>
      <c r="Z1956" s="54"/>
      <c r="AB1956" s="54"/>
      <c r="AD1956" s="54"/>
      <c r="AF1956" s="54"/>
      <c r="AH1956" s="54"/>
      <c r="AJ1956" s="54"/>
      <c r="AL1956" s="54"/>
      <c r="AO1956" s="54"/>
      <c r="AP1956" s="1"/>
      <c r="AQ1956" s="54"/>
      <c r="AR1956" s="171"/>
      <c r="AS1956" s="1"/>
      <c r="AT1956" s="1"/>
      <c r="AU1956" s="1"/>
    </row>
    <row r="1957">
      <c r="A1957" s="54"/>
      <c r="B1957" s="71"/>
      <c r="C1957" s="51"/>
      <c r="D1957" s="54"/>
      <c r="E1957" s="114"/>
      <c r="F1957" s="16"/>
      <c r="G1957" s="114"/>
      <c r="H1957" s="54"/>
      <c r="I1957" s="114"/>
      <c r="J1957" s="54"/>
      <c r="L1957" s="54"/>
      <c r="N1957" s="54"/>
      <c r="P1957" s="54"/>
      <c r="R1957" s="54"/>
      <c r="T1957" s="1"/>
      <c r="V1957" s="54"/>
      <c r="X1957" s="54"/>
      <c r="Z1957" s="54"/>
      <c r="AB1957" s="54"/>
      <c r="AD1957" s="54"/>
      <c r="AF1957" s="54"/>
      <c r="AH1957" s="54"/>
      <c r="AJ1957" s="54"/>
      <c r="AL1957" s="54"/>
      <c r="AO1957" s="54"/>
      <c r="AP1957" s="1"/>
      <c r="AQ1957" s="54"/>
      <c r="AR1957" s="171"/>
      <c r="AS1957" s="1"/>
      <c r="AT1957" s="1"/>
      <c r="AU1957" s="1"/>
    </row>
    <row r="1958">
      <c r="A1958" s="54"/>
      <c r="B1958" s="71"/>
      <c r="C1958" s="51"/>
      <c r="D1958" s="54"/>
      <c r="E1958" s="114"/>
      <c r="F1958" s="16"/>
      <c r="G1958" s="114"/>
      <c r="H1958" s="54"/>
      <c r="I1958" s="114"/>
      <c r="J1958" s="54"/>
      <c r="L1958" s="54"/>
      <c r="N1958" s="54"/>
      <c r="P1958" s="54"/>
      <c r="R1958" s="54"/>
      <c r="T1958" s="1"/>
      <c r="V1958" s="54"/>
      <c r="X1958" s="54"/>
      <c r="Z1958" s="54"/>
      <c r="AB1958" s="54"/>
      <c r="AD1958" s="54"/>
      <c r="AF1958" s="54"/>
      <c r="AH1958" s="54"/>
      <c r="AJ1958" s="54"/>
      <c r="AL1958" s="54"/>
      <c r="AO1958" s="54"/>
      <c r="AP1958" s="1"/>
      <c r="AQ1958" s="54"/>
      <c r="AR1958" s="171"/>
      <c r="AS1958" s="1"/>
      <c r="AT1958" s="1"/>
      <c r="AU1958" s="1"/>
    </row>
    <row r="1959">
      <c r="A1959" s="54"/>
      <c r="B1959" s="71"/>
      <c r="C1959" s="51"/>
      <c r="D1959" s="54"/>
      <c r="E1959" s="114"/>
      <c r="F1959" s="16"/>
      <c r="G1959" s="114"/>
      <c r="H1959" s="54"/>
      <c r="I1959" s="114"/>
      <c r="J1959" s="54"/>
      <c r="L1959" s="54"/>
      <c r="N1959" s="54"/>
      <c r="P1959" s="54"/>
      <c r="R1959" s="54"/>
      <c r="T1959" s="1"/>
      <c r="V1959" s="54"/>
      <c r="X1959" s="54"/>
      <c r="Z1959" s="54"/>
      <c r="AB1959" s="54"/>
      <c r="AD1959" s="54"/>
      <c r="AF1959" s="54"/>
      <c r="AH1959" s="54"/>
      <c r="AJ1959" s="54"/>
      <c r="AL1959" s="54"/>
      <c r="AO1959" s="54"/>
      <c r="AP1959" s="1"/>
      <c r="AQ1959" s="54"/>
      <c r="AR1959" s="171"/>
      <c r="AS1959" s="1"/>
      <c r="AT1959" s="1"/>
      <c r="AU1959" s="1"/>
    </row>
    <row r="1960">
      <c r="A1960" s="54"/>
      <c r="B1960" s="71"/>
      <c r="C1960" s="51"/>
      <c r="D1960" s="54"/>
      <c r="E1960" s="114"/>
      <c r="F1960" s="16"/>
      <c r="G1960" s="114"/>
      <c r="H1960" s="54"/>
      <c r="I1960" s="114"/>
      <c r="J1960" s="54"/>
      <c r="L1960" s="54"/>
      <c r="N1960" s="54"/>
      <c r="P1960" s="54"/>
      <c r="R1960" s="54"/>
      <c r="T1960" s="1"/>
      <c r="V1960" s="54"/>
      <c r="X1960" s="54"/>
      <c r="Z1960" s="54"/>
      <c r="AB1960" s="54"/>
      <c r="AD1960" s="54"/>
      <c r="AF1960" s="54"/>
      <c r="AH1960" s="54"/>
      <c r="AJ1960" s="54"/>
      <c r="AL1960" s="54"/>
      <c r="AO1960" s="54"/>
      <c r="AP1960" s="1"/>
      <c r="AQ1960" s="54"/>
      <c r="AR1960" s="171"/>
      <c r="AS1960" s="1"/>
      <c r="AT1960" s="1"/>
      <c r="AU1960" s="1"/>
    </row>
    <row r="1961">
      <c r="A1961" s="54"/>
      <c r="B1961" s="71"/>
      <c r="C1961" s="51"/>
      <c r="D1961" s="54"/>
      <c r="E1961" s="114"/>
      <c r="F1961" s="16"/>
      <c r="G1961" s="114"/>
      <c r="H1961" s="54"/>
      <c r="I1961" s="114"/>
      <c r="J1961" s="54"/>
      <c r="L1961" s="54"/>
      <c r="N1961" s="54"/>
      <c r="P1961" s="54"/>
      <c r="R1961" s="54"/>
      <c r="T1961" s="1"/>
      <c r="V1961" s="54"/>
      <c r="X1961" s="54"/>
      <c r="Z1961" s="54"/>
      <c r="AB1961" s="54"/>
      <c r="AD1961" s="54"/>
      <c r="AF1961" s="54"/>
      <c r="AH1961" s="54"/>
      <c r="AJ1961" s="54"/>
      <c r="AL1961" s="54"/>
      <c r="AO1961" s="54"/>
      <c r="AP1961" s="1"/>
      <c r="AQ1961" s="54"/>
      <c r="AR1961" s="171"/>
      <c r="AS1961" s="1"/>
      <c r="AT1961" s="1"/>
      <c r="AU1961" s="1"/>
    </row>
    <row r="1962">
      <c r="A1962" s="54"/>
      <c r="B1962" s="71"/>
      <c r="C1962" s="51"/>
      <c r="D1962" s="54"/>
      <c r="E1962" s="114"/>
      <c r="F1962" s="16"/>
      <c r="G1962" s="114"/>
      <c r="H1962" s="54"/>
      <c r="I1962" s="114"/>
      <c r="J1962" s="54"/>
      <c r="L1962" s="54"/>
      <c r="N1962" s="54"/>
      <c r="P1962" s="54"/>
      <c r="R1962" s="54"/>
      <c r="T1962" s="1"/>
      <c r="V1962" s="54"/>
      <c r="X1962" s="54"/>
      <c r="Z1962" s="54"/>
      <c r="AB1962" s="54"/>
      <c r="AD1962" s="54"/>
      <c r="AF1962" s="54"/>
      <c r="AH1962" s="54"/>
      <c r="AJ1962" s="54"/>
      <c r="AL1962" s="54"/>
      <c r="AO1962" s="54"/>
      <c r="AP1962" s="1"/>
      <c r="AQ1962" s="54"/>
      <c r="AR1962" s="171"/>
      <c r="AS1962" s="1"/>
      <c r="AT1962" s="1"/>
      <c r="AU1962" s="1"/>
    </row>
    <row r="1963">
      <c r="A1963" s="54"/>
      <c r="B1963" s="71"/>
      <c r="C1963" s="51"/>
      <c r="D1963" s="54"/>
      <c r="E1963" s="114"/>
      <c r="F1963" s="16"/>
      <c r="G1963" s="114"/>
      <c r="H1963" s="54"/>
      <c r="I1963" s="114"/>
      <c r="J1963" s="54"/>
      <c r="L1963" s="54"/>
      <c r="N1963" s="54"/>
      <c r="P1963" s="54"/>
      <c r="R1963" s="54"/>
      <c r="T1963" s="1"/>
      <c r="V1963" s="54"/>
      <c r="X1963" s="54"/>
      <c r="Z1963" s="54"/>
      <c r="AB1963" s="54"/>
      <c r="AD1963" s="54"/>
      <c r="AF1963" s="54"/>
      <c r="AH1963" s="54"/>
      <c r="AJ1963" s="54"/>
      <c r="AL1963" s="54"/>
      <c r="AO1963" s="54"/>
      <c r="AP1963" s="1"/>
      <c r="AQ1963" s="54"/>
      <c r="AR1963" s="171"/>
      <c r="AS1963" s="1"/>
      <c r="AT1963" s="1"/>
      <c r="AU1963" s="1"/>
    </row>
    <row r="1964">
      <c r="A1964" s="54"/>
      <c r="B1964" s="71"/>
      <c r="C1964" s="51"/>
      <c r="D1964" s="54"/>
      <c r="E1964" s="114"/>
      <c r="F1964" s="16"/>
      <c r="G1964" s="114"/>
      <c r="H1964" s="54"/>
      <c r="I1964" s="114"/>
      <c r="J1964" s="54"/>
      <c r="L1964" s="54"/>
      <c r="N1964" s="54"/>
      <c r="P1964" s="54"/>
      <c r="R1964" s="54"/>
      <c r="T1964" s="1"/>
      <c r="V1964" s="54"/>
      <c r="X1964" s="54"/>
      <c r="Z1964" s="54"/>
      <c r="AB1964" s="54"/>
      <c r="AD1964" s="54"/>
      <c r="AF1964" s="54"/>
      <c r="AH1964" s="54"/>
      <c r="AJ1964" s="54"/>
      <c r="AL1964" s="54"/>
      <c r="AO1964" s="54"/>
      <c r="AP1964" s="1"/>
      <c r="AQ1964" s="54"/>
      <c r="AR1964" s="171"/>
      <c r="AS1964" s="1"/>
      <c r="AT1964" s="1"/>
      <c r="AU1964" s="1"/>
    </row>
    <row r="1965">
      <c r="A1965" s="54"/>
      <c r="B1965" s="71"/>
      <c r="C1965" s="51"/>
      <c r="D1965" s="54"/>
      <c r="E1965" s="114"/>
      <c r="F1965" s="16"/>
      <c r="G1965" s="114"/>
      <c r="H1965" s="54"/>
      <c r="I1965" s="114"/>
      <c r="J1965" s="54"/>
      <c r="L1965" s="54"/>
      <c r="N1965" s="54"/>
      <c r="P1965" s="54"/>
      <c r="R1965" s="54"/>
      <c r="T1965" s="1"/>
      <c r="V1965" s="54"/>
      <c r="X1965" s="54"/>
      <c r="Z1965" s="54"/>
      <c r="AB1965" s="54"/>
      <c r="AD1965" s="54"/>
      <c r="AF1965" s="54"/>
      <c r="AH1965" s="54"/>
      <c r="AJ1965" s="54"/>
      <c r="AL1965" s="54"/>
      <c r="AO1965" s="54"/>
      <c r="AP1965" s="1"/>
      <c r="AQ1965" s="54"/>
      <c r="AR1965" s="171"/>
      <c r="AS1965" s="1"/>
      <c r="AT1965" s="1"/>
      <c r="AU1965" s="1"/>
    </row>
    <row r="1966">
      <c r="A1966" s="54"/>
      <c r="B1966" s="71"/>
      <c r="C1966" s="51"/>
      <c r="D1966" s="54"/>
      <c r="E1966" s="114"/>
      <c r="F1966" s="16"/>
      <c r="G1966" s="114"/>
      <c r="H1966" s="54"/>
      <c r="I1966" s="114"/>
      <c r="J1966" s="54"/>
      <c r="L1966" s="54"/>
      <c r="N1966" s="54"/>
      <c r="P1966" s="54"/>
      <c r="Q1966" s="82"/>
      <c r="R1966" s="54"/>
      <c r="T1966" s="1"/>
      <c r="V1966" s="54"/>
      <c r="X1966" s="54"/>
      <c r="Z1966" s="54"/>
      <c r="AB1966" s="54"/>
      <c r="AD1966" s="54"/>
      <c r="AF1966" s="54"/>
      <c r="AH1966" s="54"/>
      <c r="AJ1966" s="54"/>
      <c r="AL1966" s="54"/>
      <c r="AO1966" s="54"/>
      <c r="AP1966" s="1"/>
      <c r="AQ1966" s="54"/>
      <c r="AR1966" s="171"/>
      <c r="AS1966" s="1"/>
      <c r="AT1966" s="1"/>
      <c r="AU1966" s="1"/>
    </row>
    <row r="1967">
      <c r="A1967" s="54"/>
      <c r="B1967" s="71"/>
      <c r="C1967" s="51"/>
      <c r="D1967" s="54"/>
      <c r="E1967" s="114"/>
      <c r="F1967" s="16"/>
      <c r="G1967" s="114"/>
      <c r="H1967" s="54"/>
      <c r="I1967" s="114"/>
      <c r="J1967" s="54"/>
      <c r="L1967" s="54"/>
      <c r="N1967" s="54"/>
      <c r="P1967" s="54"/>
      <c r="Q1967" s="82"/>
      <c r="R1967" s="54"/>
      <c r="T1967" s="1"/>
      <c r="V1967" s="54"/>
      <c r="X1967" s="54"/>
      <c r="Z1967" s="54"/>
      <c r="AB1967" s="54"/>
      <c r="AD1967" s="54"/>
      <c r="AF1967" s="54"/>
      <c r="AH1967" s="54"/>
      <c r="AJ1967" s="54"/>
      <c r="AL1967" s="54"/>
      <c r="AO1967" s="54"/>
      <c r="AP1967" s="1"/>
      <c r="AQ1967" s="54"/>
      <c r="AR1967" s="171"/>
      <c r="AS1967" s="1"/>
      <c r="AT1967" s="1"/>
      <c r="AU1967" s="1"/>
    </row>
    <row r="1968">
      <c r="A1968" s="54"/>
      <c r="B1968" s="71"/>
      <c r="C1968" s="51"/>
      <c r="D1968" s="54"/>
      <c r="E1968" s="114"/>
      <c r="F1968" s="16"/>
      <c r="G1968" s="114"/>
      <c r="H1968" s="54"/>
      <c r="I1968" s="114"/>
      <c r="J1968" s="54"/>
      <c r="L1968" s="54"/>
      <c r="N1968" s="54"/>
      <c r="P1968" s="54"/>
      <c r="Q1968" s="82"/>
      <c r="R1968" s="54"/>
      <c r="T1968" s="1"/>
      <c r="V1968" s="54"/>
      <c r="X1968" s="54"/>
      <c r="Z1968" s="54"/>
      <c r="AB1968" s="54"/>
      <c r="AD1968" s="54"/>
      <c r="AF1968" s="54"/>
      <c r="AH1968" s="54"/>
      <c r="AJ1968" s="54"/>
      <c r="AL1968" s="54"/>
      <c r="AO1968" s="54"/>
      <c r="AP1968" s="1"/>
      <c r="AQ1968" s="54"/>
      <c r="AR1968" s="171"/>
      <c r="AS1968" s="1"/>
      <c r="AT1968" s="1"/>
      <c r="AU1968" s="1"/>
    </row>
    <row r="1969">
      <c r="A1969" s="54"/>
      <c r="B1969" s="71"/>
      <c r="C1969" s="51"/>
      <c r="D1969" s="54"/>
      <c r="E1969" s="114"/>
      <c r="F1969" s="16"/>
      <c r="G1969" s="114"/>
      <c r="H1969" s="54"/>
      <c r="I1969" s="114"/>
      <c r="J1969" s="54"/>
      <c r="L1969" s="54"/>
      <c r="N1969" s="54"/>
      <c r="P1969" s="54"/>
      <c r="Q1969" s="82"/>
      <c r="R1969" s="54"/>
      <c r="T1969" s="1"/>
      <c r="V1969" s="54"/>
      <c r="X1969" s="54"/>
      <c r="Z1969" s="54"/>
      <c r="AB1969" s="54"/>
      <c r="AD1969" s="54"/>
      <c r="AF1969" s="54"/>
      <c r="AH1969" s="54"/>
      <c r="AJ1969" s="54"/>
      <c r="AL1969" s="54"/>
      <c r="AO1969" s="54"/>
      <c r="AP1969" s="1"/>
      <c r="AQ1969" s="54"/>
      <c r="AR1969" s="171"/>
      <c r="AS1969" s="1"/>
      <c r="AT1969" s="1"/>
      <c r="AU1969" s="1"/>
    </row>
    <row r="1970">
      <c r="A1970" s="54"/>
      <c r="B1970" s="71"/>
      <c r="C1970" s="51"/>
      <c r="D1970" s="54"/>
      <c r="E1970" s="114"/>
      <c r="F1970" s="16"/>
      <c r="G1970" s="114"/>
      <c r="H1970" s="54"/>
      <c r="I1970" s="114"/>
      <c r="J1970" s="54"/>
      <c r="L1970" s="54"/>
      <c r="N1970" s="54"/>
      <c r="P1970" s="54"/>
      <c r="Q1970" s="82"/>
      <c r="R1970" s="54"/>
      <c r="T1970" s="1"/>
      <c r="V1970" s="54"/>
      <c r="X1970" s="54"/>
      <c r="Z1970" s="54"/>
      <c r="AB1970" s="54"/>
      <c r="AD1970" s="54"/>
      <c r="AF1970" s="54"/>
      <c r="AH1970" s="54"/>
      <c r="AJ1970" s="54"/>
      <c r="AL1970" s="54"/>
      <c r="AO1970" s="54"/>
      <c r="AP1970" s="1"/>
      <c r="AQ1970" s="54"/>
      <c r="AR1970" s="171"/>
      <c r="AS1970" s="1"/>
      <c r="AT1970" s="1"/>
      <c r="AU1970" s="1"/>
    </row>
    <row r="1971">
      <c r="A1971" s="54"/>
      <c r="B1971" s="71"/>
      <c r="C1971" s="51"/>
      <c r="D1971" s="54"/>
      <c r="E1971" s="114"/>
      <c r="F1971" s="16"/>
      <c r="G1971" s="114"/>
      <c r="H1971" s="54"/>
      <c r="I1971" s="114"/>
      <c r="J1971" s="54"/>
      <c r="L1971" s="54"/>
      <c r="N1971" s="54"/>
      <c r="P1971" s="54"/>
      <c r="Q1971" s="82"/>
      <c r="R1971" s="54"/>
      <c r="T1971" s="1"/>
      <c r="V1971" s="54"/>
      <c r="X1971" s="54"/>
      <c r="Z1971" s="54"/>
      <c r="AB1971" s="54"/>
      <c r="AD1971" s="54"/>
      <c r="AF1971" s="54"/>
      <c r="AH1971" s="54"/>
      <c r="AJ1971" s="54"/>
      <c r="AL1971" s="54"/>
      <c r="AO1971" s="54"/>
      <c r="AP1971" s="1"/>
      <c r="AQ1971" s="54"/>
      <c r="AR1971" s="171"/>
      <c r="AS1971" s="1"/>
      <c r="AT1971" s="1"/>
      <c r="AU1971" s="1"/>
    </row>
    <row r="1972">
      <c r="A1972" s="54"/>
      <c r="B1972" s="71"/>
      <c r="C1972" s="51"/>
      <c r="D1972" s="54"/>
      <c r="E1972" s="114"/>
      <c r="F1972" s="16"/>
      <c r="G1972" s="114"/>
      <c r="H1972" s="54"/>
      <c r="I1972" s="114"/>
      <c r="J1972" s="54"/>
      <c r="L1972" s="54"/>
      <c r="N1972" s="54"/>
      <c r="P1972" s="54"/>
      <c r="Q1972" s="82"/>
      <c r="R1972" s="54"/>
      <c r="T1972" s="1"/>
      <c r="V1972" s="54"/>
      <c r="X1972" s="54"/>
      <c r="Z1972" s="54"/>
      <c r="AB1972" s="54"/>
      <c r="AD1972" s="54"/>
      <c r="AF1972" s="54"/>
      <c r="AH1972" s="54"/>
      <c r="AJ1972" s="54"/>
      <c r="AL1972" s="54"/>
      <c r="AO1972" s="54"/>
      <c r="AP1972" s="1"/>
      <c r="AQ1972" s="54"/>
      <c r="AR1972" s="171"/>
      <c r="AS1972" s="1"/>
      <c r="AT1972" s="1"/>
      <c r="AU1972" s="1"/>
    </row>
    <row r="1973">
      <c r="A1973" s="54"/>
      <c r="B1973" s="71"/>
      <c r="C1973" s="51"/>
      <c r="D1973" s="54"/>
      <c r="E1973" s="114"/>
      <c r="F1973" s="16"/>
      <c r="G1973" s="114"/>
      <c r="H1973" s="54"/>
      <c r="I1973" s="114"/>
      <c r="J1973" s="54"/>
      <c r="L1973" s="54"/>
      <c r="N1973" s="54"/>
      <c r="P1973" s="54"/>
      <c r="Q1973" s="82"/>
      <c r="R1973" s="54"/>
      <c r="T1973" s="1"/>
      <c r="V1973" s="54"/>
      <c r="X1973" s="54"/>
      <c r="Z1973" s="54"/>
      <c r="AB1973" s="54"/>
      <c r="AD1973" s="54"/>
      <c r="AF1973" s="54"/>
      <c r="AH1973" s="54"/>
      <c r="AJ1973" s="54"/>
      <c r="AL1973" s="54"/>
      <c r="AO1973" s="54"/>
      <c r="AP1973" s="1"/>
      <c r="AQ1973" s="54"/>
      <c r="AR1973" s="171"/>
      <c r="AS1973" s="1"/>
      <c r="AT1973" s="1"/>
      <c r="AU1973" s="1"/>
    </row>
    <row r="1974">
      <c r="A1974" s="54"/>
      <c r="B1974" s="71"/>
      <c r="C1974" s="51"/>
      <c r="D1974" s="54"/>
      <c r="E1974" s="114"/>
      <c r="F1974" s="16"/>
      <c r="G1974" s="114"/>
      <c r="H1974" s="54"/>
      <c r="I1974" s="114"/>
      <c r="J1974" s="54"/>
      <c r="L1974" s="54"/>
      <c r="N1974" s="54"/>
      <c r="P1974" s="54"/>
      <c r="Q1974" s="82"/>
      <c r="R1974" s="54"/>
      <c r="T1974" s="1"/>
      <c r="V1974" s="54"/>
      <c r="X1974" s="54"/>
      <c r="Z1974" s="54"/>
      <c r="AB1974" s="54"/>
      <c r="AD1974" s="54"/>
      <c r="AF1974" s="54"/>
      <c r="AH1974" s="54"/>
      <c r="AJ1974" s="54"/>
      <c r="AL1974" s="54"/>
      <c r="AO1974" s="54"/>
      <c r="AP1974" s="1"/>
      <c r="AQ1974" s="54"/>
      <c r="AR1974" s="171"/>
      <c r="AS1974" s="1"/>
      <c r="AT1974" s="1"/>
      <c r="AU1974" s="1"/>
    </row>
    <row r="1975">
      <c r="A1975" s="54"/>
      <c r="B1975" s="71"/>
      <c r="C1975" s="51"/>
      <c r="D1975" s="54"/>
      <c r="E1975" s="114"/>
      <c r="F1975" s="16"/>
      <c r="G1975" s="114"/>
      <c r="H1975" s="54"/>
      <c r="I1975" s="114"/>
      <c r="J1975" s="54"/>
      <c r="L1975" s="54"/>
      <c r="N1975" s="54"/>
      <c r="P1975" s="54"/>
      <c r="Q1975" s="82"/>
      <c r="R1975" s="54"/>
      <c r="T1975" s="1"/>
      <c r="V1975" s="54"/>
      <c r="X1975" s="54"/>
      <c r="Z1975" s="54"/>
      <c r="AB1975" s="54"/>
      <c r="AD1975" s="54"/>
      <c r="AF1975" s="54"/>
      <c r="AH1975" s="54"/>
      <c r="AJ1975" s="54"/>
      <c r="AL1975" s="54"/>
      <c r="AO1975" s="54"/>
      <c r="AP1975" s="1"/>
      <c r="AQ1975" s="54"/>
      <c r="AR1975" s="171"/>
      <c r="AS1975" s="1"/>
      <c r="AT1975" s="1"/>
      <c r="AU1975" s="1"/>
    </row>
    <row r="1976">
      <c r="A1976" s="54"/>
      <c r="B1976" s="71"/>
      <c r="C1976" s="51"/>
      <c r="D1976" s="54"/>
      <c r="E1976" s="114"/>
      <c r="F1976" s="16"/>
      <c r="G1976" s="114"/>
      <c r="H1976" s="54"/>
      <c r="I1976" s="114"/>
      <c r="J1976" s="54"/>
      <c r="L1976" s="54"/>
      <c r="N1976" s="54"/>
      <c r="P1976" s="54"/>
      <c r="Q1976" s="82"/>
      <c r="R1976" s="54"/>
      <c r="T1976" s="1"/>
      <c r="V1976" s="54"/>
      <c r="X1976" s="54"/>
      <c r="Z1976" s="54"/>
      <c r="AB1976" s="54"/>
      <c r="AD1976" s="54"/>
      <c r="AF1976" s="54"/>
      <c r="AH1976" s="54"/>
      <c r="AJ1976" s="54"/>
      <c r="AL1976" s="54"/>
      <c r="AO1976" s="54"/>
      <c r="AP1976" s="1"/>
      <c r="AQ1976" s="54"/>
      <c r="AR1976" s="171"/>
      <c r="AS1976" s="1"/>
      <c r="AT1976" s="1"/>
      <c r="AU1976" s="1"/>
    </row>
    <row r="1977">
      <c r="A1977" s="54"/>
      <c r="B1977" s="71"/>
      <c r="C1977" s="51"/>
      <c r="D1977" s="54"/>
      <c r="E1977" s="114"/>
      <c r="F1977" s="16"/>
      <c r="G1977" s="114"/>
      <c r="H1977" s="54"/>
      <c r="I1977" s="114"/>
      <c r="J1977" s="54"/>
      <c r="L1977" s="54"/>
      <c r="N1977" s="54"/>
      <c r="P1977" s="54"/>
      <c r="Q1977" s="82"/>
      <c r="R1977" s="54"/>
      <c r="T1977" s="1"/>
      <c r="V1977" s="54"/>
      <c r="X1977" s="54"/>
      <c r="Z1977" s="54"/>
      <c r="AB1977" s="54"/>
      <c r="AD1977" s="54"/>
      <c r="AF1977" s="54"/>
      <c r="AH1977" s="54"/>
      <c r="AJ1977" s="54"/>
      <c r="AL1977" s="54"/>
      <c r="AO1977" s="54"/>
      <c r="AP1977" s="1"/>
      <c r="AQ1977" s="54"/>
      <c r="AR1977" s="171"/>
      <c r="AS1977" s="1"/>
      <c r="AT1977" s="1"/>
      <c r="AU1977" s="1"/>
    </row>
    <row r="1978">
      <c r="A1978" s="54"/>
      <c r="B1978" s="71"/>
      <c r="C1978" s="51"/>
      <c r="D1978" s="54"/>
      <c r="E1978" s="114"/>
      <c r="F1978" s="16"/>
      <c r="G1978" s="114"/>
      <c r="H1978" s="54"/>
      <c r="I1978" s="114"/>
      <c r="J1978" s="54"/>
      <c r="L1978" s="54"/>
      <c r="N1978" s="54"/>
      <c r="P1978" s="54"/>
      <c r="Q1978" s="82"/>
      <c r="R1978" s="54"/>
      <c r="T1978" s="1"/>
      <c r="V1978" s="54"/>
      <c r="X1978" s="54"/>
      <c r="Z1978" s="54"/>
      <c r="AB1978" s="54"/>
      <c r="AD1978" s="54"/>
      <c r="AF1978" s="54"/>
      <c r="AH1978" s="54"/>
      <c r="AJ1978" s="54"/>
      <c r="AL1978" s="54"/>
      <c r="AO1978" s="54"/>
      <c r="AP1978" s="1"/>
      <c r="AQ1978" s="54"/>
      <c r="AR1978" s="171"/>
      <c r="AS1978" s="1"/>
      <c r="AT1978" s="1"/>
      <c r="AU1978" s="1"/>
    </row>
    <row r="1979">
      <c r="A1979" s="54"/>
      <c r="B1979" s="71"/>
      <c r="C1979" s="51"/>
      <c r="D1979" s="54"/>
      <c r="E1979" s="114"/>
      <c r="F1979" s="16"/>
      <c r="G1979" s="114"/>
      <c r="H1979" s="54"/>
      <c r="I1979" s="114"/>
      <c r="J1979" s="54"/>
      <c r="L1979" s="54"/>
      <c r="N1979" s="54"/>
      <c r="P1979" s="54"/>
      <c r="Q1979" s="82"/>
      <c r="R1979" s="54"/>
      <c r="T1979" s="1"/>
      <c r="V1979" s="54"/>
      <c r="X1979" s="54"/>
      <c r="Z1979" s="54"/>
      <c r="AB1979" s="54"/>
      <c r="AD1979" s="54"/>
      <c r="AF1979" s="54"/>
      <c r="AH1979" s="54"/>
      <c r="AJ1979" s="54"/>
      <c r="AL1979" s="54"/>
      <c r="AO1979" s="54"/>
      <c r="AP1979" s="1"/>
      <c r="AQ1979" s="54"/>
      <c r="AR1979" s="171"/>
      <c r="AS1979" s="1"/>
      <c r="AT1979" s="1"/>
      <c r="AU1979" s="1"/>
    </row>
    <row r="1980">
      <c r="A1980" s="54"/>
      <c r="B1980" s="71"/>
      <c r="C1980" s="51"/>
      <c r="D1980" s="54"/>
      <c r="E1980" s="114"/>
      <c r="F1980" s="16"/>
      <c r="G1980" s="114"/>
      <c r="H1980" s="54"/>
      <c r="I1980" s="114"/>
      <c r="J1980" s="54"/>
      <c r="L1980" s="54"/>
      <c r="N1980" s="54"/>
      <c r="P1980" s="54"/>
      <c r="Q1980" s="82"/>
      <c r="R1980" s="54"/>
      <c r="T1980" s="1"/>
      <c r="V1980" s="54"/>
      <c r="X1980" s="54"/>
      <c r="Z1980" s="54"/>
      <c r="AB1980" s="54"/>
      <c r="AD1980" s="54"/>
      <c r="AF1980" s="54"/>
      <c r="AH1980" s="54"/>
      <c r="AJ1980" s="54"/>
      <c r="AL1980" s="54"/>
      <c r="AO1980" s="54"/>
      <c r="AP1980" s="1"/>
      <c r="AQ1980" s="54"/>
      <c r="AR1980" s="171"/>
      <c r="AS1980" s="1"/>
      <c r="AT1980" s="1"/>
      <c r="AU1980" s="1"/>
    </row>
    <row r="1981">
      <c r="A1981" s="54"/>
      <c r="B1981" s="71"/>
      <c r="C1981" s="51"/>
      <c r="D1981" s="54"/>
      <c r="E1981" s="114"/>
      <c r="F1981" s="16"/>
      <c r="G1981" s="114"/>
      <c r="H1981" s="54"/>
      <c r="I1981" s="114"/>
      <c r="J1981" s="54"/>
      <c r="L1981" s="54"/>
      <c r="N1981" s="54"/>
      <c r="P1981" s="54"/>
      <c r="Q1981" s="82"/>
      <c r="R1981" s="54"/>
      <c r="T1981" s="1"/>
      <c r="V1981" s="54"/>
      <c r="X1981" s="54"/>
      <c r="Z1981" s="54"/>
      <c r="AB1981" s="54"/>
      <c r="AD1981" s="54"/>
      <c r="AF1981" s="54"/>
      <c r="AH1981" s="54"/>
      <c r="AJ1981" s="54"/>
      <c r="AL1981" s="54"/>
      <c r="AO1981" s="54"/>
      <c r="AP1981" s="1"/>
      <c r="AQ1981" s="54"/>
      <c r="AR1981" s="171"/>
      <c r="AS1981" s="1"/>
      <c r="AT1981" s="1"/>
      <c r="AU1981" s="1"/>
    </row>
    <row r="1982">
      <c r="A1982" s="54"/>
      <c r="B1982" s="71"/>
      <c r="C1982" s="51"/>
      <c r="D1982" s="54"/>
      <c r="E1982" s="114"/>
      <c r="F1982" s="16"/>
      <c r="G1982" s="114"/>
      <c r="H1982" s="54"/>
      <c r="I1982" s="114"/>
      <c r="J1982" s="54"/>
      <c r="L1982" s="54"/>
      <c r="N1982" s="54"/>
      <c r="P1982" s="54"/>
      <c r="Q1982" s="82"/>
      <c r="R1982" s="54"/>
      <c r="T1982" s="1"/>
      <c r="V1982" s="54"/>
      <c r="X1982" s="54"/>
      <c r="Z1982" s="54"/>
      <c r="AB1982" s="54"/>
      <c r="AD1982" s="54"/>
      <c r="AF1982" s="54"/>
      <c r="AH1982" s="54"/>
      <c r="AJ1982" s="54"/>
      <c r="AL1982" s="54"/>
      <c r="AO1982" s="54"/>
      <c r="AP1982" s="1"/>
      <c r="AQ1982" s="54"/>
      <c r="AR1982" s="171"/>
      <c r="AS1982" s="1"/>
      <c r="AT1982" s="1"/>
      <c r="AU1982" s="1"/>
    </row>
    <row r="1983">
      <c r="A1983" s="54"/>
      <c r="B1983" s="71"/>
      <c r="C1983" s="51"/>
      <c r="D1983" s="54"/>
      <c r="E1983" s="114"/>
      <c r="F1983" s="16"/>
      <c r="G1983" s="114"/>
      <c r="H1983" s="54"/>
      <c r="I1983" s="114"/>
      <c r="J1983" s="54"/>
      <c r="L1983" s="54"/>
      <c r="N1983" s="54"/>
      <c r="P1983" s="54"/>
      <c r="Q1983" s="82"/>
      <c r="R1983" s="54"/>
      <c r="T1983" s="1"/>
      <c r="V1983" s="54"/>
      <c r="X1983" s="54"/>
      <c r="Z1983" s="54"/>
      <c r="AB1983" s="54"/>
      <c r="AD1983" s="54"/>
      <c r="AF1983" s="54"/>
      <c r="AH1983" s="54"/>
      <c r="AJ1983" s="54"/>
      <c r="AL1983" s="54"/>
      <c r="AO1983" s="54"/>
      <c r="AP1983" s="1"/>
      <c r="AQ1983" s="54"/>
      <c r="AR1983" s="171"/>
      <c r="AS1983" s="1"/>
      <c r="AT1983" s="1"/>
      <c r="AU1983" s="1"/>
    </row>
    <row r="1984">
      <c r="A1984" s="54"/>
      <c r="B1984" s="71"/>
      <c r="C1984" s="51"/>
      <c r="D1984" s="54"/>
      <c r="E1984" s="114"/>
      <c r="F1984" s="16"/>
      <c r="G1984" s="114"/>
      <c r="H1984" s="54"/>
      <c r="I1984" s="114"/>
      <c r="J1984" s="54"/>
      <c r="L1984" s="54"/>
      <c r="N1984" s="54"/>
      <c r="P1984" s="54"/>
      <c r="Q1984" s="82"/>
      <c r="R1984" s="54"/>
      <c r="T1984" s="1"/>
      <c r="V1984" s="54"/>
      <c r="X1984" s="54"/>
      <c r="Z1984" s="54"/>
      <c r="AB1984" s="54"/>
      <c r="AD1984" s="54"/>
      <c r="AF1984" s="54"/>
      <c r="AH1984" s="54"/>
      <c r="AJ1984" s="54"/>
      <c r="AL1984" s="54"/>
      <c r="AO1984" s="54"/>
      <c r="AP1984" s="1"/>
      <c r="AQ1984" s="54"/>
      <c r="AR1984" s="171"/>
      <c r="AS1984" s="1"/>
      <c r="AT1984" s="1"/>
      <c r="AU1984" s="1"/>
    </row>
    <row r="1985">
      <c r="A1985" s="54"/>
      <c r="B1985" s="71"/>
      <c r="C1985" s="51"/>
      <c r="D1985" s="54"/>
      <c r="E1985" s="114"/>
      <c r="F1985" s="16"/>
      <c r="G1985" s="114"/>
      <c r="H1985" s="54"/>
      <c r="I1985" s="114"/>
      <c r="J1985" s="54"/>
      <c r="L1985" s="54"/>
      <c r="N1985" s="54"/>
      <c r="P1985" s="54"/>
      <c r="Q1985" s="82"/>
      <c r="R1985" s="54"/>
      <c r="T1985" s="1"/>
      <c r="V1985" s="54"/>
      <c r="X1985" s="54"/>
      <c r="Z1985" s="54"/>
      <c r="AB1985" s="54"/>
      <c r="AD1985" s="54"/>
      <c r="AF1985" s="54"/>
      <c r="AH1985" s="54"/>
      <c r="AJ1985" s="54"/>
      <c r="AL1985" s="54"/>
      <c r="AO1985" s="54"/>
      <c r="AP1985" s="1"/>
      <c r="AQ1985" s="54"/>
      <c r="AR1985" s="171"/>
      <c r="AS1985" s="1"/>
      <c r="AT1985" s="1"/>
      <c r="AU1985" s="1"/>
    </row>
    <row r="1986">
      <c r="A1986" s="54"/>
      <c r="B1986" s="71"/>
      <c r="C1986" s="51"/>
      <c r="D1986" s="54"/>
      <c r="E1986" s="114"/>
      <c r="F1986" s="16"/>
      <c r="G1986" s="114"/>
      <c r="H1986" s="54"/>
      <c r="I1986" s="114"/>
      <c r="J1986" s="54"/>
      <c r="L1986" s="54"/>
      <c r="N1986" s="54"/>
      <c r="P1986" s="54"/>
      <c r="Q1986" s="82"/>
      <c r="R1986" s="54"/>
      <c r="T1986" s="1"/>
      <c r="V1986" s="54"/>
      <c r="X1986" s="54"/>
      <c r="Z1986" s="54"/>
      <c r="AB1986" s="54"/>
      <c r="AD1986" s="54"/>
      <c r="AF1986" s="54"/>
      <c r="AH1986" s="54"/>
      <c r="AJ1986" s="54"/>
      <c r="AL1986" s="54"/>
      <c r="AO1986" s="54"/>
      <c r="AP1986" s="1"/>
      <c r="AQ1986" s="54"/>
      <c r="AR1986" s="171"/>
      <c r="AS1986" s="1"/>
      <c r="AT1986" s="1"/>
      <c r="AU1986" s="1"/>
    </row>
    <row r="1987">
      <c r="A1987" s="54"/>
      <c r="B1987" s="71"/>
      <c r="C1987" s="51"/>
      <c r="D1987" s="54"/>
      <c r="E1987" s="114"/>
      <c r="F1987" s="16"/>
      <c r="G1987" s="114"/>
      <c r="H1987" s="54"/>
      <c r="I1987" s="114"/>
      <c r="J1987" s="54"/>
      <c r="L1987" s="54"/>
      <c r="N1987" s="54"/>
      <c r="P1987" s="54"/>
      <c r="Q1987" s="82"/>
      <c r="R1987" s="54"/>
      <c r="T1987" s="1"/>
      <c r="V1987" s="54"/>
      <c r="X1987" s="54"/>
      <c r="Z1987" s="54"/>
      <c r="AB1987" s="54"/>
      <c r="AD1987" s="54"/>
      <c r="AF1987" s="54"/>
      <c r="AH1987" s="54"/>
      <c r="AJ1987" s="54"/>
      <c r="AL1987" s="54"/>
      <c r="AO1987" s="54"/>
      <c r="AP1987" s="1"/>
      <c r="AQ1987" s="54"/>
      <c r="AR1987" s="171"/>
      <c r="AS1987" s="1"/>
      <c r="AT1987" s="1"/>
      <c r="AU1987" s="1"/>
    </row>
    <row r="1988">
      <c r="A1988" s="54"/>
      <c r="B1988" s="71"/>
      <c r="C1988" s="51"/>
      <c r="D1988" s="54"/>
      <c r="E1988" s="114"/>
      <c r="F1988" s="16"/>
      <c r="G1988" s="114"/>
      <c r="H1988" s="54"/>
      <c r="I1988" s="114"/>
      <c r="J1988" s="54"/>
      <c r="L1988" s="54"/>
      <c r="N1988" s="54"/>
      <c r="P1988" s="54"/>
      <c r="Q1988" s="82"/>
      <c r="R1988" s="54"/>
      <c r="T1988" s="1"/>
      <c r="V1988" s="54"/>
      <c r="X1988" s="54"/>
      <c r="Z1988" s="54"/>
      <c r="AB1988" s="54"/>
      <c r="AD1988" s="54"/>
      <c r="AF1988" s="54"/>
      <c r="AH1988" s="54"/>
      <c r="AJ1988" s="54"/>
      <c r="AL1988" s="54"/>
      <c r="AO1988" s="54"/>
      <c r="AP1988" s="1"/>
      <c r="AQ1988" s="54"/>
      <c r="AR1988" s="171"/>
      <c r="AS1988" s="1"/>
      <c r="AT1988" s="1"/>
      <c r="AU1988" s="1"/>
    </row>
    <row r="1989">
      <c r="A1989" s="54"/>
      <c r="B1989" s="71"/>
      <c r="C1989" s="51"/>
      <c r="D1989" s="54"/>
      <c r="E1989" s="114"/>
      <c r="F1989" s="16"/>
      <c r="G1989" s="114"/>
      <c r="H1989" s="54"/>
      <c r="I1989" s="114"/>
      <c r="J1989" s="54"/>
      <c r="L1989" s="54"/>
      <c r="N1989" s="54"/>
      <c r="P1989" s="54"/>
      <c r="Q1989" s="82"/>
      <c r="R1989" s="54"/>
      <c r="T1989" s="1"/>
      <c r="V1989" s="54"/>
      <c r="X1989" s="54"/>
      <c r="Z1989" s="54"/>
      <c r="AB1989" s="54"/>
      <c r="AD1989" s="54"/>
      <c r="AF1989" s="54"/>
      <c r="AH1989" s="54"/>
      <c r="AJ1989" s="54"/>
      <c r="AL1989" s="54"/>
      <c r="AO1989" s="54"/>
      <c r="AP1989" s="1"/>
      <c r="AQ1989" s="54"/>
      <c r="AR1989" s="171"/>
      <c r="AS1989" s="1"/>
      <c r="AT1989" s="1"/>
      <c r="AU1989" s="1"/>
    </row>
    <row r="1990">
      <c r="A1990" s="54"/>
      <c r="B1990" s="71"/>
      <c r="C1990" s="51"/>
      <c r="D1990" s="54"/>
      <c r="E1990" s="114"/>
      <c r="F1990" s="16"/>
      <c r="G1990" s="114"/>
      <c r="H1990" s="54"/>
      <c r="I1990" s="114"/>
      <c r="J1990" s="54"/>
      <c r="L1990" s="54"/>
      <c r="N1990" s="54"/>
      <c r="P1990" s="54"/>
      <c r="Q1990" s="82"/>
      <c r="R1990" s="54"/>
      <c r="T1990" s="1"/>
      <c r="V1990" s="54"/>
      <c r="X1990" s="54"/>
      <c r="Z1990" s="54"/>
      <c r="AB1990" s="54"/>
      <c r="AD1990" s="54"/>
      <c r="AF1990" s="54"/>
      <c r="AH1990" s="54"/>
      <c r="AJ1990" s="54"/>
      <c r="AL1990" s="54"/>
      <c r="AO1990" s="54"/>
      <c r="AP1990" s="1"/>
      <c r="AQ1990" s="54"/>
      <c r="AR1990" s="171"/>
      <c r="AS1990" s="1"/>
      <c r="AT1990" s="1"/>
      <c r="AU1990" s="1"/>
    </row>
    <row r="1991">
      <c r="A1991" s="54"/>
      <c r="B1991" s="71"/>
      <c r="C1991" s="51"/>
      <c r="D1991" s="54"/>
      <c r="E1991" s="114"/>
      <c r="F1991" s="16"/>
      <c r="G1991" s="114"/>
      <c r="H1991" s="54"/>
      <c r="I1991" s="114"/>
      <c r="J1991" s="54"/>
      <c r="L1991" s="54"/>
      <c r="N1991" s="54"/>
      <c r="P1991" s="54"/>
      <c r="Q1991" s="82"/>
      <c r="R1991" s="54"/>
      <c r="T1991" s="1"/>
      <c r="V1991" s="54"/>
      <c r="X1991" s="54"/>
      <c r="Z1991" s="54"/>
      <c r="AB1991" s="54"/>
      <c r="AD1991" s="54"/>
      <c r="AF1991" s="54"/>
      <c r="AH1991" s="54"/>
      <c r="AJ1991" s="54"/>
      <c r="AL1991" s="54"/>
      <c r="AO1991" s="54"/>
      <c r="AP1991" s="1"/>
      <c r="AQ1991" s="54"/>
      <c r="AR1991" s="171"/>
      <c r="AS1991" s="1"/>
      <c r="AT1991" s="1"/>
      <c r="AU1991" s="1"/>
    </row>
    <row r="1992">
      <c r="A1992" s="54"/>
      <c r="B1992" s="71"/>
      <c r="C1992" s="51"/>
      <c r="D1992" s="54"/>
      <c r="E1992" s="114"/>
      <c r="F1992" s="16"/>
      <c r="G1992" s="114"/>
      <c r="H1992" s="54"/>
      <c r="I1992" s="114"/>
      <c r="J1992" s="54"/>
      <c r="L1992" s="54"/>
      <c r="N1992" s="54"/>
      <c r="P1992" s="54"/>
      <c r="Q1992" s="82"/>
      <c r="R1992" s="54"/>
      <c r="T1992" s="1"/>
      <c r="V1992" s="54"/>
      <c r="X1992" s="54"/>
      <c r="Z1992" s="54"/>
      <c r="AB1992" s="54"/>
      <c r="AD1992" s="54"/>
      <c r="AF1992" s="54"/>
      <c r="AH1992" s="54"/>
      <c r="AJ1992" s="54"/>
      <c r="AL1992" s="54"/>
      <c r="AO1992" s="54"/>
      <c r="AP1992" s="1"/>
      <c r="AQ1992" s="54"/>
      <c r="AR1992" s="171"/>
      <c r="AS1992" s="1"/>
      <c r="AT1992" s="1"/>
      <c r="AU1992" s="1"/>
    </row>
    <row r="1993">
      <c r="A1993" s="54"/>
      <c r="B1993" s="71"/>
      <c r="C1993" s="51"/>
      <c r="D1993" s="54"/>
      <c r="E1993" s="114"/>
      <c r="F1993" s="16"/>
      <c r="G1993" s="114"/>
      <c r="H1993" s="54"/>
      <c r="I1993" s="114"/>
      <c r="J1993" s="54"/>
      <c r="L1993" s="54"/>
      <c r="N1993" s="54"/>
      <c r="P1993" s="54"/>
      <c r="Q1993" s="82"/>
      <c r="R1993" s="54"/>
      <c r="T1993" s="1"/>
      <c r="V1993" s="54"/>
      <c r="X1993" s="54"/>
      <c r="Z1993" s="54"/>
      <c r="AB1993" s="54"/>
      <c r="AD1993" s="54"/>
      <c r="AF1993" s="54"/>
      <c r="AH1993" s="54"/>
      <c r="AJ1993" s="54"/>
      <c r="AL1993" s="54"/>
      <c r="AO1993" s="54"/>
      <c r="AP1993" s="1"/>
      <c r="AQ1993" s="54"/>
      <c r="AR1993" s="171"/>
      <c r="AS1993" s="1"/>
      <c r="AT1993" s="1"/>
      <c r="AU1993" s="1"/>
    </row>
    <row r="1994">
      <c r="A1994" s="54"/>
      <c r="B1994" s="71"/>
      <c r="C1994" s="51"/>
      <c r="D1994" s="54"/>
      <c r="E1994" s="114"/>
      <c r="F1994" s="16"/>
      <c r="G1994" s="114"/>
      <c r="H1994" s="54"/>
      <c r="I1994" s="114"/>
      <c r="J1994" s="54"/>
      <c r="L1994" s="54"/>
      <c r="N1994" s="54"/>
      <c r="P1994" s="54"/>
      <c r="Q1994" s="82"/>
      <c r="R1994" s="54"/>
      <c r="T1994" s="1"/>
      <c r="V1994" s="54"/>
      <c r="X1994" s="54"/>
      <c r="Z1994" s="54"/>
      <c r="AB1994" s="54"/>
      <c r="AD1994" s="54"/>
      <c r="AF1994" s="54"/>
      <c r="AH1994" s="54"/>
      <c r="AJ1994" s="54"/>
      <c r="AL1994" s="54"/>
      <c r="AO1994" s="54"/>
      <c r="AP1994" s="1"/>
      <c r="AQ1994" s="54"/>
      <c r="AR1994" s="171"/>
      <c r="AS1994" s="1"/>
      <c r="AT1994" s="1"/>
      <c r="AU1994" s="1"/>
    </row>
    <row r="1995">
      <c r="A1995" s="54"/>
      <c r="B1995" s="71"/>
      <c r="C1995" s="51"/>
      <c r="D1995" s="54"/>
      <c r="E1995" s="114"/>
      <c r="F1995" s="16"/>
      <c r="G1995" s="114"/>
      <c r="H1995" s="54"/>
      <c r="I1995" s="114"/>
      <c r="J1995" s="54"/>
      <c r="L1995" s="54"/>
      <c r="N1995" s="54"/>
      <c r="P1995" s="54"/>
      <c r="Q1995" s="82"/>
      <c r="R1995" s="54"/>
      <c r="T1995" s="1"/>
      <c r="V1995" s="54"/>
      <c r="X1995" s="54"/>
      <c r="Z1995" s="54"/>
      <c r="AB1995" s="54"/>
      <c r="AD1995" s="54"/>
      <c r="AF1995" s="54"/>
      <c r="AH1995" s="54"/>
      <c r="AJ1995" s="54"/>
      <c r="AL1995" s="54"/>
      <c r="AO1995" s="54"/>
      <c r="AP1995" s="1"/>
      <c r="AQ1995" s="54"/>
      <c r="AR1995" s="171"/>
      <c r="AS1995" s="1"/>
      <c r="AT1995" s="1"/>
      <c r="AU1995" s="1"/>
    </row>
    <row r="1996">
      <c r="A1996" s="54"/>
      <c r="B1996" s="71"/>
      <c r="C1996" s="51"/>
      <c r="D1996" s="54"/>
      <c r="E1996" s="114"/>
      <c r="F1996" s="16"/>
      <c r="G1996" s="114"/>
      <c r="H1996" s="54"/>
      <c r="I1996" s="114"/>
      <c r="J1996" s="54"/>
      <c r="L1996" s="54"/>
      <c r="N1996" s="54"/>
      <c r="P1996" s="54"/>
      <c r="Q1996" s="82"/>
      <c r="R1996" s="54"/>
      <c r="T1996" s="1"/>
      <c r="V1996" s="54"/>
      <c r="X1996" s="54"/>
      <c r="Z1996" s="54"/>
      <c r="AB1996" s="54"/>
      <c r="AD1996" s="54"/>
      <c r="AF1996" s="54"/>
      <c r="AH1996" s="54"/>
      <c r="AJ1996" s="54"/>
      <c r="AL1996" s="54"/>
      <c r="AO1996" s="54"/>
      <c r="AP1996" s="1"/>
      <c r="AQ1996" s="54"/>
      <c r="AR1996" s="171"/>
      <c r="AS1996" s="1"/>
      <c r="AT1996" s="1"/>
      <c r="AU1996" s="1"/>
    </row>
    <row r="1997">
      <c r="A1997" s="54"/>
      <c r="B1997" s="71"/>
      <c r="C1997" s="51"/>
      <c r="D1997" s="54"/>
      <c r="E1997" s="114"/>
      <c r="F1997" s="16"/>
      <c r="G1997" s="114"/>
      <c r="H1997" s="54"/>
      <c r="I1997" s="114"/>
      <c r="J1997" s="54"/>
      <c r="L1997" s="54"/>
      <c r="N1997" s="54"/>
      <c r="P1997" s="54"/>
      <c r="Q1997" s="82"/>
      <c r="R1997" s="54"/>
      <c r="T1997" s="1"/>
      <c r="V1997" s="54"/>
      <c r="X1997" s="54"/>
      <c r="Z1997" s="54"/>
      <c r="AB1997" s="54"/>
      <c r="AD1997" s="54"/>
      <c r="AF1997" s="54"/>
      <c r="AH1997" s="54"/>
      <c r="AJ1997" s="54"/>
      <c r="AL1997" s="54"/>
      <c r="AO1997" s="54"/>
      <c r="AP1997" s="1"/>
      <c r="AQ1997" s="54"/>
      <c r="AR1997" s="171"/>
      <c r="AS1997" s="1"/>
      <c r="AT1997" s="1"/>
      <c r="AU1997" s="1"/>
    </row>
    <row r="1998">
      <c r="A1998" s="54"/>
      <c r="B1998" s="71"/>
      <c r="C1998" s="51"/>
      <c r="D1998" s="54"/>
      <c r="E1998" s="114"/>
      <c r="F1998" s="16"/>
      <c r="G1998" s="114"/>
      <c r="H1998" s="54"/>
      <c r="I1998" s="114"/>
      <c r="J1998" s="54"/>
      <c r="L1998" s="54"/>
      <c r="N1998" s="54"/>
      <c r="P1998" s="54"/>
      <c r="Q1998" s="82"/>
      <c r="R1998" s="54"/>
      <c r="T1998" s="1"/>
      <c r="V1998" s="54"/>
      <c r="X1998" s="54"/>
      <c r="Z1998" s="54"/>
      <c r="AB1998" s="54"/>
      <c r="AD1998" s="54"/>
      <c r="AF1998" s="54"/>
      <c r="AH1998" s="54"/>
      <c r="AJ1998" s="54"/>
      <c r="AL1998" s="54"/>
      <c r="AO1998" s="54"/>
      <c r="AP1998" s="1"/>
      <c r="AQ1998" s="54"/>
      <c r="AR1998" s="171"/>
      <c r="AS1998" s="1"/>
      <c r="AT1998" s="1"/>
      <c r="AU1998" s="1"/>
    </row>
    <row r="1999">
      <c r="A1999" s="54"/>
      <c r="B1999" s="71"/>
      <c r="C1999" s="51"/>
      <c r="D1999" s="54"/>
      <c r="E1999" s="114"/>
      <c r="F1999" s="16"/>
      <c r="G1999" s="114"/>
      <c r="H1999" s="54"/>
      <c r="I1999" s="114"/>
      <c r="J1999" s="54"/>
      <c r="L1999" s="54"/>
      <c r="N1999" s="54"/>
      <c r="P1999" s="54"/>
      <c r="Q1999" s="82"/>
      <c r="R1999" s="54"/>
      <c r="T1999" s="1"/>
      <c r="V1999" s="54"/>
      <c r="X1999" s="54"/>
      <c r="Z1999" s="54"/>
      <c r="AB1999" s="54"/>
      <c r="AD1999" s="54"/>
      <c r="AF1999" s="54"/>
      <c r="AH1999" s="54"/>
      <c r="AJ1999" s="54"/>
      <c r="AL1999" s="54"/>
      <c r="AO1999" s="54"/>
      <c r="AP1999" s="1"/>
      <c r="AQ1999" s="54"/>
      <c r="AR1999" s="171"/>
      <c r="AS1999" s="1"/>
      <c r="AT1999" s="1"/>
      <c r="AU1999" s="1"/>
    </row>
    <row r="2000">
      <c r="A2000" s="54"/>
      <c r="B2000" s="71"/>
      <c r="C2000" s="51"/>
      <c r="D2000" s="54"/>
      <c r="E2000" s="114"/>
      <c r="F2000" s="16"/>
      <c r="G2000" s="114"/>
      <c r="H2000" s="54"/>
      <c r="I2000" s="114"/>
      <c r="J2000" s="54"/>
      <c r="L2000" s="54"/>
      <c r="N2000" s="54"/>
      <c r="P2000" s="54"/>
      <c r="Q2000" s="82"/>
      <c r="R2000" s="54"/>
      <c r="T2000" s="1"/>
      <c r="V2000" s="54"/>
      <c r="X2000" s="54"/>
      <c r="Z2000" s="54"/>
      <c r="AB2000" s="54"/>
      <c r="AD2000" s="54"/>
      <c r="AF2000" s="54"/>
      <c r="AH2000" s="54"/>
      <c r="AJ2000" s="54"/>
      <c r="AL2000" s="54"/>
      <c r="AO2000" s="54"/>
      <c r="AP2000" s="1"/>
      <c r="AQ2000" s="54"/>
      <c r="AR2000" s="171"/>
      <c r="AS2000" s="1"/>
      <c r="AT2000" s="1"/>
      <c r="AU2000" s="1"/>
    </row>
    <row r="2001">
      <c r="A2001" s="54"/>
      <c r="B2001" s="71"/>
      <c r="C2001" s="51"/>
      <c r="D2001" s="54"/>
      <c r="E2001" s="114"/>
      <c r="F2001" s="16"/>
      <c r="G2001" s="114"/>
      <c r="H2001" s="54"/>
      <c r="I2001" s="114"/>
      <c r="J2001" s="54"/>
      <c r="L2001" s="54"/>
      <c r="N2001" s="54"/>
      <c r="P2001" s="54"/>
      <c r="Q2001" s="82"/>
      <c r="R2001" s="54"/>
      <c r="T2001" s="1"/>
      <c r="V2001" s="54"/>
      <c r="X2001" s="54"/>
      <c r="Z2001" s="54"/>
      <c r="AB2001" s="54"/>
      <c r="AD2001" s="54"/>
      <c r="AF2001" s="54"/>
      <c r="AH2001" s="54"/>
      <c r="AJ2001" s="54"/>
      <c r="AL2001" s="54"/>
      <c r="AO2001" s="54"/>
      <c r="AP2001" s="1"/>
      <c r="AQ2001" s="54"/>
      <c r="AR2001" s="171"/>
      <c r="AS2001" s="1"/>
      <c r="AT2001" s="1"/>
      <c r="AU2001" s="1"/>
    </row>
    <row r="2002">
      <c r="A2002" s="54"/>
      <c r="B2002" s="71"/>
      <c r="C2002" s="51"/>
      <c r="D2002" s="54"/>
      <c r="E2002" s="114"/>
      <c r="F2002" s="16"/>
      <c r="G2002" s="114"/>
      <c r="H2002" s="54"/>
      <c r="I2002" s="114"/>
      <c r="J2002" s="54"/>
      <c r="L2002" s="54"/>
      <c r="N2002" s="54"/>
      <c r="P2002" s="54"/>
      <c r="Q2002" s="82"/>
      <c r="R2002" s="54"/>
      <c r="T2002" s="120"/>
      <c r="V2002" s="54"/>
      <c r="X2002" s="54"/>
      <c r="Z2002" s="54"/>
      <c r="AB2002" s="54"/>
      <c r="AD2002" s="54"/>
      <c r="AF2002" s="54"/>
      <c r="AH2002" s="54"/>
      <c r="AJ2002" s="54"/>
      <c r="AL2002" s="54"/>
      <c r="AO2002" s="54"/>
      <c r="AP2002" s="1"/>
      <c r="AQ2002" s="54"/>
      <c r="AR2002" s="171"/>
      <c r="AS2002" s="1"/>
      <c r="AT2002" s="1"/>
      <c r="AU2002" s="1"/>
    </row>
  </sheetData>
  <mergeCells count="21">
    <mergeCell ref="D1:E1"/>
    <mergeCell ref="F1:G1"/>
    <mergeCell ref="H1:I1"/>
    <mergeCell ref="J1:K1"/>
    <mergeCell ref="L1:M1"/>
    <mergeCell ref="N1:O1"/>
    <mergeCell ref="P1:Q1"/>
    <mergeCell ref="AF1:AG1"/>
    <mergeCell ref="AH1:AI1"/>
    <mergeCell ref="AJ1:AK1"/>
    <mergeCell ref="AL1:AM1"/>
    <mergeCell ref="AO1:AP1"/>
    <mergeCell ref="AQ1:AR1"/>
    <mergeCell ref="AS1:AT1"/>
    <mergeCell ref="R1:S1"/>
    <mergeCell ref="T1:U1"/>
    <mergeCell ref="V1:W1"/>
    <mergeCell ref="X1:Y1"/>
    <mergeCell ref="Z1:AA1"/>
    <mergeCell ref="AB1:AC1"/>
    <mergeCell ref="AD1:AE1"/>
  </mergeCells>
  <dataValidations>
    <dataValidation type="list" allowBlank="1" sqref="D3:D2002 F3:F2002 H3:H2002">
      <formula1>Internal_lists_variables!$R$2:$R2002</formula1>
    </dataValidation>
    <dataValidation type="list" allowBlank="1" sqref="L3:L2002">
      <formula1>Internal_lists_variables!$M$2:$M2002</formula1>
    </dataValidation>
    <dataValidation type="list" allowBlank="1" sqref="R3:R27 R29:R39 R41:R2002">
      <formula1>Internal_lists_variables!$N$2:$N2002</formula1>
    </dataValidation>
    <dataValidation type="list" allowBlank="1" showErrorMessage="1" sqref="V58:V60 T44:T81 T2002">
      <formula1>"Status(NA), CL(NA),Status(NA), CL(YES),Status(NA), CL(NO),Status(YES), CL(NO),Status(YES), CL(YES),Status(NO), CL(NO),NA"</formula1>
    </dataValidation>
    <dataValidation type="list" allowBlank="1" showErrorMessage="1" sqref="P8 P28 R28 V3:V57 J3:J2002 N3:N2002 V61:V2002 X3:X2002 Z3:Z2002 AB3:AB2002 AD3:AD2002 AF3:AF2002 AH3:AH2002 AJ3:AJ2002 AL3:AL2002">
      <formula1>"YES,NO,NA"</formula1>
    </dataValidation>
    <dataValidation type="list" allowBlank="1" showErrorMessage="1" sqref="AQ3:AQ2002">
      <formula1>"YES,NO,NA,Yes, but abandoned"</formula1>
    </dataValidation>
    <dataValidation type="list" allowBlank="1" showInputMessage="1" showErrorMessage="1" prompt="Project BugID" sqref="A3:A6 A8:A10 A12 A14:A16 A18 A20:A23 A26:A34 A36 A38:A41 A44:A2002">
      <formula1>Internal_lists_bugs!$A$2:$A2002</formula1>
    </dataValidation>
    <dataValidation type="list" allowBlank="1" showErrorMessage="1" sqref="P3:P7 P9:P27 R40 P29:P2002">
      <formula1>"None,Partial,Covered,NA"</formula1>
    </dataValidation>
    <dataValidation type="list" allowBlank="1" showErrorMessage="1" sqref="AO3:AO2002">
      <formula1>Internal_lists_variables!$L$2:$L$10</formula1>
    </dataValidation>
    <dataValidation type="list" allowBlank="1" showErrorMessage="1" sqref="T3:T43 T82:T2001">
      <formula1>"Status(NA), CL(NA),Status(NA), CL(YES),Status(NA), CL(NO),Status(YES), CL(NO),Status(YES), CL(YES),Status(NO), CL(NO)"</formula1>
    </dataValidation>
  </dataValidations>
  <hyperlinks>
    <hyperlink r:id="rId2" ref="A1"/>
    <hyperlink r:id="rId3" location="gid=405816964" ref="B1"/>
    <hyperlink r:id="rId4" ref="O3"/>
    <hyperlink r:id="rId5" ref="Q3"/>
    <hyperlink r:id="rId6" ref="S3"/>
    <hyperlink r:id="rId7" ref="O4"/>
    <hyperlink r:id="rId8" ref="Q4"/>
    <hyperlink r:id="rId9" ref="O5"/>
    <hyperlink r:id="rId10" ref="M8"/>
    <hyperlink r:id="rId11" ref="O8"/>
    <hyperlink r:id="rId12" ref="AC8"/>
    <hyperlink r:id="rId13" ref="O10"/>
    <hyperlink r:id="rId14" ref="O12"/>
    <hyperlink r:id="rId15" ref="O14"/>
    <hyperlink r:id="rId16" ref="AG15"/>
    <hyperlink r:id="rId17" ref="AR18"/>
    <hyperlink r:id="rId18" ref="O20"/>
    <hyperlink r:id="rId19" ref="O22"/>
    <hyperlink r:id="rId20" ref="Q22"/>
    <hyperlink r:id="rId21" ref="O23"/>
    <hyperlink r:id="rId22" ref="O24"/>
    <hyperlink r:id="rId23" ref="Q24"/>
    <hyperlink r:id="rId24" ref="O26"/>
    <hyperlink r:id="rId25" ref="O27"/>
    <hyperlink r:id="rId26" ref="O28"/>
    <hyperlink r:id="rId27" ref="O29"/>
    <hyperlink r:id="rId28" ref="O30"/>
    <hyperlink r:id="rId29" ref="Q30"/>
    <hyperlink r:id="rId30" ref="O31"/>
    <hyperlink r:id="rId31" ref="O32"/>
    <hyperlink r:id="rId32" ref="AI32"/>
    <hyperlink r:id="rId33" ref="O36"/>
    <hyperlink r:id="rId34" ref="AG36"/>
    <hyperlink r:id="rId35" ref="Q38"/>
    <hyperlink r:id="rId36" ref="AG38"/>
    <hyperlink r:id="rId37" ref="AI38"/>
    <hyperlink r:id="rId38" ref="O39"/>
    <hyperlink r:id="rId39" ref="O41"/>
    <hyperlink r:id="rId40" ref="O43"/>
  </hyperlinks>
  <drawing r:id="rId41"/>
  <legacyDrawing r:id="rId4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outlineLevelCol="1"/>
  <cols>
    <col customWidth="1" min="1" max="1" width="24.63"/>
    <col customWidth="1" min="2" max="2" width="27.75"/>
    <col customWidth="1" min="3" max="3" width="43.0"/>
    <col customWidth="1" min="4" max="4" width="24.25" outlineLevel="1"/>
    <col min="5" max="5" width="12.63" outlineLevel="1"/>
    <col customWidth="1" min="6" max="6" width="37.88" outlineLevel="1"/>
    <col customWidth="1" min="7" max="7" width="27.75" outlineLevel="1"/>
    <col customWidth="1" min="8" max="8" width="41.88"/>
  </cols>
  <sheetData>
    <row r="1">
      <c r="A1" s="32" t="s">
        <v>103</v>
      </c>
      <c r="B1" s="32" t="s">
        <v>104</v>
      </c>
      <c r="C1" s="33" t="s">
        <v>105</v>
      </c>
      <c r="D1" s="172" t="s">
        <v>4270</v>
      </c>
      <c r="E1" s="30" t="s">
        <v>4271</v>
      </c>
      <c r="F1" s="73" t="s">
        <v>4272</v>
      </c>
      <c r="G1" s="36"/>
      <c r="H1" s="30" t="s">
        <v>4273</v>
      </c>
      <c r="I1" s="108" t="s">
        <v>4274</v>
      </c>
      <c r="J1" s="16"/>
      <c r="K1" s="16"/>
      <c r="L1" s="16"/>
    </row>
    <row r="2">
      <c r="A2" s="39" t="s">
        <v>111</v>
      </c>
      <c r="B2" s="40" t="s">
        <v>511</v>
      </c>
      <c r="C2" s="41" t="s">
        <v>4275</v>
      </c>
      <c r="D2" s="101" t="s">
        <v>4276</v>
      </c>
      <c r="E2" s="42" t="s">
        <v>4277</v>
      </c>
      <c r="F2" s="43" t="s">
        <v>114</v>
      </c>
      <c r="G2" s="44" t="s">
        <v>115</v>
      </c>
      <c r="H2" s="173" t="s">
        <v>4278</v>
      </c>
      <c r="I2" s="47" t="s">
        <v>4279</v>
      </c>
      <c r="J2" s="48"/>
      <c r="K2" s="48"/>
      <c r="L2" s="48"/>
    </row>
    <row r="3" ht="87.0" customHeight="1">
      <c r="A3" s="16" t="s">
        <v>32</v>
      </c>
      <c r="B3" s="77" t="str">
        <f>IFERROR(HYPERLINK(VLOOKUP(A3,Internal_lists_bugs!$A$2:$C$73,3,FALSE()), VLOOKUP(A3,Internal_lists_bugs!$A$2:$C$73,3,FALSE())&amp;Char(10) &amp; Char(10) &amp; VLOOKUP(A3,Internal_lists_bugs!$A$2:$Z$73,26,FALSE())),"please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 s="81" t="str">
        <f>IFERROR(Hyperlink(VLOOKUP(A3,Internal_lists_bugs!$A$2:$G1061,7,FALSE()),"BIC: "&amp;VLOOKUP(A3,Internal_lists_bugs!$A$2:$G1061,7,FALSE())&amp;CHAR(10)&amp;"Intro.Issues: "&amp;VLOOKUP(A3,Internal_lists_bugs!$A$2:$P1061,16,FALSE())),"please select a BUG ID")</f>
        <v>BIC: https://opendev.org/openstack/nova/commit/e7aa4022374fb35d2131a7c633212c5d6302db3d
Intro.Issues: NA</v>
      </c>
      <c r="D3" s="100" t="s">
        <v>124</v>
      </c>
      <c r="E3" s="54"/>
      <c r="F3" s="79"/>
      <c r="G3" s="93"/>
      <c r="H3" s="54"/>
      <c r="I3" s="1"/>
    </row>
    <row r="4">
      <c r="A4" s="16" t="s">
        <v>33</v>
      </c>
      <c r="B4" s="77" t="str">
        <f>IFERROR(HYPERLINK(VLOOKUP(A4,Internal_lists_bugs!$A$2:$C$73,3,FALSE()), VLOOKUP(A4,Internal_lists_bugs!$A$2:$C$73,3,FALSE())&amp;Char(10) &amp; Char(10) &amp; VLOOKUP(A4,Internal_lists_bugs!$A$2:$Z$73,26,FALSE())),"please select a BUG ID")</f>
        <v>https://bugs.launchpad.net/nova/+bug/1367363
/libvirt/driver.py</v>
      </c>
      <c r="C4" s="81" t="str">
        <f>IFERROR(Hyperlink(VLOOKUP(A4,Internal_lists_bugs!$A$2:$G1061,7,FALSE()),"BIC: "&amp;VLOOKUP(A4,Internal_lists_bugs!$A$2:$G1061,7,FALSE())&amp;CHAR(10)&amp;"Intro.Issues: "&amp;VLOOKUP(A4,Internal_lists_bugs!$A$2:$P1061,16,FALSE())),"please select a BUG ID")</f>
        <v>BIC: https://opendev.org/openstack/nova/commit/0fcbb7b
Intro.Issues: 1243083</v>
      </c>
      <c r="D4" s="100">
        <v>1243083.0</v>
      </c>
      <c r="E4" s="16" t="s">
        <v>4280</v>
      </c>
      <c r="F4" s="79" t="s">
        <v>149</v>
      </c>
      <c r="G4" s="93" t="s">
        <v>4281</v>
      </c>
      <c r="H4" s="16" t="s">
        <v>123</v>
      </c>
      <c r="I4" s="1"/>
    </row>
    <row r="5">
      <c r="A5" s="16" t="s">
        <v>33</v>
      </c>
      <c r="B5" s="77" t="str">
        <f>IFERROR(HYPERLINK(VLOOKUP(A5,Internal_lists_bugs!$A$2:$C$73,3,FALSE()), VLOOKUP(A5,Internal_lists_bugs!$A$2:$C$73,3,FALSE())&amp;Char(10) &amp; Char(10) &amp; VLOOKUP(A5,Internal_lists_bugs!$A$2:$Z$73,26,FALSE())),"please select a BUG ID")</f>
        <v>https://bugs.launchpad.net/nova/+bug/1367363
/libvirt/driver.py</v>
      </c>
      <c r="C5" s="81" t="str">
        <f>IFERROR(Hyperlink(VLOOKUP(A5,Internal_lists_bugs!$A$2:$G1061,7,FALSE()),"BIC: "&amp;VLOOKUP(A5,Internal_lists_bugs!$A$2:$G1061,7,FALSE())&amp;CHAR(10)&amp;"Intro.Issues: "&amp;VLOOKUP(A5,Internal_lists_bugs!$A$2:$P1061,16,FALSE())),"please select a BUG ID")</f>
        <v>BIC: https://opendev.org/openstack/nova/commit/0fcbb7b
Intro.Issues: 1243083</v>
      </c>
      <c r="D5" s="100">
        <v>1243083.0</v>
      </c>
      <c r="E5" s="54"/>
      <c r="F5" s="79" t="s">
        <v>4282</v>
      </c>
      <c r="G5" s="93" t="s">
        <v>4283</v>
      </c>
      <c r="H5" s="54"/>
      <c r="I5" s="1"/>
    </row>
    <row r="6">
      <c r="A6" s="16" t="s">
        <v>33</v>
      </c>
      <c r="B6" s="77" t="str">
        <f>IFERROR(HYPERLINK(VLOOKUP(A6,Internal_lists_bugs!$A$2:$C$73,3,FALSE()), VLOOKUP(A6,Internal_lists_bugs!$A$2:$C$73,3,FALSE())&amp;Char(10) &amp; Char(10) &amp; VLOOKUP(A6,Internal_lists_bugs!$A$2:$Z$73,26,FALSE())),"please select a BUG ID")</f>
        <v>https://bugs.launchpad.net/nova/+bug/1367363
/libvirt/driver.py</v>
      </c>
      <c r="C6" s="81" t="str">
        <f>IFERROR(Hyperlink(VLOOKUP(A6,Internal_lists_bugs!$A$2:$G1061,7,FALSE()),"BIC: "&amp;VLOOKUP(A6,Internal_lists_bugs!$A$2:$G1061,7,FALSE())&amp;CHAR(10)&amp;"Intro.Issues: "&amp;VLOOKUP(A6,Internal_lists_bugs!$A$2:$P1061,16,FALSE())),"please select a BUG ID")</f>
        <v>BIC: https://opendev.org/openstack/nova/commit/0fcbb7b
Intro.Issues: 1243083</v>
      </c>
      <c r="D6" s="100">
        <v>1243083.0</v>
      </c>
      <c r="E6" s="54"/>
      <c r="F6" s="79" t="s">
        <v>129</v>
      </c>
      <c r="G6" s="93" t="s">
        <v>204</v>
      </c>
      <c r="H6" s="54"/>
      <c r="I6" s="1"/>
    </row>
    <row r="7">
      <c r="A7" s="16" t="s">
        <v>33</v>
      </c>
      <c r="B7" s="77" t="str">
        <f>IFERROR(HYPERLINK(VLOOKUP(A7,Internal_lists_bugs!$A$2:$C$73,3,FALSE()), VLOOKUP(A7,Internal_lists_bugs!$A$2:$C$73,3,FALSE())&amp;Char(10) &amp; Char(10) &amp; VLOOKUP(A7,Internal_lists_bugs!$A$2:$Z$73,26,FALSE())),"please select a BUG ID")</f>
        <v>https://bugs.launchpad.net/nova/+bug/1367363
/libvirt/driver.py</v>
      </c>
      <c r="C7" s="81" t="str">
        <f>IFERROR(Hyperlink(VLOOKUP(A7,Internal_lists_bugs!$A$2:$G1061,7,FALSE()),"BIC: "&amp;VLOOKUP(A7,Internal_lists_bugs!$A$2:$G1061,7,FALSE())&amp;CHAR(10)&amp;"Intro.Issues: "&amp;VLOOKUP(A7,Internal_lists_bugs!$A$2:$P1061,16,FALSE())),"please select a BUG ID")</f>
        <v>BIC: https://opendev.org/openstack/nova/commit/0fcbb7b
Intro.Issues: 1243083</v>
      </c>
      <c r="D7" s="100">
        <v>1243083.0</v>
      </c>
      <c r="E7" s="54"/>
      <c r="F7" s="79" t="s">
        <v>1292</v>
      </c>
      <c r="G7" s="93" t="s">
        <v>205</v>
      </c>
      <c r="H7" s="54"/>
      <c r="I7" s="1"/>
    </row>
    <row r="8">
      <c r="A8" s="16" t="s">
        <v>34</v>
      </c>
      <c r="B8" s="77" t="str">
        <f>IFERROR(HYPERLINK(VLOOKUP(A8,Internal_lists_bugs!$A$2:$C$73,3,FALSE()), VLOOKUP(A8,Internal_lists_bugs!$A$2:$C$73,3,FALSE())&amp;Char(10) &amp; Char(10) &amp; VLOOKUP(A8,Internal_lists_bugs!$A$2:$Z$73,26,FALSE())),"please select a BUG ID")</f>
        <v>https://bugs.launchpad.net/nova/+bug/1438331
/libvirt/rbd_utils.py</v>
      </c>
      <c r="C8" s="81" t="str">
        <f>IFERROR(Hyperlink(VLOOKUP(A8,Internal_lists_bugs!$A$2:$G1061,7,FALSE()),"BIC: "&amp;VLOOKUP(A8,Internal_lists_bugs!$A$2:$G1061,7,FALSE())&amp;CHAR(10)&amp;"Intro.Issues: "&amp;VLOOKUP(A8,Internal_lists_bugs!$A$2:$P1061,16,FALSE())),"please select a BUG ID")</f>
        <v>BIC: https://opendev.org/openstack/nova/commit/13e2bd0
Intro.Issues: 1346092</v>
      </c>
      <c r="D8" s="100">
        <v>1346092.0</v>
      </c>
      <c r="E8" s="16" t="s">
        <v>4280</v>
      </c>
      <c r="F8" s="79" t="s">
        <v>4284</v>
      </c>
      <c r="G8" s="93" t="s">
        <v>324</v>
      </c>
      <c r="H8" s="16" t="s">
        <v>123</v>
      </c>
      <c r="I8" s="1"/>
    </row>
    <row r="9">
      <c r="A9" s="16" t="s">
        <v>34</v>
      </c>
      <c r="B9" s="77" t="str">
        <f>IFERROR(HYPERLINK(VLOOKUP(A9,Internal_lists_bugs!$A$2:$C$73,3,FALSE()), VLOOKUP(A9,Internal_lists_bugs!$A$2:$C$73,3,FALSE())&amp;Char(10) &amp; Char(10) &amp; VLOOKUP(A9,Internal_lists_bugs!$A$2:$Z$73,26,FALSE())),"please select a BUG ID")</f>
        <v>https://bugs.launchpad.net/nova/+bug/1438331
/libvirt/rbd_utils.py</v>
      </c>
      <c r="C9" s="81" t="str">
        <f>IFERROR(Hyperlink(VLOOKUP(A9,Internal_lists_bugs!$A$2:$G1061,7,FALSE()),"BIC: "&amp;VLOOKUP(A9,Internal_lists_bugs!$A$2:$G1061,7,FALSE())&amp;CHAR(10)&amp;"Intro.Issues: "&amp;VLOOKUP(A9,Internal_lists_bugs!$A$2:$P1061,16,FALSE())),"please select a BUG ID")</f>
        <v>BIC: https://opendev.org/openstack/nova/commit/13e2bd0
Intro.Issues: 1346092</v>
      </c>
      <c r="D9" s="100">
        <v>1346092.0</v>
      </c>
      <c r="E9" s="54"/>
      <c r="F9" s="79" t="s">
        <v>4285</v>
      </c>
      <c r="G9" s="93" t="s">
        <v>4286</v>
      </c>
      <c r="H9" s="54"/>
      <c r="I9" s="1"/>
    </row>
    <row r="10">
      <c r="A10" s="16" t="s">
        <v>34</v>
      </c>
      <c r="B10" s="77" t="str">
        <f>IFERROR(HYPERLINK(VLOOKUP(A10,Internal_lists_bugs!$A$2:$C$73,3,FALSE()), VLOOKUP(A10,Internal_lists_bugs!$A$2:$C$73,3,FALSE())&amp;Char(10) &amp; Char(10) &amp; VLOOKUP(A10,Internal_lists_bugs!$A$2:$Z$73,26,FALSE())),"please select a BUG ID")</f>
        <v>https://bugs.launchpad.net/nova/+bug/1438331
/libvirt/rbd_utils.py</v>
      </c>
      <c r="C10" s="81" t="str">
        <f>IFERROR(Hyperlink(VLOOKUP(A10,Internal_lists_bugs!$A$2:$G1061,7,FALSE()),"BIC: "&amp;VLOOKUP(A10,Internal_lists_bugs!$A$2:$G1061,7,FALSE())&amp;CHAR(10)&amp;"Intro.Issues: "&amp;VLOOKUP(A10,Internal_lists_bugs!$A$2:$P1061,16,FALSE())),"please select a BUG ID")</f>
        <v>BIC: https://opendev.org/openstack/nova/commit/13e2bd0
Intro.Issues: 1346092</v>
      </c>
      <c r="D10" s="100">
        <v>1346092.0</v>
      </c>
      <c r="E10" s="54"/>
      <c r="F10" s="79" t="s">
        <v>1292</v>
      </c>
      <c r="G10" s="93" t="s">
        <v>204</v>
      </c>
      <c r="H10" s="54"/>
      <c r="I10" s="1"/>
    </row>
    <row r="11">
      <c r="A11" s="16" t="s">
        <v>34</v>
      </c>
      <c r="B11" s="77" t="str">
        <f>IFERROR(HYPERLINK(VLOOKUP(A11,Internal_lists_bugs!$A$2:$C$73,3,FALSE()), VLOOKUP(A11,Internal_lists_bugs!$A$2:$C$73,3,FALSE())&amp;Char(10) &amp; Char(10) &amp; VLOOKUP(A11,Internal_lists_bugs!$A$2:$Z$73,26,FALSE())),"please select a BUG ID")</f>
        <v>https://bugs.launchpad.net/nova/+bug/1438331
/libvirt/rbd_utils.py</v>
      </c>
      <c r="C11" s="81" t="str">
        <f>IFERROR(Hyperlink(VLOOKUP(A11,Internal_lists_bugs!$A$2:$G1061,7,FALSE()),"BIC: "&amp;VLOOKUP(A11,Internal_lists_bugs!$A$2:$G1061,7,FALSE())&amp;CHAR(10)&amp;"Intro.Issues: "&amp;VLOOKUP(A11,Internal_lists_bugs!$A$2:$P1061,16,FALSE())),"please select a BUG ID")</f>
        <v>BIC: https://opendev.org/openstack/nova/commit/13e2bd0
Intro.Issues: 1346092</v>
      </c>
      <c r="D11" s="100">
        <v>1346092.0</v>
      </c>
      <c r="E11" s="54"/>
      <c r="F11" s="79" t="s">
        <v>4287</v>
      </c>
      <c r="G11" s="93" t="s">
        <v>204</v>
      </c>
      <c r="H11" s="54"/>
      <c r="I11" s="1"/>
    </row>
    <row r="12">
      <c r="A12" s="16" t="s">
        <v>34</v>
      </c>
      <c r="B12" s="77" t="str">
        <f>IFERROR(HYPERLINK(VLOOKUP(A12,Internal_lists_bugs!$A$2:$C$73,3,FALSE()), VLOOKUP(A12,Internal_lists_bugs!$A$2:$C$73,3,FALSE())&amp;Char(10) &amp; Char(10) &amp; VLOOKUP(A12,Internal_lists_bugs!$A$2:$Z$73,26,FALSE())),"please select a BUG ID")</f>
        <v>https://bugs.launchpad.net/nova/+bug/1438331
/libvirt/rbd_utils.py</v>
      </c>
      <c r="C12" s="81" t="str">
        <f>IFERROR(Hyperlink(VLOOKUP(A12,Internal_lists_bugs!$A$2:$G1061,7,FALSE()),"BIC: "&amp;VLOOKUP(A12,Internal_lists_bugs!$A$2:$G1061,7,FALSE())&amp;CHAR(10)&amp;"Intro.Issues: "&amp;VLOOKUP(A12,Internal_lists_bugs!$A$2:$P1061,16,FALSE())),"please select a BUG ID")</f>
        <v>BIC: https://opendev.org/openstack/nova/commit/13e2bd0
Intro.Issues: 1346092</v>
      </c>
      <c r="D12" s="100">
        <v>1346092.0</v>
      </c>
      <c r="E12" s="54"/>
      <c r="F12" s="79" t="s">
        <v>4288</v>
      </c>
      <c r="G12" s="93" t="s">
        <v>229</v>
      </c>
      <c r="H12" s="54"/>
      <c r="I12" s="1"/>
    </row>
    <row r="13">
      <c r="A13" s="16" t="s">
        <v>35</v>
      </c>
      <c r="B13" s="77" t="str">
        <f>IFERROR(HYPERLINK(VLOOKUP(A13,Internal_lists_bugs!$A$2:$C$73,3,FALSE()), VLOOKUP(A13,Internal_lists_bugs!$A$2:$C$73,3,FALSE())&amp;Char(10) &amp; Char(10) &amp; VLOOKUP(A13,Internal_lists_bugs!$A$2:$Z$73,26,FALSE())),"please select a BUG ID")</f>
        <v>https://bugs.launchpad.net/nova/+bug/1375379
/console/websocketproxy.py</v>
      </c>
      <c r="C13" s="81" t="str">
        <f>IFERROR(Hyperlink(VLOOKUP(A13,Internal_lists_bugs!$A$2:$G1061,7,FALSE()),"BIC: "&amp;VLOOKUP(A13,Internal_lists_bugs!$A$2:$G1061,7,FALSE())&amp;CHAR(10)&amp;"Intro.Issues: "&amp;VLOOKUP(A13,Internal_lists_bugs!$A$2:$P1061,16,FALSE())),"please select a BUG ID")</f>
        <v>BIC: https://opendev.org/openstack/nova/commit/e71e8c2
Intro.Issues: libvirt-spice</v>
      </c>
      <c r="D13" s="100" t="s">
        <v>4289</v>
      </c>
      <c r="E13" s="16" t="s">
        <v>4290</v>
      </c>
      <c r="F13" s="79" t="s">
        <v>4291</v>
      </c>
      <c r="G13" s="93" t="s">
        <v>4292</v>
      </c>
      <c r="H13" s="16" t="s">
        <v>123</v>
      </c>
      <c r="I13" s="1"/>
    </row>
    <row r="14">
      <c r="A14" s="16" t="s">
        <v>35</v>
      </c>
      <c r="B14" s="77" t="str">
        <f>IFERROR(HYPERLINK(VLOOKUP(A14,Internal_lists_bugs!$A$2:$C$73,3,FALSE()), VLOOKUP(A14,Internal_lists_bugs!$A$2:$C$73,3,FALSE())&amp;Char(10) &amp; Char(10) &amp; VLOOKUP(A14,Internal_lists_bugs!$A$2:$Z$73,26,FALSE())),"please select a BUG ID")</f>
        <v>https://bugs.launchpad.net/nova/+bug/1375379
/console/websocketproxy.py</v>
      </c>
      <c r="C14" s="81" t="str">
        <f>IFERROR(Hyperlink(VLOOKUP(A14,Internal_lists_bugs!$A$2:$G1061,7,FALSE()),"BIC: "&amp;VLOOKUP(A14,Internal_lists_bugs!$A$2:$G1061,7,FALSE())&amp;CHAR(10)&amp;"Intro.Issues: "&amp;VLOOKUP(A14,Internal_lists_bugs!$A$2:$P1061,16,FALSE())),"please select a BUG ID")</f>
        <v>BIC: https://opendev.org/openstack/nova/commit/e71e8c2
Intro.Issues: libvirt-spice</v>
      </c>
      <c r="D14" s="100" t="s">
        <v>4289</v>
      </c>
      <c r="E14" s="54"/>
      <c r="F14" s="79" t="s">
        <v>4293</v>
      </c>
      <c r="G14" s="93" t="s">
        <v>4294</v>
      </c>
      <c r="H14" s="54"/>
      <c r="I14" s="1"/>
    </row>
    <row r="15">
      <c r="A15" s="16" t="s">
        <v>35</v>
      </c>
      <c r="B15" s="77" t="str">
        <f>IFERROR(HYPERLINK(VLOOKUP(A15,Internal_lists_bugs!$A$2:$C$73,3,FALSE()), VLOOKUP(A15,Internal_lists_bugs!$A$2:$C$73,3,FALSE())&amp;Char(10) &amp; Char(10) &amp; VLOOKUP(A15,Internal_lists_bugs!$A$2:$Z$73,26,FALSE())),"please select a BUG ID")</f>
        <v>https://bugs.launchpad.net/nova/+bug/1375379
/console/websocketproxy.py</v>
      </c>
      <c r="C15" s="81" t="str">
        <f>IFERROR(Hyperlink(VLOOKUP(A15,Internal_lists_bugs!$A$2:$G1061,7,FALSE()),"BIC: "&amp;VLOOKUP(A15,Internal_lists_bugs!$A$2:$G1061,7,FALSE())&amp;CHAR(10)&amp;"Intro.Issues: "&amp;VLOOKUP(A15,Internal_lists_bugs!$A$2:$P1061,16,FALSE())),"please select a BUG ID")</f>
        <v>BIC: https://opendev.org/openstack/nova/commit/e71e8c2
Intro.Issues: libvirt-spice</v>
      </c>
      <c r="D15" s="100" t="s">
        <v>4289</v>
      </c>
      <c r="E15" s="54"/>
      <c r="F15" s="79" t="s">
        <v>4295</v>
      </c>
      <c r="G15" s="93" t="s">
        <v>4296</v>
      </c>
      <c r="H15" s="54"/>
      <c r="I15" s="1"/>
    </row>
    <row r="16">
      <c r="A16" s="16" t="s">
        <v>35</v>
      </c>
      <c r="B16" s="77" t="str">
        <f>IFERROR(HYPERLINK(VLOOKUP(A16,Internal_lists_bugs!$A$2:$C$73,3,FALSE()), VLOOKUP(A16,Internal_lists_bugs!$A$2:$C$73,3,FALSE())&amp;Char(10) &amp; Char(10) &amp; VLOOKUP(A16,Internal_lists_bugs!$A$2:$Z$73,26,FALSE())),"please select a BUG ID")</f>
        <v>https://bugs.launchpad.net/nova/+bug/1375379
/console/websocketproxy.py</v>
      </c>
      <c r="C16" s="81" t="str">
        <f>IFERROR(Hyperlink(VLOOKUP(A16,Internal_lists_bugs!$A$2:$G1061,7,FALSE()),"BIC: "&amp;VLOOKUP(A16,Internal_lists_bugs!$A$2:$G1061,7,FALSE())&amp;CHAR(10)&amp;"Intro.Issues: "&amp;VLOOKUP(A16,Internal_lists_bugs!$A$2:$P1061,16,FALSE())),"please select a BUG ID")</f>
        <v>BIC: https://opendev.org/openstack/nova/commit/e71e8c2
Intro.Issues: libvirt-spice</v>
      </c>
      <c r="D16" s="100" t="s">
        <v>4289</v>
      </c>
      <c r="E16" s="54"/>
      <c r="F16" s="79" t="s">
        <v>4297</v>
      </c>
      <c r="G16" s="93" t="s">
        <v>4298</v>
      </c>
      <c r="H16" s="54"/>
      <c r="I16" s="1"/>
    </row>
    <row r="17">
      <c r="A17" s="16" t="s">
        <v>36</v>
      </c>
      <c r="B17" s="77" t="str">
        <f>IFERROR(HYPERLINK(VLOOKUP(A17,Internal_lists_bugs!$A$2:$C$73,3,FALSE()), VLOOKUP(A17,Internal_lists_bugs!$A$2:$C$73,3,FALSE())&amp;Char(10) &amp; Char(10) &amp; VLOOKUP(A17,Internal_lists_bugs!$A$2:$Z$73,26,FALSE())),"please select a BUG ID")</f>
        <v>https://bugs.launchpad.net/nova/+bug/1486541
/compute/cells_api.py</v>
      </c>
      <c r="C17" s="81" t="str">
        <f>IFERROR(Hyperlink(VLOOKUP(A17,Internal_lists_bugs!$A$2:$G1061,7,FALSE()),"BIC: "&amp;VLOOKUP(A17,Internal_lists_bugs!$A$2:$G1061,7,FALSE())&amp;CHAR(10)&amp;"Intro.Issues: "&amp;VLOOKUP(A17,Internal_lists_bugs!$A$2:$P1061,16,FALSE())),"please select a BUG ID")</f>
        <v>BIC: https://opendev.org/openstack/nova/commit/f5071bd1ac00ed68102d37c8025
Intro.Issues: icehouse-objects, clean-up-legacy-block-device-mapping </v>
      </c>
      <c r="D17" s="100" t="s">
        <v>4299</v>
      </c>
      <c r="E17" s="16" t="s">
        <v>4290</v>
      </c>
      <c r="F17" s="79" t="s">
        <v>4295</v>
      </c>
      <c r="G17" s="93" t="s">
        <v>4300</v>
      </c>
      <c r="H17" s="16" t="s">
        <v>123</v>
      </c>
      <c r="I17" s="1"/>
    </row>
    <row r="18">
      <c r="A18" s="16" t="s">
        <v>36</v>
      </c>
      <c r="B18" s="77" t="str">
        <f>IFERROR(HYPERLINK(VLOOKUP(A18,Internal_lists_bugs!$A$2:$C$73,3,FALSE()), VLOOKUP(A18,Internal_lists_bugs!$A$2:$C$73,3,FALSE())&amp;Char(10) &amp; Char(10) &amp; VLOOKUP(A18,Internal_lists_bugs!$A$2:$Z$73,26,FALSE())),"please select a BUG ID")</f>
        <v>https://bugs.launchpad.net/nova/+bug/1486541
/compute/cells_api.py</v>
      </c>
      <c r="C18" s="81" t="str">
        <f>IFERROR(Hyperlink(VLOOKUP(A18,Internal_lists_bugs!$A$2:$G1061,7,FALSE()),"BIC: "&amp;VLOOKUP(A18,Internal_lists_bugs!$A$2:$G1061,7,FALSE())&amp;CHAR(10)&amp;"Intro.Issues: "&amp;VLOOKUP(A18,Internal_lists_bugs!$A$2:$P1061,16,FALSE())),"please select a BUG ID")</f>
        <v>BIC: https://opendev.org/openstack/nova/commit/f5071bd1ac00ed68102d37c8025
Intro.Issues: icehouse-objects, clean-up-legacy-block-device-mapping </v>
      </c>
      <c r="D18" s="100" t="s">
        <v>4299</v>
      </c>
      <c r="E18" s="54"/>
      <c r="F18" s="79" t="s">
        <v>4297</v>
      </c>
      <c r="G18" s="93" t="s">
        <v>4301</v>
      </c>
      <c r="H18" s="54"/>
      <c r="I18" s="1"/>
    </row>
    <row r="19">
      <c r="A19" s="16" t="s">
        <v>36</v>
      </c>
      <c r="B19" s="77" t="str">
        <f>IFERROR(HYPERLINK(VLOOKUP(A19,Internal_lists_bugs!$A$2:$C$73,3,FALSE()), VLOOKUP(A19,Internal_lists_bugs!$A$2:$C$73,3,FALSE())&amp;Char(10) &amp; Char(10) &amp; VLOOKUP(A19,Internal_lists_bugs!$A$2:$Z$73,26,FALSE())),"please select a BUG ID")</f>
        <v>https://bugs.launchpad.net/nova/+bug/1486541
/compute/cells_api.py</v>
      </c>
      <c r="C19" s="81" t="str">
        <f>IFERROR(Hyperlink(VLOOKUP(A19,Internal_lists_bugs!$A$2:$G1061,7,FALSE()),"BIC: "&amp;VLOOKUP(A19,Internal_lists_bugs!$A$2:$G1061,7,FALSE())&amp;CHAR(10)&amp;"Intro.Issues: "&amp;VLOOKUP(A19,Internal_lists_bugs!$A$2:$P1061,16,FALSE())),"please select a BUG ID")</f>
        <v>BIC: https://opendev.org/openstack/nova/commit/f5071bd1ac00ed68102d37c8025
Intro.Issues: icehouse-objects, clean-up-legacy-block-device-mapping </v>
      </c>
      <c r="D19" s="100" t="s">
        <v>4299</v>
      </c>
      <c r="E19" s="54"/>
      <c r="F19" s="79" t="s">
        <v>4302</v>
      </c>
      <c r="G19" s="93" t="s">
        <v>4303</v>
      </c>
      <c r="H19" s="54"/>
      <c r="I19" s="1"/>
    </row>
    <row r="20">
      <c r="A20" s="16" t="s">
        <v>36</v>
      </c>
      <c r="B20" s="77" t="str">
        <f>IFERROR(HYPERLINK(VLOOKUP(A20,Internal_lists_bugs!$A$2:$C$73,3,FALSE()), VLOOKUP(A20,Internal_lists_bugs!$A$2:$C$73,3,FALSE())&amp;Char(10) &amp; Char(10) &amp; VLOOKUP(A20,Internal_lists_bugs!$A$2:$Z$73,26,FALSE())),"please select a BUG ID")</f>
        <v>https://bugs.launchpad.net/nova/+bug/1486541
/compute/cells_api.py</v>
      </c>
      <c r="C20" s="81" t="str">
        <f>IFERROR(Hyperlink(VLOOKUP(A20,Internal_lists_bugs!$A$2:$G1061,7,FALSE()),"BIC: "&amp;VLOOKUP(A20,Internal_lists_bugs!$A$2:$G1061,7,FALSE())&amp;CHAR(10)&amp;"Intro.Issues: "&amp;VLOOKUP(A20,Internal_lists_bugs!$A$2:$P1061,16,FALSE())),"please select a BUG ID")</f>
        <v>BIC: https://opendev.org/openstack/nova/commit/f5071bd1ac00ed68102d37c8025
Intro.Issues: icehouse-objects, clean-up-legacy-block-device-mapping </v>
      </c>
      <c r="D20" s="100" t="s">
        <v>4299</v>
      </c>
      <c r="E20" s="54"/>
      <c r="F20" s="79" t="s">
        <v>4304</v>
      </c>
      <c r="G20" s="93" t="s">
        <v>4305</v>
      </c>
      <c r="H20" s="54"/>
      <c r="I20" s="1"/>
    </row>
    <row r="21">
      <c r="A21" s="16" t="s">
        <v>36</v>
      </c>
      <c r="B21" s="77" t="str">
        <f>IFERROR(HYPERLINK(VLOOKUP(A21,Internal_lists_bugs!$A$2:$C$73,3,FALSE()), VLOOKUP(A21,Internal_lists_bugs!$A$2:$C$73,3,FALSE())&amp;Char(10) &amp; Char(10) &amp; VLOOKUP(A21,Internal_lists_bugs!$A$2:$Z$73,26,FALSE())),"please select a BUG ID")</f>
        <v>https://bugs.launchpad.net/nova/+bug/1486541
/compute/cells_api.py</v>
      </c>
      <c r="C21" s="81" t="str">
        <f>IFERROR(Hyperlink(VLOOKUP(A21,Internal_lists_bugs!$A$2:$G1061,7,FALSE()),"BIC: "&amp;VLOOKUP(A21,Internal_lists_bugs!$A$2:$G1061,7,FALSE())&amp;CHAR(10)&amp;"Intro.Issues: "&amp;VLOOKUP(A21,Internal_lists_bugs!$A$2:$P1061,16,FALSE())),"please select a BUG ID")</f>
        <v>BIC: https://opendev.org/openstack/nova/commit/f5071bd1ac00ed68102d37c8025
Intro.Issues: icehouse-objects, clean-up-legacy-block-device-mapping </v>
      </c>
      <c r="D21" s="100" t="s">
        <v>4299</v>
      </c>
      <c r="E21" s="54"/>
      <c r="F21" s="79" t="s">
        <v>4306</v>
      </c>
      <c r="G21" s="93" t="s">
        <v>4307</v>
      </c>
      <c r="H21" s="54"/>
      <c r="I21" s="1"/>
    </row>
    <row r="22">
      <c r="A22" s="16" t="s">
        <v>36</v>
      </c>
      <c r="B22" s="77" t="str">
        <f>IFERROR(HYPERLINK(VLOOKUP(A22,Internal_lists_bugs!$A$2:$C$73,3,FALSE()), VLOOKUP(A22,Internal_lists_bugs!$A$2:$C$73,3,FALSE())&amp;Char(10) &amp; Char(10) &amp; VLOOKUP(A22,Internal_lists_bugs!$A$2:$Z$73,26,FALSE())),"please select a BUG ID")</f>
        <v>https://bugs.launchpad.net/nova/+bug/1486541
/compute/cells_api.py</v>
      </c>
      <c r="C22" s="81" t="str">
        <f>IFERROR(Hyperlink(VLOOKUP(A22,Internal_lists_bugs!$A$2:$G1061,7,FALSE()),"BIC: "&amp;VLOOKUP(A22,Internal_lists_bugs!$A$2:$G1061,7,FALSE())&amp;CHAR(10)&amp;"Intro.Issues: "&amp;VLOOKUP(A22,Internal_lists_bugs!$A$2:$P1061,16,FALSE())),"please select a BUG ID")</f>
        <v>BIC: https://opendev.org/openstack/nova/commit/f5071bd1ac00ed68102d37c8025
Intro.Issues: icehouse-objects, clean-up-legacy-block-device-mapping </v>
      </c>
      <c r="D22" s="100" t="s">
        <v>4299</v>
      </c>
      <c r="E22" s="54"/>
      <c r="F22" s="79" t="s">
        <v>4308</v>
      </c>
      <c r="G22" s="94" t="s">
        <v>4309</v>
      </c>
      <c r="H22" s="54"/>
      <c r="I22" s="1"/>
    </row>
    <row r="23">
      <c r="A23" s="16" t="s">
        <v>36</v>
      </c>
      <c r="B23" s="77" t="str">
        <f>IFERROR(HYPERLINK(VLOOKUP(A23,Internal_lists_bugs!$A$2:$C$73,3,FALSE()), VLOOKUP(A23,Internal_lists_bugs!$A$2:$C$73,3,FALSE())&amp;Char(10) &amp; Char(10) &amp; VLOOKUP(A23,Internal_lists_bugs!$A$2:$Z$73,26,FALSE())),"please select a BUG ID")</f>
        <v>https://bugs.launchpad.net/nova/+bug/1486541
/compute/cells_api.py</v>
      </c>
      <c r="C23" s="81" t="str">
        <f>IFERROR(Hyperlink(VLOOKUP(A23,Internal_lists_bugs!$A$2:$G1061,7,FALSE()),"BIC: "&amp;VLOOKUP(A23,Internal_lists_bugs!$A$2:$G1061,7,FALSE())&amp;CHAR(10)&amp;"Intro.Issues: "&amp;VLOOKUP(A23,Internal_lists_bugs!$A$2:$P1061,16,FALSE())),"please select a BUG ID")</f>
        <v>BIC: https://opendev.org/openstack/nova/commit/f5071bd1ac00ed68102d37c8025
Intro.Issues: icehouse-objects, clean-up-legacy-block-device-mapping </v>
      </c>
      <c r="D23" s="100" t="s">
        <v>4299</v>
      </c>
      <c r="E23" s="54"/>
      <c r="F23" s="79" t="s">
        <v>4310</v>
      </c>
      <c r="G23" s="93" t="s">
        <v>4311</v>
      </c>
      <c r="H23" s="54"/>
      <c r="I23" s="1"/>
    </row>
    <row r="24">
      <c r="A24" s="16" t="s">
        <v>36</v>
      </c>
      <c r="B24" s="77" t="str">
        <f>IFERROR(HYPERLINK(VLOOKUP(A24,Internal_lists_bugs!$A$2:$C$73,3,FALSE()), VLOOKUP(A24,Internal_lists_bugs!$A$2:$C$73,3,FALSE())&amp;Char(10) &amp; Char(10) &amp; VLOOKUP(A24,Internal_lists_bugs!$A$2:$Z$73,26,FALSE())),"please select a BUG ID")</f>
        <v>https://bugs.launchpad.net/nova/+bug/1486541
/compute/cells_api.py</v>
      </c>
      <c r="C24" s="81" t="str">
        <f>IFERROR(Hyperlink(VLOOKUP(A24,Internal_lists_bugs!$A$2:$G1061,7,FALSE()),"BIC: "&amp;VLOOKUP(A24,Internal_lists_bugs!$A$2:$G1061,7,FALSE())&amp;CHAR(10)&amp;"Intro.Issues: "&amp;VLOOKUP(A24,Internal_lists_bugs!$A$2:$P1061,16,FALSE())),"please select a BUG ID")</f>
        <v>BIC: https://opendev.org/openstack/nova/commit/f5071bd1ac00ed68102d37c8025
Intro.Issues: icehouse-objects, clean-up-legacy-block-device-mapping </v>
      </c>
      <c r="D24" s="100" t="s">
        <v>4299</v>
      </c>
      <c r="E24" s="54"/>
      <c r="F24" s="79" t="s">
        <v>4312</v>
      </c>
      <c r="G24" s="93" t="s">
        <v>4311</v>
      </c>
      <c r="H24" s="54"/>
      <c r="I24" s="1"/>
    </row>
    <row r="25">
      <c r="A25" s="16" t="s">
        <v>36</v>
      </c>
      <c r="B25" s="77" t="str">
        <f>IFERROR(HYPERLINK(VLOOKUP(A25,Internal_lists_bugs!$A$2:$C$73,3,FALSE()), VLOOKUP(A25,Internal_lists_bugs!$A$2:$C$73,3,FALSE())&amp;Char(10) &amp; Char(10) &amp; VLOOKUP(A25,Internal_lists_bugs!$A$2:$Z$73,26,FALSE())),"please select a BUG ID")</f>
        <v>https://bugs.launchpad.net/nova/+bug/1486541
/compute/cells_api.py</v>
      </c>
      <c r="C25" s="81" t="str">
        <f>IFERROR(Hyperlink(VLOOKUP(A25,Internal_lists_bugs!$A$2:$G1061,7,FALSE()),"BIC: "&amp;VLOOKUP(A25,Internal_lists_bugs!$A$2:$G1061,7,FALSE())&amp;CHAR(10)&amp;"Intro.Issues: "&amp;VLOOKUP(A25,Internal_lists_bugs!$A$2:$P1061,16,FALSE())),"please select a BUG ID")</f>
        <v>BIC: https://opendev.org/openstack/nova/commit/f5071bd1ac00ed68102d37c8025
Intro.Issues: icehouse-objects, clean-up-legacy-block-device-mapping </v>
      </c>
      <c r="D25" s="100" t="s">
        <v>4299</v>
      </c>
      <c r="E25" s="54"/>
      <c r="F25" s="79" t="s">
        <v>4313</v>
      </c>
      <c r="G25" s="93" t="s">
        <v>4311</v>
      </c>
      <c r="H25" s="54"/>
      <c r="I25" s="1"/>
    </row>
    <row r="26">
      <c r="A26" s="16" t="s">
        <v>36</v>
      </c>
      <c r="B26" s="77" t="str">
        <f>IFERROR(HYPERLINK(VLOOKUP(A26,Internal_lists_bugs!$A$2:$C$73,3,FALSE()), VLOOKUP(A26,Internal_lists_bugs!$A$2:$C$73,3,FALSE())&amp;Char(10) &amp; Char(10) &amp; VLOOKUP(A26,Internal_lists_bugs!$A$2:$Z$73,26,FALSE())),"please select a BUG ID")</f>
        <v>https://bugs.launchpad.net/nova/+bug/1486541
/compute/cells_api.py</v>
      </c>
      <c r="C26" s="81" t="str">
        <f>IFERROR(Hyperlink(VLOOKUP(A26,Internal_lists_bugs!$A$2:$G1061,7,FALSE()),"BIC: "&amp;VLOOKUP(A26,Internal_lists_bugs!$A$2:$G1061,7,FALSE())&amp;CHAR(10)&amp;"Intro.Issues: "&amp;VLOOKUP(A26,Internal_lists_bugs!$A$2:$P1061,16,FALSE())),"please select a BUG ID")</f>
        <v>BIC: https://opendev.org/openstack/nova/commit/f5071bd1ac00ed68102d37c8025
Intro.Issues: icehouse-objects, clean-up-legacy-block-device-mapping </v>
      </c>
      <c r="D26" s="100" t="s">
        <v>4299</v>
      </c>
      <c r="E26" s="54"/>
      <c r="F26" s="79" t="s">
        <v>4314</v>
      </c>
      <c r="G26" s="93" t="s">
        <v>4311</v>
      </c>
      <c r="H26" s="54"/>
      <c r="I26" s="1"/>
    </row>
    <row r="27">
      <c r="A27" s="16" t="s">
        <v>36</v>
      </c>
      <c r="B27" s="77" t="str">
        <f>IFERROR(HYPERLINK(VLOOKUP(A27,Internal_lists_bugs!$A$2:$C$73,3,FALSE()), VLOOKUP(A27,Internal_lists_bugs!$A$2:$C$73,3,FALSE())&amp;Char(10) &amp; Char(10) &amp; VLOOKUP(A27,Internal_lists_bugs!$A$2:$Z$73,26,FALSE())),"please select a BUG ID")</f>
        <v>https://bugs.launchpad.net/nova/+bug/1486541
/compute/cells_api.py</v>
      </c>
      <c r="C27" s="81" t="str">
        <f>IFERROR(Hyperlink(VLOOKUP(A27,Internal_lists_bugs!$A$2:$G1061,7,FALSE()),"BIC: "&amp;VLOOKUP(A27,Internal_lists_bugs!$A$2:$G1061,7,FALSE())&amp;CHAR(10)&amp;"Intro.Issues: "&amp;VLOOKUP(A27,Internal_lists_bugs!$A$2:$P1061,16,FALSE())),"please select a BUG ID")</f>
        <v>BIC: https://opendev.org/openstack/nova/commit/f5071bd1ac00ed68102d37c8025
Intro.Issues: icehouse-objects, clean-up-legacy-block-device-mapping </v>
      </c>
      <c r="D27" s="100" t="s">
        <v>4299</v>
      </c>
      <c r="E27" s="54"/>
      <c r="F27" s="79" t="s">
        <v>4315</v>
      </c>
      <c r="G27" s="93" t="s">
        <v>4311</v>
      </c>
      <c r="H27" s="54"/>
      <c r="I27" s="1"/>
    </row>
    <row r="28">
      <c r="A28" s="16" t="s">
        <v>36</v>
      </c>
      <c r="B28" s="77" t="str">
        <f>IFERROR(HYPERLINK(VLOOKUP(A28,Internal_lists_bugs!$A$2:$C$73,3,FALSE()), VLOOKUP(A28,Internal_lists_bugs!$A$2:$C$73,3,FALSE())&amp;Char(10) &amp; Char(10) &amp; VLOOKUP(A28,Internal_lists_bugs!$A$2:$Z$73,26,FALSE())),"please select a BUG ID")</f>
        <v>https://bugs.launchpad.net/nova/+bug/1486541
/compute/cells_api.py</v>
      </c>
      <c r="C28" s="81" t="str">
        <f>IFERROR(Hyperlink(VLOOKUP(A28,Internal_lists_bugs!$A$2:$G1061,7,FALSE()),"BIC: "&amp;VLOOKUP(A28,Internal_lists_bugs!$A$2:$G1061,7,FALSE())&amp;CHAR(10)&amp;"Intro.Issues: "&amp;VLOOKUP(A28,Internal_lists_bugs!$A$2:$P1061,16,FALSE())),"please select a BUG ID")</f>
        <v>BIC: https://opendev.org/openstack/nova/commit/f5071bd1ac00ed68102d37c8025
Intro.Issues: icehouse-objects, clean-up-legacy-block-device-mapping </v>
      </c>
      <c r="D28" s="100" t="s">
        <v>4299</v>
      </c>
      <c r="E28" s="54"/>
      <c r="F28" s="79" t="s">
        <v>4316</v>
      </c>
      <c r="G28" s="93" t="s">
        <v>4311</v>
      </c>
      <c r="H28" s="54"/>
      <c r="I28" s="1"/>
    </row>
    <row r="29">
      <c r="A29" s="16" t="s">
        <v>36</v>
      </c>
      <c r="B29" s="77" t="str">
        <f>IFERROR(HYPERLINK(VLOOKUP(A29,Internal_lists_bugs!$A$2:$C$73,3,FALSE()), VLOOKUP(A29,Internal_lists_bugs!$A$2:$C$73,3,FALSE())&amp;Char(10) &amp; Char(10) &amp; VLOOKUP(A29,Internal_lists_bugs!$A$2:$Z$73,26,FALSE())),"please select a BUG ID")</f>
        <v>https://bugs.launchpad.net/nova/+bug/1486541
/compute/cells_api.py</v>
      </c>
      <c r="C29" s="81" t="str">
        <f>IFERROR(Hyperlink(VLOOKUP(A29,Internal_lists_bugs!$A$2:$G1061,7,FALSE()),"BIC: "&amp;VLOOKUP(A29,Internal_lists_bugs!$A$2:$G1061,7,FALSE())&amp;CHAR(10)&amp;"Intro.Issues: "&amp;VLOOKUP(A29,Internal_lists_bugs!$A$2:$P1061,16,FALSE())),"please select a BUG ID")</f>
        <v>BIC: https://opendev.org/openstack/nova/commit/f5071bd1ac00ed68102d37c8025
Intro.Issues: icehouse-objects, clean-up-legacy-block-device-mapping </v>
      </c>
      <c r="D29" s="100" t="s">
        <v>4299</v>
      </c>
      <c r="E29" s="54"/>
      <c r="F29" s="79" t="s">
        <v>4317</v>
      </c>
      <c r="G29" s="93" t="s">
        <v>4311</v>
      </c>
      <c r="H29" s="54"/>
      <c r="I29" s="1"/>
    </row>
    <row r="30">
      <c r="A30" s="16" t="s">
        <v>36</v>
      </c>
      <c r="B30" s="77" t="str">
        <f>IFERROR(HYPERLINK(VLOOKUP(A30,Internal_lists_bugs!$A$2:$C$73,3,FALSE()), VLOOKUP(A30,Internal_lists_bugs!$A$2:$C$73,3,FALSE())&amp;Char(10) &amp; Char(10) &amp; VLOOKUP(A30,Internal_lists_bugs!$A$2:$Z$73,26,FALSE())),"please select a BUG ID")</f>
        <v>https://bugs.launchpad.net/nova/+bug/1486541
/compute/cells_api.py</v>
      </c>
      <c r="C30" s="81" t="str">
        <f>IFERROR(Hyperlink(VLOOKUP(A30,Internal_lists_bugs!$A$2:$G1061,7,FALSE()),"BIC: "&amp;VLOOKUP(A30,Internal_lists_bugs!$A$2:$G1061,7,FALSE())&amp;CHAR(10)&amp;"Intro.Issues: "&amp;VLOOKUP(A30,Internal_lists_bugs!$A$2:$P1061,16,FALSE())),"please select a BUG ID")</f>
        <v>BIC: https://opendev.org/openstack/nova/commit/f5071bd1ac00ed68102d37c8025
Intro.Issues: icehouse-objects, clean-up-legacy-block-device-mapping </v>
      </c>
      <c r="D30" s="100" t="s">
        <v>4299</v>
      </c>
      <c r="E30" s="54"/>
      <c r="F30" s="79" t="s">
        <v>4318</v>
      </c>
      <c r="G30" s="93" t="s">
        <v>4311</v>
      </c>
      <c r="H30" s="54"/>
      <c r="I30" s="1"/>
    </row>
    <row r="31">
      <c r="A31" s="16" t="s">
        <v>36</v>
      </c>
      <c r="B31" s="77" t="str">
        <f>IFERROR(HYPERLINK(VLOOKUP(A31,Internal_lists_bugs!$A$2:$C$73,3,FALSE()), VLOOKUP(A31,Internal_lists_bugs!$A$2:$C$73,3,FALSE())&amp;Char(10) &amp; Char(10) &amp; VLOOKUP(A31,Internal_lists_bugs!$A$2:$Z$73,26,FALSE())),"please select a BUG ID")</f>
        <v>https://bugs.launchpad.net/nova/+bug/1486541
/compute/cells_api.py</v>
      </c>
      <c r="C31" s="81" t="str">
        <f>IFERROR(Hyperlink(VLOOKUP(A31,Internal_lists_bugs!$A$2:$G1061,7,FALSE()),"BIC: "&amp;VLOOKUP(A31,Internal_lists_bugs!$A$2:$G1061,7,FALSE())&amp;CHAR(10)&amp;"Intro.Issues: "&amp;VLOOKUP(A31,Internal_lists_bugs!$A$2:$P1061,16,FALSE())),"please select a BUG ID")</f>
        <v>BIC: https://opendev.org/openstack/nova/commit/f5071bd1ac00ed68102d37c8025
Intro.Issues: icehouse-objects, clean-up-legacy-block-device-mapping </v>
      </c>
      <c r="D31" s="100" t="s">
        <v>4299</v>
      </c>
      <c r="E31" s="54"/>
      <c r="F31" s="79" t="s">
        <v>4319</v>
      </c>
      <c r="G31" s="93" t="s">
        <v>4311</v>
      </c>
      <c r="H31" s="54"/>
      <c r="I31" s="1"/>
    </row>
    <row r="32">
      <c r="A32" s="16" t="s">
        <v>36</v>
      </c>
      <c r="B32" s="77" t="str">
        <f>IFERROR(HYPERLINK(VLOOKUP(A32,Internal_lists_bugs!$A$2:$C$73,3,FALSE()), VLOOKUP(A32,Internal_lists_bugs!$A$2:$C$73,3,FALSE())&amp;Char(10) &amp; Char(10) &amp; VLOOKUP(A32,Internal_lists_bugs!$A$2:$Z$73,26,FALSE())),"please select a BUG ID")</f>
        <v>https://bugs.launchpad.net/nova/+bug/1486541
/compute/cells_api.py</v>
      </c>
      <c r="C32" s="81" t="str">
        <f>IFERROR(Hyperlink(VLOOKUP(A32,Internal_lists_bugs!$A$2:$G1061,7,FALSE()),"BIC: "&amp;VLOOKUP(A32,Internal_lists_bugs!$A$2:$G1061,7,FALSE())&amp;CHAR(10)&amp;"Intro.Issues: "&amp;VLOOKUP(A32,Internal_lists_bugs!$A$2:$P1061,16,FALSE())),"please select a BUG ID")</f>
        <v>BIC: https://opendev.org/openstack/nova/commit/f5071bd1ac00ed68102d37c8025
Intro.Issues: icehouse-objects, clean-up-legacy-block-device-mapping </v>
      </c>
      <c r="D32" s="100" t="s">
        <v>4299</v>
      </c>
      <c r="E32" s="54"/>
      <c r="F32" s="79" t="s">
        <v>4320</v>
      </c>
      <c r="G32" s="93" t="s">
        <v>4321</v>
      </c>
      <c r="H32" s="54"/>
      <c r="I32" s="1"/>
    </row>
    <row r="33">
      <c r="A33" s="16" t="s">
        <v>36</v>
      </c>
      <c r="B33" s="77" t="str">
        <f>IFERROR(HYPERLINK(VLOOKUP(A33,Internal_lists_bugs!$A$2:$C$73,3,FALSE()), VLOOKUP(A33,Internal_lists_bugs!$A$2:$C$73,3,FALSE())&amp;Char(10) &amp; Char(10) &amp; VLOOKUP(A33,Internal_lists_bugs!$A$2:$Z$73,26,FALSE())),"please select a BUG ID")</f>
        <v>https://bugs.launchpad.net/nova/+bug/1486541
/compute/cells_api.py</v>
      </c>
      <c r="C33" s="81" t="str">
        <f>IFERROR(Hyperlink(VLOOKUP(A33,Internal_lists_bugs!$A$2:$G1061,7,FALSE()),"BIC: "&amp;VLOOKUP(A33,Internal_lists_bugs!$A$2:$G1061,7,FALSE())&amp;CHAR(10)&amp;"Intro.Issues: "&amp;VLOOKUP(A33,Internal_lists_bugs!$A$2:$P1061,16,FALSE())),"please select a BUG ID")</f>
        <v>BIC: https://opendev.org/openstack/nova/commit/f5071bd1ac00ed68102d37c8025
Intro.Issues: icehouse-objects, clean-up-legacy-block-device-mapping </v>
      </c>
      <c r="D33" s="100" t="s">
        <v>4299</v>
      </c>
      <c r="E33" s="54"/>
      <c r="F33" s="79" t="s">
        <v>4322</v>
      </c>
      <c r="G33" s="93" t="s">
        <v>4323</v>
      </c>
      <c r="H33" s="54"/>
      <c r="I33" s="1"/>
    </row>
    <row r="34">
      <c r="A34" s="16" t="s">
        <v>36</v>
      </c>
      <c r="B34" s="77" t="str">
        <f>IFERROR(HYPERLINK(VLOOKUP(A34,Internal_lists_bugs!$A$2:$C$73,3,FALSE()), VLOOKUP(A34,Internal_lists_bugs!$A$2:$C$73,3,FALSE())&amp;Char(10) &amp; Char(10) &amp; VLOOKUP(A34,Internal_lists_bugs!$A$2:$Z$73,26,FALSE())),"please select a BUG ID")</f>
        <v>https://bugs.launchpad.net/nova/+bug/1486541
/compute/cells_api.py</v>
      </c>
      <c r="C34" s="81" t="str">
        <f>IFERROR(Hyperlink(VLOOKUP(A34,Internal_lists_bugs!$A$2:$G1061,7,FALSE()),"BIC: "&amp;VLOOKUP(A34,Internal_lists_bugs!$A$2:$G1061,7,FALSE())&amp;CHAR(10)&amp;"Intro.Issues: "&amp;VLOOKUP(A34,Internal_lists_bugs!$A$2:$P1061,16,FALSE())),"please select a BUG ID")</f>
        <v>BIC: https://opendev.org/openstack/nova/commit/f5071bd1ac00ed68102d37c8025
Intro.Issues: icehouse-objects, clean-up-legacy-block-device-mapping </v>
      </c>
      <c r="D34" s="100" t="s">
        <v>4299</v>
      </c>
      <c r="E34" s="54"/>
      <c r="F34" s="79" t="s">
        <v>4293</v>
      </c>
      <c r="G34" s="93" t="s">
        <v>4324</v>
      </c>
      <c r="H34" s="54"/>
      <c r="I34" s="1"/>
    </row>
    <row r="35">
      <c r="A35" s="16" t="s">
        <v>36</v>
      </c>
      <c r="B35" s="77" t="str">
        <f>IFERROR(HYPERLINK(VLOOKUP(A35,Internal_lists_bugs!$A$2:$C$73,3,FALSE()), VLOOKUP(A35,Internal_lists_bugs!$A$2:$C$73,3,FALSE())&amp;Char(10) &amp; Char(10) &amp; VLOOKUP(A35,Internal_lists_bugs!$A$2:$Z$73,26,FALSE())),"please select a BUG ID")</f>
        <v>https://bugs.launchpad.net/nova/+bug/1486541
/compute/cells_api.py</v>
      </c>
      <c r="C35" s="81" t="str">
        <f>IFERROR(Hyperlink(VLOOKUP(A35,Internal_lists_bugs!$A$2:$G1061,7,FALSE()),"BIC: "&amp;VLOOKUP(A35,Internal_lists_bugs!$A$2:$G1061,7,FALSE())&amp;CHAR(10)&amp;"Intro.Issues: "&amp;VLOOKUP(A35,Internal_lists_bugs!$A$2:$P1061,16,FALSE())),"please select a BUG ID")</f>
        <v>BIC: https://opendev.org/openstack/nova/commit/f5071bd1ac00ed68102d37c8025
Intro.Issues: icehouse-objects, clean-up-legacy-block-device-mapping </v>
      </c>
      <c r="D35" s="100" t="s">
        <v>4299</v>
      </c>
      <c r="E35" s="54"/>
      <c r="F35" s="79" t="s">
        <v>4325</v>
      </c>
      <c r="G35" s="93" t="s">
        <v>4326</v>
      </c>
      <c r="H35" s="54"/>
      <c r="I35" s="1"/>
    </row>
    <row r="36">
      <c r="A36" s="16" t="s">
        <v>36</v>
      </c>
      <c r="B36" s="77" t="str">
        <f>IFERROR(HYPERLINK(VLOOKUP(A36,Internal_lists_bugs!$A$2:$C$73,3,FALSE()), VLOOKUP(A36,Internal_lists_bugs!$A$2:$C$73,3,FALSE())&amp;Char(10) &amp; Char(10) &amp; VLOOKUP(A36,Internal_lists_bugs!$A$2:$Z$73,26,FALSE())),"please select a BUG ID")</f>
        <v>https://bugs.launchpad.net/nova/+bug/1486541
/compute/cells_api.py</v>
      </c>
      <c r="C36" s="81" t="str">
        <f>IFERROR(Hyperlink(VLOOKUP(A36,Internal_lists_bugs!$A$2:$G1061,7,FALSE()),"BIC: "&amp;VLOOKUP(A36,Internal_lists_bugs!$A$2:$G1061,7,FALSE())&amp;CHAR(10)&amp;"Intro.Issues: "&amp;VLOOKUP(A36,Internal_lists_bugs!$A$2:$P1061,16,FALSE())),"please select a BUG ID")</f>
        <v>BIC: https://opendev.org/openstack/nova/commit/f5071bd1ac00ed68102d37c8025
Intro.Issues: icehouse-objects, clean-up-legacy-block-device-mapping </v>
      </c>
      <c r="D36" s="100" t="s">
        <v>4327</v>
      </c>
      <c r="E36" s="16" t="s">
        <v>4328</v>
      </c>
      <c r="F36" s="79" t="s">
        <v>4295</v>
      </c>
      <c r="G36" s="93" t="s">
        <v>4329</v>
      </c>
      <c r="H36" s="16" t="s">
        <v>123</v>
      </c>
      <c r="I36" s="1"/>
    </row>
    <row r="37">
      <c r="A37" s="16" t="s">
        <v>36</v>
      </c>
      <c r="B37" s="77" t="str">
        <f>IFERROR(HYPERLINK(VLOOKUP(A37,Internal_lists_bugs!$A$2:$C$73,3,FALSE()), VLOOKUP(A37,Internal_lists_bugs!$A$2:$C$73,3,FALSE())&amp;Char(10) &amp; Char(10) &amp; VLOOKUP(A37,Internal_lists_bugs!$A$2:$Z$73,26,FALSE())),"please select a BUG ID")</f>
        <v>https://bugs.launchpad.net/nova/+bug/1486541
/compute/cells_api.py</v>
      </c>
      <c r="C37" s="81" t="str">
        <f>IFERROR(Hyperlink(VLOOKUP(A37,Internal_lists_bugs!$A$2:$G1061,7,FALSE()),"BIC: "&amp;VLOOKUP(A37,Internal_lists_bugs!$A$2:$G1061,7,FALSE())&amp;CHAR(10)&amp;"Intro.Issues: "&amp;VLOOKUP(A37,Internal_lists_bugs!$A$2:$P1061,16,FALSE())),"please select a BUG ID")</f>
        <v>BIC: https://opendev.org/openstack/nova/commit/f5071bd1ac00ed68102d37c8025
Intro.Issues: icehouse-objects, clean-up-legacy-block-device-mapping </v>
      </c>
      <c r="D37" s="100" t="s">
        <v>4327</v>
      </c>
      <c r="E37" s="54"/>
      <c r="F37" s="79" t="s">
        <v>4297</v>
      </c>
      <c r="G37" s="93" t="s">
        <v>4311</v>
      </c>
      <c r="H37" s="54"/>
      <c r="I37" s="1"/>
    </row>
    <row r="38">
      <c r="A38" s="16" t="s">
        <v>36</v>
      </c>
      <c r="B38" s="77" t="str">
        <f>IFERROR(HYPERLINK(VLOOKUP(A38,Internal_lists_bugs!$A$2:$C$73,3,FALSE()), VLOOKUP(A38,Internal_lists_bugs!$A$2:$C$73,3,FALSE())&amp;Char(10) &amp; Char(10) &amp; VLOOKUP(A38,Internal_lists_bugs!$A$2:$Z$73,26,FALSE())),"please select a BUG ID")</f>
        <v>https://bugs.launchpad.net/nova/+bug/1486541
/compute/cells_api.py</v>
      </c>
      <c r="C38" s="81" t="str">
        <f>IFERROR(Hyperlink(VLOOKUP(A38,Internal_lists_bugs!$A$2:$G1061,7,FALSE()),"BIC: "&amp;VLOOKUP(A38,Internal_lists_bugs!$A$2:$G1061,7,FALSE())&amp;CHAR(10)&amp;"Intro.Issues: "&amp;VLOOKUP(A38,Internal_lists_bugs!$A$2:$P1061,16,FALSE())),"please select a BUG ID")</f>
        <v>BIC: https://opendev.org/openstack/nova/commit/f5071bd1ac00ed68102d37c8025
Intro.Issues: icehouse-objects, clean-up-legacy-block-device-mapping </v>
      </c>
      <c r="D38" s="100" t="s">
        <v>4327</v>
      </c>
      <c r="E38" s="54"/>
      <c r="F38" s="79" t="s">
        <v>4310</v>
      </c>
      <c r="G38" s="93" t="s">
        <v>4311</v>
      </c>
      <c r="H38" s="54"/>
      <c r="I38" s="1"/>
    </row>
    <row r="39">
      <c r="A39" s="16" t="s">
        <v>36</v>
      </c>
      <c r="B39" s="77" t="str">
        <f>IFERROR(HYPERLINK(VLOOKUP(A39,Internal_lists_bugs!$A$2:$C$73,3,FALSE()), VLOOKUP(A39,Internal_lists_bugs!$A$2:$C$73,3,FALSE())&amp;Char(10) &amp; Char(10) &amp; VLOOKUP(A39,Internal_lists_bugs!$A$2:$Z$73,26,FALSE())),"please select a BUG ID")</f>
        <v>https://bugs.launchpad.net/nova/+bug/1486541
/compute/cells_api.py</v>
      </c>
      <c r="C39" s="81" t="str">
        <f>IFERROR(Hyperlink(VLOOKUP(A39,Internal_lists_bugs!$A$2:$G1061,7,FALSE()),"BIC: "&amp;VLOOKUP(A39,Internal_lists_bugs!$A$2:$G1061,7,FALSE())&amp;CHAR(10)&amp;"Intro.Issues: "&amp;VLOOKUP(A39,Internal_lists_bugs!$A$2:$P1061,16,FALSE())),"please select a BUG ID")</f>
        <v>BIC: https://opendev.org/openstack/nova/commit/f5071bd1ac00ed68102d37c8025
Intro.Issues: icehouse-objects, clean-up-legacy-block-device-mapping </v>
      </c>
      <c r="D39" s="100" t="s">
        <v>4327</v>
      </c>
      <c r="E39" s="54"/>
      <c r="F39" s="79" t="s">
        <v>4312</v>
      </c>
      <c r="G39" s="93" t="s">
        <v>4311</v>
      </c>
      <c r="H39" s="54"/>
      <c r="I39" s="1"/>
    </row>
    <row r="40">
      <c r="A40" s="16" t="s">
        <v>36</v>
      </c>
      <c r="B40" s="77" t="str">
        <f>IFERROR(HYPERLINK(VLOOKUP(A40,Internal_lists_bugs!$A$2:$C$73,3,FALSE()), VLOOKUP(A40,Internal_lists_bugs!$A$2:$C$73,3,FALSE())&amp;Char(10) &amp; Char(10) &amp; VLOOKUP(A40,Internal_lists_bugs!$A$2:$Z$73,26,FALSE())),"please select a BUG ID")</f>
        <v>https://bugs.launchpad.net/nova/+bug/1486541
/compute/cells_api.py</v>
      </c>
      <c r="C40" s="81" t="str">
        <f>IFERROR(Hyperlink(VLOOKUP(A40,Internal_lists_bugs!$A$2:$G1061,7,FALSE()),"BIC: "&amp;VLOOKUP(A40,Internal_lists_bugs!$A$2:$G1061,7,FALSE())&amp;CHAR(10)&amp;"Intro.Issues: "&amp;VLOOKUP(A40,Internal_lists_bugs!$A$2:$P1061,16,FALSE())),"please select a BUG ID")</f>
        <v>BIC: https://opendev.org/openstack/nova/commit/f5071bd1ac00ed68102d37c8025
Intro.Issues: icehouse-objects, clean-up-legacy-block-device-mapping </v>
      </c>
      <c r="D40" s="100" t="s">
        <v>4327</v>
      </c>
      <c r="E40" s="54"/>
      <c r="F40" s="79" t="s">
        <v>4313</v>
      </c>
      <c r="G40" s="93" t="s">
        <v>4311</v>
      </c>
      <c r="H40" s="54"/>
      <c r="I40" s="1"/>
    </row>
    <row r="41">
      <c r="A41" s="16" t="s">
        <v>36</v>
      </c>
      <c r="B41" s="77" t="str">
        <f>IFERROR(HYPERLINK(VLOOKUP(A41,Internal_lists_bugs!$A$2:$C$73,3,FALSE()), VLOOKUP(A41,Internal_lists_bugs!$A$2:$C$73,3,FALSE())&amp;Char(10) &amp; Char(10) &amp; VLOOKUP(A41,Internal_lists_bugs!$A$2:$Z$73,26,FALSE())),"please select a BUG ID")</f>
        <v>https://bugs.launchpad.net/nova/+bug/1486541
/compute/cells_api.py</v>
      </c>
      <c r="C41" s="81" t="str">
        <f>IFERROR(Hyperlink(VLOOKUP(A41,Internal_lists_bugs!$A$2:$G1061,7,FALSE()),"BIC: "&amp;VLOOKUP(A41,Internal_lists_bugs!$A$2:$G1061,7,FALSE())&amp;CHAR(10)&amp;"Intro.Issues: "&amp;VLOOKUP(A41,Internal_lists_bugs!$A$2:$P1061,16,FALSE())),"please select a BUG ID")</f>
        <v>BIC: https://opendev.org/openstack/nova/commit/f5071bd1ac00ed68102d37c8025
Intro.Issues: icehouse-objects, clean-up-legacy-block-device-mapping </v>
      </c>
      <c r="D41" s="100" t="s">
        <v>4327</v>
      </c>
      <c r="E41" s="54"/>
      <c r="F41" s="79" t="s">
        <v>4314</v>
      </c>
      <c r="G41" s="93" t="s">
        <v>4311</v>
      </c>
      <c r="H41" s="54"/>
      <c r="I41" s="1"/>
    </row>
    <row r="42">
      <c r="A42" s="16" t="s">
        <v>36</v>
      </c>
      <c r="B42" s="77" t="str">
        <f>IFERROR(HYPERLINK(VLOOKUP(A42,Internal_lists_bugs!$A$2:$C$73,3,FALSE()), VLOOKUP(A42,Internal_lists_bugs!$A$2:$C$73,3,FALSE())&amp;Char(10) &amp; Char(10) &amp; VLOOKUP(A42,Internal_lists_bugs!$A$2:$Z$73,26,FALSE())),"please select a BUG ID")</f>
        <v>https://bugs.launchpad.net/nova/+bug/1486541
/compute/cells_api.py</v>
      </c>
      <c r="C42" s="81" t="str">
        <f>IFERROR(Hyperlink(VLOOKUP(A42,Internal_lists_bugs!$A$2:$G1061,7,FALSE()),"BIC: "&amp;VLOOKUP(A42,Internal_lists_bugs!$A$2:$G1061,7,FALSE())&amp;CHAR(10)&amp;"Intro.Issues: "&amp;VLOOKUP(A42,Internal_lists_bugs!$A$2:$P1061,16,FALSE())),"please select a BUG ID")</f>
        <v>BIC: https://opendev.org/openstack/nova/commit/f5071bd1ac00ed68102d37c8025
Intro.Issues: icehouse-objects, clean-up-legacy-block-device-mapping </v>
      </c>
      <c r="D42" s="100" t="s">
        <v>4327</v>
      </c>
      <c r="E42" s="54"/>
      <c r="F42" s="79" t="s">
        <v>4315</v>
      </c>
      <c r="G42" s="93" t="s">
        <v>4311</v>
      </c>
      <c r="H42" s="54"/>
      <c r="I42" s="1"/>
    </row>
    <row r="43">
      <c r="A43" s="16" t="s">
        <v>36</v>
      </c>
      <c r="B43" s="77" t="str">
        <f>IFERROR(HYPERLINK(VLOOKUP(A43,Internal_lists_bugs!$A$2:$C$73,3,FALSE()), VLOOKUP(A43,Internal_lists_bugs!$A$2:$C$73,3,FALSE())&amp;Char(10) &amp; Char(10) &amp; VLOOKUP(A43,Internal_lists_bugs!$A$2:$Z$73,26,FALSE())),"please select a BUG ID")</f>
        <v>https://bugs.launchpad.net/nova/+bug/1486541
/compute/cells_api.py</v>
      </c>
      <c r="C43" s="81" t="str">
        <f>IFERROR(Hyperlink(VLOOKUP(A43,Internal_lists_bugs!$A$2:$G1061,7,FALSE()),"BIC: "&amp;VLOOKUP(A43,Internal_lists_bugs!$A$2:$G1061,7,FALSE())&amp;CHAR(10)&amp;"Intro.Issues: "&amp;VLOOKUP(A43,Internal_lists_bugs!$A$2:$P1061,16,FALSE())),"please select a BUG ID")</f>
        <v>BIC: https://opendev.org/openstack/nova/commit/f5071bd1ac00ed68102d37c8025
Intro.Issues: icehouse-objects, clean-up-legacy-block-device-mapping </v>
      </c>
      <c r="D43" s="100" t="s">
        <v>4327</v>
      </c>
      <c r="E43" s="54"/>
      <c r="F43" s="79" t="s">
        <v>4316</v>
      </c>
      <c r="G43" s="93" t="s">
        <v>4311</v>
      </c>
      <c r="H43" s="54"/>
      <c r="I43" s="1"/>
    </row>
    <row r="44">
      <c r="A44" s="16" t="s">
        <v>36</v>
      </c>
      <c r="B44" s="77" t="str">
        <f>IFERROR(HYPERLINK(VLOOKUP(A44,Internal_lists_bugs!$A$2:$C$73,3,FALSE()), VLOOKUP(A44,Internal_lists_bugs!$A$2:$C$73,3,FALSE())&amp;Char(10) &amp; Char(10) &amp; VLOOKUP(A44,Internal_lists_bugs!$A$2:$Z$73,26,FALSE())),"please select a BUG ID")</f>
        <v>https://bugs.launchpad.net/nova/+bug/1486541
/compute/cells_api.py</v>
      </c>
      <c r="C44" s="81" t="str">
        <f>IFERROR(Hyperlink(VLOOKUP(A44,Internal_lists_bugs!$A$2:$G1061,7,FALSE()),"BIC: "&amp;VLOOKUP(A44,Internal_lists_bugs!$A$2:$G1061,7,FALSE())&amp;CHAR(10)&amp;"Intro.Issues: "&amp;VLOOKUP(A44,Internal_lists_bugs!$A$2:$P1061,16,FALSE())),"please select a BUG ID")</f>
        <v>BIC: https://opendev.org/openstack/nova/commit/f5071bd1ac00ed68102d37c8025
Intro.Issues: icehouse-objects, clean-up-legacy-block-device-mapping </v>
      </c>
      <c r="D44" s="100" t="s">
        <v>4327</v>
      </c>
      <c r="E44" s="54"/>
      <c r="F44" s="79" t="s">
        <v>4317</v>
      </c>
      <c r="G44" s="93" t="s">
        <v>4311</v>
      </c>
      <c r="H44" s="54"/>
      <c r="I44" s="1"/>
    </row>
    <row r="45">
      <c r="A45" s="16" t="s">
        <v>36</v>
      </c>
      <c r="B45" s="77" t="str">
        <f>IFERROR(HYPERLINK(VLOOKUP(A45,Internal_lists_bugs!$A$2:$C$73,3,FALSE()), VLOOKUP(A45,Internal_lists_bugs!$A$2:$C$73,3,FALSE())&amp;Char(10) &amp; Char(10) &amp; VLOOKUP(A45,Internal_lists_bugs!$A$2:$Z$73,26,FALSE())),"please select a BUG ID")</f>
        <v>https://bugs.launchpad.net/nova/+bug/1486541
/compute/cells_api.py</v>
      </c>
      <c r="C45" s="81" t="str">
        <f>IFERROR(Hyperlink(VLOOKUP(A45,Internal_lists_bugs!$A$2:$G1061,7,FALSE()),"BIC: "&amp;VLOOKUP(A45,Internal_lists_bugs!$A$2:$G1061,7,FALSE())&amp;CHAR(10)&amp;"Intro.Issues: "&amp;VLOOKUP(A45,Internal_lists_bugs!$A$2:$P1061,16,FALSE())),"please select a BUG ID")</f>
        <v>BIC: https://opendev.org/openstack/nova/commit/f5071bd1ac00ed68102d37c8025
Intro.Issues: icehouse-objects, clean-up-legacy-block-device-mapping </v>
      </c>
      <c r="D45" s="100" t="s">
        <v>4327</v>
      </c>
      <c r="E45" s="54"/>
      <c r="F45" s="79" t="s">
        <v>4318</v>
      </c>
      <c r="G45" s="93" t="s">
        <v>4311</v>
      </c>
      <c r="H45" s="54"/>
      <c r="I45" s="1"/>
    </row>
    <row r="46">
      <c r="A46" s="16" t="s">
        <v>36</v>
      </c>
      <c r="B46" s="77" t="str">
        <f>IFERROR(HYPERLINK(VLOOKUP(A46,Internal_lists_bugs!$A$2:$C$73,3,FALSE()), VLOOKUP(A46,Internal_lists_bugs!$A$2:$C$73,3,FALSE())&amp;Char(10) &amp; Char(10) &amp; VLOOKUP(A46,Internal_lists_bugs!$A$2:$Z$73,26,FALSE())),"please select a BUG ID")</f>
        <v>https://bugs.launchpad.net/nova/+bug/1486541
/compute/cells_api.py</v>
      </c>
      <c r="C46" s="81" t="str">
        <f>IFERROR(Hyperlink(VLOOKUP(A46,Internal_lists_bugs!$A$2:$G1061,7,FALSE()),"BIC: "&amp;VLOOKUP(A46,Internal_lists_bugs!$A$2:$G1061,7,FALSE())&amp;CHAR(10)&amp;"Intro.Issues: "&amp;VLOOKUP(A46,Internal_lists_bugs!$A$2:$P1061,16,FALSE())),"please select a BUG ID")</f>
        <v>BIC: https://opendev.org/openstack/nova/commit/f5071bd1ac00ed68102d37c8025
Intro.Issues: icehouse-objects, clean-up-legacy-block-device-mapping </v>
      </c>
      <c r="D46" s="100" t="s">
        <v>4327</v>
      </c>
      <c r="E46" s="54"/>
      <c r="F46" s="79" t="s">
        <v>4319</v>
      </c>
      <c r="G46" s="93" t="s">
        <v>4311</v>
      </c>
      <c r="H46" s="54"/>
      <c r="I46" s="1"/>
    </row>
    <row r="47">
      <c r="A47" s="16" t="s">
        <v>36</v>
      </c>
      <c r="B47" s="77" t="str">
        <f>IFERROR(HYPERLINK(VLOOKUP(A47,Internal_lists_bugs!$A$2:$C$73,3,FALSE()), VLOOKUP(A47,Internal_lists_bugs!$A$2:$C$73,3,FALSE())&amp;Char(10) &amp; Char(10) &amp; VLOOKUP(A47,Internal_lists_bugs!$A$2:$Z$73,26,FALSE())),"please select a BUG ID")</f>
        <v>https://bugs.launchpad.net/nova/+bug/1486541
/compute/cells_api.py</v>
      </c>
      <c r="C47" s="81" t="str">
        <f>IFERROR(Hyperlink(VLOOKUP(A47,Internal_lists_bugs!$A$2:$G1061,7,FALSE()),"BIC: "&amp;VLOOKUP(A47,Internal_lists_bugs!$A$2:$G1061,7,FALSE())&amp;CHAR(10)&amp;"Intro.Issues: "&amp;VLOOKUP(A47,Internal_lists_bugs!$A$2:$P1061,16,FALSE())),"please select a BUG ID")</f>
        <v>BIC: https://opendev.org/openstack/nova/commit/f5071bd1ac00ed68102d37c8025
Intro.Issues: icehouse-objects, clean-up-legacy-block-device-mapping </v>
      </c>
      <c r="D47" s="100" t="s">
        <v>4327</v>
      </c>
      <c r="E47" s="54"/>
      <c r="F47" s="79" t="s">
        <v>4330</v>
      </c>
      <c r="G47" s="93" t="s">
        <v>4311</v>
      </c>
      <c r="H47" s="54"/>
      <c r="I47" s="1"/>
    </row>
    <row r="48">
      <c r="A48" s="16" t="s">
        <v>36</v>
      </c>
      <c r="B48" s="77" t="str">
        <f>IFERROR(HYPERLINK(VLOOKUP(A48,Internal_lists_bugs!$A$2:$C$73,3,FALSE()), VLOOKUP(A48,Internal_lists_bugs!$A$2:$C$73,3,FALSE())&amp;Char(10) &amp; Char(10) &amp; VLOOKUP(A48,Internal_lists_bugs!$A$2:$Z$73,26,FALSE())),"please select a BUG ID")</f>
        <v>https://bugs.launchpad.net/nova/+bug/1486541
/compute/cells_api.py</v>
      </c>
      <c r="C48" s="81" t="str">
        <f>IFERROR(Hyperlink(VLOOKUP(A48,Internal_lists_bugs!$A$2:$G1061,7,FALSE()),"BIC: "&amp;VLOOKUP(A48,Internal_lists_bugs!$A$2:$G1061,7,FALSE())&amp;CHAR(10)&amp;"Intro.Issues: "&amp;VLOOKUP(A48,Internal_lists_bugs!$A$2:$P1061,16,FALSE())),"please select a BUG ID")</f>
        <v>BIC: https://opendev.org/openstack/nova/commit/f5071bd1ac00ed68102d37c8025
Intro.Issues: icehouse-objects, clean-up-legacy-block-device-mapping </v>
      </c>
      <c r="D48" s="100" t="s">
        <v>4327</v>
      </c>
      <c r="E48" s="54"/>
      <c r="F48" s="79" t="s">
        <v>4331</v>
      </c>
      <c r="G48" s="93" t="s">
        <v>4311</v>
      </c>
      <c r="H48" s="54"/>
      <c r="I48" s="1"/>
    </row>
    <row r="49">
      <c r="A49" s="16" t="s">
        <v>36</v>
      </c>
      <c r="B49" s="77" t="str">
        <f>IFERROR(HYPERLINK(VLOOKUP(A49,Internal_lists_bugs!$A$2:$C$73,3,FALSE()), VLOOKUP(A49,Internal_lists_bugs!$A$2:$C$73,3,FALSE())&amp;Char(10) &amp; Char(10) &amp; VLOOKUP(A49,Internal_lists_bugs!$A$2:$Z$73,26,FALSE())),"please select a BUG ID")</f>
        <v>https://bugs.launchpad.net/nova/+bug/1486541
/compute/cells_api.py</v>
      </c>
      <c r="C49" s="81" t="str">
        <f>IFERROR(Hyperlink(VLOOKUP(A49,Internal_lists_bugs!$A$2:$G1061,7,FALSE()),"BIC: "&amp;VLOOKUP(A49,Internal_lists_bugs!$A$2:$G1061,7,FALSE())&amp;CHAR(10)&amp;"Intro.Issues: "&amp;VLOOKUP(A49,Internal_lists_bugs!$A$2:$P1061,16,FALSE())),"please select a BUG ID")</f>
        <v>BIC: https://opendev.org/openstack/nova/commit/f5071bd1ac00ed68102d37c8025
Intro.Issues: icehouse-objects, clean-up-legacy-block-device-mapping </v>
      </c>
      <c r="D49" s="100" t="s">
        <v>4327</v>
      </c>
      <c r="E49" s="54"/>
      <c r="F49" s="79" t="s">
        <v>4332</v>
      </c>
      <c r="G49" s="93" t="s">
        <v>4333</v>
      </c>
      <c r="H49" s="54"/>
      <c r="I49" s="1"/>
    </row>
    <row r="50">
      <c r="A50" s="16" t="s">
        <v>36</v>
      </c>
      <c r="B50" s="77" t="str">
        <f>IFERROR(HYPERLINK(VLOOKUP(A50,Internal_lists_bugs!$A$2:$C$73,3,FALSE()), VLOOKUP(A50,Internal_lists_bugs!$A$2:$C$73,3,FALSE())&amp;Char(10) &amp; Char(10) &amp; VLOOKUP(A50,Internal_lists_bugs!$A$2:$Z$73,26,FALSE())),"please select a BUG ID")</f>
        <v>https://bugs.launchpad.net/nova/+bug/1486541
/compute/cells_api.py</v>
      </c>
      <c r="C50" s="81" t="str">
        <f>IFERROR(Hyperlink(VLOOKUP(A50,Internal_lists_bugs!$A$2:$G1061,7,FALSE()),"BIC: "&amp;VLOOKUP(A50,Internal_lists_bugs!$A$2:$G1061,7,FALSE())&amp;CHAR(10)&amp;"Intro.Issues: "&amp;VLOOKUP(A50,Internal_lists_bugs!$A$2:$P1061,16,FALSE())),"please select a BUG ID")</f>
        <v>BIC: https://opendev.org/openstack/nova/commit/f5071bd1ac00ed68102d37c8025
Intro.Issues: icehouse-objects, clean-up-legacy-block-device-mapping </v>
      </c>
      <c r="D50" s="100" t="s">
        <v>4327</v>
      </c>
      <c r="E50" s="54"/>
      <c r="F50" s="79" t="s">
        <v>4334</v>
      </c>
      <c r="G50" s="93" t="s">
        <v>4335</v>
      </c>
      <c r="H50" s="54"/>
      <c r="I50" s="1"/>
    </row>
    <row r="51">
      <c r="A51" s="16" t="s">
        <v>36</v>
      </c>
      <c r="B51" s="77" t="str">
        <f>IFERROR(HYPERLINK(VLOOKUP(A51,Internal_lists_bugs!$A$2:$C$73,3,FALSE()), VLOOKUP(A51,Internal_lists_bugs!$A$2:$C$73,3,FALSE())&amp;Char(10) &amp; Char(10) &amp; VLOOKUP(A51,Internal_lists_bugs!$A$2:$Z$73,26,FALSE())),"please select a BUG ID")</f>
        <v>https://bugs.launchpad.net/nova/+bug/1486541
/compute/cells_api.py</v>
      </c>
      <c r="C51" s="81" t="str">
        <f>IFERROR(Hyperlink(VLOOKUP(A51,Internal_lists_bugs!$A$2:$G1061,7,FALSE()),"BIC: "&amp;VLOOKUP(A51,Internal_lists_bugs!$A$2:$G1061,7,FALSE())&amp;CHAR(10)&amp;"Intro.Issues: "&amp;VLOOKUP(A51,Internal_lists_bugs!$A$2:$P1061,16,FALSE())),"please select a BUG ID")</f>
        <v>BIC: https://opendev.org/openstack/nova/commit/f5071bd1ac00ed68102d37c8025
Intro.Issues: icehouse-objects, clean-up-legacy-block-device-mapping </v>
      </c>
      <c r="D51" s="100" t="s">
        <v>4327</v>
      </c>
      <c r="E51" s="54"/>
      <c r="F51" s="79" t="s">
        <v>4336</v>
      </c>
      <c r="G51" s="93" t="s">
        <v>4337</v>
      </c>
      <c r="H51" s="54"/>
      <c r="I51" s="1"/>
    </row>
    <row r="52">
      <c r="A52" s="16" t="s">
        <v>36</v>
      </c>
      <c r="B52" s="77" t="str">
        <f>IFERROR(HYPERLINK(VLOOKUP(A52,Internal_lists_bugs!$A$2:$C$73,3,FALSE()), VLOOKUP(A52,Internal_lists_bugs!$A$2:$C$73,3,FALSE())&amp;Char(10) &amp; Char(10) &amp; VLOOKUP(A52,Internal_lists_bugs!$A$2:$Z$73,26,FALSE())),"please select a BUG ID")</f>
        <v>https://bugs.launchpad.net/nova/+bug/1486541
/compute/cells_api.py</v>
      </c>
      <c r="C52" s="81" t="str">
        <f>IFERROR(Hyperlink(VLOOKUP(A52,Internal_lists_bugs!$A$2:$G1061,7,FALSE()),"BIC: "&amp;VLOOKUP(A52,Internal_lists_bugs!$A$2:$G1061,7,FALSE())&amp;CHAR(10)&amp;"Intro.Issues: "&amp;VLOOKUP(A52,Internal_lists_bugs!$A$2:$P1061,16,FALSE())),"please select a BUG ID")</f>
        <v>BIC: https://opendev.org/openstack/nova/commit/f5071bd1ac00ed68102d37c8025
Intro.Issues: icehouse-objects, clean-up-legacy-block-device-mapping </v>
      </c>
      <c r="D52" s="100" t="s">
        <v>4327</v>
      </c>
      <c r="E52" s="54"/>
      <c r="F52" s="79" t="s">
        <v>4308</v>
      </c>
      <c r="G52" s="94" t="s">
        <v>4338</v>
      </c>
      <c r="H52" s="54"/>
      <c r="I52" s="1"/>
    </row>
    <row r="53">
      <c r="A53" s="16" t="s">
        <v>37</v>
      </c>
      <c r="B53" s="77" t="str">
        <f>IFERROR(HYPERLINK(VLOOKUP(A53,Internal_lists_bugs!$A$2:$C$73,3,FALSE()), VLOOKUP(A53,Internal_lists_bugs!$A$2:$C$73,3,FALSE())&amp;Char(10) &amp; Char(10) &amp; VLOOKUP(A53,Internal_lists_bugs!$A$2:$Z$73,26,FALSE())),"please select a BUG ID")</f>
        <v>https://bugs.launchpad.net/nova/+bug/1314677
/cells/state.py</v>
      </c>
      <c r="C53" s="81" t="str">
        <f>IFERROR(Hyperlink(VLOOKUP(A53,Internal_lists_bugs!$A$2:$G1061,7,FALSE()),"BIC: "&amp;VLOOKUP(A53,Internal_lists_bugs!$A$2:$G1061,7,FALSE())&amp;CHAR(10)&amp;"Intro.Issues: "&amp;VLOOKUP(A53,Internal_lists_bugs!$A$2:$P1061,16,FALSE())),"please select a BUG ID")</f>
        <v>BIC: https://opendev.org/openstack/nova/commit/88ab936
Intro.Issues: eliminate-clear-passwords-from-cells-table</v>
      </c>
      <c r="D53" s="100" t="s">
        <v>4339</v>
      </c>
      <c r="E53" s="16" t="s">
        <v>4290</v>
      </c>
      <c r="F53" s="79" t="s">
        <v>4340</v>
      </c>
      <c r="G53" s="94" t="s">
        <v>4341</v>
      </c>
      <c r="H53" s="16" t="s">
        <v>251</v>
      </c>
      <c r="I53" s="1"/>
    </row>
    <row r="54">
      <c r="A54" s="16" t="s">
        <v>37</v>
      </c>
      <c r="B54" s="77" t="str">
        <f>IFERROR(HYPERLINK(VLOOKUP(A54,Internal_lists_bugs!$A$2:$C$73,3,FALSE()), VLOOKUP(A54,Internal_lists_bugs!$A$2:$C$73,3,FALSE())&amp;Char(10) &amp; Char(10) &amp; VLOOKUP(A54,Internal_lists_bugs!$A$2:$Z$73,26,FALSE())),"please select a BUG ID")</f>
        <v>https://bugs.launchpad.net/nova/+bug/1314677
/cells/state.py</v>
      </c>
      <c r="C54" s="81" t="str">
        <f>IFERROR(Hyperlink(VLOOKUP(A54,Internal_lists_bugs!$A$2:$G1061,7,FALSE()),"BIC: "&amp;VLOOKUP(A54,Internal_lists_bugs!$A$2:$G1061,7,FALSE())&amp;CHAR(10)&amp;"Intro.Issues: "&amp;VLOOKUP(A54,Internal_lists_bugs!$A$2:$P1061,16,FALSE())),"please select a BUG ID")</f>
        <v>BIC: https://opendev.org/openstack/nova/commit/88ab936
Intro.Issues: eliminate-clear-passwords-from-cells-table</v>
      </c>
      <c r="D54" s="100" t="s">
        <v>4339</v>
      </c>
      <c r="E54" s="54"/>
      <c r="F54" s="79" t="s">
        <v>4342</v>
      </c>
      <c r="G54" s="93" t="s">
        <v>4343</v>
      </c>
      <c r="H54" s="54"/>
      <c r="I54" s="1"/>
    </row>
    <row r="55">
      <c r="A55" s="16" t="s">
        <v>37</v>
      </c>
      <c r="B55" s="77" t="str">
        <f>IFERROR(HYPERLINK(VLOOKUP(A55,Internal_lists_bugs!$A$2:$C$73,3,FALSE()), VLOOKUP(A55,Internal_lists_bugs!$A$2:$C$73,3,FALSE())&amp;Char(10) &amp; Char(10) &amp; VLOOKUP(A55,Internal_lists_bugs!$A$2:$Z$73,26,FALSE())),"please select a BUG ID")</f>
        <v>https://bugs.launchpad.net/nova/+bug/1314677
/cells/state.py</v>
      </c>
      <c r="C55" s="81" t="str">
        <f>IFERROR(Hyperlink(VLOOKUP(A55,Internal_lists_bugs!$A$2:$G1061,7,FALSE()),"BIC: "&amp;VLOOKUP(A55,Internal_lists_bugs!$A$2:$G1061,7,FALSE())&amp;CHAR(10)&amp;"Intro.Issues: "&amp;VLOOKUP(A55,Internal_lists_bugs!$A$2:$P1061,16,FALSE())),"please select a BUG ID")</f>
        <v>BIC: https://opendev.org/openstack/nova/commit/88ab936
Intro.Issues: eliminate-clear-passwords-from-cells-table</v>
      </c>
      <c r="D55" s="100" t="s">
        <v>4339</v>
      </c>
      <c r="E55" s="54"/>
      <c r="F55" s="79" t="s">
        <v>4297</v>
      </c>
      <c r="G55" s="93" t="s">
        <v>4344</v>
      </c>
      <c r="H55" s="54"/>
      <c r="I55" s="1"/>
    </row>
    <row r="56">
      <c r="A56" s="16" t="s">
        <v>37</v>
      </c>
      <c r="B56" s="77" t="str">
        <f>IFERROR(HYPERLINK(VLOOKUP(A56,Internal_lists_bugs!$A$2:$C$73,3,FALSE()), VLOOKUP(A56,Internal_lists_bugs!$A$2:$C$73,3,FALSE())&amp;Char(10) &amp; Char(10) &amp; VLOOKUP(A56,Internal_lists_bugs!$A$2:$Z$73,26,FALSE())),"please select a BUG ID")</f>
        <v>https://bugs.launchpad.net/nova/+bug/1314677
/cells/state.py</v>
      </c>
      <c r="C56" s="81" t="str">
        <f>IFERROR(Hyperlink(VLOOKUP(A56,Internal_lists_bugs!$A$2:$G1061,7,FALSE()),"BIC: "&amp;VLOOKUP(A56,Internal_lists_bugs!$A$2:$G1061,7,FALSE())&amp;CHAR(10)&amp;"Intro.Issues: "&amp;VLOOKUP(A56,Internal_lists_bugs!$A$2:$P1061,16,FALSE())),"please select a BUG ID")</f>
        <v>BIC: https://opendev.org/openstack/nova/commit/88ab936
Intro.Issues: eliminate-clear-passwords-from-cells-table</v>
      </c>
      <c r="D56" s="100" t="s">
        <v>4339</v>
      </c>
      <c r="E56" s="54"/>
      <c r="F56" s="79" t="s">
        <v>4295</v>
      </c>
      <c r="G56" s="93" t="s">
        <v>4345</v>
      </c>
      <c r="H56" s="54"/>
      <c r="I56" s="1"/>
    </row>
    <row r="57">
      <c r="A57" s="16" t="s">
        <v>38</v>
      </c>
      <c r="B57" s="77" t="str">
        <f>IFERROR(HYPERLINK(VLOOKUP(A57,Internal_lists_bugs!$A$2:$C$73,3,FALSE()), VLOOKUP(A57,Internal_lists_bugs!$A$2:$C$73,3,FALSE())&amp;Char(10) &amp; Char(10) &amp; VLOOKUP(A57,Internal_lists_bugs!$A$2:$Z$73,26,FALSE())),"please select a BUG ID")</f>
        <v>https://bugs.launchpad.net/nova/+bug/1294939
/network/manager.py</v>
      </c>
      <c r="C57" s="81" t="str">
        <f>IFERROR(Hyperlink(VLOOKUP(A57,Internal_lists_bugs!$A$2:$G1061,7,FALSE()),"BIC: "&amp;VLOOKUP(A57,Internal_lists_bugs!$A$2:$G1061,7,FALSE())&amp;CHAR(10)&amp;"Intro.Issues: "&amp;VLOOKUP(A57,Internal_lists_bugs!$A$2:$P1061,16,FALSE())),"please select a BUG ID")</f>
        <v>BIC: https://opendev.org/openstack/nova/commit/542958fac7445a14dea
Intro.Issues: nova-network-objects</v>
      </c>
      <c r="D57" s="100" t="s">
        <v>4346</v>
      </c>
      <c r="E57" s="16" t="s">
        <v>4290</v>
      </c>
      <c r="F57" s="79" t="s">
        <v>4347</v>
      </c>
      <c r="G57" s="93" t="s">
        <v>4348</v>
      </c>
      <c r="H57" s="16" t="s">
        <v>123</v>
      </c>
      <c r="I57" s="1"/>
    </row>
    <row r="58">
      <c r="A58" s="16" t="s">
        <v>38</v>
      </c>
      <c r="B58" s="77" t="str">
        <f>IFERROR(HYPERLINK(VLOOKUP(A58,Internal_lists_bugs!$A$2:$C$73,3,FALSE()), VLOOKUP(A58,Internal_lists_bugs!$A$2:$C$73,3,FALSE())&amp;Char(10) &amp; Char(10) &amp; VLOOKUP(A58,Internal_lists_bugs!$A$2:$Z$73,26,FALSE())),"please select a BUG ID")</f>
        <v>https://bugs.launchpad.net/nova/+bug/1294939
/network/manager.py</v>
      </c>
      <c r="C58" s="81" t="str">
        <f>IFERROR(Hyperlink(VLOOKUP(A58,Internal_lists_bugs!$A$2:$G1061,7,FALSE()),"BIC: "&amp;VLOOKUP(A58,Internal_lists_bugs!$A$2:$G1061,7,FALSE())&amp;CHAR(10)&amp;"Intro.Issues: "&amp;VLOOKUP(A58,Internal_lists_bugs!$A$2:$P1061,16,FALSE())),"please select a BUG ID")</f>
        <v>BIC: https://opendev.org/openstack/nova/commit/542958fac7445a14dea
Intro.Issues: nova-network-objects</v>
      </c>
      <c r="D58" s="100" t="s">
        <v>4346</v>
      </c>
      <c r="E58" s="54"/>
      <c r="F58" s="79" t="s">
        <v>4291</v>
      </c>
      <c r="G58" s="93" t="s">
        <v>4349</v>
      </c>
      <c r="H58" s="54"/>
      <c r="I58" s="1"/>
    </row>
    <row r="59">
      <c r="A59" s="16" t="s">
        <v>38</v>
      </c>
      <c r="B59" s="77" t="str">
        <f>IFERROR(HYPERLINK(VLOOKUP(A59,Internal_lists_bugs!$A$2:$C$73,3,FALSE()), VLOOKUP(A59,Internal_lists_bugs!$A$2:$C$73,3,FALSE())&amp;Char(10) &amp; Char(10) &amp; VLOOKUP(A59,Internal_lists_bugs!$A$2:$Z$73,26,FALSE())),"please select a BUG ID")</f>
        <v>https://bugs.launchpad.net/nova/+bug/1294939
/network/manager.py</v>
      </c>
      <c r="C59" s="81" t="str">
        <f>IFERROR(Hyperlink(VLOOKUP(A59,Internal_lists_bugs!$A$2:$G1061,7,FALSE()),"BIC: "&amp;VLOOKUP(A59,Internal_lists_bugs!$A$2:$G1061,7,FALSE())&amp;CHAR(10)&amp;"Intro.Issues: "&amp;VLOOKUP(A59,Internal_lists_bugs!$A$2:$P1061,16,FALSE())),"please select a BUG ID")</f>
        <v>BIC: https://opendev.org/openstack/nova/commit/542958fac7445a14dea
Intro.Issues: nova-network-objects</v>
      </c>
      <c r="D59" s="100" t="s">
        <v>4346</v>
      </c>
      <c r="E59" s="54"/>
      <c r="F59" s="79" t="s">
        <v>4295</v>
      </c>
      <c r="G59" s="93" t="s">
        <v>4350</v>
      </c>
      <c r="H59" s="54"/>
      <c r="I59" s="1"/>
    </row>
    <row r="60">
      <c r="A60" s="16" t="s">
        <v>38</v>
      </c>
      <c r="B60" s="77" t="str">
        <f>IFERROR(HYPERLINK(VLOOKUP(A60,Internal_lists_bugs!$A$2:$C$73,3,FALSE()), VLOOKUP(A60,Internal_lists_bugs!$A$2:$C$73,3,FALSE())&amp;Char(10) &amp; Char(10) &amp; VLOOKUP(A60,Internal_lists_bugs!$A$2:$Z$73,26,FALSE())),"please select a BUG ID")</f>
        <v>https://bugs.launchpad.net/nova/+bug/1294939
/network/manager.py</v>
      </c>
      <c r="C60" s="81" t="str">
        <f>IFERROR(Hyperlink(VLOOKUP(A60,Internal_lists_bugs!$A$2:$G1061,7,FALSE()),"BIC: "&amp;VLOOKUP(A60,Internal_lists_bugs!$A$2:$G1061,7,FALSE())&amp;CHAR(10)&amp;"Intro.Issues: "&amp;VLOOKUP(A60,Internal_lists_bugs!$A$2:$P1061,16,FALSE())),"please select a BUG ID")</f>
        <v>BIC: https://opendev.org/openstack/nova/commit/542958fac7445a14dea
Intro.Issues: nova-network-objects</v>
      </c>
      <c r="D60" s="100" t="s">
        <v>4346</v>
      </c>
      <c r="E60" s="54"/>
      <c r="F60" s="79" t="s">
        <v>4297</v>
      </c>
      <c r="G60" s="93" t="s">
        <v>4311</v>
      </c>
      <c r="H60" s="54"/>
      <c r="I60" s="1"/>
    </row>
    <row r="61">
      <c r="A61" s="16" t="s">
        <v>38</v>
      </c>
      <c r="B61" s="77" t="str">
        <f>IFERROR(HYPERLINK(VLOOKUP(A61,Internal_lists_bugs!$A$2:$C$73,3,FALSE()), VLOOKUP(A61,Internal_lists_bugs!$A$2:$C$73,3,FALSE())&amp;Char(10) &amp; Char(10) &amp; VLOOKUP(A61,Internal_lists_bugs!$A$2:$Z$73,26,FALSE())),"please select a BUG ID")</f>
        <v>https://bugs.launchpad.net/nova/+bug/1294939
/network/manager.py</v>
      </c>
      <c r="C61" s="81" t="str">
        <f>IFERROR(Hyperlink(VLOOKUP(A61,Internal_lists_bugs!$A$2:$G1061,7,FALSE()),"BIC: "&amp;VLOOKUP(A61,Internal_lists_bugs!$A$2:$G1061,7,FALSE())&amp;CHAR(10)&amp;"Intro.Issues: "&amp;VLOOKUP(A61,Internal_lists_bugs!$A$2:$P1061,16,FALSE())),"please select a BUG ID")</f>
        <v>BIC: https://opendev.org/openstack/nova/commit/542958fac7445a14dea
Intro.Issues: nova-network-objects</v>
      </c>
      <c r="D61" s="100" t="s">
        <v>4346</v>
      </c>
      <c r="E61" s="54"/>
      <c r="F61" s="79" t="s">
        <v>4310</v>
      </c>
      <c r="G61" s="93" t="s">
        <v>4311</v>
      </c>
      <c r="H61" s="54"/>
      <c r="I61" s="1"/>
    </row>
    <row r="62">
      <c r="A62" s="16" t="s">
        <v>38</v>
      </c>
      <c r="B62" s="77" t="str">
        <f>IFERROR(HYPERLINK(VLOOKUP(A62,Internal_lists_bugs!$A$2:$C$73,3,FALSE()), VLOOKUP(A62,Internal_lists_bugs!$A$2:$C$73,3,FALSE())&amp;Char(10) &amp; Char(10) &amp; VLOOKUP(A62,Internal_lists_bugs!$A$2:$Z$73,26,FALSE())),"please select a BUG ID")</f>
        <v>https://bugs.launchpad.net/nova/+bug/1294939
/network/manager.py</v>
      </c>
      <c r="C62" s="81" t="str">
        <f>IFERROR(Hyperlink(VLOOKUP(A62,Internal_lists_bugs!$A$2:$G1061,7,FALSE()),"BIC: "&amp;VLOOKUP(A62,Internal_lists_bugs!$A$2:$G1061,7,FALSE())&amp;CHAR(10)&amp;"Intro.Issues: "&amp;VLOOKUP(A62,Internal_lists_bugs!$A$2:$P1061,16,FALSE())),"please select a BUG ID")</f>
        <v>BIC: https://opendev.org/openstack/nova/commit/542958fac7445a14dea
Intro.Issues: nova-network-objects</v>
      </c>
      <c r="D62" s="100" t="s">
        <v>4346</v>
      </c>
      <c r="E62" s="54"/>
      <c r="F62" s="79" t="s">
        <v>4312</v>
      </c>
      <c r="G62" s="93" t="s">
        <v>4311</v>
      </c>
      <c r="H62" s="54"/>
      <c r="I62" s="1"/>
    </row>
    <row r="63">
      <c r="A63" s="16" t="s">
        <v>39</v>
      </c>
      <c r="B63" s="77" t="str">
        <f>IFERROR(HYPERLINK(VLOOKUP(A63,Internal_lists_bugs!$A$2:$C$73,3,FALSE()), VLOOKUP(A63,Internal_lists_bugs!$A$2:$C$73,3,FALSE())&amp;Char(10) &amp; Char(10) &amp; VLOOKUP(A63,Internal_lists_bugs!$A$2:$Z$73,26,FALSE())),"please select a BUG ID")</f>
        <v>https://bugs.launchpad.net/nova/+bug/1443697
/vmwareapi/vmops.py</v>
      </c>
      <c r="C63" s="81" t="str">
        <f>IFERROR(Hyperlink(VLOOKUP(A63,Internal_lists_bugs!$A$2:$G1061,7,FALSE()),"BIC: "&amp;VLOOKUP(A63,Internal_lists_bugs!$A$2:$G1061,7,FALSE())&amp;CHAR(10)&amp;"Intro.Issues: "&amp;VLOOKUP(A63,Internal_lists_bugs!$A$2:$P1061,16,FALSE())),"please select a BUG ID")</f>
        <v>BIC: https://opendev.org/openstack/nova/commit/f3f1a53f
Intro.Issues: 1407438, 1407050, 1402784</v>
      </c>
      <c r="D63" s="100">
        <v>1402784.0</v>
      </c>
      <c r="E63" s="16" t="s">
        <v>4280</v>
      </c>
      <c r="F63" s="79" t="s">
        <v>119</v>
      </c>
      <c r="G63" s="93" t="s">
        <v>4351</v>
      </c>
      <c r="H63" s="16" t="s">
        <v>123</v>
      </c>
      <c r="I63" s="1"/>
    </row>
    <row r="64">
      <c r="A64" s="16" t="s">
        <v>39</v>
      </c>
      <c r="B64" s="77" t="str">
        <f>IFERROR(HYPERLINK(VLOOKUP(A64,Internal_lists_bugs!$A$2:$C$73,3,FALSE()), VLOOKUP(A64,Internal_lists_bugs!$A$2:$C$73,3,FALSE())&amp;Char(10) &amp; Char(10) &amp; VLOOKUP(A64,Internal_lists_bugs!$A$2:$Z$73,26,FALSE())),"please select a BUG ID")</f>
        <v>https://bugs.launchpad.net/nova/+bug/1443697
/vmwareapi/vmops.py</v>
      </c>
      <c r="C64" s="81" t="str">
        <f>IFERROR(Hyperlink(VLOOKUP(A64,Internal_lists_bugs!$A$2:$G1061,7,FALSE()),"BIC: "&amp;VLOOKUP(A64,Internal_lists_bugs!$A$2:$G1061,7,FALSE())&amp;CHAR(10)&amp;"Intro.Issues: "&amp;VLOOKUP(A64,Internal_lists_bugs!$A$2:$P1061,16,FALSE())),"please select a BUG ID")</f>
        <v>BIC: https://opendev.org/openstack/nova/commit/f3f1a53f
Intro.Issues: 1407438, 1407050, 1402784</v>
      </c>
      <c r="D64" s="100">
        <v>1402784.0</v>
      </c>
      <c r="E64" s="54"/>
      <c r="F64" s="79" t="s">
        <v>4352</v>
      </c>
      <c r="G64" s="93" t="s">
        <v>4353</v>
      </c>
      <c r="H64" s="54"/>
      <c r="I64" s="1"/>
    </row>
    <row r="65">
      <c r="A65" s="16" t="s">
        <v>39</v>
      </c>
      <c r="B65" s="77" t="str">
        <f>IFERROR(HYPERLINK(VLOOKUP(A65,Internal_lists_bugs!$A$2:$C$73,3,FALSE()), VLOOKUP(A65,Internal_lists_bugs!$A$2:$C$73,3,FALSE())&amp;Char(10) &amp; Char(10) &amp; VLOOKUP(A65,Internal_lists_bugs!$A$2:$Z$73,26,FALSE())),"please select a BUG ID")</f>
        <v>https://bugs.launchpad.net/nova/+bug/1443697
/vmwareapi/vmops.py</v>
      </c>
      <c r="C65" s="81" t="str">
        <f>IFERROR(Hyperlink(VLOOKUP(A65,Internal_lists_bugs!$A$2:$G1061,7,FALSE()),"BIC: "&amp;VLOOKUP(A65,Internal_lists_bugs!$A$2:$G1061,7,FALSE())&amp;CHAR(10)&amp;"Intro.Issues: "&amp;VLOOKUP(A65,Internal_lists_bugs!$A$2:$P1061,16,FALSE())),"please select a BUG ID")</f>
        <v>BIC: https://opendev.org/openstack/nova/commit/f3f1a53f
Intro.Issues: 1407438, 1407050, 1402784</v>
      </c>
      <c r="D65" s="100">
        <v>1402784.0</v>
      </c>
      <c r="E65" s="54"/>
      <c r="F65" s="79" t="s">
        <v>129</v>
      </c>
      <c r="G65" s="93" t="s">
        <v>204</v>
      </c>
      <c r="H65" s="54"/>
      <c r="I65" s="1"/>
    </row>
    <row r="66">
      <c r="A66" s="16" t="s">
        <v>39</v>
      </c>
      <c r="B66" s="77" t="str">
        <f>IFERROR(HYPERLINK(VLOOKUP(A66,Internal_lists_bugs!$A$2:$C$73,3,FALSE()), VLOOKUP(A66,Internal_lists_bugs!$A$2:$C$73,3,FALSE())&amp;Char(10) &amp; Char(10) &amp; VLOOKUP(A66,Internal_lists_bugs!$A$2:$Z$73,26,FALSE())),"please select a BUG ID")</f>
        <v>https://bugs.launchpad.net/nova/+bug/1443697
/vmwareapi/vmops.py</v>
      </c>
      <c r="C66" s="81" t="str">
        <f>IFERROR(Hyperlink(VLOOKUP(A66,Internal_lists_bugs!$A$2:$G1061,7,FALSE()),"BIC: "&amp;VLOOKUP(A66,Internal_lists_bugs!$A$2:$G1061,7,FALSE())&amp;CHAR(10)&amp;"Intro.Issues: "&amp;VLOOKUP(A66,Internal_lists_bugs!$A$2:$P1061,16,FALSE())),"please select a BUG ID")</f>
        <v>BIC: https://opendev.org/openstack/nova/commit/f3f1a53f
Intro.Issues: 1407438, 1407050, 1402784</v>
      </c>
      <c r="D66" s="100">
        <v>1402784.0</v>
      </c>
      <c r="E66" s="54"/>
      <c r="F66" s="79" t="s">
        <v>236</v>
      </c>
      <c r="G66" s="93" t="s">
        <v>205</v>
      </c>
      <c r="H66" s="54"/>
      <c r="I66" s="1"/>
    </row>
    <row r="67">
      <c r="A67" s="16" t="s">
        <v>39</v>
      </c>
      <c r="B67" s="77" t="str">
        <f>IFERROR(HYPERLINK(VLOOKUP(A67,Internal_lists_bugs!$A$2:$C$73,3,FALSE()), VLOOKUP(A67,Internal_lists_bugs!$A$2:$C$73,3,FALSE())&amp;Char(10) &amp; Char(10) &amp; VLOOKUP(A67,Internal_lists_bugs!$A$2:$Z$73,26,FALSE())),"please select a BUG ID")</f>
        <v>https://bugs.launchpad.net/nova/+bug/1443697
/vmwareapi/vmops.py</v>
      </c>
      <c r="C67" s="81" t="str">
        <f>IFERROR(Hyperlink(VLOOKUP(A67,Internal_lists_bugs!$A$2:$G1061,7,FALSE()),"BIC: "&amp;VLOOKUP(A67,Internal_lists_bugs!$A$2:$G1061,7,FALSE())&amp;CHAR(10)&amp;"Intro.Issues: "&amp;VLOOKUP(A67,Internal_lists_bugs!$A$2:$P1061,16,FALSE())),"please select a BUG ID")</f>
        <v>BIC: https://opendev.org/openstack/nova/commit/f3f1a53f
Intro.Issues: 1407438, 1407050, 1402784</v>
      </c>
      <c r="D67" s="100">
        <v>1402784.0</v>
      </c>
      <c r="E67" s="54"/>
      <c r="F67" s="79" t="s">
        <v>4354</v>
      </c>
      <c r="G67" s="93" t="s">
        <v>205</v>
      </c>
      <c r="H67" s="54"/>
      <c r="I67" s="1"/>
    </row>
    <row r="68">
      <c r="A68" s="16" t="s">
        <v>39</v>
      </c>
      <c r="B68" s="77" t="str">
        <f>IFERROR(HYPERLINK(VLOOKUP(A68,Internal_lists_bugs!$A$2:$C$73,3,FALSE()), VLOOKUP(A68,Internal_lists_bugs!$A$2:$C$73,3,FALSE())&amp;Char(10) &amp; Char(10) &amp; VLOOKUP(A68,Internal_lists_bugs!$A$2:$Z$73,26,FALSE())),"please select a BUG ID")</f>
        <v>https://bugs.launchpad.net/nova/+bug/1443697
/vmwareapi/vmops.py</v>
      </c>
      <c r="C68" s="81" t="str">
        <f>IFERROR(Hyperlink(VLOOKUP(A68,Internal_lists_bugs!$A$2:$G1061,7,FALSE()),"BIC: "&amp;VLOOKUP(A68,Internal_lists_bugs!$A$2:$G1061,7,FALSE())&amp;CHAR(10)&amp;"Intro.Issues: "&amp;VLOOKUP(A68,Internal_lists_bugs!$A$2:$P1061,16,FALSE())),"please select a BUG ID")</f>
        <v>BIC: https://opendev.org/openstack/nova/commit/f3f1a53f
Intro.Issues: 1407438, 1407050, 1402784</v>
      </c>
      <c r="D68" s="100">
        <v>1402784.0</v>
      </c>
      <c r="E68" s="54"/>
      <c r="F68" s="79" t="s">
        <v>4355</v>
      </c>
      <c r="G68" s="93" t="s">
        <v>229</v>
      </c>
      <c r="H68" s="54"/>
      <c r="I68" s="1"/>
    </row>
    <row r="69">
      <c r="A69" s="16" t="s">
        <v>39</v>
      </c>
      <c r="B69" s="77" t="str">
        <f>IFERROR(HYPERLINK(VLOOKUP(A69,Internal_lists_bugs!$A$2:$C$73,3,FALSE()), VLOOKUP(A69,Internal_lists_bugs!$A$2:$C$73,3,FALSE())&amp;Char(10) &amp; Char(10) &amp; VLOOKUP(A69,Internal_lists_bugs!$A$2:$Z$73,26,FALSE())),"please select a BUG ID")</f>
        <v>https://bugs.launchpad.net/nova/+bug/1443697
/vmwareapi/vmops.py</v>
      </c>
      <c r="C69" s="81" t="str">
        <f>IFERROR(Hyperlink(VLOOKUP(A69,Internal_lists_bugs!$A$2:$G1061,7,FALSE()),"BIC: "&amp;VLOOKUP(A69,Internal_lists_bugs!$A$2:$G1061,7,FALSE())&amp;CHAR(10)&amp;"Intro.Issues: "&amp;VLOOKUP(A69,Internal_lists_bugs!$A$2:$P1061,16,FALSE())),"please select a BUG ID")</f>
        <v>BIC: https://opendev.org/openstack/nova/commit/f3f1a53f
Intro.Issues: 1407438, 1407050, 1402784</v>
      </c>
      <c r="D69" s="100">
        <v>1402784.0</v>
      </c>
      <c r="E69" s="54"/>
      <c r="F69" s="79" t="s">
        <v>4356</v>
      </c>
      <c r="G69" s="93" t="s">
        <v>216</v>
      </c>
      <c r="H69" s="54"/>
      <c r="I69" s="1"/>
    </row>
    <row r="70">
      <c r="A70" s="16" t="s">
        <v>39</v>
      </c>
      <c r="B70" s="77" t="str">
        <f>IFERROR(HYPERLINK(VLOOKUP(A70,Internal_lists_bugs!$A$2:$C$73,3,FALSE()), VLOOKUP(A70,Internal_lists_bugs!$A$2:$C$73,3,FALSE())&amp;Char(10) &amp; Char(10) &amp; VLOOKUP(A70,Internal_lists_bugs!$A$2:$Z$73,26,FALSE())),"please select a BUG ID")</f>
        <v>https://bugs.launchpad.net/nova/+bug/1443697
/vmwareapi/vmops.py</v>
      </c>
      <c r="C70" s="81" t="str">
        <f>IFERROR(Hyperlink(VLOOKUP(A70,Internal_lists_bugs!$A$2:$G1061,7,FALSE()),"BIC: "&amp;VLOOKUP(A70,Internal_lists_bugs!$A$2:$G1061,7,FALSE())&amp;CHAR(10)&amp;"Intro.Issues: "&amp;VLOOKUP(A70,Internal_lists_bugs!$A$2:$P1061,16,FALSE())),"please select a BUG ID")</f>
        <v>BIC: https://opendev.org/openstack/nova/commit/f3f1a53f
Intro.Issues: 1407438, 1407050, 1402784</v>
      </c>
      <c r="D70" s="100">
        <v>1402784.0</v>
      </c>
      <c r="E70" s="54"/>
      <c r="F70" s="79" t="s">
        <v>4357</v>
      </c>
      <c r="G70" s="93" t="s">
        <v>183</v>
      </c>
      <c r="H70" s="54"/>
      <c r="I70" s="1"/>
    </row>
    <row r="71">
      <c r="A71" s="16" t="s">
        <v>39</v>
      </c>
      <c r="B71" s="77" t="str">
        <f>IFERROR(HYPERLINK(VLOOKUP(A71,Internal_lists_bugs!$A$2:$C$73,3,FALSE()), VLOOKUP(A71,Internal_lists_bugs!$A$2:$C$73,3,FALSE())&amp;Char(10) &amp; Char(10) &amp; VLOOKUP(A71,Internal_lists_bugs!$A$2:$Z$73,26,FALSE())),"please select a BUG ID")</f>
        <v>https://bugs.launchpad.net/nova/+bug/1443697
/vmwareapi/vmops.py</v>
      </c>
      <c r="C71" s="81" t="str">
        <f>IFERROR(Hyperlink(VLOOKUP(A71,Internal_lists_bugs!$A$2:$G1061,7,FALSE()),"BIC: "&amp;VLOOKUP(A71,Internal_lists_bugs!$A$2:$G1061,7,FALSE())&amp;CHAR(10)&amp;"Intro.Issues: "&amp;VLOOKUP(A71,Internal_lists_bugs!$A$2:$P1061,16,FALSE())),"please select a BUG ID")</f>
        <v>BIC: https://opendev.org/openstack/nova/commit/f3f1a53f
Intro.Issues: 1407438, 1407050, 1402784</v>
      </c>
      <c r="D71" s="100">
        <v>1407050.0</v>
      </c>
      <c r="E71" s="16" t="s">
        <v>4280</v>
      </c>
      <c r="F71" s="79" t="s">
        <v>119</v>
      </c>
      <c r="G71" s="93" t="s">
        <v>4358</v>
      </c>
      <c r="H71" s="16" t="s">
        <v>123</v>
      </c>
      <c r="I71" s="1"/>
    </row>
    <row r="72">
      <c r="A72" s="16" t="s">
        <v>39</v>
      </c>
      <c r="B72" s="77" t="str">
        <f>IFERROR(HYPERLINK(VLOOKUP(A72,Internal_lists_bugs!$A$2:$C$73,3,FALSE()), VLOOKUP(A72,Internal_lists_bugs!$A$2:$C$73,3,FALSE())&amp;Char(10) &amp; Char(10) &amp; VLOOKUP(A72,Internal_lists_bugs!$A$2:$Z$73,26,FALSE())),"please select a BUG ID")</f>
        <v>https://bugs.launchpad.net/nova/+bug/1443697
/vmwareapi/vmops.py</v>
      </c>
      <c r="C72" s="81" t="str">
        <f>IFERROR(Hyperlink(VLOOKUP(A72,Internal_lists_bugs!$A$2:$G1061,7,FALSE()),"BIC: "&amp;VLOOKUP(A72,Internal_lists_bugs!$A$2:$G1061,7,FALSE())&amp;CHAR(10)&amp;"Intro.Issues: "&amp;VLOOKUP(A72,Internal_lists_bugs!$A$2:$P1061,16,FALSE())),"please select a BUG ID")</f>
        <v>BIC: https://opendev.org/openstack/nova/commit/f3f1a53f
Intro.Issues: 1407438, 1407050, 1402784</v>
      </c>
      <c r="D72" s="100">
        <v>1407050.0</v>
      </c>
      <c r="E72" s="54"/>
      <c r="F72" s="79" t="s">
        <v>149</v>
      </c>
      <c r="G72" s="93" t="s">
        <v>4359</v>
      </c>
      <c r="H72" s="54"/>
      <c r="I72" s="1"/>
    </row>
    <row r="73">
      <c r="A73" s="16" t="s">
        <v>39</v>
      </c>
      <c r="B73" s="77" t="str">
        <f>IFERROR(HYPERLINK(VLOOKUP(A73,Internal_lists_bugs!$A$2:$C$73,3,FALSE()), VLOOKUP(A73,Internal_lists_bugs!$A$2:$C$73,3,FALSE())&amp;Char(10) &amp; Char(10) &amp; VLOOKUP(A73,Internal_lists_bugs!$A$2:$Z$73,26,FALSE())),"please select a BUG ID")</f>
        <v>https://bugs.launchpad.net/nova/+bug/1443697
/vmwareapi/vmops.py</v>
      </c>
      <c r="C73" s="81" t="str">
        <f>IFERROR(Hyperlink(VLOOKUP(A73,Internal_lists_bugs!$A$2:$G1061,7,FALSE()),"BIC: "&amp;VLOOKUP(A73,Internal_lists_bugs!$A$2:$G1061,7,FALSE())&amp;CHAR(10)&amp;"Intro.Issues: "&amp;VLOOKUP(A73,Internal_lists_bugs!$A$2:$P1061,16,FALSE())),"please select a BUG ID")</f>
        <v>BIC: https://opendev.org/openstack/nova/commit/f3f1a53f
Intro.Issues: 1407438, 1407050, 1402784</v>
      </c>
      <c r="D73" s="100">
        <v>1407050.0</v>
      </c>
      <c r="E73" s="54"/>
      <c r="F73" s="79" t="s">
        <v>119</v>
      </c>
      <c r="G73" s="93" t="s">
        <v>4360</v>
      </c>
      <c r="H73" s="54"/>
      <c r="I73" s="1"/>
    </row>
    <row r="74">
      <c r="A74" s="16" t="s">
        <v>39</v>
      </c>
      <c r="B74" s="77" t="str">
        <f>IFERROR(HYPERLINK(VLOOKUP(A74,Internal_lists_bugs!$A$2:$C$73,3,FALSE()), VLOOKUP(A74,Internal_lists_bugs!$A$2:$C$73,3,FALSE())&amp;Char(10) &amp; Char(10) &amp; VLOOKUP(A74,Internal_lists_bugs!$A$2:$Z$73,26,FALSE())),"please select a BUG ID")</f>
        <v>https://bugs.launchpad.net/nova/+bug/1443697
/vmwareapi/vmops.py</v>
      </c>
      <c r="C74" s="81" t="str">
        <f>IFERROR(Hyperlink(VLOOKUP(A74,Internal_lists_bugs!$A$2:$G1061,7,FALSE()),"BIC: "&amp;VLOOKUP(A74,Internal_lists_bugs!$A$2:$G1061,7,FALSE())&amp;CHAR(10)&amp;"Intro.Issues: "&amp;VLOOKUP(A74,Internal_lists_bugs!$A$2:$P1061,16,FALSE())),"please select a BUG ID")</f>
        <v>BIC: https://opendev.org/openstack/nova/commit/f3f1a53f
Intro.Issues: 1407438, 1407050, 1402784</v>
      </c>
      <c r="D74" s="100">
        <v>1407050.0</v>
      </c>
      <c r="E74" s="54"/>
      <c r="F74" s="79" t="s">
        <v>129</v>
      </c>
      <c r="G74" s="93" t="s">
        <v>204</v>
      </c>
      <c r="H74" s="54"/>
      <c r="I74" s="1"/>
    </row>
    <row r="75">
      <c r="A75" s="16" t="s">
        <v>39</v>
      </c>
      <c r="B75" s="77" t="str">
        <f>IFERROR(HYPERLINK(VLOOKUP(A75,Internal_lists_bugs!$A$2:$C$73,3,FALSE()), VLOOKUP(A75,Internal_lists_bugs!$A$2:$C$73,3,FALSE())&amp;Char(10) &amp; Char(10) &amp; VLOOKUP(A75,Internal_lists_bugs!$A$2:$Z$73,26,FALSE())),"please select a BUG ID")</f>
        <v>https://bugs.launchpad.net/nova/+bug/1443697
/vmwareapi/vmops.py</v>
      </c>
      <c r="C75" s="81" t="str">
        <f>IFERROR(Hyperlink(VLOOKUP(A75,Internal_lists_bugs!$A$2:$G1061,7,FALSE()),"BIC: "&amp;VLOOKUP(A75,Internal_lists_bugs!$A$2:$G1061,7,FALSE())&amp;CHAR(10)&amp;"Intro.Issues: "&amp;VLOOKUP(A75,Internal_lists_bugs!$A$2:$P1061,16,FALSE())),"please select a BUG ID")</f>
        <v>BIC: https://opendev.org/openstack/nova/commit/f3f1a53f
Intro.Issues: 1407438, 1407050, 1402784</v>
      </c>
      <c r="D75" s="100">
        <v>1407050.0</v>
      </c>
      <c r="E75" s="54"/>
      <c r="F75" s="79" t="s">
        <v>235</v>
      </c>
      <c r="G75" s="93" t="s">
        <v>205</v>
      </c>
      <c r="H75" s="54"/>
      <c r="I75" s="1"/>
    </row>
    <row r="76">
      <c r="A76" s="16" t="s">
        <v>39</v>
      </c>
      <c r="B76" s="77" t="str">
        <f>IFERROR(HYPERLINK(VLOOKUP(A76,Internal_lists_bugs!$A$2:$C$73,3,FALSE()), VLOOKUP(A76,Internal_lists_bugs!$A$2:$C$73,3,FALSE())&amp;Char(10) &amp; Char(10) &amp; VLOOKUP(A76,Internal_lists_bugs!$A$2:$Z$73,26,FALSE())),"please select a BUG ID")</f>
        <v>https://bugs.launchpad.net/nova/+bug/1443697
/vmwareapi/vmops.py</v>
      </c>
      <c r="C76" s="81" t="str">
        <f>IFERROR(Hyperlink(VLOOKUP(A76,Internal_lists_bugs!$A$2:$G1061,7,FALSE()),"BIC: "&amp;VLOOKUP(A76,Internal_lists_bugs!$A$2:$G1061,7,FALSE())&amp;CHAR(10)&amp;"Intro.Issues: "&amp;VLOOKUP(A76,Internal_lists_bugs!$A$2:$P1061,16,FALSE())),"please select a BUG ID")</f>
        <v>BIC: https://opendev.org/openstack/nova/commit/f3f1a53f
Intro.Issues: 1407438, 1407050, 1402784</v>
      </c>
      <c r="D76" s="100">
        <v>1407050.0</v>
      </c>
      <c r="E76" s="54"/>
      <c r="F76" s="79" t="s">
        <v>237</v>
      </c>
      <c r="G76" s="93" t="s">
        <v>229</v>
      </c>
      <c r="H76" s="54"/>
      <c r="I76" s="1"/>
    </row>
    <row r="77">
      <c r="A77" s="16" t="s">
        <v>39</v>
      </c>
      <c r="B77" s="77" t="str">
        <f>IFERROR(HYPERLINK(VLOOKUP(A77,Internal_lists_bugs!$A$2:$C$73,3,FALSE()), VLOOKUP(A77,Internal_lists_bugs!$A$2:$C$73,3,FALSE())&amp;Char(10) &amp; Char(10) &amp; VLOOKUP(A77,Internal_lists_bugs!$A$2:$Z$73,26,FALSE())),"please select a BUG ID")</f>
        <v>https://bugs.launchpad.net/nova/+bug/1443697
/vmwareapi/vmops.py</v>
      </c>
      <c r="C77" s="81" t="str">
        <f>IFERROR(Hyperlink(VLOOKUP(A77,Internal_lists_bugs!$A$2:$G1061,7,FALSE()),"BIC: "&amp;VLOOKUP(A77,Internal_lists_bugs!$A$2:$G1061,7,FALSE())&amp;CHAR(10)&amp;"Intro.Issues: "&amp;VLOOKUP(A77,Internal_lists_bugs!$A$2:$P1061,16,FALSE())),"please select a BUG ID")</f>
        <v>BIC: https://opendev.org/openstack/nova/commit/f3f1a53f
Intro.Issues: 1407438, 1407050, 1402784</v>
      </c>
      <c r="D77" s="100">
        <v>1407050.0</v>
      </c>
      <c r="E77" s="54"/>
      <c r="F77" s="79" t="s">
        <v>265</v>
      </c>
      <c r="G77" s="93" t="s">
        <v>216</v>
      </c>
      <c r="H77" s="54"/>
      <c r="I77" s="1"/>
    </row>
    <row r="78">
      <c r="A78" s="16" t="s">
        <v>39</v>
      </c>
      <c r="B78" s="77" t="str">
        <f>IFERROR(HYPERLINK(VLOOKUP(A78,Internal_lists_bugs!$A$2:$C$73,3,FALSE()), VLOOKUP(A78,Internal_lists_bugs!$A$2:$C$73,3,FALSE())&amp;Char(10) &amp; Char(10) &amp; VLOOKUP(A78,Internal_lists_bugs!$A$2:$Z$73,26,FALSE())),"please select a BUG ID")</f>
        <v>https://bugs.launchpad.net/nova/+bug/1443697
/vmwareapi/vmops.py</v>
      </c>
      <c r="C78" s="81" t="str">
        <f>IFERROR(Hyperlink(VLOOKUP(A78,Internal_lists_bugs!$A$2:$G1061,7,FALSE()),"BIC: "&amp;VLOOKUP(A78,Internal_lists_bugs!$A$2:$G1061,7,FALSE())&amp;CHAR(10)&amp;"Intro.Issues: "&amp;VLOOKUP(A78,Internal_lists_bugs!$A$2:$P1061,16,FALSE())),"please select a BUG ID")</f>
        <v>BIC: https://opendev.org/openstack/nova/commit/f3f1a53f
Intro.Issues: 1407438, 1407050, 1402784</v>
      </c>
      <c r="D78" s="100">
        <v>1407050.0</v>
      </c>
      <c r="E78" s="54"/>
      <c r="F78" s="79" t="s">
        <v>4361</v>
      </c>
      <c r="G78" s="93" t="s">
        <v>217</v>
      </c>
      <c r="H78" s="54"/>
      <c r="I78" s="1"/>
    </row>
    <row r="79">
      <c r="A79" s="16" t="s">
        <v>39</v>
      </c>
      <c r="B79" s="77" t="str">
        <f>IFERROR(HYPERLINK(VLOOKUP(A79,Internal_lists_bugs!$A$2:$C$73,3,FALSE()), VLOOKUP(A79,Internal_lists_bugs!$A$2:$C$73,3,FALSE())&amp;Char(10) &amp; Char(10) &amp; VLOOKUP(A79,Internal_lists_bugs!$A$2:$Z$73,26,FALSE())),"please select a BUG ID")</f>
        <v>https://bugs.launchpad.net/nova/+bug/1443697
/vmwareapi/vmops.py</v>
      </c>
      <c r="C79" s="81" t="str">
        <f>IFERROR(Hyperlink(VLOOKUP(A79,Internal_lists_bugs!$A$2:$G1061,7,FALSE()),"BIC: "&amp;VLOOKUP(A79,Internal_lists_bugs!$A$2:$G1061,7,FALSE())&amp;CHAR(10)&amp;"Intro.Issues: "&amp;VLOOKUP(A79,Internal_lists_bugs!$A$2:$P1061,16,FALSE())),"please select a BUG ID")</f>
        <v>BIC: https://opendev.org/openstack/nova/commit/f3f1a53f
Intro.Issues: 1407438, 1407050, 1402784</v>
      </c>
      <c r="D79" s="100">
        <v>1407050.0</v>
      </c>
      <c r="E79" s="54"/>
      <c r="F79" s="79" t="s">
        <v>292</v>
      </c>
      <c r="G79" s="93" t="s">
        <v>217</v>
      </c>
      <c r="H79" s="54"/>
      <c r="I79" s="1"/>
    </row>
    <row r="80">
      <c r="A80" s="16" t="s">
        <v>39</v>
      </c>
      <c r="B80" s="77" t="str">
        <f>IFERROR(HYPERLINK(VLOOKUP(A80,Internal_lists_bugs!$A$2:$C$73,3,FALSE()), VLOOKUP(A80,Internal_lists_bugs!$A$2:$C$73,3,FALSE())&amp;Char(10) &amp; Char(10) &amp; VLOOKUP(A80,Internal_lists_bugs!$A$2:$Z$73,26,FALSE())),"please select a BUG ID")</f>
        <v>https://bugs.launchpad.net/nova/+bug/1443697
/vmwareapi/vmops.py</v>
      </c>
      <c r="C80" s="81" t="str">
        <f>IFERROR(Hyperlink(VLOOKUP(A80,Internal_lists_bugs!$A$2:$G1061,7,FALSE()),"BIC: "&amp;VLOOKUP(A80,Internal_lists_bugs!$A$2:$G1061,7,FALSE())&amp;CHAR(10)&amp;"Intro.Issues: "&amp;VLOOKUP(A80,Internal_lists_bugs!$A$2:$P1061,16,FALSE())),"please select a BUG ID")</f>
        <v>BIC: https://opendev.org/openstack/nova/commit/f3f1a53f
Intro.Issues: 1407438, 1407050, 1402784</v>
      </c>
      <c r="D80" s="100">
        <v>1407050.0</v>
      </c>
      <c r="E80" s="54"/>
      <c r="F80" s="79" t="s">
        <v>1292</v>
      </c>
      <c r="G80" s="93" t="s">
        <v>183</v>
      </c>
      <c r="H80" s="54"/>
      <c r="I80" s="1"/>
    </row>
    <row r="81">
      <c r="A81" s="16" t="s">
        <v>39</v>
      </c>
      <c r="B81" s="77" t="str">
        <f>IFERROR(HYPERLINK(VLOOKUP(A81,Internal_lists_bugs!$A$2:$C$73,3,FALSE()), VLOOKUP(A81,Internal_lists_bugs!$A$2:$C$73,3,FALSE())&amp;Char(10) &amp; Char(10) &amp; VLOOKUP(A81,Internal_lists_bugs!$A$2:$Z$73,26,FALSE())),"please select a BUG ID")</f>
        <v>https://bugs.launchpad.net/nova/+bug/1443697
/vmwareapi/vmops.py</v>
      </c>
      <c r="C81" s="81" t="str">
        <f>IFERROR(Hyperlink(VLOOKUP(A81,Internal_lists_bugs!$A$2:$G1061,7,FALSE()),"BIC: "&amp;VLOOKUP(A81,Internal_lists_bugs!$A$2:$G1061,7,FALSE())&amp;CHAR(10)&amp;"Intro.Issues: "&amp;VLOOKUP(A81,Internal_lists_bugs!$A$2:$P1061,16,FALSE())),"please select a BUG ID")</f>
        <v>BIC: https://opendev.org/openstack/nova/commit/f3f1a53f
Intro.Issues: 1407438, 1407050, 1402784</v>
      </c>
      <c r="D81" s="100">
        <v>1407050.0</v>
      </c>
      <c r="E81" s="54"/>
      <c r="F81" s="79" t="s">
        <v>265</v>
      </c>
      <c r="G81" s="93" t="s">
        <v>185</v>
      </c>
      <c r="H81" s="54"/>
      <c r="I81" s="1"/>
    </row>
    <row r="82">
      <c r="A82" s="16" t="s">
        <v>39</v>
      </c>
      <c r="B82" s="77" t="str">
        <f>IFERROR(HYPERLINK(VLOOKUP(A82,Internal_lists_bugs!$A$2:$C$73,3,FALSE()), VLOOKUP(A82,Internal_lists_bugs!$A$2:$C$73,3,FALSE())&amp;Char(10) &amp; Char(10) &amp; VLOOKUP(A82,Internal_lists_bugs!$A$2:$Z$73,26,FALSE())),"please select a BUG ID")</f>
        <v>https://bugs.launchpad.net/nova/+bug/1443697
/vmwareapi/vmops.py</v>
      </c>
      <c r="C82" s="81" t="str">
        <f>IFERROR(Hyperlink(VLOOKUP(A82,Internal_lists_bugs!$A$2:$G1061,7,FALSE()),"BIC: "&amp;VLOOKUP(A82,Internal_lists_bugs!$A$2:$G1061,7,FALSE())&amp;CHAR(10)&amp;"Intro.Issues: "&amp;VLOOKUP(A82,Internal_lists_bugs!$A$2:$P1061,16,FALSE())),"please select a BUG ID")</f>
        <v>BIC: https://opendev.org/openstack/nova/commit/f3f1a53f
Intro.Issues: 1407438, 1407050, 1402784</v>
      </c>
      <c r="D82" s="100">
        <v>1407050.0</v>
      </c>
      <c r="E82" s="54"/>
      <c r="F82" s="79" t="s">
        <v>4362</v>
      </c>
      <c r="G82" s="93" t="s">
        <v>187</v>
      </c>
      <c r="H82" s="54"/>
      <c r="I82" s="1"/>
    </row>
    <row r="83">
      <c r="A83" s="16" t="s">
        <v>39</v>
      </c>
      <c r="B83" s="77" t="str">
        <f>IFERROR(HYPERLINK(VLOOKUP(A83,Internal_lists_bugs!$A$2:$C$73,3,FALSE()), VLOOKUP(A83,Internal_lists_bugs!$A$2:$C$73,3,FALSE())&amp;Char(10) &amp; Char(10) &amp; VLOOKUP(A83,Internal_lists_bugs!$A$2:$Z$73,26,FALSE())),"please select a BUG ID")</f>
        <v>https://bugs.launchpad.net/nova/+bug/1443697
/vmwareapi/vmops.py</v>
      </c>
      <c r="C83" s="81" t="str">
        <f>IFERROR(Hyperlink(VLOOKUP(A83,Internal_lists_bugs!$A$2:$G1061,7,FALSE()),"BIC: "&amp;VLOOKUP(A83,Internal_lists_bugs!$A$2:$G1061,7,FALSE())&amp;CHAR(10)&amp;"Intro.Issues: "&amp;VLOOKUP(A83,Internal_lists_bugs!$A$2:$P1061,16,FALSE())),"please select a BUG ID")</f>
        <v>BIC: https://opendev.org/openstack/nova/commit/f3f1a53f
Intro.Issues: 1407438, 1407050, 1402784</v>
      </c>
      <c r="D83" s="100">
        <v>1407050.0</v>
      </c>
      <c r="E83" s="54"/>
      <c r="F83" s="79" t="s">
        <v>4363</v>
      </c>
      <c r="G83" s="93" t="s">
        <v>189</v>
      </c>
      <c r="H83" s="54"/>
      <c r="I83" s="1"/>
    </row>
    <row r="84">
      <c r="A84" s="16" t="s">
        <v>39</v>
      </c>
      <c r="B84" s="77" t="str">
        <f>IFERROR(HYPERLINK(VLOOKUP(A84,Internal_lists_bugs!$A$2:$C$73,3,FALSE()), VLOOKUP(A84,Internal_lists_bugs!$A$2:$C$73,3,FALSE())&amp;Char(10) &amp; Char(10) &amp; VLOOKUP(A84,Internal_lists_bugs!$A$2:$Z$73,26,FALSE())),"please select a BUG ID")</f>
        <v>https://bugs.launchpad.net/nova/+bug/1443697
/vmwareapi/vmops.py</v>
      </c>
      <c r="C84" s="81" t="str">
        <f>IFERROR(Hyperlink(VLOOKUP(A84,Internal_lists_bugs!$A$2:$G1061,7,FALSE()),"BIC: "&amp;VLOOKUP(A84,Internal_lists_bugs!$A$2:$G1061,7,FALSE())&amp;CHAR(10)&amp;"Intro.Issues: "&amp;VLOOKUP(A84,Internal_lists_bugs!$A$2:$P1061,16,FALSE())),"please select a BUG ID")</f>
        <v>BIC: https://opendev.org/openstack/nova/commit/f3f1a53f
Intro.Issues: 1407438, 1407050, 1402784</v>
      </c>
      <c r="D84" s="100">
        <v>1407438.0</v>
      </c>
      <c r="E84" s="16" t="s">
        <v>4280</v>
      </c>
      <c r="F84" s="79" t="s">
        <v>119</v>
      </c>
      <c r="G84" s="93" t="s">
        <v>4364</v>
      </c>
      <c r="H84" s="16" t="s">
        <v>123</v>
      </c>
      <c r="I84" s="1"/>
    </row>
    <row r="85">
      <c r="A85" s="16" t="s">
        <v>39</v>
      </c>
      <c r="B85" s="77" t="str">
        <f>IFERROR(HYPERLINK(VLOOKUP(A85,Internal_lists_bugs!$A$2:$C$73,3,FALSE()), VLOOKUP(A85,Internal_lists_bugs!$A$2:$C$73,3,FALSE())&amp;Char(10) &amp; Char(10) &amp; VLOOKUP(A85,Internal_lists_bugs!$A$2:$Z$73,26,FALSE())),"please select a BUG ID")</f>
        <v>https://bugs.launchpad.net/nova/+bug/1443697
/vmwareapi/vmops.py</v>
      </c>
      <c r="C85" s="81" t="str">
        <f>IFERROR(Hyperlink(VLOOKUP(A85,Internal_lists_bugs!$A$2:$G1061,7,FALSE()),"BIC: "&amp;VLOOKUP(A85,Internal_lists_bugs!$A$2:$G1061,7,FALSE())&amp;CHAR(10)&amp;"Intro.Issues: "&amp;VLOOKUP(A85,Internal_lists_bugs!$A$2:$P1061,16,FALSE())),"please select a BUG ID")</f>
        <v>BIC: https://opendev.org/openstack/nova/commit/f3f1a53f
Intro.Issues: 1407438, 1407050, 1402784</v>
      </c>
      <c r="D85" s="100">
        <v>1407438.0</v>
      </c>
      <c r="E85" s="54"/>
      <c r="F85" s="79" t="s">
        <v>149</v>
      </c>
      <c r="G85" s="93" t="s">
        <v>4365</v>
      </c>
      <c r="H85" s="54"/>
      <c r="I85" s="1"/>
    </row>
    <row r="86">
      <c r="A86" s="16" t="s">
        <v>39</v>
      </c>
      <c r="B86" s="77" t="str">
        <f>IFERROR(HYPERLINK(VLOOKUP(A86,Internal_lists_bugs!$A$2:$C$73,3,FALSE()), VLOOKUP(A86,Internal_lists_bugs!$A$2:$C$73,3,FALSE())&amp;Char(10) &amp; Char(10) &amp; VLOOKUP(A86,Internal_lists_bugs!$A$2:$Z$73,26,FALSE())),"please select a BUG ID")</f>
        <v>https://bugs.launchpad.net/nova/+bug/1443697
/vmwareapi/vmops.py</v>
      </c>
      <c r="C86" s="81" t="str">
        <f>IFERROR(Hyperlink(VLOOKUP(A86,Internal_lists_bugs!$A$2:$G1061,7,FALSE()),"BIC: "&amp;VLOOKUP(A86,Internal_lists_bugs!$A$2:$G1061,7,FALSE())&amp;CHAR(10)&amp;"Intro.Issues: "&amp;VLOOKUP(A86,Internal_lists_bugs!$A$2:$P1061,16,FALSE())),"please select a BUG ID")</f>
        <v>BIC: https://opendev.org/openstack/nova/commit/f3f1a53f
Intro.Issues: 1407438, 1407050, 1402784</v>
      </c>
      <c r="D86" s="100">
        <v>1407438.0</v>
      </c>
      <c r="E86" s="54"/>
      <c r="F86" s="79" t="s">
        <v>119</v>
      </c>
      <c r="G86" s="93" t="s">
        <v>4366</v>
      </c>
      <c r="H86" s="54"/>
      <c r="I86" s="1"/>
    </row>
    <row r="87">
      <c r="A87" s="16" t="s">
        <v>39</v>
      </c>
      <c r="B87" s="77" t="str">
        <f>IFERROR(HYPERLINK(VLOOKUP(A87,Internal_lists_bugs!$A$2:$C$73,3,FALSE()), VLOOKUP(A87,Internal_lists_bugs!$A$2:$C$73,3,FALSE())&amp;Char(10) &amp; Char(10) &amp; VLOOKUP(A87,Internal_lists_bugs!$A$2:$Z$73,26,FALSE())),"please select a BUG ID")</f>
        <v>https://bugs.launchpad.net/nova/+bug/1443697
/vmwareapi/vmops.py</v>
      </c>
      <c r="C87" s="81" t="str">
        <f>IFERROR(Hyperlink(VLOOKUP(A87,Internal_lists_bugs!$A$2:$G1061,7,FALSE()),"BIC: "&amp;VLOOKUP(A87,Internal_lists_bugs!$A$2:$G1061,7,FALSE())&amp;CHAR(10)&amp;"Intro.Issues: "&amp;VLOOKUP(A87,Internal_lists_bugs!$A$2:$P1061,16,FALSE())),"please select a BUG ID")</f>
        <v>BIC: https://opendev.org/openstack/nova/commit/f3f1a53f
Intro.Issues: 1407438, 1407050, 1402784</v>
      </c>
      <c r="D87" s="100">
        <v>1407438.0</v>
      </c>
      <c r="E87" s="54"/>
      <c r="F87" s="79" t="s">
        <v>129</v>
      </c>
      <c r="G87" s="93" t="s">
        <v>204</v>
      </c>
      <c r="H87" s="54"/>
      <c r="I87" s="1"/>
    </row>
    <row r="88">
      <c r="A88" s="16" t="s">
        <v>39</v>
      </c>
      <c r="B88" s="77" t="str">
        <f>IFERROR(HYPERLINK(VLOOKUP(A88,Internal_lists_bugs!$A$2:$C$73,3,FALSE()), VLOOKUP(A88,Internal_lists_bugs!$A$2:$C$73,3,FALSE())&amp;Char(10) &amp; Char(10) &amp; VLOOKUP(A88,Internal_lists_bugs!$A$2:$Z$73,26,FALSE())),"please select a BUG ID")</f>
        <v>https://bugs.launchpad.net/nova/+bug/1443697
/vmwareapi/vmops.py</v>
      </c>
      <c r="C88" s="81" t="str">
        <f>IFERROR(Hyperlink(VLOOKUP(A88,Internal_lists_bugs!$A$2:$G1061,7,FALSE()),"BIC: "&amp;VLOOKUP(A88,Internal_lists_bugs!$A$2:$G1061,7,FALSE())&amp;CHAR(10)&amp;"Intro.Issues: "&amp;VLOOKUP(A88,Internal_lists_bugs!$A$2:$P1061,16,FALSE())),"please select a BUG ID")</f>
        <v>BIC: https://opendev.org/openstack/nova/commit/f3f1a53f
Intro.Issues: 1407438, 1407050, 1402784</v>
      </c>
      <c r="D88" s="100">
        <v>1407438.0</v>
      </c>
      <c r="E88" s="54"/>
      <c r="F88" s="79" t="s">
        <v>235</v>
      </c>
      <c r="G88" s="93" t="s">
        <v>205</v>
      </c>
      <c r="H88" s="54"/>
      <c r="I88" s="1"/>
    </row>
    <row r="89">
      <c r="A89" s="16" t="s">
        <v>39</v>
      </c>
      <c r="B89" s="77" t="str">
        <f>IFERROR(HYPERLINK(VLOOKUP(A89,Internal_lists_bugs!$A$2:$C$73,3,FALSE()), VLOOKUP(A89,Internal_lists_bugs!$A$2:$C$73,3,FALSE())&amp;Char(10) &amp; Char(10) &amp; VLOOKUP(A89,Internal_lists_bugs!$A$2:$Z$73,26,FALSE())),"please select a BUG ID")</f>
        <v>https://bugs.launchpad.net/nova/+bug/1443697
/vmwareapi/vmops.py</v>
      </c>
      <c r="C89" s="81" t="str">
        <f>IFERROR(Hyperlink(VLOOKUP(A89,Internal_lists_bugs!$A$2:$G1061,7,FALSE()),"BIC: "&amp;VLOOKUP(A89,Internal_lists_bugs!$A$2:$G1061,7,FALSE())&amp;CHAR(10)&amp;"Intro.Issues: "&amp;VLOOKUP(A89,Internal_lists_bugs!$A$2:$P1061,16,FALSE())),"please select a BUG ID")</f>
        <v>BIC: https://opendev.org/openstack/nova/commit/f3f1a53f
Intro.Issues: 1407438, 1407050, 1402784</v>
      </c>
      <c r="D89" s="100">
        <v>1407438.0</v>
      </c>
      <c r="E89" s="54"/>
      <c r="F89" s="79" t="s">
        <v>236</v>
      </c>
      <c r="G89" s="93" t="s">
        <v>229</v>
      </c>
      <c r="H89" s="54"/>
      <c r="I89" s="1"/>
    </row>
    <row r="90">
      <c r="A90" s="16" t="s">
        <v>39</v>
      </c>
      <c r="B90" s="77" t="str">
        <f>IFERROR(HYPERLINK(VLOOKUP(A90,Internal_lists_bugs!$A$2:$C$73,3,FALSE()), VLOOKUP(A90,Internal_lists_bugs!$A$2:$C$73,3,FALSE())&amp;Char(10) &amp; Char(10) &amp; VLOOKUP(A90,Internal_lists_bugs!$A$2:$Z$73,26,FALSE())),"please select a BUG ID")</f>
        <v>https://bugs.launchpad.net/nova/+bug/1443697
/vmwareapi/vmops.py</v>
      </c>
      <c r="C90" s="81" t="str">
        <f>IFERROR(Hyperlink(VLOOKUP(A90,Internal_lists_bugs!$A$2:$G1061,7,FALSE()),"BIC: "&amp;VLOOKUP(A90,Internal_lists_bugs!$A$2:$G1061,7,FALSE())&amp;CHAR(10)&amp;"Intro.Issues: "&amp;VLOOKUP(A90,Internal_lists_bugs!$A$2:$P1061,16,FALSE())),"please select a BUG ID")</f>
        <v>BIC: https://opendev.org/openstack/nova/commit/f3f1a53f
Intro.Issues: 1407438, 1407050, 1402784</v>
      </c>
      <c r="D90" s="100">
        <v>1407438.0</v>
      </c>
      <c r="E90" s="54"/>
      <c r="F90" s="79" t="s">
        <v>4367</v>
      </c>
      <c r="G90" s="93" t="s">
        <v>229</v>
      </c>
      <c r="H90" s="54"/>
      <c r="I90" s="1"/>
    </row>
    <row r="91">
      <c r="A91" s="16" t="s">
        <v>39</v>
      </c>
      <c r="B91" s="77" t="str">
        <f>IFERROR(HYPERLINK(VLOOKUP(A91,Internal_lists_bugs!$A$2:$C$73,3,FALSE()), VLOOKUP(A91,Internal_lists_bugs!$A$2:$C$73,3,FALSE())&amp;Char(10) &amp; Char(10) &amp; VLOOKUP(A91,Internal_lists_bugs!$A$2:$Z$73,26,FALSE())),"please select a BUG ID")</f>
        <v>https://bugs.launchpad.net/nova/+bug/1443697
/vmwareapi/vmops.py</v>
      </c>
      <c r="C91" s="81" t="str">
        <f>IFERROR(Hyperlink(VLOOKUP(A91,Internal_lists_bugs!$A$2:$G1061,7,FALSE()),"BIC: "&amp;VLOOKUP(A91,Internal_lists_bugs!$A$2:$G1061,7,FALSE())&amp;CHAR(10)&amp;"Intro.Issues: "&amp;VLOOKUP(A91,Internal_lists_bugs!$A$2:$P1061,16,FALSE())),"please select a BUG ID")</f>
        <v>BIC: https://opendev.org/openstack/nova/commit/f3f1a53f
Intro.Issues: 1407438, 1407050, 1402784</v>
      </c>
      <c r="D91" s="100">
        <v>1407438.0</v>
      </c>
      <c r="E91" s="54"/>
      <c r="F91" s="79" t="s">
        <v>235</v>
      </c>
      <c r="G91" s="93" t="s">
        <v>216</v>
      </c>
      <c r="H91" s="54"/>
      <c r="I91" s="1"/>
    </row>
    <row r="92">
      <c r="A92" s="16" t="s">
        <v>39</v>
      </c>
      <c r="B92" s="77" t="str">
        <f>IFERROR(HYPERLINK(VLOOKUP(A92,Internal_lists_bugs!$A$2:$C$73,3,FALSE()), VLOOKUP(A92,Internal_lists_bugs!$A$2:$C$73,3,FALSE())&amp;Char(10) &amp; Char(10) &amp; VLOOKUP(A92,Internal_lists_bugs!$A$2:$Z$73,26,FALSE())),"please select a BUG ID")</f>
        <v>https://bugs.launchpad.net/nova/+bug/1443697
/vmwareapi/vmops.py</v>
      </c>
      <c r="C92" s="81" t="str">
        <f>IFERROR(Hyperlink(VLOOKUP(A92,Internal_lists_bugs!$A$2:$G1061,7,FALSE()),"BIC: "&amp;VLOOKUP(A92,Internal_lists_bugs!$A$2:$G1061,7,FALSE())&amp;CHAR(10)&amp;"Intro.Issues: "&amp;VLOOKUP(A92,Internal_lists_bugs!$A$2:$P1061,16,FALSE())),"please select a BUG ID")</f>
        <v>BIC: https://opendev.org/openstack/nova/commit/f3f1a53f
Intro.Issues: 1407438, 1407050, 1402784</v>
      </c>
      <c r="D92" s="100">
        <v>1407438.0</v>
      </c>
      <c r="E92" s="54"/>
      <c r="F92" s="79" t="s">
        <v>4368</v>
      </c>
      <c r="G92" s="93" t="s">
        <v>217</v>
      </c>
      <c r="H92" s="54"/>
      <c r="I92" s="1"/>
    </row>
    <row r="93">
      <c r="A93" s="16" t="s">
        <v>40</v>
      </c>
      <c r="B93" s="77" t="str">
        <f>IFERROR(HYPERLINK(VLOOKUP(A93,Internal_lists_bugs!$A$2:$C$73,3,FALSE()), VLOOKUP(A93,Internal_lists_bugs!$A$2:$C$73,3,FALSE())&amp;Char(10) &amp; Char(10) &amp; VLOOKUP(A93,Internal_lists_bugs!$A$2:$Z$73,26,FALSE())),"please select a BUG ID")</f>
        <v>https://bugs.launchpad.net/nova/+bug/1300788
/vmwareapi/vmops.py</v>
      </c>
      <c r="C93" s="81" t="str">
        <f>IFERROR(Hyperlink(VLOOKUP(A93,Internal_lists_bugs!$A$2:$G1061,7,FALSE()),"BIC: "&amp;VLOOKUP(A93,Internal_lists_bugs!$A$2:$G1061,7,FALSE())&amp;CHAR(10)&amp;"Intro.Issues: "&amp;VLOOKUP(A93,Internal_lists_bugs!$A$2:$P1061,16,FALSE())),"please select a BUG ID")</f>
        <v>BIC: https://opendev.org/openstack/nova/commit/e517e5668ab
Intro.Issues: 1186944</v>
      </c>
      <c r="D93" s="100">
        <v>1186944.0</v>
      </c>
      <c r="E93" s="16" t="s">
        <v>4280</v>
      </c>
      <c r="F93" s="79" t="s">
        <v>4369</v>
      </c>
      <c r="G93" s="93" t="s">
        <v>4370</v>
      </c>
      <c r="H93" s="16" t="s">
        <v>123</v>
      </c>
      <c r="I93" s="1"/>
    </row>
    <row r="94">
      <c r="A94" s="16" t="s">
        <v>40</v>
      </c>
      <c r="B94" s="77" t="str">
        <f>IFERROR(HYPERLINK(VLOOKUP(A94,Internal_lists_bugs!$A$2:$C$73,3,FALSE()), VLOOKUP(A94,Internal_lists_bugs!$A$2:$C$73,3,FALSE())&amp;Char(10) &amp; Char(10) &amp; VLOOKUP(A94,Internal_lists_bugs!$A$2:$Z$73,26,FALSE())),"please select a BUG ID")</f>
        <v>https://bugs.launchpad.net/nova/+bug/1300788
/vmwareapi/vmops.py</v>
      </c>
      <c r="C94" s="81" t="str">
        <f>IFERROR(Hyperlink(VLOOKUP(A94,Internal_lists_bugs!$A$2:$G1061,7,FALSE()),"BIC: "&amp;VLOOKUP(A94,Internal_lists_bugs!$A$2:$G1061,7,FALSE())&amp;CHAR(10)&amp;"Intro.Issues: "&amp;VLOOKUP(A94,Internal_lists_bugs!$A$2:$P1061,16,FALSE())),"please select a BUG ID")</f>
        <v>BIC: https://opendev.org/openstack/nova/commit/e517e5668ab
Intro.Issues: 1186944</v>
      </c>
      <c r="D94" s="100">
        <v>1186944.0</v>
      </c>
      <c r="E94" s="54"/>
      <c r="F94" s="79" t="s">
        <v>119</v>
      </c>
      <c r="G94" s="93" t="s">
        <v>4371</v>
      </c>
      <c r="H94" s="54"/>
      <c r="I94" s="1"/>
      <c r="K94" s="54"/>
    </row>
    <row r="95">
      <c r="A95" s="16" t="s">
        <v>40</v>
      </c>
      <c r="B95" s="77" t="str">
        <f>IFERROR(HYPERLINK(VLOOKUP(A95,Internal_lists_bugs!$A$2:$C$73,3,FALSE()), VLOOKUP(A95,Internal_lists_bugs!$A$2:$C$73,3,FALSE())&amp;Char(10) &amp; Char(10) &amp; VLOOKUP(A95,Internal_lists_bugs!$A$2:$Z$73,26,FALSE())),"please select a BUG ID")</f>
        <v>https://bugs.launchpad.net/nova/+bug/1300788
/vmwareapi/vmops.py</v>
      </c>
      <c r="C95" s="81" t="str">
        <f>IFERROR(Hyperlink(VLOOKUP(A95,Internal_lists_bugs!$A$2:$G1061,7,FALSE()),"BIC: "&amp;VLOOKUP(A95,Internal_lists_bugs!$A$2:$G1061,7,FALSE())&amp;CHAR(10)&amp;"Intro.Issues: "&amp;VLOOKUP(A95,Internal_lists_bugs!$A$2:$P1061,16,FALSE())),"please select a BUG ID")</f>
        <v>BIC: https://opendev.org/openstack/nova/commit/e517e5668ab
Intro.Issues: 1186944</v>
      </c>
      <c r="D95" s="100">
        <v>1186944.0</v>
      </c>
      <c r="E95" s="54"/>
      <c r="F95" s="79" t="s">
        <v>4372</v>
      </c>
      <c r="G95" s="93" t="s">
        <v>4373</v>
      </c>
      <c r="H95" s="54"/>
      <c r="I95" s="1"/>
      <c r="K95" s="54"/>
    </row>
    <row r="96">
      <c r="A96" s="16" t="s">
        <v>40</v>
      </c>
      <c r="B96" s="77" t="str">
        <f>IFERROR(HYPERLINK(VLOOKUP(A96,Internal_lists_bugs!$A$2:$C$73,3,FALSE()), VLOOKUP(A96,Internal_lists_bugs!$A$2:$C$73,3,FALSE())&amp;Char(10) &amp; Char(10) &amp; VLOOKUP(A96,Internal_lists_bugs!$A$2:$Z$73,26,FALSE())),"please select a BUG ID")</f>
        <v>https://bugs.launchpad.net/nova/+bug/1300788
/vmwareapi/vmops.py</v>
      </c>
      <c r="C96" s="81" t="str">
        <f>IFERROR(Hyperlink(VLOOKUP(A96,Internal_lists_bugs!$A$2:$G1061,7,FALSE()),"BIC: "&amp;VLOOKUP(A96,Internal_lists_bugs!$A$2:$G1061,7,FALSE())&amp;CHAR(10)&amp;"Intro.Issues: "&amp;VLOOKUP(A96,Internal_lists_bugs!$A$2:$P1061,16,FALSE())),"please select a BUG ID")</f>
        <v>BIC: https://opendev.org/openstack/nova/commit/e517e5668ab
Intro.Issues: 1186944</v>
      </c>
      <c r="D96" s="100">
        <v>1186944.0</v>
      </c>
      <c r="E96" s="54"/>
      <c r="F96" s="79" t="s">
        <v>129</v>
      </c>
      <c r="G96" s="93" t="s">
        <v>205</v>
      </c>
      <c r="H96" s="54"/>
      <c r="I96" s="1"/>
      <c r="K96" s="54"/>
    </row>
    <row r="97">
      <c r="A97" s="16" t="s">
        <v>40</v>
      </c>
      <c r="B97" s="77" t="str">
        <f>IFERROR(HYPERLINK(VLOOKUP(A97,Internal_lists_bugs!$A$2:$C$73,3,FALSE()), VLOOKUP(A97,Internal_lists_bugs!$A$2:$C$73,3,FALSE())&amp;Char(10) &amp; Char(10) &amp; VLOOKUP(A97,Internal_lists_bugs!$A$2:$Z$73,26,FALSE())),"please select a BUG ID")</f>
        <v>https://bugs.launchpad.net/nova/+bug/1300788
/vmwareapi/vmops.py</v>
      </c>
      <c r="C97" s="81" t="str">
        <f>IFERROR(Hyperlink(VLOOKUP(A97,Internal_lists_bugs!$A$2:$G1061,7,FALSE()),"BIC: "&amp;VLOOKUP(A97,Internal_lists_bugs!$A$2:$G1061,7,FALSE())&amp;CHAR(10)&amp;"Intro.Issues: "&amp;VLOOKUP(A97,Internal_lists_bugs!$A$2:$P1061,16,FALSE())),"please select a BUG ID")</f>
        <v>BIC: https://opendev.org/openstack/nova/commit/e517e5668ab
Intro.Issues: 1186944</v>
      </c>
      <c r="D97" s="100">
        <v>1186944.0</v>
      </c>
      <c r="E97" s="54"/>
      <c r="F97" s="79" t="s">
        <v>4374</v>
      </c>
      <c r="G97" s="93" t="s">
        <v>4375</v>
      </c>
      <c r="H97" s="54"/>
      <c r="I97" s="1"/>
      <c r="K97" s="54"/>
    </row>
    <row r="98">
      <c r="A98" s="16" t="s">
        <v>40</v>
      </c>
      <c r="B98" s="77" t="str">
        <f>IFERROR(HYPERLINK(VLOOKUP(A98,Internal_lists_bugs!$A$2:$C$73,3,FALSE()), VLOOKUP(A98,Internal_lists_bugs!$A$2:$C$73,3,FALSE())&amp;Char(10) &amp; Char(10) &amp; VLOOKUP(A98,Internal_lists_bugs!$A$2:$Z$73,26,FALSE())),"please select a BUG ID")</f>
        <v>https://bugs.launchpad.net/nova/+bug/1300788
/vmwareapi/vmops.py</v>
      </c>
      <c r="C98" s="81" t="str">
        <f>IFERROR(Hyperlink(VLOOKUP(A98,Internal_lists_bugs!$A$2:$G1061,7,FALSE()),"BIC: "&amp;VLOOKUP(A98,Internal_lists_bugs!$A$2:$G1061,7,FALSE())&amp;CHAR(10)&amp;"Intro.Issues: "&amp;VLOOKUP(A98,Internal_lists_bugs!$A$2:$P1061,16,FALSE())),"please select a BUG ID")</f>
        <v>BIC: https://opendev.org/openstack/nova/commit/e517e5668ab
Intro.Issues: 1186944</v>
      </c>
      <c r="D98" s="100">
        <v>1186944.0</v>
      </c>
      <c r="E98" s="54"/>
      <c r="F98" s="79" t="s">
        <v>4376</v>
      </c>
      <c r="G98" s="93" t="s">
        <v>4377</v>
      </c>
      <c r="H98" s="54"/>
      <c r="I98" s="1"/>
      <c r="K98" s="54"/>
    </row>
    <row r="99">
      <c r="A99" s="16" t="s">
        <v>40</v>
      </c>
      <c r="B99" s="77" t="str">
        <f>IFERROR(HYPERLINK(VLOOKUP(A99,Internal_lists_bugs!$A$2:$C$73,3,FALSE()), VLOOKUP(A99,Internal_lists_bugs!$A$2:$C$73,3,FALSE())&amp;Char(10) &amp; Char(10) &amp; VLOOKUP(A99,Internal_lists_bugs!$A$2:$Z$73,26,FALSE())),"please select a BUG ID")</f>
        <v>https://bugs.launchpad.net/nova/+bug/1300788
/vmwareapi/vmops.py</v>
      </c>
      <c r="C99" s="81" t="str">
        <f>IFERROR(Hyperlink(VLOOKUP(A99,Internal_lists_bugs!$A$2:$G1061,7,FALSE()),"BIC: "&amp;VLOOKUP(A99,Internal_lists_bugs!$A$2:$G1061,7,FALSE())&amp;CHAR(10)&amp;"Intro.Issues: "&amp;VLOOKUP(A99,Internal_lists_bugs!$A$2:$P1061,16,FALSE())),"please select a BUG ID")</f>
        <v>BIC: https://opendev.org/openstack/nova/commit/e517e5668ab
Intro.Issues: 1186944</v>
      </c>
      <c r="D99" s="100">
        <v>1186944.0</v>
      </c>
      <c r="E99" s="54"/>
      <c r="F99" s="79" t="s">
        <v>1292</v>
      </c>
      <c r="G99" s="93" t="s">
        <v>216</v>
      </c>
      <c r="H99" s="54"/>
      <c r="I99" s="1"/>
      <c r="K99" s="54"/>
    </row>
    <row r="100">
      <c r="A100" s="16" t="s">
        <v>40</v>
      </c>
      <c r="B100" s="77" t="str">
        <f>IFERROR(HYPERLINK(VLOOKUP(A100,Internal_lists_bugs!$A$2:$C$73,3,FALSE()), VLOOKUP(A100,Internal_lists_bugs!$A$2:$C$73,3,FALSE())&amp;Char(10) &amp; Char(10) &amp; VLOOKUP(A100,Internal_lists_bugs!$A$2:$Z$73,26,FALSE())),"please select a BUG ID")</f>
        <v>https://bugs.launchpad.net/nova/+bug/1300788
/vmwareapi/vmops.py</v>
      </c>
      <c r="C100" s="81" t="str">
        <f>IFERROR(Hyperlink(VLOOKUP(A100,Internal_lists_bugs!$A$2:$G1061,7,FALSE()),"BIC: "&amp;VLOOKUP(A100,Internal_lists_bugs!$A$2:$G1061,7,FALSE())&amp;CHAR(10)&amp;"Intro.Issues: "&amp;VLOOKUP(A100,Internal_lists_bugs!$A$2:$P1061,16,FALSE())),"please select a BUG ID")</f>
        <v>BIC: https://opendev.org/openstack/nova/commit/e517e5668ab
Intro.Issues: 1186944</v>
      </c>
      <c r="D100" s="100">
        <v>1186944.0</v>
      </c>
      <c r="E100" s="54"/>
      <c r="F100" s="79" t="s">
        <v>4378</v>
      </c>
      <c r="G100" s="93" t="s">
        <v>217</v>
      </c>
      <c r="H100" s="54"/>
      <c r="I100" s="1"/>
      <c r="K100" s="54"/>
    </row>
    <row r="101">
      <c r="A101" s="16" t="s">
        <v>40</v>
      </c>
      <c r="B101" s="77" t="str">
        <f>IFERROR(HYPERLINK(VLOOKUP(A101,Internal_lists_bugs!$A$2:$C$73,3,FALSE()), VLOOKUP(A101,Internal_lists_bugs!$A$2:$C$73,3,FALSE())&amp;Char(10) &amp; Char(10) &amp; VLOOKUP(A101,Internal_lists_bugs!$A$2:$Z$73,26,FALSE())),"please select a BUG ID")</f>
        <v>https://bugs.launchpad.net/nova/+bug/1300788
/vmwareapi/vmops.py</v>
      </c>
      <c r="C101" s="81" t="str">
        <f>IFERROR(Hyperlink(VLOOKUP(A101,Internal_lists_bugs!$A$2:$G1061,7,FALSE()),"BIC: "&amp;VLOOKUP(A101,Internal_lists_bugs!$A$2:$G1061,7,FALSE())&amp;CHAR(10)&amp;"Intro.Issues: "&amp;VLOOKUP(A101,Internal_lists_bugs!$A$2:$P1061,16,FALSE())),"please select a BUG ID")</f>
        <v>BIC: https://opendev.org/openstack/nova/commit/e517e5668ab
Intro.Issues: 1186944</v>
      </c>
      <c r="D101" s="100">
        <v>1186944.0</v>
      </c>
      <c r="E101" s="54"/>
      <c r="F101" s="79" t="s">
        <v>153</v>
      </c>
      <c r="G101" s="93" t="s">
        <v>183</v>
      </c>
      <c r="H101" s="54"/>
      <c r="I101" s="1"/>
      <c r="K101" s="54"/>
    </row>
    <row r="102">
      <c r="A102" s="16" t="s">
        <v>40</v>
      </c>
      <c r="B102" s="77" t="str">
        <f>IFERROR(HYPERLINK(VLOOKUP(A102,Internal_lists_bugs!$A$2:$C$73,3,FALSE()), VLOOKUP(A102,Internal_lists_bugs!$A$2:$C$73,3,FALSE())&amp;Char(10) &amp; Char(10) &amp; VLOOKUP(A102,Internal_lists_bugs!$A$2:$Z$73,26,FALSE())),"please select a BUG ID")</f>
        <v>https://bugs.launchpad.net/nova/+bug/1300788
/vmwareapi/vmops.py</v>
      </c>
      <c r="C102" s="81" t="str">
        <f>IFERROR(Hyperlink(VLOOKUP(A102,Internal_lists_bugs!$A$2:$G1061,7,FALSE()),"BIC: "&amp;VLOOKUP(A102,Internal_lists_bugs!$A$2:$G1061,7,FALSE())&amp;CHAR(10)&amp;"Intro.Issues: "&amp;VLOOKUP(A102,Internal_lists_bugs!$A$2:$P1061,16,FALSE())),"please select a BUG ID")</f>
        <v>BIC: https://opendev.org/openstack/nova/commit/e517e5668ab
Intro.Issues: 1186944</v>
      </c>
      <c r="D102" s="100">
        <v>1186944.0</v>
      </c>
      <c r="E102" s="54"/>
      <c r="F102" s="79" t="s">
        <v>4379</v>
      </c>
      <c r="G102" s="93" t="s">
        <v>185</v>
      </c>
      <c r="H102" s="54"/>
      <c r="I102" s="1"/>
      <c r="K102" s="54"/>
    </row>
    <row r="103">
      <c r="A103" s="16" t="s">
        <v>41</v>
      </c>
      <c r="B103" s="77" t="str">
        <f>IFERROR(HYPERLINK(VLOOKUP(A103,Internal_lists_bugs!$A$2:$C$73,3,FALSE()), VLOOKUP(A103,Internal_lists_bugs!$A$2:$C$73,3,FALSE())&amp;Char(10) &amp; Char(10) &amp; VLOOKUP(A103,Internal_lists_bugs!$A$2:$Z$73,26,FALSE())),"please select a BUG ID")</f>
        <v>https://bugs.launchpad.net/nova/+bug/1466390
/sqlalchemy/api.py</v>
      </c>
      <c r="C103" s="81" t="str">
        <f>IFERROR(Hyperlink(VLOOKUP(A103,Internal_lists_bugs!$A$2:$G1061,7,FALSE()),"BIC: "&amp;VLOOKUP(A103,Internal_lists_bugs!$A$2:$G1061,7,FALSE())&amp;CHAR(10)&amp;"Intro.Issues: "&amp;VLOOKUP(A103,Internal_lists_bugs!$A$2:$P1061,16,FALSE())),"please select a BUG ID")</f>
        <v>BIC: https://opendev.org/openstack/nova/commit/501ff41
Intro.Issues: instance-group-api-extension</v>
      </c>
      <c r="D103" s="100" t="s">
        <v>4380</v>
      </c>
      <c r="E103" s="16" t="s">
        <v>4290</v>
      </c>
      <c r="F103" s="79" t="s">
        <v>4295</v>
      </c>
      <c r="G103" s="93" t="s">
        <v>4381</v>
      </c>
      <c r="H103" s="16" t="s">
        <v>251</v>
      </c>
      <c r="I103" s="1"/>
      <c r="K103" s="54"/>
    </row>
    <row r="104">
      <c r="A104" s="16" t="s">
        <v>41</v>
      </c>
      <c r="B104" s="77" t="str">
        <f>IFERROR(HYPERLINK(VLOOKUP(A104,Internal_lists_bugs!$A$2:$C$73,3,FALSE()), VLOOKUP(A104,Internal_lists_bugs!$A$2:$C$73,3,FALSE())&amp;Char(10) &amp; Char(10) &amp; VLOOKUP(A104,Internal_lists_bugs!$A$2:$Z$73,26,FALSE())),"please select a BUG ID")</f>
        <v>https://bugs.launchpad.net/nova/+bug/1466390
/sqlalchemy/api.py</v>
      </c>
      <c r="C104" s="81" t="str">
        <f>IFERROR(Hyperlink(VLOOKUP(A104,Internal_lists_bugs!$A$2:$G1061,7,FALSE()),"BIC: "&amp;VLOOKUP(A104,Internal_lists_bugs!$A$2:$G1061,7,FALSE())&amp;CHAR(10)&amp;"Intro.Issues: "&amp;VLOOKUP(A104,Internal_lists_bugs!$A$2:$P1061,16,FALSE())),"please select a BUG ID")</f>
        <v>BIC: https://opendev.org/openstack/nova/commit/501ff41
Intro.Issues: instance-group-api-extension</v>
      </c>
      <c r="D104" s="100" t="s">
        <v>4380</v>
      </c>
      <c r="E104" s="54"/>
      <c r="F104" s="79" t="s">
        <v>4297</v>
      </c>
      <c r="G104" s="93" t="s">
        <v>4344</v>
      </c>
      <c r="H104" s="54"/>
      <c r="I104" s="1"/>
    </row>
    <row r="105">
      <c r="A105" s="16" t="s">
        <v>41</v>
      </c>
      <c r="B105" s="77" t="str">
        <f>IFERROR(HYPERLINK(VLOOKUP(A105,Internal_lists_bugs!$A$2:$C$73,3,FALSE()), VLOOKUP(A105,Internal_lists_bugs!$A$2:$C$73,3,FALSE())&amp;Char(10) &amp; Char(10) &amp; VLOOKUP(A105,Internal_lists_bugs!$A$2:$Z$73,26,FALSE())),"please select a BUG ID")</f>
        <v>https://bugs.launchpad.net/nova/+bug/1466390
/sqlalchemy/api.py</v>
      </c>
      <c r="C105" s="81" t="str">
        <f>IFERROR(Hyperlink(VLOOKUP(A105,Internal_lists_bugs!$A$2:$G1061,7,FALSE()),"BIC: "&amp;VLOOKUP(A105,Internal_lists_bugs!$A$2:$G1061,7,FALSE())&amp;CHAR(10)&amp;"Intro.Issues: "&amp;VLOOKUP(A105,Internal_lists_bugs!$A$2:$P1061,16,FALSE())),"please select a BUG ID")</f>
        <v>BIC: https://opendev.org/openstack/nova/commit/501ff41
Intro.Issues: instance-group-api-extension</v>
      </c>
      <c r="D105" s="100" t="s">
        <v>4380</v>
      </c>
      <c r="E105" s="54"/>
      <c r="F105" s="79" t="s">
        <v>4382</v>
      </c>
      <c r="G105" s="94" t="s">
        <v>4383</v>
      </c>
      <c r="H105" s="54"/>
      <c r="I105" s="1"/>
    </row>
    <row r="106">
      <c r="A106" s="16" t="s">
        <v>41</v>
      </c>
      <c r="B106" s="77" t="str">
        <f>IFERROR(HYPERLINK(VLOOKUP(A106,Internal_lists_bugs!$A$2:$C$73,3,FALSE()), VLOOKUP(A106,Internal_lists_bugs!$A$2:$C$73,3,FALSE())&amp;Char(10) &amp; Char(10) &amp; VLOOKUP(A106,Internal_lists_bugs!$A$2:$Z$73,26,FALSE())),"please select a BUG ID")</f>
        <v>https://bugs.launchpad.net/nova/+bug/1466390
/sqlalchemy/api.py</v>
      </c>
      <c r="C106" s="81" t="str">
        <f>IFERROR(Hyperlink(VLOOKUP(A106,Internal_lists_bugs!$A$2:$G1061,7,FALSE()),"BIC: "&amp;VLOOKUP(A106,Internal_lists_bugs!$A$2:$G1061,7,FALSE())&amp;CHAR(10)&amp;"Intro.Issues: "&amp;VLOOKUP(A106,Internal_lists_bugs!$A$2:$P1061,16,FALSE())),"please select a BUG ID")</f>
        <v>BIC: https://opendev.org/openstack/nova/commit/501ff41
Intro.Issues: instance-group-api-extension</v>
      </c>
      <c r="D106" s="100" t="s">
        <v>4380</v>
      </c>
      <c r="E106" s="54"/>
      <c r="F106" s="79" t="s">
        <v>4384</v>
      </c>
      <c r="G106" s="93" t="s">
        <v>4385</v>
      </c>
      <c r="H106" s="54"/>
      <c r="I106" s="1"/>
    </row>
    <row r="107">
      <c r="A107" s="16" t="s">
        <v>41</v>
      </c>
      <c r="B107" s="77" t="str">
        <f>IFERROR(HYPERLINK(VLOOKUP(A107,Internal_lists_bugs!$A$2:$C$73,3,FALSE()), VLOOKUP(A107,Internal_lists_bugs!$A$2:$C$73,3,FALSE())&amp;Char(10) &amp; Char(10) &amp; VLOOKUP(A107,Internal_lists_bugs!$A$2:$Z$73,26,FALSE())),"please select a BUG ID")</f>
        <v>https://bugs.launchpad.net/nova/+bug/1466390
/sqlalchemy/api.py</v>
      </c>
      <c r="C107" s="81" t="str">
        <f>IFERROR(Hyperlink(VLOOKUP(A107,Internal_lists_bugs!$A$2:$G1061,7,FALSE()),"BIC: "&amp;VLOOKUP(A107,Internal_lists_bugs!$A$2:$G1061,7,FALSE())&amp;CHAR(10)&amp;"Intro.Issues: "&amp;VLOOKUP(A107,Internal_lists_bugs!$A$2:$P1061,16,FALSE())),"please select a BUG ID")</f>
        <v>BIC: https://opendev.org/openstack/nova/commit/501ff41
Intro.Issues: instance-group-api-extension</v>
      </c>
      <c r="D107" s="100" t="s">
        <v>4380</v>
      </c>
      <c r="E107" s="54"/>
      <c r="F107" s="79" t="s">
        <v>4386</v>
      </c>
      <c r="G107" s="93" t="s">
        <v>4387</v>
      </c>
      <c r="H107" s="54"/>
      <c r="I107" s="1"/>
    </row>
    <row r="108">
      <c r="A108" s="16" t="s">
        <v>41</v>
      </c>
      <c r="B108" s="77" t="str">
        <f>IFERROR(HYPERLINK(VLOOKUP(A108,Internal_lists_bugs!$A$2:$C$73,3,FALSE()), VLOOKUP(A108,Internal_lists_bugs!$A$2:$C$73,3,FALSE())&amp;Char(10) &amp; Char(10) &amp; VLOOKUP(A108,Internal_lists_bugs!$A$2:$Z$73,26,FALSE())),"please select a BUG ID")</f>
        <v>https://bugs.launchpad.net/nova/+bug/1466390
/sqlalchemy/api.py</v>
      </c>
      <c r="C108" s="81" t="str">
        <f>IFERROR(Hyperlink(VLOOKUP(A108,Internal_lists_bugs!$A$2:$G1061,7,FALSE()),"BIC: "&amp;VLOOKUP(A108,Internal_lists_bugs!$A$2:$G1061,7,FALSE())&amp;CHAR(10)&amp;"Intro.Issues: "&amp;VLOOKUP(A108,Internal_lists_bugs!$A$2:$P1061,16,FALSE())),"please select a BUG ID")</f>
        <v>BIC: https://opendev.org/openstack/nova/commit/501ff41
Intro.Issues: instance-group-api-extension</v>
      </c>
      <c r="D108" s="100" t="s">
        <v>4380</v>
      </c>
      <c r="E108" s="54"/>
      <c r="F108" s="79" t="s">
        <v>4388</v>
      </c>
      <c r="G108" s="93" t="s">
        <v>4389</v>
      </c>
      <c r="H108" s="54"/>
      <c r="I108" s="1"/>
    </row>
    <row r="109">
      <c r="A109" s="16" t="s">
        <v>41</v>
      </c>
      <c r="B109" s="77" t="str">
        <f>IFERROR(HYPERLINK(VLOOKUP(A109,Internal_lists_bugs!$A$2:$C$73,3,FALSE()), VLOOKUP(A109,Internal_lists_bugs!$A$2:$C$73,3,FALSE())&amp;Char(10) &amp; Char(10) &amp; VLOOKUP(A109,Internal_lists_bugs!$A$2:$Z$73,26,FALSE())),"please select a BUG ID")</f>
        <v>https://bugs.launchpad.net/nova/+bug/1466390
/sqlalchemy/api.py</v>
      </c>
      <c r="C109" s="81" t="str">
        <f>IFERROR(Hyperlink(VLOOKUP(A109,Internal_lists_bugs!$A$2:$G1061,7,FALSE()),"BIC: "&amp;VLOOKUP(A109,Internal_lists_bugs!$A$2:$G1061,7,FALSE())&amp;CHAR(10)&amp;"Intro.Issues: "&amp;VLOOKUP(A109,Internal_lists_bugs!$A$2:$P1061,16,FALSE())),"please select a BUG ID")</f>
        <v>BIC: https://opendev.org/openstack/nova/commit/501ff41
Intro.Issues: instance-group-api-extension</v>
      </c>
      <c r="D109" s="100" t="s">
        <v>4380</v>
      </c>
      <c r="E109" s="54"/>
      <c r="F109" s="79" t="s">
        <v>4340</v>
      </c>
      <c r="G109" s="94" t="s">
        <v>4390</v>
      </c>
      <c r="H109" s="54"/>
      <c r="I109" s="1"/>
    </row>
    <row r="110">
      <c r="A110" s="16" t="s">
        <v>42</v>
      </c>
      <c r="B110" s="77" t="str">
        <f>IFERROR(HYPERLINK(VLOOKUP(A110,Internal_lists_bugs!$A$2:$C$73,3,FALSE()), VLOOKUP(A110,Internal_lists_bugs!$A$2:$C$73,3,FALSE())&amp;Char(10) &amp; Char(10) &amp; VLOOKUP(A110,Internal_lists_bugs!$A$2:$Z$73,26,FALSE())),"please select a BUG ID")</f>
        <v>https://bugs.launchpad.net/nova/+bug/1467451
/hyperv/vmutils.py
/virt/hyperv/vmutilsv2.py </v>
      </c>
      <c r="C110" s="81" t="str">
        <f>IFERROR(Hyperlink(VLOOKUP(A110,Internal_lists_bugs!$A$2:$G1061,7,FALSE()),"BIC: "&amp;VLOOKUP(A110,Internal_lists_bugs!$A$2:$G1061,7,FALSE())&amp;CHAR(10)&amp;"Intro.Issues: "&amp;VLOOKUP(A110,Internal_lists_bugs!$A$2:$P1061,16,FALSE())),"please select a BUG ID")</f>
        <v>BIC: https://opendev.org/openstack/nova/commit/0e02db2980dc4e76ef7949ba4ec131af9fc4a44d
Intro.Issues: hyper-v-smbfs-volume-support</v>
      </c>
      <c r="D110" s="100" t="s">
        <v>4391</v>
      </c>
      <c r="E110" s="16" t="s">
        <v>4290</v>
      </c>
      <c r="F110" s="79" t="s">
        <v>4388</v>
      </c>
      <c r="G110" s="93" t="s">
        <v>4392</v>
      </c>
      <c r="H110" s="16" t="s">
        <v>251</v>
      </c>
      <c r="I110" s="1"/>
    </row>
    <row r="111">
      <c r="A111" s="16" t="s">
        <v>42</v>
      </c>
      <c r="B111" s="77" t="str">
        <f>IFERROR(HYPERLINK(VLOOKUP(A111,Internal_lists_bugs!$A$2:$C$73,3,FALSE()), VLOOKUP(A111,Internal_lists_bugs!$A$2:$C$73,3,FALSE())&amp;Char(10) &amp; Char(10) &amp; VLOOKUP(A111,Internal_lists_bugs!$A$2:$Z$73,26,FALSE())),"please select a BUG ID")</f>
        <v>https://bugs.launchpad.net/nova/+bug/1467451
/hyperv/vmutils.py
/virt/hyperv/vmutilsv2.py </v>
      </c>
      <c r="C111" s="81" t="str">
        <f>IFERROR(Hyperlink(VLOOKUP(A111,Internal_lists_bugs!$A$2:$G1061,7,FALSE()),"BIC: "&amp;VLOOKUP(A111,Internal_lists_bugs!$A$2:$G1061,7,FALSE())&amp;CHAR(10)&amp;"Intro.Issues: "&amp;VLOOKUP(A111,Internal_lists_bugs!$A$2:$P1061,16,FALSE())),"please select a BUG ID")</f>
        <v>BIC: https://opendev.org/openstack/nova/commit/0e02db2980dc4e76ef7949ba4ec131af9fc4a44d
Intro.Issues: hyper-v-smbfs-volume-support</v>
      </c>
      <c r="D111" s="100" t="s">
        <v>4391</v>
      </c>
      <c r="E111" s="54"/>
      <c r="F111" s="79" t="s">
        <v>4295</v>
      </c>
      <c r="G111" s="93" t="s">
        <v>4393</v>
      </c>
      <c r="H111" s="54"/>
      <c r="I111" s="1"/>
    </row>
    <row r="112">
      <c r="A112" s="16" t="s">
        <v>42</v>
      </c>
      <c r="B112" s="77" t="str">
        <f>IFERROR(HYPERLINK(VLOOKUP(A112,Internal_lists_bugs!$A$2:$C$73,3,FALSE()), VLOOKUP(A112,Internal_lists_bugs!$A$2:$C$73,3,FALSE())&amp;Char(10) &amp; Char(10) &amp; VLOOKUP(A112,Internal_lists_bugs!$A$2:$Z$73,26,FALSE())),"please select a BUG ID")</f>
        <v>https://bugs.launchpad.net/nova/+bug/1467451
/hyperv/vmutils.py
/virt/hyperv/vmutilsv2.py </v>
      </c>
      <c r="C112" s="81" t="str">
        <f>IFERROR(Hyperlink(VLOOKUP(A112,Internal_lists_bugs!$A$2:$G1061,7,FALSE()),"BIC: "&amp;VLOOKUP(A112,Internal_lists_bugs!$A$2:$G1061,7,FALSE())&amp;CHAR(10)&amp;"Intro.Issues: "&amp;VLOOKUP(A112,Internal_lists_bugs!$A$2:$P1061,16,FALSE())),"please select a BUG ID")</f>
        <v>BIC: https://opendev.org/openstack/nova/commit/0e02db2980dc4e76ef7949ba4ec131af9fc4a44d
Intro.Issues: hyper-v-smbfs-volume-support</v>
      </c>
      <c r="D112" s="100" t="s">
        <v>4391</v>
      </c>
      <c r="E112" s="54"/>
      <c r="F112" s="79" t="s">
        <v>4297</v>
      </c>
      <c r="G112" s="93" t="s">
        <v>4394</v>
      </c>
      <c r="H112" s="54"/>
      <c r="I112" s="1"/>
    </row>
    <row r="113">
      <c r="A113" s="16" t="s">
        <v>42</v>
      </c>
      <c r="B113" s="77" t="str">
        <f>IFERROR(HYPERLINK(VLOOKUP(A113,Internal_lists_bugs!$A$2:$C$73,3,FALSE()), VLOOKUP(A113,Internal_lists_bugs!$A$2:$C$73,3,FALSE())&amp;Char(10) &amp; Char(10) &amp; VLOOKUP(A113,Internal_lists_bugs!$A$2:$Z$73,26,FALSE())),"please select a BUG ID")</f>
        <v>https://bugs.launchpad.net/nova/+bug/1467451
/hyperv/vmutils.py
/virt/hyperv/vmutilsv2.py </v>
      </c>
      <c r="C113" s="81" t="str">
        <f>IFERROR(Hyperlink(VLOOKUP(A113,Internal_lists_bugs!$A$2:$G1061,7,FALSE()),"BIC: "&amp;VLOOKUP(A113,Internal_lists_bugs!$A$2:$G1061,7,FALSE())&amp;CHAR(10)&amp;"Intro.Issues: "&amp;VLOOKUP(A113,Internal_lists_bugs!$A$2:$P1061,16,FALSE())),"please select a BUG ID")</f>
        <v>BIC: https://opendev.org/openstack/nova/commit/0e02db2980dc4e76ef7949ba4ec131af9fc4a44d
Intro.Issues: hyper-v-smbfs-volume-support</v>
      </c>
      <c r="D113" s="100" t="s">
        <v>4391</v>
      </c>
      <c r="E113" s="54"/>
      <c r="F113" s="79" t="s">
        <v>4395</v>
      </c>
      <c r="G113" s="93" t="s">
        <v>4396</v>
      </c>
      <c r="H113" s="54"/>
      <c r="I113" s="1"/>
    </row>
    <row r="114">
      <c r="A114" s="16" t="s">
        <v>42</v>
      </c>
      <c r="B114" s="77" t="str">
        <f>IFERROR(HYPERLINK(VLOOKUP(A114,Internal_lists_bugs!$A$2:$C$73,3,FALSE()), VLOOKUP(A114,Internal_lists_bugs!$A$2:$C$73,3,FALSE())&amp;Char(10) &amp; Char(10) &amp; VLOOKUP(A114,Internal_lists_bugs!$A$2:$Z$73,26,FALSE())),"please select a BUG ID")</f>
        <v>https://bugs.launchpad.net/nova/+bug/1467451
/hyperv/vmutils.py
/virt/hyperv/vmutilsv2.py </v>
      </c>
      <c r="C114" s="81" t="str">
        <f>IFERROR(Hyperlink(VLOOKUP(A114,Internal_lists_bugs!$A$2:$G1061,7,FALSE()),"BIC: "&amp;VLOOKUP(A114,Internal_lists_bugs!$A$2:$G1061,7,FALSE())&amp;CHAR(10)&amp;"Intro.Issues: "&amp;VLOOKUP(A114,Internal_lists_bugs!$A$2:$P1061,16,FALSE())),"please select a BUG ID")</f>
        <v>BIC: https://opendev.org/openstack/nova/commit/0e02db2980dc4e76ef7949ba4ec131af9fc4a44d
Intro.Issues: hyper-v-smbfs-volume-support</v>
      </c>
      <c r="D114" s="100" t="s">
        <v>4391</v>
      </c>
      <c r="E114" s="16"/>
      <c r="F114" s="79" t="s">
        <v>4397</v>
      </c>
      <c r="G114" s="93" t="s">
        <v>4398</v>
      </c>
      <c r="H114" s="16"/>
      <c r="I114" s="1"/>
    </row>
    <row r="115">
      <c r="A115" s="16" t="s">
        <v>43</v>
      </c>
      <c r="B115" s="77" t="str">
        <f>IFERROR(HYPERLINK(VLOOKUP(A115,Internal_lists_bugs!$A$2:$C$73,3,FALSE()), VLOOKUP(A115,Internal_lists_bugs!$A$2:$C$73,3,FALSE())&amp;Char(10) &amp; Char(10) &amp; VLOOKUP(A115,Internal_lists_bugs!$A$2:$Z$73,26,FALSE())),"please select a BUG ID")</f>
        <v>https://bugs.launchpad.net/nova/+bug/1392798
/compute/manager.py</v>
      </c>
      <c r="C115" s="81" t="str">
        <f>IFERROR(Hyperlink(VLOOKUP(A115,Internal_lists_bugs!$A$2:$G1061,7,FALSE()),"BIC: "&amp;VLOOKUP(A115,Internal_lists_bugs!$A$2:$G1061,7,FALSE())&amp;CHAR(10)&amp;"Intro.Issues: "&amp;VLOOKUP(A115,Internal_lists_bugs!$A$2:$P1061,16,FALSE())),"please select a BUG ID")</f>
        <v>BIC: https://opendev.org/openstack/nova/commit/a9d0313c
Intro.Issues: 1131588</v>
      </c>
      <c r="D115" s="100">
        <v>1131588.0</v>
      </c>
      <c r="E115" s="16" t="s">
        <v>4280</v>
      </c>
      <c r="F115" s="79" t="s">
        <v>119</v>
      </c>
      <c r="G115" s="93" t="s">
        <v>144</v>
      </c>
      <c r="H115" s="16" t="s">
        <v>123</v>
      </c>
      <c r="I115" s="1"/>
    </row>
    <row r="116">
      <c r="A116" s="16" t="s">
        <v>43</v>
      </c>
      <c r="B116" s="77" t="str">
        <f>IFERROR(HYPERLINK(VLOOKUP(A116,Internal_lists_bugs!$A$2:$C$73,3,FALSE()), VLOOKUP(A116,Internal_lists_bugs!$A$2:$C$73,3,FALSE())&amp;Char(10) &amp; Char(10) &amp; VLOOKUP(A116,Internal_lists_bugs!$A$2:$Z$73,26,FALSE())),"please select a BUG ID")</f>
        <v>https://bugs.launchpad.net/nova/+bug/1392798
/compute/manager.py</v>
      </c>
      <c r="C116" s="81" t="str">
        <f>IFERROR(Hyperlink(VLOOKUP(A116,Internal_lists_bugs!$A$2:$G1061,7,FALSE()),"BIC: "&amp;VLOOKUP(A116,Internal_lists_bugs!$A$2:$G1061,7,FALSE())&amp;CHAR(10)&amp;"Intro.Issues: "&amp;VLOOKUP(A116,Internal_lists_bugs!$A$2:$P1061,16,FALSE())),"please select a BUG ID")</f>
        <v>BIC: https://opendev.org/openstack/nova/commit/a9d0313c
Intro.Issues: 1131588</v>
      </c>
      <c r="D116" s="100">
        <v>1131588.0</v>
      </c>
      <c r="E116" s="54"/>
      <c r="F116" s="79" t="s">
        <v>119</v>
      </c>
      <c r="G116" s="93" t="s">
        <v>4399</v>
      </c>
      <c r="H116" s="54"/>
      <c r="I116" s="1"/>
    </row>
    <row r="117">
      <c r="A117" s="16" t="s">
        <v>43</v>
      </c>
      <c r="B117" s="77" t="str">
        <f>IFERROR(HYPERLINK(VLOOKUP(A117,Internal_lists_bugs!$A$2:$C$73,3,FALSE()), VLOOKUP(A117,Internal_lists_bugs!$A$2:$C$73,3,FALSE())&amp;Char(10) &amp; Char(10) &amp; VLOOKUP(A117,Internal_lists_bugs!$A$2:$Z$73,26,FALSE())),"please select a BUG ID")</f>
        <v>https://bugs.launchpad.net/nova/+bug/1392798
/compute/manager.py</v>
      </c>
      <c r="C117" s="81" t="str">
        <f>IFERROR(Hyperlink(VLOOKUP(A117,Internal_lists_bugs!$A$2:$G1061,7,FALSE()),"BIC: "&amp;VLOOKUP(A117,Internal_lists_bugs!$A$2:$G1061,7,FALSE())&amp;CHAR(10)&amp;"Intro.Issues: "&amp;VLOOKUP(A117,Internal_lists_bugs!$A$2:$P1061,16,FALSE())),"please select a BUG ID")</f>
        <v>BIC: https://opendev.org/openstack/nova/commit/a9d0313c
Intro.Issues: 1131588</v>
      </c>
      <c r="D117" s="100">
        <v>1131588.0</v>
      </c>
      <c r="E117" s="54"/>
      <c r="F117" s="79" t="s">
        <v>4400</v>
      </c>
      <c r="G117" s="93" t="s">
        <v>4401</v>
      </c>
      <c r="H117" s="54"/>
      <c r="I117" s="1"/>
    </row>
    <row r="118">
      <c r="A118" s="16" t="s">
        <v>43</v>
      </c>
      <c r="B118" s="77" t="str">
        <f>IFERROR(HYPERLINK(VLOOKUP(A118,Internal_lists_bugs!$A$2:$C$73,3,FALSE()), VLOOKUP(A118,Internal_lists_bugs!$A$2:$C$73,3,FALSE())&amp;Char(10) &amp; Char(10) &amp; VLOOKUP(A118,Internal_lists_bugs!$A$2:$Z$73,26,FALSE())),"please select a BUG ID")</f>
        <v>https://bugs.launchpad.net/nova/+bug/1392798
/compute/manager.py</v>
      </c>
      <c r="C118" s="81" t="str">
        <f>IFERROR(Hyperlink(VLOOKUP(A118,Internal_lists_bugs!$A$2:$G1061,7,FALSE()),"BIC: "&amp;VLOOKUP(A118,Internal_lists_bugs!$A$2:$G1061,7,FALSE())&amp;CHAR(10)&amp;"Intro.Issues: "&amp;VLOOKUP(A118,Internal_lists_bugs!$A$2:$P1061,16,FALSE())),"please select a BUG ID")</f>
        <v>BIC: https://opendev.org/openstack/nova/commit/a9d0313c
Intro.Issues: 1131588</v>
      </c>
      <c r="D118" s="100">
        <v>1131588.0</v>
      </c>
      <c r="E118" s="54"/>
      <c r="F118" s="79" t="s">
        <v>249</v>
      </c>
      <c r="G118" s="93" t="s">
        <v>4402</v>
      </c>
      <c r="H118" s="54"/>
      <c r="I118" s="1"/>
    </row>
    <row r="119">
      <c r="A119" s="16" t="s">
        <v>43</v>
      </c>
      <c r="B119" s="77" t="str">
        <f>IFERROR(HYPERLINK(VLOOKUP(A119,Internal_lists_bugs!$A$2:$C$73,3,FALSE()), VLOOKUP(A119,Internal_lists_bugs!$A$2:$C$73,3,FALSE())&amp;Char(10) &amp; Char(10) &amp; VLOOKUP(A119,Internal_lists_bugs!$A$2:$Z$73,26,FALSE())),"please select a BUG ID")</f>
        <v>https://bugs.launchpad.net/nova/+bug/1392798
/compute/manager.py</v>
      </c>
      <c r="C119" s="81" t="str">
        <f>IFERROR(Hyperlink(VLOOKUP(A119,Internal_lists_bugs!$A$2:$G1061,7,FALSE()),"BIC: "&amp;VLOOKUP(A119,Internal_lists_bugs!$A$2:$G1061,7,FALSE())&amp;CHAR(10)&amp;"Intro.Issues: "&amp;VLOOKUP(A119,Internal_lists_bugs!$A$2:$P1061,16,FALSE())),"please select a BUG ID")</f>
        <v>BIC: https://opendev.org/openstack/nova/commit/a9d0313c
Intro.Issues: 1131588</v>
      </c>
      <c r="D119" s="100">
        <v>1131588.0</v>
      </c>
      <c r="E119" s="54"/>
      <c r="F119" s="79" t="s">
        <v>157</v>
      </c>
      <c r="G119" s="93" t="s">
        <v>204</v>
      </c>
      <c r="H119" s="54"/>
      <c r="I119" s="1"/>
    </row>
    <row r="120">
      <c r="A120" s="16" t="s">
        <v>43</v>
      </c>
      <c r="B120" s="77" t="str">
        <f>IFERROR(HYPERLINK(VLOOKUP(A120,Internal_lists_bugs!$A$2:$C$73,3,FALSE()), VLOOKUP(A120,Internal_lists_bugs!$A$2:$C$73,3,FALSE())&amp;Char(10) &amp; Char(10) &amp; VLOOKUP(A120,Internal_lists_bugs!$A$2:$Z$73,26,FALSE())),"please select a BUG ID")</f>
        <v>https://bugs.launchpad.net/nova/+bug/1392798
/compute/manager.py</v>
      </c>
      <c r="C120" s="81" t="str">
        <f>IFERROR(Hyperlink(VLOOKUP(A120,Internal_lists_bugs!$A$2:$G1061,7,FALSE()),"BIC: "&amp;VLOOKUP(A120,Internal_lists_bugs!$A$2:$G1061,7,FALSE())&amp;CHAR(10)&amp;"Intro.Issues: "&amp;VLOOKUP(A120,Internal_lists_bugs!$A$2:$P1061,16,FALSE())),"please select a BUG ID")</f>
        <v>BIC: https://opendev.org/openstack/nova/commit/a9d0313c
Intro.Issues: 1131588</v>
      </c>
      <c r="D120" s="100">
        <v>1131588.0</v>
      </c>
      <c r="E120" s="54"/>
      <c r="F120" s="79" t="s">
        <v>4403</v>
      </c>
      <c r="G120" s="93" t="s">
        <v>204</v>
      </c>
      <c r="H120" s="54"/>
      <c r="I120" s="1"/>
    </row>
    <row r="121">
      <c r="A121" s="16" t="s">
        <v>43</v>
      </c>
      <c r="B121" s="77" t="str">
        <f>IFERROR(HYPERLINK(VLOOKUP(A121,Internal_lists_bugs!$A$2:$C$73,3,FALSE()), VLOOKUP(A121,Internal_lists_bugs!$A$2:$C$73,3,FALSE())&amp;Char(10) &amp; Char(10) &amp; VLOOKUP(A121,Internal_lists_bugs!$A$2:$Z$73,26,FALSE())),"please select a BUG ID")</f>
        <v>https://bugs.launchpad.net/nova/+bug/1392798
/compute/manager.py</v>
      </c>
      <c r="C121" s="81" t="str">
        <f>IFERROR(Hyperlink(VLOOKUP(A121,Internal_lists_bugs!$A$2:$G1061,7,FALSE()),"BIC: "&amp;VLOOKUP(A121,Internal_lists_bugs!$A$2:$G1061,7,FALSE())&amp;CHAR(10)&amp;"Intro.Issues: "&amp;VLOOKUP(A121,Internal_lists_bugs!$A$2:$P1061,16,FALSE())),"please select a BUG ID")</f>
        <v>BIC: https://opendev.org/openstack/nova/commit/a9d0313c
Intro.Issues: 1131588</v>
      </c>
      <c r="D121" s="100">
        <v>1131588.0</v>
      </c>
      <c r="E121" s="54"/>
      <c r="F121" s="79" t="s">
        <v>4404</v>
      </c>
      <c r="G121" s="93" t="s">
        <v>205</v>
      </c>
      <c r="H121" s="54"/>
      <c r="I121" s="1"/>
    </row>
    <row r="122">
      <c r="A122" s="16" t="s">
        <v>43</v>
      </c>
      <c r="B122" s="77" t="str">
        <f>IFERROR(HYPERLINK(VLOOKUP(A122,Internal_lists_bugs!$A$2:$C$73,3,FALSE()), VLOOKUP(A122,Internal_lists_bugs!$A$2:$C$73,3,FALSE())&amp;Char(10) &amp; Char(10) &amp; VLOOKUP(A122,Internal_lists_bugs!$A$2:$Z$73,26,FALSE())),"please select a BUG ID")</f>
        <v>https://bugs.launchpad.net/nova/+bug/1392798
/compute/manager.py</v>
      </c>
      <c r="C122" s="81" t="str">
        <f>IFERROR(Hyperlink(VLOOKUP(A122,Internal_lists_bugs!$A$2:$G1061,7,FALSE()),"BIC: "&amp;VLOOKUP(A122,Internal_lists_bugs!$A$2:$G1061,7,FALSE())&amp;CHAR(10)&amp;"Intro.Issues: "&amp;VLOOKUP(A122,Internal_lists_bugs!$A$2:$P1061,16,FALSE())),"please select a BUG ID")</f>
        <v>BIC: https://opendev.org/openstack/nova/commit/a9d0313c
Intro.Issues: 1131588</v>
      </c>
      <c r="D122" s="100">
        <v>1131588.0</v>
      </c>
      <c r="E122" s="54"/>
      <c r="F122" s="79" t="s">
        <v>129</v>
      </c>
      <c r="G122" s="93" t="s">
        <v>229</v>
      </c>
      <c r="H122" s="54"/>
      <c r="I122" s="1"/>
    </row>
    <row r="123">
      <c r="A123" s="16" t="s">
        <v>43</v>
      </c>
      <c r="B123" s="77" t="str">
        <f>IFERROR(HYPERLINK(VLOOKUP(A123,Internal_lists_bugs!$A$2:$C$73,3,FALSE()), VLOOKUP(A123,Internal_lists_bugs!$A$2:$C$73,3,FALSE())&amp;Char(10) &amp; Char(10) &amp; VLOOKUP(A123,Internal_lists_bugs!$A$2:$Z$73,26,FALSE())),"please select a BUG ID")</f>
        <v>https://bugs.launchpad.net/nova/+bug/1392798
/compute/manager.py</v>
      </c>
      <c r="C123" s="81" t="str">
        <f>IFERROR(Hyperlink(VLOOKUP(A123,Internal_lists_bugs!$A$2:$G1061,7,FALSE()),"BIC: "&amp;VLOOKUP(A123,Internal_lists_bugs!$A$2:$G1061,7,FALSE())&amp;CHAR(10)&amp;"Intro.Issues: "&amp;VLOOKUP(A123,Internal_lists_bugs!$A$2:$P1061,16,FALSE())),"please select a BUG ID")</f>
        <v>BIC: https://opendev.org/openstack/nova/commit/a9d0313c
Intro.Issues: 1131588</v>
      </c>
      <c r="D123" s="100">
        <v>1131588.0</v>
      </c>
      <c r="E123" s="54"/>
      <c r="F123" s="79" t="s">
        <v>4357</v>
      </c>
      <c r="G123" s="93" t="s">
        <v>216</v>
      </c>
      <c r="H123" s="54"/>
      <c r="I123" s="1"/>
    </row>
    <row r="124">
      <c r="A124" s="16" t="s">
        <v>44</v>
      </c>
      <c r="B124" s="77" t="str">
        <f>IFERROR(HYPERLINK(VLOOKUP(A124,Internal_lists_bugs!$A$2:$C$73,3,FALSE()), VLOOKUP(A124,Internal_lists_bugs!$A$2:$C$73,3,FALSE())&amp;Char(10) &amp; Char(10) &amp; VLOOKUP(A124,Internal_lists_bugs!$A$2:$Z$73,26,FALSE())),"please select a BUG ID")</f>
        <v>https://bugs.launchpad.net/nova/+bug/1475911
cmd/idmapshift.py</v>
      </c>
      <c r="C124" s="81" t="str">
        <f>IFERROR(Hyperlink(VLOOKUP(A124,Internal_lists_bugs!$A$2:$G1061,7,FALSE()),"BIC: "&amp;VLOOKUP(A124,Internal_lists_bugs!$A$2:$G1061,7,FALSE())&amp;CHAR(10)&amp;"Intro.Issues: "&amp;VLOOKUP(A124,Internal_lists_bugs!$A$2:$P1061,16,FALSE())),"please select a BUG ID")</f>
        <v>BIC: https://opendev.org/openstack/nova/commit/e310985
Intro.Issues: libvirt-lxc-user-namespaces</v>
      </c>
      <c r="D124" s="100" t="s">
        <v>4405</v>
      </c>
      <c r="E124" s="16" t="s">
        <v>4290</v>
      </c>
      <c r="F124" s="79" t="s">
        <v>4342</v>
      </c>
      <c r="G124" s="93" t="s">
        <v>144</v>
      </c>
      <c r="H124" s="16" t="s">
        <v>251</v>
      </c>
      <c r="I124" s="1"/>
    </row>
    <row r="125">
      <c r="A125" s="16" t="s">
        <v>44</v>
      </c>
      <c r="B125" s="77" t="str">
        <f>IFERROR(HYPERLINK(VLOOKUP(A125,Internal_lists_bugs!$A$2:$C$73,3,FALSE()), VLOOKUP(A125,Internal_lists_bugs!$A$2:$C$73,3,FALSE())&amp;Char(10) &amp; Char(10) &amp; VLOOKUP(A125,Internal_lists_bugs!$A$2:$Z$73,26,FALSE())),"please select a BUG ID")</f>
        <v>https://bugs.launchpad.net/nova/+bug/1475911
cmd/idmapshift.py</v>
      </c>
      <c r="C125" s="81" t="str">
        <f>IFERROR(Hyperlink(VLOOKUP(A125,Internal_lists_bugs!$A$2:$G1061,7,FALSE()),"BIC: "&amp;VLOOKUP(A125,Internal_lists_bugs!$A$2:$G1061,7,FALSE())&amp;CHAR(10)&amp;"Intro.Issues: "&amp;VLOOKUP(A125,Internal_lists_bugs!$A$2:$P1061,16,FALSE())),"please select a BUG ID")</f>
        <v>BIC: https://opendev.org/openstack/nova/commit/e310985
Intro.Issues: libvirt-lxc-user-namespaces</v>
      </c>
      <c r="D125" s="100" t="s">
        <v>4405</v>
      </c>
      <c r="E125" s="54"/>
      <c r="F125" s="79" t="s">
        <v>4388</v>
      </c>
      <c r="G125" s="93" t="s">
        <v>4406</v>
      </c>
      <c r="H125" s="54"/>
      <c r="I125" s="1"/>
    </row>
    <row r="126">
      <c r="A126" s="16" t="s">
        <v>44</v>
      </c>
      <c r="B126" s="77" t="str">
        <f>IFERROR(HYPERLINK(VLOOKUP(A126,Internal_lists_bugs!$A$2:$C$73,3,FALSE()), VLOOKUP(A126,Internal_lists_bugs!$A$2:$C$73,3,FALSE())&amp;Char(10) &amp; Char(10) &amp; VLOOKUP(A126,Internal_lists_bugs!$A$2:$Z$73,26,FALSE())),"please select a BUG ID")</f>
        <v>https://bugs.launchpad.net/nova/+bug/1475911
cmd/idmapshift.py</v>
      </c>
      <c r="C126" s="81" t="str">
        <f>IFERROR(Hyperlink(VLOOKUP(A126,Internal_lists_bugs!$A$2:$G1061,7,FALSE()),"BIC: "&amp;VLOOKUP(A126,Internal_lists_bugs!$A$2:$G1061,7,FALSE())&amp;CHAR(10)&amp;"Intro.Issues: "&amp;VLOOKUP(A126,Internal_lists_bugs!$A$2:$P1061,16,FALSE())),"please select a BUG ID")</f>
        <v>BIC: https://opendev.org/openstack/nova/commit/e310985
Intro.Issues: libvirt-lxc-user-namespaces</v>
      </c>
      <c r="D126" s="100" t="s">
        <v>4405</v>
      </c>
      <c r="E126" s="54"/>
      <c r="F126" s="79" t="s">
        <v>4297</v>
      </c>
      <c r="G126" s="93" t="s">
        <v>4344</v>
      </c>
      <c r="H126" s="54"/>
      <c r="I126" s="1"/>
    </row>
    <row r="127">
      <c r="A127" s="16" t="s">
        <v>44</v>
      </c>
      <c r="B127" s="77" t="str">
        <f>IFERROR(HYPERLINK(VLOOKUP(A127,Internal_lists_bugs!$A$2:$C$73,3,FALSE()), VLOOKUP(A127,Internal_lists_bugs!$A$2:$C$73,3,FALSE())&amp;Char(10) &amp; Char(10) &amp; VLOOKUP(A127,Internal_lists_bugs!$A$2:$Z$73,26,FALSE())),"please select a BUG ID")</f>
        <v>https://bugs.launchpad.net/nova/+bug/1475911
cmd/idmapshift.py</v>
      </c>
      <c r="C127" s="81" t="str">
        <f>IFERROR(Hyperlink(VLOOKUP(A127,Internal_lists_bugs!$A$2:$G1061,7,FALSE()),"BIC: "&amp;VLOOKUP(A127,Internal_lists_bugs!$A$2:$G1061,7,FALSE())&amp;CHAR(10)&amp;"Intro.Issues: "&amp;VLOOKUP(A127,Internal_lists_bugs!$A$2:$P1061,16,FALSE())),"please select a BUG ID")</f>
        <v>BIC: https://opendev.org/openstack/nova/commit/e310985
Intro.Issues: libvirt-lxc-user-namespaces</v>
      </c>
      <c r="D127" s="100" t="s">
        <v>4405</v>
      </c>
      <c r="E127" s="54"/>
      <c r="F127" s="79" t="s">
        <v>4407</v>
      </c>
      <c r="G127" s="93" t="s">
        <v>4408</v>
      </c>
      <c r="H127" s="54"/>
      <c r="I127" s="1"/>
    </row>
    <row r="128">
      <c r="A128" s="16" t="s">
        <v>44</v>
      </c>
      <c r="B128" s="77" t="str">
        <f>IFERROR(HYPERLINK(VLOOKUP(A128,Internal_lists_bugs!$A$2:$C$73,3,FALSE()), VLOOKUP(A128,Internal_lists_bugs!$A$2:$C$73,3,FALSE())&amp;Char(10) &amp; Char(10) &amp; VLOOKUP(A128,Internal_lists_bugs!$A$2:$Z$73,26,FALSE())),"please select a BUG ID")</f>
        <v>https://bugs.launchpad.net/nova/+bug/1475911
cmd/idmapshift.py</v>
      </c>
      <c r="C128" s="81" t="str">
        <f>IFERROR(Hyperlink(VLOOKUP(A128,Internal_lists_bugs!$A$2:$G1061,7,FALSE()),"BIC: "&amp;VLOOKUP(A128,Internal_lists_bugs!$A$2:$G1061,7,FALSE())&amp;CHAR(10)&amp;"Intro.Issues: "&amp;VLOOKUP(A128,Internal_lists_bugs!$A$2:$P1061,16,FALSE())),"please select a BUG ID")</f>
        <v>BIC: https://opendev.org/openstack/nova/commit/e310985
Intro.Issues: libvirt-lxc-user-namespaces</v>
      </c>
      <c r="D128" s="100" t="s">
        <v>4405</v>
      </c>
      <c r="E128" s="54"/>
      <c r="F128" s="79" t="s">
        <v>4295</v>
      </c>
      <c r="G128" s="93" t="s">
        <v>4409</v>
      </c>
      <c r="H128" s="54"/>
      <c r="I128" s="1"/>
    </row>
    <row r="129">
      <c r="A129" s="16" t="s">
        <v>44</v>
      </c>
      <c r="B129" s="77" t="str">
        <f>IFERROR(HYPERLINK(VLOOKUP(A129,Internal_lists_bugs!$A$2:$C$73,3,FALSE()), VLOOKUP(A129,Internal_lists_bugs!$A$2:$C$73,3,FALSE())&amp;Char(10) &amp; Char(10) &amp; VLOOKUP(A129,Internal_lists_bugs!$A$2:$Z$73,26,FALSE())),"please select a BUG ID")</f>
        <v>https://bugs.launchpad.net/nova/+bug/1475911
cmd/idmapshift.py</v>
      </c>
      <c r="C129" s="81" t="str">
        <f>IFERROR(Hyperlink(VLOOKUP(A129,Internal_lists_bugs!$A$2:$G1061,7,FALSE()),"BIC: "&amp;VLOOKUP(A129,Internal_lists_bugs!$A$2:$G1061,7,FALSE())&amp;CHAR(10)&amp;"Intro.Issues: "&amp;VLOOKUP(A129,Internal_lists_bugs!$A$2:$P1061,16,FALSE())),"please select a BUG ID")</f>
        <v>BIC: https://opendev.org/openstack/nova/commit/e310985
Intro.Issues: libvirt-lxc-user-namespaces</v>
      </c>
      <c r="D129" s="100" t="s">
        <v>4405</v>
      </c>
      <c r="E129" s="54"/>
      <c r="F129" s="79" t="s">
        <v>4410</v>
      </c>
      <c r="G129" s="93" t="s">
        <v>4411</v>
      </c>
      <c r="H129" s="54"/>
      <c r="I129" s="1"/>
    </row>
    <row r="130">
      <c r="A130" s="16" t="s">
        <v>44</v>
      </c>
      <c r="B130" s="77" t="str">
        <f>IFERROR(HYPERLINK(VLOOKUP(A130,Internal_lists_bugs!$A$2:$C$73,3,FALSE()), VLOOKUP(A130,Internal_lists_bugs!$A$2:$C$73,3,FALSE())&amp;Char(10) &amp; Char(10) &amp; VLOOKUP(A130,Internal_lists_bugs!$A$2:$Z$73,26,FALSE())),"please select a BUG ID")</f>
        <v>https://bugs.launchpad.net/nova/+bug/1475911
cmd/idmapshift.py</v>
      </c>
      <c r="C130" s="81" t="str">
        <f>IFERROR(Hyperlink(VLOOKUP(A130,Internal_lists_bugs!$A$2:$G1061,7,FALSE()),"BIC: "&amp;VLOOKUP(A130,Internal_lists_bugs!$A$2:$G1061,7,FALSE())&amp;CHAR(10)&amp;"Intro.Issues: "&amp;VLOOKUP(A130,Internal_lists_bugs!$A$2:$P1061,16,FALSE())),"please select a BUG ID")</f>
        <v>BIC: https://opendev.org/openstack/nova/commit/e310985
Intro.Issues: libvirt-lxc-user-namespaces</v>
      </c>
      <c r="D130" s="100" t="s">
        <v>4405</v>
      </c>
      <c r="E130" s="16"/>
      <c r="F130" s="79" t="s">
        <v>4397</v>
      </c>
      <c r="G130" s="93" t="s">
        <v>4412</v>
      </c>
      <c r="H130" s="54"/>
      <c r="I130" s="1"/>
    </row>
    <row r="131">
      <c r="A131" s="16" t="s">
        <v>45</v>
      </c>
      <c r="B131" s="77" t="str">
        <f>IFERROR(HYPERLINK(VLOOKUP(A131,Internal_lists_bugs!$A$2:$C$73,3,FALSE()), VLOOKUP(A131,Internal_lists_bugs!$A$2:$C$73,3,FALSE())&amp;Char(10) &amp; Char(10) &amp; VLOOKUP(A131,Internal_lists_bugs!$A$2:$Z$73,26,FALSE())),"please select a BUG ID")</f>
        <v>https://bugs.launchpad.net/nova/+bug/1437855
/contrib/floating_ips.py
/v3/floating_ips.py </v>
      </c>
      <c r="C131" s="81" t="str">
        <f>IFERROR(Hyperlink(VLOOKUP(A131,Internal_lists_bugs!$A$2:$G1061,7,FALSE()),"BIC: "&amp;VLOOKUP(A131,Internal_lists_bugs!$A$2:$G1061,7,FALSE())&amp;CHAR(10)&amp;"Intro.Issues: "&amp;VLOOKUP(A131,Internal_lists_bugs!$A$2:$P1061,16,FALSE())),"please select a BUG ID")</f>
        <v>BIC: https://opendev.org/openstack/nova/commit/1b2c121f133b1
Intro.Issues: multi-nic-floating-ip-assignment</v>
      </c>
      <c r="D131" s="100" t="s">
        <v>4413</v>
      </c>
      <c r="E131" s="16" t="s">
        <v>4290</v>
      </c>
      <c r="F131" s="79" t="s">
        <v>4342</v>
      </c>
      <c r="G131" s="93" t="s">
        <v>4414</v>
      </c>
      <c r="H131" s="16" t="s">
        <v>123</v>
      </c>
      <c r="I131" s="1"/>
    </row>
    <row r="132">
      <c r="A132" s="16" t="s">
        <v>45</v>
      </c>
      <c r="B132" s="77" t="str">
        <f>IFERROR(HYPERLINK(VLOOKUP(A132,Internal_lists_bugs!$A$2:$C$73,3,FALSE()), VLOOKUP(A132,Internal_lists_bugs!$A$2:$C$73,3,FALSE())&amp;Char(10) &amp; Char(10) &amp; VLOOKUP(A132,Internal_lists_bugs!$A$2:$Z$73,26,FALSE())),"please select a BUG ID")</f>
        <v>https://bugs.launchpad.net/nova/+bug/1437855
/contrib/floating_ips.py
/v3/floating_ips.py </v>
      </c>
      <c r="C132" s="81" t="str">
        <f>IFERROR(Hyperlink(VLOOKUP(A132,Internal_lists_bugs!$A$2:$G1061,7,FALSE()),"BIC: "&amp;VLOOKUP(A132,Internal_lists_bugs!$A$2:$G1061,7,FALSE())&amp;CHAR(10)&amp;"Intro.Issues: "&amp;VLOOKUP(A132,Internal_lists_bugs!$A$2:$P1061,16,FALSE())),"please select a BUG ID")</f>
        <v>BIC: https://opendev.org/openstack/nova/commit/1b2c121f133b1
Intro.Issues: multi-nic-floating-ip-assignment</v>
      </c>
      <c r="D132" s="100" t="s">
        <v>4413</v>
      </c>
      <c r="E132" s="54"/>
      <c r="F132" s="79" t="s">
        <v>4388</v>
      </c>
      <c r="G132" s="93" t="s">
        <v>4415</v>
      </c>
      <c r="H132" s="54"/>
      <c r="I132" s="1"/>
    </row>
    <row r="133">
      <c r="A133" s="16" t="s">
        <v>45</v>
      </c>
      <c r="B133" s="77" t="str">
        <f>IFERROR(HYPERLINK(VLOOKUP(A133,Internal_lists_bugs!$A$2:$C$73,3,FALSE()), VLOOKUP(A133,Internal_lists_bugs!$A$2:$C$73,3,FALSE())&amp;Char(10) &amp; Char(10) &amp; VLOOKUP(A133,Internal_lists_bugs!$A$2:$Z$73,26,FALSE())),"please select a BUG ID")</f>
        <v>https://bugs.launchpad.net/nova/+bug/1437855
/contrib/floating_ips.py
/v3/floating_ips.py </v>
      </c>
      <c r="C133" s="81" t="str">
        <f>IFERROR(Hyperlink(VLOOKUP(A133,Internal_lists_bugs!$A$2:$G1061,7,FALSE()),"BIC: "&amp;VLOOKUP(A133,Internal_lists_bugs!$A$2:$G1061,7,FALSE())&amp;CHAR(10)&amp;"Intro.Issues: "&amp;VLOOKUP(A133,Internal_lists_bugs!$A$2:$P1061,16,FALSE())),"please select a BUG ID")</f>
        <v>BIC: https://opendev.org/openstack/nova/commit/1b2c121f133b1
Intro.Issues: multi-nic-floating-ip-assignment</v>
      </c>
      <c r="D133" s="100" t="s">
        <v>4413</v>
      </c>
      <c r="E133" s="54"/>
      <c r="F133" s="79" t="s">
        <v>4297</v>
      </c>
      <c r="G133" s="93" t="s">
        <v>4344</v>
      </c>
      <c r="H133" s="54"/>
      <c r="I133" s="1"/>
    </row>
    <row r="134">
      <c r="A134" s="16" t="s">
        <v>45</v>
      </c>
      <c r="B134" s="77" t="str">
        <f>IFERROR(HYPERLINK(VLOOKUP(A134,Internal_lists_bugs!$A$2:$C$73,3,FALSE()), VLOOKUP(A134,Internal_lists_bugs!$A$2:$C$73,3,FALSE())&amp;Char(10) &amp; Char(10) &amp; VLOOKUP(A134,Internal_lists_bugs!$A$2:$Z$73,26,FALSE())),"please select a BUG ID")</f>
        <v>https://bugs.launchpad.net/nova/+bug/1437855
/contrib/floating_ips.py
/v3/floating_ips.py </v>
      </c>
      <c r="C134" s="81" t="str">
        <f>IFERROR(Hyperlink(VLOOKUP(A134,Internal_lists_bugs!$A$2:$G1061,7,FALSE()),"BIC: "&amp;VLOOKUP(A134,Internal_lists_bugs!$A$2:$G1061,7,FALSE())&amp;CHAR(10)&amp;"Intro.Issues: "&amp;VLOOKUP(A134,Internal_lists_bugs!$A$2:$P1061,16,FALSE())),"please select a BUG ID")</f>
        <v>BIC: https://opendev.org/openstack/nova/commit/1b2c121f133b1
Intro.Issues: multi-nic-floating-ip-assignment</v>
      </c>
      <c r="D134" s="100" t="s">
        <v>4413</v>
      </c>
      <c r="E134" s="54"/>
      <c r="F134" s="79" t="s">
        <v>4295</v>
      </c>
      <c r="G134" s="93" t="s">
        <v>4416</v>
      </c>
      <c r="H134" s="54"/>
      <c r="I134" s="1"/>
    </row>
    <row r="135">
      <c r="A135" s="16" t="s">
        <v>46</v>
      </c>
      <c r="B135" s="77" t="str">
        <f>IFERROR(HYPERLINK(VLOOKUP(A135,Internal_lists_bugs!$A$2:$C$73,3,FALSE()), VLOOKUP(A135,Internal_lists_bugs!$A$2:$C$73,3,FALSE())&amp;Char(10) &amp; Char(10) &amp; VLOOKUP(A135,Internal_lists_bugs!$A$2:$Z$73,26,FALSE())),"please select a BUG ID")</f>
        <v>https://bugs.launchpad.net/nova/+bug/1434855
/os-extended-volumes/v2.3/server-get-resp.json
/os-extended-volumes/v2.3/servers-detail-resp.json </v>
      </c>
      <c r="C135" s="81" t="str">
        <f>IFERROR(Hyperlink(VLOOKUP(A135,Internal_lists_bugs!$A$2:$G1061,7,FALSE()),"BIC: "&amp;VLOOKUP(A135,Internal_lists_bugs!$A$2:$G1061,7,FALSE())&amp;CHAR(10)&amp;"Intro.Issues: "&amp;VLOOKUP(A135,Internal_lists_bugs!$A$2:$P1061,16,FALSE())),"please select a BUG ID")</f>
        <v>BIC: https://opendev.org/openstack/nova/commit/abc656d
Intro.Issues: blueprint ec2-api</v>
      </c>
      <c r="D135" s="100" t="s">
        <v>4417</v>
      </c>
      <c r="E135" s="16" t="s">
        <v>4328</v>
      </c>
      <c r="F135" s="79" t="s">
        <v>4418</v>
      </c>
      <c r="G135" s="94" t="s">
        <v>4419</v>
      </c>
      <c r="H135" s="16" t="s">
        <v>251</v>
      </c>
      <c r="I135" s="1"/>
    </row>
    <row r="136">
      <c r="A136" s="16" t="s">
        <v>46</v>
      </c>
      <c r="B136" s="77" t="str">
        <f>IFERROR(HYPERLINK(VLOOKUP(A136,Internal_lists_bugs!$A$2:$C$73,3,FALSE()), VLOOKUP(A136,Internal_lists_bugs!$A$2:$C$73,3,FALSE())&amp;Char(10) &amp; Char(10) &amp; VLOOKUP(A136,Internal_lists_bugs!$A$2:$Z$73,26,FALSE())),"please select a BUG ID")</f>
        <v>https://bugs.launchpad.net/nova/+bug/1434855
/os-extended-volumes/v2.3/server-get-resp.json
/os-extended-volumes/v2.3/servers-detail-resp.json </v>
      </c>
      <c r="C136" s="81" t="str">
        <f>IFERROR(Hyperlink(VLOOKUP(A136,Internal_lists_bugs!$A$2:$G1061,7,FALSE()),"BIC: "&amp;VLOOKUP(A136,Internal_lists_bugs!$A$2:$G1061,7,FALSE())&amp;CHAR(10)&amp;"Intro.Issues: "&amp;VLOOKUP(A136,Internal_lists_bugs!$A$2:$P1061,16,FALSE())),"please select a BUG ID")</f>
        <v>BIC: https://opendev.org/openstack/nova/commit/abc656d
Intro.Issues: blueprint ec2-api</v>
      </c>
      <c r="D136" s="100" t="s">
        <v>4417</v>
      </c>
      <c r="E136" s="54"/>
      <c r="F136" s="79" t="s">
        <v>4297</v>
      </c>
      <c r="G136" s="93" t="s">
        <v>4344</v>
      </c>
      <c r="H136" s="54"/>
      <c r="I136" s="1"/>
    </row>
    <row r="137">
      <c r="A137" s="16" t="s">
        <v>46</v>
      </c>
      <c r="B137" s="77" t="str">
        <f>IFERROR(HYPERLINK(VLOOKUP(A137,Internal_lists_bugs!$A$2:$C$73,3,FALSE()), VLOOKUP(A137,Internal_lists_bugs!$A$2:$C$73,3,FALSE())&amp;Char(10) &amp; Char(10) &amp; VLOOKUP(A137,Internal_lists_bugs!$A$2:$Z$73,26,FALSE())),"please select a BUG ID")</f>
        <v>https://bugs.launchpad.net/nova/+bug/1434855
/os-extended-volumes/v2.3/server-get-resp.json
/os-extended-volumes/v2.3/servers-detail-resp.json </v>
      </c>
      <c r="C137" s="81" t="str">
        <f>IFERROR(Hyperlink(VLOOKUP(A137,Internal_lists_bugs!$A$2:$G1061,7,FALSE()),"BIC: "&amp;VLOOKUP(A137,Internal_lists_bugs!$A$2:$G1061,7,FALSE())&amp;CHAR(10)&amp;"Intro.Issues: "&amp;VLOOKUP(A137,Internal_lists_bugs!$A$2:$P1061,16,FALSE())),"please select a BUG ID")</f>
        <v>BIC: https://opendev.org/openstack/nova/commit/abc656d
Intro.Issues: blueprint ec2-api</v>
      </c>
      <c r="D137" s="100" t="s">
        <v>4417</v>
      </c>
      <c r="E137" s="54"/>
      <c r="F137" s="79" t="s">
        <v>4310</v>
      </c>
      <c r="G137" s="93" t="s">
        <v>4344</v>
      </c>
      <c r="H137" s="54"/>
      <c r="I137" s="1"/>
    </row>
    <row r="138">
      <c r="A138" s="16" t="s">
        <v>46</v>
      </c>
      <c r="B138" s="77" t="str">
        <f>IFERROR(HYPERLINK(VLOOKUP(A138,Internal_lists_bugs!$A$2:$C$73,3,FALSE()), VLOOKUP(A138,Internal_lists_bugs!$A$2:$C$73,3,FALSE())&amp;Char(10) &amp; Char(10) &amp; VLOOKUP(A138,Internal_lists_bugs!$A$2:$Z$73,26,FALSE())),"please select a BUG ID")</f>
        <v>https://bugs.launchpad.net/nova/+bug/1434855
/os-extended-volumes/v2.3/server-get-resp.json
/os-extended-volumes/v2.3/servers-detail-resp.json </v>
      </c>
      <c r="C138" s="81" t="str">
        <f>IFERROR(Hyperlink(VLOOKUP(A138,Internal_lists_bugs!$A$2:$G1061,7,FALSE()),"BIC: "&amp;VLOOKUP(A138,Internal_lists_bugs!$A$2:$G1061,7,FALSE())&amp;CHAR(10)&amp;"Intro.Issues: "&amp;VLOOKUP(A138,Internal_lists_bugs!$A$2:$P1061,16,FALSE())),"please select a BUG ID")</f>
        <v>BIC: https://opendev.org/openstack/nova/commit/abc656d
Intro.Issues: blueprint ec2-api</v>
      </c>
      <c r="D138" s="100" t="s">
        <v>4417</v>
      </c>
      <c r="E138" s="54"/>
      <c r="F138" s="79" t="s">
        <v>4312</v>
      </c>
      <c r="G138" s="93" t="s">
        <v>4344</v>
      </c>
      <c r="H138" s="54"/>
      <c r="I138" s="1"/>
    </row>
    <row r="139">
      <c r="A139" s="16" t="s">
        <v>46</v>
      </c>
      <c r="B139" s="77" t="str">
        <f>IFERROR(HYPERLINK(VLOOKUP(A139,Internal_lists_bugs!$A$2:$C$73,3,FALSE()), VLOOKUP(A139,Internal_lists_bugs!$A$2:$C$73,3,FALSE())&amp;Char(10) &amp; Char(10) &amp; VLOOKUP(A139,Internal_lists_bugs!$A$2:$Z$73,26,FALSE())),"please select a BUG ID")</f>
        <v>https://bugs.launchpad.net/nova/+bug/1434855
/os-extended-volumes/v2.3/server-get-resp.json
/os-extended-volumes/v2.3/servers-detail-resp.json </v>
      </c>
      <c r="C139" s="81" t="str">
        <f>IFERROR(Hyperlink(VLOOKUP(A139,Internal_lists_bugs!$A$2:$G1061,7,FALSE()),"BIC: "&amp;VLOOKUP(A139,Internal_lists_bugs!$A$2:$G1061,7,FALSE())&amp;CHAR(10)&amp;"Intro.Issues: "&amp;VLOOKUP(A139,Internal_lists_bugs!$A$2:$P1061,16,FALSE())),"please select a BUG ID")</f>
        <v>BIC: https://opendev.org/openstack/nova/commit/abc656d
Intro.Issues: blueprint ec2-api</v>
      </c>
      <c r="D139" s="100" t="s">
        <v>4417</v>
      </c>
      <c r="E139" s="54"/>
      <c r="F139" s="79" t="s">
        <v>4308</v>
      </c>
      <c r="G139" s="93" t="s">
        <v>4420</v>
      </c>
      <c r="H139" s="54"/>
      <c r="I139" s="1"/>
    </row>
    <row r="140">
      <c r="A140" s="16" t="s">
        <v>46</v>
      </c>
      <c r="B140" s="77" t="str">
        <f>IFERROR(HYPERLINK(VLOOKUP(A140,Internal_lists_bugs!$A$2:$C$73,3,FALSE()), VLOOKUP(A140,Internal_lists_bugs!$A$2:$C$73,3,FALSE())&amp;Char(10) &amp; Char(10) &amp; VLOOKUP(A140,Internal_lists_bugs!$A$2:$Z$73,26,FALSE())),"please select a BUG ID")</f>
        <v>https://bugs.launchpad.net/nova/+bug/1434855
/os-extended-volumes/v2.3/server-get-resp.json
/os-extended-volumes/v2.3/servers-detail-resp.json </v>
      </c>
      <c r="C140" s="81" t="str">
        <f>IFERROR(Hyperlink(VLOOKUP(A140,Internal_lists_bugs!$A$2:$G1061,7,FALSE()),"BIC: "&amp;VLOOKUP(A140,Internal_lists_bugs!$A$2:$G1061,7,FALSE())&amp;CHAR(10)&amp;"Intro.Issues: "&amp;VLOOKUP(A140,Internal_lists_bugs!$A$2:$P1061,16,FALSE())),"please select a BUG ID")</f>
        <v>BIC: https://opendev.org/openstack/nova/commit/abc656d
Intro.Issues: blueprint ec2-api</v>
      </c>
      <c r="D140" s="100" t="s">
        <v>4417</v>
      </c>
      <c r="E140" s="54"/>
      <c r="F140" s="79" t="s">
        <v>4421</v>
      </c>
      <c r="G140" s="93" t="s">
        <v>4422</v>
      </c>
      <c r="H140" s="54"/>
      <c r="I140" s="1"/>
    </row>
    <row r="141">
      <c r="A141" s="16" t="s">
        <v>46</v>
      </c>
      <c r="B141" s="77" t="str">
        <f>IFERROR(HYPERLINK(VLOOKUP(A141,Internal_lists_bugs!$A$2:$C$73,3,FALSE()), VLOOKUP(A141,Internal_lists_bugs!$A$2:$C$73,3,FALSE())&amp;Char(10) &amp; Char(10) &amp; VLOOKUP(A141,Internal_lists_bugs!$A$2:$Z$73,26,FALSE())),"please select a BUG ID")</f>
        <v>https://bugs.launchpad.net/nova/+bug/1434855
/os-extended-volumes/v2.3/server-get-resp.json
/os-extended-volumes/v2.3/servers-detail-resp.json </v>
      </c>
      <c r="C141" s="81" t="str">
        <f>IFERROR(Hyperlink(VLOOKUP(A141,Internal_lists_bugs!$A$2:$G1061,7,FALSE()),"BIC: "&amp;VLOOKUP(A141,Internal_lists_bugs!$A$2:$G1061,7,FALSE())&amp;CHAR(10)&amp;"Intro.Issues: "&amp;VLOOKUP(A141,Internal_lists_bugs!$A$2:$P1061,16,FALSE())),"please select a BUG ID")</f>
        <v>BIC: https://opendev.org/openstack/nova/commit/abc656d
Intro.Issues: blueprint ec2-api</v>
      </c>
      <c r="D141" s="100" t="s">
        <v>4417</v>
      </c>
      <c r="E141" s="54"/>
      <c r="F141" s="79" t="s">
        <v>4423</v>
      </c>
      <c r="G141" s="98" t="s">
        <v>4424</v>
      </c>
      <c r="H141" s="54"/>
      <c r="I141" s="1"/>
    </row>
    <row r="142">
      <c r="A142" s="16" t="s">
        <v>46</v>
      </c>
      <c r="B142" s="77" t="str">
        <f>IFERROR(HYPERLINK(VLOOKUP(A142,Internal_lists_bugs!$A$2:$C$73,3,FALSE()), VLOOKUP(A142,Internal_lists_bugs!$A$2:$C$73,3,FALSE())&amp;Char(10) &amp; Char(10) &amp; VLOOKUP(A142,Internal_lists_bugs!$A$2:$Z$73,26,FALSE())),"please select a BUG ID")</f>
        <v>https://bugs.launchpad.net/nova/+bug/1434855
/os-extended-volumes/v2.3/server-get-resp.json
/os-extended-volumes/v2.3/servers-detail-resp.json </v>
      </c>
      <c r="C142" s="81" t="str">
        <f>IFERROR(Hyperlink(VLOOKUP(A142,Internal_lists_bugs!$A$2:$G1061,7,FALSE()),"BIC: "&amp;VLOOKUP(A142,Internal_lists_bugs!$A$2:$G1061,7,FALSE())&amp;CHAR(10)&amp;"Intro.Issues: "&amp;VLOOKUP(A142,Internal_lists_bugs!$A$2:$P1061,16,FALSE())),"please select a BUG ID")</f>
        <v>BIC: https://opendev.org/openstack/nova/commit/abc656d
Intro.Issues: blueprint ec2-api</v>
      </c>
      <c r="D142" s="100" t="s">
        <v>4417</v>
      </c>
      <c r="E142" s="54"/>
      <c r="F142" s="79" t="s">
        <v>4342</v>
      </c>
      <c r="G142" s="93" t="s">
        <v>4425</v>
      </c>
      <c r="H142" s="54"/>
      <c r="I142" s="1"/>
    </row>
    <row r="143">
      <c r="A143" s="16" t="s">
        <v>46</v>
      </c>
      <c r="B143" s="77" t="str">
        <f>IFERROR(HYPERLINK(VLOOKUP(A143,Internal_lists_bugs!$A$2:$C$73,3,FALSE()), VLOOKUP(A143,Internal_lists_bugs!$A$2:$C$73,3,FALSE())&amp;Char(10) &amp; Char(10) &amp; VLOOKUP(A143,Internal_lists_bugs!$A$2:$Z$73,26,FALSE())),"please select a BUG ID")</f>
        <v>https://bugs.launchpad.net/nova/+bug/1434855
/os-extended-volumes/v2.3/server-get-resp.json
/os-extended-volumes/v2.3/servers-detail-resp.json </v>
      </c>
      <c r="C143" s="81" t="str">
        <f>IFERROR(Hyperlink(VLOOKUP(A143,Internal_lists_bugs!$A$2:$G1061,7,FALSE()),"BIC: "&amp;VLOOKUP(A143,Internal_lists_bugs!$A$2:$G1061,7,FALSE())&amp;CHAR(10)&amp;"Intro.Issues: "&amp;VLOOKUP(A143,Internal_lists_bugs!$A$2:$P1061,16,FALSE())),"please select a BUG ID")</f>
        <v>BIC: https://opendev.org/openstack/nova/commit/abc656d
Intro.Issues: blueprint ec2-api</v>
      </c>
      <c r="D143" s="100" t="s">
        <v>4417</v>
      </c>
      <c r="E143" s="54"/>
      <c r="F143" s="79" t="s">
        <v>4388</v>
      </c>
      <c r="G143" s="93" t="s">
        <v>4426</v>
      </c>
      <c r="H143" s="54"/>
      <c r="I143" s="1"/>
    </row>
    <row r="144">
      <c r="A144" s="16" t="s">
        <v>46</v>
      </c>
      <c r="B144" s="77" t="str">
        <f>IFERROR(HYPERLINK(VLOOKUP(A144,Internal_lists_bugs!$A$2:$C$73,3,FALSE()), VLOOKUP(A144,Internal_lists_bugs!$A$2:$C$73,3,FALSE())&amp;Char(10) &amp; Char(10) &amp; VLOOKUP(A144,Internal_lists_bugs!$A$2:$Z$73,26,FALSE())),"please select a BUG ID")</f>
        <v>https://bugs.launchpad.net/nova/+bug/1434855
/os-extended-volumes/v2.3/server-get-resp.json
/os-extended-volumes/v2.3/servers-detail-resp.json </v>
      </c>
      <c r="C144" s="81" t="str">
        <f>IFERROR(Hyperlink(VLOOKUP(A144,Internal_lists_bugs!$A$2:$G1061,7,FALSE()),"BIC: "&amp;VLOOKUP(A144,Internal_lists_bugs!$A$2:$G1061,7,FALSE())&amp;CHAR(10)&amp;"Intro.Issues: "&amp;VLOOKUP(A144,Internal_lists_bugs!$A$2:$P1061,16,FALSE())),"please select a BUG ID")</f>
        <v>BIC: https://opendev.org/openstack/nova/commit/abc656d
Intro.Issues: blueprint ec2-api</v>
      </c>
      <c r="D144" s="100" t="s">
        <v>4417</v>
      </c>
      <c r="E144" s="54"/>
      <c r="F144" s="79" t="s">
        <v>4397</v>
      </c>
      <c r="G144" s="93" t="s">
        <v>4427</v>
      </c>
      <c r="H144" s="54"/>
      <c r="I144" s="1"/>
    </row>
    <row r="145">
      <c r="A145" s="16" t="s">
        <v>47</v>
      </c>
      <c r="B145" s="77" t="str">
        <f>IFERROR(HYPERLINK(VLOOKUP(A145,Internal_lists_bugs!$A$2:$C$73,3,FALSE()), VLOOKUP(A145,Internal_lists_bugs!$A$2:$C$73,3,FALSE())&amp;Char(10) &amp; Char(10) &amp; VLOOKUP(A145,Internal_lists_bugs!$A$2:$Z$73,26,FALSE())),"please select a BUG ID")</f>
        <v>https://bugs.launchpad.net/nova/+bug/1447249
/virt/ironic/driver.py</v>
      </c>
      <c r="C145" s="81" t="str">
        <f>IFERROR(Hyperlink(VLOOKUP(A145,Internal_lists_bugs!$A$2:$G1061,7,FALSE()),"BIC: "&amp;VLOOKUP(A145,Internal_lists_bugs!$A$2:$G1061,7,FALSE())&amp;CHAR(10)&amp;"Intro.Issues: "&amp;VLOOKUP(A145,Internal_lists_bugs!$A$2:$P1061,16,FALSE())),"please select a BUG ID")</f>
        <v>BIC: https://opendev.org/openstack/nova/commit/1682c5b
Intro.Issues: use-configdrive-with-ironic</v>
      </c>
      <c r="D145" s="100" t="s">
        <v>4428</v>
      </c>
      <c r="E145" s="16" t="s">
        <v>4290</v>
      </c>
      <c r="F145" s="79" t="s">
        <v>4397</v>
      </c>
      <c r="G145" s="93" t="s">
        <v>4427</v>
      </c>
      <c r="H145" s="16" t="s">
        <v>251</v>
      </c>
      <c r="I145" s="1"/>
    </row>
    <row r="146">
      <c r="A146" s="16" t="s">
        <v>47</v>
      </c>
      <c r="B146" s="77" t="str">
        <f>IFERROR(HYPERLINK(VLOOKUP(A146,Internal_lists_bugs!$A$2:$C$73,3,FALSE()), VLOOKUP(A146,Internal_lists_bugs!$A$2:$C$73,3,FALSE())&amp;Char(10) &amp; Char(10) &amp; VLOOKUP(A146,Internal_lists_bugs!$A$2:$Z$73,26,FALSE())),"please select a BUG ID")</f>
        <v>https://bugs.launchpad.net/nova/+bug/1447249
/virt/ironic/driver.py</v>
      </c>
      <c r="C146" s="81" t="str">
        <f>IFERROR(Hyperlink(VLOOKUP(A146,Internal_lists_bugs!$A$2:$G1061,7,FALSE()),"BIC: "&amp;VLOOKUP(A146,Internal_lists_bugs!$A$2:$G1061,7,FALSE())&amp;CHAR(10)&amp;"Intro.Issues: "&amp;VLOOKUP(A146,Internal_lists_bugs!$A$2:$P1061,16,FALSE())),"please select a BUG ID")</f>
        <v>BIC: https://opendev.org/openstack/nova/commit/1682c5b
Intro.Issues: use-configdrive-with-ironic</v>
      </c>
      <c r="D146" s="100" t="s">
        <v>4428</v>
      </c>
      <c r="E146" s="54"/>
      <c r="F146" s="79" t="s">
        <v>4297</v>
      </c>
      <c r="G146" s="93" t="s">
        <v>4344</v>
      </c>
      <c r="H146" s="54"/>
      <c r="I146" s="1"/>
    </row>
    <row r="147">
      <c r="A147" s="16" t="s">
        <v>47</v>
      </c>
      <c r="B147" s="77" t="str">
        <f>IFERROR(HYPERLINK(VLOOKUP(A147,Internal_lists_bugs!$A$2:$C$73,3,FALSE()), VLOOKUP(A147,Internal_lists_bugs!$A$2:$C$73,3,FALSE())&amp;Char(10) &amp; Char(10) &amp; VLOOKUP(A147,Internal_lists_bugs!$A$2:$Z$73,26,FALSE())),"please select a BUG ID")</f>
        <v>https://bugs.launchpad.net/nova/+bug/1447249
/virt/ironic/driver.py</v>
      </c>
      <c r="C147" s="81" t="str">
        <f>IFERROR(Hyperlink(VLOOKUP(A147,Internal_lists_bugs!$A$2:$G1061,7,FALSE()),"BIC: "&amp;VLOOKUP(A147,Internal_lists_bugs!$A$2:$G1061,7,FALSE())&amp;CHAR(10)&amp;"Intro.Issues: "&amp;VLOOKUP(A147,Internal_lists_bugs!$A$2:$P1061,16,FALSE())),"please select a BUG ID")</f>
        <v>BIC: https://opendev.org/openstack/nova/commit/1682c5b
Intro.Issues: use-configdrive-with-ironic</v>
      </c>
      <c r="D147" s="100" t="s">
        <v>4428</v>
      </c>
      <c r="E147" s="54"/>
      <c r="F147" s="79" t="s">
        <v>4295</v>
      </c>
      <c r="G147" s="93" t="s">
        <v>4429</v>
      </c>
      <c r="H147" s="54"/>
      <c r="I147" s="1"/>
    </row>
    <row r="148">
      <c r="A148" s="16" t="s">
        <v>47</v>
      </c>
      <c r="B148" s="77" t="str">
        <f>IFERROR(HYPERLINK(VLOOKUP(A148,Internal_lists_bugs!$A$2:$C$73,3,FALSE()), VLOOKUP(A148,Internal_lists_bugs!$A$2:$C$73,3,FALSE())&amp;Char(10) &amp; Char(10) &amp; VLOOKUP(A148,Internal_lists_bugs!$A$2:$Z$73,26,FALSE())),"please select a BUG ID")</f>
        <v>https://bugs.launchpad.net/nova/+bug/1447249
/virt/ironic/driver.py</v>
      </c>
      <c r="C148" s="81" t="str">
        <f>IFERROR(Hyperlink(VLOOKUP(A148,Internal_lists_bugs!$A$2:$G1061,7,FALSE()),"BIC: "&amp;VLOOKUP(A148,Internal_lists_bugs!$A$2:$G1061,7,FALSE())&amp;CHAR(10)&amp;"Intro.Issues: "&amp;VLOOKUP(A148,Internal_lists_bugs!$A$2:$P1061,16,FALSE())),"please select a BUG ID")</f>
        <v>BIC: https://opendev.org/openstack/nova/commit/1682c5b
Intro.Issues: use-configdrive-with-ironic</v>
      </c>
      <c r="D148" s="100" t="s">
        <v>4428</v>
      </c>
      <c r="E148" s="54"/>
      <c r="F148" s="79" t="s">
        <v>4430</v>
      </c>
      <c r="G148" s="93" t="s">
        <v>4431</v>
      </c>
      <c r="H148" s="54"/>
      <c r="I148" s="1"/>
    </row>
    <row r="149">
      <c r="A149" s="16" t="s">
        <v>47</v>
      </c>
      <c r="B149" s="77" t="str">
        <f>IFERROR(HYPERLINK(VLOOKUP(A149,Internal_lists_bugs!$A$2:$C$73,3,FALSE()), VLOOKUP(A149,Internal_lists_bugs!$A$2:$C$73,3,FALSE())&amp;Char(10) &amp; Char(10) &amp; VLOOKUP(A149,Internal_lists_bugs!$A$2:$Z$73,26,FALSE())),"please select a BUG ID")</f>
        <v>https://bugs.launchpad.net/nova/+bug/1447249
/virt/ironic/driver.py</v>
      </c>
      <c r="C149" s="81" t="str">
        <f>IFERROR(Hyperlink(VLOOKUP(A149,Internal_lists_bugs!$A$2:$G1061,7,FALSE()),"BIC: "&amp;VLOOKUP(A149,Internal_lists_bugs!$A$2:$G1061,7,FALSE())&amp;CHAR(10)&amp;"Intro.Issues: "&amp;VLOOKUP(A149,Internal_lists_bugs!$A$2:$P1061,16,FALSE())),"please select a BUG ID")</f>
        <v>BIC: https://opendev.org/openstack/nova/commit/1682c5b
Intro.Issues: use-configdrive-with-ironic</v>
      </c>
      <c r="D149" s="100" t="s">
        <v>4428</v>
      </c>
      <c r="E149" s="54"/>
      <c r="F149" s="79" t="s">
        <v>4302</v>
      </c>
      <c r="G149" s="93" t="s">
        <v>4432</v>
      </c>
      <c r="H149" s="54"/>
      <c r="I149" s="1"/>
    </row>
    <row r="150">
      <c r="A150" s="16" t="s">
        <v>47</v>
      </c>
      <c r="B150" s="77" t="str">
        <f>IFERROR(HYPERLINK(VLOOKUP(A150,Internal_lists_bugs!$A$2:$C$73,3,FALSE()), VLOOKUP(A150,Internal_lists_bugs!$A$2:$C$73,3,FALSE())&amp;Char(10) &amp; Char(10) &amp; VLOOKUP(A150,Internal_lists_bugs!$A$2:$Z$73,26,FALSE())),"please select a BUG ID")</f>
        <v>https://bugs.launchpad.net/nova/+bug/1447249
/virt/ironic/driver.py</v>
      </c>
      <c r="C150" s="81" t="str">
        <f>IFERROR(Hyperlink(VLOOKUP(A150,Internal_lists_bugs!$A$2:$G1061,7,FALSE()),"BIC: "&amp;VLOOKUP(A150,Internal_lists_bugs!$A$2:$G1061,7,FALSE())&amp;CHAR(10)&amp;"Intro.Issues: "&amp;VLOOKUP(A150,Internal_lists_bugs!$A$2:$P1061,16,FALSE())),"please select a BUG ID")</f>
        <v>BIC: https://opendev.org/openstack/nova/commit/1682c5b
Intro.Issues: use-configdrive-with-ironic</v>
      </c>
      <c r="D150" s="100" t="s">
        <v>4428</v>
      </c>
      <c r="E150" s="54"/>
      <c r="F150" s="79" t="s">
        <v>4332</v>
      </c>
      <c r="G150" s="93" t="s">
        <v>4433</v>
      </c>
      <c r="H150" s="54"/>
      <c r="I150" s="1"/>
    </row>
    <row r="151">
      <c r="A151" s="16" t="s">
        <v>47</v>
      </c>
      <c r="B151" s="77" t="str">
        <f>IFERROR(HYPERLINK(VLOOKUP(A151,Internal_lists_bugs!$A$2:$C$73,3,FALSE()), VLOOKUP(A151,Internal_lists_bugs!$A$2:$C$73,3,FALSE())&amp;Char(10) &amp; Char(10) &amp; VLOOKUP(A151,Internal_lists_bugs!$A$2:$Z$73,26,FALSE())),"please select a BUG ID")</f>
        <v>https://bugs.launchpad.net/nova/+bug/1447249
/virt/ironic/driver.py</v>
      </c>
      <c r="C151" s="81" t="str">
        <f>IFERROR(Hyperlink(VLOOKUP(A151,Internal_lists_bugs!$A$2:$G1061,7,FALSE()),"BIC: "&amp;VLOOKUP(A151,Internal_lists_bugs!$A$2:$G1061,7,FALSE())&amp;CHAR(10)&amp;"Intro.Issues: "&amp;VLOOKUP(A151,Internal_lists_bugs!$A$2:$P1061,16,FALSE())),"please select a BUG ID")</f>
        <v>BIC: https://opendev.org/openstack/nova/commit/1682c5b
Intro.Issues: use-configdrive-with-ironic</v>
      </c>
      <c r="D151" s="100" t="s">
        <v>4428</v>
      </c>
      <c r="E151" s="54"/>
      <c r="F151" s="79" t="s">
        <v>4336</v>
      </c>
      <c r="G151" s="93" t="s">
        <v>4434</v>
      </c>
      <c r="H151" s="54"/>
      <c r="I151" s="1"/>
    </row>
    <row r="152">
      <c r="A152" s="16" t="s">
        <v>47</v>
      </c>
      <c r="B152" s="77" t="str">
        <f>IFERROR(HYPERLINK(VLOOKUP(A152,Internal_lists_bugs!$A$2:$C$73,3,FALSE()), VLOOKUP(A152,Internal_lists_bugs!$A$2:$C$73,3,FALSE())&amp;Char(10) &amp; Char(10) &amp; VLOOKUP(A152,Internal_lists_bugs!$A$2:$Z$73,26,FALSE())),"please select a BUG ID")</f>
        <v>https://bugs.launchpad.net/nova/+bug/1447249
/virt/ironic/driver.py</v>
      </c>
      <c r="C152" s="81" t="str">
        <f>IFERROR(Hyperlink(VLOOKUP(A152,Internal_lists_bugs!$A$2:$G1061,7,FALSE()),"BIC: "&amp;VLOOKUP(A152,Internal_lists_bugs!$A$2:$G1061,7,FALSE())&amp;CHAR(10)&amp;"Intro.Issues: "&amp;VLOOKUP(A152,Internal_lists_bugs!$A$2:$P1061,16,FALSE())),"please select a BUG ID")</f>
        <v>BIC: https://opendev.org/openstack/nova/commit/1682c5b
Intro.Issues: use-configdrive-with-ironic</v>
      </c>
      <c r="D152" s="100" t="s">
        <v>4428</v>
      </c>
      <c r="E152" s="54"/>
      <c r="F152" s="79" t="s">
        <v>4388</v>
      </c>
      <c r="G152" s="93" t="s">
        <v>4435</v>
      </c>
      <c r="H152" s="54"/>
      <c r="I152" s="1"/>
    </row>
    <row r="153">
      <c r="A153" s="16" t="s">
        <v>48</v>
      </c>
      <c r="B153" s="77" t="str">
        <f>IFERROR(HYPERLINK(VLOOKUP(A153,Internal_lists_bugs!$A$2:$C$73,3,FALSE()), VLOOKUP(A153,Internal_lists_bugs!$A$2:$C$73,3,FALSE())&amp;Char(10) &amp; Char(10) &amp; VLOOKUP(A153,Internal_lists_bugs!$A$2:$Z$73,26,FALSE())),"please select a BUG ID")</f>
        <v>https://bugs.launchpad.net/nova/+bug/1475356
/objects/base.py</v>
      </c>
      <c r="C153" s="81" t="str">
        <f>IFERROR(Hyperlink(VLOOKUP(A153,Internal_lists_bugs!$A$2:$G1061,7,FALSE()),"BIC: "&amp;VLOOKUP(A153,Internal_lists_bugs!$A$2:$G1061,7,FALSE())&amp;CHAR(10)&amp;"Intro.Issues: "&amp;VLOOKUP(A153,Internal_lists_bugs!$A$2:$P1061,16,FALSE())),"please select a BUG ID")</f>
        <v>BIC: https://opendev.org/openstack/nova/commit/0eb7e35fbf
Intro.Issues: 1258256</v>
      </c>
      <c r="D153" s="100">
        <v>1258256.0</v>
      </c>
      <c r="E153" s="16" t="s">
        <v>4280</v>
      </c>
      <c r="F153" s="79" t="s">
        <v>4352</v>
      </c>
      <c r="G153" s="93" t="s">
        <v>4436</v>
      </c>
      <c r="H153" s="16" t="s">
        <v>123</v>
      </c>
      <c r="I153" s="1"/>
    </row>
    <row r="154">
      <c r="A154" s="16" t="s">
        <v>48</v>
      </c>
      <c r="B154" s="77" t="str">
        <f>IFERROR(HYPERLINK(VLOOKUP(A154,Internal_lists_bugs!$A$2:$C$73,3,FALSE()), VLOOKUP(A154,Internal_lists_bugs!$A$2:$C$73,3,FALSE())&amp;Char(10) &amp; Char(10) &amp; VLOOKUP(A154,Internal_lists_bugs!$A$2:$Z$73,26,FALSE())),"please select a BUG ID")</f>
        <v>https://bugs.launchpad.net/nova/+bug/1475356
/objects/base.py</v>
      </c>
      <c r="C154" s="81" t="str">
        <f>IFERROR(Hyperlink(VLOOKUP(A154,Internal_lists_bugs!$A$2:$G1061,7,FALSE()),"BIC: "&amp;VLOOKUP(A154,Internal_lists_bugs!$A$2:$G1061,7,FALSE())&amp;CHAR(10)&amp;"Intro.Issues: "&amp;VLOOKUP(A154,Internal_lists_bugs!$A$2:$P1061,16,FALSE())),"please select a BUG ID")</f>
        <v>BIC: https://opendev.org/openstack/nova/commit/0eb7e35fbf
Intro.Issues: 1258256</v>
      </c>
      <c r="D154" s="100">
        <v>1258256.0</v>
      </c>
      <c r="E154" s="54"/>
      <c r="F154" s="79" t="s">
        <v>119</v>
      </c>
      <c r="G154" s="93" t="s">
        <v>4437</v>
      </c>
      <c r="H154" s="54"/>
      <c r="I154" s="1"/>
    </row>
    <row r="155">
      <c r="A155" s="16" t="s">
        <v>48</v>
      </c>
      <c r="B155" s="77" t="str">
        <f>IFERROR(HYPERLINK(VLOOKUP(A155,Internal_lists_bugs!$A$2:$C$73,3,FALSE()), VLOOKUP(A155,Internal_lists_bugs!$A$2:$C$73,3,FALSE())&amp;Char(10) &amp; Char(10) &amp; VLOOKUP(A155,Internal_lists_bugs!$A$2:$Z$73,26,FALSE())),"please select a BUG ID")</f>
        <v>https://bugs.launchpad.net/nova/+bug/1475356
/objects/base.py</v>
      </c>
      <c r="C155" s="81" t="str">
        <f>IFERROR(Hyperlink(VLOOKUP(A155,Internal_lists_bugs!$A$2:$G1061,7,FALSE()),"BIC: "&amp;VLOOKUP(A155,Internal_lists_bugs!$A$2:$G1061,7,FALSE())&amp;CHAR(10)&amp;"Intro.Issues: "&amp;VLOOKUP(A155,Internal_lists_bugs!$A$2:$P1061,16,FALSE())),"please select a BUG ID")</f>
        <v>BIC: https://opendev.org/openstack/nova/commit/0eb7e35fbf
Intro.Issues: 1258256</v>
      </c>
      <c r="D155" s="100">
        <v>1258256.0</v>
      </c>
      <c r="E155" s="54"/>
      <c r="F155" s="79" t="s">
        <v>4352</v>
      </c>
      <c r="G155" s="93" t="s">
        <v>4438</v>
      </c>
      <c r="H155" s="54"/>
      <c r="I155" s="1"/>
    </row>
    <row r="156">
      <c r="A156" s="16" t="s">
        <v>48</v>
      </c>
      <c r="B156" s="77" t="str">
        <f>IFERROR(HYPERLINK(VLOOKUP(A156,Internal_lists_bugs!$A$2:$C$73,3,FALSE()), VLOOKUP(A156,Internal_lists_bugs!$A$2:$C$73,3,FALSE())&amp;Char(10) &amp; Char(10) &amp; VLOOKUP(A156,Internal_lists_bugs!$A$2:$Z$73,26,FALSE())),"please select a BUG ID")</f>
        <v>https://bugs.launchpad.net/nova/+bug/1475356
/objects/base.py</v>
      </c>
      <c r="C156" s="81" t="str">
        <f>IFERROR(Hyperlink(VLOOKUP(A156,Internal_lists_bugs!$A$2:$G1061,7,FALSE()),"BIC: "&amp;VLOOKUP(A156,Internal_lists_bugs!$A$2:$G1061,7,FALSE())&amp;CHAR(10)&amp;"Intro.Issues: "&amp;VLOOKUP(A156,Internal_lists_bugs!$A$2:$P1061,16,FALSE())),"please select a BUG ID")</f>
        <v>BIC: https://opendev.org/openstack/nova/commit/0eb7e35fbf
Intro.Issues: 1258256</v>
      </c>
      <c r="D156" s="100">
        <v>1258256.0</v>
      </c>
      <c r="E156" s="54"/>
      <c r="F156" s="79" t="s">
        <v>119</v>
      </c>
      <c r="G156" s="93" t="s">
        <v>389</v>
      </c>
      <c r="H156" s="54"/>
      <c r="I156" s="1"/>
    </row>
    <row r="157">
      <c r="A157" s="16" t="s">
        <v>48</v>
      </c>
      <c r="B157" s="77" t="str">
        <f>IFERROR(HYPERLINK(VLOOKUP(A157,Internal_lists_bugs!$A$2:$C$73,3,FALSE()), VLOOKUP(A157,Internal_lists_bugs!$A$2:$C$73,3,FALSE())&amp;Char(10) &amp; Char(10) &amp; VLOOKUP(A157,Internal_lists_bugs!$A$2:$Z$73,26,FALSE())),"please select a BUG ID")</f>
        <v>https://bugs.launchpad.net/nova/+bug/1475356
/objects/base.py</v>
      </c>
      <c r="C157" s="81" t="str">
        <f>IFERROR(Hyperlink(VLOOKUP(A157,Internal_lists_bugs!$A$2:$G1061,7,FALSE()),"BIC: "&amp;VLOOKUP(A157,Internal_lists_bugs!$A$2:$G1061,7,FALSE())&amp;CHAR(10)&amp;"Intro.Issues: "&amp;VLOOKUP(A157,Internal_lists_bugs!$A$2:$P1061,16,FALSE())),"please select a BUG ID")</f>
        <v>BIC: https://opendev.org/openstack/nova/commit/0eb7e35fbf
Intro.Issues: 1258256</v>
      </c>
      <c r="D157" s="100">
        <v>1258256.0</v>
      </c>
      <c r="E157" s="54"/>
      <c r="F157" s="79" t="s">
        <v>129</v>
      </c>
      <c r="G157" s="93" t="s">
        <v>204</v>
      </c>
      <c r="H157" s="54"/>
      <c r="I157" s="1"/>
    </row>
    <row r="158">
      <c r="A158" s="16" t="s">
        <v>48</v>
      </c>
      <c r="B158" s="77" t="str">
        <f>IFERROR(HYPERLINK(VLOOKUP(A158,Internal_lists_bugs!$A$2:$C$73,3,FALSE()), VLOOKUP(A158,Internal_lists_bugs!$A$2:$C$73,3,FALSE())&amp;Char(10) &amp; Char(10) &amp; VLOOKUP(A158,Internal_lists_bugs!$A$2:$Z$73,26,FALSE())),"please select a BUG ID")</f>
        <v>https://bugs.launchpad.net/nova/+bug/1475356
/objects/base.py</v>
      </c>
      <c r="C158" s="81" t="str">
        <f>IFERROR(Hyperlink(VLOOKUP(A158,Internal_lists_bugs!$A$2:$G1061,7,FALSE()),"BIC: "&amp;VLOOKUP(A158,Internal_lists_bugs!$A$2:$G1061,7,FALSE())&amp;CHAR(10)&amp;"Intro.Issues: "&amp;VLOOKUP(A158,Internal_lists_bugs!$A$2:$P1061,16,FALSE())),"please select a BUG ID")</f>
        <v>BIC: https://opendev.org/openstack/nova/commit/0eb7e35fbf
Intro.Issues: 1258256</v>
      </c>
      <c r="D158" s="100">
        <v>1258256.0</v>
      </c>
      <c r="E158" s="54"/>
      <c r="F158" s="79" t="s">
        <v>235</v>
      </c>
      <c r="G158" s="93" t="s">
        <v>205</v>
      </c>
      <c r="H158" s="54"/>
      <c r="I158" s="1"/>
    </row>
    <row r="159">
      <c r="A159" s="16" t="s">
        <v>48</v>
      </c>
      <c r="B159" s="77" t="str">
        <f>IFERROR(HYPERLINK(VLOOKUP(A159,Internal_lists_bugs!$A$2:$C$73,3,FALSE()), VLOOKUP(A159,Internal_lists_bugs!$A$2:$C$73,3,FALSE())&amp;Char(10) &amp; Char(10) &amp; VLOOKUP(A159,Internal_lists_bugs!$A$2:$Z$73,26,FALSE())),"please select a BUG ID")</f>
        <v>https://bugs.launchpad.net/nova/+bug/1475356
/objects/base.py</v>
      </c>
      <c r="C159" s="81" t="str">
        <f>IFERROR(Hyperlink(VLOOKUP(A159,Internal_lists_bugs!$A$2:$G1061,7,FALSE()),"BIC: "&amp;VLOOKUP(A159,Internal_lists_bugs!$A$2:$G1061,7,FALSE())&amp;CHAR(10)&amp;"Intro.Issues: "&amp;VLOOKUP(A159,Internal_lists_bugs!$A$2:$P1061,16,FALSE())),"please select a BUG ID")</f>
        <v>BIC: https://opendev.org/openstack/nova/commit/0eb7e35fbf
Intro.Issues: 1258256</v>
      </c>
      <c r="D159" s="100">
        <v>1258256.0</v>
      </c>
      <c r="E159" s="54"/>
      <c r="F159" s="79" t="s">
        <v>1292</v>
      </c>
      <c r="G159" s="93" t="s">
        <v>229</v>
      </c>
      <c r="H159" s="54"/>
      <c r="I159" s="1"/>
    </row>
    <row r="160">
      <c r="A160" s="16" t="s">
        <v>48</v>
      </c>
      <c r="B160" s="77" t="str">
        <f>IFERROR(HYPERLINK(VLOOKUP(A160,Internal_lists_bugs!$A$2:$C$73,3,FALSE()), VLOOKUP(A160,Internal_lists_bugs!$A$2:$C$73,3,FALSE())&amp;Char(10) &amp; Char(10) &amp; VLOOKUP(A160,Internal_lists_bugs!$A$2:$Z$73,26,FALSE())),"please select a BUG ID")</f>
        <v>https://bugs.launchpad.net/nova/+bug/1475356
/objects/base.py</v>
      </c>
      <c r="C160" s="81" t="str">
        <f>IFERROR(Hyperlink(VLOOKUP(A160,Internal_lists_bugs!$A$2:$G1061,7,FALSE()),"BIC: "&amp;VLOOKUP(A160,Internal_lists_bugs!$A$2:$G1061,7,FALSE())&amp;CHAR(10)&amp;"Intro.Issues: "&amp;VLOOKUP(A160,Internal_lists_bugs!$A$2:$P1061,16,FALSE())),"please select a BUG ID")</f>
        <v>BIC: https://opendev.org/openstack/nova/commit/0eb7e35fbf
Intro.Issues: 1258256</v>
      </c>
      <c r="D160" s="100">
        <v>1258256.0</v>
      </c>
      <c r="E160" s="54"/>
      <c r="F160" s="79" t="s">
        <v>4368</v>
      </c>
      <c r="G160" s="93" t="s">
        <v>216</v>
      </c>
      <c r="H160" s="54"/>
      <c r="I160" s="1"/>
    </row>
    <row r="161">
      <c r="A161" s="16" t="s">
        <v>48</v>
      </c>
      <c r="B161" s="77" t="str">
        <f>IFERROR(HYPERLINK(VLOOKUP(A161,Internal_lists_bugs!$A$2:$C$73,3,FALSE()), VLOOKUP(A161,Internal_lists_bugs!$A$2:$C$73,3,FALSE())&amp;Char(10) &amp; Char(10) &amp; VLOOKUP(A161,Internal_lists_bugs!$A$2:$Z$73,26,FALSE())),"please select a BUG ID")</f>
        <v>https://bugs.launchpad.net/nova/+bug/1475356
/objects/base.py</v>
      </c>
      <c r="C161" s="81" t="str">
        <f>IFERROR(Hyperlink(VLOOKUP(A161,Internal_lists_bugs!$A$2:$G1061,7,FALSE()),"BIC: "&amp;VLOOKUP(A161,Internal_lists_bugs!$A$2:$G1061,7,FALSE())&amp;CHAR(10)&amp;"Intro.Issues: "&amp;VLOOKUP(A161,Internal_lists_bugs!$A$2:$P1061,16,FALSE())),"please select a BUG ID")</f>
        <v>BIC: https://opendev.org/openstack/nova/commit/0eb7e35fbf
Intro.Issues: 1258256</v>
      </c>
      <c r="D161" s="100">
        <v>1258256.0</v>
      </c>
      <c r="E161" s="54"/>
      <c r="F161" s="79" t="s">
        <v>4363</v>
      </c>
      <c r="G161" s="93" t="s">
        <v>217</v>
      </c>
      <c r="H161" s="54"/>
      <c r="I161" s="1"/>
    </row>
    <row r="162">
      <c r="A162" s="16" t="s">
        <v>48</v>
      </c>
      <c r="B162" s="77" t="str">
        <f>IFERROR(HYPERLINK(VLOOKUP(A162,Internal_lists_bugs!$A$2:$C$73,3,FALSE()), VLOOKUP(A162,Internal_lists_bugs!$A$2:$C$73,3,FALSE())&amp;Char(10) &amp; Char(10) &amp; VLOOKUP(A162,Internal_lists_bugs!$A$2:$Z$73,26,FALSE())),"please select a BUG ID")</f>
        <v>https://bugs.launchpad.net/nova/+bug/1475356
/objects/base.py</v>
      </c>
      <c r="C162" s="81" t="str">
        <f>IFERROR(Hyperlink(VLOOKUP(A162,Internal_lists_bugs!$A$2:$G1061,7,FALSE()),"BIC: "&amp;VLOOKUP(A162,Internal_lists_bugs!$A$2:$G1061,7,FALSE())&amp;CHAR(10)&amp;"Intro.Issues: "&amp;VLOOKUP(A162,Internal_lists_bugs!$A$2:$P1061,16,FALSE())),"please select a BUG ID")</f>
        <v>BIC: https://opendev.org/openstack/nova/commit/0eb7e35fbf
Intro.Issues: 1258256</v>
      </c>
      <c r="D162" s="100">
        <v>1258256.0</v>
      </c>
      <c r="E162" s="54"/>
      <c r="F162" s="79" t="s">
        <v>4439</v>
      </c>
      <c r="G162" s="93" t="s">
        <v>183</v>
      </c>
      <c r="H162" s="54"/>
      <c r="I162" s="1"/>
    </row>
    <row r="163">
      <c r="A163" s="16" t="s">
        <v>48</v>
      </c>
      <c r="B163" s="77" t="str">
        <f>IFERROR(HYPERLINK(VLOOKUP(A163,Internal_lists_bugs!$A$2:$C$73,3,FALSE()), VLOOKUP(A163,Internal_lists_bugs!$A$2:$C$73,3,FALSE())&amp;Char(10) &amp; Char(10) &amp; VLOOKUP(A163,Internal_lists_bugs!$A$2:$Z$73,26,FALSE())),"please select a BUG ID")</f>
        <v>https://bugs.launchpad.net/nova/+bug/1475356
/objects/base.py</v>
      </c>
      <c r="C163" s="81" t="str">
        <f>IFERROR(Hyperlink(VLOOKUP(A163,Internal_lists_bugs!$A$2:$G1061,7,FALSE()),"BIC: "&amp;VLOOKUP(A163,Internal_lists_bugs!$A$2:$G1061,7,FALSE())&amp;CHAR(10)&amp;"Intro.Issues: "&amp;VLOOKUP(A163,Internal_lists_bugs!$A$2:$P1061,16,FALSE())),"please select a BUG ID")</f>
        <v>BIC: https://opendev.org/openstack/nova/commit/0eb7e35fbf
Intro.Issues: 1258256</v>
      </c>
      <c r="D163" s="100">
        <v>1258256.0</v>
      </c>
      <c r="E163" s="54"/>
      <c r="F163" s="79" t="s">
        <v>4362</v>
      </c>
      <c r="G163" s="93" t="s">
        <v>185</v>
      </c>
      <c r="H163" s="54"/>
      <c r="I163" s="1"/>
    </row>
    <row r="164">
      <c r="A164" s="16" t="s">
        <v>48</v>
      </c>
      <c r="B164" s="77" t="str">
        <f>IFERROR(HYPERLINK(VLOOKUP(A164,Internal_lists_bugs!$A$2:$C$73,3,FALSE()), VLOOKUP(A164,Internal_lists_bugs!$A$2:$C$73,3,FALSE())&amp;Char(10) &amp; Char(10) &amp; VLOOKUP(A164,Internal_lists_bugs!$A$2:$Z$73,26,FALSE())),"please select a BUG ID")</f>
        <v>https://bugs.launchpad.net/nova/+bug/1475356
/objects/base.py</v>
      </c>
      <c r="C164" s="81" t="str">
        <f>IFERROR(Hyperlink(VLOOKUP(A164,Internal_lists_bugs!$A$2:$G1061,7,FALSE()),"BIC: "&amp;VLOOKUP(A164,Internal_lists_bugs!$A$2:$G1061,7,FALSE())&amp;CHAR(10)&amp;"Intro.Issues: "&amp;VLOOKUP(A164,Internal_lists_bugs!$A$2:$P1061,16,FALSE())),"please select a BUG ID")</f>
        <v>BIC: https://opendev.org/openstack/nova/commit/0eb7e35fbf
Intro.Issues: 1258256</v>
      </c>
      <c r="D164" s="100">
        <v>1258256.0</v>
      </c>
      <c r="E164" s="54"/>
      <c r="F164" s="79" t="s">
        <v>4440</v>
      </c>
      <c r="G164" s="93" t="s">
        <v>187</v>
      </c>
      <c r="H164" s="54"/>
      <c r="I164" s="1"/>
    </row>
    <row r="165">
      <c r="A165" s="16" t="s">
        <v>49</v>
      </c>
      <c r="B165" s="77" t="str">
        <f>IFERROR(HYPERLINK(VLOOKUP(A165,Internal_lists_bugs!$A$2:$C$73,3,FALSE()), VLOOKUP(A165,Internal_lists_bugs!$A$2:$C$73,3,FALSE())&amp;Char(10) &amp; Char(10) &amp; VLOOKUP(A165,Internal_lists_bugs!$A$2:$Z$73,26,FALSE())),"please select a BUG ID")</f>
        <v>https://bugs.launchpad.net/nova/+bug/1370177
nova/block_device.py</v>
      </c>
      <c r="C165" s="81" t="str">
        <f>IFERROR(Hyperlink(VLOOKUP(A165,Internal_lists_bugs!$A$2:$G1061,7,FALSE()),"BIC: "&amp;VLOOKUP(A165,Internal_lists_bugs!$A$2:$G1061,7,FALSE())&amp;CHAR(10)&amp;"Intro.Issues: "&amp;VLOOKUP(A165,Internal_lists_bugs!$A$2:$P1061,16,FALSE())),"please select a BUG ID")</f>
        <v>BIC: https://opendev.org/openstack/nova/commit/33e3d4c6b9
Intro.Issues: icehouse-objects, clean-up-legacy-block-device-mapping</v>
      </c>
      <c r="D165" s="100" t="s">
        <v>4299</v>
      </c>
      <c r="E165" s="16" t="s">
        <v>4290</v>
      </c>
      <c r="F165" s="79" t="s">
        <v>4295</v>
      </c>
      <c r="G165" s="93" t="s">
        <v>4300</v>
      </c>
      <c r="H165" s="16" t="s">
        <v>123</v>
      </c>
      <c r="I165" s="1"/>
    </row>
    <row r="166">
      <c r="A166" s="16" t="s">
        <v>49</v>
      </c>
      <c r="B166" s="77" t="str">
        <f>IFERROR(HYPERLINK(VLOOKUP(A166,Internal_lists_bugs!$A$2:$C$73,3,FALSE()), VLOOKUP(A166,Internal_lists_bugs!$A$2:$C$73,3,FALSE())&amp;Char(10) &amp; Char(10) &amp; VLOOKUP(A166,Internal_lists_bugs!$A$2:$Z$73,26,FALSE())),"please select a BUG ID")</f>
        <v>https://bugs.launchpad.net/nova/+bug/1370177
nova/block_device.py</v>
      </c>
      <c r="C166" s="81" t="str">
        <f>IFERROR(Hyperlink(VLOOKUP(A166,Internal_lists_bugs!$A$2:$G1061,7,FALSE()),"BIC: "&amp;VLOOKUP(A166,Internal_lists_bugs!$A$2:$G1061,7,FALSE())&amp;CHAR(10)&amp;"Intro.Issues: "&amp;VLOOKUP(A166,Internal_lists_bugs!$A$2:$P1061,16,FALSE())),"please select a BUG ID")</f>
        <v>BIC: https://opendev.org/openstack/nova/commit/33e3d4c6b9
Intro.Issues: icehouse-objects, clean-up-legacy-block-device-mapping</v>
      </c>
      <c r="D166" s="100" t="s">
        <v>4299</v>
      </c>
      <c r="E166" s="54"/>
      <c r="F166" s="79" t="s">
        <v>4297</v>
      </c>
      <c r="G166" s="93" t="s">
        <v>4301</v>
      </c>
      <c r="H166" s="54"/>
      <c r="I166" s="1"/>
    </row>
    <row r="167">
      <c r="A167" s="16" t="s">
        <v>49</v>
      </c>
      <c r="B167" s="77" t="str">
        <f>IFERROR(HYPERLINK(VLOOKUP(A167,Internal_lists_bugs!$A$2:$C$73,3,FALSE()), VLOOKUP(A167,Internal_lists_bugs!$A$2:$C$73,3,FALSE())&amp;Char(10) &amp; Char(10) &amp; VLOOKUP(A167,Internal_lists_bugs!$A$2:$Z$73,26,FALSE())),"please select a BUG ID")</f>
        <v>https://bugs.launchpad.net/nova/+bug/1370177
nova/block_device.py</v>
      </c>
      <c r="C167" s="81" t="str">
        <f>IFERROR(Hyperlink(VLOOKUP(A167,Internal_lists_bugs!$A$2:$G1061,7,FALSE()),"BIC: "&amp;VLOOKUP(A167,Internal_lists_bugs!$A$2:$G1061,7,FALSE())&amp;CHAR(10)&amp;"Intro.Issues: "&amp;VLOOKUP(A167,Internal_lists_bugs!$A$2:$P1061,16,FALSE())),"please select a BUG ID")</f>
        <v>BIC: https://opendev.org/openstack/nova/commit/33e3d4c6b9
Intro.Issues: icehouse-objects, clean-up-legacy-block-device-mapping</v>
      </c>
      <c r="D167" s="100" t="s">
        <v>4299</v>
      </c>
      <c r="E167" s="54"/>
      <c r="F167" s="79" t="s">
        <v>4302</v>
      </c>
      <c r="G167" s="93" t="s">
        <v>4303</v>
      </c>
      <c r="H167" s="54"/>
      <c r="I167" s="1"/>
    </row>
    <row r="168">
      <c r="A168" s="16" t="s">
        <v>49</v>
      </c>
      <c r="B168" s="77" t="str">
        <f>IFERROR(HYPERLINK(VLOOKUP(A168,Internal_lists_bugs!$A$2:$C$73,3,FALSE()), VLOOKUP(A168,Internal_lists_bugs!$A$2:$C$73,3,FALSE())&amp;Char(10) &amp; Char(10) &amp; VLOOKUP(A168,Internal_lists_bugs!$A$2:$Z$73,26,FALSE())),"please select a BUG ID")</f>
        <v>https://bugs.launchpad.net/nova/+bug/1370177
nova/block_device.py</v>
      </c>
      <c r="C168" s="81" t="str">
        <f>IFERROR(Hyperlink(VLOOKUP(A168,Internal_lists_bugs!$A$2:$G1061,7,FALSE()),"BIC: "&amp;VLOOKUP(A168,Internal_lists_bugs!$A$2:$G1061,7,FALSE())&amp;CHAR(10)&amp;"Intro.Issues: "&amp;VLOOKUP(A168,Internal_lists_bugs!$A$2:$P1061,16,FALSE())),"please select a BUG ID")</f>
        <v>BIC: https://opendev.org/openstack/nova/commit/33e3d4c6b9
Intro.Issues: icehouse-objects, clean-up-legacy-block-device-mapping</v>
      </c>
      <c r="D168" s="100" t="s">
        <v>4299</v>
      </c>
      <c r="E168" s="54"/>
      <c r="F168" s="79" t="s">
        <v>4304</v>
      </c>
      <c r="G168" s="93" t="s">
        <v>4305</v>
      </c>
      <c r="H168" s="54"/>
      <c r="I168" s="1"/>
    </row>
    <row r="169">
      <c r="A169" s="16" t="s">
        <v>49</v>
      </c>
      <c r="B169" s="77" t="str">
        <f>IFERROR(HYPERLINK(VLOOKUP(A169,Internal_lists_bugs!$A$2:$C$73,3,FALSE()), VLOOKUP(A169,Internal_lists_bugs!$A$2:$C$73,3,FALSE())&amp;Char(10) &amp; Char(10) &amp; VLOOKUP(A169,Internal_lists_bugs!$A$2:$Z$73,26,FALSE())),"please select a BUG ID")</f>
        <v>https://bugs.launchpad.net/nova/+bug/1370177
nova/block_device.py</v>
      </c>
      <c r="C169" s="81" t="str">
        <f>IFERROR(Hyperlink(VLOOKUP(A169,Internal_lists_bugs!$A$2:$G1061,7,FALSE()),"BIC: "&amp;VLOOKUP(A169,Internal_lists_bugs!$A$2:$G1061,7,FALSE())&amp;CHAR(10)&amp;"Intro.Issues: "&amp;VLOOKUP(A169,Internal_lists_bugs!$A$2:$P1061,16,FALSE())),"please select a BUG ID")</f>
        <v>BIC: https://opendev.org/openstack/nova/commit/33e3d4c6b9
Intro.Issues: icehouse-objects, clean-up-legacy-block-device-mapping</v>
      </c>
      <c r="D169" s="100" t="s">
        <v>4299</v>
      </c>
      <c r="E169" s="54"/>
      <c r="F169" s="79" t="s">
        <v>4306</v>
      </c>
      <c r="G169" s="93" t="s">
        <v>4307</v>
      </c>
      <c r="H169" s="54"/>
      <c r="I169" s="1"/>
    </row>
    <row r="170">
      <c r="A170" s="16" t="s">
        <v>49</v>
      </c>
      <c r="B170" s="77" t="str">
        <f>IFERROR(HYPERLINK(VLOOKUP(A170,Internal_lists_bugs!$A$2:$C$73,3,FALSE()), VLOOKUP(A170,Internal_lists_bugs!$A$2:$C$73,3,FALSE())&amp;Char(10) &amp; Char(10) &amp; VLOOKUP(A170,Internal_lists_bugs!$A$2:$Z$73,26,FALSE())),"please select a BUG ID")</f>
        <v>https://bugs.launchpad.net/nova/+bug/1370177
nova/block_device.py</v>
      </c>
      <c r="C170" s="81" t="str">
        <f>IFERROR(Hyperlink(VLOOKUP(A170,Internal_lists_bugs!$A$2:$G1061,7,FALSE()),"BIC: "&amp;VLOOKUP(A170,Internal_lists_bugs!$A$2:$G1061,7,FALSE())&amp;CHAR(10)&amp;"Intro.Issues: "&amp;VLOOKUP(A170,Internal_lists_bugs!$A$2:$P1061,16,FALSE())),"please select a BUG ID")</f>
        <v>BIC: https://opendev.org/openstack/nova/commit/33e3d4c6b9
Intro.Issues: icehouse-objects, clean-up-legacy-block-device-mapping</v>
      </c>
      <c r="D170" s="100" t="s">
        <v>4299</v>
      </c>
      <c r="E170" s="54"/>
      <c r="F170" s="79" t="s">
        <v>4308</v>
      </c>
      <c r="G170" s="94" t="s">
        <v>4441</v>
      </c>
      <c r="H170" s="54"/>
      <c r="I170" s="1"/>
    </row>
    <row r="171">
      <c r="A171" s="16" t="s">
        <v>49</v>
      </c>
      <c r="B171" s="77" t="str">
        <f>IFERROR(HYPERLINK(VLOOKUP(A171,Internal_lists_bugs!$A$2:$C$73,3,FALSE()), VLOOKUP(A171,Internal_lists_bugs!$A$2:$C$73,3,FALSE())&amp;Char(10) &amp; Char(10) &amp; VLOOKUP(A171,Internal_lists_bugs!$A$2:$Z$73,26,FALSE())),"please select a BUG ID")</f>
        <v>https://bugs.launchpad.net/nova/+bug/1370177
nova/block_device.py</v>
      </c>
      <c r="C171" s="81" t="str">
        <f>IFERROR(Hyperlink(VLOOKUP(A171,Internal_lists_bugs!$A$2:$G1061,7,FALSE()),"BIC: "&amp;VLOOKUP(A171,Internal_lists_bugs!$A$2:$G1061,7,FALSE())&amp;CHAR(10)&amp;"Intro.Issues: "&amp;VLOOKUP(A171,Internal_lists_bugs!$A$2:$P1061,16,FALSE())),"please select a BUG ID")</f>
        <v>BIC: https://opendev.org/openstack/nova/commit/33e3d4c6b9
Intro.Issues: icehouse-objects, clean-up-legacy-block-device-mapping</v>
      </c>
      <c r="D171" s="100" t="s">
        <v>4299</v>
      </c>
      <c r="E171" s="54"/>
      <c r="F171" s="79" t="s">
        <v>4310</v>
      </c>
      <c r="G171" s="93" t="s">
        <v>4311</v>
      </c>
      <c r="H171" s="54"/>
      <c r="I171" s="1"/>
    </row>
    <row r="172">
      <c r="A172" s="16" t="s">
        <v>49</v>
      </c>
      <c r="B172" s="77" t="str">
        <f>IFERROR(HYPERLINK(VLOOKUP(A172,Internal_lists_bugs!$A$2:$C$73,3,FALSE()), VLOOKUP(A172,Internal_lists_bugs!$A$2:$C$73,3,FALSE())&amp;Char(10) &amp; Char(10) &amp; VLOOKUP(A172,Internal_lists_bugs!$A$2:$Z$73,26,FALSE())),"please select a BUG ID")</f>
        <v>https://bugs.launchpad.net/nova/+bug/1370177
nova/block_device.py</v>
      </c>
      <c r="C172" s="81" t="str">
        <f>IFERROR(Hyperlink(VLOOKUP(A172,Internal_lists_bugs!$A$2:$G1061,7,FALSE()),"BIC: "&amp;VLOOKUP(A172,Internal_lists_bugs!$A$2:$G1061,7,FALSE())&amp;CHAR(10)&amp;"Intro.Issues: "&amp;VLOOKUP(A172,Internal_lists_bugs!$A$2:$P1061,16,FALSE())),"please select a BUG ID")</f>
        <v>BIC: https://opendev.org/openstack/nova/commit/33e3d4c6b9
Intro.Issues: icehouse-objects, clean-up-legacy-block-device-mapping</v>
      </c>
      <c r="D172" s="100" t="s">
        <v>4299</v>
      </c>
      <c r="E172" s="54"/>
      <c r="F172" s="79" t="s">
        <v>4312</v>
      </c>
      <c r="G172" s="93" t="s">
        <v>4311</v>
      </c>
      <c r="H172" s="54"/>
      <c r="I172" s="1"/>
    </row>
    <row r="173">
      <c r="A173" s="16" t="s">
        <v>49</v>
      </c>
      <c r="B173" s="77" t="str">
        <f>IFERROR(HYPERLINK(VLOOKUP(A173,Internal_lists_bugs!$A$2:$C$73,3,FALSE()), VLOOKUP(A173,Internal_lists_bugs!$A$2:$C$73,3,FALSE())&amp;Char(10) &amp; Char(10) &amp; VLOOKUP(A173,Internal_lists_bugs!$A$2:$Z$73,26,FALSE())),"please select a BUG ID")</f>
        <v>https://bugs.launchpad.net/nova/+bug/1370177
nova/block_device.py</v>
      </c>
      <c r="C173" s="81" t="str">
        <f>IFERROR(Hyperlink(VLOOKUP(A173,Internal_lists_bugs!$A$2:$G1061,7,FALSE()),"BIC: "&amp;VLOOKUP(A173,Internal_lists_bugs!$A$2:$G1061,7,FALSE())&amp;CHAR(10)&amp;"Intro.Issues: "&amp;VLOOKUP(A173,Internal_lists_bugs!$A$2:$P1061,16,FALSE())),"please select a BUG ID")</f>
        <v>BIC: https://opendev.org/openstack/nova/commit/33e3d4c6b9
Intro.Issues: icehouse-objects, clean-up-legacy-block-device-mapping</v>
      </c>
      <c r="D173" s="100" t="s">
        <v>4299</v>
      </c>
      <c r="E173" s="54"/>
      <c r="F173" s="79" t="s">
        <v>4313</v>
      </c>
      <c r="G173" s="93" t="s">
        <v>4311</v>
      </c>
      <c r="H173" s="54"/>
      <c r="I173" s="1"/>
    </row>
    <row r="174">
      <c r="A174" s="16" t="s">
        <v>49</v>
      </c>
      <c r="B174" s="77" t="str">
        <f>IFERROR(HYPERLINK(VLOOKUP(A174,Internal_lists_bugs!$A$2:$C$73,3,FALSE()), VLOOKUP(A174,Internal_lists_bugs!$A$2:$C$73,3,FALSE())&amp;Char(10) &amp; Char(10) &amp; VLOOKUP(A174,Internal_lists_bugs!$A$2:$Z$73,26,FALSE())),"please select a BUG ID")</f>
        <v>https://bugs.launchpad.net/nova/+bug/1370177
nova/block_device.py</v>
      </c>
      <c r="C174" s="81" t="str">
        <f>IFERROR(Hyperlink(VLOOKUP(A174,Internal_lists_bugs!$A$2:$G1061,7,FALSE()),"BIC: "&amp;VLOOKUP(A174,Internal_lists_bugs!$A$2:$G1061,7,FALSE())&amp;CHAR(10)&amp;"Intro.Issues: "&amp;VLOOKUP(A174,Internal_lists_bugs!$A$2:$P1061,16,FALSE())),"please select a BUG ID")</f>
        <v>BIC: https://opendev.org/openstack/nova/commit/33e3d4c6b9
Intro.Issues: icehouse-objects, clean-up-legacy-block-device-mapping</v>
      </c>
      <c r="D174" s="100" t="s">
        <v>4299</v>
      </c>
      <c r="E174" s="54"/>
      <c r="F174" s="79" t="s">
        <v>4314</v>
      </c>
      <c r="G174" s="93" t="s">
        <v>4311</v>
      </c>
      <c r="H174" s="54"/>
      <c r="I174" s="1"/>
    </row>
    <row r="175">
      <c r="A175" s="16" t="s">
        <v>49</v>
      </c>
      <c r="B175" s="77" t="str">
        <f>IFERROR(HYPERLINK(VLOOKUP(A175,Internal_lists_bugs!$A$2:$C$73,3,FALSE()), VLOOKUP(A175,Internal_lists_bugs!$A$2:$C$73,3,FALSE())&amp;Char(10) &amp; Char(10) &amp; VLOOKUP(A175,Internal_lists_bugs!$A$2:$Z$73,26,FALSE())),"please select a BUG ID")</f>
        <v>https://bugs.launchpad.net/nova/+bug/1370177
nova/block_device.py</v>
      </c>
      <c r="C175" s="81" t="str">
        <f>IFERROR(Hyperlink(VLOOKUP(A175,Internal_lists_bugs!$A$2:$G1061,7,FALSE()),"BIC: "&amp;VLOOKUP(A175,Internal_lists_bugs!$A$2:$G1061,7,FALSE())&amp;CHAR(10)&amp;"Intro.Issues: "&amp;VLOOKUP(A175,Internal_lists_bugs!$A$2:$P1061,16,FALSE())),"please select a BUG ID")</f>
        <v>BIC: https://opendev.org/openstack/nova/commit/33e3d4c6b9
Intro.Issues: icehouse-objects, clean-up-legacy-block-device-mapping</v>
      </c>
      <c r="D175" s="100" t="s">
        <v>4299</v>
      </c>
      <c r="E175" s="54"/>
      <c r="F175" s="79" t="s">
        <v>4315</v>
      </c>
      <c r="G175" s="93" t="s">
        <v>4311</v>
      </c>
      <c r="H175" s="54"/>
      <c r="I175" s="1"/>
    </row>
    <row r="176">
      <c r="A176" s="16" t="s">
        <v>49</v>
      </c>
      <c r="B176" s="77" t="str">
        <f>IFERROR(HYPERLINK(VLOOKUP(A176,Internal_lists_bugs!$A$2:$C$73,3,FALSE()), VLOOKUP(A176,Internal_lists_bugs!$A$2:$C$73,3,FALSE())&amp;Char(10) &amp; Char(10) &amp; VLOOKUP(A176,Internal_lists_bugs!$A$2:$Z$73,26,FALSE())),"please select a BUG ID")</f>
        <v>https://bugs.launchpad.net/nova/+bug/1370177
nova/block_device.py</v>
      </c>
      <c r="C176" s="81" t="str">
        <f>IFERROR(Hyperlink(VLOOKUP(A176,Internal_lists_bugs!$A$2:$G1061,7,FALSE()),"BIC: "&amp;VLOOKUP(A176,Internal_lists_bugs!$A$2:$G1061,7,FALSE())&amp;CHAR(10)&amp;"Intro.Issues: "&amp;VLOOKUP(A176,Internal_lists_bugs!$A$2:$P1061,16,FALSE())),"please select a BUG ID")</f>
        <v>BIC: https://opendev.org/openstack/nova/commit/33e3d4c6b9
Intro.Issues: icehouse-objects, clean-up-legacy-block-device-mapping</v>
      </c>
      <c r="D176" s="100" t="s">
        <v>4299</v>
      </c>
      <c r="E176" s="54"/>
      <c r="F176" s="79" t="s">
        <v>4316</v>
      </c>
      <c r="G176" s="93" t="s">
        <v>4311</v>
      </c>
      <c r="H176" s="54"/>
      <c r="I176" s="1"/>
    </row>
    <row r="177">
      <c r="A177" s="16" t="s">
        <v>49</v>
      </c>
      <c r="B177" s="77" t="str">
        <f>IFERROR(HYPERLINK(VLOOKUP(A177,Internal_lists_bugs!$A$2:$C$73,3,FALSE()), VLOOKUP(A177,Internal_lists_bugs!$A$2:$C$73,3,FALSE())&amp;Char(10) &amp; Char(10) &amp; VLOOKUP(A177,Internal_lists_bugs!$A$2:$Z$73,26,FALSE())),"please select a BUG ID")</f>
        <v>https://bugs.launchpad.net/nova/+bug/1370177
nova/block_device.py</v>
      </c>
      <c r="C177" s="81" t="str">
        <f>IFERROR(Hyperlink(VLOOKUP(A177,Internal_lists_bugs!$A$2:$G1061,7,FALSE()),"BIC: "&amp;VLOOKUP(A177,Internal_lists_bugs!$A$2:$G1061,7,FALSE())&amp;CHAR(10)&amp;"Intro.Issues: "&amp;VLOOKUP(A177,Internal_lists_bugs!$A$2:$P1061,16,FALSE())),"please select a BUG ID")</f>
        <v>BIC: https://opendev.org/openstack/nova/commit/33e3d4c6b9
Intro.Issues: icehouse-objects, clean-up-legacy-block-device-mapping</v>
      </c>
      <c r="D177" s="100" t="s">
        <v>4299</v>
      </c>
      <c r="E177" s="54"/>
      <c r="F177" s="79" t="s">
        <v>4317</v>
      </c>
      <c r="G177" s="93" t="s">
        <v>4311</v>
      </c>
      <c r="H177" s="54"/>
      <c r="I177" s="1"/>
    </row>
    <row r="178">
      <c r="A178" s="16" t="s">
        <v>49</v>
      </c>
      <c r="B178" s="77" t="str">
        <f>IFERROR(HYPERLINK(VLOOKUP(A178,Internal_lists_bugs!$A$2:$C$73,3,FALSE()), VLOOKUP(A178,Internal_lists_bugs!$A$2:$C$73,3,FALSE())&amp;Char(10) &amp; Char(10) &amp; VLOOKUP(A178,Internal_lists_bugs!$A$2:$Z$73,26,FALSE())),"please select a BUG ID")</f>
        <v>https://bugs.launchpad.net/nova/+bug/1370177
nova/block_device.py</v>
      </c>
      <c r="C178" s="81" t="str">
        <f>IFERROR(Hyperlink(VLOOKUP(A178,Internal_lists_bugs!$A$2:$G1061,7,FALSE()),"BIC: "&amp;VLOOKUP(A178,Internal_lists_bugs!$A$2:$G1061,7,FALSE())&amp;CHAR(10)&amp;"Intro.Issues: "&amp;VLOOKUP(A178,Internal_lists_bugs!$A$2:$P1061,16,FALSE())),"please select a BUG ID")</f>
        <v>BIC: https://opendev.org/openstack/nova/commit/33e3d4c6b9
Intro.Issues: icehouse-objects, clean-up-legacy-block-device-mapping</v>
      </c>
      <c r="D178" s="100" t="s">
        <v>4299</v>
      </c>
      <c r="E178" s="54"/>
      <c r="F178" s="79" t="s">
        <v>4318</v>
      </c>
      <c r="G178" s="93" t="s">
        <v>4311</v>
      </c>
      <c r="H178" s="54"/>
      <c r="I178" s="1"/>
    </row>
    <row r="179">
      <c r="A179" s="16" t="s">
        <v>49</v>
      </c>
      <c r="B179" s="77" t="str">
        <f>IFERROR(HYPERLINK(VLOOKUP(A179,Internal_lists_bugs!$A$2:$C$73,3,FALSE()), VLOOKUP(A179,Internal_lists_bugs!$A$2:$C$73,3,FALSE())&amp;Char(10) &amp; Char(10) &amp; VLOOKUP(A179,Internal_lists_bugs!$A$2:$Z$73,26,FALSE())),"please select a BUG ID")</f>
        <v>https://bugs.launchpad.net/nova/+bug/1370177
nova/block_device.py</v>
      </c>
      <c r="C179" s="81" t="str">
        <f>IFERROR(Hyperlink(VLOOKUP(A179,Internal_lists_bugs!$A$2:$G1061,7,FALSE()),"BIC: "&amp;VLOOKUP(A179,Internal_lists_bugs!$A$2:$G1061,7,FALSE())&amp;CHAR(10)&amp;"Intro.Issues: "&amp;VLOOKUP(A179,Internal_lists_bugs!$A$2:$P1061,16,FALSE())),"please select a BUG ID")</f>
        <v>BIC: https://opendev.org/openstack/nova/commit/33e3d4c6b9
Intro.Issues: icehouse-objects, clean-up-legacy-block-device-mapping</v>
      </c>
      <c r="D179" s="100" t="s">
        <v>4299</v>
      </c>
      <c r="E179" s="54"/>
      <c r="F179" s="79" t="s">
        <v>4319</v>
      </c>
      <c r="G179" s="93" t="s">
        <v>4311</v>
      </c>
      <c r="H179" s="54"/>
      <c r="I179" s="1"/>
    </row>
    <row r="180">
      <c r="A180" s="16" t="s">
        <v>49</v>
      </c>
      <c r="B180" s="77" t="str">
        <f>IFERROR(HYPERLINK(VLOOKUP(A180,Internal_lists_bugs!$A$2:$C$73,3,FALSE()), VLOOKUP(A180,Internal_lists_bugs!$A$2:$C$73,3,FALSE())&amp;Char(10) &amp; Char(10) &amp; VLOOKUP(A180,Internal_lists_bugs!$A$2:$Z$73,26,FALSE())),"please select a BUG ID")</f>
        <v>https://bugs.launchpad.net/nova/+bug/1370177
nova/block_device.py</v>
      </c>
      <c r="C180" s="81" t="str">
        <f>IFERROR(Hyperlink(VLOOKUP(A180,Internal_lists_bugs!$A$2:$G1061,7,FALSE()),"BIC: "&amp;VLOOKUP(A180,Internal_lists_bugs!$A$2:$G1061,7,FALSE())&amp;CHAR(10)&amp;"Intro.Issues: "&amp;VLOOKUP(A180,Internal_lists_bugs!$A$2:$P1061,16,FALSE())),"please select a BUG ID")</f>
        <v>BIC: https://opendev.org/openstack/nova/commit/33e3d4c6b9
Intro.Issues: icehouse-objects, clean-up-legacy-block-device-mapping</v>
      </c>
      <c r="D180" s="100" t="s">
        <v>4299</v>
      </c>
      <c r="E180" s="54"/>
      <c r="F180" s="79" t="s">
        <v>4320</v>
      </c>
      <c r="G180" s="93" t="s">
        <v>4321</v>
      </c>
      <c r="H180" s="54"/>
      <c r="I180" s="1"/>
    </row>
    <row r="181">
      <c r="A181" s="16" t="s">
        <v>49</v>
      </c>
      <c r="B181" s="77" t="str">
        <f>IFERROR(HYPERLINK(VLOOKUP(A181,Internal_lists_bugs!$A$2:$C$73,3,FALSE()), VLOOKUP(A181,Internal_lists_bugs!$A$2:$C$73,3,FALSE())&amp;Char(10) &amp; Char(10) &amp; VLOOKUP(A181,Internal_lists_bugs!$A$2:$Z$73,26,FALSE())),"please select a BUG ID")</f>
        <v>https://bugs.launchpad.net/nova/+bug/1370177
nova/block_device.py</v>
      </c>
      <c r="C181" s="81" t="str">
        <f>IFERROR(Hyperlink(VLOOKUP(A181,Internal_lists_bugs!$A$2:$G1061,7,FALSE()),"BIC: "&amp;VLOOKUP(A181,Internal_lists_bugs!$A$2:$G1061,7,FALSE())&amp;CHAR(10)&amp;"Intro.Issues: "&amp;VLOOKUP(A181,Internal_lists_bugs!$A$2:$P1061,16,FALSE())),"please select a BUG ID")</f>
        <v>BIC: https://opendev.org/openstack/nova/commit/33e3d4c6b9
Intro.Issues: icehouse-objects, clean-up-legacy-block-device-mapping</v>
      </c>
      <c r="D181" s="100" t="s">
        <v>4299</v>
      </c>
      <c r="E181" s="54"/>
      <c r="F181" s="79" t="s">
        <v>4322</v>
      </c>
      <c r="G181" s="93" t="s">
        <v>4323</v>
      </c>
      <c r="H181" s="54"/>
      <c r="I181" s="1"/>
    </row>
    <row r="182">
      <c r="A182" s="16" t="s">
        <v>49</v>
      </c>
      <c r="B182" s="77" t="str">
        <f>IFERROR(HYPERLINK(VLOOKUP(A182,Internal_lists_bugs!$A$2:$C$73,3,FALSE()), VLOOKUP(A182,Internal_lists_bugs!$A$2:$C$73,3,FALSE())&amp;Char(10) &amp; Char(10) &amp; VLOOKUP(A182,Internal_lists_bugs!$A$2:$Z$73,26,FALSE())),"please select a BUG ID")</f>
        <v>https://bugs.launchpad.net/nova/+bug/1370177
nova/block_device.py</v>
      </c>
      <c r="C182" s="81" t="str">
        <f>IFERROR(Hyperlink(VLOOKUP(A182,Internal_lists_bugs!$A$2:$G1061,7,FALSE()),"BIC: "&amp;VLOOKUP(A182,Internal_lists_bugs!$A$2:$G1061,7,FALSE())&amp;CHAR(10)&amp;"Intro.Issues: "&amp;VLOOKUP(A182,Internal_lists_bugs!$A$2:$P1061,16,FALSE())),"please select a BUG ID")</f>
        <v>BIC: https://opendev.org/openstack/nova/commit/33e3d4c6b9
Intro.Issues: icehouse-objects, clean-up-legacy-block-device-mapping</v>
      </c>
      <c r="D182" s="100" t="s">
        <v>4299</v>
      </c>
      <c r="E182" s="54"/>
      <c r="F182" s="79" t="s">
        <v>4293</v>
      </c>
      <c r="G182" s="93" t="s">
        <v>4324</v>
      </c>
      <c r="H182" s="54"/>
      <c r="I182" s="1"/>
    </row>
    <row r="183">
      <c r="A183" s="16" t="s">
        <v>49</v>
      </c>
      <c r="B183" s="77" t="str">
        <f>IFERROR(HYPERLINK(VLOOKUP(A183,Internal_lists_bugs!$A$2:$C$73,3,FALSE()), VLOOKUP(A183,Internal_lists_bugs!$A$2:$C$73,3,FALSE())&amp;Char(10) &amp; Char(10) &amp; VLOOKUP(A183,Internal_lists_bugs!$A$2:$Z$73,26,FALSE())),"please select a BUG ID")</f>
        <v>https://bugs.launchpad.net/nova/+bug/1370177
nova/block_device.py</v>
      </c>
      <c r="C183" s="81" t="str">
        <f>IFERROR(Hyperlink(VLOOKUP(A183,Internal_lists_bugs!$A$2:$G1061,7,FALSE()),"BIC: "&amp;VLOOKUP(A183,Internal_lists_bugs!$A$2:$G1061,7,FALSE())&amp;CHAR(10)&amp;"Intro.Issues: "&amp;VLOOKUP(A183,Internal_lists_bugs!$A$2:$P1061,16,FALSE())),"please select a BUG ID")</f>
        <v>BIC: https://opendev.org/openstack/nova/commit/33e3d4c6b9
Intro.Issues: icehouse-objects, clean-up-legacy-block-device-mapping</v>
      </c>
      <c r="D183" s="100" t="s">
        <v>4299</v>
      </c>
      <c r="E183" s="54"/>
      <c r="F183" s="79" t="s">
        <v>4325</v>
      </c>
      <c r="G183" s="93" t="s">
        <v>4326</v>
      </c>
      <c r="H183" s="54"/>
      <c r="I183" s="1"/>
    </row>
    <row r="184">
      <c r="A184" s="16" t="s">
        <v>49</v>
      </c>
      <c r="B184" s="77" t="str">
        <f>IFERROR(HYPERLINK(VLOOKUP(A184,Internal_lists_bugs!$A$2:$C$73,3,FALSE()), VLOOKUP(A184,Internal_lists_bugs!$A$2:$C$73,3,FALSE())&amp;Char(10) &amp; Char(10) &amp; VLOOKUP(A184,Internal_lists_bugs!$A$2:$Z$73,26,FALSE())),"please select a BUG ID")</f>
        <v>https://bugs.launchpad.net/nova/+bug/1370177
nova/block_device.py</v>
      </c>
      <c r="C184" s="81" t="str">
        <f>IFERROR(Hyperlink(VLOOKUP(A184,Internal_lists_bugs!$A$2:$G1061,7,FALSE()),"BIC: "&amp;VLOOKUP(A184,Internal_lists_bugs!$A$2:$G1061,7,FALSE())&amp;CHAR(10)&amp;"Intro.Issues: "&amp;VLOOKUP(A184,Internal_lists_bugs!$A$2:$P1061,16,FALSE())),"please select a BUG ID")</f>
        <v>BIC: https://opendev.org/openstack/nova/commit/33e3d4c6b9
Intro.Issues: icehouse-objects, clean-up-legacy-block-device-mapping</v>
      </c>
      <c r="D184" s="100" t="s">
        <v>4327</v>
      </c>
      <c r="E184" s="16" t="s">
        <v>4328</v>
      </c>
      <c r="F184" s="79" t="s">
        <v>4295</v>
      </c>
      <c r="G184" s="93" t="s">
        <v>4329</v>
      </c>
      <c r="H184" s="16" t="s">
        <v>123</v>
      </c>
      <c r="I184" s="1"/>
    </row>
    <row r="185">
      <c r="A185" s="16" t="s">
        <v>49</v>
      </c>
      <c r="B185" s="77" t="str">
        <f>IFERROR(HYPERLINK(VLOOKUP(A185,Internal_lists_bugs!$A$2:$C$73,3,FALSE()), VLOOKUP(A185,Internal_lists_bugs!$A$2:$C$73,3,FALSE())&amp;Char(10) &amp; Char(10) &amp; VLOOKUP(A185,Internal_lists_bugs!$A$2:$Z$73,26,FALSE())),"please select a BUG ID")</f>
        <v>https://bugs.launchpad.net/nova/+bug/1370177
nova/block_device.py</v>
      </c>
      <c r="C185" s="81" t="str">
        <f>IFERROR(Hyperlink(VLOOKUP(A185,Internal_lists_bugs!$A$2:$G1061,7,FALSE()),"BIC: "&amp;VLOOKUP(A185,Internal_lists_bugs!$A$2:$G1061,7,FALSE())&amp;CHAR(10)&amp;"Intro.Issues: "&amp;VLOOKUP(A185,Internal_lists_bugs!$A$2:$P1061,16,FALSE())),"please select a BUG ID")</f>
        <v>BIC: https://opendev.org/openstack/nova/commit/33e3d4c6b9
Intro.Issues: icehouse-objects, clean-up-legacy-block-device-mapping</v>
      </c>
      <c r="D185" s="100" t="s">
        <v>4327</v>
      </c>
      <c r="E185" s="54"/>
      <c r="F185" s="79" t="s">
        <v>4297</v>
      </c>
      <c r="G185" s="93" t="s">
        <v>4311</v>
      </c>
      <c r="H185" s="54"/>
      <c r="I185" s="1"/>
    </row>
    <row r="186">
      <c r="A186" s="16" t="s">
        <v>49</v>
      </c>
      <c r="B186" s="77" t="str">
        <f>IFERROR(HYPERLINK(VLOOKUP(A186,Internal_lists_bugs!$A$2:$C$73,3,FALSE()), VLOOKUP(A186,Internal_lists_bugs!$A$2:$C$73,3,FALSE())&amp;Char(10) &amp; Char(10) &amp; VLOOKUP(A186,Internal_lists_bugs!$A$2:$Z$73,26,FALSE())),"please select a BUG ID")</f>
        <v>https://bugs.launchpad.net/nova/+bug/1370177
nova/block_device.py</v>
      </c>
      <c r="C186" s="81" t="str">
        <f>IFERROR(Hyperlink(VLOOKUP(A186,Internal_lists_bugs!$A$2:$G1061,7,FALSE()),"BIC: "&amp;VLOOKUP(A186,Internal_lists_bugs!$A$2:$G1061,7,FALSE())&amp;CHAR(10)&amp;"Intro.Issues: "&amp;VLOOKUP(A186,Internal_lists_bugs!$A$2:$P1061,16,FALSE())),"please select a BUG ID")</f>
        <v>BIC: https://opendev.org/openstack/nova/commit/33e3d4c6b9
Intro.Issues: icehouse-objects, clean-up-legacy-block-device-mapping</v>
      </c>
      <c r="D186" s="100" t="s">
        <v>4327</v>
      </c>
      <c r="E186" s="54"/>
      <c r="F186" s="79" t="s">
        <v>4310</v>
      </c>
      <c r="G186" s="93" t="s">
        <v>4311</v>
      </c>
      <c r="H186" s="54"/>
      <c r="I186" s="1"/>
    </row>
    <row r="187">
      <c r="A187" s="16" t="s">
        <v>49</v>
      </c>
      <c r="B187" s="77" t="str">
        <f>IFERROR(HYPERLINK(VLOOKUP(A187,Internal_lists_bugs!$A$2:$C$73,3,FALSE()), VLOOKUP(A187,Internal_lists_bugs!$A$2:$C$73,3,FALSE())&amp;Char(10) &amp; Char(10) &amp; VLOOKUP(A187,Internal_lists_bugs!$A$2:$Z$73,26,FALSE())),"please select a BUG ID")</f>
        <v>https://bugs.launchpad.net/nova/+bug/1370177
nova/block_device.py</v>
      </c>
      <c r="C187" s="81" t="str">
        <f>IFERROR(Hyperlink(VLOOKUP(A187,Internal_lists_bugs!$A$2:$G1061,7,FALSE()),"BIC: "&amp;VLOOKUP(A187,Internal_lists_bugs!$A$2:$G1061,7,FALSE())&amp;CHAR(10)&amp;"Intro.Issues: "&amp;VLOOKUP(A187,Internal_lists_bugs!$A$2:$P1061,16,FALSE())),"please select a BUG ID")</f>
        <v>BIC: https://opendev.org/openstack/nova/commit/33e3d4c6b9
Intro.Issues: icehouse-objects, clean-up-legacy-block-device-mapping</v>
      </c>
      <c r="D187" s="100" t="s">
        <v>4327</v>
      </c>
      <c r="E187" s="54"/>
      <c r="F187" s="79" t="s">
        <v>4312</v>
      </c>
      <c r="G187" s="93" t="s">
        <v>4311</v>
      </c>
      <c r="H187" s="54"/>
      <c r="I187" s="1"/>
    </row>
    <row r="188">
      <c r="A188" s="16" t="s">
        <v>49</v>
      </c>
      <c r="B188" s="77" t="str">
        <f>IFERROR(HYPERLINK(VLOOKUP(A188,Internal_lists_bugs!$A$2:$C$73,3,FALSE()), VLOOKUP(A188,Internal_lists_bugs!$A$2:$C$73,3,FALSE())&amp;Char(10) &amp; Char(10) &amp; VLOOKUP(A188,Internal_lists_bugs!$A$2:$Z$73,26,FALSE())),"please select a BUG ID")</f>
        <v>https://bugs.launchpad.net/nova/+bug/1370177
nova/block_device.py</v>
      </c>
      <c r="C188" s="81" t="str">
        <f>IFERROR(Hyperlink(VLOOKUP(A188,Internal_lists_bugs!$A$2:$G1061,7,FALSE()),"BIC: "&amp;VLOOKUP(A188,Internal_lists_bugs!$A$2:$G1061,7,FALSE())&amp;CHAR(10)&amp;"Intro.Issues: "&amp;VLOOKUP(A188,Internal_lists_bugs!$A$2:$P1061,16,FALSE())),"please select a BUG ID")</f>
        <v>BIC: https://opendev.org/openstack/nova/commit/33e3d4c6b9
Intro.Issues: icehouse-objects, clean-up-legacy-block-device-mapping</v>
      </c>
      <c r="D188" s="100" t="s">
        <v>4327</v>
      </c>
      <c r="E188" s="54"/>
      <c r="F188" s="79" t="s">
        <v>4313</v>
      </c>
      <c r="G188" s="93" t="s">
        <v>4311</v>
      </c>
      <c r="H188" s="54"/>
      <c r="I188" s="1"/>
    </row>
    <row r="189">
      <c r="A189" s="16" t="s">
        <v>49</v>
      </c>
      <c r="B189" s="77" t="str">
        <f>IFERROR(HYPERLINK(VLOOKUP(A189,Internal_lists_bugs!$A$2:$C$73,3,FALSE()), VLOOKUP(A189,Internal_lists_bugs!$A$2:$C$73,3,FALSE())&amp;Char(10) &amp; Char(10) &amp; VLOOKUP(A189,Internal_lists_bugs!$A$2:$Z$73,26,FALSE())),"please select a BUG ID")</f>
        <v>https://bugs.launchpad.net/nova/+bug/1370177
nova/block_device.py</v>
      </c>
      <c r="C189" s="81" t="str">
        <f>IFERROR(Hyperlink(VLOOKUP(A189,Internal_lists_bugs!$A$2:$G1061,7,FALSE()),"BIC: "&amp;VLOOKUP(A189,Internal_lists_bugs!$A$2:$G1061,7,FALSE())&amp;CHAR(10)&amp;"Intro.Issues: "&amp;VLOOKUP(A189,Internal_lists_bugs!$A$2:$P1061,16,FALSE())),"please select a BUG ID")</f>
        <v>BIC: https://opendev.org/openstack/nova/commit/33e3d4c6b9
Intro.Issues: icehouse-objects, clean-up-legacy-block-device-mapping</v>
      </c>
      <c r="D189" s="100" t="s">
        <v>4327</v>
      </c>
      <c r="E189" s="54"/>
      <c r="F189" s="79" t="s">
        <v>4314</v>
      </c>
      <c r="G189" s="93" t="s">
        <v>4311</v>
      </c>
      <c r="H189" s="54"/>
      <c r="I189" s="1"/>
    </row>
    <row r="190">
      <c r="A190" s="16" t="s">
        <v>49</v>
      </c>
      <c r="B190" s="77" t="str">
        <f>IFERROR(HYPERLINK(VLOOKUP(A190,Internal_lists_bugs!$A$2:$C$73,3,FALSE()), VLOOKUP(A190,Internal_lists_bugs!$A$2:$C$73,3,FALSE())&amp;Char(10) &amp; Char(10) &amp; VLOOKUP(A190,Internal_lists_bugs!$A$2:$Z$73,26,FALSE())),"please select a BUG ID")</f>
        <v>https://bugs.launchpad.net/nova/+bug/1370177
nova/block_device.py</v>
      </c>
      <c r="C190" s="81" t="str">
        <f>IFERROR(Hyperlink(VLOOKUP(A190,Internal_lists_bugs!$A$2:$G1061,7,FALSE()),"BIC: "&amp;VLOOKUP(A190,Internal_lists_bugs!$A$2:$G1061,7,FALSE())&amp;CHAR(10)&amp;"Intro.Issues: "&amp;VLOOKUP(A190,Internal_lists_bugs!$A$2:$P1061,16,FALSE())),"please select a BUG ID")</f>
        <v>BIC: https://opendev.org/openstack/nova/commit/33e3d4c6b9
Intro.Issues: icehouse-objects, clean-up-legacy-block-device-mapping</v>
      </c>
      <c r="D190" s="100" t="s">
        <v>4327</v>
      </c>
      <c r="E190" s="54"/>
      <c r="F190" s="79" t="s">
        <v>4315</v>
      </c>
      <c r="G190" s="93" t="s">
        <v>4311</v>
      </c>
      <c r="H190" s="54"/>
      <c r="I190" s="1"/>
    </row>
    <row r="191">
      <c r="A191" s="16" t="s">
        <v>49</v>
      </c>
      <c r="B191" s="77" t="str">
        <f>IFERROR(HYPERLINK(VLOOKUP(A191,Internal_lists_bugs!$A$2:$C$73,3,FALSE()), VLOOKUP(A191,Internal_lists_bugs!$A$2:$C$73,3,FALSE())&amp;Char(10) &amp; Char(10) &amp; VLOOKUP(A191,Internal_lists_bugs!$A$2:$Z$73,26,FALSE())),"please select a BUG ID")</f>
        <v>https://bugs.launchpad.net/nova/+bug/1370177
nova/block_device.py</v>
      </c>
      <c r="C191" s="81" t="str">
        <f>IFERROR(Hyperlink(VLOOKUP(A191,Internal_lists_bugs!$A$2:$G1061,7,FALSE()),"BIC: "&amp;VLOOKUP(A191,Internal_lists_bugs!$A$2:$G1061,7,FALSE())&amp;CHAR(10)&amp;"Intro.Issues: "&amp;VLOOKUP(A191,Internal_lists_bugs!$A$2:$P1061,16,FALSE())),"please select a BUG ID")</f>
        <v>BIC: https://opendev.org/openstack/nova/commit/33e3d4c6b9
Intro.Issues: icehouse-objects, clean-up-legacy-block-device-mapping</v>
      </c>
      <c r="D191" s="100" t="s">
        <v>4327</v>
      </c>
      <c r="E191" s="54"/>
      <c r="F191" s="79" t="s">
        <v>4316</v>
      </c>
      <c r="G191" s="93" t="s">
        <v>4311</v>
      </c>
      <c r="H191" s="54"/>
      <c r="I191" s="1"/>
    </row>
    <row r="192">
      <c r="A192" s="16" t="s">
        <v>49</v>
      </c>
      <c r="B192" s="77" t="str">
        <f>IFERROR(HYPERLINK(VLOOKUP(A192,Internal_lists_bugs!$A$2:$C$73,3,FALSE()), VLOOKUP(A192,Internal_lists_bugs!$A$2:$C$73,3,FALSE())&amp;Char(10) &amp; Char(10) &amp; VLOOKUP(A192,Internal_lists_bugs!$A$2:$Z$73,26,FALSE())),"please select a BUG ID")</f>
        <v>https://bugs.launchpad.net/nova/+bug/1370177
nova/block_device.py</v>
      </c>
      <c r="C192" s="81" t="str">
        <f>IFERROR(Hyperlink(VLOOKUP(A192,Internal_lists_bugs!$A$2:$G1061,7,FALSE()),"BIC: "&amp;VLOOKUP(A192,Internal_lists_bugs!$A$2:$G1061,7,FALSE())&amp;CHAR(10)&amp;"Intro.Issues: "&amp;VLOOKUP(A192,Internal_lists_bugs!$A$2:$P1061,16,FALSE())),"please select a BUG ID")</f>
        <v>BIC: https://opendev.org/openstack/nova/commit/33e3d4c6b9
Intro.Issues: icehouse-objects, clean-up-legacy-block-device-mapping</v>
      </c>
      <c r="D192" s="100" t="s">
        <v>4327</v>
      </c>
      <c r="E192" s="54"/>
      <c r="F192" s="79" t="s">
        <v>4317</v>
      </c>
      <c r="G192" s="93" t="s">
        <v>4311</v>
      </c>
      <c r="H192" s="54"/>
      <c r="I192" s="1"/>
    </row>
    <row r="193">
      <c r="A193" s="16" t="s">
        <v>49</v>
      </c>
      <c r="B193" s="77" t="str">
        <f>IFERROR(HYPERLINK(VLOOKUP(A193,Internal_lists_bugs!$A$2:$C$73,3,FALSE()), VLOOKUP(A193,Internal_lists_bugs!$A$2:$C$73,3,FALSE())&amp;Char(10) &amp; Char(10) &amp; VLOOKUP(A193,Internal_lists_bugs!$A$2:$Z$73,26,FALSE())),"please select a BUG ID")</f>
        <v>https://bugs.launchpad.net/nova/+bug/1370177
nova/block_device.py</v>
      </c>
      <c r="C193" s="81" t="str">
        <f>IFERROR(Hyperlink(VLOOKUP(A193,Internal_lists_bugs!$A$2:$G1061,7,FALSE()),"BIC: "&amp;VLOOKUP(A193,Internal_lists_bugs!$A$2:$G1061,7,FALSE())&amp;CHAR(10)&amp;"Intro.Issues: "&amp;VLOOKUP(A193,Internal_lists_bugs!$A$2:$P1061,16,FALSE())),"please select a BUG ID")</f>
        <v>BIC: https://opendev.org/openstack/nova/commit/33e3d4c6b9
Intro.Issues: icehouse-objects, clean-up-legacy-block-device-mapping</v>
      </c>
      <c r="D193" s="100" t="s">
        <v>4327</v>
      </c>
      <c r="E193" s="54"/>
      <c r="F193" s="79" t="s">
        <v>4318</v>
      </c>
      <c r="G193" s="93" t="s">
        <v>4311</v>
      </c>
      <c r="H193" s="54"/>
      <c r="I193" s="1"/>
    </row>
    <row r="194">
      <c r="A194" s="16" t="s">
        <v>49</v>
      </c>
      <c r="B194" s="77" t="str">
        <f>IFERROR(HYPERLINK(VLOOKUP(A194,Internal_lists_bugs!$A$2:$C$73,3,FALSE()), VLOOKUP(A194,Internal_lists_bugs!$A$2:$C$73,3,FALSE())&amp;Char(10) &amp; Char(10) &amp; VLOOKUP(A194,Internal_lists_bugs!$A$2:$Z$73,26,FALSE())),"please select a BUG ID")</f>
        <v>https://bugs.launchpad.net/nova/+bug/1370177
nova/block_device.py</v>
      </c>
      <c r="C194" s="81" t="str">
        <f>IFERROR(Hyperlink(VLOOKUP(A194,Internal_lists_bugs!$A$2:$G1061,7,FALSE()),"BIC: "&amp;VLOOKUP(A194,Internal_lists_bugs!$A$2:$G1061,7,FALSE())&amp;CHAR(10)&amp;"Intro.Issues: "&amp;VLOOKUP(A194,Internal_lists_bugs!$A$2:$P1061,16,FALSE())),"please select a BUG ID")</f>
        <v>BIC: https://opendev.org/openstack/nova/commit/33e3d4c6b9
Intro.Issues: icehouse-objects, clean-up-legacy-block-device-mapping</v>
      </c>
      <c r="D194" s="100" t="s">
        <v>4327</v>
      </c>
      <c r="E194" s="54"/>
      <c r="F194" s="79" t="s">
        <v>4319</v>
      </c>
      <c r="G194" s="93" t="s">
        <v>4311</v>
      </c>
      <c r="H194" s="54"/>
      <c r="I194" s="1"/>
    </row>
    <row r="195">
      <c r="A195" s="16" t="s">
        <v>49</v>
      </c>
      <c r="B195" s="77" t="str">
        <f>IFERROR(HYPERLINK(VLOOKUP(A195,Internal_lists_bugs!$A$2:$C$73,3,FALSE()), VLOOKUP(A195,Internal_lists_bugs!$A$2:$C$73,3,FALSE())&amp;Char(10) &amp; Char(10) &amp; VLOOKUP(A195,Internal_lists_bugs!$A$2:$Z$73,26,FALSE())),"please select a BUG ID")</f>
        <v>https://bugs.launchpad.net/nova/+bug/1370177
nova/block_device.py</v>
      </c>
      <c r="C195" s="81" t="str">
        <f>IFERROR(Hyperlink(VLOOKUP(A195,Internal_lists_bugs!$A$2:$G1061,7,FALSE()),"BIC: "&amp;VLOOKUP(A195,Internal_lists_bugs!$A$2:$G1061,7,FALSE())&amp;CHAR(10)&amp;"Intro.Issues: "&amp;VLOOKUP(A195,Internal_lists_bugs!$A$2:$P1061,16,FALSE())),"please select a BUG ID")</f>
        <v>BIC: https://opendev.org/openstack/nova/commit/33e3d4c6b9
Intro.Issues: icehouse-objects, clean-up-legacy-block-device-mapping</v>
      </c>
      <c r="D195" s="100" t="s">
        <v>4327</v>
      </c>
      <c r="E195" s="54"/>
      <c r="F195" s="79" t="s">
        <v>4330</v>
      </c>
      <c r="G195" s="93" t="s">
        <v>4311</v>
      </c>
      <c r="H195" s="54"/>
      <c r="I195" s="1"/>
    </row>
    <row r="196">
      <c r="A196" s="16" t="s">
        <v>49</v>
      </c>
      <c r="B196" s="77" t="str">
        <f>IFERROR(HYPERLINK(VLOOKUP(A196,Internal_lists_bugs!$A$2:$C$73,3,FALSE()), VLOOKUP(A196,Internal_lists_bugs!$A$2:$C$73,3,FALSE())&amp;Char(10) &amp; Char(10) &amp; VLOOKUP(A196,Internal_lists_bugs!$A$2:$Z$73,26,FALSE())),"please select a BUG ID")</f>
        <v>https://bugs.launchpad.net/nova/+bug/1370177
nova/block_device.py</v>
      </c>
      <c r="C196" s="81" t="str">
        <f>IFERROR(Hyperlink(VLOOKUP(A196,Internal_lists_bugs!$A$2:$G1061,7,FALSE()),"BIC: "&amp;VLOOKUP(A196,Internal_lists_bugs!$A$2:$G1061,7,FALSE())&amp;CHAR(10)&amp;"Intro.Issues: "&amp;VLOOKUP(A196,Internal_lists_bugs!$A$2:$P1061,16,FALSE())),"please select a BUG ID")</f>
        <v>BIC: https://opendev.org/openstack/nova/commit/33e3d4c6b9
Intro.Issues: icehouse-objects, clean-up-legacy-block-device-mapping</v>
      </c>
      <c r="D196" s="100" t="s">
        <v>4327</v>
      </c>
      <c r="E196" s="54"/>
      <c r="F196" s="79" t="s">
        <v>4331</v>
      </c>
      <c r="G196" s="93" t="s">
        <v>4311</v>
      </c>
      <c r="H196" s="54"/>
      <c r="I196" s="1"/>
    </row>
    <row r="197">
      <c r="A197" s="16" t="s">
        <v>49</v>
      </c>
      <c r="B197" s="77" t="str">
        <f>IFERROR(HYPERLINK(VLOOKUP(A197,Internal_lists_bugs!$A$2:$C$73,3,FALSE()), VLOOKUP(A197,Internal_lists_bugs!$A$2:$C$73,3,FALSE())&amp;Char(10) &amp; Char(10) &amp; VLOOKUP(A197,Internal_lists_bugs!$A$2:$Z$73,26,FALSE())),"please select a BUG ID")</f>
        <v>https://bugs.launchpad.net/nova/+bug/1370177
nova/block_device.py</v>
      </c>
      <c r="C197" s="81" t="str">
        <f>IFERROR(Hyperlink(VLOOKUP(A197,Internal_lists_bugs!$A$2:$G1061,7,FALSE()),"BIC: "&amp;VLOOKUP(A197,Internal_lists_bugs!$A$2:$G1061,7,FALSE())&amp;CHAR(10)&amp;"Intro.Issues: "&amp;VLOOKUP(A197,Internal_lists_bugs!$A$2:$P1061,16,FALSE())),"please select a BUG ID")</f>
        <v>BIC: https://opendev.org/openstack/nova/commit/33e3d4c6b9
Intro.Issues: icehouse-objects, clean-up-legacy-block-device-mapping</v>
      </c>
      <c r="D197" s="100" t="s">
        <v>4327</v>
      </c>
      <c r="E197" s="54"/>
      <c r="F197" s="79" t="s">
        <v>4332</v>
      </c>
      <c r="G197" s="93" t="s">
        <v>4333</v>
      </c>
      <c r="H197" s="54"/>
      <c r="I197" s="1"/>
    </row>
    <row r="198">
      <c r="A198" s="16" t="s">
        <v>49</v>
      </c>
      <c r="B198" s="77" t="str">
        <f>IFERROR(HYPERLINK(VLOOKUP(A198,Internal_lists_bugs!$A$2:$C$73,3,FALSE()), VLOOKUP(A198,Internal_lists_bugs!$A$2:$C$73,3,FALSE())&amp;Char(10) &amp; Char(10) &amp; VLOOKUP(A198,Internal_lists_bugs!$A$2:$Z$73,26,FALSE())),"please select a BUG ID")</f>
        <v>https://bugs.launchpad.net/nova/+bug/1370177
nova/block_device.py</v>
      </c>
      <c r="C198" s="81" t="str">
        <f>IFERROR(Hyperlink(VLOOKUP(A198,Internal_lists_bugs!$A$2:$G1061,7,FALSE()),"BIC: "&amp;VLOOKUP(A198,Internal_lists_bugs!$A$2:$G1061,7,FALSE())&amp;CHAR(10)&amp;"Intro.Issues: "&amp;VLOOKUP(A198,Internal_lists_bugs!$A$2:$P1061,16,FALSE())),"please select a BUG ID")</f>
        <v>BIC: https://opendev.org/openstack/nova/commit/33e3d4c6b9
Intro.Issues: icehouse-objects, clean-up-legacy-block-device-mapping</v>
      </c>
      <c r="D198" s="100" t="s">
        <v>4327</v>
      </c>
      <c r="E198" s="54"/>
      <c r="F198" s="79" t="s">
        <v>4334</v>
      </c>
      <c r="G198" s="93" t="s">
        <v>4335</v>
      </c>
      <c r="H198" s="54"/>
      <c r="I198" s="1"/>
    </row>
    <row r="199">
      <c r="A199" s="16" t="s">
        <v>49</v>
      </c>
      <c r="B199" s="77" t="str">
        <f>IFERROR(HYPERLINK(VLOOKUP(A199,Internal_lists_bugs!$A$2:$C$73,3,FALSE()), VLOOKUP(A199,Internal_lists_bugs!$A$2:$C$73,3,FALSE())&amp;Char(10) &amp; Char(10) &amp; VLOOKUP(A199,Internal_lists_bugs!$A$2:$Z$73,26,FALSE())),"please select a BUG ID")</f>
        <v>https://bugs.launchpad.net/nova/+bug/1370177
nova/block_device.py</v>
      </c>
      <c r="C199" s="81" t="str">
        <f>IFERROR(Hyperlink(VLOOKUP(A199,Internal_lists_bugs!$A$2:$G1061,7,FALSE()),"BIC: "&amp;VLOOKUP(A199,Internal_lists_bugs!$A$2:$G1061,7,FALSE())&amp;CHAR(10)&amp;"Intro.Issues: "&amp;VLOOKUP(A199,Internal_lists_bugs!$A$2:$P1061,16,FALSE())),"please select a BUG ID")</f>
        <v>BIC: https://opendev.org/openstack/nova/commit/33e3d4c6b9
Intro.Issues: icehouse-objects, clean-up-legacy-block-device-mapping</v>
      </c>
      <c r="D199" s="100" t="s">
        <v>4327</v>
      </c>
      <c r="E199" s="54"/>
      <c r="F199" s="79" t="s">
        <v>4336</v>
      </c>
      <c r="G199" s="93" t="s">
        <v>4337</v>
      </c>
      <c r="H199" s="54"/>
      <c r="I199" s="1"/>
    </row>
    <row r="200">
      <c r="A200" s="16" t="s">
        <v>49</v>
      </c>
      <c r="B200" s="77" t="str">
        <f>IFERROR(HYPERLINK(VLOOKUP(A200,Internal_lists_bugs!$A$2:$C$73,3,FALSE()), VLOOKUP(A200,Internal_lists_bugs!$A$2:$C$73,3,FALSE())&amp;Char(10) &amp; Char(10) &amp; VLOOKUP(A200,Internal_lists_bugs!$A$2:$Z$73,26,FALSE())),"please select a BUG ID")</f>
        <v>https://bugs.launchpad.net/nova/+bug/1370177
nova/block_device.py</v>
      </c>
      <c r="C200" s="81" t="str">
        <f>IFERROR(Hyperlink(VLOOKUP(A200,Internal_lists_bugs!$A$2:$G1061,7,FALSE()),"BIC: "&amp;VLOOKUP(A200,Internal_lists_bugs!$A$2:$G1061,7,FALSE())&amp;CHAR(10)&amp;"Intro.Issues: "&amp;VLOOKUP(A200,Internal_lists_bugs!$A$2:$P1061,16,FALSE())),"please select a BUG ID")</f>
        <v>BIC: https://opendev.org/openstack/nova/commit/33e3d4c6b9
Intro.Issues: icehouse-objects, clean-up-legacy-block-device-mapping</v>
      </c>
      <c r="D200" s="100" t="s">
        <v>4327</v>
      </c>
      <c r="E200" s="54"/>
      <c r="F200" s="79" t="s">
        <v>4308</v>
      </c>
      <c r="G200" s="94" t="s">
        <v>4442</v>
      </c>
      <c r="H200" s="54"/>
      <c r="I200" s="1"/>
    </row>
    <row r="201">
      <c r="A201" s="16" t="s">
        <v>50</v>
      </c>
      <c r="B201" s="77" t="str">
        <f>IFERROR(HYPERLINK(VLOOKUP(A201,Internal_lists_bugs!$A$2:$C$73,3,FALSE()), VLOOKUP(A201,Internal_lists_bugs!$A$2:$C$73,3,FALSE())&amp;Char(10) &amp; Char(10) &amp; VLOOKUP(A201,Internal_lists_bugs!$A$2:$Z$73,26,FALSE())),"please select a BUG ID")</f>
        <v>https://bugs.launchpad.net/nova/+bug/1403544
/compute/api.py</v>
      </c>
      <c r="C201" s="81" t="str">
        <f>IFERROR(Hyperlink(VLOOKUP(A201,Internal_lists_bugs!$A$2:$G1061,7,FALSE()),"BIC: "&amp;VLOOKUP(A201,Internal_lists_bugs!$A$2:$G1061,7,FALSE())&amp;CHAR(10)&amp;"Intro.Issues: "&amp;VLOOKUP(A201,Internal_lists_bugs!$A$2:$P1061,16,FALSE())),"please select a BUG ID")</f>
        <v>BIC: https://opendev.org/openstack/nova/commit/6956057ac490c788
Intro.Issues: NA</v>
      </c>
      <c r="D201" s="100" t="s">
        <v>124</v>
      </c>
      <c r="E201" s="54"/>
      <c r="F201" s="82"/>
      <c r="G201" s="92"/>
      <c r="H201" s="54"/>
      <c r="I201" s="1"/>
    </row>
    <row r="202">
      <c r="A202" s="16" t="s">
        <v>51</v>
      </c>
      <c r="B202" s="77" t="str">
        <f>IFERROR(HYPERLINK(VLOOKUP(A202,Internal_lists_bugs!$A$2:$C$73,3,FALSE()), VLOOKUP(A202,Internal_lists_bugs!$A$2:$C$73,3,FALSE())&amp;Char(10) &amp; Char(10) &amp; VLOOKUP(A202,Internal_lists_bugs!$A$2:$Z$73,26,FALSE())),"please select a BUG ID")</f>
        <v>https://bugs.launchpad.net/nova/+bug/1370590
/libvirt/driver.py</v>
      </c>
      <c r="C202" s="81" t="str">
        <f>IFERROR(Hyperlink(VLOOKUP(A202,Internal_lists_bugs!$A$2:$G1061,7,FALSE()),"BIC: "&amp;VLOOKUP(A202,Internal_lists_bugs!$A$2:$G1061,7,FALSE())&amp;CHAR(10)&amp;"Intro.Issues: "&amp;VLOOKUP(A202,Internal_lists_bugs!$A$2:$P1061,16,FALSE())),"please select a BUG ID")</f>
        <v>BIC: https://opendev.org/openstack/nova/commit/7326bac8f95
Intro.Issues: libvirt-start-lxc-from-block-devices</v>
      </c>
      <c r="D202" s="100" t="s">
        <v>4443</v>
      </c>
      <c r="E202" s="16" t="s">
        <v>4290</v>
      </c>
      <c r="F202" s="79" t="s">
        <v>4342</v>
      </c>
      <c r="G202" s="93" t="s">
        <v>4444</v>
      </c>
      <c r="H202" s="16" t="s">
        <v>251</v>
      </c>
      <c r="I202" s="1"/>
    </row>
    <row r="203">
      <c r="A203" s="16" t="s">
        <v>51</v>
      </c>
      <c r="B203" s="77" t="str">
        <f>IFERROR(HYPERLINK(VLOOKUP(A203,Internal_lists_bugs!$A$2:$C$73,3,FALSE()), VLOOKUP(A203,Internal_lists_bugs!$A$2:$C$73,3,FALSE())&amp;Char(10) &amp; Char(10) &amp; VLOOKUP(A203,Internal_lists_bugs!$A$2:$Z$73,26,FALSE())),"please select a BUG ID")</f>
        <v>https://bugs.launchpad.net/nova/+bug/1370590
/libvirt/driver.py</v>
      </c>
      <c r="C203" s="81" t="str">
        <f>IFERROR(Hyperlink(VLOOKUP(A203,Internal_lists_bugs!$A$2:$G1061,7,FALSE()),"BIC: "&amp;VLOOKUP(A203,Internal_lists_bugs!$A$2:$G1061,7,FALSE())&amp;CHAR(10)&amp;"Intro.Issues: "&amp;VLOOKUP(A203,Internal_lists_bugs!$A$2:$P1061,16,FALSE())),"please select a BUG ID")</f>
        <v>BIC: https://opendev.org/openstack/nova/commit/7326bac8f95
Intro.Issues: libvirt-start-lxc-from-block-devices</v>
      </c>
      <c r="D203" s="100" t="s">
        <v>4443</v>
      </c>
      <c r="E203" s="54"/>
      <c r="F203" s="79" t="s">
        <v>4397</v>
      </c>
      <c r="G203" s="93" t="s">
        <v>4412</v>
      </c>
      <c r="H203" s="54"/>
      <c r="I203" s="1"/>
    </row>
    <row r="204">
      <c r="A204" s="16" t="s">
        <v>51</v>
      </c>
      <c r="B204" s="77" t="str">
        <f>IFERROR(HYPERLINK(VLOOKUP(A204,Internal_lists_bugs!$A$2:$C$73,3,FALSE()), VLOOKUP(A204,Internal_lists_bugs!$A$2:$C$73,3,FALSE())&amp;Char(10) &amp; Char(10) &amp; VLOOKUP(A204,Internal_lists_bugs!$A$2:$Z$73,26,FALSE())),"please select a BUG ID")</f>
        <v>https://bugs.launchpad.net/nova/+bug/1370590
/libvirt/driver.py</v>
      </c>
      <c r="C204" s="81" t="str">
        <f>IFERROR(Hyperlink(VLOOKUP(A204,Internal_lists_bugs!$A$2:$G1061,7,FALSE()),"BIC: "&amp;VLOOKUP(A204,Internal_lists_bugs!$A$2:$G1061,7,FALSE())&amp;CHAR(10)&amp;"Intro.Issues: "&amp;VLOOKUP(A204,Internal_lists_bugs!$A$2:$P1061,16,FALSE())),"please select a BUG ID")</f>
        <v>BIC: https://opendev.org/openstack/nova/commit/7326bac8f95
Intro.Issues: libvirt-start-lxc-from-block-devices</v>
      </c>
      <c r="D204" s="100" t="s">
        <v>4443</v>
      </c>
      <c r="E204" s="54"/>
      <c r="F204" s="79" t="s">
        <v>4297</v>
      </c>
      <c r="G204" s="93" t="s">
        <v>4311</v>
      </c>
      <c r="H204" s="54"/>
      <c r="I204" s="1"/>
    </row>
    <row r="205">
      <c r="A205" s="16" t="s">
        <v>51</v>
      </c>
      <c r="B205" s="77" t="str">
        <f>IFERROR(HYPERLINK(VLOOKUP(A205,Internal_lists_bugs!$A$2:$C$73,3,FALSE()), VLOOKUP(A205,Internal_lists_bugs!$A$2:$C$73,3,FALSE())&amp;Char(10) &amp; Char(10) &amp; VLOOKUP(A205,Internal_lists_bugs!$A$2:$Z$73,26,FALSE())),"please select a BUG ID")</f>
        <v>https://bugs.launchpad.net/nova/+bug/1370590
/libvirt/driver.py</v>
      </c>
      <c r="C205" s="81" t="str">
        <f>IFERROR(Hyperlink(VLOOKUP(A205,Internal_lists_bugs!$A$2:$G1061,7,FALSE()),"BIC: "&amp;VLOOKUP(A205,Internal_lists_bugs!$A$2:$G1061,7,FALSE())&amp;CHAR(10)&amp;"Intro.Issues: "&amp;VLOOKUP(A205,Internal_lists_bugs!$A$2:$P1061,16,FALSE())),"please select a BUG ID")</f>
        <v>BIC: https://opendev.org/openstack/nova/commit/7326bac8f95
Intro.Issues: libvirt-start-lxc-from-block-devices</v>
      </c>
      <c r="D205" s="100" t="s">
        <v>4443</v>
      </c>
      <c r="E205" s="54"/>
      <c r="F205" s="79" t="s">
        <v>4310</v>
      </c>
      <c r="G205" s="93" t="s">
        <v>4311</v>
      </c>
      <c r="H205" s="54"/>
      <c r="I205" s="1"/>
    </row>
    <row r="206">
      <c r="A206" s="16" t="s">
        <v>51</v>
      </c>
      <c r="B206" s="77" t="str">
        <f>IFERROR(HYPERLINK(VLOOKUP(A206,Internal_lists_bugs!$A$2:$C$73,3,FALSE()), VLOOKUP(A206,Internal_lists_bugs!$A$2:$C$73,3,FALSE())&amp;Char(10) &amp; Char(10) &amp; VLOOKUP(A206,Internal_lists_bugs!$A$2:$Z$73,26,FALSE())),"please select a BUG ID")</f>
        <v>https://bugs.launchpad.net/nova/+bug/1370590
/libvirt/driver.py</v>
      </c>
      <c r="C206" s="81" t="str">
        <f>IFERROR(Hyperlink(VLOOKUP(A206,Internal_lists_bugs!$A$2:$G1061,7,FALSE()),"BIC: "&amp;VLOOKUP(A206,Internal_lists_bugs!$A$2:$G1061,7,FALSE())&amp;CHAR(10)&amp;"Intro.Issues: "&amp;VLOOKUP(A206,Internal_lists_bugs!$A$2:$P1061,16,FALSE())),"please select a BUG ID")</f>
        <v>BIC: https://opendev.org/openstack/nova/commit/7326bac8f95
Intro.Issues: libvirt-start-lxc-from-block-devices</v>
      </c>
      <c r="D206" s="100" t="s">
        <v>4443</v>
      </c>
      <c r="E206" s="54"/>
      <c r="F206" s="79" t="s">
        <v>4295</v>
      </c>
      <c r="G206" s="93" t="s">
        <v>4445</v>
      </c>
      <c r="H206" s="54"/>
      <c r="I206" s="1"/>
    </row>
    <row r="207">
      <c r="A207" s="16" t="s">
        <v>51</v>
      </c>
      <c r="B207" s="77" t="str">
        <f>IFERROR(HYPERLINK(VLOOKUP(A207,Internal_lists_bugs!$A$2:$C$73,3,FALSE()), VLOOKUP(A207,Internal_lists_bugs!$A$2:$C$73,3,FALSE())&amp;Char(10) &amp; Char(10) &amp; VLOOKUP(A207,Internal_lists_bugs!$A$2:$Z$73,26,FALSE())),"please select a BUG ID")</f>
        <v>https://bugs.launchpad.net/nova/+bug/1370590
/libvirt/driver.py</v>
      </c>
      <c r="C207" s="81" t="str">
        <f>IFERROR(Hyperlink(VLOOKUP(A207,Internal_lists_bugs!$A$2:$G1061,7,FALSE()),"BIC: "&amp;VLOOKUP(A207,Internal_lists_bugs!$A$2:$G1061,7,FALSE())&amp;CHAR(10)&amp;"Intro.Issues: "&amp;VLOOKUP(A207,Internal_lists_bugs!$A$2:$P1061,16,FALSE())),"please select a BUG ID")</f>
        <v>BIC: https://opendev.org/openstack/nova/commit/7326bac8f95
Intro.Issues: libvirt-start-lxc-from-block-devices</v>
      </c>
      <c r="D207" s="100" t="s">
        <v>4443</v>
      </c>
      <c r="E207" s="54"/>
      <c r="F207" s="79" t="s">
        <v>4395</v>
      </c>
      <c r="G207" s="93" t="s">
        <v>4446</v>
      </c>
      <c r="H207" s="54"/>
      <c r="I207" s="1"/>
    </row>
    <row r="208">
      <c r="A208" s="16" t="s">
        <v>51</v>
      </c>
      <c r="B208" s="77" t="str">
        <f>IFERROR(HYPERLINK(VLOOKUP(A208,Internal_lists_bugs!$A$2:$C$73,3,FALSE()), VLOOKUP(A208,Internal_lists_bugs!$A$2:$C$73,3,FALSE())&amp;Char(10) &amp; Char(10) &amp; VLOOKUP(A208,Internal_lists_bugs!$A$2:$Z$73,26,FALSE())),"please select a BUG ID")</f>
        <v>https://bugs.launchpad.net/nova/+bug/1370590
/libvirt/driver.py</v>
      </c>
      <c r="C208" s="81" t="str">
        <f>IFERROR(Hyperlink(VLOOKUP(A208,Internal_lists_bugs!$A$2:$G1061,7,FALSE()),"BIC: "&amp;VLOOKUP(A208,Internal_lists_bugs!$A$2:$G1061,7,FALSE())&amp;CHAR(10)&amp;"Intro.Issues: "&amp;VLOOKUP(A208,Internal_lists_bugs!$A$2:$P1061,16,FALSE())),"please select a BUG ID")</f>
        <v>BIC: https://opendev.org/openstack/nova/commit/7326bac8f95
Intro.Issues: libvirt-start-lxc-from-block-devices</v>
      </c>
      <c r="D208" s="100" t="s">
        <v>4443</v>
      </c>
      <c r="E208" s="54"/>
      <c r="F208" s="79" t="s">
        <v>4336</v>
      </c>
      <c r="G208" s="93" t="s">
        <v>4447</v>
      </c>
      <c r="H208" s="54"/>
      <c r="I208" s="1"/>
    </row>
    <row r="209">
      <c r="A209" s="16" t="s">
        <v>51</v>
      </c>
      <c r="B209" s="77" t="str">
        <f>IFERROR(HYPERLINK(VLOOKUP(A209,Internal_lists_bugs!$A$2:$C$73,3,FALSE()), VLOOKUP(A209,Internal_lists_bugs!$A$2:$C$73,3,FALSE())&amp;Char(10) &amp; Char(10) &amp; VLOOKUP(A209,Internal_lists_bugs!$A$2:$Z$73,26,FALSE())),"please select a BUG ID")</f>
        <v>https://bugs.launchpad.net/nova/+bug/1370590
/libvirt/driver.py</v>
      </c>
      <c r="C209" s="81" t="str">
        <f>IFERROR(Hyperlink(VLOOKUP(A209,Internal_lists_bugs!$A$2:$G1061,7,FALSE()),"BIC: "&amp;VLOOKUP(A209,Internal_lists_bugs!$A$2:$G1061,7,FALSE())&amp;CHAR(10)&amp;"Intro.Issues: "&amp;VLOOKUP(A209,Internal_lists_bugs!$A$2:$P1061,16,FALSE())),"please select a BUG ID")</f>
        <v>BIC: https://opendev.org/openstack/nova/commit/7326bac8f95
Intro.Issues: libvirt-start-lxc-from-block-devices</v>
      </c>
      <c r="D209" s="100" t="s">
        <v>4443</v>
      </c>
      <c r="E209" s="54"/>
      <c r="F209" s="79" t="s">
        <v>4448</v>
      </c>
      <c r="G209" s="93" t="s">
        <v>4449</v>
      </c>
      <c r="H209" s="54"/>
      <c r="I209" s="1"/>
    </row>
    <row r="210">
      <c r="A210" s="16" t="s">
        <v>51</v>
      </c>
      <c r="B210" s="77" t="str">
        <f>IFERROR(HYPERLINK(VLOOKUP(A210,Internal_lists_bugs!$A$2:$C$73,3,FALSE()), VLOOKUP(A210,Internal_lists_bugs!$A$2:$C$73,3,FALSE())&amp;Char(10) &amp; Char(10) &amp; VLOOKUP(A210,Internal_lists_bugs!$A$2:$Z$73,26,FALSE())),"please select a BUG ID")</f>
        <v>https://bugs.launchpad.net/nova/+bug/1370590
/libvirt/driver.py</v>
      </c>
      <c r="C210" s="81" t="str">
        <f>IFERROR(Hyperlink(VLOOKUP(A210,Internal_lists_bugs!$A$2:$G1061,7,FALSE()),"BIC: "&amp;VLOOKUP(A210,Internal_lists_bugs!$A$2:$G1061,7,FALSE())&amp;CHAR(10)&amp;"Intro.Issues: "&amp;VLOOKUP(A210,Internal_lists_bugs!$A$2:$P1061,16,FALSE())),"please select a BUG ID")</f>
        <v>BIC: https://opendev.org/openstack/nova/commit/7326bac8f95
Intro.Issues: libvirt-start-lxc-from-block-devices</v>
      </c>
      <c r="D210" s="100" t="s">
        <v>4443</v>
      </c>
      <c r="E210" s="54"/>
      <c r="F210" s="79" t="s">
        <v>4450</v>
      </c>
      <c r="G210" s="93" t="s">
        <v>4451</v>
      </c>
      <c r="H210" s="54"/>
      <c r="I210" s="1"/>
    </row>
    <row r="211">
      <c r="A211" s="16" t="s">
        <v>51</v>
      </c>
      <c r="B211" s="77" t="str">
        <f>IFERROR(HYPERLINK(VLOOKUP(A211,Internal_lists_bugs!$A$2:$C$73,3,FALSE()), VLOOKUP(A211,Internal_lists_bugs!$A$2:$C$73,3,FALSE())&amp;Char(10) &amp; Char(10) &amp; VLOOKUP(A211,Internal_lists_bugs!$A$2:$Z$73,26,FALSE())),"please select a BUG ID")</f>
        <v>https://bugs.launchpad.net/nova/+bug/1370590
/libvirt/driver.py</v>
      </c>
      <c r="C211" s="81" t="str">
        <f>IFERROR(Hyperlink(VLOOKUP(A211,Internal_lists_bugs!$A$2:$G1061,7,FALSE()),"BIC: "&amp;VLOOKUP(A211,Internal_lists_bugs!$A$2:$G1061,7,FALSE())&amp;CHAR(10)&amp;"Intro.Issues: "&amp;VLOOKUP(A211,Internal_lists_bugs!$A$2:$P1061,16,FALSE())),"please select a BUG ID")</f>
        <v>BIC: https://opendev.org/openstack/nova/commit/7326bac8f95
Intro.Issues: libvirt-start-lxc-from-block-devices</v>
      </c>
      <c r="D211" s="100" t="s">
        <v>4443</v>
      </c>
      <c r="E211" s="54"/>
      <c r="F211" s="79" t="s">
        <v>4452</v>
      </c>
      <c r="G211" s="93" t="s">
        <v>4453</v>
      </c>
      <c r="H211" s="54"/>
      <c r="I211" s="1"/>
    </row>
    <row r="212">
      <c r="A212" s="16" t="s">
        <v>52</v>
      </c>
      <c r="B212" s="77" t="str">
        <f>IFERROR(HYPERLINK(VLOOKUP(A212,Internal_lists_bugs!$A$2:$C$73,3,FALSE()), VLOOKUP(A212,Internal_lists_bugs!$A$2:$C$73,3,FALSE())&amp;Char(10) &amp; Char(10) &amp; VLOOKUP(A212,Internal_lists_bugs!$A$2:$Z$73,26,FALSE())),"please select a BUG ID")</f>
        <v>https://bugs.launchpad.net/nova/+bug/1419002
/libvirt/driver.py
/compute/utils.py</v>
      </c>
      <c r="C212" s="81" t="str">
        <f>IFERROR(Hyperlink(VLOOKUP(A212,Internal_lists_bugs!$A$2:$G1061,7,FALSE()),"BIC: "&amp;VLOOKUP(A212,Internal_lists_bugs!$A$2:$G1061,7,FALSE())&amp;CHAR(10)&amp;"Intro.Issues: "&amp;VLOOKUP(A212,Internal_lists_bugs!$A$2:$P1061,16,FALSE())),"please select a BUG ID")</f>
        <v>BIC: https://opendev.org/openstack/nova/commit/2ef03c6a0a8c5705
Intro.Issues: NA</v>
      </c>
      <c r="D212" s="100" t="s">
        <v>124</v>
      </c>
      <c r="E212" s="54"/>
      <c r="F212" s="82"/>
      <c r="G212" s="92"/>
      <c r="H212" s="54"/>
      <c r="I212" s="1"/>
    </row>
    <row r="213">
      <c r="A213" s="16" t="s">
        <v>53</v>
      </c>
      <c r="B213" s="77" t="str">
        <f>IFERROR(HYPERLINK(VLOOKUP(A213,Internal_lists_bugs!$A$2:$C$73,3,FALSE()), VLOOKUP(A213,Internal_lists_bugs!$A$2:$C$73,3,FALSE())&amp;Char(10) &amp; Char(10) &amp; VLOOKUP(A213,Internal_lists_bugs!$A$2:$Z$73,26,FALSE())),"please select a BUG ID")</f>
        <v>https://bugs.launchpad.net/nova/+bug/1336127
/compute/manager.py</v>
      </c>
      <c r="C213" s="81" t="str">
        <f>IFERROR(Hyperlink(VLOOKUP(A213,Internal_lists_bugs!$A$2:$G1061,7,FALSE()),"BIC: "&amp;VLOOKUP(A213,Internal_lists_bugs!$A$2:$G1061,7,FALSE())&amp;CHAR(10)&amp;"Intro.Issues: "&amp;VLOOKUP(A213,Internal_lists_bugs!$A$2:$P1061,16,FALSE())),"please select a BUG ID")</f>
        <v>BIC: https://opendev.org/openstack/nova/commit/2c62e34
Intro.Issues: remove-cast-to-schedule-run-instance</v>
      </c>
      <c r="D213" s="100" t="s">
        <v>4454</v>
      </c>
      <c r="E213" s="16" t="s">
        <v>4455</v>
      </c>
      <c r="F213" s="79" t="s">
        <v>4397</v>
      </c>
      <c r="G213" s="93" t="s">
        <v>4412</v>
      </c>
      <c r="H213" s="16" t="s">
        <v>251</v>
      </c>
      <c r="I213" s="1"/>
    </row>
    <row r="214">
      <c r="A214" s="16" t="s">
        <v>53</v>
      </c>
      <c r="B214" s="77" t="str">
        <f>IFERROR(HYPERLINK(VLOOKUP(A214,Internal_lists_bugs!$A$2:$C$73,3,FALSE()), VLOOKUP(A214,Internal_lists_bugs!$A$2:$C$73,3,FALSE())&amp;Char(10) &amp; Char(10) &amp; VLOOKUP(A214,Internal_lists_bugs!$A$2:$Z$73,26,FALSE())),"please select a BUG ID")</f>
        <v>https://bugs.launchpad.net/nova/+bug/1336127
/compute/manager.py</v>
      </c>
      <c r="C214" s="81" t="str">
        <f>IFERROR(Hyperlink(VLOOKUP(A214,Internal_lists_bugs!$A$2:$G1061,7,FALSE()),"BIC: "&amp;VLOOKUP(A214,Internal_lists_bugs!$A$2:$G1061,7,FALSE())&amp;CHAR(10)&amp;"Intro.Issues: "&amp;VLOOKUP(A214,Internal_lists_bugs!$A$2:$P1061,16,FALSE())),"please select a BUG ID")</f>
        <v>BIC: https://opendev.org/openstack/nova/commit/2c62e34
Intro.Issues: remove-cast-to-schedule-run-instance</v>
      </c>
      <c r="D214" s="100" t="s">
        <v>4454</v>
      </c>
      <c r="F214" s="79" t="s">
        <v>4388</v>
      </c>
      <c r="G214" s="93" t="s">
        <v>4456</v>
      </c>
      <c r="H214" s="54"/>
      <c r="I214" s="1"/>
    </row>
    <row r="215">
      <c r="A215" s="16" t="s">
        <v>53</v>
      </c>
      <c r="B215" s="77" t="str">
        <f>IFERROR(HYPERLINK(VLOOKUP(A215,Internal_lists_bugs!$A$2:$C$73,3,FALSE()), VLOOKUP(A215,Internal_lists_bugs!$A$2:$C$73,3,FALSE())&amp;Char(10) &amp; Char(10) &amp; VLOOKUP(A215,Internal_lists_bugs!$A$2:$Z$73,26,FALSE())),"please select a BUG ID")</f>
        <v>https://bugs.launchpad.net/nova/+bug/1336127
/compute/manager.py</v>
      </c>
      <c r="C215" s="81" t="str">
        <f>IFERROR(Hyperlink(VLOOKUP(A215,Internal_lists_bugs!$A$2:$G1061,7,FALSE()),"BIC: "&amp;VLOOKUP(A215,Internal_lists_bugs!$A$2:$G1061,7,FALSE())&amp;CHAR(10)&amp;"Intro.Issues: "&amp;VLOOKUP(A215,Internal_lists_bugs!$A$2:$P1061,16,FALSE())),"please select a BUG ID")</f>
        <v>BIC: https://opendev.org/openstack/nova/commit/2c62e34
Intro.Issues: remove-cast-to-schedule-run-instance</v>
      </c>
      <c r="D215" s="100" t="s">
        <v>4454</v>
      </c>
      <c r="E215" s="54"/>
      <c r="F215" s="79" t="s">
        <v>4457</v>
      </c>
      <c r="G215" s="93" t="s">
        <v>4458</v>
      </c>
      <c r="H215" s="54"/>
      <c r="I215" s="1"/>
    </row>
    <row r="216">
      <c r="A216" s="16" t="s">
        <v>53</v>
      </c>
      <c r="B216" s="77" t="str">
        <f>IFERROR(HYPERLINK(VLOOKUP(A216,Internal_lists_bugs!$A$2:$C$73,3,FALSE()), VLOOKUP(A216,Internal_lists_bugs!$A$2:$C$73,3,FALSE())&amp;Char(10) &amp; Char(10) &amp; VLOOKUP(A216,Internal_lists_bugs!$A$2:$Z$73,26,FALSE())),"please select a BUG ID")</f>
        <v>https://bugs.launchpad.net/nova/+bug/1336127
/compute/manager.py</v>
      </c>
      <c r="C216" s="81" t="str">
        <f>IFERROR(Hyperlink(VLOOKUP(A216,Internal_lists_bugs!$A$2:$G1061,7,FALSE()),"BIC: "&amp;VLOOKUP(A216,Internal_lists_bugs!$A$2:$G1061,7,FALSE())&amp;CHAR(10)&amp;"Intro.Issues: "&amp;VLOOKUP(A216,Internal_lists_bugs!$A$2:$P1061,16,FALSE())),"please select a BUG ID")</f>
        <v>BIC: https://opendev.org/openstack/nova/commit/2c62e34
Intro.Issues: remove-cast-to-schedule-run-instance</v>
      </c>
      <c r="D216" s="100" t="s">
        <v>4454</v>
      </c>
      <c r="E216" s="54"/>
      <c r="F216" s="79" t="s">
        <v>4459</v>
      </c>
      <c r="G216" s="93" t="s">
        <v>4460</v>
      </c>
      <c r="H216" s="54"/>
      <c r="I216" s="1"/>
    </row>
    <row r="217">
      <c r="A217" s="16" t="s">
        <v>53</v>
      </c>
      <c r="B217" s="77" t="str">
        <f>IFERROR(HYPERLINK(VLOOKUP(A217,Internal_lists_bugs!$A$2:$C$73,3,FALSE()), VLOOKUP(A217,Internal_lists_bugs!$A$2:$C$73,3,FALSE())&amp;Char(10) &amp; Char(10) &amp; VLOOKUP(A217,Internal_lists_bugs!$A$2:$Z$73,26,FALSE())),"please select a BUG ID")</f>
        <v>https://bugs.launchpad.net/nova/+bug/1336127
/compute/manager.py</v>
      </c>
      <c r="C217" s="81" t="str">
        <f>IFERROR(Hyperlink(VLOOKUP(A217,Internal_lists_bugs!$A$2:$G1061,7,FALSE()),"BIC: "&amp;VLOOKUP(A217,Internal_lists_bugs!$A$2:$G1061,7,FALSE())&amp;CHAR(10)&amp;"Intro.Issues: "&amp;VLOOKUP(A217,Internal_lists_bugs!$A$2:$P1061,16,FALSE())),"please select a BUG ID")</f>
        <v>BIC: https://opendev.org/openstack/nova/commit/2c62e34
Intro.Issues: remove-cast-to-schedule-run-instance</v>
      </c>
      <c r="D217" s="100" t="s">
        <v>4454</v>
      </c>
      <c r="E217" s="54"/>
      <c r="F217" s="79" t="s">
        <v>4421</v>
      </c>
      <c r="G217" s="93" t="s">
        <v>4461</v>
      </c>
      <c r="H217" s="54"/>
      <c r="I217" s="1"/>
    </row>
    <row r="218">
      <c r="A218" s="16" t="s">
        <v>53</v>
      </c>
      <c r="B218" s="77" t="str">
        <f>IFERROR(HYPERLINK(VLOOKUP(A218,Internal_lists_bugs!$A$2:$C$73,3,FALSE()), VLOOKUP(A218,Internal_lists_bugs!$A$2:$C$73,3,FALSE())&amp;Char(10) &amp; Char(10) &amp; VLOOKUP(A218,Internal_lists_bugs!$A$2:$Z$73,26,FALSE())),"please select a BUG ID")</f>
        <v>https://bugs.launchpad.net/nova/+bug/1336127
/compute/manager.py</v>
      </c>
      <c r="C218" s="81" t="str">
        <f>IFERROR(Hyperlink(VLOOKUP(A218,Internal_lists_bugs!$A$2:$G1061,7,FALSE()),"BIC: "&amp;VLOOKUP(A218,Internal_lists_bugs!$A$2:$G1061,7,FALSE())&amp;CHAR(10)&amp;"Intro.Issues: "&amp;VLOOKUP(A218,Internal_lists_bugs!$A$2:$P1061,16,FALSE())),"please select a BUG ID")</f>
        <v>BIC: https://opendev.org/openstack/nova/commit/2c62e34
Intro.Issues: remove-cast-to-schedule-run-instance</v>
      </c>
      <c r="D218" s="100" t="s">
        <v>4454</v>
      </c>
      <c r="E218" s="54"/>
      <c r="F218" s="79" t="s">
        <v>4295</v>
      </c>
      <c r="G218" s="94" t="s">
        <v>4462</v>
      </c>
      <c r="H218" s="54"/>
      <c r="I218" s="1"/>
    </row>
    <row r="219">
      <c r="A219" s="16" t="s">
        <v>53</v>
      </c>
      <c r="B219" s="77" t="str">
        <f>IFERROR(HYPERLINK(VLOOKUP(A219,Internal_lists_bugs!$A$2:$C$73,3,FALSE()), VLOOKUP(A219,Internal_lists_bugs!$A$2:$C$73,3,FALSE())&amp;Char(10) &amp; Char(10) &amp; VLOOKUP(A219,Internal_lists_bugs!$A$2:$Z$73,26,FALSE())),"please select a BUG ID")</f>
        <v>https://bugs.launchpad.net/nova/+bug/1336127
/compute/manager.py</v>
      </c>
      <c r="C219" s="81" t="str">
        <f>IFERROR(Hyperlink(VLOOKUP(A219,Internal_lists_bugs!$A$2:$G1061,7,FALSE()),"BIC: "&amp;VLOOKUP(A219,Internal_lists_bugs!$A$2:$G1061,7,FALSE())&amp;CHAR(10)&amp;"Intro.Issues: "&amp;VLOOKUP(A219,Internal_lists_bugs!$A$2:$P1061,16,FALSE())),"please select a BUG ID")</f>
        <v>BIC: https://opendev.org/openstack/nova/commit/2c62e34
Intro.Issues: remove-cast-to-schedule-run-instance</v>
      </c>
      <c r="D219" s="100" t="s">
        <v>4454</v>
      </c>
      <c r="E219" s="54"/>
      <c r="F219" s="79" t="s">
        <v>4308</v>
      </c>
      <c r="G219" s="93" t="s">
        <v>4463</v>
      </c>
      <c r="H219" s="54"/>
      <c r="I219" s="1"/>
    </row>
    <row r="220">
      <c r="A220" s="16" t="s">
        <v>53</v>
      </c>
      <c r="B220" s="77" t="str">
        <f>IFERROR(HYPERLINK(VLOOKUP(A220,Internal_lists_bugs!$A$2:$C$73,3,FALSE()), VLOOKUP(A220,Internal_lists_bugs!$A$2:$C$73,3,FALSE())&amp;Char(10) &amp; Char(10) &amp; VLOOKUP(A220,Internal_lists_bugs!$A$2:$Z$73,26,FALSE())),"please select a BUG ID")</f>
        <v>https://bugs.launchpad.net/nova/+bug/1336127
/compute/manager.py</v>
      </c>
      <c r="C220" s="81" t="str">
        <f>IFERROR(Hyperlink(VLOOKUP(A220,Internal_lists_bugs!$A$2:$G1061,7,FALSE()),"BIC: "&amp;VLOOKUP(A220,Internal_lists_bugs!$A$2:$G1061,7,FALSE())&amp;CHAR(10)&amp;"Intro.Issues: "&amp;VLOOKUP(A220,Internal_lists_bugs!$A$2:$P1061,16,FALSE())),"please select a BUG ID")</f>
        <v>BIC: https://opendev.org/openstack/nova/commit/2c62e34
Intro.Issues: remove-cast-to-schedule-run-instance</v>
      </c>
      <c r="D220" s="100" t="s">
        <v>4454</v>
      </c>
      <c r="E220" s="54"/>
      <c r="F220" s="79" t="s">
        <v>4297</v>
      </c>
      <c r="G220" s="93" t="s">
        <v>4311</v>
      </c>
      <c r="H220" s="54"/>
      <c r="I220" s="1"/>
    </row>
    <row r="221">
      <c r="A221" s="16" t="s">
        <v>53</v>
      </c>
      <c r="B221" s="77" t="str">
        <f>IFERROR(HYPERLINK(VLOOKUP(A221,Internal_lists_bugs!$A$2:$C$73,3,FALSE()), VLOOKUP(A221,Internal_lists_bugs!$A$2:$C$73,3,FALSE())&amp;Char(10) &amp; Char(10) &amp; VLOOKUP(A221,Internal_lists_bugs!$A$2:$Z$73,26,FALSE())),"please select a BUG ID")</f>
        <v>https://bugs.launchpad.net/nova/+bug/1336127
/compute/manager.py</v>
      </c>
      <c r="C221" s="81" t="str">
        <f>IFERROR(Hyperlink(VLOOKUP(A221,Internal_lists_bugs!$A$2:$G1061,7,FALSE()),"BIC: "&amp;VLOOKUP(A221,Internal_lists_bugs!$A$2:$G1061,7,FALSE())&amp;CHAR(10)&amp;"Intro.Issues: "&amp;VLOOKUP(A221,Internal_lists_bugs!$A$2:$P1061,16,FALSE())),"please select a BUG ID")</f>
        <v>BIC: https://opendev.org/openstack/nova/commit/2c62e34
Intro.Issues: remove-cast-to-schedule-run-instance</v>
      </c>
      <c r="D221" s="100" t="s">
        <v>4454</v>
      </c>
      <c r="E221" s="54"/>
      <c r="F221" s="79" t="s">
        <v>4310</v>
      </c>
      <c r="G221" s="93" t="s">
        <v>4311</v>
      </c>
      <c r="H221" s="54"/>
      <c r="I221" s="1"/>
    </row>
    <row r="222">
      <c r="A222" s="16" t="s">
        <v>53</v>
      </c>
      <c r="B222" s="77" t="str">
        <f>IFERROR(HYPERLINK(VLOOKUP(A222,Internal_lists_bugs!$A$2:$C$73,3,FALSE()), VLOOKUP(A222,Internal_lists_bugs!$A$2:$C$73,3,FALSE())&amp;Char(10) &amp; Char(10) &amp; VLOOKUP(A222,Internal_lists_bugs!$A$2:$Z$73,26,FALSE())),"please select a BUG ID")</f>
        <v>https://bugs.launchpad.net/nova/+bug/1336127
/compute/manager.py</v>
      </c>
      <c r="C222" s="81" t="str">
        <f>IFERROR(Hyperlink(VLOOKUP(A222,Internal_lists_bugs!$A$2:$G1061,7,FALSE()),"BIC: "&amp;VLOOKUP(A222,Internal_lists_bugs!$A$2:$G1061,7,FALSE())&amp;CHAR(10)&amp;"Intro.Issues: "&amp;VLOOKUP(A222,Internal_lists_bugs!$A$2:$P1061,16,FALSE())),"please select a BUG ID")</f>
        <v>BIC: https://opendev.org/openstack/nova/commit/2c62e34
Intro.Issues: remove-cast-to-schedule-run-instance</v>
      </c>
      <c r="D222" s="100" t="s">
        <v>4454</v>
      </c>
      <c r="E222" s="54"/>
      <c r="F222" s="79" t="s">
        <v>4312</v>
      </c>
      <c r="G222" s="93" t="s">
        <v>4311</v>
      </c>
      <c r="H222" s="54"/>
      <c r="I222" s="1"/>
    </row>
    <row r="223">
      <c r="A223" s="16" t="s">
        <v>53</v>
      </c>
      <c r="B223" s="77" t="str">
        <f>IFERROR(HYPERLINK(VLOOKUP(A223,Internal_lists_bugs!$A$2:$C$73,3,FALSE()), VLOOKUP(A223,Internal_lists_bugs!$A$2:$C$73,3,FALSE())&amp;Char(10) &amp; Char(10) &amp; VLOOKUP(A223,Internal_lists_bugs!$A$2:$Z$73,26,FALSE())),"please select a BUG ID")</f>
        <v>https://bugs.launchpad.net/nova/+bug/1336127
/compute/manager.py</v>
      </c>
      <c r="C223" s="81" t="str">
        <f>IFERROR(Hyperlink(VLOOKUP(A223,Internal_lists_bugs!$A$2:$G1061,7,FALSE()),"BIC: "&amp;VLOOKUP(A223,Internal_lists_bugs!$A$2:$G1061,7,FALSE())&amp;CHAR(10)&amp;"Intro.Issues: "&amp;VLOOKUP(A223,Internal_lists_bugs!$A$2:$P1061,16,FALSE())),"please select a BUG ID")</f>
        <v>BIC: https://opendev.org/openstack/nova/commit/2c62e34
Intro.Issues: remove-cast-to-schedule-run-instance</v>
      </c>
      <c r="D223" s="100" t="s">
        <v>4454</v>
      </c>
      <c r="E223" s="54"/>
      <c r="F223" s="79" t="s">
        <v>4313</v>
      </c>
      <c r="G223" s="93" t="s">
        <v>4311</v>
      </c>
      <c r="H223" s="54"/>
      <c r="I223" s="1"/>
    </row>
    <row r="224">
      <c r="A224" s="16" t="s">
        <v>53</v>
      </c>
      <c r="B224" s="77" t="str">
        <f>IFERROR(HYPERLINK(VLOOKUP(A224,Internal_lists_bugs!$A$2:$C$73,3,FALSE()), VLOOKUP(A224,Internal_lists_bugs!$A$2:$C$73,3,FALSE())&amp;Char(10) &amp; Char(10) &amp; VLOOKUP(A224,Internal_lists_bugs!$A$2:$Z$73,26,FALSE())),"please select a BUG ID")</f>
        <v>https://bugs.launchpad.net/nova/+bug/1336127
/compute/manager.py</v>
      </c>
      <c r="C224" s="81" t="str">
        <f>IFERROR(Hyperlink(VLOOKUP(A224,Internal_lists_bugs!$A$2:$G1061,7,FALSE()),"BIC: "&amp;VLOOKUP(A224,Internal_lists_bugs!$A$2:$G1061,7,FALSE())&amp;CHAR(10)&amp;"Intro.Issues: "&amp;VLOOKUP(A224,Internal_lists_bugs!$A$2:$P1061,16,FALSE())),"please select a BUG ID")</f>
        <v>BIC: https://opendev.org/openstack/nova/commit/2c62e34
Intro.Issues: remove-cast-to-schedule-run-instance</v>
      </c>
      <c r="D224" s="100" t="s">
        <v>4454</v>
      </c>
      <c r="E224" s="54"/>
      <c r="F224" s="79" t="s">
        <v>4314</v>
      </c>
      <c r="G224" s="93" t="s">
        <v>4311</v>
      </c>
      <c r="H224" s="54"/>
      <c r="I224" s="1"/>
    </row>
    <row r="225">
      <c r="A225" s="16" t="s">
        <v>54</v>
      </c>
      <c r="B225" s="77" t="str">
        <f>IFERROR(HYPERLINK(VLOOKUP(A225,Internal_lists_bugs!$A$2:$C$73,3,FALSE()), VLOOKUP(A225,Internal_lists_bugs!$A$2:$C$73,3,FALSE())&amp;Char(10) &amp; Char(10) &amp; VLOOKUP(A225,Internal_lists_bugs!$A$2:$Z$73,26,FALSE())),"please select a BUG ID")</f>
        <v>https://bugs.launchpad.net/nova/+bug/1307791
/compute/api.py</v>
      </c>
      <c r="C225" s="81" t="str">
        <f>IFERROR(Hyperlink(VLOOKUP(A225,Internal_lists_bugs!$A$2:$G1061,7,FALSE()),"BIC: "&amp;VLOOKUP(A225,Internal_lists_bugs!$A$2:$G1061,7,FALSE())&amp;CHAR(10)&amp;"Intro.Issues: "&amp;VLOOKUP(A225,Internal_lists_bugs!$A$2:$P1061,16,FALSE())),"please select a BUG ID")</f>
        <v>BIC: https://opendev.org/openstack/nova/commit/3dff4335661
Intro.Issues: 1067214</v>
      </c>
      <c r="D225" s="100">
        <v>1067214.0</v>
      </c>
      <c r="E225" s="16" t="s">
        <v>4280</v>
      </c>
      <c r="F225" s="79" t="s">
        <v>119</v>
      </c>
      <c r="G225" s="93" t="s">
        <v>4464</v>
      </c>
      <c r="H225" s="16" t="s">
        <v>123</v>
      </c>
      <c r="I225" s="1"/>
    </row>
    <row r="226">
      <c r="A226" s="16" t="s">
        <v>54</v>
      </c>
      <c r="B226" s="77" t="str">
        <f>IFERROR(HYPERLINK(VLOOKUP(A226,Internal_lists_bugs!$A$2:$C$73,3,FALSE()), VLOOKUP(A226,Internal_lists_bugs!$A$2:$C$73,3,FALSE())&amp;Char(10) &amp; Char(10) &amp; VLOOKUP(A226,Internal_lists_bugs!$A$2:$Z$73,26,FALSE())),"please select a BUG ID")</f>
        <v>https://bugs.launchpad.net/nova/+bug/1307791
/compute/api.py</v>
      </c>
      <c r="C226" s="81" t="str">
        <f>IFERROR(Hyperlink(VLOOKUP(A226,Internal_lists_bugs!$A$2:$G1061,7,FALSE()),"BIC: "&amp;VLOOKUP(A226,Internal_lists_bugs!$A$2:$G1061,7,FALSE())&amp;CHAR(10)&amp;"Intro.Issues: "&amp;VLOOKUP(A226,Internal_lists_bugs!$A$2:$P1061,16,FALSE())),"please select a BUG ID")</f>
        <v>BIC: https://opendev.org/openstack/nova/commit/3dff4335661
Intro.Issues: 1067214</v>
      </c>
      <c r="D226" s="100">
        <v>1067214.0</v>
      </c>
      <c r="E226" s="54"/>
      <c r="F226" s="79" t="s">
        <v>149</v>
      </c>
      <c r="G226" s="93" t="s">
        <v>4465</v>
      </c>
      <c r="H226" s="54"/>
      <c r="I226" s="1"/>
    </row>
    <row r="227">
      <c r="A227" s="16" t="s">
        <v>54</v>
      </c>
      <c r="B227" s="77" t="str">
        <f>IFERROR(HYPERLINK(VLOOKUP(A227,Internal_lists_bugs!$A$2:$C$73,3,FALSE()), VLOOKUP(A227,Internal_lists_bugs!$A$2:$C$73,3,FALSE())&amp;Char(10) &amp; Char(10) &amp; VLOOKUP(A227,Internal_lists_bugs!$A$2:$Z$73,26,FALSE())),"please select a BUG ID")</f>
        <v>https://bugs.launchpad.net/nova/+bug/1307791
/compute/api.py</v>
      </c>
      <c r="C227" s="81" t="str">
        <f>IFERROR(Hyperlink(VLOOKUP(A227,Internal_lists_bugs!$A$2:$G1061,7,FALSE()),"BIC: "&amp;VLOOKUP(A227,Internal_lists_bugs!$A$2:$G1061,7,FALSE())&amp;CHAR(10)&amp;"Intro.Issues: "&amp;VLOOKUP(A227,Internal_lists_bugs!$A$2:$P1061,16,FALSE())),"please select a BUG ID")</f>
        <v>BIC: https://opendev.org/openstack/nova/commit/3dff4335661
Intro.Issues: 1067214</v>
      </c>
      <c r="D227" s="100">
        <v>1067214.0</v>
      </c>
      <c r="E227" s="54"/>
      <c r="F227" s="79" t="s">
        <v>4282</v>
      </c>
      <c r="G227" s="93" t="s">
        <v>4466</v>
      </c>
      <c r="H227" s="54"/>
      <c r="I227" s="1"/>
    </row>
    <row r="228">
      <c r="A228" s="16" t="s">
        <v>54</v>
      </c>
      <c r="B228" s="77" t="str">
        <f>IFERROR(HYPERLINK(VLOOKUP(A228,Internal_lists_bugs!$A$2:$C$73,3,FALSE()), VLOOKUP(A228,Internal_lists_bugs!$A$2:$C$73,3,FALSE())&amp;Char(10) &amp; Char(10) &amp; VLOOKUP(A228,Internal_lists_bugs!$A$2:$Z$73,26,FALSE())),"please select a BUG ID")</f>
        <v>https://bugs.launchpad.net/nova/+bug/1307791
/compute/api.py</v>
      </c>
      <c r="C228" s="81" t="str">
        <f>IFERROR(Hyperlink(VLOOKUP(A228,Internal_lists_bugs!$A$2:$G1061,7,FALSE()),"BIC: "&amp;VLOOKUP(A228,Internal_lists_bugs!$A$2:$G1061,7,FALSE())&amp;CHAR(10)&amp;"Intro.Issues: "&amp;VLOOKUP(A228,Internal_lists_bugs!$A$2:$P1061,16,FALSE())),"please select a BUG ID")</f>
        <v>BIC: https://opendev.org/openstack/nova/commit/3dff4335661
Intro.Issues: 1067214</v>
      </c>
      <c r="D228" s="100">
        <v>1067214.0</v>
      </c>
      <c r="E228" s="54"/>
      <c r="F228" s="79" t="s">
        <v>4467</v>
      </c>
      <c r="G228" s="93" t="s">
        <v>4468</v>
      </c>
      <c r="H228" s="54"/>
      <c r="I228" s="1"/>
    </row>
    <row r="229">
      <c r="A229" s="16" t="s">
        <v>54</v>
      </c>
      <c r="B229" s="77" t="str">
        <f>IFERROR(HYPERLINK(VLOOKUP(A229,Internal_lists_bugs!$A$2:$C$73,3,FALSE()), VLOOKUP(A229,Internal_lists_bugs!$A$2:$C$73,3,FALSE())&amp;Char(10) &amp; Char(10) &amp; VLOOKUP(A229,Internal_lists_bugs!$A$2:$Z$73,26,FALSE())),"please select a BUG ID")</f>
        <v>https://bugs.launchpad.net/nova/+bug/1307791
/compute/api.py</v>
      </c>
      <c r="C229" s="81" t="str">
        <f>IFERROR(Hyperlink(VLOOKUP(A229,Internal_lists_bugs!$A$2:$G1061,7,FALSE()),"BIC: "&amp;VLOOKUP(A229,Internal_lists_bugs!$A$2:$G1061,7,FALSE())&amp;CHAR(10)&amp;"Intro.Issues: "&amp;VLOOKUP(A229,Internal_lists_bugs!$A$2:$P1061,16,FALSE())),"please select a BUG ID")</f>
        <v>BIC: https://opendev.org/openstack/nova/commit/3dff4335661
Intro.Issues: 1067214</v>
      </c>
      <c r="D229" s="100">
        <v>1067214.0</v>
      </c>
      <c r="E229" s="54"/>
      <c r="F229" s="79" t="s">
        <v>4469</v>
      </c>
      <c r="G229" s="93" t="s">
        <v>204</v>
      </c>
      <c r="H229" s="54"/>
      <c r="I229" s="1"/>
    </row>
    <row r="230">
      <c r="A230" s="16" t="s">
        <v>54</v>
      </c>
      <c r="B230" s="77" t="str">
        <f>IFERROR(HYPERLINK(VLOOKUP(A230,Internal_lists_bugs!$A$2:$C$73,3,FALSE()), VLOOKUP(A230,Internal_lists_bugs!$A$2:$C$73,3,FALSE())&amp;Char(10) &amp; Char(10) &amp; VLOOKUP(A230,Internal_lists_bugs!$A$2:$Z$73,26,FALSE())),"please select a BUG ID")</f>
        <v>https://bugs.launchpad.net/nova/+bug/1307791
/compute/api.py</v>
      </c>
      <c r="C230" s="81" t="str">
        <f>IFERROR(Hyperlink(VLOOKUP(A230,Internal_lists_bugs!$A$2:$G1061,7,FALSE()),"BIC: "&amp;VLOOKUP(A230,Internal_lists_bugs!$A$2:$G1061,7,FALSE())&amp;CHAR(10)&amp;"Intro.Issues: "&amp;VLOOKUP(A230,Internal_lists_bugs!$A$2:$P1061,16,FALSE())),"please select a BUG ID")</f>
        <v>BIC: https://opendev.org/openstack/nova/commit/3dff4335661
Intro.Issues: 1067214</v>
      </c>
      <c r="D230" s="100">
        <v>1067214.0</v>
      </c>
      <c r="E230" s="54"/>
      <c r="F230" s="79" t="s">
        <v>4470</v>
      </c>
      <c r="G230" s="93" t="s">
        <v>205</v>
      </c>
      <c r="H230" s="54"/>
      <c r="I230" s="1"/>
    </row>
    <row r="231">
      <c r="A231" s="16" t="s">
        <v>54</v>
      </c>
      <c r="B231" s="77" t="str">
        <f>IFERROR(HYPERLINK(VLOOKUP(A231,Internal_lists_bugs!$A$2:$C$73,3,FALSE()), VLOOKUP(A231,Internal_lists_bugs!$A$2:$C$73,3,FALSE())&amp;Char(10) &amp; Char(10) &amp; VLOOKUP(A231,Internal_lists_bugs!$A$2:$Z$73,26,FALSE())),"please select a BUG ID")</f>
        <v>https://bugs.launchpad.net/nova/+bug/1307791
/compute/api.py</v>
      </c>
      <c r="C231" s="81" t="str">
        <f>IFERROR(Hyperlink(VLOOKUP(A231,Internal_lists_bugs!$A$2:$G1061,7,FALSE()),"BIC: "&amp;VLOOKUP(A231,Internal_lists_bugs!$A$2:$G1061,7,FALSE())&amp;CHAR(10)&amp;"Intro.Issues: "&amp;VLOOKUP(A231,Internal_lists_bugs!$A$2:$P1061,16,FALSE())),"please select a BUG ID")</f>
        <v>BIC: https://opendev.org/openstack/nova/commit/3dff4335661
Intro.Issues: 1067214</v>
      </c>
      <c r="D231" s="100">
        <v>1067214.0</v>
      </c>
      <c r="E231" s="54"/>
      <c r="F231" s="79" t="s">
        <v>4471</v>
      </c>
      <c r="G231" s="93" t="s">
        <v>229</v>
      </c>
      <c r="H231" s="54"/>
      <c r="I231" s="1"/>
    </row>
    <row r="232">
      <c r="A232" s="16" t="s">
        <v>54</v>
      </c>
      <c r="B232" s="77" t="str">
        <f>IFERROR(HYPERLINK(VLOOKUP(A232,Internal_lists_bugs!$A$2:$C$73,3,FALSE()), VLOOKUP(A232,Internal_lists_bugs!$A$2:$C$73,3,FALSE())&amp;Char(10) &amp; Char(10) &amp; VLOOKUP(A232,Internal_lists_bugs!$A$2:$Z$73,26,FALSE())),"please select a BUG ID")</f>
        <v>https://bugs.launchpad.net/nova/+bug/1307791
/compute/api.py</v>
      </c>
      <c r="C232" s="81" t="str">
        <f>IFERROR(Hyperlink(VLOOKUP(A232,Internal_lists_bugs!$A$2:$G1061,7,FALSE()),"BIC: "&amp;VLOOKUP(A232,Internal_lists_bugs!$A$2:$G1061,7,FALSE())&amp;CHAR(10)&amp;"Intro.Issues: "&amp;VLOOKUP(A232,Internal_lists_bugs!$A$2:$P1061,16,FALSE())),"please select a BUG ID")</f>
        <v>BIC: https://opendev.org/openstack/nova/commit/3dff4335661
Intro.Issues: 1067214</v>
      </c>
      <c r="D232" s="100">
        <v>1067214.0</v>
      </c>
      <c r="E232" s="54"/>
      <c r="F232" s="79" t="s">
        <v>334</v>
      </c>
      <c r="G232" s="93" t="s">
        <v>216</v>
      </c>
      <c r="H232" s="54"/>
      <c r="I232" s="1"/>
    </row>
    <row r="233">
      <c r="A233" s="16" t="s">
        <v>54</v>
      </c>
      <c r="B233" s="77" t="str">
        <f>IFERROR(HYPERLINK(VLOOKUP(A233,Internal_lists_bugs!$A$2:$C$73,3,FALSE()), VLOOKUP(A233,Internal_lists_bugs!$A$2:$C$73,3,FALSE())&amp;Char(10) &amp; Char(10) &amp; VLOOKUP(A233,Internal_lists_bugs!$A$2:$Z$73,26,FALSE())),"please select a BUG ID")</f>
        <v>https://bugs.launchpad.net/nova/+bug/1307791
/compute/api.py</v>
      </c>
      <c r="C233" s="81" t="str">
        <f>IFERROR(Hyperlink(VLOOKUP(A233,Internal_lists_bugs!$A$2:$G1061,7,FALSE()),"BIC: "&amp;VLOOKUP(A233,Internal_lists_bugs!$A$2:$G1061,7,FALSE())&amp;CHAR(10)&amp;"Intro.Issues: "&amp;VLOOKUP(A233,Internal_lists_bugs!$A$2:$P1061,16,FALSE())),"please select a BUG ID")</f>
        <v>BIC: https://opendev.org/openstack/nova/commit/3dff4335661
Intro.Issues: 1067214</v>
      </c>
      <c r="D233" s="100">
        <v>1067214.0</v>
      </c>
      <c r="E233" s="54"/>
      <c r="F233" s="79" t="s">
        <v>4472</v>
      </c>
      <c r="G233" s="93" t="s">
        <v>217</v>
      </c>
      <c r="H233" s="54"/>
      <c r="I233" s="1"/>
    </row>
    <row r="234">
      <c r="A234" s="16" t="s">
        <v>54</v>
      </c>
      <c r="B234" s="77" t="str">
        <f>IFERROR(HYPERLINK(VLOOKUP(A234,Internal_lists_bugs!$A$2:$C$73,3,FALSE()), VLOOKUP(A234,Internal_lists_bugs!$A$2:$C$73,3,FALSE())&amp;Char(10) &amp; Char(10) &amp; VLOOKUP(A234,Internal_lists_bugs!$A$2:$Z$73,26,FALSE())),"please select a BUG ID")</f>
        <v>https://bugs.launchpad.net/nova/+bug/1307791
/compute/api.py</v>
      </c>
      <c r="C234" s="81" t="str">
        <f>IFERROR(Hyperlink(VLOOKUP(A234,Internal_lists_bugs!$A$2:$G1061,7,FALSE()),"BIC: "&amp;VLOOKUP(A234,Internal_lists_bugs!$A$2:$G1061,7,FALSE())&amp;CHAR(10)&amp;"Intro.Issues: "&amp;VLOOKUP(A234,Internal_lists_bugs!$A$2:$P1061,16,FALSE())),"please select a BUG ID")</f>
        <v>BIC: https://opendev.org/openstack/nova/commit/3dff4335661
Intro.Issues: 1067214</v>
      </c>
      <c r="D234" s="100">
        <v>1067214.0</v>
      </c>
      <c r="E234" s="54"/>
      <c r="F234" s="79" t="s">
        <v>129</v>
      </c>
      <c r="G234" s="93" t="s">
        <v>183</v>
      </c>
      <c r="H234" s="54"/>
      <c r="I234" s="1"/>
    </row>
    <row r="235">
      <c r="A235" s="16" t="s">
        <v>54</v>
      </c>
      <c r="B235" s="77" t="str">
        <f>IFERROR(HYPERLINK(VLOOKUP(A235,Internal_lists_bugs!$A$2:$C$73,3,FALSE()), VLOOKUP(A235,Internal_lists_bugs!$A$2:$C$73,3,FALSE())&amp;Char(10) &amp; Char(10) &amp; VLOOKUP(A235,Internal_lists_bugs!$A$2:$Z$73,26,FALSE())),"please select a BUG ID")</f>
        <v>https://bugs.launchpad.net/nova/+bug/1307791
/compute/api.py</v>
      </c>
      <c r="C235" s="81" t="str">
        <f>IFERROR(Hyperlink(VLOOKUP(A235,Internal_lists_bugs!$A$2:$G1061,7,FALSE()),"BIC: "&amp;VLOOKUP(A235,Internal_lists_bugs!$A$2:$G1061,7,FALSE())&amp;CHAR(10)&amp;"Intro.Issues: "&amp;VLOOKUP(A235,Internal_lists_bugs!$A$2:$P1061,16,FALSE())),"please select a BUG ID")</f>
        <v>BIC: https://opendev.org/openstack/nova/commit/3dff4335661
Intro.Issues: 1067214</v>
      </c>
      <c r="D235" s="100">
        <v>1067214.0</v>
      </c>
      <c r="E235" s="54"/>
      <c r="F235" s="79" t="s">
        <v>153</v>
      </c>
      <c r="G235" s="93" t="s">
        <v>185</v>
      </c>
      <c r="H235" s="54"/>
      <c r="I235" s="1"/>
    </row>
    <row r="236">
      <c r="A236" s="16" t="s">
        <v>54</v>
      </c>
      <c r="B236" s="77" t="str">
        <f>IFERROR(HYPERLINK(VLOOKUP(A236,Internal_lists_bugs!$A$2:$C$73,3,FALSE()), VLOOKUP(A236,Internal_lists_bugs!$A$2:$C$73,3,FALSE())&amp;Char(10) &amp; Char(10) &amp; VLOOKUP(A236,Internal_lists_bugs!$A$2:$Z$73,26,FALSE())),"please select a BUG ID")</f>
        <v>https://bugs.launchpad.net/nova/+bug/1307791
/compute/api.py</v>
      </c>
      <c r="C236" s="81" t="str">
        <f>IFERROR(Hyperlink(VLOOKUP(A236,Internal_lists_bugs!$A$2:$G1061,7,FALSE()),"BIC: "&amp;VLOOKUP(A236,Internal_lists_bugs!$A$2:$G1061,7,FALSE())&amp;CHAR(10)&amp;"Intro.Issues: "&amp;VLOOKUP(A236,Internal_lists_bugs!$A$2:$P1061,16,FALSE())),"please select a BUG ID")</f>
        <v>BIC: https://opendev.org/openstack/nova/commit/3dff4335661
Intro.Issues: 1067214</v>
      </c>
      <c r="D236" s="100">
        <v>1067214.0</v>
      </c>
      <c r="E236" s="54"/>
      <c r="F236" s="79" t="s">
        <v>4473</v>
      </c>
      <c r="G236" s="93" t="s">
        <v>187</v>
      </c>
      <c r="H236" s="54"/>
      <c r="I236" s="1"/>
    </row>
    <row r="237">
      <c r="A237" s="16" t="s">
        <v>54</v>
      </c>
      <c r="B237" s="77" t="str">
        <f>IFERROR(HYPERLINK(VLOOKUP(A237,Internal_lists_bugs!$A$2:$C$73,3,FALSE()), VLOOKUP(A237,Internal_lists_bugs!$A$2:$C$73,3,FALSE())&amp;Char(10) &amp; Char(10) &amp; VLOOKUP(A237,Internal_lists_bugs!$A$2:$Z$73,26,FALSE())),"please select a BUG ID")</f>
        <v>https://bugs.launchpad.net/nova/+bug/1307791
/compute/api.py</v>
      </c>
      <c r="C237" s="81" t="str">
        <f>IFERROR(Hyperlink(VLOOKUP(A237,Internal_lists_bugs!$A$2:$G1061,7,FALSE()),"BIC: "&amp;VLOOKUP(A237,Internal_lists_bugs!$A$2:$G1061,7,FALSE())&amp;CHAR(10)&amp;"Intro.Issues: "&amp;VLOOKUP(A237,Internal_lists_bugs!$A$2:$P1061,16,FALSE())),"please select a BUG ID")</f>
        <v>BIC: https://opendev.org/openstack/nova/commit/3dff4335661
Intro.Issues: 1067214</v>
      </c>
      <c r="D237" s="100">
        <v>1067214.0</v>
      </c>
      <c r="E237" s="54"/>
      <c r="F237" s="79" t="s">
        <v>4379</v>
      </c>
      <c r="G237" s="93" t="s">
        <v>189</v>
      </c>
      <c r="H237" s="54"/>
      <c r="I237" s="1"/>
    </row>
    <row r="238">
      <c r="A238" s="16" t="s">
        <v>54</v>
      </c>
      <c r="B238" s="77" t="str">
        <f>IFERROR(HYPERLINK(VLOOKUP(A238,Internal_lists_bugs!$A$2:$C$73,3,FALSE()), VLOOKUP(A238,Internal_lists_bugs!$A$2:$C$73,3,FALSE())&amp;Char(10) &amp; Char(10) &amp; VLOOKUP(A238,Internal_lists_bugs!$A$2:$Z$73,26,FALSE())),"please select a BUG ID")</f>
        <v>https://bugs.launchpad.net/nova/+bug/1307791
/compute/api.py</v>
      </c>
      <c r="C238" s="81" t="str">
        <f>IFERROR(Hyperlink(VLOOKUP(A238,Internal_lists_bugs!$A$2:$G1061,7,FALSE()),"BIC: "&amp;VLOOKUP(A238,Internal_lists_bugs!$A$2:$G1061,7,FALSE())&amp;CHAR(10)&amp;"Intro.Issues: "&amp;VLOOKUP(A238,Internal_lists_bugs!$A$2:$P1061,16,FALSE())),"please select a BUG ID")</f>
        <v>BIC: https://opendev.org/openstack/nova/commit/3dff4335661
Intro.Issues: 1067214</v>
      </c>
      <c r="D238" s="100">
        <v>1067214.0</v>
      </c>
      <c r="E238" s="54"/>
      <c r="F238" s="79" t="s">
        <v>4474</v>
      </c>
      <c r="G238" s="93" t="s">
        <v>192</v>
      </c>
      <c r="H238" s="54"/>
      <c r="I238" s="1"/>
    </row>
    <row r="239">
      <c r="A239" s="16" t="s">
        <v>54</v>
      </c>
      <c r="B239" s="77" t="str">
        <f>IFERROR(HYPERLINK(VLOOKUP(A239,Internal_lists_bugs!$A$2:$C$73,3,FALSE()), VLOOKUP(A239,Internal_lists_bugs!$A$2:$C$73,3,FALSE())&amp;Char(10) &amp; Char(10) &amp; VLOOKUP(A239,Internal_lists_bugs!$A$2:$Z$73,26,FALSE())),"please select a BUG ID")</f>
        <v>https://bugs.launchpad.net/nova/+bug/1307791
/compute/api.py</v>
      </c>
      <c r="C239" s="81" t="str">
        <f>IFERROR(Hyperlink(VLOOKUP(A239,Internal_lists_bugs!$A$2:$G1061,7,FALSE()),"BIC: "&amp;VLOOKUP(A239,Internal_lists_bugs!$A$2:$G1061,7,FALSE())&amp;CHAR(10)&amp;"Intro.Issues: "&amp;VLOOKUP(A239,Internal_lists_bugs!$A$2:$P1061,16,FALSE())),"please select a BUG ID")</f>
        <v>BIC: https://opendev.org/openstack/nova/commit/3dff4335661
Intro.Issues: 1067214</v>
      </c>
      <c r="D239" s="100">
        <v>1067214.0</v>
      </c>
      <c r="E239" s="54"/>
      <c r="F239" s="79" t="s">
        <v>4475</v>
      </c>
      <c r="G239" s="93" t="s">
        <v>192</v>
      </c>
      <c r="H239" s="54"/>
      <c r="I239" s="1"/>
    </row>
    <row r="240">
      <c r="A240" s="16" t="s">
        <v>54</v>
      </c>
      <c r="B240" s="77" t="str">
        <f>IFERROR(HYPERLINK(VLOOKUP(A240,Internal_lists_bugs!$A$2:$C$73,3,FALSE()), VLOOKUP(A240,Internal_lists_bugs!$A$2:$C$73,3,FALSE())&amp;Char(10) &amp; Char(10) &amp; VLOOKUP(A240,Internal_lists_bugs!$A$2:$Z$73,26,FALSE())),"please select a BUG ID")</f>
        <v>https://bugs.launchpad.net/nova/+bug/1307791
/compute/api.py</v>
      </c>
      <c r="C240" s="81" t="str">
        <f>IFERROR(Hyperlink(VLOOKUP(A240,Internal_lists_bugs!$A$2:$G1061,7,FALSE()),"BIC: "&amp;VLOOKUP(A240,Internal_lists_bugs!$A$2:$G1061,7,FALSE())&amp;CHAR(10)&amp;"Intro.Issues: "&amp;VLOOKUP(A240,Internal_lists_bugs!$A$2:$P1061,16,FALSE())),"please select a BUG ID")</f>
        <v>BIC: https://opendev.org/openstack/nova/commit/3dff4335661
Intro.Issues: 1067214</v>
      </c>
      <c r="D240" s="100">
        <v>1067214.0</v>
      </c>
      <c r="E240" s="54"/>
      <c r="F240" s="79" t="s">
        <v>4476</v>
      </c>
      <c r="G240" s="93" t="s">
        <v>192</v>
      </c>
      <c r="H240" s="54"/>
      <c r="I240" s="1"/>
    </row>
    <row r="241">
      <c r="A241" s="16" t="s">
        <v>54</v>
      </c>
      <c r="B241" s="77" t="str">
        <f>IFERROR(HYPERLINK(VLOOKUP(A241,Internal_lists_bugs!$A$2:$C$73,3,FALSE()), VLOOKUP(A241,Internal_lists_bugs!$A$2:$C$73,3,FALSE())&amp;Char(10) &amp; Char(10) &amp; VLOOKUP(A241,Internal_lists_bugs!$A$2:$Z$73,26,FALSE())),"please select a BUG ID")</f>
        <v>https://bugs.launchpad.net/nova/+bug/1307791
/compute/api.py</v>
      </c>
      <c r="C241" s="81" t="str">
        <f>IFERROR(Hyperlink(VLOOKUP(A241,Internal_lists_bugs!$A$2:$G1061,7,FALSE()),"BIC: "&amp;VLOOKUP(A241,Internal_lists_bugs!$A$2:$G1061,7,FALSE())&amp;CHAR(10)&amp;"Intro.Issues: "&amp;VLOOKUP(A241,Internal_lists_bugs!$A$2:$P1061,16,FALSE())),"please select a BUG ID")</f>
        <v>BIC: https://opendev.org/openstack/nova/commit/3dff4335661
Intro.Issues: 1067214</v>
      </c>
      <c r="D241" s="100">
        <v>1067214.0</v>
      </c>
      <c r="E241" s="54"/>
      <c r="F241" s="79" t="s">
        <v>4477</v>
      </c>
      <c r="G241" s="93" t="s">
        <v>267</v>
      </c>
      <c r="H241" s="54"/>
      <c r="I241" s="1"/>
    </row>
    <row r="242">
      <c r="A242" s="16" t="s">
        <v>54</v>
      </c>
      <c r="B242" s="77" t="str">
        <f>IFERROR(HYPERLINK(VLOOKUP(A242,Internal_lists_bugs!$A$2:$C$73,3,FALSE()), VLOOKUP(A242,Internal_lists_bugs!$A$2:$C$73,3,FALSE())&amp;Char(10) &amp; Char(10) &amp; VLOOKUP(A242,Internal_lists_bugs!$A$2:$Z$73,26,FALSE())),"please select a BUG ID")</f>
        <v>https://bugs.launchpad.net/nova/+bug/1307791
/compute/api.py</v>
      </c>
      <c r="C242" s="81" t="str">
        <f>IFERROR(Hyperlink(VLOOKUP(A242,Internal_lists_bugs!$A$2:$G1061,7,FALSE()),"BIC: "&amp;VLOOKUP(A242,Internal_lists_bugs!$A$2:$G1061,7,FALSE())&amp;CHAR(10)&amp;"Intro.Issues: "&amp;VLOOKUP(A242,Internal_lists_bugs!$A$2:$P1061,16,FALSE())),"please select a BUG ID")</f>
        <v>BIC: https://opendev.org/openstack/nova/commit/3dff4335661
Intro.Issues: 1067214</v>
      </c>
      <c r="D242" s="100">
        <v>1067214.0</v>
      </c>
      <c r="E242" s="54"/>
      <c r="F242" s="79" t="s">
        <v>157</v>
      </c>
      <c r="G242" s="93" t="s">
        <v>267</v>
      </c>
      <c r="H242" s="54"/>
      <c r="I242" s="1"/>
    </row>
    <row r="243">
      <c r="A243" s="16" t="s">
        <v>54</v>
      </c>
      <c r="B243" s="77" t="str">
        <f>IFERROR(HYPERLINK(VLOOKUP(A243,Internal_lists_bugs!$A$2:$C$73,3,FALSE()), VLOOKUP(A243,Internal_lists_bugs!$A$2:$C$73,3,FALSE())&amp;Char(10) &amp; Char(10) &amp; VLOOKUP(A243,Internal_lists_bugs!$A$2:$Z$73,26,FALSE())),"please select a BUG ID")</f>
        <v>https://bugs.launchpad.net/nova/+bug/1307791
/compute/api.py</v>
      </c>
      <c r="C243" s="81" t="str">
        <f>IFERROR(Hyperlink(VLOOKUP(A243,Internal_lists_bugs!$A$2:$G1061,7,FALSE()),"BIC: "&amp;VLOOKUP(A243,Internal_lists_bugs!$A$2:$G1061,7,FALSE())&amp;CHAR(10)&amp;"Intro.Issues: "&amp;VLOOKUP(A243,Internal_lists_bugs!$A$2:$P1061,16,FALSE())),"please select a BUG ID")</f>
        <v>BIC: https://opendev.org/openstack/nova/commit/3dff4335661
Intro.Issues: 1067214</v>
      </c>
      <c r="D243" s="100">
        <v>1067214.0</v>
      </c>
      <c r="E243" s="54"/>
      <c r="F243" s="79" t="s">
        <v>374</v>
      </c>
      <c r="G243" s="93" t="s">
        <v>267</v>
      </c>
      <c r="H243" s="54"/>
      <c r="I243" s="1"/>
    </row>
    <row r="244">
      <c r="A244" s="16" t="s">
        <v>55</v>
      </c>
      <c r="B244" s="77" t="str">
        <f>IFERROR(HYPERLINK(VLOOKUP(A244,Internal_lists_bugs!$A$2:$C$73,3,FALSE()), VLOOKUP(A244,Internal_lists_bugs!$A$2:$C$73,3,FALSE())&amp;Char(10) &amp; Char(10) &amp; VLOOKUP(A244,Internal_lists_bugs!$A$2:$Z$73,26,FALSE())),"please select a BUG ID")</f>
        <v>https://bugs.launchpad.net/nova/+bug/1402535
/virt/libvirt/volume.py</v>
      </c>
      <c r="C244" s="81" t="str">
        <f>IFERROR(Hyperlink(VLOOKUP(A244,Internal_lists_bugs!$A$2:$G1061,7,FALSE()),"BIC: "&amp;VLOOKUP(A244,Internal_lists_bugs!$A$2:$G1061,7,FALSE())&amp;CHAR(10)&amp;"Intro.Issues: "&amp;VLOOKUP(A244,Internal_lists_bugs!$A$2:$P1061,16,FALSE())),"please select a BUG ID")</f>
        <v>BIC: https://opendev.org/openstack/nova/commit/933365a58
Intro.Issues: NA</v>
      </c>
      <c r="D244" s="100" t="s">
        <v>124</v>
      </c>
      <c r="E244" s="54"/>
      <c r="F244" s="82"/>
      <c r="G244" s="92"/>
      <c r="H244" s="54"/>
      <c r="I244" s="1"/>
    </row>
    <row r="245">
      <c r="A245" s="16" t="s">
        <v>56</v>
      </c>
      <c r="B245" s="77" t="str">
        <f>IFERROR(HYPERLINK(VLOOKUP(A245,Internal_lists_bugs!$A$2:$C$73,3,FALSE()), VLOOKUP(A245,Internal_lists_bugs!$A$2:$C$73,3,FALSE())&amp;Char(10) &amp; Char(10) &amp; VLOOKUP(A245,Internal_lists_bugs!$A$2:$Z$73,26,FALSE())),"please select a BUG ID")</f>
        <v>https://bugs.launchpad.net/nova/+bug/1371677
/libvirt/driver.py</v>
      </c>
      <c r="C245" s="81" t="str">
        <f>IFERROR(Hyperlink(VLOOKUP(A245,Internal_lists_bugs!$A$2:$G1061,7,FALSE()),"BIC: "&amp;VLOOKUP(A245,Internal_lists_bugs!$A$2:$G1061,7,FALSE())&amp;CHAR(10)&amp;"Intro.Issues: "&amp;VLOOKUP(A245,Internal_lists_bugs!$A$2:$P1061,16,FALSE())),"please select a BUG ID")</f>
        <v>BIC: https://opendev.org/openstack/nova/commit/5fa74bc
Intro.Issues: lvm-ephemeral-storage-encryption</v>
      </c>
      <c r="D245" s="100" t="s">
        <v>4478</v>
      </c>
      <c r="E245" s="16" t="s">
        <v>4290</v>
      </c>
      <c r="F245" s="79" t="s">
        <v>4342</v>
      </c>
      <c r="G245" s="93" t="s">
        <v>144</v>
      </c>
      <c r="H245" s="16" t="s">
        <v>251</v>
      </c>
      <c r="I245" s="1"/>
    </row>
    <row r="246">
      <c r="A246" s="16" t="s">
        <v>56</v>
      </c>
      <c r="B246" s="77" t="str">
        <f>IFERROR(HYPERLINK(VLOOKUP(A246,Internal_lists_bugs!$A$2:$C$73,3,FALSE()), VLOOKUP(A246,Internal_lists_bugs!$A$2:$C$73,3,FALSE())&amp;Char(10) &amp; Char(10) &amp; VLOOKUP(A246,Internal_lists_bugs!$A$2:$Z$73,26,FALSE())),"please select a BUG ID")</f>
        <v>https://bugs.launchpad.net/nova/+bug/1371677
/libvirt/driver.py</v>
      </c>
      <c r="C246" s="81" t="str">
        <f>IFERROR(Hyperlink(VLOOKUP(A246,Internal_lists_bugs!$A$2:$G1061,7,FALSE()),"BIC: "&amp;VLOOKUP(A246,Internal_lists_bugs!$A$2:$G1061,7,FALSE())&amp;CHAR(10)&amp;"Intro.Issues: "&amp;VLOOKUP(A246,Internal_lists_bugs!$A$2:$P1061,16,FALSE())),"please select a BUG ID")</f>
        <v>BIC: https://opendev.org/openstack/nova/commit/5fa74bc
Intro.Issues: lvm-ephemeral-storage-encryption</v>
      </c>
      <c r="D246" s="100" t="s">
        <v>4478</v>
      </c>
      <c r="E246" s="54"/>
      <c r="F246" s="79" t="s">
        <v>4388</v>
      </c>
      <c r="G246" s="93" t="s">
        <v>4479</v>
      </c>
      <c r="H246" s="54"/>
      <c r="I246" s="1"/>
    </row>
    <row r="247">
      <c r="A247" s="16" t="s">
        <v>56</v>
      </c>
      <c r="B247" s="77" t="str">
        <f>IFERROR(HYPERLINK(VLOOKUP(A247,Internal_lists_bugs!$A$2:$C$73,3,FALSE()), VLOOKUP(A247,Internal_lists_bugs!$A$2:$C$73,3,FALSE())&amp;Char(10) &amp; Char(10) &amp; VLOOKUP(A247,Internal_lists_bugs!$A$2:$Z$73,26,FALSE())),"please select a BUG ID")</f>
        <v>https://bugs.launchpad.net/nova/+bug/1371677
/libvirt/driver.py</v>
      </c>
      <c r="C247" s="81" t="str">
        <f>IFERROR(Hyperlink(VLOOKUP(A247,Internal_lists_bugs!$A$2:$G1061,7,FALSE()),"BIC: "&amp;VLOOKUP(A247,Internal_lists_bugs!$A$2:$G1061,7,FALSE())&amp;CHAR(10)&amp;"Intro.Issues: "&amp;VLOOKUP(A247,Internal_lists_bugs!$A$2:$P1061,16,FALSE())),"please select a BUG ID")</f>
        <v>BIC: https://opendev.org/openstack/nova/commit/5fa74bc
Intro.Issues: lvm-ephemeral-storage-encryption</v>
      </c>
      <c r="D247" s="100" t="s">
        <v>4478</v>
      </c>
      <c r="E247" s="54"/>
      <c r="F247" s="79" t="s">
        <v>4291</v>
      </c>
      <c r="G247" s="93" t="s">
        <v>4480</v>
      </c>
      <c r="H247" s="54"/>
      <c r="I247" s="1"/>
    </row>
    <row r="248">
      <c r="A248" s="16" t="s">
        <v>56</v>
      </c>
      <c r="B248" s="77" t="str">
        <f>IFERROR(HYPERLINK(VLOOKUP(A248,Internal_lists_bugs!$A$2:$C$73,3,FALSE()), VLOOKUP(A248,Internal_lists_bugs!$A$2:$C$73,3,FALSE())&amp;Char(10) &amp; Char(10) &amp; VLOOKUP(A248,Internal_lists_bugs!$A$2:$Z$73,26,FALSE())),"please select a BUG ID")</f>
        <v>https://bugs.launchpad.net/nova/+bug/1371677
/libvirt/driver.py</v>
      </c>
      <c r="C248" s="81" t="str">
        <f>IFERROR(Hyperlink(VLOOKUP(A248,Internal_lists_bugs!$A$2:$G1061,7,FALSE()),"BIC: "&amp;VLOOKUP(A248,Internal_lists_bugs!$A$2:$G1061,7,FALSE())&amp;CHAR(10)&amp;"Intro.Issues: "&amp;VLOOKUP(A248,Internal_lists_bugs!$A$2:$P1061,16,FALSE())),"please select a BUG ID")</f>
        <v>BIC: https://opendev.org/openstack/nova/commit/5fa74bc
Intro.Issues: lvm-ephemeral-storage-encryption</v>
      </c>
      <c r="D248" s="100" t="s">
        <v>4478</v>
      </c>
      <c r="E248" s="54"/>
      <c r="F248" s="79" t="s">
        <v>4397</v>
      </c>
      <c r="G248" s="93" t="s">
        <v>4412</v>
      </c>
      <c r="H248" s="54"/>
      <c r="I248" s="1"/>
    </row>
    <row r="249">
      <c r="A249" s="16" t="s">
        <v>56</v>
      </c>
      <c r="B249" s="77" t="str">
        <f>IFERROR(HYPERLINK(VLOOKUP(A249,Internal_lists_bugs!$A$2:$C$73,3,FALSE()), VLOOKUP(A249,Internal_lists_bugs!$A$2:$C$73,3,FALSE())&amp;Char(10) &amp; Char(10) &amp; VLOOKUP(A249,Internal_lists_bugs!$A$2:$Z$73,26,FALSE())),"please select a BUG ID")</f>
        <v>https://bugs.launchpad.net/nova/+bug/1371677
/libvirt/driver.py</v>
      </c>
      <c r="C249" s="81" t="str">
        <f>IFERROR(Hyperlink(VLOOKUP(A249,Internal_lists_bugs!$A$2:$G1061,7,FALSE()),"BIC: "&amp;VLOOKUP(A249,Internal_lists_bugs!$A$2:$G1061,7,FALSE())&amp;CHAR(10)&amp;"Intro.Issues: "&amp;VLOOKUP(A249,Internal_lists_bugs!$A$2:$P1061,16,FALSE())),"please select a BUG ID")</f>
        <v>BIC: https://opendev.org/openstack/nova/commit/5fa74bc
Intro.Issues: lvm-ephemeral-storage-encryption</v>
      </c>
      <c r="D249" s="100" t="s">
        <v>4478</v>
      </c>
      <c r="E249" s="54"/>
      <c r="F249" s="79" t="s">
        <v>4297</v>
      </c>
      <c r="G249" s="93" t="s">
        <v>4311</v>
      </c>
      <c r="H249" s="54"/>
      <c r="I249" s="1"/>
    </row>
    <row r="250">
      <c r="A250" s="16" t="s">
        <v>56</v>
      </c>
      <c r="B250" s="77" t="str">
        <f>IFERROR(HYPERLINK(VLOOKUP(A250,Internal_lists_bugs!$A$2:$C$73,3,FALSE()), VLOOKUP(A250,Internal_lists_bugs!$A$2:$C$73,3,FALSE())&amp;Char(10) &amp; Char(10) &amp; VLOOKUP(A250,Internal_lists_bugs!$A$2:$Z$73,26,FALSE())),"please select a BUG ID")</f>
        <v>https://bugs.launchpad.net/nova/+bug/1371677
/libvirt/driver.py</v>
      </c>
      <c r="C250" s="81" t="str">
        <f>IFERROR(Hyperlink(VLOOKUP(A250,Internal_lists_bugs!$A$2:$G1061,7,FALSE()),"BIC: "&amp;VLOOKUP(A250,Internal_lists_bugs!$A$2:$G1061,7,FALSE())&amp;CHAR(10)&amp;"Intro.Issues: "&amp;VLOOKUP(A250,Internal_lists_bugs!$A$2:$P1061,16,FALSE())),"please select a BUG ID")</f>
        <v>BIC: https://opendev.org/openstack/nova/commit/5fa74bc
Intro.Issues: lvm-ephemeral-storage-encryption</v>
      </c>
      <c r="D250" s="100" t="s">
        <v>4478</v>
      </c>
      <c r="E250" s="54"/>
      <c r="F250" s="79" t="s">
        <v>4310</v>
      </c>
      <c r="G250" s="93" t="s">
        <v>4311</v>
      </c>
      <c r="H250" s="54"/>
      <c r="I250" s="1"/>
    </row>
    <row r="251">
      <c r="A251" s="16" t="s">
        <v>56</v>
      </c>
      <c r="B251" s="77" t="str">
        <f>IFERROR(HYPERLINK(VLOOKUP(A251,Internal_lists_bugs!$A$2:$C$73,3,FALSE()), VLOOKUP(A251,Internal_lists_bugs!$A$2:$C$73,3,FALSE())&amp;Char(10) &amp; Char(10) &amp; VLOOKUP(A251,Internal_lists_bugs!$A$2:$Z$73,26,FALSE())),"please select a BUG ID")</f>
        <v>https://bugs.launchpad.net/nova/+bug/1371677
/libvirt/driver.py</v>
      </c>
      <c r="C251" s="81" t="str">
        <f>IFERROR(Hyperlink(VLOOKUP(A251,Internal_lists_bugs!$A$2:$G1061,7,FALSE()),"BIC: "&amp;VLOOKUP(A251,Internal_lists_bugs!$A$2:$G1061,7,FALSE())&amp;CHAR(10)&amp;"Intro.Issues: "&amp;VLOOKUP(A251,Internal_lists_bugs!$A$2:$P1061,16,FALSE())),"please select a BUG ID")</f>
        <v>BIC: https://opendev.org/openstack/nova/commit/5fa74bc
Intro.Issues: lvm-ephemeral-storage-encryption</v>
      </c>
      <c r="D251" s="100" t="s">
        <v>4478</v>
      </c>
      <c r="E251" s="54"/>
      <c r="F251" s="79" t="s">
        <v>4295</v>
      </c>
      <c r="G251" s="93" t="s">
        <v>4481</v>
      </c>
      <c r="H251" s="54"/>
      <c r="I251" s="1"/>
    </row>
    <row r="252">
      <c r="A252" s="16" t="s">
        <v>56</v>
      </c>
      <c r="B252" s="77" t="str">
        <f>IFERROR(HYPERLINK(VLOOKUP(A252,Internal_lists_bugs!$A$2:$C$73,3,FALSE()), VLOOKUP(A252,Internal_lists_bugs!$A$2:$C$73,3,FALSE())&amp;Char(10) &amp; Char(10) &amp; VLOOKUP(A252,Internal_lists_bugs!$A$2:$Z$73,26,FALSE())),"please select a BUG ID")</f>
        <v>https://bugs.launchpad.net/nova/+bug/1371677
/libvirt/driver.py</v>
      </c>
      <c r="C252" s="81" t="str">
        <f>IFERROR(Hyperlink(VLOOKUP(A252,Internal_lists_bugs!$A$2:$G1061,7,FALSE()),"BIC: "&amp;VLOOKUP(A252,Internal_lists_bugs!$A$2:$G1061,7,FALSE())&amp;CHAR(10)&amp;"Intro.Issues: "&amp;VLOOKUP(A252,Internal_lists_bugs!$A$2:$P1061,16,FALSE())),"please select a BUG ID")</f>
        <v>BIC: https://opendev.org/openstack/nova/commit/5fa74bc
Intro.Issues: lvm-ephemeral-storage-encryption</v>
      </c>
      <c r="D252" s="100" t="s">
        <v>4478</v>
      </c>
      <c r="E252" s="54"/>
      <c r="F252" s="79" t="s">
        <v>4482</v>
      </c>
      <c r="G252" s="93" t="s">
        <v>4483</v>
      </c>
      <c r="H252" s="54"/>
      <c r="I252" s="1"/>
    </row>
    <row r="253">
      <c r="A253" s="16" t="s">
        <v>56</v>
      </c>
      <c r="B253" s="77" t="str">
        <f>IFERROR(HYPERLINK(VLOOKUP(A253,Internal_lists_bugs!$A$2:$C$73,3,FALSE()), VLOOKUP(A253,Internal_lists_bugs!$A$2:$C$73,3,FALSE())&amp;Char(10) &amp; Char(10) &amp; VLOOKUP(A253,Internal_lists_bugs!$A$2:$Z$73,26,FALSE())),"please select a BUG ID")</f>
        <v>https://bugs.launchpad.net/nova/+bug/1371677
/libvirt/driver.py</v>
      </c>
      <c r="C253" s="81" t="str">
        <f>IFERROR(Hyperlink(VLOOKUP(A253,Internal_lists_bugs!$A$2:$G1061,7,FALSE()),"BIC: "&amp;VLOOKUP(A253,Internal_lists_bugs!$A$2:$G1061,7,FALSE())&amp;CHAR(10)&amp;"Intro.Issues: "&amp;VLOOKUP(A253,Internal_lists_bugs!$A$2:$P1061,16,FALSE())),"please select a BUG ID")</f>
        <v>BIC: https://opendev.org/openstack/nova/commit/5fa74bc
Intro.Issues: lvm-ephemeral-storage-encryption</v>
      </c>
      <c r="D253" s="100" t="s">
        <v>4478</v>
      </c>
      <c r="E253" s="54"/>
      <c r="F253" s="79" t="s">
        <v>4448</v>
      </c>
      <c r="G253" s="93" t="s">
        <v>4484</v>
      </c>
      <c r="H253" s="54"/>
      <c r="I253" s="1"/>
    </row>
    <row r="254">
      <c r="A254" s="16" t="s">
        <v>56</v>
      </c>
      <c r="B254" s="77" t="str">
        <f>IFERROR(HYPERLINK(VLOOKUP(A254,Internal_lists_bugs!$A$2:$C$73,3,FALSE()), VLOOKUP(A254,Internal_lists_bugs!$A$2:$C$73,3,FALSE())&amp;Char(10) &amp; Char(10) &amp; VLOOKUP(A254,Internal_lists_bugs!$A$2:$Z$73,26,FALSE())),"please select a BUG ID")</f>
        <v>https://bugs.launchpad.net/nova/+bug/1371677
/libvirt/driver.py</v>
      </c>
      <c r="C254" s="81" t="str">
        <f>IFERROR(Hyperlink(VLOOKUP(A254,Internal_lists_bugs!$A$2:$G1061,7,FALSE()),"BIC: "&amp;VLOOKUP(A254,Internal_lists_bugs!$A$2:$G1061,7,FALSE())&amp;CHAR(10)&amp;"Intro.Issues: "&amp;VLOOKUP(A254,Internal_lists_bugs!$A$2:$P1061,16,FALSE())),"please select a BUG ID")</f>
        <v>BIC: https://opendev.org/openstack/nova/commit/5fa74bc
Intro.Issues: lvm-ephemeral-storage-encryption</v>
      </c>
      <c r="D254" s="100" t="s">
        <v>4478</v>
      </c>
      <c r="E254" s="54"/>
      <c r="F254" s="79" t="s">
        <v>4302</v>
      </c>
      <c r="G254" s="93" t="s">
        <v>4485</v>
      </c>
      <c r="H254" s="54"/>
      <c r="I254" s="1"/>
    </row>
    <row r="255">
      <c r="A255" s="16" t="s">
        <v>56</v>
      </c>
      <c r="B255" s="77" t="str">
        <f>IFERROR(HYPERLINK(VLOOKUP(A255,Internal_lists_bugs!$A$2:$C$73,3,FALSE()), VLOOKUP(A255,Internal_lists_bugs!$A$2:$C$73,3,FALSE())&amp;Char(10) &amp; Char(10) &amp; VLOOKUP(A255,Internal_lists_bugs!$A$2:$Z$73,26,FALSE())),"please select a BUG ID")</f>
        <v>https://bugs.launchpad.net/nova/+bug/1371677
/libvirt/driver.py</v>
      </c>
      <c r="C255" s="81" t="str">
        <f>IFERROR(Hyperlink(VLOOKUP(A255,Internal_lists_bugs!$A$2:$G1061,7,FALSE()),"BIC: "&amp;VLOOKUP(A255,Internal_lists_bugs!$A$2:$G1061,7,FALSE())&amp;CHAR(10)&amp;"Intro.Issues: "&amp;VLOOKUP(A255,Internal_lists_bugs!$A$2:$P1061,16,FALSE())),"please select a BUG ID")</f>
        <v>BIC: https://opendev.org/openstack/nova/commit/5fa74bc
Intro.Issues: lvm-ephemeral-storage-encryption</v>
      </c>
      <c r="D255" s="100" t="s">
        <v>4478</v>
      </c>
      <c r="E255" s="54"/>
      <c r="F255" s="79" t="s">
        <v>4452</v>
      </c>
      <c r="G255" s="93" t="s">
        <v>4486</v>
      </c>
      <c r="H255" s="54"/>
      <c r="I255" s="1"/>
    </row>
    <row r="256">
      <c r="A256" s="16" t="s">
        <v>57</v>
      </c>
      <c r="B256" s="77" t="str">
        <f>IFERROR(HYPERLINK(VLOOKUP(A256,Internal_lists_bugs!$A$2:$C$73,3,FALSE()), VLOOKUP(A256,Internal_lists_bugs!$A$2:$C$73,3,FALSE())&amp;Char(10) &amp; Char(10) &amp; VLOOKUP(A256,Internal_lists_bugs!$A$2:$Z$73,26,FALSE())),"please select a BUG ID")</f>
        <v>https://bugs.launchpad.net/nova/+bug/1481078
/xenapi/vmops.py</v>
      </c>
      <c r="C256" s="81" t="str">
        <f>IFERROR(Hyperlink(VLOOKUP(A256,Internal_lists_bugs!$A$2:$G1061,7,FALSE()),"BIC: "&amp;VLOOKUP(A256,Internal_lists_bugs!$A$2:$G1061,7,FALSE())&amp;CHAR(10)&amp;"Intro.Issues: "&amp;VLOOKUP(A256,Internal_lists_bugs!$A$2:$P1061,16,FALSE())),"please select a BUG ID")</f>
        <v>BIC: https://opendev.org/openstack/nova/commit/31f208423405
Intro.Issues: 1432913</v>
      </c>
      <c r="D256" s="100">
        <v>1432913.0</v>
      </c>
      <c r="E256" s="16" t="s">
        <v>4280</v>
      </c>
      <c r="F256" s="79" t="s">
        <v>119</v>
      </c>
      <c r="G256" s="93" t="s">
        <v>4487</v>
      </c>
      <c r="H256" s="16" t="s">
        <v>123</v>
      </c>
      <c r="I256" s="1"/>
    </row>
    <row r="257">
      <c r="A257" s="16" t="s">
        <v>57</v>
      </c>
      <c r="B257" s="77" t="str">
        <f>IFERROR(HYPERLINK(VLOOKUP(A257,Internal_lists_bugs!$A$2:$C$73,3,FALSE()), VLOOKUP(A257,Internal_lists_bugs!$A$2:$C$73,3,FALSE())&amp;Char(10) &amp; Char(10) &amp; VLOOKUP(A257,Internal_lists_bugs!$A$2:$Z$73,26,FALSE())),"please select a BUG ID")</f>
        <v>https://bugs.launchpad.net/nova/+bug/1481078
/xenapi/vmops.py</v>
      </c>
      <c r="C257" s="81" t="str">
        <f>IFERROR(Hyperlink(VLOOKUP(A257,Internal_lists_bugs!$A$2:$G1061,7,FALSE()),"BIC: "&amp;VLOOKUP(A257,Internal_lists_bugs!$A$2:$G1061,7,FALSE())&amp;CHAR(10)&amp;"Intro.Issues: "&amp;VLOOKUP(A257,Internal_lists_bugs!$A$2:$P1061,16,FALSE())),"please select a BUG ID")</f>
        <v>BIC: https://opendev.org/openstack/nova/commit/31f208423405
Intro.Issues: 1432913</v>
      </c>
      <c r="D257" s="100">
        <v>1432913.0</v>
      </c>
      <c r="E257" s="54"/>
      <c r="F257" s="79" t="s">
        <v>149</v>
      </c>
      <c r="G257" s="93" t="s">
        <v>4487</v>
      </c>
      <c r="H257" s="54"/>
      <c r="I257" s="1"/>
    </row>
    <row r="258">
      <c r="A258" s="16" t="s">
        <v>57</v>
      </c>
      <c r="B258" s="77" t="str">
        <f>IFERROR(HYPERLINK(VLOOKUP(A258,Internal_lists_bugs!$A$2:$C$73,3,FALSE()), VLOOKUP(A258,Internal_lists_bugs!$A$2:$C$73,3,FALSE())&amp;Char(10) &amp; Char(10) &amp; VLOOKUP(A258,Internal_lists_bugs!$A$2:$Z$73,26,FALSE())),"please select a BUG ID")</f>
        <v>https://bugs.launchpad.net/nova/+bug/1481078
/xenapi/vmops.py</v>
      </c>
      <c r="C258" s="81" t="str">
        <f>IFERROR(Hyperlink(VLOOKUP(A258,Internal_lists_bugs!$A$2:$G1061,7,FALSE()),"BIC: "&amp;VLOOKUP(A258,Internal_lists_bugs!$A$2:$G1061,7,FALSE())&amp;CHAR(10)&amp;"Intro.Issues: "&amp;VLOOKUP(A258,Internal_lists_bugs!$A$2:$P1061,16,FALSE())),"please select a BUG ID")</f>
        <v>BIC: https://opendev.org/openstack/nova/commit/31f208423405
Intro.Issues: 1432913</v>
      </c>
      <c r="D258" s="100">
        <v>1432913.0</v>
      </c>
      <c r="E258" s="54"/>
      <c r="F258" s="79" t="s">
        <v>119</v>
      </c>
      <c r="G258" s="93" t="s">
        <v>4488</v>
      </c>
      <c r="H258" s="54"/>
      <c r="I258" s="1"/>
    </row>
    <row r="259">
      <c r="A259" s="16" t="s">
        <v>57</v>
      </c>
      <c r="B259" s="77" t="str">
        <f>IFERROR(HYPERLINK(VLOOKUP(A259,Internal_lists_bugs!$A$2:$C$73,3,FALSE()), VLOOKUP(A259,Internal_lists_bugs!$A$2:$C$73,3,FALSE())&amp;Char(10) &amp; Char(10) &amp; VLOOKUP(A259,Internal_lists_bugs!$A$2:$Z$73,26,FALSE())),"please select a BUG ID")</f>
        <v>https://bugs.launchpad.net/nova/+bug/1481078
/xenapi/vmops.py</v>
      </c>
      <c r="C259" s="81" t="str">
        <f>IFERROR(Hyperlink(VLOOKUP(A259,Internal_lists_bugs!$A$2:$G1061,7,FALSE()),"BIC: "&amp;VLOOKUP(A259,Internal_lists_bugs!$A$2:$G1061,7,FALSE())&amp;CHAR(10)&amp;"Intro.Issues: "&amp;VLOOKUP(A259,Internal_lists_bugs!$A$2:$P1061,16,FALSE())),"please select a BUG ID")</f>
        <v>BIC: https://opendev.org/openstack/nova/commit/31f208423405
Intro.Issues: 1432913</v>
      </c>
      <c r="D259" s="100">
        <v>1432913.0</v>
      </c>
      <c r="E259" s="54"/>
      <c r="F259" s="79" t="s">
        <v>149</v>
      </c>
      <c r="G259" s="93" t="s">
        <v>4488</v>
      </c>
      <c r="H259" s="54"/>
      <c r="I259" s="1"/>
    </row>
    <row r="260">
      <c r="A260" s="16" t="s">
        <v>57</v>
      </c>
      <c r="B260" s="77" t="str">
        <f>IFERROR(HYPERLINK(VLOOKUP(A260,Internal_lists_bugs!$A$2:$C$73,3,FALSE()), VLOOKUP(A260,Internal_lists_bugs!$A$2:$C$73,3,FALSE())&amp;Char(10) &amp; Char(10) &amp; VLOOKUP(A260,Internal_lists_bugs!$A$2:$Z$73,26,FALSE())),"please select a BUG ID")</f>
        <v>https://bugs.launchpad.net/nova/+bug/1481078
/xenapi/vmops.py</v>
      </c>
      <c r="C260" s="81" t="str">
        <f>IFERROR(Hyperlink(VLOOKUP(A260,Internal_lists_bugs!$A$2:$G1061,7,FALSE()),"BIC: "&amp;VLOOKUP(A260,Internal_lists_bugs!$A$2:$G1061,7,FALSE())&amp;CHAR(10)&amp;"Intro.Issues: "&amp;VLOOKUP(A260,Internal_lists_bugs!$A$2:$P1061,16,FALSE())),"please select a BUG ID")</f>
        <v>BIC: https://opendev.org/openstack/nova/commit/31f208423405
Intro.Issues: 1432913</v>
      </c>
      <c r="D260" s="100">
        <v>1432913.0</v>
      </c>
      <c r="E260" s="54"/>
      <c r="F260" s="79" t="s">
        <v>129</v>
      </c>
      <c r="G260" s="93" t="s">
        <v>204</v>
      </c>
      <c r="H260" s="54"/>
      <c r="I260" s="1"/>
    </row>
    <row r="261">
      <c r="A261" s="16" t="s">
        <v>57</v>
      </c>
      <c r="B261" s="77" t="str">
        <f>IFERROR(HYPERLINK(VLOOKUP(A261,Internal_lists_bugs!$A$2:$C$73,3,FALSE()), VLOOKUP(A261,Internal_lists_bugs!$A$2:$C$73,3,FALSE())&amp;Char(10) &amp; Char(10) &amp; VLOOKUP(A261,Internal_lists_bugs!$A$2:$Z$73,26,FALSE())),"please select a BUG ID")</f>
        <v>https://bugs.launchpad.net/nova/+bug/1481078
/xenapi/vmops.py</v>
      </c>
      <c r="C261" s="81" t="str">
        <f>IFERROR(Hyperlink(VLOOKUP(A261,Internal_lists_bugs!$A$2:$G1061,7,FALSE()),"BIC: "&amp;VLOOKUP(A261,Internal_lists_bugs!$A$2:$G1061,7,FALSE())&amp;CHAR(10)&amp;"Intro.Issues: "&amp;VLOOKUP(A261,Internal_lists_bugs!$A$2:$P1061,16,FALSE())),"please select a BUG ID")</f>
        <v>BIC: https://opendev.org/openstack/nova/commit/31f208423405
Intro.Issues: 1432913</v>
      </c>
      <c r="D261" s="100">
        <v>1432913.0</v>
      </c>
      <c r="E261" s="54"/>
      <c r="F261" s="79" t="s">
        <v>1292</v>
      </c>
      <c r="G261" s="93" t="s">
        <v>205</v>
      </c>
      <c r="H261" s="54"/>
      <c r="I261" s="1"/>
    </row>
    <row r="262">
      <c r="A262" s="16" t="s">
        <v>58</v>
      </c>
      <c r="B262" s="77" t="str">
        <f>IFERROR(HYPERLINK(VLOOKUP(A262,Internal_lists_bugs!$A$2:$C$73,3,FALSE()), VLOOKUP(A262,Internal_lists_bugs!$A$2:$C$73,3,FALSE())&amp;Char(10) &amp; Char(10) &amp; VLOOKUP(A262,Internal_lists_bugs!$A$2:$Z$73,26,FALSE())),"please select a BUG ID")</f>
        <v>https://bugs.launchpad.net/nova/+bug/1402728
/vmwareapi/vm_util.py
/vmwareapi/vmops.py </v>
      </c>
      <c r="C262" s="81" t="str">
        <f>IFERROR(Hyperlink(VLOOKUP(A262,Internal_lists_bugs!$A$2:$G1061,7,FALSE()),"BIC: "&amp;VLOOKUP(A262,Internal_lists_bugs!$A$2:$G1061,7,FALSE())&amp;CHAR(10)&amp;"Intro.Issues: "&amp;VLOOKUP(A262,Internal_lists_bugs!$A$2:$P1061,16,FALSE())),"please select a BUG ID")</f>
        <v>BIC: https://opendev.org/openstack/nova/commit/2bcda65d512
Intro.Issues: NA</v>
      </c>
      <c r="D262" s="100" t="s">
        <v>124</v>
      </c>
      <c r="E262" s="54"/>
      <c r="F262" s="82"/>
      <c r="G262" s="92"/>
      <c r="H262" s="54"/>
      <c r="I262" s="1"/>
    </row>
    <row r="263">
      <c r="A263" s="16" t="s">
        <v>59</v>
      </c>
      <c r="B263" s="77" t="str">
        <f>IFERROR(HYPERLINK(VLOOKUP(A263,Internal_lists_bugs!$A$2:$C$73,3,FALSE()), VLOOKUP(A263,Internal_lists_bugs!$A$2:$C$73,3,FALSE())&amp;Char(10) &amp; Char(10) &amp; VLOOKUP(A263,Internal_lists_bugs!$A$2:$Z$73,26,FALSE())),"please select a BUG ID")</f>
        <v>https://bugs.launchpad.net/nova/+bug/1441000
/libvirt/driver.py</v>
      </c>
      <c r="C263" s="81" t="str">
        <f>IFERROR(Hyperlink(VLOOKUP(A263,Internal_lists_bugs!$A$2:$G1061,7,FALSE()),"BIC: "&amp;VLOOKUP(A263,Internal_lists_bugs!$A$2:$G1061,7,FALSE())&amp;CHAR(10)&amp;"Intro.Issues: "&amp;VLOOKUP(A263,Internal_lists_bugs!$A$2:$P1061,16,FALSE())),"please select a BUG ID")</f>
        <v>BIC: https://opendev.org/openstack/nova/commit/7dd6a4a
Intro.Issues: 1414065</v>
      </c>
      <c r="D263" s="100">
        <v>1414065.0</v>
      </c>
      <c r="E263" s="16" t="s">
        <v>4280</v>
      </c>
      <c r="F263" s="79" t="s">
        <v>119</v>
      </c>
      <c r="G263" s="93" t="s">
        <v>144</v>
      </c>
      <c r="H263" s="16" t="s">
        <v>123</v>
      </c>
      <c r="I263" s="1"/>
    </row>
    <row r="264">
      <c r="A264" s="16" t="s">
        <v>59</v>
      </c>
      <c r="B264" s="77" t="str">
        <f>IFERROR(HYPERLINK(VLOOKUP(A264,Internal_lists_bugs!$A$2:$C$73,3,FALSE()), VLOOKUP(A264,Internal_lists_bugs!$A$2:$C$73,3,FALSE())&amp;Char(10) &amp; Char(10) &amp; VLOOKUP(A264,Internal_lists_bugs!$A$2:$Z$73,26,FALSE())),"please select a BUG ID")</f>
        <v>https://bugs.launchpad.net/nova/+bug/1441000
/libvirt/driver.py</v>
      </c>
      <c r="C264" s="81" t="str">
        <f>IFERROR(Hyperlink(VLOOKUP(A264,Internal_lists_bugs!$A$2:$G1061,7,FALSE()),"BIC: "&amp;VLOOKUP(A264,Internal_lists_bugs!$A$2:$G1061,7,FALSE())&amp;CHAR(10)&amp;"Intro.Issues: "&amp;VLOOKUP(A264,Internal_lists_bugs!$A$2:$P1061,16,FALSE())),"please select a BUG ID")</f>
        <v>BIC: https://opendev.org/openstack/nova/commit/7dd6a4a
Intro.Issues: 1414065</v>
      </c>
      <c r="D264" s="100">
        <v>1414065.0</v>
      </c>
      <c r="E264" s="54"/>
      <c r="F264" s="79" t="s">
        <v>4457</v>
      </c>
      <c r="G264" s="93" t="s">
        <v>4489</v>
      </c>
      <c r="H264" s="54"/>
      <c r="I264" s="1"/>
    </row>
    <row r="265">
      <c r="A265" s="16" t="s">
        <v>59</v>
      </c>
      <c r="B265" s="77" t="str">
        <f>IFERROR(HYPERLINK(VLOOKUP(A265,Internal_lists_bugs!$A$2:$C$73,3,FALSE()), VLOOKUP(A265,Internal_lists_bugs!$A$2:$C$73,3,FALSE())&amp;Char(10) &amp; Char(10) &amp; VLOOKUP(A265,Internal_lists_bugs!$A$2:$Z$73,26,FALSE())),"please select a BUG ID")</f>
        <v>https://bugs.launchpad.net/nova/+bug/1441000
/libvirt/driver.py</v>
      </c>
      <c r="C265" s="81" t="str">
        <f>IFERROR(Hyperlink(VLOOKUP(A265,Internal_lists_bugs!$A$2:$G1061,7,FALSE()),"BIC: "&amp;VLOOKUP(A265,Internal_lists_bugs!$A$2:$G1061,7,FALSE())&amp;CHAR(10)&amp;"Intro.Issues: "&amp;VLOOKUP(A265,Internal_lists_bugs!$A$2:$P1061,16,FALSE())),"please select a BUG ID")</f>
        <v>BIC: https://opendev.org/openstack/nova/commit/7dd6a4a
Intro.Issues: 1414065</v>
      </c>
      <c r="D265" s="100">
        <v>1414065.0</v>
      </c>
      <c r="E265" s="54"/>
      <c r="F265" s="79" t="s">
        <v>119</v>
      </c>
      <c r="G265" s="93" t="s">
        <v>4489</v>
      </c>
      <c r="H265" s="54"/>
      <c r="I265" s="174"/>
    </row>
    <row r="266">
      <c r="A266" s="16" t="s">
        <v>59</v>
      </c>
      <c r="B266" s="77" t="str">
        <f>IFERROR(HYPERLINK(VLOOKUP(A266,Internal_lists_bugs!$A$2:$C$73,3,FALSE()), VLOOKUP(A266,Internal_lists_bugs!$A$2:$C$73,3,FALSE())&amp;Char(10) &amp; Char(10) &amp; VLOOKUP(A266,Internal_lists_bugs!$A$2:$Z$73,26,FALSE())),"please select a BUG ID")</f>
        <v>https://bugs.launchpad.net/nova/+bug/1441000
/libvirt/driver.py</v>
      </c>
      <c r="C266" s="81" t="str">
        <f>IFERROR(Hyperlink(VLOOKUP(A266,Internal_lists_bugs!$A$2:$G1061,7,FALSE()),"BIC: "&amp;VLOOKUP(A266,Internal_lists_bugs!$A$2:$G1061,7,FALSE())&amp;CHAR(10)&amp;"Intro.Issues: "&amp;VLOOKUP(A266,Internal_lists_bugs!$A$2:$P1061,16,FALSE())),"please select a BUG ID")</f>
        <v>BIC: https://opendev.org/openstack/nova/commit/7dd6a4a
Intro.Issues: 1414065</v>
      </c>
      <c r="D266" s="100">
        <v>1414065.0</v>
      </c>
      <c r="E266" s="54"/>
      <c r="F266" s="79" t="s">
        <v>157</v>
      </c>
      <c r="G266" s="93" t="s">
        <v>4490</v>
      </c>
      <c r="H266" s="54"/>
      <c r="I266" s="1"/>
    </row>
    <row r="267">
      <c r="A267" s="16" t="s">
        <v>59</v>
      </c>
      <c r="B267" s="77" t="str">
        <f>IFERROR(HYPERLINK(VLOOKUP(A267,Internal_lists_bugs!$A$2:$C$73,3,FALSE()), VLOOKUP(A267,Internal_lists_bugs!$A$2:$C$73,3,FALSE())&amp;Char(10) &amp; Char(10) &amp; VLOOKUP(A267,Internal_lists_bugs!$A$2:$Z$73,26,FALSE())),"please select a BUG ID")</f>
        <v>https://bugs.launchpad.net/nova/+bug/1441000
/libvirt/driver.py</v>
      </c>
      <c r="C267" s="81" t="str">
        <f>IFERROR(Hyperlink(VLOOKUP(A267,Internal_lists_bugs!$A$2:$G1061,7,FALSE()),"BIC: "&amp;VLOOKUP(A267,Internal_lists_bugs!$A$2:$G1061,7,FALSE())&amp;CHAR(10)&amp;"Intro.Issues: "&amp;VLOOKUP(A267,Internal_lists_bugs!$A$2:$P1061,16,FALSE())),"please select a BUG ID")</f>
        <v>BIC: https://opendev.org/openstack/nova/commit/7dd6a4a
Intro.Issues: 1414065</v>
      </c>
      <c r="D267" s="100">
        <v>1414065.0</v>
      </c>
      <c r="E267" s="54"/>
      <c r="F267" s="79" t="s">
        <v>4472</v>
      </c>
      <c r="G267" s="93" t="s">
        <v>4491</v>
      </c>
      <c r="H267" s="54"/>
      <c r="I267" s="1"/>
    </row>
    <row r="268">
      <c r="A268" s="16" t="s">
        <v>59</v>
      </c>
      <c r="B268" s="77" t="str">
        <f>IFERROR(HYPERLINK(VLOOKUP(A268,Internal_lists_bugs!$A$2:$C$73,3,FALSE()), VLOOKUP(A268,Internal_lists_bugs!$A$2:$C$73,3,FALSE())&amp;Char(10) &amp; Char(10) &amp; VLOOKUP(A268,Internal_lists_bugs!$A$2:$Z$73,26,FALSE())),"please select a BUG ID")</f>
        <v>https://bugs.launchpad.net/nova/+bug/1441000
/libvirt/driver.py</v>
      </c>
      <c r="C268" s="81" t="str">
        <f>IFERROR(Hyperlink(VLOOKUP(A268,Internal_lists_bugs!$A$2:$G1061,7,FALSE()),"BIC: "&amp;VLOOKUP(A268,Internal_lists_bugs!$A$2:$G1061,7,FALSE())&amp;CHAR(10)&amp;"Intro.Issues: "&amp;VLOOKUP(A268,Internal_lists_bugs!$A$2:$P1061,16,FALSE())),"please select a BUG ID")</f>
        <v>BIC: https://opendev.org/openstack/nova/commit/7dd6a4a
Intro.Issues: 1414065</v>
      </c>
      <c r="D268" s="100">
        <v>1414065.0</v>
      </c>
      <c r="E268" s="54"/>
      <c r="F268" s="79" t="s">
        <v>227</v>
      </c>
      <c r="G268" s="93" t="s">
        <v>4492</v>
      </c>
      <c r="H268" s="54"/>
      <c r="I268" s="1"/>
    </row>
    <row r="269">
      <c r="A269" s="16" t="s">
        <v>59</v>
      </c>
      <c r="B269" s="77" t="str">
        <f>IFERROR(HYPERLINK(VLOOKUP(A269,Internal_lists_bugs!$A$2:$C$73,3,FALSE()), VLOOKUP(A269,Internal_lists_bugs!$A$2:$C$73,3,FALSE())&amp;Char(10) &amp; Char(10) &amp; VLOOKUP(A269,Internal_lists_bugs!$A$2:$Z$73,26,FALSE())),"please select a BUG ID")</f>
        <v>https://bugs.launchpad.net/nova/+bug/1441000
/libvirt/driver.py</v>
      </c>
      <c r="C269" s="81" t="str">
        <f>IFERROR(Hyperlink(VLOOKUP(A269,Internal_lists_bugs!$A$2:$G1061,7,FALSE()),"BIC: "&amp;VLOOKUP(A269,Internal_lists_bugs!$A$2:$G1061,7,FALSE())&amp;CHAR(10)&amp;"Intro.Issues: "&amp;VLOOKUP(A269,Internal_lists_bugs!$A$2:$P1061,16,FALSE())),"please select a BUG ID")</f>
        <v>BIC: https://opendev.org/openstack/nova/commit/7dd6a4a
Intro.Issues: 1414065</v>
      </c>
      <c r="D269" s="100">
        <v>1414065.0</v>
      </c>
      <c r="E269" s="54"/>
      <c r="F269" s="79" t="s">
        <v>227</v>
      </c>
      <c r="G269" s="93" t="s">
        <v>204</v>
      </c>
      <c r="H269" s="54"/>
      <c r="I269" s="1"/>
    </row>
    <row r="270">
      <c r="A270" s="16" t="s">
        <v>59</v>
      </c>
      <c r="B270" s="77" t="str">
        <f>IFERROR(HYPERLINK(VLOOKUP(A270,Internal_lists_bugs!$A$2:$C$73,3,FALSE()), VLOOKUP(A270,Internal_lists_bugs!$A$2:$C$73,3,FALSE())&amp;Char(10) &amp; Char(10) &amp; VLOOKUP(A270,Internal_lists_bugs!$A$2:$Z$73,26,FALSE())),"please select a BUG ID")</f>
        <v>https://bugs.launchpad.net/nova/+bug/1441000
/libvirt/driver.py</v>
      </c>
      <c r="C270" s="81" t="str">
        <f>IFERROR(Hyperlink(VLOOKUP(A270,Internal_lists_bugs!$A$2:$G1061,7,FALSE()),"BIC: "&amp;VLOOKUP(A270,Internal_lists_bugs!$A$2:$G1061,7,FALSE())&amp;CHAR(10)&amp;"Intro.Issues: "&amp;VLOOKUP(A270,Internal_lists_bugs!$A$2:$P1061,16,FALSE())),"please select a BUG ID")</f>
        <v>BIC: https://opendev.org/openstack/nova/commit/7dd6a4a
Intro.Issues: 1414065</v>
      </c>
      <c r="D270" s="100">
        <v>1414065.0</v>
      </c>
      <c r="E270" s="54"/>
      <c r="F270" s="79" t="s">
        <v>129</v>
      </c>
      <c r="G270" s="93" t="s">
        <v>205</v>
      </c>
      <c r="H270" s="54"/>
      <c r="I270" s="1"/>
    </row>
    <row r="271">
      <c r="A271" s="16" t="s">
        <v>59</v>
      </c>
      <c r="B271" s="77" t="str">
        <f>IFERROR(HYPERLINK(VLOOKUP(A271,Internal_lists_bugs!$A$2:$C$73,3,FALSE()), VLOOKUP(A271,Internal_lists_bugs!$A$2:$C$73,3,FALSE())&amp;Char(10) &amp; Char(10) &amp; VLOOKUP(A271,Internal_lists_bugs!$A$2:$Z$73,26,FALSE())),"please select a BUG ID")</f>
        <v>https://bugs.launchpad.net/nova/+bug/1441000
/libvirt/driver.py</v>
      </c>
      <c r="C271" s="81" t="str">
        <f>IFERROR(Hyperlink(VLOOKUP(A271,Internal_lists_bugs!$A$2:$G1061,7,FALSE()),"BIC: "&amp;VLOOKUP(A271,Internal_lists_bugs!$A$2:$G1061,7,FALSE())&amp;CHAR(10)&amp;"Intro.Issues: "&amp;VLOOKUP(A271,Internal_lists_bugs!$A$2:$P1061,16,FALSE())),"please select a BUG ID")</f>
        <v>BIC: https://opendev.org/openstack/nova/commit/7dd6a4a
Intro.Issues: 1414065</v>
      </c>
      <c r="D271" s="100">
        <v>1414065.0</v>
      </c>
      <c r="E271" s="54"/>
      <c r="F271" s="79" t="s">
        <v>235</v>
      </c>
      <c r="G271" s="93" t="s">
        <v>229</v>
      </c>
      <c r="H271" s="54"/>
      <c r="I271" s="1"/>
    </row>
    <row r="272">
      <c r="A272" s="16" t="s">
        <v>59</v>
      </c>
      <c r="B272" s="77" t="str">
        <f>IFERROR(HYPERLINK(VLOOKUP(A272,Internal_lists_bugs!$A$2:$C$73,3,FALSE()), VLOOKUP(A272,Internal_lists_bugs!$A$2:$C$73,3,FALSE())&amp;Char(10) &amp; Char(10) &amp; VLOOKUP(A272,Internal_lists_bugs!$A$2:$Z$73,26,FALSE())),"please select a BUG ID")</f>
        <v>https://bugs.launchpad.net/nova/+bug/1441000
/libvirt/driver.py</v>
      </c>
      <c r="C272" s="81" t="str">
        <f>IFERROR(Hyperlink(VLOOKUP(A272,Internal_lists_bugs!$A$2:$G1061,7,FALSE()),"BIC: "&amp;VLOOKUP(A272,Internal_lists_bugs!$A$2:$G1061,7,FALSE())&amp;CHAR(10)&amp;"Intro.Issues: "&amp;VLOOKUP(A272,Internal_lists_bugs!$A$2:$P1061,16,FALSE())),"please select a BUG ID")</f>
        <v>BIC: https://opendev.org/openstack/nova/commit/7dd6a4a
Intro.Issues: 1414065</v>
      </c>
      <c r="D272" s="100">
        <v>1414065.0</v>
      </c>
      <c r="E272" s="54"/>
      <c r="F272" s="79" t="s">
        <v>1292</v>
      </c>
      <c r="G272" s="93" t="s">
        <v>216</v>
      </c>
      <c r="H272" s="54"/>
      <c r="I272" s="1"/>
    </row>
    <row r="273">
      <c r="A273" s="16" t="s">
        <v>59</v>
      </c>
      <c r="B273" s="77" t="str">
        <f>IFERROR(HYPERLINK(VLOOKUP(A273,Internal_lists_bugs!$A$2:$C$73,3,FALSE()), VLOOKUP(A273,Internal_lists_bugs!$A$2:$C$73,3,FALSE())&amp;Char(10) &amp; Char(10) &amp; VLOOKUP(A273,Internal_lists_bugs!$A$2:$Z$73,26,FALSE())),"please select a BUG ID")</f>
        <v>https://bugs.launchpad.net/nova/+bug/1441000
/libvirt/driver.py</v>
      </c>
      <c r="C273" s="81" t="str">
        <f>IFERROR(Hyperlink(VLOOKUP(A273,Internal_lists_bugs!$A$2:$G1061,7,FALSE()),"BIC: "&amp;VLOOKUP(A273,Internal_lists_bugs!$A$2:$G1061,7,FALSE())&amp;CHAR(10)&amp;"Intro.Issues: "&amp;VLOOKUP(A273,Internal_lists_bugs!$A$2:$P1061,16,FALSE())),"please select a BUG ID")</f>
        <v>BIC: https://opendev.org/openstack/nova/commit/7dd6a4a
Intro.Issues: 1414065</v>
      </c>
      <c r="D273" s="100">
        <v>1414065.0</v>
      </c>
      <c r="E273" s="54"/>
      <c r="F273" s="79" t="s">
        <v>4368</v>
      </c>
      <c r="G273" s="93" t="s">
        <v>217</v>
      </c>
      <c r="H273" s="54"/>
      <c r="I273" s="1"/>
    </row>
    <row r="274">
      <c r="A274" s="16" t="s">
        <v>59</v>
      </c>
      <c r="B274" s="77" t="str">
        <f>IFERROR(HYPERLINK(VLOOKUP(A274,Internal_lists_bugs!$A$2:$C$73,3,FALSE()), VLOOKUP(A274,Internal_lists_bugs!$A$2:$C$73,3,FALSE())&amp;Char(10) &amp; Char(10) &amp; VLOOKUP(A274,Internal_lists_bugs!$A$2:$Z$73,26,FALSE())),"please select a BUG ID")</f>
        <v>https://bugs.launchpad.net/nova/+bug/1441000
/libvirt/driver.py</v>
      </c>
      <c r="C274" s="81" t="str">
        <f>IFERROR(Hyperlink(VLOOKUP(A274,Internal_lists_bugs!$A$2:$G1061,7,FALSE()),"BIC: "&amp;VLOOKUP(A274,Internal_lists_bugs!$A$2:$G1061,7,FALSE())&amp;CHAR(10)&amp;"Intro.Issues: "&amp;VLOOKUP(A274,Internal_lists_bugs!$A$2:$P1061,16,FALSE())),"please select a BUG ID")</f>
        <v>BIC: https://opendev.org/openstack/nova/commit/7dd6a4a
Intro.Issues: 1414065</v>
      </c>
      <c r="D274" s="100">
        <v>1414065.0</v>
      </c>
      <c r="E274" s="54"/>
      <c r="F274" s="79" t="s">
        <v>153</v>
      </c>
      <c r="G274" s="93" t="s">
        <v>183</v>
      </c>
      <c r="H274" s="54"/>
      <c r="I274" s="1"/>
    </row>
    <row r="275">
      <c r="A275" s="16" t="s">
        <v>59</v>
      </c>
      <c r="B275" s="77" t="str">
        <f>IFERROR(HYPERLINK(VLOOKUP(A275,Internal_lists_bugs!$A$2:$C$73,3,FALSE()), VLOOKUP(A275,Internal_lists_bugs!$A$2:$C$73,3,FALSE())&amp;Char(10) &amp; Char(10) &amp; VLOOKUP(A275,Internal_lists_bugs!$A$2:$Z$73,26,FALSE())),"please select a BUG ID")</f>
        <v>https://bugs.launchpad.net/nova/+bug/1441000
/libvirt/driver.py</v>
      </c>
      <c r="C275" s="81" t="str">
        <f>IFERROR(Hyperlink(VLOOKUP(A275,Internal_lists_bugs!$A$2:$G1061,7,FALSE()),"BIC: "&amp;VLOOKUP(A275,Internal_lists_bugs!$A$2:$G1061,7,FALSE())&amp;CHAR(10)&amp;"Intro.Issues: "&amp;VLOOKUP(A275,Internal_lists_bugs!$A$2:$P1061,16,FALSE())),"please select a BUG ID")</f>
        <v>BIC: https://opendev.org/openstack/nova/commit/7dd6a4a
Intro.Issues: 1414065</v>
      </c>
      <c r="D275" s="100">
        <v>1414065.0</v>
      </c>
      <c r="E275" s="54"/>
      <c r="F275" s="79" t="s">
        <v>218</v>
      </c>
      <c r="G275" s="93" t="s">
        <v>185</v>
      </c>
      <c r="H275" s="54"/>
      <c r="I275" s="1"/>
    </row>
    <row r="276">
      <c r="A276" s="16" t="s">
        <v>59</v>
      </c>
      <c r="B276" s="77" t="str">
        <f>IFERROR(HYPERLINK(VLOOKUP(A276,Internal_lists_bugs!$A$2:$C$73,3,FALSE()), VLOOKUP(A276,Internal_lists_bugs!$A$2:$C$73,3,FALSE())&amp;Char(10) &amp; Char(10) &amp; VLOOKUP(A276,Internal_lists_bugs!$A$2:$Z$73,26,FALSE())),"please select a BUG ID")</f>
        <v>https://bugs.launchpad.net/nova/+bug/1441000
/libvirt/driver.py</v>
      </c>
      <c r="C276" s="81" t="str">
        <f>IFERROR(Hyperlink(VLOOKUP(A276,Internal_lists_bugs!$A$2:$G1061,7,FALSE()),"BIC: "&amp;VLOOKUP(A276,Internal_lists_bugs!$A$2:$G1061,7,FALSE())&amp;CHAR(10)&amp;"Intro.Issues: "&amp;VLOOKUP(A276,Internal_lists_bugs!$A$2:$P1061,16,FALSE())),"please select a BUG ID")</f>
        <v>BIC: https://opendev.org/openstack/nova/commit/7dd6a4a
Intro.Issues: 1414065</v>
      </c>
      <c r="D276" s="100">
        <v>1414065.0</v>
      </c>
      <c r="E276" s="54"/>
      <c r="F276" s="79" t="s">
        <v>4493</v>
      </c>
      <c r="G276" s="93" t="s">
        <v>187</v>
      </c>
      <c r="H276" s="54"/>
      <c r="I276" s="1"/>
    </row>
    <row r="277">
      <c r="A277" s="16" t="s">
        <v>59</v>
      </c>
      <c r="B277" s="77" t="str">
        <f>IFERROR(HYPERLINK(VLOOKUP(A277,Internal_lists_bugs!$A$2:$C$73,3,FALSE()), VLOOKUP(A277,Internal_lists_bugs!$A$2:$C$73,3,FALSE())&amp;Char(10) &amp; Char(10) &amp; VLOOKUP(A277,Internal_lists_bugs!$A$2:$Z$73,26,FALSE())),"please select a BUG ID")</f>
        <v>https://bugs.launchpad.net/nova/+bug/1441000
/libvirt/driver.py</v>
      </c>
      <c r="C277" s="81" t="str">
        <f>IFERROR(Hyperlink(VLOOKUP(A277,Internal_lists_bugs!$A$2:$G1061,7,FALSE()),"BIC: "&amp;VLOOKUP(A277,Internal_lists_bugs!$A$2:$G1061,7,FALSE())&amp;CHAR(10)&amp;"Intro.Issues: "&amp;VLOOKUP(A277,Internal_lists_bugs!$A$2:$P1061,16,FALSE())),"please select a BUG ID")</f>
        <v>BIC: https://opendev.org/openstack/nova/commit/7dd6a4a
Intro.Issues: 1414065</v>
      </c>
      <c r="D277" s="100">
        <v>1414065.0</v>
      </c>
      <c r="E277" s="54"/>
      <c r="F277" s="79" t="s">
        <v>4494</v>
      </c>
      <c r="G277" s="93" t="s">
        <v>189</v>
      </c>
      <c r="H277" s="54"/>
      <c r="I277" s="1"/>
    </row>
    <row r="278">
      <c r="A278" s="16" t="s">
        <v>59</v>
      </c>
      <c r="B278" s="77" t="str">
        <f>IFERROR(HYPERLINK(VLOOKUP(A278,Internal_lists_bugs!$A$2:$C$73,3,FALSE()), VLOOKUP(A278,Internal_lists_bugs!$A$2:$C$73,3,FALSE())&amp;Char(10) &amp; Char(10) &amp; VLOOKUP(A278,Internal_lists_bugs!$A$2:$Z$73,26,FALSE())),"please select a BUG ID")</f>
        <v>https://bugs.launchpad.net/nova/+bug/1441000
/libvirt/driver.py</v>
      </c>
      <c r="C278" s="81" t="str">
        <f>IFERROR(Hyperlink(VLOOKUP(A278,Internal_lists_bugs!$A$2:$G1061,7,FALSE()),"BIC: "&amp;VLOOKUP(A278,Internal_lists_bugs!$A$2:$G1061,7,FALSE())&amp;CHAR(10)&amp;"Intro.Issues: "&amp;VLOOKUP(A278,Internal_lists_bugs!$A$2:$P1061,16,FALSE())),"please select a BUG ID")</f>
        <v>BIC: https://opendev.org/openstack/nova/commit/7dd6a4a
Intro.Issues: 1414065</v>
      </c>
      <c r="D278" s="100">
        <v>1414065.0</v>
      </c>
      <c r="E278" s="54"/>
      <c r="F278" s="79" t="s">
        <v>4495</v>
      </c>
      <c r="G278" s="93" t="s">
        <v>192</v>
      </c>
      <c r="H278" s="54"/>
      <c r="I278" s="1"/>
    </row>
    <row r="279">
      <c r="A279" s="16" t="s">
        <v>59</v>
      </c>
      <c r="B279" s="77" t="str">
        <f>IFERROR(HYPERLINK(VLOOKUP(A279,Internal_lists_bugs!$A$2:$C$73,3,FALSE()), VLOOKUP(A279,Internal_lists_bugs!$A$2:$C$73,3,FALSE())&amp;Char(10) &amp; Char(10) &amp; VLOOKUP(A279,Internal_lists_bugs!$A$2:$Z$73,26,FALSE())),"please select a BUG ID")</f>
        <v>https://bugs.launchpad.net/nova/+bug/1441000
/libvirt/driver.py</v>
      </c>
      <c r="C279" s="81" t="str">
        <f>IFERROR(Hyperlink(VLOOKUP(A279,Internal_lists_bugs!$A$2:$G1061,7,FALSE()),"BIC: "&amp;VLOOKUP(A279,Internal_lists_bugs!$A$2:$G1061,7,FALSE())&amp;CHAR(10)&amp;"Intro.Issues: "&amp;VLOOKUP(A279,Internal_lists_bugs!$A$2:$P1061,16,FALSE())),"please select a BUG ID")</f>
        <v>BIC: https://opendev.org/openstack/nova/commit/7dd6a4a
Intro.Issues: 1414065</v>
      </c>
      <c r="D279" s="100">
        <v>1414065.0</v>
      </c>
      <c r="E279" s="54"/>
      <c r="F279" s="79" t="s">
        <v>4496</v>
      </c>
      <c r="G279" s="93" t="s">
        <v>267</v>
      </c>
      <c r="H279" s="54"/>
      <c r="I279" s="1"/>
    </row>
    <row r="280">
      <c r="A280" s="16" t="s">
        <v>59</v>
      </c>
      <c r="B280" s="77" t="str">
        <f>IFERROR(HYPERLINK(VLOOKUP(A280,Internal_lists_bugs!$A$2:$C$73,3,FALSE()), VLOOKUP(A280,Internal_lists_bugs!$A$2:$C$73,3,FALSE())&amp;Char(10) &amp; Char(10) &amp; VLOOKUP(A280,Internal_lists_bugs!$A$2:$Z$73,26,FALSE())),"please select a BUG ID")</f>
        <v>https://bugs.launchpad.net/nova/+bug/1441000
/libvirt/driver.py</v>
      </c>
      <c r="C280" s="81" t="str">
        <f>IFERROR(Hyperlink(VLOOKUP(A280,Internal_lists_bugs!$A$2:$G1061,7,FALSE()),"BIC: "&amp;VLOOKUP(A280,Internal_lists_bugs!$A$2:$G1061,7,FALSE())&amp;CHAR(10)&amp;"Intro.Issues: "&amp;VLOOKUP(A280,Internal_lists_bugs!$A$2:$P1061,16,FALSE())),"please select a BUG ID")</f>
        <v>BIC: https://opendev.org/openstack/nova/commit/7dd6a4a
Intro.Issues: 1414065</v>
      </c>
      <c r="D280" s="100">
        <v>1414065.0</v>
      </c>
      <c r="E280" s="54"/>
      <c r="F280" s="79" t="s">
        <v>4497</v>
      </c>
      <c r="G280" s="93" t="s">
        <v>269</v>
      </c>
      <c r="H280" s="54"/>
      <c r="I280" s="1"/>
    </row>
    <row r="281">
      <c r="A281" s="16" t="s">
        <v>59</v>
      </c>
      <c r="B281" s="77" t="str">
        <f>IFERROR(HYPERLINK(VLOOKUP(A281,Internal_lists_bugs!$A$2:$C$73,3,FALSE()), VLOOKUP(A281,Internal_lists_bugs!$A$2:$C$73,3,FALSE())&amp;Char(10) &amp; Char(10) &amp; VLOOKUP(A281,Internal_lists_bugs!$A$2:$Z$73,26,FALSE())),"please select a BUG ID")</f>
        <v>https://bugs.launchpad.net/nova/+bug/1441000
/libvirt/driver.py</v>
      </c>
      <c r="C281" s="81" t="str">
        <f>IFERROR(Hyperlink(VLOOKUP(A281,Internal_lists_bugs!$A$2:$G1061,7,FALSE()),"BIC: "&amp;VLOOKUP(A281,Internal_lists_bugs!$A$2:$G1061,7,FALSE())&amp;CHAR(10)&amp;"Intro.Issues: "&amp;VLOOKUP(A281,Internal_lists_bugs!$A$2:$P1061,16,FALSE())),"please select a BUG ID")</f>
        <v>BIC: https://opendev.org/openstack/nova/commit/7dd6a4a
Intro.Issues: 1414065</v>
      </c>
      <c r="D281" s="100">
        <v>1414065.0</v>
      </c>
      <c r="E281" s="54"/>
      <c r="F281" s="79" t="s">
        <v>4498</v>
      </c>
      <c r="G281" s="93" t="s">
        <v>195</v>
      </c>
      <c r="H281" s="54"/>
      <c r="I281" s="1"/>
    </row>
    <row r="282">
      <c r="A282" s="16" t="s">
        <v>60</v>
      </c>
      <c r="B282" s="77" t="str">
        <f>IFERROR(HYPERLINK(VLOOKUP(A282,Internal_lists_bugs!$A$2:$C$73,3,FALSE()), VLOOKUP(A282,Internal_lists_bugs!$A$2:$C$73,3,FALSE())&amp;Char(10) &amp; Char(10) &amp; VLOOKUP(A282,Internal_lists_bugs!$A$2:$Z$73,26,FALSE())),"please select a BUG ID")</f>
        <v>https://bugs.launchpad.net/nova/+bug/1505471
/servicegroup/drivers/db.py</v>
      </c>
      <c r="C282" s="81" t="str">
        <f>IFERROR(Hyperlink(VLOOKUP(A282,Internal_lists_bugs!$A$2:$G1061,7,FALSE()),"BIC: "&amp;VLOOKUP(A282,Internal_lists_bugs!$A$2:$G1061,7,FALSE())&amp;CHAR(10)&amp;"Intro.Issues: "&amp;VLOOKUP(A282,Internal_lists_bugs!$A$2:$P1061,16,FALSE())),"please select a BUG ID")</f>
        <v>BIC: https://opendev.org/openstack/nova/commit/64e167eb6
Intro.Issues: NA</v>
      </c>
      <c r="D282" s="100" t="s">
        <v>124</v>
      </c>
      <c r="E282" s="54"/>
      <c r="F282" s="82"/>
      <c r="G282" s="92"/>
      <c r="H282" s="54"/>
      <c r="I282" s="1"/>
    </row>
    <row r="283">
      <c r="A283" s="16" t="s">
        <v>61</v>
      </c>
      <c r="B283" s="77" t="str">
        <f>IFERROR(HYPERLINK(VLOOKUP(A283,Internal_lists_bugs!$A$2:$C$73,3,FALSE()), VLOOKUP(A283,Internal_lists_bugs!$A$2:$C$73,3,FALSE())&amp;Char(10) &amp; Char(10) &amp; VLOOKUP(A283,Internal_lists_bugs!$A$2:$Z$73,26,FALSE())),"please select a BUG ID")</f>
        <v>https://bugs.launchpad.net/nova/+bug/1453274
/libvirt/driver.py</v>
      </c>
      <c r="C283" s="81" t="str">
        <f>IFERROR(Hyperlink(VLOOKUP(A283,Internal_lists_bugs!$A$2:$G1061,7,FALSE()),"BIC: "&amp;VLOOKUP(A283,Internal_lists_bugs!$A$2:$G1061,7,FALSE())&amp;CHAR(10)&amp;"Intro.Issues: "&amp;VLOOKUP(A283,Internal_lists_bugs!$A$2:$P1061,16,FALSE())),"please select a BUG ID")</f>
        <v>BIC: https://opendev.org/openstack/nova/commit/60c90f7
Intro.Issues: 1333827</v>
      </c>
      <c r="D283" s="100">
        <v>1333827.0</v>
      </c>
      <c r="E283" s="16" t="s">
        <v>4280</v>
      </c>
      <c r="F283" s="79" t="s">
        <v>119</v>
      </c>
      <c r="G283" s="93" t="s">
        <v>144</v>
      </c>
      <c r="H283" s="16" t="s">
        <v>123</v>
      </c>
      <c r="I283" s="1"/>
    </row>
    <row r="284">
      <c r="A284" s="16" t="s">
        <v>61</v>
      </c>
      <c r="B284" s="77" t="str">
        <f>IFERROR(HYPERLINK(VLOOKUP(A284,Internal_lists_bugs!$A$2:$C$73,3,FALSE()), VLOOKUP(A284,Internal_lists_bugs!$A$2:$C$73,3,FALSE())&amp;Char(10) &amp; Char(10) &amp; VLOOKUP(A284,Internal_lists_bugs!$A$2:$Z$73,26,FALSE())),"please select a BUG ID")</f>
        <v>https://bugs.launchpad.net/nova/+bug/1453274
/libvirt/driver.py</v>
      </c>
      <c r="C284" s="81" t="str">
        <f>IFERROR(Hyperlink(VLOOKUP(A284,Internal_lists_bugs!$A$2:$G1061,7,FALSE()),"BIC: "&amp;VLOOKUP(A284,Internal_lists_bugs!$A$2:$G1061,7,FALSE())&amp;CHAR(10)&amp;"Intro.Issues: "&amp;VLOOKUP(A284,Internal_lists_bugs!$A$2:$P1061,16,FALSE())),"please select a BUG ID")</f>
        <v>BIC: https://opendev.org/openstack/nova/commit/60c90f7
Intro.Issues: 1333827</v>
      </c>
      <c r="D284" s="100">
        <v>1333827.0</v>
      </c>
      <c r="E284" s="54"/>
      <c r="F284" s="79" t="s">
        <v>119</v>
      </c>
      <c r="G284" s="93" t="s">
        <v>4499</v>
      </c>
      <c r="H284" s="54"/>
      <c r="I284" s="1"/>
    </row>
    <row r="285">
      <c r="A285" s="16" t="s">
        <v>61</v>
      </c>
      <c r="B285" s="77" t="str">
        <f>IFERROR(HYPERLINK(VLOOKUP(A285,Internal_lists_bugs!$A$2:$C$73,3,FALSE()), VLOOKUP(A285,Internal_lists_bugs!$A$2:$C$73,3,FALSE())&amp;Char(10) &amp; Char(10) &amp; VLOOKUP(A285,Internal_lists_bugs!$A$2:$Z$73,26,FALSE())),"please select a BUG ID")</f>
        <v>https://bugs.launchpad.net/nova/+bug/1453274
/libvirt/driver.py</v>
      </c>
      <c r="C285" s="81" t="str">
        <f>IFERROR(Hyperlink(VLOOKUP(A285,Internal_lists_bugs!$A$2:$G1061,7,FALSE()),"BIC: "&amp;VLOOKUP(A285,Internal_lists_bugs!$A$2:$G1061,7,FALSE())&amp;CHAR(10)&amp;"Intro.Issues: "&amp;VLOOKUP(A285,Internal_lists_bugs!$A$2:$P1061,16,FALSE())),"please select a BUG ID")</f>
        <v>BIC: https://opendev.org/openstack/nova/commit/60c90f7
Intro.Issues: 1333827</v>
      </c>
      <c r="D285" s="100">
        <v>1333827.0</v>
      </c>
      <c r="E285" s="54"/>
      <c r="F285" s="79" t="s">
        <v>149</v>
      </c>
      <c r="G285" s="93" t="s">
        <v>4500</v>
      </c>
      <c r="H285" s="54"/>
      <c r="I285" s="1"/>
    </row>
    <row r="286">
      <c r="A286" s="16" t="s">
        <v>61</v>
      </c>
      <c r="B286" s="77" t="str">
        <f>IFERROR(HYPERLINK(VLOOKUP(A286,Internal_lists_bugs!$A$2:$C$73,3,FALSE()), VLOOKUP(A286,Internal_lists_bugs!$A$2:$C$73,3,FALSE())&amp;Char(10) &amp; Char(10) &amp; VLOOKUP(A286,Internal_lists_bugs!$A$2:$Z$73,26,FALSE())),"please select a BUG ID")</f>
        <v>https://bugs.launchpad.net/nova/+bug/1453274
/libvirt/driver.py</v>
      </c>
      <c r="C286" s="81" t="str">
        <f>IFERROR(Hyperlink(VLOOKUP(A286,Internal_lists_bugs!$A$2:$G1061,7,FALSE()),"BIC: "&amp;VLOOKUP(A286,Internal_lists_bugs!$A$2:$G1061,7,FALSE())&amp;CHAR(10)&amp;"Intro.Issues: "&amp;VLOOKUP(A286,Internal_lists_bugs!$A$2:$P1061,16,FALSE())),"please select a BUG ID")</f>
        <v>BIC: https://opendev.org/openstack/nova/commit/60c90f7
Intro.Issues: 1333827</v>
      </c>
      <c r="D286" s="100">
        <v>1333827.0</v>
      </c>
      <c r="E286" s="54"/>
      <c r="F286" s="79" t="s">
        <v>227</v>
      </c>
      <c r="G286" s="93" t="s">
        <v>4501</v>
      </c>
      <c r="H286" s="54"/>
      <c r="I286" s="1"/>
    </row>
    <row r="287">
      <c r="A287" s="16" t="s">
        <v>61</v>
      </c>
      <c r="B287" s="77" t="str">
        <f>IFERROR(HYPERLINK(VLOOKUP(A287,Internal_lists_bugs!$A$2:$C$73,3,FALSE()), VLOOKUP(A287,Internal_lists_bugs!$A$2:$C$73,3,FALSE())&amp;Char(10) &amp; Char(10) &amp; VLOOKUP(A287,Internal_lists_bugs!$A$2:$Z$73,26,FALSE())),"please select a BUG ID")</f>
        <v>https://bugs.launchpad.net/nova/+bug/1453274
/libvirt/driver.py</v>
      </c>
      <c r="C287" s="81" t="str">
        <f>IFERROR(Hyperlink(VLOOKUP(A287,Internal_lists_bugs!$A$2:$G1061,7,FALSE()),"BIC: "&amp;VLOOKUP(A287,Internal_lists_bugs!$A$2:$G1061,7,FALSE())&amp;CHAR(10)&amp;"Intro.Issues: "&amp;VLOOKUP(A287,Internal_lists_bugs!$A$2:$P1061,16,FALSE())),"please select a BUG ID")</f>
        <v>BIC: https://opendev.org/openstack/nova/commit/60c90f7
Intro.Issues: 1333827</v>
      </c>
      <c r="D287" s="100">
        <v>1333827.0</v>
      </c>
      <c r="E287" s="54"/>
      <c r="F287" s="79" t="s">
        <v>129</v>
      </c>
      <c r="G287" s="93" t="s">
        <v>204</v>
      </c>
      <c r="H287" s="54"/>
      <c r="I287" s="1"/>
    </row>
    <row r="288">
      <c r="A288" s="16" t="s">
        <v>61</v>
      </c>
      <c r="B288" s="77" t="str">
        <f>IFERROR(HYPERLINK(VLOOKUP(A288,Internal_lists_bugs!$A$2:$C$73,3,FALSE()), VLOOKUP(A288,Internal_lists_bugs!$A$2:$C$73,3,FALSE())&amp;Char(10) &amp; Char(10) &amp; VLOOKUP(A288,Internal_lists_bugs!$A$2:$Z$73,26,FALSE())),"please select a BUG ID")</f>
        <v>https://bugs.launchpad.net/nova/+bug/1453274
/libvirt/driver.py</v>
      </c>
      <c r="C288" s="81" t="str">
        <f>IFERROR(Hyperlink(VLOOKUP(A288,Internal_lists_bugs!$A$2:$G1061,7,FALSE()),"BIC: "&amp;VLOOKUP(A288,Internal_lists_bugs!$A$2:$G1061,7,FALSE())&amp;CHAR(10)&amp;"Intro.Issues: "&amp;VLOOKUP(A288,Internal_lists_bugs!$A$2:$P1061,16,FALSE())),"please select a BUG ID")</f>
        <v>BIC: https://opendev.org/openstack/nova/commit/60c90f7
Intro.Issues: 1333827</v>
      </c>
      <c r="D288" s="100">
        <v>1333827.0</v>
      </c>
      <c r="E288" s="54"/>
      <c r="F288" s="79" t="s">
        <v>4502</v>
      </c>
      <c r="G288" s="93" t="s">
        <v>205</v>
      </c>
      <c r="H288" s="54"/>
      <c r="I288" s="1"/>
    </row>
    <row r="289">
      <c r="A289" s="16" t="s">
        <v>61</v>
      </c>
      <c r="B289" s="77" t="str">
        <f>IFERROR(HYPERLINK(VLOOKUP(A289,Internal_lists_bugs!$A$2:$C$73,3,FALSE()), VLOOKUP(A289,Internal_lists_bugs!$A$2:$C$73,3,FALSE())&amp;Char(10) &amp; Char(10) &amp; VLOOKUP(A289,Internal_lists_bugs!$A$2:$Z$73,26,FALSE())),"please select a BUG ID")</f>
        <v>https://bugs.launchpad.net/nova/+bug/1453274
/libvirt/driver.py</v>
      </c>
      <c r="C289" s="81" t="str">
        <f>IFERROR(Hyperlink(VLOOKUP(A289,Internal_lists_bugs!$A$2:$G1061,7,FALSE()),"BIC: "&amp;VLOOKUP(A289,Internal_lists_bugs!$A$2:$G1061,7,FALSE())&amp;CHAR(10)&amp;"Intro.Issues: "&amp;VLOOKUP(A289,Internal_lists_bugs!$A$2:$P1061,16,FALSE())),"please select a BUG ID")</f>
        <v>BIC: https://opendev.org/openstack/nova/commit/60c90f7
Intro.Issues: 1333827</v>
      </c>
      <c r="D289" s="100">
        <v>1333827.0</v>
      </c>
      <c r="E289" s="54"/>
      <c r="F289" s="79" t="s">
        <v>1292</v>
      </c>
      <c r="G289" s="93" t="s">
        <v>229</v>
      </c>
      <c r="H289" s="54"/>
      <c r="I289" s="1"/>
    </row>
    <row r="290">
      <c r="A290" s="16" t="s">
        <v>62</v>
      </c>
      <c r="B290" s="77" t="str">
        <f>IFERROR(HYPERLINK(VLOOKUP(A290,Internal_lists_bugs!$A$2:$C$73,3,FALSE()), VLOOKUP(A290,Internal_lists_bugs!$A$2:$C$73,3,FALSE())&amp;Char(10) &amp; Char(10) &amp; VLOOKUP(A290,Internal_lists_bugs!$A$2:$Z$73,26,FALSE())),"please select a BUG ID")</f>
        <v>https://bugs.launchpad.net/nova/+bug/1424647
/cmd/baseproxy.py
/cmd/novncproxy.py
/cmd/serialproxy.py
/cmd/spicehtml5proxy.py </v>
      </c>
      <c r="C290" s="81" t="str">
        <f>IFERROR(Hyperlink(VLOOKUP(A290,Internal_lists_bugs!$A$2:$G1061,7,FALSE()),"BIC: "&amp;VLOOKUP(A290,Internal_lists_bugs!$A$2:$G1061,7,FALSE())&amp;CHAR(10)&amp;"Intro.Issues: "&amp;VLOOKUP(A290,Internal_lists_bugs!$A$2:$P1061,16,FALSE())),"please select a BUG ID")</f>
        <v>BIC: https://opendev.org/openstack/nova/commit/d2cbb9a
Intro.Issues: NA</v>
      </c>
      <c r="D290" s="100" t="s">
        <v>124</v>
      </c>
      <c r="E290" s="54"/>
      <c r="F290" s="82"/>
      <c r="G290" s="92"/>
      <c r="H290" s="54"/>
      <c r="I290" s="1"/>
    </row>
    <row r="291">
      <c r="A291" s="16" t="s">
        <v>63</v>
      </c>
      <c r="B291" s="77" t="str">
        <f>IFERROR(HYPERLINK(VLOOKUP(A291,Internal_lists_bugs!$A$2:$C$73,3,FALSE()), VLOOKUP(A291,Internal_lists_bugs!$A$2:$C$73,3,FALSE())&amp;Char(10) &amp; Char(10) &amp; VLOOKUP(A291,Internal_lists_bugs!$A$2:$Z$73,26,FALSE())),"please select a BUG ID")</f>
        <v>https://bugs.launchpad.net/nova/+bug/1443970
/network/manager.py</v>
      </c>
      <c r="C291" s="81" t="str">
        <f>IFERROR(Hyperlink(VLOOKUP(A291,Internal_lists_bugs!$A$2:$G1061,7,FALSE()),"BIC: "&amp;VLOOKUP(A291,Internal_lists_bugs!$A$2:$G1061,7,FALSE())&amp;CHAR(10)&amp;"Intro.Issues: "&amp;VLOOKUP(A291,Internal_lists_bugs!$A$2:$P1061,16,FALSE())),"please select a BUG ID")</f>
        <v>BIC: https://opendev.org/openstack/nova/commit/447641972539f1
Intro.Issues: better-support-for-multiple-networks</v>
      </c>
      <c r="D291" s="100" t="s">
        <v>4503</v>
      </c>
      <c r="E291" s="16" t="s">
        <v>4290</v>
      </c>
      <c r="F291" s="79" t="s">
        <v>4342</v>
      </c>
      <c r="G291" s="93" t="s">
        <v>4504</v>
      </c>
      <c r="H291" s="16" t="s">
        <v>251</v>
      </c>
      <c r="I291" s="1"/>
    </row>
    <row r="292">
      <c r="A292" s="16" t="s">
        <v>63</v>
      </c>
      <c r="B292" s="77" t="str">
        <f>IFERROR(HYPERLINK(VLOOKUP(A292,Internal_lists_bugs!$A$2:$C$73,3,FALSE()), VLOOKUP(A292,Internal_lists_bugs!$A$2:$C$73,3,FALSE())&amp;Char(10) &amp; Char(10) &amp; VLOOKUP(A292,Internal_lists_bugs!$A$2:$Z$73,26,FALSE())),"please select a BUG ID")</f>
        <v>https://bugs.launchpad.net/nova/+bug/1443970
/network/manager.py</v>
      </c>
      <c r="C292" s="81" t="str">
        <f>IFERROR(Hyperlink(VLOOKUP(A292,Internal_lists_bugs!$A$2:$G1061,7,FALSE()),"BIC: "&amp;VLOOKUP(A292,Internal_lists_bugs!$A$2:$G1061,7,FALSE())&amp;CHAR(10)&amp;"Intro.Issues: "&amp;VLOOKUP(A292,Internal_lists_bugs!$A$2:$P1061,16,FALSE())),"please select a BUG ID")</f>
        <v>BIC: https://opendev.org/openstack/nova/commit/447641972539f1
Intro.Issues: better-support-for-multiple-networks</v>
      </c>
      <c r="D292" s="100" t="s">
        <v>4503</v>
      </c>
      <c r="E292" s="54"/>
      <c r="F292" s="79" t="s">
        <v>4397</v>
      </c>
      <c r="G292" s="93" t="s">
        <v>4412</v>
      </c>
      <c r="H292" s="54"/>
      <c r="I292" s="174"/>
    </row>
    <row r="293">
      <c r="A293" s="16" t="s">
        <v>63</v>
      </c>
      <c r="B293" s="77" t="str">
        <f>IFERROR(HYPERLINK(VLOOKUP(A293,Internal_lists_bugs!$A$2:$C$73,3,FALSE()), VLOOKUP(A293,Internal_lists_bugs!$A$2:$C$73,3,FALSE())&amp;Char(10) &amp; Char(10) &amp; VLOOKUP(A293,Internal_lists_bugs!$A$2:$Z$73,26,FALSE())),"please select a BUG ID")</f>
        <v>https://bugs.launchpad.net/nova/+bug/1443970
/network/manager.py</v>
      </c>
      <c r="C293" s="81" t="str">
        <f>IFERROR(Hyperlink(VLOOKUP(A293,Internal_lists_bugs!$A$2:$G1061,7,FALSE()),"BIC: "&amp;VLOOKUP(A293,Internal_lists_bugs!$A$2:$G1061,7,FALSE())&amp;CHAR(10)&amp;"Intro.Issues: "&amp;VLOOKUP(A293,Internal_lists_bugs!$A$2:$P1061,16,FALSE())),"please select a BUG ID")</f>
        <v>BIC: https://opendev.org/openstack/nova/commit/447641972539f1
Intro.Issues: better-support-for-multiple-networks</v>
      </c>
      <c r="D293" s="100" t="s">
        <v>4503</v>
      </c>
      <c r="E293" s="54"/>
      <c r="F293" s="79" t="s">
        <v>4297</v>
      </c>
      <c r="G293" s="93" t="s">
        <v>4311</v>
      </c>
      <c r="H293" s="54"/>
      <c r="I293" s="1"/>
    </row>
    <row r="294">
      <c r="A294" s="16" t="s">
        <v>63</v>
      </c>
      <c r="B294" s="77" t="str">
        <f>IFERROR(HYPERLINK(VLOOKUP(A294,Internal_lists_bugs!$A$2:$C$73,3,FALSE()), VLOOKUP(A294,Internal_lists_bugs!$A$2:$C$73,3,FALSE())&amp;Char(10) &amp; Char(10) &amp; VLOOKUP(A294,Internal_lists_bugs!$A$2:$Z$73,26,FALSE())),"please select a BUG ID")</f>
        <v>https://bugs.launchpad.net/nova/+bug/1443970
/network/manager.py</v>
      </c>
      <c r="C294" s="81" t="str">
        <f>IFERROR(Hyperlink(VLOOKUP(A294,Internal_lists_bugs!$A$2:$G1061,7,FALSE()),"BIC: "&amp;VLOOKUP(A294,Internal_lists_bugs!$A$2:$G1061,7,FALSE())&amp;CHAR(10)&amp;"Intro.Issues: "&amp;VLOOKUP(A294,Internal_lists_bugs!$A$2:$P1061,16,FALSE())),"please select a BUG ID")</f>
        <v>BIC: https://opendev.org/openstack/nova/commit/447641972539f1
Intro.Issues: better-support-for-multiple-networks</v>
      </c>
      <c r="D294" s="100" t="s">
        <v>4503</v>
      </c>
      <c r="E294" s="54"/>
      <c r="F294" s="79" t="s">
        <v>4310</v>
      </c>
      <c r="G294" s="93" t="s">
        <v>4311</v>
      </c>
      <c r="H294" s="54"/>
      <c r="I294" s="1"/>
    </row>
    <row r="295">
      <c r="A295" s="16" t="s">
        <v>63</v>
      </c>
      <c r="B295" s="77" t="str">
        <f>IFERROR(HYPERLINK(VLOOKUP(A295,Internal_lists_bugs!$A$2:$C$73,3,FALSE()), VLOOKUP(A295,Internal_lists_bugs!$A$2:$C$73,3,FALSE())&amp;Char(10) &amp; Char(10) &amp; VLOOKUP(A295,Internal_lists_bugs!$A$2:$Z$73,26,FALSE())),"please select a BUG ID")</f>
        <v>https://bugs.launchpad.net/nova/+bug/1443970
/network/manager.py</v>
      </c>
      <c r="C295" s="81" t="str">
        <f>IFERROR(Hyperlink(VLOOKUP(A295,Internal_lists_bugs!$A$2:$G1061,7,FALSE()),"BIC: "&amp;VLOOKUP(A295,Internal_lists_bugs!$A$2:$G1061,7,FALSE())&amp;CHAR(10)&amp;"Intro.Issues: "&amp;VLOOKUP(A295,Internal_lists_bugs!$A$2:$P1061,16,FALSE())),"please select a BUG ID")</f>
        <v>BIC: https://opendev.org/openstack/nova/commit/447641972539f1
Intro.Issues: better-support-for-multiple-networks</v>
      </c>
      <c r="D295" s="100" t="s">
        <v>4503</v>
      </c>
      <c r="E295" s="54"/>
      <c r="F295" s="79" t="s">
        <v>4295</v>
      </c>
      <c r="G295" s="93" t="s">
        <v>4505</v>
      </c>
      <c r="H295" s="54"/>
      <c r="I295" s="1"/>
    </row>
    <row r="296">
      <c r="A296" s="16" t="s">
        <v>63</v>
      </c>
      <c r="B296" s="77" t="str">
        <f>IFERROR(HYPERLINK(VLOOKUP(A296,Internal_lists_bugs!$A$2:$C$73,3,FALSE()), VLOOKUP(A296,Internal_lists_bugs!$A$2:$C$73,3,FALSE())&amp;Char(10) &amp; Char(10) &amp; VLOOKUP(A296,Internal_lists_bugs!$A$2:$Z$73,26,FALSE())),"please select a BUG ID")</f>
        <v>https://bugs.launchpad.net/nova/+bug/1443970
/network/manager.py</v>
      </c>
      <c r="C296" s="81" t="str">
        <f>IFERROR(Hyperlink(VLOOKUP(A296,Internal_lists_bugs!$A$2:$G1061,7,FALSE()),"BIC: "&amp;VLOOKUP(A296,Internal_lists_bugs!$A$2:$G1061,7,FALSE())&amp;CHAR(10)&amp;"Intro.Issues: "&amp;VLOOKUP(A296,Internal_lists_bugs!$A$2:$P1061,16,FALSE())),"please select a BUG ID")</f>
        <v>BIC: https://opendev.org/openstack/nova/commit/447641972539f1
Intro.Issues: better-support-for-multiple-networks</v>
      </c>
      <c r="D296" s="100" t="s">
        <v>4503</v>
      </c>
      <c r="E296" s="54"/>
      <c r="F296" s="79" t="s">
        <v>4395</v>
      </c>
      <c r="G296" s="93" t="s">
        <v>4506</v>
      </c>
      <c r="H296" s="54"/>
      <c r="I296" s="1"/>
    </row>
    <row r="297">
      <c r="A297" s="16" t="s">
        <v>63</v>
      </c>
      <c r="B297" s="77" t="str">
        <f>IFERROR(HYPERLINK(VLOOKUP(A297,Internal_lists_bugs!$A$2:$C$73,3,FALSE()), VLOOKUP(A297,Internal_lists_bugs!$A$2:$C$73,3,FALSE())&amp;Char(10) &amp; Char(10) &amp; VLOOKUP(A297,Internal_lists_bugs!$A$2:$Z$73,26,FALSE())),"please select a BUG ID")</f>
        <v>https://bugs.launchpad.net/nova/+bug/1443970
/network/manager.py</v>
      </c>
      <c r="C297" s="81" t="str">
        <f>IFERROR(Hyperlink(VLOOKUP(A297,Internal_lists_bugs!$A$2:$G1061,7,FALSE()),"BIC: "&amp;VLOOKUP(A297,Internal_lists_bugs!$A$2:$G1061,7,FALSE())&amp;CHAR(10)&amp;"Intro.Issues: "&amp;VLOOKUP(A297,Internal_lists_bugs!$A$2:$P1061,16,FALSE())),"please select a BUG ID")</f>
        <v>BIC: https://opendev.org/openstack/nova/commit/447641972539f1
Intro.Issues: better-support-for-multiple-networks</v>
      </c>
      <c r="D297" s="100" t="s">
        <v>4503</v>
      </c>
      <c r="E297" s="54"/>
      <c r="F297" s="79" t="s">
        <v>4482</v>
      </c>
      <c r="G297" s="93" t="s">
        <v>4507</v>
      </c>
      <c r="H297" s="54"/>
      <c r="I297" s="1"/>
    </row>
    <row r="298">
      <c r="A298" s="16" t="s">
        <v>63</v>
      </c>
      <c r="B298" s="77" t="str">
        <f>IFERROR(HYPERLINK(VLOOKUP(A298,Internal_lists_bugs!$A$2:$C$73,3,FALSE()), VLOOKUP(A298,Internal_lists_bugs!$A$2:$C$73,3,FALSE())&amp;Char(10) &amp; Char(10) &amp; VLOOKUP(A298,Internal_lists_bugs!$A$2:$Z$73,26,FALSE())),"please select a BUG ID")</f>
        <v>https://bugs.launchpad.net/nova/+bug/1443970
/network/manager.py</v>
      </c>
      <c r="C298" s="81" t="str">
        <f>IFERROR(Hyperlink(VLOOKUP(A298,Internal_lists_bugs!$A$2:$G1061,7,FALSE()),"BIC: "&amp;VLOOKUP(A298,Internal_lists_bugs!$A$2:$G1061,7,FALSE())&amp;CHAR(10)&amp;"Intro.Issues: "&amp;VLOOKUP(A298,Internal_lists_bugs!$A$2:$P1061,16,FALSE())),"please select a BUG ID")</f>
        <v>BIC: https://opendev.org/openstack/nova/commit/447641972539f1
Intro.Issues: better-support-for-multiple-networks</v>
      </c>
      <c r="D298" s="100" t="s">
        <v>4503</v>
      </c>
      <c r="E298" s="54"/>
      <c r="F298" s="79" t="s">
        <v>4336</v>
      </c>
      <c r="G298" s="93" t="s">
        <v>4508</v>
      </c>
      <c r="H298" s="54"/>
      <c r="I298" s="1"/>
    </row>
    <row r="299">
      <c r="A299" s="16" t="s">
        <v>64</v>
      </c>
      <c r="B299" s="77" t="str">
        <f>IFERROR(HYPERLINK(VLOOKUP(A299,Internal_lists_bugs!$A$2:$C$73,3,FALSE()), VLOOKUP(A299,Internal_lists_bugs!$A$2:$C$73,3,FALSE())&amp;Char(10) &amp; Char(10) &amp; VLOOKUP(A299,Internal_lists_bugs!$A$2:$Z$73,26,FALSE())),"please select a BUG ID")</f>
        <v>https://bugs.launchpad.net/nova/+bug/1381468
/filters/trusted_filter.py</v>
      </c>
      <c r="C299" s="81" t="str">
        <f>IFERROR(Hyperlink(VLOOKUP(A299,Internal_lists_bugs!$A$2:$G1061,7,FALSE()),"BIC: "&amp;VLOOKUP(A299,Internal_lists_bugs!$A$2:$G1061,7,FALSE())&amp;CHAR(10)&amp;"Intro.Issues: "&amp;VLOOKUP(A299,Internal_lists_bugs!$A$2:$P1061,16,FALSE())),"please select a BUG ID")</f>
        <v>BIC: https://opendev.org/openstack/nova/commit/30871e870
Intro.Issues: 1373993</v>
      </c>
      <c r="D299" s="100">
        <v>1373993.0</v>
      </c>
      <c r="E299" s="16" t="s">
        <v>4280</v>
      </c>
      <c r="F299" s="79" t="s">
        <v>4285</v>
      </c>
      <c r="G299" s="99" t="s">
        <v>144</v>
      </c>
      <c r="H299" s="16" t="s">
        <v>123</v>
      </c>
      <c r="I299" s="1"/>
    </row>
    <row r="300">
      <c r="A300" s="16" t="s">
        <v>64</v>
      </c>
      <c r="B300" s="77" t="str">
        <f>IFERROR(HYPERLINK(VLOOKUP(A300,Internal_lists_bugs!$A$2:$C$73,3,FALSE()), VLOOKUP(A300,Internal_lists_bugs!$A$2:$C$73,3,FALSE())&amp;Char(10) &amp; Char(10) &amp; VLOOKUP(A300,Internal_lists_bugs!$A$2:$Z$73,26,FALSE())),"please select a BUG ID")</f>
        <v>https://bugs.launchpad.net/nova/+bug/1381468
/filters/trusted_filter.py</v>
      </c>
      <c r="C300" s="81" t="str">
        <f>IFERROR(Hyperlink(VLOOKUP(A300,Internal_lists_bugs!$A$2:$G1061,7,FALSE()),"BIC: "&amp;VLOOKUP(A300,Internal_lists_bugs!$A$2:$G1061,7,FALSE())&amp;CHAR(10)&amp;"Intro.Issues: "&amp;VLOOKUP(A300,Internal_lists_bugs!$A$2:$P1061,16,FALSE())),"please select a BUG ID")</f>
        <v>BIC: https://opendev.org/openstack/nova/commit/30871e870
Intro.Issues: 1373993</v>
      </c>
      <c r="D300" s="100">
        <v>1373993.0</v>
      </c>
      <c r="E300" s="54"/>
      <c r="F300" s="79" t="s">
        <v>119</v>
      </c>
      <c r="G300" s="93" t="s">
        <v>4509</v>
      </c>
      <c r="H300" s="54"/>
      <c r="I300" s="1"/>
    </row>
    <row r="301">
      <c r="A301" s="16" t="s">
        <v>64</v>
      </c>
      <c r="B301" s="77" t="str">
        <f>IFERROR(HYPERLINK(VLOOKUP(A301,Internal_lists_bugs!$A$2:$C$73,3,FALSE()), VLOOKUP(A301,Internal_lists_bugs!$A$2:$C$73,3,FALSE())&amp;Char(10) &amp; Char(10) &amp; VLOOKUP(A301,Internal_lists_bugs!$A$2:$Z$73,26,FALSE())),"please select a BUG ID")</f>
        <v>https://bugs.launchpad.net/nova/+bug/1381468
/filters/trusted_filter.py</v>
      </c>
      <c r="C301" s="81" t="str">
        <f>IFERROR(Hyperlink(VLOOKUP(A301,Internal_lists_bugs!$A$2:$G1061,7,FALSE()),"BIC: "&amp;VLOOKUP(A301,Internal_lists_bugs!$A$2:$G1061,7,FALSE())&amp;CHAR(10)&amp;"Intro.Issues: "&amp;VLOOKUP(A301,Internal_lists_bugs!$A$2:$P1061,16,FALSE())),"please select a BUG ID")</f>
        <v>BIC: https://opendev.org/openstack/nova/commit/30871e870
Intro.Issues: 1373993</v>
      </c>
      <c r="D301" s="100">
        <v>1373993.0</v>
      </c>
      <c r="E301" s="54"/>
      <c r="F301" s="79" t="s">
        <v>4472</v>
      </c>
      <c r="G301" s="93" t="s">
        <v>4510</v>
      </c>
      <c r="H301" s="54"/>
      <c r="I301" s="1"/>
    </row>
    <row r="302">
      <c r="A302" s="16" t="s">
        <v>64</v>
      </c>
      <c r="B302" s="77" t="str">
        <f>IFERROR(HYPERLINK(VLOOKUP(A302,Internal_lists_bugs!$A$2:$C$73,3,FALSE()), VLOOKUP(A302,Internal_lists_bugs!$A$2:$C$73,3,FALSE())&amp;Char(10) &amp; Char(10) &amp; VLOOKUP(A302,Internal_lists_bugs!$A$2:$Z$73,26,FALSE())),"please select a BUG ID")</f>
        <v>https://bugs.launchpad.net/nova/+bug/1381468
/filters/trusted_filter.py</v>
      </c>
      <c r="C302" s="81" t="str">
        <f>IFERROR(Hyperlink(VLOOKUP(A302,Internal_lists_bugs!$A$2:$G1061,7,FALSE()),"BIC: "&amp;VLOOKUP(A302,Internal_lists_bugs!$A$2:$G1061,7,FALSE())&amp;CHAR(10)&amp;"Intro.Issues: "&amp;VLOOKUP(A302,Internal_lists_bugs!$A$2:$P1061,16,FALSE())),"please select a BUG ID")</f>
        <v>BIC: https://opendev.org/openstack/nova/commit/30871e870
Intro.Issues: 1373993</v>
      </c>
      <c r="D302" s="100">
        <v>1373993.0</v>
      </c>
      <c r="E302" s="54"/>
      <c r="F302" s="79" t="s">
        <v>4470</v>
      </c>
      <c r="G302" s="93" t="s">
        <v>204</v>
      </c>
      <c r="H302" s="54"/>
      <c r="I302" s="1"/>
    </row>
    <row r="303">
      <c r="A303" s="16" t="s">
        <v>64</v>
      </c>
      <c r="B303" s="77" t="str">
        <f>IFERROR(HYPERLINK(VLOOKUP(A303,Internal_lists_bugs!$A$2:$C$73,3,FALSE()), VLOOKUP(A303,Internal_lists_bugs!$A$2:$C$73,3,FALSE())&amp;Char(10) &amp; Char(10) &amp; VLOOKUP(A303,Internal_lists_bugs!$A$2:$Z$73,26,FALSE())),"please select a BUG ID")</f>
        <v>https://bugs.launchpad.net/nova/+bug/1381468
/filters/trusted_filter.py</v>
      </c>
      <c r="C303" s="81" t="str">
        <f>IFERROR(Hyperlink(VLOOKUP(A303,Internal_lists_bugs!$A$2:$G1061,7,FALSE()),"BIC: "&amp;VLOOKUP(A303,Internal_lists_bugs!$A$2:$G1061,7,FALSE())&amp;CHAR(10)&amp;"Intro.Issues: "&amp;VLOOKUP(A303,Internal_lists_bugs!$A$2:$P1061,16,FALSE())),"please select a BUG ID")</f>
        <v>BIC: https://opendev.org/openstack/nova/commit/30871e870
Intro.Issues: 1373993</v>
      </c>
      <c r="D303" s="100">
        <v>1373993.0</v>
      </c>
      <c r="E303" s="54"/>
      <c r="F303" s="79" t="s">
        <v>129</v>
      </c>
      <c r="G303" s="93" t="s">
        <v>205</v>
      </c>
      <c r="H303" s="54"/>
      <c r="I303" s="1"/>
    </row>
    <row r="304">
      <c r="A304" s="16" t="s">
        <v>64</v>
      </c>
      <c r="B304" s="77" t="str">
        <f>IFERROR(HYPERLINK(VLOOKUP(A304,Internal_lists_bugs!$A$2:$C$73,3,FALSE()), VLOOKUP(A304,Internal_lists_bugs!$A$2:$C$73,3,FALSE())&amp;Char(10) &amp; Char(10) &amp; VLOOKUP(A304,Internal_lists_bugs!$A$2:$Z$73,26,FALSE())),"please select a BUG ID")</f>
        <v>https://bugs.launchpad.net/nova/+bug/1381468
/filters/trusted_filter.py</v>
      </c>
      <c r="C304" s="81" t="str">
        <f>IFERROR(Hyperlink(VLOOKUP(A304,Internal_lists_bugs!$A$2:$G1061,7,FALSE()),"BIC: "&amp;VLOOKUP(A304,Internal_lists_bugs!$A$2:$G1061,7,FALSE())&amp;CHAR(10)&amp;"Intro.Issues: "&amp;VLOOKUP(A304,Internal_lists_bugs!$A$2:$P1061,16,FALSE())),"please select a BUG ID")</f>
        <v>BIC: https://opendev.org/openstack/nova/commit/30871e870
Intro.Issues: 1373993</v>
      </c>
      <c r="D304" s="100">
        <v>1373993.0</v>
      </c>
      <c r="E304" s="54"/>
      <c r="F304" s="79" t="s">
        <v>153</v>
      </c>
      <c r="G304" s="93" t="s">
        <v>229</v>
      </c>
      <c r="H304" s="54"/>
      <c r="I304" s="1"/>
    </row>
    <row r="305">
      <c r="A305" s="16" t="s">
        <v>64</v>
      </c>
      <c r="B305" s="77" t="str">
        <f>IFERROR(HYPERLINK(VLOOKUP(A305,Internal_lists_bugs!$A$2:$C$73,3,FALSE()), VLOOKUP(A305,Internal_lists_bugs!$A$2:$C$73,3,FALSE())&amp;Char(10) &amp; Char(10) &amp; VLOOKUP(A305,Internal_lists_bugs!$A$2:$Z$73,26,FALSE())),"please select a BUG ID")</f>
        <v>https://bugs.launchpad.net/nova/+bug/1381468
/filters/trusted_filter.py</v>
      </c>
      <c r="C305" s="81" t="str">
        <f>IFERROR(Hyperlink(VLOOKUP(A305,Internal_lists_bugs!$A$2:$G1061,7,FALSE()),"BIC: "&amp;VLOOKUP(A305,Internal_lists_bugs!$A$2:$G1061,7,FALSE())&amp;CHAR(10)&amp;"Intro.Issues: "&amp;VLOOKUP(A305,Internal_lists_bugs!$A$2:$P1061,16,FALSE())),"please select a BUG ID")</f>
        <v>BIC: https://opendev.org/openstack/nova/commit/30871e870
Intro.Issues: 1373993</v>
      </c>
      <c r="D305" s="100">
        <v>1373993.0</v>
      </c>
      <c r="E305" s="54"/>
      <c r="F305" s="79" t="s">
        <v>1292</v>
      </c>
      <c r="G305" s="93" t="s">
        <v>216</v>
      </c>
      <c r="H305" s="54"/>
      <c r="I305" s="1"/>
    </row>
    <row r="306">
      <c r="A306" s="16" t="s">
        <v>64</v>
      </c>
      <c r="B306" s="77" t="str">
        <f>IFERROR(HYPERLINK(VLOOKUP(A306,Internal_lists_bugs!$A$2:$C$73,3,FALSE()), VLOOKUP(A306,Internal_lists_bugs!$A$2:$C$73,3,FALSE())&amp;Char(10) &amp; Char(10) &amp; VLOOKUP(A306,Internal_lists_bugs!$A$2:$Z$73,26,FALSE())),"please select a BUG ID")</f>
        <v>https://bugs.launchpad.net/nova/+bug/1381468
/filters/trusted_filter.py</v>
      </c>
      <c r="C306" s="81" t="str">
        <f>IFERROR(Hyperlink(VLOOKUP(A306,Internal_lists_bugs!$A$2:$G1061,7,FALSE()),"BIC: "&amp;VLOOKUP(A306,Internal_lists_bugs!$A$2:$G1061,7,FALSE())&amp;CHAR(10)&amp;"Intro.Issues: "&amp;VLOOKUP(A306,Internal_lists_bugs!$A$2:$P1061,16,FALSE())),"please select a BUG ID")</f>
        <v>BIC: https://opendev.org/openstack/nova/commit/30871e870
Intro.Issues: 1373993</v>
      </c>
      <c r="D306" s="100">
        <v>1373993.0</v>
      </c>
      <c r="E306" s="54"/>
      <c r="F306" s="79" t="s">
        <v>4495</v>
      </c>
      <c r="G306" s="93" t="s">
        <v>217</v>
      </c>
      <c r="H306" s="54"/>
      <c r="I306" s="1"/>
    </row>
    <row r="307">
      <c r="A307" s="16" t="s">
        <v>64</v>
      </c>
      <c r="B307" s="77" t="str">
        <f>IFERROR(HYPERLINK(VLOOKUP(A307,Internal_lists_bugs!$A$2:$C$73,3,FALSE()), VLOOKUP(A307,Internal_lists_bugs!$A$2:$C$73,3,FALSE())&amp;Char(10) &amp; Char(10) &amp; VLOOKUP(A307,Internal_lists_bugs!$A$2:$Z$73,26,FALSE())),"please select a BUG ID")</f>
        <v>https://bugs.launchpad.net/nova/+bug/1381468
/filters/trusted_filter.py</v>
      </c>
      <c r="C307" s="81" t="str">
        <f>IFERROR(Hyperlink(VLOOKUP(A307,Internal_lists_bugs!$A$2:$G1061,7,FALSE()),"BIC: "&amp;VLOOKUP(A307,Internal_lists_bugs!$A$2:$G1061,7,FALSE())&amp;CHAR(10)&amp;"Intro.Issues: "&amp;VLOOKUP(A307,Internal_lists_bugs!$A$2:$P1061,16,FALSE())),"please select a BUG ID")</f>
        <v>BIC: https://opendev.org/openstack/nova/commit/30871e870
Intro.Issues: 1373993</v>
      </c>
      <c r="D307" s="100">
        <v>1373993.0</v>
      </c>
      <c r="E307" s="54"/>
      <c r="F307" s="79" t="s">
        <v>218</v>
      </c>
      <c r="G307" s="93" t="s">
        <v>183</v>
      </c>
      <c r="H307" s="54"/>
      <c r="I307" s="1"/>
    </row>
    <row r="308">
      <c r="A308" s="16" t="s">
        <v>64</v>
      </c>
      <c r="B308" s="77" t="str">
        <f>IFERROR(HYPERLINK(VLOOKUP(A308,Internal_lists_bugs!$A$2:$C$73,3,FALSE()), VLOOKUP(A308,Internal_lists_bugs!$A$2:$C$73,3,FALSE())&amp;Char(10) &amp; Char(10) &amp; VLOOKUP(A308,Internal_lists_bugs!$A$2:$Z$73,26,FALSE())),"please select a BUG ID")</f>
        <v>https://bugs.launchpad.net/nova/+bug/1381468
/filters/trusted_filter.py</v>
      </c>
      <c r="C308" s="81" t="str">
        <f>IFERROR(Hyperlink(VLOOKUP(A308,Internal_lists_bugs!$A$2:$G1061,7,FALSE()),"BIC: "&amp;VLOOKUP(A308,Internal_lists_bugs!$A$2:$G1061,7,FALSE())&amp;CHAR(10)&amp;"Intro.Issues: "&amp;VLOOKUP(A308,Internal_lists_bugs!$A$2:$P1061,16,FALSE())),"please select a BUG ID")</f>
        <v>BIC: https://opendev.org/openstack/nova/commit/30871e870
Intro.Issues: 1373993</v>
      </c>
      <c r="D308" s="100">
        <v>1373993.0</v>
      </c>
      <c r="E308" s="54"/>
      <c r="F308" s="79" t="s">
        <v>235</v>
      </c>
      <c r="G308" s="93" t="s">
        <v>185</v>
      </c>
      <c r="H308" s="54"/>
      <c r="I308" s="1"/>
    </row>
    <row r="309">
      <c r="A309" s="16" t="s">
        <v>64</v>
      </c>
      <c r="B309" s="77" t="str">
        <f>IFERROR(HYPERLINK(VLOOKUP(A309,Internal_lists_bugs!$A$2:$C$73,3,FALSE()), VLOOKUP(A309,Internal_lists_bugs!$A$2:$C$73,3,FALSE())&amp;Char(10) &amp; Char(10) &amp; VLOOKUP(A309,Internal_lists_bugs!$A$2:$Z$73,26,FALSE())),"please select a BUG ID")</f>
        <v>https://bugs.launchpad.net/nova/+bug/1381468
/filters/trusted_filter.py</v>
      </c>
      <c r="C309" s="81" t="str">
        <f>IFERROR(Hyperlink(VLOOKUP(A309,Internal_lists_bugs!$A$2:$G1061,7,FALSE()),"BIC: "&amp;VLOOKUP(A309,Internal_lists_bugs!$A$2:$G1061,7,FALSE())&amp;CHAR(10)&amp;"Intro.Issues: "&amp;VLOOKUP(A309,Internal_lists_bugs!$A$2:$P1061,16,FALSE())),"please select a BUG ID")</f>
        <v>BIC: https://opendev.org/openstack/nova/commit/30871e870
Intro.Issues: 1373993</v>
      </c>
      <c r="D309" s="100">
        <v>1373993.0</v>
      </c>
      <c r="E309" s="54"/>
      <c r="F309" s="79" t="s">
        <v>4368</v>
      </c>
      <c r="G309" s="93" t="s">
        <v>187</v>
      </c>
      <c r="H309" s="54"/>
      <c r="I309" s="1"/>
    </row>
    <row r="310">
      <c r="A310" s="16" t="s">
        <v>64</v>
      </c>
      <c r="B310" s="77" t="str">
        <f>IFERROR(HYPERLINK(VLOOKUP(A310,Internal_lists_bugs!$A$2:$C$73,3,FALSE()), VLOOKUP(A310,Internal_lists_bugs!$A$2:$C$73,3,FALSE())&amp;Char(10) &amp; Char(10) &amp; VLOOKUP(A310,Internal_lists_bugs!$A$2:$Z$73,26,FALSE())),"please select a BUG ID")</f>
        <v>https://bugs.launchpad.net/nova/+bug/1381468
/filters/trusted_filter.py</v>
      </c>
      <c r="C310" s="81" t="str">
        <f>IFERROR(Hyperlink(VLOOKUP(A310,Internal_lists_bugs!$A$2:$G1061,7,FALSE()),"BIC: "&amp;VLOOKUP(A310,Internal_lists_bugs!$A$2:$G1061,7,FALSE())&amp;CHAR(10)&amp;"Intro.Issues: "&amp;VLOOKUP(A310,Internal_lists_bugs!$A$2:$P1061,16,FALSE())),"please select a BUG ID")</f>
        <v>BIC: https://opendev.org/openstack/nova/commit/30871e870
Intro.Issues: 1373993</v>
      </c>
      <c r="D310" s="100">
        <v>1373993.0</v>
      </c>
      <c r="E310" s="54"/>
      <c r="F310" s="79" t="s">
        <v>4511</v>
      </c>
      <c r="G310" s="93" t="s">
        <v>189</v>
      </c>
      <c r="H310" s="54"/>
      <c r="I310" s="1"/>
    </row>
    <row r="311">
      <c r="A311" s="16" t="s">
        <v>65</v>
      </c>
      <c r="B311" s="77" t="str">
        <f>IFERROR(HYPERLINK(VLOOKUP(A311,Internal_lists_bugs!$A$2:$C$73,3,FALSE()), VLOOKUP(A311,Internal_lists_bugs!$A$2:$C$73,3,FALSE())&amp;Char(10) &amp; Char(10) &amp; VLOOKUP(A311,Internal_lists_bugs!$A$2:$Z$73,26,FALSE())),"please select a BUG ID")</f>
        <v>https://github.com/elastic/elasticsearch/issues/2566
/classic/MapperQueryParser.java</v>
      </c>
      <c r="C311" s="81" t="str">
        <f>IFERROR(Hyperlink(VLOOKUP(A311,Internal_lists_bugs!$A$2:$G1061,7,FALSE()),"BIC: "&amp;VLOOKUP(A311,Internal_lists_bugs!$A$2:$G1061,7,FALSE())&amp;CHAR(10)&amp;"Intro.Issues: "&amp;VLOOKUP(A311,Internal_lists_bugs!$A$2:$P1061,16,FALSE())),"please select a BUG ID")</f>
        <v>BIC: https://github.com/elastic/elasticsearch/commit/2442e1fb
Intro.Issues: </v>
      </c>
      <c r="D311" s="100" t="s">
        <v>124</v>
      </c>
      <c r="E311" s="54"/>
      <c r="F311" s="82"/>
      <c r="G311" s="92"/>
      <c r="H311" s="54"/>
      <c r="I311" s="9"/>
    </row>
    <row r="312">
      <c r="A312" s="16" t="s">
        <v>66</v>
      </c>
      <c r="B312" s="77" t="str">
        <f>IFERROR(HYPERLINK(VLOOKUP(A312,Internal_lists_bugs!$A$2:$C$73,3,FALSE()), VLOOKUP(A312,Internal_lists_bugs!$A$2:$C$73,3,FALSE())&amp;Char(10) &amp; Char(10) &amp; VLOOKUP(A312,Internal_lists_bugs!$A$2:$Z$73,26,FALSE())),"please select a BUG ID")</f>
        <v>https://github.com/elastic/elasticsearch/issues/864
/ElasticSearchIllegalArgumentException.java
/alias/RestIndicesAliasesAction.java</v>
      </c>
      <c r="C312" s="81" t="str">
        <f>IFERROR(Hyperlink(VLOOKUP(A312,Internal_lists_bugs!$A$2:$G1061,7,FALSE()),"BIC: "&amp;VLOOKUP(A312,Internal_lists_bugs!$A$2:$G1061,7,FALSE())&amp;CHAR(10)&amp;"Intro.Issues: "&amp;VLOOKUP(A312,Internal_lists_bugs!$A$2:$P1061,16,FALSE())),"please select a BUG ID")</f>
        <v>BIC: https://github.com/elastic/elasticsearch/commit/8f32467
Intro.Issues: 88</v>
      </c>
      <c r="D312" s="100">
        <v>88.0</v>
      </c>
      <c r="E312" s="16" t="s">
        <v>4120</v>
      </c>
      <c r="F312" s="79" t="s">
        <v>4342</v>
      </c>
      <c r="G312" s="93" t="s">
        <v>144</v>
      </c>
      <c r="H312" s="54"/>
      <c r="I312" s="9" t="b">
        <v>0</v>
      </c>
    </row>
    <row r="313">
      <c r="A313" s="16" t="s">
        <v>66</v>
      </c>
      <c r="B313" s="77" t="str">
        <f>IFERROR(HYPERLINK(VLOOKUP(A313,Internal_lists_bugs!$A$2:$C$73,3,FALSE()), VLOOKUP(A313,Internal_lists_bugs!$A$2:$C$73,3,FALSE())&amp;Char(10) &amp; Char(10) &amp; VLOOKUP(A313,Internal_lists_bugs!$A$2:$Z$73,26,FALSE())),"please select a BUG ID")</f>
        <v>https://github.com/elastic/elasticsearch/issues/864
/ElasticSearchIllegalArgumentException.java
/alias/RestIndicesAliasesAction.java</v>
      </c>
      <c r="C313" s="81" t="str">
        <f>IFERROR(Hyperlink(VLOOKUP(A313,Internal_lists_bugs!$A$2:$G1061,7,FALSE()),"BIC: "&amp;VLOOKUP(A313,Internal_lists_bugs!$A$2:$G1061,7,FALSE())&amp;CHAR(10)&amp;"Intro.Issues: "&amp;VLOOKUP(A313,Internal_lists_bugs!$A$2:$P1061,16,FALSE())),"please select a BUG ID")</f>
        <v>BIC: https://github.com/elastic/elasticsearch/commit/8f32467
Intro.Issues: 88</v>
      </c>
      <c r="D313" s="100">
        <v>88.0</v>
      </c>
      <c r="E313" s="54"/>
      <c r="F313" s="79" t="s">
        <v>4512</v>
      </c>
      <c r="G313" s="93" t="s">
        <v>324</v>
      </c>
      <c r="H313" s="54"/>
      <c r="I313" s="1"/>
    </row>
    <row r="314">
      <c r="A314" s="16" t="s">
        <v>66</v>
      </c>
      <c r="B314" s="77" t="str">
        <f>IFERROR(HYPERLINK(VLOOKUP(A314,Internal_lists_bugs!$A$2:$C$73,3,FALSE()), VLOOKUP(A314,Internal_lists_bugs!$A$2:$C$73,3,FALSE())&amp;Char(10) &amp; Char(10) &amp; VLOOKUP(A314,Internal_lists_bugs!$A$2:$Z$73,26,FALSE())),"please select a BUG ID")</f>
        <v>https://github.com/elastic/elasticsearch/issues/864
/ElasticSearchIllegalArgumentException.java
/alias/RestIndicesAliasesAction.java</v>
      </c>
      <c r="C314" s="81" t="str">
        <f>IFERROR(Hyperlink(VLOOKUP(A314,Internal_lists_bugs!$A$2:$G1061,7,FALSE()),"BIC: "&amp;VLOOKUP(A314,Internal_lists_bugs!$A$2:$G1061,7,FALSE())&amp;CHAR(10)&amp;"Intro.Issues: "&amp;VLOOKUP(A314,Internal_lists_bugs!$A$2:$P1061,16,FALSE())),"please select a BUG ID")</f>
        <v>BIC: https://github.com/elastic/elasticsearch/commit/8f32467
Intro.Issues: 88</v>
      </c>
      <c r="D314" s="100">
        <v>88.0</v>
      </c>
      <c r="E314" s="54"/>
      <c r="F314" s="79" t="s">
        <v>4513</v>
      </c>
      <c r="G314" s="93" t="s">
        <v>324</v>
      </c>
      <c r="H314" s="54"/>
      <c r="I314" s="1"/>
    </row>
    <row r="315">
      <c r="A315" s="16" t="s">
        <v>66</v>
      </c>
      <c r="B315" s="77" t="str">
        <f>IFERROR(HYPERLINK(VLOOKUP(A315,Internal_lists_bugs!$A$2:$C$73,3,FALSE()), VLOOKUP(A315,Internal_lists_bugs!$A$2:$C$73,3,FALSE())&amp;Char(10) &amp; Char(10) &amp; VLOOKUP(A315,Internal_lists_bugs!$A$2:$Z$73,26,FALSE())),"please select a BUG ID")</f>
        <v>https://github.com/elastic/elasticsearch/issues/864
/ElasticSearchIllegalArgumentException.java
/alias/RestIndicesAliasesAction.java</v>
      </c>
      <c r="C315" s="81" t="str">
        <f>IFERROR(Hyperlink(VLOOKUP(A315,Internal_lists_bugs!$A$2:$G1061,7,FALSE()),"BIC: "&amp;VLOOKUP(A315,Internal_lists_bugs!$A$2:$G1061,7,FALSE())&amp;CHAR(10)&amp;"Intro.Issues: "&amp;VLOOKUP(A315,Internal_lists_bugs!$A$2:$P1061,16,FALSE())),"please select a BUG ID")</f>
        <v>BIC: https://github.com/elastic/elasticsearch/commit/8f32467
Intro.Issues: 88</v>
      </c>
      <c r="D315" s="100">
        <v>88.0</v>
      </c>
      <c r="E315" s="54"/>
      <c r="F315" s="79" t="s">
        <v>4514</v>
      </c>
      <c r="G315" s="93" t="s">
        <v>324</v>
      </c>
      <c r="H315" s="54"/>
      <c r="I315" s="1"/>
    </row>
    <row r="316">
      <c r="A316" s="16" t="s">
        <v>66</v>
      </c>
      <c r="B316" s="77" t="str">
        <f>IFERROR(HYPERLINK(VLOOKUP(A316,Internal_lists_bugs!$A$2:$C$73,3,FALSE()), VLOOKUP(A316,Internal_lists_bugs!$A$2:$C$73,3,FALSE())&amp;Char(10) &amp; Char(10) &amp; VLOOKUP(A316,Internal_lists_bugs!$A$2:$Z$73,26,FALSE())),"please select a BUG ID")</f>
        <v>https://github.com/elastic/elasticsearch/issues/864
/ElasticSearchIllegalArgumentException.java
/alias/RestIndicesAliasesAction.java</v>
      </c>
      <c r="C316" s="81" t="str">
        <f>IFERROR(Hyperlink(VLOOKUP(A316,Internal_lists_bugs!$A$2:$G1061,7,FALSE()),"BIC: "&amp;VLOOKUP(A316,Internal_lists_bugs!$A$2:$G1061,7,FALSE())&amp;CHAR(10)&amp;"Intro.Issues: "&amp;VLOOKUP(A316,Internal_lists_bugs!$A$2:$P1061,16,FALSE())),"please select a BUG ID")</f>
        <v>BIC: https://github.com/elastic/elasticsearch/commit/8f32467
Intro.Issues: 88</v>
      </c>
      <c r="D316" s="100">
        <v>88.0</v>
      </c>
      <c r="E316" s="54"/>
      <c r="F316" s="79" t="s">
        <v>438</v>
      </c>
      <c r="G316" s="93" t="s">
        <v>481</v>
      </c>
      <c r="H316" s="54"/>
      <c r="I316" s="1"/>
    </row>
    <row r="317">
      <c r="A317" s="16" t="s">
        <v>66</v>
      </c>
      <c r="B317" s="77" t="str">
        <f>IFERROR(HYPERLINK(VLOOKUP(A317,Internal_lists_bugs!$A$2:$C$73,3,FALSE()), VLOOKUP(A317,Internal_lists_bugs!$A$2:$C$73,3,FALSE())&amp;Char(10) &amp; Char(10) &amp; VLOOKUP(A317,Internal_lists_bugs!$A$2:$Z$73,26,FALSE())),"please select a BUG ID")</f>
        <v>https://github.com/elastic/elasticsearch/issues/864
/ElasticSearchIllegalArgumentException.java
/alias/RestIndicesAliasesAction.java</v>
      </c>
      <c r="C317" s="81" t="str">
        <f>IFERROR(Hyperlink(VLOOKUP(A317,Internal_lists_bugs!$A$2:$G1061,7,FALSE()),"BIC: "&amp;VLOOKUP(A317,Internal_lists_bugs!$A$2:$G1061,7,FALSE())&amp;CHAR(10)&amp;"Intro.Issues: "&amp;VLOOKUP(A317,Internal_lists_bugs!$A$2:$P1061,16,FALSE())),"please select a BUG ID")</f>
        <v>BIC: https://github.com/elastic/elasticsearch/commit/8f32467
Intro.Issues: 88</v>
      </c>
      <c r="D317" s="100">
        <v>88.0</v>
      </c>
      <c r="E317" s="54"/>
      <c r="F317" s="79" t="s">
        <v>4515</v>
      </c>
      <c r="G317" s="93" t="s">
        <v>482</v>
      </c>
      <c r="H317" s="54"/>
      <c r="I317" s="1"/>
    </row>
    <row r="318">
      <c r="A318" s="16" t="s">
        <v>67</v>
      </c>
      <c r="B318" s="77" t="str">
        <f>IFERROR(HYPERLINK(VLOOKUP(A318,Internal_lists_bugs!$A$2:$C$73,3,FALSE()), VLOOKUP(A318,Internal_lists_bugs!$A$2:$C$73,3,FALSE())&amp;Char(10) &amp; Char(10) &amp; VLOOKUP(A318,Internal_lists_bugs!$A$2:$Z$73,26,FALSE())),"please select a BUG ID")</f>
        <v>https://github.com/elastic/elasticsearch/issues/8526
/geo/GeoHashUtils.java</v>
      </c>
      <c r="C318" s="81" t="str">
        <f>IFERROR(Hyperlink(VLOOKUP(A318,Internal_lists_bugs!$A$2:$G1061,7,FALSE()),"BIC: "&amp;VLOOKUP(A318,Internal_lists_bugs!$A$2:$G1061,7,FALSE())&amp;CHAR(10)&amp;"Intro.Issues: "&amp;VLOOKUP(A318,Internal_lists_bugs!$A$2:$P1061,16,FALSE())),"please select a BUG ID")</f>
        <v>BIC: https://github.com/elastic/elasticsearch/commit/5aa0a8438f
Intro.Issues: 2778</v>
      </c>
      <c r="D318" s="100">
        <v>2778.0</v>
      </c>
      <c r="E318" s="16" t="s">
        <v>4120</v>
      </c>
      <c r="F318" s="79" t="s">
        <v>4342</v>
      </c>
      <c r="G318" s="93" t="s">
        <v>144</v>
      </c>
      <c r="H318" s="54"/>
      <c r="I318" s="9" t="b">
        <v>0</v>
      </c>
    </row>
    <row r="319">
      <c r="A319" s="16" t="s">
        <v>67</v>
      </c>
      <c r="B319" s="77" t="str">
        <f>IFERROR(HYPERLINK(VLOOKUP(A319,Internal_lists_bugs!$A$2:$C$73,3,FALSE()), VLOOKUP(A319,Internal_lists_bugs!$A$2:$C$73,3,FALSE())&amp;Char(10) &amp; Char(10) &amp; VLOOKUP(A319,Internal_lists_bugs!$A$2:$Z$73,26,FALSE())),"please select a BUG ID")</f>
        <v>https://github.com/elastic/elasticsearch/issues/8526
/geo/GeoHashUtils.java</v>
      </c>
      <c r="C319" s="81" t="str">
        <f>IFERROR(Hyperlink(VLOOKUP(A319,Internal_lists_bugs!$A$2:$G1061,7,FALSE()),"BIC: "&amp;VLOOKUP(A319,Internal_lists_bugs!$A$2:$G1061,7,FALSE())&amp;CHAR(10)&amp;"Intro.Issues: "&amp;VLOOKUP(A319,Internal_lists_bugs!$A$2:$P1061,16,FALSE())),"please select a BUG ID")</f>
        <v>BIC: https://github.com/elastic/elasticsearch/commit/5aa0a8438f
Intro.Issues: 2778</v>
      </c>
      <c r="D319" s="100">
        <v>2778.0</v>
      </c>
      <c r="E319" s="54"/>
      <c r="F319" s="79" t="s">
        <v>4512</v>
      </c>
      <c r="G319" s="93" t="s">
        <v>324</v>
      </c>
      <c r="H319" s="54"/>
      <c r="I319" s="1"/>
    </row>
    <row r="320">
      <c r="A320" s="16" t="s">
        <v>67</v>
      </c>
      <c r="B320" s="77" t="str">
        <f>IFERROR(HYPERLINK(VLOOKUP(A320,Internal_lists_bugs!$A$2:$C$73,3,FALSE()), VLOOKUP(A320,Internal_lists_bugs!$A$2:$C$73,3,FALSE())&amp;Char(10) &amp; Char(10) &amp; VLOOKUP(A320,Internal_lists_bugs!$A$2:$Z$73,26,FALSE())),"please select a BUG ID")</f>
        <v>https://github.com/elastic/elasticsearch/issues/8526
/geo/GeoHashUtils.java</v>
      </c>
      <c r="C320" s="81" t="str">
        <f>IFERROR(Hyperlink(VLOOKUP(A320,Internal_lists_bugs!$A$2:$G1061,7,FALSE()),"BIC: "&amp;VLOOKUP(A320,Internal_lists_bugs!$A$2:$G1061,7,FALSE())&amp;CHAR(10)&amp;"Intro.Issues: "&amp;VLOOKUP(A320,Internal_lists_bugs!$A$2:$P1061,16,FALSE())),"please select a BUG ID")</f>
        <v>BIC: https://github.com/elastic/elasticsearch/commit/5aa0a8438f
Intro.Issues: 2778</v>
      </c>
      <c r="D320" s="100">
        <v>2778.0</v>
      </c>
      <c r="E320" s="54"/>
      <c r="F320" s="79" t="s">
        <v>4513</v>
      </c>
      <c r="G320" s="93" t="s">
        <v>324</v>
      </c>
      <c r="H320" s="54"/>
      <c r="I320" s="1"/>
    </row>
    <row r="321">
      <c r="A321" s="16" t="s">
        <v>67</v>
      </c>
      <c r="B321" s="77" t="str">
        <f>IFERROR(HYPERLINK(VLOOKUP(A321,Internal_lists_bugs!$A$2:$C$73,3,FALSE()), VLOOKUP(A321,Internal_lists_bugs!$A$2:$C$73,3,FALSE())&amp;Char(10) &amp; Char(10) &amp; VLOOKUP(A321,Internal_lists_bugs!$A$2:$Z$73,26,FALSE())),"please select a BUG ID")</f>
        <v>https://github.com/elastic/elasticsearch/issues/8526
/geo/GeoHashUtils.java</v>
      </c>
      <c r="C321" s="81" t="str">
        <f>IFERROR(Hyperlink(VLOOKUP(A321,Internal_lists_bugs!$A$2:$G1061,7,FALSE()),"BIC: "&amp;VLOOKUP(A321,Internal_lists_bugs!$A$2:$G1061,7,FALSE())&amp;CHAR(10)&amp;"Intro.Issues: "&amp;VLOOKUP(A321,Internal_lists_bugs!$A$2:$P1061,16,FALSE())),"please select a BUG ID")</f>
        <v>BIC: https://github.com/elastic/elasticsearch/commit/5aa0a8438f
Intro.Issues: 2778</v>
      </c>
      <c r="D321" s="100">
        <v>2778.0</v>
      </c>
      <c r="E321" s="54"/>
      <c r="F321" s="79" t="s">
        <v>4516</v>
      </c>
      <c r="G321" s="93" t="s">
        <v>481</v>
      </c>
      <c r="H321" s="54"/>
      <c r="I321" s="1"/>
    </row>
    <row r="322">
      <c r="A322" s="146" t="s">
        <v>68</v>
      </c>
      <c r="B322" s="77" t="str">
        <f>IFERROR(HYPERLINK(VLOOKUP(A322,Internal_lists_bugs!$A$2:$C$73,3,FALSE()), VLOOKUP(A322,Internal_lists_bugs!$A$2:$C$73,3,FALSE())&amp;Char(10) &amp; Char(10) &amp; VLOOKUP(A322,Internal_lists_bugs!$A$2:$Z$73,26,FALSE())),"please select a BUG ID")</f>
        <v>https://github.com/elastic/elasticsearch/issues/5048
/aggregations/AggregatorFactories.java</v>
      </c>
      <c r="C322" s="81" t="str">
        <f>IFERROR(Hyperlink(VLOOKUP(A322,Internal_lists_bugs!$A$2:$G1061,7,FALSE()),"BIC: "&amp;VLOOKUP(A322,Internal_lists_bugs!$A$2:$G1061,7,FALSE())&amp;CHAR(10)&amp;"Intro.Issues: "&amp;VLOOKUP(A322,Internal_lists_bugs!$A$2:$P1061,16,FALSE())),"please select a BUG ID")</f>
        <v>BIC: https://github.com/elastic/elasticsearch/commit/c7f6c52
Intro.Issues: 3300</v>
      </c>
      <c r="D322" s="100">
        <v>3300.0</v>
      </c>
      <c r="E322" s="16" t="s">
        <v>4517</v>
      </c>
      <c r="F322" s="79" t="s">
        <v>4342</v>
      </c>
      <c r="G322" s="93" t="s">
        <v>144</v>
      </c>
      <c r="H322" s="54"/>
      <c r="I322" s="9" t="b">
        <v>0</v>
      </c>
    </row>
    <row r="323">
      <c r="A323" s="146" t="s">
        <v>68</v>
      </c>
      <c r="B323" s="77" t="str">
        <f>IFERROR(HYPERLINK(VLOOKUP(A323,Internal_lists_bugs!$A$2:$C$73,3,FALSE()), VLOOKUP(A323,Internal_lists_bugs!$A$2:$C$73,3,FALSE())&amp;Char(10) &amp; Char(10) &amp; VLOOKUP(A323,Internal_lists_bugs!$A$2:$Z$73,26,FALSE())),"please select a BUG ID")</f>
        <v>https://github.com/elastic/elasticsearch/issues/5048
/aggregations/AggregatorFactories.java</v>
      </c>
      <c r="C323" s="81" t="str">
        <f>IFERROR(Hyperlink(VLOOKUP(A323,Internal_lists_bugs!$A$2:$G1061,7,FALSE()),"BIC: "&amp;VLOOKUP(A323,Internal_lists_bugs!$A$2:$G1061,7,FALSE())&amp;CHAR(10)&amp;"Intro.Issues: "&amp;VLOOKUP(A323,Internal_lists_bugs!$A$2:$P1061,16,FALSE())),"please select a BUG ID")</f>
        <v>BIC: https://github.com/elastic/elasticsearch/commit/c7f6c52
Intro.Issues: 3300</v>
      </c>
      <c r="D323" s="100">
        <v>3300.0</v>
      </c>
      <c r="E323" s="54"/>
      <c r="F323" s="79" t="s">
        <v>4457</v>
      </c>
      <c r="G323" s="93" t="s">
        <v>324</v>
      </c>
      <c r="H323" s="54"/>
      <c r="I323" s="1"/>
    </row>
    <row r="324">
      <c r="A324" s="146" t="s">
        <v>68</v>
      </c>
      <c r="B324" s="77" t="str">
        <f>IFERROR(HYPERLINK(VLOOKUP(A324,Internal_lists_bugs!$A$2:$C$73,3,FALSE()), VLOOKUP(A324,Internal_lists_bugs!$A$2:$C$73,3,FALSE())&amp;Char(10) &amp; Char(10) &amp; VLOOKUP(A324,Internal_lists_bugs!$A$2:$Z$73,26,FALSE())),"please select a BUG ID")</f>
        <v>https://github.com/elastic/elasticsearch/issues/5048
/aggregations/AggregatorFactories.java</v>
      </c>
      <c r="C324" s="81" t="str">
        <f>IFERROR(Hyperlink(VLOOKUP(A324,Internal_lists_bugs!$A$2:$G1061,7,FALSE()),"BIC: "&amp;VLOOKUP(A324,Internal_lists_bugs!$A$2:$G1061,7,FALSE())&amp;CHAR(10)&amp;"Intro.Issues: "&amp;VLOOKUP(A324,Internal_lists_bugs!$A$2:$P1061,16,FALSE())),"please select a BUG ID")</f>
        <v>BIC: https://github.com/elastic/elasticsearch/commit/c7f6c52
Intro.Issues: 3300</v>
      </c>
      <c r="D324" s="100">
        <v>3300.0</v>
      </c>
      <c r="E324" s="54"/>
      <c r="F324" s="79" t="s">
        <v>4518</v>
      </c>
      <c r="G324" s="93" t="s">
        <v>324</v>
      </c>
      <c r="H324" s="54"/>
      <c r="I324" s="1"/>
    </row>
    <row r="325">
      <c r="A325" s="146" t="s">
        <v>68</v>
      </c>
      <c r="B325" s="77" t="str">
        <f>IFERROR(HYPERLINK(VLOOKUP(A325,Internal_lists_bugs!$A$2:$C$73,3,FALSE()), VLOOKUP(A325,Internal_lists_bugs!$A$2:$C$73,3,FALSE())&amp;Char(10) &amp; Char(10) &amp; VLOOKUP(A325,Internal_lists_bugs!$A$2:$Z$73,26,FALSE())),"please select a BUG ID")</f>
        <v>https://github.com/elastic/elasticsearch/issues/5048
/aggregations/AggregatorFactories.java</v>
      </c>
      <c r="C325" s="81" t="str">
        <f>IFERROR(Hyperlink(VLOOKUP(A325,Internal_lists_bugs!$A$2:$G1061,7,FALSE()),"BIC: "&amp;VLOOKUP(A325,Internal_lists_bugs!$A$2:$G1061,7,FALSE())&amp;CHAR(10)&amp;"Intro.Issues: "&amp;VLOOKUP(A325,Internal_lists_bugs!$A$2:$P1061,16,FALSE())),"please select a BUG ID")</f>
        <v>BIC: https://github.com/elastic/elasticsearch/commit/c7f6c52
Intro.Issues: 3300</v>
      </c>
      <c r="D325" s="100">
        <v>3300.0</v>
      </c>
      <c r="E325" s="54"/>
      <c r="F325" s="79" t="s">
        <v>4519</v>
      </c>
      <c r="G325" s="93" t="s">
        <v>324</v>
      </c>
      <c r="H325" s="54"/>
      <c r="I325" s="1"/>
    </row>
    <row r="326">
      <c r="A326" s="146" t="s">
        <v>68</v>
      </c>
      <c r="B326" s="77" t="str">
        <f>IFERROR(HYPERLINK(VLOOKUP(A326,Internal_lists_bugs!$A$2:$C$73,3,FALSE()), VLOOKUP(A326,Internal_lists_bugs!$A$2:$C$73,3,FALSE())&amp;Char(10) &amp; Char(10) &amp; VLOOKUP(A326,Internal_lists_bugs!$A$2:$Z$73,26,FALSE())),"please select a BUG ID")</f>
        <v>https://github.com/elastic/elasticsearch/issues/5048
/aggregations/AggregatorFactories.java</v>
      </c>
      <c r="C326" s="81" t="str">
        <f>IFERROR(Hyperlink(VLOOKUP(A326,Internal_lists_bugs!$A$2:$G1061,7,FALSE()),"BIC: "&amp;VLOOKUP(A326,Internal_lists_bugs!$A$2:$G1061,7,FALSE())&amp;CHAR(10)&amp;"Intro.Issues: "&amp;VLOOKUP(A326,Internal_lists_bugs!$A$2:$P1061,16,FALSE())),"please select a BUG ID")</f>
        <v>BIC: https://github.com/elastic/elasticsearch/commit/c7f6c52
Intro.Issues: 3300</v>
      </c>
      <c r="D326" s="100">
        <v>3300.0</v>
      </c>
      <c r="E326" s="54"/>
      <c r="F326" s="79" t="s">
        <v>4520</v>
      </c>
      <c r="G326" s="93" t="s">
        <v>324</v>
      </c>
      <c r="H326" s="54"/>
      <c r="I326" s="1"/>
    </row>
    <row r="327">
      <c r="A327" s="146" t="s">
        <v>68</v>
      </c>
      <c r="B327" s="77" t="str">
        <f>IFERROR(HYPERLINK(VLOOKUP(A327,Internal_lists_bugs!$A$2:$C$73,3,FALSE()), VLOOKUP(A327,Internal_lists_bugs!$A$2:$C$73,3,FALSE())&amp;Char(10) &amp; Char(10) &amp; VLOOKUP(A327,Internal_lists_bugs!$A$2:$Z$73,26,FALSE())),"please select a BUG ID")</f>
        <v>https://github.com/elastic/elasticsearch/issues/5048
/aggregations/AggregatorFactories.java</v>
      </c>
      <c r="C327" s="81" t="str">
        <f>IFERROR(Hyperlink(VLOOKUP(A327,Internal_lists_bugs!$A$2:$G1061,7,FALSE()),"BIC: "&amp;VLOOKUP(A327,Internal_lists_bugs!$A$2:$G1061,7,FALSE())&amp;CHAR(10)&amp;"Intro.Issues: "&amp;VLOOKUP(A327,Internal_lists_bugs!$A$2:$P1061,16,FALSE())),"please select a BUG ID")</f>
        <v>BIC: https://github.com/elastic/elasticsearch/commit/c7f6c52
Intro.Issues: 3300</v>
      </c>
      <c r="D327" s="100">
        <v>3300.0</v>
      </c>
      <c r="E327" s="54"/>
      <c r="F327" s="79" t="s">
        <v>4521</v>
      </c>
      <c r="G327" s="93" t="s">
        <v>324</v>
      </c>
      <c r="H327" s="54"/>
      <c r="I327" s="1"/>
    </row>
    <row r="328">
      <c r="A328" s="146" t="s">
        <v>68</v>
      </c>
      <c r="B328" s="77" t="str">
        <f>IFERROR(HYPERLINK(VLOOKUP(A328,Internal_lists_bugs!$A$2:$C$73,3,FALSE()), VLOOKUP(A328,Internal_lists_bugs!$A$2:$C$73,3,FALSE())&amp;Char(10) &amp; Char(10) &amp; VLOOKUP(A328,Internal_lists_bugs!$A$2:$Z$73,26,FALSE())),"please select a BUG ID")</f>
        <v>https://github.com/elastic/elasticsearch/issues/5048
/aggregations/AggregatorFactories.java</v>
      </c>
      <c r="C328" s="81" t="str">
        <f>IFERROR(Hyperlink(VLOOKUP(A328,Internal_lists_bugs!$A$2:$G1061,7,FALSE()),"BIC: "&amp;VLOOKUP(A328,Internal_lists_bugs!$A$2:$G1061,7,FALSE())&amp;CHAR(10)&amp;"Intro.Issues: "&amp;VLOOKUP(A328,Internal_lists_bugs!$A$2:$P1061,16,FALSE())),"please select a BUG ID")</f>
        <v>BIC: https://github.com/elastic/elasticsearch/commit/c7f6c52
Intro.Issues: 3300</v>
      </c>
      <c r="D328" s="100">
        <v>3300.0</v>
      </c>
      <c r="E328" s="54"/>
      <c r="F328" s="79" t="s">
        <v>4522</v>
      </c>
      <c r="G328" s="93" t="s">
        <v>324</v>
      </c>
      <c r="H328" s="54"/>
      <c r="I328" s="1"/>
    </row>
    <row r="329">
      <c r="A329" s="146" t="s">
        <v>68</v>
      </c>
      <c r="B329" s="77" t="str">
        <f>IFERROR(HYPERLINK(VLOOKUP(A329,Internal_lists_bugs!$A$2:$C$73,3,FALSE()), VLOOKUP(A329,Internal_lists_bugs!$A$2:$C$73,3,FALSE())&amp;Char(10) &amp; Char(10) &amp; VLOOKUP(A329,Internal_lists_bugs!$A$2:$Z$73,26,FALSE())),"please select a BUG ID")</f>
        <v>https://github.com/elastic/elasticsearch/issues/5048
/aggregations/AggregatorFactories.java</v>
      </c>
      <c r="C329" s="81" t="str">
        <f>IFERROR(Hyperlink(VLOOKUP(A329,Internal_lists_bugs!$A$2:$G1061,7,FALSE()),"BIC: "&amp;VLOOKUP(A329,Internal_lists_bugs!$A$2:$G1061,7,FALSE())&amp;CHAR(10)&amp;"Intro.Issues: "&amp;VLOOKUP(A329,Internal_lists_bugs!$A$2:$P1061,16,FALSE())),"please select a BUG ID")</f>
        <v>BIC: https://github.com/elastic/elasticsearch/commit/c7f6c52
Intro.Issues: 3300</v>
      </c>
      <c r="D329" s="100">
        <v>3300.0</v>
      </c>
      <c r="E329" s="54"/>
      <c r="F329" s="79" t="s">
        <v>4388</v>
      </c>
      <c r="G329" s="93" t="s">
        <v>324</v>
      </c>
      <c r="H329" s="54"/>
      <c r="I329" s="1"/>
    </row>
    <row r="330">
      <c r="A330" s="146" t="s">
        <v>68</v>
      </c>
      <c r="B330" s="77" t="str">
        <f>IFERROR(HYPERLINK(VLOOKUP(A330,Internal_lists_bugs!$A$2:$C$73,3,FALSE()), VLOOKUP(A330,Internal_lists_bugs!$A$2:$C$73,3,FALSE())&amp;Char(10) &amp; Char(10) &amp; VLOOKUP(A330,Internal_lists_bugs!$A$2:$Z$73,26,FALSE())),"please select a BUG ID")</f>
        <v>https://github.com/elastic/elasticsearch/issues/5048
/aggregations/AggregatorFactories.java</v>
      </c>
      <c r="C330" s="81" t="str">
        <f>IFERROR(Hyperlink(VLOOKUP(A330,Internal_lists_bugs!$A$2:$G1061,7,FALSE()),"BIC: "&amp;VLOOKUP(A330,Internal_lists_bugs!$A$2:$G1061,7,FALSE())&amp;CHAR(10)&amp;"Intro.Issues: "&amp;VLOOKUP(A330,Internal_lists_bugs!$A$2:$P1061,16,FALSE())),"please select a BUG ID")</f>
        <v>BIC: https://github.com/elastic/elasticsearch/commit/c7f6c52
Intro.Issues: 3300</v>
      </c>
      <c r="D330" s="100">
        <v>3300.0</v>
      </c>
      <c r="E330" s="54"/>
      <c r="F330" s="79" t="s">
        <v>4523</v>
      </c>
      <c r="G330" s="93" t="s">
        <v>4524</v>
      </c>
      <c r="H330" s="54"/>
      <c r="I330" s="1"/>
    </row>
    <row r="331">
      <c r="A331" s="146" t="s">
        <v>68</v>
      </c>
      <c r="B331" s="77" t="str">
        <f>IFERROR(HYPERLINK(VLOOKUP(A331,Internal_lists_bugs!$A$2:$C$73,3,FALSE()), VLOOKUP(A331,Internal_lists_bugs!$A$2:$C$73,3,FALSE())&amp;Char(10) &amp; Char(10) &amp; VLOOKUP(A331,Internal_lists_bugs!$A$2:$Z$73,26,FALSE())),"please select a BUG ID")</f>
        <v>https://github.com/elastic/elasticsearch/issues/5048
/aggregations/AggregatorFactories.java</v>
      </c>
      <c r="C331" s="81" t="str">
        <f>IFERROR(Hyperlink(VLOOKUP(A331,Internal_lists_bugs!$A$2:$G1061,7,FALSE()),"BIC: "&amp;VLOOKUP(A331,Internal_lists_bugs!$A$2:$G1061,7,FALSE())&amp;CHAR(10)&amp;"Intro.Issues: "&amp;VLOOKUP(A331,Internal_lists_bugs!$A$2:$P1061,16,FALSE())),"please select a BUG ID")</f>
        <v>BIC: https://github.com/elastic/elasticsearch/commit/c7f6c52
Intro.Issues: 3300</v>
      </c>
      <c r="D331" s="100">
        <v>3300.0</v>
      </c>
      <c r="E331" s="54"/>
      <c r="F331" s="79" t="s">
        <v>4525</v>
      </c>
      <c r="G331" s="93" t="s">
        <v>324</v>
      </c>
      <c r="H331" s="54"/>
      <c r="I331" s="1"/>
    </row>
    <row r="332">
      <c r="A332" s="146" t="s">
        <v>68</v>
      </c>
      <c r="B332" s="77" t="str">
        <f>IFERROR(HYPERLINK(VLOOKUP(A332,Internal_lists_bugs!$A$2:$C$73,3,FALSE()), VLOOKUP(A332,Internal_lists_bugs!$A$2:$C$73,3,FALSE())&amp;Char(10) &amp; Char(10) &amp; VLOOKUP(A332,Internal_lists_bugs!$A$2:$Z$73,26,FALSE())),"please select a BUG ID")</f>
        <v>https://github.com/elastic/elasticsearch/issues/5048
/aggregations/AggregatorFactories.java</v>
      </c>
      <c r="C332" s="81" t="str">
        <f>IFERROR(Hyperlink(VLOOKUP(A332,Internal_lists_bugs!$A$2:$G1061,7,FALSE()),"BIC: "&amp;VLOOKUP(A332,Internal_lists_bugs!$A$2:$G1061,7,FALSE())&amp;CHAR(10)&amp;"Intro.Issues: "&amp;VLOOKUP(A332,Internal_lists_bugs!$A$2:$P1061,16,FALSE())),"please select a BUG ID")</f>
        <v>BIC: https://github.com/elastic/elasticsearch/commit/c7f6c52
Intro.Issues: 3300</v>
      </c>
      <c r="D332" s="100">
        <v>3300.0</v>
      </c>
      <c r="E332" s="54"/>
      <c r="F332" s="79" t="s">
        <v>4526</v>
      </c>
      <c r="G332" s="93" t="s">
        <v>481</v>
      </c>
      <c r="H332" s="54"/>
      <c r="I332" s="1"/>
    </row>
    <row r="333">
      <c r="A333" s="146" t="s">
        <v>68</v>
      </c>
      <c r="B333" s="77" t="str">
        <f>IFERROR(HYPERLINK(VLOOKUP(A333,Internal_lists_bugs!$A$2:$C$73,3,FALSE()), VLOOKUP(A333,Internal_lists_bugs!$A$2:$C$73,3,FALSE())&amp;Char(10) &amp; Char(10) &amp; VLOOKUP(A333,Internal_lists_bugs!$A$2:$Z$73,26,FALSE())),"please select a BUG ID")</f>
        <v>https://github.com/elastic/elasticsearch/issues/5048
/aggregations/AggregatorFactories.java</v>
      </c>
      <c r="C333" s="81" t="str">
        <f>IFERROR(Hyperlink(VLOOKUP(A333,Internal_lists_bugs!$A$2:$G1061,7,FALSE()),"BIC: "&amp;VLOOKUP(A333,Internal_lists_bugs!$A$2:$G1061,7,FALSE())&amp;CHAR(10)&amp;"Intro.Issues: "&amp;VLOOKUP(A333,Internal_lists_bugs!$A$2:$P1061,16,FALSE())),"please select a BUG ID")</f>
        <v>BIC: https://github.com/elastic/elasticsearch/commit/c7f6c52
Intro.Issues: 3300</v>
      </c>
      <c r="D333" s="100">
        <v>3300.0</v>
      </c>
      <c r="E333" s="54"/>
      <c r="F333" s="79" t="s">
        <v>4516</v>
      </c>
      <c r="G333" s="93" t="s">
        <v>482</v>
      </c>
      <c r="H333" s="54"/>
      <c r="I333" s="1"/>
    </row>
    <row r="334">
      <c r="A334" s="146" t="s">
        <v>68</v>
      </c>
      <c r="B334" s="77" t="str">
        <f>IFERROR(HYPERLINK(VLOOKUP(A334,Internal_lists_bugs!$A$2:$C$73,3,FALSE()), VLOOKUP(A334,Internal_lists_bugs!$A$2:$C$73,3,FALSE())&amp;Char(10) &amp; Char(10) &amp; VLOOKUP(A334,Internal_lists_bugs!$A$2:$Z$73,26,FALSE())),"please select a BUG ID")</f>
        <v>https://github.com/elastic/elasticsearch/issues/5048
/aggregations/AggregatorFactories.java</v>
      </c>
      <c r="C334" s="81" t="str">
        <f>IFERROR(Hyperlink(VLOOKUP(A334,Internal_lists_bugs!$A$2:$G1061,7,FALSE()),"BIC: "&amp;VLOOKUP(A334,Internal_lists_bugs!$A$2:$G1061,7,FALSE())&amp;CHAR(10)&amp;"Intro.Issues: "&amp;VLOOKUP(A334,Internal_lists_bugs!$A$2:$P1061,16,FALSE())),"please select a BUG ID")</f>
        <v>BIC: https://github.com/elastic/elasticsearch/commit/c7f6c52
Intro.Issues: 3300</v>
      </c>
      <c r="D334" s="100">
        <v>3300.0</v>
      </c>
      <c r="E334" s="54"/>
      <c r="F334" s="79" t="s">
        <v>4527</v>
      </c>
      <c r="G334" s="93" t="s">
        <v>483</v>
      </c>
      <c r="H334" s="54"/>
      <c r="I334" s="1"/>
    </row>
    <row r="335">
      <c r="A335" s="146" t="s">
        <v>68</v>
      </c>
      <c r="B335" s="77" t="str">
        <f>IFERROR(HYPERLINK(VLOOKUP(A335,Internal_lists_bugs!$A$2:$C$73,3,FALSE()), VLOOKUP(A335,Internal_lists_bugs!$A$2:$C$73,3,FALSE())&amp;Char(10) &amp; Char(10) &amp; VLOOKUP(A335,Internal_lists_bugs!$A$2:$Z$73,26,FALSE())),"please select a BUG ID")</f>
        <v>https://github.com/elastic/elasticsearch/issues/5048
/aggregations/AggregatorFactories.java</v>
      </c>
      <c r="C335" s="81" t="str">
        <f>IFERROR(Hyperlink(VLOOKUP(A335,Internal_lists_bugs!$A$2:$G1061,7,FALSE()),"BIC: "&amp;VLOOKUP(A335,Internal_lists_bugs!$A$2:$G1061,7,FALSE())&amp;CHAR(10)&amp;"Intro.Issues: "&amp;VLOOKUP(A335,Internal_lists_bugs!$A$2:$P1061,16,FALSE())),"please select a BUG ID")</f>
        <v>BIC: https://github.com/elastic/elasticsearch/commit/c7f6c52
Intro.Issues: 3300</v>
      </c>
      <c r="D335" s="100">
        <v>3300.0</v>
      </c>
      <c r="E335" s="54"/>
      <c r="F335" s="79" t="s">
        <v>4528</v>
      </c>
      <c r="G335" s="93" t="s">
        <v>483</v>
      </c>
      <c r="H335" s="54"/>
      <c r="I335" s="1"/>
    </row>
    <row r="336">
      <c r="A336" s="146" t="s">
        <v>68</v>
      </c>
      <c r="B336" s="77" t="str">
        <f>IFERROR(HYPERLINK(VLOOKUP(A336,Internal_lists_bugs!$A$2:$C$73,3,FALSE()), VLOOKUP(A336,Internal_lists_bugs!$A$2:$C$73,3,FALSE())&amp;Char(10) &amp; Char(10) &amp; VLOOKUP(A336,Internal_lists_bugs!$A$2:$Z$73,26,FALSE())),"please select a BUG ID")</f>
        <v>https://github.com/elastic/elasticsearch/issues/5048
/aggregations/AggregatorFactories.java</v>
      </c>
      <c r="C336" s="81" t="str">
        <f>IFERROR(Hyperlink(VLOOKUP(A336,Internal_lists_bugs!$A$2:$G1061,7,FALSE()),"BIC: "&amp;VLOOKUP(A336,Internal_lists_bugs!$A$2:$G1061,7,FALSE())&amp;CHAR(10)&amp;"Intro.Issues: "&amp;VLOOKUP(A336,Internal_lists_bugs!$A$2:$P1061,16,FALSE())),"please select a BUG ID")</f>
        <v>BIC: https://github.com/elastic/elasticsearch/commit/c7f6c52
Intro.Issues: 3300</v>
      </c>
      <c r="D336" s="100">
        <v>3300.0</v>
      </c>
      <c r="E336" s="54"/>
      <c r="F336" s="79" t="s">
        <v>4529</v>
      </c>
      <c r="G336" s="93" t="s">
        <v>490</v>
      </c>
      <c r="H336" s="54"/>
      <c r="I336" s="1"/>
    </row>
    <row r="337">
      <c r="A337" s="146" t="s">
        <v>68</v>
      </c>
      <c r="B337" s="77" t="str">
        <f>IFERROR(HYPERLINK(VLOOKUP(A337,Internal_lists_bugs!$A$2:$C$73,3,FALSE()), VLOOKUP(A337,Internal_lists_bugs!$A$2:$C$73,3,FALSE())&amp;Char(10) &amp; Char(10) &amp; VLOOKUP(A337,Internal_lists_bugs!$A$2:$Z$73,26,FALSE())),"please select a BUG ID")</f>
        <v>https://github.com/elastic/elasticsearch/issues/5048
/aggregations/AggregatorFactories.java</v>
      </c>
      <c r="C337" s="81" t="str">
        <f>IFERROR(Hyperlink(VLOOKUP(A337,Internal_lists_bugs!$A$2:$G1061,7,FALSE()),"BIC: "&amp;VLOOKUP(A337,Internal_lists_bugs!$A$2:$G1061,7,FALSE())&amp;CHAR(10)&amp;"Intro.Issues: "&amp;VLOOKUP(A337,Internal_lists_bugs!$A$2:$P1061,16,FALSE())),"please select a BUG ID")</f>
        <v>BIC: https://github.com/elastic/elasticsearch/commit/c7f6c52
Intro.Issues: 3300</v>
      </c>
      <c r="D337" s="100">
        <v>3300.0</v>
      </c>
      <c r="E337" s="54"/>
      <c r="F337" s="79" t="s">
        <v>4530</v>
      </c>
      <c r="G337" s="93" t="s">
        <v>490</v>
      </c>
      <c r="H337" s="54"/>
      <c r="I337" s="1"/>
    </row>
    <row r="338">
      <c r="A338" s="146" t="s">
        <v>68</v>
      </c>
      <c r="B338" s="77" t="str">
        <f>IFERROR(HYPERLINK(VLOOKUP(A338,Internal_lists_bugs!$A$2:$C$73,3,FALSE()), VLOOKUP(A338,Internal_lists_bugs!$A$2:$C$73,3,FALSE())&amp;Char(10) &amp; Char(10) &amp; VLOOKUP(A338,Internal_lists_bugs!$A$2:$Z$73,26,FALSE())),"please select a BUG ID")</f>
        <v>https://github.com/elastic/elasticsearch/issues/5048
/aggregations/AggregatorFactories.java</v>
      </c>
      <c r="C338" s="81" t="str">
        <f>IFERROR(Hyperlink(VLOOKUP(A338,Internal_lists_bugs!$A$2:$G1061,7,FALSE()),"BIC: "&amp;VLOOKUP(A338,Internal_lists_bugs!$A$2:$G1061,7,FALSE())&amp;CHAR(10)&amp;"Intro.Issues: "&amp;VLOOKUP(A338,Internal_lists_bugs!$A$2:$P1061,16,FALSE())),"please select a BUG ID")</f>
        <v>BIC: https://github.com/elastic/elasticsearch/commit/c7f6c52
Intro.Issues: 3300</v>
      </c>
      <c r="D338" s="100">
        <v>3300.0</v>
      </c>
      <c r="E338" s="54"/>
      <c r="F338" s="79" t="s">
        <v>4531</v>
      </c>
      <c r="G338" s="93" t="s">
        <v>492</v>
      </c>
      <c r="H338" s="54"/>
      <c r="I338" s="1"/>
    </row>
    <row r="339">
      <c r="A339" s="146" t="s">
        <v>68</v>
      </c>
      <c r="B339" s="77" t="str">
        <f>IFERROR(HYPERLINK(VLOOKUP(A339,Internal_lists_bugs!$A$2:$C$73,3,FALSE()), VLOOKUP(A339,Internal_lists_bugs!$A$2:$C$73,3,FALSE())&amp;Char(10) &amp; Char(10) &amp; VLOOKUP(A339,Internal_lists_bugs!$A$2:$Z$73,26,FALSE())),"please select a BUG ID")</f>
        <v>https://github.com/elastic/elasticsearch/issues/5048
/aggregations/AggregatorFactories.java</v>
      </c>
      <c r="C339" s="81" t="str">
        <f>IFERROR(Hyperlink(VLOOKUP(A339,Internal_lists_bugs!$A$2:$G1061,7,FALSE()),"BIC: "&amp;VLOOKUP(A339,Internal_lists_bugs!$A$2:$G1061,7,FALSE())&amp;CHAR(10)&amp;"Intro.Issues: "&amp;VLOOKUP(A339,Internal_lists_bugs!$A$2:$P1061,16,FALSE())),"please select a BUG ID")</f>
        <v>BIC: https://github.com/elastic/elasticsearch/commit/c7f6c52
Intro.Issues: 3300</v>
      </c>
      <c r="D339" s="100">
        <v>3300.0</v>
      </c>
      <c r="E339" s="54"/>
      <c r="F339" s="72" t="s">
        <v>4516</v>
      </c>
      <c r="G339" s="175" t="s">
        <v>4532</v>
      </c>
      <c r="H339" s="54"/>
      <c r="I339" s="1"/>
    </row>
    <row r="340">
      <c r="A340" s="146" t="s">
        <v>68</v>
      </c>
      <c r="B340" s="77" t="str">
        <f>IFERROR(HYPERLINK(VLOOKUP(A340,Internal_lists_bugs!$A$2:$C$73,3,FALSE()), VLOOKUP(A340,Internal_lists_bugs!$A$2:$C$73,3,FALSE())&amp;Char(10) &amp; Char(10) &amp; VLOOKUP(A340,Internal_lists_bugs!$A$2:$Z$73,26,FALSE())),"please select a BUG ID")</f>
        <v>https://github.com/elastic/elasticsearch/issues/5048
/aggregations/AggregatorFactories.java</v>
      </c>
      <c r="C340" s="81" t="str">
        <f>IFERROR(Hyperlink(VLOOKUP(A340,Internal_lists_bugs!$A$2:$G1061,7,FALSE()),"BIC: "&amp;VLOOKUP(A340,Internal_lists_bugs!$A$2:$G1061,7,FALSE())&amp;CHAR(10)&amp;"Intro.Issues: "&amp;VLOOKUP(A340,Internal_lists_bugs!$A$2:$P1061,16,FALSE())),"please select a BUG ID")</f>
        <v>BIC: https://github.com/elastic/elasticsearch/commit/c7f6c52
Intro.Issues: 3300</v>
      </c>
      <c r="D340" s="100">
        <v>3300.0</v>
      </c>
      <c r="E340" s="54"/>
      <c r="F340" s="79" t="s">
        <v>4533</v>
      </c>
      <c r="G340" s="93" t="s">
        <v>4534</v>
      </c>
      <c r="H340" s="54"/>
      <c r="I340" s="1"/>
    </row>
    <row r="341">
      <c r="A341" s="146" t="s">
        <v>68</v>
      </c>
      <c r="B341" s="77" t="str">
        <f>IFERROR(HYPERLINK(VLOOKUP(A341,Internal_lists_bugs!$A$2:$C$73,3,FALSE()), VLOOKUP(A341,Internal_lists_bugs!$A$2:$C$73,3,FALSE())&amp;Char(10) &amp; Char(10) &amp; VLOOKUP(A341,Internal_lists_bugs!$A$2:$Z$73,26,FALSE())),"please select a BUG ID")</f>
        <v>https://github.com/elastic/elasticsearch/issues/5048
/aggregations/AggregatorFactories.java</v>
      </c>
      <c r="C341" s="81" t="str">
        <f>IFERROR(Hyperlink(VLOOKUP(A341,Internal_lists_bugs!$A$2:$G1061,7,FALSE()),"BIC: "&amp;VLOOKUP(A341,Internal_lists_bugs!$A$2:$G1061,7,FALSE())&amp;CHAR(10)&amp;"Intro.Issues: "&amp;VLOOKUP(A341,Internal_lists_bugs!$A$2:$P1061,16,FALSE())),"please select a BUG ID")</f>
        <v>BIC: https://github.com/elastic/elasticsearch/commit/c7f6c52
Intro.Issues: 3300</v>
      </c>
      <c r="D341" s="100">
        <v>3300.0</v>
      </c>
      <c r="E341" s="54"/>
      <c r="F341" s="79" t="s">
        <v>4535</v>
      </c>
      <c r="G341" s="93" t="s">
        <v>4536</v>
      </c>
      <c r="H341" s="54"/>
      <c r="I341" s="1"/>
    </row>
    <row r="342">
      <c r="A342" s="146" t="s">
        <v>68</v>
      </c>
      <c r="B342" s="77" t="str">
        <f>IFERROR(HYPERLINK(VLOOKUP(A342,Internal_lists_bugs!$A$2:$C$73,3,FALSE()), VLOOKUP(A342,Internal_lists_bugs!$A$2:$C$73,3,FALSE())&amp;Char(10) &amp; Char(10) &amp; VLOOKUP(A342,Internal_lists_bugs!$A$2:$Z$73,26,FALSE())),"please select a BUG ID")</f>
        <v>https://github.com/elastic/elasticsearch/issues/5048
/aggregations/AggregatorFactories.java</v>
      </c>
      <c r="C342" s="81" t="str">
        <f>IFERROR(Hyperlink(VLOOKUP(A342,Internal_lists_bugs!$A$2:$G1061,7,FALSE()),"BIC: "&amp;VLOOKUP(A342,Internal_lists_bugs!$A$2:$G1061,7,FALSE())&amp;CHAR(10)&amp;"Intro.Issues: "&amp;VLOOKUP(A342,Internal_lists_bugs!$A$2:$P1061,16,FALSE())),"please select a BUG ID")</f>
        <v>BIC: https://github.com/elastic/elasticsearch/commit/c7f6c52
Intro.Issues: 3300</v>
      </c>
      <c r="D342" s="100">
        <v>3300.0</v>
      </c>
      <c r="E342" s="54"/>
      <c r="F342" s="79" t="s">
        <v>4537</v>
      </c>
      <c r="G342" s="93" t="s">
        <v>4538</v>
      </c>
      <c r="H342" s="54"/>
      <c r="I342" s="1"/>
    </row>
    <row r="343">
      <c r="A343" s="146" t="s">
        <v>68</v>
      </c>
      <c r="B343" s="77" t="str">
        <f>IFERROR(HYPERLINK(VLOOKUP(A343,Internal_lists_bugs!$A$2:$C$73,3,FALSE()), VLOOKUP(A343,Internal_lists_bugs!$A$2:$C$73,3,FALSE())&amp;Char(10) &amp; Char(10) &amp; VLOOKUP(A343,Internal_lists_bugs!$A$2:$Z$73,26,FALSE())),"please select a BUG ID")</f>
        <v>https://github.com/elastic/elasticsearch/issues/5048
/aggregations/AggregatorFactories.java</v>
      </c>
      <c r="C343" s="81" t="str">
        <f>IFERROR(Hyperlink(VLOOKUP(A343,Internal_lists_bugs!$A$2:$G1061,7,FALSE()),"BIC: "&amp;VLOOKUP(A343,Internal_lists_bugs!$A$2:$G1061,7,FALSE())&amp;CHAR(10)&amp;"Intro.Issues: "&amp;VLOOKUP(A343,Internal_lists_bugs!$A$2:$P1061,16,FALSE())),"please select a BUG ID")</f>
        <v>BIC: https://github.com/elastic/elasticsearch/commit/c7f6c52
Intro.Issues: 3300</v>
      </c>
      <c r="D343" s="100">
        <v>3300.0</v>
      </c>
      <c r="E343" s="54"/>
      <c r="F343" s="79" t="s">
        <v>4539</v>
      </c>
      <c r="G343" s="93" t="s">
        <v>4540</v>
      </c>
      <c r="H343" s="54"/>
      <c r="I343" s="1"/>
    </row>
    <row r="344">
      <c r="A344" s="146" t="s">
        <v>68</v>
      </c>
      <c r="B344" s="77" t="str">
        <f>IFERROR(HYPERLINK(VLOOKUP(A344,Internal_lists_bugs!$A$2:$C$73,3,FALSE()), VLOOKUP(A344,Internal_lists_bugs!$A$2:$C$73,3,FALSE())&amp;Char(10) &amp; Char(10) &amp; VLOOKUP(A344,Internal_lists_bugs!$A$2:$Z$73,26,FALSE())),"please select a BUG ID")</f>
        <v>https://github.com/elastic/elasticsearch/issues/5048
/aggregations/AggregatorFactories.java</v>
      </c>
      <c r="C344" s="81" t="str">
        <f>IFERROR(Hyperlink(VLOOKUP(A344,Internal_lists_bugs!$A$2:$G1061,7,FALSE()),"BIC: "&amp;VLOOKUP(A344,Internal_lists_bugs!$A$2:$G1061,7,FALSE())&amp;CHAR(10)&amp;"Intro.Issues: "&amp;VLOOKUP(A344,Internal_lists_bugs!$A$2:$P1061,16,FALSE())),"please select a BUG ID")</f>
        <v>BIC: https://github.com/elastic/elasticsearch/commit/c7f6c52
Intro.Issues: 3300</v>
      </c>
      <c r="D344" s="100">
        <v>3300.0</v>
      </c>
      <c r="E344" s="54"/>
      <c r="F344" s="79" t="s">
        <v>4541</v>
      </c>
      <c r="G344" s="93" t="s">
        <v>4542</v>
      </c>
      <c r="H344" s="54"/>
      <c r="I344" s="1"/>
    </row>
    <row r="345">
      <c r="A345" s="146" t="s">
        <v>68</v>
      </c>
      <c r="B345" s="77" t="str">
        <f>IFERROR(HYPERLINK(VLOOKUP(A345,Internal_lists_bugs!$A$2:$C$73,3,FALSE()), VLOOKUP(A345,Internal_lists_bugs!$A$2:$C$73,3,FALSE())&amp;Char(10) &amp; Char(10) &amp; VLOOKUP(A345,Internal_lists_bugs!$A$2:$Z$73,26,FALSE())),"please select a BUG ID")</f>
        <v>https://github.com/elastic/elasticsearch/issues/5048
/aggregations/AggregatorFactories.java</v>
      </c>
      <c r="C345" s="81" t="str">
        <f>IFERROR(Hyperlink(VLOOKUP(A345,Internal_lists_bugs!$A$2:$G1061,7,FALSE()),"BIC: "&amp;VLOOKUP(A345,Internal_lists_bugs!$A$2:$G1061,7,FALSE())&amp;CHAR(10)&amp;"Intro.Issues: "&amp;VLOOKUP(A345,Internal_lists_bugs!$A$2:$P1061,16,FALSE())),"please select a BUG ID")</f>
        <v>BIC: https://github.com/elastic/elasticsearch/commit/c7f6c52
Intro.Issues: 3300</v>
      </c>
      <c r="D345" s="100">
        <v>3300.0</v>
      </c>
      <c r="E345" s="54"/>
      <c r="F345" s="79" t="s">
        <v>4543</v>
      </c>
      <c r="G345" s="93" t="s">
        <v>4544</v>
      </c>
      <c r="H345" s="54"/>
      <c r="I345" s="1"/>
    </row>
    <row r="346">
      <c r="A346" s="146" t="s">
        <v>68</v>
      </c>
      <c r="B346" s="77" t="str">
        <f>IFERROR(HYPERLINK(VLOOKUP(A346,Internal_lists_bugs!$A$2:$C$73,3,FALSE()), VLOOKUP(A346,Internal_lists_bugs!$A$2:$C$73,3,FALSE())&amp;Char(10) &amp; Char(10) &amp; VLOOKUP(A346,Internal_lists_bugs!$A$2:$Z$73,26,FALSE())),"please select a BUG ID")</f>
        <v>https://github.com/elastic/elasticsearch/issues/5048
/aggregations/AggregatorFactories.java</v>
      </c>
      <c r="C346" s="81" t="str">
        <f>IFERROR(Hyperlink(VLOOKUP(A346,Internal_lists_bugs!$A$2:$G1061,7,FALSE()),"BIC: "&amp;VLOOKUP(A346,Internal_lists_bugs!$A$2:$G1061,7,FALSE())&amp;CHAR(10)&amp;"Intro.Issues: "&amp;VLOOKUP(A346,Internal_lists_bugs!$A$2:$P1061,16,FALSE())),"please select a BUG ID")</f>
        <v>BIC: https://github.com/elastic/elasticsearch/commit/c7f6c52
Intro.Issues: 3300</v>
      </c>
      <c r="D346" s="100">
        <v>3300.0</v>
      </c>
      <c r="E346" s="54"/>
      <c r="F346" s="79" t="s">
        <v>4545</v>
      </c>
      <c r="G346" s="93" t="s">
        <v>4544</v>
      </c>
      <c r="H346" s="54"/>
      <c r="I346" s="1"/>
    </row>
    <row r="347">
      <c r="A347" s="146" t="s">
        <v>68</v>
      </c>
      <c r="B347" s="77" t="str">
        <f>IFERROR(HYPERLINK(VLOOKUP(A347,Internal_lists_bugs!$A$2:$C$73,3,FALSE()), VLOOKUP(A347,Internal_lists_bugs!$A$2:$C$73,3,FALSE())&amp;Char(10) &amp; Char(10) &amp; VLOOKUP(A347,Internal_lists_bugs!$A$2:$Z$73,26,FALSE())),"please select a BUG ID")</f>
        <v>https://github.com/elastic/elasticsearch/issues/5048
/aggregations/AggregatorFactories.java</v>
      </c>
      <c r="C347" s="81" t="str">
        <f>IFERROR(Hyperlink(VLOOKUP(A347,Internal_lists_bugs!$A$2:$G1061,7,FALSE()),"BIC: "&amp;VLOOKUP(A347,Internal_lists_bugs!$A$2:$G1061,7,FALSE())&amp;CHAR(10)&amp;"Intro.Issues: "&amp;VLOOKUP(A347,Internal_lists_bugs!$A$2:$P1061,16,FALSE())),"please select a BUG ID")</f>
        <v>BIC: https://github.com/elastic/elasticsearch/commit/c7f6c52
Intro.Issues: 3300</v>
      </c>
      <c r="D347" s="100">
        <v>3300.0</v>
      </c>
      <c r="E347" s="54"/>
      <c r="F347" s="79" t="s">
        <v>2112</v>
      </c>
      <c r="G347" s="93" t="s">
        <v>4546</v>
      </c>
      <c r="H347" s="54"/>
      <c r="I347" s="1"/>
    </row>
    <row r="348">
      <c r="A348" s="146" t="s">
        <v>68</v>
      </c>
      <c r="B348" s="77" t="str">
        <f>IFERROR(HYPERLINK(VLOOKUP(A348,Internal_lists_bugs!$A$2:$C$73,3,FALSE()), VLOOKUP(A348,Internal_lists_bugs!$A$2:$C$73,3,FALSE())&amp;Char(10) &amp; Char(10) &amp; VLOOKUP(A348,Internal_lists_bugs!$A$2:$Z$73,26,FALSE())),"please select a BUG ID")</f>
        <v>https://github.com/elastic/elasticsearch/issues/5048
/aggregations/AggregatorFactories.java</v>
      </c>
      <c r="C348" s="81" t="str">
        <f>IFERROR(Hyperlink(VLOOKUP(A348,Internal_lists_bugs!$A$2:$G1061,7,FALSE()),"BIC: "&amp;VLOOKUP(A348,Internal_lists_bugs!$A$2:$G1061,7,FALSE())&amp;CHAR(10)&amp;"Intro.Issues: "&amp;VLOOKUP(A348,Internal_lists_bugs!$A$2:$P1061,16,FALSE())),"please select a BUG ID")</f>
        <v>BIC: https://github.com/elastic/elasticsearch/commit/c7f6c52
Intro.Issues: 3300</v>
      </c>
      <c r="D348" s="100">
        <v>3300.0</v>
      </c>
      <c r="E348" s="54"/>
      <c r="F348" s="79" t="s">
        <v>4547</v>
      </c>
      <c r="G348" s="93" t="s">
        <v>4548</v>
      </c>
      <c r="H348" s="54"/>
      <c r="I348" s="1"/>
    </row>
    <row r="349">
      <c r="A349" s="146" t="s">
        <v>68</v>
      </c>
      <c r="B349" s="77" t="str">
        <f>IFERROR(HYPERLINK(VLOOKUP(A349,Internal_lists_bugs!$A$2:$C$73,3,FALSE()), VLOOKUP(A349,Internal_lists_bugs!$A$2:$C$73,3,FALSE())&amp;Char(10) &amp; Char(10) &amp; VLOOKUP(A349,Internal_lists_bugs!$A$2:$Z$73,26,FALSE())),"please select a BUG ID")</f>
        <v>https://github.com/elastic/elasticsearch/issues/5048
/aggregations/AggregatorFactories.java</v>
      </c>
      <c r="C349" s="81" t="str">
        <f>IFERROR(Hyperlink(VLOOKUP(A349,Internal_lists_bugs!$A$2:$G1061,7,FALSE()),"BIC: "&amp;VLOOKUP(A349,Internal_lists_bugs!$A$2:$G1061,7,FALSE())&amp;CHAR(10)&amp;"Intro.Issues: "&amp;VLOOKUP(A349,Internal_lists_bugs!$A$2:$P1061,16,FALSE())),"please select a BUG ID")</f>
        <v>BIC: https://github.com/elastic/elasticsearch/commit/c7f6c52
Intro.Issues: 3300</v>
      </c>
      <c r="D349" s="100">
        <v>3300.0</v>
      </c>
      <c r="E349" s="54"/>
      <c r="F349" s="79" t="s">
        <v>4549</v>
      </c>
      <c r="G349" s="93" t="s">
        <v>4550</v>
      </c>
      <c r="H349" s="54"/>
      <c r="I349" s="1"/>
    </row>
    <row r="350">
      <c r="A350" s="146" t="s">
        <v>68</v>
      </c>
      <c r="B350" s="77" t="str">
        <f>IFERROR(HYPERLINK(VLOOKUP(A350,Internal_lists_bugs!$A$2:$C$73,3,FALSE()), VLOOKUP(A350,Internal_lists_bugs!$A$2:$C$73,3,FALSE())&amp;Char(10) &amp; Char(10) &amp; VLOOKUP(A350,Internal_lists_bugs!$A$2:$Z$73,26,FALSE())),"please select a BUG ID")</f>
        <v>https://github.com/elastic/elasticsearch/issues/5048
/aggregations/AggregatorFactories.java</v>
      </c>
      <c r="C350" s="81" t="str">
        <f>IFERROR(Hyperlink(VLOOKUP(A350,Internal_lists_bugs!$A$2:$G1061,7,FALSE()),"BIC: "&amp;VLOOKUP(A350,Internal_lists_bugs!$A$2:$G1061,7,FALSE())&amp;CHAR(10)&amp;"Intro.Issues: "&amp;VLOOKUP(A350,Internal_lists_bugs!$A$2:$P1061,16,FALSE())),"please select a BUG ID")</f>
        <v>BIC: https://github.com/elastic/elasticsearch/commit/c7f6c52
Intro.Issues: 3300</v>
      </c>
      <c r="D350" s="100">
        <v>3300.0</v>
      </c>
      <c r="E350" s="54"/>
      <c r="F350" s="79" t="s">
        <v>4513</v>
      </c>
      <c r="G350" s="93" t="s">
        <v>4550</v>
      </c>
      <c r="H350" s="54"/>
      <c r="I350" s="1"/>
    </row>
    <row r="351">
      <c r="A351" s="146" t="s">
        <v>68</v>
      </c>
      <c r="B351" s="77" t="str">
        <f>IFERROR(HYPERLINK(VLOOKUP(A351,Internal_lists_bugs!$A$2:$C$73,3,FALSE()), VLOOKUP(A351,Internal_lists_bugs!$A$2:$C$73,3,FALSE())&amp;Char(10) &amp; Char(10) &amp; VLOOKUP(A351,Internal_lists_bugs!$A$2:$Z$73,26,FALSE())),"please select a BUG ID")</f>
        <v>https://github.com/elastic/elasticsearch/issues/5048
/aggregations/AggregatorFactories.java</v>
      </c>
      <c r="C351" s="81" t="str">
        <f>IFERROR(Hyperlink(VLOOKUP(A351,Internal_lists_bugs!$A$2:$G1061,7,FALSE()),"BIC: "&amp;VLOOKUP(A351,Internal_lists_bugs!$A$2:$G1061,7,FALSE())&amp;CHAR(10)&amp;"Intro.Issues: "&amp;VLOOKUP(A351,Internal_lists_bugs!$A$2:$P1061,16,FALSE())),"please select a BUG ID")</f>
        <v>BIC: https://github.com/elastic/elasticsearch/commit/c7f6c52
Intro.Issues: 3300</v>
      </c>
      <c r="D351" s="100">
        <v>3300.0</v>
      </c>
      <c r="E351" s="54"/>
      <c r="F351" s="79" t="s">
        <v>4551</v>
      </c>
      <c r="G351" s="93" t="s">
        <v>4552</v>
      </c>
      <c r="H351" s="54"/>
      <c r="I351" s="1"/>
    </row>
    <row r="352">
      <c r="A352" s="146" t="s">
        <v>68</v>
      </c>
      <c r="B352" s="77" t="str">
        <f>IFERROR(HYPERLINK(VLOOKUP(A352,Internal_lists_bugs!$A$2:$C$73,3,FALSE()), VLOOKUP(A352,Internal_lists_bugs!$A$2:$C$73,3,FALSE())&amp;Char(10) &amp; Char(10) &amp; VLOOKUP(A352,Internal_lists_bugs!$A$2:$Z$73,26,FALSE())),"please select a BUG ID")</f>
        <v>https://github.com/elastic/elasticsearch/issues/5048
/aggregations/AggregatorFactories.java</v>
      </c>
      <c r="C352" s="81" t="str">
        <f>IFERROR(Hyperlink(VLOOKUP(A352,Internal_lists_bugs!$A$2:$G1061,7,FALSE()),"BIC: "&amp;VLOOKUP(A352,Internal_lists_bugs!$A$2:$G1061,7,FALSE())&amp;CHAR(10)&amp;"Intro.Issues: "&amp;VLOOKUP(A352,Internal_lists_bugs!$A$2:$P1061,16,FALSE())),"please select a BUG ID")</f>
        <v>BIC: https://github.com/elastic/elasticsearch/commit/c7f6c52
Intro.Issues: 3300</v>
      </c>
      <c r="D352" s="100">
        <v>3300.0</v>
      </c>
      <c r="E352" s="54"/>
      <c r="F352" s="79" t="s">
        <v>4553</v>
      </c>
      <c r="G352" s="93" t="s">
        <v>4552</v>
      </c>
      <c r="H352" s="54"/>
      <c r="I352" s="1"/>
    </row>
    <row r="353">
      <c r="A353" s="146" t="s">
        <v>68</v>
      </c>
      <c r="B353" s="77" t="str">
        <f>IFERROR(HYPERLINK(VLOOKUP(A353,Internal_lists_bugs!$A$2:$C$73,3,FALSE()), VLOOKUP(A353,Internal_lists_bugs!$A$2:$C$73,3,FALSE())&amp;Char(10) &amp; Char(10) &amp; VLOOKUP(A353,Internal_lists_bugs!$A$2:$Z$73,26,FALSE())),"please select a BUG ID")</f>
        <v>https://github.com/elastic/elasticsearch/issues/5048
/aggregations/AggregatorFactories.java</v>
      </c>
      <c r="C353" s="81" t="str">
        <f>IFERROR(Hyperlink(VLOOKUP(A353,Internal_lists_bugs!$A$2:$G1061,7,FALSE()),"BIC: "&amp;VLOOKUP(A353,Internal_lists_bugs!$A$2:$G1061,7,FALSE())&amp;CHAR(10)&amp;"Intro.Issues: "&amp;VLOOKUP(A353,Internal_lists_bugs!$A$2:$P1061,16,FALSE())),"please select a BUG ID")</f>
        <v>BIC: https://github.com/elastic/elasticsearch/commit/c7f6c52
Intro.Issues: 3300</v>
      </c>
      <c r="D353" s="100">
        <v>3300.0</v>
      </c>
      <c r="E353" s="54"/>
      <c r="F353" s="79" t="s">
        <v>4554</v>
      </c>
      <c r="G353" s="93" t="s">
        <v>4552</v>
      </c>
      <c r="H353" s="54"/>
      <c r="I353" s="1"/>
    </row>
    <row r="354">
      <c r="A354" s="146" t="s">
        <v>68</v>
      </c>
      <c r="B354" s="77" t="str">
        <f>IFERROR(HYPERLINK(VLOOKUP(A354,Internal_lists_bugs!$A$2:$C$73,3,FALSE()), VLOOKUP(A354,Internal_lists_bugs!$A$2:$C$73,3,FALSE())&amp;Char(10) &amp; Char(10) &amp; VLOOKUP(A354,Internal_lists_bugs!$A$2:$Z$73,26,FALSE())),"please select a BUG ID")</f>
        <v>https://github.com/elastic/elasticsearch/issues/5048
/aggregations/AggregatorFactories.java</v>
      </c>
      <c r="C354" s="81" t="str">
        <f>IFERROR(Hyperlink(VLOOKUP(A354,Internal_lists_bugs!$A$2:$G1061,7,FALSE()),"BIC: "&amp;VLOOKUP(A354,Internal_lists_bugs!$A$2:$G1061,7,FALSE())&amp;CHAR(10)&amp;"Intro.Issues: "&amp;VLOOKUP(A354,Internal_lists_bugs!$A$2:$P1061,16,FALSE())),"please select a BUG ID")</f>
        <v>BIC: https://github.com/elastic/elasticsearch/commit/c7f6c52
Intro.Issues: 3300</v>
      </c>
      <c r="D354" s="100">
        <v>3300.0</v>
      </c>
      <c r="E354" s="54"/>
      <c r="F354" s="79" t="s">
        <v>4516</v>
      </c>
      <c r="G354" s="93" t="s">
        <v>4555</v>
      </c>
      <c r="H354" s="54"/>
      <c r="I354" s="1"/>
    </row>
    <row r="355">
      <c r="A355" s="146" t="s">
        <v>68</v>
      </c>
      <c r="B355" s="77" t="str">
        <f>IFERROR(HYPERLINK(VLOOKUP(A355,Internal_lists_bugs!$A$2:$C$73,3,FALSE()), VLOOKUP(A355,Internal_lists_bugs!$A$2:$C$73,3,FALSE())&amp;Char(10) &amp; Char(10) &amp; VLOOKUP(A355,Internal_lists_bugs!$A$2:$Z$73,26,FALSE())),"please select a BUG ID")</f>
        <v>https://github.com/elastic/elasticsearch/issues/5048
/aggregations/AggregatorFactories.java</v>
      </c>
      <c r="C355" s="81" t="str">
        <f>IFERROR(Hyperlink(VLOOKUP(A355,Internal_lists_bugs!$A$2:$G1061,7,FALSE()),"BIC: "&amp;VLOOKUP(A355,Internal_lists_bugs!$A$2:$G1061,7,FALSE())&amp;CHAR(10)&amp;"Intro.Issues: "&amp;VLOOKUP(A355,Internal_lists_bugs!$A$2:$P1061,16,FALSE())),"please select a BUG ID")</f>
        <v>BIC: https://github.com/elastic/elasticsearch/commit/c7f6c52
Intro.Issues: 3300</v>
      </c>
      <c r="D355" s="100">
        <v>3300.0</v>
      </c>
      <c r="E355" s="54"/>
      <c r="F355" s="79" t="s">
        <v>4541</v>
      </c>
      <c r="G355" s="93" t="s">
        <v>4556</v>
      </c>
      <c r="H355" s="54"/>
      <c r="I355" s="1"/>
    </row>
    <row r="356">
      <c r="A356" s="146" t="s">
        <v>68</v>
      </c>
      <c r="B356" s="77" t="str">
        <f>IFERROR(HYPERLINK(VLOOKUP(A356,Internal_lists_bugs!$A$2:$C$73,3,FALSE()), VLOOKUP(A356,Internal_lists_bugs!$A$2:$C$73,3,FALSE())&amp;Char(10) &amp; Char(10) &amp; VLOOKUP(A356,Internal_lists_bugs!$A$2:$Z$73,26,FALSE())),"please select a BUG ID")</f>
        <v>https://github.com/elastic/elasticsearch/issues/5048
/aggregations/AggregatorFactories.java</v>
      </c>
      <c r="C356" s="81" t="str">
        <f>IFERROR(Hyperlink(VLOOKUP(A356,Internal_lists_bugs!$A$2:$G1061,7,FALSE()),"BIC: "&amp;VLOOKUP(A356,Internal_lists_bugs!$A$2:$G1061,7,FALSE())&amp;CHAR(10)&amp;"Intro.Issues: "&amp;VLOOKUP(A356,Internal_lists_bugs!$A$2:$P1061,16,FALSE())),"please select a BUG ID")</f>
        <v>BIC: https://github.com/elastic/elasticsearch/commit/c7f6c52
Intro.Issues: 3300</v>
      </c>
      <c r="D356" s="100">
        <v>3300.0</v>
      </c>
      <c r="E356" s="54"/>
      <c r="F356" s="79" t="s">
        <v>4557</v>
      </c>
      <c r="G356" s="93" t="s">
        <v>4558</v>
      </c>
      <c r="H356" s="54"/>
      <c r="I356" s="1"/>
    </row>
    <row r="357">
      <c r="A357" s="146" t="s">
        <v>68</v>
      </c>
      <c r="B357" s="77" t="str">
        <f>IFERROR(HYPERLINK(VLOOKUP(A357,Internal_lists_bugs!$A$2:$C$73,3,FALSE()), VLOOKUP(A357,Internal_lists_bugs!$A$2:$C$73,3,FALSE())&amp;Char(10) &amp; Char(10) &amp; VLOOKUP(A357,Internal_lists_bugs!$A$2:$Z$73,26,FALSE())),"please select a BUG ID")</f>
        <v>https://github.com/elastic/elasticsearch/issues/5048
/aggregations/AggregatorFactories.java</v>
      </c>
      <c r="C357" s="81" t="str">
        <f>IFERROR(Hyperlink(VLOOKUP(A357,Internal_lists_bugs!$A$2:$G1061,7,FALSE()),"BIC: "&amp;VLOOKUP(A357,Internal_lists_bugs!$A$2:$G1061,7,FALSE())&amp;CHAR(10)&amp;"Intro.Issues: "&amp;VLOOKUP(A357,Internal_lists_bugs!$A$2:$P1061,16,FALSE())),"please select a BUG ID")</f>
        <v>BIC: https://github.com/elastic/elasticsearch/commit/c7f6c52
Intro.Issues: 3300</v>
      </c>
      <c r="D357" s="100">
        <v>3300.0</v>
      </c>
      <c r="E357" s="54"/>
      <c r="F357" s="79" t="s">
        <v>4284</v>
      </c>
      <c r="G357" s="93" t="s">
        <v>324</v>
      </c>
      <c r="H357" s="54"/>
      <c r="I357" s="1"/>
    </row>
    <row r="358">
      <c r="A358" s="146" t="s">
        <v>68</v>
      </c>
      <c r="B358" s="77" t="str">
        <f>IFERROR(HYPERLINK(VLOOKUP(A358,Internal_lists_bugs!$A$2:$C$73,3,FALSE()), VLOOKUP(A358,Internal_lists_bugs!$A$2:$C$73,3,FALSE())&amp;Char(10) &amp; Char(10) &amp; VLOOKUP(A358,Internal_lists_bugs!$A$2:$Z$73,26,FALSE())),"please select a BUG ID")</f>
        <v>https://github.com/elastic/elasticsearch/issues/5048
/aggregations/AggregatorFactories.java</v>
      </c>
      <c r="C358" s="81" t="str">
        <f>IFERROR(Hyperlink(VLOOKUP(A358,Internal_lists_bugs!$A$2:$G1061,7,FALSE()),"BIC: "&amp;VLOOKUP(A358,Internal_lists_bugs!$A$2:$G1061,7,FALSE())&amp;CHAR(10)&amp;"Intro.Issues: "&amp;VLOOKUP(A358,Internal_lists_bugs!$A$2:$P1061,16,FALSE())),"please select a BUG ID")</f>
        <v>BIC: https://github.com/elastic/elasticsearch/commit/c7f6c52
Intro.Issues: 3300</v>
      </c>
      <c r="D358" s="100">
        <v>3300.0</v>
      </c>
      <c r="E358" s="54"/>
      <c r="F358" s="79" t="s">
        <v>4559</v>
      </c>
      <c r="G358" s="93" t="s">
        <v>4560</v>
      </c>
      <c r="H358" s="54"/>
      <c r="I358" s="1"/>
    </row>
    <row r="359">
      <c r="A359" s="146" t="s">
        <v>68</v>
      </c>
      <c r="B359" s="77" t="str">
        <f>IFERROR(HYPERLINK(VLOOKUP(A359,Internal_lists_bugs!$A$2:$C$73,3,FALSE()), VLOOKUP(A359,Internal_lists_bugs!$A$2:$C$73,3,FALSE())&amp;Char(10) &amp; Char(10) &amp; VLOOKUP(A359,Internal_lists_bugs!$A$2:$Z$73,26,FALSE())),"please select a BUG ID")</f>
        <v>https://github.com/elastic/elasticsearch/issues/5048
/aggregations/AggregatorFactories.java</v>
      </c>
      <c r="C359" s="81" t="str">
        <f>IFERROR(Hyperlink(VLOOKUP(A359,Internal_lists_bugs!$A$2:$G1061,7,FALSE()),"BIC: "&amp;VLOOKUP(A359,Internal_lists_bugs!$A$2:$G1061,7,FALSE())&amp;CHAR(10)&amp;"Intro.Issues: "&amp;VLOOKUP(A359,Internal_lists_bugs!$A$2:$P1061,16,FALSE())),"please select a BUG ID")</f>
        <v>BIC: https://github.com/elastic/elasticsearch/commit/c7f6c52
Intro.Issues: 3300</v>
      </c>
      <c r="D359" s="100">
        <v>3300.0</v>
      </c>
      <c r="E359" s="54"/>
      <c r="F359" s="79" t="s">
        <v>4561</v>
      </c>
      <c r="G359" s="93" t="s">
        <v>4562</v>
      </c>
      <c r="H359" s="54"/>
      <c r="I359" s="1"/>
    </row>
    <row r="360">
      <c r="A360" s="146" t="s">
        <v>68</v>
      </c>
      <c r="B360" s="77" t="str">
        <f>IFERROR(HYPERLINK(VLOOKUP(A360,Internal_lists_bugs!$A$2:$C$73,3,FALSE()), VLOOKUP(A360,Internal_lists_bugs!$A$2:$C$73,3,FALSE())&amp;Char(10) &amp; Char(10) &amp; VLOOKUP(A360,Internal_lists_bugs!$A$2:$Z$73,26,FALSE())),"please select a BUG ID")</f>
        <v>https://github.com/elastic/elasticsearch/issues/5048
/aggregations/AggregatorFactories.java</v>
      </c>
      <c r="C360" s="81" t="str">
        <f>IFERROR(Hyperlink(VLOOKUP(A360,Internal_lists_bugs!$A$2:$G1061,7,FALSE()),"BIC: "&amp;VLOOKUP(A360,Internal_lists_bugs!$A$2:$G1061,7,FALSE())&amp;CHAR(10)&amp;"Intro.Issues: "&amp;VLOOKUP(A360,Internal_lists_bugs!$A$2:$P1061,16,FALSE())),"please select a BUG ID")</f>
        <v>BIC: https://github.com/elastic/elasticsearch/commit/c7f6c52
Intro.Issues: 3300</v>
      </c>
      <c r="D360" s="100">
        <v>3300.0</v>
      </c>
      <c r="E360" s="54"/>
      <c r="F360" s="79" t="s">
        <v>4563</v>
      </c>
      <c r="G360" s="93" t="s">
        <v>4558</v>
      </c>
      <c r="H360" s="54"/>
      <c r="I360" s="1"/>
    </row>
    <row r="361">
      <c r="A361" s="146" t="s">
        <v>68</v>
      </c>
      <c r="B361" s="77" t="str">
        <f>IFERROR(HYPERLINK(VLOOKUP(A361,Internal_lists_bugs!$A$2:$C$73,3,FALSE()), VLOOKUP(A361,Internal_lists_bugs!$A$2:$C$73,3,FALSE())&amp;Char(10) &amp; Char(10) &amp; VLOOKUP(A361,Internal_lists_bugs!$A$2:$Z$73,26,FALSE())),"please select a BUG ID")</f>
        <v>https://github.com/elastic/elasticsearch/issues/5048
/aggregations/AggregatorFactories.java</v>
      </c>
      <c r="C361" s="81" t="str">
        <f>IFERROR(Hyperlink(VLOOKUP(A361,Internal_lists_bugs!$A$2:$G1061,7,FALSE()),"BIC: "&amp;VLOOKUP(A361,Internal_lists_bugs!$A$2:$G1061,7,FALSE())&amp;CHAR(10)&amp;"Intro.Issues: "&amp;VLOOKUP(A361,Internal_lists_bugs!$A$2:$P1061,16,FALSE())),"please select a BUG ID")</f>
        <v>BIC: https://github.com/elastic/elasticsearch/commit/c7f6c52
Intro.Issues: 3300</v>
      </c>
      <c r="D361" s="100">
        <v>3300.0</v>
      </c>
      <c r="E361" s="54"/>
      <c r="F361" s="79" t="s">
        <v>4564</v>
      </c>
      <c r="G361" s="93" t="s">
        <v>4562</v>
      </c>
      <c r="H361" s="54"/>
      <c r="I361" s="1"/>
    </row>
    <row r="362">
      <c r="A362" s="146" t="s">
        <v>68</v>
      </c>
      <c r="B362" s="77" t="str">
        <f>IFERROR(HYPERLINK(VLOOKUP(A362,Internal_lists_bugs!$A$2:$C$73,3,FALSE()), VLOOKUP(A362,Internal_lists_bugs!$A$2:$C$73,3,FALSE())&amp;Char(10) &amp; Char(10) &amp; VLOOKUP(A362,Internal_lists_bugs!$A$2:$Z$73,26,FALSE())),"please select a BUG ID")</f>
        <v>https://github.com/elastic/elasticsearch/issues/5048
/aggregations/AggregatorFactories.java</v>
      </c>
      <c r="C362" s="81" t="str">
        <f>IFERROR(Hyperlink(VLOOKUP(A362,Internal_lists_bugs!$A$2:$G1061,7,FALSE()),"BIC: "&amp;VLOOKUP(A362,Internal_lists_bugs!$A$2:$G1061,7,FALSE())&amp;CHAR(10)&amp;"Intro.Issues: "&amp;VLOOKUP(A362,Internal_lists_bugs!$A$2:$P1061,16,FALSE())),"please select a BUG ID")</f>
        <v>BIC: https://github.com/elastic/elasticsearch/commit/c7f6c52
Intro.Issues: 3300</v>
      </c>
      <c r="D362" s="100">
        <v>3300.0</v>
      </c>
      <c r="E362" s="54"/>
      <c r="F362" s="79" t="s">
        <v>4547</v>
      </c>
      <c r="G362" s="93" t="s">
        <v>4558</v>
      </c>
      <c r="H362" s="54"/>
      <c r="I362" s="1"/>
    </row>
    <row r="363">
      <c r="A363" s="146" t="s">
        <v>68</v>
      </c>
      <c r="B363" s="77" t="str">
        <f>IFERROR(HYPERLINK(VLOOKUP(A363,Internal_lists_bugs!$A$2:$C$73,3,FALSE()), VLOOKUP(A363,Internal_lists_bugs!$A$2:$C$73,3,FALSE())&amp;Char(10) &amp; Char(10) &amp; VLOOKUP(A363,Internal_lists_bugs!$A$2:$Z$73,26,FALSE())),"please select a BUG ID")</f>
        <v>https://github.com/elastic/elasticsearch/issues/5048
/aggregations/AggregatorFactories.java</v>
      </c>
      <c r="C363" s="81" t="str">
        <f>IFERROR(Hyperlink(VLOOKUP(A363,Internal_lists_bugs!$A$2:$G1061,7,FALSE()),"BIC: "&amp;VLOOKUP(A363,Internal_lists_bugs!$A$2:$G1061,7,FALSE())&amp;CHAR(10)&amp;"Intro.Issues: "&amp;VLOOKUP(A363,Internal_lists_bugs!$A$2:$P1061,16,FALSE())),"please select a BUG ID")</f>
        <v>BIC: https://github.com/elastic/elasticsearch/commit/c7f6c52
Intro.Issues: 3300</v>
      </c>
      <c r="D363" s="100">
        <v>3300.0</v>
      </c>
      <c r="E363" s="54"/>
      <c r="F363" s="79" t="s">
        <v>473</v>
      </c>
      <c r="G363" s="93" t="s">
        <v>4562</v>
      </c>
      <c r="H363" s="54"/>
      <c r="I363" s="1"/>
    </row>
    <row r="364">
      <c r="A364" s="146" t="s">
        <v>68</v>
      </c>
      <c r="B364" s="77" t="str">
        <f>IFERROR(HYPERLINK(VLOOKUP(A364,Internal_lists_bugs!$A$2:$C$73,3,FALSE()), VLOOKUP(A364,Internal_lists_bugs!$A$2:$C$73,3,FALSE())&amp;Char(10) &amp; Char(10) &amp; VLOOKUP(A364,Internal_lists_bugs!$A$2:$Z$73,26,FALSE())),"please select a BUG ID")</f>
        <v>https://github.com/elastic/elasticsearch/issues/5048
/aggregations/AggregatorFactories.java</v>
      </c>
      <c r="C364" s="81" t="str">
        <f>IFERROR(Hyperlink(VLOOKUP(A364,Internal_lists_bugs!$A$2:$G1061,7,FALSE()),"BIC: "&amp;VLOOKUP(A364,Internal_lists_bugs!$A$2:$G1061,7,FALSE())&amp;CHAR(10)&amp;"Intro.Issues: "&amp;VLOOKUP(A364,Internal_lists_bugs!$A$2:$P1061,16,FALSE())),"please select a BUG ID")</f>
        <v>BIC: https://github.com/elastic/elasticsearch/commit/c7f6c52
Intro.Issues: 3300</v>
      </c>
      <c r="D364" s="100">
        <v>3300.0</v>
      </c>
      <c r="E364" s="54"/>
      <c r="F364" s="79" t="s">
        <v>4547</v>
      </c>
      <c r="G364" s="93" t="s">
        <v>4565</v>
      </c>
      <c r="H364" s="54"/>
      <c r="I364" s="1"/>
    </row>
    <row r="365">
      <c r="A365" s="146" t="s">
        <v>68</v>
      </c>
      <c r="B365" s="77" t="str">
        <f>IFERROR(HYPERLINK(VLOOKUP(A365,Internal_lists_bugs!$A$2:$C$73,3,FALSE()), VLOOKUP(A365,Internal_lists_bugs!$A$2:$C$73,3,FALSE())&amp;Char(10) &amp; Char(10) &amp; VLOOKUP(A365,Internal_lists_bugs!$A$2:$Z$73,26,FALSE())),"please select a BUG ID")</f>
        <v>https://github.com/elastic/elasticsearch/issues/5048
/aggregations/AggregatorFactories.java</v>
      </c>
      <c r="C365" s="81" t="str">
        <f>IFERROR(Hyperlink(VLOOKUP(A365,Internal_lists_bugs!$A$2:$G1061,7,FALSE()),"BIC: "&amp;VLOOKUP(A365,Internal_lists_bugs!$A$2:$G1061,7,FALSE())&amp;CHAR(10)&amp;"Intro.Issues: "&amp;VLOOKUP(A365,Internal_lists_bugs!$A$2:$P1061,16,FALSE())),"please select a BUG ID")</f>
        <v>BIC: https://github.com/elastic/elasticsearch/commit/c7f6c52
Intro.Issues: 3300</v>
      </c>
      <c r="D365" s="100">
        <v>3300.0</v>
      </c>
      <c r="E365" s="54"/>
      <c r="F365" s="79" t="s">
        <v>4566</v>
      </c>
      <c r="G365" s="93" t="s">
        <v>4567</v>
      </c>
      <c r="H365" s="54"/>
      <c r="I365" s="1"/>
    </row>
    <row r="366">
      <c r="A366" s="146" t="s">
        <v>68</v>
      </c>
      <c r="B366" s="77" t="str">
        <f>IFERROR(HYPERLINK(VLOOKUP(A366,Internal_lists_bugs!$A$2:$C$73,3,FALSE()), VLOOKUP(A366,Internal_lists_bugs!$A$2:$C$73,3,FALSE())&amp;Char(10) &amp; Char(10) &amp; VLOOKUP(A366,Internal_lists_bugs!$A$2:$Z$73,26,FALSE())),"please select a BUG ID")</f>
        <v>https://github.com/elastic/elasticsearch/issues/5048
/aggregations/AggregatorFactories.java</v>
      </c>
      <c r="C366" s="81" t="str">
        <f>IFERROR(Hyperlink(VLOOKUP(A366,Internal_lists_bugs!$A$2:$G1061,7,FALSE()),"BIC: "&amp;VLOOKUP(A366,Internal_lists_bugs!$A$2:$G1061,7,FALSE())&amp;CHAR(10)&amp;"Intro.Issues: "&amp;VLOOKUP(A366,Internal_lists_bugs!$A$2:$P1061,16,FALSE())),"please select a BUG ID")</f>
        <v>BIC: https://github.com/elastic/elasticsearch/commit/c7f6c52
Intro.Issues: 3300</v>
      </c>
      <c r="D366" s="100">
        <v>3300.0</v>
      </c>
      <c r="E366" s="54"/>
      <c r="F366" s="79" t="s">
        <v>4568</v>
      </c>
      <c r="G366" s="93" t="s">
        <v>4569</v>
      </c>
      <c r="H366" s="54"/>
      <c r="I366" s="1"/>
    </row>
    <row r="367">
      <c r="A367" s="146" t="s">
        <v>68</v>
      </c>
      <c r="B367" s="77" t="str">
        <f>IFERROR(HYPERLINK(VLOOKUP(A367,Internal_lists_bugs!$A$2:$C$73,3,FALSE()), VLOOKUP(A367,Internal_lists_bugs!$A$2:$C$73,3,FALSE())&amp;Char(10) &amp; Char(10) &amp; VLOOKUP(A367,Internal_lists_bugs!$A$2:$Z$73,26,FALSE())),"please select a BUG ID")</f>
        <v>https://github.com/elastic/elasticsearch/issues/5048
/aggregations/AggregatorFactories.java</v>
      </c>
      <c r="C367" s="81" t="str">
        <f>IFERROR(Hyperlink(VLOOKUP(A367,Internal_lists_bugs!$A$2:$G1061,7,FALSE()),"BIC: "&amp;VLOOKUP(A367,Internal_lists_bugs!$A$2:$G1061,7,FALSE())&amp;CHAR(10)&amp;"Intro.Issues: "&amp;VLOOKUP(A367,Internal_lists_bugs!$A$2:$P1061,16,FALSE())),"please select a BUG ID")</f>
        <v>BIC: https://github.com/elastic/elasticsearch/commit/c7f6c52
Intro.Issues: 3300</v>
      </c>
      <c r="D367" s="100">
        <v>3300.0</v>
      </c>
      <c r="E367" s="54"/>
      <c r="F367" s="79" t="s">
        <v>4539</v>
      </c>
      <c r="G367" s="93" t="s">
        <v>4569</v>
      </c>
      <c r="H367" s="54"/>
      <c r="I367" s="1"/>
    </row>
    <row r="368">
      <c r="A368" s="146" t="s">
        <v>68</v>
      </c>
      <c r="B368" s="77" t="str">
        <f>IFERROR(HYPERLINK(VLOOKUP(A368,Internal_lists_bugs!$A$2:$C$73,3,FALSE()), VLOOKUP(A368,Internal_lists_bugs!$A$2:$C$73,3,FALSE())&amp;Char(10) &amp; Char(10) &amp; VLOOKUP(A368,Internal_lists_bugs!$A$2:$Z$73,26,FALSE())),"please select a BUG ID")</f>
        <v>https://github.com/elastic/elasticsearch/issues/5048
/aggregations/AggregatorFactories.java</v>
      </c>
      <c r="C368" s="81" t="str">
        <f>IFERROR(Hyperlink(VLOOKUP(A368,Internal_lists_bugs!$A$2:$G1061,7,FALSE()),"BIC: "&amp;VLOOKUP(A368,Internal_lists_bugs!$A$2:$G1061,7,FALSE())&amp;CHAR(10)&amp;"Intro.Issues: "&amp;VLOOKUP(A368,Internal_lists_bugs!$A$2:$P1061,16,FALSE())),"please select a BUG ID")</f>
        <v>BIC: https://github.com/elastic/elasticsearch/commit/c7f6c52
Intro.Issues: 3300</v>
      </c>
      <c r="D368" s="100">
        <v>3300.0</v>
      </c>
      <c r="E368" s="54"/>
      <c r="F368" s="79" t="s">
        <v>4570</v>
      </c>
      <c r="G368" s="93" t="s">
        <v>4571</v>
      </c>
      <c r="H368" s="54"/>
      <c r="I368" s="1"/>
    </row>
    <row r="369">
      <c r="A369" s="146" t="s">
        <v>68</v>
      </c>
      <c r="B369" s="77" t="str">
        <f>IFERROR(HYPERLINK(VLOOKUP(A369,Internal_lists_bugs!$A$2:$C$73,3,FALSE()), VLOOKUP(A369,Internal_lists_bugs!$A$2:$C$73,3,FALSE())&amp;Char(10) &amp; Char(10) &amp; VLOOKUP(A369,Internal_lists_bugs!$A$2:$Z$73,26,FALSE())),"please select a BUG ID")</f>
        <v>https://github.com/elastic/elasticsearch/issues/5048
/aggregations/AggregatorFactories.java</v>
      </c>
      <c r="C369" s="81" t="str">
        <f>IFERROR(Hyperlink(VLOOKUP(A369,Internal_lists_bugs!$A$2:$G1061,7,FALSE()),"BIC: "&amp;VLOOKUP(A369,Internal_lists_bugs!$A$2:$G1061,7,FALSE())&amp;CHAR(10)&amp;"Intro.Issues: "&amp;VLOOKUP(A369,Internal_lists_bugs!$A$2:$P1061,16,FALSE())),"please select a BUG ID")</f>
        <v>BIC: https://github.com/elastic/elasticsearch/commit/c7f6c52
Intro.Issues: 3300</v>
      </c>
      <c r="D369" s="100">
        <v>3300.0</v>
      </c>
      <c r="E369" s="54"/>
      <c r="F369" s="79" t="s">
        <v>4572</v>
      </c>
      <c r="G369" s="93" t="s">
        <v>4571</v>
      </c>
      <c r="H369" s="54"/>
      <c r="I369" s="1"/>
    </row>
    <row r="370">
      <c r="A370" s="146" t="s">
        <v>68</v>
      </c>
      <c r="B370" s="77" t="str">
        <f>IFERROR(HYPERLINK(VLOOKUP(A370,Internal_lists_bugs!$A$2:$C$73,3,FALSE()), VLOOKUP(A370,Internal_lists_bugs!$A$2:$C$73,3,FALSE())&amp;Char(10) &amp; Char(10) &amp; VLOOKUP(A370,Internal_lists_bugs!$A$2:$Z$73,26,FALSE())),"please select a BUG ID")</f>
        <v>https://github.com/elastic/elasticsearch/issues/5048
/aggregations/AggregatorFactories.java</v>
      </c>
      <c r="C370" s="81" t="str">
        <f>IFERROR(Hyperlink(VLOOKUP(A370,Internal_lists_bugs!$A$2:$G1061,7,FALSE()),"BIC: "&amp;VLOOKUP(A370,Internal_lists_bugs!$A$2:$G1061,7,FALSE())&amp;CHAR(10)&amp;"Intro.Issues: "&amp;VLOOKUP(A370,Internal_lists_bugs!$A$2:$P1061,16,FALSE())),"please select a BUG ID")</f>
        <v>BIC: https://github.com/elastic/elasticsearch/commit/c7f6c52
Intro.Issues: 3300</v>
      </c>
      <c r="D370" s="100">
        <v>3300.0</v>
      </c>
      <c r="E370" s="54"/>
      <c r="F370" s="79" t="s">
        <v>4570</v>
      </c>
      <c r="G370" s="93" t="s">
        <v>4573</v>
      </c>
      <c r="H370" s="54"/>
      <c r="I370" s="1"/>
    </row>
    <row r="371">
      <c r="A371" s="146" t="s">
        <v>68</v>
      </c>
      <c r="B371" s="77" t="str">
        <f>IFERROR(HYPERLINK(VLOOKUP(A371,Internal_lists_bugs!$A$2:$C$73,3,FALSE()), VLOOKUP(A371,Internal_lists_bugs!$A$2:$C$73,3,FALSE())&amp;Char(10) &amp; Char(10) &amp; VLOOKUP(A371,Internal_lists_bugs!$A$2:$Z$73,26,FALSE())),"please select a BUG ID")</f>
        <v>https://github.com/elastic/elasticsearch/issues/5048
/aggregations/AggregatorFactories.java</v>
      </c>
      <c r="C371" s="81" t="str">
        <f>IFERROR(Hyperlink(VLOOKUP(A371,Internal_lists_bugs!$A$2:$G1061,7,FALSE()),"BIC: "&amp;VLOOKUP(A371,Internal_lists_bugs!$A$2:$G1061,7,FALSE())&amp;CHAR(10)&amp;"Intro.Issues: "&amp;VLOOKUP(A371,Internal_lists_bugs!$A$2:$P1061,16,FALSE())),"please select a BUG ID")</f>
        <v>BIC: https://github.com/elastic/elasticsearch/commit/c7f6c52
Intro.Issues: 3300</v>
      </c>
      <c r="D371" s="100">
        <v>3300.0</v>
      </c>
      <c r="E371" s="54"/>
      <c r="F371" s="79" t="s">
        <v>4559</v>
      </c>
      <c r="G371" s="93" t="s">
        <v>4574</v>
      </c>
      <c r="H371" s="54"/>
      <c r="I371" s="1"/>
    </row>
    <row r="372">
      <c r="A372" s="146" t="s">
        <v>68</v>
      </c>
      <c r="B372" s="77" t="str">
        <f>IFERROR(HYPERLINK(VLOOKUP(A372,Internal_lists_bugs!$A$2:$C$73,3,FALSE()), VLOOKUP(A372,Internal_lists_bugs!$A$2:$C$73,3,FALSE())&amp;Char(10) &amp; Char(10) &amp; VLOOKUP(A372,Internal_lists_bugs!$A$2:$Z$73,26,FALSE())),"please select a BUG ID")</f>
        <v>https://github.com/elastic/elasticsearch/issues/5048
/aggregations/AggregatorFactories.java</v>
      </c>
      <c r="C372" s="81" t="str">
        <f>IFERROR(Hyperlink(VLOOKUP(A372,Internal_lists_bugs!$A$2:$G1061,7,FALSE()),"BIC: "&amp;VLOOKUP(A372,Internal_lists_bugs!$A$2:$G1061,7,FALSE())&amp;CHAR(10)&amp;"Intro.Issues: "&amp;VLOOKUP(A372,Internal_lists_bugs!$A$2:$P1061,16,FALSE())),"please select a BUG ID")</f>
        <v>BIC: https://github.com/elastic/elasticsearch/commit/c7f6c52
Intro.Issues: 3300</v>
      </c>
      <c r="D372" s="100">
        <v>3300.0</v>
      </c>
      <c r="E372" s="54"/>
      <c r="F372" s="79" t="s">
        <v>4570</v>
      </c>
      <c r="G372" s="93" t="s">
        <v>4575</v>
      </c>
      <c r="H372" s="54"/>
      <c r="I372" s="1"/>
    </row>
    <row r="373">
      <c r="A373" s="146" t="s">
        <v>68</v>
      </c>
      <c r="B373" s="77" t="str">
        <f>IFERROR(HYPERLINK(VLOOKUP(A373,Internal_lists_bugs!$A$2:$C$73,3,FALSE()), VLOOKUP(A373,Internal_lists_bugs!$A$2:$C$73,3,FALSE())&amp;Char(10) &amp; Char(10) &amp; VLOOKUP(A373,Internal_lists_bugs!$A$2:$Z$73,26,FALSE())),"please select a BUG ID")</f>
        <v>https://github.com/elastic/elasticsearch/issues/5048
/aggregations/AggregatorFactories.java</v>
      </c>
      <c r="C373" s="81" t="str">
        <f>IFERROR(Hyperlink(VLOOKUP(A373,Internal_lists_bugs!$A$2:$G1061,7,FALSE()),"BIC: "&amp;VLOOKUP(A373,Internal_lists_bugs!$A$2:$G1061,7,FALSE())&amp;CHAR(10)&amp;"Intro.Issues: "&amp;VLOOKUP(A373,Internal_lists_bugs!$A$2:$P1061,16,FALSE())),"please select a BUG ID")</f>
        <v>BIC: https://github.com/elastic/elasticsearch/commit/c7f6c52
Intro.Issues: 3300</v>
      </c>
      <c r="D373" s="100">
        <v>3300.0</v>
      </c>
      <c r="E373" s="54"/>
      <c r="F373" s="79" t="s">
        <v>4547</v>
      </c>
      <c r="G373" s="93" t="s">
        <v>4576</v>
      </c>
      <c r="H373" s="54"/>
      <c r="I373" s="1"/>
    </row>
    <row r="374">
      <c r="A374" s="146" t="s">
        <v>68</v>
      </c>
      <c r="B374" s="77" t="str">
        <f>IFERROR(HYPERLINK(VLOOKUP(A374,Internal_lists_bugs!$A$2:$C$73,3,FALSE()), VLOOKUP(A374,Internal_lists_bugs!$A$2:$C$73,3,FALSE())&amp;Char(10) &amp; Char(10) &amp; VLOOKUP(A374,Internal_lists_bugs!$A$2:$Z$73,26,FALSE())),"please select a BUG ID")</f>
        <v>https://github.com/elastic/elasticsearch/issues/5048
/aggregations/AggregatorFactories.java</v>
      </c>
      <c r="C374" s="81" t="str">
        <f>IFERROR(Hyperlink(VLOOKUP(A374,Internal_lists_bugs!$A$2:$G1061,7,FALSE()),"BIC: "&amp;VLOOKUP(A374,Internal_lists_bugs!$A$2:$G1061,7,FALSE())&amp;CHAR(10)&amp;"Intro.Issues: "&amp;VLOOKUP(A374,Internal_lists_bugs!$A$2:$P1061,16,FALSE())),"please select a BUG ID")</f>
        <v>BIC: https://github.com/elastic/elasticsearch/commit/c7f6c52
Intro.Issues: 3300</v>
      </c>
      <c r="D374" s="100">
        <v>3300.0</v>
      </c>
      <c r="E374" s="54"/>
      <c r="F374" s="79" t="s">
        <v>4570</v>
      </c>
      <c r="G374" s="93" t="s">
        <v>4576</v>
      </c>
      <c r="H374" s="54"/>
      <c r="I374" s="1"/>
    </row>
    <row r="375">
      <c r="A375" s="146" t="s">
        <v>68</v>
      </c>
      <c r="B375" s="77" t="str">
        <f>IFERROR(HYPERLINK(VLOOKUP(A375,Internal_lists_bugs!$A$2:$C$73,3,FALSE()), VLOOKUP(A375,Internal_lists_bugs!$A$2:$C$73,3,FALSE())&amp;Char(10) &amp; Char(10) &amp; VLOOKUP(A375,Internal_lists_bugs!$A$2:$Z$73,26,FALSE())),"please select a BUG ID")</f>
        <v>https://github.com/elastic/elasticsearch/issues/5048
/aggregations/AggregatorFactories.java</v>
      </c>
      <c r="C375" s="81" t="str">
        <f>IFERROR(Hyperlink(VLOOKUP(A375,Internal_lists_bugs!$A$2:$G1061,7,FALSE()),"BIC: "&amp;VLOOKUP(A375,Internal_lists_bugs!$A$2:$G1061,7,FALSE())&amp;CHAR(10)&amp;"Intro.Issues: "&amp;VLOOKUP(A375,Internal_lists_bugs!$A$2:$P1061,16,FALSE())),"please select a BUG ID")</f>
        <v>BIC: https://github.com/elastic/elasticsearch/commit/c7f6c52
Intro.Issues: 3300</v>
      </c>
      <c r="D375" s="100">
        <v>3300.0</v>
      </c>
      <c r="E375" s="54"/>
      <c r="F375" s="79" t="s">
        <v>4577</v>
      </c>
      <c r="G375" s="93" t="s">
        <v>4578</v>
      </c>
      <c r="H375" s="54"/>
      <c r="I375" s="1"/>
    </row>
    <row r="376">
      <c r="A376" s="146" t="s">
        <v>68</v>
      </c>
      <c r="B376" s="77" t="str">
        <f>IFERROR(HYPERLINK(VLOOKUP(A376,Internal_lists_bugs!$A$2:$C$73,3,FALSE()), VLOOKUP(A376,Internal_lists_bugs!$A$2:$C$73,3,FALSE())&amp;Char(10) &amp; Char(10) &amp; VLOOKUP(A376,Internal_lists_bugs!$A$2:$Z$73,26,FALSE())),"please select a BUG ID")</f>
        <v>https://github.com/elastic/elasticsearch/issues/5048
/aggregations/AggregatorFactories.java</v>
      </c>
      <c r="C376" s="81" t="str">
        <f>IFERROR(Hyperlink(VLOOKUP(A376,Internal_lists_bugs!$A$2:$G1061,7,FALSE()),"BIC: "&amp;VLOOKUP(A376,Internal_lists_bugs!$A$2:$G1061,7,FALSE())&amp;CHAR(10)&amp;"Intro.Issues: "&amp;VLOOKUP(A376,Internal_lists_bugs!$A$2:$P1061,16,FALSE())),"please select a BUG ID")</f>
        <v>BIC: https://github.com/elastic/elasticsearch/commit/c7f6c52
Intro.Issues: 3300</v>
      </c>
      <c r="D376" s="100">
        <v>3300.0</v>
      </c>
      <c r="E376" s="54"/>
      <c r="F376" s="79" t="s">
        <v>4579</v>
      </c>
      <c r="G376" s="93" t="s">
        <v>4578</v>
      </c>
      <c r="H376" s="54"/>
      <c r="I376" s="1"/>
    </row>
    <row r="377">
      <c r="A377" s="146" t="s">
        <v>68</v>
      </c>
      <c r="B377" s="77" t="str">
        <f>IFERROR(HYPERLINK(VLOOKUP(A377,Internal_lists_bugs!$A$2:$C$73,3,FALSE()), VLOOKUP(A377,Internal_lists_bugs!$A$2:$C$73,3,FALSE())&amp;Char(10) &amp; Char(10) &amp; VLOOKUP(A377,Internal_lists_bugs!$A$2:$Z$73,26,FALSE())),"please select a BUG ID")</f>
        <v>https://github.com/elastic/elasticsearch/issues/5048
/aggregations/AggregatorFactories.java</v>
      </c>
      <c r="C377" s="81" t="str">
        <f>IFERROR(Hyperlink(VLOOKUP(A377,Internal_lists_bugs!$A$2:$G1061,7,FALSE()),"BIC: "&amp;VLOOKUP(A377,Internal_lists_bugs!$A$2:$G1061,7,FALSE())&amp;CHAR(10)&amp;"Intro.Issues: "&amp;VLOOKUP(A377,Internal_lists_bugs!$A$2:$P1061,16,FALSE())),"please select a BUG ID")</f>
        <v>BIC: https://github.com/elastic/elasticsearch/commit/c7f6c52
Intro.Issues: 3300</v>
      </c>
      <c r="D377" s="100">
        <v>3300.0</v>
      </c>
      <c r="E377" s="54"/>
      <c r="F377" s="79" t="s">
        <v>4580</v>
      </c>
      <c r="G377" s="93" t="s">
        <v>4581</v>
      </c>
      <c r="H377" s="54"/>
      <c r="I377" s="1"/>
    </row>
    <row r="378">
      <c r="A378" s="146" t="s">
        <v>68</v>
      </c>
      <c r="B378" s="77" t="str">
        <f>IFERROR(HYPERLINK(VLOOKUP(A378,Internal_lists_bugs!$A$2:$C$73,3,FALSE()), VLOOKUP(A378,Internal_lists_bugs!$A$2:$C$73,3,FALSE())&amp;Char(10) &amp; Char(10) &amp; VLOOKUP(A378,Internal_lists_bugs!$A$2:$Z$73,26,FALSE())),"please select a BUG ID")</f>
        <v>https://github.com/elastic/elasticsearch/issues/5048
/aggregations/AggregatorFactories.java</v>
      </c>
      <c r="C378" s="81" t="str">
        <f>IFERROR(Hyperlink(VLOOKUP(A378,Internal_lists_bugs!$A$2:$G1061,7,FALSE()),"BIC: "&amp;VLOOKUP(A378,Internal_lists_bugs!$A$2:$G1061,7,FALSE())&amp;CHAR(10)&amp;"Intro.Issues: "&amp;VLOOKUP(A378,Internal_lists_bugs!$A$2:$P1061,16,FALSE())),"please select a BUG ID")</f>
        <v>BIC: https://github.com/elastic/elasticsearch/commit/c7f6c52
Intro.Issues: 3300</v>
      </c>
      <c r="D378" s="100">
        <v>3300.0</v>
      </c>
      <c r="E378" s="54"/>
      <c r="F378" s="79" t="s">
        <v>4582</v>
      </c>
      <c r="G378" s="93" t="s">
        <v>4583</v>
      </c>
      <c r="H378" s="54"/>
      <c r="I378" s="1"/>
    </row>
    <row r="379">
      <c r="A379" s="146" t="s">
        <v>68</v>
      </c>
      <c r="B379" s="77" t="str">
        <f>IFERROR(HYPERLINK(VLOOKUP(A379,Internal_lists_bugs!$A$2:$C$73,3,FALSE()), VLOOKUP(A379,Internal_lists_bugs!$A$2:$C$73,3,FALSE())&amp;Char(10) &amp; Char(10) &amp; VLOOKUP(A379,Internal_lists_bugs!$A$2:$Z$73,26,FALSE())),"please select a BUG ID")</f>
        <v>https://github.com/elastic/elasticsearch/issues/5048
/aggregations/AggregatorFactories.java</v>
      </c>
      <c r="C379" s="81" t="str">
        <f>IFERROR(Hyperlink(VLOOKUP(A379,Internal_lists_bugs!$A$2:$G1061,7,FALSE()),"BIC: "&amp;VLOOKUP(A379,Internal_lists_bugs!$A$2:$G1061,7,FALSE())&amp;CHAR(10)&amp;"Intro.Issues: "&amp;VLOOKUP(A379,Internal_lists_bugs!$A$2:$P1061,16,FALSE())),"please select a BUG ID")</f>
        <v>BIC: https://github.com/elastic/elasticsearch/commit/c7f6c52
Intro.Issues: 3300</v>
      </c>
      <c r="D379" s="100">
        <v>3300.0</v>
      </c>
      <c r="E379" s="54"/>
      <c r="F379" s="79" t="s">
        <v>4582</v>
      </c>
      <c r="G379" s="93" t="s">
        <v>4578</v>
      </c>
      <c r="H379" s="54"/>
      <c r="I379" s="1"/>
    </row>
    <row r="380">
      <c r="A380" s="146" t="s">
        <v>68</v>
      </c>
      <c r="B380" s="77" t="str">
        <f>IFERROR(HYPERLINK(VLOOKUP(A380,Internal_lists_bugs!$A$2:$C$73,3,FALSE()), VLOOKUP(A380,Internal_lists_bugs!$A$2:$C$73,3,FALSE())&amp;Char(10) &amp; Char(10) &amp; VLOOKUP(A380,Internal_lists_bugs!$A$2:$Z$73,26,FALSE())),"please select a BUG ID")</f>
        <v>https://github.com/elastic/elasticsearch/issues/5048
/aggregations/AggregatorFactories.java</v>
      </c>
      <c r="C380" s="81" t="str">
        <f>IFERROR(Hyperlink(VLOOKUP(A380,Internal_lists_bugs!$A$2:$G1061,7,FALSE()),"BIC: "&amp;VLOOKUP(A380,Internal_lists_bugs!$A$2:$G1061,7,FALSE())&amp;CHAR(10)&amp;"Intro.Issues: "&amp;VLOOKUP(A380,Internal_lists_bugs!$A$2:$P1061,16,FALSE())),"please select a BUG ID")</f>
        <v>BIC: https://github.com/elastic/elasticsearch/commit/c7f6c52
Intro.Issues: 3300</v>
      </c>
      <c r="D380" s="100">
        <v>3300.0</v>
      </c>
      <c r="E380" s="54"/>
      <c r="F380" s="79" t="s">
        <v>4584</v>
      </c>
      <c r="G380" s="93" t="s">
        <v>4578</v>
      </c>
      <c r="H380" s="54"/>
      <c r="I380" s="1"/>
    </row>
    <row r="381">
      <c r="A381" s="146" t="s">
        <v>68</v>
      </c>
      <c r="B381" s="77" t="str">
        <f>IFERROR(HYPERLINK(VLOOKUP(A381,Internal_lists_bugs!$A$2:$C$73,3,FALSE()), VLOOKUP(A381,Internal_lists_bugs!$A$2:$C$73,3,FALSE())&amp;Char(10) &amp; Char(10) &amp; VLOOKUP(A381,Internal_lists_bugs!$A$2:$Z$73,26,FALSE())),"please select a BUG ID")</f>
        <v>https://github.com/elastic/elasticsearch/issues/5048
/aggregations/AggregatorFactories.java</v>
      </c>
      <c r="C381" s="81" t="str">
        <f>IFERROR(Hyperlink(VLOOKUP(A381,Internal_lists_bugs!$A$2:$G1061,7,FALSE()),"BIC: "&amp;VLOOKUP(A381,Internal_lists_bugs!$A$2:$G1061,7,FALSE())&amp;CHAR(10)&amp;"Intro.Issues: "&amp;VLOOKUP(A381,Internal_lists_bugs!$A$2:$P1061,16,FALSE())),"please select a BUG ID")</f>
        <v>BIC: https://github.com/elastic/elasticsearch/commit/c7f6c52
Intro.Issues: 3300</v>
      </c>
      <c r="D381" s="100">
        <v>3300.0</v>
      </c>
      <c r="E381" s="54"/>
      <c r="F381" s="79" t="s">
        <v>4585</v>
      </c>
      <c r="G381" s="93" t="s">
        <v>4586</v>
      </c>
      <c r="H381" s="54"/>
      <c r="I381" s="1"/>
    </row>
    <row r="382">
      <c r="A382" s="146" t="s">
        <v>68</v>
      </c>
      <c r="B382" s="77" t="str">
        <f>IFERROR(HYPERLINK(VLOOKUP(A382,Internal_lists_bugs!$A$2:$C$73,3,FALSE()), VLOOKUP(A382,Internal_lists_bugs!$A$2:$C$73,3,FALSE())&amp;Char(10) &amp; Char(10) &amp; VLOOKUP(A382,Internal_lists_bugs!$A$2:$Z$73,26,FALSE())),"please select a BUG ID")</f>
        <v>https://github.com/elastic/elasticsearch/issues/5048
/aggregations/AggregatorFactories.java</v>
      </c>
      <c r="C382" s="81" t="str">
        <f>IFERROR(Hyperlink(VLOOKUP(A382,Internal_lists_bugs!$A$2:$G1061,7,FALSE()),"BIC: "&amp;VLOOKUP(A382,Internal_lists_bugs!$A$2:$G1061,7,FALSE())&amp;CHAR(10)&amp;"Intro.Issues: "&amp;VLOOKUP(A382,Internal_lists_bugs!$A$2:$P1061,16,FALSE())),"please select a BUG ID")</f>
        <v>BIC: https://github.com/elastic/elasticsearch/commit/c7f6c52
Intro.Issues: 3300</v>
      </c>
      <c r="D382" s="100">
        <v>3300.0</v>
      </c>
      <c r="E382" s="54"/>
      <c r="F382" s="79" t="s">
        <v>4587</v>
      </c>
      <c r="G382" s="93" t="s">
        <v>4588</v>
      </c>
      <c r="H382" s="54"/>
      <c r="I382" s="1"/>
    </row>
    <row r="383">
      <c r="A383" s="146" t="s">
        <v>68</v>
      </c>
      <c r="B383" s="77" t="str">
        <f>IFERROR(HYPERLINK(VLOOKUP(A383,Internal_lists_bugs!$A$2:$C$73,3,FALSE()), VLOOKUP(A383,Internal_lists_bugs!$A$2:$C$73,3,FALSE())&amp;Char(10) &amp; Char(10) &amp; VLOOKUP(A383,Internal_lists_bugs!$A$2:$Z$73,26,FALSE())),"please select a BUG ID")</f>
        <v>https://github.com/elastic/elasticsearch/issues/5048
/aggregations/AggregatorFactories.java</v>
      </c>
      <c r="C383" s="81" t="str">
        <f>IFERROR(Hyperlink(VLOOKUP(A383,Internal_lists_bugs!$A$2:$G1061,7,FALSE()),"BIC: "&amp;VLOOKUP(A383,Internal_lists_bugs!$A$2:$G1061,7,FALSE())&amp;CHAR(10)&amp;"Intro.Issues: "&amp;VLOOKUP(A383,Internal_lists_bugs!$A$2:$P1061,16,FALSE())),"please select a BUG ID")</f>
        <v>BIC: https://github.com/elastic/elasticsearch/commit/c7f6c52
Intro.Issues: 3300</v>
      </c>
      <c r="D383" s="100">
        <v>3300.0</v>
      </c>
      <c r="E383" s="54"/>
      <c r="F383" s="79" t="s">
        <v>4587</v>
      </c>
      <c r="G383" s="93" t="s">
        <v>4589</v>
      </c>
      <c r="H383" s="54"/>
      <c r="I383" s="1"/>
    </row>
    <row r="384">
      <c r="A384" s="146" t="s">
        <v>68</v>
      </c>
      <c r="B384" s="77" t="str">
        <f>IFERROR(HYPERLINK(VLOOKUP(A384,Internal_lists_bugs!$A$2:$C$73,3,FALSE()), VLOOKUP(A384,Internal_lists_bugs!$A$2:$C$73,3,FALSE())&amp;Char(10) &amp; Char(10) &amp; VLOOKUP(A384,Internal_lists_bugs!$A$2:$Z$73,26,FALSE())),"please select a BUG ID")</f>
        <v>https://github.com/elastic/elasticsearch/issues/5048
/aggregations/AggregatorFactories.java</v>
      </c>
      <c r="C384" s="81" t="str">
        <f>IFERROR(Hyperlink(VLOOKUP(A384,Internal_lists_bugs!$A$2:$G1061,7,FALSE()),"BIC: "&amp;VLOOKUP(A384,Internal_lists_bugs!$A$2:$G1061,7,FALSE())&amp;CHAR(10)&amp;"Intro.Issues: "&amp;VLOOKUP(A384,Internal_lists_bugs!$A$2:$P1061,16,FALSE())),"please select a BUG ID")</f>
        <v>BIC: https://github.com/elastic/elasticsearch/commit/c7f6c52
Intro.Issues: 3300</v>
      </c>
      <c r="D384" s="100">
        <v>3300.0</v>
      </c>
      <c r="E384" s="54"/>
      <c r="F384" s="79" t="s">
        <v>4590</v>
      </c>
      <c r="G384" s="93" t="s">
        <v>4591</v>
      </c>
      <c r="H384" s="54"/>
      <c r="I384" s="1"/>
    </row>
    <row r="385">
      <c r="A385" s="146" t="s">
        <v>68</v>
      </c>
      <c r="B385" s="77" t="str">
        <f>IFERROR(HYPERLINK(VLOOKUP(A385,Internal_lists_bugs!$A$2:$C$73,3,FALSE()), VLOOKUP(A385,Internal_lists_bugs!$A$2:$C$73,3,FALSE())&amp;Char(10) &amp; Char(10) &amp; VLOOKUP(A385,Internal_lists_bugs!$A$2:$Z$73,26,FALSE())),"please select a BUG ID")</f>
        <v>https://github.com/elastic/elasticsearch/issues/5048
/aggregations/AggregatorFactories.java</v>
      </c>
      <c r="C385" s="81" t="str">
        <f>IFERROR(Hyperlink(VLOOKUP(A385,Internal_lists_bugs!$A$2:$G1061,7,FALSE()),"BIC: "&amp;VLOOKUP(A385,Internal_lists_bugs!$A$2:$G1061,7,FALSE())&amp;CHAR(10)&amp;"Intro.Issues: "&amp;VLOOKUP(A385,Internal_lists_bugs!$A$2:$P1061,16,FALSE())),"please select a BUG ID")</f>
        <v>BIC: https://github.com/elastic/elasticsearch/commit/c7f6c52
Intro.Issues: 3300</v>
      </c>
      <c r="D385" s="100">
        <v>3300.0</v>
      </c>
      <c r="E385" s="54"/>
      <c r="F385" s="79" t="s">
        <v>4592</v>
      </c>
      <c r="G385" s="93" t="s">
        <v>4593</v>
      </c>
      <c r="H385" s="54"/>
      <c r="I385" s="1"/>
    </row>
    <row r="386">
      <c r="A386" s="146" t="s">
        <v>68</v>
      </c>
      <c r="B386" s="77" t="str">
        <f>IFERROR(HYPERLINK(VLOOKUP(A386,Internal_lists_bugs!$A$2:$C$73,3,FALSE()), VLOOKUP(A386,Internal_lists_bugs!$A$2:$C$73,3,FALSE())&amp;Char(10) &amp; Char(10) &amp; VLOOKUP(A386,Internal_lists_bugs!$A$2:$Z$73,26,FALSE())),"please select a BUG ID")</f>
        <v>https://github.com/elastic/elasticsearch/issues/5048
/aggregations/AggregatorFactories.java</v>
      </c>
      <c r="C386" s="81" t="str">
        <f>IFERROR(Hyperlink(VLOOKUP(A386,Internal_lists_bugs!$A$2:$G1061,7,FALSE()),"BIC: "&amp;VLOOKUP(A386,Internal_lists_bugs!$A$2:$G1061,7,FALSE())&amp;CHAR(10)&amp;"Intro.Issues: "&amp;VLOOKUP(A386,Internal_lists_bugs!$A$2:$P1061,16,FALSE())),"please select a BUG ID")</f>
        <v>BIC: https://github.com/elastic/elasticsearch/commit/c7f6c52
Intro.Issues: 3300</v>
      </c>
      <c r="D386" s="100">
        <v>3300.0</v>
      </c>
      <c r="E386" s="54"/>
      <c r="F386" s="79" t="s">
        <v>4594</v>
      </c>
      <c r="G386" s="93" t="s">
        <v>4593</v>
      </c>
      <c r="H386" s="54"/>
      <c r="I386" s="1"/>
    </row>
    <row r="387">
      <c r="A387" s="146" t="s">
        <v>68</v>
      </c>
      <c r="B387" s="77" t="str">
        <f>IFERROR(HYPERLINK(VLOOKUP(A387,Internal_lists_bugs!$A$2:$C$73,3,FALSE()), VLOOKUP(A387,Internal_lists_bugs!$A$2:$C$73,3,FALSE())&amp;Char(10) &amp; Char(10) &amp; VLOOKUP(A387,Internal_lists_bugs!$A$2:$Z$73,26,FALSE())),"please select a BUG ID")</f>
        <v>https://github.com/elastic/elasticsearch/issues/5048
/aggregations/AggregatorFactories.java</v>
      </c>
      <c r="C387" s="81" t="str">
        <f>IFERROR(Hyperlink(VLOOKUP(A387,Internal_lists_bugs!$A$2:$G1061,7,FALSE()),"BIC: "&amp;VLOOKUP(A387,Internal_lists_bugs!$A$2:$G1061,7,FALSE())&amp;CHAR(10)&amp;"Intro.Issues: "&amp;VLOOKUP(A387,Internal_lists_bugs!$A$2:$P1061,16,FALSE())),"please select a BUG ID")</f>
        <v>BIC: https://github.com/elastic/elasticsearch/commit/c7f6c52
Intro.Issues: 3300</v>
      </c>
      <c r="D387" s="100">
        <v>3300.0</v>
      </c>
      <c r="E387" s="54"/>
      <c r="F387" s="79" t="s">
        <v>4595</v>
      </c>
      <c r="G387" s="93" t="s">
        <v>4596</v>
      </c>
      <c r="H387" s="54"/>
      <c r="I387" s="1"/>
    </row>
    <row r="388">
      <c r="A388" s="146" t="s">
        <v>68</v>
      </c>
      <c r="B388" s="77" t="str">
        <f>IFERROR(HYPERLINK(VLOOKUP(A388,Internal_lists_bugs!$A$2:$C$73,3,FALSE()), VLOOKUP(A388,Internal_lists_bugs!$A$2:$C$73,3,FALSE())&amp;Char(10) &amp; Char(10) &amp; VLOOKUP(A388,Internal_lists_bugs!$A$2:$Z$73,26,FALSE())),"please select a BUG ID")</f>
        <v>https://github.com/elastic/elasticsearch/issues/5048
/aggregations/AggregatorFactories.java</v>
      </c>
      <c r="C388" s="81" t="str">
        <f>IFERROR(Hyperlink(VLOOKUP(A388,Internal_lists_bugs!$A$2:$G1061,7,FALSE()),"BIC: "&amp;VLOOKUP(A388,Internal_lists_bugs!$A$2:$G1061,7,FALSE())&amp;CHAR(10)&amp;"Intro.Issues: "&amp;VLOOKUP(A388,Internal_lists_bugs!$A$2:$P1061,16,FALSE())),"please select a BUG ID")</f>
        <v>BIC: https://github.com/elastic/elasticsearch/commit/c7f6c52
Intro.Issues: 3300</v>
      </c>
      <c r="D388" s="100">
        <v>3300.0</v>
      </c>
      <c r="E388" s="54"/>
      <c r="F388" s="79" t="s">
        <v>4545</v>
      </c>
      <c r="G388" s="93" t="s">
        <v>4597</v>
      </c>
      <c r="H388" s="54"/>
      <c r="I388" s="1"/>
    </row>
    <row r="389">
      <c r="A389" s="146" t="s">
        <v>68</v>
      </c>
      <c r="B389" s="77" t="str">
        <f>IFERROR(HYPERLINK(VLOOKUP(A389,Internal_lists_bugs!$A$2:$C$73,3,FALSE()), VLOOKUP(A389,Internal_lists_bugs!$A$2:$C$73,3,FALSE())&amp;Char(10) &amp; Char(10) &amp; VLOOKUP(A389,Internal_lists_bugs!$A$2:$Z$73,26,FALSE())),"please select a BUG ID")</f>
        <v>https://github.com/elastic/elasticsearch/issues/5048
/aggregations/AggregatorFactories.java</v>
      </c>
      <c r="C389" s="81" t="str">
        <f>IFERROR(Hyperlink(VLOOKUP(A389,Internal_lists_bugs!$A$2:$G1061,7,FALSE()),"BIC: "&amp;VLOOKUP(A389,Internal_lists_bugs!$A$2:$G1061,7,FALSE())&amp;CHAR(10)&amp;"Intro.Issues: "&amp;VLOOKUP(A389,Internal_lists_bugs!$A$2:$P1061,16,FALSE())),"please select a BUG ID")</f>
        <v>BIC: https://github.com/elastic/elasticsearch/commit/c7f6c52
Intro.Issues: 3300</v>
      </c>
      <c r="D389" s="100">
        <v>3300.0</v>
      </c>
      <c r="E389" s="54"/>
      <c r="F389" s="79" t="s">
        <v>2112</v>
      </c>
      <c r="G389" s="93" t="s">
        <v>4598</v>
      </c>
      <c r="H389" s="54"/>
      <c r="I389" s="1"/>
    </row>
    <row r="390">
      <c r="A390" s="146" t="s">
        <v>68</v>
      </c>
      <c r="B390" s="77" t="str">
        <f>IFERROR(HYPERLINK(VLOOKUP(A390,Internal_lists_bugs!$A$2:$C$73,3,FALSE()), VLOOKUP(A390,Internal_lists_bugs!$A$2:$C$73,3,FALSE())&amp;Char(10) &amp; Char(10) &amp; VLOOKUP(A390,Internal_lists_bugs!$A$2:$Z$73,26,FALSE())),"please select a BUG ID")</f>
        <v>https://github.com/elastic/elasticsearch/issues/5048
/aggregations/AggregatorFactories.java</v>
      </c>
      <c r="C390" s="81" t="str">
        <f>IFERROR(Hyperlink(VLOOKUP(A390,Internal_lists_bugs!$A$2:$G1061,7,FALSE()),"BIC: "&amp;VLOOKUP(A390,Internal_lists_bugs!$A$2:$G1061,7,FALSE())&amp;CHAR(10)&amp;"Intro.Issues: "&amp;VLOOKUP(A390,Internal_lists_bugs!$A$2:$P1061,16,FALSE())),"please select a BUG ID")</f>
        <v>BIC: https://github.com/elastic/elasticsearch/commit/c7f6c52
Intro.Issues: 3300</v>
      </c>
      <c r="D390" s="100">
        <v>3300.0</v>
      </c>
      <c r="E390" s="54"/>
      <c r="F390" s="79" t="s">
        <v>4545</v>
      </c>
      <c r="G390" s="93" t="s">
        <v>4599</v>
      </c>
      <c r="H390" s="54"/>
      <c r="I390" s="1"/>
    </row>
    <row r="391">
      <c r="A391" s="146" t="s">
        <v>68</v>
      </c>
      <c r="B391" s="77" t="str">
        <f>IFERROR(HYPERLINK(VLOOKUP(A391,Internal_lists_bugs!$A$2:$C$73,3,FALSE()), VLOOKUP(A391,Internal_lists_bugs!$A$2:$C$73,3,FALSE())&amp;Char(10) &amp; Char(10) &amp; VLOOKUP(A391,Internal_lists_bugs!$A$2:$Z$73,26,FALSE())),"please select a BUG ID")</f>
        <v>https://github.com/elastic/elasticsearch/issues/5048
/aggregations/AggregatorFactories.java</v>
      </c>
      <c r="C391" s="81" t="str">
        <f>IFERROR(Hyperlink(VLOOKUP(A391,Internal_lists_bugs!$A$2:$G1061,7,FALSE()),"BIC: "&amp;VLOOKUP(A391,Internal_lists_bugs!$A$2:$G1061,7,FALSE())&amp;CHAR(10)&amp;"Intro.Issues: "&amp;VLOOKUP(A391,Internal_lists_bugs!$A$2:$P1061,16,FALSE())),"please select a BUG ID")</f>
        <v>BIC: https://github.com/elastic/elasticsearch/commit/c7f6c52
Intro.Issues: 3300</v>
      </c>
      <c r="D391" s="100">
        <v>3300.0</v>
      </c>
      <c r="E391" s="54"/>
      <c r="F391" s="79" t="s">
        <v>4545</v>
      </c>
      <c r="G391" s="176" t="s">
        <v>4600</v>
      </c>
      <c r="H391" s="54"/>
      <c r="I391" s="1"/>
    </row>
    <row r="392">
      <c r="A392" s="146" t="s">
        <v>68</v>
      </c>
      <c r="B392" s="77" t="str">
        <f>IFERROR(HYPERLINK(VLOOKUP(A392,Internal_lists_bugs!$A$2:$C$73,3,FALSE()), VLOOKUP(A392,Internal_lists_bugs!$A$2:$C$73,3,FALSE())&amp;Char(10) &amp; Char(10) &amp; VLOOKUP(A392,Internal_lists_bugs!$A$2:$Z$73,26,FALSE())),"please select a BUG ID")</f>
        <v>https://github.com/elastic/elasticsearch/issues/5048
/aggregations/AggregatorFactories.java</v>
      </c>
      <c r="C392" s="81" t="str">
        <f>IFERROR(Hyperlink(VLOOKUP(A392,Internal_lists_bugs!$A$2:$G1061,7,FALSE()),"BIC: "&amp;VLOOKUP(A392,Internal_lists_bugs!$A$2:$G1061,7,FALSE())&amp;CHAR(10)&amp;"Intro.Issues: "&amp;VLOOKUP(A392,Internal_lists_bugs!$A$2:$P1061,16,FALSE())),"please select a BUG ID")</f>
        <v>BIC: https://github.com/elastic/elasticsearch/commit/c7f6c52
Intro.Issues: 3300</v>
      </c>
      <c r="D392" s="100">
        <v>3300.0</v>
      </c>
      <c r="E392" s="54"/>
      <c r="F392" s="79" t="s">
        <v>4585</v>
      </c>
      <c r="G392" s="94" t="s">
        <v>4601</v>
      </c>
      <c r="H392" s="54"/>
      <c r="I392" s="1"/>
    </row>
    <row r="393">
      <c r="A393" s="146" t="s">
        <v>68</v>
      </c>
      <c r="B393" s="77" t="str">
        <f>IFERROR(HYPERLINK(VLOOKUP(A393,Internal_lists_bugs!$A$2:$C$73,3,FALSE()), VLOOKUP(A393,Internal_lists_bugs!$A$2:$C$73,3,FALSE())&amp;Char(10) &amp; Char(10) &amp; VLOOKUP(A393,Internal_lists_bugs!$A$2:$Z$73,26,FALSE())),"please select a BUG ID")</f>
        <v>https://github.com/elastic/elasticsearch/issues/5048
/aggregations/AggregatorFactories.java</v>
      </c>
      <c r="C393" s="81" t="str">
        <f>IFERROR(Hyperlink(VLOOKUP(A393,Internal_lists_bugs!$A$2:$G1061,7,FALSE()),"BIC: "&amp;VLOOKUP(A393,Internal_lists_bugs!$A$2:$G1061,7,FALSE())&amp;CHAR(10)&amp;"Intro.Issues: "&amp;VLOOKUP(A393,Internal_lists_bugs!$A$2:$P1061,16,FALSE())),"please select a BUG ID")</f>
        <v>BIC: https://github.com/elastic/elasticsearch/commit/c7f6c52
Intro.Issues: 3300</v>
      </c>
      <c r="D393" s="100">
        <v>3300.0</v>
      </c>
      <c r="E393" s="54"/>
      <c r="F393" s="79" t="s">
        <v>4530</v>
      </c>
      <c r="G393" s="93" t="s">
        <v>4602</v>
      </c>
      <c r="H393" s="54"/>
      <c r="I393" s="1"/>
    </row>
    <row r="394">
      <c r="A394" s="146" t="s">
        <v>68</v>
      </c>
      <c r="B394" s="77" t="str">
        <f>IFERROR(HYPERLINK(VLOOKUP(A394,Internal_lists_bugs!$A$2:$C$73,3,FALSE()), VLOOKUP(A394,Internal_lists_bugs!$A$2:$C$73,3,FALSE())&amp;Char(10) &amp; Char(10) &amp; VLOOKUP(A394,Internal_lists_bugs!$A$2:$Z$73,26,FALSE())),"please select a BUG ID")</f>
        <v>https://github.com/elastic/elasticsearch/issues/5048
/aggregations/AggregatorFactories.java</v>
      </c>
      <c r="C394" s="81" t="str">
        <f>IFERROR(Hyperlink(VLOOKUP(A394,Internal_lists_bugs!$A$2:$G1061,7,FALSE()),"BIC: "&amp;VLOOKUP(A394,Internal_lists_bugs!$A$2:$G1061,7,FALSE())&amp;CHAR(10)&amp;"Intro.Issues: "&amp;VLOOKUP(A394,Internal_lists_bugs!$A$2:$P1061,16,FALSE())),"please select a BUG ID")</f>
        <v>BIC: https://github.com/elastic/elasticsearch/commit/c7f6c52
Intro.Issues: 3300</v>
      </c>
      <c r="D394" s="100">
        <v>3300.0</v>
      </c>
      <c r="E394" s="54"/>
      <c r="F394" s="79" t="s">
        <v>2112</v>
      </c>
      <c r="G394" s="93" t="s">
        <v>4602</v>
      </c>
      <c r="H394" s="54"/>
      <c r="I394" s="1"/>
    </row>
    <row r="395">
      <c r="A395" s="146" t="s">
        <v>68</v>
      </c>
      <c r="B395" s="77" t="str">
        <f>IFERROR(HYPERLINK(VLOOKUP(A395,Internal_lists_bugs!$A$2:$C$73,3,FALSE()), VLOOKUP(A395,Internal_lists_bugs!$A$2:$C$73,3,FALSE())&amp;Char(10) &amp; Char(10) &amp; VLOOKUP(A395,Internal_lists_bugs!$A$2:$Z$73,26,FALSE())),"please select a BUG ID")</f>
        <v>https://github.com/elastic/elasticsearch/issues/5048
/aggregations/AggregatorFactories.java</v>
      </c>
      <c r="C395" s="81" t="str">
        <f>IFERROR(Hyperlink(VLOOKUP(A395,Internal_lists_bugs!$A$2:$G1061,7,FALSE()),"BIC: "&amp;VLOOKUP(A395,Internal_lists_bugs!$A$2:$G1061,7,FALSE())&amp;CHAR(10)&amp;"Intro.Issues: "&amp;VLOOKUP(A395,Internal_lists_bugs!$A$2:$P1061,16,FALSE())),"please select a BUG ID")</f>
        <v>BIC: https://github.com/elastic/elasticsearch/commit/c7f6c52
Intro.Issues: 3300</v>
      </c>
      <c r="D395" s="100">
        <v>3300.0</v>
      </c>
      <c r="E395" s="54"/>
      <c r="F395" s="79" t="s">
        <v>4603</v>
      </c>
      <c r="G395" s="93" t="s">
        <v>4604</v>
      </c>
      <c r="H395" s="54"/>
      <c r="I395" s="1"/>
    </row>
    <row r="396">
      <c r="A396" s="146" t="s">
        <v>68</v>
      </c>
      <c r="B396" s="77" t="str">
        <f>IFERROR(HYPERLINK(VLOOKUP(A396,Internal_lists_bugs!$A$2:$C$73,3,FALSE()), VLOOKUP(A396,Internal_lists_bugs!$A$2:$C$73,3,FALSE())&amp;Char(10) &amp; Char(10) &amp; VLOOKUP(A396,Internal_lists_bugs!$A$2:$Z$73,26,FALSE())),"please select a BUG ID")</f>
        <v>https://github.com/elastic/elasticsearch/issues/5048
/aggregations/AggregatorFactories.java</v>
      </c>
      <c r="C396" s="81" t="str">
        <f>IFERROR(Hyperlink(VLOOKUP(A396,Internal_lists_bugs!$A$2:$G1061,7,FALSE()),"BIC: "&amp;VLOOKUP(A396,Internal_lists_bugs!$A$2:$G1061,7,FALSE())&amp;CHAR(10)&amp;"Intro.Issues: "&amp;VLOOKUP(A396,Internal_lists_bugs!$A$2:$P1061,16,FALSE())),"please select a BUG ID")</f>
        <v>BIC: https://github.com/elastic/elasticsearch/commit/c7f6c52
Intro.Issues: 3300</v>
      </c>
      <c r="D396" s="100">
        <v>3300.0</v>
      </c>
      <c r="E396" s="54"/>
      <c r="F396" s="79" t="s">
        <v>4605</v>
      </c>
      <c r="G396" s="93" t="s">
        <v>4606</v>
      </c>
      <c r="H396" s="54"/>
      <c r="I396" s="1"/>
    </row>
    <row r="397">
      <c r="A397" s="146" t="s">
        <v>68</v>
      </c>
      <c r="B397" s="77" t="str">
        <f>IFERROR(HYPERLINK(VLOOKUP(A397,Internal_lists_bugs!$A$2:$C$73,3,FALSE()), VLOOKUP(A397,Internal_lists_bugs!$A$2:$C$73,3,FALSE())&amp;Char(10) &amp; Char(10) &amp; VLOOKUP(A397,Internal_lists_bugs!$A$2:$Z$73,26,FALSE())),"please select a BUG ID")</f>
        <v>https://github.com/elastic/elasticsearch/issues/5048
/aggregations/AggregatorFactories.java</v>
      </c>
      <c r="C397" s="81" t="str">
        <f>IFERROR(Hyperlink(VLOOKUP(A397,Internal_lists_bugs!$A$2:$G1061,7,FALSE()),"BIC: "&amp;VLOOKUP(A397,Internal_lists_bugs!$A$2:$G1061,7,FALSE())&amp;CHAR(10)&amp;"Intro.Issues: "&amp;VLOOKUP(A397,Internal_lists_bugs!$A$2:$P1061,16,FALSE())),"please select a BUG ID")</f>
        <v>BIC: https://github.com/elastic/elasticsearch/commit/c7f6c52
Intro.Issues: 3300</v>
      </c>
      <c r="D397" s="100">
        <v>3300.0</v>
      </c>
      <c r="E397" s="54"/>
      <c r="F397" s="79" t="s">
        <v>4607</v>
      </c>
      <c r="G397" s="94" t="s">
        <v>4608</v>
      </c>
      <c r="H397" s="54"/>
      <c r="I397" s="1"/>
    </row>
    <row r="398">
      <c r="A398" s="146" t="s">
        <v>68</v>
      </c>
      <c r="B398" s="77" t="str">
        <f>IFERROR(HYPERLINK(VLOOKUP(A398,Internal_lists_bugs!$A$2:$C$73,3,FALSE()), VLOOKUP(A398,Internal_lists_bugs!$A$2:$C$73,3,FALSE())&amp;Char(10) &amp; Char(10) &amp; VLOOKUP(A398,Internal_lists_bugs!$A$2:$Z$73,26,FALSE())),"please select a BUG ID")</f>
        <v>https://github.com/elastic/elasticsearch/issues/5048
/aggregations/AggregatorFactories.java</v>
      </c>
      <c r="C398" s="81" t="str">
        <f>IFERROR(Hyperlink(VLOOKUP(A398,Internal_lists_bugs!$A$2:$G1061,7,FALSE()),"BIC: "&amp;VLOOKUP(A398,Internal_lists_bugs!$A$2:$G1061,7,FALSE())&amp;CHAR(10)&amp;"Intro.Issues: "&amp;VLOOKUP(A398,Internal_lists_bugs!$A$2:$P1061,16,FALSE())),"please select a BUG ID")</f>
        <v>BIC: https://github.com/elastic/elasticsearch/commit/c7f6c52
Intro.Issues: 3300</v>
      </c>
      <c r="D398" s="100">
        <v>3300.0</v>
      </c>
      <c r="E398" s="54"/>
      <c r="F398" s="79" t="s">
        <v>4609</v>
      </c>
      <c r="G398" s="93" t="s">
        <v>4610</v>
      </c>
      <c r="H398" s="54"/>
      <c r="I398" s="1"/>
    </row>
    <row r="399">
      <c r="A399" s="146" t="s">
        <v>68</v>
      </c>
      <c r="B399" s="77" t="str">
        <f>IFERROR(HYPERLINK(VLOOKUP(A399,Internal_lists_bugs!$A$2:$C$73,3,FALSE()), VLOOKUP(A399,Internal_lists_bugs!$A$2:$C$73,3,FALSE())&amp;Char(10) &amp; Char(10) &amp; VLOOKUP(A399,Internal_lists_bugs!$A$2:$Z$73,26,FALSE())),"please select a BUG ID")</f>
        <v>https://github.com/elastic/elasticsearch/issues/5048
/aggregations/AggregatorFactories.java</v>
      </c>
      <c r="C399" s="81" t="str">
        <f>IFERROR(Hyperlink(VLOOKUP(A399,Internal_lists_bugs!$A$2:$G1061,7,FALSE()),"BIC: "&amp;VLOOKUP(A399,Internal_lists_bugs!$A$2:$G1061,7,FALSE())&amp;CHAR(10)&amp;"Intro.Issues: "&amp;VLOOKUP(A399,Internal_lists_bugs!$A$2:$P1061,16,FALSE())),"please select a BUG ID")</f>
        <v>BIC: https://github.com/elastic/elasticsearch/commit/c7f6c52
Intro.Issues: 3300</v>
      </c>
      <c r="D399" s="100">
        <v>3300.0</v>
      </c>
      <c r="E399" s="54"/>
      <c r="F399" s="79" t="s">
        <v>4585</v>
      </c>
      <c r="G399" s="93" t="s">
        <v>4611</v>
      </c>
      <c r="H399" s="54"/>
      <c r="I399" s="1"/>
    </row>
    <row r="400">
      <c r="A400" s="146" t="s">
        <v>68</v>
      </c>
      <c r="B400" s="77" t="str">
        <f>IFERROR(HYPERLINK(VLOOKUP(A400,Internal_lists_bugs!$A$2:$C$73,3,FALSE()), VLOOKUP(A400,Internal_lists_bugs!$A$2:$C$73,3,FALSE())&amp;Char(10) &amp; Char(10) &amp; VLOOKUP(A400,Internal_lists_bugs!$A$2:$Z$73,26,FALSE())),"please select a BUG ID")</f>
        <v>https://github.com/elastic/elasticsearch/issues/5048
/aggregations/AggregatorFactories.java</v>
      </c>
      <c r="C400" s="81" t="str">
        <f>IFERROR(Hyperlink(VLOOKUP(A400,Internal_lists_bugs!$A$2:$G1061,7,FALSE()),"BIC: "&amp;VLOOKUP(A400,Internal_lists_bugs!$A$2:$G1061,7,FALSE())&amp;CHAR(10)&amp;"Intro.Issues: "&amp;VLOOKUP(A400,Internal_lists_bugs!$A$2:$P1061,16,FALSE())),"please select a BUG ID")</f>
        <v>BIC: https://github.com/elastic/elasticsearch/commit/c7f6c52
Intro.Issues: 3300</v>
      </c>
      <c r="D400" s="100">
        <v>3300.0</v>
      </c>
      <c r="E400" s="54"/>
      <c r="F400" s="79" t="s">
        <v>4609</v>
      </c>
      <c r="G400" s="93" t="s">
        <v>4612</v>
      </c>
      <c r="H400" s="54"/>
      <c r="I400" s="1"/>
    </row>
    <row r="401">
      <c r="A401" s="146" t="s">
        <v>68</v>
      </c>
      <c r="B401" s="77" t="str">
        <f>IFERROR(HYPERLINK(VLOOKUP(A401,Internal_lists_bugs!$A$2:$C$73,3,FALSE()), VLOOKUP(A401,Internal_lists_bugs!$A$2:$C$73,3,FALSE())&amp;Char(10) &amp; Char(10) &amp; VLOOKUP(A401,Internal_lists_bugs!$A$2:$Z$73,26,FALSE())),"please select a BUG ID")</f>
        <v>https://github.com/elastic/elasticsearch/issues/5048
/aggregations/AggregatorFactories.java</v>
      </c>
      <c r="C401" s="81" t="str">
        <f>IFERROR(Hyperlink(VLOOKUP(A401,Internal_lists_bugs!$A$2:$G1061,7,FALSE()),"BIC: "&amp;VLOOKUP(A401,Internal_lists_bugs!$A$2:$G1061,7,FALSE())&amp;CHAR(10)&amp;"Intro.Issues: "&amp;VLOOKUP(A401,Internal_lists_bugs!$A$2:$P1061,16,FALSE())),"please select a BUG ID")</f>
        <v>BIC: https://github.com/elastic/elasticsearch/commit/c7f6c52
Intro.Issues: 3300</v>
      </c>
      <c r="D401" s="100">
        <v>3300.0</v>
      </c>
      <c r="E401" s="54"/>
      <c r="F401" s="79" t="s">
        <v>4613</v>
      </c>
      <c r="G401" s="93" t="s">
        <v>4614</v>
      </c>
      <c r="H401" s="54"/>
      <c r="I401" s="1"/>
    </row>
    <row r="402">
      <c r="A402" s="146" t="s">
        <v>68</v>
      </c>
      <c r="B402" s="77" t="str">
        <f>IFERROR(HYPERLINK(VLOOKUP(A402,Internal_lists_bugs!$A$2:$C$73,3,FALSE()), VLOOKUP(A402,Internal_lists_bugs!$A$2:$C$73,3,FALSE())&amp;Char(10) &amp; Char(10) &amp; VLOOKUP(A402,Internal_lists_bugs!$A$2:$Z$73,26,FALSE())),"please select a BUG ID")</f>
        <v>https://github.com/elastic/elasticsearch/issues/5048
/aggregations/AggregatorFactories.java</v>
      </c>
      <c r="C402" s="81" t="str">
        <f>IFERROR(Hyperlink(VLOOKUP(A402,Internal_lists_bugs!$A$2:$G1061,7,FALSE()),"BIC: "&amp;VLOOKUP(A402,Internal_lists_bugs!$A$2:$G1061,7,FALSE())&amp;CHAR(10)&amp;"Intro.Issues: "&amp;VLOOKUP(A402,Internal_lists_bugs!$A$2:$P1061,16,FALSE())),"please select a BUG ID")</f>
        <v>BIC: https://github.com/elastic/elasticsearch/commit/c7f6c52
Intro.Issues: 3300</v>
      </c>
      <c r="D402" s="100">
        <v>3300.0</v>
      </c>
      <c r="E402" s="54"/>
      <c r="F402" s="79" t="s">
        <v>4539</v>
      </c>
      <c r="G402" s="93" t="s">
        <v>4614</v>
      </c>
      <c r="H402" s="54"/>
      <c r="I402" s="1"/>
    </row>
    <row r="403">
      <c r="A403" s="146" t="s">
        <v>68</v>
      </c>
      <c r="B403" s="77" t="str">
        <f>IFERROR(HYPERLINK(VLOOKUP(A403,Internal_lists_bugs!$A$2:$C$73,3,FALSE()), VLOOKUP(A403,Internal_lists_bugs!$A$2:$C$73,3,FALSE())&amp;Char(10) &amp; Char(10) &amp; VLOOKUP(A403,Internal_lists_bugs!$A$2:$Z$73,26,FALSE())),"please select a BUG ID")</f>
        <v>https://github.com/elastic/elasticsearch/issues/5048
/aggregations/AggregatorFactories.java</v>
      </c>
      <c r="C403" s="81" t="str">
        <f>IFERROR(Hyperlink(VLOOKUP(A403,Internal_lists_bugs!$A$2:$G1061,7,FALSE()),"BIC: "&amp;VLOOKUP(A403,Internal_lists_bugs!$A$2:$G1061,7,FALSE())&amp;CHAR(10)&amp;"Intro.Issues: "&amp;VLOOKUP(A403,Internal_lists_bugs!$A$2:$P1061,16,FALSE())),"please select a BUG ID")</f>
        <v>BIC: https://github.com/elastic/elasticsearch/commit/c7f6c52
Intro.Issues: 3300</v>
      </c>
      <c r="D403" s="100">
        <v>3300.0</v>
      </c>
      <c r="E403" s="54"/>
      <c r="F403" s="79" t="s">
        <v>4577</v>
      </c>
      <c r="G403" s="93" t="s">
        <v>4615</v>
      </c>
      <c r="H403" s="54"/>
      <c r="I403" s="1"/>
    </row>
    <row r="404">
      <c r="A404" s="146" t="s">
        <v>68</v>
      </c>
      <c r="B404" s="77" t="str">
        <f>IFERROR(HYPERLINK(VLOOKUP(A404,Internal_lists_bugs!$A$2:$C$73,3,FALSE()), VLOOKUP(A404,Internal_lists_bugs!$A$2:$C$73,3,FALSE())&amp;Char(10) &amp; Char(10) &amp; VLOOKUP(A404,Internal_lists_bugs!$A$2:$Z$73,26,FALSE())),"please select a BUG ID")</f>
        <v>https://github.com/elastic/elasticsearch/issues/5048
/aggregations/AggregatorFactories.java</v>
      </c>
      <c r="C404" s="81" t="str">
        <f>IFERROR(Hyperlink(VLOOKUP(A404,Internal_lists_bugs!$A$2:$G1061,7,FALSE()),"BIC: "&amp;VLOOKUP(A404,Internal_lists_bugs!$A$2:$G1061,7,FALSE())&amp;CHAR(10)&amp;"Intro.Issues: "&amp;VLOOKUP(A404,Internal_lists_bugs!$A$2:$P1061,16,FALSE())),"please select a BUG ID")</f>
        <v>BIC: https://github.com/elastic/elasticsearch/commit/c7f6c52
Intro.Issues: 3300</v>
      </c>
      <c r="D404" s="100">
        <v>3300.0</v>
      </c>
      <c r="E404" s="54"/>
      <c r="F404" s="79" t="s">
        <v>4616</v>
      </c>
      <c r="G404" s="93" t="s">
        <v>4617</v>
      </c>
      <c r="H404" s="54"/>
      <c r="I404" s="1"/>
    </row>
    <row r="405">
      <c r="A405" s="146" t="s">
        <v>68</v>
      </c>
      <c r="B405" s="77" t="str">
        <f>IFERROR(HYPERLINK(VLOOKUP(A405,Internal_lists_bugs!$A$2:$C$73,3,FALSE()), VLOOKUP(A405,Internal_lists_bugs!$A$2:$C$73,3,FALSE())&amp;Char(10) &amp; Char(10) &amp; VLOOKUP(A405,Internal_lists_bugs!$A$2:$Z$73,26,FALSE())),"please select a BUG ID")</f>
        <v>https://github.com/elastic/elasticsearch/issues/5048
/aggregations/AggregatorFactories.java</v>
      </c>
      <c r="C405" s="81" t="str">
        <f>IFERROR(Hyperlink(VLOOKUP(A405,Internal_lists_bugs!$A$2:$G1061,7,FALSE()),"BIC: "&amp;VLOOKUP(A405,Internal_lists_bugs!$A$2:$G1061,7,FALSE())&amp;CHAR(10)&amp;"Intro.Issues: "&amp;VLOOKUP(A405,Internal_lists_bugs!$A$2:$P1061,16,FALSE())),"please select a BUG ID")</f>
        <v>BIC: https://github.com/elastic/elasticsearch/commit/c7f6c52
Intro.Issues: 3300</v>
      </c>
      <c r="D405" s="100">
        <v>3300.0</v>
      </c>
      <c r="E405" s="54"/>
      <c r="F405" s="79" t="s">
        <v>4618</v>
      </c>
      <c r="G405" s="93" t="s">
        <v>4619</v>
      </c>
      <c r="H405" s="54"/>
      <c r="I405" s="1"/>
    </row>
    <row r="406">
      <c r="A406" s="146" t="s">
        <v>68</v>
      </c>
      <c r="B406" s="77" t="str">
        <f>IFERROR(HYPERLINK(VLOOKUP(A406,Internal_lists_bugs!$A$2:$C$73,3,FALSE()), VLOOKUP(A406,Internal_lists_bugs!$A$2:$C$73,3,FALSE())&amp;Char(10) &amp; Char(10) &amp; VLOOKUP(A406,Internal_lists_bugs!$A$2:$Z$73,26,FALSE())),"please select a BUG ID")</f>
        <v>https://github.com/elastic/elasticsearch/issues/5048
/aggregations/AggregatorFactories.java</v>
      </c>
      <c r="C406" s="81" t="str">
        <f>IFERROR(Hyperlink(VLOOKUP(A406,Internal_lists_bugs!$A$2:$G1061,7,FALSE()),"BIC: "&amp;VLOOKUP(A406,Internal_lists_bugs!$A$2:$G1061,7,FALSE())&amp;CHAR(10)&amp;"Intro.Issues: "&amp;VLOOKUP(A406,Internal_lists_bugs!$A$2:$P1061,16,FALSE())),"please select a BUG ID")</f>
        <v>BIC: https://github.com/elastic/elasticsearch/commit/c7f6c52
Intro.Issues: 3300</v>
      </c>
      <c r="D406" s="100">
        <v>3300.0</v>
      </c>
      <c r="E406" s="54"/>
      <c r="F406" s="79" t="s">
        <v>4539</v>
      </c>
      <c r="G406" s="93" t="s">
        <v>4620</v>
      </c>
      <c r="H406" s="54"/>
      <c r="I406" s="1"/>
    </row>
    <row r="407">
      <c r="A407" s="146" t="s">
        <v>68</v>
      </c>
      <c r="B407" s="77" t="str">
        <f>IFERROR(HYPERLINK(VLOOKUP(A407,Internal_lists_bugs!$A$2:$C$73,3,FALSE()), VLOOKUP(A407,Internal_lists_bugs!$A$2:$C$73,3,FALSE())&amp;Char(10) &amp; Char(10) &amp; VLOOKUP(A407,Internal_lists_bugs!$A$2:$Z$73,26,FALSE())),"please select a BUG ID")</f>
        <v>https://github.com/elastic/elasticsearch/issues/5048
/aggregations/AggregatorFactories.java</v>
      </c>
      <c r="C407" s="81" t="str">
        <f>IFERROR(Hyperlink(VLOOKUP(A407,Internal_lists_bugs!$A$2:$G1061,7,FALSE()),"BIC: "&amp;VLOOKUP(A407,Internal_lists_bugs!$A$2:$G1061,7,FALSE())&amp;CHAR(10)&amp;"Intro.Issues: "&amp;VLOOKUP(A407,Internal_lists_bugs!$A$2:$P1061,16,FALSE())),"please select a BUG ID")</f>
        <v>BIC: https://github.com/elastic/elasticsearch/commit/c7f6c52
Intro.Issues: 3300</v>
      </c>
      <c r="D407" s="100">
        <v>3300.0</v>
      </c>
      <c r="E407" s="54"/>
      <c r="F407" s="79" t="s">
        <v>4621</v>
      </c>
      <c r="G407" s="93" t="s">
        <v>4622</v>
      </c>
      <c r="H407" s="54"/>
      <c r="I407" s="1"/>
    </row>
    <row r="408">
      <c r="A408" s="146" t="s">
        <v>68</v>
      </c>
      <c r="B408" s="77" t="str">
        <f>IFERROR(HYPERLINK(VLOOKUP(A408,Internal_lists_bugs!$A$2:$C$73,3,FALSE()), VLOOKUP(A408,Internal_lists_bugs!$A$2:$C$73,3,FALSE())&amp;Char(10) &amp; Char(10) &amp; VLOOKUP(A408,Internal_lists_bugs!$A$2:$Z$73,26,FALSE())),"please select a BUG ID")</f>
        <v>https://github.com/elastic/elasticsearch/issues/5048
/aggregations/AggregatorFactories.java</v>
      </c>
      <c r="C408" s="81" t="str">
        <f>IFERROR(Hyperlink(VLOOKUP(A408,Internal_lists_bugs!$A$2:$G1061,7,FALSE()),"BIC: "&amp;VLOOKUP(A408,Internal_lists_bugs!$A$2:$G1061,7,FALSE())&amp;CHAR(10)&amp;"Intro.Issues: "&amp;VLOOKUP(A408,Internal_lists_bugs!$A$2:$P1061,16,FALSE())),"please select a BUG ID")</f>
        <v>BIC: https://github.com/elastic/elasticsearch/commit/c7f6c52
Intro.Issues: 3300</v>
      </c>
      <c r="D408" s="100">
        <v>3300.0</v>
      </c>
      <c r="E408" s="54"/>
      <c r="F408" s="79" t="s">
        <v>4623</v>
      </c>
      <c r="G408" s="93" t="s">
        <v>4624</v>
      </c>
      <c r="H408" s="54"/>
      <c r="I408" s="1"/>
    </row>
    <row r="409">
      <c r="A409" s="146" t="s">
        <v>68</v>
      </c>
      <c r="B409" s="77" t="str">
        <f>IFERROR(HYPERLINK(VLOOKUP(A409,Internal_lists_bugs!$A$2:$C$73,3,FALSE()), VLOOKUP(A409,Internal_lists_bugs!$A$2:$C$73,3,FALSE())&amp;Char(10) &amp; Char(10) &amp; VLOOKUP(A409,Internal_lists_bugs!$A$2:$Z$73,26,FALSE())),"please select a BUG ID")</f>
        <v>https://github.com/elastic/elasticsearch/issues/5048
/aggregations/AggregatorFactories.java</v>
      </c>
      <c r="C409" s="81" t="str">
        <f>IFERROR(Hyperlink(VLOOKUP(A409,Internal_lists_bugs!$A$2:$G1061,7,FALSE()),"BIC: "&amp;VLOOKUP(A409,Internal_lists_bugs!$A$2:$G1061,7,FALSE())&amp;CHAR(10)&amp;"Intro.Issues: "&amp;VLOOKUP(A409,Internal_lists_bugs!$A$2:$P1061,16,FALSE())),"please select a BUG ID")</f>
        <v>BIC: https://github.com/elastic/elasticsearch/commit/c7f6c52
Intro.Issues: 3300</v>
      </c>
      <c r="D409" s="100">
        <v>3300.0</v>
      </c>
      <c r="E409" s="54"/>
      <c r="F409" s="79" t="s">
        <v>4625</v>
      </c>
      <c r="G409" s="93" t="s">
        <v>4622</v>
      </c>
      <c r="H409" s="54"/>
      <c r="I409" s="1"/>
    </row>
    <row r="410">
      <c r="A410" s="146" t="s">
        <v>68</v>
      </c>
      <c r="B410" s="77" t="str">
        <f>IFERROR(HYPERLINK(VLOOKUP(A410,Internal_lists_bugs!$A$2:$C$73,3,FALSE()), VLOOKUP(A410,Internal_lists_bugs!$A$2:$C$73,3,FALSE())&amp;Char(10) &amp; Char(10) &amp; VLOOKUP(A410,Internal_lists_bugs!$A$2:$Z$73,26,FALSE())),"please select a BUG ID")</f>
        <v>https://github.com/elastic/elasticsearch/issues/5048
/aggregations/AggregatorFactories.java</v>
      </c>
      <c r="C410" s="81" t="str">
        <f>IFERROR(Hyperlink(VLOOKUP(A410,Internal_lists_bugs!$A$2:$G1061,7,FALSE()),"BIC: "&amp;VLOOKUP(A410,Internal_lists_bugs!$A$2:$G1061,7,FALSE())&amp;CHAR(10)&amp;"Intro.Issues: "&amp;VLOOKUP(A410,Internal_lists_bugs!$A$2:$P1061,16,FALSE())),"please select a BUG ID")</f>
        <v>BIC: https://github.com/elastic/elasticsearch/commit/c7f6c52
Intro.Issues: 3300</v>
      </c>
      <c r="D410" s="100">
        <v>3300.0</v>
      </c>
      <c r="E410" s="54"/>
      <c r="F410" s="79" t="s">
        <v>4623</v>
      </c>
      <c r="G410" s="93" t="s">
        <v>4626</v>
      </c>
      <c r="H410" s="54"/>
      <c r="I410" s="1"/>
    </row>
    <row r="411">
      <c r="A411" s="146" t="s">
        <v>68</v>
      </c>
      <c r="B411" s="77" t="str">
        <f>IFERROR(HYPERLINK(VLOOKUP(A411,Internal_lists_bugs!$A$2:$C$73,3,FALSE()), VLOOKUP(A411,Internal_lists_bugs!$A$2:$C$73,3,FALSE())&amp;Char(10) &amp; Char(10) &amp; VLOOKUP(A411,Internal_lists_bugs!$A$2:$Z$73,26,FALSE())),"please select a BUG ID")</f>
        <v>https://github.com/elastic/elasticsearch/issues/5048
/aggregations/AggregatorFactories.java</v>
      </c>
      <c r="C411" s="81" t="str">
        <f>IFERROR(Hyperlink(VLOOKUP(A411,Internal_lists_bugs!$A$2:$G1061,7,FALSE()),"BIC: "&amp;VLOOKUP(A411,Internal_lists_bugs!$A$2:$G1061,7,FALSE())&amp;CHAR(10)&amp;"Intro.Issues: "&amp;VLOOKUP(A411,Internal_lists_bugs!$A$2:$P1061,16,FALSE())),"please select a BUG ID")</f>
        <v>BIC: https://github.com/elastic/elasticsearch/commit/c7f6c52
Intro.Issues: 3300</v>
      </c>
      <c r="D411" s="100">
        <v>3300.0</v>
      </c>
      <c r="E411" s="54"/>
      <c r="F411" s="79" t="s">
        <v>4627</v>
      </c>
      <c r="G411" s="93" t="s">
        <v>4628</v>
      </c>
      <c r="H411" s="54"/>
      <c r="I411" s="1"/>
    </row>
    <row r="412">
      <c r="A412" s="146" t="s">
        <v>68</v>
      </c>
      <c r="B412" s="77" t="str">
        <f>IFERROR(HYPERLINK(VLOOKUP(A412,Internal_lists_bugs!$A$2:$C$73,3,FALSE()), VLOOKUP(A412,Internal_lists_bugs!$A$2:$C$73,3,FALSE())&amp;Char(10) &amp; Char(10) &amp; VLOOKUP(A412,Internal_lists_bugs!$A$2:$Z$73,26,FALSE())),"please select a BUG ID")</f>
        <v>https://github.com/elastic/elasticsearch/issues/5048
/aggregations/AggregatorFactories.java</v>
      </c>
      <c r="C412" s="81" t="str">
        <f>IFERROR(Hyperlink(VLOOKUP(A412,Internal_lists_bugs!$A$2:$G1061,7,FALSE()),"BIC: "&amp;VLOOKUP(A412,Internal_lists_bugs!$A$2:$G1061,7,FALSE())&amp;CHAR(10)&amp;"Intro.Issues: "&amp;VLOOKUP(A412,Internal_lists_bugs!$A$2:$P1061,16,FALSE())),"please select a BUG ID")</f>
        <v>BIC: https://github.com/elastic/elasticsearch/commit/c7f6c52
Intro.Issues: 3300</v>
      </c>
      <c r="D412" s="100">
        <v>3300.0</v>
      </c>
      <c r="E412" s="54"/>
      <c r="F412" s="79" t="s">
        <v>4514</v>
      </c>
      <c r="G412" s="93" t="s">
        <v>4629</v>
      </c>
      <c r="H412" s="54"/>
      <c r="I412" s="1"/>
    </row>
    <row r="413">
      <c r="A413" s="16" t="s">
        <v>69</v>
      </c>
      <c r="B413" s="77" t="str">
        <f>IFERROR(HYPERLINK(VLOOKUP(A413,Internal_lists_bugs!$A$2:$C$73,3,FALSE()), VLOOKUP(A413,Internal_lists_bugs!$A$2:$C$73,3,FALSE())&amp;Char(10) &amp; Char(10) &amp; VLOOKUP(A413,Internal_lists_bugs!$A$2:$Z$73,26,FALSE())),"please select a BUG ID")</f>
        <v>https://github.com/elastic/elasticsearch/issues/1814
/internal/InternalSearchHit.java</v>
      </c>
      <c r="C413" s="81" t="str">
        <f>IFERROR(Hyperlink(VLOOKUP(A413,Internal_lists_bugs!$A$2:$G1061,7,FALSE()),"BIC: "&amp;VLOOKUP(A413,Internal_lists_bugs!$A$2:$G1061,7,FALSE())&amp;CHAR(10)&amp;"Intro.Issues: "&amp;VLOOKUP(A413,Internal_lists_bugs!$A$2:$P1061,16,FALSE())),"please select a BUG ID")</f>
        <v>BIC: https://github.com/elastic/elasticsearch/commit/14237317fce
Intro.Issues: NA</v>
      </c>
      <c r="D413" s="100" t="s">
        <v>124</v>
      </c>
      <c r="E413" s="54"/>
      <c r="H413" s="54"/>
      <c r="I413" s="9"/>
    </row>
    <row r="414">
      <c r="A414" s="16" t="s">
        <v>70</v>
      </c>
      <c r="B414" s="77" t="str">
        <f>IFERROR(HYPERLINK(VLOOKUP(A414,Internal_lists_bugs!$A$2:$C$73,3,FALSE()), VLOOKUP(A414,Internal_lists_bugs!$A$2:$C$73,3,FALSE())&amp;Char(10) &amp; Char(10) &amp; VLOOKUP(A414,Internal_lists_bugs!$A$2:$Z$73,26,FALSE())),"please select a BUG ID")</f>
        <v>https://github.com/elastic/elasticsearch/issues/16246
/core/IngestDocument.java</v>
      </c>
      <c r="C414" s="81" t="str">
        <f>IFERROR(Hyperlink(VLOOKUP(A414,Internal_lists_bugs!$A$2:$G1061,7,FALSE()),"BIC: "&amp;VLOOKUP(A414,Internal_lists_bugs!$A$2:$G1061,7,FALSE())&amp;CHAR(10)&amp;"Intro.Issues: "&amp;VLOOKUP(A414,Internal_lists_bugs!$A$2:$P1061,16,FALSE())),"please select a BUG ID")</f>
        <v>BIC: https://github.com/elastic/elasticsearch/commit/57d6971
Intro.Issues: 15036</v>
      </c>
      <c r="D414" s="100">
        <v>15036.0</v>
      </c>
      <c r="E414" s="16" t="s">
        <v>4517</v>
      </c>
      <c r="F414" s="79" t="s">
        <v>4342</v>
      </c>
      <c r="G414" s="93" t="s">
        <v>144</v>
      </c>
      <c r="H414" s="54"/>
      <c r="I414" s="9" t="b">
        <v>0</v>
      </c>
    </row>
    <row r="415">
      <c r="A415" s="16" t="s">
        <v>70</v>
      </c>
      <c r="B415" s="77" t="str">
        <f>IFERROR(HYPERLINK(VLOOKUP(A415,Internal_lists_bugs!$A$2:$C$73,3,FALSE()), VLOOKUP(A415,Internal_lists_bugs!$A$2:$C$73,3,FALSE())&amp;Char(10) &amp; Char(10) &amp; VLOOKUP(A415,Internal_lists_bugs!$A$2:$Z$73,26,FALSE())),"please select a BUG ID")</f>
        <v>https://github.com/elastic/elasticsearch/issues/16246
/core/IngestDocument.java</v>
      </c>
      <c r="C415" s="81" t="str">
        <f>IFERROR(Hyperlink(VLOOKUP(A415,Internal_lists_bugs!$A$2:$G1061,7,FALSE()),"BIC: "&amp;VLOOKUP(A415,Internal_lists_bugs!$A$2:$G1061,7,FALSE())&amp;CHAR(10)&amp;"Intro.Issues: "&amp;VLOOKUP(A415,Internal_lists_bugs!$A$2:$P1061,16,FALSE())),"please select a BUG ID")</f>
        <v>BIC: https://github.com/elastic/elasticsearch/commit/57d6971
Intro.Issues: 15036</v>
      </c>
      <c r="D415" s="100">
        <v>15036.0</v>
      </c>
      <c r="F415" s="79" t="s">
        <v>4512</v>
      </c>
      <c r="G415" s="93" t="s">
        <v>324</v>
      </c>
      <c r="H415" s="54"/>
    </row>
    <row r="416">
      <c r="A416" s="16" t="s">
        <v>70</v>
      </c>
      <c r="B416" s="77" t="str">
        <f>IFERROR(HYPERLINK(VLOOKUP(A416,Internal_lists_bugs!$A$2:$C$73,3,FALSE()), VLOOKUP(A416,Internal_lists_bugs!$A$2:$C$73,3,FALSE())&amp;Char(10) &amp; Char(10) &amp; VLOOKUP(A416,Internal_lists_bugs!$A$2:$Z$73,26,FALSE())),"please select a BUG ID")</f>
        <v>https://github.com/elastic/elasticsearch/issues/16246
/core/IngestDocument.java</v>
      </c>
      <c r="C416" s="81" t="str">
        <f>IFERROR(Hyperlink(VLOOKUP(A416,Internal_lists_bugs!$A$2:$G1061,7,FALSE()),"BIC: "&amp;VLOOKUP(A416,Internal_lists_bugs!$A$2:$G1061,7,FALSE())&amp;CHAR(10)&amp;"Intro.Issues: "&amp;VLOOKUP(A416,Internal_lists_bugs!$A$2:$P1061,16,FALSE())),"please select a BUG ID")</f>
        <v>BIC: https://github.com/elastic/elasticsearch/commit/57d6971
Intro.Issues: 15036</v>
      </c>
      <c r="D416" s="100">
        <v>15036.0</v>
      </c>
      <c r="E416" s="54"/>
      <c r="F416" s="79" t="s">
        <v>4530</v>
      </c>
      <c r="G416" s="93" t="s">
        <v>324</v>
      </c>
      <c r="H416" s="54"/>
      <c r="I416" s="1"/>
    </row>
    <row r="417">
      <c r="A417" s="16" t="s">
        <v>70</v>
      </c>
      <c r="B417" s="77" t="str">
        <f>IFERROR(HYPERLINK(VLOOKUP(A417,Internal_lists_bugs!$A$2:$C$73,3,FALSE()), VLOOKUP(A417,Internal_lists_bugs!$A$2:$C$73,3,FALSE())&amp;Char(10) &amp; Char(10) &amp; VLOOKUP(A417,Internal_lists_bugs!$A$2:$Z$73,26,FALSE())),"please select a BUG ID")</f>
        <v>https://github.com/elastic/elasticsearch/issues/16246
/core/IngestDocument.java</v>
      </c>
      <c r="C417" s="81" t="str">
        <f>IFERROR(Hyperlink(VLOOKUP(A417,Internal_lists_bugs!$A$2:$G1061,7,FALSE()),"BIC: "&amp;VLOOKUP(A417,Internal_lists_bugs!$A$2:$G1061,7,FALSE())&amp;CHAR(10)&amp;"Intro.Issues: "&amp;VLOOKUP(A417,Internal_lists_bugs!$A$2:$P1061,16,FALSE())),"please select a BUG ID")</f>
        <v>BIC: https://github.com/elastic/elasticsearch/commit/57d6971
Intro.Issues: 15036</v>
      </c>
      <c r="D417" s="100">
        <v>15036.0</v>
      </c>
      <c r="E417" s="54"/>
      <c r="F417" s="79" t="s">
        <v>438</v>
      </c>
      <c r="G417" s="93" t="s">
        <v>442</v>
      </c>
      <c r="H417" s="54"/>
      <c r="I417" s="1"/>
    </row>
    <row r="418">
      <c r="A418" s="16" t="s">
        <v>70</v>
      </c>
      <c r="B418" s="77" t="str">
        <f>IFERROR(HYPERLINK(VLOOKUP(A418,Internal_lists_bugs!$A$2:$C$73,3,FALSE()), VLOOKUP(A418,Internal_lists_bugs!$A$2:$C$73,3,FALSE())&amp;Char(10) &amp; Char(10) &amp; VLOOKUP(A418,Internal_lists_bugs!$A$2:$Z$73,26,FALSE())),"please select a BUG ID")</f>
        <v>https://github.com/elastic/elasticsearch/issues/16246
/core/IngestDocument.java</v>
      </c>
      <c r="C418" s="81" t="str">
        <f>IFERROR(Hyperlink(VLOOKUP(A418,Internal_lists_bugs!$A$2:$G1061,7,FALSE()),"BIC: "&amp;VLOOKUP(A418,Internal_lists_bugs!$A$2:$G1061,7,FALSE())&amp;CHAR(10)&amp;"Intro.Issues: "&amp;VLOOKUP(A418,Internal_lists_bugs!$A$2:$P1061,16,FALSE())),"please select a BUG ID")</f>
        <v>BIC: https://github.com/elastic/elasticsearch/commit/57d6971
Intro.Issues: 15036</v>
      </c>
      <c r="D418" s="100">
        <v>15036.0</v>
      </c>
      <c r="E418" s="54"/>
      <c r="F418" s="79" t="s">
        <v>4530</v>
      </c>
      <c r="G418" s="93" t="s">
        <v>442</v>
      </c>
      <c r="H418" s="54"/>
      <c r="I418" s="1"/>
    </row>
    <row r="419">
      <c r="A419" s="16" t="s">
        <v>70</v>
      </c>
      <c r="B419" s="77" t="str">
        <f>IFERROR(HYPERLINK(VLOOKUP(A419,Internal_lists_bugs!$A$2:$C$73,3,FALSE()), VLOOKUP(A419,Internal_lists_bugs!$A$2:$C$73,3,FALSE())&amp;Char(10) &amp; Char(10) &amp; VLOOKUP(A419,Internal_lists_bugs!$A$2:$Z$73,26,FALSE())),"please select a BUG ID")</f>
        <v>https://github.com/elastic/elasticsearch/issues/16246
/core/IngestDocument.java</v>
      </c>
      <c r="C419" s="81" t="str">
        <f>IFERROR(Hyperlink(VLOOKUP(A419,Internal_lists_bugs!$A$2:$G1061,7,FALSE()),"BIC: "&amp;VLOOKUP(A419,Internal_lists_bugs!$A$2:$G1061,7,FALSE())&amp;CHAR(10)&amp;"Intro.Issues: "&amp;VLOOKUP(A419,Internal_lists_bugs!$A$2:$P1061,16,FALSE())),"please select a BUG ID")</f>
        <v>BIC: https://github.com/elastic/elasticsearch/commit/57d6971
Intro.Issues: 15036</v>
      </c>
      <c r="D419" s="100">
        <v>15036.0</v>
      </c>
      <c r="E419" s="54"/>
      <c r="F419" s="79" t="s">
        <v>4630</v>
      </c>
      <c r="G419" s="93" t="s">
        <v>442</v>
      </c>
      <c r="H419" s="54"/>
      <c r="I419" s="1"/>
    </row>
    <row r="420">
      <c r="A420" s="16" t="s">
        <v>71</v>
      </c>
      <c r="B420" s="77" t="str">
        <f>IFERROR(HYPERLINK(VLOOKUP(A420,Internal_lists_bugs!$A$2:$C$73,3,FALSE()), VLOOKUP(A420,Internal_lists_bugs!$A$2:$C$73,3,FALSE())&amp;Char(10) &amp; Char(10) &amp; VLOOKUP(A420,Internal_lists_bugs!$A$2:$Z$73,26,FALSE())),"please select a BUG ID")</f>
        <v>https://github.com/elastic/elasticsearch/issues/764
/xcontent/DynamicTemplate.java</v>
      </c>
      <c r="C420" s="81" t="str">
        <f>IFERROR(Hyperlink(VLOOKUP(A420,Internal_lists_bugs!$A$2:$G1061,7,FALSE()),"BIC: "&amp;VLOOKUP(A420,Internal_lists_bugs!$A$2:$G1061,7,FALSE())&amp;CHAR(10)&amp;"Intro.Issues: "&amp;VLOOKUP(A420,Internal_lists_bugs!$A$2:$P1061,16,FALSE())),"please select a BUG ID")</f>
        <v>BIC: https://github.com/elastic/elasticsearch/commit/4c34840
Intro.Issues: NA</v>
      </c>
      <c r="D420" s="100" t="s">
        <v>124</v>
      </c>
      <c r="E420" s="54"/>
      <c r="F420" s="79"/>
      <c r="G420" s="93"/>
      <c r="H420" s="54"/>
      <c r="I420" s="9"/>
    </row>
    <row r="421">
      <c r="A421" s="16" t="s">
        <v>72</v>
      </c>
      <c r="B421" s="77" t="str">
        <f>IFERROR(HYPERLINK(VLOOKUP(A421,Internal_lists_bugs!$A$2:$C$73,3,FALSE()), VLOOKUP(A421,Internal_lists_bugs!$A$2:$C$73,3,FALSE())&amp;Char(10) &amp; Char(10) &amp; VLOOKUP(A421,Internal_lists_bugs!$A$2:$Z$73,26,FALSE())),"please select a BUG ID")</f>
        <v>https://github.com/elastic/elasticsearch/issues/1134
/network/NetworkService.java</v>
      </c>
      <c r="C421" s="81" t="str">
        <f>IFERROR(Hyperlink(VLOOKUP(A421,Internal_lists_bugs!$A$2:$G1061,7,FALSE()),"BIC: "&amp;VLOOKUP(A421,Internal_lists_bugs!$A$2:$G1061,7,FALSE())&amp;CHAR(10)&amp;"Intro.Issues: "&amp;VLOOKUP(A421,Internal_lists_bugs!$A$2:$P1061,16,FALSE())),"please select a BUG ID")</f>
        <v>BIC: https://github.com/elastic/elasticsearch/commit/61ad8b6
Intro.Issues: 1104</v>
      </c>
      <c r="D421" s="100">
        <v>1104.0</v>
      </c>
      <c r="E421" s="16" t="s">
        <v>4517</v>
      </c>
      <c r="F421" s="79" t="s">
        <v>4342</v>
      </c>
      <c r="G421" s="93" t="s">
        <v>144</v>
      </c>
      <c r="H421" s="54"/>
      <c r="I421" s="9" t="b">
        <v>0</v>
      </c>
    </row>
    <row r="422">
      <c r="A422" s="16" t="s">
        <v>72</v>
      </c>
      <c r="B422" s="77" t="str">
        <f>IFERROR(HYPERLINK(VLOOKUP(A422,Internal_lists_bugs!$A$2:$C$73,3,FALSE()), VLOOKUP(A422,Internal_lists_bugs!$A$2:$C$73,3,FALSE())&amp;Char(10) &amp; Char(10) &amp; VLOOKUP(A422,Internal_lists_bugs!$A$2:$Z$73,26,FALSE())),"please select a BUG ID")</f>
        <v>https://github.com/elastic/elasticsearch/issues/1134
/network/NetworkService.java</v>
      </c>
      <c r="C422" s="81" t="str">
        <f>IFERROR(Hyperlink(VLOOKUP(A422,Internal_lists_bugs!$A$2:$G1061,7,FALSE()),"BIC: "&amp;VLOOKUP(A422,Internal_lists_bugs!$A$2:$G1061,7,FALSE())&amp;CHAR(10)&amp;"Intro.Issues: "&amp;VLOOKUP(A422,Internal_lists_bugs!$A$2:$P1061,16,FALSE())),"please select a BUG ID")</f>
        <v>BIC: https://github.com/elastic/elasticsearch/commit/61ad8b6
Intro.Issues: 1104</v>
      </c>
      <c r="D422" s="100">
        <v>1104.0</v>
      </c>
      <c r="E422" s="54"/>
      <c r="F422" s="79" t="s">
        <v>4512</v>
      </c>
      <c r="G422" s="93" t="s">
        <v>324</v>
      </c>
      <c r="H422" s="54"/>
      <c r="I422" s="1"/>
    </row>
    <row r="423">
      <c r="A423" s="16" t="s">
        <v>73</v>
      </c>
      <c r="B423" s="77" t="str">
        <f>IFERROR(HYPERLINK(VLOOKUP(A423,Internal_lists_bugs!$A$2:$C$73,3,FALSE()), VLOOKUP(A423,Internal_lists_bugs!$A$2:$C$73,3,FALSE())&amp;Char(10) &amp; Char(10) &amp; VLOOKUP(A423,Internal_lists_bugs!$A$2:$Z$73,26,FALSE())),"please select a BUG ID")</f>
        <v>https://github.com/elastic/elasticsearch/issues/7686
/query/IdsQueryParser.java</v>
      </c>
      <c r="C423" s="81" t="str">
        <f>IFERROR(Hyperlink(VLOOKUP(A423,Internal_lists_bugs!$A$2:$G1061,7,FALSE()),"BIC: "&amp;VLOOKUP(A423,Internal_lists_bugs!$A$2:$G1061,7,FALSE())&amp;CHAR(10)&amp;"Intro.Issues: "&amp;VLOOKUP(A423,Internal_lists_bugs!$A$2:$P1061,16,FALSE())),"please select a BUG ID")</f>
        <v>BIC: https://github.com/elastic/elasticsearch/commit/c3f3c26
Intro.Issues: 865</v>
      </c>
      <c r="D423" s="100">
        <v>865.0</v>
      </c>
      <c r="E423" s="16" t="s">
        <v>4120</v>
      </c>
      <c r="F423" s="79" t="s">
        <v>4342</v>
      </c>
      <c r="G423" s="93" t="s">
        <v>144</v>
      </c>
      <c r="H423" s="54"/>
      <c r="I423" s="9" t="b">
        <v>0</v>
      </c>
    </row>
    <row r="424">
      <c r="A424" s="16" t="s">
        <v>73</v>
      </c>
      <c r="B424" s="77" t="str">
        <f>IFERROR(HYPERLINK(VLOOKUP(A424,Internal_lists_bugs!$A$2:$C$73,3,FALSE()), VLOOKUP(A424,Internal_lists_bugs!$A$2:$C$73,3,FALSE())&amp;Char(10) &amp; Char(10) &amp; VLOOKUP(A424,Internal_lists_bugs!$A$2:$Z$73,26,FALSE())),"please select a BUG ID")</f>
        <v>https://github.com/elastic/elasticsearch/issues/7686
/query/IdsQueryParser.java</v>
      </c>
      <c r="C424" s="81" t="str">
        <f>IFERROR(Hyperlink(VLOOKUP(A424,Internal_lists_bugs!$A$2:$G1061,7,FALSE()),"BIC: "&amp;VLOOKUP(A424,Internal_lists_bugs!$A$2:$G1061,7,FALSE())&amp;CHAR(10)&amp;"Intro.Issues: "&amp;VLOOKUP(A424,Internal_lists_bugs!$A$2:$P1061,16,FALSE())),"please select a BUG ID")</f>
        <v>BIC: https://github.com/elastic/elasticsearch/commit/c3f3c26
Intro.Issues: 865</v>
      </c>
      <c r="D424" s="100">
        <v>865.0</v>
      </c>
      <c r="E424" s="54"/>
      <c r="F424" s="79" t="s">
        <v>4512</v>
      </c>
      <c r="G424" s="93" t="s">
        <v>324</v>
      </c>
      <c r="H424" s="54"/>
      <c r="I424" s="1"/>
    </row>
    <row r="425">
      <c r="A425" s="16" t="s">
        <v>73</v>
      </c>
      <c r="B425" s="77" t="str">
        <f>IFERROR(HYPERLINK(VLOOKUP(A425,Internal_lists_bugs!$A$2:$C$73,3,FALSE()), VLOOKUP(A425,Internal_lists_bugs!$A$2:$C$73,3,FALSE())&amp;Char(10) &amp; Char(10) &amp; VLOOKUP(A425,Internal_lists_bugs!$A$2:$Z$73,26,FALSE())),"please select a BUG ID")</f>
        <v>https://github.com/elastic/elasticsearch/issues/7686
/query/IdsQueryParser.java</v>
      </c>
      <c r="C425" s="81" t="str">
        <f>IFERROR(Hyperlink(VLOOKUP(A425,Internal_lists_bugs!$A$2:$G1061,7,FALSE()),"BIC: "&amp;VLOOKUP(A425,Internal_lists_bugs!$A$2:$G1061,7,FALSE())&amp;CHAR(10)&amp;"Intro.Issues: "&amp;VLOOKUP(A425,Internal_lists_bugs!$A$2:$P1061,16,FALSE())),"please select a BUG ID")</f>
        <v>BIC: https://github.com/elastic/elasticsearch/commit/c3f3c26
Intro.Issues: 865</v>
      </c>
      <c r="D425" s="100">
        <v>865.0</v>
      </c>
      <c r="E425" s="54"/>
      <c r="F425" s="79" t="s">
        <v>4627</v>
      </c>
      <c r="G425" s="93" t="s">
        <v>324</v>
      </c>
      <c r="H425" s="54"/>
      <c r="I425" s="1"/>
    </row>
    <row r="426">
      <c r="A426" s="16" t="s">
        <v>73</v>
      </c>
      <c r="B426" s="77" t="str">
        <f>IFERROR(HYPERLINK(VLOOKUP(A426,Internal_lists_bugs!$A$2:$C$73,3,FALSE()), VLOOKUP(A426,Internal_lists_bugs!$A$2:$C$73,3,FALSE())&amp;Char(10) &amp; Char(10) &amp; VLOOKUP(A426,Internal_lists_bugs!$A$2:$Z$73,26,FALSE())),"please select a BUG ID")</f>
        <v>https://github.com/elastic/elasticsearch/issues/7686
/query/IdsQueryParser.java</v>
      </c>
      <c r="C426" s="81" t="str">
        <f>IFERROR(Hyperlink(VLOOKUP(A426,Internal_lists_bugs!$A$2:$G1061,7,FALSE()),"BIC: "&amp;VLOOKUP(A426,Internal_lists_bugs!$A$2:$G1061,7,FALSE())&amp;CHAR(10)&amp;"Intro.Issues: "&amp;VLOOKUP(A426,Internal_lists_bugs!$A$2:$P1061,16,FALSE())),"please select a BUG ID")</f>
        <v>BIC: https://github.com/elastic/elasticsearch/commit/c3f3c26
Intro.Issues: 865</v>
      </c>
      <c r="D426" s="100">
        <v>865.0</v>
      </c>
      <c r="E426" s="54"/>
      <c r="F426" s="79" t="s">
        <v>4631</v>
      </c>
      <c r="G426" s="93" t="s">
        <v>481</v>
      </c>
      <c r="H426" s="54"/>
      <c r="I426" s="1"/>
    </row>
    <row r="427">
      <c r="A427" s="16" t="s">
        <v>73</v>
      </c>
      <c r="B427" s="77" t="str">
        <f>IFERROR(HYPERLINK(VLOOKUP(A427,Internal_lists_bugs!$A$2:$C$73,3,FALSE()), VLOOKUP(A427,Internal_lists_bugs!$A$2:$C$73,3,FALSE())&amp;Char(10) &amp; Char(10) &amp; VLOOKUP(A427,Internal_lists_bugs!$A$2:$Z$73,26,FALSE())),"please select a BUG ID")</f>
        <v>https://github.com/elastic/elasticsearch/issues/7686
/query/IdsQueryParser.java</v>
      </c>
      <c r="C427" s="81" t="str">
        <f>IFERROR(Hyperlink(VLOOKUP(A427,Internal_lists_bugs!$A$2:$G1061,7,FALSE()),"BIC: "&amp;VLOOKUP(A427,Internal_lists_bugs!$A$2:$G1061,7,FALSE())&amp;CHAR(10)&amp;"Intro.Issues: "&amp;VLOOKUP(A427,Internal_lists_bugs!$A$2:$P1061,16,FALSE())),"please select a BUG ID")</f>
        <v>BIC: https://github.com/elastic/elasticsearch/commit/c3f3c26
Intro.Issues: 865</v>
      </c>
      <c r="D427" s="100">
        <v>865.0</v>
      </c>
      <c r="E427" s="54"/>
      <c r="F427" s="79" t="s">
        <v>4632</v>
      </c>
      <c r="G427" s="93" t="s">
        <v>482</v>
      </c>
      <c r="H427" s="54"/>
      <c r="I427" s="1"/>
    </row>
    <row r="428">
      <c r="A428" s="16" t="s">
        <v>73</v>
      </c>
      <c r="B428" s="77" t="str">
        <f>IFERROR(HYPERLINK(VLOOKUP(A428,Internal_lists_bugs!$A$2:$C$73,3,FALSE()), VLOOKUP(A428,Internal_lists_bugs!$A$2:$C$73,3,FALSE())&amp;Char(10) &amp; Char(10) &amp; VLOOKUP(A428,Internal_lists_bugs!$A$2:$Z$73,26,FALSE())),"please select a BUG ID")</f>
        <v>https://github.com/elastic/elasticsearch/issues/7686
/query/IdsQueryParser.java</v>
      </c>
      <c r="C428" s="81" t="str">
        <f>IFERROR(Hyperlink(VLOOKUP(A428,Internal_lists_bugs!$A$2:$G1061,7,FALSE()),"BIC: "&amp;VLOOKUP(A428,Internal_lists_bugs!$A$2:$G1061,7,FALSE())&amp;CHAR(10)&amp;"Intro.Issues: "&amp;VLOOKUP(A428,Internal_lists_bugs!$A$2:$P1061,16,FALSE())),"please select a BUG ID")</f>
        <v>BIC: https://github.com/elastic/elasticsearch/commit/c3f3c26
Intro.Issues: 865</v>
      </c>
      <c r="D428" s="100">
        <v>865.0</v>
      </c>
      <c r="E428" s="54"/>
      <c r="F428" s="79" t="s">
        <v>4623</v>
      </c>
      <c r="G428" s="93" t="s">
        <v>483</v>
      </c>
      <c r="H428" s="54"/>
      <c r="I428" s="1"/>
    </row>
    <row r="429">
      <c r="A429" s="16" t="s">
        <v>73</v>
      </c>
      <c r="B429" s="77" t="str">
        <f>IFERROR(HYPERLINK(VLOOKUP(A429,Internal_lists_bugs!$A$2:$C$73,3,FALSE()), VLOOKUP(A429,Internal_lists_bugs!$A$2:$C$73,3,FALSE())&amp;Char(10) &amp; Char(10) &amp; VLOOKUP(A429,Internal_lists_bugs!$A$2:$Z$73,26,FALSE())),"please select a BUG ID")</f>
        <v>https://github.com/elastic/elasticsearch/issues/7686
/query/IdsQueryParser.java</v>
      </c>
      <c r="C429" s="81" t="str">
        <f>IFERROR(Hyperlink(VLOOKUP(A429,Internal_lists_bugs!$A$2:$G1061,7,FALSE()),"BIC: "&amp;VLOOKUP(A429,Internal_lists_bugs!$A$2:$G1061,7,FALSE())&amp;CHAR(10)&amp;"Intro.Issues: "&amp;VLOOKUP(A429,Internal_lists_bugs!$A$2:$P1061,16,FALSE())),"please select a BUG ID")</f>
        <v>BIC: https://github.com/elastic/elasticsearch/commit/c3f3c26
Intro.Issues: 865</v>
      </c>
      <c r="D429" s="100">
        <v>865.0</v>
      </c>
      <c r="E429" s="54"/>
      <c r="F429" s="79" t="s">
        <v>4625</v>
      </c>
      <c r="G429" s="93" t="s">
        <v>490</v>
      </c>
      <c r="H429" s="54"/>
      <c r="I429" s="1"/>
    </row>
    <row r="430">
      <c r="A430" s="16" t="s">
        <v>73</v>
      </c>
      <c r="B430" s="77" t="str">
        <f>IFERROR(HYPERLINK(VLOOKUP(A430,Internal_lists_bugs!$A$2:$C$73,3,FALSE()), VLOOKUP(A430,Internal_lists_bugs!$A$2:$C$73,3,FALSE())&amp;Char(10) &amp; Char(10) &amp; VLOOKUP(A430,Internal_lists_bugs!$A$2:$Z$73,26,FALSE())),"please select a BUG ID")</f>
        <v>https://github.com/elastic/elasticsearch/issues/7686
/query/IdsQueryParser.java</v>
      </c>
      <c r="C430" s="81" t="str">
        <f>IFERROR(Hyperlink(VLOOKUP(A430,Internal_lists_bugs!$A$2:$G1061,7,FALSE()),"BIC: "&amp;VLOOKUP(A430,Internal_lists_bugs!$A$2:$G1061,7,FALSE())&amp;CHAR(10)&amp;"Intro.Issues: "&amp;VLOOKUP(A430,Internal_lists_bugs!$A$2:$P1061,16,FALSE())),"please select a BUG ID")</f>
        <v>BIC: https://github.com/elastic/elasticsearch/commit/c3f3c26
Intro.Issues: 865</v>
      </c>
      <c r="D430" s="100">
        <v>865.0</v>
      </c>
      <c r="E430" s="54"/>
      <c r="F430" s="79" t="s">
        <v>4623</v>
      </c>
      <c r="G430" s="93" t="s">
        <v>492</v>
      </c>
      <c r="H430" s="54"/>
      <c r="I430" s="1"/>
    </row>
    <row r="431">
      <c r="A431" s="16" t="s">
        <v>73</v>
      </c>
      <c r="B431" s="77" t="str">
        <f>IFERROR(HYPERLINK(VLOOKUP(A431,Internal_lists_bugs!$A$2:$C$73,3,FALSE()), VLOOKUP(A431,Internal_lists_bugs!$A$2:$C$73,3,FALSE())&amp;Char(10) &amp; Char(10) &amp; VLOOKUP(A431,Internal_lists_bugs!$A$2:$Z$73,26,FALSE())),"please select a BUG ID")</f>
        <v>https://github.com/elastic/elasticsearch/issues/7686
/query/IdsQueryParser.java</v>
      </c>
      <c r="C431" s="81" t="str">
        <f>IFERROR(Hyperlink(VLOOKUP(A431,Internal_lists_bugs!$A$2:$G1061,7,FALSE()),"BIC: "&amp;VLOOKUP(A431,Internal_lists_bugs!$A$2:$G1061,7,FALSE())&amp;CHAR(10)&amp;"Intro.Issues: "&amp;VLOOKUP(A431,Internal_lists_bugs!$A$2:$P1061,16,FALSE())),"please select a BUG ID")</f>
        <v>BIC: https://github.com/elastic/elasticsearch/commit/c3f3c26
Intro.Issues: 865</v>
      </c>
      <c r="D431" s="100">
        <v>865.0</v>
      </c>
      <c r="E431" s="54"/>
      <c r="F431" s="79" t="s">
        <v>4625</v>
      </c>
      <c r="G431" s="93" t="s">
        <v>4633</v>
      </c>
      <c r="H431" s="54"/>
      <c r="I431" s="1"/>
    </row>
    <row r="432">
      <c r="A432" s="16" t="s">
        <v>73</v>
      </c>
      <c r="B432" s="77" t="str">
        <f>IFERROR(HYPERLINK(VLOOKUP(A432,Internal_lists_bugs!$A$2:$C$73,3,FALSE()), VLOOKUP(A432,Internal_lists_bugs!$A$2:$C$73,3,FALSE())&amp;Char(10) &amp; Char(10) &amp; VLOOKUP(A432,Internal_lists_bugs!$A$2:$Z$73,26,FALSE())),"please select a BUG ID")</f>
        <v>https://github.com/elastic/elasticsearch/issues/7686
/query/IdsQueryParser.java</v>
      </c>
      <c r="C432" s="81" t="str">
        <f>IFERROR(Hyperlink(VLOOKUP(A432,Internal_lists_bugs!$A$2:$G1061,7,FALSE()),"BIC: "&amp;VLOOKUP(A432,Internal_lists_bugs!$A$2:$G1061,7,FALSE())&amp;CHAR(10)&amp;"Intro.Issues: "&amp;VLOOKUP(A432,Internal_lists_bugs!$A$2:$P1061,16,FALSE())),"please select a BUG ID")</f>
        <v>BIC: https://github.com/elastic/elasticsearch/commit/c3f3c26
Intro.Issues: 865</v>
      </c>
      <c r="D432" s="100">
        <v>865.0</v>
      </c>
      <c r="E432" s="54"/>
      <c r="F432" s="79" t="s">
        <v>4634</v>
      </c>
      <c r="G432" s="93" t="s">
        <v>4534</v>
      </c>
      <c r="H432" s="54"/>
      <c r="I432" s="1"/>
    </row>
    <row r="433">
      <c r="A433" s="16" t="s">
        <v>74</v>
      </c>
      <c r="B433" s="77" t="str">
        <f>IFERROR(HYPERLINK(VLOOKUP(A433,Internal_lists_bugs!$A$2:$C$73,3,FALSE()), VLOOKUP(A433,Internal_lists_bugs!$A$2:$C$73,3,FALSE())&amp;Char(10) &amp; Char(10) &amp; VLOOKUP(A433,Internal_lists_bugs!$A$2:$Z$73,26,FALSE())),"please select a BUG ID")</f>
        <v>https://github.com/elastic/elasticsearch/issues/1725
/search/DeletionAwareConstantScoreQuery.java
/search/NotDeletedFilter.java </v>
      </c>
      <c r="C433" s="81" t="str">
        <f>IFERROR(Hyperlink(VLOOKUP(A433,Internal_lists_bugs!$A$2:$G1061,7,FALSE()),"BIC: "&amp;VLOOKUP(A433,Internal_lists_bugs!$A$2:$G1061,7,FALSE())&amp;CHAR(10)&amp;"Intro.Issues: "&amp;VLOOKUP(A433,Internal_lists_bugs!$A$2:$P1061,16,FALSE())),"please select a BUG ID")</f>
        <v>BIC: https://github.com/elastic/elasticsearch/commit/bd6b89f7cab39a
Intro.Issues: 181</v>
      </c>
      <c r="D433" s="100">
        <v>181.0</v>
      </c>
      <c r="E433" s="16" t="s">
        <v>4517</v>
      </c>
      <c r="F433" s="79" t="s">
        <v>4342</v>
      </c>
      <c r="G433" s="93" t="s">
        <v>144</v>
      </c>
      <c r="H433" s="54"/>
      <c r="I433" s="9" t="b">
        <v>0</v>
      </c>
    </row>
    <row r="434">
      <c r="A434" s="16" t="s">
        <v>74</v>
      </c>
      <c r="B434" s="77" t="str">
        <f>IFERROR(HYPERLINK(VLOOKUP(A434,Internal_lists_bugs!$A$2:$C$73,3,FALSE()), VLOOKUP(A434,Internal_lists_bugs!$A$2:$C$73,3,FALSE())&amp;Char(10) &amp; Char(10) &amp; VLOOKUP(A434,Internal_lists_bugs!$A$2:$Z$73,26,FALSE())),"please select a BUG ID")</f>
        <v>https://github.com/elastic/elasticsearch/issues/1725
/search/DeletionAwareConstantScoreQuery.java
/search/NotDeletedFilter.java </v>
      </c>
      <c r="C434" s="81" t="str">
        <f>IFERROR(Hyperlink(VLOOKUP(A434,Internal_lists_bugs!$A$2:$G1061,7,FALSE()),"BIC: "&amp;VLOOKUP(A434,Internal_lists_bugs!$A$2:$G1061,7,FALSE())&amp;CHAR(10)&amp;"Intro.Issues: "&amp;VLOOKUP(A434,Internal_lists_bugs!$A$2:$P1061,16,FALSE())),"please select a BUG ID")</f>
        <v>BIC: https://github.com/elastic/elasticsearch/commit/bd6b89f7cab39a
Intro.Issues: 181</v>
      </c>
      <c r="D434" s="100">
        <v>181.0</v>
      </c>
      <c r="E434" s="54"/>
      <c r="F434" s="79" t="s">
        <v>4512</v>
      </c>
      <c r="G434" s="93" t="s">
        <v>324</v>
      </c>
      <c r="H434" s="54"/>
      <c r="I434" s="1"/>
    </row>
    <row r="435">
      <c r="A435" s="16" t="s">
        <v>74</v>
      </c>
      <c r="B435" s="77" t="str">
        <f>IFERROR(HYPERLINK(VLOOKUP(A435,Internal_lists_bugs!$A$2:$C$73,3,FALSE()), VLOOKUP(A435,Internal_lists_bugs!$A$2:$C$73,3,FALSE())&amp;Char(10) &amp; Char(10) &amp; VLOOKUP(A435,Internal_lists_bugs!$A$2:$Z$73,26,FALSE())),"please select a BUG ID")</f>
        <v>https://github.com/elastic/elasticsearch/issues/1725
/search/DeletionAwareConstantScoreQuery.java
/search/NotDeletedFilter.java </v>
      </c>
      <c r="C435" s="81" t="str">
        <f>IFERROR(Hyperlink(VLOOKUP(A435,Internal_lists_bugs!$A$2:$G1061,7,FALSE()),"BIC: "&amp;VLOOKUP(A435,Internal_lists_bugs!$A$2:$G1061,7,FALSE())&amp;CHAR(10)&amp;"Intro.Issues: "&amp;VLOOKUP(A435,Internal_lists_bugs!$A$2:$P1061,16,FALSE())),"please select a BUG ID")</f>
        <v>BIC: https://github.com/elastic/elasticsearch/commit/bd6b89f7cab39a
Intro.Issues: 181</v>
      </c>
      <c r="D435" s="100">
        <v>181.0</v>
      </c>
      <c r="E435" s="54"/>
      <c r="F435" s="79" t="s">
        <v>438</v>
      </c>
      <c r="G435" s="93" t="s">
        <v>442</v>
      </c>
      <c r="H435" s="54"/>
      <c r="I435" s="1"/>
    </row>
    <row r="436">
      <c r="A436" s="16" t="s">
        <v>74</v>
      </c>
      <c r="B436" s="77" t="str">
        <f>IFERROR(HYPERLINK(VLOOKUP(A436,Internal_lists_bugs!$A$2:$C$73,3,FALSE()), VLOOKUP(A436,Internal_lists_bugs!$A$2:$C$73,3,FALSE())&amp;Char(10) &amp; Char(10) &amp; VLOOKUP(A436,Internal_lists_bugs!$A$2:$Z$73,26,FALSE())),"please select a BUG ID")</f>
        <v>https://github.com/elastic/elasticsearch/issues/1725
/search/DeletionAwareConstantScoreQuery.java
/search/NotDeletedFilter.java </v>
      </c>
      <c r="C436" s="81" t="str">
        <f>IFERROR(Hyperlink(VLOOKUP(A436,Internal_lists_bugs!$A$2:$G1061,7,FALSE()),"BIC: "&amp;VLOOKUP(A436,Internal_lists_bugs!$A$2:$G1061,7,FALSE())&amp;CHAR(10)&amp;"Intro.Issues: "&amp;VLOOKUP(A436,Internal_lists_bugs!$A$2:$P1061,16,FALSE())),"please select a BUG ID")</f>
        <v>BIC: https://github.com/elastic/elasticsearch/commit/bd6b89f7cab39a
Intro.Issues: 181</v>
      </c>
      <c r="D436" s="100">
        <v>181.0</v>
      </c>
      <c r="E436" s="54"/>
      <c r="F436" s="79" t="s">
        <v>4635</v>
      </c>
      <c r="G436" s="93" t="s">
        <v>444</v>
      </c>
      <c r="H436" s="54"/>
      <c r="I436" s="1"/>
    </row>
    <row r="437">
      <c r="A437" s="16" t="s">
        <v>74</v>
      </c>
      <c r="B437" s="77" t="str">
        <f>IFERROR(HYPERLINK(VLOOKUP(A437,Internal_lists_bugs!$A$2:$C$73,3,FALSE()), VLOOKUP(A437,Internal_lists_bugs!$A$2:$C$73,3,FALSE())&amp;Char(10) &amp; Char(10) &amp; VLOOKUP(A437,Internal_lists_bugs!$A$2:$Z$73,26,FALSE())),"please select a BUG ID")</f>
        <v>https://github.com/elastic/elasticsearch/issues/1725
/search/DeletionAwareConstantScoreQuery.java
/search/NotDeletedFilter.java </v>
      </c>
      <c r="C437" s="81" t="str">
        <f>IFERROR(Hyperlink(VLOOKUP(A437,Internal_lists_bugs!$A$2:$G1061,7,FALSE()),"BIC: "&amp;VLOOKUP(A437,Internal_lists_bugs!$A$2:$G1061,7,FALSE())&amp;CHAR(10)&amp;"Intro.Issues: "&amp;VLOOKUP(A437,Internal_lists_bugs!$A$2:$P1061,16,FALSE())),"please select a BUG ID")</f>
        <v>BIC: https://github.com/elastic/elasticsearch/commit/bd6b89f7cab39a
Intro.Issues: 181</v>
      </c>
      <c r="D437" s="100">
        <v>181.0</v>
      </c>
      <c r="E437" s="54"/>
      <c r="F437" s="79" t="s">
        <v>4636</v>
      </c>
      <c r="G437" s="93" t="s">
        <v>447</v>
      </c>
      <c r="H437" s="54"/>
      <c r="I437" s="1"/>
    </row>
    <row r="438">
      <c r="A438" s="16" t="s">
        <v>75</v>
      </c>
      <c r="B438" s="77" t="str">
        <f>IFERROR(HYPERLINK(VLOOKUP(A438,Internal_lists_bugs!$A$2:$C$73,3,FALSE()), VLOOKUP(A438,Internal_lists_bugs!$A$2:$C$73,3,FALSE())&amp;Char(10) &amp; Char(10) &amp; VLOOKUP(A438,Internal_lists_bugs!$A$2:$Z$73,26,FALSE())),"please select a BUG ID")</f>
        <v>https://github.com/elastic/elasticsearch/issues/8438
/filter/FilterParser.java
/filters/FiltersParser.java</v>
      </c>
      <c r="C438" s="81" t="str">
        <f>IFERROR(Hyperlink(VLOOKUP(A438,Internal_lists_bugs!$A$2:$G1061,7,FALSE()),"BIC: "&amp;VLOOKUP(A438,Internal_lists_bugs!$A$2:$G1061,7,FALSE())&amp;CHAR(10)&amp;"Intro.Issues: "&amp;VLOOKUP(A438,Internal_lists_bugs!$A$2:$P1061,16,FALSE())),"please select a BUG ID")</f>
        <v>BIC: https://github.com/elastic/elasticsearch/commit/3c9c9f33
Intro.Issues: 6118</v>
      </c>
      <c r="D438" s="100">
        <v>6118.0</v>
      </c>
      <c r="E438" s="16" t="s">
        <v>4120</v>
      </c>
      <c r="F438" s="79" t="s">
        <v>4342</v>
      </c>
      <c r="G438" s="93" t="s">
        <v>144</v>
      </c>
      <c r="H438" s="54"/>
      <c r="I438" s="9" t="b">
        <v>0</v>
      </c>
    </row>
    <row r="439">
      <c r="A439" s="16" t="s">
        <v>75</v>
      </c>
      <c r="B439" s="77" t="str">
        <f>IFERROR(HYPERLINK(VLOOKUP(A439,Internal_lists_bugs!$A$2:$C$73,3,FALSE()), VLOOKUP(A439,Internal_lists_bugs!$A$2:$C$73,3,FALSE())&amp;Char(10) &amp; Char(10) &amp; VLOOKUP(A439,Internal_lists_bugs!$A$2:$Z$73,26,FALSE())),"please select a BUG ID")</f>
        <v>https://github.com/elastic/elasticsearch/issues/8438
/filter/FilterParser.java
/filters/FiltersParser.java</v>
      </c>
      <c r="C439" s="81" t="str">
        <f>IFERROR(Hyperlink(VLOOKUP(A439,Internal_lists_bugs!$A$2:$G1061,7,FALSE()),"BIC: "&amp;VLOOKUP(A439,Internal_lists_bugs!$A$2:$G1061,7,FALSE())&amp;CHAR(10)&amp;"Intro.Issues: "&amp;VLOOKUP(A439,Internal_lists_bugs!$A$2:$P1061,16,FALSE())),"please select a BUG ID")</f>
        <v>BIC: https://github.com/elastic/elasticsearch/commit/3c9c9f33
Intro.Issues: 6118</v>
      </c>
      <c r="D439" s="100">
        <v>6118.0</v>
      </c>
      <c r="E439" s="54"/>
      <c r="F439" s="79" t="s">
        <v>4512</v>
      </c>
      <c r="G439" s="93" t="s">
        <v>324</v>
      </c>
      <c r="H439" s="54"/>
      <c r="I439" s="1"/>
    </row>
    <row r="440">
      <c r="A440" s="16" t="s">
        <v>75</v>
      </c>
      <c r="B440" s="77" t="str">
        <f>IFERROR(HYPERLINK(VLOOKUP(A440,Internal_lists_bugs!$A$2:$C$73,3,FALSE()), VLOOKUP(A440,Internal_lists_bugs!$A$2:$C$73,3,FALSE())&amp;Char(10) &amp; Char(10) &amp; VLOOKUP(A440,Internal_lists_bugs!$A$2:$Z$73,26,FALSE())),"please select a BUG ID")</f>
        <v>https://github.com/elastic/elasticsearch/issues/8438
/filter/FilterParser.java
/filters/FiltersParser.java</v>
      </c>
      <c r="C440" s="81" t="str">
        <f>IFERROR(Hyperlink(VLOOKUP(A440,Internal_lists_bugs!$A$2:$G1061,7,FALSE()),"BIC: "&amp;VLOOKUP(A440,Internal_lists_bugs!$A$2:$G1061,7,FALSE())&amp;CHAR(10)&amp;"Intro.Issues: "&amp;VLOOKUP(A440,Internal_lists_bugs!$A$2:$P1061,16,FALSE())),"please select a BUG ID")</f>
        <v>BIC: https://github.com/elastic/elasticsearch/commit/3c9c9f33
Intro.Issues: 6118</v>
      </c>
      <c r="D440" s="100">
        <v>6118.0</v>
      </c>
      <c r="E440" s="54"/>
      <c r="F440" s="79" t="s">
        <v>4637</v>
      </c>
      <c r="G440" s="93" t="s">
        <v>442</v>
      </c>
      <c r="H440" s="54"/>
      <c r="I440" s="1"/>
    </row>
    <row r="441">
      <c r="A441" s="16" t="s">
        <v>75</v>
      </c>
      <c r="B441" s="77" t="str">
        <f>IFERROR(HYPERLINK(VLOOKUP(A441,Internal_lists_bugs!$A$2:$C$73,3,FALSE()), VLOOKUP(A441,Internal_lists_bugs!$A$2:$C$73,3,FALSE())&amp;Char(10) &amp; Char(10) &amp; VLOOKUP(A441,Internal_lists_bugs!$A$2:$Z$73,26,FALSE())),"please select a BUG ID")</f>
        <v>https://github.com/elastic/elasticsearch/issues/8438
/filter/FilterParser.java
/filters/FiltersParser.java</v>
      </c>
      <c r="C441" s="81" t="str">
        <f>IFERROR(Hyperlink(VLOOKUP(A441,Internal_lists_bugs!$A$2:$G1061,7,FALSE()),"BIC: "&amp;VLOOKUP(A441,Internal_lists_bugs!$A$2:$G1061,7,FALSE())&amp;CHAR(10)&amp;"Intro.Issues: "&amp;VLOOKUP(A441,Internal_lists_bugs!$A$2:$P1061,16,FALSE())),"please select a BUG ID")</f>
        <v>BIC: https://github.com/elastic/elasticsearch/commit/3c9c9f33
Intro.Issues: 6118</v>
      </c>
      <c r="D441" s="100">
        <v>6118.0</v>
      </c>
      <c r="E441" s="54"/>
      <c r="F441" s="79" t="s">
        <v>4590</v>
      </c>
      <c r="G441" s="93" t="s">
        <v>444</v>
      </c>
      <c r="H441" s="54"/>
      <c r="I441" s="1"/>
    </row>
    <row r="442">
      <c r="A442" s="16" t="s">
        <v>75</v>
      </c>
      <c r="B442" s="77" t="str">
        <f>IFERROR(HYPERLINK(VLOOKUP(A442,Internal_lists_bugs!$A$2:$C$73,3,FALSE()), VLOOKUP(A442,Internal_lists_bugs!$A$2:$C$73,3,FALSE())&amp;Char(10) &amp; Char(10) &amp; VLOOKUP(A442,Internal_lists_bugs!$A$2:$Z$73,26,FALSE())),"please select a BUG ID")</f>
        <v>https://github.com/elastic/elasticsearch/issues/8438
/filter/FilterParser.java
/filters/FiltersParser.java</v>
      </c>
      <c r="C442" s="81" t="str">
        <f>IFERROR(Hyperlink(VLOOKUP(A442,Internal_lists_bugs!$A$2:$G1061,7,FALSE()),"BIC: "&amp;VLOOKUP(A442,Internal_lists_bugs!$A$2:$G1061,7,FALSE())&amp;CHAR(10)&amp;"Intro.Issues: "&amp;VLOOKUP(A442,Internal_lists_bugs!$A$2:$P1061,16,FALSE())),"please select a BUG ID")</f>
        <v>BIC: https://github.com/elastic/elasticsearch/commit/3c9c9f33
Intro.Issues: 6118</v>
      </c>
      <c r="D442" s="100">
        <v>6118.0</v>
      </c>
      <c r="E442" s="54"/>
      <c r="F442" s="79" t="s">
        <v>4638</v>
      </c>
      <c r="G442" s="93" t="s">
        <v>447</v>
      </c>
      <c r="H442" s="54"/>
      <c r="I442" s="1"/>
    </row>
    <row r="443">
      <c r="A443" s="16" t="s">
        <v>75</v>
      </c>
      <c r="B443" s="77" t="str">
        <f>IFERROR(HYPERLINK(VLOOKUP(A443,Internal_lists_bugs!$A$2:$C$73,3,FALSE()), VLOOKUP(A443,Internal_lists_bugs!$A$2:$C$73,3,FALSE())&amp;Char(10) &amp; Char(10) &amp; VLOOKUP(A443,Internal_lists_bugs!$A$2:$Z$73,26,FALSE())),"please select a BUG ID")</f>
        <v>https://github.com/elastic/elasticsearch/issues/8438
/filter/FilterParser.java
/filters/FiltersParser.java</v>
      </c>
      <c r="C443" s="81" t="str">
        <f>IFERROR(Hyperlink(VLOOKUP(A443,Internal_lists_bugs!$A$2:$G1061,7,FALSE()),"BIC: "&amp;VLOOKUP(A443,Internal_lists_bugs!$A$2:$G1061,7,FALSE())&amp;CHAR(10)&amp;"Intro.Issues: "&amp;VLOOKUP(A443,Internal_lists_bugs!$A$2:$P1061,16,FALSE())),"please select a BUG ID")</f>
        <v>BIC: https://github.com/elastic/elasticsearch/commit/3c9c9f33
Intro.Issues: 6118</v>
      </c>
      <c r="D443" s="100">
        <v>6118.0</v>
      </c>
      <c r="E443" s="54"/>
      <c r="F443" s="79" t="s">
        <v>4639</v>
      </c>
      <c r="G443" s="93" t="s">
        <v>451</v>
      </c>
      <c r="H443" s="54"/>
      <c r="I443" s="1"/>
    </row>
    <row r="444">
      <c r="A444" s="16" t="s">
        <v>76</v>
      </c>
      <c r="B444" s="77" t="str">
        <f>IFERROR(HYPERLINK(VLOOKUP(A444,Internal_lists_bugs!$A$2:$C$73,3,FALSE()), VLOOKUP(A444,Internal_lists_bugs!$A$2:$C$73,3,FALSE())&amp;Char(10) &amp; Char(10) &amp; VLOOKUP(A444,Internal_lists_bugs!$A$2:$Z$73,26,FALSE())),"please select a BUG ID")</f>
        <v>https://github.com/elastic/elasticsearch/issues/9317
/nested/NestedAggregator.java</v>
      </c>
      <c r="C444" s="81" t="str">
        <f>IFERROR(Hyperlink(VLOOKUP(A444,Internal_lists_bugs!$A$2:$G1061,7,FALSE()),"BIC: "&amp;VLOOKUP(A444,Internal_lists_bugs!$A$2:$G1061,7,FALSE())&amp;CHAR(10)&amp;"Intro.Issues: "&amp;VLOOKUP(A444,Internal_lists_bugs!$A$2:$P1061,16,FALSE())),"please select a BUG ID")</f>
        <v>BIC: https://github.com/elastic/elasticsearch/commit/5714b0a
Intro.Issues: 8454</v>
      </c>
      <c r="D444" s="100">
        <v>8454.0</v>
      </c>
      <c r="E444" s="16" t="s">
        <v>4280</v>
      </c>
      <c r="F444" s="79" t="s">
        <v>4342</v>
      </c>
      <c r="G444" s="93" t="s">
        <v>144</v>
      </c>
      <c r="H444" s="54"/>
      <c r="I444" s="9" t="b">
        <v>1</v>
      </c>
    </row>
    <row r="445">
      <c r="A445" s="16" t="s">
        <v>76</v>
      </c>
      <c r="B445" s="77" t="str">
        <f>IFERROR(HYPERLINK(VLOOKUP(A445,Internal_lists_bugs!$A$2:$C$73,3,FALSE()), VLOOKUP(A445,Internal_lists_bugs!$A$2:$C$73,3,FALSE())&amp;Char(10) &amp; Char(10) &amp; VLOOKUP(A445,Internal_lists_bugs!$A$2:$Z$73,26,FALSE())),"please select a BUG ID")</f>
        <v>https://github.com/elastic/elasticsearch/issues/9317
/nested/NestedAggregator.java</v>
      </c>
      <c r="C445" s="81" t="str">
        <f>IFERROR(Hyperlink(VLOOKUP(A445,Internal_lists_bugs!$A$2:$G1061,7,FALSE()),"BIC: "&amp;VLOOKUP(A445,Internal_lists_bugs!$A$2:$G1061,7,FALSE())&amp;CHAR(10)&amp;"Intro.Issues: "&amp;VLOOKUP(A445,Internal_lists_bugs!$A$2:$P1061,16,FALSE())),"please select a BUG ID")</f>
        <v>BIC: https://github.com/elastic/elasticsearch/commit/5714b0a
Intro.Issues: 8454</v>
      </c>
      <c r="D445" s="100">
        <v>8454.0</v>
      </c>
      <c r="E445" s="54"/>
      <c r="F445" s="79" t="s">
        <v>227</v>
      </c>
      <c r="G445" s="93" t="s">
        <v>324</v>
      </c>
      <c r="H445" s="54"/>
      <c r="I445" s="1"/>
    </row>
    <row r="446">
      <c r="A446" s="16" t="s">
        <v>77</v>
      </c>
      <c r="B446" s="77" t="str">
        <f>IFERROR(HYPERLINK(VLOOKUP(A446,Internal_lists_bugs!$A$2:$C$73,3,FALSE()), VLOOKUP(A446,Internal_lists_bugs!$A$2:$C$73,3,FALSE())&amp;Char(10) &amp; Char(10) &amp; VLOOKUP(A446,Internal_lists_bugs!$A$2:$Z$73,26,FALSE())),"please select a BUG ID")</f>
        <v>https://github.com/elastic/elasticsearch/issues/8893
/core/AbstractFieldMapper.java
/internal/TimestampFieldMapper.java</v>
      </c>
      <c r="C446" s="81" t="str">
        <f>IFERROR(Hyperlink(VLOOKUP(A446,Internal_lists_bugs!$A$2:$G1061,7,FALSE()),"BIC: "&amp;VLOOKUP(A446,Internal_lists_bugs!$A$2:$G1061,7,FALSE())&amp;CHAR(10)&amp;"Intro.Issues: "&amp;VLOOKUP(A446,Internal_lists_bugs!$A$2:$P1061,16,FALSE())),"please select a BUG ID")</f>
        <v>BIC: https://github.com/elastic/elasticsearch/commit/85eb0ea
Intro.Issues: 4718, 7036</v>
      </c>
      <c r="D446" s="100">
        <v>4718.0</v>
      </c>
      <c r="E446" s="16" t="s">
        <v>4280</v>
      </c>
      <c r="F446" s="79" t="s">
        <v>149</v>
      </c>
      <c r="G446" s="93" t="s">
        <v>144</v>
      </c>
      <c r="H446" s="54"/>
      <c r="I446" s="174"/>
    </row>
    <row r="447">
      <c r="A447" s="16" t="s">
        <v>77</v>
      </c>
      <c r="B447" s="77" t="str">
        <f>IFERROR(HYPERLINK(VLOOKUP(A447,Internal_lists_bugs!$A$2:$C$73,3,FALSE()), VLOOKUP(A447,Internal_lists_bugs!$A$2:$C$73,3,FALSE())&amp;Char(10) &amp; Char(10) &amp; VLOOKUP(A447,Internal_lists_bugs!$A$2:$Z$73,26,FALSE())),"please select a BUG ID")</f>
        <v>https://github.com/elastic/elasticsearch/issues/8893
/core/AbstractFieldMapper.java
/internal/TimestampFieldMapper.java</v>
      </c>
      <c r="C447" s="81" t="str">
        <f>IFERROR(Hyperlink(VLOOKUP(A447,Internal_lists_bugs!$A$2:$G1061,7,FALSE()),"BIC: "&amp;VLOOKUP(A447,Internal_lists_bugs!$A$2:$G1061,7,FALSE())&amp;CHAR(10)&amp;"Intro.Issues: "&amp;VLOOKUP(A447,Internal_lists_bugs!$A$2:$P1061,16,FALSE())),"please select a BUG ID")</f>
        <v>BIC: https://github.com/elastic/elasticsearch/commit/85eb0ea
Intro.Issues: 4718, 7036</v>
      </c>
      <c r="D447" s="100">
        <v>4718.0</v>
      </c>
      <c r="E447" s="54"/>
      <c r="F447" s="79" t="s">
        <v>119</v>
      </c>
      <c r="G447" s="93" t="s">
        <v>144</v>
      </c>
      <c r="H447" s="54"/>
      <c r="I447" s="1"/>
    </row>
    <row r="448">
      <c r="A448" s="16" t="s">
        <v>77</v>
      </c>
      <c r="B448" s="77" t="str">
        <f>IFERROR(HYPERLINK(VLOOKUP(A448,Internal_lists_bugs!$A$2:$C$73,3,FALSE()), VLOOKUP(A448,Internal_lists_bugs!$A$2:$C$73,3,FALSE())&amp;Char(10) &amp; Char(10) &amp; VLOOKUP(A448,Internal_lists_bugs!$A$2:$Z$73,26,FALSE())),"please select a BUG ID")</f>
        <v>https://github.com/elastic/elasticsearch/issues/8893
/core/AbstractFieldMapper.java
/internal/TimestampFieldMapper.java</v>
      </c>
      <c r="C448" s="81" t="str">
        <f>IFERROR(Hyperlink(VLOOKUP(A448,Internal_lists_bugs!$A$2:$G1061,7,FALSE()),"BIC: "&amp;VLOOKUP(A448,Internal_lists_bugs!$A$2:$G1061,7,FALSE())&amp;CHAR(10)&amp;"Intro.Issues: "&amp;VLOOKUP(A448,Internal_lists_bugs!$A$2:$P1061,16,FALSE())),"please select a BUG ID")</f>
        <v>BIC: https://github.com/elastic/elasticsearch/commit/85eb0ea
Intro.Issues: 4718, 7036</v>
      </c>
      <c r="D448" s="100">
        <v>4718.0</v>
      </c>
      <c r="E448" s="54"/>
      <c r="F448" s="79" t="s">
        <v>149</v>
      </c>
      <c r="G448" s="93" t="s">
        <v>324</v>
      </c>
      <c r="H448" s="54"/>
      <c r="I448" s="1"/>
    </row>
    <row r="449">
      <c r="A449" s="16" t="s">
        <v>77</v>
      </c>
      <c r="B449" s="77" t="str">
        <f>IFERROR(HYPERLINK(VLOOKUP(A449,Internal_lists_bugs!$A$2:$C$73,3,FALSE()), VLOOKUP(A449,Internal_lists_bugs!$A$2:$C$73,3,FALSE())&amp;Char(10) &amp; Char(10) &amp; VLOOKUP(A449,Internal_lists_bugs!$A$2:$Z$73,26,FALSE())),"please select a BUG ID")</f>
        <v>https://github.com/elastic/elasticsearch/issues/8893
/core/AbstractFieldMapper.java
/internal/TimestampFieldMapper.java</v>
      </c>
      <c r="C449" s="81" t="str">
        <f>IFERROR(Hyperlink(VLOOKUP(A449,Internal_lists_bugs!$A$2:$G1061,7,FALSE()),"BIC: "&amp;VLOOKUP(A449,Internal_lists_bugs!$A$2:$G1061,7,FALSE())&amp;CHAR(10)&amp;"Intro.Issues: "&amp;VLOOKUP(A449,Internal_lists_bugs!$A$2:$P1061,16,FALSE())),"please select a BUG ID")</f>
        <v>BIC: https://github.com/elastic/elasticsearch/commit/85eb0ea
Intro.Issues: 4718, 7036</v>
      </c>
      <c r="D449" s="100">
        <v>4718.0</v>
      </c>
      <c r="E449" s="54"/>
      <c r="F449" s="79" t="s">
        <v>119</v>
      </c>
      <c r="G449" s="93" t="s">
        <v>324</v>
      </c>
      <c r="H449" s="54"/>
      <c r="I449" s="1"/>
    </row>
    <row r="450">
      <c r="A450" s="16" t="s">
        <v>77</v>
      </c>
      <c r="B450" s="77" t="str">
        <f>IFERROR(HYPERLINK(VLOOKUP(A450,Internal_lists_bugs!$A$2:$C$73,3,FALSE()), VLOOKUP(A450,Internal_lists_bugs!$A$2:$C$73,3,FALSE())&amp;Char(10) &amp; Char(10) &amp; VLOOKUP(A450,Internal_lists_bugs!$A$2:$Z$73,26,FALSE())),"please select a BUG ID")</f>
        <v>https://github.com/elastic/elasticsearch/issues/8893
/core/AbstractFieldMapper.java
/internal/TimestampFieldMapper.java</v>
      </c>
      <c r="C450" s="81" t="str">
        <f>IFERROR(Hyperlink(VLOOKUP(A450,Internal_lists_bugs!$A$2:$G1061,7,FALSE()),"BIC: "&amp;VLOOKUP(A450,Internal_lists_bugs!$A$2:$G1061,7,FALSE())&amp;CHAR(10)&amp;"Intro.Issues: "&amp;VLOOKUP(A450,Internal_lists_bugs!$A$2:$P1061,16,FALSE())),"please select a BUG ID")</f>
        <v>BIC: https://github.com/elastic/elasticsearch/commit/85eb0ea
Intro.Issues: 4718, 7036</v>
      </c>
      <c r="D450" s="100">
        <v>4718.0</v>
      </c>
      <c r="E450" s="54"/>
      <c r="F450" s="79" t="s">
        <v>4613</v>
      </c>
      <c r="G450" s="93" t="s">
        <v>324</v>
      </c>
      <c r="H450" s="54"/>
      <c r="I450" s="1"/>
    </row>
    <row r="451">
      <c r="A451" s="16" t="s">
        <v>77</v>
      </c>
      <c r="B451" s="77" t="str">
        <f>IFERROR(HYPERLINK(VLOOKUP(A451,Internal_lists_bugs!$A$2:$C$73,3,FALSE()), VLOOKUP(A451,Internal_lists_bugs!$A$2:$C$73,3,FALSE())&amp;Char(10) &amp; Char(10) &amp; VLOOKUP(A451,Internal_lists_bugs!$A$2:$Z$73,26,FALSE())),"please select a BUG ID")</f>
        <v>https://github.com/elastic/elasticsearch/issues/8893
/core/AbstractFieldMapper.java
/internal/TimestampFieldMapper.java</v>
      </c>
      <c r="C451" s="81" t="str">
        <f>IFERROR(Hyperlink(VLOOKUP(A451,Internal_lists_bugs!$A$2:$G1061,7,FALSE()),"BIC: "&amp;VLOOKUP(A451,Internal_lists_bugs!$A$2:$G1061,7,FALSE())&amp;CHAR(10)&amp;"Intro.Issues: "&amp;VLOOKUP(A451,Internal_lists_bugs!$A$2:$P1061,16,FALSE())),"please select a BUG ID")</f>
        <v>BIC: https://github.com/elastic/elasticsearch/commit/85eb0ea
Intro.Issues: 4718, 7036</v>
      </c>
      <c r="D451" s="100">
        <v>4718.0</v>
      </c>
      <c r="E451" s="54"/>
      <c r="F451" s="79" t="s">
        <v>4640</v>
      </c>
      <c r="G451" s="93" t="s">
        <v>442</v>
      </c>
      <c r="H451" s="54"/>
      <c r="I451" s="1"/>
    </row>
    <row r="452">
      <c r="A452" s="16" t="s">
        <v>77</v>
      </c>
      <c r="B452" s="77" t="str">
        <f>IFERROR(HYPERLINK(VLOOKUP(A452,Internal_lists_bugs!$A$2:$C$73,3,FALSE()), VLOOKUP(A452,Internal_lists_bugs!$A$2:$C$73,3,FALSE())&amp;Char(10) &amp; Char(10) &amp; VLOOKUP(A452,Internal_lists_bugs!$A$2:$Z$73,26,FALSE())),"please select a BUG ID")</f>
        <v>https://github.com/elastic/elasticsearch/issues/8893
/core/AbstractFieldMapper.java
/internal/TimestampFieldMapper.java</v>
      </c>
      <c r="C452" s="81" t="str">
        <f>IFERROR(Hyperlink(VLOOKUP(A452,Internal_lists_bugs!$A$2:$G1061,7,FALSE()),"BIC: "&amp;VLOOKUP(A452,Internal_lists_bugs!$A$2:$G1061,7,FALSE())&amp;CHAR(10)&amp;"Intro.Issues: "&amp;VLOOKUP(A452,Internal_lists_bugs!$A$2:$P1061,16,FALSE())),"please select a BUG ID")</f>
        <v>BIC: https://github.com/elastic/elasticsearch/commit/85eb0ea
Intro.Issues: 4718, 7036</v>
      </c>
      <c r="D452" s="100">
        <v>4718.0</v>
      </c>
      <c r="E452" s="54"/>
      <c r="F452" s="79" t="s">
        <v>4641</v>
      </c>
      <c r="G452" s="93" t="s">
        <v>444</v>
      </c>
      <c r="H452" s="54"/>
      <c r="I452" s="1"/>
    </row>
    <row r="453">
      <c r="A453" s="16" t="s">
        <v>77</v>
      </c>
      <c r="B453" s="77" t="str">
        <f>IFERROR(HYPERLINK(VLOOKUP(A453,Internal_lists_bugs!$A$2:$C$73,3,FALSE()), VLOOKUP(A453,Internal_lists_bugs!$A$2:$C$73,3,FALSE())&amp;Char(10) &amp; Char(10) &amp; VLOOKUP(A453,Internal_lists_bugs!$A$2:$Z$73,26,FALSE())),"please select a BUG ID")</f>
        <v>https://github.com/elastic/elasticsearch/issues/8893
/core/AbstractFieldMapper.java
/internal/TimestampFieldMapper.java</v>
      </c>
      <c r="C453" s="81" t="str">
        <f>IFERROR(Hyperlink(VLOOKUP(A453,Internal_lists_bugs!$A$2:$G1061,7,FALSE()),"BIC: "&amp;VLOOKUP(A453,Internal_lists_bugs!$A$2:$G1061,7,FALSE())&amp;CHAR(10)&amp;"Intro.Issues: "&amp;VLOOKUP(A453,Internal_lists_bugs!$A$2:$P1061,16,FALSE())),"please select a BUG ID")</f>
        <v>BIC: https://github.com/elastic/elasticsearch/commit/85eb0ea
Intro.Issues: 4718, 7036</v>
      </c>
      <c r="D453" s="100">
        <v>4718.0</v>
      </c>
      <c r="E453" s="54"/>
      <c r="F453" s="79" t="s">
        <v>4514</v>
      </c>
      <c r="G453" s="93" t="s">
        <v>447</v>
      </c>
      <c r="H453" s="54"/>
      <c r="I453" s="1"/>
    </row>
    <row r="454">
      <c r="A454" s="16" t="s">
        <v>77</v>
      </c>
      <c r="B454" s="77" t="str">
        <f>IFERROR(HYPERLINK(VLOOKUP(A454,Internal_lists_bugs!$A$2:$C$73,3,FALSE()), VLOOKUP(A454,Internal_lists_bugs!$A$2:$C$73,3,FALSE())&amp;Char(10) &amp; Char(10) &amp; VLOOKUP(A454,Internal_lists_bugs!$A$2:$Z$73,26,FALSE())),"please select a BUG ID")</f>
        <v>https://github.com/elastic/elasticsearch/issues/8893
/core/AbstractFieldMapper.java
/internal/TimestampFieldMapper.java</v>
      </c>
      <c r="C454" s="81" t="str">
        <f>IFERROR(Hyperlink(VLOOKUP(A454,Internal_lists_bugs!$A$2:$G1061,7,FALSE()),"BIC: "&amp;VLOOKUP(A454,Internal_lists_bugs!$A$2:$G1061,7,FALSE())&amp;CHAR(10)&amp;"Intro.Issues: "&amp;VLOOKUP(A454,Internal_lists_bugs!$A$2:$P1061,16,FALSE())),"please select a BUG ID")</f>
        <v>BIC: https://github.com/elastic/elasticsearch/commit/85eb0ea
Intro.Issues: 4718, 7036</v>
      </c>
      <c r="D454" s="100">
        <v>4718.0</v>
      </c>
      <c r="E454" s="54"/>
      <c r="F454" s="79" t="s">
        <v>4642</v>
      </c>
      <c r="G454" s="93" t="s">
        <v>451</v>
      </c>
      <c r="H454" s="54"/>
      <c r="I454" s="1"/>
    </row>
    <row r="455">
      <c r="A455" s="16" t="s">
        <v>77</v>
      </c>
      <c r="B455" s="77" t="str">
        <f>IFERROR(HYPERLINK(VLOOKUP(A455,Internal_lists_bugs!$A$2:$C$73,3,FALSE()), VLOOKUP(A455,Internal_lists_bugs!$A$2:$C$73,3,FALSE())&amp;Char(10) &amp; Char(10) &amp; VLOOKUP(A455,Internal_lists_bugs!$A$2:$Z$73,26,FALSE())),"please select a BUG ID")</f>
        <v>https://github.com/elastic/elasticsearch/issues/8893
/core/AbstractFieldMapper.java
/internal/TimestampFieldMapper.java</v>
      </c>
      <c r="C455" s="81" t="str">
        <f>IFERROR(Hyperlink(VLOOKUP(A455,Internal_lists_bugs!$A$2:$G1061,7,FALSE()),"BIC: "&amp;VLOOKUP(A455,Internal_lists_bugs!$A$2:$G1061,7,FALSE())&amp;CHAR(10)&amp;"Intro.Issues: "&amp;VLOOKUP(A455,Internal_lists_bugs!$A$2:$P1061,16,FALSE())),"please select a BUG ID")</f>
        <v>BIC: https://github.com/elastic/elasticsearch/commit/85eb0ea
Intro.Issues: 4718, 7036</v>
      </c>
      <c r="D455" s="100">
        <v>4718.0</v>
      </c>
      <c r="E455" s="54"/>
      <c r="F455" s="79" t="s">
        <v>4643</v>
      </c>
      <c r="G455" s="93" t="s">
        <v>500</v>
      </c>
      <c r="H455" s="54"/>
      <c r="I455" s="1"/>
    </row>
    <row r="456">
      <c r="A456" s="16" t="s">
        <v>77</v>
      </c>
      <c r="B456" s="77" t="str">
        <f>IFERROR(HYPERLINK(VLOOKUP(A456,Internal_lists_bugs!$A$2:$C$73,3,FALSE()), VLOOKUP(A456,Internal_lists_bugs!$A$2:$C$73,3,FALSE())&amp;Char(10) &amp; Char(10) &amp; VLOOKUP(A456,Internal_lists_bugs!$A$2:$Z$73,26,FALSE())),"please select a BUG ID")</f>
        <v>https://github.com/elastic/elasticsearch/issues/8893
/core/AbstractFieldMapper.java
/internal/TimestampFieldMapper.java</v>
      </c>
      <c r="C456" s="81" t="str">
        <f>IFERROR(Hyperlink(VLOOKUP(A456,Internal_lists_bugs!$A$2:$G1061,7,FALSE()),"BIC: "&amp;VLOOKUP(A456,Internal_lists_bugs!$A$2:$G1061,7,FALSE())&amp;CHAR(10)&amp;"Intro.Issues: "&amp;VLOOKUP(A456,Internal_lists_bugs!$A$2:$P1061,16,FALSE())),"please select a BUG ID")</f>
        <v>BIC: https://github.com/elastic/elasticsearch/commit/85eb0ea
Intro.Issues: 4718, 7036</v>
      </c>
      <c r="D456" s="100">
        <v>4718.0</v>
      </c>
      <c r="E456" s="54"/>
      <c r="F456" s="79" t="s">
        <v>4623</v>
      </c>
      <c r="G456" s="93" t="s">
        <v>461</v>
      </c>
      <c r="H456" s="54"/>
      <c r="I456" s="1"/>
    </row>
    <row r="457">
      <c r="A457" s="16" t="s">
        <v>77</v>
      </c>
      <c r="B457" s="77" t="str">
        <f>IFERROR(HYPERLINK(VLOOKUP(A457,Internal_lists_bugs!$A$2:$C$73,3,FALSE()), VLOOKUP(A457,Internal_lists_bugs!$A$2:$C$73,3,FALSE())&amp;Char(10) &amp; Char(10) &amp; VLOOKUP(A457,Internal_lists_bugs!$A$2:$Z$73,26,FALSE())),"please select a BUG ID")</f>
        <v>https://github.com/elastic/elasticsearch/issues/8893
/core/AbstractFieldMapper.java
/internal/TimestampFieldMapper.java</v>
      </c>
      <c r="C457" s="81" t="str">
        <f>IFERROR(Hyperlink(VLOOKUP(A457,Internal_lists_bugs!$A$2:$G1061,7,FALSE()),"BIC: "&amp;VLOOKUP(A457,Internal_lists_bugs!$A$2:$G1061,7,FALSE())&amp;CHAR(10)&amp;"Intro.Issues: "&amp;VLOOKUP(A457,Internal_lists_bugs!$A$2:$P1061,16,FALSE())),"please select a BUG ID")</f>
        <v>BIC: https://github.com/elastic/elasticsearch/commit/85eb0ea
Intro.Issues: 4718, 7036</v>
      </c>
      <c r="D457" s="100">
        <v>4718.0</v>
      </c>
      <c r="E457" s="54"/>
      <c r="F457" s="79" t="s">
        <v>4625</v>
      </c>
      <c r="G457" s="93" t="s">
        <v>462</v>
      </c>
      <c r="H457" s="54"/>
      <c r="I457" s="1"/>
    </row>
    <row r="458">
      <c r="A458" s="16" t="s">
        <v>77</v>
      </c>
      <c r="B458" s="77" t="str">
        <f>IFERROR(HYPERLINK(VLOOKUP(A458,Internal_lists_bugs!$A$2:$C$73,3,FALSE()), VLOOKUP(A458,Internal_lists_bugs!$A$2:$C$73,3,FALSE())&amp;Char(10) &amp; Char(10) &amp; VLOOKUP(A458,Internal_lists_bugs!$A$2:$Z$73,26,FALSE())),"please select a BUG ID")</f>
        <v>https://github.com/elastic/elasticsearch/issues/8893
/core/AbstractFieldMapper.java
/internal/TimestampFieldMapper.java</v>
      </c>
      <c r="C458" s="81" t="str">
        <f>IFERROR(Hyperlink(VLOOKUP(A458,Internal_lists_bugs!$A$2:$G1061,7,FALSE()),"BIC: "&amp;VLOOKUP(A458,Internal_lists_bugs!$A$2:$G1061,7,FALSE())&amp;CHAR(10)&amp;"Intro.Issues: "&amp;VLOOKUP(A458,Internal_lists_bugs!$A$2:$P1061,16,FALSE())),"please select a BUG ID")</f>
        <v>BIC: https://github.com/elastic/elasticsearch/commit/85eb0ea
Intro.Issues: 4718, 7036</v>
      </c>
      <c r="D458" s="100">
        <v>7036.0</v>
      </c>
      <c r="E458" s="16" t="s">
        <v>4120</v>
      </c>
      <c r="F458" s="79" t="s">
        <v>4342</v>
      </c>
      <c r="G458" s="93" t="s">
        <v>144</v>
      </c>
      <c r="H458" s="54"/>
      <c r="I458" s="9" t="b">
        <v>1</v>
      </c>
    </row>
    <row r="459">
      <c r="A459" s="16" t="s">
        <v>77</v>
      </c>
      <c r="B459" s="77" t="str">
        <f>IFERROR(HYPERLINK(VLOOKUP(A459,Internal_lists_bugs!$A$2:$C$73,3,FALSE()), VLOOKUP(A459,Internal_lists_bugs!$A$2:$C$73,3,FALSE())&amp;Char(10) &amp; Char(10) &amp; VLOOKUP(A459,Internal_lists_bugs!$A$2:$Z$73,26,FALSE())),"please select a BUG ID")</f>
        <v>https://github.com/elastic/elasticsearch/issues/8893
/core/AbstractFieldMapper.java
/internal/TimestampFieldMapper.java</v>
      </c>
      <c r="C459" s="81" t="str">
        <f>IFERROR(Hyperlink(VLOOKUP(A459,Internal_lists_bugs!$A$2:$G1061,7,FALSE()),"BIC: "&amp;VLOOKUP(A459,Internal_lists_bugs!$A$2:$G1061,7,FALSE())&amp;CHAR(10)&amp;"Intro.Issues: "&amp;VLOOKUP(A459,Internal_lists_bugs!$A$2:$P1061,16,FALSE())),"please select a BUG ID")</f>
        <v>BIC: https://github.com/elastic/elasticsearch/commit/85eb0ea
Intro.Issues: 4718, 7036</v>
      </c>
      <c r="D459" s="100">
        <v>7036.0</v>
      </c>
      <c r="E459" s="54"/>
      <c r="F459" s="79" t="s">
        <v>149</v>
      </c>
      <c r="G459" s="93" t="s">
        <v>324</v>
      </c>
      <c r="H459" s="54"/>
      <c r="I459" s="1"/>
    </row>
    <row r="460">
      <c r="A460" s="16" t="s">
        <v>77</v>
      </c>
      <c r="B460" s="77" t="str">
        <f>IFERROR(HYPERLINK(VLOOKUP(A460,Internal_lists_bugs!$A$2:$C$73,3,FALSE()), VLOOKUP(A460,Internal_lists_bugs!$A$2:$C$73,3,FALSE())&amp;Char(10) &amp; Char(10) &amp; VLOOKUP(A460,Internal_lists_bugs!$A$2:$Z$73,26,FALSE())),"please select a BUG ID")</f>
        <v>https://github.com/elastic/elasticsearch/issues/8893
/core/AbstractFieldMapper.java
/internal/TimestampFieldMapper.java</v>
      </c>
      <c r="C460" s="81" t="str">
        <f>IFERROR(Hyperlink(VLOOKUP(A460,Internal_lists_bugs!$A$2:$G1061,7,FALSE()),"BIC: "&amp;VLOOKUP(A460,Internal_lists_bugs!$A$2:$G1061,7,FALSE())&amp;CHAR(10)&amp;"Intro.Issues: "&amp;VLOOKUP(A460,Internal_lists_bugs!$A$2:$P1061,16,FALSE())),"please select a BUG ID")</f>
        <v>BIC: https://github.com/elastic/elasticsearch/commit/85eb0ea
Intro.Issues: 4718, 7036</v>
      </c>
      <c r="D460" s="100">
        <v>7036.0</v>
      </c>
      <c r="E460" s="54"/>
      <c r="F460" s="79" t="s">
        <v>159</v>
      </c>
      <c r="G460" s="93" t="s">
        <v>324</v>
      </c>
      <c r="H460" s="54"/>
      <c r="I460" s="1"/>
    </row>
    <row r="461">
      <c r="A461" s="16" t="s">
        <v>77</v>
      </c>
      <c r="B461" s="77" t="str">
        <f>IFERROR(HYPERLINK(VLOOKUP(A461,Internal_lists_bugs!$A$2:$C$73,3,FALSE()), VLOOKUP(A461,Internal_lists_bugs!$A$2:$C$73,3,FALSE())&amp;Char(10) &amp; Char(10) &amp; VLOOKUP(A461,Internal_lists_bugs!$A$2:$Z$73,26,FALSE())),"please select a BUG ID")</f>
        <v>https://github.com/elastic/elasticsearch/issues/8893
/core/AbstractFieldMapper.java
/internal/TimestampFieldMapper.java</v>
      </c>
      <c r="C461" s="81" t="str">
        <f>IFERROR(Hyperlink(VLOOKUP(A461,Internal_lists_bugs!$A$2:$G1061,7,FALSE()),"BIC: "&amp;VLOOKUP(A461,Internal_lists_bugs!$A$2:$G1061,7,FALSE())&amp;CHAR(10)&amp;"Intro.Issues: "&amp;VLOOKUP(A461,Internal_lists_bugs!$A$2:$P1061,16,FALSE())),"please select a BUG ID")</f>
        <v>BIC: https://github.com/elastic/elasticsearch/commit/85eb0ea
Intro.Issues: 4718, 7036</v>
      </c>
      <c r="D461" s="100">
        <v>7036.0</v>
      </c>
      <c r="E461" s="54"/>
      <c r="F461" s="79" t="s">
        <v>127</v>
      </c>
      <c r="G461" s="93" t="s">
        <v>324</v>
      </c>
      <c r="H461" s="54"/>
      <c r="I461" s="1"/>
    </row>
    <row r="462">
      <c r="A462" s="16" t="s">
        <v>77</v>
      </c>
      <c r="B462" s="77" t="str">
        <f>IFERROR(HYPERLINK(VLOOKUP(A462,Internal_lists_bugs!$A$2:$C$73,3,FALSE()), VLOOKUP(A462,Internal_lists_bugs!$A$2:$C$73,3,FALSE())&amp;Char(10) &amp; Char(10) &amp; VLOOKUP(A462,Internal_lists_bugs!$A$2:$Z$73,26,FALSE())),"please select a BUG ID")</f>
        <v>https://github.com/elastic/elasticsearch/issues/8893
/core/AbstractFieldMapper.java
/internal/TimestampFieldMapper.java</v>
      </c>
      <c r="C462" s="81" t="str">
        <f>IFERROR(Hyperlink(VLOOKUP(A462,Internal_lists_bugs!$A$2:$G1061,7,FALSE()),"BIC: "&amp;VLOOKUP(A462,Internal_lists_bugs!$A$2:$G1061,7,FALSE())&amp;CHAR(10)&amp;"Intro.Issues: "&amp;VLOOKUP(A462,Internal_lists_bugs!$A$2:$P1061,16,FALSE())),"please select a BUG ID")</f>
        <v>BIC: https://github.com/elastic/elasticsearch/commit/85eb0ea
Intro.Issues: 4718, 7036</v>
      </c>
      <c r="D462" s="100">
        <v>7036.0</v>
      </c>
      <c r="E462" s="54"/>
      <c r="F462" s="79" t="s">
        <v>4613</v>
      </c>
      <c r="G462" s="93" t="s">
        <v>324</v>
      </c>
      <c r="H462" s="54"/>
      <c r="I462" s="1"/>
    </row>
    <row r="463">
      <c r="A463" s="16" t="s">
        <v>77</v>
      </c>
      <c r="B463" s="77" t="str">
        <f>IFERROR(HYPERLINK(VLOOKUP(A463,Internal_lists_bugs!$A$2:$C$73,3,FALSE()), VLOOKUP(A463,Internal_lists_bugs!$A$2:$C$73,3,FALSE())&amp;Char(10) &amp; Char(10) &amp; VLOOKUP(A463,Internal_lists_bugs!$A$2:$Z$73,26,FALSE())),"please select a BUG ID")</f>
        <v>https://github.com/elastic/elasticsearch/issues/8893
/core/AbstractFieldMapper.java
/internal/TimestampFieldMapper.java</v>
      </c>
      <c r="C463" s="81" t="str">
        <f>IFERROR(Hyperlink(VLOOKUP(A463,Internal_lists_bugs!$A$2:$G1061,7,FALSE()),"BIC: "&amp;VLOOKUP(A463,Internal_lists_bugs!$A$2:$G1061,7,FALSE())&amp;CHAR(10)&amp;"Intro.Issues: "&amp;VLOOKUP(A463,Internal_lists_bugs!$A$2:$P1061,16,FALSE())),"please select a BUG ID")</f>
        <v>BIC: https://github.com/elastic/elasticsearch/commit/85eb0ea
Intro.Issues: 4718, 7036</v>
      </c>
      <c r="D463" s="100">
        <v>7036.0</v>
      </c>
      <c r="E463" s="54"/>
      <c r="F463" s="79" t="s">
        <v>119</v>
      </c>
      <c r="G463" s="93" t="s">
        <v>324</v>
      </c>
      <c r="H463" s="54"/>
      <c r="I463" s="1"/>
    </row>
    <row r="464">
      <c r="A464" s="16" t="s">
        <v>77</v>
      </c>
      <c r="B464" s="77" t="str">
        <f>IFERROR(HYPERLINK(VLOOKUP(A464,Internal_lists_bugs!$A$2:$C$73,3,FALSE()), VLOOKUP(A464,Internal_lists_bugs!$A$2:$C$73,3,FALSE())&amp;Char(10) &amp; Char(10) &amp; VLOOKUP(A464,Internal_lists_bugs!$A$2:$Z$73,26,FALSE())),"please select a BUG ID")</f>
        <v>https://github.com/elastic/elasticsearch/issues/8893
/core/AbstractFieldMapper.java
/internal/TimestampFieldMapper.java</v>
      </c>
      <c r="C464" s="81" t="str">
        <f>IFERROR(Hyperlink(VLOOKUP(A464,Internal_lists_bugs!$A$2:$G1061,7,FALSE()),"BIC: "&amp;VLOOKUP(A464,Internal_lists_bugs!$A$2:$G1061,7,FALSE())&amp;CHAR(10)&amp;"Intro.Issues: "&amp;VLOOKUP(A464,Internal_lists_bugs!$A$2:$P1061,16,FALSE())),"please select a BUG ID")</f>
        <v>BIC: https://github.com/elastic/elasticsearch/commit/85eb0ea
Intro.Issues: 4718, 7036</v>
      </c>
      <c r="D464" s="100">
        <v>7036.0</v>
      </c>
      <c r="E464" s="54"/>
      <c r="F464" s="79" t="s">
        <v>4644</v>
      </c>
      <c r="G464" s="93" t="s">
        <v>324</v>
      </c>
      <c r="H464" s="54"/>
      <c r="I464" s="1"/>
    </row>
    <row r="465">
      <c r="A465" s="16" t="s">
        <v>77</v>
      </c>
      <c r="B465" s="77" t="str">
        <f>IFERROR(HYPERLINK(VLOOKUP(A465,Internal_lists_bugs!$A$2:$C$73,3,FALSE()), VLOOKUP(A465,Internal_lists_bugs!$A$2:$C$73,3,FALSE())&amp;Char(10) &amp; Char(10) &amp; VLOOKUP(A465,Internal_lists_bugs!$A$2:$Z$73,26,FALSE())),"please select a BUG ID")</f>
        <v>https://github.com/elastic/elasticsearch/issues/8893
/core/AbstractFieldMapper.java
/internal/TimestampFieldMapper.java</v>
      </c>
      <c r="C465" s="81" t="str">
        <f>IFERROR(Hyperlink(VLOOKUP(A465,Internal_lists_bugs!$A$2:$G1061,7,FALSE()),"BIC: "&amp;VLOOKUP(A465,Internal_lists_bugs!$A$2:$G1061,7,FALSE())&amp;CHAR(10)&amp;"Intro.Issues: "&amp;VLOOKUP(A465,Internal_lists_bugs!$A$2:$P1061,16,FALSE())),"please select a BUG ID")</f>
        <v>BIC: https://github.com/elastic/elasticsearch/commit/85eb0ea
Intro.Issues: 4718, 7036</v>
      </c>
      <c r="D465" s="100">
        <v>7036.0</v>
      </c>
      <c r="E465" s="54"/>
      <c r="F465" s="79" t="s">
        <v>438</v>
      </c>
      <c r="G465" s="93" t="s">
        <v>324</v>
      </c>
      <c r="H465" s="54"/>
      <c r="I465" s="1"/>
    </row>
    <row r="466">
      <c r="A466" s="16" t="s">
        <v>77</v>
      </c>
      <c r="B466" s="77" t="str">
        <f>IFERROR(HYPERLINK(VLOOKUP(A466,Internal_lists_bugs!$A$2:$C$73,3,FALSE()), VLOOKUP(A466,Internal_lists_bugs!$A$2:$C$73,3,FALSE())&amp;Char(10) &amp; Char(10) &amp; VLOOKUP(A466,Internal_lists_bugs!$A$2:$Z$73,26,FALSE())),"please select a BUG ID")</f>
        <v>https://github.com/elastic/elasticsearch/issues/8893
/core/AbstractFieldMapper.java
/internal/TimestampFieldMapper.java</v>
      </c>
      <c r="C466" s="81" t="str">
        <f>IFERROR(Hyperlink(VLOOKUP(A466,Internal_lists_bugs!$A$2:$G1061,7,FALSE()),"BIC: "&amp;VLOOKUP(A466,Internal_lists_bugs!$A$2:$G1061,7,FALSE())&amp;CHAR(10)&amp;"Intro.Issues: "&amp;VLOOKUP(A466,Internal_lists_bugs!$A$2:$P1061,16,FALSE())),"please select a BUG ID")</f>
        <v>BIC: https://github.com/elastic/elasticsearch/commit/85eb0ea
Intro.Issues: 4718, 7036</v>
      </c>
      <c r="D466" s="100">
        <v>7036.0</v>
      </c>
      <c r="E466" s="54"/>
      <c r="F466" s="79" t="s">
        <v>4545</v>
      </c>
      <c r="G466" s="93" t="s">
        <v>442</v>
      </c>
      <c r="H466" s="54"/>
      <c r="I466" s="1"/>
    </row>
    <row r="467">
      <c r="A467" s="16" t="s">
        <v>77</v>
      </c>
      <c r="B467" s="77" t="str">
        <f>IFERROR(HYPERLINK(VLOOKUP(A467,Internal_lists_bugs!$A$2:$C$73,3,FALSE()), VLOOKUP(A467,Internal_lists_bugs!$A$2:$C$73,3,FALSE())&amp;Char(10) &amp; Char(10) &amp; VLOOKUP(A467,Internal_lists_bugs!$A$2:$Z$73,26,FALSE())),"please select a BUG ID")</f>
        <v>https://github.com/elastic/elasticsearch/issues/8893
/core/AbstractFieldMapper.java
/internal/TimestampFieldMapper.java</v>
      </c>
      <c r="C467" s="81" t="str">
        <f>IFERROR(Hyperlink(VLOOKUP(A467,Internal_lists_bugs!$A$2:$G1061,7,FALSE()),"BIC: "&amp;VLOOKUP(A467,Internal_lists_bugs!$A$2:$G1061,7,FALSE())&amp;CHAR(10)&amp;"Intro.Issues: "&amp;VLOOKUP(A467,Internal_lists_bugs!$A$2:$P1061,16,FALSE())),"please select a BUG ID")</f>
        <v>BIC: https://github.com/elastic/elasticsearch/commit/85eb0ea
Intro.Issues: 4718, 7036</v>
      </c>
      <c r="D467" s="100">
        <v>7036.0</v>
      </c>
      <c r="E467" s="54"/>
      <c r="F467" s="79" t="s">
        <v>2112</v>
      </c>
      <c r="G467" s="93" t="s">
        <v>444</v>
      </c>
      <c r="H467" s="54"/>
      <c r="I467" s="1"/>
    </row>
    <row r="468">
      <c r="A468" s="16" t="s">
        <v>77</v>
      </c>
      <c r="B468" s="77" t="str">
        <f>IFERROR(HYPERLINK(VLOOKUP(A468,Internal_lists_bugs!$A$2:$C$73,3,FALSE()), VLOOKUP(A468,Internal_lists_bugs!$A$2:$C$73,3,FALSE())&amp;Char(10) &amp; Char(10) &amp; VLOOKUP(A468,Internal_lists_bugs!$A$2:$Z$73,26,FALSE())),"please select a BUG ID")</f>
        <v>https://github.com/elastic/elasticsearch/issues/8893
/core/AbstractFieldMapper.java
/internal/TimestampFieldMapper.java</v>
      </c>
      <c r="C468" s="81" t="str">
        <f>IFERROR(Hyperlink(VLOOKUP(A468,Internal_lists_bugs!$A$2:$G1061,7,FALSE()),"BIC: "&amp;VLOOKUP(A468,Internal_lists_bugs!$A$2:$G1061,7,FALSE())&amp;CHAR(10)&amp;"Intro.Issues: "&amp;VLOOKUP(A468,Internal_lists_bugs!$A$2:$P1061,16,FALSE())),"please select a BUG ID")</f>
        <v>BIC: https://github.com/elastic/elasticsearch/commit/85eb0ea
Intro.Issues: 4718, 7036</v>
      </c>
      <c r="D468" s="100">
        <v>7036.0</v>
      </c>
      <c r="E468" s="54"/>
      <c r="F468" s="79" t="s">
        <v>3585</v>
      </c>
      <c r="G468" s="93" t="s">
        <v>451</v>
      </c>
      <c r="H468" s="54"/>
      <c r="I468" s="1"/>
    </row>
    <row r="469">
      <c r="A469" s="16" t="s">
        <v>78</v>
      </c>
      <c r="B469" s="77" t="str">
        <f>IFERROR(HYPERLINK(VLOOKUP(A469,Internal_lists_bugs!$A$2:$C$73,3,FALSE()), VLOOKUP(A469,Internal_lists_bugs!$A$2:$C$73,3,FALSE())&amp;Char(10) &amp; Char(10) &amp; VLOOKUP(A469,Internal_lists_bugs!$A$2:$Z$73,26,FALSE())),"please select a BUG ID")</f>
        <v>https://github.com/elastic/elasticsearch/issues/200
/zen/ZenDiscovery.java
/MasterFaultDetection.java
/zen/fd/NodesFaultDetection.java </v>
      </c>
      <c r="C469" s="81" t="str">
        <f>IFERROR(Hyperlink(VLOOKUP(A469,Internal_lists_bugs!$A$2:$G1061,7,FALSE()),"BIC: "&amp;VLOOKUP(A469,Internal_lists_bugs!$A$2:$G1061,7,FALSE())&amp;CHAR(10)&amp;"Intro.Issues: "&amp;VLOOKUP(A469,Internal_lists_bugs!$A$2:$P1061,16,FALSE())),"please select a BUG ID")</f>
        <v>BIC: https://github.com/elastic/elasticsearch/commit/cb0d7d4
Intro.Issues: NA</v>
      </c>
      <c r="D469" s="100" t="s">
        <v>124</v>
      </c>
      <c r="E469" s="54"/>
      <c r="F469" s="82"/>
      <c r="G469" s="92"/>
      <c r="H469" s="54"/>
      <c r="I469" s="1"/>
    </row>
    <row r="470">
      <c r="A470" s="18" t="s">
        <v>83</v>
      </c>
      <c r="B470" s="77" t="str">
        <f>IFERROR(HYPERLINK(VLOOKUP(A470,Internal_lists_bugs!$A$2:$C$73,3,FALSE()), VLOOKUP(A470,Internal_lists_bugs!$A$2:$C$73,3,FALSE())&amp;Char(10) &amp; Char(10) &amp; VLOOKUP(A470,Internal_lists_bugs!$A$2:$Z$73,26,FALSE())),"please select a BUG ID")</f>
        <v>https://github.com/elastic/elasticsearch/issues/3242
/shape/ShapeFetchService.java</v>
      </c>
      <c r="C470" s="81" t="str">
        <f>IFERROR(Hyperlink(VLOOKUP(A470,Internal_lists_bugs!$A$2:$G1061,7,FALSE()),"BIC: "&amp;VLOOKUP(A470,Internal_lists_bugs!$A$2:$G1061,7,FALSE())&amp;CHAR(10)&amp;"Intro.Issues: "&amp;VLOOKUP(A470,Internal_lists_bugs!$A$2:$P1061,16,FALSE())),"please select a BUG ID")</f>
        <v>BIC: https://github.com/elastic/elasticsearch/commit/05e0b4d4e
Intro.Issues: NA</v>
      </c>
      <c r="D470" s="100" t="s">
        <v>124</v>
      </c>
      <c r="E470" s="54"/>
      <c r="F470" s="82"/>
      <c r="G470" s="92"/>
      <c r="H470" s="54"/>
      <c r="I470" s="1"/>
    </row>
    <row r="471">
      <c r="A471" s="16" t="s">
        <v>86</v>
      </c>
      <c r="B471" s="77" t="str">
        <f>IFERROR(HYPERLINK(VLOOKUP(A471,Internal_lists_bugs!$A$2:$C$73,3,FALSE()), VLOOKUP(A471,Internal_lists_bugs!$A$2:$C$73,3,FALSE())&amp;Char(10) &amp; Char(10) &amp; VLOOKUP(A471,Internal_lists_bugs!$A$2:$Z$73,26,FALSE())),"please select a BUG ID")</f>
        <v>https://github.com/elastic/elasticsearch/issues/4581
/internal/AllFieldMapper.java</v>
      </c>
      <c r="C471" s="81" t="str">
        <f>IFERROR(Hyperlink(VLOOKUP(A471,Internal_lists_bugs!$A$2:$G1061,7,FALSE()),"BIC: "&amp;VLOOKUP(A471,Internal_lists_bugs!$A$2:$G1061,7,FALSE())&amp;CHAR(10)&amp;"Intro.Issues: "&amp;VLOOKUP(A471,Internal_lists_bugs!$A$2:$P1061,16,FALSE())),"please select a BUG ID")</f>
        <v>BIC: https://github.com/elastic/elasticsearch/commit/f444ed4
Intro.Issues: NA</v>
      </c>
      <c r="D471" s="100" t="s">
        <v>124</v>
      </c>
      <c r="E471" s="54"/>
      <c r="F471" s="82"/>
      <c r="G471" s="92"/>
      <c r="H471" s="54"/>
      <c r="I471" s="1"/>
    </row>
    <row r="472">
      <c r="A472" s="16" t="s">
        <v>88</v>
      </c>
      <c r="B472" s="77" t="str">
        <f>IFERROR(HYPERLINK(VLOOKUP(A472,Internal_lists_bugs!$A$2:$C$73,3,FALSE()), VLOOKUP(A472,Internal_lists_bugs!$A$2:$C$73,3,FALSE())&amp;Char(10) &amp; Char(10) &amp; VLOOKUP(A472,Internal_lists_bugs!$A$2:$Z$73,26,FALSE())),"please select a BUG ID")</f>
        <v>https://github.com/elastic/elasticsearch/issues/1626
/routing/RoutingNode.java
/routing/RoutingNodes.java
/routing/allocation/AllocationService.java </v>
      </c>
      <c r="C472" s="81" t="str">
        <f>IFERROR(Hyperlink(VLOOKUP(A472,Internal_lists_bugs!$A$2:$G1061,7,FALSE()),"BIC: "&amp;VLOOKUP(A472,Internal_lists_bugs!$A$2:$G1061,7,FALSE())&amp;CHAR(10)&amp;"Intro.Issues: "&amp;VLOOKUP(A472,Internal_lists_bugs!$A$2:$P1061,16,FALSE())),"please select a BUG ID")</f>
        <v>BIC: https://github.com/elastic/elasticsearch/commit/4180a7f7
Intro.Issues: NA</v>
      </c>
      <c r="D472" s="100" t="s">
        <v>124</v>
      </c>
      <c r="E472" s="54"/>
      <c r="F472" s="82"/>
      <c r="G472" s="92"/>
      <c r="H472" s="54"/>
      <c r="I472" s="1"/>
    </row>
    <row r="473">
      <c r="A473" s="16" t="s">
        <v>89</v>
      </c>
      <c r="B473" s="77" t="str">
        <f>IFERROR(HYPERLINK(VLOOKUP(A473,Internal_lists_bugs!$A$2:$C$73,3,FALSE()), VLOOKUP(A473,Internal_lists_bugs!$A$2:$C$73,3,FALSE())&amp;Char(10) &amp; Char(10) &amp; VLOOKUP(A473,Internal_lists_bugs!$A$2:$Z$73,26,FALSE())),"please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473" s="81" t="str">
        <f>IFERROR(Hyperlink(VLOOKUP(A473,Internal_lists_bugs!$A$2:$G1061,7,FALSE()),"BIC: "&amp;VLOOKUP(A473,Internal_lists_bugs!$A$2:$G1061,7,FALSE())&amp;CHAR(10)&amp;"Intro.Issues: "&amp;VLOOKUP(A473,Internal_lists_bugs!$A$2:$P1061,16,FALSE())),"please select a BUG ID")</f>
        <v>BIC: https://github.com/elastic/elasticsearch/commit/575250e
Intro.Issues: NA</v>
      </c>
      <c r="D473" s="100" t="s">
        <v>124</v>
      </c>
      <c r="E473" s="54"/>
      <c r="F473" s="82"/>
      <c r="G473" s="92"/>
      <c r="H473" s="54"/>
      <c r="I473" s="1"/>
    </row>
    <row r="474">
      <c r="A474" s="16" t="s">
        <v>92</v>
      </c>
      <c r="B474" s="77" t="str">
        <f>IFERROR(HYPERLINK(VLOOKUP(A474,Internal_lists_bugs!$A$2:$C$73,3,FALSE()), VLOOKUP(A474,Internal_lists_bugs!$A$2:$C$73,3,FALSE())&amp;Char(10) &amp; Char(10) &amp; VLOOKUP(A474,Internal_lists_bugs!$A$2:$Z$73,26,FALSE())),"please select a BUG ID")</f>
        <v>https://github.com/elastic/elasticsearch/issues/12193
core/pom.xml</v>
      </c>
      <c r="C474" s="81" t="str">
        <f>IFERROR(Hyperlink(VLOOKUP(A474,Internal_lists_bugs!$A$2:$G1061,7,FALSE()),"BIC: "&amp;VLOOKUP(A474,Internal_lists_bugs!$A$2:$G1061,7,FALSE())&amp;CHAR(10)&amp;"Intro.Issues: "&amp;VLOOKUP(A474,Internal_lists_bugs!$A$2:$P1061,16,FALSE())),"please select a BUG ID")</f>
        <v>BIC: https://github.com/elastic/elasticsearch/commit/15a62448
Intro.Issues: NA</v>
      </c>
      <c r="D474" s="100" t="s">
        <v>124</v>
      </c>
      <c r="E474" s="54"/>
      <c r="F474" s="82"/>
      <c r="G474" s="92"/>
      <c r="H474" s="54"/>
      <c r="I474" s="1"/>
    </row>
    <row r="475">
      <c r="A475" s="18" t="s">
        <v>95</v>
      </c>
      <c r="B475" s="77" t="str">
        <f>IFERROR(HYPERLINK(VLOOKUP(A475,Internal_lists_bugs!$A$2:$C$73,3,FALSE()), VLOOKUP(A475,Internal_lists_bugs!$A$2:$C$73,3,FALSE())&amp;Char(10) &amp; Char(10) &amp; VLOOKUP(A475,Internal_lists_bugs!$A$2:$Z$73,26,FALSE())),"please select a BUG ID")</f>
        <v>https://github.com/elastic/elasticsearch/issues/1162
/MetaDataUpdateSettingsService.java</v>
      </c>
      <c r="C475" s="81" t="str">
        <f>IFERROR(Hyperlink(VLOOKUP(A475,Internal_lists_bugs!$A$2:$G1061,7,FALSE()),"BIC: "&amp;VLOOKUP(A475,Internal_lists_bugs!$A$2:$G1061,7,FALSE())&amp;CHAR(10)&amp;"Intro.Issues: "&amp;VLOOKUP(A475,Internal_lists_bugs!$A$2:$P1061,16,FALSE())),"please select a BUG ID")</f>
        <v>BIC: https://github.com/elastic/elasticsearch/commit/d4547c629
Intro.Issues: NA</v>
      </c>
      <c r="D475" s="100" t="s">
        <v>124</v>
      </c>
      <c r="E475" s="54"/>
      <c r="F475" s="82"/>
      <c r="G475" s="92"/>
      <c r="H475" s="54"/>
      <c r="I475" s="1"/>
    </row>
    <row r="476">
      <c r="A476" s="16" t="s">
        <v>97</v>
      </c>
      <c r="B476" s="77" t="str">
        <f>IFERROR(HYPERLINK(VLOOKUP(A476,Internal_lists_bugs!$A$2:$C$73,3,FALSE()), VLOOKUP(A476,Internal_lists_bugs!$A$2:$C$73,3,FALSE())&amp;Char(10) &amp; Char(10) &amp; VLOOKUP(A476,Internal_lists_bugs!$A$2:$Z$73,26,FALSE())),"please select a BUG ID")</f>
        <v>https://github.com/elastic/elasticsearch/issues/1154
/RestSearchScrollAction.java 
/search/SearchOperationThreading.java
/search/RestSearchAction.java</v>
      </c>
      <c r="C476" s="81" t="str">
        <f>IFERROR(Hyperlink(VLOOKUP(A476,Internal_lists_bugs!$A$2:$G1061,7,FALSE()),"BIC: "&amp;VLOOKUP(A476,Internal_lists_bugs!$A$2:$G1061,7,FALSE())&amp;CHAR(10)&amp;"Intro.Issues: "&amp;VLOOKUP(A476,Internal_lists_bugs!$A$2:$P1061,16,FALSE())),"please select a BUG ID")</f>
        <v>BIC: https://github.com/elastic/elasticsearch/commit/b3337c3
Intro.Issues: NA</v>
      </c>
      <c r="D476" s="100" t="s">
        <v>124</v>
      </c>
      <c r="E476" s="54"/>
      <c r="F476" s="82"/>
      <c r="G476" s="92"/>
      <c r="H476" s="54"/>
      <c r="I476" s="1"/>
    </row>
    <row r="477">
      <c r="A477" s="16" t="s">
        <v>99</v>
      </c>
      <c r="B477" s="77" t="str">
        <f>IFERROR(HYPERLINK(VLOOKUP(A477,Internal_lists_bugs!$A$2:$C$73,3,FALSE()), VLOOKUP(A477,Internal_lists_bugs!$A$2:$C$73,3,FALSE())&amp;Char(10) &amp; Char(10) &amp; VLOOKUP(A477,Internal_lists_bugs!$A$2:$Z$73,26,FALSE())),"please select a BUG ID")</f>
        <v>https://github.com/elastic/elasticsearch/issues/3560
/settings/TransportClusterUpdateSettingsAction.java</v>
      </c>
      <c r="C477" s="81" t="str">
        <f>IFERROR(Hyperlink(VLOOKUP(A477,Internal_lists_bugs!$A$2:$G1061,7,FALSE()),"BIC: "&amp;VLOOKUP(A477,Internal_lists_bugs!$A$2:$G1061,7,FALSE())&amp;CHAR(10)&amp;"Intro.Issues: "&amp;VLOOKUP(A477,Internal_lists_bugs!$A$2:$P1061,16,FALSE())),"please select a BUG ID")</f>
        <v>BIC: https://github.com/elastic/elasticsearch/commit/4930b93
Intro.Issues: NA</v>
      </c>
      <c r="D477" s="100" t="s">
        <v>124</v>
      </c>
      <c r="E477" s="54"/>
      <c r="F477" s="82"/>
      <c r="G477" s="92"/>
      <c r="H477" s="54"/>
      <c r="I477" s="1"/>
    </row>
    <row r="478">
      <c r="A478" s="16" t="s">
        <v>101</v>
      </c>
      <c r="B478" s="77" t="str">
        <f>IFERROR(HYPERLINK(VLOOKUP(A478,Internal_lists_bugs!$A$2:$C$73,3,FALSE()), VLOOKUP(A478,Internal_lists_bugs!$A$2:$C$73,3,FALSE())&amp;Char(10) &amp; Char(10) &amp; VLOOKUP(A478,Internal_lists_bugs!$A$2:$Z$73,26,FALSE())),"please select a BUG ID")</f>
        <v>https://github.com/elastic/elasticsearch/issues/2991
/BytesRefOrdValComparator.java </v>
      </c>
      <c r="C478" s="81" t="str">
        <f>IFERROR(Hyperlink(VLOOKUP(A478,Internal_lists_bugs!$A$2:$G1061,7,FALSE()),"BIC: "&amp;VLOOKUP(A478,Internal_lists_bugs!$A$2:$G1061,7,FALSE())&amp;CHAR(10)&amp;"Intro.Issues: "&amp;VLOOKUP(A478,Internal_lists_bugs!$A$2:$P1061,16,FALSE())),"please select a BUG ID")</f>
        <v>BIC: https://github.com/elastic/elasticsearch/commit/7397007
Intro.Issues: NA</v>
      </c>
      <c r="D478" s="100" t="s">
        <v>124</v>
      </c>
      <c r="E478" s="54"/>
      <c r="F478" s="82"/>
      <c r="G478" s="92"/>
      <c r="H478" s="54"/>
      <c r="I478" s="1"/>
    </row>
    <row r="479">
      <c r="A479" s="16" t="s">
        <v>79</v>
      </c>
      <c r="B479" s="77" t="str">
        <f>IFERROR(HYPERLINK(VLOOKUP(A479,Internal_lists_bugs!$A$2:$C$73,3,FALSE()), VLOOKUP(A479,Internal_lists_bugs!$A$2:$C$73,3,FALSE())&amp;Char(10) &amp; Char(10) &amp; VLOOKUP(A479,Internal_lists_bugs!$A$2:$Z$73,26,FALSE())),"please select a BUG ID")</f>
        <v>https://github.com/elastic/elasticsearch/issues/1960
/metadata/IndexMetaData.java
/metadata/IndexTemplateMetaData.java
/metadata/MetaData.java
/loader/SettingsLoader.java
/loader/YamlSettingsLoader.java</v>
      </c>
      <c r="C479" s="81" t="str">
        <f>IFERROR(Hyperlink(VLOOKUP(A479,Internal_lists_bugs!$A$2:$G1061,7,FALSE()),"BIC: "&amp;VLOOKUP(A479,Internal_lists_bugs!$A$2:$G1061,7,FALSE())&amp;CHAR(10)&amp;"Intro.Issues: "&amp;VLOOKUP(A479,Internal_lists_bugs!$A$2:$P1061,16,FALSE())),"please select a BUG ID")</f>
        <v>BIC: https://github.com/elastic/elasticsearch/commit/ebd6316
Intro.Issues: 540</v>
      </c>
      <c r="D479" s="100">
        <v>540.0</v>
      </c>
      <c r="E479" s="16" t="s">
        <v>4120</v>
      </c>
      <c r="F479" s="79" t="s">
        <v>4512</v>
      </c>
      <c r="G479" s="93" t="s">
        <v>324</v>
      </c>
      <c r="H479" s="54"/>
      <c r="I479" s="9" t="b">
        <v>1</v>
      </c>
    </row>
    <row r="480">
      <c r="A480" s="16" t="s">
        <v>79</v>
      </c>
      <c r="B480" s="77" t="str">
        <f>IFERROR(HYPERLINK(VLOOKUP(A480,Internal_lists_bugs!$A$2:$C$73,3,FALSE()), VLOOKUP(A480,Internal_lists_bugs!$A$2:$C$73,3,FALSE())&amp;Char(10) &amp; Char(10) &amp; VLOOKUP(A480,Internal_lists_bugs!$A$2:$Z$73,26,FALSE())),"please select a BUG ID")</f>
        <v>https://github.com/elastic/elasticsearch/issues/1960
/metadata/IndexMetaData.java
/metadata/IndexTemplateMetaData.java
/metadata/MetaData.java
/loader/SettingsLoader.java
/loader/YamlSettingsLoader.java</v>
      </c>
      <c r="C480" s="81" t="str">
        <f>IFERROR(Hyperlink(VLOOKUP(A480,Internal_lists_bugs!$A$2:$G1061,7,FALSE()),"BIC: "&amp;VLOOKUP(A480,Internal_lists_bugs!$A$2:$G1061,7,FALSE())&amp;CHAR(10)&amp;"Intro.Issues: "&amp;VLOOKUP(A480,Internal_lists_bugs!$A$2:$P1061,16,FALSE())),"please select a BUG ID")</f>
        <v>BIC: https://github.com/elastic/elasticsearch/commit/ebd6316
Intro.Issues: 540</v>
      </c>
      <c r="D480" s="100">
        <v>540.0</v>
      </c>
      <c r="E480" s="54"/>
      <c r="F480" s="79" t="s">
        <v>4514</v>
      </c>
      <c r="G480" s="93" t="s">
        <v>324</v>
      </c>
      <c r="H480" s="54"/>
      <c r="I480" s="1"/>
    </row>
    <row r="481">
      <c r="A481" s="16" t="s">
        <v>79</v>
      </c>
      <c r="B481" s="77" t="str">
        <f>IFERROR(HYPERLINK(VLOOKUP(A481,Internal_lists_bugs!$A$2:$C$73,3,FALSE()), VLOOKUP(A481,Internal_lists_bugs!$A$2:$C$73,3,FALSE())&amp;Char(10) &amp; Char(10) &amp; VLOOKUP(A481,Internal_lists_bugs!$A$2:$Z$73,26,FALSE())),"please select a BUG ID")</f>
        <v>https://github.com/elastic/elasticsearch/issues/1960
/metadata/IndexMetaData.java
/metadata/IndexTemplateMetaData.java
/metadata/MetaData.java
/loader/SettingsLoader.java
/loader/YamlSettingsLoader.java</v>
      </c>
      <c r="C481" s="81" t="str">
        <f>IFERROR(Hyperlink(VLOOKUP(A481,Internal_lists_bugs!$A$2:$G1061,7,FALSE()),"BIC: "&amp;VLOOKUP(A481,Internal_lists_bugs!$A$2:$G1061,7,FALSE())&amp;CHAR(10)&amp;"Intro.Issues: "&amp;VLOOKUP(A481,Internal_lists_bugs!$A$2:$P1061,16,FALSE())),"please select a BUG ID")</f>
        <v>BIC: https://github.com/elastic/elasticsearch/commit/ebd6316
Intro.Issues: 540</v>
      </c>
      <c r="D481" s="100">
        <v>540.0</v>
      </c>
      <c r="E481" s="54"/>
      <c r="F481" s="79" t="s">
        <v>4521</v>
      </c>
      <c r="G481" s="93" t="s">
        <v>324</v>
      </c>
      <c r="H481" s="54"/>
      <c r="I481" s="1"/>
    </row>
    <row r="482">
      <c r="A482" s="16" t="s">
        <v>79</v>
      </c>
      <c r="B482" s="77" t="str">
        <f>IFERROR(HYPERLINK(VLOOKUP(A482,Internal_lists_bugs!$A$2:$C$73,3,FALSE()), VLOOKUP(A482,Internal_lists_bugs!$A$2:$C$73,3,FALSE())&amp;Char(10) &amp; Char(10) &amp; VLOOKUP(A482,Internal_lists_bugs!$A$2:$Z$73,26,FALSE())),"please select a BUG ID")</f>
        <v>https://github.com/elastic/elasticsearch/issues/1960
/metadata/IndexMetaData.java
/metadata/IndexTemplateMetaData.java
/metadata/MetaData.java
/loader/SettingsLoader.java
/loader/YamlSettingsLoader.java</v>
      </c>
      <c r="C482" s="81" t="str">
        <f>IFERROR(Hyperlink(VLOOKUP(A482,Internal_lists_bugs!$A$2:$G1061,7,FALSE()),"BIC: "&amp;VLOOKUP(A482,Internal_lists_bugs!$A$2:$G1061,7,FALSE())&amp;CHAR(10)&amp;"Intro.Issues: "&amp;VLOOKUP(A482,Internal_lists_bugs!$A$2:$P1061,16,FALSE())),"please select a BUG ID")</f>
        <v>BIC: https://github.com/elastic/elasticsearch/commit/ebd6316
Intro.Issues: 540</v>
      </c>
      <c r="D482" s="100">
        <v>540.0</v>
      </c>
      <c r="E482" s="54"/>
      <c r="F482" s="79" t="s">
        <v>438</v>
      </c>
      <c r="G482" s="93" t="s">
        <v>481</v>
      </c>
      <c r="H482" s="54"/>
      <c r="I482" s="1"/>
    </row>
    <row r="483">
      <c r="A483" s="16" t="s">
        <v>80</v>
      </c>
      <c r="B483" s="77" t="str">
        <f>IFERROR(HYPERLINK(VLOOKUP(A483,Internal_lists_bugs!$A$2:$C$73,3,FALSE()), VLOOKUP(A483,Internal_lists_bugs!$A$2:$C$73,3,FALSE())&amp;Char(10) &amp; Char(10) &amp; VLOOKUP(A483,Internal_lists_bugs!$A$2:$Z$73,26,FALSE())),"please select a BUG ID")</f>
        <v>https://github.com/elastic/elasticsearch/issues/14782
/mapper/MappedFieldType.java</v>
      </c>
      <c r="C483" s="81" t="str">
        <f>IFERROR(Hyperlink(VLOOKUP(A483,Internal_lists_bugs!$A$2:$G1061,7,FALSE()),"BIC: "&amp;VLOOKUP(A483,Internal_lists_bugs!$A$2:$G1061,7,FALSE())&amp;CHAR(10)&amp;"Intro.Issues: "&amp;VLOOKUP(A483,Internal_lists_bugs!$A$2:$P1061,16,FALSE())),"please select a BUG ID")</f>
        <v>BIC: https://github.com/elastic/elasticsearch/commit/904cbf534
Intro.Issues: 10217, 12527</v>
      </c>
      <c r="D483" s="100">
        <v>10217.0</v>
      </c>
      <c r="E483" s="16" t="s">
        <v>4645</v>
      </c>
      <c r="F483" s="82"/>
      <c r="G483" s="92"/>
      <c r="H483" s="54"/>
      <c r="I483" s="1"/>
    </row>
    <row r="484">
      <c r="A484" s="16" t="s">
        <v>80</v>
      </c>
      <c r="B484" s="77" t="str">
        <f>IFERROR(HYPERLINK(VLOOKUP(A484,Internal_lists_bugs!$A$2:$C$73,3,FALSE()), VLOOKUP(A484,Internal_lists_bugs!$A$2:$C$73,3,FALSE())&amp;Char(10) &amp; Char(10) &amp; VLOOKUP(A484,Internal_lists_bugs!$A$2:$Z$73,26,FALSE())),"please select a BUG ID")</f>
        <v>https://github.com/elastic/elasticsearch/issues/14782
/mapper/MappedFieldType.java</v>
      </c>
      <c r="C484" s="81" t="str">
        <f>IFERROR(Hyperlink(VLOOKUP(A484,Internal_lists_bugs!$A$2:$G1061,7,FALSE()),"BIC: "&amp;VLOOKUP(A484,Internal_lists_bugs!$A$2:$G1061,7,FALSE())&amp;CHAR(10)&amp;"Intro.Issues: "&amp;VLOOKUP(A484,Internal_lists_bugs!$A$2:$P1061,16,FALSE())),"please select a BUG ID")</f>
        <v>BIC: https://github.com/elastic/elasticsearch/commit/904cbf534
Intro.Issues: 10217, 12527</v>
      </c>
      <c r="D484" s="100">
        <v>12527.0</v>
      </c>
      <c r="E484" s="16" t="s">
        <v>4646</v>
      </c>
      <c r="F484" s="79" t="s">
        <v>4342</v>
      </c>
      <c r="G484" s="93" t="s">
        <v>144</v>
      </c>
      <c r="H484" s="54"/>
      <c r="I484" s="9" t="b">
        <v>1</v>
      </c>
    </row>
    <row r="485">
      <c r="A485" s="16" t="s">
        <v>80</v>
      </c>
      <c r="B485" s="77" t="str">
        <f>IFERROR(HYPERLINK(VLOOKUP(A485,Internal_lists_bugs!$A$2:$C$73,3,FALSE()), VLOOKUP(A485,Internal_lists_bugs!$A$2:$C$73,3,FALSE())&amp;Char(10) &amp; Char(10) &amp; VLOOKUP(A485,Internal_lists_bugs!$A$2:$Z$73,26,FALSE())),"please select a BUG ID")</f>
        <v>https://github.com/elastic/elasticsearch/issues/14782
/mapper/MappedFieldType.java</v>
      </c>
      <c r="C485" s="81" t="str">
        <f>IFERROR(Hyperlink(VLOOKUP(A485,Internal_lists_bugs!$A$2:$G1061,7,FALSE()),"BIC: "&amp;VLOOKUP(A485,Internal_lists_bugs!$A$2:$G1061,7,FALSE())&amp;CHAR(10)&amp;"Intro.Issues: "&amp;VLOOKUP(A485,Internal_lists_bugs!$A$2:$P1061,16,FALSE())),"please select a BUG ID")</f>
        <v>BIC: https://github.com/elastic/elasticsearch/commit/904cbf534
Intro.Issues: 10217, 12527</v>
      </c>
      <c r="D485" s="100">
        <v>12527.0</v>
      </c>
      <c r="E485" s="54"/>
      <c r="F485" s="79" t="s">
        <v>4530</v>
      </c>
      <c r="G485" s="93" t="s">
        <v>324</v>
      </c>
      <c r="H485" s="54"/>
      <c r="I485" s="1"/>
    </row>
    <row r="486">
      <c r="A486" s="16" t="s">
        <v>80</v>
      </c>
      <c r="B486" s="77" t="str">
        <f>IFERROR(HYPERLINK(VLOOKUP(A486,Internal_lists_bugs!$A$2:$C$73,3,FALSE()), VLOOKUP(A486,Internal_lists_bugs!$A$2:$C$73,3,FALSE())&amp;Char(10) &amp; Char(10) &amp; VLOOKUP(A486,Internal_lists_bugs!$A$2:$Z$73,26,FALSE())),"please select a BUG ID")</f>
        <v>https://github.com/elastic/elasticsearch/issues/14782
/mapper/MappedFieldType.java</v>
      </c>
      <c r="C486" s="81" t="str">
        <f>IFERROR(Hyperlink(VLOOKUP(A486,Internal_lists_bugs!$A$2:$G1061,7,FALSE()),"BIC: "&amp;VLOOKUP(A486,Internal_lists_bugs!$A$2:$G1061,7,FALSE())&amp;CHAR(10)&amp;"Intro.Issues: "&amp;VLOOKUP(A486,Internal_lists_bugs!$A$2:$P1061,16,FALSE())),"please select a BUG ID")</f>
        <v>BIC: https://github.com/elastic/elasticsearch/commit/904cbf534
Intro.Issues: 10217, 12527</v>
      </c>
      <c r="D486" s="100">
        <v>12527.0</v>
      </c>
      <c r="E486" s="54"/>
      <c r="F486" s="79" t="s">
        <v>4512</v>
      </c>
      <c r="G486" s="93" t="s">
        <v>324</v>
      </c>
      <c r="H486" s="54"/>
      <c r="I486" s="1"/>
    </row>
    <row r="487">
      <c r="A487" s="16" t="s">
        <v>80</v>
      </c>
      <c r="B487" s="77" t="str">
        <f>IFERROR(HYPERLINK(VLOOKUP(A487,Internal_lists_bugs!$A$2:$C$73,3,FALSE()), VLOOKUP(A487,Internal_lists_bugs!$A$2:$C$73,3,FALSE())&amp;Char(10) &amp; Char(10) &amp; VLOOKUP(A487,Internal_lists_bugs!$A$2:$Z$73,26,FALSE())),"please select a BUG ID")</f>
        <v>https://github.com/elastic/elasticsearch/issues/14782
/mapper/MappedFieldType.java</v>
      </c>
      <c r="C487" s="81" t="str">
        <f>IFERROR(Hyperlink(VLOOKUP(A487,Internal_lists_bugs!$A$2:$G1061,7,FALSE()),"BIC: "&amp;VLOOKUP(A487,Internal_lists_bugs!$A$2:$G1061,7,FALSE())&amp;CHAR(10)&amp;"Intro.Issues: "&amp;VLOOKUP(A487,Internal_lists_bugs!$A$2:$P1061,16,FALSE())),"please select a BUG ID")</f>
        <v>BIC: https://github.com/elastic/elasticsearch/commit/904cbf534
Intro.Issues: 10217, 12527</v>
      </c>
      <c r="D487" s="100">
        <v>12527.0</v>
      </c>
      <c r="E487" s="54"/>
      <c r="F487" s="79" t="s">
        <v>4647</v>
      </c>
      <c r="G487" s="93" t="s">
        <v>324</v>
      </c>
      <c r="H487" s="54"/>
      <c r="I487" s="1"/>
    </row>
    <row r="488">
      <c r="A488" s="16" t="s">
        <v>80</v>
      </c>
      <c r="B488" s="77" t="str">
        <f>IFERROR(HYPERLINK(VLOOKUP(A488,Internal_lists_bugs!$A$2:$C$73,3,FALSE()), VLOOKUP(A488,Internal_lists_bugs!$A$2:$C$73,3,FALSE())&amp;Char(10) &amp; Char(10) &amp; VLOOKUP(A488,Internal_lists_bugs!$A$2:$Z$73,26,FALSE())),"please select a BUG ID")</f>
        <v>https://github.com/elastic/elasticsearch/issues/14782
/mapper/MappedFieldType.java</v>
      </c>
      <c r="C488" s="81" t="str">
        <f>IFERROR(Hyperlink(VLOOKUP(A488,Internal_lists_bugs!$A$2:$G1061,7,FALSE()),"BIC: "&amp;VLOOKUP(A488,Internal_lists_bugs!$A$2:$G1061,7,FALSE())&amp;CHAR(10)&amp;"Intro.Issues: "&amp;VLOOKUP(A488,Internal_lists_bugs!$A$2:$P1061,16,FALSE())),"please select a BUG ID")</f>
        <v>BIC: https://github.com/elastic/elasticsearch/commit/904cbf534
Intro.Issues: 10217, 12527</v>
      </c>
      <c r="D488" s="100">
        <v>12527.0</v>
      </c>
      <c r="E488" s="54"/>
      <c r="F488" s="79" t="s">
        <v>4640</v>
      </c>
      <c r="G488" s="93" t="s">
        <v>324</v>
      </c>
      <c r="H488" s="54"/>
      <c r="I488" s="1"/>
    </row>
    <row r="489">
      <c r="A489" s="16" t="s">
        <v>81</v>
      </c>
      <c r="B489" s="77" t="str">
        <f>IFERROR(HYPERLINK(VLOOKUP(A489,Internal_lists_bugs!$A$2:$C$73,3,FALSE()), VLOOKUP(A489,Internal_lists_bugs!$A$2:$C$73,3,FALSE())&amp;Char(10) &amp; Char(10) &amp; VLOOKUP(A489,Internal_lists_bugs!$A$2:$Z$73,26,FALSE())),"please select a BUG ID")</f>
        <v>https://github.com/elastic/elasticsearch/issues/1380
/highlight/HighlightPhase.java</v>
      </c>
      <c r="C489" s="81" t="str">
        <f>IFERROR(Hyperlink(VLOOKUP(A489,Internal_lists_bugs!$A$2:$G1061,7,FALSE()),"BIC: "&amp;VLOOKUP(A489,Internal_lists_bugs!$A$2:$G1061,7,FALSE())&amp;CHAR(10)&amp;"Intro.Issues: "&amp;VLOOKUP(A489,Internal_lists_bugs!$A$2:$P1061,16,FALSE())),"please select a BUG ID")</f>
        <v>BIC: https://github.com/elastic/elasticsearch/commit/adc3dc0
Intro.Issues: 873</v>
      </c>
      <c r="D489" s="100">
        <v>873.0</v>
      </c>
      <c r="E489" s="16" t="s">
        <v>4280</v>
      </c>
      <c r="F489" s="79" t="s">
        <v>119</v>
      </c>
      <c r="G489" s="93" t="s">
        <v>144</v>
      </c>
      <c r="H489" s="54"/>
      <c r="I489" s="1"/>
    </row>
    <row r="490">
      <c r="A490" s="16" t="s">
        <v>81</v>
      </c>
      <c r="B490" s="77" t="str">
        <f>IFERROR(HYPERLINK(VLOOKUP(A490,Internal_lists_bugs!$A$2:$C$73,3,FALSE()), VLOOKUP(A490,Internal_lists_bugs!$A$2:$C$73,3,FALSE())&amp;Char(10) &amp; Char(10) &amp; VLOOKUP(A490,Internal_lists_bugs!$A$2:$Z$73,26,FALSE())),"please select a BUG ID")</f>
        <v>https://github.com/elastic/elasticsearch/issues/1380
/highlight/HighlightPhase.java</v>
      </c>
      <c r="C490" s="81" t="str">
        <f>IFERROR(Hyperlink(VLOOKUP(A490,Internal_lists_bugs!$A$2:$G1061,7,FALSE()),"BIC: "&amp;VLOOKUP(A490,Internal_lists_bugs!$A$2:$G1061,7,FALSE())&amp;CHAR(10)&amp;"Intro.Issues: "&amp;VLOOKUP(A490,Internal_lists_bugs!$A$2:$P1061,16,FALSE())),"please select a BUG ID")</f>
        <v>BIC: https://github.com/elastic/elasticsearch/commit/adc3dc0
Intro.Issues: 873</v>
      </c>
      <c r="D490" s="100">
        <v>873.0</v>
      </c>
      <c r="E490" s="54"/>
      <c r="F490" s="79" t="s">
        <v>149</v>
      </c>
      <c r="G490" s="93" t="s">
        <v>144</v>
      </c>
      <c r="H490" s="54"/>
      <c r="I490" s="1"/>
    </row>
    <row r="491">
      <c r="A491" s="16" t="s">
        <v>81</v>
      </c>
      <c r="B491" s="77" t="str">
        <f>IFERROR(HYPERLINK(VLOOKUP(A491,Internal_lists_bugs!$A$2:$C$73,3,FALSE()), VLOOKUP(A491,Internal_lists_bugs!$A$2:$C$73,3,FALSE())&amp;Char(10) &amp; Char(10) &amp; VLOOKUP(A491,Internal_lists_bugs!$A$2:$Z$73,26,FALSE())),"please select a BUG ID")</f>
        <v>https://github.com/elastic/elasticsearch/issues/1380
/highlight/HighlightPhase.java</v>
      </c>
      <c r="C491" s="81" t="str">
        <f>IFERROR(Hyperlink(VLOOKUP(A491,Internal_lists_bugs!$A$2:$G1061,7,FALSE()),"BIC: "&amp;VLOOKUP(A491,Internal_lists_bugs!$A$2:$G1061,7,FALSE())&amp;CHAR(10)&amp;"Intro.Issues: "&amp;VLOOKUP(A491,Internal_lists_bugs!$A$2:$P1061,16,FALSE())),"please select a BUG ID")</f>
        <v>BIC: https://github.com/elastic/elasticsearch/commit/adc3dc0
Intro.Issues: 873</v>
      </c>
      <c r="D491" s="100">
        <v>873.0</v>
      </c>
      <c r="E491" s="54"/>
      <c r="F491" s="79" t="s">
        <v>4553</v>
      </c>
      <c r="G491" s="93" t="s">
        <v>324</v>
      </c>
      <c r="H491" s="54"/>
      <c r="I491" s="1"/>
    </row>
    <row r="492">
      <c r="A492" s="16" t="s">
        <v>81</v>
      </c>
      <c r="B492" s="77" t="str">
        <f>IFERROR(HYPERLINK(VLOOKUP(A492,Internal_lists_bugs!$A$2:$C$73,3,FALSE()), VLOOKUP(A492,Internal_lists_bugs!$A$2:$C$73,3,FALSE())&amp;Char(10) &amp; Char(10) &amp; VLOOKUP(A492,Internal_lists_bugs!$A$2:$Z$73,26,FALSE())),"please select a BUG ID")</f>
        <v>https://github.com/elastic/elasticsearch/issues/1380
/highlight/HighlightPhase.java</v>
      </c>
      <c r="C492" s="81" t="str">
        <f>IFERROR(Hyperlink(VLOOKUP(A492,Internal_lists_bugs!$A$2:$G1061,7,FALSE()),"BIC: "&amp;VLOOKUP(A492,Internal_lists_bugs!$A$2:$G1061,7,FALSE())&amp;CHAR(10)&amp;"Intro.Issues: "&amp;VLOOKUP(A492,Internal_lists_bugs!$A$2:$P1061,16,FALSE())),"please select a BUG ID")</f>
        <v>BIC: https://github.com/elastic/elasticsearch/commit/adc3dc0
Intro.Issues: 873</v>
      </c>
      <c r="D492" s="100">
        <v>873.0</v>
      </c>
      <c r="E492" s="54"/>
      <c r="F492" s="79" t="s">
        <v>4648</v>
      </c>
      <c r="G492" s="93" t="s">
        <v>324</v>
      </c>
      <c r="H492" s="54"/>
      <c r="I492" s="1"/>
    </row>
    <row r="493">
      <c r="A493" s="16" t="s">
        <v>81</v>
      </c>
      <c r="B493" s="77" t="str">
        <f>IFERROR(HYPERLINK(VLOOKUP(A493,Internal_lists_bugs!$A$2:$C$73,3,FALSE()), VLOOKUP(A493,Internal_lists_bugs!$A$2:$C$73,3,FALSE())&amp;Char(10) &amp; Char(10) &amp; VLOOKUP(A493,Internal_lists_bugs!$A$2:$Z$73,26,FALSE())),"please select a BUG ID")</f>
        <v>https://github.com/elastic/elasticsearch/issues/1380
/highlight/HighlightPhase.java</v>
      </c>
      <c r="C493" s="81" t="str">
        <f>IFERROR(Hyperlink(VLOOKUP(A493,Internal_lists_bugs!$A$2:$G1061,7,FALSE()),"BIC: "&amp;VLOOKUP(A493,Internal_lists_bugs!$A$2:$G1061,7,FALSE())&amp;CHAR(10)&amp;"Intro.Issues: "&amp;VLOOKUP(A493,Internal_lists_bugs!$A$2:$P1061,16,FALSE())),"please select a BUG ID")</f>
        <v>BIC: https://github.com/elastic/elasticsearch/commit/adc3dc0
Intro.Issues: 873</v>
      </c>
      <c r="D493" s="100">
        <v>873.0</v>
      </c>
      <c r="E493" s="54"/>
      <c r="F493" s="79" t="s">
        <v>4613</v>
      </c>
      <c r="G493" s="93" t="s">
        <v>324</v>
      </c>
      <c r="H493" s="54"/>
      <c r="I493" s="1"/>
    </row>
    <row r="494">
      <c r="A494" s="16" t="s">
        <v>81</v>
      </c>
      <c r="B494" s="77" t="str">
        <f>IFERROR(HYPERLINK(VLOOKUP(A494,Internal_lists_bugs!$A$2:$C$73,3,FALSE()), VLOOKUP(A494,Internal_lists_bugs!$A$2:$C$73,3,FALSE())&amp;Char(10) &amp; Char(10) &amp; VLOOKUP(A494,Internal_lists_bugs!$A$2:$Z$73,26,FALSE())),"please select a BUG ID")</f>
        <v>https://github.com/elastic/elasticsearch/issues/1380
/highlight/HighlightPhase.java</v>
      </c>
      <c r="C494" s="81" t="str">
        <f>IFERROR(Hyperlink(VLOOKUP(A494,Internal_lists_bugs!$A$2:$G1061,7,FALSE()),"BIC: "&amp;VLOOKUP(A494,Internal_lists_bugs!$A$2:$G1061,7,FALSE())&amp;CHAR(10)&amp;"Intro.Issues: "&amp;VLOOKUP(A494,Internal_lists_bugs!$A$2:$P1061,16,FALSE())),"please select a BUG ID")</f>
        <v>BIC: https://github.com/elastic/elasticsearch/commit/adc3dc0
Intro.Issues: 873</v>
      </c>
      <c r="D494" s="100">
        <v>873.0</v>
      </c>
      <c r="E494" s="54"/>
      <c r="F494" s="79" t="s">
        <v>149</v>
      </c>
      <c r="G494" s="93" t="s">
        <v>442</v>
      </c>
      <c r="H494" s="54"/>
      <c r="I494" s="1"/>
    </row>
    <row r="495">
      <c r="A495" s="16" t="s">
        <v>81</v>
      </c>
      <c r="B495" s="77" t="str">
        <f>IFERROR(HYPERLINK(VLOOKUP(A495,Internal_lists_bugs!$A$2:$C$73,3,FALSE()), VLOOKUP(A495,Internal_lists_bugs!$A$2:$C$73,3,FALSE())&amp;Char(10) &amp; Char(10) &amp; VLOOKUP(A495,Internal_lists_bugs!$A$2:$Z$73,26,FALSE())),"please select a BUG ID")</f>
        <v>https://github.com/elastic/elasticsearch/issues/1380
/highlight/HighlightPhase.java</v>
      </c>
      <c r="C495" s="81" t="str">
        <f>IFERROR(Hyperlink(VLOOKUP(A495,Internal_lists_bugs!$A$2:$G1061,7,FALSE()),"BIC: "&amp;VLOOKUP(A495,Internal_lists_bugs!$A$2:$G1061,7,FALSE())&amp;CHAR(10)&amp;"Intro.Issues: "&amp;VLOOKUP(A495,Internal_lists_bugs!$A$2:$P1061,16,FALSE())),"please select a BUG ID")</f>
        <v>BIC: https://github.com/elastic/elasticsearch/commit/adc3dc0
Intro.Issues: 873</v>
      </c>
      <c r="D495" s="100">
        <v>873.0</v>
      </c>
      <c r="E495" s="54"/>
      <c r="F495" s="79" t="s">
        <v>227</v>
      </c>
      <c r="G495" s="93" t="s">
        <v>442</v>
      </c>
      <c r="H495" s="54"/>
      <c r="I495" s="1"/>
    </row>
    <row r="496">
      <c r="A496" s="16" t="s">
        <v>81</v>
      </c>
      <c r="B496" s="77" t="str">
        <f>IFERROR(HYPERLINK(VLOOKUP(A496,Internal_lists_bugs!$A$2:$C$73,3,FALSE()), VLOOKUP(A496,Internal_lists_bugs!$A$2:$C$73,3,FALSE())&amp;Char(10) &amp; Char(10) &amp; VLOOKUP(A496,Internal_lists_bugs!$A$2:$Z$73,26,FALSE())),"please select a BUG ID")</f>
        <v>https://github.com/elastic/elasticsearch/issues/1380
/highlight/HighlightPhase.java</v>
      </c>
      <c r="C496" s="81" t="str">
        <f>IFERROR(Hyperlink(VLOOKUP(A496,Internal_lists_bugs!$A$2:$G1061,7,FALSE()),"BIC: "&amp;VLOOKUP(A496,Internal_lists_bugs!$A$2:$G1061,7,FALSE())&amp;CHAR(10)&amp;"Intro.Issues: "&amp;VLOOKUP(A496,Internal_lists_bugs!$A$2:$P1061,16,FALSE())),"please select a BUG ID")</f>
        <v>BIC: https://github.com/elastic/elasticsearch/commit/adc3dc0
Intro.Issues: 873</v>
      </c>
      <c r="D496" s="100">
        <v>873.0</v>
      </c>
      <c r="E496" s="54"/>
      <c r="F496" s="79" t="s">
        <v>4547</v>
      </c>
      <c r="G496" s="93" t="s">
        <v>444</v>
      </c>
      <c r="H496" s="54"/>
      <c r="I496" s="1"/>
    </row>
    <row r="497">
      <c r="A497" s="16" t="s">
        <v>81</v>
      </c>
      <c r="B497" s="77" t="str">
        <f>IFERROR(HYPERLINK(VLOOKUP(A497,Internal_lists_bugs!$A$2:$C$73,3,FALSE()), VLOOKUP(A497,Internal_lists_bugs!$A$2:$C$73,3,FALSE())&amp;Char(10) &amp; Char(10) &amp; VLOOKUP(A497,Internal_lists_bugs!$A$2:$Z$73,26,FALSE())),"please select a BUG ID")</f>
        <v>https://github.com/elastic/elasticsearch/issues/1380
/highlight/HighlightPhase.java</v>
      </c>
      <c r="C497" s="81" t="str">
        <f>IFERROR(Hyperlink(VLOOKUP(A497,Internal_lists_bugs!$A$2:$G1061,7,FALSE()),"BIC: "&amp;VLOOKUP(A497,Internal_lists_bugs!$A$2:$G1061,7,FALSE())&amp;CHAR(10)&amp;"Intro.Issues: "&amp;VLOOKUP(A497,Internal_lists_bugs!$A$2:$P1061,16,FALSE())),"please select a BUG ID")</f>
        <v>BIC: https://github.com/elastic/elasticsearch/commit/adc3dc0
Intro.Issues: 873</v>
      </c>
      <c r="D497" s="100">
        <v>873.0</v>
      </c>
      <c r="E497" s="54"/>
      <c r="F497" s="79" t="s">
        <v>473</v>
      </c>
      <c r="G497" s="93" t="s">
        <v>447</v>
      </c>
      <c r="H497" s="54"/>
      <c r="I497" s="1"/>
    </row>
    <row r="498">
      <c r="A498" s="16" t="s">
        <v>81</v>
      </c>
      <c r="B498" s="77" t="str">
        <f>IFERROR(HYPERLINK(VLOOKUP(A498,Internal_lists_bugs!$A$2:$C$73,3,FALSE()), VLOOKUP(A498,Internal_lists_bugs!$A$2:$C$73,3,FALSE())&amp;Char(10) &amp; Char(10) &amp; VLOOKUP(A498,Internal_lists_bugs!$A$2:$Z$73,26,FALSE())),"please select a BUG ID")</f>
        <v>https://github.com/elastic/elasticsearch/issues/1380
/highlight/HighlightPhase.java</v>
      </c>
      <c r="C498" s="81" t="str">
        <f>IFERROR(Hyperlink(VLOOKUP(A498,Internal_lists_bugs!$A$2:$G1061,7,FALSE()),"BIC: "&amp;VLOOKUP(A498,Internal_lists_bugs!$A$2:$G1061,7,FALSE())&amp;CHAR(10)&amp;"Intro.Issues: "&amp;VLOOKUP(A498,Internal_lists_bugs!$A$2:$P1061,16,FALSE())),"please select a BUG ID")</f>
        <v>BIC: https://github.com/elastic/elasticsearch/commit/adc3dc0
Intro.Issues: 873</v>
      </c>
      <c r="D498" s="100">
        <v>873.0</v>
      </c>
      <c r="E498" s="54"/>
      <c r="F498" s="79" t="s">
        <v>4530</v>
      </c>
      <c r="G498" s="93" t="s">
        <v>451</v>
      </c>
      <c r="H498" s="54"/>
      <c r="I498" s="1"/>
    </row>
    <row r="499">
      <c r="A499" s="16" t="s">
        <v>81</v>
      </c>
      <c r="B499" s="77" t="str">
        <f>IFERROR(HYPERLINK(VLOOKUP(A499,Internal_lists_bugs!$A$2:$C$73,3,FALSE()), VLOOKUP(A499,Internal_lists_bugs!$A$2:$C$73,3,FALSE())&amp;Char(10) &amp; Char(10) &amp; VLOOKUP(A499,Internal_lists_bugs!$A$2:$Z$73,26,FALSE())),"please select a BUG ID")</f>
        <v>https://github.com/elastic/elasticsearch/issues/1380
/highlight/HighlightPhase.java</v>
      </c>
      <c r="C499" s="81" t="str">
        <f>IFERROR(Hyperlink(VLOOKUP(A499,Internal_lists_bugs!$A$2:$G1061,7,FALSE()),"BIC: "&amp;VLOOKUP(A499,Internal_lists_bugs!$A$2:$G1061,7,FALSE())&amp;CHAR(10)&amp;"Intro.Issues: "&amp;VLOOKUP(A499,Internal_lists_bugs!$A$2:$P1061,16,FALSE())),"please select a BUG ID")</f>
        <v>BIC: https://github.com/elastic/elasticsearch/commit/adc3dc0
Intro.Issues: 873</v>
      </c>
      <c r="D499" s="100">
        <v>873.0</v>
      </c>
      <c r="E499" s="54"/>
      <c r="F499" s="79" t="s">
        <v>4648</v>
      </c>
      <c r="G499" s="93" t="s">
        <v>500</v>
      </c>
      <c r="H499" s="54"/>
      <c r="I499" s="1"/>
    </row>
    <row r="500">
      <c r="A500" s="16" t="s">
        <v>81</v>
      </c>
      <c r="B500" s="77" t="str">
        <f>IFERROR(HYPERLINK(VLOOKUP(A500,Internal_lists_bugs!$A$2:$C$73,3,FALSE()), VLOOKUP(A500,Internal_lists_bugs!$A$2:$C$73,3,FALSE())&amp;Char(10) &amp; Char(10) &amp; VLOOKUP(A500,Internal_lists_bugs!$A$2:$Z$73,26,FALSE())),"please select a BUG ID")</f>
        <v>https://github.com/elastic/elasticsearch/issues/1380
/highlight/HighlightPhase.java</v>
      </c>
      <c r="C500" s="81" t="str">
        <f>IFERROR(Hyperlink(VLOOKUP(A500,Internal_lists_bugs!$A$2:$G1061,7,FALSE()),"BIC: "&amp;VLOOKUP(A500,Internal_lists_bugs!$A$2:$G1061,7,FALSE())&amp;CHAR(10)&amp;"Intro.Issues: "&amp;VLOOKUP(A500,Internal_lists_bugs!$A$2:$P1061,16,FALSE())),"please select a BUG ID")</f>
        <v>BIC: https://github.com/elastic/elasticsearch/commit/adc3dc0
Intro.Issues: 873</v>
      </c>
      <c r="D500" s="100">
        <v>873.0</v>
      </c>
      <c r="E500" s="54"/>
      <c r="F500" s="79" t="s">
        <v>4649</v>
      </c>
      <c r="G500" s="93" t="s">
        <v>500</v>
      </c>
      <c r="H500" s="54"/>
      <c r="I500" s="1"/>
    </row>
    <row r="501">
      <c r="A501" s="16" t="s">
        <v>81</v>
      </c>
      <c r="B501" s="77" t="str">
        <f>IFERROR(HYPERLINK(VLOOKUP(A501,Internal_lists_bugs!$A$2:$C$73,3,FALSE()), VLOOKUP(A501,Internal_lists_bugs!$A$2:$C$73,3,FALSE())&amp;Char(10) &amp; Char(10) &amp; VLOOKUP(A501,Internal_lists_bugs!$A$2:$Z$73,26,FALSE())),"please select a BUG ID")</f>
        <v>https://github.com/elastic/elasticsearch/issues/1380
/highlight/HighlightPhase.java</v>
      </c>
      <c r="C501" s="81" t="str">
        <f>IFERROR(Hyperlink(VLOOKUP(A501,Internal_lists_bugs!$A$2:$G1061,7,FALSE()),"BIC: "&amp;VLOOKUP(A501,Internal_lists_bugs!$A$2:$G1061,7,FALSE())&amp;CHAR(10)&amp;"Intro.Issues: "&amp;VLOOKUP(A501,Internal_lists_bugs!$A$2:$P1061,16,FALSE())),"please select a BUG ID")</f>
        <v>BIC: https://github.com/elastic/elasticsearch/commit/adc3dc0
Intro.Issues: 873</v>
      </c>
      <c r="D501" s="100">
        <v>873.0</v>
      </c>
      <c r="E501" s="54"/>
      <c r="F501" s="79" t="s">
        <v>4635</v>
      </c>
      <c r="G501" s="93" t="s">
        <v>500</v>
      </c>
      <c r="H501" s="54"/>
      <c r="I501" s="1"/>
    </row>
    <row r="502">
      <c r="A502" s="16" t="s">
        <v>81</v>
      </c>
      <c r="B502" s="77" t="str">
        <f>IFERROR(HYPERLINK(VLOOKUP(A502,Internal_lists_bugs!$A$2:$C$73,3,FALSE()), VLOOKUP(A502,Internal_lists_bugs!$A$2:$C$73,3,FALSE())&amp;Char(10) &amp; Char(10) &amp; VLOOKUP(A502,Internal_lists_bugs!$A$2:$Z$73,26,FALSE())),"please select a BUG ID")</f>
        <v>https://github.com/elastic/elasticsearch/issues/1380
/highlight/HighlightPhase.java</v>
      </c>
      <c r="C502" s="81" t="str">
        <f>IFERROR(Hyperlink(VLOOKUP(A502,Internal_lists_bugs!$A$2:$G1061,7,FALSE()),"BIC: "&amp;VLOOKUP(A502,Internal_lists_bugs!$A$2:$G1061,7,FALSE())&amp;CHAR(10)&amp;"Intro.Issues: "&amp;VLOOKUP(A502,Internal_lists_bugs!$A$2:$P1061,16,FALSE())),"please select a BUG ID")</f>
        <v>BIC: https://github.com/elastic/elasticsearch/commit/adc3dc0
Intro.Issues: 873</v>
      </c>
      <c r="D502" s="100">
        <v>873.0</v>
      </c>
      <c r="E502" s="54"/>
      <c r="F502" s="79" t="s">
        <v>4570</v>
      </c>
      <c r="G502" s="93" t="s">
        <v>461</v>
      </c>
      <c r="H502" s="54"/>
      <c r="I502" s="1"/>
    </row>
    <row r="503">
      <c r="A503" s="16" t="s">
        <v>81</v>
      </c>
      <c r="B503" s="77" t="str">
        <f>IFERROR(HYPERLINK(VLOOKUP(A503,Internal_lists_bugs!$A$2:$C$73,3,FALSE()), VLOOKUP(A503,Internal_lists_bugs!$A$2:$C$73,3,FALSE())&amp;Char(10) &amp; Char(10) &amp; VLOOKUP(A503,Internal_lists_bugs!$A$2:$Z$73,26,FALSE())),"please select a BUG ID")</f>
        <v>https://github.com/elastic/elasticsearch/issues/1380
/highlight/HighlightPhase.java</v>
      </c>
      <c r="C503" s="81" t="str">
        <f>IFERROR(Hyperlink(VLOOKUP(A503,Internal_lists_bugs!$A$2:$G1061,7,FALSE()),"BIC: "&amp;VLOOKUP(A503,Internal_lists_bugs!$A$2:$G1061,7,FALSE())&amp;CHAR(10)&amp;"Intro.Issues: "&amp;VLOOKUP(A503,Internal_lists_bugs!$A$2:$P1061,16,FALSE())),"please select a BUG ID")</f>
        <v>BIC: https://github.com/elastic/elasticsearch/commit/adc3dc0
Intro.Issues: 873</v>
      </c>
      <c r="D503" s="100">
        <v>873.0</v>
      </c>
      <c r="E503" s="54"/>
      <c r="F503" s="79" t="s">
        <v>4539</v>
      </c>
      <c r="G503" s="93" t="s">
        <v>461</v>
      </c>
      <c r="H503" s="54"/>
      <c r="I503" s="1"/>
    </row>
    <row r="504">
      <c r="A504" s="16" t="s">
        <v>81</v>
      </c>
      <c r="B504" s="77" t="str">
        <f>IFERROR(HYPERLINK(VLOOKUP(A504,Internal_lists_bugs!$A$2:$C$73,3,FALSE()), VLOOKUP(A504,Internal_lists_bugs!$A$2:$C$73,3,FALSE())&amp;Char(10) &amp; Char(10) &amp; VLOOKUP(A504,Internal_lists_bugs!$A$2:$Z$73,26,FALSE())),"please select a BUG ID")</f>
        <v>https://github.com/elastic/elasticsearch/issues/1380
/highlight/HighlightPhase.java</v>
      </c>
      <c r="C504" s="81" t="str">
        <f>IFERROR(Hyperlink(VLOOKUP(A504,Internal_lists_bugs!$A$2:$G1061,7,FALSE()),"BIC: "&amp;VLOOKUP(A504,Internal_lists_bugs!$A$2:$G1061,7,FALSE())&amp;CHAR(10)&amp;"Intro.Issues: "&amp;VLOOKUP(A504,Internal_lists_bugs!$A$2:$P1061,16,FALSE())),"please select a BUG ID")</f>
        <v>BIC: https://github.com/elastic/elasticsearch/commit/adc3dc0
Intro.Issues: 873</v>
      </c>
      <c r="D504" s="100">
        <v>873.0</v>
      </c>
      <c r="E504" s="54"/>
      <c r="F504" s="79" t="s">
        <v>4577</v>
      </c>
      <c r="G504" s="93" t="s">
        <v>462</v>
      </c>
      <c r="H504" s="54"/>
      <c r="I504" s="1"/>
    </row>
    <row r="505">
      <c r="A505" s="16" t="s">
        <v>82</v>
      </c>
      <c r="B505" s="77" t="str">
        <f>IFERROR(HYPERLINK(VLOOKUP(A505,Internal_lists_bugs!$A$2:$C$73,3,FALSE()), VLOOKUP(A505,Internal_lists_bugs!$A$2:$C$73,3,FALSE())&amp;Char(10) &amp; Char(10) &amp; VLOOKUP(A505,Internal_lists_bugs!$A$2:$Z$73,26,FALSE())),"please select a BUG ID")</f>
        <v>https://github.com/elastic/elasticsearch/issues/1948
/percolator/PercolatorExecutor.java</v>
      </c>
      <c r="C505" s="81" t="str">
        <f>IFERROR(Hyperlink(VLOOKUP(A505,Internal_lists_bugs!$A$2:$G1061,7,FALSE()),"BIC: "&amp;VLOOKUP(A505,Internal_lists_bugs!$A$2:$G1061,7,FALSE())&amp;CHAR(10)&amp;"Intro.Issues: "&amp;VLOOKUP(A505,Internal_lists_bugs!$A$2:$P1061,16,FALSE())),"please select a BUG ID")</f>
        <v>BIC: https://github.com/elastic/elasticsearch/commit/3b967040da2
Intro.Issues: 725</v>
      </c>
      <c r="D505" s="100">
        <v>725.0</v>
      </c>
      <c r="E505" s="16" t="s">
        <v>4280</v>
      </c>
      <c r="F505" s="79" t="s">
        <v>149</v>
      </c>
      <c r="G505" s="93" t="s">
        <v>4650</v>
      </c>
      <c r="H505" s="54"/>
      <c r="I505" s="9" t="b">
        <v>0</v>
      </c>
    </row>
    <row r="506">
      <c r="A506" s="16" t="s">
        <v>82</v>
      </c>
      <c r="B506" s="77" t="str">
        <f>IFERROR(HYPERLINK(VLOOKUP(A506,Internal_lists_bugs!$A$2:$C$73,3,FALSE()), VLOOKUP(A506,Internal_lists_bugs!$A$2:$C$73,3,FALSE())&amp;Char(10) &amp; Char(10) &amp; VLOOKUP(A506,Internal_lists_bugs!$A$2:$Z$73,26,FALSE())),"please select a BUG ID")</f>
        <v>https://github.com/elastic/elasticsearch/issues/1948
/percolator/PercolatorExecutor.java</v>
      </c>
      <c r="C506" s="81" t="str">
        <f>IFERROR(Hyperlink(VLOOKUP(A506,Internal_lists_bugs!$A$2:$G1061,7,FALSE()),"BIC: "&amp;VLOOKUP(A506,Internal_lists_bugs!$A$2:$G1061,7,FALSE())&amp;CHAR(10)&amp;"Intro.Issues: "&amp;VLOOKUP(A506,Internal_lists_bugs!$A$2:$P1061,16,FALSE())),"please select a BUG ID")</f>
        <v>BIC: https://github.com/elastic/elasticsearch/commit/3b967040da2
Intro.Issues: 725</v>
      </c>
      <c r="D506" s="100">
        <v>725.0</v>
      </c>
      <c r="E506" s="54"/>
      <c r="F506" s="79" t="s">
        <v>119</v>
      </c>
      <c r="G506" s="93" t="s">
        <v>4650</v>
      </c>
      <c r="H506" s="54"/>
      <c r="I506" s="1"/>
    </row>
    <row r="507">
      <c r="A507" s="16" t="s">
        <v>82</v>
      </c>
      <c r="B507" s="77" t="str">
        <f>IFERROR(HYPERLINK(VLOOKUP(A507,Internal_lists_bugs!$A$2:$C$73,3,FALSE()), VLOOKUP(A507,Internal_lists_bugs!$A$2:$C$73,3,FALSE())&amp;Char(10) &amp; Char(10) &amp; VLOOKUP(A507,Internal_lists_bugs!$A$2:$Z$73,26,FALSE())),"please select a BUG ID")</f>
        <v>https://github.com/elastic/elasticsearch/issues/1948
/percolator/PercolatorExecutor.java</v>
      </c>
      <c r="C507" s="81" t="str">
        <f>IFERROR(Hyperlink(VLOOKUP(A507,Internal_lists_bugs!$A$2:$G1061,7,FALSE()),"BIC: "&amp;VLOOKUP(A507,Internal_lists_bugs!$A$2:$G1061,7,FALSE())&amp;CHAR(10)&amp;"Intro.Issues: "&amp;VLOOKUP(A507,Internal_lists_bugs!$A$2:$P1061,16,FALSE())),"please select a BUG ID")</f>
        <v>BIC: https://github.com/elastic/elasticsearch/commit/3b967040da2
Intro.Issues: 725</v>
      </c>
      <c r="D507" s="100">
        <v>725.0</v>
      </c>
      <c r="E507" s="54"/>
      <c r="F507" s="79" t="s">
        <v>438</v>
      </c>
      <c r="G507" s="93" t="s">
        <v>442</v>
      </c>
      <c r="H507" s="54"/>
      <c r="I507" s="1"/>
    </row>
    <row r="508">
      <c r="A508" s="16" t="s">
        <v>84</v>
      </c>
      <c r="B508" s="77" t="str">
        <f>IFERROR(HYPERLINK(VLOOKUP(A508,Internal_lists_bugs!$A$2:$C$73,3,FALSE()), VLOOKUP(A508,Internal_lists_bugs!$A$2:$C$73,3,FALSE())&amp;Char(10) &amp; Char(10) &amp; VLOOKUP(A508,Internal_lists_bugs!$A$2:$Z$73,26,FALSE())),"please select a BUG ID")</f>
        <v>https://github.com/elastic/elasticsearch/issues/8507
/fielddata/SortingNumericDocValues.java
/geogrid/GeoHashGridParser.java
/support/ValuesSource.java
/values/ScriptLongValues.java</v>
      </c>
      <c r="C508" s="81" t="str">
        <f>IFERROR(Hyperlink(VLOOKUP(A508,Internal_lists_bugs!$A$2:$G1061,7,FALSE()),"BIC: "&amp;VLOOKUP(A508,Internal_lists_bugs!$A$2:$G1061,7,FALSE())&amp;CHAR(10)&amp;"Intro.Issues: "&amp;VLOOKUP(A508,Internal_lists_bugs!$A$2:$P1061,16,FALSE())),"please select a BUG ID")</f>
        <v>BIC: https://github.com/elastic/elasticsearch/commit/3c142e5
Intro.Issues: 6908</v>
      </c>
      <c r="D508" s="100">
        <v>6908.0</v>
      </c>
      <c r="E508" s="16" t="s">
        <v>4646</v>
      </c>
      <c r="F508" s="79" t="s">
        <v>4342</v>
      </c>
      <c r="G508" s="93" t="s">
        <v>144</v>
      </c>
      <c r="H508" s="54"/>
      <c r="I508" s="9" t="b">
        <v>1</v>
      </c>
    </row>
    <row r="509">
      <c r="A509" s="16" t="s">
        <v>84</v>
      </c>
      <c r="B509" s="77" t="str">
        <f>IFERROR(HYPERLINK(VLOOKUP(A509,Internal_lists_bugs!$A$2:$C$73,3,FALSE()), VLOOKUP(A509,Internal_lists_bugs!$A$2:$C$73,3,FALSE())&amp;Char(10) &amp; Char(10) &amp; VLOOKUP(A509,Internal_lists_bugs!$A$2:$Z$73,26,FALSE())),"please select a BUG ID")</f>
        <v>https://github.com/elastic/elasticsearch/issues/8507
/fielddata/SortingNumericDocValues.java
/geogrid/GeoHashGridParser.java
/support/ValuesSource.java
/values/ScriptLongValues.java</v>
      </c>
      <c r="C509" s="81" t="str">
        <f>IFERROR(Hyperlink(VLOOKUP(A509,Internal_lists_bugs!$A$2:$G1061,7,FALSE()),"BIC: "&amp;VLOOKUP(A509,Internal_lists_bugs!$A$2:$G1061,7,FALSE())&amp;CHAR(10)&amp;"Intro.Issues: "&amp;VLOOKUP(A509,Internal_lists_bugs!$A$2:$P1061,16,FALSE())),"please select a BUG ID")</f>
        <v>BIC: https://github.com/elastic/elasticsearch/commit/3c142e5
Intro.Issues: 6908</v>
      </c>
      <c r="D509" s="100">
        <v>6908.0</v>
      </c>
      <c r="E509" s="54"/>
      <c r="F509" s="79" t="s">
        <v>4512</v>
      </c>
      <c r="G509" s="93" t="s">
        <v>324</v>
      </c>
      <c r="H509" s="54"/>
      <c r="I509" s="1"/>
    </row>
    <row r="510">
      <c r="A510" s="16" t="s">
        <v>84</v>
      </c>
      <c r="B510" s="77" t="str">
        <f>IFERROR(HYPERLINK(VLOOKUP(A510,Internal_lists_bugs!$A$2:$C$73,3,FALSE()), VLOOKUP(A510,Internal_lists_bugs!$A$2:$C$73,3,FALSE())&amp;Char(10) &amp; Char(10) &amp; VLOOKUP(A510,Internal_lists_bugs!$A$2:$Z$73,26,FALSE())),"please select a BUG ID")</f>
        <v>https://github.com/elastic/elasticsearch/issues/8507
/fielddata/SortingNumericDocValues.java
/geogrid/GeoHashGridParser.java
/support/ValuesSource.java
/values/ScriptLongValues.java</v>
      </c>
      <c r="C510" s="81" t="str">
        <f>IFERROR(Hyperlink(VLOOKUP(A510,Internal_lists_bugs!$A$2:$G1061,7,FALSE()),"BIC: "&amp;VLOOKUP(A510,Internal_lists_bugs!$A$2:$G1061,7,FALSE())&amp;CHAR(10)&amp;"Intro.Issues: "&amp;VLOOKUP(A510,Internal_lists_bugs!$A$2:$P1061,16,FALSE())),"please select a BUG ID")</f>
        <v>BIC: https://github.com/elastic/elasticsearch/commit/3c142e5
Intro.Issues: 6908</v>
      </c>
      <c r="D510" s="100">
        <v>6908.0</v>
      </c>
      <c r="E510" s="54"/>
      <c r="F510" s="79" t="s">
        <v>4523</v>
      </c>
      <c r="G510" s="93" t="s">
        <v>324</v>
      </c>
      <c r="H510" s="54"/>
      <c r="I510" s="1"/>
    </row>
    <row r="511">
      <c r="A511" s="16" t="s">
        <v>84</v>
      </c>
      <c r="B511" s="77" t="str">
        <f>IFERROR(HYPERLINK(VLOOKUP(A511,Internal_lists_bugs!$A$2:$C$73,3,FALSE()), VLOOKUP(A511,Internal_lists_bugs!$A$2:$C$73,3,FALSE())&amp;Char(10) &amp; Char(10) &amp; VLOOKUP(A511,Internal_lists_bugs!$A$2:$Z$73,26,FALSE())),"please select a BUG ID")</f>
        <v>https://github.com/elastic/elasticsearch/issues/8507
/fielddata/SortingNumericDocValues.java
/geogrid/GeoHashGridParser.java
/support/ValuesSource.java
/values/ScriptLongValues.java</v>
      </c>
      <c r="C511" s="81" t="str">
        <f>IFERROR(Hyperlink(VLOOKUP(A511,Internal_lists_bugs!$A$2:$G1061,7,FALSE()),"BIC: "&amp;VLOOKUP(A511,Internal_lists_bugs!$A$2:$G1061,7,FALSE())&amp;CHAR(10)&amp;"Intro.Issues: "&amp;VLOOKUP(A511,Internal_lists_bugs!$A$2:$P1061,16,FALSE())),"please select a BUG ID")</f>
        <v>BIC: https://github.com/elastic/elasticsearch/commit/3c142e5
Intro.Issues: 6908</v>
      </c>
      <c r="D511" s="100">
        <v>6908.0</v>
      </c>
      <c r="E511" s="54"/>
      <c r="F511" s="79" t="s">
        <v>4388</v>
      </c>
      <c r="G511" s="93" t="s">
        <v>324</v>
      </c>
      <c r="H511" s="54"/>
      <c r="I511" s="1"/>
    </row>
    <row r="512">
      <c r="A512" s="16" t="s">
        <v>87</v>
      </c>
      <c r="B512" s="77" t="str">
        <f>IFERROR(HYPERLINK(VLOOKUP(A512,Internal_lists_bugs!$A$2:$C$73,3,FALSE()), VLOOKUP(A512,Internal_lists_bugs!$A$2:$C$73,3,FALSE())&amp;Char(10) &amp; Char(10) &amp; VLOOKUP(A512,Internal_lists_bugs!$A$2:$Z$73,26,FALSE())),"please select a BUG ID")</f>
        <v>https://github.com/elastic/elasticsearch/issues/16790
/bin/elasticsearch-plugin
/bin/elasticsearch-plugin.bat </v>
      </c>
      <c r="C512" s="81" t="str">
        <f>IFERROR(Hyperlink(VLOOKUP(A512,Internal_lists_bugs!$A$2:$G1061,7,FALSE()),"BIC: "&amp;VLOOKUP(A512,Internal_lists_bugs!$A$2:$G1061,7,FALSE())&amp;CHAR(10)&amp;"Intro.Issues: "&amp;VLOOKUP(A512,Internal_lists_bugs!$A$2:$P1061,16,FALSE())),"please select a BUG ID")</f>
        <v>BIC: https://github.com/elastic/elasticsearch/commit/1e209e3802
Intro.Issues: 12479</v>
      </c>
      <c r="D512" s="100">
        <v>12479.0</v>
      </c>
      <c r="E512" s="16" t="s">
        <v>4280</v>
      </c>
      <c r="F512" s="79" t="s">
        <v>149</v>
      </c>
      <c r="G512" s="93" t="s">
        <v>144</v>
      </c>
      <c r="H512" s="54"/>
      <c r="I512" s="9" t="b">
        <v>0</v>
      </c>
    </row>
    <row r="513">
      <c r="A513" s="16" t="s">
        <v>87</v>
      </c>
      <c r="B513" s="77" t="str">
        <f>IFERROR(HYPERLINK(VLOOKUP(A513,Internal_lists_bugs!$A$2:$C$73,3,FALSE()), VLOOKUP(A513,Internal_lists_bugs!$A$2:$C$73,3,FALSE())&amp;Char(10) &amp; Char(10) &amp; VLOOKUP(A513,Internal_lists_bugs!$A$2:$Z$73,26,FALSE())),"please select a BUG ID")</f>
        <v>https://github.com/elastic/elasticsearch/issues/16790
/bin/elasticsearch-plugin
/bin/elasticsearch-plugin.bat </v>
      </c>
      <c r="C513" s="81" t="str">
        <f>IFERROR(Hyperlink(VLOOKUP(A513,Internal_lists_bugs!$A$2:$G1061,7,FALSE()),"BIC: "&amp;VLOOKUP(A513,Internal_lists_bugs!$A$2:$G1061,7,FALSE())&amp;CHAR(10)&amp;"Intro.Issues: "&amp;VLOOKUP(A513,Internal_lists_bugs!$A$2:$P1061,16,FALSE())),"please select a BUG ID")</f>
        <v>BIC: https://github.com/elastic/elasticsearch/commit/1e209e3802
Intro.Issues: 12479</v>
      </c>
      <c r="D513" s="100">
        <v>12479.0</v>
      </c>
      <c r="E513" s="54"/>
      <c r="F513" s="79" t="s">
        <v>227</v>
      </c>
      <c r="G513" s="93" t="s">
        <v>324</v>
      </c>
      <c r="H513" s="54"/>
      <c r="I513" s="1"/>
    </row>
    <row r="514">
      <c r="A514" s="16" t="s">
        <v>87</v>
      </c>
      <c r="B514" s="77" t="str">
        <f>IFERROR(HYPERLINK(VLOOKUP(A514,Internal_lists_bugs!$A$2:$C$73,3,FALSE()), VLOOKUP(A514,Internal_lists_bugs!$A$2:$C$73,3,FALSE())&amp;Char(10) &amp; Char(10) &amp; VLOOKUP(A514,Internal_lists_bugs!$A$2:$Z$73,26,FALSE())),"please select a BUG ID")</f>
        <v>https://github.com/elastic/elasticsearch/issues/16790
/bin/elasticsearch-plugin
/bin/elasticsearch-plugin.bat </v>
      </c>
      <c r="C514" s="81" t="str">
        <f>IFERROR(Hyperlink(VLOOKUP(A514,Internal_lists_bugs!$A$2:$G1061,7,FALSE()),"BIC: "&amp;VLOOKUP(A514,Internal_lists_bugs!$A$2:$G1061,7,FALSE())&amp;CHAR(10)&amp;"Intro.Issues: "&amp;VLOOKUP(A514,Internal_lists_bugs!$A$2:$P1061,16,FALSE())),"please select a BUG ID")</f>
        <v>BIC: https://github.com/elastic/elasticsearch/commit/1e209e3802
Intro.Issues: 12479</v>
      </c>
      <c r="D514" s="100">
        <v>12479.0</v>
      </c>
      <c r="E514" s="54"/>
      <c r="F514" s="79" t="s">
        <v>4613</v>
      </c>
      <c r="G514" s="93" t="s">
        <v>324</v>
      </c>
      <c r="H514" s="54"/>
      <c r="I514" s="1"/>
    </row>
    <row r="515">
      <c r="A515" s="16" t="s">
        <v>87</v>
      </c>
      <c r="B515" s="77" t="str">
        <f>IFERROR(HYPERLINK(VLOOKUP(A515,Internal_lists_bugs!$A$2:$C$73,3,FALSE()), VLOOKUP(A515,Internal_lists_bugs!$A$2:$C$73,3,FALSE())&amp;Char(10) &amp; Char(10) &amp; VLOOKUP(A515,Internal_lists_bugs!$A$2:$Z$73,26,FALSE())),"please select a BUG ID")</f>
        <v>https://github.com/elastic/elasticsearch/issues/16790
/bin/elasticsearch-plugin
/bin/elasticsearch-plugin.bat </v>
      </c>
      <c r="C515" s="81" t="str">
        <f>IFERROR(Hyperlink(VLOOKUP(A515,Internal_lists_bugs!$A$2:$G1061,7,FALSE()),"BIC: "&amp;VLOOKUP(A515,Internal_lists_bugs!$A$2:$G1061,7,FALSE())&amp;CHAR(10)&amp;"Intro.Issues: "&amp;VLOOKUP(A515,Internal_lists_bugs!$A$2:$P1061,16,FALSE())),"please select a BUG ID")</f>
        <v>BIC: https://github.com/elastic/elasticsearch/commit/1e209e3802
Intro.Issues: 12479</v>
      </c>
      <c r="D515" s="100">
        <v>12479.0</v>
      </c>
      <c r="E515" s="54"/>
      <c r="F515" s="79" t="s">
        <v>4640</v>
      </c>
      <c r="G515" s="93" t="s">
        <v>324</v>
      </c>
      <c r="H515" s="54"/>
      <c r="I515" s="1"/>
    </row>
    <row r="516">
      <c r="A516" s="16" t="s">
        <v>87</v>
      </c>
      <c r="B516" s="77" t="str">
        <f>IFERROR(HYPERLINK(VLOOKUP(A516,Internal_lists_bugs!$A$2:$C$73,3,FALSE()), VLOOKUP(A516,Internal_lists_bugs!$A$2:$C$73,3,FALSE())&amp;Char(10) &amp; Char(10) &amp; VLOOKUP(A516,Internal_lists_bugs!$A$2:$Z$73,26,FALSE())),"please select a BUG ID")</f>
        <v>https://github.com/elastic/elasticsearch/issues/16790
/bin/elasticsearch-plugin
/bin/elasticsearch-plugin.bat </v>
      </c>
      <c r="C516" s="81" t="str">
        <f>IFERROR(Hyperlink(VLOOKUP(A516,Internal_lists_bugs!$A$2:$G1061,7,FALSE()),"BIC: "&amp;VLOOKUP(A516,Internal_lists_bugs!$A$2:$G1061,7,FALSE())&amp;CHAR(10)&amp;"Intro.Issues: "&amp;VLOOKUP(A516,Internal_lists_bugs!$A$2:$P1061,16,FALSE())),"please select a BUG ID")</f>
        <v>BIC: https://github.com/elastic/elasticsearch/commit/1e209e3802
Intro.Issues: 12479</v>
      </c>
      <c r="D516" s="100">
        <v>12479.0</v>
      </c>
      <c r="E516" s="54"/>
      <c r="F516" s="79" t="s">
        <v>4651</v>
      </c>
      <c r="G516" s="93" t="s">
        <v>442</v>
      </c>
      <c r="H516" s="54"/>
      <c r="I516" s="1"/>
    </row>
    <row r="517">
      <c r="A517" s="16" t="s">
        <v>87</v>
      </c>
      <c r="B517" s="77" t="str">
        <f>IFERROR(HYPERLINK(VLOOKUP(A517,Internal_lists_bugs!$A$2:$C$73,3,FALSE()), VLOOKUP(A517,Internal_lists_bugs!$A$2:$C$73,3,FALSE())&amp;Char(10) &amp; Char(10) &amp; VLOOKUP(A517,Internal_lists_bugs!$A$2:$Z$73,26,FALSE())),"please select a BUG ID")</f>
        <v>https://github.com/elastic/elasticsearch/issues/16790
/bin/elasticsearch-plugin
/bin/elasticsearch-plugin.bat </v>
      </c>
      <c r="C517" s="81" t="str">
        <f>IFERROR(Hyperlink(VLOOKUP(A517,Internal_lists_bugs!$A$2:$G1061,7,FALSE()),"BIC: "&amp;VLOOKUP(A517,Internal_lists_bugs!$A$2:$G1061,7,FALSE())&amp;CHAR(10)&amp;"Intro.Issues: "&amp;VLOOKUP(A517,Internal_lists_bugs!$A$2:$P1061,16,FALSE())),"please select a BUG ID")</f>
        <v>BIC: https://github.com/elastic/elasticsearch/commit/1e209e3802
Intro.Issues: 12479</v>
      </c>
      <c r="D517" s="100">
        <v>12479.0</v>
      </c>
      <c r="E517" s="54"/>
      <c r="F517" s="79" t="s">
        <v>4282</v>
      </c>
      <c r="G517" s="93" t="s">
        <v>442</v>
      </c>
      <c r="H517" s="54"/>
      <c r="I517" s="1"/>
    </row>
    <row r="518">
      <c r="A518" s="16" t="s">
        <v>87</v>
      </c>
      <c r="B518" s="77" t="str">
        <f>IFERROR(HYPERLINK(VLOOKUP(A518,Internal_lists_bugs!$A$2:$C$73,3,FALSE()), VLOOKUP(A518,Internal_lists_bugs!$A$2:$C$73,3,FALSE())&amp;Char(10) &amp; Char(10) &amp; VLOOKUP(A518,Internal_lists_bugs!$A$2:$Z$73,26,FALSE())),"please select a BUG ID")</f>
        <v>https://github.com/elastic/elasticsearch/issues/16790
/bin/elasticsearch-plugin
/bin/elasticsearch-plugin.bat </v>
      </c>
      <c r="C518" s="81" t="str">
        <f>IFERROR(Hyperlink(VLOOKUP(A518,Internal_lists_bugs!$A$2:$G1061,7,FALSE()),"BIC: "&amp;VLOOKUP(A518,Internal_lists_bugs!$A$2:$G1061,7,FALSE())&amp;CHAR(10)&amp;"Intro.Issues: "&amp;VLOOKUP(A518,Internal_lists_bugs!$A$2:$P1061,16,FALSE())),"please select a BUG ID")</f>
        <v>BIC: https://github.com/elastic/elasticsearch/commit/1e209e3802
Intro.Issues: 12479</v>
      </c>
      <c r="D518" s="100">
        <v>12479.0</v>
      </c>
      <c r="E518" s="54"/>
      <c r="F518" s="79" t="s">
        <v>159</v>
      </c>
      <c r="G518" s="93" t="s">
        <v>4652</v>
      </c>
      <c r="H518" s="54"/>
      <c r="I518" s="1"/>
    </row>
    <row r="519">
      <c r="A519" s="16" t="s">
        <v>87</v>
      </c>
      <c r="B519" s="77" t="str">
        <f>IFERROR(HYPERLINK(VLOOKUP(A519,Internal_lists_bugs!$A$2:$C$73,3,FALSE()), VLOOKUP(A519,Internal_lists_bugs!$A$2:$C$73,3,FALSE())&amp;Char(10) &amp; Char(10) &amp; VLOOKUP(A519,Internal_lists_bugs!$A$2:$Z$73,26,FALSE())),"please select a BUG ID")</f>
        <v>https://github.com/elastic/elasticsearch/issues/16790
/bin/elasticsearch-plugin
/bin/elasticsearch-plugin.bat </v>
      </c>
      <c r="C519" s="81" t="str">
        <f>IFERROR(Hyperlink(VLOOKUP(A519,Internal_lists_bugs!$A$2:$G1061,7,FALSE()),"BIC: "&amp;VLOOKUP(A519,Internal_lists_bugs!$A$2:$G1061,7,FALSE())&amp;CHAR(10)&amp;"Intro.Issues: "&amp;VLOOKUP(A519,Internal_lists_bugs!$A$2:$P1061,16,FALSE())),"please select a BUG ID")</f>
        <v>BIC: https://github.com/elastic/elasticsearch/commit/1e209e3802
Intro.Issues: 12479</v>
      </c>
      <c r="D519" s="100">
        <v>12479.0</v>
      </c>
      <c r="E519" s="54"/>
      <c r="F519" s="79" t="s">
        <v>4653</v>
      </c>
      <c r="G519" s="93" t="s">
        <v>442</v>
      </c>
      <c r="H519" s="54"/>
      <c r="I519" s="1"/>
    </row>
    <row r="520">
      <c r="A520" s="16" t="s">
        <v>87</v>
      </c>
      <c r="B520" s="77" t="str">
        <f>IFERROR(HYPERLINK(VLOOKUP(A520,Internal_lists_bugs!$A$2:$C$73,3,FALSE()), VLOOKUP(A520,Internal_lists_bugs!$A$2:$C$73,3,FALSE())&amp;Char(10) &amp; Char(10) &amp; VLOOKUP(A520,Internal_lists_bugs!$A$2:$Z$73,26,FALSE())),"please select a BUG ID")</f>
        <v>https://github.com/elastic/elasticsearch/issues/16790
/bin/elasticsearch-plugin
/bin/elasticsearch-plugin.bat </v>
      </c>
      <c r="C520" s="81" t="str">
        <f>IFERROR(Hyperlink(VLOOKUP(A520,Internal_lists_bugs!$A$2:$G1061,7,FALSE()),"BIC: "&amp;VLOOKUP(A520,Internal_lists_bugs!$A$2:$G1061,7,FALSE())&amp;CHAR(10)&amp;"Intro.Issues: "&amp;VLOOKUP(A520,Internal_lists_bugs!$A$2:$P1061,16,FALSE())),"please select a BUG ID")</f>
        <v>BIC: https://github.com/elastic/elasticsearch/commit/1e209e3802
Intro.Issues: 12479</v>
      </c>
      <c r="D520" s="100">
        <v>12479.0</v>
      </c>
      <c r="E520" s="54"/>
      <c r="F520" s="79" t="s">
        <v>119</v>
      </c>
      <c r="G520" s="93" t="s">
        <v>324</v>
      </c>
      <c r="H520" s="54"/>
      <c r="I520" s="1"/>
    </row>
    <row r="521">
      <c r="A521" s="16" t="s">
        <v>87</v>
      </c>
      <c r="B521" s="77" t="str">
        <f>IFERROR(HYPERLINK(VLOOKUP(A521,Internal_lists_bugs!$A$2:$C$73,3,FALSE()), VLOOKUP(A521,Internal_lists_bugs!$A$2:$C$73,3,FALSE())&amp;Char(10) &amp; Char(10) &amp; VLOOKUP(A521,Internal_lists_bugs!$A$2:$Z$73,26,FALSE())),"please select a BUG ID")</f>
        <v>https://github.com/elastic/elasticsearch/issues/16790
/bin/elasticsearch-plugin
/bin/elasticsearch-plugin.bat </v>
      </c>
      <c r="C521" s="81" t="str">
        <f>IFERROR(Hyperlink(VLOOKUP(A521,Internal_lists_bugs!$A$2:$G1061,7,FALSE()),"BIC: "&amp;VLOOKUP(A521,Internal_lists_bugs!$A$2:$G1061,7,FALSE())&amp;CHAR(10)&amp;"Intro.Issues: "&amp;VLOOKUP(A521,Internal_lists_bugs!$A$2:$P1061,16,FALSE())),"please select a BUG ID")</f>
        <v>BIC: https://github.com/elastic/elasticsearch/commit/1e209e3802
Intro.Issues: 12479</v>
      </c>
      <c r="D521" s="100">
        <v>12479.0</v>
      </c>
      <c r="E521" s="54"/>
      <c r="F521" s="79" t="s">
        <v>4651</v>
      </c>
      <c r="G521" s="93" t="s">
        <v>444</v>
      </c>
      <c r="H521" s="54"/>
      <c r="I521" s="1"/>
    </row>
    <row r="522">
      <c r="A522" s="16" t="s">
        <v>87</v>
      </c>
      <c r="B522" s="77" t="str">
        <f>IFERROR(HYPERLINK(VLOOKUP(A522,Internal_lists_bugs!$A$2:$C$73,3,FALSE()), VLOOKUP(A522,Internal_lists_bugs!$A$2:$C$73,3,FALSE())&amp;Char(10) &amp; Char(10) &amp; VLOOKUP(A522,Internal_lists_bugs!$A$2:$Z$73,26,FALSE())),"please select a BUG ID")</f>
        <v>https://github.com/elastic/elasticsearch/issues/16790
/bin/elasticsearch-plugin
/bin/elasticsearch-plugin.bat </v>
      </c>
      <c r="C522" s="81" t="str">
        <f>IFERROR(Hyperlink(VLOOKUP(A522,Internal_lists_bugs!$A$2:$G1061,7,FALSE()),"BIC: "&amp;VLOOKUP(A522,Internal_lists_bugs!$A$2:$G1061,7,FALSE())&amp;CHAR(10)&amp;"Intro.Issues: "&amp;VLOOKUP(A522,Internal_lists_bugs!$A$2:$P1061,16,FALSE())),"please select a BUG ID")</f>
        <v>BIC: https://github.com/elastic/elasticsearch/commit/1e209e3802
Intro.Issues: 12479</v>
      </c>
      <c r="D522" s="100">
        <v>12479.0</v>
      </c>
      <c r="E522" s="54"/>
      <c r="F522" s="79" t="s">
        <v>4654</v>
      </c>
      <c r="G522" s="93" t="s">
        <v>444</v>
      </c>
      <c r="H522" s="54"/>
      <c r="I522" s="1"/>
    </row>
    <row r="523">
      <c r="A523" s="16" t="s">
        <v>87</v>
      </c>
      <c r="B523" s="77" t="str">
        <f>IFERROR(HYPERLINK(VLOOKUP(A523,Internal_lists_bugs!$A$2:$C$73,3,FALSE()), VLOOKUP(A523,Internal_lists_bugs!$A$2:$C$73,3,FALSE())&amp;Char(10) &amp; Char(10) &amp; VLOOKUP(A523,Internal_lists_bugs!$A$2:$Z$73,26,FALSE())),"please select a BUG ID")</f>
        <v>https://github.com/elastic/elasticsearch/issues/16790
/bin/elasticsearch-plugin
/bin/elasticsearch-plugin.bat </v>
      </c>
      <c r="C523" s="81" t="str">
        <f>IFERROR(Hyperlink(VLOOKUP(A523,Internal_lists_bugs!$A$2:$G1061,7,FALSE()),"BIC: "&amp;VLOOKUP(A523,Internal_lists_bugs!$A$2:$G1061,7,FALSE())&amp;CHAR(10)&amp;"Intro.Issues: "&amp;VLOOKUP(A523,Internal_lists_bugs!$A$2:$P1061,16,FALSE())),"please select a BUG ID")</f>
        <v>BIC: https://github.com/elastic/elasticsearch/commit/1e209e3802
Intro.Issues: 12479</v>
      </c>
      <c r="D523" s="100">
        <v>12479.0</v>
      </c>
      <c r="E523" s="54"/>
      <c r="F523" s="79" t="s">
        <v>4655</v>
      </c>
      <c r="G523" s="93" t="s">
        <v>444</v>
      </c>
      <c r="H523" s="54"/>
      <c r="I523" s="1"/>
    </row>
    <row r="524">
      <c r="A524" s="16" t="s">
        <v>87</v>
      </c>
      <c r="B524" s="77" t="str">
        <f>IFERROR(HYPERLINK(VLOOKUP(A524,Internal_lists_bugs!$A$2:$C$73,3,FALSE()), VLOOKUP(A524,Internal_lists_bugs!$A$2:$C$73,3,FALSE())&amp;Char(10) &amp; Char(10) &amp; VLOOKUP(A524,Internal_lists_bugs!$A$2:$Z$73,26,FALSE())),"please select a BUG ID")</f>
        <v>https://github.com/elastic/elasticsearch/issues/16790
/bin/elasticsearch-plugin
/bin/elasticsearch-plugin.bat </v>
      </c>
      <c r="C524" s="81" t="str">
        <f>IFERROR(Hyperlink(VLOOKUP(A524,Internal_lists_bugs!$A$2:$G1061,7,FALSE()),"BIC: "&amp;VLOOKUP(A524,Internal_lists_bugs!$A$2:$G1061,7,FALSE())&amp;CHAR(10)&amp;"Intro.Issues: "&amp;VLOOKUP(A524,Internal_lists_bugs!$A$2:$P1061,16,FALSE())),"please select a BUG ID")</f>
        <v>BIC: https://github.com/elastic/elasticsearch/commit/1e209e3802
Intro.Issues: 12479</v>
      </c>
      <c r="D524" s="100">
        <v>12479.0</v>
      </c>
      <c r="E524" s="54"/>
      <c r="F524" s="79" t="s">
        <v>4656</v>
      </c>
      <c r="G524" s="93" t="s">
        <v>447</v>
      </c>
      <c r="H524" s="54"/>
      <c r="I524" s="1"/>
    </row>
    <row r="525">
      <c r="A525" s="16" t="s">
        <v>87</v>
      </c>
      <c r="B525" s="77" t="str">
        <f>IFERROR(HYPERLINK(VLOOKUP(A525,Internal_lists_bugs!$A$2:$C$73,3,FALSE()), VLOOKUP(A525,Internal_lists_bugs!$A$2:$C$73,3,FALSE())&amp;Char(10) &amp; Char(10) &amp; VLOOKUP(A525,Internal_lists_bugs!$A$2:$Z$73,26,FALSE())),"please select a BUG ID")</f>
        <v>https://github.com/elastic/elasticsearch/issues/16790
/bin/elasticsearch-plugin
/bin/elasticsearch-plugin.bat </v>
      </c>
      <c r="C525" s="81" t="str">
        <f>IFERROR(Hyperlink(VLOOKUP(A525,Internal_lists_bugs!$A$2:$G1061,7,FALSE()),"BIC: "&amp;VLOOKUP(A525,Internal_lists_bugs!$A$2:$G1061,7,FALSE())&amp;CHAR(10)&amp;"Intro.Issues: "&amp;VLOOKUP(A525,Internal_lists_bugs!$A$2:$P1061,16,FALSE())),"please select a BUG ID")</f>
        <v>BIC: https://github.com/elastic/elasticsearch/commit/1e209e3802
Intro.Issues: 12479</v>
      </c>
      <c r="D525" s="100">
        <v>12479.0</v>
      </c>
      <c r="E525" s="54"/>
      <c r="F525" s="79" t="s">
        <v>4656</v>
      </c>
      <c r="G525" s="93" t="s">
        <v>451</v>
      </c>
      <c r="H525" s="54"/>
      <c r="I525" s="1"/>
    </row>
    <row r="526">
      <c r="A526" s="16" t="s">
        <v>87</v>
      </c>
      <c r="B526" s="77" t="str">
        <f>IFERROR(HYPERLINK(VLOOKUP(A526,Internal_lists_bugs!$A$2:$C$73,3,FALSE()), VLOOKUP(A526,Internal_lists_bugs!$A$2:$C$73,3,FALSE())&amp;Char(10) &amp; Char(10) &amp; VLOOKUP(A526,Internal_lists_bugs!$A$2:$Z$73,26,FALSE())),"please select a BUG ID")</f>
        <v>https://github.com/elastic/elasticsearch/issues/16790
/bin/elasticsearch-plugin
/bin/elasticsearch-plugin.bat </v>
      </c>
      <c r="C526" s="81" t="str">
        <f>IFERROR(Hyperlink(VLOOKUP(A526,Internal_lists_bugs!$A$2:$G1061,7,FALSE()),"BIC: "&amp;VLOOKUP(A526,Internal_lists_bugs!$A$2:$G1061,7,FALSE())&amp;CHAR(10)&amp;"Intro.Issues: "&amp;VLOOKUP(A526,Internal_lists_bugs!$A$2:$P1061,16,FALSE())),"please select a BUG ID")</f>
        <v>BIC: https://github.com/elastic/elasticsearch/commit/1e209e3802
Intro.Issues: 12479</v>
      </c>
      <c r="D526" s="100">
        <v>12479.0</v>
      </c>
      <c r="E526" s="54"/>
      <c r="F526" s="79" t="s">
        <v>4656</v>
      </c>
      <c r="G526" s="93" t="s">
        <v>500</v>
      </c>
      <c r="H526" s="54"/>
      <c r="I526" s="1"/>
    </row>
    <row r="527">
      <c r="A527" s="16" t="s">
        <v>87</v>
      </c>
      <c r="B527" s="77" t="str">
        <f>IFERROR(HYPERLINK(VLOOKUP(A527,Internal_lists_bugs!$A$2:$C$73,3,FALSE()), VLOOKUP(A527,Internal_lists_bugs!$A$2:$C$73,3,FALSE())&amp;Char(10) &amp; Char(10) &amp; VLOOKUP(A527,Internal_lists_bugs!$A$2:$Z$73,26,FALSE())),"please select a BUG ID")</f>
        <v>https://github.com/elastic/elasticsearch/issues/16790
/bin/elasticsearch-plugin
/bin/elasticsearch-plugin.bat </v>
      </c>
      <c r="C527" s="81" t="str">
        <f>IFERROR(Hyperlink(VLOOKUP(A527,Internal_lists_bugs!$A$2:$G1061,7,FALSE()),"BIC: "&amp;VLOOKUP(A527,Internal_lists_bugs!$A$2:$G1061,7,FALSE())&amp;CHAR(10)&amp;"Intro.Issues: "&amp;VLOOKUP(A527,Internal_lists_bugs!$A$2:$P1061,16,FALSE())),"please select a BUG ID")</f>
        <v>BIC: https://github.com/elastic/elasticsearch/commit/1e209e3802
Intro.Issues: 12479</v>
      </c>
      <c r="D527" s="100">
        <v>12479.0</v>
      </c>
      <c r="E527" s="54"/>
      <c r="F527" s="79" t="s">
        <v>4656</v>
      </c>
      <c r="G527" s="93" t="s">
        <v>461</v>
      </c>
      <c r="H527" s="54"/>
      <c r="I527" s="1"/>
    </row>
    <row r="528">
      <c r="A528" s="16" t="s">
        <v>87</v>
      </c>
      <c r="B528" s="77" t="str">
        <f>IFERROR(HYPERLINK(VLOOKUP(A528,Internal_lists_bugs!$A$2:$C$73,3,FALSE()), VLOOKUP(A528,Internal_lists_bugs!$A$2:$C$73,3,FALSE())&amp;Char(10) &amp; Char(10) &amp; VLOOKUP(A528,Internal_lists_bugs!$A$2:$Z$73,26,FALSE())),"please select a BUG ID")</f>
        <v>https://github.com/elastic/elasticsearch/issues/16790
/bin/elasticsearch-plugin
/bin/elasticsearch-plugin.bat </v>
      </c>
      <c r="C528" s="81" t="str">
        <f>IFERROR(Hyperlink(VLOOKUP(A528,Internal_lists_bugs!$A$2:$G1061,7,FALSE()),"BIC: "&amp;VLOOKUP(A528,Internal_lists_bugs!$A$2:$G1061,7,FALSE())&amp;CHAR(10)&amp;"Intro.Issues: "&amp;VLOOKUP(A528,Internal_lists_bugs!$A$2:$P1061,16,FALSE())),"please select a BUG ID")</f>
        <v>BIC: https://github.com/elastic/elasticsearch/commit/1e209e3802
Intro.Issues: 12479</v>
      </c>
      <c r="D528" s="100">
        <v>12479.0</v>
      </c>
      <c r="E528" s="54"/>
      <c r="F528" s="79" t="s">
        <v>4656</v>
      </c>
      <c r="G528" s="93" t="s">
        <v>462</v>
      </c>
      <c r="H528" s="54"/>
      <c r="I528" s="1"/>
    </row>
    <row r="529">
      <c r="A529" s="16" t="s">
        <v>87</v>
      </c>
      <c r="B529" s="77" t="str">
        <f>IFERROR(HYPERLINK(VLOOKUP(A529,Internal_lists_bugs!$A$2:$C$73,3,FALSE()), VLOOKUP(A529,Internal_lists_bugs!$A$2:$C$73,3,FALSE())&amp;Char(10) &amp; Char(10) &amp; VLOOKUP(A529,Internal_lists_bugs!$A$2:$Z$73,26,FALSE())),"please select a BUG ID")</f>
        <v>https://github.com/elastic/elasticsearch/issues/16790
/bin/elasticsearch-plugin
/bin/elasticsearch-plugin.bat </v>
      </c>
      <c r="C529" s="81" t="str">
        <f>IFERROR(Hyperlink(VLOOKUP(A529,Internal_lists_bugs!$A$2:$G1061,7,FALSE()),"BIC: "&amp;VLOOKUP(A529,Internal_lists_bugs!$A$2:$G1061,7,FALSE())&amp;CHAR(10)&amp;"Intro.Issues: "&amp;VLOOKUP(A529,Internal_lists_bugs!$A$2:$P1061,16,FALSE())),"please select a BUG ID")</f>
        <v>BIC: https://github.com/elastic/elasticsearch/commit/1e209e3802
Intro.Issues: 12479</v>
      </c>
      <c r="D529" s="100">
        <v>12479.0</v>
      </c>
      <c r="E529" s="54"/>
      <c r="F529" s="79" t="s">
        <v>4559</v>
      </c>
      <c r="G529" s="93" t="s">
        <v>467</v>
      </c>
      <c r="H529" s="54"/>
      <c r="I529" s="1"/>
    </row>
    <row r="530">
      <c r="A530" s="16" t="s">
        <v>87</v>
      </c>
      <c r="B530" s="77" t="str">
        <f>IFERROR(HYPERLINK(VLOOKUP(A530,Internal_lists_bugs!$A$2:$C$73,3,FALSE()), VLOOKUP(A530,Internal_lists_bugs!$A$2:$C$73,3,FALSE())&amp;Char(10) &amp; Char(10) &amp; VLOOKUP(A530,Internal_lists_bugs!$A$2:$Z$73,26,FALSE())),"please select a BUG ID")</f>
        <v>https://github.com/elastic/elasticsearch/issues/16790
/bin/elasticsearch-plugin
/bin/elasticsearch-plugin.bat </v>
      </c>
      <c r="C530" s="81" t="str">
        <f>IFERROR(Hyperlink(VLOOKUP(A530,Internal_lists_bugs!$A$2:$G1061,7,FALSE()),"BIC: "&amp;VLOOKUP(A530,Internal_lists_bugs!$A$2:$G1061,7,FALSE())&amp;CHAR(10)&amp;"Intro.Issues: "&amp;VLOOKUP(A530,Internal_lists_bugs!$A$2:$P1061,16,FALSE())),"please select a BUG ID")</f>
        <v>BIC: https://github.com/elastic/elasticsearch/commit/1e209e3802
Intro.Issues: 12479</v>
      </c>
      <c r="D530" s="100">
        <v>12479.0</v>
      </c>
      <c r="E530" s="54"/>
      <c r="F530" s="79" t="s">
        <v>4657</v>
      </c>
      <c r="G530" s="93" t="s">
        <v>464</v>
      </c>
      <c r="H530" s="54"/>
      <c r="I530" s="1"/>
    </row>
    <row r="531">
      <c r="A531" s="16" t="s">
        <v>87</v>
      </c>
      <c r="B531" s="77" t="str">
        <f>IFERROR(HYPERLINK(VLOOKUP(A531,Internal_lists_bugs!$A$2:$C$73,3,FALSE()), VLOOKUP(A531,Internal_lists_bugs!$A$2:$C$73,3,FALSE())&amp;Char(10) &amp; Char(10) &amp; VLOOKUP(A531,Internal_lists_bugs!$A$2:$Z$73,26,FALSE())),"please select a BUG ID")</f>
        <v>https://github.com/elastic/elasticsearch/issues/16790
/bin/elasticsearch-plugin
/bin/elasticsearch-plugin.bat </v>
      </c>
      <c r="C531" s="81" t="str">
        <f>IFERROR(Hyperlink(VLOOKUP(A531,Internal_lists_bugs!$A$2:$G1061,7,FALSE()),"BIC: "&amp;VLOOKUP(A531,Internal_lists_bugs!$A$2:$G1061,7,FALSE())&amp;CHAR(10)&amp;"Intro.Issues: "&amp;VLOOKUP(A531,Internal_lists_bugs!$A$2:$P1061,16,FALSE())),"please select a BUG ID")</f>
        <v>BIC: https://github.com/elastic/elasticsearch/commit/1e209e3802
Intro.Issues: 12479</v>
      </c>
      <c r="D531" s="100">
        <v>12479.0</v>
      </c>
      <c r="E531" s="54"/>
      <c r="F531" s="79" t="s">
        <v>4407</v>
      </c>
      <c r="G531" s="93" t="s">
        <v>464</v>
      </c>
      <c r="H531" s="54"/>
      <c r="I531" s="1"/>
    </row>
    <row r="532">
      <c r="A532" s="16" t="s">
        <v>90</v>
      </c>
      <c r="B532" s="77" t="str">
        <f>IFERROR(HYPERLINK(VLOOKUP(A532,Internal_lists_bugs!$A$2:$C$73,3,FALSE()), VLOOKUP(A532,Internal_lists_bugs!$A$2:$C$73,3,FALSE())&amp;Char(10) &amp; Char(10) &amp; VLOOKUP(A532,Internal_lists_bugs!$A$2:$Z$73,26,FALSE())),"please select a BUG ID")</f>
        <v>https://github.com/elastic/elasticsearch/issues/8125
/bulk/TransportBulkAction.java</v>
      </c>
      <c r="C532" s="81" t="str">
        <f>IFERROR(Hyperlink(VLOOKUP(A532,Internal_lists_bugs!$A$2:$G1061,7,FALSE()),"BIC: "&amp;VLOOKUP(A532,Internal_lists_bugs!$A$2:$G1061,7,FALSE())&amp;CHAR(10)&amp;"Intro.Issues: "&amp;VLOOKUP(A532,Internal_lists_bugs!$A$2:$P1061,16,FALSE())),"please select a BUG ID")</f>
        <v>BIC: https://github.com/elastic/elasticsearch/commit/61c21f9
Intro.Issues: 6410</v>
      </c>
      <c r="D532" s="100">
        <v>6410.0</v>
      </c>
      <c r="E532" s="16" t="s">
        <v>4280</v>
      </c>
      <c r="F532" s="79" t="s">
        <v>119</v>
      </c>
      <c r="G532" s="93" t="s">
        <v>144</v>
      </c>
      <c r="H532" s="54"/>
      <c r="I532" s="9" t="b">
        <v>0</v>
      </c>
    </row>
    <row r="533">
      <c r="A533" s="16" t="s">
        <v>90</v>
      </c>
      <c r="B533" s="77" t="str">
        <f>IFERROR(HYPERLINK(VLOOKUP(A533,Internal_lists_bugs!$A$2:$C$73,3,FALSE()), VLOOKUP(A533,Internal_lists_bugs!$A$2:$C$73,3,FALSE())&amp;Char(10) &amp; Char(10) &amp; VLOOKUP(A533,Internal_lists_bugs!$A$2:$Z$73,26,FALSE())),"please select a BUG ID")</f>
        <v>https://github.com/elastic/elasticsearch/issues/8125
/bulk/TransportBulkAction.java</v>
      </c>
      <c r="C533" s="81" t="str">
        <f>IFERROR(Hyperlink(VLOOKUP(A533,Internal_lists_bugs!$A$2:$G1061,7,FALSE()),"BIC: "&amp;VLOOKUP(A533,Internal_lists_bugs!$A$2:$G1061,7,FALSE())&amp;CHAR(10)&amp;"Intro.Issues: "&amp;VLOOKUP(A533,Internal_lists_bugs!$A$2:$P1061,16,FALSE())),"please select a BUG ID")</f>
        <v>BIC: https://github.com/elastic/elasticsearch/commit/61c21f9
Intro.Issues: 6410</v>
      </c>
      <c r="D533" s="100">
        <v>6410.0</v>
      </c>
      <c r="E533" s="54"/>
      <c r="F533" s="79" t="s">
        <v>149</v>
      </c>
      <c r="G533" s="93" t="s">
        <v>144</v>
      </c>
      <c r="H533" s="54"/>
      <c r="I533" s="1"/>
    </row>
    <row r="534">
      <c r="A534" s="16" t="s">
        <v>90</v>
      </c>
      <c r="B534" s="77" t="str">
        <f>IFERROR(HYPERLINK(VLOOKUP(A534,Internal_lists_bugs!$A$2:$C$73,3,FALSE()), VLOOKUP(A534,Internal_lists_bugs!$A$2:$C$73,3,FALSE())&amp;Char(10) &amp; Char(10) &amp; VLOOKUP(A534,Internal_lists_bugs!$A$2:$Z$73,26,FALSE())),"please select a BUG ID")</f>
        <v>https://github.com/elastic/elasticsearch/issues/8125
/bulk/TransportBulkAction.java</v>
      </c>
      <c r="C534" s="81" t="str">
        <f>IFERROR(Hyperlink(VLOOKUP(A534,Internal_lists_bugs!$A$2:$G1061,7,FALSE()),"BIC: "&amp;VLOOKUP(A534,Internal_lists_bugs!$A$2:$G1061,7,FALSE())&amp;CHAR(10)&amp;"Intro.Issues: "&amp;VLOOKUP(A534,Internal_lists_bugs!$A$2:$P1061,16,FALSE())),"please select a BUG ID")</f>
        <v>BIC: https://github.com/elastic/elasticsearch/commit/61c21f9
Intro.Issues: 6410</v>
      </c>
      <c r="D534" s="100">
        <v>6410.0</v>
      </c>
      <c r="E534" s="54"/>
      <c r="F534" s="79" t="s">
        <v>4282</v>
      </c>
      <c r="G534" s="93" t="s">
        <v>324</v>
      </c>
      <c r="H534" s="54"/>
      <c r="I534" s="1"/>
    </row>
    <row r="535">
      <c r="A535" s="16" t="s">
        <v>90</v>
      </c>
      <c r="B535" s="77" t="str">
        <f>IFERROR(HYPERLINK(VLOOKUP(A535,Internal_lists_bugs!$A$2:$C$73,3,FALSE()), VLOOKUP(A535,Internal_lists_bugs!$A$2:$C$73,3,FALSE())&amp;Char(10) &amp; Char(10) &amp; VLOOKUP(A535,Internal_lists_bugs!$A$2:$Z$73,26,FALSE())),"please select a BUG ID")</f>
        <v>https://github.com/elastic/elasticsearch/issues/8125
/bulk/TransportBulkAction.java</v>
      </c>
      <c r="C535" s="81" t="str">
        <f>IFERROR(Hyperlink(VLOOKUP(A535,Internal_lists_bugs!$A$2:$G1061,7,FALSE()),"BIC: "&amp;VLOOKUP(A535,Internal_lists_bugs!$A$2:$G1061,7,FALSE())&amp;CHAR(10)&amp;"Intro.Issues: "&amp;VLOOKUP(A535,Internal_lists_bugs!$A$2:$P1061,16,FALSE())),"please select a BUG ID")</f>
        <v>BIC: https://github.com/elastic/elasticsearch/commit/61c21f9
Intro.Issues: 6410</v>
      </c>
      <c r="D535" s="100">
        <v>6410.0</v>
      </c>
      <c r="E535" s="54"/>
      <c r="F535" s="79" t="s">
        <v>4613</v>
      </c>
      <c r="G535" s="93" t="s">
        <v>324</v>
      </c>
      <c r="H535" s="54"/>
      <c r="I535" s="1"/>
    </row>
    <row r="536">
      <c r="A536" s="16" t="s">
        <v>90</v>
      </c>
      <c r="B536" s="77" t="str">
        <f>IFERROR(HYPERLINK(VLOOKUP(A536,Internal_lists_bugs!$A$2:$C$73,3,FALSE()), VLOOKUP(A536,Internal_lists_bugs!$A$2:$C$73,3,FALSE())&amp;Char(10) &amp; Char(10) &amp; VLOOKUP(A536,Internal_lists_bugs!$A$2:$Z$73,26,FALSE())),"please select a BUG ID")</f>
        <v>https://github.com/elastic/elasticsearch/issues/8125
/bulk/TransportBulkAction.java</v>
      </c>
      <c r="C536" s="81" t="str">
        <f>IFERROR(Hyperlink(VLOOKUP(A536,Internal_lists_bugs!$A$2:$G1061,7,FALSE()),"BIC: "&amp;VLOOKUP(A536,Internal_lists_bugs!$A$2:$G1061,7,FALSE())&amp;CHAR(10)&amp;"Intro.Issues: "&amp;VLOOKUP(A536,Internal_lists_bugs!$A$2:$P1061,16,FALSE())),"please select a BUG ID")</f>
        <v>BIC: https://github.com/elastic/elasticsearch/commit/61c21f9
Intro.Issues: 6410</v>
      </c>
      <c r="D536" s="100">
        <v>6410.0</v>
      </c>
      <c r="E536" s="54"/>
      <c r="F536" s="79" t="s">
        <v>506</v>
      </c>
      <c r="G536" s="93" t="s">
        <v>324</v>
      </c>
      <c r="H536" s="54"/>
      <c r="I536" s="1"/>
    </row>
    <row r="537">
      <c r="A537" s="16" t="s">
        <v>90</v>
      </c>
      <c r="B537" s="77" t="str">
        <f>IFERROR(HYPERLINK(VLOOKUP(A537,Internal_lists_bugs!$A$2:$C$73,3,FALSE()), VLOOKUP(A537,Internal_lists_bugs!$A$2:$C$73,3,FALSE())&amp;Char(10) &amp; Char(10) &amp; VLOOKUP(A537,Internal_lists_bugs!$A$2:$Z$73,26,FALSE())),"please select a BUG ID")</f>
        <v>https://github.com/elastic/elasticsearch/issues/8125
/bulk/TransportBulkAction.java</v>
      </c>
      <c r="C537" s="81" t="str">
        <f>IFERROR(Hyperlink(VLOOKUP(A537,Internal_lists_bugs!$A$2:$G1061,7,FALSE()),"BIC: "&amp;VLOOKUP(A537,Internal_lists_bugs!$A$2:$G1061,7,FALSE())&amp;CHAR(10)&amp;"Intro.Issues: "&amp;VLOOKUP(A537,Internal_lists_bugs!$A$2:$P1061,16,FALSE())),"please select a BUG ID")</f>
        <v>BIC: https://github.com/elastic/elasticsearch/commit/61c21f9
Intro.Issues: 6410</v>
      </c>
      <c r="D537" s="100">
        <v>6410.0</v>
      </c>
      <c r="E537" s="54"/>
      <c r="F537" s="79" t="s">
        <v>4658</v>
      </c>
      <c r="G537" s="93" t="s">
        <v>442</v>
      </c>
      <c r="H537" s="54"/>
      <c r="I537" s="1"/>
    </row>
    <row r="538">
      <c r="A538" s="16" t="s">
        <v>90</v>
      </c>
      <c r="B538" s="77" t="str">
        <f>IFERROR(HYPERLINK(VLOOKUP(A538,Internal_lists_bugs!$A$2:$C$73,3,FALSE()), VLOOKUP(A538,Internal_lists_bugs!$A$2:$C$73,3,FALSE())&amp;Char(10) &amp; Char(10) &amp; VLOOKUP(A538,Internal_lists_bugs!$A$2:$Z$73,26,FALSE())),"please select a BUG ID")</f>
        <v>https://github.com/elastic/elasticsearch/issues/8125
/bulk/TransportBulkAction.java</v>
      </c>
      <c r="C538" s="81" t="str">
        <f>IFERROR(Hyperlink(VLOOKUP(A538,Internal_lists_bugs!$A$2:$G1061,7,FALSE()),"BIC: "&amp;VLOOKUP(A538,Internal_lists_bugs!$A$2:$G1061,7,FALSE())&amp;CHAR(10)&amp;"Intro.Issues: "&amp;VLOOKUP(A538,Internal_lists_bugs!$A$2:$P1061,16,FALSE())),"please select a BUG ID")</f>
        <v>BIC: https://github.com/elastic/elasticsearch/commit/61c21f9
Intro.Issues: 6410</v>
      </c>
      <c r="D538" s="100">
        <v>6410.0</v>
      </c>
      <c r="E538" s="54"/>
      <c r="F538" s="79" t="s">
        <v>4659</v>
      </c>
      <c r="G538" s="93" t="s">
        <v>444</v>
      </c>
      <c r="H538" s="54"/>
      <c r="I538" s="1"/>
    </row>
    <row r="539">
      <c r="A539" s="16" t="s">
        <v>90</v>
      </c>
      <c r="B539" s="77" t="str">
        <f>IFERROR(HYPERLINK(VLOOKUP(A539,Internal_lists_bugs!$A$2:$C$73,3,FALSE()), VLOOKUP(A539,Internal_lists_bugs!$A$2:$C$73,3,FALSE())&amp;Char(10) &amp; Char(10) &amp; VLOOKUP(A539,Internal_lists_bugs!$A$2:$Z$73,26,FALSE())),"please select a BUG ID")</f>
        <v>https://github.com/elastic/elasticsearch/issues/8125
/bulk/TransportBulkAction.java</v>
      </c>
      <c r="C539" s="81" t="str">
        <f>IFERROR(Hyperlink(VLOOKUP(A539,Internal_lists_bugs!$A$2:$G1061,7,FALSE()),"BIC: "&amp;VLOOKUP(A539,Internal_lists_bugs!$A$2:$G1061,7,FALSE())&amp;CHAR(10)&amp;"Intro.Issues: "&amp;VLOOKUP(A539,Internal_lists_bugs!$A$2:$P1061,16,FALSE())),"please select a BUG ID")</f>
        <v>BIC: https://github.com/elastic/elasticsearch/commit/61c21f9
Intro.Issues: 6410</v>
      </c>
      <c r="D539" s="100">
        <v>6410.0</v>
      </c>
      <c r="E539" s="54"/>
      <c r="F539" s="79" t="s">
        <v>4660</v>
      </c>
      <c r="G539" s="93" t="s">
        <v>447</v>
      </c>
      <c r="H539" s="54"/>
      <c r="I539" s="1"/>
    </row>
    <row r="540">
      <c r="A540" s="16" t="s">
        <v>90</v>
      </c>
      <c r="B540" s="77" t="str">
        <f>IFERROR(HYPERLINK(VLOOKUP(A540,Internal_lists_bugs!$A$2:$C$73,3,FALSE()), VLOOKUP(A540,Internal_lists_bugs!$A$2:$C$73,3,FALSE())&amp;Char(10) &amp; Char(10) &amp; VLOOKUP(A540,Internal_lists_bugs!$A$2:$Z$73,26,FALSE())),"please select a BUG ID")</f>
        <v>https://github.com/elastic/elasticsearch/issues/8125
/bulk/TransportBulkAction.java</v>
      </c>
      <c r="C540" s="81" t="str">
        <f>IFERROR(Hyperlink(VLOOKUP(A540,Internal_lists_bugs!$A$2:$G1061,7,FALSE()),"BIC: "&amp;VLOOKUP(A540,Internal_lists_bugs!$A$2:$G1061,7,FALSE())&amp;CHAR(10)&amp;"Intro.Issues: "&amp;VLOOKUP(A540,Internal_lists_bugs!$A$2:$P1061,16,FALSE())),"please select a BUG ID")</f>
        <v>BIC: https://github.com/elastic/elasticsearch/commit/61c21f9
Intro.Issues: 6410</v>
      </c>
      <c r="D540" s="100">
        <v>6410.0</v>
      </c>
      <c r="E540" s="54"/>
      <c r="F540" s="79" t="s">
        <v>4661</v>
      </c>
      <c r="G540" s="93" t="s">
        <v>442</v>
      </c>
      <c r="H540" s="54"/>
      <c r="I540" s="1"/>
    </row>
    <row r="541">
      <c r="A541" s="16" t="s">
        <v>90</v>
      </c>
      <c r="B541" s="77" t="str">
        <f>IFERROR(HYPERLINK(VLOOKUP(A541,Internal_lists_bugs!$A$2:$C$73,3,FALSE()), VLOOKUP(A541,Internal_lists_bugs!$A$2:$C$73,3,FALSE())&amp;Char(10) &amp; Char(10) &amp; VLOOKUP(A541,Internal_lists_bugs!$A$2:$Z$73,26,FALSE())),"please select a BUG ID")</f>
        <v>https://github.com/elastic/elasticsearch/issues/8125
/bulk/TransportBulkAction.java</v>
      </c>
      <c r="C541" s="81" t="str">
        <f>IFERROR(Hyperlink(VLOOKUP(A541,Internal_lists_bugs!$A$2:$G1061,7,FALSE()),"BIC: "&amp;VLOOKUP(A541,Internal_lists_bugs!$A$2:$G1061,7,FALSE())&amp;CHAR(10)&amp;"Intro.Issues: "&amp;VLOOKUP(A541,Internal_lists_bugs!$A$2:$P1061,16,FALSE())),"please select a BUG ID")</f>
        <v>BIC: https://github.com/elastic/elasticsearch/commit/61c21f9
Intro.Issues: 6410</v>
      </c>
      <c r="D541" s="100">
        <v>6410.0</v>
      </c>
      <c r="E541" s="54"/>
      <c r="F541" s="79" t="s">
        <v>4661</v>
      </c>
      <c r="G541" s="93" t="s">
        <v>444</v>
      </c>
      <c r="H541" s="54"/>
      <c r="I541" s="1"/>
    </row>
    <row r="542">
      <c r="A542" s="16" t="s">
        <v>90</v>
      </c>
      <c r="B542" s="77" t="str">
        <f>IFERROR(HYPERLINK(VLOOKUP(A542,Internal_lists_bugs!$A$2:$C$73,3,FALSE()), VLOOKUP(A542,Internal_lists_bugs!$A$2:$C$73,3,FALSE())&amp;Char(10) &amp; Char(10) &amp; VLOOKUP(A542,Internal_lists_bugs!$A$2:$Z$73,26,FALSE())),"please select a BUG ID")</f>
        <v>https://github.com/elastic/elasticsearch/issues/8125
/bulk/TransportBulkAction.java</v>
      </c>
      <c r="C542" s="81" t="str">
        <f>IFERROR(Hyperlink(VLOOKUP(A542,Internal_lists_bugs!$A$2:$G1061,7,FALSE()),"BIC: "&amp;VLOOKUP(A542,Internal_lists_bugs!$A$2:$G1061,7,FALSE())&amp;CHAR(10)&amp;"Intro.Issues: "&amp;VLOOKUP(A542,Internal_lists_bugs!$A$2:$P1061,16,FALSE())),"please select a BUG ID")</f>
        <v>BIC: https://github.com/elastic/elasticsearch/commit/61c21f9
Intro.Issues: 6410</v>
      </c>
      <c r="D542" s="100">
        <v>6410.0</v>
      </c>
      <c r="E542" s="54"/>
      <c r="F542" s="79" t="s">
        <v>4661</v>
      </c>
      <c r="G542" s="93" t="s">
        <v>451</v>
      </c>
      <c r="H542" s="54"/>
      <c r="I542" s="1"/>
    </row>
    <row r="543">
      <c r="A543" s="16" t="s">
        <v>90</v>
      </c>
      <c r="B543" s="77" t="str">
        <f>IFERROR(HYPERLINK(VLOOKUP(A543,Internal_lists_bugs!$A$2:$C$73,3,FALSE()), VLOOKUP(A543,Internal_lists_bugs!$A$2:$C$73,3,FALSE())&amp;Char(10) &amp; Char(10) &amp; VLOOKUP(A543,Internal_lists_bugs!$A$2:$Z$73,26,FALSE())),"please select a BUG ID")</f>
        <v>https://github.com/elastic/elasticsearch/issues/8125
/bulk/TransportBulkAction.java</v>
      </c>
      <c r="C543" s="81" t="str">
        <f>IFERROR(Hyperlink(VLOOKUP(A543,Internal_lists_bugs!$A$2:$G1061,7,FALSE()),"BIC: "&amp;VLOOKUP(A543,Internal_lists_bugs!$A$2:$G1061,7,FALSE())&amp;CHAR(10)&amp;"Intro.Issues: "&amp;VLOOKUP(A543,Internal_lists_bugs!$A$2:$P1061,16,FALSE())),"please select a BUG ID")</f>
        <v>BIC: https://github.com/elastic/elasticsearch/commit/61c21f9
Intro.Issues: 6410</v>
      </c>
      <c r="D543" s="100">
        <v>6410.0</v>
      </c>
      <c r="E543" s="54"/>
      <c r="F543" s="79" t="s">
        <v>4662</v>
      </c>
      <c r="G543" s="93" t="s">
        <v>500</v>
      </c>
      <c r="H543" s="54"/>
      <c r="I543" s="1"/>
    </row>
    <row r="544">
      <c r="A544" s="16" t="s">
        <v>90</v>
      </c>
      <c r="B544" s="77" t="str">
        <f>IFERROR(HYPERLINK(VLOOKUP(A544,Internal_lists_bugs!$A$2:$C$73,3,FALSE()), VLOOKUP(A544,Internal_lists_bugs!$A$2:$C$73,3,FALSE())&amp;Char(10) &amp; Char(10) &amp; VLOOKUP(A544,Internal_lists_bugs!$A$2:$Z$73,26,FALSE())),"please select a BUG ID")</f>
        <v>https://github.com/elastic/elasticsearch/issues/8125
/bulk/TransportBulkAction.java</v>
      </c>
      <c r="C544" s="81" t="str">
        <f>IFERROR(Hyperlink(VLOOKUP(A544,Internal_lists_bugs!$A$2:$G1061,7,FALSE()),"BIC: "&amp;VLOOKUP(A544,Internal_lists_bugs!$A$2:$G1061,7,FALSE())&amp;CHAR(10)&amp;"Intro.Issues: "&amp;VLOOKUP(A544,Internal_lists_bugs!$A$2:$P1061,16,FALSE())),"please select a BUG ID")</f>
        <v>BIC: https://github.com/elastic/elasticsearch/commit/61c21f9
Intro.Issues: 6410</v>
      </c>
      <c r="D544" s="100">
        <v>6410.0</v>
      </c>
      <c r="E544" s="54"/>
      <c r="F544" s="79" t="s">
        <v>4663</v>
      </c>
      <c r="G544" s="93" t="s">
        <v>461</v>
      </c>
      <c r="H544" s="54"/>
      <c r="I544" s="1"/>
    </row>
    <row r="545">
      <c r="A545" s="16" t="s">
        <v>91</v>
      </c>
      <c r="B545" s="77" t="str">
        <f>IFERROR(HYPERLINK(VLOOKUP(A545,Internal_lists_bugs!$A$2:$C$73,3,FALSE()), VLOOKUP(A545,Internal_lists_bugs!$A$2:$C$73,3,FALSE())&amp;Char(10) &amp; Char(10) &amp; VLOOKUP(A545,Internal_lists_bugs!$A$2:$Z$73,26,FALSE())),"please select a BUG ID")</f>
        <v>https://github.com/elastic/elasticsearch/issues/2608
/query/TermsQueryParser.java</v>
      </c>
      <c r="C545" s="81" t="str">
        <f>IFERROR(Hyperlink(VLOOKUP(A545,Internal_lists_bugs!$A$2:$G1061,7,FALSE()),"BIC: "&amp;VLOOKUP(A545,Internal_lists_bugs!$A$2:$G1061,7,FALSE())&amp;CHAR(10)&amp;"Intro.Issues: "&amp;VLOOKUP(A545,Internal_lists_bugs!$A$2:$P1061,16,FALSE())),"please select a BUG ID")</f>
        <v>BIC: https://github.com/elastic/elasticsearch/commit/167d358
Intro.Issues: 557</v>
      </c>
      <c r="D545" s="100">
        <v>557.0</v>
      </c>
      <c r="E545" s="16" t="s">
        <v>4120</v>
      </c>
      <c r="F545" s="79" t="s">
        <v>4342</v>
      </c>
      <c r="G545" s="93" t="s">
        <v>144</v>
      </c>
      <c r="H545" s="54"/>
      <c r="I545" s="9" t="b">
        <v>0</v>
      </c>
    </row>
    <row r="546">
      <c r="A546" s="16" t="s">
        <v>91</v>
      </c>
      <c r="B546" s="77" t="str">
        <f>IFERROR(HYPERLINK(VLOOKUP(A546,Internal_lists_bugs!$A$2:$C$73,3,FALSE()), VLOOKUP(A546,Internal_lists_bugs!$A$2:$C$73,3,FALSE())&amp;Char(10) &amp; Char(10) &amp; VLOOKUP(A546,Internal_lists_bugs!$A$2:$Z$73,26,FALSE())),"please select a BUG ID")</f>
        <v>https://github.com/elastic/elasticsearch/issues/2608
/query/TermsQueryParser.java</v>
      </c>
      <c r="C546" s="81" t="str">
        <f>IFERROR(Hyperlink(VLOOKUP(A546,Internal_lists_bugs!$A$2:$G1061,7,FALSE()),"BIC: "&amp;VLOOKUP(A546,Internal_lists_bugs!$A$2:$G1061,7,FALSE())&amp;CHAR(10)&amp;"Intro.Issues: "&amp;VLOOKUP(A546,Internal_lists_bugs!$A$2:$P1061,16,FALSE())),"please select a BUG ID")</f>
        <v>BIC: https://github.com/elastic/elasticsearch/commit/167d358
Intro.Issues: 557</v>
      </c>
      <c r="D546" s="100">
        <v>557.0</v>
      </c>
      <c r="E546" s="54"/>
      <c r="F546" s="79" t="s">
        <v>4513</v>
      </c>
      <c r="G546" s="93" t="s">
        <v>324</v>
      </c>
      <c r="H546" s="54"/>
      <c r="I546" s="1"/>
    </row>
    <row r="547">
      <c r="A547" s="16" t="s">
        <v>91</v>
      </c>
      <c r="B547" s="77" t="str">
        <f>IFERROR(HYPERLINK(VLOOKUP(A547,Internal_lists_bugs!$A$2:$C$73,3,FALSE()), VLOOKUP(A547,Internal_lists_bugs!$A$2:$C$73,3,FALSE())&amp;Char(10) &amp; Char(10) &amp; VLOOKUP(A547,Internal_lists_bugs!$A$2:$Z$73,26,FALSE())),"please select a BUG ID")</f>
        <v>https://github.com/elastic/elasticsearch/issues/2608
/query/TermsQueryParser.java</v>
      </c>
      <c r="C547" s="81" t="str">
        <f>IFERROR(Hyperlink(VLOOKUP(A547,Internal_lists_bugs!$A$2:$G1061,7,FALSE()),"BIC: "&amp;VLOOKUP(A547,Internal_lists_bugs!$A$2:$G1061,7,FALSE())&amp;CHAR(10)&amp;"Intro.Issues: "&amp;VLOOKUP(A547,Internal_lists_bugs!$A$2:$P1061,16,FALSE())),"please select a BUG ID")</f>
        <v>BIC: https://github.com/elastic/elasticsearch/commit/167d358
Intro.Issues: 557</v>
      </c>
      <c r="D547" s="100">
        <v>557.0</v>
      </c>
      <c r="E547" s="54"/>
      <c r="F547" s="79" t="s">
        <v>4512</v>
      </c>
      <c r="G547" s="93" t="s">
        <v>324</v>
      </c>
      <c r="H547" s="54"/>
      <c r="I547" s="1"/>
    </row>
    <row r="548">
      <c r="A548" s="16" t="s">
        <v>91</v>
      </c>
      <c r="B548" s="77" t="str">
        <f>IFERROR(HYPERLINK(VLOOKUP(A548,Internal_lists_bugs!$A$2:$C$73,3,FALSE()), VLOOKUP(A548,Internal_lists_bugs!$A$2:$C$73,3,FALSE())&amp;Char(10) &amp; Char(10) &amp; VLOOKUP(A548,Internal_lists_bugs!$A$2:$Z$73,26,FALSE())),"please select a BUG ID")</f>
        <v>https://github.com/elastic/elasticsearch/issues/2608
/query/TermsQueryParser.java</v>
      </c>
      <c r="C548" s="81" t="str">
        <f>IFERROR(Hyperlink(VLOOKUP(A548,Internal_lists_bugs!$A$2:$G1061,7,FALSE()),"BIC: "&amp;VLOOKUP(A548,Internal_lists_bugs!$A$2:$G1061,7,FALSE())&amp;CHAR(10)&amp;"Intro.Issues: "&amp;VLOOKUP(A548,Internal_lists_bugs!$A$2:$P1061,16,FALSE())),"please select a BUG ID")</f>
        <v>BIC: https://github.com/elastic/elasticsearch/commit/167d358
Intro.Issues: 557</v>
      </c>
      <c r="D548" s="100">
        <v>557.0</v>
      </c>
      <c r="E548" s="54"/>
      <c r="F548" s="79" t="s">
        <v>438</v>
      </c>
      <c r="G548" s="93" t="s">
        <v>442</v>
      </c>
      <c r="H548" s="54"/>
      <c r="I548" s="1"/>
    </row>
    <row r="549">
      <c r="A549" s="18" t="s">
        <v>93</v>
      </c>
      <c r="B549" s="77" t="str">
        <f>IFERROR(HYPERLINK(VLOOKUP(A549,Internal_lists_bugs!$A$2:$C$73,3,FALSE()), VLOOKUP(A549,Internal_lists_bugs!$A$2:$C$73,3,FALSE())&amp;Char(10) &amp; Char(10) &amp; VLOOKUP(A549,Internal_lists_bugs!$A$2:$Z$73,26,FALSE())),"please select a BUG ID")</f>
        <v>https://github.com/elastic/elasticsearch/issues/15858
/lucene/search/Queries.java</v>
      </c>
      <c r="C549" s="81" t="str">
        <f>IFERROR(Hyperlink(VLOOKUP(A549,Internal_lists_bugs!$A$2:$G1061,7,FALSE()),"BIC: "&amp;VLOOKUP(A549,Internal_lists_bugs!$A$2:$G1061,7,FALSE())&amp;CHAR(10)&amp;"Intro.Issues: "&amp;VLOOKUP(A549,Internal_lists_bugs!$A$2:$P1061,16,FALSE())),"please select a BUG ID")</f>
        <v>BIC: https://github.com/elastic/elasticsearch/commit/0cde90fcb10c9
Intro.Issues: 1420</v>
      </c>
      <c r="D549" s="100">
        <v>1420.0</v>
      </c>
      <c r="E549" s="16" t="s">
        <v>4097</v>
      </c>
      <c r="F549" s="79" t="s">
        <v>4342</v>
      </c>
      <c r="G549" s="93" t="s">
        <v>144</v>
      </c>
      <c r="H549" s="54"/>
      <c r="I549" s="9" t="b">
        <v>0</v>
      </c>
    </row>
    <row r="550">
      <c r="A550" s="18" t="s">
        <v>93</v>
      </c>
      <c r="B550" s="77" t="str">
        <f>IFERROR(HYPERLINK(VLOOKUP(A550,Internal_lists_bugs!$A$2:$C$73,3,FALSE()), VLOOKUP(A550,Internal_lists_bugs!$A$2:$C$73,3,FALSE())&amp;Char(10) &amp; Char(10) &amp; VLOOKUP(A550,Internal_lists_bugs!$A$2:$Z$73,26,FALSE())),"please select a BUG ID")</f>
        <v>https://github.com/elastic/elasticsearch/issues/15858
/lucene/search/Queries.java</v>
      </c>
      <c r="C550" s="81" t="str">
        <f>IFERROR(Hyperlink(VLOOKUP(A550,Internal_lists_bugs!$A$2:$G1061,7,FALSE()),"BIC: "&amp;VLOOKUP(A550,Internal_lists_bugs!$A$2:$G1061,7,FALSE())&amp;CHAR(10)&amp;"Intro.Issues: "&amp;VLOOKUP(A550,Internal_lists_bugs!$A$2:$P1061,16,FALSE())),"please select a BUG ID")</f>
        <v>BIC: https://github.com/elastic/elasticsearch/commit/0cde90fcb10c9
Intro.Issues: 1420</v>
      </c>
      <c r="D550" s="100">
        <v>1420.0</v>
      </c>
      <c r="E550" s="54"/>
      <c r="F550" s="79" t="s">
        <v>4513</v>
      </c>
      <c r="G550" s="93" t="s">
        <v>324</v>
      </c>
      <c r="H550" s="54"/>
      <c r="I550" s="1"/>
    </row>
    <row r="551">
      <c r="A551" s="18" t="s">
        <v>93</v>
      </c>
      <c r="B551" s="77" t="str">
        <f>IFERROR(HYPERLINK(VLOOKUP(A551,Internal_lists_bugs!$A$2:$C$73,3,FALSE()), VLOOKUP(A551,Internal_lists_bugs!$A$2:$C$73,3,FALSE())&amp;Char(10) &amp; Char(10) &amp; VLOOKUP(A551,Internal_lists_bugs!$A$2:$Z$73,26,FALSE())),"please select a BUG ID")</f>
        <v>https://github.com/elastic/elasticsearch/issues/15858
/lucene/search/Queries.java</v>
      </c>
      <c r="C551" s="81" t="str">
        <f>IFERROR(Hyperlink(VLOOKUP(A551,Internal_lists_bugs!$A$2:$G1061,7,FALSE()),"BIC: "&amp;VLOOKUP(A551,Internal_lists_bugs!$A$2:$G1061,7,FALSE())&amp;CHAR(10)&amp;"Intro.Issues: "&amp;VLOOKUP(A551,Internal_lists_bugs!$A$2:$P1061,16,FALSE())),"please select a BUG ID")</f>
        <v>BIC: https://github.com/elastic/elasticsearch/commit/0cde90fcb10c9
Intro.Issues: 1420</v>
      </c>
      <c r="D551" s="100">
        <v>1420.0</v>
      </c>
      <c r="E551" s="54"/>
      <c r="F551" s="79" t="s">
        <v>4553</v>
      </c>
      <c r="G551" s="93" t="s">
        <v>324</v>
      </c>
      <c r="H551" s="54"/>
      <c r="I551" s="1"/>
    </row>
    <row r="552">
      <c r="A552" s="18" t="s">
        <v>93</v>
      </c>
      <c r="B552" s="77" t="str">
        <f>IFERROR(HYPERLINK(VLOOKUP(A552,Internal_lists_bugs!$A$2:$C$73,3,FALSE()), VLOOKUP(A552,Internal_lists_bugs!$A$2:$C$73,3,FALSE())&amp;Char(10) &amp; Char(10) &amp; VLOOKUP(A552,Internal_lists_bugs!$A$2:$Z$73,26,FALSE())),"please select a BUG ID")</f>
        <v>https://github.com/elastic/elasticsearch/issues/15858
/lucene/search/Queries.java</v>
      </c>
      <c r="C552" s="81" t="str">
        <f>IFERROR(Hyperlink(VLOOKUP(A552,Internal_lists_bugs!$A$2:$G1061,7,FALSE()),"BIC: "&amp;VLOOKUP(A552,Internal_lists_bugs!$A$2:$G1061,7,FALSE())&amp;CHAR(10)&amp;"Intro.Issues: "&amp;VLOOKUP(A552,Internal_lists_bugs!$A$2:$P1061,16,FALSE())),"please select a BUG ID")</f>
        <v>BIC: https://github.com/elastic/elasticsearch/commit/0cde90fcb10c9
Intro.Issues: 1420</v>
      </c>
      <c r="D552" s="100">
        <v>1420.0</v>
      </c>
      <c r="E552" s="54"/>
      <c r="F552" s="79" t="s">
        <v>4547</v>
      </c>
      <c r="G552" s="93" t="s">
        <v>442</v>
      </c>
      <c r="H552" s="54"/>
      <c r="I552" s="1"/>
    </row>
    <row r="553">
      <c r="A553" s="18" t="s">
        <v>93</v>
      </c>
      <c r="B553" s="77" t="str">
        <f>IFERROR(HYPERLINK(VLOOKUP(A553,Internal_lists_bugs!$A$2:$C$73,3,FALSE()), VLOOKUP(A553,Internal_lists_bugs!$A$2:$C$73,3,FALSE())&amp;Char(10) &amp; Char(10) &amp; VLOOKUP(A553,Internal_lists_bugs!$A$2:$Z$73,26,FALSE())),"please select a BUG ID")</f>
        <v>https://github.com/elastic/elasticsearch/issues/15858
/lucene/search/Queries.java</v>
      </c>
      <c r="C553" s="81" t="str">
        <f>IFERROR(Hyperlink(VLOOKUP(A553,Internal_lists_bugs!$A$2:$G1061,7,FALSE()),"BIC: "&amp;VLOOKUP(A553,Internal_lists_bugs!$A$2:$G1061,7,FALSE())&amp;CHAR(10)&amp;"Intro.Issues: "&amp;VLOOKUP(A553,Internal_lists_bugs!$A$2:$P1061,16,FALSE())),"please select a BUG ID")</f>
        <v>BIC: https://github.com/elastic/elasticsearch/commit/0cde90fcb10c9
Intro.Issues: 1420</v>
      </c>
      <c r="D553" s="100">
        <v>1420.0</v>
      </c>
      <c r="E553" s="54"/>
      <c r="F553" s="79" t="s">
        <v>4539</v>
      </c>
      <c r="G553" s="93" t="s">
        <v>442</v>
      </c>
      <c r="H553" s="54"/>
      <c r="I553" s="1"/>
    </row>
    <row r="554">
      <c r="A554" s="18" t="s">
        <v>93</v>
      </c>
      <c r="B554" s="77" t="str">
        <f>IFERROR(HYPERLINK(VLOOKUP(A554,Internal_lists_bugs!$A$2:$C$73,3,FALSE()), VLOOKUP(A554,Internal_lists_bugs!$A$2:$C$73,3,FALSE())&amp;Char(10) &amp; Char(10) &amp; VLOOKUP(A554,Internal_lists_bugs!$A$2:$Z$73,26,FALSE())),"please select a BUG ID")</f>
        <v>https://github.com/elastic/elasticsearch/issues/15858
/lucene/search/Queries.java</v>
      </c>
      <c r="C554" s="81" t="str">
        <f>IFERROR(Hyperlink(VLOOKUP(A554,Internal_lists_bugs!$A$2:$G1061,7,FALSE()),"BIC: "&amp;VLOOKUP(A554,Internal_lists_bugs!$A$2:$G1061,7,FALSE())&amp;CHAR(10)&amp;"Intro.Issues: "&amp;VLOOKUP(A554,Internal_lists_bugs!$A$2:$P1061,16,FALSE())),"please select a BUG ID")</f>
        <v>BIC: https://github.com/elastic/elasticsearch/commit/0cde90fcb10c9
Intro.Issues: 1420</v>
      </c>
      <c r="D554" s="100">
        <v>1420.0</v>
      </c>
      <c r="E554" s="54"/>
      <c r="F554" s="79" t="s">
        <v>473</v>
      </c>
      <c r="G554" s="93" t="s">
        <v>444</v>
      </c>
      <c r="H554" s="54"/>
      <c r="I554" s="1"/>
    </row>
    <row r="555">
      <c r="A555" s="18" t="s">
        <v>93</v>
      </c>
      <c r="B555" s="77" t="str">
        <f>IFERROR(HYPERLINK(VLOOKUP(A555,Internal_lists_bugs!$A$2:$C$73,3,FALSE()), VLOOKUP(A555,Internal_lists_bugs!$A$2:$C$73,3,FALSE())&amp;Char(10) &amp; Char(10) &amp; VLOOKUP(A555,Internal_lists_bugs!$A$2:$Z$73,26,FALSE())),"please select a BUG ID")</f>
        <v>https://github.com/elastic/elasticsearch/issues/15858
/lucene/search/Queries.java</v>
      </c>
      <c r="C555" s="81" t="str">
        <f>IFERROR(Hyperlink(VLOOKUP(A555,Internal_lists_bugs!$A$2:$G1061,7,FALSE()),"BIC: "&amp;VLOOKUP(A555,Internal_lists_bugs!$A$2:$G1061,7,FALSE())&amp;CHAR(10)&amp;"Intro.Issues: "&amp;VLOOKUP(A555,Internal_lists_bugs!$A$2:$P1061,16,FALSE())),"please select a BUG ID")</f>
        <v>BIC: https://github.com/elastic/elasticsearch/commit/0cde90fcb10c9
Intro.Issues: 1420</v>
      </c>
      <c r="D555" s="100">
        <v>1420.0</v>
      </c>
      <c r="E555" s="54"/>
      <c r="F555" s="79" t="s">
        <v>4664</v>
      </c>
      <c r="G555" s="93" t="s">
        <v>447</v>
      </c>
      <c r="H555" s="54"/>
      <c r="I555" s="1"/>
    </row>
    <row r="556">
      <c r="A556" s="18" t="s">
        <v>93</v>
      </c>
      <c r="B556" s="77" t="str">
        <f>IFERROR(HYPERLINK(VLOOKUP(A556,Internal_lists_bugs!$A$2:$C$73,3,FALSE()), VLOOKUP(A556,Internal_lists_bugs!$A$2:$C$73,3,FALSE())&amp;Char(10) &amp; Char(10) &amp; VLOOKUP(A556,Internal_lists_bugs!$A$2:$Z$73,26,FALSE())),"please select a BUG ID")</f>
        <v>https://github.com/elastic/elasticsearch/issues/15858
/lucene/search/Queries.java</v>
      </c>
      <c r="C556" s="81" t="str">
        <f>IFERROR(Hyperlink(VLOOKUP(A556,Internal_lists_bugs!$A$2:$G1061,7,FALSE()),"BIC: "&amp;VLOOKUP(A556,Internal_lists_bugs!$A$2:$G1061,7,FALSE())&amp;CHAR(10)&amp;"Intro.Issues: "&amp;VLOOKUP(A556,Internal_lists_bugs!$A$2:$P1061,16,FALSE())),"please select a BUG ID")</f>
        <v>BIC: https://github.com/elastic/elasticsearch/commit/0cde90fcb10c9
Intro.Issues: 1420</v>
      </c>
      <c r="D556" s="100">
        <v>1420.0</v>
      </c>
      <c r="E556" s="54"/>
      <c r="F556" s="79" t="s">
        <v>4665</v>
      </c>
      <c r="G556" s="93" t="s">
        <v>451</v>
      </c>
      <c r="H556" s="54"/>
      <c r="I556" s="1"/>
    </row>
    <row r="557">
      <c r="A557" s="18" t="s">
        <v>93</v>
      </c>
      <c r="B557" s="77" t="str">
        <f>IFERROR(HYPERLINK(VLOOKUP(A557,Internal_lists_bugs!$A$2:$C$73,3,FALSE()), VLOOKUP(A557,Internal_lists_bugs!$A$2:$C$73,3,FALSE())&amp;Char(10) &amp; Char(10) &amp; VLOOKUP(A557,Internal_lists_bugs!$A$2:$Z$73,26,FALSE())),"please select a BUG ID")</f>
        <v>https://github.com/elastic/elasticsearch/issues/15858
/lucene/search/Queries.java</v>
      </c>
      <c r="C557" s="81" t="str">
        <f>IFERROR(Hyperlink(VLOOKUP(A557,Internal_lists_bugs!$A$2:$G1061,7,FALSE()),"BIC: "&amp;VLOOKUP(A557,Internal_lists_bugs!$A$2:$G1061,7,FALSE())&amp;CHAR(10)&amp;"Intro.Issues: "&amp;VLOOKUP(A557,Internal_lists_bugs!$A$2:$P1061,16,FALSE())),"please select a BUG ID")</f>
        <v>BIC: https://github.com/elastic/elasticsearch/commit/0cde90fcb10c9
Intro.Issues: 1420</v>
      </c>
      <c r="D557" s="100">
        <v>1420.0</v>
      </c>
      <c r="E557" s="54"/>
      <c r="F557" s="79" t="s">
        <v>4666</v>
      </c>
      <c r="G557" s="93" t="s">
        <v>500</v>
      </c>
      <c r="H557" s="54"/>
      <c r="I557" s="1"/>
    </row>
    <row r="558">
      <c r="A558" s="18" t="s">
        <v>93</v>
      </c>
      <c r="B558" s="77" t="str">
        <f>IFERROR(HYPERLINK(VLOOKUP(A558,Internal_lists_bugs!$A$2:$C$73,3,FALSE()), VLOOKUP(A558,Internal_lists_bugs!$A$2:$C$73,3,FALSE())&amp;Char(10) &amp; Char(10) &amp; VLOOKUP(A558,Internal_lists_bugs!$A$2:$Z$73,26,FALSE())),"please select a BUG ID")</f>
        <v>https://github.com/elastic/elasticsearch/issues/15858
/lucene/search/Queries.java</v>
      </c>
      <c r="C558" s="81" t="str">
        <f>IFERROR(Hyperlink(VLOOKUP(A558,Internal_lists_bugs!$A$2:$G1061,7,FALSE()),"BIC: "&amp;VLOOKUP(A558,Internal_lists_bugs!$A$2:$G1061,7,FALSE())&amp;CHAR(10)&amp;"Intro.Issues: "&amp;VLOOKUP(A558,Internal_lists_bugs!$A$2:$P1061,16,FALSE())),"please select a BUG ID")</f>
        <v>BIC: https://github.com/elastic/elasticsearch/commit/0cde90fcb10c9
Intro.Issues: 1420</v>
      </c>
      <c r="D558" s="100">
        <v>1420.0</v>
      </c>
      <c r="E558" s="54"/>
      <c r="F558" s="79" t="s">
        <v>4667</v>
      </c>
      <c r="G558" s="93" t="s">
        <v>461</v>
      </c>
      <c r="H558" s="54"/>
      <c r="I558" s="1"/>
    </row>
    <row r="559">
      <c r="A559" s="16" t="s">
        <v>94</v>
      </c>
      <c r="B559" s="77" t="str">
        <f>IFERROR(HYPERLINK(VLOOKUP(A559,Internal_lists_bugs!$A$2:$C$73,3,FALSE()), VLOOKUP(A559,Internal_lists_bugs!$A$2:$C$73,3,FALSE())&amp;Char(10) &amp; Char(10) &amp; VLOOKUP(A559,Internal_lists_bugs!$A$2:$Z$73,26,FALSE())),"please select a BUG ID")</f>
        <v>https://github.com/elastic/elasticsearch/issues/5165
/search/SearchService.java
/internal/DefaultSearchContext.java</v>
      </c>
      <c r="C559" s="81" t="str">
        <f>IFERROR(Hyperlink(VLOOKUP(A559,Internal_lists_bugs!$A$2:$G1061,7,FALSE()),"BIC: "&amp;VLOOKUP(A559,Internal_lists_bugs!$A$2:$G1061,7,FALSE())&amp;CHAR(10)&amp;"Intro.Issues: "&amp;VLOOKUP(A559,Internal_lists_bugs!$A$2:$P1061,16,FALSE())),"please select a BUG ID")</f>
        <v>BIC: https://github.com/elastic/elasticsearch/commit/3ca0239
Intro.Issues: 3574</v>
      </c>
      <c r="D559" s="100">
        <v>3574.0</v>
      </c>
      <c r="E559" s="16" t="s">
        <v>4120</v>
      </c>
      <c r="F559" s="79" t="s">
        <v>4342</v>
      </c>
      <c r="G559" s="93" t="s">
        <v>144</v>
      </c>
      <c r="H559" s="54"/>
      <c r="I559" s="9" t="b">
        <v>0</v>
      </c>
    </row>
    <row r="560">
      <c r="A560" s="16" t="s">
        <v>94</v>
      </c>
      <c r="B560" s="77" t="str">
        <f>IFERROR(HYPERLINK(VLOOKUP(A560,Internal_lists_bugs!$A$2:$C$73,3,FALSE()), VLOOKUP(A560,Internal_lists_bugs!$A$2:$C$73,3,FALSE())&amp;Char(10) &amp; Char(10) &amp; VLOOKUP(A560,Internal_lists_bugs!$A$2:$Z$73,26,FALSE())),"please select a BUG ID")</f>
        <v>https://github.com/elastic/elasticsearch/issues/5165
/search/SearchService.java
/internal/DefaultSearchContext.java</v>
      </c>
      <c r="C560" s="81" t="str">
        <f>IFERROR(Hyperlink(VLOOKUP(A560,Internal_lists_bugs!$A$2:$G1061,7,FALSE()),"BIC: "&amp;VLOOKUP(A560,Internal_lists_bugs!$A$2:$G1061,7,FALSE())&amp;CHAR(10)&amp;"Intro.Issues: "&amp;VLOOKUP(A560,Internal_lists_bugs!$A$2:$P1061,16,FALSE())),"please select a BUG ID")</f>
        <v>BIC: https://github.com/elastic/elasticsearch/commit/3ca0239
Intro.Issues: 3574</v>
      </c>
      <c r="D560" s="100">
        <v>3574.0</v>
      </c>
      <c r="E560" s="54"/>
      <c r="F560" s="79" t="s">
        <v>4522</v>
      </c>
      <c r="G560" s="93" t="s">
        <v>324</v>
      </c>
      <c r="H560" s="54"/>
      <c r="I560" s="1"/>
    </row>
    <row r="561">
      <c r="A561" s="16" t="s">
        <v>94</v>
      </c>
      <c r="B561" s="77" t="str">
        <f>IFERROR(HYPERLINK(VLOOKUP(A561,Internal_lists_bugs!$A$2:$C$73,3,FALSE()), VLOOKUP(A561,Internal_lists_bugs!$A$2:$C$73,3,FALSE())&amp;Char(10) &amp; Char(10) &amp; VLOOKUP(A561,Internal_lists_bugs!$A$2:$Z$73,26,FALSE())),"please select a BUG ID")</f>
        <v>https://github.com/elastic/elasticsearch/issues/5165
/search/SearchService.java
/internal/DefaultSearchContext.java</v>
      </c>
      <c r="C561" s="81" t="str">
        <f>IFERROR(Hyperlink(VLOOKUP(A561,Internal_lists_bugs!$A$2:$G1061,7,FALSE()),"BIC: "&amp;VLOOKUP(A561,Internal_lists_bugs!$A$2:$G1061,7,FALSE())&amp;CHAR(10)&amp;"Intro.Issues: "&amp;VLOOKUP(A561,Internal_lists_bugs!$A$2:$P1061,16,FALSE())),"please select a BUG ID")</f>
        <v>BIC: https://github.com/elastic/elasticsearch/commit/3ca0239
Intro.Issues: 3574</v>
      </c>
      <c r="D561" s="100">
        <v>3574.0</v>
      </c>
      <c r="E561" s="54"/>
      <c r="F561" s="79" t="s">
        <v>4521</v>
      </c>
      <c r="G561" s="93" t="s">
        <v>324</v>
      </c>
      <c r="H561" s="54"/>
      <c r="I561" s="1"/>
    </row>
    <row r="562">
      <c r="A562" s="16" t="s">
        <v>94</v>
      </c>
      <c r="B562" s="77" t="str">
        <f>IFERROR(HYPERLINK(VLOOKUP(A562,Internal_lists_bugs!$A$2:$C$73,3,FALSE()), VLOOKUP(A562,Internal_lists_bugs!$A$2:$C$73,3,FALSE())&amp;Char(10) &amp; Char(10) &amp; VLOOKUP(A562,Internal_lists_bugs!$A$2:$Z$73,26,FALSE())),"please select a BUG ID")</f>
        <v>https://github.com/elastic/elasticsearch/issues/5165
/search/SearchService.java
/internal/DefaultSearchContext.java</v>
      </c>
      <c r="C562" s="81" t="str">
        <f>IFERROR(Hyperlink(VLOOKUP(A562,Internal_lists_bugs!$A$2:$G1061,7,FALSE()),"BIC: "&amp;VLOOKUP(A562,Internal_lists_bugs!$A$2:$G1061,7,FALSE())&amp;CHAR(10)&amp;"Intro.Issues: "&amp;VLOOKUP(A562,Internal_lists_bugs!$A$2:$P1061,16,FALSE())),"please select a BUG ID")</f>
        <v>BIC: https://github.com/elastic/elasticsearch/commit/3ca0239
Intro.Issues: 3574</v>
      </c>
      <c r="D562" s="100">
        <v>3574.0</v>
      </c>
      <c r="E562" s="54"/>
      <c r="F562" s="79" t="s">
        <v>4512</v>
      </c>
      <c r="G562" s="93" t="s">
        <v>324</v>
      </c>
      <c r="H562" s="54"/>
      <c r="I562" s="1"/>
    </row>
    <row r="563">
      <c r="A563" s="16" t="s">
        <v>98</v>
      </c>
      <c r="B563" s="77" t="str">
        <f>IFERROR(HYPERLINK(VLOOKUP(A563,Internal_lists_bugs!$A$2:$C$73,3,FALSE()), VLOOKUP(A563,Internal_lists_bugs!$A$2:$C$73,3,FALSE())&amp;Char(10) &amp; Char(10) &amp; VLOOKUP(A563,Internal_lists_bugs!$A$2:$Z$73,26,FALSE())),"please select a BUG ID")</f>
        <v>https://github.com/elastic/elasticsearch/issues/5948
/cat/RestAllocationAction.java</v>
      </c>
      <c r="C563" s="81" t="str">
        <f>IFERROR(Hyperlink(VLOOKUP(A563,Internal_lists_bugs!$A$2:$G1061,7,FALSE()),"BIC: "&amp;VLOOKUP(A563,Internal_lists_bugs!$A$2:$G1061,7,FALSE())&amp;CHAR(10)&amp;"Intro.Issues: "&amp;VLOOKUP(A563,Internal_lists_bugs!$A$2:$P1061,16,FALSE())),"please select a BUG ID")</f>
        <v>BIC: https://github.com/elastic/elasticsearch/commit/b35ca1a
Intro.Issues: 4670</v>
      </c>
      <c r="D563" s="100">
        <v>4670.0</v>
      </c>
      <c r="E563" s="16" t="s">
        <v>4280</v>
      </c>
      <c r="F563" s="79" t="s">
        <v>119</v>
      </c>
      <c r="G563" s="93" t="s">
        <v>144</v>
      </c>
      <c r="H563" s="54"/>
      <c r="I563" s="9" t="b">
        <v>0</v>
      </c>
    </row>
    <row r="564">
      <c r="A564" s="16" t="s">
        <v>98</v>
      </c>
      <c r="B564" s="77" t="str">
        <f>IFERROR(HYPERLINK(VLOOKUP(A564,Internal_lists_bugs!$A$2:$C$73,3,FALSE()), VLOOKUP(A564,Internal_lists_bugs!$A$2:$C$73,3,FALSE())&amp;Char(10) &amp; Char(10) &amp; VLOOKUP(A564,Internal_lists_bugs!$A$2:$Z$73,26,FALSE())),"please select a BUG ID")</f>
        <v>https://github.com/elastic/elasticsearch/issues/5948
/cat/RestAllocationAction.java</v>
      </c>
      <c r="C564" s="81" t="str">
        <f>IFERROR(Hyperlink(VLOOKUP(A564,Internal_lists_bugs!$A$2:$G1061,7,FALSE()),"BIC: "&amp;VLOOKUP(A564,Internal_lists_bugs!$A$2:$G1061,7,FALSE())&amp;CHAR(10)&amp;"Intro.Issues: "&amp;VLOOKUP(A564,Internal_lists_bugs!$A$2:$P1061,16,FALSE())),"please select a BUG ID")</f>
        <v>BIC: https://github.com/elastic/elasticsearch/commit/b35ca1a
Intro.Issues: 4670</v>
      </c>
      <c r="D564" s="100">
        <v>4670.0</v>
      </c>
      <c r="E564" s="54"/>
      <c r="F564" s="79" t="s">
        <v>4613</v>
      </c>
      <c r="G564" s="93" t="s">
        <v>324</v>
      </c>
      <c r="H564" s="54"/>
      <c r="I564" s="1"/>
    </row>
    <row r="565">
      <c r="A565" s="16" t="s">
        <v>100</v>
      </c>
      <c r="B565" s="77" t="str">
        <f>IFERROR(HYPERLINK(VLOOKUP(A565,Internal_lists_bugs!$A$2:$C$73,3,FALSE()), VLOOKUP(A565,Internal_lists_bugs!$A$2:$C$73,3,FALSE())&amp;Char(10) &amp; Char(10) &amp; VLOOKUP(A565,Internal_lists_bugs!$A$2:$Z$73,26,FALSE())),"please select a BUG ID")</f>
        <v>https://github.com/elastic/elasticsearch/issues/4814
/bucket/BytesRefHash.java</v>
      </c>
      <c r="C565" s="81" t="str">
        <f>IFERROR(Hyperlink(VLOOKUP(A565,Internal_lists_bugs!$A$2:$G1061,7,FALSE()),"BIC: "&amp;VLOOKUP(A565,Internal_lists_bugs!$A$2:$G1061,7,FALSE())&amp;CHAR(10)&amp;"Intro.Issues: "&amp;VLOOKUP(A565,Internal_lists_bugs!$A$2:$P1061,16,FALSE())),"please select a BUG ID")</f>
        <v>BIC: https://github.com/elastic/elasticsearch/commit/4271d57
Intro.Issues: 4557</v>
      </c>
      <c r="D565" s="100">
        <v>4557.0</v>
      </c>
      <c r="E565" s="16" t="s">
        <v>4097</v>
      </c>
      <c r="F565" s="79" t="s">
        <v>4342</v>
      </c>
      <c r="G565" s="93" t="s">
        <v>144</v>
      </c>
      <c r="H565" s="54"/>
      <c r="I565" s="9" t="b">
        <v>0</v>
      </c>
    </row>
    <row r="566">
      <c r="A566" s="16" t="s">
        <v>100</v>
      </c>
      <c r="B566" s="77" t="str">
        <f>IFERROR(HYPERLINK(VLOOKUP(A566,Internal_lists_bugs!$A$2:$C$73,3,FALSE()), VLOOKUP(A566,Internal_lists_bugs!$A$2:$C$73,3,FALSE())&amp;Char(10) &amp; Char(10) &amp; VLOOKUP(A566,Internal_lists_bugs!$A$2:$Z$73,26,FALSE())),"please select a BUG ID")</f>
        <v>https://github.com/elastic/elasticsearch/issues/4814
/bucket/BytesRefHash.java</v>
      </c>
      <c r="C566" s="81" t="str">
        <f>IFERROR(Hyperlink(VLOOKUP(A566,Internal_lists_bugs!$A$2:$G1061,7,FALSE()),"BIC: "&amp;VLOOKUP(A566,Internal_lists_bugs!$A$2:$G1061,7,FALSE())&amp;CHAR(10)&amp;"Intro.Issues: "&amp;VLOOKUP(A566,Internal_lists_bugs!$A$2:$P1061,16,FALSE())),"please select a BUG ID")</f>
        <v>BIC: https://github.com/elastic/elasticsearch/commit/4271d57
Intro.Issues: 4557</v>
      </c>
      <c r="D566" s="100">
        <v>4557.0</v>
      </c>
      <c r="E566" s="54"/>
      <c r="F566" s="79" t="s">
        <v>4512</v>
      </c>
      <c r="G566" s="93" t="s">
        <v>324</v>
      </c>
      <c r="H566" s="54"/>
      <c r="I566" s="1"/>
    </row>
    <row r="567">
      <c r="A567" s="16" t="s">
        <v>100</v>
      </c>
      <c r="B567" s="77" t="str">
        <f>IFERROR(HYPERLINK(VLOOKUP(A567,Internal_lists_bugs!$A$2:$C$73,3,FALSE()), VLOOKUP(A567,Internal_lists_bugs!$A$2:$C$73,3,FALSE())&amp;Char(10) &amp; Char(10) &amp; VLOOKUP(A567,Internal_lists_bugs!$A$2:$Z$73,26,FALSE())),"please select a BUG ID")</f>
        <v>https://github.com/elastic/elasticsearch/issues/4814
/bucket/BytesRefHash.java</v>
      </c>
      <c r="C567" s="81" t="str">
        <f>IFERROR(Hyperlink(VLOOKUP(A567,Internal_lists_bugs!$A$2:$G1061,7,FALSE()),"BIC: "&amp;VLOOKUP(A567,Internal_lists_bugs!$A$2:$G1061,7,FALSE())&amp;CHAR(10)&amp;"Intro.Issues: "&amp;VLOOKUP(A567,Internal_lists_bugs!$A$2:$P1061,16,FALSE())),"please select a BUG ID")</f>
        <v>BIC: https://github.com/elastic/elasticsearch/commit/4271d57
Intro.Issues: 4557</v>
      </c>
      <c r="D567" s="100">
        <v>4557.0</v>
      </c>
      <c r="E567" s="54"/>
      <c r="F567" s="79" t="s">
        <v>4647</v>
      </c>
      <c r="G567" s="93" t="s">
        <v>324</v>
      </c>
      <c r="H567" s="54"/>
      <c r="I567" s="1"/>
    </row>
    <row r="568">
      <c r="A568" s="16" t="s">
        <v>100</v>
      </c>
      <c r="B568" s="77" t="str">
        <f>IFERROR(HYPERLINK(VLOOKUP(A568,Internal_lists_bugs!$A$2:$C$73,3,FALSE()), VLOOKUP(A568,Internal_lists_bugs!$A$2:$C$73,3,FALSE())&amp;Char(10) &amp; Char(10) &amp; VLOOKUP(A568,Internal_lists_bugs!$A$2:$Z$73,26,FALSE())),"please select a BUG ID")</f>
        <v>https://github.com/elastic/elasticsearch/issues/4814
/bucket/BytesRefHash.java</v>
      </c>
      <c r="C568" s="81" t="str">
        <f>IFERROR(Hyperlink(VLOOKUP(A568,Internal_lists_bugs!$A$2:$G1061,7,FALSE()),"BIC: "&amp;VLOOKUP(A568,Internal_lists_bugs!$A$2:$G1061,7,FALSE())&amp;CHAR(10)&amp;"Intro.Issues: "&amp;VLOOKUP(A568,Internal_lists_bugs!$A$2:$P1061,16,FALSE())),"please select a BUG ID")</f>
        <v>BIC: https://github.com/elastic/elasticsearch/commit/4271d57
Intro.Issues: 4557</v>
      </c>
      <c r="D568" s="100">
        <v>4557.0</v>
      </c>
      <c r="E568" s="54"/>
      <c r="F568" s="79" t="s">
        <v>4472</v>
      </c>
      <c r="G568" s="93" t="s">
        <v>324</v>
      </c>
      <c r="H568" s="54"/>
      <c r="I568" s="1"/>
    </row>
    <row r="569">
      <c r="A569" s="16" t="s">
        <v>100</v>
      </c>
      <c r="B569" s="77" t="str">
        <f>IFERROR(HYPERLINK(VLOOKUP(A569,Internal_lists_bugs!$A$2:$C$73,3,FALSE()), VLOOKUP(A569,Internal_lists_bugs!$A$2:$C$73,3,FALSE())&amp;Char(10) &amp; Char(10) &amp; VLOOKUP(A569,Internal_lists_bugs!$A$2:$Z$73,26,FALSE())),"please select a BUG ID")</f>
        <v>https://github.com/elastic/elasticsearch/issues/4814
/bucket/BytesRefHash.java</v>
      </c>
      <c r="C569" s="81" t="str">
        <f>IFERROR(Hyperlink(VLOOKUP(A569,Internal_lists_bugs!$A$2:$G1061,7,FALSE()),"BIC: "&amp;VLOOKUP(A569,Internal_lists_bugs!$A$2:$G1061,7,FALSE())&amp;CHAR(10)&amp;"Intro.Issues: "&amp;VLOOKUP(A569,Internal_lists_bugs!$A$2:$P1061,16,FALSE())),"please select a BUG ID")</f>
        <v>BIC: https://github.com/elastic/elasticsearch/commit/4271d57
Intro.Issues: 4557</v>
      </c>
      <c r="D569" s="100">
        <v>4557.0</v>
      </c>
      <c r="E569" s="54"/>
      <c r="F569" s="79" t="s">
        <v>4668</v>
      </c>
      <c r="G569" s="93" t="s">
        <v>324</v>
      </c>
      <c r="H569" s="54"/>
      <c r="I569" s="1"/>
    </row>
    <row r="570">
      <c r="A570" s="16" t="s">
        <v>100</v>
      </c>
      <c r="B570" s="77" t="str">
        <f>IFERROR(HYPERLINK(VLOOKUP(A570,Internal_lists_bugs!$A$2:$C$73,3,FALSE()), VLOOKUP(A570,Internal_lists_bugs!$A$2:$C$73,3,FALSE())&amp;Char(10) &amp; Char(10) &amp; VLOOKUP(A570,Internal_lists_bugs!$A$2:$Z$73,26,FALSE())),"please select a BUG ID")</f>
        <v>https://github.com/elastic/elasticsearch/issues/4814
/bucket/BytesRefHash.java</v>
      </c>
      <c r="C570" s="81" t="str">
        <f>IFERROR(Hyperlink(VLOOKUP(A570,Internal_lists_bugs!$A$2:$G1061,7,FALSE()),"BIC: "&amp;VLOOKUP(A570,Internal_lists_bugs!$A$2:$G1061,7,FALSE())&amp;CHAR(10)&amp;"Intro.Issues: "&amp;VLOOKUP(A570,Internal_lists_bugs!$A$2:$P1061,16,FALSE())),"please select a BUG ID")</f>
        <v>BIC: https://github.com/elastic/elasticsearch/commit/4271d57
Intro.Issues: 4557</v>
      </c>
      <c r="D570" s="100">
        <v>4557.0</v>
      </c>
      <c r="E570" s="54"/>
      <c r="F570" s="79" t="s">
        <v>4516</v>
      </c>
      <c r="G570" s="93" t="s">
        <v>442</v>
      </c>
      <c r="H570" s="54"/>
      <c r="I570" s="1"/>
    </row>
    <row r="571">
      <c r="A571" s="16" t="s">
        <v>100</v>
      </c>
      <c r="B571" s="77" t="str">
        <f>IFERROR(HYPERLINK(VLOOKUP(A571,Internal_lists_bugs!$A$2:$C$73,3,FALSE()), VLOOKUP(A571,Internal_lists_bugs!$A$2:$C$73,3,FALSE())&amp;Char(10) &amp; Char(10) &amp; VLOOKUP(A571,Internal_lists_bugs!$A$2:$Z$73,26,FALSE())),"please select a BUG ID")</f>
        <v>https://github.com/elastic/elasticsearch/issues/4814
/bucket/BytesRefHash.java</v>
      </c>
      <c r="C571" s="81" t="str">
        <f>IFERROR(Hyperlink(VLOOKUP(A571,Internal_lists_bugs!$A$2:$G1061,7,FALSE()),"BIC: "&amp;VLOOKUP(A571,Internal_lists_bugs!$A$2:$G1061,7,FALSE())&amp;CHAR(10)&amp;"Intro.Issues: "&amp;VLOOKUP(A571,Internal_lists_bugs!$A$2:$P1061,16,FALSE())),"please select a BUG ID")</f>
        <v>BIC: https://github.com/elastic/elasticsearch/commit/4271d57
Intro.Issues: 4557</v>
      </c>
      <c r="D571" s="100">
        <v>4557.0</v>
      </c>
      <c r="E571" s="54"/>
      <c r="F571" s="79" t="s">
        <v>4669</v>
      </c>
      <c r="G571" s="93" t="s">
        <v>442</v>
      </c>
      <c r="H571" s="54"/>
      <c r="I571" s="1"/>
    </row>
    <row r="572">
      <c r="A572" s="16" t="s">
        <v>100</v>
      </c>
      <c r="B572" s="77" t="str">
        <f>IFERROR(HYPERLINK(VLOOKUP(A572,Internal_lists_bugs!$A$2:$C$73,3,FALSE()), VLOOKUP(A572,Internal_lists_bugs!$A$2:$C$73,3,FALSE())&amp;Char(10) &amp; Char(10) &amp; VLOOKUP(A572,Internal_lists_bugs!$A$2:$Z$73,26,FALSE())),"please select a BUG ID")</f>
        <v>https://github.com/elastic/elasticsearch/issues/4814
/bucket/BytesRefHash.java</v>
      </c>
      <c r="C572" s="81" t="str">
        <f>IFERROR(Hyperlink(VLOOKUP(A572,Internal_lists_bugs!$A$2:$G1061,7,FALSE()),"BIC: "&amp;VLOOKUP(A572,Internal_lists_bugs!$A$2:$G1061,7,FALSE())&amp;CHAR(10)&amp;"Intro.Issues: "&amp;VLOOKUP(A572,Internal_lists_bugs!$A$2:$P1061,16,FALSE())),"please select a BUG ID")</f>
        <v>BIC: https://github.com/elastic/elasticsearch/commit/4271d57
Intro.Issues: 4557</v>
      </c>
      <c r="D572" s="100">
        <v>4557.0</v>
      </c>
      <c r="E572" s="54"/>
      <c r="F572" s="79" t="s">
        <v>4670</v>
      </c>
      <c r="G572" s="93" t="s">
        <v>442</v>
      </c>
      <c r="H572" s="54"/>
      <c r="I572" s="1"/>
    </row>
    <row r="573">
      <c r="A573" s="16" t="s">
        <v>100</v>
      </c>
      <c r="B573" s="77" t="str">
        <f>IFERROR(HYPERLINK(VLOOKUP(A573,Internal_lists_bugs!$A$2:$C$73,3,FALSE()), VLOOKUP(A573,Internal_lists_bugs!$A$2:$C$73,3,FALSE())&amp;Char(10) &amp; Char(10) &amp; VLOOKUP(A573,Internal_lists_bugs!$A$2:$Z$73,26,FALSE())),"please select a BUG ID")</f>
        <v>https://github.com/elastic/elasticsearch/issues/4814
/bucket/BytesRefHash.java</v>
      </c>
      <c r="C573" s="81" t="str">
        <f>IFERROR(Hyperlink(VLOOKUP(A573,Internal_lists_bugs!$A$2:$G1061,7,FALSE()),"BIC: "&amp;VLOOKUP(A573,Internal_lists_bugs!$A$2:$G1061,7,FALSE())&amp;CHAR(10)&amp;"Intro.Issues: "&amp;VLOOKUP(A573,Internal_lists_bugs!$A$2:$P1061,16,FALSE())),"please select a BUG ID")</f>
        <v>BIC: https://github.com/elastic/elasticsearch/commit/4271d57
Intro.Issues: 4557</v>
      </c>
      <c r="D573" s="100">
        <v>4557.0</v>
      </c>
      <c r="E573" s="54"/>
      <c r="F573" s="79" t="s">
        <v>4671</v>
      </c>
      <c r="G573" s="93" t="s">
        <v>444</v>
      </c>
      <c r="H573" s="54"/>
      <c r="I573" s="1"/>
    </row>
    <row r="574">
      <c r="A574" s="16" t="s">
        <v>100</v>
      </c>
      <c r="B574" s="77" t="str">
        <f>IFERROR(HYPERLINK(VLOOKUP(A574,Internal_lists_bugs!$A$2:$C$73,3,FALSE()), VLOOKUP(A574,Internal_lists_bugs!$A$2:$C$73,3,FALSE())&amp;Char(10) &amp; Char(10) &amp; VLOOKUP(A574,Internal_lists_bugs!$A$2:$Z$73,26,FALSE())),"please select a BUG ID")</f>
        <v>https://github.com/elastic/elasticsearch/issues/4814
/bucket/BytesRefHash.java</v>
      </c>
      <c r="C574" s="81" t="str">
        <f>IFERROR(Hyperlink(VLOOKUP(A574,Internal_lists_bugs!$A$2:$G1061,7,FALSE()),"BIC: "&amp;VLOOKUP(A574,Internal_lists_bugs!$A$2:$G1061,7,FALSE())&amp;CHAR(10)&amp;"Intro.Issues: "&amp;VLOOKUP(A574,Internal_lists_bugs!$A$2:$P1061,16,FALSE())),"please select a BUG ID")</f>
        <v>BIC: https://github.com/elastic/elasticsearch/commit/4271d57
Intro.Issues: 4557</v>
      </c>
      <c r="D574" s="100">
        <v>4557.0</v>
      </c>
      <c r="E574" s="54"/>
      <c r="F574" s="79" t="s">
        <v>4672</v>
      </c>
      <c r="G574" s="93" t="s">
        <v>447</v>
      </c>
      <c r="H574" s="54"/>
      <c r="I574" s="1"/>
    </row>
    <row r="575">
      <c r="A575" s="16" t="s">
        <v>100</v>
      </c>
      <c r="B575" s="77" t="str">
        <f>IFERROR(HYPERLINK(VLOOKUP(A575,Internal_lists_bugs!$A$2:$C$73,3,FALSE()), VLOOKUP(A575,Internal_lists_bugs!$A$2:$C$73,3,FALSE())&amp;Char(10) &amp; Char(10) &amp; VLOOKUP(A575,Internal_lists_bugs!$A$2:$Z$73,26,FALSE())),"please select a BUG ID")</f>
        <v>https://github.com/elastic/elasticsearch/issues/4814
/bucket/BytesRefHash.java</v>
      </c>
      <c r="C575" s="81" t="str">
        <f>IFERROR(Hyperlink(VLOOKUP(A575,Internal_lists_bugs!$A$2:$G1061,7,FALSE()),"BIC: "&amp;VLOOKUP(A575,Internal_lists_bugs!$A$2:$G1061,7,FALSE())&amp;CHAR(10)&amp;"Intro.Issues: "&amp;VLOOKUP(A575,Internal_lists_bugs!$A$2:$P1061,16,FALSE())),"please select a BUG ID")</f>
        <v>BIC: https://github.com/elastic/elasticsearch/commit/4271d57
Intro.Issues: 4557</v>
      </c>
      <c r="D575" s="100">
        <v>4557.0</v>
      </c>
      <c r="E575" s="54"/>
      <c r="F575" s="79" t="s">
        <v>4673</v>
      </c>
      <c r="G575" s="93" t="s">
        <v>500</v>
      </c>
      <c r="H575" s="54"/>
      <c r="I575" s="1"/>
    </row>
    <row r="576">
      <c r="A576" s="16" t="s">
        <v>100</v>
      </c>
      <c r="B576" s="77" t="str">
        <f>IFERROR(HYPERLINK(VLOOKUP(A576,Internal_lists_bugs!$A$2:$C$73,3,FALSE()), VLOOKUP(A576,Internal_lists_bugs!$A$2:$C$73,3,FALSE())&amp;Char(10) &amp; Char(10) &amp; VLOOKUP(A576,Internal_lists_bugs!$A$2:$Z$73,26,FALSE())),"please select a BUG ID")</f>
        <v>https://github.com/elastic/elasticsearch/issues/4814
/bucket/BytesRefHash.java</v>
      </c>
      <c r="C576" s="81" t="str">
        <f>IFERROR(Hyperlink(VLOOKUP(A576,Internal_lists_bugs!$A$2:$G1061,7,FALSE()),"BIC: "&amp;VLOOKUP(A576,Internal_lists_bugs!$A$2:$G1061,7,FALSE())&amp;CHAR(10)&amp;"Intro.Issues: "&amp;VLOOKUP(A576,Internal_lists_bugs!$A$2:$P1061,16,FALSE())),"please select a BUG ID")</f>
        <v>BIC: https://github.com/elastic/elasticsearch/commit/4271d57
Intro.Issues: 4557</v>
      </c>
      <c r="D576" s="100">
        <v>4557.0</v>
      </c>
      <c r="E576" s="54"/>
      <c r="F576" s="79" t="s">
        <v>4674</v>
      </c>
      <c r="G576" s="93" t="s">
        <v>461</v>
      </c>
      <c r="H576" s="54"/>
      <c r="I576" s="1"/>
    </row>
    <row r="577">
      <c r="A577" s="16" t="s">
        <v>102</v>
      </c>
      <c r="B577" s="77" t="str">
        <f>IFERROR(HYPERLINK(VLOOKUP(A577,Internal_lists_bugs!$A$2:$C$73,3,FALSE()), VLOOKUP(A577,Internal_lists_bugs!$A$2:$C$73,3,FALSE())&amp;Char(10) &amp; Char(10) &amp; VLOOKUP(A577,Internal_lists_bugs!$A$2:$Z$73,26,FALSE())),"please select a BUG ID")</f>
        <v>https://github.com/elastic/elasticsearch/issues/3267
/get/TransportMultiGetAction.java</v>
      </c>
      <c r="C577" s="81" t="str">
        <f>IFERROR(Hyperlink(VLOOKUP(A577,Internal_lists_bugs!$A$2:$G1061,7,FALSE()),"BIC: "&amp;VLOOKUP(A577,Internal_lists_bugs!$A$2:$G1061,7,FALSE())&amp;CHAR(10)&amp;"Intro.Issues: "&amp;VLOOKUP(A577,Internal_lists_bugs!$A$2:$P1061,16,FALSE())),"please select a BUG ID")</f>
        <v>BIC: https://github.com/elastic/elasticsearch/commit/9bf686e
Intro.Issues: 1068</v>
      </c>
      <c r="D577" s="100">
        <v>1068.0</v>
      </c>
      <c r="E577" s="16" t="s">
        <v>4120</v>
      </c>
      <c r="F577" s="79" t="s">
        <v>4342</v>
      </c>
      <c r="G577" s="93" t="s">
        <v>144</v>
      </c>
      <c r="H577" s="54"/>
      <c r="I577" s="9" t="b">
        <v>0</v>
      </c>
    </row>
    <row r="578">
      <c r="A578" s="16" t="s">
        <v>102</v>
      </c>
      <c r="B578" s="77" t="str">
        <f>IFERROR(HYPERLINK(VLOOKUP(A578,Internal_lists_bugs!$A$2:$C$73,3,FALSE()), VLOOKUP(A578,Internal_lists_bugs!$A$2:$C$73,3,FALSE())&amp;Char(10) &amp; Char(10) &amp; VLOOKUP(A578,Internal_lists_bugs!$A$2:$Z$73,26,FALSE())),"please select a BUG ID")</f>
        <v>https://github.com/elastic/elasticsearch/issues/3267
/get/TransportMultiGetAction.java</v>
      </c>
      <c r="C578" s="81" t="str">
        <f>IFERROR(Hyperlink(VLOOKUP(A578,Internal_lists_bugs!$A$2:$G1061,7,FALSE()),"BIC: "&amp;VLOOKUP(A578,Internal_lists_bugs!$A$2:$G1061,7,FALSE())&amp;CHAR(10)&amp;"Intro.Issues: "&amp;VLOOKUP(A578,Internal_lists_bugs!$A$2:$P1061,16,FALSE())),"please select a BUG ID")</f>
        <v>BIC: https://github.com/elastic/elasticsearch/commit/9bf686e
Intro.Issues: 1068</v>
      </c>
      <c r="D578" s="100">
        <v>1068.0</v>
      </c>
      <c r="E578" s="54"/>
      <c r="F578" s="79" t="s">
        <v>4512</v>
      </c>
      <c r="G578" s="93" t="s">
        <v>324</v>
      </c>
      <c r="H578" s="54"/>
      <c r="I578" s="1"/>
    </row>
    <row r="579">
      <c r="A579" s="16" t="s">
        <v>102</v>
      </c>
      <c r="B579" s="77" t="str">
        <f>IFERROR(HYPERLINK(VLOOKUP(A579,Internal_lists_bugs!$A$2:$C$73,3,FALSE()), VLOOKUP(A579,Internal_lists_bugs!$A$2:$C$73,3,FALSE())&amp;Char(10) &amp; Char(10) &amp; VLOOKUP(A579,Internal_lists_bugs!$A$2:$Z$73,26,FALSE())),"please select a BUG ID")</f>
        <v>https://github.com/elastic/elasticsearch/issues/3267
/get/TransportMultiGetAction.java</v>
      </c>
      <c r="C579" s="81" t="str">
        <f>IFERROR(Hyperlink(VLOOKUP(A579,Internal_lists_bugs!$A$2:$G1061,7,FALSE()),"BIC: "&amp;VLOOKUP(A579,Internal_lists_bugs!$A$2:$G1061,7,FALSE())&amp;CHAR(10)&amp;"Intro.Issues: "&amp;VLOOKUP(A579,Internal_lists_bugs!$A$2:$P1061,16,FALSE())),"please select a BUG ID")</f>
        <v>BIC: https://github.com/elastic/elasticsearch/commit/9bf686e
Intro.Issues: 1068</v>
      </c>
      <c r="D579" s="100">
        <v>1068.0</v>
      </c>
      <c r="E579" s="54"/>
      <c r="F579" s="79" t="s">
        <v>4520</v>
      </c>
      <c r="G579" s="93" t="s">
        <v>324</v>
      </c>
      <c r="H579" s="54"/>
      <c r="I579" s="1"/>
    </row>
    <row r="580">
      <c r="A580" s="16" t="s">
        <v>102</v>
      </c>
      <c r="B580" s="77" t="str">
        <f>IFERROR(HYPERLINK(VLOOKUP(A580,Internal_lists_bugs!$A$2:$C$73,3,FALSE()), VLOOKUP(A580,Internal_lists_bugs!$A$2:$C$73,3,FALSE())&amp;Char(10) &amp; Char(10) &amp; VLOOKUP(A580,Internal_lists_bugs!$A$2:$Z$73,26,FALSE())),"please select a BUG ID")</f>
        <v>https://github.com/elastic/elasticsearch/issues/3267
/get/TransportMultiGetAction.java</v>
      </c>
      <c r="C580" s="81" t="str">
        <f>IFERROR(Hyperlink(VLOOKUP(A580,Internal_lists_bugs!$A$2:$G1061,7,FALSE()),"BIC: "&amp;VLOOKUP(A580,Internal_lists_bugs!$A$2:$G1061,7,FALSE())&amp;CHAR(10)&amp;"Intro.Issues: "&amp;VLOOKUP(A580,Internal_lists_bugs!$A$2:$P1061,16,FALSE())),"please select a BUG ID")</f>
        <v>BIC: https://github.com/elastic/elasticsearch/commit/9bf686e
Intro.Issues: 1068</v>
      </c>
      <c r="D580" s="100">
        <v>1068.0</v>
      </c>
      <c r="E580" s="54"/>
      <c r="F580" s="79" t="s">
        <v>4525</v>
      </c>
      <c r="G580" s="93" t="s">
        <v>324</v>
      </c>
      <c r="H580" s="54"/>
      <c r="I580" s="1"/>
    </row>
    <row r="581">
      <c r="A581" s="16" t="s">
        <v>96</v>
      </c>
      <c r="B581" s="77" t="str">
        <f>IFERROR(HYPERLINK(VLOOKUP(A581,Internal_lists_bugs!$A$2:$C$73,3,FALSE()), VLOOKUP(A581,Internal_lists_bugs!$A$2:$C$73,3,FALSE())&amp;Char(10) &amp; Char(10) &amp; VLOOKUP(A581,Internal_lists_bugs!$A$2:$Z$73,26,FALSE())),"please select a BUG ID")</f>
        <v>https://github.com/elastic/elasticsearch/issues/8580
/index/fielddata/AbstractRandomAccessOrds.java</v>
      </c>
      <c r="C581" s="81" t="str">
        <f>IFERROR(Hyperlink(VLOOKUP(A581,Internal_lists_bugs!$A$2:$G1061,7,FALSE()),"BIC: "&amp;VLOOKUP(A581,Internal_lists_bugs!$A$2:$G1061,7,FALSE())&amp;CHAR(10)&amp;"Intro.Issues: "&amp;VLOOKUP(A581,Internal_lists_bugs!$A$2:$P1061,16,FALSE())),"please select a BUG ID")</f>
        <v>BIC: https://github.com/elastic/elasticsearch/commit/3c142e5
Intro.Issues: 6908</v>
      </c>
      <c r="D581" s="100">
        <v>6908.0</v>
      </c>
      <c r="E581" s="16" t="s">
        <v>4646</v>
      </c>
      <c r="F581" s="79" t="s">
        <v>4342</v>
      </c>
      <c r="G581" s="93" t="s">
        <v>144</v>
      </c>
      <c r="H581" s="54"/>
      <c r="I581" s="9" t="b">
        <v>1</v>
      </c>
    </row>
    <row r="582">
      <c r="A582" s="16" t="s">
        <v>96</v>
      </c>
      <c r="B582" s="77" t="str">
        <f>IFERROR(HYPERLINK(VLOOKUP(A582,Internal_lists_bugs!$A$2:$C$73,3,FALSE()), VLOOKUP(A582,Internal_lists_bugs!$A$2:$C$73,3,FALSE())&amp;Char(10) &amp; Char(10) &amp; VLOOKUP(A582,Internal_lists_bugs!$A$2:$Z$73,26,FALSE())),"please select a BUG ID")</f>
        <v>https://github.com/elastic/elasticsearch/issues/8580
/index/fielddata/AbstractRandomAccessOrds.java</v>
      </c>
      <c r="C582" s="81" t="str">
        <f>IFERROR(Hyperlink(VLOOKUP(A582,Internal_lists_bugs!$A$2:$G1061,7,FALSE()),"BIC: "&amp;VLOOKUP(A582,Internal_lists_bugs!$A$2:$G1061,7,FALSE())&amp;CHAR(10)&amp;"Intro.Issues: "&amp;VLOOKUP(A582,Internal_lists_bugs!$A$2:$P1061,16,FALSE())),"please select a BUG ID")</f>
        <v>BIC: https://github.com/elastic/elasticsearch/commit/3c142e5
Intro.Issues: 6908</v>
      </c>
      <c r="D582" s="100">
        <v>6908.0</v>
      </c>
      <c r="E582" s="54"/>
      <c r="F582" s="79" t="s">
        <v>4512</v>
      </c>
      <c r="G582" s="93" t="s">
        <v>324</v>
      </c>
      <c r="H582" s="54"/>
      <c r="I582" s="1"/>
    </row>
    <row r="583">
      <c r="A583" s="16" t="s">
        <v>96</v>
      </c>
      <c r="B583" s="77" t="str">
        <f>IFERROR(HYPERLINK(VLOOKUP(A583,Internal_lists_bugs!$A$2:$C$73,3,FALSE()), VLOOKUP(A583,Internal_lists_bugs!$A$2:$C$73,3,FALSE())&amp;Char(10) &amp; Char(10) &amp; VLOOKUP(A583,Internal_lists_bugs!$A$2:$Z$73,26,FALSE())),"please select a BUG ID")</f>
        <v>https://github.com/elastic/elasticsearch/issues/8580
/index/fielddata/AbstractRandomAccessOrds.java</v>
      </c>
      <c r="C583" s="81" t="str">
        <f>IFERROR(Hyperlink(VLOOKUP(A583,Internal_lists_bugs!$A$2:$G1061,7,FALSE()),"BIC: "&amp;VLOOKUP(A583,Internal_lists_bugs!$A$2:$G1061,7,FALSE())&amp;CHAR(10)&amp;"Intro.Issues: "&amp;VLOOKUP(A583,Internal_lists_bugs!$A$2:$P1061,16,FALSE())),"please select a BUG ID")</f>
        <v>BIC: https://github.com/elastic/elasticsearch/commit/3c142e5
Intro.Issues: 6908</v>
      </c>
      <c r="D583" s="100">
        <v>6908.0</v>
      </c>
      <c r="E583" s="54"/>
      <c r="F583" s="79" t="s">
        <v>4523</v>
      </c>
      <c r="G583" s="93" t="s">
        <v>324</v>
      </c>
      <c r="H583" s="54"/>
      <c r="I583" s="1"/>
    </row>
    <row r="584">
      <c r="A584" s="16" t="s">
        <v>96</v>
      </c>
      <c r="B584" s="77" t="str">
        <f>IFERROR(HYPERLINK(VLOOKUP(A584,Internal_lists_bugs!$A$2:$C$73,3,FALSE()), VLOOKUP(A584,Internal_lists_bugs!$A$2:$C$73,3,FALSE())&amp;Char(10) &amp; Char(10) &amp; VLOOKUP(A584,Internal_lists_bugs!$A$2:$Z$73,26,FALSE())),"please select a BUG ID")</f>
        <v>https://github.com/elastic/elasticsearch/issues/8580
/index/fielddata/AbstractRandomAccessOrds.java</v>
      </c>
      <c r="C584" s="81" t="str">
        <f>IFERROR(Hyperlink(VLOOKUP(A584,Internal_lists_bugs!$A$2:$G1061,7,FALSE()),"BIC: "&amp;VLOOKUP(A584,Internal_lists_bugs!$A$2:$G1061,7,FALSE())&amp;CHAR(10)&amp;"Intro.Issues: "&amp;VLOOKUP(A584,Internal_lists_bugs!$A$2:$P1061,16,FALSE())),"please select a BUG ID")</f>
        <v>BIC: https://github.com/elastic/elasticsearch/commit/3c142e5
Intro.Issues: 6908</v>
      </c>
      <c r="D584" s="100">
        <v>6908.0</v>
      </c>
      <c r="E584" s="54"/>
      <c r="F584" s="79" t="s">
        <v>4388</v>
      </c>
      <c r="G584" s="93" t="s">
        <v>324</v>
      </c>
      <c r="H584" s="54"/>
      <c r="I584" s="1"/>
    </row>
    <row r="585">
      <c r="A585" s="16" t="s">
        <v>85</v>
      </c>
      <c r="B585" s="77" t="str">
        <f>IFERROR(HYPERLINK(VLOOKUP(A585,Internal_lists_bugs!$A$2:$C$73,3,FALSE()), VLOOKUP(A585,Internal_lists_bugs!$A$2:$C$73,3,FALSE())&amp;Char(10) &amp; Char(10) &amp; VLOOKUP(A585,Internal_lists_bugs!$A$2:$Z$73,26,FALSE())),"please select a BUG ID")</f>
        <v>https://github.com/elastic/elasticsearch/issues/5021
/terms/StringTerms.java
/terms/StringTerms.java
/terms/StringTermsAggregator.java </v>
      </c>
      <c r="C585" s="81" t="str">
        <f>IFERROR(Hyperlink(VLOOKUP(A585,Internal_lists_bugs!$A$2:$G1061,7,FALSE()),"BIC: "&amp;VLOOKUP(A585,Internal_lists_bugs!$A$2:$G1061,7,FALSE())&amp;CHAR(10)&amp;"Intro.Issues: "&amp;VLOOKUP(A585,Internal_lists_bugs!$A$2:$P1061,16,FALSE())),"please select a BUG ID")</f>
        <v>BIC: https://github.com/elastic/elasticsearch/commit/c7f6c5266
Intro.Issues: 3300</v>
      </c>
      <c r="D585" s="100">
        <v>3300.0</v>
      </c>
      <c r="E585" s="16" t="s">
        <v>4517</v>
      </c>
      <c r="F585" s="79" t="s">
        <v>4342</v>
      </c>
      <c r="G585" s="93" t="s">
        <v>144</v>
      </c>
      <c r="H585" s="54"/>
      <c r="I585" s="9" t="b">
        <v>0</v>
      </c>
    </row>
    <row r="586">
      <c r="A586" s="16" t="s">
        <v>85</v>
      </c>
      <c r="B586" s="77" t="str">
        <f>IFERROR(HYPERLINK(VLOOKUP(A586,Internal_lists_bugs!$A$2:$C$73,3,FALSE()), VLOOKUP(A586,Internal_lists_bugs!$A$2:$C$73,3,FALSE())&amp;Char(10) &amp; Char(10) &amp; VLOOKUP(A586,Internal_lists_bugs!$A$2:$Z$73,26,FALSE())),"please select a BUG ID")</f>
        <v>https://github.com/elastic/elasticsearch/issues/5021
/terms/StringTerms.java
/terms/StringTerms.java
/terms/StringTermsAggregator.java </v>
      </c>
      <c r="C586" s="81" t="str">
        <f>IFERROR(Hyperlink(VLOOKUP(A586,Internal_lists_bugs!$A$2:$G1061,7,FALSE()),"BIC: "&amp;VLOOKUP(A586,Internal_lists_bugs!$A$2:$G1061,7,FALSE())&amp;CHAR(10)&amp;"Intro.Issues: "&amp;VLOOKUP(A586,Internal_lists_bugs!$A$2:$P1061,16,FALSE())),"please select a BUG ID")</f>
        <v>BIC: https://github.com/elastic/elasticsearch/commit/c7f6c5266
Intro.Issues: 3300</v>
      </c>
      <c r="D586" s="100">
        <v>3300.0</v>
      </c>
      <c r="E586" s="54"/>
      <c r="F586" s="79" t="s">
        <v>4457</v>
      </c>
      <c r="G586" s="93" t="s">
        <v>324</v>
      </c>
      <c r="H586" s="54"/>
      <c r="I586" s="1"/>
    </row>
    <row r="587">
      <c r="A587" s="16" t="s">
        <v>85</v>
      </c>
      <c r="B587" s="77" t="str">
        <f>IFERROR(HYPERLINK(VLOOKUP(A587,Internal_lists_bugs!$A$2:$C$73,3,FALSE()), VLOOKUP(A587,Internal_lists_bugs!$A$2:$C$73,3,FALSE())&amp;Char(10) &amp; Char(10) &amp; VLOOKUP(A587,Internal_lists_bugs!$A$2:$Z$73,26,FALSE())),"please select a BUG ID")</f>
        <v>https://github.com/elastic/elasticsearch/issues/5021
/terms/StringTerms.java
/terms/StringTerms.java
/terms/StringTermsAggregator.java </v>
      </c>
      <c r="C587" s="81" t="str">
        <f>IFERROR(Hyperlink(VLOOKUP(A587,Internal_lists_bugs!$A$2:$G1061,7,FALSE()),"BIC: "&amp;VLOOKUP(A587,Internal_lists_bugs!$A$2:$G1061,7,FALSE())&amp;CHAR(10)&amp;"Intro.Issues: "&amp;VLOOKUP(A587,Internal_lists_bugs!$A$2:$P1061,16,FALSE())),"please select a BUG ID")</f>
        <v>BIC: https://github.com/elastic/elasticsearch/commit/c7f6c5266
Intro.Issues: 3300</v>
      </c>
      <c r="D587" s="100">
        <v>3300.0</v>
      </c>
      <c r="E587" s="54"/>
      <c r="F587" s="79" t="s">
        <v>4518</v>
      </c>
      <c r="G587" s="93" t="s">
        <v>324</v>
      </c>
      <c r="H587" s="54"/>
      <c r="I587" s="1"/>
    </row>
    <row r="588">
      <c r="A588" s="16" t="s">
        <v>85</v>
      </c>
      <c r="B588" s="77" t="str">
        <f>IFERROR(HYPERLINK(VLOOKUP(A588,Internal_lists_bugs!$A$2:$C$73,3,FALSE()), VLOOKUP(A588,Internal_lists_bugs!$A$2:$C$73,3,FALSE())&amp;Char(10) &amp; Char(10) &amp; VLOOKUP(A588,Internal_lists_bugs!$A$2:$Z$73,26,FALSE())),"please select a BUG ID")</f>
        <v>https://github.com/elastic/elasticsearch/issues/5021
/terms/StringTerms.java
/terms/StringTerms.java
/terms/StringTermsAggregator.java </v>
      </c>
      <c r="C588" s="81" t="str">
        <f>IFERROR(Hyperlink(VLOOKUP(A588,Internal_lists_bugs!$A$2:$G1061,7,FALSE()),"BIC: "&amp;VLOOKUP(A588,Internal_lists_bugs!$A$2:$G1061,7,FALSE())&amp;CHAR(10)&amp;"Intro.Issues: "&amp;VLOOKUP(A588,Internal_lists_bugs!$A$2:$P1061,16,FALSE())),"please select a BUG ID")</f>
        <v>BIC: https://github.com/elastic/elasticsearch/commit/c7f6c5266
Intro.Issues: 3300</v>
      </c>
      <c r="D588" s="100">
        <v>3300.0</v>
      </c>
      <c r="E588" s="54"/>
      <c r="F588" s="79" t="s">
        <v>4519</v>
      </c>
      <c r="G588" s="93" t="s">
        <v>324</v>
      </c>
      <c r="H588" s="54"/>
      <c r="I588" s="1"/>
    </row>
    <row r="589">
      <c r="A589" s="16" t="s">
        <v>85</v>
      </c>
      <c r="B589" s="77" t="str">
        <f>IFERROR(HYPERLINK(VLOOKUP(A589,Internal_lists_bugs!$A$2:$C$73,3,FALSE()), VLOOKUP(A589,Internal_lists_bugs!$A$2:$C$73,3,FALSE())&amp;Char(10) &amp; Char(10) &amp; VLOOKUP(A589,Internal_lists_bugs!$A$2:$Z$73,26,FALSE())),"please select a BUG ID")</f>
        <v>https://github.com/elastic/elasticsearch/issues/5021
/terms/StringTerms.java
/terms/StringTerms.java
/terms/StringTermsAggregator.java </v>
      </c>
      <c r="C589" s="81" t="str">
        <f>IFERROR(Hyperlink(VLOOKUP(A589,Internal_lists_bugs!$A$2:$G1061,7,FALSE()),"BIC: "&amp;VLOOKUP(A589,Internal_lists_bugs!$A$2:$G1061,7,FALSE())&amp;CHAR(10)&amp;"Intro.Issues: "&amp;VLOOKUP(A589,Internal_lists_bugs!$A$2:$P1061,16,FALSE())),"please select a BUG ID")</f>
        <v>BIC: https://github.com/elastic/elasticsearch/commit/c7f6c5266
Intro.Issues: 3300</v>
      </c>
      <c r="D589" s="100">
        <v>3300.0</v>
      </c>
      <c r="E589" s="54"/>
      <c r="F589" s="79" t="s">
        <v>4520</v>
      </c>
      <c r="G589" s="93" t="s">
        <v>324</v>
      </c>
      <c r="H589" s="54"/>
      <c r="I589" s="1"/>
    </row>
    <row r="590">
      <c r="A590" s="16" t="s">
        <v>85</v>
      </c>
      <c r="B590" s="77" t="str">
        <f>IFERROR(HYPERLINK(VLOOKUP(A590,Internal_lists_bugs!$A$2:$C$73,3,FALSE()), VLOOKUP(A590,Internal_lists_bugs!$A$2:$C$73,3,FALSE())&amp;Char(10) &amp; Char(10) &amp; VLOOKUP(A590,Internal_lists_bugs!$A$2:$Z$73,26,FALSE())),"please select a BUG ID")</f>
        <v>https://github.com/elastic/elasticsearch/issues/5021
/terms/StringTerms.java
/terms/StringTerms.java
/terms/StringTermsAggregator.java </v>
      </c>
      <c r="C590" s="81" t="str">
        <f>IFERROR(Hyperlink(VLOOKUP(A590,Internal_lists_bugs!$A$2:$G1061,7,FALSE()),"BIC: "&amp;VLOOKUP(A590,Internal_lists_bugs!$A$2:$G1061,7,FALSE())&amp;CHAR(10)&amp;"Intro.Issues: "&amp;VLOOKUP(A590,Internal_lists_bugs!$A$2:$P1061,16,FALSE())),"please select a BUG ID")</f>
        <v>BIC: https://github.com/elastic/elasticsearch/commit/c7f6c5266
Intro.Issues: 3300</v>
      </c>
      <c r="D590" s="100">
        <v>3300.0</v>
      </c>
      <c r="E590" s="54"/>
      <c r="F590" s="79" t="s">
        <v>4521</v>
      </c>
      <c r="G590" s="93" t="s">
        <v>324</v>
      </c>
      <c r="H590" s="54"/>
      <c r="I590" s="1"/>
    </row>
    <row r="591">
      <c r="A591" s="16" t="s">
        <v>85</v>
      </c>
      <c r="B591" s="77" t="str">
        <f>IFERROR(HYPERLINK(VLOOKUP(A591,Internal_lists_bugs!$A$2:$C$73,3,FALSE()), VLOOKUP(A591,Internal_lists_bugs!$A$2:$C$73,3,FALSE())&amp;Char(10) &amp; Char(10) &amp; VLOOKUP(A591,Internal_lists_bugs!$A$2:$Z$73,26,FALSE())),"please select a BUG ID")</f>
        <v>https://github.com/elastic/elasticsearch/issues/5021
/terms/StringTerms.java
/terms/StringTerms.java
/terms/StringTermsAggregator.java </v>
      </c>
      <c r="C591" s="81" t="str">
        <f>IFERROR(Hyperlink(VLOOKUP(A591,Internal_lists_bugs!$A$2:$G1061,7,FALSE()),"BIC: "&amp;VLOOKUP(A591,Internal_lists_bugs!$A$2:$G1061,7,FALSE())&amp;CHAR(10)&amp;"Intro.Issues: "&amp;VLOOKUP(A591,Internal_lists_bugs!$A$2:$P1061,16,FALSE())),"please select a BUG ID")</f>
        <v>BIC: https://github.com/elastic/elasticsearch/commit/c7f6c5266
Intro.Issues: 3300</v>
      </c>
      <c r="D591" s="100">
        <v>3300.0</v>
      </c>
      <c r="E591" s="54"/>
      <c r="F591" s="79" t="s">
        <v>4522</v>
      </c>
      <c r="G591" s="93" t="s">
        <v>324</v>
      </c>
      <c r="H591" s="54"/>
      <c r="I591" s="1"/>
    </row>
    <row r="592">
      <c r="A592" s="16" t="s">
        <v>85</v>
      </c>
      <c r="B592" s="77" t="str">
        <f>IFERROR(HYPERLINK(VLOOKUP(A592,Internal_lists_bugs!$A$2:$C$73,3,FALSE()), VLOOKUP(A592,Internal_lists_bugs!$A$2:$C$73,3,FALSE())&amp;Char(10) &amp; Char(10) &amp; VLOOKUP(A592,Internal_lists_bugs!$A$2:$Z$73,26,FALSE())),"please select a BUG ID")</f>
        <v>https://github.com/elastic/elasticsearch/issues/5021
/terms/StringTerms.java
/terms/StringTerms.java
/terms/StringTermsAggregator.java </v>
      </c>
      <c r="C592" s="81" t="str">
        <f>IFERROR(Hyperlink(VLOOKUP(A592,Internal_lists_bugs!$A$2:$G1061,7,FALSE()),"BIC: "&amp;VLOOKUP(A592,Internal_lists_bugs!$A$2:$G1061,7,FALSE())&amp;CHAR(10)&amp;"Intro.Issues: "&amp;VLOOKUP(A592,Internal_lists_bugs!$A$2:$P1061,16,FALSE())),"please select a BUG ID")</f>
        <v>BIC: https://github.com/elastic/elasticsearch/commit/c7f6c5266
Intro.Issues: 3300</v>
      </c>
      <c r="D592" s="100">
        <v>3300.0</v>
      </c>
      <c r="E592" s="54"/>
      <c r="F592" s="79" t="s">
        <v>4388</v>
      </c>
      <c r="G592" s="93" t="s">
        <v>324</v>
      </c>
      <c r="H592" s="54"/>
      <c r="I592" s="1"/>
    </row>
    <row r="593">
      <c r="A593" s="16" t="s">
        <v>85</v>
      </c>
      <c r="B593" s="77" t="str">
        <f>IFERROR(HYPERLINK(VLOOKUP(A593,Internal_lists_bugs!$A$2:$C$73,3,FALSE()), VLOOKUP(A593,Internal_lists_bugs!$A$2:$C$73,3,FALSE())&amp;Char(10) &amp; Char(10) &amp; VLOOKUP(A593,Internal_lists_bugs!$A$2:$Z$73,26,FALSE())),"please select a BUG ID")</f>
        <v>https://github.com/elastic/elasticsearch/issues/5021
/terms/StringTerms.java
/terms/StringTerms.java
/terms/StringTermsAggregator.java </v>
      </c>
      <c r="C593" s="81" t="str">
        <f>IFERROR(Hyperlink(VLOOKUP(A593,Internal_lists_bugs!$A$2:$G1061,7,FALSE()),"BIC: "&amp;VLOOKUP(A593,Internal_lists_bugs!$A$2:$G1061,7,FALSE())&amp;CHAR(10)&amp;"Intro.Issues: "&amp;VLOOKUP(A593,Internal_lists_bugs!$A$2:$P1061,16,FALSE())),"please select a BUG ID")</f>
        <v>BIC: https://github.com/elastic/elasticsearch/commit/c7f6c5266
Intro.Issues: 3300</v>
      </c>
      <c r="D593" s="100">
        <v>3300.0</v>
      </c>
      <c r="E593" s="54"/>
      <c r="F593" s="79" t="s">
        <v>4523</v>
      </c>
      <c r="G593" s="93" t="s">
        <v>4524</v>
      </c>
      <c r="H593" s="54"/>
      <c r="I593" s="1"/>
    </row>
    <row r="594">
      <c r="A594" s="16" t="s">
        <v>85</v>
      </c>
      <c r="B594" s="77" t="str">
        <f>IFERROR(HYPERLINK(VLOOKUP(A594,Internal_lists_bugs!$A$2:$C$73,3,FALSE()), VLOOKUP(A594,Internal_lists_bugs!$A$2:$C$73,3,FALSE())&amp;Char(10) &amp; Char(10) &amp; VLOOKUP(A594,Internal_lists_bugs!$A$2:$Z$73,26,FALSE())),"please select a BUG ID")</f>
        <v>https://github.com/elastic/elasticsearch/issues/5021
/terms/StringTerms.java
/terms/StringTerms.java
/terms/StringTermsAggregator.java </v>
      </c>
      <c r="C594" s="81" t="str">
        <f>IFERROR(Hyperlink(VLOOKUP(A594,Internal_lists_bugs!$A$2:$G1061,7,FALSE()),"BIC: "&amp;VLOOKUP(A594,Internal_lists_bugs!$A$2:$G1061,7,FALSE())&amp;CHAR(10)&amp;"Intro.Issues: "&amp;VLOOKUP(A594,Internal_lists_bugs!$A$2:$P1061,16,FALSE())),"please select a BUG ID")</f>
        <v>BIC: https://github.com/elastic/elasticsearch/commit/c7f6c5266
Intro.Issues: 3300</v>
      </c>
      <c r="D594" s="100">
        <v>3300.0</v>
      </c>
      <c r="E594" s="54"/>
      <c r="F594" s="79" t="s">
        <v>4525</v>
      </c>
      <c r="G594" s="93" t="s">
        <v>324</v>
      </c>
      <c r="H594" s="54"/>
      <c r="I594" s="1"/>
    </row>
    <row r="595">
      <c r="A595" s="16" t="s">
        <v>85</v>
      </c>
      <c r="B595" s="77" t="str">
        <f>IFERROR(HYPERLINK(VLOOKUP(A595,Internal_lists_bugs!$A$2:$C$73,3,FALSE()), VLOOKUP(A595,Internal_lists_bugs!$A$2:$C$73,3,FALSE())&amp;Char(10) &amp; Char(10) &amp; VLOOKUP(A595,Internal_lists_bugs!$A$2:$Z$73,26,FALSE())),"please select a BUG ID")</f>
        <v>https://github.com/elastic/elasticsearch/issues/5021
/terms/StringTerms.java
/terms/StringTerms.java
/terms/StringTermsAggregator.java </v>
      </c>
      <c r="C595" s="81" t="str">
        <f>IFERROR(Hyperlink(VLOOKUP(A595,Internal_lists_bugs!$A$2:$G1061,7,FALSE()),"BIC: "&amp;VLOOKUP(A595,Internal_lists_bugs!$A$2:$G1061,7,FALSE())&amp;CHAR(10)&amp;"Intro.Issues: "&amp;VLOOKUP(A595,Internal_lists_bugs!$A$2:$P1061,16,FALSE())),"please select a BUG ID")</f>
        <v>BIC: https://github.com/elastic/elasticsearch/commit/c7f6c5266
Intro.Issues: 3300</v>
      </c>
      <c r="D595" s="100">
        <v>3300.0</v>
      </c>
      <c r="E595" s="54"/>
      <c r="F595" s="79" t="s">
        <v>4526</v>
      </c>
      <c r="G595" s="93" t="s">
        <v>481</v>
      </c>
      <c r="H595" s="54"/>
      <c r="I595" s="1"/>
    </row>
    <row r="596">
      <c r="A596" s="16" t="s">
        <v>85</v>
      </c>
      <c r="B596" s="77" t="str">
        <f>IFERROR(HYPERLINK(VLOOKUP(A596,Internal_lists_bugs!$A$2:$C$73,3,FALSE()), VLOOKUP(A596,Internal_lists_bugs!$A$2:$C$73,3,FALSE())&amp;Char(10) &amp; Char(10) &amp; VLOOKUP(A596,Internal_lists_bugs!$A$2:$Z$73,26,FALSE())),"please select a BUG ID")</f>
        <v>https://github.com/elastic/elasticsearch/issues/5021
/terms/StringTerms.java
/terms/StringTerms.java
/terms/StringTermsAggregator.java </v>
      </c>
      <c r="C596" s="81" t="str">
        <f>IFERROR(Hyperlink(VLOOKUP(A596,Internal_lists_bugs!$A$2:$G1061,7,FALSE()),"BIC: "&amp;VLOOKUP(A596,Internal_lists_bugs!$A$2:$G1061,7,FALSE())&amp;CHAR(10)&amp;"Intro.Issues: "&amp;VLOOKUP(A596,Internal_lists_bugs!$A$2:$P1061,16,FALSE())),"please select a BUG ID")</f>
        <v>BIC: https://github.com/elastic/elasticsearch/commit/c7f6c5266
Intro.Issues: 3300</v>
      </c>
      <c r="D596" s="100">
        <v>3300.0</v>
      </c>
      <c r="E596" s="54"/>
      <c r="F596" s="79" t="s">
        <v>4516</v>
      </c>
      <c r="G596" s="93" t="s">
        <v>482</v>
      </c>
      <c r="H596" s="54"/>
      <c r="I596" s="1"/>
    </row>
    <row r="597">
      <c r="A597" s="16" t="s">
        <v>85</v>
      </c>
      <c r="B597" s="77" t="str">
        <f>IFERROR(HYPERLINK(VLOOKUP(A597,Internal_lists_bugs!$A$2:$C$73,3,FALSE()), VLOOKUP(A597,Internal_lists_bugs!$A$2:$C$73,3,FALSE())&amp;Char(10) &amp; Char(10) &amp; VLOOKUP(A597,Internal_lists_bugs!$A$2:$Z$73,26,FALSE())),"please select a BUG ID")</f>
        <v>https://github.com/elastic/elasticsearch/issues/5021
/terms/StringTerms.java
/terms/StringTerms.java
/terms/StringTermsAggregator.java </v>
      </c>
      <c r="C597" s="81" t="str">
        <f>IFERROR(Hyperlink(VLOOKUP(A597,Internal_lists_bugs!$A$2:$G1061,7,FALSE()),"BIC: "&amp;VLOOKUP(A597,Internal_lists_bugs!$A$2:$G1061,7,FALSE())&amp;CHAR(10)&amp;"Intro.Issues: "&amp;VLOOKUP(A597,Internal_lists_bugs!$A$2:$P1061,16,FALSE())),"please select a BUG ID")</f>
        <v>BIC: https://github.com/elastic/elasticsearch/commit/c7f6c5266
Intro.Issues: 3300</v>
      </c>
      <c r="D597" s="100">
        <v>3300.0</v>
      </c>
      <c r="E597" s="54"/>
      <c r="F597" s="79" t="s">
        <v>4527</v>
      </c>
      <c r="G597" s="93" t="s">
        <v>483</v>
      </c>
      <c r="H597" s="54"/>
      <c r="I597" s="1"/>
    </row>
    <row r="598">
      <c r="A598" s="16" t="s">
        <v>85</v>
      </c>
      <c r="B598" s="77" t="str">
        <f>IFERROR(HYPERLINK(VLOOKUP(A598,Internal_lists_bugs!$A$2:$C$73,3,FALSE()), VLOOKUP(A598,Internal_lists_bugs!$A$2:$C$73,3,FALSE())&amp;Char(10) &amp; Char(10) &amp; VLOOKUP(A598,Internal_lists_bugs!$A$2:$Z$73,26,FALSE())),"please select a BUG ID")</f>
        <v>https://github.com/elastic/elasticsearch/issues/5021
/terms/StringTerms.java
/terms/StringTerms.java
/terms/StringTermsAggregator.java </v>
      </c>
      <c r="C598" s="81" t="str">
        <f>IFERROR(Hyperlink(VLOOKUP(A598,Internal_lists_bugs!$A$2:$G1061,7,FALSE()),"BIC: "&amp;VLOOKUP(A598,Internal_lists_bugs!$A$2:$G1061,7,FALSE())&amp;CHAR(10)&amp;"Intro.Issues: "&amp;VLOOKUP(A598,Internal_lists_bugs!$A$2:$P1061,16,FALSE())),"please select a BUG ID")</f>
        <v>BIC: https://github.com/elastic/elasticsearch/commit/c7f6c5266
Intro.Issues: 3300</v>
      </c>
      <c r="D598" s="100">
        <v>3300.0</v>
      </c>
      <c r="E598" s="54"/>
      <c r="F598" s="79" t="s">
        <v>4528</v>
      </c>
      <c r="G598" s="93" t="s">
        <v>483</v>
      </c>
      <c r="H598" s="54"/>
      <c r="I598" s="1"/>
    </row>
    <row r="599">
      <c r="A599" s="16" t="s">
        <v>85</v>
      </c>
      <c r="B599" s="77" t="str">
        <f>IFERROR(HYPERLINK(VLOOKUP(A599,Internal_lists_bugs!$A$2:$C$73,3,FALSE()), VLOOKUP(A599,Internal_lists_bugs!$A$2:$C$73,3,FALSE())&amp;Char(10) &amp; Char(10) &amp; VLOOKUP(A599,Internal_lists_bugs!$A$2:$Z$73,26,FALSE())),"please select a BUG ID")</f>
        <v>https://github.com/elastic/elasticsearch/issues/5021
/terms/StringTerms.java
/terms/StringTerms.java
/terms/StringTermsAggregator.java </v>
      </c>
      <c r="C599" s="81" t="str">
        <f>IFERROR(Hyperlink(VLOOKUP(A599,Internal_lists_bugs!$A$2:$G1061,7,FALSE()),"BIC: "&amp;VLOOKUP(A599,Internal_lists_bugs!$A$2:$G1061,7,FALSE())&amp;CHAR(10)&amp;"Intro.Issues: "&amp;VLOOKUP(A599,Internal_lists_bugs!$A$2:$P1061,16,FALSE())),"please select a BUG ID")</f>
        <v>BIC: https://github.com/elastic/elasticsearch/commit/c7f6c5266
Intro.Issues: 3300</v>
      </c>
      <c r="D599" s="100">
        <v>3300.0</v>
      </c>
      <c r="E599" s="54"/>
      <c r="F599" s="79" t="s">
        <v>4529</v>
      </c>
      <c r="G599" s="93" t="s">
        <v>490</v>
      </c>
      <c r="H599" s="54"/>
      <c r="I599" s="1"/>
    </row>
    <row r="600">
      <c r="A600" s="16" t="s">
        <v>85</v>
      </c>
      <c r="B600" s="77" t="str">
        <f>IFERROR(HYPERLINK(VLOOKUP(A600,Internal_lists_bugs!$A$2:$C$73,3,FALSE()), VLOOKUP(A600,Internal_lists_bugs!$A$2:$C$73,3,FALSE())&amp;Char(10) &amp; Char(10) &amp; VLOOKUP(A600,Internal_lists_bugs!$A$2:$Z$73,26,FALSE())),"please select a BUG ID")</f>
        <v>https://github.com/elastic/elasticsearch/issues/5021
/terms/StringTerms.java
/terms/StringTerms.java
/terms/StringTermsAggregator.java </v>
      </c>
      <c r="C600" s="81" t="str">
        <f>IFERROR(Hyperlink(VLOOKUP(A600,Internal_lists_bugs!$A$2:$G1061,7,FALSE()),"BIC: "&amp;VLOOKUP(A600,Internal_lists_bugs!$A$2:$G1061,7,FALSE())&amp;CHAR(10)&amp;"Intro.Issues: "&amp;VLOOKUP(A600,Internal_lists_bugs!$A$2:$P1061,16,FALSE())),"please select a BUG ID")</f>
        <v>BIC: https://github.com/elastic/elasticsearch/commit/c7f6c5266
Intro.Issues: 3300</v>
      </c>
      <c r="D600" s="100">
        <v>3300.0</v>
      </c>
      <c r="E600" s="54"/>
      <c r="F600" s="79" t="s">
        <v>4530</v>
      </c>
      <c r="G600" s="93" t="s">
        <v>490</v>
      </c>
      <c r="H600" s="54"/>
      <c r="I600" s="1"/>
    </row>
    <row r="601">
      <c r="A601" s="16" t="s">
        <v>85</v>
      </c>
      <c r="B601" s="77" t="str">
        <f>IFERROR(HYPERLINK(VLOOKUP(A601,Internal_lists_bugs!$A$2:$C$73,3,FALSE()), VLOOKUP(A601,Internal_lists_bugs!$A$2:$C$73,3,FALSE())&amp;Char(10) &amp; Char(10) &amp; VLOOKUP(A601,Internal_lists_bugs!$A$2:$Z$73,26,FALSE())),"please select a BUG ID")</f>
        <v>https://github.com/elastic/elasticsearch/issues/5021
/terms/StringTerms.java
/terms/StringTerms.java
/terms/StringTermsAggregator.java </v>
      </c>
      <c r="C601" s="81" t="str">
        <f>IFERROR(Hyperlink(VLOOKUP(A601,Internal_lists_bugs!$A$2:$G1061,7,FALSE()),"BIC: "&amp;VLOOKUP(A601,Internal_lists_bugs!$A$2:$G1061,7,FALSE())&amp;CHAR(10)&amp;"Intro.Issues: "&amp;VLOOKUP(A601,Internal_lists_bugs!$A$2:$P1061,16,FALSE())),"please select a BUG ID")</f>
        <v>BIC: https://github.com/elastic/elasticsearch/commit/c7f6c5266
Intro.Issues: 3300</v>
      </c>
      <c r="D601" s="100">
        <v>3300.0</v>
      </c>
      <c r="E601" s="54"/>
      <c r="F601" s="79" t="s">
        <v>4531</v>
      </c>
      <c r="G601" s="93" t="s">
        <v>492</v>
      </c>
      <c r="H601" s="54"/>
      <c r="I601" s="1"/>
    </row>
    <row r="602">
      <c r="A602" s="16" t="s">
        <v>85</v>
      </c>
      <c r="B602" s="77" t="str">
        <f>IFERROR(HYPERLINK(VLOOKUP(A602,Internal_lists_bugs!$A$2:$C$73,3,FALSE()), VLOOKUP(A602,Internal_lists_bugs!$A$2:$C$73,3,FALSE())&amp;Char(10) &amp; Char(10) &amp; VLOOKUP(A602,Internal_lists_bugs!$A$2:$Z$73,26,FALSE())),"please select a BUG ID")</f>
        <v>https://github.com/elastic/elasticsearch/issues/5021
/terms/StringTerms.java
/terms/StringTerms.java
/terms/StringTermsAggregator.java </v>
      </c>
      <c r="C602" s="81" t="str">
        <f>IFERROR(Hyperlink(VLOOKUP(A602,Internal_lists_bugs!$A$2:$G1061,7,FALSE()),"BIC: "&amp;VLOOKUP(A602,Internal_lists_bugs!$A$2:$G1061,7,FALSE())&amp;CHAR(10)&amp;"Intro.Issues: "&amp;VLOOKUP(A602,Internal_lists_bugs!$A$2:$P1061,16,FALSE())),"please select a BUG ID")</f>
        <v>BIC: https://github.com/elastic/elasticsearch/commit/c7f6c5266
Intro.Issues: 3300</v>
      </c>
      <c r="D602" s="100">
        <v>3300.0</v>
      </c>
      <c r="E602" s="54"/>
      <c r="F602" s="72" t="s">
        <v>4516</v>
      </c>
      <c r="G602" s="175" t="s">
        <v>4532</v>
      </c>
      <c r="H602" s="54"/>
      <c r="I602" s="1"/>
    </row>
    <row r="603">
      <c r="A603" s="16" t="s">
        <v>85</v>
      </c>
      <c r="B603" s="77" t="str">
        <f>IFERROR(HYPERLINK(VLOOKUP(A603,Internal_lists_bugs!$A$2:$C$73,3,FALSE()), VLOOKUP(A603,Internal_lists_bugs!$A$2:$C$73,3,FALSE())&amp;Char(10) &amp; Char(10) &amp; VLOOKUP(A603,Internal_lists_bugs!$A$2:$Z$73,26,FALSE())),"please select a BUG ID")</f>
        <v>https://github.com/elastic/elasticsearch/issues/5021
/terms/StringTerms.java
/terms/StringTerms.java
/terms/StringTermsAggregator.java </v>
      </c>
      <c r="C603" s="81" t="str">
        <f>IFERROR(Hyperlink(VLOOKUP(A603,Internal_lists_bugs!$A$2:$G1061,7,FALSE()),"BIC: "&amp;VLOOKUP(A603,Internal_lists_bugs!$A$2:$G1061,7,FALSE())&amp;CHAR(10)&amp;"Intro.Issues: "&amp;VLOOKUP(A603,Internal_lists_bugs!$A$2:$P1061,16,FALSE())),"please select a BUG ID")</f>
        <v>BIC: https://github.com/elastic/elasticsearch/commit/c7f6c5266
Intro.Issues: 3300</v>
      </c>
      <c r="D603" s="100">
        <v>3300.0</v>
      </c>
      <c r="E603" s="54"/>
      <c r="F603" s="79" t="s">
        <v>4533</v>
      </c>
      <c r="G603" s="93" t="s">
        <v>4534</v>
      </c>
      <c r="H603" s="54"/>
      <c r="I603" s="1"/>
    </row>
    <row r="604">
      <c r="A604" s="16" t="s">
        <v>85</v>
      </c>
      <c r="B604" s="77" t="str">
        <f>IFERROR(HYPERLINK(VLOOKUP(A604,Internal_lists_bugs!$A$2:$C$73,3,FALSE()), VLOOKUP(A604,Internal_lists_bugs!$A$2:$C$73,3,FALSE())&amp;Char(10) &amp; Char(10) &amp; VLOOKUP(A604,Internal_lists_bugs!$A$2:$Z$73,26,FALSE())),"please select a BUG ID")</f>
        <v>https://github.com/elastic/elasticsearch/issues/5021
/terms/StringTerms.java
/terms/StringTerms.java
/terms/StringTermsAggregator.java </v>
      </c>
      <c r="C604" s="81" t="str">
        <f>IFERROR(Hyperlink(VLOOKUP(A604,Internal_lists_bugs!$A$2:$G1061,7,FALSE()),"BIC: "&amp;VLOOKUP(A604,Internal_lists_bugs!$A$2:$G1061,7,FALSE())&amp;CHAR(10)&amp;"Intro.Issues: "&amp;VLOOKUP(A604,Internal_lists_bugs!$A$2:$P1061,16,FALSE())),"please select a BUG ID")</f>
        <v>BIC: https://github.com/elastic/elasticsearch/commit/c7f6c5266
Intro.Issues: 3300</v>
      </c>
      <c r="D604" s="100">
        <v>3300.0</v>
      </c>
      <c r="E604" s="54"/>
      <c r="F604" s="79" t="s">
        <v>4535</v>
      </c>
      <c r="G604" s="93" t="s">
        <v>4536</v>
      </c>
      <c r="H604" s="54"/>
      <c r="I604" s="1"/>
    </row>
    <row r="605">
      <c r="A605" s="16" t="s">
        <v>85</v>
      </c>
      <c r="B605" s="77" t="str">
        <f>IFERROR(HYPERLINK(VLOOKUP(A605,Internal_lists_bugs!$A$2:$C$73,3,FALSE()), VLOOKUP(A605,Internal_lists_bugs!$A$2:$C$73,3,FALSE())&amp;Char(10) &amp; Char(10) &amp; VLOOKUP(A605,Internal_lists_bugs!$A$2:$Z$73,26,FALSE())),"please select a BUG ID")</f>
        <v>https://github.com/elastic/elasticsearch/issues/5021
/terms/StringTerms.java
/terms/StringTerms.java
/terms/StringTermsAggregator.java </v>
      </c>
      <c r="C605" s="81" t="str">
        <f>IFERROR(Hyperlink(VLOOKUP(A605,Internal_lists_bugs!$A$2:$G1061,7,FALSE()),"BIC: "&amp;VLOOKUP(A605,Internal_lists_bugs!$A$2:$G1061,7,FALSE())&amp;CHAR(10)&amp;"Intro.Issues: "&amp;VLOOKUP(A605,Internal_lists_bugs!$A$2:$P1061,16,FALSE())),"please select a BUG ID")</f>
        <v>BIC: https://github.com/elastic/elasticsearch/commit/c7f6c5266
Intro.Issues: 3300</v>
      </c>
      <c r="D605" s="100">
        <v>3300.0</v>
      </c>
      <c r="E605" s="54"/>
      <c r="F605" s="79" t="s">
        <v>4537</v>
      </c>
      <c r="G605" s="93" t="s">
        <v>4538</v>
      </c>
      <c r="H605" s="54"/>
      <c r="I605" s="1"/>
    </row>
    <row r="606">
      <c r="A606" s="16" t="s">
        <v>85</v>
      </c>
      <c r="B606" s="77" t="str">
        <f>IFERROR(HYPERLINK(VLOOKUP(A606,Internal_lists_bugs!$A$2:$C$73,3,FALSE()), VLOOKUP(A606,Internal_lists_bugs!$A$2:$C$73,3,FALSE())&amp;Char(10) &amp; Char(10) &amp; VLOOKUP(A606,Internal_lists_bugs!$A$2:$Z$73,26,FALSE())),"please select a BUG ID")</f>
        <v>https://github.com/elastic/elasticsearch/issues/5021
/terms/StringTerms.java
/terms/StringTerms.java
/terms/StringTermsAggregator.java </v>
      </c>
      <c r="C606" s="81" t="str">
        <f>IFERROR(Hyperlink(VLOOKUP(A606,Internal_lists_bugs!$A$2:$G1061,7,FALSE()),"BIC: "&amp;VLOOKUP(A606,Internal_lists_bugs!$A$2:$G1061,7,FALSE())&amp;CHAR(10)&amp;"Intro.Issues: "&amp;VLOOKUP(A606,Internal_lists_bugs!$A$2:$P1061,16,FALSE())),"please select a BUG ID")</f>
        <v>BIC: https://github.com/elastic/elasticsearch/commit/c7f6c5266
Intro.Issues: 3300</v>
      </c>
      <c r="D606" s="100">
        <v>3300.0</v>
      </c>
      <c r="E606" s="54"/>
      <c r="F606" s="79" t="s">
        <v>4539</v>
      </c>
      <c r="G606" s="93" t="s">
        <v>4540</v>
      </c>
      <c r="H606" s="54"/>
      <c r="I606" s="1"/>
    </row>
    <row r="607">
      <c r="A607" s="16" t="s">
        <v>85</v>
      </c>
      <c r="B607" s="77" t="str">
        <f>IFERROR(HYPERLINK(VLOOKUP(A607,Internal_lists_bugs!$A$2:$C$73,3,FALSE()), VLOOKUP(A607,Internal_lists_bugs!$A$2:$C$73,3,FALSE())&amp;Char(10) &amp; Char(10) &amp; VLOOKUP(A607,Internal_lists_bugs!$A$2:$Z$73,26,FALSE())),"please select a BUG ID")</f>
        <v>https://github.com/elastic/elasticsearch/issues/5021
/terms/StringTerms.java
/terms/StringTerms.java
/terms/StringTermsAggregator.java </v>
      </c>
      <c r="C607" s="81" t="str">
        <f>IFERROR(Hyperlink(VLOOKUP(A607,Internal_lists_bugs!$A$2:$G1061,7,FALSE()),"BIC: "&amp;VLOOKUP(A607,Internal_lists_bugs!$A$2:$G1061,7,FALSE())&amp;CHAR(10)&amp;"Intro.Issues: "&amp;VLOOKUP(A607,Internal_lists_bugs!$A$2:$P1061,16,FALSE())),"please select a BUG ID")</f>
        <v>BIC: https://github.com/elastic/elasticsearch/commit/c7f6c5266
Intro.Issues: 3300</v>
      </c>
      <c r="D607" s="100">
        <v>3300.0</v>
      </c>
      <c r="E607" s="54"/>
      <c r="F607" s="79" t="s">
        <v>4541</v>
      </c>
      <c r="G607" s="93" t="s">
        <v>4542</v>
      </c>
      <c r="H607" s="54"/>
      <c r="I607" s="1"/>
    </row>
    <row r="608">
      <c r="A608" s="16" t="s">
        <v>85</v>
      </c>
      <c r="B608" s="77" t="str">
        <f>IFERROR(HYPERLINK(VLOOKUP(A608,Internal_lists_bugs!$A$2:$C$73,3,FALSE()), VLOOKUP(A608,Internal_lists_bugs!$A$2:$C$73,3,FALSE())&amp;Char(10) &amp; Char(10) &amp; VLOOKUP(A608,Internal_lists_bugs!$A$2:$Z$73,26,FALSE())),"please select a BUG ID")</f>
        <v>https://github.com/elastic/elasticsearch/issues/5021
/terms/StringTerms.java
/terms/StringTerms.java
/terms/StringTermsAggregator.java </v>
      </c>
      <c r="C608" s="81" t="str">
        <f>IFERROR(Hyperlink(VLOOKUP(A608,Internal_lists_bugs!$A$2:$G1061,7,FALSE()),"BIC: "&amp;VLOOKUP(A608,Internal_lists_bugs!$A$2:$G1061,7,FALSE())&amp;CHAR(10)&amp;"Intro.Issues: "&amp;VLOOKUP(A608,Internal_lists_bugs!$A$2:$P1061,16,FALSE())),"please select a BUG ID")</f>
        <v>BIC: https://github.com/elastic/elasticsearch/commit/c7f6c5266
Intro.Issues: 3300</v>
      </c>
      <c r="D608" s="100">
        <v>3300.0</v>
      </c>
      <c r="E608" s="54"/>
      <c r="F608" s="79" t="s">
        <v>4543</v>
      </c>
      <c r="G608" s="93" t="s">
        <v>4544</v>
      </c>
      <c r="H608" s="54"/>
      <c r="I608" s="1"/>
    </row>
    <row r="609">
      <c r="A609" s="16" t="s">
        <v>85</v>
      </c>
      <c r="B609" s="77" t="str">
        <f>IFERROR(HYPERLINK(VLOOKUP(A609,Internal_lists_bugs!$A$2:$C$73,3,FALSE()), VLOOKUP(A609,Internal_lists_bugs!$A$2:$C$73,3,FALSE())&amp;Char(10) &amp; Char(10) &amp; VLOOKUP(A609,Internal_lists_bugs!$A$2:$Z$73,26,FALSE())),"please select a BUG ID")</f>
        <v>https://github.com/elastic/elasticsearch/issues/5021
/terms/StringTerms.java
/terms/StringTerms.java
/terms/StringTermsAggregator.java </v>
      </c>
      <c r="C609" s="81" t="str">
        <f>IFERROR(Hyperlink(VLOOKUP(A609,Internal_lists_bugs!$A$2:$G1061,7,FALSE()),"BIC: "&amp;VLOOKUP(A609,Internal_lists_bugs!$A$2:$G1061,7,FALSE())&amp;CHAR(10)&amp;"Intro.Issues: "&amp;VLOOKUP(A609,Internal_lists_bugs!$A$2:$P1061,16,FALSE())),"please select a BUG ID")</f>
        <v>BIC: https://github.com/elastic/elasticsearch/commit/c7f6c5266
Intro.Issues: 3300</v>
      </c>
      <c r="D609" s="100">
        <v>3300.0</v>
      </c>
      <c r="E609" s="54"/>
      <c r="F609" s="79" t="s">
        <v>4545</v>
      </c>
      <c r="G609" s="93" t="s">
        <v>4544</v>
      </c>
      <c r="H609" s="54"/>
      <c r="I609" s="1"/>
    </row>
    <row r="610">
      <c r="A610" s="16" t="s">
        <v>85</v>
      </c>
      <c r="B610" s="77" t="str">
        <f>IFERROR(HYPERLINK(VLOOKUP(A610,Internal_lists_bugs!$A$2:$C$73,3,FALSE()), VLOOKUP(A610,Internal_lists_bugs!$A$2:$C$73,3,FALSE())&amp;Char(10) &amp; Char(10) &amp; VLOOKUP(A610,Internal_lists_bugs!$A$2:$Z$73,26,FALSE())),"please select a BUG ID")</f>
        <v>https://github.com/elastic/elasticsearch/issues/5021
/terms/StringTerms.java
/terms/StringTerms.java
/terms/StringTermsAggregator.java </v>
      </c>
      <c r="C610" s="81" t="str">
        <f>IFERROR(Hyperlink(VLOOKUP(A610,Internal_lists_bugs!$A$2:$G1061,7,FALSE()),"BIC: "&amp;VLOOKUP(A610,Internal_lists_bugs!$A$2:$G1061,7,FALSE())&amp;CHAR(10)&amp;"Intro.Issues: "&amp;VLOOKUP(A610,Internal_lists_bugs!$A$2:$P1061,16,FALSE())),"please select a BUG ID")</f>
        <v>BIC: https://github.com/elastic/elasticsearch/commit/c7f6c5266
Intro.Issues: 3300</v>
      </c>
      <c r="D610" s="100">
        <v>3300.0</v>
      </c>
      <c r="E610" s="54"/>
      <c r="F610" s="79" t="s">
        <v>2112</v>
      </c>
      <c r="G610" s="93" t="s">
        <v>4546</v>
      </c>
      <c r="H610" s="54"/>
      <c r="I610" s="1"/>
    </row>
    <row r="611">
      <c r="A611" s="16" t="s">
        <v>85</v>
      </c>
      <c r="B611" s="77" t="str">
        <f>IFERROR(HYPERLINK(VLOOKUP(A611,Internal_lists_bugs!$A$2:$C$73,3,FALSE()), VLOOKUP(A611,Internal_lists_bugs!$A$2:$C$73,3,FALSE())&amp;Char(10) &amp; Char(10) &amp; VLOOKUP(A611,Internal_lists_bugs!$A$2:$Z$73,26,FALSE())),"please select a BUG ID")</f>
        <v>https://github.com/elastic/elasticsearch/issues/5021
/terms/StringTerms.java
/terms/StringTerms.java
/terms/StringTermsAggregator.java </v>
      </c>
      <c r="C611" s="81" t="str">
        <f>IFERROR(Hyperlink(VLOOKUP(A611,Internal_lists_bugs!$A$2:$G1061,7,FALSE()),"BIC: "&amp;VLOOKUP(A611,Internal_lists_bugs!$A$2:$G1061,7,FALSE())&amp;CHAR(10)&amp;"Intro.Issues: "&amp;VLOOKUP(A611,Internal_lists_bugs!$A$2:$P1061,16,FALSE())),"please select a BUG ID")</f>
        <v>BIC: https://github.com/elastic/elasticsearch/commit/c7f6c5266
Intro.Issues: 3300</v>
      </c>
      <c r="D611" s="100">
        <v>3300.0</v>
      </c>
      <c r="E611" s="54"/>
      <c r="F611" s="79" t="s">
        <v>4547</v>
      </c>
      <c r="G611" s="93" t="s">
        <v>4548</v>
      </c>
      <c r="H611" s="54"/>
      <c r="I611" s="1"/>
    </row>
    <row r="612">
      <c r="A612" s="16" t="s">
        <v>85</v>
      </c>
      <c r="B612" s="77" t="str">
        <f>IFERROR(HYPERLINK(VLOOKUP(A612,Internal_lists_bugs!$A$2:$C$73,3,FALSE()), VLOOKUP(A612,Internal_lists_bugs!$A$2:$C$73,3,FALSE())&amp;Char(10) &amp; Char(10) &amp; VLOOKUP(A612,Internal_lists_bugs!$A$2:$Z$73,26,FALSE())),"please select a BUG ID")</f>
        <v>https://github.com/elastic/elasticsearch/issues/5021
/terms/StringTerms.java
/terms/StringTerms.java
/terms/StringTermsAggregator.java </v>
      </c>
      <c r="C612" s="81" t="str">
        <f>IFERROR(Hyperlink(VLOOKUP(A612,Internal_lists_bugs!$A$2:$G1061,7,FALSE()),"BIC: "&amp;VLOOKUP(A612,Internal_lists_bugs!$A$2:$G1061,7,FALSE())&amp;CHAR(10)&amp;"Intro.Issues: "&amp;VLOOKUP(A612,Internal_lists_bugs!$A$2:$P1061,16,FALSE())),"please select a BUG ID")</f>
        <v>BIC: https://github.com/elastic/elasticsearch/commit/c7f6c5266
Intro.Issues: 3300</v>
      </c>
      <c r="D612" s="100">
        <v>3300.0</v>
      </c>
      <c r="E612" s="54"/>
      <c r="F612" s="79" t="s">
        <v>4549</v>
      </c>
      <c r="G612" s="93" t="s">
        <v>4550</v>
      </c>
      <c r="H612" s="54"/>
      <c r="I612" s="1"/>
    </row>
    <row r="613">
      <c r="A613" s="16" t="s">
        <v>85</v>
      </c>
      <c r="B613" s="77" t="str">
        <f>IFERROR(HYPERLINK(VLOOKUP(A613,Internal_lists_bugs!$A$2:$C$73,3,FALSE()), VLOOKUP(A613,Internal_lists_bugs!$A$2:$C$73,3,FALSE())&amp;Char(10) &amp; Char(10) &amp; VLOOKUP(A613,Internal_lists_bugs!$A$2:$Z$73,26,FALSE())),"please select a BUG ID")</f>
        <v>https://github.com/elastic/elasticsearch/issues/5021
/terms/StringTerms.java
/terms/StringTerms.java
/terms/StringTermsAggregator.java </v>
      </c>
      <c r="C613" s="81" t="str">
        <f>IFERROR(Hyperlink(VLOOKUP(A613,Internal_lists_bugs!$A$2:$G1061,7,FALSE()),"BIC: "&amp;VLOOKUP(A613,Internal_lists_bugs!$A$2:$G1061,7,FALSE())&amp;CHAR(10)&amp;"Intro.Issues: "&amp;VLOOKUP(A613,Internal_lists_bugs!$A$2:$P1061,16,FALSE())),"please select a BUG ID")</f>
        <v>BIC: https://github.com/elastic/elasticsearch/commit/c7f6c5266
Intro.Issues: 3300</v>
      </c>
      <c r="D613" s="100">
        <v>3300.0</v>
      </c>
      <c r="E613" s="54"/>
      <c r="F613" s="79" t="s">
        <v>4513</v>
      </c>
      <c r="G613" s="93" t="s">
        <v>4550</v>
      </c>
      <c r="H613" s="54"/>
      <c r="I613" s="1"/>
    </row>
    <row r="614">
      <c r="A614" s="16" t="s">
        <v>85</v>
      </c>
      <c r="B614" s="77" t="str">
        <f>IFERROR(HYPERLINK(VLOOKUP(A614,Internal_lists_bugs!$A$2:$C$73,3,FALSE()), VLOOKUP(A614,Internal_lists_bugs!$A$2:$C$73,3,FALSE())&amp;Char(10) &amp; Char(10) &amp; VLOOKUP(A614,Internal_lists_bugs!$A$2:$Z$73,26,FALSE())),"please select a BUG ID")</f>
        <v>https://github.com/elastic/elasticsearch/issues/5021
/terms/StringTerms.java
/terms/StringTerms.java
/terms/StringTermsAggregator.java </v>
      </c>
      <c r="C614" s="81" t="str">
        <f>IFERROR(Hyperlink(VLOOKUP(A614,Internal_lists_bugs!$A$2:$G1061,7,FALSE()),"BIC: "&amp;VLOOKUP(A614,Internal_lists_bugs!$A$2:$G1061,7,FALSE())&amp;CHAR(10)&amp;"Intro.Issues: "&amp;VLOOKUP(A614,Internal_lists_bugs!$A$2:$P1061,16,FALSE())),"please select a BUG ID")</f>
        <v>BIC: https://github.com/elastic/elasticsearch/commit/c7f6c5266
Intro.Issues: 3300</v>
      </c>
      <c r="D614" s="100">
        <v>3300.0</v>
      </c>
      <c r="E614" s="54"/>
      <c r="F614" s="79" t="s">
        <v>4551</v>
      </c>
      <c r="G614" s="93" t="s">
        <v>4552</v>
      </c>
      <c r="H614" s="54"/>
      <c r="I614" s="1"/>
    </row>
    <row r="615">
      <c r="A615" s="16" t="s">
        <v>85</v>
      </c>
      <c r="B615" s="77" t="str">
        <f>IFERROR(HYPERLINK(VLOOKUP(A615,Internal_lists_bugs!$A$2:$C$73,3,FALSE()), VLOOKUP(A615,Internal_lists_bugs!$A$2:$C$73,3,FALSE())&amp;Char(10) &amp; Char(10) &amp; VLOOKUP(A615,Internal_lists_bugs!$A$2:$Z$73,26,FALSE())),"please select a BUG ID")</f>
        <v>https://github.com/elastic/elasticsearch/issues/5021
/terms/StringTerms.java
/terms/StringTerms.java
/terms/StringTermsAggregator.java </v>
      </c>
      <c r="C615" s="81" t="str">
        <f>IFERROR(Hyperlink(VLOOKUP(A615,Internal_lists_bugs!$A$2:$G1061,7,FALSE()),"BIC: "&amp;VLOOKUP(A615,Internal_lists_bugs!$A$2:$G1061,7,FALSE())&amp;CHAR(10)&amp;"Intro.Issues: "&amp;VLOOKUP(A615,Internal_lists_bugs!$A$2:$P1061,16,FALSE())),"please select a BUG ID")</f>
        <v>BIC: https://github.com/elastic/elasticsearch/commit/c7f6c5266
Intro.Issues: 3300</v>
      </c>
      <c r="D615" s="100">
        <v>3300.0</v>
      </c>
      <c r="E615" s="54"/>
      <c r="F615" s="79" t="s">
        <v>4553</v>
      </c>
      <c r="G615" s="93" t="s">
        <v>4552</v>
      </c>
      <c r="H615" s="54"/>
      <c r="I615" s="1"/>
    </row>
    <row r="616">
      <c r="A616" s="16" t="s">
        <v>85</v>
      </c>
      <c r="B616" s="77" t="str">
        <f>IFERROR(HYPERLINK(VLOOKUP(A616,Internal_lists_bugs!$A$2:$C$73,3,FALSE()), VLOOKUP(A616,Internal_lists_bugs!$A$2:$C$73,3,FALSE())&amp;Char(10) &amp; Char(10) &amp; VLOOKUP(A616,Internal_lists_bugs!$A$2:$Z$73,26,FALSE())),"please select a BUG ID")</f>
        <v>https://github.com/elastic/elasticsearch/issues/5021
/terms/StringTerms.java
/terms/StringTerms.java
/terms/StringTermsAggregator.java </v>
      </c>
      <c r="C616" s="81" t="str">
        <f>IFERROR(Hyperlink(VLOOKUP(A616,Internal_lists_bugs!$A$2:$G1061,7,FALSE()),"BIC: "&amp;VLOOKUP(A616,Internal_lists_bugs!$A$2:$G1061,7,FALSE())&amp;CHAR(10)&amp;"Intro.Issues: "&amp;VLOOKUP(A616,Internal_lists_bugs!$A$2:$P1061,16,FALSE())),"please select a BUG ID")</f>
        <v>BIC: https://github.com/elastic/elasticsearch/commit/c7f6c5266
Intro.Issues: 3300</v>
      </c>
      <c r="D616" s="100">
        <v>3300.0</v>
      </c>
      <c r="E616" s="54"/>
      <c r="F616" s="79" t="s">
        <v>4554</v>
      </c>
      <c r="G616" s="93" t="s">
        <v>4552</v>
      </c>
      <c r="H616" s="54"/>
      <c r="I616" s="1"/>
    </row>
    <row r="617">
      <c r="A617" s="16" t="s">
        <v>85</v>
      </c>
      <c r="B617" s="77" t="str">
        <f>IFERROR(HYPERLINK(VLOOKUP(A617,Internal_lists_bugs!$A$2:$C$73,3,FALSE()), VLOOKUP(A617,Internal_lists_bugs!$A$2:$C$73,3,FALSE())&amp;Char(10) &amp; Char(10) &amp; VLOOKUP(A617,Internal_lists_bugs!$A$2:$Z$73,26,FALSE())),"please select a BUG ID")</f>
        <v>https://github.com/elastic/elasticsearch/issues/5021
/terms/StringTerms.java
/terms/StringTerms.java
/terms/StringTermsAggregator.java </v>
      </c>
      <c r="C617" s="81" t="str">
        <f>IFERROR(Hyperlink(VLOOKUP(A617,Internal_lists_bugs!$A$2:$G1061,7,FALSE()),"BIC: "&amp;VLOOKUP(A617,Internal_lists_bugs!$A$2:$G1061,7,FALSE())&amp;CHAR(10)&amp;"Intro.Issues: "&amp;VLOOKUP(A617,Internal_lists_bugs!$A$2:$P1061,16,FALSE())),"please select a BUG ID")</f>
        <v>BIC: https://github.com/elastic/elasticsearch/commit/c7f6c5266
Intro.Issues: 3300</v>
      </c>
      <c r="D617" s="100">
        <v>3300.0</v>
      </c>
      <c r="E617" s="54"/>
      <c r="F617" s="79" t="s">
        <v>4516</v>
      </c>
      <c r="G617" s="93" t="s">
        <v>4555</v>
      </c>
      <c r="H617" s="54"/>
      <c r="I617" s="1"/>
    </row>
    <row r="618">
      <c r="A618" s="16" t="s">
        <v>85</v>
      </c>
      <c r="B618" s="77" t="str">
        <f>IFERROR(HYPERLINK(VLOOKUP(A618,Internal_lists_bugs!$A$2:$C$73,3,FALSE()), VLOOKUP(A618,Internal_lists_bugs!$A$2:$C$73,3,FALSE())&amp;Char(10) &amp; Char(10) &amp; VLOOKUP(A618,Internal_lists_bugs!$A$2:$Z$73,26,FALSE())),"please select a BUG ID")</f>
        <v>https://github.com/elastic/elasticsearch/issues/5021
/terms/StringTerms.java
/terms/StringTerms.java
/terms/StringTermsAggregator.java </v>
      </c>
      <c r="C618" s="81" t="str">
        <f>IFERROR(Hyperlink(VLOOKUP(A618,Internal_lists_bugs!$A$2:$G1061,7,FALSE()),"BIC: "&amp;VLOOKUP(A618,Internal_lists_bugs!$A$2:$G1061,7,FALSE())&amp;CHAR(10)&amp;"Intro.Issues: "&amp;VLOOKUP(A618,Internal_lists_bugs!$A$2:$P1061,16,FALSE())),"please select a BUG ID")</f>
        <v>BIC: https://github.com/elastic/elasticsearch/commit/c7f6c5266
Intro.Issues: 3300</v>
      </c>
      <c r="D618" s="100">
        <v>3300.0</v>
      </c>
      <c r="E618" s="54"/>
      <c r="F618" s="79" t="s">
        <v>4541</v>
      </c>
      <c r="G618" s="93" t="s">
        <v>4556</v>
      </c>
      <c r="H618" s="54"/>
      <c r="I618" s="1"/>
    </row>
    <row r="619">
      <c r="A619" s="16" t="s">
        <v>85</v>
      </c>
      <c r="B619" s="77" t="str">
        <f>IFERROR(HYPERLINK(VLOOKUP(A619,Internal_lists_bugs!$A$2:$C$73,3,FALSE()), VLOOKUP(A619,Internal_lists_bugs!$A$2:$C$73,3,FALSE())&amp;Char(10) &amp; Char(10) &amp; VLOOKUP(A619,Internal_lists_bugs!$A$2:$Z$73,26,FALSE())),"please select a BUG ID")</f>
        <v>https://github.com/elastic/elasticsearch/issues/5021
/terms/StringTerms.java
/terms/StringTerms.java
/terms/StringTermsAggregator.java </v>
      </c>
      <c r="C619" s="81" t="str">
        <f>IFERROR(Hyperlink(VLOOKUP(A619,Internal_lists_bugs!$A$2:$G1061,7,FALSE()),"BIC: "&amp;VLOOKUP(A619,Internal_lists_bugs!$A$2:$G1061,7,FALSE())&amp;CHAR(10)&amp;"Intro.Issues: "&amp;VLOOKUP(A619,Internal_lists_bugs!$A$2:$P1061,16,FALSE())),"please select a BUG ID")</f>
        <v>BIC: https://github.com/elastic/elasticsearch/commit/c7f6c5266
Intro.Issues: 3300</v>
      </c>
      <c r="D619" s="100">
        <v>3300.0</v>
      </c>
      <c r="E619" s="54"/>
      <c r="F619" s="79" t="s">
        <v>4557</v>
      </c>
      <c r="G619" s="93" t="s">
        <v>4558</v>
      </c>
      <c r="H619" s="54"/>
      <c r="I619" s="1"/>
    </row>
    <row r="620">
      <c r="A620" s="16" t="s">
        <v>85</v>
      </c>
      <c r="B620" s="77" t="str">
        <f>IFERROR(HYPERLINK(VLOOKUP(A620,Internal_lists_bugs!$A$2:$C$73,3,FALSE()), VLOOKUP(A620,Internal_lists_bugs!$A$2:$C$73,3,FALSE())&amp;Char(10) &amp; Char(10) &amp; VLOOKUP(A620,Internal_lists_bugs!$A$2:$Z$73,26,FALSE())),"please select a BUG ID")</f>
        <v>https://github.com/elastic/elasticsearch/issues/5021
/terms/StringTerms.java
/terms/StringTerms.java
/terms/StringTermsAggregator.java </v>
      </c>
      <c r="C620" s="81" t="str">
        <f>IFERROR(Hyperlink(VLOOKUP(A620,Internal_lists_bugs!$A$2:$G1061,7,FALSE()),"BIC: "&amp;VLOOKUP(A620,Internal_lists_bugs!$A$2:$G1061,7,FALSE())&amp;CHAR(10)&amp;"Intro.Issues: "&amp;VLOOKUP(A620,Internal_lists_bugs!$A$2:$P1061,16,FALSE())),"please select a BUG ID")</f>
        <v>BIC: https://github.com/elastic/elasticsearch/commit/c7f6c5266
Intro.Issues: 3300</v>
      </c>
      <c r="D620" s="100">
        <v>3300.0</v>
      </c>
      <c r="E620" s="54"/>
      <c r="F620" s="79" t="s">
        <v>4284</v>
      </c>
      <c r="G620" s="93" t="s">
        <v>324</v>
      </c>
      <c r="H620" s="54"/>
      <c r="I620" s="1"/>
    </row>
    <row r="621">
      <c r="A621" s="16" t="s">
        <v>85</v>
      </c>
      <c r="B621" s="77" t="str">
        <f>IFERROR(HYPERLINK(VLOOKUP(A621,Internal_lists_bugs!$A$2:$C$73,3,FALSE()), VLOOKUP(A621,Internal_lists_bugs!$A$2:$C$73,3,FALSE())&amp;Char(10) &amp; Char(10) &amp; VLOOKUP(A621,Internal_lists_bugs!$A$2:$Z$73,26,FALSE())),"please select a BUG ID")</f>
        <v>https://github.com/elastic/elasticsearch/issues/5021
/terms/StringTerms.java
/terms/StringTerms.java
/terms/StringTermsAggregator.java </v>
      </c>
      <c r="C621" s="81" t="str">
        <f>IFERROR(Hyperlink(VLOOKUP(A621,Internal_lists_bugs!$A$2:$G1061,7,FALSE()),"BIC: "&amp;VLOOKUP(A621,Internal_lists_bugs!$A$2:$G1061,7,FALSE())&amp;CHAR(10)&amp;"Intro.Issues: "&amp;VLOOKUP(A621,Internal_lists_bugs!$A$2:$P1061,16,FALSE())),"please select a BUG ID")</f>
        <v>BIC: https://github.com/elastic/elasticsearch/commit/c7f6c5266
Intro.Issues: 3300</v>
      </c>
      <c r="D621" s="100">
        <v>3300.0</v>
      </c>
      <c r="E621" s="54"/>
      <c r="F621" s="79" t="s">
        <v>4559</v>
      </c>
      <c r="G621" s="93" t="s">
        <v>4560</v>
      </c>
      <c r="H621" s="54"/>
      <c r="I621" s="1"/>
    </row>
    <row r="622">
      <c r="A622" s="16" t="s">
        <v>85</v>
      </c>
      <c r="B622" s="77" t="str">
        <f>IFERROR(HYPERLINK(VLOOKUP(A622,Internal_lists_bugs!$A$2:$C$73,3,FALSE()), VLOOKUP(A622,Internal_lists_bugs!$A$2:$C$73,3,FALSE())&amp;Char(10) &amp; Char(10) &amp; VLOOKUP(A622,Internal_lists_bugs!$A$2:$Z$73,26,FALSE())),"please select a BUG ID")</f>
        <v>https://github.com/elastic/elasticsearch/issues/5021
/terms/StringTerms.java
/terms/StringTerms.java
/terms/StringTermsAggregator.java </v>
      </c>
      <c r="C622" s="81" t="str">
        <f>IFERROR(Hyperlink(VLOOKUP(A622,Internal_lists_bugs!$A$2:$G1061,7,FALSE()),"BIC: "&amp;VLOOKUP(A622,Internal_lists_bugs!$A$2:$G1061,7,FALSE())&amp;CHAR(10)&amp;"Intro.Issues: "&amp;VLOOKUP(A622,Internal_lists_bugs!$A$2:$P1061,16,FALSE())),"please select a BUG ID")</f>
        <v>BIC: https://github.com/elastic/elasticsearch/commit/c7f6c5266
Intro.Issues: 3300</v>
      </c>
      <c r="D622" s="100">
        <v>3300.0</v>
      </c>
      <c r="E622" s="54"/>
      <c r="F622" s="79" t="s">
        <v>4561</v>
      </c>
      <c r="G622" s="93" t="s">
        <v>4562</v>
      </c>
      <c r="H622" s="54"/>
      <c r="I622" s="1"/>
    </row>
    <row r="623">
      <c r="A623" s="16" t="s">
        <v>85</v>
      </c>
      <c r="B623" s="77" t="str">
        <f>IFERROR(HYPERLINK(VLOOKUP(A623,Internal_lists_bugs!$A$2:$C$73,3,FALSE()), VLOOKUP(A623,Internal_lists_bugs!$A$2:$C$73,3,FALSE())&amp;Char(10) &amp; Char(10) &amp; VLOOKUP(A623,Internal_lists_bugs!$A$2:$Z$73,26,FALSE())),"please select a BUG ID")</f>
        <v>https://github.com/elastic/elasticsearch/issues/5021
/terms/StringTerms.java
/terms/StringTerms.java
/terms/StringTermsAggregator.java </v>
      </c>
      <c r="C623" s="81" t="str">
        <f>IFERROR(Hyperlink(VLOOKUP(A623,Internal_lists_bugs!$A$2:$G1061,7,FALSE()),"BIC: "&amp;VLOOKUP(A623,Internal_lists_bugs!$A$2:$G1061,7,FALSE())&amp;CHAR(10)&amp;"Intro.Issues: "&amp;VLOOKUP(A623,Internal_lists_bugs!$A$2:$P1061,16,FALSE())),"please select a BUG ID")</f>
        <v>BIC: https://github.com/elastic/elasticsearch/commit/c7f6c5266
Intro.Issues: 3300</v>
      </c>
      <c r="D623" s="100">
        <v>3300.0</v>
      </c>
      <c r="E623" s="54"/>
      <c r="F623" s="79" t="s">
        <v>4563</v>
      </c>
      <c r="G623" s="93" t="s">
        <v>4558</v>
      </c>
      <c r="H623" s="54"/>
      <c r="I623" s="1"/>
    </row>
    <row r="624">
      <c r="A624" s="16" t="s">
        <v>85</v>
      </c>
      <c r="B624" s="77" t="str">
        <f>IFERROR(HYPERLINK(VLOOKUP(A624,Internal_lists_bugs!$A$2:$C$73,3,FALSE()), VLOOKUP(A624,Internal_lists_bugs!$A$2:$C$73,3,FALSE())&amp;Char(10) &amp; Char(10) &amp; VLOOKUP(A624,Internal_lists_bugs!$A$2:$Z$73,26,FALSE())),"please select a BUG ID")</f>
        <v>https://github.com/elastic/elasticsearch/issues/5021
/terms/StringTerms.java
/terms/StringTerms.java
/terms/StringTermsAggregator.java </v>
      </c>
      <c r="C624" s="81" t="str">
        <f>IFERROR(Hyperlink(VLOOKUP(A624,Internal_lists_bugs!$A$2:$G1061,7,FALSE()),"BIC: "&amp;VLOOKUP(A624,Internal_lists_bugs!$A$2:$G1061,7,FALSE())&amp;CHAR(10)&amp;"Intro.Issues: "&amp;VLOOKUP(A624,Internal_lists_bugs!$A$2:$P1061,16,FALSE())),"please select a BUG ID")</f>
        <v>BIC: https://github.com/elastic/elasticsearch/commit/c7f6c5266
Intro.Issues: 3300</v>
      </c>
      <c r="D624" s="100">
        <v>3300.0</v>
      </c>
      <c r="E624" s="54"/>
      <c r="F624" s="79" t="s">
        <v>4564</v>
      </c>
      <c r="G624" s="93" t="s">
        <v>4562</v>
      </c>
      <c r="H624" s="54"/>
      <c r="I624" s="1"/>
    </row>
    <row r="625">
      <c r="A625" s="16" t="s">
        <v>85</v>
      </c>
      <c r="B625" s="77" t="str">
        <f>IFERROR(HYPERLINK(VLOOKUP(A625,Internal_lists_bugs!$A$2:$C$73,3,FALSE()), VLOOKUP(A625,Internal_lists_bugs!$A$2:$C$73,3,FALSE())&amp;Char(10) &amp; Char(10) &amp; VLOOKUP(A625,Internal_lists_bugs!$A$2:$Z$73,26,FALSE())),"please select a BUG ID")</f>
        <v>https://github.com/elastic/elasticsearch/issues/5021
/terms/StringTerms.java
/terms/StringTerms.java
/terms/StringTermsAggregator.java </v>
      </c>
      <c r="C625" s="81" t="str">
        <f>IFERROR(Hyperlink(VLOOKUP(A625,Internal_lists_bugs!$A$2:$G1061,7,FALSE()),"BIC: "&amp;VLOOKUP(A625,Internal_lists_bugs!$A$2:$G1061,7,FALSE())&amp;CHAR(10)&amp;"Intro.Issues: "&amp;VLOOKUP(A625,Internal_lists_bugs!$A$2:$P1061,16,FALSE())),"please select a BUG ID")</f>
        <v>BIC: https://github.com/elastic/elasticsearch/commit/c7f6c5266
Intro.Issues: 3300</v>
      </c>
      <c r="D625" s="100">
        <v>3300.0</v>
      </c>
      <c r="E625" s="54"/>
      <c r="F625" s="79" t="s">
        <v>4547</v>
      </c>
      <c r="G625" s="93" t="s">
        <v>4558</v>
      </c>
      <c r="H625" s="54"/>
      <c r="I625" s="1"/>
    </row>
    <row r="626">
      <c r="A626" s="16" t="s">
        <v>85</v>
      </c>
      <c r="B626" s="77" t="str">
        <f>IFERROR(HYPERLINK(VLOOKUP(A626,Internal_lists_bugs!$A$2:$C$73,3,FALSE()), VLOOKUP(A626,Internal_lists_bugs!$A$2:$C$73,3,FALSE())&amp;Char(10) &amp; Char(10) &amp; VLOOKUP(A626,Internal_lists_bugs!$A$2:$Z$73,26,FALSE())),"please select a BUG ID")</f>
        <v>https://github.com/elastic/elasticsearch/issues/5021
/terms/StringTerms.java
/terms/StringTerms.java
/terms/StringTermsAggregator.java </v>
      </c>
      <c r="C626" s="81" t="str">
        <f>IFERROR(Hyperlink(VLOOKUP(A626,Internal_lists_bugs!$A$2:$G1061,7,FALSE()),"BIC: "&amp;VLOOKUP(A626,Internal_lists_bugs!$A$2:$G1061,7,FALSE())&amp;CHAR(10)&amp;"Intro.Issues: "&amp;VLOOKUP(A626,Internal_lists_bugs!$A$2:$P1061,16,FALSE())),"please select a BUG ID")</f>
        <v>BIC: https://github.com/elastic/elasticsearch/commit/c7f6c5266
Intro.Issues: 3300</v>
      </c>
      <c r="D626" s="100">
        <v>3300.0</v>
      </c>
      <c r="E626" s="54"/>
      <c r="F626" s="79" t="s">
        <v>473</v>
      </c>
      <c r="G626" s="93" t="s">
        <v>4562</v>
      </c>
      <c r="H626" s="54"/>
      <c r="I626" s="1"/>
    </row>
    <row r="627">
      <c r="A627" s="16" t="s">
        <v>85</v>
      </c>
      <c r="B627" s="77" t="str">
        <f>IFERROR(HYPERLINK(VLOOKUP(A627,Internal_lists_bugs!$A$2:$C$73,3,FALSE()), VLOOKUP(A627,Internal_lists_bugs!$A$2:$C$73,3,FALSE())&amp;Char(10) &amp; Char(10) &amp; VLOOKUP(A627,Internal_lists_bugs!$A$2:$Z$73,26,FALSE())),"please select a BUG ID")</f>
        <v>https://github.com/elastic/elasticsearch/issues/5021
/terms/StringTerms.java
/terms/StringTerms.java
/terms/StringTermsAggregator.java </v>
      </c>
      <c r="C627" s="81" t="str">
        <f>IFERROR(Hyperlink(VLOOKUP(A627,Internal_lists_bugs!$A$2:$G1061,7,FALSE()),"BIC: "&amp;VLOOKUP(A627,Internal_lists_bugs!$A$2:$G1061,7,FALSE())&amp;CHAR(10)&amp;"Intro.Issues: "&amp;VLOOKUP(A627,Internal_lists_bugs!$A$2:$P1061,16,FALSE())),"please select a BUG ID")</f>
        <v>BIC: https://github.com/elastic/elasticsearch/commit/c7f6c5266
Intro.Issues: 3300</v>
      </c>
      <c r="D627" s="100">
        <v>3300.0</v>
      </c>
      <c r="E627" s="54"/>
      <c r="F627" s="79" t="s">
        <v>4547</v>
      </c>
      <c r="G627" s="93" t="s">
        <v>4565</v>
      </c>
      <c r="H627" s="54"/>
      <c r="I627" s="1"/>
    </row>
    <row r="628">
      <c r="A628" s="16" t="s">
        <v>85</v>
      </c>
      <c r="B628" s="77" t="str">
        <f>IFERROR(HYPERLINK(VLOOKUP(A628,Internal_lists_bugs!$A$2:$C$73,3,FALSE()), VLOOKUP(A628,Internal_lists_bugs!$A$2:$C$73,3,FALSE())&amp;Char(10) &amp; Char(10) &amp; VLOOKUP(A628,Internal_lists_bugs!$A$2:$Z$73,26,FALSE())),"please select a BUG ID")</f>
        <v>https://github.com/elastic/elasticsearch/issues/5021
/terms/StringTerms.java
/terms/StringTerms.java
/terms/StringTermsAggregator.java </v>
      </c>
      <c r="C628" s="81" t="str">
        <f>IFERROR(Hyperlink(VLOOKUP(A628,Internal_lists_bugs!$A$2:$G1061,7,FALSE()),"BIC: "&amp;VLOOKUP(A628,Internal_lists_bugs!$A$2:$G1061,7,FALSE())&amp;CHAR(10)&amp;"Intro.Issues: "&amp;VLOOKUP(A628,Internal_lists_bugs!$A$2:$P1061,16,FALSE())),"please select a BUG ID")</f>
        <v>BIC: https://github.com/elastic/elasticsearch/commit/c7f6c5266
Intro.Issues: 3300</v>
      </c>
      <c r="D628" s="100">
        <v>3300.0</v>
      </c>
      <c r="E628" s="54"/>
      <c r="F628" s="79" t="s">
        <v>4566</v>
      </c>
      <c r="G628" s="93" t="s">
        <v>4567</v>
      </c>
      <c r="H628" s="54"/>
      <c r="I628" s="1"/>
    </row>
    <row r="629">
      <c r="A629" s="16" t="s">
        <v>85</v>
      </c>
      <c r="B629" s="77" t="str">
        <f>IFERROR(HYPERLINK(VLOOKUP(A629,Internal_lists_bugs!$A$2:$C$73,3,FALSE()), VLOOKUP(A629,Internal_lists_bugs!$A$2:$C$73,3,FALSE())&amp;Char(10) &amp; Char(10) &amp; VLOOKUP(A629,Internal_lists_bugs!$A$2:$Z$73,26,FALSE())),"please select a BUG ID")</f>
        <v>https://github.com/elastic/elasticsearch/issues/5021
/terms/StringTerms.java
/terms/StringTerms.java
/terms/StringTermsAggregator.java </v>
      </c>
      <c r="C629" s="81" t="str">
        <f>IFERROR(Hyperlink(VLOOKUP(A629,Internal_lists_bugs!$A$2:$G1061,7,FALSE()),"BIC: "&amp;VLOOKUP(A629,Internal_lists_bugs!$A$2:$G1061,7,FALSE())&amp;CHAR(10)&amp;"Intro.Issues: "&amp;VLOOKUP(A629,Internal_lists_bugs!$A$2:$P1061,16,FALSE())),"please select a BUG ID")</f>
        <v>BIC: https://github.com/elastic/elasticsearch/commit/c7f6c5266
Intro.Issues: 3300</v>
      </c>
      <c r="D629" s="100">
        <v>3300.0</v>
      </c>
      <c r="E629" s="54"/>
      <c r="F629" s="79" t="s">
        <v>4568</v>
      </c>
      <c r="G629" s="93" t="s">
        <v>4569</v>
      </c>
      <c r="H629" s="54"/>
      <c r="I629" s="1"/>
    </row>
    <row r="630">
      <c r="A630" s="16" t="s">
        <v>85</v>
      </c>
      <c r="B630" s="77" t="str">
        <f>IFERROR(HYPERLINK(VLOOKUP(A630,Internal_lists_bugs!$A$2:$C$73,3,FALSE()), VLOOKUP(A630,Internal_lists_bugs!$A$2:$C$73,3,FALSE())&amp;Char(10) &amp; Char(10) &amp; VLOOKUP(A630,Internal_lists_bugs!$A$2:$Z$73,26,FALSE())),"please select a BUG ID")</f>
        <v>https://github.com/elastic/elasticsearch/issues/5021
/terms/StringTerms.java
/terms/StringTerms.java
/terms/StringTermsAggregator.java </v>
      </c>
      <c r="C630" s="81" t="str">
        <f>IFERROR(Hyperlink(VLOOKUP(A630,Internal_lists_bugs!$A$2:$G1061,7,FALSE()),"BIC: "&amp;VLOOKUP(A630,Internal_lists_bugs!$A$2:$G1061,7,FALSE())&amp;CHAR(10)&amp;"Intro.Issues: "&amp;VLOOKUP(A630,Internal_lists_bugs!$A$2:$P1061,16,FALSE())),"please select a BUG ID")</f>
        <v>BIC: https://github.com/elastic/elasticsearch/commit/c7f6c5266
Intro.Issues: 3300</v>
      </c>
      <c r="D630" s="100">
        <v>3300.0</v>
      </c>
      <c r="E630" s="54"/>
      <c r="F630" s="79" t="s">
        <v>4539</v>
      </c>
      <c r="G630" s="93" t="s">
        <v>4569</v>
      </c>
      <c r="H630" s="54"/>
      <c r="I630" s="1"/>
    </row>
    <row r="631">
      <c r="A631" s="16" t="s">
        <v>85</v>
      </c>
      <c r="B631" s="77" t="str">
        <f>IFERROR(HYPERLINK(VLOOKUP(A631,Internal_lists_bugs!$A$2:$C$73,3,FALSE()), VLOOKUP(A631,Internal_lists_bugs!$A$2:$C$73,3,FALSE())&amp;Char(10) &amp; Char(10) &amp; VLOOKUP(A631,Internal_lists_bugs!$A$2:$Z$73,26,FALSE())),"please select a BUG ID")</f>
        <v>https://github.com/elastic/elasticsearch/issues/5021
/terms/StringTerms.java
/terms/StringTerms.java
/terms/StringTermsAggregator.java </v>
      </c>
      <c r="C631" s="81" t="str">
        <f>IFERROR(Hyperlink(VLOOKUP(A631,Internal_lists_bugs!$A$2:$G1061,7,FALSE()),"BIC: "&amp;VLOOKUP(A631,Internal_lists_bugs!$A$2:$G1061,7,FALSE())&amp;CHAR(10)&amp;"Intro.Issues: "&amp;VLOOKUP(A631,Internal_lists_bugs!$A$2:$P1061,16,FALSE())),"please select a BUG ID")</f>
        <v>BIC: https://github.com/elastic/elasticsearch/commit/c7f6c5266
Intro.Issues: 3300</v>
      </c>
      <c r="D631" s="100">
        <v>3300.0</v>
      </c>
      <c r="E631" s="54"/>
      <c r="F631" s="79" t="s">
        <v>4570</v>
      </c>
      <c r="G631" s="93" t="s">
        <v>4571</v>
      </c>
      <c r="H631" s="54"/>
      <c r="I631" s="1"/>
    </row>
    <row r="632">
      <c r="A632" s="16" t="s">
        <v>85</v>
      </c>
      <c r="B632" s="77" t="str">
        <f>IFERROR(HYPERLINK(VLOOKUP(A632,Internal_lists_bugs!$A$2:$C$73,3,FALSE()), VLOOKUP(A632,Internal_lists_bugs!$A$2:$C$73,3,FALSE())&amp;Char(10) &amp; Char(10) &amp; VLOOKUP(A632,Internal_lists_bugs!$A$2:$Z$73,26,FALSE())),"please select a BUG ID")</f>
        <v>https://github.com/elastic/elasticsearch/issues/5021
/terms/StringTerms.java
/terms/StringTerms.java
/terms/StringTermsAggregator.java </v>
      </c>
      <c r="C632" s="81" t="str">
        <f>IFERROR(Hyperlink(VLOOKUP(A632,Internal_lists_bugs!$A$2:$G1061,7,FALSE()),"BIC: "&amp;VLOOKUP(A632,Internal_lists_bugs!$A$2:$G1061,7,FALSE())&amp;CHAR(10)&amp;"Intro.Issues: "&amp;VLOOKUP(A632,Internal_lists_bugs!$A$2:$P1061,16,FALSE())),"please select a BUG ID")</f>
        <v>BIC: https://github.com/elastic/elasticsearch/commit/c7f6c5266
Intro.Issues: 3300</v>
      </c>
      <c r="D632" s="100">
        <v>3300.0</v>
      </c>
      <c r="E632" s="54"/>
      <c r="F632" s="79" t="s">
        <v>4572</v>
      </c>
      <c r="G632" s="93" t="s">
        <v>4571</v>
      </c>
      <c r="H632" s="54"/>
      <c r="I632" s="1"/>
    </row>
    <row r="633">
      <c r="A633" s="16" t="s">
        <v>85</v>
      </c>
      <c r="B633" s="77" t="str">
        <f>IFERROR(HYPERLINK(VLOOKUP(A633,Internal_lists_bugs!$A$2:$C$73,3,FALSE()), VLOOKUP(A633,Internal_lists_bugs!$A$2:$C$73,3,FALSE())&amp;Char(10) &amp; Char(10) &amp; VLOOKUP(A633,Internal_lists_bugs!$A$2:$Z$73,26,FALSE())),"please select a BUG ID")</f>
        <v>https://github.com/elastic/elasticsearch/issues/5021
/terms/StringTerms.java
/terms/StringTerms.java
/terms/StringTermsAggregator.java </v>
      </c>
      <c r="C633" s="81" t="str">
        <f>IFERROR(Hyperlink(VLOOKUP(A633,Internal_lists_bugs!$A$2:$G1061,7,FALSE()),"BIC: "&amp;VLOOKUP(A633,Internal_lists_bugs!$A$2:$G1061,7,FALSE())&amp;CHAR(10)&amp;"Intro.Issues: "&amp;VLOOKUP(A633,Internal_lists_bugs!$A$2:$P1061,16,FALSE())),"please select a BUG ID")</f>
        <v>BIC: https://github.com/elastic/elasticsearch/commit/c7f6c5266
Intro.Issues: 3300</v>
      </c>
      <c r="D633" s="100">
        <v>3300.0</v>
      </c>
      <c r="E633" s="54"/>
      <c r="F633" s="79" t="s">
        <v>4570</v>
      </c>
      <c r="G633" s="93" t="s">
        <v>4573</v>
      </c>
      <c r="H633" s="54"/>
      <c r="I633" s="1"/>
    </row>
    <row r="634">
      <c r="A634" s="16" t="s">
        <v>85</v>
      </c>
      <c r="B634" s="77" t="str">
        <f>IFERROR(HYPERLINK(VLOOKUP(A634,Internal_lists_bugs!$A$2:$C$73,3,FALSE()), VLOOKUP(A634,Internal_lists_bugs!$A$2:$C$73,3,FALSE())&amp;Char(10) &amp; Char(10) &amp; VLOOKUP(A634,Internal_lists_bugs!$A$2:$Z$73,26,FALSE())),"please select a BUG ID")</f>
        <v>https://github.com/elastic/elasticsearch/issues/5021
/terms/StringTerms.java
/terms/StringTerms.java
/terms/StringTermsAggregator.java </v>
      </c>
      <c r="C634" s="81" t="str">
        <f>IFERROR(Hyperlink(VLOOKUP(A634,Internal_lists_bugs!$A$2:$G1061,7,FALSE()),"BIC: "&amp;VLOOKUP(A634,Internal_lists_bugs!$A$2:$G1061,7,FALSE())&amp;CHAR(10)&amp;"Intro.Issues: "&amp;VLOOKUP(A634,Internal_lists_bugs!$A$2:$P1061,16,FALSE())),"please select a BUG ID")</f>
        <v>BIC: https://github.com/elastic/elasticsearch/commit/c7f6c5266
Intro.Issues: 3300</v>
      </c>
      <c r="D634" s="100">
        <v>3300.0</v>
      </c>
      <c r="E634" s="54"/>
      <c r="F634" s="79" t="s">
        <v>4559</v>
      </c>
      <c r="G634" s="93" t="s">
        <v>4574</v>
      </c>
      <c r="H634" s="54"/>
      <c r="I634" s="1"/>
    </row>
    <row r="635">
      <c r="A635" s="16" t="s">
        <v>85</v>
      </c>
      <c r="B635" s="77" t="str">
        <f>IFERROR(HYPERLINK(VLOOKUP(A635,Internal_lists_bugs!$A$2:$C$73,3,FALSE()), VLOOKUP(A635,Internal_lists_bugs!$A$2:$C$73,3,FALSE())&amp;Char(10) &amp; Char(10) &amp; VLOOKUP(A635,Internal_lists_bugs!$A$2:$Z$73,26,FALSE())),"please select a BUG ID")</f>
        <v>https://github.com/elastic/elasticsearch/issues/5021
/terms/StringTerms.java
/terms/StringTerms.java
/terms/StringTermsAggregator.java </v>
      </c>
      <c r="C635" s="81" t="str">
        <f>IFERROR(Hyperlink(VLOOKUP(A635,Internal_lists_bugs!$A$2:$G1061,7,FALSE()),"BIC: "&amp;VLOOKUP(A635,Internal_lists_bugs!$A$2:$G1061,7,FALSE())&amp;CHAR(10)&amp;"Intro.Issues: "&amp;VLOOKUP(A635,Internal_lists_bugs!$A$2:$P1061,16,FALSE())),"please select a BUG ID")</f>
        <v>BIC: https://github.com/elastic/elasticsearch/commit/c7f6c5266
Intro.Issues: 3300</v>
      </c>
      <c r="D635" s="100">
        <v>3300.0</v>
      </c>
      <c r="E635" s="54"/>
      <c r="F635" s="79" t="s">
        <v>4570</v>
      </c>
      <c r="G635" s="93" t="s">
        <v>4575</v>
      </c>
      <c r="H635" s="54"/>
      <c r="I635" s="1"/>
    </row>
    <row r="636">
      <c r="A636" s="16" t="s">
        <v>85</v>
      </c>
      <c r="B636" s="77" t="str">
        <f>IFERROR(HYPERLINK(VLOOKUP(A636,Internal_lists_bugs!$A$2:$C$73,3,FALSE()), VLOOKUP(A636,Internal_lists_bugs!$A$2:$C$73,3,FALSE())&amp;Char(10) &amp; Char(10) &amp; VLOOKUP(A636,Internal_lists_bugs!$A$2:$Z$73,26,FALSE())),"please select a BUG ID")</f>
        <v>https://github.com/elastic/elasticsearch/issues/5021
/terms/StringTerms.java
/terms/StringTerms.java
/terms/StringTermsAggregator.java </v>
      </c>
      <c r="C636" s="81" t="str">
        <f>IFERROR(Hyperlink(VLOOKUP(A636,Internal_lists_bugs!$A$2:$G1061,7,FALSE()),"BIC: "&amp;VLOOKUP(A636,Internal_lists_bugs!$A$2:$G1061,7,FALSE())&amp;CHAR(10)&amp;"Intro.Issues: "&amp;VLOOKUP(A636,Internal_lists_bugs!$A$2:$P1061,16,FALSE())),"please select a BUG ID")</f>
        <v>BIC: https://github.com/elastic/elasticsearch/commit/c7f6c5266
Intro.Issues: 3300</v>
      </c>
      <c r="D636" s="100">
        <v>3300.0</v>
      </c>
      <c r="E636" s="54"/>
      <c r="F636" s="79" t="s">
        <v>4547</v>
      </c>
      <c r="G636" s="93" t="s">
        <v>4576</v>
      </c>
      <c r="H636" s="54"/>
      <c r="I636" s="1"/>
    </row>
    <row r="637">
      <c r="A637" s="16" t="s">
        <v>85</v>
      </c>
      <c r="B637" s="77" t="str">
        <f>IFERROR(HYPERLINK(VLOOKUP(A637,Internal_lists_bugs!$A$2:$C$73,3,FALSE()), VLOOKUP(A637,Internal_lists_bugs!$A$2:$C$73,3,FALSE())&amp;Char(10) &amp; Char(10) &amp; VLOOKUP(A637,Internal_lists_bugs!$A$2:$Z$73,26,FALSE())),"please select a BUG ID")</f>
        <v>https://github.com/elastic/elasticsearch/issues/5021
/terms/StringTerms.java
/terms/StringTerms.java
/terms/StringTermsAggregator.java </v>
      </c>
      <c r="C637" s="81" t="str">
        <f>IFERROR(Hyperlink(VLOOKUP(A637,Internal_lists_bugs!$A$2:$G1061,7,FALSE()),"BIC: "&amp;VLOOKUP(A637,Internal_lists_bugs!$A$2:$G1061,7,FALSE())&amp;CHAR(10)&amp;"Intro.Issues: "&amp;VLOOKUP(A637,Internal_lists_bugs!$A$2:$P1061,16,FALSE())),"please select a BUG ID")</f>
        <v>BIC: https://github.com/elastic/elasticsearch/commit/c7f6c5266
Intro.Issues: 3300</v>
      </c>
      <c r="D637" s="100">
        <v>3300.0</v>
      </c>
      <c r="E637" s="54"/>
      <c r="F637" s="79" t="s">
        <v>4570</v>
      </c>
      <c r="G637" s="93" t="s">
        <v>4576</v>
      </c>
      <c r="H637" s="54"/>
      <c r="I637" s="1"/>
    </row>
    <row r="638">
      <c r="A638" s="16" t="s">
        <v>85</v>
      </c>
      <c r="B638" s="77" t="str">
        <f>IFERROR(HYPERLINK(VLOOKUP(A638,Internal_lists_bugs!$A$2:$C$73,3,FALSE()), VLOOKUP(A638,Internal_lists_bugs!$A$2:$C$73,3,FALSE())&amp;Char(10) &amp; Char(10) &amp; VLOOKUP(A638,Internal_lists_bugs!$A$2:$Z$73,26,FALSE())),"please select a BUG ID")</f>
        <v>https://github.com/elastic/elasticsearch/issues/5021
/terms/StringTerms.java
/terms/StringTerms.java
/terms/StringTermsAggregator.java </v>
      </c>
      <c r="C638" s="81" t="str">
        <f>IFERROR(Hyperlink(VLOOKUP(A638,Internal_lists_bugs!$A$2:$G1061,7,FALSE()),"BIC: "&amp;VLOOKUP(A638,Internal_lists_bugs!$A$2:$G1061,7,FALSE())&amp;CHAR(10)&amp;"Intro.Issues: "&amp;VLOOKUP(A638,Internal_lists_bugs!$A$2:$P1061,16,FALSE())),"please select a BUG ID")</f>
        <v>BIC: https://github.com/elastic/elasticsearch/commit/c7f6c5266
Intro.Issues: 3300</v>
      </c>
      <c r="D638" s="100">
        <v>3300.0</v>
      </c>
      <c r="E638" s="54"/>
      <c r="F638" s="79" t="s">
        <v>4577</v>
      </c>
      <c r="G638" s="93" t="s">
        <v>4578</v>
      </c>
      <c r="H638" s="54"/>
      <c r="I638" s="1"/>
    </row>
    <row r="639">
      <c r="A639" s="16" t="s">
        <v>85</v>
      </c>
      <c r="B639" s="77" t="str">
        <f>IFERROR(HYPERLINK(VLOOKUP(A639,Internal_lists_bugs!$A$2:$C$73,3,FALSE()), VLOOKUP(A639,Internal_lists_bugs!$A$2:$C$73,3,FALSE())&amp;Char(10) &amp; Char(10) &amp; VLOOKUP(A639,Internal_lists_bugs!$A$2:$Z$73,26,FALSE())),"please select a BUG ID")</f>
        <v>https://github.com/elastic/elasticsearch/issues/5021
/terms/StringTerms.java
/terms/StringTerms.java
/terms/StringTermsAggregator.java </v>
      </c>
      <c r="C639" s="81" t="str">
        <f>IFERROR(Hyperlink(VLOOKUP(A639,Internal_lists_bugs!$A$2:$G1061,7,FALSE()),"BIC: "&amp;VLOOKUP(A639,Internal_lists_bugs!$A$2:$G1061,7,FALSE())&amp;CHAR(10)&amp;"Intro.Issues: "&amp;VLOOKUP(A639,Internal_lists_bugs!$A$2:$P1061,16,FALSE())),"please select a BUG ID")</f>
        <v>BIC: https://github.com/elastic/elasticsearch/commit/c7f6c5266
Intro.Issues: 3300</v>
      </c>
      <c r="D639" s="100">
        <v>3300.0</v>
      </c>
      <c r="E639" s="54"/>
      <c r="F639" s="79" t="s">
        <v>4579</v>
      </c>
      <c r="G639" s="93" t="s">
        <v>4578</v>
      </c>
      <c r="H639" s="54"/>
      <c r="I639" s="1"/>
    </row>
    <row r="640">
      <c r="A640" s="16" t="s">
        <v>85</v>
      </c>
      <c r="B640" s="77" t="str">
        <f>IFERROR(HYPERLINK(VLOOKUP(A640,Internal_lists_bugs!$A$2:$C$73,3,FALSE()), VLOOKUP(A640,Internal_lists_bugs!$A$2:$C$73,3,FALSE())&amp;Char(10) &amp; Char(10) &amp; VLOOKUP(A640,Internal_lists_bugs!$A$2:$Z$73,26,FALSE())),"please select a BUG ID")</f>
        <v>https://github.com/elastic/elasticsearch/issues/5021
/terms/StringTerms.java
/terms/StringTerms.java
/terms/StringTermsAggregator.java </v>
      </c>
      <c r="C640" s="81" t="str">
        <f>IFERROR(Hyperlink(VLOOKUP(A640,Internal_lists_bugs!$A$2:$G1061,7,FALSE()),"BIC: "&amp;VLOOKUP(A640,Internal_lists_bugs!$A$2:$G1061,7,FALSE())&amp;CHAR(10)&amp;"Intro.Issues: "&amp;VLOOKUP(A640,Internal_lists_bugs!$A$2:$P1061,16,FALSE())),"please select a BUG ID")</f>
        <v>BIC: https://github.com/elastic/elasticsearch/commit/c7f6c5266
Intro.Issues: 3300</v>
      </c>
      <c r="D640" s="100">
        <v>3300.0</v>
      </c>
      <c r="E640" s="54"/>
      <c r="F640" s="79" t="s">
        <v>4580</v>
      </c>
      <c r="G640" s="93" t="s">
        <v>4581</v>
      </c>
      <c r="H640" s="54"/>
      <c r="I640" s="1"/>
    </row>
    <row r="641">
      <c r="A641" s="16" t="s">
        <v>85</v>
      </c>
      <c r="B641" s="77" t="str">
        <f>IFERROR(HYPERLINK(VLOOKUP(A641,Internal_lists_bugs!$A$2:$C$73,3,FALSE()), VLOOKUP(A641,Internal_lists_bugs!$A$2:$C$73,3,FALSE())&amp;Char(10) &amp; Char(10) &amp; VLOOKUP(A641,Internal_lists_bugs!$A$2:$Z$73,26,FALSE())),"please select a BUG ID")</f>
        <v>https://github.com/elastic/elasticsearch/issues/5021
/terms/StringTerms.java
/terms/StringTerms.java
/terms/StringTermsAggregator.java </v>
      </c>
      <c r="C641" s="81" t="str">
        <f>IFERROR(Hyperlink(VLOOKUP(A641,Internal_lists_bugs!$A$2:$G1061,7,FALSE()),"BIC: "&amp;VLOOKUP(A641,Internal_lists_bugs!$A$2:$G1061,7,FALSE())&amp;CHAR(10)&amp;"Intro.Issues: "&amp;VLOOKUP(A641,Internal_lists_bugs!$A$2:$P1061,16,FALSE())),"please select a BUG ID")</f>
        <v>BIC: https://github.com/elastic/elasticsearch/commit/c7f6c5266
Intro.Issues: 3300</v>
      </c>
      <c r="D641" s="100">
        <v>3300.0</v>
      </c>
      <c r="E641" s="54"/>
      <c r="F641" s="79" t="s">
        <v>4582</v>
      </c>
      <c r="G641" s="93" t="s">
        <v>4583</v>
      </c>
      <c r="H641" s="54"/>
      <c r="I641" s="1"/>
    </row>
    <row r="642">
      <c r="A642" s="16" t="s">
        <v>68</v>
      </c>
      <c r="B642" s="77" t="str">
        <f>IFERROR(HYPERLINK(VLOOKUP(A642,Internal_lists_bugs!$A$2:$C$73,3,FALSE()), VLOOKUP(A642,Internal_lists_bugs!$A$2:$C$73,3,FALSE())&amp;Char(10) &amp; Char(10) &amp; VLOOKUP(A642,Internal_lists_bugs!$A$2:$Z$73,26,FALSE())),"please select a BUG ID")</f>
        <v>https://github.com/elastic/elasticsearch/issues/5048
/aggregations/AggregatorFactories.java</v>
      </c>
      <c r="C642" s="81" t="str">
        <f>IFERROR(Hyperlink(VLOOKUP(A642,Internal_lists_bugs!$A$2:$G1061,7,FALSE()),"BIC: "&amp;VLOOKUP(A642,Internal_lists_bugs!$A$2:$G1061,7,FALSE())&amp;CHAR(10)&amp;"Intro.Issues: "&amp;VLOOKUP(A642,Internal_lists_bugs!$A$2:$P1061,16,FALSE())),"please select a BUG ID")</f>
        <v>BIC: https://github.com/elastic/elasticsearch/commit/c7f6c52
Intro.Issues: 3300</v>
      </c>
      <c r="D642" s="100">
        <v>3300.0</v>
      </c>
      <c r="E642" s="54"/>
      <c r="F642" s="79" t="s">
        <v>4582</v>
      </c>
      <c r="G642" s="93" t="s">
        <v>4578</v>
      </c>
      <c r="H642" s="54"/>
      <c r="I642" s="1"/>
    </row>
    <row r="643">
      <c r="A643" s="16" t="s">
        <v>85</v>
      </c>
      <c r="B643" s="77" t="str">
        <f>IFERROR(HYPERLINK(VLOOKUP(A643,Internal_lists_bugs!$A$2:$C$73,3,FALSE()), VLOOKUP(A643,Internal_lists_bugs!$A$2:$C$73,3,FALSE())&amp;Char(10) &amp; Char(10) &amp; VLOOKUP(A643,Internal_lists_bugs!$A$2:$Z$73,26,FALSE())),"please select a BUG ID")</f>
        <v>https://github.com/elastic/elasticsearch/issues/5021
/terms/StringTerms.java
/terms/StringTerms.java
/terms/StringTermsAggregator.java </v>
      </c>
      <c r="C643" s="81" t="str">
        <f>IFERROR(Hyperlink(VLOOKUP(A643,Internal_lists_bugs!$A$2:$G1061,7,FALSE()),"BIC: "&amp;VLOOKUP(A643,Internal_lists_bugs!$A$2:$G1061,7,FALSE())&amp;CHAR(10)&amp;"Intro.Issues: "&amp;VLOOKUP(A643,Internal_lists_bugs!$A$2:$P1061,16,FALSE())),"please select a BUG ID")</f>
        <v>BIC: https://github.com/elastic/elasticsearch/commit/c7f6c5266
Intro.Issues: 3300</v>
      </c>
      <c r="D643" s="100">
        <v>3300.0</v>
      </c>
      <c r="E643" s="54"/>
      <c r="F643" s="79" t="s">
        <v>4584</v>
      </c>
      <c r="G643" s="93" t="s">
        <v>4578</v>
      </c>
      <c r="H643" s="54"/>
      <c r="I643" s="1"/>
    </row>
    <row r="644">
      <c r="A644" s="16" t="s">
        <v>85</v>
      </c>
      <c r="B644" s="77" t="str">
        <f>IFERROR(HYPERLINK(VLOOKUP(A644,Internal_lists_bugs!$A$2:$C$73,3,FALSE()), VLOOKUP(A644,Internal_lists_bugs!$A$2:$C$73,3,FALSE())&amp;Char(10) &amp; Char(10) &amp; VLOOKUP(A644,Internal_lists_bugs!$A$2:$Z$73,26,FALSE())),"please select a BUG ID")</f>
        <v>https://github.com/elastic/elasticsearch/issues/5021
/terms/StringTerms.java
/terms/StringTerms.java
/terms/StringTermsAggregator.java </v>
      </c>
      <c r="C644" s="81" t="str">
        <f>IFERROR(Hyperlink(VLOOKUP(A644,Internal_lists_bugs!$A$2:$G1061,7,FALSE()),"BIC: "&amp;VLOOKUP(A644,Internal_lists_bugs!$A$2:$G1061,7,FALSE())&amp;CHAR(10)&amp;"Intro.Issues: "&amp;VLOOKUP(A644,Internal_lists_bugs!$A$2:$P1061,16,FALSE())),"please select a BUG ID")</f>
        <v>BIC: https://github.com/elastic/elasticsearch/commit/c7f6c5266
Intro.Issues: 3300</v>
      </c>
      <c r="D644" s="100">
        <v>3300.0</v>
      </c>
      <c r="E644" s="54"/>
      <c r="F644" s="79" t="s">
        <v>4585</v>
      </c>
      <c r="G644" s="93" t="s">
        <v>4586</v>
      </c>
      <c r="H644" s="54"/>
      <c r="I644" s="1"/>
    </row>
    <row r="645">
      <c r="A645" s="16" t="s">
        <v>85</v>
      </c>
      <c r="B645" s="77" t="str">
        <f>IFERROR(HYPERLINK(VLOOKUP(A645,Internal_lists_bugs!$A$2:$C$73,3,FALSE()), VLOOKUP(A645,Internal_lists_bugs!$A$2:$C$73,3,FALSE())&amp;Char(10) &amp; Char(10) &amp; VLOOKUP(A645,Internal_lists_bugs!$A$2:$Z$73,26,FALSE())),"please select a BUG ID")</f>
        <v>https://github.com/elastic/elasticsearch/issues/5021
/terms/StringTerms.java
/terms/StringTerms.java
/terms/StringTermsAggregator.java </v>
      </c>
      <c r="C645" s="81" t="str">
        <f>IFERROR(Hyperlink(VLOOKUP(A645,Internal_lists_bugs!$A$2:$G1061,7,FALSE()),"BIC: "&amp;VLOOKUP(A645,Internal_lists_bugs!$A$2:$G1061,7,FALSE())&amp;CHAR(10)&amp;"Intro.Issues: "&amp;VLOOKUP(A645,Internal_lists_bugs!$A$2:$P1061,16,FALSE())),"please select a BUG ID")</f>
        <v>BIC: https://github.com/elastic/elasticsearch/commit/c7f6c5266
Intro.Issues: 3300</v>
      </c>
      <c r="D645" s="100">
        <v>3300.0</v>
      </c>
      <c r="E645" s="54"/>
      <c r="F645" s="79" t="s">
        <v>4587</v>
      </c>
      <c r="G645" s="93" t="s">
        <v>4588</v>
      </c>
      <c r="H645" s="54"/>
      <c r="I645" s="1"/>
    </row>
    <row r="646">
      <c r="A646" s="16" t="s">
        <v>85</v>
      </c>
      <c r="B646" s="77" t="str">
        <f>IFERROR(HYPERLINK(VLOOKUP(A646,Internal_lists_bugs!$A$2:$C$73,3,FALSE()), VLOOKUP(A646,Internal_lists_bugs!$A$2:$C$73,3,FALSE())&amp;Char(10) &amp; Char(10) &amp; VLOOKUP(A646,Internal_lists_bugs!$A$2:$Z$73,26,FALSE())),"please select a BUG ID")</f>
        <v>https://github.com/elastic/elasticsearch/issues/5021
/terms/StringTerms.java
/terms/StringTerms.java
/terms/StringTermsAggregator.java </v>
      </c>
      <c r="C646" s="81" t="str">
        <f>IFERROR(Hyperlink(VLOOKUP(A646,Internal_lists_bugs!$A$2:$G1061,7,FALSE()),"BIC: "&amp;VLOOKUP(A646,Internal_lists_bugs!$A$2:$G1061,7,FALSE())&amp;CHAR(10)&amp;"Intro.Issues: "&amp;VLOOKUP(A646,Internal_lists_bugs!$A$2:$P1061,16,FALSE())),"please select a BUG ID")</f>
        <v>BIC: https://github.com/elastic/elasticsearch/commit/c7f6c5266
Intro.Issues: 3300</v>
      </c>
      <c r="D646" s="100">
        <v>3300.0</v>
      </c>
      <c r="E646" s="54"/>
      <c r="F646" s="79" t="s">
        <v>4587</v>
      </c>
      <c r="G646" s="93" t="s">
        <v>4589</v>
      </c>
      <c r="H646" s="54"/>
      <c r="I646" s="1"/>
    </row>
    <row r="647">
      <c r="A647" s="16" t="s">
        <v>85</v>
      </c>
      <c r="B647" s="77" t="str">
        <f>IFERROR(HYPERLINK(VLOOKUP(A647,Internal_lists_bugs!$A$2:$C$73,3,FALSE()), VLOOKUP(A647,Internal_lists_bugs!$A$2:$C$73,3,FALSE())&amp;Char(10) &amp; Char(10) &amp; VLOOKUP(A647,Internal_lists_bugs!$A$2:$Z$73,26,FALSE())),"please select a BUG ID")</f>
        <v>https://github.com/elastic/elasticsearch/issues/5021
/terms/StringTerms.java
/terms/StringTerms.java
/terms/StringTermsAggregator.java </v>
      </c>
      <c r="C647" s="81" t="str">
        <f>IFERROR(Hyperlink(VLOOKUP(A647,Internal_lists_bugs!$A$2:$G1061,7,FALSE()),"BIC: "&amp;VLOOKUP(A647,Internal_lists_bugs!$A$2:$G1061,7,FALSE())&amp;CHAR(10)&amp;"Intro.Issues: "&amp;VLOOKUP(A647,Internal_lists_bugs!$A$2:$P1061,16,FALSE())),"please select a BUG ID")</f>
        <v>BIC: https://github.com/elastic/elasticsearch/commit/c7f6c5266
Intro.Issues: 3300</v>
      </c>
      <c r="D647" s="100">
        <v>3300.0</v>
      </c>
      <c r="E647" s="54"/>
      <c r="F647" s="79" t="s">
        <v>4590</v>
      </c>
      <c r="G647" s="93" t="s">
        <v>4591</v>
      </c>
      <c r="H647" s="54"/>
      <c r="I647" s="1"/>
    </row>
    <row r="648">
      <c r="A648" s="16" t="s">
        <v>85</v>
      </c>
      <c r="B648" s="77" t="str">
        <f>IFERROR(HYPERLINK(VLOOKUP(A648,Internal_lists_bugs!$A$2:$C$73,3,FALSE()), VLOOKUP(A648,Internal_lists_bugs!$A$2:$C$73,3,FALSE())&amp;Char(10) &amp; Char(10) &amp; VLOOKUP(A648,Internal_lists_bugs!$A$2:$Z$73,26,FALSE())),"please select a BUG ID")</f>
        <v>https://github.com/elastic/elasticsearch/issues/5021
/terms/StringTerms.java
/terms/StringTerms.java
/terms/StringTermsAggregator.java </v>
      </c>
      <c r="C648" s="81" t="str">
        <f>IFERROR(Hyperlink(VLOOKUP(A648,Internal_lists_bugs!$A$2:$G1061,7,FALSE()),"BIC: "&amp;VLOOKUP(A648,Internal_lists_bugs!$A$2:$G1061,7,FALSE())&amp;CHAR(10)&amp;"Intro.Issues: "&amp;VLOOKUP(A648,Internal_lists_bugs!$A$2:$P1061,16,FALSE())),"please select a BUG ID")</f>
        <v>BIC: https://github.com/elastic/elasticsearch/commit/c7f6c5266
Intro.Issues: 3300</v>
      </c>
      <c r="D648" s="100">
        <v>3300.0</v>
      </c>
      <c r="E648" s="54"/>
      <c r="F648" s="79" t="s">
        <v>4592</v>
      </c>
      <c r="G648" s="93" t="s">
        <v>4593</v>
      </c>
      <c r="H648" s="54"/>
      <c r="I648" s="1"/>
    </row>
    <row r="649">
      <c r="A649" s="16" t="s">
        <v>85</v>
      </c>
      <c r="B649" s="77" t="str">
        <f>IFERROR(HYPERLINK(VLOOKUP(A649,Internal_lists_bugs!$A$2:$C$73,3,FALSE()), VLOOKUP(A649,Internal_lists_bugs!$A$2:$C$73,3,FALSE())&amp;Char(10) &amp; Char(10) &amp; VLOOKUP(A649,Internal_lists_bugs!$A$2:$Z$73,26,FALSE())),"please select a BUG ID")</f>
        <v>https://github.com/elastic/elasticsearch/issues/5021
/terms/StringTerms.java
/terms/StringTerms.java
/terms/StringTermsAggregator.java </v>
      </c>
      <c r="C649" s="81" t="str">
        <f>IFERROR(Hyperlink(VLOOKUP(A649,Internal_lists_bugs!$A$2:$G1061,7,FALSE()),"BIC: "&amp;VLOOKUP(A649,Internal_lists_bugs!$A$2:$G1061,7,FALSE())&amp;CHAR(10)&amp;"Intro.Issues: "&amp;VLOOKUP(A649,Internal_lists_bugs!$A$2:$P1061,16,FALSE())),"please select a BUG ID")</f>
        <v>BIC: https://github.com/elastic/elasticsearch/commit/c7f6c5266
Intro.Issues: 3300</v>
      </c>
      <c r="D649" s="100">
        <v>3300.0</v>
      </c>
      <c r="E649" s="54"/>
      <c r="F649" s="79" t="s">
        <v>4594</v>
      </c>
      <c r="G649" s="93" t="s">
        <v>4593</v>
      </c>
      <c r="H649" s="54"/>
      <c r="I649" s="1"/>
    </row>
    <row r="650">
      <c r="A650" s="16" t="s">
        <v>85</v>
      </c>
      <c r="B650" s="77" t="str">
        <f>IFERROR(HYPERLINK(VLOOKUP(A650,Internal_lists_bugs!$A$2:$C$73,3,FALSE()), VLOOKUP(A650,Internal_lists_bugs!$A$2:$C$73,3,FALSE())&amp;Char(10) &amp; Char(10) &amp; VLOOKUP(A650,Internal_lists_bugs!$A$2:$Z$73,26,FALSE())),"please select a BUG ID")</f>
        <v>https://github.com/elastic/elasticsearch/issues/5021
/terms/StringTerms.java
/terms/StringTerms.java
/terms/StringTermsAggregator.java </v>
      </c>
      <c r="C650" s="81" t="str">
        <f>IFERROR(Hyperlink(VLOOKUP(A650,Internal_lists_bugs!$A$2:$G1061,7,FALSE()),"BIC: "&amp;VLOOKUP(A650,Internal_lists_bugs!$A$2:$G1061,7,FALSE())&amp;CHAR(10)&amp;"Intro.Issues: "&amp;VLOOKUP(A650,Internal_lists_bugs!$A$2:$P1061,16,FALSE())),"please select a BUG ID")</f>
        <v>BIC: https://github.com/elastic/elasticsearch/commit/c7f6c5266
Intro.Issues: 3300</v>
      </c>
      <c r="D650" s="100">
        <v>3300.0</v>
      </c>
      <c r="E650" s="54"/>
      <c r="F650" s="79" t="s">
        <v>4595</v>
      </c>
      <c r="G650" s="93" t="s">
        <v>4596</v>
      </c>
      <c r="H650" s="54"/>
      <c r="I650" s="1"/>
    </row>
    <row r="651">
      <c r="A651" s="16" t="s">
        <v>85</v>
      </c>
      <c r="B651" s="77" t="str">
        <f>IFERROR(HYPERLINK(VLOOKUP(A651,Internal_lists_bugs!$A$2:$C$73,3,FALSE()), VLOOKUP(A651,Internal_lists_bugs!$A$2:$C$73,3,FALSE())&amp;Char(10) &amp; Char(10) &amp; VLOOKUP(A651,Internal_lists_bugs!$A$2:$Z$73,26,FALSE())),"please select a BUG ID")</f>
        <v>https://github.com/elastic/elasticsearch/issues/5021
/terms/StringTerms.java
/terms/StringTerms.java
/terms/StringTermsAggregator.java </v>
      </c>
      <c r="C651" s="81" t="str">
        <f>IFERROR(Hyperlink(VLOOKUP(A651,Internal_lists_bugs!$A$2:$G1061,7,FALSE()),"BIC: "&amp;VLOOKUP(A651,Internal_lists_bugs!$A$2:$G1061,7,FALSE())&amp;CHAR(10)&amp;"Intro.Issues: "&amp;VLOOKUP(A651,Internal_lists_bugs!$A$2:$P1061,16,FALSE())),"please select a BUG ID")</f>
        <v>BIC: https://github.com/elastic/elasticsearch/commit/c7f6c5266
Intro.Issues: 3300</v>
      </c>
      <c r="D651" s="100">
        <v>3300.0</v>
      </c>
      <c r="E651" s="54"/>
      <c r="F651" s="79" t="s">
        <v>4545</v>
      </c>
      <c r="G651" s="93" t="s">
        <v>4597</v>
      </c>
      <c r="H651" s="54"/>
      <c r="I651" s="1"/>
    </row>
    <row r="652">
      <c r="A652" s="16" t="s">
        <v>85</v>
      </c>
      <c r="B652" s="77" t="str">
        <f>IFERROR(HYPERLINK(VLOOKUP(A652,Internal_lists_bugs!$A$2:$C$73,3,FALSE()), VLOOKUP(A652,Internal_lists_bugs!$A$2:$C$73,3,FALSE())&amp;Char(10) &amp; Char(10) &amp; VLOOKUP(A652,Internal_lists_bugs!$A$2:$Z$73,26,FALSE())),"please select a BUG ID")</f>
        <v>https://github.com/elastic/elasticsearch/issues/5021
/terms/StringTerms.java
/terms/StringTerms.java
/terms/StringTermsAggregator.java </v>
      </c>
      <c r="C652" s="81" t="str">
        <f>IFERROR(Hyperlink(VLOOKUP(A652,Internal_lists_bugs!$A$2:$G1061,7,FALSE()),"BIC: "&amp;VLOOKUP(A652,Internal_lists_bugs!$A$2:$G1061,7,FALSE())&amp;CHAR(10)&amp;"Intro.Issues: "&amp;VLOOKUP(A652,Internal_lists_bugs!$A$2:$P1061,16,FALSE())),"please select a BUG ID")</f>
        <v>BIC: https://github.com/elastic/elasticsearch/commit/c7f6c5266
Intro.Issues: 3300</v>
      </c>
      <c r="D652" s="100">
        <v>3300.0</v>
      </c>
      <c r="E652" s="54"/>
      <c r="F652" s="79" t="s">
        <v>2112</v>
      </c>
      <c r="G652" s="93" t="s">
        <v>4598</v>
      </c>
      <c r="H652" s="54"/>
      <c r="I652" s="1"/>
    </row>
    <row r="653">
      <c r="A653" s="16" t="s">
        <v>85</v>
      </c>
      <c r="B653" s="77" t="str">
        <f>IFERROR(HYPERLINK(VLOOKUP(A653,Internal_lists_bugs!$A$2:$C$73,3,FALSE()), VLOOKUP(A653,Internal_lists_bugs!$A$2:$C$73,3,FALSE())&amp;Char(10) &amp; Char(10) &amp; VLOOKUP(A653,Internal_lists_bugs!$A$2:$Z$73,26,FALSE())),"please select a BUG ID")</f>
        <v>https://github.com/elastic/elasticsearch/issues/5021
/terms/StringTerms.java
/terms/StringTerms.java
/terms/StringTermsAggregator.java </v>
      </c>
      <c r="C653" s="81" t="str">
        <f>IFERROR(Hyperlink(VLOOKUP(A653,Internal_lists_bugs!$A$2:$G1061,7,FALSE()),"BIC: "&amp;VLOOKUP(A653,Internal_lists_bugs!$A$2:$G1061,7,FALSE())&amp;CHAR(10)&amp;"Intro.Issues: "&amp;VLOOKUP(A653,Internal_lists_bugs!$A$2:$P1061,16,FALSE())),"please select a BUG ID")</f>
        <v>BIC: https://github.com/elastic/elasticsearch/commit/c7f6c5266
Intro.Issues: 3300</v>
      </c>
      <c r="D653" s="100">
        <v>3300.0</v>
      </c>
      <c r="E653" s="54"/>
      <c r="F653" s="79" t="s">
        <v>4545</v>
      </c>
      <c r="G653" s="93" t="s">
        <v>4599</v>
      </c>
      <c r="H653" s="54"/>
      <c r="I653" s="1"/>
    </row>
    <row r="654">
      <c r="A654" s="16" t="s">
        <v>85</v>
      </c>
      <c r="B654" s="77" t="str">
        <f>IFERROR(HYPERLINK(VLOOKUP(A654,Internal_lists_bugs!$A$2:$C$73,3,FALSE()), VLOOKUP(A654,Internal_lists_bugs!$A$2:$C$73,3,FALSE())&amp;Char(10) &amp; Char(10) &amp; VLOOKUP(A654,Internal_lists_bugs!$A$2:$Z$73,26,FALSE())),"please select a BUG ID")</f>
        <v>https://github.com/elastic/elasticsearch/issues/5021
/terms/StringTerms.java
/terms/StringTerms.java
/terms/StringTermsAggregator.java </v>
      </c>
      <c r="C654" s="81" t="str">
        <f>IFERROR(Hyperlink(VLOOKUP(A654,Internal_lists_bugs!$A$2:$G1061,7,FALSE()),"BIC: "&amp;VLOOKUP(A654,Internal_lists_bugs!$A$2:$G1061,7,FALSE())&amp;CHAR(10)&amp;"Intro.Issues: "&amp;VLOOKUP(A654,Internal_lists_bugs!$A$2:$P1061,16,FALSE())),"please select a BUG ID")</f>
        <v>BIC: https://github.com/elastic/elasticsearch/commit/c7f6c5266
Intro.Issues: 3300</v>
      </c>
      <c r="D654" s="100">
        <v>3300.0</v>
      </c>
      <c r="E654" s="54"/>
      <c r="F654" s="79" t="s">
        <v>4545</v>
      </c>
      <c r="G654" s="176" t="s">
        <v>4600</v>
      </c>
      <c r="H654" s="54"/>
      <c r="I654" s="1"/>
    </row>
    <row r="655">
      <c r="A655" s="16" t="s">
        <v>85</v>
      </c>
      <c r="B655" s="77" t="str">
        <f>IFERROR(HYPERLINK(VLOOKUP(A655,Internal_lists_bugs!$A$2:$C$73,3,FALSE()), VLOOKUP(A655,Internal_lists_bugs!$A$2:$C$73,3,FALSE())&amp;Char(10) &amp; Char(10) &amp; VLOOKUP(A655,Internal_lists_bugs!$A$2:$Z$73,26,FALSE())),"please select a BUG ID")</f>
        <v>https://github.com/elastic/elasticsearch/issues/5021
/terms/StringTerms.java
/terms/StringTerms.java
/terms/StringTermsAggregator.java </v>
      </c>
      <c r="C655" s="81" t="str">
        <f>IFERROR(Hyperlink(VLOOKUP(A655,Internal_lists_bugs!$A$2:$G1061,7,FALSE()),"BIC: "&amp;VLOOKUP(A655,Internal_lists_bugs!$A$2:$G1061,7,FALSE())&amp;CHAR(10)&amp;"Intro.Issues: "&amp;VLOOKUP(A655,Internal_lists_bugs!$A$2:$P1061,16,FALSE())),"please select a BUG ID")</f>
        <v>BIC: https://github.com/elastic/elasticsearch/commit/c7f6c5266
Intro.Issues: 3300</v>
      </c>
      <c r="D655" s="100">
        <v>3300.0</v>
      </c>
      <c r="E655" s="54"/>
      <c r="F655" s="79" t="s">
        <v>4585</v>
      </c>
      <c r="G655" s="94" t="s">
        <v>4601</v>
      </c>
      <c r="H655" s="54"/>
      <c r="I655" s="1"/>
    </row>
    <row r="656">
      <c r="A656" s="16" t="s">
        <v>85</v>
      </c>
      <c r="B656" s="77" t="str">
        <f>IFERROR(HYPERLINK(VLOOKUP(A656,Internal_lists_bugs!$A$2:$C$73,3,FALSE()), VLOOKUP(A656,Internal_lists_bugs!$A$2:$C$73,3,FALSE())&amp;Char(10) &amp; Char(10) &amp; VLOOKUP(A656,Internal_lists_bugs!$A$2:$Z$73,26,FALSE())),"please select a BUG ID")</f>
        <v>https://github.com/elastic/elasticsearch/issues/5021
/terms/StringTerms.java
/terms/StringTerms.java
/terms/StringTermsAggregator.java </v>
      </c>
      <c r="C656" s="81" t="str">
        <f>IFERROR(Hyperlink(VLOOKUP(A656,Internal_lists_bugs!$A$2:$G1061,7,FALSE()),"BIC: "&amp;VLOOKUP(A656,Internal_lists_bugs!$A$2:$G1061,7,FALSE())&amp;CHAR(10)&amp;"Intro.Issues: "&amp;VLOOKUP(A656,Internal_lists_bugs!$A$2:$P1061,16,FALSE())),"please select a BUG ID")</f>
        <v>BIC: https://github.com/elastic/elasticsearch/commit/c7f6c5266
Intro.Issues: 3300</v>
      </c>
      <c r="D656" s="100">
        <v>3300.0</v>
      </c>
      <c r="E656" s="54"/>
      <c r="F656" s="79" t="s">
        <v>4530</v>
      </c>
      <c r="G656" s="93" t="s">
        <v>4602</v>
      </c>
      <c r="H656" s="54"/>
      <c r="I656" s="1"/>
    </row>
    <row r="657">
      <c r="A657" s="16" t="s">
        <v>85</v>
      </c>
      <c r="B657" s="77" t="str">
        <f>IFERROR(HYPERLINK(VLOOKUP(A657,Internal_lists_bugs!$A$2:$C$73,3,FALSE()), VLOOKUP(A657,Internal_lists_bugs!$A$2:$C$73,3,FALSE())&amp;Char(10) &amp; Char(10) &amp; VLOOKUP(A657,Internal_lists_bugs!$A$2:$Z$73,26,FALSE())),"please select a BUG ID")</f>
        <v>https://github.com/elastic/elasticsearch/issues/5021
/terms/StringTerms.java
/terms/StringTerms.java
/terms/StringTermsAggregator.java </v>
      </c>
      <c r="C657" s="81" t="str">
        <f>IFERROR(Hyperlink(VLOOKUP(A657,Internal_lists_bugs!$A$2:$G1061,7,FALSE()),"BIC: "&amp;VLOOKUP(A657,Internal_lists_bugs!$A$2:$G1061,7,FALSE())&amp;CHAR(10)&amp;"Intro.Issues: "&amp;VLOOKUP(A657,Internal_lists_bugs!$A$2:$P1061,16,FALSE())),"please select a BUG ID")</f>
        <v>BIC: https://github.com/elastic/elasticsearch/commit/c7f6c5266
Intro.Issues: 3300</v>
      </c>
      <c r="D657" s="100">
        <v>3300.0</v>
      </c>
      <c r="E657" s="54"/>
      <c r="F657" s="79" t="s">
        <v>2112</v>
      </c>
      <c r="G657" s="93" t="s">
        <v>4602</v>
      </c>
      <c r="H657" s="54"/>
      <c r="I657" s="1"/>
    </row>
    <row r="658">
      <c r="A658" s="16" t="s">
        <v>85</v>
      </c>
      <c r="B658" s="77" t="str">
        <f>IFERROR(HYPERLINK(VLOOKUP(A658,Internal_lists_bugs!$A$2:$C$73,3,FALSE()), VLOOKUP(A658,Internal_lists_bugs!$A$2:$C$73,3,FALSE())&amp;Char(10) &amp; Char(10) &amp; VLOOKUP(A658,Internal_lists_bugs!$A$2:$Z$73,26,FALSE())),"please select a BUG ID")</f>
        <v>https://github.com/elastic/elasticsearch/issues/5021
/terms/StringTerms.java
/terms/StringTerms.java
/terms/StringTermsAggregator.java </v>
      </c>
      <c r="C658" s="81" t="str">
        <f>IFERROR(Hyperlink(VLOOKUP(A658,Internal_lists_bugs!$A$2:$G1061,7,FALSE()),"BIC: "&amp;VLOOKUP(A658,Internal_lists_bugs!$A$2:$G1061,7,FALSE())&amp;CHAR(10)&amp;"Intro.Issues: "&amp;VLOOKUP(A658,Internal_lists_bugs!$A$2:$P1061,16,FALSE())),"please select a BUG ID")</f>
        <v>BIC: https://github.com/elastic/elasticsearch/commit/c7f6c5266
Intro.Issues: 3300</v>
      </c>
      <c r="D658" s="100">
        <v>3300.0</v>
      </c>
      <c r="E658" s="54"/>
      <c r="F658" s="79" t="s">
        <v>4603</v>
      </c>
      <c r="G658" s="93" t="s">
        <v>4604</v>
      </c>
      <c r="H658" s="54"/>
      <c r="I658" s="1"/>
    </row>
    <row r="659">
      <c r="A659" s="16" t="s">
        <v>85</v>
      </c>
      <c r="B659" s="77" t="str">
        <f>IFERROR(HYPERLINK(VLOOKUP(A659,Internal_lists_bugs!$A$2:$C$73,3,FALSE()), VLOOKUP(A659,Internal_lists_bugs!$A$2:$C$73,3,FALSE())&amp;Char(10) &amp; Char(10) &amp; VLOOKUP(A659,Internal_lists_bugs!$A$2:$Z$73,26,FALSE())),"please select a BUG ID")</f>
        <v>https://github.com/elastic/elasticsearch/issues/5021
/terms/StringTerms.java
/terms/StringTerms.java
/terms/StringTermsAggregator.java </v>
      </c>
      <c r="C659" s="81" t="str">
        <f>IFERROR(Hyperlink(VLOOKUP(A659,Internal_lists_bugs!$A$2:$G1061,7,FALSE()),"BIC: "&amp;VLOOKUP(A659,Internal_lists_bugs!$A$2:$G1061,7,FALSE())&amp;CHAR(10)&amp;"Intro.Issues: "&amp;VLOOKUP(A659,Internal_lists_bugs!$A$2:$P1061,16,FALSE())),"please select a BUG ID")</f>
        <v>BIC: https://github.com/elastic/elasticsearch/commit/c7f6c5266
Intro.Issues: 3300</v>
      </c>
      <c r="D659" s="100">
        <v>3300.0</v>
      </c>
      <c r="E659" s="54"/>
      <c r="F659" s="79" t="s">
        <v>4605</v>
      </c>
      <c r="G659" s="93" t="s">
        <v>4606</v>
      </c>
      <c r="H659" s="54"/>
      <c r="I659" s="1"/>
    </row>
    <row r="660">
      <c r="A660" s="16" t="s">
        <v>85</v>
      </c>
      <c r="B660" s="77" t="str">
        <f>IFERROR(HYPERLINK(VLOOKUP(A660,Internal_lists_bugs!$A$2:$C$73,3,FALSE()), VLOOKUP(A660,Internal_lists_bugs!$A$2:$C$73,3,FALSE())&amp;Char(10) &amp; Char(10) &amp; VLOOKUP(A660,Internal_lists_bugs!$A$2:$Z$73,26,FALSE())),"please select a BUG ID")</f>
        <v>https://github.com/elastic/elasticsearch/issues/5021
/terms/StringTerms.java
/terms/StringTerms.java
/terms/StringTermsAggregator.java </v>
      </c>
      <c r="C660" s="81" t="str">
        <f>IFERROR(Hyperlink(VLOOKUP(A660,Internal_lists_bugs!$A$2:$G1061,7,FALSE()),"BIC: "&amp;VLOOKUP(A660,Internal_lists_bugs!$A$2:$G1061,7,FALSE())&amp;CHAR(10)&amp;"Intro.Issues: "&amp;VLOOKUP(A660,Internal_lists_bugs!$A$2:$P1061,16,FALSE())),"please select a BUG ID")</f>
        <v>BIC: https://github.com/elastic/elasticsearch/commit/c7f6c5266
Intro.Issues: 3300</v>
      </c>
      <c r="D660" s="100">
        <v>3300.0</v>
      </c>
      <c r="E660" s="54"/>
      <c r="F660" s="79" t="s">
        <v>4607</v>
      </c>
      <c r="G660" s="94" t="s">
        <v>4608</v>
      </c>
      <c r="H660" s="54"/>
      <c r="I660" s="1"/>
    </row>
    <row r="661">
      <c r="A661" s="16" t="s">
        <v>85</v>
      </c>
      <c r="B661" s="77" t="str">
        <f>IFERROR(HYPERLINK(VLOOKUP(A661,Internal_lists_bugs!$A$2:$C$73,3,FALSE()), VLOOKUP(A661,Internal_lists_bugs!$A$2:$C$73,3,FALSE())&amp;Char(10) &amp; Char(10) &amp; VLOOKUP(A661,Internal_lists_bugs!$A$2:$Z$73,26,FALSE())),"please select a BUG ID")</f>
        <v>https://github.com/elastic/elasticsearch/issues/5021
/terms/StringTerms.java
/terms/StringTerms.java
/terms/StringTermsAggregator.java </v>
      </c>
      <c r="C661" s="81" t="str">
        <f>IFERROR(Hyperlink(VLOOKUP(A661,Internal_lists_bugs!$A$2:$G1061,7,FALSE()),"BIC: "&amp;VLOOKUP(A661,Internal_lists_bugs!$A$2:$G1061,7,FALSE())&amp;CHAR(10)&amp;"Intro.Issues: "&amp;VLOOKUP(A661,Internal_lists_bugs!$A$2:$P1061,16,FALSE())),"please select a BUG ID")</f>
        <v>BIC: https://github.com/elastic/elasticsearch/commit/c7f6c5266
Intro.Issues: 3300</v>
      </c>
      <c r="D661" s="100">
        <v>3300.0</v>
      </c>
      <c r="E661" s="54"/>
      <c r="F661" s="79" t="s">
        <v>4609</v>
      </c>
      <c r="G661" s="93" t="s">
        <v>4610</v>
      </c>
      <c r="H661" s="54"/>
      <c r="I661" s="1"/>
    </row>
    <row r="662">
      <c r="A662" s="16" t="s">
        <v>85</v>
      </c>
      <c r="B662" s="77" t="str">
        <f>IFERROR(HYPERLINK(VLOOKUP(A662,Internal_lists_bugs!$A$2:$C$73,3,FALSE()), VLOOKUP(A662,Internal_lists_bugs!$A$2:$C$73,3,FALSE())&amp;Char(10) &amp; Char(10) &amp; VLOOKUP(A662,Internal_lists_bugs!$A$2:$Z$73,26,FALSE())),"please select a BUG ID")</f>
        <v>https://github.com/elastic/elasticsearch/issues/5021
/terms/StringTerms.java
/terms/StringTerms.java
/terms/StringTermsAggregator.java </v>
      </c>
      <c r="C662" s="81" t="str">
        <f>IFERROR(Hyperlink(VLOOKUP(A662,Internal_lists_bugs!$A$2:$G1061,7,FALSE()),"BIC: "&amp;VLOOKUP(A662,Internal_lists_bugs!$A$2:$G1061,7,FALSE())&amp;CHAR(10)&amp;"Intro.Issues: "&amp;VLOOKUP(A662,Internal_lists_bugs!$A$2:$P1061,16,FALSE())),"please select a BUG ID")</f>
        <v>BIC: https://github.com/elastic/elasticsearch/commit/c7f6c5266
Intro.Issues: 3300</v>
      </c>
      <c r="D662" s="100">
        <v>3300.0</v>
      </c>
      <c r="E662" s="54"/>
      <c r="F662" s="79" t="s">
        <v>4585</v>
      </c>
      <c r="G662" s="93" t="s">
        <v>4611</v>
      </c>
      <c r="H662" s="54"/>
      <c r="I662" s="1"/>
    </row>
    <row r="663">
      <c r="A663" s="16" t="s">
        <v>85</v>
      </c>
      <c r="B663" s="77" t="str">
        <f>IFERROR(HYPERLINK(VLOOKUP(A663,Internal_lists_bugs!$A$2:$C$73,3,FALSE()), VLOOKUP(A663,Internal_lists_bugs!$A$2:$C$73,3,FALSE())&amp;Char(10) &amp; Char(10) &amp; VLOOKUP(A663,Internal_lists_bugs!$A$2:$Z$73,26,FALSE())),"please select a BUG ID")</f>
        <v>https://github.com/elastic/elasticsearch/issues/5021
/terms/StringTerms.java
/terms/StringTerms.java
/terms/StringTermsAggregator.java </v>
      </c>
      <c r="C663" s="81" t="str">
        <f>IFERROR(Hyperlink(VLOOKUP(A663,Internal_lists_bugs!$A$2:$G1061,7,FALSE()),"BIC: "&amp;VLOOKUP(A663,Internal_lists_bugs!$A$2:$G1061,7,FALSE())&amp;CHAR(10)&amp;"Intro.Issues: "&amp;VLOOKUP(A663,Internal_lists_bugs!$A$2:$P1061,16,FALSE())),"please select a BUG ID")</f>
        <v>BIC: https://github.com/elastic/elasticsearch/commit/c7f6c5266
Intro.Issues: 3300</v>
      </c>
      <c r="D663" s="100">
        <v>3300.0</v>
      </c>
      <c r="E663" s="54"/>
      <c r="F663" s="79" t="s">
        <v>4609</v>
      </c>
      <c r="G663" s="93" t="s">
        <v>4612</v>
      </c>
      <c r="H663" s="54"/>
      <c r="I663" s="1"/>
    </row>
    <row r="664">
      <c r="A664" s="16" t="s">
        <v>85</v>
      </c>
      <c r="B664" s="77" t="str">
        <f>IFERROR(HYPERLINK(VLOOKUP(A664,Internal_lists_bugs!$A$2:$C$73,3,FALSE()), VLOOKUP(A664,Internal_lists_bugs!$A$2:$C$73,3,FALSE())&amp;Char(10) &amp; Char(10) &amp; VLOOKUP(A664,Internal_lists_bugs!$A$2:$Z$73,26,FALSE())),"please select a BUG ID")</f>
        <v>https://github.com/elastic/elasticsearch/issues/5021
/terms/StringTerms.java
/terms/StringTerms.java
/terms/StringTermsAggregator.java </v>
      </c>
      <c r="C664" s="81" t="str">
        <f>IFERROR(Hyperlink(VLOOKUP(A664,Internal_lists_bugs!$A$2:$G1061,7,FALSE()),"BIC: "&amp;VLOOKUP(A664,Internal_lists_bugs!$A$2:$G1061,7,FALSE())&amp;CHAR(10)&amp;"Intro.Issues: "&amp;VLOOKUP(A664,Internal_lists_bugs!$A$2:$P1061,16,FALSE())),"please select a BUG ID")</f>
        <v>BIC: https://github.com/elastic/elasticsearch/commit/c7f6c5266
Intro.Issues: 3300</v>
      </c>
      <c r="D664" s="100">
        <v>3300.0</v>
      </c>
      <c r="E664" s="54"/>
      <c r="F664" s="79" t="s">
        <v>4613</v>
      </c>
      <c r="G664" s="93" t="s">
        <v>4614</v>
      </c>
      <c r="H664" s="54"/>
      <c r="I664" s="1"/>
    </row>
    <row r="665">
      <c r="A665" s="16" t="s">
        <v>85</v>
      </c>
      <c r="B665" s="77" t="str">
        <f>IFERROR(HYPERLINK(VLOOKUP(A665,Internal_lists_bugs!$A$2:$C$73,3,FALSE()), VLOOKUP(A665,Internal_lists_bugs!$A$2:$C$73,3,FALSE())&amp;Char(10) &amp; Char(10) &amp; VLOOKUP(A665,Internal_lists_bugs!$A$2:$Z$73,26,FALSE())),"please select a BUG ID")</f>
        <v>https://github.com/elastic/elasticsearch/issues/5021
/terms/StringTerms.java
/terms/StringTerms.java
/terms/StringTermsAggregator.java </v>
      </c>
      <c r="C665" s="81" t="str">
        <f>IFERROR(Hyperlink(VLOOKUP(A665,Internal_lists_bugs!$A$2:$G1061,7,FALSE()),"BIC: "&amp;VLOOKUP(A665,Internal_lists_bugs!$A$2:$G1061,7,FALSE())&amp;CHAR(10)&amp;"Intro.Issues: "&amp;VLOOKUP(A665,Internal_lists_bugs!$A$2:$P1061,16,FALSE())),"please select a BUG ID")</f>
        <v>BIC: https://github.com/elastic/elasticsearch/commit/c7f6c5266
Intro.Issues: 3300</v>
      </c>
      <c r="D665" s="100">
        <v>3300.0</v>
      </c>
      <c r="E665" s="54"/>
      <c r="F665" s="79" t="s">
        <v>4539</v>
      </c>
      <c r="G665" s="93" t="s">
        <v>4614</v>
      </c>
      <c r="H665" s="54"/>
      <c r="I665" s="1"/>
    </row>
    <row r="666">
      <c r="A666" s="16" t="s">
        <v>85</v>
      </c>
      <c r="B666" s="77" t="str">
        <f>IFERROR(HYPERLINK(VLOOKUP(A666,Internal_lists_bugs!$A$2:$C$73,3,FALSE()), VLOOKUP(A666,Internal_lists_bugs!$A$2:$C$73,3,FALSE())&amp;Char(10) &amp; Char(10) &amp; VLOOKUP(A666,Internal_lists_bugs!$A$2:$Z$73,26,FALSE())),"please select a BUG ID")</f>
        <v>https://github.com/elastic/elasticsearch/issues/5021
/terms/StringTerms.java
/terms/StringTerms.java
/terms/StringTermsAggregator.java </v>
      </c>
      <c r="C666" s="81" t="str">
        <f>IFERROR(Hyperlink(VLOOKUP(A666,Internal_lists_bugs!$A$2:$G1061,7,FALSE()),"BIC: "&amp;VLOOKUP(A666,Internal_lists_bugs!$A$2:$G1061,7,FALSE())&amp;CHAR(10)&amp;"Intro.Issues: "&amp;VLOOKUP(A666,Internal_lists_bugs!$A$2:$P1061,16,FALSE())),"please select a BUG ID")</f>
        <v>BIC: https://github.com/elastic/elasticsearch/commit/c7f6c5266
Intro.Issues: 3300</v>
      </c>
      <c r="D666" s="100">
        <v>3300.0</v>
      </c>
      <c r="E666" s="54"/>
      <c r="F666" s="79" t="s">
        <v>4577</v>
      </c>
      <c r="G666" s="93" t="s">
        <v>4615</v>
      </c>
      <c r="H666" s="54"/>
      <c r="I666" s="1"/>
    </row>
    <row r="667">
      <c r="A667" s="16" t="s">
        <v>85</v>
      </c>
      <c r="B667" s="77" t="str">
        <f>IFERROR(HYPERLINK(VLOOKUP(A667,Internal_lists_bugs!$A$2:$C$73,3,FALSE()), VLOOKUP(A667,Internal_lists_bugs!$A$2:$C$73,3,FALSE())&amp;Char(10) &amp; Char(10) &amp; VLOOKUP(A667,Internal_lists_bugs!$A$2:$Z$73,26,FALSE())),"please select a BUG ID")</f>
        <v>https://github.com/elastic/elasticsearch/issues/5021
/terms/StringTerms.java
/terms/StringTerms.java
/terms/StringTermsAggregator.java </v>
      </c>
      <c r="C667" s="81" t="str">
        <f>IFERROR(Hyperlink(VLOOKUP(A667,Internal_lists_bugs!$A$2:$G1061,7,FALSE()),"BIC: "&amp;VLOOKUP(A667,Internal_lists_bugs!$A$2:$G1061,7,FALSE())&amp;CHAR(10)&amp;"Intro.Issues: "&amp;VLOOKUP(A667,Internal_lists_bugs!$A$2:$P1061,16,FALSE())),"please select a BUG ID")</f>
        <v>BIC: https://github.com/elastic/elasticsearch/commit/c7f6c5266
Intro.Issues: 3300</v>
      </c>
      <c r="D667" s="100">
        <v>3300.0</v>
      </c>
      <c r="E667" s="54"/>
      <c r="F667" s="79" t="s">
        <v>4616</v>
      </c>
      <c r="G667" s="93" t="s">
        <v>4617</v>
      </c>
      <c r="H667" s="54"/>
      <c r="I667" s="1"/>
    </row>
    <row r="668">
      <c r="A668" s="16" t="s">
        <v>85</v>
      </c>
      <c r="B668" s="77" t="str">
        <f>IFERROR(HYPERLINK(VLOOKUP(A668,Internal_lists_bugs!$A$2:$C$73,3,FALSE()), VLOOKUP(A668,Internal_lists_bugs!$A$2:$C$73,3,FALSE())&amp;Char(10) &amp; Char(10) &amp; VLOOKUP(A668,Internal_lists_bugs!$A$2:$Z$73,26,FALSE())),"please select a BUG ID")</f>
        <v>https://github.com/elastic/elasticsearch/issues/5021
/terms/StringTerms.java
/terms/StringTerms.java
/terms/StringTermsAggregator.java </v>
      </c>
      <c r="C668" s="81" t="str">
        <f>IFERROR(Hyperlink(VLOOKUP(A668,Internal_lists_bugs!$A$2:$G1061,7,FALSE()),"BIC: "&amp;VLOOKUP(A668,Internal_lists_bugs!$A$2:$G1061,7,FALSE())&amp;CHAR(10)&amp;"Intro.Issues: "&amp;VLOOKUP(A668,Internal_lists_bugs!$A$2:$P1061,16,FALSE())),"please select a BUG ID")</f>
        <v>BIC: https://github.com/elastic/elasticsearch/commit/c7f6c5266
Intro.Issues: 3300</v>
      </c>
      <c r="D668" s="100">
        <v>3300.0</v>
      </c>
      <c r="E668" s="54"/>
      <c r="F668" s="79" t="s">
        <v>4618</v>
      </c>
      <c r="G668" s="93" t="s">
        <v>4619</v>
      </c>
      <c r="H668" s="54"/>
      <c r="I668" s="1"/>
    </row>
    <row r="669">
      <c r="A669" s="16" t="s">
        <v>85</v>
      </c>
      <c r="B669" s="77" t="str">
        <f>IFERROR(HYPERLINK(VLOOKUP(A669,Internal_lists_bugs!$A$2:$C$73,3,FALSE()), VLOOKUP(A669,Internal_lists_bugs!$A$2:$C$73,3,FALSE())&amp;Char(10) &amp; Char(10) &amp; VLOOKUP(A669,Internal_lists_bugs!$A$2:$Z$73,26,FALSE())),"please select a BUG ID")</f>
        <v>https://github.com/elastic/elasticsearch/issues/5021
/terms/StringTerms.java
/terms/StringTerms.java
/terms/StringTermsAggregator.java </v>
      </c>
      <c r="C669" s="81" t="str">
        <f>IFERROR(Hyperlink(VLOOKUP(A669,Internal_lists_bugs!$A$2:$G1061,7,FALSE()),"BIC: "&amp;VLOOKUP(A669,Internal_lists_bugs!$A$2:$G1061,7,FALSE())&amp;CHAR(10)&amp;"Intro.Issues: "&amp;VLOOKUP(A669,Internal_lists_bugs!$A$2:$P1061,16,FALSE())),"please select a BUG ID")</f>
        <v>BIC: https://github.com/elastic/elasticsearch/commit/c7f6c5266
Intro.Issues: 3300</v>
      </c>
      <c r="D669" s="100">
        <v>3300.0</v>
      </c>
      <c r="E669" s="54"/>
      <c r="F669" s="79" t="s">
        <v>4539</v>
      </c>
      <c r="G669" s="93" t="s">
        <v>4620</v>
      </c>
      <c r="H669" s="54"/>
      <c r="I669" s="1"/>
    </row>
    <row r="670">
      <c r="A670" s="16" t="s">
        <v>85</v>
      </c>
      <c r="B670" s="77" t="str">
        <f>IFERROR(HYPERLINK(VLOOKUP(A670,Internal_lists_bugs!$A$2:$C$73,3,FALSE()), VLOOKUP(A670,Internal_lists_bugs!$A$2:$C$73,3,FALSE())&amp;Char(10) &amp; Char(10) &amp; VLOOKUP(A670,Internal_lists_bugs!$A$2:$Z$73,26,FALSE())),"please select a BUG ID")</f>
        <v>https://github.com/elastic/elasticsearch/issues/5021
/terms/StringTerms.java
/terms/StringTerms.java
/terms/StringTermsAggregator.java </v>
      </c>
      <c r="C670" s="81" t="str">
        <f>IFERROR(Hyperlink(VLOOKUP(A670,Internal_lists_bugs!$A$2:$G1061,7,FALSE()),"BIC: "&amp;VLOOKUP(A670,Internal_lists_bugs!$A$2:$G1061,7,FALSE())&amp;CHAR(10)&amp;"Intro.Issues: "&amp;VLOOKUP(A670,Internal_lists_bugs!$A$2:$P1061,16,FALSE())),"please select a BUG ID")</f>
        <v>BIC: https://github.com/elastic/elasticsearch/commit/c7f6c5266
Intro.Issues: 3300</v>
      </c>
      <c r="D670" s="100">
        <v>3300.0</v>
      </c>
      <c r="E670" s="54"/>
      <c r="F670" s="79" t="s">
        <v>4621</v>
      </c>
      <c r="G670" s="93" t="s">
        <v>4622</v>
      </c>
      <c r="H670" s="54"/>
      <c r="I670" s="1"/>
    </row>
    <row r="671">
      <c r="A671" s="16" t="s">
        <v>85</v>
      </c>
      <c r="B671" s="77" t="str">
        <f>IFERROR(HYPERLINK(VLOOKUP(A671,Internal_lists_bugs!$A$2:$C$73,3,FALSE()), VLOOKUP(A671,Internal_lists_bugs!$A$2:$C$73,3,FALSE())&amp;Char(10) &amp; Char(10) &amp; VLOOKUP(A671,Internal_lists_bugs!$A$2:$Z$73,26,FALSE())),"please select a BUG ID")</f>
        <v>https://github.com/elastic/elasticsearch/issues/5021
/terms/StringTerms.java
/terms/StringTerms.java
/terms/StringTermsAggregator.java </v>
      </c>
      <c r="C671" s="81" t="str">
        <f>IFERROR(Hyperlink(VLOOKUP(A671,Internal_lists_bugs!$A$2:$G1061,7,FALSE()),"BIC: "&amp;VLOOKUP(A671,Internal_lists_bugs!$A$2:$G1061,7,FALSE())&amp;CHAR(10)&amp;"Intro.Issues: "&amp;VLOOKUP(A671,Internal_lists_bugs!$A$2:$P1061,16,FALSE())),"please select a BUG ID")</f>
        <v>BIC: https://github.com/elastic/elasticsearch/commit/c7f6c5266
Intro.Issues: 3300</v>
      </c>
      <c r="D671" s="100">
        <v>3300.0</v>
      </c>
      <c r="E671" s="54"/>
      <c r="F671" s="79" t="s">
        <v>4623</v>
      </c>
      <c r="G671" s="93" t="s">
        <v>4624</v>
      </c>
      <c r="H671" s="54"/>
      <c r="I671" s="1"/>
    </row>
    <row r="672">
      <c r="A672" s="16" t="s">
        <v>85</v>
      </c>
      <c r="B672" s="77" t="str">
        <f>IFERROR(HYPERLINK(VLOOKUP(A672,Internal_lists_bugs!$A$2:$C$73,3,FALSE()), VLOOKUP(A672,Internal_lists_bugs!$A$2:$C$73,3,FALSE())&amp;Char(10) &amp; Char(10) &amp; VLOOKUP(A672,Internal_lists_bugs!$A$2:$Z$73,26,FALSE())),"please select a BUG ID")</f>
        <v>https://github.com/elastic/elasticsearch/issues/5021
/terms/StringTerms.java
/terms/StringTerms.java
/terms/StringTermsAggregator.java </v>
      </c>
      <c r="C672" s="81" t="str">
        <f>IFERROR(Hyperlink(VLOOKUP(A672,Internal_lists_bugs!$A$2:$G1061,7,FALSE()),"BIC: "&amp;VLOOKUP(A672,Internal_lists_bugs!$A$2:$G1061,7,FALSE())&amp;CHAR(10)&amp;"Intro.Issues: "&amp;VLOOKUP(A672,Internal_lists_bugs!$A$2:$P1061,16,FALSE())),"please select a BUG ID")</f>
        <v>BIC: https://github.com/elastic/elasticsearch/commit/c7f6c5266
Intro.Issues: 3300</v>
      </c>
      <c r="D672" s="100">
        <v>3300.0</v>
      </c>
      <c r="E672" s="54"/>
      <c r="F672" s="79" t="s">
        <v>4625</v>
      </c>
      <c r="G672" s="93" t="s">
        <v>4622</v>
      </c>
      <c r="H672" s="54"/>
      <c r="I672" s="1"/>
    </row>
    <row r="673">
      <c r="A673" s="16" t="s">
        <v>85</v>
      </c>
      <c r="B673" s="77" t="str">
        <f>IFERROR(HYPERLINK(VLOOKUP(A673,Internal_lists_bugs!$A$2:$C$73,3,FALSE()), VLOOKUP(A673,Internal_lists_bugs!$A$2:$C$73,3,FALSE())&amp;Char(10) &amp; Char(10) &amp; VLOOKUP(A673,Internal_lists_bugs!$A$2:$Z$73,26,FALSE())),"please select a BUG ID")</f>
        <v>https://github.com/elastic/elasticsearch/issues/5021
/terms/StringTerms.java
/terms/StringTerms.java
/terms/StringTermsAggregator.java </v>
      </c>
      <c r="C673" s="81" t="str">
        <f>IFERROR(Hyperlink(VLOOKUP(A673,Internal_lists_bugs!$A$2:$G1061,7,FALSE()),"BIC: "&amp;VLOOKUP(A673,Internal_lists_bugs!$A$2:$G1061,7,FALSE())&amp;CHAR(10)&amp;"Intro.Issues: "&amp;VLOOKUP(A673,Internal_lists_bugs!$A$2:$P1061,16,FALSE())),"please select a BUG ID")</f>
        <v>BIC: https://github.com/elastic/elasticsearch/commit/c7f6c5266
Intro.Issues: 3300</v>
      </c>
      <c r="D673" s="100">
        <v>3300.0</v>
      </c>
      <c r="E673" s="54"/>
      <c r="F673" s="79" t="s">
        <v>4623</v>
      </c>
      <c r="G673" s="93" t="s">
        <v>4626</v>
      </c>
      <c r="H673" s="54"/>
      <c r="I673" s="1"/>
    </row>
    <row r="674">
      <c r="A674" s="16" t="s">
        <v>85</v>
      </c>
      <c r="B674" s="77" t="str">
        <f>IFERROR(HYPERLINK(VLOOKUP(A674,Internal_lists_bugs!$A$2:$C$73,3,FALSE()), VLOOKUP(A674,Internal_lists_bugs!$A$2:$C$73,3,FALSE())&amp;Char(10) &amp; Char(10) &amp; VLOOKUP(A674,Internal_lists_bugs!$A$2:$Z$73,26,FALSE())),"please select a BUG ID")</f>
        <v>https://github.com/elastic/elasticsearch/issues/5021
/terms/StringTerms.java
/terms/StringTerms.java
/terms/StringTermsAggregator.java </v>
      </c>
      <c r="C674" s="81" t="str">
        <f>IFERROR(Hyperlink(VLOOKUP(A674,Internal_lists_bugs!$A$2:$G1061,7,FALSE()),"BIC: "&amp;VLOOKUP(A674,Internal_lists_bugs!$A$2:$G1061,7,FALSE())&amp;CHAR(10)&amp;"Intro.Issues: "&amp;VLOOKUP(A674,Internal_lists_bugs!$A$2:$P1061,16,FALSE())),"please select a BUG ID")</f>
        <v>BIC: https://github.com/elastic/elasticsearch/commit/c7f6c5266
Intro.Issues: 3300</v>
      </c>
      <c r="D674" s="100">
        <v>3300.0</v>
      </c>
      <c r="E674" s="54"/>
      <c r="F674" s="79" t="s">
        <v>4627</v>
      </c>
      <c r="G674" s="93" t="s">
        <v>4628</v>
      </c>
      <c r="H674" s="54"/>
      <c r="I674" s="1"/>
    </row>
    <row r="675">
      <c r="A675" s="16" t="s">
        <v>85</v>
      </c>
      <c r="B675" s="77" t="str">
        <f>IFERROR(HYPERLINK(VLOOKUP(A675,Internal_lists_bugs!$A$2:$C$73,3,FALSE()), VLOOKUP(A675,Internal_lists_bugs!$A$2:$C$73,3,FALSE())&amp;Char(10) &amp; Char(10) &amp; VLOOKUP(A675,Internal_lists_bugs!$A$2:$Z$73,26,FALSE())),"please select a BUG ID")</f>
        <v>https://github.com/elastic/elasticsearch/issues/5021
/terms/StringTerms.java
/terms/StringTerms.java
/terms/StringTermsAggregator.java </v>
      </c>
      <c r="C675" s="81" t="str">
        <f>IFERROR(Hyperlink(VLOOKUP(A675,Internal_lists_bugs!$A$2:$G1061,7,FALSE()),"BIC: "&amp;VLOOKUP(A675,Internal_lists_bugs!$A$2:$G1061,7,FALSE())&amp;CHAR(10)&amp;"Intro.Issues: "&amp;VLOOKUP(A675,Internal_lists_bugs!$A$2:$P1061,16,FALSE())),"please select a BUG ID")</f>
        <v>BIC: https://github.com/elastic/elasticsearch/commit/c7f6c5266
Intro.Issues: 3300</v>
      </c>
      <c r="D675" s="100">
        <v>3300.0</v>
      </c>
      <c r="E675" s="54"/>
      <c r="F675" s="79" t="s">
        <v>4514</v>
      </c>
      <c r="G675" s="93" t="s">
        <v>4629</v>
      </c>
      <c r="H675" s="54"/>
      <c r="I675" s="1"/>
    </row>
    <row r="676">
      <c r="A676" s="54"/>
      <c r="B676" s="88" t="str">
        <f>IFERROR(HYPERLINK(VLOOKUP(A676,Internal_lists_bugs!$A$2:$C$73,3,FALSE()), VLOOKUP(A676,Internal_lists_bugs!$A$2:$C$73,3,FALSE())&amp;Char(10) &amp; Char(10) &amp; VLOOKUP(A676,Internal_lists_bugs!$A$2:$Z$73,26,FALSE())),"please select a BUG ID")</f>
        <v>please select a BUG ID</v>
      </c>
      <c r="C676" s="51" t="str">
        <f>IFERROR(Hyperlink(VLOOKUP(A676,Internal_lists_bugs!$A$2:$G1061,7,FALSE()),"BIC: "&amp;VLOOKUP(A676,Internal_lists_bugs!$A$2:$G1061,7,FALSE())&amp;CHAR(10)&amp;"Intro.Issues: "&amp;VLOOKUP(A676,Internal_lists_bugs!$A$2:$P1061,16,FALSE())),"please select a BUG ID")</f>
        <v>please select a BUG ID</v>
      </c>
      <c r="D676" s="105"/>
      <c r="E676" s="54"/>
      <c r="F676" s="82"/>
      <c r="G676" s="92"/>
      <c r="H676" s="54"/>
      <c r="I676" s="1"/>
    </row>
    <row r="677">
      <c r="A677" s="54"/>
      <c r="B677" s="88" t="str">
        <f>IFERROR(HYPERLINK(VLOOKUP(A677,Internal_lists_bugs!$A$2:$C$73,3,FALSE()), VLOOKUP(A677,Internal_lists_bugs!$A$2:$C$73,3,FALSE())&amp;Char(10) &amp; Char(10) &amp; VLOOKUP(A677,Internal_lists_bugs!$A$2:$Z$73,26,FALSE())),"please select a BUG ID")</f>
        <v>please select a BUG ID</v>
      </c>
      <c r="C677" s="51" t="str">
        <f>IFERROR(Hyperlink(VLOOKUP(A677,Internal_lists_bugs!$A$2:$G1061,7,FALSE()),"BIC: "&amp;VLOOKUP(A677,Internal_lists_bugs!$A$2:$G1061,7,FALSE())&amp;CHAR(10)&amp;"Intro.Issues: "&amp;VLOOKUP(A677,Internal_lists_bugs!$A$2:$P1061,16,FALSE())),"please select a BUG ID")</f>
        <v>please select a BUG ID</v>
      </c>
      <c r="D677" s="105"/>
      <c r="E677" s="54"/>
      <c r="F677" s="82"/>
      <c r="G677" s="92"/>
      <c r="H677" s="54"/>
      <c r="I677" s="1"/>
    </row>
    <row r="678">
      <c r="A678" s="54"/>
      <c r="B678" s="88" t="str">
        <f>IFERROR(HYPERLINK(VLOOKUP(A678,Internal_lists_bugs!$A$2:$C$73,3,FALSE()), VLOOKUP(A678,Internal_lists_bugs!$A$2:$C$73,3,FALSE())&amp;Char(10) &amp; Char(10) &amp; VLOOKUP(A678,Internal_lists_bugs!$A$2:$Z$73,26,FALSE())),"please select a BUG ID")</f>
        <v>please select a BUG ID</v>
      </c>
      <c r="C678" s="51" t="str">
        <f>IFERROR(Hyperlink(VLOOKUP(A678,Internal_lists_bugs!$A$2:$G1061,7,FALSE()),"BIC: "&amp;VLOOKUP(A678,Internal_lists_bugs!$A$2:$G1061,7,FALSE())&amp;CHAR(10)&amp;"Intro.Issues: "&amp;VLOOKUP(A678,Internal_lists_bugs!$A$2:$P1061,16,FALSE())),"please select a BUG ID")</f>
        <v>please select a BUG ID</v>
      </c>
      <c r="D678" s="105"/>
      <c r="E678" s="54"/>
      <c r="F678" s="82"/>
      <c r="G678" s="92"/>
      <c r="H678" s="54"/>
      <c r="I678" s="1"/>
    </row>
    <row r="679">
      <c r="A679" s="54"/>
      <c r="B679" s="88" t="str">
        <f>IFERROR(HYPERLINK(VLOOKUP(A679,Internal_lists_bugs!$A$2:$C$73,3,FALSE()), VLOOKUP(A679,Internal_lists_bugs!$A$2:$C$73,3,FALSE())&amp;Char(10) &amp; Char(10) &amp; VLOOKUP(A679,Internal_lists_bugs!$A$2:$Z$73,26,FALSE())),"please select a BUG ID")</f>
        <v>please select a BUG ID</v>
      </c>
      <c r="C679" s="51" t="str">
        <f>IFERROR(Hyperlink(VLOOKUP(A679,Internal_lists_bugs!$A$2:$G1061,7,FALSE()),"BIC: "&amp;VLOOKUP(A679,Internal_lists_bugs!$A$2:$G1061,7,FALSE())&amp;CHAR(10)&amp;"Intro.Issues: "&amp;VLOOKUP(A679,Internal_lists_bugs!$A$2:$P1061,16,FALSE())),"please select a BUG ID")</f>
        <v>please select a BUG ID</v>
      </c>
      <c r="D679" s="105"/>
      <c r="E679" s="54"/>
      <c r="F679" s="82"/>
      <c r="G679" s="92"/>
      <c r="H679" s="54"/>
      <c r="I679" s="1"/>
    </row>
    <row r="680">
      <c r="A680" s="54"/>
      <c r="B680" s="88" t="str">
        <f>IFERROR(HYPERLINK(VLOOKUP(A680,Internal_lists_bugs!$A$2:$C$73,3,FALSE()), VLOOKUP(A680,Internal_lists_bugs!$A$2:$C$73,3,FALSE())&amp;Char(10) &amp; Char(10) &amp; VLOOKUP(A680,Internal_lists_bugs!$A$2:$Z$73,26,FALSE())),"please select a BUG ID")</f>
        <v>please select a BUG ID</v>
      </c>
      <c r="C680" s="51" t="str">
        <f>IFERROR(Hyperlink(VLOOKUP(A680,Internal_lists_bugs!$A$2:$G1061,7,FALSE()),"BIC: "&amp;VLOOKUP(A680,Internal_lists_bugs!$A$2:$G1061,7,FALSE())&amp;CHAR(10)&amp;"Intro.Issues: "&amp;VLOOKUP(A680,Internal_lists_bugs!$A$2:$P1061,16,FALSE())),"please select a BUG ID")</f>
        <v>please select a BUG ID</v>
      </c>
      <c r="D680" s="105"/>
      <c r="E680" s="54"/>
      <c r="F680" s="82"/>
      <c r="G680" s="92"/>
      <c r="H680" s="54"/>
      <c r="I680" s="1"/>
    </row>
    <row r="681">
      <c r="A681" s="54"/>
      <c r="B681" s="88" t="str">
        <f>IFERROR(HYPERLINK(VLOOKUP(A681,Internal_lists_bugs!$A$2:$C$73,3,FALSE()), VLOOKUP(A681,Internal_lists_bugs!$A$2:$C$73,3,FALSE())&amp;Char(10) &amp; Char(10) &amp; VLOOKUP(A681,Internal_lists_bugs!$A$2:$Z$73,26,FALSE())),"please select a BUG ID")</f>
        <v>please select a BUG ID</v>
      </c>
      <c r="C681" s="51" t="str">
        <f>IFERROR(Hyperlink(VLOOKUP(A681,Internal_lists_bugs!$A$2:$G1061,7,FALSE()),"BIC: "&amp;VLOOKUP(A681,Internal_lists_bugs!$A$2:$G1061,7,FALSE())&amp;CHAR(10)&amp;"Intro.Issues: "&amp;VLOOKUP(A681,Internal_lists_bugs!$A$2:$P1061,16,FALSE())),"please select a BUG ID")</f>
        <v>please select a BUG ID</v>
      </c>
      <c r="D681" s="105"/>
      <c r="E681" s="54"/>
      <c r="F681" s="82"/>
      <c r="G681" s="92"/>
      <c r="H681" s="54"/>
      <c r="I681" s="1"/>
    </row>
    <row r="682">
      <c r="A682" s="54"/>
      <c r="B682" s="88" t="str">
        <f>IFERROR(HYPERLINK(VLOOKUP(A682,Internal_lists_bugs!$A$2:$C$73,3,FALSE()), VLOOKUP(A682,Internal_lists_bugs!$A$2:$C$73,3,FALSE())&amp;Char(10) &amp; Char(10) &amp; VLOOKUP(A682,Internal_lists_bugs!$A$2:$Z$73,26,FALSE())),"please select a BUG ID")</f>
        <v>please select a BUG ID</v>
      </c>
      <c r="C682" s="51" t="str">
        <f>IFERROR(Hyperlink(VLOOKUP(A682,Internal_lists_bugs!$A$2:$G1061,7,FALSE()),"BIC: "&amp;VLOOKUP(A682,Internal_lists_bugs!$A$2:$G1061,7,FALSE())&amp;CHAR(10)&amp;"Intro.Issues: "&amp;VLOOKUP(A682,Internal_lists_bugs!$A$2:$P1061,16,FALSE())),"please select a BUG ID")</f>
        <v>please select a BUG ID</v>
      </c>
      <c r="D682" s="105"/>
      <c r="E682" s="54"/>
      <c r="F682" s="82"/>
      <c r="G682" s="92"/>
      <c r="H682" s="54"/>
      <c r="I682" s="1"/>
    </row>
    <row r="683">
      <c r="A683" s="54"/>
      <c r="B683" s="88" t="str">
        <f>IFERROR(HYPERLINK(VLOOKUP(A683,Internal_lists_bugs!$A$2:$C$73,3,FALSE()), VLOOKUP(A683,Internal_lists_bugs!$A$2:$C$73,3,FALSE())&amp;Char(10) &amp; Char(10) &amp; VLOOKUP(A683,Internal_lists_bugs!$A$2:$Z$73,26,FALSE())),"please select a BUG ID")</f>
        <v>please select a BUG ID</v>
      </c>
      <c r="C683" s="51" t="str">
        <f>IFERROR(Hyperlink(VLOOKUP(A683,Internal_lists_bugs!$A$2:$G1061,7,FALSE()),"BIC: "&amp;VLOOKUP(A683,Internal_lists_bugs!$A$2:$G1061,7,FALSE())&amp;CHAR(10)&amp;"Intro.Issues: "&amp;VLOOKUP(A683,Internal_lists_bugs!$A$2:$P1061,16,FALSE())),"please select a BUG ID")</f>
        <v>please select a BUG ID</v>
      </c>
      <c r="D683" s="105"/>
      <c r="E683" s="54"/>
      <c r="F683" s="82"/>
      <c r="G683" s="92"/>
      <c r="H683" s="54"/>
      <c r="I683" s="1"/>
    </row>
    <row r="684">
      <c r="A684" s="54"/>
      <c r="B684" s="88" t="str">
        <f>IFERROR(HYPERLINK(VLOOKUP(A684,Internal_lists_bugs!$A$2:$C$73,3,FALSE()), VLOOKUP(A684,Internal_lists_bugs!$A$2:$C$73,3,FALSE())&amp;Char(10) &amp; Char(10) &amp; VLOOKUP(A684,Internal_lists_bugs!$A$2:$Z$73,26,FALSE())),"please select a BUG ID")</f>
        <v>please select a BUG ID</v>
      </c>
      <c r="C684" s="51" t="str">
        <f>IFERROR(Hyperlink(VLOOKUP(A684,Internal_lists_bugs!$A$2:$G1061,7,FALSE()),"BIC: "&amp;VLOOKUP(A684,Internal_lists_bugs!$A$2:$G1061,7,FALSE())&amp;CHAR(10)&amp;"Intro.Issues: "&amp;VLOOKUP(A684,Internal_lists_bugs!$A$2:$P1061,16,FALSE())),"please select a BUG ID")</f>
        <v>please select a BUG ID</v>
      </c>
      <c r="D684" s="105"/>
      <c r="E684" s="54"/>
      <c r="F684" s="82"/>
      <c r="G684" s="92"/>
      <c r="H684" s="54"/>
      <c r="I684" s="1"/>
    </row>
    <row r="685">
      <c r="A685" s="54"/>
      <c r="B685" s="88" t="str">
        <f>IFERROR(HYPERLINK(VLOOKUP(A685,Internal_lists_bugs!$A$2:$C$73,3,FALSE()), VLOOKUP(A685,Internal_lists_bugs!$A$2:$C$73,3,FALSE())&amp;Char(10) &amp; Char(10) &amp; VLOOKUP(A685,Internal_lists_bugs!$A$2:$Z$73,26,FALSE())),"please select a BUG ID")</f>
        <v>please select a BUG ID</v>
      </c>
      <c r="C685" s="51" t="str">
        <f>IFERROR(Hyperlink(VLOOKUP(A685,Internal_lists_bugs!$A$2:$G1061,7,FALSE()),"BIC: "&amp;VLOOKUP(A685,Internal_lists_bugs!$A$2:$G1061,7,FALSE())&amp;CHAR(10)&amp;"Intro.Issues: "&amp;VLOOKUP(A685,Internal_lists_bugs!$A$2:$P1061,16,FALSE())),"please select a BUG ID")</f>
        <v>please select a BUG ID</v>
      </c>
      <c r="D685" s="105"/>
      <c r="E685" s="54"/>
      <c r="F685" s="82"/>
      <c r="G685" s="92"/>
      <c r="H685" s="54"/>
      <c r="I685" s="1"/>
    </row>
    <row r="686">
      <c r="A686" s="54"/>
      <c r="B686" s="88" t="str">
        <f>IFERROR(HYPERLINK(VLOOKUP(A686,Internal_lists_bugs!$A$2:$C$73,3,FALSE()), VLOOKUP(A686,Internal_lists_bugs!$A$2:$C$73,3,FALSE())&amp;Char(10) &amp; Char(10) &amp; VLOOKUP(A686,Internal_lists_bugs!$A$2:$Z$73,26,FALSE())),"please select a BUG ID")</f>
        <v>please select a BUG ID</v>
      </c>
      <c r="C686" s="51" t="str">
        <f>IFERROR(Hyperlink(VLOOKUP(A686,Internal_lists_bugs!$A$2:$G1061,7,FALSE()),"BIC: "&amp;VLOOKUP(A686,Internal_lists_bugs!$A$2:$G1061,7,FALSE())&amp;CHAR(10)&amp;"Intro.Issues: "&amp;VLOOKUP(A686,Internal_lists_bugs!$A$2:$P1061,16,FALSE())),"please select a BUG ID")</f>
        <v>please select a BUG ID</v>
      </c>
      <c r="D686" s="105"/>
      <c r="E686" s="54"/>
      <c r="F686" s="82"/>
      <c r="G686" s="92"/>
      <c r="H686" s="54"/>
      <c r="I686" s="1"/>
    </row>
    <row r="687">
      <c r="A687" s="54"/>
      <c r="B687" s="88" t="str">
        <f>IFERROR(HYPERLINK(VLOOKUP(A687,Internal_lists_bugs!$A$2:$C$73,3,FALSE()), VLOOKUP(A687,Internal_lists_bugs!$A$2:$C$73,3,FALSE())&amp;Char(10) &amp; Char(10) &amp; VLOOKUP(A687,Internal_lists_bugs!$A$2:$Z$73,26,FALSE())),"please select a BUG ID")</f>
        <v>please select a BUG ID</v>
      </c>
      <c r="C687" s="51" t="str">
        <f>IFERROR(Hyperlink(VLOOKUP(A687,Internal_lists_bugs!$A$2:$G1061,7,FALSE()),"BIC: "&amp;VLOOKUP(A687,Internal_lists_bugs!$A$2:$G1061,7,FALSE())&amp;CHAR(10)&amp;"Intro.Issues: "&amp;VLOOKUP(A687,Internal_lists_bugs!$A$2:$P1061,16,FALSE())),"please select a BUG ID")</f>
        <v>please select a BUG ID</v>
      </c>
      <c r="D687" s="105"/>
      <c r="E687" s="54"/>
      <c r="F687" s="82"/>
      <c r="G687" s="92"/>
      <c r="H687" s="54"/>
      <c r="I687" s="1"/>
    </row>
    <row r="688">
      <c r="A688" s="54"/>
      <c r="B688" s="88" t="str">
        <f>IFERROR(HYPERLINK(VLOOKUP(A688,Internal_lists_bugs!$A$2:$C$73,3,FALSE()), VLOOKUP(A688,Internal_lists_bugs!$A$2:$C$73,3,FALSE())&amp;Char(10) &amp; Char(10) &amp; VLOOKUP(A688,Internal_lists_bugs!$A$2:$Z$73,26,FALSE())),"please select a BUG ID")</f>
        <v>please select a BUG ID</v>
      </c>
      <c r="C688" s="51" t="str">
        <f>IFERROR(Hyperlink(VLOOKUP(A688,Internal_lists_bugs!$A$2:$G1061,7,FALSE()),"BIC: "&amp;VLOOKUP(A688,Internal_lists_bugs!$A$2:$G1061,7,FALSE())&amp;CHAR(10)&amp;"Intro.Issues: "&amp;VLOOKUP(A688,Internal_lists_bugs!$A$2:$P1061,16,FALSE())),"please select a BUG ID")</f>
        <v>please select a BUG ID</v>
      </c>
      <c r="D688" s="105"/>
      <c r="E688" s="54"/>
      <c r="F688" s="82"/>
      <c r="G688" s="92"/>
      <c r="H688" s="54"/>
      <c r="I688" s="1"/>
    </row>
    <row r="689">
      <c r="A689" s="54"/>
      <c r="B689" s="88" t="str">
        <f>IFERROR(HYPERLINK(VLOOKUP(A689,Internal_lists_bugs!$A$2:$C$73,3,FALSE()), VLOOKUP(A689,Internal_lists_bugs!$A$2:$C$73,3,FALSE())&amp;Char(10) &amp; Char(10) &amp; VLOOKUP(A689,Internal_lists_bugs!$A$2:$Z$73,26,FALSE())),"please select a BUG ID")</f>
        <v>please select a BUG ID</v>
      </c>
      <c r="C689" s="51" t="str">
        <f>IFERROR(Hyperlink(VLOOKUP(A689,Internal_lists_bugs!$A$2:$G1061,7,FALSE()),"BIC: "&amp;VLOOKUP(A689,Internal_lists_bugs!$A$2:$G1061,7,FALSE())&amp;CHAR(10)&amp;"Intro.Issues: "&amp;VLOOKUP(A689,Internal_lists_bugs!$A$2:$P1061,16,FALSE())),"please select a BUG ID")</f>
        <v>please select a BUG ID</v>
      </c>
      <c r="D689" s="105"/>
      <c r="E689" s="54"/>
      <c r="F689" s="82"/>
      <c r="G689" s="92"/>
      <c r="H689" s="54"/>
      <c r="I689" s="1"/>
    </row>
    <row r="690">
      <c r="A690" s="54"/>
      <c r="B690" s="88" t="str">
        <f>IFERROR(HYPERLINK(VLOOKUP(A690,Internal_lists_bugs!$A$2:$C$73,3,FALSE()), VLOOKUP(A690,Internal_lists_bugs!$A$2:$C$73,3,FALSE())&amp;Char(10) &amp; Char(10) &amp; VLOOKUP(A690,Internal_lists_bugs!$A$2:$Z$73,26,FALSE())),"please select a BUG ID")</f>
        <v>please select a BUG ID</v>
      </c>
      <c r="C690" s="51" t="str">
        <f>IFERROR(Hyperlink(VLOOKUP(A690,Internal_lists_bugs!$A$2:$G1061,7,FALSE()),"BIC: "&amp;VLOOKUP(A690,Internal_lists_bugs!$A$2:$G1061,7,FALSE())&amp;CHAR(10)&amp;"Intro.Issues: "&amp;VLOOKUP(A690,Internal_lists_bugs!$A$2:$P1061,16,FALSE())),"please select a BUG ID")</f>
        <v>please select a BUG ID</v>
      </c>
      <c r="D690" s="105"/>
      <c r="E690" s="54"/>
      <c r="F690" s="82"/>
      <c r="G690" s="92"/>
      <c r="H690" s="54"/>
      <c r="I690" s="1"/>
    </row>
    <row r="691">
      <c r="A691" s="54"/>
      <c r="B691" s="88" t="str">
        <f>IFERROR(HYPERLINK(VLOOKUP(A691,Internal_lists_bugs!$A$2:$C$73,3,FALSE()), VLOOKUP(A691,Internal_lists_bugs!$A$2:$C$73,3,FALSE())&amp;Char(10) &amp; Char(10) &amp; VLOOKUP(A691,Internal_lists_bugs!$A$2:$Z$73,26,FALSE())),"please select a BUG ID")</f>
        <v>please select a BUG ID</v>
      </c>
      <c r="C691" s="51" t="str">
        <f>IFERROR(Hyperlink(VLOOKUP(A691,Internal_lists_bugs!$A$2:$G1061,7,FALSE()),"BIC: "&amp;VLOOKUP(A691,Internal_lists_bugs!$A$2:$G1061,7,FALSE())&amp;CHAR(10)&amp;"Intro.Issues: "&amp;VLOOKUP(A691,Internal_lists_bugs!$A$2:$P1061,16,FALSE())),"please select a BUG ID")</f>
        <v>please select a BUG ID</v>
      </c>
      <c r="D691" s="105"/>
      <c r="E691" s="54"/>
      <c r="F691" s="82"/>
      <c r="G691" s="92"/>
      <c r="H691" s="54"/>
      <c r="I691" s="1"/>
    </row>
    <row r="692">
      <c r="A692" s="54"/>
      <c r="B692" s="88" t="str">
        <f>IFERROR(HYPERLINK(VLOOKUP(A692,Internal_lists_bugs!$A$2:$C$73,3,FALSE()), VLOOKUP(A692,Internal_lists_bugs!$A$2:$C$73,3,FALSE())&amp;Char(10) &amp; Char(10) &amp; VLOOKUP(A692,Internal_lists_bugs!$A$2:$Z$73,26,FALSE())),"please select a BUG ID")</f>
        <v>please select a BUG ID</v>
      </c>
      <c r="C692" s="51" t="str">
        <f>IFERROR(Hyperlink(VLOOKUP(A692,Internal_lists_bugs!$A$2:$G1061,7,FALSE()),"BIC: "&amp;VLOOKUP(A692,Internal_lists_bugs!$A$2:$G1061,7,FALSE())&amp;CHAR(10)&amp;"Intro.Issues: "&amp;VLOOKUP(A692,Internal_lists_bugs!$A$2:$P1061,16,FALSE())),"please select a BUG ID")</f>
        <v>please select a BUG ID</v>
      </c>
      <c r="D692" s="105"/>
      <c r="E692" s="54"/>
      <c r="F692" s="82"/>
      <c r="G692" s="92"/>
      <c r="H692" s="54"/>
      <c r="I692" s="1"/>
    </row>
    <row r="693">
      <c r="A693" s="54"/>
      <c r="B693" s="88" t="str">
        <f>IFERROR(HYPERLINK(VLOOKUP(A693,Internal_lists_bugs!$A$2:$C$73,3,FALSE()), VLOOKUP(A693,Internal_lists_bugs!$A$2:$C$73,3,FALSE())&amp;Char(10) &amp; Char(10) &amp; VLOOKUP(A693,Internal_lists_bugs!$A$2:$Z$73,26,FALSE())),"please select a BUG ID")</f>
        <v>please select a BUG ID</v>
      </c>
      <c r="C693" s="51" t="str">
        <f>IFERROR(Hyperlink(VLOOKUP(A693,Internal_lists_bugs!$A$2:$G1061,7,FALSE()),"BIC: "&amp;VLOOKUP(A693,Internal_lists_bugs!$A$2:$G1061,7,FALSE())&amp;CHAR(10)&amp;"Intro.Issues: "&amp;VLOOKUP(A693,Internal_lists_bugs!$A$2:$P1061,16,FALSE())),"please select a BUG ID")</f>
        <v>please select a BUG ID</v>
      </c>
      <c r="D693" s="105"/>
      <c r="E693" s="54"/>
      <c r="F693" s="82"/>
      <c r="G693" s="92"/>
      <c r="H693" s="54"/>
      <c r="I693" s="1"/>
    </row>
    <row r="694">
      <c r="A694" s="54"/>
      <c r="B694" s="88" t="str">
        <f>IFERROR(HYPERLINK(VLOOKUP(A694,Internal_lists_bugs!$A$2:$C$73,3,FALSE()), VLOOKUP(A694,Internal_lists_bugs!$A$2:$C$73,3,FALSE())&amp;Char(10) &amp; Char(10) &amp; VLOOKUP(A694,Internal_lists_bugs!$A$2:$Z$73,26,FALSE())),"please select a BUG ID")</f>
        <v>please select a BUG ID</v>
      </c>
      <c r="C694" s="51" t="str">
        <f>IFERROR(Hyperlink(VLOOKUP(A694,Internal_lists_bugs!$A$2:$G1061,7,FALSE()),"BIC: "&amp;VLOOKUP(A694,Internal_lists_bugs!$A$2:$G1061,7,FALSE())&amp;CHAR(10)&amp;"Intro.Issues: "&amp;VLOOKUP(A694,Internal_lists_bugs!$A$2:$P1061,16,FALSE())),"please select a BUG ID")</f>
        <v>please select a BUG ID</v>
      </c>
      <c r="D694" s="105"/>
      <c r="E694" s="54"/>
      <c r="F694" s="82"/>
      <c r="G694" s="92"/>
      <c r="H694" s="54"/>
      <c r="I694" s="1"/>
    </row>
    <row r="695">
      <c r="A695" s="54"/>
      <c r="B695" s="88" t="str">
        <f>IFERROR(HYPERLINK(VLOOKUP(A695,Internal_lists_bugs!$A$2:$C$73,3,FALSE()), VLOOKUP(A695,Internal_lists_bugs!$A$2:$C$73,3,FALSE())&amp;Char(10) &amp; Char(10) &amp; VLOOKUP(A695,Internal_lists_bugs!$A$2:$Z$73,26,FALSE())),"please select a BUG ID")</f>
        <v>please select a BUG ID</v>
      </c>
      <c r="C695" s="51" t="str">
        <f>IFERROR(Hyperlink(VLOOKUP(A695,Internal_lists_bugs!$A$2:$G1061,7,FALSE()),"BIC: "&amp;VLOOKUP(A695,Internal_lists_bugs!$A$2:$G1061,7,FALSE())&amp;CHAR(10)&amp;"Intro.Issues: "&amp;VLOOKUP(A695,Internal_lists_bugs!$A$2:$P1061,16,FALSE())),"please select a BUG ID")</f>
        <v>please select a BUG ID</v>
      </c>
      <c r="D695" s="105"/>
      <c r="E695" s="54"/>
      <c r="F695" s="82"/>
      <c r="G695" s="92"/>
      <c r="H695" s="54"/>
      <c r="I695" s="1"/>
    </row>
    <row r="696">
      <c r="A696" s="54"/>
      <c r="B696" s="88" t="str">
        <f>IFERROR(HYPERLINK(VLOOKUP(A696,Internal_lists_bugs!$A$2:$C$73,3,FALSE()), VLOOKUP(A696,Internal_lists_bugs!$A$2:$C$73,3,FALSE())&amp;Char(10) &amp; Char(10) &amp; VLOOKUP(A696,Internal_lists_bugs!$A$2:$Z$73,26,FALSE())),"please select a BUG ID")</f>
        <v>please select a BUG ID</v>
      </c>
      <c r="C696" s="51" t="str">
        <f>IFERROR(Hyperlink(VLOOKUP(A696,Internal_lists_bugs!$A$2:$G1061,7,FALSE()),"BIC: "&amp;VLOOKUP(A696,Internal_lists_bugs!$A$2:$G1061,7,FALSE())&amp;CHAR(10)&amp;"Intro.Issues: "&amp;VLOOKUP(A696,Internal_lists_bugs!$A$2:$P1061,16,FALSE())),"please select a BUG ID")</f>
        <v>please select a BUG ID</v>
      </c>
      <c r="D696" s="105"/>
      <c r="E696" s="54"/>
      <c r="F696" s="82"/>
      <c r="G696" s="92"/>
      <c r="H696" s="54"/>
      <c r="I696" s="1"/>
    </row>
    <row r="697">
      <c r="A697" s="54"/>
      <c r="B697" s="88" t="str">
        <f>IFERROR(HYPERLINK(VLOOKUP(A697,Internal_lists_bugs!$A$2:$C$73,3,FALSE()), VLOOKUP(A697,Internal_lists_bugs!$A$2:$C$73,3,FALSE())&amp;Char(10) &amp; Char(10) &amp; VLOOKUP(A697,Internal_lists_bugs!$A$2:$Z$73,26,FALSE())),"please select a BUG ID")</f>
        <v>please select a BUG ID</v>
      </c>
      <c r="C697" s="51" t="str">
        <f>IFERROR(Hyperlink(VLOOKUP(A697,Internal_lists_bugs!$A$2:$G1061,7,FALSE()),"BIC: "&amp;VLOOKUP(A697,Internal_lists_bugs!$A$2:$G1061,7,FALSE())&amp;CHAR(10)&amp;"Intro.Issues: "&amp;VLOOKUP(A697,Internal_lists_bugs!$A$2:$P1061,16,FALSE())),"please select a BUG ID")</f>
        <v>please select a BUG ID</v>
      </c>
      <c r="D697" s="105"/>
      <c r="E697" s="54"/>
      <c r="F697" s="82"/>
      <c r="G697" s="92"/>
      <c r="H697" s="54"/>
      <c r="I697" s="1"/>
    </row>
    <row r="698">
      <c r="A698" s="54"/>
      <c r="B698" s="88" t="str">
        <f>IFERROR(HYPERLINK(VLOOKUP(A698,Internal_lists_bugs!$A$2:$C$73,3,FALSE()), VLOOKUP(A698,Internal_lists_bugs!$A$2:$C$73,3,FALSE())&amp;Char(10) &amp; Char(10) &amp; VLOOKUP(A698,Internal_lists_bugs!$A$2:$Z$73,26,FALSE())),"please select a BUG ID")</f>
        <v>please select a BUG ID</v>
      </c>
      <c r="C698" s="51" t="str">
        <f>IFERROR(Hyperlink(VLOOKUP(A698,Internal_lists_bugs!$A$2:$G1061,7,FALSE()),"BIC: "&amp;VLOOKUP(A698,Internal_lists_bugs!$A$2:$G1061,7,FALSE())&amp;CHAR(10)&amp;"Intro.Issues: "&amp;VLOOKUP(A698,Internal_lists_bugs!$A$2:$P1061,16,FALSE())),"please select a BUG ID")</f>
        <v>please select a BUG ID</v>
      </c>
      <c r="D698" s="105"/>
      <c r="E698" s="54"/>
      <c r="F698" s="82"/>
      <c r="G698" s="92"/>
      <c r="H698" s="54"/>
      <c r="I698" s="1"/>
    </row>
    <row r="699">
      <c r="A699" s="54"/>
      <c r="B699" s="88" t="str">
        <f>IFERROR(HYPERLINK(VLOOKUP(A699,Internal_lists_bugs!$A$2:$C$73,3,FALSE()), VLOOKUP(A699,Internal_lists_bugs!$A$2:$C$73,3,FALSE())&amp;Char(10) &amp; Char(10) &amp; VLOOKUP(A699,Internal_lists_bugs!$A$2:$Z$73,26,FALSE())),"please select a BUG ID")</f>
        <v>please select a BUG ID</v>
      </c>
      <c r="C699" s="51" t="str">
        <f>IFERROR(Hyperlink(VLOOKUP(A699,Internal_lists_bugs!$A$2:$G1061,7,FALSE()),"BIC: "&amp;VLOOKUP(A699,Internal_lists_bugs!$A$2:$G1061,7,FALSE())&amp;CHAR(10)&amp;"Intro.Issues: "&amp;VLOOKUP(A699,Internal_lists_bugs!$A$2:$P1061,16,FALSE())),"please select a BUG ID")</f>
        <v>please select a BUG ID</v>
      </c>
      <c r="D699" s="105"/>
      <c r="E699" s="54"/>
      <c r="F699" s="82"/>
      <c r="G699" s="92"/>
      <c r="H699" s="54"/>
      <c r="I699" s="1"/>
    </row>
    <row r="700">
      <c r="A700" s="54"/>
      <c r="B700" s="88" t="str">
        <f>IFERROR(HYPERLINK(VLOOKUP(A700,Internal_lists_bugs!$A$2:$C$73,3,FALSE()), VLOOKUP(A700,Internal_lists_bugs!$A$2:$C$73,3,FALSE())&amp;Char(10) &amp; Char(10) &amp; VLOOKUP(A700,Internal_lists_bugs!$A$2:$Z$73,26,FALSE())),"please select a BUG ID")</f>
        <v>please select a BUG ID</v>
      </c>
      <c r="C700" s="51" t="str">
        <f>IFERROR(Hyperlink(VLOOKUP(A700,Internal_lists_bugs!$A$2:$G1061,7,FALSE()),"BIC: "&amp;VLOOKUP(A700,Internal_lists_bugs!$A$2:$G1061,7,FALSE())&amp;CHAR(10)&amp;"Intro.Issues: "&amp;VLOOKUP(A700,Internal_lists_bugs!$A$2:$P1061,16,FALSE())),"please select a BUG ID")</f>
        <v>please select a BUG ID</v>
      </c>
      <c r="D700" s="105"/>
      <c r="E700" s="54"/>
      <c r="F700" s="82"/>
      <c r="G700" s="92"/>
      <c r="H700" s="54"/>
      <c r="I700" s="1"/>
    </row>
    <row r="701">
      <c r="A701" s="54"/>
      <c r="B701" s="88" t="str">
        <f>IFERROR(HYPERLINK(VLOOKUP(A701,Internal_lists_bugs!$A$2:$C$73,3,FALSE()), VLOOKUP(A701,Internal_lists_bugs!$A$2:$C$73,3,FALSE())&amp;Char(10) &amp; Char(10) &amp; VLOOKUP(A701,Internal_lists_bugs!$A$2:$Z$73,26,FALSE())),"please select a BUG ID")</f>
        <v>please select a BUG ID</v>
      </c>
      <c r="C701" s="51" t="str">
        <f>IFERROR(Hyperlink(VLOOKUP(A701,Internal_lists_bugs!$A$2:$G1061,7,FALSE()),"BIC: "&amp;VLOOKUP(A701,Internal_lists_bugs!$A$2:$G1061,7,FALSE())&amp;CHAR(10)&amp;"Intro.Issues: "&amp;VLOOKUP(A701,Internal_lists_bugs!$A$2:$P1061,16,FALSE())),"please select a BUG ID")</f>
        <v>please select a BUG ID</v>
      </c>
      <c r="D701" s="105"/>
      <c r="E701" s="54"/>
      <c r="F701" s="82"/>
      <c r="G701" s="92"/>
      <c r="H701" s="54"/>
      <c r="I701" s="1"/>
    </row>
    <row r="702">
      <c r="A702" s="54"/>
      <c r="B702" s="88" t="str">
        <f>IFERROR(HYPERLINK(VLOOKUP(A702,Internal_lists_bugs!$A$2:$C$73,3,FALSE()), VLOOKUP(A702,Internal_lists_bugs!$A$2:$C$73,3,FALSE())&amp;Char(10) &amp; Char(10) &amp; VLOOKUP(A702,Internal_lists_bugs!$A$2:$Z$73,26,FALSE())),"please select a BUG ID")</f>
        <v>please select a BUG ID</v>
      </c>
      <c r="C702" s="51" t="str">
        <f>IFERROR(Hyperlink(VLOOKUP(A702,Internal_lists_bugs!$A$2:$G1061,7,FALSE()),"BIC: "&amp;VLOOKUP(A702,Internal_lists_bugs!$A$2:$G1061,7,FALSE())&amp;CHAR(10)&amp;"Intro.Issues: "&amp;VLOOKUP(A702,Internal_lists_bugs!$A$2:$P1061,16,FALSE())),"please select a BUG ID")</f>
        <v>please select a BUG ID</v>
      </c>
      <c r="D702" s="105"/>
      <c r="E702" s="54"/>
      <c r="F702" s="82"/>
      <c r="G702" s="92"/>
      <c r="H702" s="54"/>
      <c r="I702" s="1"/>
    </row>
    <row r="703">
      <c r="A703" s="54"/>
      <c r="B703" s="88" t="str">
        <f>IFERROR(HYPERLINK(VLOOKUP(A703,Internal_lists_bugs!$A$2:$C$73,3,FALSE()), VLOOKUP(A703,Internal_lists_bugs!$A$2:$C$73,3,FALSE())&amp;Char(10) &amp; Char(10) &amp; VLOOKUP(A703,Internal_lists_bugs!$A$2:$Z$73,26,FALSE())),"please select a BUG ID")</f>
        <v>please select a BUG ID</v>
      </c>
      <c r="C703" s="51" t="str">
        <f>IFERROR(Hyperlink(VLOOKUP(A703,Internal_lists_bugs!$A$2:$G1061,7,FALSE()),"BIC: "&amp;VLOOKUP(A703,Internal_lists_bugs!$A$2:$G1061,7,FALSE())&amp;CHAR(10)&amp;"Intro.Issues: "&amp;VLOOKUP(A703,Internal_lists_bugs!$A$2:$P1061,16,FALSE())),"please select a BUG ID")</f>
        <v>please select a BUG ID</v>
      </c>
      <c r="D703" s="105"/>
      <c r="E703" s="54"/>
      <c r="F703" s="82"/>
      <c r="G703" s="92"/>
      <c r="H703" s="54"/>
      <c r="I703" s="1"/>
    </row>
    <row r="704">
      <c r="A704" s="54"/>
      <c r="B704" s="88" t="str">
        <f>IFERROR(HYPERLINK(VLOOKUP(A704,Internal_lists_bugs!$A$2:$C$73,3,FALSE()), VLOOKUP(A704,Internal_lists_bugs!$A$2:$C$73,3,FALSE())&amp;Char(10) &amp; Char(10) &amp; VLOOKUP(A704,Internal_lists_bugs!$A$2:$Z$73,26,FALSE())),"please select a BUG ID")</f>
        <v>please select a BUG ID</v>
      </c>
      <c r="C704" s="51" t="str">
        <f>IFERROR(Hyperlink(VLOOKUP(A704,Internal_lists_bugs!$A$2:$G1061,7,FALSE()),"BIC: "&amp;VLOOKUP(A704,Internal_lists_bugs!$A$2:$G1061,7,FALSE())&amp;CHAR(10)&amp;"Intro.Issues: "&amp;VLOOKUP(A704,Internal_lists_bugs!$A$2:$P1061,16,FALSE())),"please select a BUG ID")</f>
        <v>please select a BUG ID</v>
      </c>
      <c r="D704" s="105"/>
      <c r="E704" s="54"/>
      <c r="F704" s="82"/>
      <c r="G704" s="92"/>
      <c r="H704" s="54"/>
      <c r="I704" s="1"/>
    </row>
    <row r="705">
      <c r="A705" s="54"/>
      <c r="B705" s="88" t="str">
        <f>IFERROR(HYPERLINK(VLOOKUP(A705,Internal_lists_bugs!$A$2:$C$73,3,FALSE()), VLOOKUP(A705,Internal_lists_bugs!$A$2:$C$73,3,FALSE())&amp;Char(10) &amp; Char(10) &amp; VLOOKUP(A705,Internal_lists_bugs!$A$2:$Z$73,26,FALSE())),"please select a BUG ID")</f>
        <v>please select a BUG ID</v>
      </c>
      <c r="C705" s="51" t="str">
        <f>IFERROR(Hyperlink(VLOOKUP(A705,Internal_lists_bugs!$A$2:$G1061,7,FALSE()),"BIC: "&amp;VLOOKUP(A705,Internal_lists_bugs!$A$2:$G1061,7,FALSE())&amp;CHAR(10)&amp;"Intro.Issues: "&amp;VLOOKUP(A705,Internal_lists_bugs!$A$2:$P1061,16,FALSE())),"please select a BUG ID")</f>
        <v>please select a BUG ID</v>
      </c>
      <c r="D705" s="105"/>
      <c r="E705" s="54"/>
      <c r="F705" s="82"/>
      <c r="G705" s="92"/>
      <c r="H705" s="54"/>
      <c r="I705" s="1"/>
    </row>
    <row r="706">
      <c r="A706" s="54"/>
      <c r="B706" s="88" t="str">
        <f>IFERROR(HYPERLINK(VLOOKUP(A706,Internal_lists_bugs!$A$2:$C$73,3,FALSE()), VLOOKUP(A706,Internal_lists_bugs!$A$2:$C$73,3,FALSE())&amp;Char(10) &amp; Char(10) &amp; VLOOKUP(A706,Internal_lists_bugs!$A$2:$Z$73,26,FALSE())),"please select a BUG ID")</f>
        <v>please select a BUG ID</v>
      </c>
      <c r="C706" s="51" t="str">
        <f>IFERROR(Hyperlink(VLOOKUP(A706,Internal_lists_bugs!$A$2:$G1061,7,FALSE()),"BIC: "&amp;VLOOKUP(A706,Internal_lists_bugs!$A$2:$G1061,7,FALSE())&amp;CHAR(10)&amp;"Intro.Issues: "&amp;VLOOKUP(A706,Internal_lists_bugs!$A$2:$P1061,16,FALSE())),"please select a BUG ID")</f>
        <v>please select a BUG ID</v>
      </c>
      <c r="D706" s="105"/>
      <c r="E706" s="54"/>
      <c r="F706" s="82"/>
      <c r="G706" s="92"/>
      <c r="H706" s="54"/>
      <c r="I706" s="1"/>
    </row>
    <row r="707">
      <c r="A707" s="54"/>
      <c r="B707" s="88" t="str">
        <f>IFERROR(HYPERLINK(VLOOKUP(A707,Internal_lists_bugs!$A$2:$C$73,3,FALSE()), VLOOKUP(A707,Internal_lists_bugs!$A$2:$C$73,3,FALSE())&amp;Char(10) &amp; Char(10) &amp; VLOOKUP(A707,Internal_lists_bugs!$A$2:$Z$73,26,FALSE())),"please select a BUG ID")</f>
        <v>please select a BUG ID</v>
      </c>
      <c r="C707" s="51" t="str">
        <f>IFERROR(Hyperlink(VLOOKUP(A707,Internal_lists_bugs!$A$2:$G1061,7,FALSE()),"BIC: "&amp;VLOOKUP(A707,Internal_lists_bugs!$A$2:$G1061,7,FALSE())&amp;CHAR(10)&amp;"Intro.Issues: "&amp;VLOOKUP(A707,Internal_lists_bugs!$A$2:$P1061,16,FALSE())),"please select a BUG ID")</f>
        <v>please select a BUG ID</v>
      </c>
      <c r="D707" s="105"/>
      <c r="E707" s="54"/>
      <c r="F707" s="82"/>
      <c r="G707" s="92"/>
      <c r="H707" s="54"/>
      <c r="I707" s="1"/>
    </row>
    <row r="708">
      <c r="A708" s="54"/>
      <c r="B708" s="88" t="str">
        <f>IFERROR(HYPERLINK(VLOOKUP(A708,Internal_lists_bugs!$A$2:$C$73,3,FALSE()), VLOOKUP(A708,Internal_lists_bugs!$A$2:$C$73,3,FALSE())&amp;Char(10) &amp; Char(10) &amp; VLOOKUP(A708,Internal_lists_bugs!$A$2:$Z$73,26,FALSE())),"please select a BUG ID")</f>
        <v>please select a BUG ID</v>
      </c>
      <c r="C708" s="51" t="str">
        <f>IFERROR(Hyperlink(VLOOKUP(A708,Internal_lists_bugs!$A$2:$G1061,7,FALSE()),"BIC: "&amp;VLOOKUP(A708,Internal_lists_bugs!$A$2:$G1061,7,FALSE())&amp;CHAR(10)&amp;"Intro.Issues: "&amp;VLOOKUP(A708,Internal_lists_bugs!$A$2:$P1061,16,FALSE())),"please select a BUG ID")</f>
        <v>please select a BUG ID</v>
      </c>
      <c r="D708" s="105"/>
      <c r="E708" s="54"/>
      <c r="F708" s="82"/>
      <c r="G708" s="92"/>
      <c r="H708" s="54"/>
      <c r="I708" s="1"/>
    </row>
    <row r="709">
      <c r="A709" s="54"/>
      <c r="B709" s="88" t="str">
        <f>IFERROR(HYPERLINK(VLOOKUP(A709,Internal_lists_bugs!$A$2:$C$73,3,FALSE()), VLOOKUP(A709,Internal_lists_bugs!$A$2:$C$73,3,FALSE())&amp;Char(10) &amp; Char(10) &amp; VLOOKUP(A709,Internal_lists_bugs!$A$2:$Z$73,26,FALSE())),"please select a BUG ID")</f>
        <v>please select a BUG ID</v>
      </c>
      <c r="C709" s="51" t="str">
        <f>IFERROR(Hyperlink(VLOOKUP(A709,Internal_lists_bugs!$A$2:$G1061,7,FALSE()),"BIC: "&amp;VLOOKUP(A709,Internal_lists_bugs!$A$2:$G1061,7,FALSE())&amp;CHAR(10)&amp;"Intro.Issues: "&amp;VLOOKUP(A709,Internal_lists_bugs!$A$2:$P1061,16,FALSE())),"please select a BUG ID")</f>
        <v>please select a BUG ID</v>
      </c>
      <c r="D709" s="105"/>
      <c r="E709" s="54"/>
      <c r="F709" s="82"/>
      <c r="G709" s="92"/>
      <c r="H709" s="54"/>
      <c r="I709" s="1"/>
    </row>
    <row r="710">
      <c r="A710" s="54"/>
      <c r="B710" s="88" t="str">
        <f>IFERROR(HYPERLINK(VLOOKUP(A710,Internal_lists_bugs!$A$2:$C$73,3,FALSE()), VLOOKUP(A710,Internal_lists_bugs!$A$2:$C$73,3,FALSE())&amp;Char(10) &amp; Char(10) &amp; VLOOKUP(A710,Internal_lists_bugs!$A$2:$Z$73,26,FALSE())),"please select a BUG ID")</f>
        <v>please select a BUG ID</v>
      </c>
      <c r="C710" s="51" t="str">
        <f>IFERROR(Hyperlink(VLOOKUP(A710,Internal_lists_bugs!$A$2:$G1061,7,FALSE()),"BIC: "&amp;VLOOKUP(A710,Internal_lists_bugs!$A$2:$G1061,7,FALSE())&amp;CHAR(10)&amp;"Intro.Issues: "&amp;VLOOKUP(A710,Internal_lists_bugs!$A$2:$P1061,16,FALSE())),"please select a BUG ID")</f>
        <v>please select a BUG ID</v>
      </c>
      <c r="D710" s="105"/>
      <c r="E710" s="54"/>
      <c r="F710" s="82"/>
      <c r="G710" s="92"/>
      <c r="H710" s="54"/>
      <c r="I710" s="1"/>
    </row>
    <row r="711">
      <c r="A711" s="54"/>
      <c r="B711" s="88" t="str">
        <f>IFERROR(HYPERLINK(VLOOKUP(A711,Internal_lists_bugs!$A$2:$C$73,3,FALSE()), VLOOKUP(A711,Internal_lists_bugs!$A$2:$C$73,3,FALSE())&amp;Char(10) &amp; Char(10) &amp; VLOOKUP(A711,Internal_lists_bugs!$A$2:$Z$73,26,FALSE())),"please select a BUG ID")</f>
        <v>please select a BUG ID</v>
      </c>
      <c r="C711" s="51" t="str">
        <f>IFERROR(Hyperlink(VLOOKUP(A711,Internal_lists_bugs!$A$2:$G1061,7,FALSE()),"BIC: "&amp;VLOOKUP(A711,Internal_lists_bugs!$A$2:$G1061,7,FALSE())&amp;CHAR(10)&amp;"Intro.Issues: "&amp;VLOOKUP(A711,Internal_lists_bugs!$A$2:$P1061,16,FALSE())),"please select a BUG ID")</f>
        <v>please select a BUG ID</v>
      </c>
      <c r="D711" s="105"/>
      <c r="E711" s="54"/>
      <c r="F711" s="82"/>
      <c r="G711" s="92"/>
      <c r="H711" s="54"/>
      <c r="I711" s="1"/>
    </row>
    <row r="712">
      <c r="A712" s="54"/>
      <c r="B712" s="88" t="str">
        <f>IFERROR(HYPERLINK(VLOOKUP(A712,Internal_lists_bugs!$A$2:$C$73,3,FALSE()), VLOOKUP(A712,Internal_lists_bugs!$A$2:$C$73,3,FALSE())&amp;Char(10) &amp; Char(10) &amp; VLOOKUP(A712,Internal_lists_bugs!$A$2:$Z$73,26,FALSE())),"please select a BUG ID")</f>
        <v>please select a BUG ID</v>
      </c>
      <c r="C712" s="51" t="str">
        <f>IFERROR(Hyperlink(VLOOKUP(A712,Internal_lists_bugs!$A$2:$G1061,7,FALSE()),"BIC: "&amp;VLOOKUP(A712,Internal_lists_bugs!$A$2:$G1061,7,FALSE())&amp;CHAR(10)&amp;"Intro.Issues: "&amp;VLOOKUP(A712,Internal_lists_bugs!$A$2:$P1061,16,FALSE())),"please select a BUG ID")</f>
        <v>please select a BUG ID</v>
      </c>
      <c r="D712" s="105"/>
      <c r="E712" s="54"/>
      <c r="F712" s="82"/>
      <c r="G712" s="92"/>
      <c r="H712" s="54"/>
      <c r="I712" s="1"/>
    </row>
    <row r="713">
      <c r="A713" s="54"/>
      <c r="B713" s="88" t="str">
        <f>IFERROR(HYPERLINK(VLOOKUP(A713,Internal_lists_bugs!$A$2:$C$73,3,FALSE()), VLOOKUP(A713,Internal_lists_bugs!$A$2:$C$73,3,FALSE())&amp;Char(10) &amp; Char(10) &amp; VLOOKUP(A713,Internal_lists_bugs!$A$2:$Z$73,26,FALSE())),"please select a BUG ID")</f>
        <v>please select a BUG ID</v>
      </c>
      <c r="C713" s="51" t="str">
        <f>IFERROR(Hyperlink(VLOOKUP(A713,Internal_lists_bugs!$A$2:$G1061,7,FALSE()),"BIC: "&amp;VLOOKUP(A713,Internal_lists_bugs!$A$2:$G1061,7,FALSE())&amp;CHAR(10)&amp;"Intro.Issues: "&amp;VLOOKUP(A713,Internal_lists_bugs!$A$2:$P1061,16,FALSE())),"please select a BUG ID")</f>
        <v>please select a BUG ID</v>
      </c>
      <c r="D713" s="105"/>
      <c r="E713" s="54"/>
      <c r="F713" s="82"/>
      <c r="G713" s="92"/>
      <c r="H713" s="54"/>
      <c r="I713" s="1"/>
    </row>
    <row r="714">
      <c r="A714" s="54"/>
      <c r="B714" s="88" t="str">
        <f>IFERROR(HYPERLINK(VLOOKUP(A714,Internal_lists_bugs!$A$2:$C$73,3,FALSE()), VLOOKUP(A714,Internal_lists_bugs!$A$2:$C$73,3,FALSE())&amp;Char(10) &amp; Char(10) &amp; VLOOKUP(A714,Internal_lists_bugs!$A$2:$Z$73,26,FALSE())),"please select a BUG ID")</f>
        <v>please select a BUG ID</v>
      </c>
      <c r="C714" s="51" t="str">
        <f>IFERROR(Hyperlink(VLOOKUP(A714,Internal_lists_bugs!$A$2:$G1061,7,FALSE()),"BIC: "&amp;VLOOKUP(A714,Internal_lists_bugs!$A$2:$G1061,7,FALSE())&amp;CHAR(10)&amp;"Intro.Issues: "&amp;VLOOKUP(A714,Internal_lists_bugs!$A$2:$P1061,16,FALSE())),"please select a BUG ID")</f>
        <v>please select a BUG ID</v>
      </c>
      <c r="D714" s="105"/>
      <c r="E714" s="54"/>
      <c r="F714" s="82"/>
      <c r="G714" s="92"/>
      <c r="H714" s="54"/>
      <c r="I714" s="1"/>
    </row>
    <row r="715">
      <c r="A715" s="54"/>
      <c r="B715" s="88" t="str">
        <f>IFERROR(HYPERLINK(VLOOKUP(A715,Internal_lists_bugs!$A$2:$C$73,3,FALSE()), VLOOKUP(A715,Internal_lists_bugs!$A$2:$C$73,3,FALSE())&amp;Char(10) &amp; Char(10) &amp; VLOOKUP(A715,Internal_lists_bugs!$A$2:$Z$73,26,FALSE())),"please select a BUG ID")</f>
        <v>please select a BUG ID</v>
      </c>
      <c r="C715" s="51" t="str">
        <f>IFERROR(Hyperlink(VLOOKUP(A715,Internal_lists_bugs!$A$2:$G1061,7,FALSE()),"BIC: "&amp;VLOOKUP(A715,Internal_lists_bugs!$A$2:$G1061,7,FALSE())&amp;CHAR(10)&amp;"Intro.Issues: "&amp;VLOOKUP(A715,Internal_lists_bugs!$A$2:$P1061,16,FALSE())),"please select a BUG ID")</f>
        <v>please select a BUG ID</v>
      </c>
      <c r="D715" s="105"/>
      <c r="E715" s="54"/>
      <c r="F715" s="82"/>
      <c r="G715" s="92"/>
      <c r="H715" s="54"/>
      <c r="I715" s="1"/>
    </row>
    <row r="716">
      <c r="A716" s="54"/>
      <c r="B716" s="88" t="str">
        <f>IFERROR(HYPERLINK(VLOOKUP(A716,Internal_lists_bugs!$A$2:$C$73,3,FALSE()), VLOOKUP(A716,Internal_lists_bugs!$A$2:$C$73,3,FALSE())&amp;Char(10) &amp; Char(10) &amp; VLOOKUP(A716,Internal_lists_bugs!$A$2:$Z$73,26,FALSE())),"please select a BUG ID")</f>
        <v>please select a BUG ID</v>
      </c>
      <c r="C716" s="51" t="str">
        <f>IFERROR(Hyperlink(VLOOKUP(A716,Internal_lists_bugs!$A$2:$G1061,7,FALSE()),"BIC: "&amp;VLOOKUP(A716,Internal_lists_bugs!$A$2:$G1061,7,FALSE())&amp;CHAR(10)&amp;"Intro.Issues: "&amp;VLOOKUP(A716,Internal_lists_bugs!$A$2:$P1061,16,FALSE())),"please select a BUG ID")</f>
        <v>please select a BUG ID</v>
      </c>
      <c r="D716" s="105"/>
      <c r="E716" s="54"/>
      <c r="F716" s="82"/>
      <c r="G716" s="92"/>
      <c r="H716" s="54"/>
      <c r="I716" s="1"/>
    </row>
    <row r="717">
      <c r="A717" s="54"/>
      <c r="B717" s="88" t="str">
        <f>IFERROR(HYPERLINK(VLOOKUP(A717,Internal_lists_bugs!$A$2:$C$73,3,FALSE()), VLOOKUP(A717,Internal_lists_bugs!$A$2:$C$73,3,FALSE())&amp;Char(10) &amp; Char(10) &amp; VLOOKUP(A717,Internal_lists_bugs!$A$2:$Z$73,26,FALSE())),"please select a BUG ID")</f>
        <v>please select a BUG ID</v>
      </c>
      <c r="C717" s="51" t="str">
        <f>IFERROR(Hyperlink(VLOOKUP(A717,Internal_lists_bugs!$A$2:$G1061,7,FALSE()),"BIC: "&amp;VLOOKUP(A717,Internal_lists_bugs!$A$2:$G1061,7,FALSE())&amp;CHAR(10)&amp;"Intro.Issues: "&amp;VLOOKUP(A717,Internal_lists_bugs!$A$2:$P1061,16,FALSE())),"please select a BUG ID")</f>
        <v>please select a BUG ID</v>
      </c>
      <c r="D717" s="105"/>
      <c r="E717" s="54"/>
      <c r="F717" s="82"/>
      <c r="G717" s="92"/>
      <c r="H717" s="54"/>
      <c r="I717" s="1"/>
    </row>
    <row r="718">
      <c r="A718" s="54"/>
      <c r="B718" s="88" t="str">
        <f>IFERROR(HYPERLINK(VLOOKUP(A718,Internal_lists_bugs!$A$2:$C$73,3,FALSE()), VLOOKUP(A718,Internal_lists_bugs!$A$2:$C$73,3,FALSE())&amp;Char(10) &amp; Char(10) &amp; VLOOKUP(A718,Internal_lists_bugs!$A$2:$Z$73,26,FALSE())),"please select a BUG ID")</f>
        <v>please select a BUG ID</v>
      </c>
      <c r="C718" s="51" t="str">
        <f>IFERROR(Hyperlink(VLOOKUP(A718,Internal_lists_bugs!$A$2:$G1061,7,FALSE()),"BIC: "&amp;VLOOKUP(A718,Internal_lists_bugs!$A$2:$G1061,7,FALSE())&amp;CHAR(10)&amp;"Intro.Issues: "&amp;VLOOKUP(A718,Internal_lists_bugs!$A$2:$P1061,16,FALSE())),"please select a BUG ID")</f>
        <v>please select a BUG ID</v>
      </c>
      <c r="D718" s="105"/>
      <c r="E718" s="54"/>
      <c r="F718" s="82"/>
      <c r="G718" s="92"/>
      <c r="H718" s="54"/>
      <c r="I718" s="1"/>
    </row>
    <row r="719">
      <c r="A719" s="54"/>
      <c r="B719" s="88" t="str">
        <f>IFERROR(HYPERLINK(VLOOKUP(A719,Internal_lists_bugs!$A$2:$C$73,3,FALSE()), VLOOKUP(A719,Internal_lists_bugs!$A$2:$C$73,3,FALSE())&amp;Char(10) &amp; Char(10) &amp; VLOOKUP(A719,Internal_lists_bugs!$A$2:$Z$73,26,FALSE())),"please select a BUG ID")</f>
        <v>please select a BUG ID</v>
      </c>
      <c r="C719" s="51" t="str">
        <f>IFERROR(Hyperlink(VLOOKUP(A719,Internal_lists_bugs!$A$2:$G1061,7,FALSE()),"BIC: "&amp;VLOOKUP(A719,Internal_lists_bugs!$A$2:$G1061,7,FALSE())&amp;CHAR(10)&amp;"Intro.Issues: "&amp;VLOOKUP(A719,Internal_lists_bugs!$A$2:$P1061,16,FALSE())),"please select a BUG ID")</f>
        <v>please select a BUG ID</v>
      </c>
      <c r="D719" s="105"/>
      <c r="E719" s="54"/>
      <c r="F719" s="82"/>
      <c r="G719" s="92"/>
      <c r="H719" s="54"/>
      <c r="I719" s="1"/>
    </row>
    <row r="720">
      <c r="A720" s="54"/>
      <c r="B720" s="88" t="str">
        <f>IFERROR(HYPERLINK(VLOOKUP(A720,Internal_lists_bugs!$A$2:$C$73,3,FALSE()), VLOOKUP(A720,Internal_lists_bugs!$A$2:$C$73,3,FALSE())&amp;Char(10) &amp; Char(10) &amp; VLOOKUP(A720,Internal_lists_bugs!$A$2:$Z$73,26,FALSE())),"please select a BUG ID")</f>
        <v>please select a BUG ID</v>
      </c>
      <c r="C720" s="51" t="str">
        <f>IFERROR(Hyperlink(VLOOKUP(A720,Internal_lists_bugs!$A$2:$G1061,7,FALSE()),"BIC: "&amp;VLOOKUP(A720,Internal_lists_bugs!$A$2:$G1061,7,FALSE())&amp;CHAR(10)&amp;"Intro.Issues: "&amp;VLOOKUP(A720,Internal_lists_bugs!$A$2:$P1061,16,FALSE())),"please select a BUG ID")</f>
        <v>please select a BUG ID</v>
      </c>
      <c r="D720" s="105"/>
      <c r="E720" s="54"/>
      <c r="F720" s="82"/>
      <c r="G720" s="92"/>
      <c r="H720" s="54"/>
      <c r="I720" s="1"/>
    </row>
    <row r="721">
      <c r="A721" s="54"/>
      <c r="B721" s="88" t="str">
        <f>IFERROR(HYPERLINK(VLOOKUP(A721,Internal_lists_bugs!$A$2:$C$73,3,FALSE()), VLOOKUP(A721,Internal_lists_bugs!$A$2:$C$73,3,FALSE())&amp;Char(10) &amp; Char(10) &amp; VLOOKUP(A721,Internal_lists_bugs!$A$2:$Z$73,26,FALSE())),"please select a BUG ID")</f>
        <v>please select a BUG ID</v>
      </c>
      <c r="C721" s="51" t="str">
        <f>IFERROR(Hyperlink(VLOOKUP(A721,Internal_lists_bugs!$A$2:$G1061,7,FALSE()),"BIC: "&amp;VLOOKUP(A721,Internal_lists_bugs!$A$2:$G1061,7,FALSE())&amp;CHAR(10)&amp;"Intro.Issues: "&amp;VLOOKUP(A721,Internal_lists_bugs!$A$2:$P1061,16,FALSE())),"please select a BUG ID")</f>
        <v>please select a BUG ID</v>
      </c>
      <c r="D721" s="105"/>
      <c r="E721" s="54"/>
      <c r="F721" s="82"/>
      <c r="G721" s="92"/>
      <c r="H721" s="54"/>
      <c r="I721" s="1"/>
    </row>
    <row r="722">
      <c r="A722" s="54"/>
      <c r="B722" s="88" t="str">
        <f>IFERROR(HYPERLINK(VLOOKUP(A722,Internal_lists_bugs!$A$2:$C$73,3,FALSE()), VLOOKUP(A722,Internal_lists_bugs!$A$2:$C$73,3,FALSE())&amp;Char(10) &amp; Char(10) &amp; VLOOKUP(A722,Internal_lists_bugs!$A$2:$Z$73,26,FALSE())),"please select a BUG ID")</f>
        <v>please select a BUG ID</v>
      </c>
      <c r="C722" s="51" t="str">
        <f>IFERROR(Hyperlink(VLOOKUP(A722,Internal_lists_bugs!$A$2:$G1061,7,FALSE()),"BIC: "&amp;VLOOKUP(A722,Internal_lists_bugs!$A$2:$G1061,7,FALSE())&amp;CHAR(10)&amp;"Intro.Issues: "&amp;VLOOKUP(A722,Internal_lists_bugs!$A$2:$P1061,16,FALSE())),"please select a BUG ID")</f>
        <v>please select a BUG ID</v>
      </c>
      <c r="D722" s="105"/>
      <c r="E722" s="54"/>
      <c r="F722" s="82"/>
      <c r="G722" s="92"/>
      <c r="H722" s="54"/>
      <c r="I722" s="1"/>
    </row>
    <row r="723">
      <c r="A723" s="54"/>
      <c r="B723" s="88" t="str">
        <f>IFERROR(HYPERLINK(VLOOKUP(A723,Internal_lists_bugs!$A$2:$C$73,3,FALSE()), VLOOKUP(A723,Internal_lists_bugs!$A$2:$C$73,3,FALSE())&amp;Char(10) &amp; Char(10) &amp; VLOOKUP(A723,Internal_lists_bugs!$A$2:$Z$73,26,FALSE())),"please select a BUG ID")</f>
        <v>please select a BUG ID</v>
      </c>
      <c r="C723" s="51" t="str">
        <f>IFERROR(Hyperlink(VLOOKUP(A723,Internal_lists_bugs!$A$2:$G1061,7,FALSE()),"BIC: "&amp;VLOOKUP(A723,Internal_lists_bugs!$A$2:$G1061,7,FALSE())&amp;CHAR(10)&amp;"Intro.Issues: "&amp;VLOOKUP(A723,Internal_lists_bugs!$A$2:$P1061,16,FALSE())),"please select a BUG ID")</f>
        <v>please select a BUG ID</v>
      </c>
      <c r="D723" s="105"/>
      <c r="E723" s="54"/>
      <c r="F723" s="82"/>
      <c r="G723" s="92"/>
      <c r="H723" s="54"/>
      <c r="I723" s="1"/>
    </row>
    <row r="724">
      <c r="A724" s="54"/>
      <c r="B724" s="88" t="str">
        <f>IFERROR(HYPERLINK(VLOOKUP(A724,Internal_lists_bugs!$A$2:$C$73,3,FALSE()), VLOOKUP(A724,Internal_lists_bugs!$A$2:$C$73,3,FALSE())&amp;Char(10) &amp; Char(10) &amp; VLOOKUP(A724,Internal_lists_bugs!$A$2:$Z$73,26,FALSE())),"please select a BUG ID")</f>
        <v>please select a BUG ID</v>
      </c>
      <c r="C724" s="51" t="str">
        <f>IFERROR(Hyperlink(VLOOKUP(A724,Internal_lists_bugs!$A$2:$G1061,7,FALSE()),"BIC: "&amp;VLOOKUP(A724,Internal_lists_bugs!$A$2:$G1061,7,FALSE())&amp;CHAR(10)&amp;"Intro.Issues: "&amp;VLOOKUP(A724,Internal_lists_bugs!$A$2:$P1061,16,FALSE())),"please select a BUG ID")</f>
        <v>please select a BUG ID</v>
      </c>
      <c r="D724" s="105"/>
      <c r="E724" s="54"/>
      <c r="F724" s="82"/>
      <c r="G724" s="92"/>
      <c r="H724" s="54"/>
      <c r="I724" s="1"/>
    </row>
    <row r="725">
      <c r="A725" s="54"/>
      <c r="B725" s="88" t="str">
        <f>IFERROR(HYPERLINK(VLOOKUP(A725,Internal_lists_bugs!$A$2:$C$73,3,FALSE()), VLOOKUP(A725,Internal_lists_bugs!$A$2:$C$73,3,FALSE())&amp;Char(10) &amp; Char(10) &amp; VLOOKUP(A725,Internal_lists_bugs!$A$2:$Z$73,26,FALSE())),"please select a BUG ID")</f>
        <v>please select a BUG ID</v>
      </c>
      <c r="C725" s="51" t="str">
        <f>IFERROR(Hyperlink(VLOOKUP(A725,Internal_lists_bugs!$A$2:$G1061,7,FALSE()),"BIC: "&amp;VLOOKUP(A725,Internal_lists_bugs!$A$2:$G1061,7,FALSE())&amp;CHAR(10)&amp;"Intro.Issues: "&amp;VLOOKUP(A725,Internal_lists_bugs!$A$2:$P1061,16,FALSE())),"please select a BUG ID")</f>
        <v>please select a BUG ID</v>
      </c>
      <c r="D725" s="105"/>
      <c r="E725" s="54"/>
      <c r="F725" s="82"/>
      <c r="G725" s="92"/>
      <c r="H725" s="54"/>
      <c r="I725" s="1"/>
    </row>
    <row r="726">
      <c r="A726" s="54"/>
      <c r="B726" s="88" t="str">
        <f>IFERROR(HYPERLINK(VLOOKUP(A726,Internal_lists_bugs!$A$2:$C$73,3,FALSE()), VLOOKUP(A726,Internal_lists_bugs!$A$2:$C$73,3,FALSE())&amp;Char(10) &amp; Char(10) &amp; VLOOKUP(A726,Internal_lists_bugs!$A$2:$Z$73,26,FALSE())),"please select a BUG ID")</f>
        <v>please select a BUG ID</v>
      </c>
      <c r="C726" s="51" t="str">
        <f>IFERROR(Hyperlink(VLOOKUP(A726,Internal_lists_bugs!$A$2:$G1061,7,FALSE()),"BIC: "&amp;VLOOKUP(A726,Internal_lists_bugs!$A$2:$G1061,7,FALSE())&amp;CHAR(10)&amp;"Intro.Issues: "&amp;VLOOKUP(A726,Internal_lists_bugs!$A$2:$P1061,16,FALSE())),"please select a BUG ID")</f>
        <v>please select a BUG ID</v>
      </c>
      <c r="D726" s="105"/>
      <c r="E726" s="54"/>
      <c r="F726" s="82"/>
      <c r="G726" s="92"/>
      <c r="H726" s="54"/>
      <c r="I726" s="1"/>
    </row>
    <row r="727">
      <c r="A727" s="54"/>
      <c r="B727" s="88" t="str">
        <f>IFERROR(HYPERLINK(VLOOKUP(A727,Internal_lists_bugs!$A$2:$C$73,3,FALSE()), VLOOKUP(A727,Internal_lists_bugs!$A$2:$C$73,3,FALSE())&amp;Char(10) &amp; Char(10) &amp; VLOOKUP(A727,Internal_lists_bugs!$A$2:$Z$73,26,FALSE())),"please select a BUG ID")</f>
        <v>please select a BUG ID</v>
      </c>
      <c r="C727" s="51" t="str">
        <f>IFERROR(Hyperlink(VLOOKUP(A727,Internal_lists_bugs!$A$2:$G1061,7,FALSE()),"BIC: "&amp;VLOOKUP(A727,Internal_lists_bugs!$A$2:$G1061,7,FALSE())&amp;CHAR(10)&amp;"Intro.Issues: "&amp;VLOOKUP(A727,Internal_lists_bugs!$A$2:$P1061,16,FALSE())),"please select a BUG ID")</f>
        <v>please select a BUG ID</v>
      </c>
      <c r="D727" s="105"/>
      <c r="E727" s="54"/>
      <c r="F727" s="82"/>
      <c r="G727" s="92"/>
      <c r="H727" s="54"/>
      <c r="I727" s="1"/>
    </row>
    <row r="728">
      <c r="A728" s="54"/>
      <c r="B728" s="88" t="str">
        <f>IFERROR(HYPERLINK(VLOOKUP(A728,Internal_lists_bugs!$A$2:$C$73,3,FALSE()), VLOOKUP(A728,Internal_lists_bugs!$A$2:$C$73,3,FALSE())&amp;Char(10) &amp; Char(10) &amp; VLOOKUP(A728,Internal_lists_bugs!$A$2:$Z$73,26,FALSE())),"please select a BUG ID")</f>
        <v>please select a BUG ID</v>
      </c>
      <c r="C728" s="51" t="str">
        <f>IFERROR(Hyperlink(VLOOKUP(A728,Internal_lists_bugs!$A$2:$G1061,7,FALSE()),"BIC: "&amp;VLOOKUP(A728,Internal_lists_bugs!$A$2:$G1061,7,FALSE())&amp;CHAR(10)&amp;"Intro.Issues: "&amp;VLOOKUP(A728,Internal_lists_bugs!$A$2:$P1061,16,FALSE())),"please select a BUG ID")</f>
        <v>please select a BUG ID</v>
      </c>
      <c r="D728" s="105"/>
      <c r="E728" s="54"/>
      <c r="F728" s="82"/>
      <c r="G728" s="92"/>
      <c r="H728" s="54"/>
      <c r="I728" s="1"/>
    </row>
    <row r="729">
      <c r="A729" s="54"/>
      <c r="B729" s="88" t="str">
        <f>IFERROR(HYPERLINK(VLOOKUP(A729,Internal_lists_bugs!$A$2:$C$73,3,FALSE()), VLOOKUP(A729,Internal_lists_bugs!$A$2:$C$73,3,FALSE())&amp;Char(10) &amp; Char(10) &amp; VLOOKUP(A729,Internal_lists_bugs!$A$2:$Z$73,26,FALSE())),"please select a BUG ID")</f>
        <v>please select a BUG ID</v>
      </c>
      <c r="C729" s="51" t="str">
        <f>IFERROR(Hyperlink(VLOOKUP(A729,Internal_lists_bugs!$A$2:$G1061,7,FALSE()),"BIC: "&amp;VLOOKUP(A729,Internal_lists_bugs!$A$2:$G1061,7,FALSE())&amp;CHAR(10)&amp;"Intro.Issues: "&amp;VLOOKUP(A729,Internal_lists_bugs!$A$2:$P1061,16,FALSE())),"please select a BUG ID")</f>
        <v>please select a BUG ID</v>
      </c>
      <c r="D729" s="105"/>
      <c r="E729" s="54"/>
      <c r="F729" s="82"/>
      <c r="G729" s="92"/>
      <c r="H729" s="54"/>
      <c r="I729" s="1"/>
    </row>
    <row r="730">
      <c r="A730" s="54"/>
      <c r="B730" s="88" t="str">
        <f>IFERROR(HYPERLINK(VLOOKUP(A730,Internal_lists_bugs!$A$2:$C$73,3,FALSE()), VLOOKUP(A730,Internal_lists_bugs!$A$2:$C$73,3,FALSE())&amp;Char(10) &amp; Char(10) &amp; VLOOKUP(A730,Internal_lists_bugs!$A$2:$Z$73,26,FALSE())),"please select a BUG ID")</f>
        <v>please select a BUG ID</v>
      </c>
      <c r="C730" s="51" t="str">
        <f>IFERROR(Hyperlink(VLOOKUP(A730,Internal_lists_bugs!$A$2:$G1061,7,FALSE()),"BIC: "&amp;VLOOKUP(A730,Internal_lists_bugs!$A$2:$G1061,7,FALSE())&amp;CHAR(10)&amp;"Intro.Issues: "&amp;VLOOKUP(A730,Internal_lists_bugs!$A$2:$P1061,16,FALSE())),"please select a BUG ID")</f>
        <v>please select a BUG ID</v>
      </c>
      <c r="D730" s="105"/>
      <c r="E730" s="54"/>
      <c r="F730" s="82"/>
      <c r="G730" s="92"/>
      <c r="H730" s="54"/>
      <c r="I730" s="1"/>
    </row>
    <row r="731">
      <c r="A731" s="54"/>
      <c r="B731" s="88" t="str">
        <f>IFERROR(HYPERLINK(VLOOKUP(A731,Internal_lists_bugs!$A$2:$C$73,3,FALSE()), VLOOKUP(A731,Internal_lists_bugs!$A$2:$C$73,3,FALSE())&amp;Char(10) &amp; Char(10) &amp; VLOOKUP(A731,Internal_lists_bugs!$A$2:$Z$73,26,FALSE())),"please select a BUG ID")</f>
        <v>please select a BUG ID</v>
      </c>
      <c r="C731" s="51" t="str">
        <f>IFERROR(Hyperlink(VLOOKUP(A731,Internal_lists_bugs!$A$2:$G1061,7,FALSE()),"BIC: "&amp;VLOOKUP(A731,Internal_lists_bugs!$A$2:$G1061,7,FALSE())&amp;CHAR(10)&amp;"Intro.Issues: "&amp;VLOOKUP(A731,Internal_lists_bugs!$A$2:$P1061,16,FALSE())),"please select a BUG ID")</f>
        <v>please select a BUG ID</v>
      </c>
      <c r="D731" s="105"/>
      <c r="E731" s="54"/>
      <c r="F731" s="82"/>
      <c r="G731" s="92"/>
      <c r="H731" s="54"/>
      <c r="I731" s="1"/>
    </row>
    <row r="732">
      <c r="A732" s="54"/>
      <c r="B732" s="88" t="str">
        <f>IFERROR(HYPERLINK(VLOOKUP(A732,Internal_lists_bugs!$A$2:$C$73,3,FALSE()), VLOOKUP(A732,Internal_lists_bugs!$A$2:$C$73,3,FALSE())&amp;Char(10) &amp; Char(10) &amp; VLOOKUP(A732,Internal_lists_bugs!$A$2:$Z$73,26,FALSE())),"please select a BUG ID")</f>
        <v>please select a BUG ID</v>
      </c>
      <c r="C732" s="51" t="str">
        <f>IFERROR(Hyperlink(VLOOKUP(A732,Internal_lists_bugs!$A$2:$G1061,7,FALSE()),"BIC: "&amp;VLOOKUP(A732,Internal_lists_bugs!$A$2:$G1061,7,FALSE())&amp;CHAR(10)&amp;"Intro.Issues: "&amp;VLOOKUP(A732,Internal_lists_bugs!$A$2:$P1061,16,FALSE())),"please select a BUG ID")</f>
        <v>please select a BUG ID</v>
      </c>
      <c r="D732" s="105"/>
      <c r="E732" s="54"/>
      <c r="F732" s="82"/>
      <c r="G732" s="92"/>
      <c r="H732" s="54"/>
      <c r="I732" s="1"/>
    </row>
    <row r="733">
      <c r="A733" s="54"/>
      <c r="B733" s="88" t="str">
        <f>IFERROR(HYPERLINK(VLOOKUP(A733,Internal_lists_bugs!$A$2:$C$73,3,FALSE()), VLOOKUP(A733,Internal_lists_bugs!$A$2:$C$73,3,FALSE())&amp;Char(10) &amp; Char(10) &amp; VLOOKUP(A733,Internal_lists_bugs!$A$2:$Z$73,26,FALSE())),"please select a BUG ID")</f>
        <v>please select a BUG ID</v>
      </c>
      <c r="C733" s="51" t="str">
        <f>IFERROR(Hyperlink(VLOOKUP(A733,Internal_lists_bugs!$A$2:$G1061,7,FALSE()),"BIC: "&amp;VLOOKUP(A733,Internal_lists_bugs!$A$2:$G1061,7,FALSE())&amp;CHAR(10)&amp;"Intro.Issues: "&amp;VLOOKUP(A733,Internal_lists_bugs!$A$2:$P1061,16,FALSE())),"please select a BUG ID")</f>
        <v>please select a BUG ID</v>
      </c>
      <c r="D733" s="105"/>
      <c r="E733" s="54"/>
      <c r="F733" s="82"/>
      <c r="G733" s="92"/>
      <c r="H733" s="54"/>
      <c r="I733" s="1"/>
    </row>
    <row r="734">
      <c r="A734" s="54"/>
      <c r="B734" s="88" t="str">
        <f>IFERROR(HYPERLINK(VLOOKUP(A734,Internal_lists_bugs!$A$2:$C$73,3,FALSE()), VLOOKUP(A734,Internal_lists_bugs!$A$2:$C$73,3,FALSE())&amp;Char(10) &amp; Char(10) &amp; VLOOKUP(A734,Internal_lists_bugs!$A$2:$Z$73,26,FALSE())),"please select a BUG ID")</f>
        <v>please select a BUG ID</v>
      </c>
      <c r="C734" s="51" t="str">
        <f>IFERROR(Hyperlink(VLOOKUP(A734,Internal_lists_bugs!$A$2:$G1061,7,FALSE()),"BIC: "&amp;VLOOKUP(A734,Internal_lists_bugs!$A$2:$G1061,7,FALSE())&amp;CHAR(10)&amp;"Intro.Issues: "&amp;VLOOKUP(A734,Internal_lists_bugs!$A$2:$P1061,16,FALSE())),"please select a BUG ID")</f>
        <v>please select a BUG ID</v>
      </c>
      <c r="D734" s="105"/>
      <c r="E734" s="54"/>
      <c r="F734" s="82"/>
      <c r="G734" s="92"/>
      <c r="H734" s="54"/>
      <c r="I734" s="1"/>
    </row>
    <row r="735">
      <c r="A735" s="54"/>
      <c r="B735" s="88" t="str">
        <f>IFERROR(HYPERLINK(VLOOKUP(A735,Internal_lists_bugs!$A$2:$C$73,3,FALSE()), VLOOKUP(A735,Internal_lists_bugs!$A$2:$C$73,3,FALSE())&amp;Char(10) &amp; Char(10) &amp; VLOOKUP(A735,Internal_lists_bugs!$A$2:$Z$73,26,FALSE())),"please select a BUG ID")</f>
        <v>please select a BUG ID</v>
      </c>
      <c r="C735" s="51" t="str">
        <f>IFERROR(Hyperlink(VLOOKUP(A735,Internal_lists_bugs!$A$2:$G1061,7,FALSE()),"BIC: "&amp;VLOOKUP(A735,Internal_lists_bugs!$A$2:$G1061,7,FALSE())&amp;CHAR(10)&amp;"Intro.Issues: "&amp;VLOOKUP(A735,Internal_lists_bugs!$A$2:$P1061,16,FALSE())),"please select a BUG ID")</f>
        <v>please select a BUG ID</v>
      </c>
      <c r="D735" s="105"/>
      <c r="E735" s="54"/>
      <c r="F735" s="82"/>
      <c r="G735" s="92"/>
      <c r="H735" s="54"/>
      <c r="I735" s="1"/>
    </row>
    <row r="736">
      <c r="A736" s="54"/>
      <c r="B736" s="88" t="str">
        <f>IFERROR(HYPERLINK(VLOOKUP(A736,Internal_lists_bugs!$A$2:$C$73,3,FALSE()), VLOOKUP(A736,Internal_lists_bugs!$A$2:$C$73,3,FALSE())&amp;Char(10) &amp; Char(10) &amp; VLOOKUP(A736,Internal_lists_bugs!$A$2:$Z$73,26,FALSE())),"please select a BUG ID")</f>
        <v>please select a BUG ID</v>
      </c>
      <c r="C736" s="51" t="str">
        <f>IFERROR(Hyperlink(VLOOKUP(A736,Internal_lists_bugs!$A$2:$G1061,7,FALSE()),"BIC: "&amp;VLOOKUP(A736,Internal_lists_bugs!$A$2:$G1061,7,FALSE())&amp;CHAR(10)&amp;"Intro.Issues: "&amp;VLOOKUP(A736,Internal_lists_bugs!$A$2:$P1061,16,FALSE())),"please select a BUG ID")</f>
        <v>please select a BUG ID</v>
      </c>
      <c r="D736" s="105"/>
      <c r="E736" s="54"/>
      <c r="F736" s="82"/>
      <c r="G736" s="92"/>
      <c r="H736" s="54"/>
      <c r="I736" s="1"/>
    </row>
    <row r="737">
      <c r="A737" s="54"/>
      <c r="B737" s="88" t="str">
        <f>IFERROR(HYPERLINK(VLOOKUP(A737,Internal_lists_bugs!$A$2:$C$73,3,FALSE()), VLOOKUP(A737,Internal_lists_bugs!$A$2:$C$73,3,FALSE())&amp;Char(10) &amp; Char(10) &amp; VLOOKUP(A737,Internal_lists_bugs!$A$2:$Z$73,26,FALSE())),"please select a BUG ID")</f>
        <v>please select a BUG ID</v>
      </c>
      <c r="C737" s="51" t="str">
        <f>IFERROR(Hyperlink(VLOOKUP(A737,Internal_lists_bugs!$A$2:$G1061,7,FALSE()),"BIC: "&amp;VLOOKUP(A737,Internal_lists_bugs!$A$2:$G1061,7,FALSE())&amp;CHAR(10)&amp;"Intro.Issues: "&amp;VLOOKUP(A737,Internal_lists_bugs!$A$2:$P1061,16,FALSE())),"please select a BUG ID")</f>
        <v>please select a BUG ID</v>
      </c>
      <c r="D737" s="105"/>
      <c r="E737" s="54"/>
      <c r="F737" s="82"/>
      <c r="G737" s="92"/>
      <c r="H737" s="54"/>
      <c r="I737" s="1"/>
    </row>
    <row r="738">
      <c r="A738" s="54"/>
      <c r="B738" s="88" t="str">
        <f>IFERROR(HYPERLINK(VLOOKUP(A738,Internal_lists_bugs!$A$2:$C$73,3,FALSE()), VLOOKUP(A738,Internal_lists_bugs!$A$2:$C$73,3,FALSE())&amp;Char(10) &amp; Char(10) &amp; VLOOKUP(A738,Internal_lists_bugs!$A$2:$Z$73,26,FALSE())),"please select a BUG ID")</f>
        <v>please select a BUG ID</v>
      </c>
      <c r="C738" s="51" t="str">
        <f>IFERROR(Hyperlink(VLOOKUP(A738,Internal_lists_bugs!$A$2:$G1061,7,FALSE()),"BIC: "&amp;VLOOKUP(A738,Internal_lists_bugs!$A$2:$G1061,7,FALSE())&amp;CHAR(10)&amp;"Intro.Issues: "&amp;VLOOKUP(A738,Internal_lists_bugs!$A$2:$P1061,16,FALSE())),"please select a BUG ID")</f>
        <v>please select a BUG ID</v>
      </c>
      <c r="D738" s="105"/>
      <c r="E738" s="54"/>
      <c r="F738" s="82"/>
      <c r="G738" s="92"/>
      <c r="H738" s="54"/>
      <c r="I738" s="1"/>
    </row>
    <row r="739">
      <c r="A739" s="54"/>
      <c r="B739" s="88" t="str">
        <f>IFERROR(HYPERLINK(VLOOKUP(A739,Internal_lists_bugs!$A$2:$C$73,3,FALSE()), VLOOKUP(A739,Internal_lists_bugs!$A$2:$C$73,3,FALSE())&amp;Char(10) &amp; Char(10) &amp; VLOOKUP(A739,Internal_lists_bugs!$A$2:$Z$73,26,FALSE())),"please select a BUG ID")</f>
        <v>please select a BUG ID</v>
      </c>
      <c r="C739" s="51" t="str">
        <f>IFERROR(Hyperlink(VLOOKUP(A739,Internal_lists_bugs!$A$2:$G1061,7,FALSE()),"BIC: "&amp;VLOOKUP(A739,Internal_lists_bugs!$A$2:$G1061,7,FALSE())&amp;CHAR(10)&amp;"Intro.Issues: "&amp;VLOOKUP(A739,Internal_lists_bugs!$A$2:$P1061,16,FALSE())),"please select a BUG ID")</f>
        <v>please select a BUG ID</v>
      </c>
      <c r="D739" s="105"/>
      <c r="E739" s="54"/>
      <c r="F739" s="82"/>
      <c r="G739" s="92"/>
      <c r="H739" s="54"/>
      <c r="I739" s="1"/>
    </row>
    <row r="740">
      <c r="A740" s="54"/>
      <c r="B740" s="88" t="str">
        <f>IFERROR(HYPERLINK(VLOOKUP(A740,Internal_lists_bugs!$A$2:$C$73,3,FALSE()), VLOOKUP(A740,Internal_lists_bugs!$A$2:$C$73,3,FALSE())&amp;Char(10) &amp; Char(10) &amp; VLOOKUP(A740,Internal_lists_bugs!$A$2:$Z$73,26,FALSE())),"please select a BUG ID")</f>
        <v>please select a BUG ID</v>
      </c>
      <c r="C740" s="51" t="str">
        <f>IFERROR(Hyperlink(VLOOKUP(A740,Internal_lists_bugs!$A$2:$G1061,7,FALSE()),"BIC: "&amp;VLOOKUP(A740,Internal_lists_bugs!$A$2:$G1061,7,FALSE())&amp;CHAR(10)&amp;"Intro.Issues: "&amp;VLOOKUP(A740,Internal_lists_bugs!$A$2:$P1061,16,FALSE())),"please select a BUG ID")</f>
        <v>please select a BUG ID</v>
      </c>
      <c r="D740" s="105"/>
      <c r="E740" s="54"/>
      <c r="F740" s="82"/>
      <c r="G740" s="92"/>
      <c r="H740" s="54"/>
      <c r="I740" s="1"/>
    </row>
    <row r="741">
      <c r="A741" s="54"/>
      <c r="B741" s="88" t="str">
        <f>IFERROR(HYPERLINK(VLOOKUP(A741,Internal_lists_bugs!$A$2:$C$73,3,FALSE()), VLOOKUP(A741,Internal_lists_bugs!$A$2:$C$73,3,FALSE())&amp;Char(10) &amp; Char(10) &amp; VLOOKUP(A741,Internal_lists_bugs!$A$2:$Z$73,26,FALSE())),"please select a BUG ID")</f>
        <v>please select a BUG ID</v>
      </c>
      <c r="C741" s="51" t="str">
        <f>IFERROR(Hyperlink(VLOOKUP(A741,Internal_lists_bugs!$A$2:$G1061,7,FALSE()),"BIC: "&amp;VLOOKUP(A741,Internal_lists_bugs!$A$2:$G1061,7,FALSE())&amp;CHAR(10)&amp;"Intro.Issues: "&amp;VLOOKUP(A741,Internal_lists_bugs!$A$2:$P1061,16,FALSE())),"please select a BUG ID")</f>
        <v>please select a BUG ID</v>
      </c>
      <c r="D741" s="105"/>
      <c r="E741" s="54"/>
      <c r="F741" s="82"/>
      <c r="G741" s="92"/>
      <c r="H741" s="54"/>
      <c r="I741" s="1"/>
    </row>
    <row r="742">
      <c r="A742" s="54"/>
      <c r="B742" s="88" t="str">
        <f>IFERROR(HYPERLINK(VLOOKUP(A742,Internal_lists_bugs!$A$2:$C$73,3,FALSE()), VLOOKUP(A742,Internal_lists_bugs!$A$2:$C$73,3,FALSE())&amp;Char(10) &amp; Char(10) &amp; VLOOKUP(A742,Internal_lists_bugs!$A$2:$Z$73,26,FALSE())),"please select a BUG ID")</f>
        <v>please select a BUG ID</v>
      </c>
      <c r="C742" s="51" t="str">
        <f>IFERROR(Hyperlink(VLOOKUP(A742,Internal_lists_bugs!$A$2:$G1061,7,FALSE()),"BIC: "&amp;VLOOKUP(A742,Internal_lists_bugs!$A$2:$G1061,7,FALSE())&amp;CHAR(10)&amp;"Intro.Issues: "&amp;VLOOKUP(A742,Internal_lists_bugs!$A$2:$P1061,16,FALSE())),"please select a BUG ID")</f>
        <v>please select a BUG ID</v>
      </c>
      <c r="D742" s="105"/>
      <c r="E742" s="54"/>
      <c r="F742" s="82"/>
      <c r="G742" s="92"/>
      <c r="H742" s="54"/>
      <c r="I742" s="1"/>
    </row>
    <row r="743">
      <c r="A743" s="54"/>
      <c r="B743" s="88" t="str">
        <f>IFERROR(HYPERLINK(VLOOKUP(A743,Internal_lists_bugs!$A$2:$C$73,3,FALSE()), VLOOKUP(A743,Internal_lists_bugs!$A$2:$C$73,3,FALSE())&amp;Char(10) &amp; Char(10) &amp; VLOOKUP(A743,Internal_lists_bugs!$A$2:$Z$73,26,FALSE())),"please select a BUG ID")</f>
        <v>please select a BUG ID</v>
      </c>
      <c r="C743" s="51" t="str">
        <f>IFERROR(Hyperlink(VLOOKUP(A743,Internal_lists_bugs!$A$2:$G1061,7,FALSE()),"BIC: "&amp;VLOOKUP(A743,Internal_lists_bugs!$A$2:$G1061,7,FALSE())&amp;CHAR(10)&amp;"Intro.Issues: "&amp;VLOOKUP(A743,Internal_lists_bugs!$A$2:$P1061,16,FALSE())),"please select a BUG ID")</f>
        <v>please select a BUG ID</v>
      </c>
      <c r="D743" s="105"/>
      <c r="E743" s="54"/>
      <c r="F743" s="82"/>
      <c r="G743" s="92"/>
      <c r="H743" s="54"/>
      <c r="I743" s="1"/>
    </row>
    <row r="744">
      <c r="A744" s="54"/>
      <c r="B744" s="88" t="str">
        <f>IFERROR(HYPERLINK(VLOOKUP(A744,Internal_lists_bugs!$A$2:$C$73,3,FALSE()), VLOOKUP(A744,Internal_lists_bugs!$A$2:$C$73,3,FALSE())&amp;Char(10) &amp; Char(10) &amp; VLOOKUP(A744,Internal_lists_bugs!$A$2:$Z$73,26,FALSE())),"please select a BUG ID")</f>
        <v>please select a BUG ID</v>
      </c>
      <c r="C744" s="51" t="str">
        <f>IFERROR(Hyperlink(VLOOKUP(A744,Internal_lists_bugs!$A$2:$G1061,7,FALSE()),"BIC: "&amp;VLOOKUP(A744,Internal_lists_bugs!$A$2:$G1061,7,FALSE())&amp;CHAR(10)&amp;"Intro.Issues: "&amp;VLOOKUP(A744,Internal_lists_bugs!$A$2:$P1061,16,FALSE())),"please select a BUG ID")</f>
        <v>please select a BUG ID</v>
      </c>
      <c r="D744" s="105"/>
      <c r="E744" s="54"/>
      <c r="F744" s="82"/>
      <c r="G744" s="92"/>
      <c r="H744" s="54"/>
      <c r="I744" s="1"/>
    </row>
    <row r="745">
      <c r="A745" s="54"/>
      <c r="B745" s="88" t="str">
        <f>IFERROR(HYPERLINK(VLOOKUP(A745,Internal_lists_bugs!$A$2:$C$73,3,FALSE()), VLOOKUP(A745,Internal_lists_bugs!$A$2:$C$73,3,FALSE())&amp;Char(10) &amp; Char(10) &amp; VLOOKUP(A745,Internal_lists_bugs!$A$2:$Z$73,26,FALSE())),"please select a BUG ID")</f>
        <v>please select a BUG ID</v>
      </c>
      <c r="C745" s="51" t="str">
        <f>IFERROR(Hyperlink(VLOOKUP(A745,Internal_lists_bugs!$A$2:$G1061,7,FALSE()),"BIC: "&amp;VLOOKUP(A745,Internal_lists_bugs!$A$2:$G1061,7,FALSE())&amp;CHAR(10)&amp;"Intro.Issues: "&amp;VLOOKUP(A745,Internal_lists_bugs!$A$2:$P1061,16,FALSE())),"please select a BUG ID")</f>
        <v>please select a BUG ID</v>
      </c>
      <c r="D745" s="105"/>
      <c r="E745" s="54"/>
      <c r="F745" s="82"/>
      <c r="G745" s="92"/>
      <c r="H745" s="54"/>
      <c r="I745" s="1"/>
    </row>
    <row r="746">
      <c r="A746" s="54"/>
      <c r="B746" s="88" t="str">
        <f>IFERROR(HYPERLINK(VLOOKUP(A746,Internal_lists_bugs!$A$2:$C$73,3,FALSE()), VLOOKUP(A746,Internal_lists_bugs!$A$2:$C$73,3,FALSE())&amp;Char(10) &amp; Char(10) &amp; VLOOKUP(A746,Internal_lists_bugs!$A$2:$Z$73,26,FALSE())),"please select a BUG ID")</f>
        <v>please select a BUG ID</v>
      </c>
      <c r="C746" s="51" t="str">
        <f>IFERROR(Hyperlink(VLOOKUP(A746,Internal_lists_bugs!$A$2:$G1061,7,FALSE()),"BIC: "&amp;VLOOKUP(A746,Internal_lists_bugs!$A$2:$G1061,7,FALSE())&amp;CHAR(10)&amp;"Intro.Issues: "&amp;VLOOKUP(A746,Internal_lists_bugs!$A$2:$P1061,16,FALSE())),"please select a BUG ID")</f>
        <v>please select a BUG ID</v>
      </c>
      <c r="D746" s="105"/>
      <c r="E746" s="54"/>
      <c r="F746" s="82"/>
      <c r="G746" s="92"/>
      <c r="H746" s="54"/>
      <c r="I746" s="1"/>
    </row>
    <row r="747">
      <c r="A747" s="54"/>
      <c r="B747" s="88" t="str">
        <f>IFERROR(HYPERLINK(VLOOKUP(A747,Internal_lists_bugs!$A$2:$C$73,3,FALSE()), VLOOKUP(A747,Internal_lists_bugs!$A$2:$C$73,3,FALSE())&amp;Char(10) &amp; Char(10) &amp; VLOOKUP(A747,Internal_lists_bugs!$A$2:$Z$73,26,FALSE())),"please select a BUG ID")</f>
        <v>please select a BUG ID</v>
      </c>
      <c r="C747" s="51" t="str">
        <f>IFERROR(Hyperlink(VLOOKUP(A747,Internal_lists_bugs!$A$2:$G1061,7,FALSE()),"BIC: "&amp;VLOOKUP(A747,Internal_lists_bugs!$A$2:$G1061,7,FALSE())&amp;CHAR(10)&amp;"Intro.Issues: "&amp;VLOOKUP(A747,Internal_lists_bugs!$A$2:$P1061,16,FALSE())),"please select a BUG ID")</f>
        <v>please select a BUG ID</v>
      </c>
      <c r="D747" s="105"/>
      <c r="E747" s="54"/>
      <c r="F747" s="82"/>
      <c r="G747" s="92"/>
      <c r="H747" s="54"/>
      <c r="I747" s="1"/>
    </row>
    <row r="748">
      <c r="A748" s="54"/>
      <c r="B748" s="88" t="str">
        <f>IFERROR(HYPERLINK(VLOOKUP(A748,Internal_lists_bugs!$A$2:$C$73,3,FALSE()), VLOOKUP(A748,Internal_lists_bugs!$A$2:$C$73,3,FALSE())&amp;Char(10) &amp; Char(10) &amp; VLOOKUP(A748,Internal_lists_bugs!$A$2:$Z$73,26,FALSE())),"please select a BUG ID")</f>
        <v>please select a BUG ID</v>
      </c>
      <c r="C748" s="51" t="str">
        <f>IFERROR(Hyperlink(VLOOKUP(A748,Internal_lists_bugs!$A$2:$G1061,7,FALSE()),"BIC: "&amp;VLOOKUP(A748,Internal_lists_bugs!$A$2:$G1061,7,FALSE())&amp;CHAR(10)&amp;"Intro.Issues: "&amp;VLOOKUP(A748,Internal_lists_bugs!$A$2:$P1061,16,FALSE())),"please select a BUG ID")</f>
        <v>please select a BUG ID</v>
      </c>
      <c r="D748" s="105"/>
      <c r="E748" s="54"/>
      <c r="F748" s="82"/>
      <c r="G748" s="92"/>
      <c r="H748" s="54"/>
      <c r="I748" s="1"/>
    </row>
    <row r="749">
      <c r="A749" s="54"/>
      <c r="B749" s="88" t="str">
        <f>IFERROR(HYPERLINK(VLOOKUP(A749,Internal_lists_bugs!$A$2:$C$73,3,FALSE()), VLOOKUP(A749,Internal_lists_bugs!$A$2:$C$73,3,FALSE())&amp;Char(10) &amp; Char(10) &amp; VLOOKUP(A749,Internal_lists_bugs!$A$2:$Z$73,26,FALSE())),"please select a BUG ID")</f>
        <v>please select a BUG ID</v>
      </c>
      <c r="C749" s="51" t="str">
        <f>IFERROR(Hyperlink(VLOOKUP(A749,Internal_lists_bugs!$A$2:$G1061,7,FALSE()),"BIC: "&amp;VLOOKUP(A749,Internal_lists_bugs!$A$2:$G1061,7,FALSE())&amp;CHAR(10)&amp;"Intro.Issues: "&amp;VLOOKUP(A749,Internal_lists_bugs!$A$2:$P1061,16,FALSE())),"please select a BUG ID")</f>
        <v>please select a BUG ID</v>
      </c>
      <c r="D749" s="105"/>
      <c r="E749" s="54"/>
      <c r="F749" s="82"/>
      <c r="G749" s="92"/>
      <c r="H749" s="54"/>
      <c r="I749" s="1"/>
    </row>
    <row r="750">
      <c r="A750" s="54"/>
      <c r="B750" s="88" t="str">
        <f>IFERROR(HYPERLINK(VLOOKUP(A750,Internal_lists_bugs!$A$2:$C$73,3,FALSE()), VLOOKUP(A750,Internal_lists_bugs!$A$2:$C$73,3,FALSE())&amp;Char(10) &amp; Char(10) &amp; VLOOKUP(A750,Internal_lists_bugs!$A$2:$Z$73,26,FALSE())),"please select a BUG ID")</f>
        <v>please select a BUG ID</v>
      </c>
      <c r="C750" s="51" t="str">
        <f>IFERROR(Hyperlink(VLOOKUP(A750,Internal_lists_bugs!$A$2:$G1061,7,FALSE()),"BIC: "&amp;VLOOKUP(A750,Internal_lists_bugs!$A$2:$G1061,7,FALSE())&amp;CHAR(10)&amp;"Intro.Issues: "&amp;VLOOKUP(A750,Internal_lists_bugs!$A$2:$P1061,16,FALSE())),"please select a BUG ID")</f>
        <v>please select a BUG ID</v>
      </c>
      <c r="D750" s="105"/>
      <c r="E750" s="54"/>
      <c r="F750" s="82"/>
      <c r="G750" s="92"/>
      <c r="H750" s="54"/>
      <c r="I750" s="1"/>
    </row>
    <row r="751">
      <c r="A751" s="54"/>
      <c r="B751" s="88" t="str">
        <f>IFERROR(HYPERLINK(VLOOKUP(A751,Internal_lists_bugs!$A$2:$C$73,3,FALSE()), VLOOKUP(A751,Internal_lists_bugs!$A$2:$C$73,3,FALSE())&amp;Char(10) &amp; Char(10) &amp; VLOOKUP(A751,Internal_lists_bugs!$A$2:$Z$73,26,FALSE())),"please select a BUG ID")</f>
        <v>please select a BUG ID</v>
      </c>
      <c r="C751" s="51" t="str">
        <f>IFERROR(Hyperlink(VLOOKUP(A751,Internal_lists_bugs!$A$2:$G1061,7,FALSE()),"BIC: "&amp;VLOOKUP(A751,Internal_lists_bugs!$A$2:$G1061,7,FALSE())&amp;CHAR(10)&amp;"Intro.Issues: "&amp;VLOOKUP(A751,Internal_lists_bugs!$A$2:$P1061,16,FALSE())),"please select a BUG ID")</f>
        <v>please select a BUG ID</v>
      </c>
      <c r="D751" s="105"/>
      <c r="E751" s="54"/>
      <c r="F751" s="82"/>
      <c r="G751" s="92"/>
      <c r="H751" s="54"/>
      <c r="I751" s="1"/>
    </row>
    <row r="752">
      <c r="A752" s="54"/>
      <c r="B752" s="88" t="str">
        <f>IFERROR(HYPERLINK(VLOOKUP(A752,Internal_lists_bugs!$A$2:$C$73,3,FALSE()), VLOOKUP(A752,Internal_lists_bugs!$A$2:$C$73,3,FALSE())&amp;Char(10) &amp; Char(10) &amp; VLOOKUP(A752,Internal_lists_bugs!$A$2:$Z$73,26,FALSE())),"please select a BUG ID")</f>
        <v>please select a BUG ID</v>
      </c>
      <c r="C752" s="51" t="str">
        <f>IFERROR(Hyperlink(VLOOKUP(A752,Internal_lists_bugs!$A$2:$G1061,7,FALSE()),"BIC: "&amp;VLOOKUP(A752,Internal_lists_bugs!$A$2:$G1061,7,FALSE())&amp;CHAR(10)&amp;"Intro.Issues: "&amp;VLOOKUP(A752,Internal_lists_bugs!$A$2:$P1061,16,FALSE())),"please select a BUG ID")</f>
        <v>please select a BUG ID</v>
      </c>
      <c r="D752" s="105"/>
      <c r="E752" s="54"/>
      <c r="F752" s="82"/>
      <c r="G752" s="92"/>
      <c r="H752" s="54"/>
      <c r="I752" s="1"/>
    </row>
    <row r="753">
      <c r="A753" s="54"/>
      <c r="B753" s="88" t="str">
        <f>IFERROR(HYPERLINK(VLOOKUP(A753,Internal_lists_bugs!$A$2:$C$73,3,FALSE()), VLOOKUP(A753,Internal_lists_bugs!$A$2:$C$73,3,FALSE())&amp;Char(10) &amp; Char(10) &amp; VLOOKUP(A753,Internal_lists_bugs!$A$2:$Z$73,26,FALSE())),"please select a BUG ID")</f>
        <v>please select a BUG ID</v>
      </c>
      <c r="C753" s="51" t="str">
        <f>IFERROR(Hyperlink(VLOOKUP(A753,Internal_lists_bugs!$A$2:$G1061,7,FALSE()),"BIC: "&amp;VLOOKUP(A753,Internal_lists_bugs!$A$2:$G1061,7,FALSE())&amp;CHAR(10)&amp;"Intro.Issues: "&amp;VLOOKUP(A753,Internal_lists_bugs!$A$2:$P1061,16,FALSE())),"please select a BUG ID")</f>
        <v>please select a BUG ID</v>
      </c>
      <c r="D753" s="105"/>
      <c r="E753" s="54"/>
      <c r="F753" s="82"/>
      <c r="G753" s="92"/>
      <c r="H753" s="54"/>
      <c r="I753" s="1"/>
    </row>
    <row r="754">
      <c r="A754" s="54"/>
      <c r="B754" s="88" t="str">
        <f>IFERROR(HYPERLINK(VLOOKUP(A754,Internal_lists_bugs!$A$2:$C$73,3,FALSE()), VLOOKUP(A754,Internal_lists_bugs!$A$2:$C$73,3,FALSE())&amp;Char(10) &amp; Char(10) &amp; VLOOKUP(A754,Internal_lists_bugs!$A$2:$Z$73,26,FALSE())),"please select a BUG ID")</f>
        <v>please select a BUG ID</v>
      </c>
      <c r="C754" s="51" t="str">
        <f>IFERROR(Hyperlink(VLOOKUP(A754,Internal_lists_bugs!$A$2:$G1061,7,FALSE()),"BIC: "&amp;VLOOKUP(A754,Internal_lists_bugs!$A$2:$G1061,7,FALSE())&amp;CHAR(10)&amp;"Intro.Issues: "&amp;VLOOKUP(A754,Internal_lists_bugs!$A$2:$P1061,16,FALSE())),"please select a BUG ID")</f>
        <v>please select a BUG ID</v>
      </c>
      <c r="D754" s="105"/>
      <c r="E754" s="54"/>
      <c r="F754" s="82"/>
      <c r="G754" s="92"/>
      <c r="H754" s="54"/>
      <c r="I754" s="1"/>
    </row>
    <row r="755">
      <c r="A755" s="54"/>
      <c r="B755" s="88" t="str">
        <f>IFERROR(HYPERLINK(VLOOKUP(A755,Internal_lists_bugs!$A$2:$C$73,3,FALSE()), VLOOKUP(A755,Internal_lists_bugs!$A$2:$C$73,3,FALSE())&amp;Char(10) &amp; Char(10) &amp; VLOOKUP(A755,Internal_lists_bugs!$A$2:$Z$73,26,FALSE())),"please select a BUG ID")</f>
        <v>please select a BUG ID</v>
      </c>
      <c r="C755" s="51" t="str">
        <f>IFERROR(Hyperlink(VLOOKUP(A755,Internal_lists_bugs!$A$2:$G1061,7,FALSE()),"BIC: "&amp;VLOOKUP(A755,Internal_lists_bugs!$A$2:$G1061,7,FALSE())&amp;CHAR(10)&amp;"Intro.Issues: "&amp;VLOOKUP(A755,Internal_lists_bugs!$A$2:$P1061,16,FALSE())),"please select a BUG ID")</f>
        <v>please select a BUG ID</v>
      </c>
      <c r="D755" s="105"/>
      <c r="E755" s="54"/>
      <c r="F755" s="82"/>
      <c r="G755" s="92"/>
      <c r="H755" s="54"/>
      <c r="I755" s="1"/>
    </row>
    <row r="756">
      <c r="A756" s="54"/>
      <c r="B756" s="88" t="str">
        <f>IFERROR(HYPERLINK(VLOOKUP(A756,Internal_lists_bugs!$A$2:$C$73,3,FALSE()), VLOOKUP(A756,Internal_lists_bugs!$A$2:$C$73,3,FALSE())&amp;Char(10) &amp; Char(10) &amp; VLOOKUP(A756,Internal_lists_bugs!$A$2:$Z$73,26,FALSE())),"please select a BUG ID")</f>
        <v>please select a BUG ID</v>
      </c>
      <c r="C756" s="51" t="str">
        <f>IFERROR(Hyperlink(VLOOKUP(A756,Internal_lists_bugs!$A$2:$G1061,7,FALSE()),"BIC: "&amp;VLOOKUP(A756,Internal_lists_bugs!$A$2:$G1061,7,FALSE())&amp;CHAR(10)&amp;"Intro.Issues: "&amp;VLOOKUP(A756,Internal_lists_bugs!$A$2:$P1061,16,FALSE())),"please select a BUG ID")</f>
        <v>please select a BUG ID</v>
      </c>
      <c r="D756" s="105"/>
      <c r="E756" s="54"/>
      <c r="F756" s="82"/>
      <c r="G756" s="92"/>
      <c r="H756" s="54"/>
      <c r="I756" s="1"/>
    </row>
    <row r="757">
      <c r="A757" s="54"/>
      <c r="B757" s="88" t="str">
        <f>IFERROR(HYPERLINK(VLOOKUP(A757,Internal_lists_bugs!$A$2:$C$73,3,FALSE()), VLOOKUP(A757,Internal_lists_bugs!$A$2:$C$73,3,FALSE())&amp;Char(10) &amp; Char(10) &amp; VLOOKUP(A757,Internal_lists_bugs!$A$2:$Z$73,26,FALSE())),"please select a BUG ID")</f>
        <v>please select a BUG ID</v>
      </c>
      <c r="C757" s="51" t="str">
        <f>IFERROR(Hyperlink(VLOOKUP(A757,Internal_lists_bugs!$A$2:$G1061,7,FALSE()),"BIC: "&amp;VLOOKUP(A757,Internal_lists_bugs!$A$2:$G1061,7,FALSE())&amp;CHAR(10)&amp;"Intro.Issues: "&amp;VLOOKUP(A757,Internal_lists_bugs!$A$2:$P1061,16,FALSE())),"please select a BUG ID")</f>
        <v>please select a BUG ID</v>
      </c>
      <c r="D757" s="105"/>
      <c r="E757" s="54"/>
      <c r="F757" s="82"/>
      <c r="G757" s="92"/>
      <c r="H757" s="54"/>
      <c r="I757" s="1"/>
    </row>
    <row r="758">
      <c r="A758" s="54"/>
      <c r="B758" s="88" t="str">
        <f>IFERROR(HYPERLINK(VLOOKUP(A758,Internal_lists_bugs!$A$2:$C$73,3,FALSE()), VLOOKUP(A758,Internal_lists_bugs!$A$2:$C$73,3,FALSE())&amp;Char(10) &amp; Char(10) &amp; VLOOKUP(A758,Internal_lists_bugs!$A$2:$Z$73,26,FALSE())),"please select a BUG ID")</f>
        <v>please select a BUG ID</v>
      </c>
      <c r="C758" s="51" t="str">
        <f>IFERROR(Hyperlink(VLOOKUP(A758,Internal_lists_bugs!$A$2:$G1061,7,FALSE()),"BIC: "&amp;VLOOKUP(A758,Internal_lists_bugs!$A$2:$G1061,7,FALSE())&amp;CHAR(10)&amp;"Intro.Issues: "&amp;VLOOKUP(A758,Internal_lists_bugs!$A$2:$P1061,16,FALSE())),"please select a BUG ID")</f>
        <v>please select a BUG ID</v>
      </c>
      <c r="D758" s="105"/>
      <c r="E758" s="54"/>
      <c r="F758" s="82"/>
      <c r="G758" s="92"/>
      <c r="H758" s="54"/>
      <c r="I758" s="1"/>
    </row>
    <row r="759">
      <c r="A759" s="54"/>
      <c r="B759" s="88" t="str">
        <f>IFERROR(HYPERLINK(VLOOKUP(A759,Internal_lists_bugs!$A$2:$C$73,3,FALSE()), VLOOKUP(A759,Internal_lists_bugs!$A$2:$C$73,3,FALSE())&amp;Char(10) &amp; Char(10) &amp; VLOOKUP(A759,Internal_lists_bugs!$A$2:$Z$73,26,FALSE())),"please select a BUG ID")</f>
        <v>please select a BUG ID</v>
      </c>
      <c r="C759" s="51" t="str">
        <f>IFERROR(Hyperlink(VLOOKUP(A759,Internal_lists_bugs!$A$2:$G1061,7,FALSE()),"BIC: "&amp;VLOOKUP(A759,Internal_lists_bugs!$A$2:$G1061,7,FALSE())&amp;CHAR(10)&amp;"Intro.Issues: "&amp;VLOOKUP(A759,Internal_lists_bugs!$A$2:$P1061,16,FALSE())),"please select a BUG ID")</f>
        <v>please select a BUG ID</v>
      </c>
      <c r="D759" s="105"/>
      <c r="E759" s="54"/>
      <c r="F759" s="82"/>
      <c r="G759" s="92"/>
      <c r="H759" s="54"/>
      <c r="I759" s="1"/>
    </row>
    <row r="760">
      <c r="A760" s="54"/>
      <c r="B760" s="88" t="str">
        <f>IFERROR(HYPERLINK(VLOOKUP(A760,Internal_lists_bugs!$A$2:$C$73,3,FALSE()), VLOOKUP(A760,Internal_lists_bugs!$A$2:$C$73,3,FALSE())&amp;Char(10) &amp; Char(10) &amp; VLOOKUP(A760,Internal_lists_bugs!$A$2:$Z$73,26,FALSE())),"please select a BUG ID")</f>
        <v>please select a BUG ID</v>
      </c>
      <c r="C760" s="51" t="str">
        <f>IFERROR(Hyperlink(VLOOKUP(A760,Internal_lists_bugs!$A$2:$G1061,7,FALSE()),"BIC: "&amp;VLOOKUP(A760,Internal_lists_bugs!$A$2:$G1061,7,FALSE())&amp;CHAR(10)&amp;"Intro.Issues: "&amp;VLOOKUP(A760,Internal_lists_bugs!$A$2:$P1061,16,FALSE())),"please select a BUG ID")</f>
        <v>please select a BUG ID</v>
      </c>
      <c r="D760" s="105"/>
      <c r="E760" s="54"/>
      <c r="F760" s="82"/>
      <c r="G760" s="92"/>
      <c r="H760" s="54"/>
      <c r="I760" s="1"/>
    </row>
    <row r="761">
      <c r="A761" s="54"/>
      <c r="B761" s="88" t="str">
        <f>IFERROR(HYPERLINK(VLOOKUP(A761,Internal_lists_bugs!$A$2:$C$73,3,FALSE()), VLOOKUP(A761,Internal_lists_bugs!$A$2:$C$73,3,FALSE())&amp;Char(10) &amp; Char(10) &amp; VLOOKUP(A761,Internal_lists_bugs!$A$2:$Z$73,26,FALSE())),"please select a BUG ID")</f>
        <v>please select a BUG ID</v>
      </c>
      <c r="C761" s="51" t="str">
        <f>IFERROR(Hyperlink(VLOOKUP(A761,Internal_lists_bugs!$A$2:$G1061,7,FALSE()),"BIC: "&amp;VLOOKUP(A761,Internal_lists_bugs!$A$2:$G1061,7,FALSE())&amp;CHAR(10)&amp;"Intro.Issues: "&amp;VLOOKUP(A761,Internal_lists_bugs!$A$2:$P1061,16,FALSE())),"please select a BUG ID")</f>
        <v>please select a BUG ID</v>
      </c>
      <c r="D761" s="105"/>
      <c r="E761" s="54"/>
      <c r="F761" s="82"/>
      <c r="G761" s="92"/>
      <c r="H761" s="54"/>
      <c r="I761" s="1"/>
    </row>
    <row r="762">
      <c r="A762" s="54"/>
      <c r="B762" s="88" t="str">
        <f>IFERROR(HYPERLINK(VLOOKUP(A762,Internal_lists_bugs!$A$2:$C$73,3,FALSE()), VLOOKUP(A762,Internal_lists_bugs!$A$2:$C$73,3,FALSE())&amp;Char(10) &amp; Char(10) &amp; VLOOKUP(A762,Internal_lists_bugs!$A$2:$Z$73,26,FALSE())),"please select a BUG ID")</f>
        <v>please select a BUG ID</v>
      </c>
      <c r="C762" s="51" t="str">
        <f>IFERROR(Hyperlink(VLOOKUP(A762,Internal_lists_bugs!$A$2:$G1061,7,FALSE()),"BIC: "&amp;VLOOKUP(A762,Internal_lists_bugs!$A$2:$G1061,7,FALSE())&amp;CHAR(10)&amp;"Intro.Issues: "&amp;VLOOKUP(A762,Internal_lists_bugs!$A$2:$P1061,16,FALSE())),"please select a BUG ID")</f>
        <v>please select a BUG ID</v>
      </c>
      <c r="D762" s="105"/>
      <c r="E762" s="54"/>
      <c r="F762" s="82"/>
      <c r="G762" s="92"/>
      <c r="H762" s="54"/>
      <c r="I762" s="1"/>
    </row>
    <row r="763">
      <c r="A763" s="54"/>
      <c r="B763" s="88" t="str">
        <f>IFERROR(HYPERLINK(VLOOKUP(A763,Internal_lists_bugs!$A$2:$C$73,3,FALSE()), VLOOKUP(A763,Internal_lists_bugs!$A$2:$C$73,3,FALSE())&amp;Char(10) &amp; Char(10) &amp; VLOOKUP(A763,Internal_lists_bugs!$A$2:$Z$73,26,FALSE())),"please select a BUG ID")</f>
        <v>please select a BUG ID</v>
      </c>
      <c r="C763" s="51" t="str">
        <f>IFERROR(Hyperlink(VLOOKUP(A763,Internal_lists_bugs!$A$2:$G1061,7,FALSE()),"BIC: "&amp;VLOOKUP(A763,Internal_lists_bugs!$A$2:$G1061,7,FALSE())&amp;CHAR(10)&amp;"Intro.Issues: "&amp;VLOOKUP(A763,Internal_lists_bugs!$A$2:$P1061,16,FALSE())),"please select a BUG ID")</f>
        <v>please select a BUG ID</v>
      </c>
      <c r="D763" s="105"/>
      <c r="E763" s="54"/>
      <c r="F763" s="82"/>
      <c r="G763" s="92"/>
      <c r="H763" s="54"/>
      <c r="I763" s="1"/>
    </row>
    <row r="764">
      <c r="A764" s="54"/>
      <c r="B764" s="88" t="str">
        <f>IFERROR(HYPERLINK(VLOOKUP(A764,Internal_lists_bugs!$A$2:$C$73,3,FALSE()), VLOOKUP(A764,Internal_lists_bugs!$A$2:$C$73,3,FALSE())&amp;Char(10) &amp; Char(10) &amp; VLOOKUP(A764,Internal_lists_bugs!$A$2:$Z$73,26,FALSE())),"please select a BUG ID")</f>
        <v>please select a BUG ID</v>
      </c>
      <c r="C764" s="51" t="str">
        <f>IFERROR(Hyperlink(VLOOKUP(A764,Internal_lists_bugs!$A$2:$G1061,7,FALSE()),"BIC: "&amp;VLOOKUP(A764,Internal_lists_bugs!$A$2:$G1061,7,FALSE())&amp;CHAR(10)&amp;"Intro.Issues: "&amp;VLOOKUP(A764,Internal_lists_bugs!$A$2:$P1061,16,FALSE())),"please select a BUG ID")</f>
        <v>please select a BUG ID</v>
      </c>
      <c r="D764" s="105"/>
      <c r="E764" s="54"/>
      <c r="F764" s="82"/>
      <c r="G764" s="92"/>
      <c r="H764" s="54"/>
      <c r="I764" s="1"/>
    </row>
    <row r="765">
      <c r="A765" s="54"/>
      <c r="B765" s="88" t="str">
        <f>IFERROR(HYPERLINK(VLOOKUP(A765,Internal_lists_bugs!$A$2:$C$73,3,FALSE()), VLOOKUP(A765,Internal_lists_bugs!$A$2:$C$73,3,FALSE())&amp;Char(10) &amp; Char(10) &amp; VLOOKUP(A765,Internal_lists_bugs!$A$2:$Z$73,26,FALSE())),"please select a BUG ID")</f>
        <v>please select a BUG ID</v>
      </c>
      <c r="C765" s="51" t="str">
        <f>IFERROR(Hyperlink(VLOOKUP(A765,Internal_lists_bugs!$A$2:$G1061,7,FALSE()),"BIC: "&amp;VLOOKUP(A765,Internal_lists_bugs!$A$2:$G1061,7,FALSE())&amp;CHAR(10)&amp;"Intro.Issues: "&amp;VLOOKUP(A765,Internal_lists_bugs!$A$2:$P1061,16,FALSE())),"please select a BUG ID")</f>
        <v>please select a BUG ID</v>
      </c>
      <c r="D765" s="105"/>
      <c r="E765" s="54"/>
      <c r="F765" s="82"/>
      <c r="G765" s="92"/>
      <c r="H765" s="54"/>
      <c r="I765" s="1"/>
    </row>
    <row r="766">
      <c r="A766" s="54"/>
      <c r="B766" s="88" t="str">
        <f>IFERROR(HYPERLINK(VLOOKUP(A766,Internal_lists_bugs!$A$2:$C$73,3,FALSE()), VLOOKUP(A766,Internal_lists_bugs!$A$2:$C$73,3,FALSE())&amp;Char(10) &amp; Char(10) &amp; VLOOKUP(A766,Internal_lists_bugs!$A$2:$Z$73,26,FALSE())),"please select a BUG ID")</f>
        <v>please select a BUG ID</v>
      </c>
      <c r="C766" s="51" t="str">
        <f>IFERROR(Hyperlink(VLOOKUP(A766,Internal_lists_bugs!$A$2:$G1061,7,FALSE()),"BIC: "&amp;VLOOKUP(A766,Internal_lists_bugs!$A$2:$G1061,7,FALSE())&amp;CHAR(10)&amp;"Intro.Issues: "&amp;VLOOKUP(A766,Internal_lists_bugs!$A$2:$P1061,16,FALSE())),"please select a BUG ID")</f>
        <v>please select a BUG ID</v>
      </c>
      <c r="D766" s="105"/>
      <c r="E766" s="54"/>
      <c r="F766" s="82"/>
      <c r="G766" s="92"/>
      <c r="H766" s="54"/>
      <c r="I766" s="1"/>
    </row>
    <row r="767">
      <c r="A767" s="54"/>
      <c r="B767" s="88" t="str">
        <f>IFERROR(HYPERLINK(VLOOKUP(A767,Internal_lists_bugs!$A$2:$C$73,3,FALSE()), VLOOKUP(A767,Internal_lists_bugs!$A$2:$C$73,3,FALSE())&amp;Char(10) &amp; Char(10) &amp; VLOOKUP(A767,Internal_lists_bugs!$A$2:$Z$73,26,FALSE())),"please select a BUG ID")</f>
        <v>please select a BUG ID</v>
      </c>
      <c r="C767" s="51" t="str">
        <f>IFERROR(Hyperlink(VLOOKUP(A767,Internal_lists_bugs!$A$2:$G1061,7,FALSE()),"BIC: "&amp;VLOOKUP(A767,Internal_lists_bugs!$A$2:$G1061,7,FALSE())&amp;CHAR(10)&amp;"Intro.Issues: "&amp;VLOOKUP(A767,Internal_lists_bugs!$A$2:$P1061,16,FALSE())),"please select a BUG ID")</f>
        <v>please select a BUG ID</v>
      </c>
      <c r="D767" s="105"/>
      <c r="E767" s="54"/>
      <c r="F767" s="82"/>
      <c r="G767" s="92"/>
      <c r="H767" s="54"/>
      <c r="I767" s="1"/>
    </row>
    <row r="768">
      <c r="A768" s="54"/>
      <c r="B768" s="88" t="str">
        <f>IFERROR(HYPERLINK(VLOOKUP(A768,Internal_lists_bugs!$A$2:$C$73,3,FALSE()), VLOOKUP(A768,Internal_lists_bugs!$A$2:$C$73,3,FALSE())&amp;Char(10) &amp; Char(10) &amp; VLOOKUP(A768,Internal_lists_bugs!$A$2:$Z$73,26,FALSE())),"please select a BUG ID")</f>
        <v>please select a BUG ID</v>
      </c>
      <c r="C768" s="51" t="str">
        <f>IFERROR(Hyperlink(VLOOKUP(A768,Internal_lists_bugs!$A$2:$G1061,7,FALSE()),"BIC: "&amp;VLOOKUP(A768,Internal_lists_bugs!$A$2:$G1061,7,FALSE())&amp;CHAR(10)&amp;"Intro.Issues: "&amp;VLOOKUP(A768,Internal_lists_bugs!$A$2:$P1061,16,FALSE())),"please select a BUG ID")</f>
        <v>please select a BUG ID</v>
      </c>
      <c r="D768" s="105"/>
      <c r="E768" s="54"/>
      <c r="F768" s="82"/>
      <c r="G768" s="92"/>
      <c r="H768" s="54"/>
      <c r="I768" s="1"/>
    </row>
    <row r="769">
      <c r="A769" s="54"/>
      <c r="B769" s="88" t="str">
        <f>IFERROR(HYPERLINK(VLOOKUP(A769,Internal_lists_bugs!$A$2:$C$73,3,FALSE()), VLOOKUP(A769,Internal_lists_bugs!$A$2:$C$73,3,FALSE())&amp;Char(10) &amp; Char(10) &amp; VLOOKUP(A769,Internal_lists_bugs!$A$2:$Z$73,26,FALSE())),"please select a BUG ID")</f>
        <v>please select a BUG ID</v>
      </c>
      <c r="C769" s="51" t="str">
        <f>IFERROR(Hyperlink(VLOOKUP(A769,Internal_lists_bugs!$A$2:$G1061,7,FALSE()),"BIC: "&amp;VLOOKUP(A769,Internal_lists_bugs!$A$2:$G1061,7,FALSE())&amp;CHAR(10)&amp;"Intro.Issues: "&amp;VLOOKUP(A769,Internal_lists_bugs!$A$2:$P1061,16,FALSE())),"please select a BUG ID")</f>
        <v>please select a BUG ID</v>
      </c>
      <c r="D769" s="105"/>
      <c r="E769" s="54"/>
      <c r="F769" s="82"/>
      <c r="G769" s="92"/>
      <c r="H769" s="54"/>
      <c r="I769" s="1"/>
    </row>
    <row r="770">
      <c r="A770" s="54"/>
      <c r="B770" s="88" t="str">
        <f>IFERROR(HYPERLINK(VLOOKUP(A770,Internal_lists_bugs!$A$2:$C$73,3,FALSE()), VLOOKUP(A770,Internal_lists_bugs!$A$2:$C$73,3,FALSE())&amp;Char(10) &amp; Char(10) &amp; VLOOKUP(A770,Internal_lists_bugs!$A$2:$Z$73,26,FALSE())),"please select a BUG ID")</f>
        <v>please select a BUG ID</v>
      </c>
      <c r="C770" s="51" t="str">
        <f>IFERROR(Hyperlink(VLOOKUP(A770,Internal_lists_bugs!$A$2:$G1061,7,FALSE()),"BIC: "&amp;VLOOKUP(A770,Internal_lists_bugs!$A$2:$G1061,7,FALSE())&amp;CHAR(10)&amp;"Intro.Issues: "&amp;VLOOKUP(A770,Internal_lists_bugs!$A$2:$P1061,16,FALSE())),"please select a BUG ID")</f>
        <v>please select a BUG ID</v>
      </c>
      <c r="D770" s="105"/>
      <c r="E770" s="54"/>
      <c r="F770" s="82"/>
      <c r="G770" s="92"/>
      <c r="H770" s="54"/>
      <c r="I770" s="1"/>
    </row>
    <row r="771">
      <c r="A771" s="54"/>
      <c r="B771" s="88" t="str">
        <f>IFERROR(HYPERLINK(VLOOKUP(A771,Internal_lists_bugs!$A$2:$C$73,3,FALSE()), VLOOKUP(A771,Internal_lists_bugs!$A$2:$C$73,3,FALSE())&amp;Char(10) &amp; Char(10) &amp; VLOOKUP(A771,Internal_lists_bugs!$A$2:$Z$73,26,FALSE())),"please select a BUG ID")</f>
        <v>please select a BUG ID</v>
      </c>
      <c r="C771" s="51" t="str">
        <f>IFERROR(Hyperlink(VLOOKUP(A771,Internal_lists_bugs!$A$2:$G1061,7,FALSE()),"BIC: "&amp;VLOOKUP(A771,Internal_lists_bugs!$A$2:$G1061,7,FALSE())&amp;CHAR(10)&amp;"Intro.Issues: "&amp;VLOOKUP(A771,Internal_lists_bugs!$A$2:$P1061,16,FALSE())),"please select a BUG ID")</f>
        <v>please select a BUG ID</v>
      </c>
      <c r="D771" s="105"/>
      <c r="E771" s="54"/>
      <c r="F771" s="82"/>
      <c r="G771" s="92"/>
      <c r="H771" s="54"/>
      <c r="I771" s="1"/>
    </row>
    <row r="772">
      <c r="A772" s="54"/>
      <c r="B772" s="88" t="str">
        <f>IFERROR(HYPERLINK(VLOOKUP(A772,Internal_lists_bugs!$A$2:$C$73,3,FALSE()), VLOOKUP(A772,Internal_lists_bugs!$A$2:$C$73,3,FALSE())&amp;Char(10) &amp; Char(10) &amp; VLOOKUP(A772,Internal_lists_bugs!$A$2:$Z$73,26,FALSE())),"please select a BUG ID")</f>
        <v>please select a BUG ID</v>
      </c>
      <c r="C772" s="51" t="str">
        <f>IFERROR(Hyperlink(VLOOKUP(A772,Internal_lists_bugs!$A$2:$G1061,7,FALSE()),"BIC: "&amp;VLOOKUP(A772,Internal_lists_bugs!$A$2:$G1061,7,FALSE())&amp;CHAR(10)&amp;"Intro.Issues: "&amp;VLOOKUP(A772,Internal_lists_bugs!$A$2:$P1061,16,FALSE())),"please select a BUG ID")</f>
        <v>please select a BUG ID</v>
      </c>
      <c r="D772" s="105"/>
      <c r="E772" s="54"/>
      <c r="F772" s="82"/>
      <c r="G772" s="92"/>
      <c r="H772" s="54"/>
      <c r="I772" s="1"/>
    </row>
    <row r="773">
      <c r="A773" s="54"/>
      <c r="B773" s="88" t="str">
        <f>IFERROR(HYPERLINK(VLOOKUP(A773,Internal_lists_bugs!$A$2:$C$73,3,FALSE()), VLOOKUP(A773,Internal_lists_bugs!$A$2:$C$73,3,FALSE())&amp;Char(10) &amp; Char(10) &amp; VLOOKUP(A773,Internal_lists_bugs!$A$2:$Z$73,26,FALSE())),"please select a BUG ID")</f>
        <v>please select a BUG ID</v>
      </c>
      <c r="C773" s="51" t="str">
        <f>IFERROR(Hyperlink(VLOOKUP(A773,Internal_lists_bugs!$A$2:$G1061,7,FALSE()),"BIC: "&amp;VLOOKUP(A773,Internal_lists_bugs!$A$2:$G1061,7,FALSE())&amp;CHAR(10)&amp;"Intro.Issues: "&amp;VLOOKUP(A773,Internal_lists_bugs!$A$2:$P1061,16,FALSE())),"please select a BUG ID")</f>
        <v>please select a BUG ID</v>
      </c>
      <c r="D773" s="105"/>
      <c r="E773" s="54"/>
      <c r="F773" s="82"/>
      <c r="G773" s="92"/>
      <c r="H773" s="54"/>
      <c r="I773" s="1"/>
    </row>
    <row r="774">
      <c r="A774" s="54"/>
      <c r="B774" s="88" t="str">
        <f>IFERROR(HYPERLINK(VLOOKUP(A774,Internal_lists_bugs!$A$2:$C$73,3,FALSE()), VLOOKUP(A774,Internal_lists_bugs!$A$2:$C$73,3,FALSE())&amp;Char(10) &amp; Char(10) &amp; VLOOKUP(A774,Internal_lists_bugs!$A$2:$Z$73,26,FALSE())),"please select a BUG ID")</f>
        <v>please select a BUG ID</v>
      </c>
      <c r="C774" s="51" t="str">
        <f>IFERROR(Hyperlink(VLOOKUP(A774,Internal_lists_bugs!$A$2:$G1061,7,FALSE()),"BIC: "&amp;VLOOKUP(A774,Internal_lists_bugs!$A$2:$G1061,7,FALSE())&amp;CHAR(10)&amp;"Intro.Issues: "&amp;VLOOKUP(A774,Internal_lists_bugs!$A$2:$P1061,16,FALSE())),"please select a BUG ID")</f>
        <v>please select a BUG ID</v>
      </c>
      <c r="D774" s="105"/>
      <c r="E774" s="54"/>
      <c r="F774" s="82"/>
      <c r="G774" s="92"/>
      <c r="H774" s="54"/>
      <c r="I774" s="1"/>
    </row>
    <row r="775">
      <c r="A775" s="54"/>
      <c r="B775" s="88" t="str">
        <f>IFERROR(HYPERLINK(VLOOKUP(A775,Internal_lists_bugs!$A$2:$C$73,3,FALSE()), VLOOKUP(A775,Internal_lists_bugs!$A$2:$C$73,3,FALSE())&amp;Char(10) &amp; Char(10) &amp; VLOOKUP(A775,Internal_lists_bugs!$A$2:$Z$73,26,FALSE())),"please select a BUG ID")</f>
        <v>please select a BUG ID</v>
      </c>
      <c r="C775" s="51" t="str">
        <f>IFERROR(Hyperlink(VLOOKUP(A775,Internal_lists_bugs!$A$2:$G1061,7,FALSE()),"BIC: "&amp;VLOOKUP(A775,Internal_lists_bugs!$A$2:$G1061,7,FALSE())&amp;CHAR(10)&amp;"Intro.Issues: "&amp;VLOOKUP(A775,Internal_lists_bugs!$A$2:$P1061,16,FALSE())),"please select a BUG ID")</f>
        <v>please select a BUG ID</v>
      </c>
      <c r="D775" s="105"/>
      <c r="E775" s="54"/>
      <c r="F775" s="82"/>
      <c r="G775" s="92"/>
      <c r="H775" s="54"/>
      <c r="I775" s="1"/>
    </row>
    <row r="776">
      <c r="A776" s="54"/>
      <c r="B776" s="88" t="str">
        <f>IFERROR(HYPERLINK(VLOOKUP(A776,Internal_lists_bugs!$A$2:$C$73,3,FALSE()), VLOOKUP(A776,Internal_lists_bugs!$A$2:$C$73,3,FALSE())&amp;Char(10) &amp; Char(10) &amp; VLOOKUP(A776,Internal_lists_bugs!$A$2:$Z$73,26,FALSE())),"please select a BUG ID")</f>
        <v>please select a BUG ID</v>
      </c>
      <c r="C776" s="51" t="str">
        <f>IFERROR(Hyperlink(VLOOKUP(A776,Internal_lists_bugs!$A$2:$G1061,7,FALSE()),"BIC: "&amp;VLOOKUP(A776,Internal_lists_bugs!$A$2:$G1061,7,FALSE())&amp;CHAR(10)&amp;"Intro.Issues: "&amp;VLOOKUP(A776,Internal_lists_bugs!$A$2:$P1061,16,FALSE())),"please select a BUG ID")</f>
        <v>please select a BUG ID</v>
      </c>
      <c r="D776" s="105"/>
      <c r="E776" s="54"/>
      <c r="F776" s="82"/>
      <c r="G776" s="92"/>
      <c r="H776" s="54"/>
      <c r="I776" s="1"/>
    </row>
    <row r="777">
      <c r="A777" s="54"/>
      <c r="B777" s="88" t="str">
        <f>IFERROR(HYPERLINK(VLOOKUP(A777,Internal_lists_bugs!$A$2:$C$73,3,FALSE()), VLOOKUP(A777,Internal_lists_bugs!$A$2:$C$73,3,FALSE())&amp;Char(10) &amp; Char(10) &amp; VLOOKUP(A777,Internal_lists_bugs!$A$2:$Z$73,26,FALSE())),"please select a BUG ID")</f>
        <v>please select a BUG ID</v>
      </c>
      <c r="C777" s="51" t="str">
        <f>IFERROR(Hyperlink(VLOOKUP(A777,Internal_lists_bugs!$A$2:$G1061,7,FALSE()),"BIC: "&amp;VLOOKUP(A777,Internal_lists_bugs!$A$2:$G1061,7,FALSE())&amp;CHAR(10)&amp;"Intro.Issues: "&amp;VLOOKUP(A777,Internal_lists_bugs!$A$2:$P1061,16,FALSE())),"please select a BUG ID")</f>
        <v>please select a BUG ID</v>
      </c>
      <c r="D777" s="105"/>
      <c r="E777" s="54"/>
      <c r="F777" s="82"/>
      <c r="G777" s="92"/>
      <c r="H777" s="54"/>
      <c r="I777" s="1"/>
    </row>
    <row r="778">
      <c r="A778" s="54"/>
      <c r="B778" s="88" t="str">
        <f>IFERROR(HYPERLINK(VLOOKUP(A778,Internal_lists_bugs!$A$2:$C$73,3,FALSE()), VLOOKUP(A778,Internal_lists_bugs!$A$2:$C$73,3,FALSE())&amp;Char(10) &amp; Char(10) &amp; VLOOKUP(A778,Internal_lists_bugs!$A$2:$Z$73,26,FALSE())),"please select a BUG ID")</f>
        <v>please select a BUG ID</v>
      </c>
      <c r="C778" s="51" t="str">
        <f>IFERROR(Hyperlink(VLOOKUP(A778,Internal_lists_bugs!$A$2:$G1061,7,FALSE()),"BIC: "&amp;VLOOKUP(A778,Internal_lists_bugs!$A$2:$G1061,7,FALSE())&amp;CHAR(10)&amp;"Intro.Issues: "&amp;VLOOKUP(A778,Internal_lists_bugs!$A$2:$P1061,16,FALSE())),"please select a BUG ID")</f>
        <v>please select a BUG ID</v>
      </c>
      <c r="D778" s="105"/>
      <c r="E778" s="54"/>
      <c r="F778" s="82"/>
      <c r="G778" s="92"/>
      <c r="H778" s="54"/>
      <c r="I778" s="1"/>
    </row>
    <row r="779">
      <c r="A779" s="54"/>
      <c r="B779" s="88" t="str">
        <f>IFERROR(HYPERLINK(VLOOKUP(A779,Internal_lists_bugs!$A$2:$C$73,3,FALSE()), VLOOKUP(A779,Internal_lists_bugs!$A$2:$C$73,3,FALSE())&amp;Char(10) &amp; Char(10) &amp; VLOOKUP(A779,Internal_lists_bugs!$A$2:$Z$73,26,FALSE())),"please select a BUG ID")</f>
        <v>please select a BUG ID</v>
      </c>
      <c r="C779" s="51" t="str">
        <f>IFERROR(Hyperlink(VLOOKUP(A779,Internal_lists_bugs!$A$2:$G1061,7,FALSE()),"BIC: "&amp;VLOOKUP(A779,Internal_lists_bugs!$A$2:$G1061,7,FALSE())&amp;CHAR(10)&amp;"Intro.Issues: "&amp;VLOOKUP(A779,Internal_lists_bugs!$A$2:$P1061,16,FALSE())),"please select a BUG ID")</f>
        <v>please select a BUG ID</v>
      </c>
      <c r="D779" s="105"/>
      <c r="E779" s="54"/>
      <c r="F779" s="82"/>
      <c r="G779" s="92"/>
      <c r="H779" s="54"/>
      <c r="I779" s="1"/>
    </row>
    <row r="780">
      <c r="A780" s="54"/>
      <c r="B780" s="88" t="str">
        <f>IFERROR(HYPERLINK(VLOOKUP(A780,Internal_lists_bugs!$A$2:$C$73,3,FALSE()), VLOOKUP(A780,Internal_lists_bugs!$A$2:$C$73,3,FALSE())&amp;Char(10) &amp; Char(10) &amp; VLOOKUP(A780,Internal_lists_bugs!$A$2:$Z$73,26,FALSE())),"please select a BUG ID")</f>
        <v>please select a BUG ID</v>
      </c>
      <c r="C780" s="51" t="str">
        <f>IFERROR(Hyperlink(VLOOKUP(A780,Internal_lists_bugs!$A$2:$G1061,7,FALSE()),"BIC: "&amp;VLOOKUP(A780,Internal_lists_bugs!$A$2:$G1061,7,FALSE())&amp;CHAR(10)&amp;"Intro.Issues: "&amp;VLOOKUP(A780,Internal_lists_bugs!$A$2:$P1061,16,FALSE())),"please select a BUG ID")</f>
        <v>please select a BUG ID</v>
      </c>
      <c r="D780" s="105"/>
      <c r="E780" s="54"/>
      <c r="F780" s="82"/>
      <c r="G780" s="92"/>
      <c r="H780" s="54"/>
      <c r="I780" s="1"/>
    </row>
    <row r="781">
      <c r="A781" s="54"/>
      <c r="B781" s="88" t="str">
        <f>IFERROR(HYPERLINK(VLOOKUP(A781,Internal_lists_bugs!$A$2:$C$73,3,FALSE()), VLOOKUP(A781,Internal_lists_bugs!$A$2:$C$73,3,FALSE())&amp;Char(10) &amp; Char(10) &amp; VLOOKUP(A781,Internal_lists_bugs!$A$2:$Z$73,26,FALSE())),"please select a BUG ID")</f>
        <v>please select a BUG ID</v>
      </c>
      <c r="C781" s="51" t="str">
        <f>IFERROR(Hyperlink(VLOOKUP(A781,Internal_lists_bugs!$A$2:$G1061,7,FALSE()),"BIC: "&amp;VLOOKUP(A781,Internal_lists_bugs!$A$2:$G1061,7,FALSE())&amp;CHAR(10)&amp;"Intro.Issues: "&amp;VLOOKUP(A781,Internal_lists_bugs!$A$2:$P1061,16,FALSE())),"please select a BUG ID")</f>
        <v>please select a BUG ID</v>
      </c>
      <c r="D781" s="105"/>
      <c r="E781" s="54"/>
      <c r="F781" s="82"/>
      <c r="G781" s="92"/>
      <c r="H781" s="54"/>
      <c r="I781" s="1"/>
    </row>
    <row r="782">
      <c r="A782" s="54"/>
      <c r="B782" s="88" t="str">
        <f>IFERROR(HYPERLINK(VLOOKUP(A782,Internal_lists_bugs!$A$2:$C$73,3,FALSE()), VLOOKUP(A782,Internal_lists_bugs!$A$2:$C$73,3,FALSE())&amp;Char(10) &amp; Char(10) &amp; VLOOKUP(A782,Internal_lists_bugs!$A$2:$Z$73,26,FALSE())),"please select a BUG ID")</f>
        <v>please select a BUG ID</v>
      </c>
      <c r="C782" s="51" t="str">
        <f>IFERROR(Hyperlink(VLOOKUP(A782,Internal_lists_bugs!$A$2:$G1061,7,FALSE()),"BIC: "&amp;VLOOKUP(A782,Internal_lists_bugs!$A$2:$G1061,7,FALSE())&amp;CHAR(10)&amp;"Intro.Issues: "&amp;VLOOKUP(A782,Internal_lists_bugs!$A$2:$P1061,16,FALSE())),"please select a BUG ID")</f>
        <v>please select a BUG ID</v>
      </c>
      <c r="D782" s="105"/>
      <c r="E782" s="54"/>
      <c r="F782" s="82"/>
      <c r="G782" s="92"/>
      <c r="H782" s="54"/>
      <c r="I782" s="1"/>
    </row>
    <row r="783">
      <c r="A783" s="54"/>
      <c r="B783" s="88" t="str">
        <f>IFERROR(HYPERLINK(VLOOKUP(A783,Internal_lists_bugs!$A$2:$C$73,3,FALSE()), VLOOKUP(A783,Internal_lists_bugs!$A$2:$C$73,3,FALSE())&amp;Char(10) &amp; Char(10) &amp; VLOOKUP(A783,Internal_lists_bugs!$A$2:$Z$73,26,FALSE())),"please select a BUG ID")</f>
        <v>please select a BUG ID</v>
      </c>
      <c r="C783" s="51" t="str">
        <f>IFERROR(Hyperlink(VLOOKUP(A783,Internal_lists_bugs!$A$2:$G1061,7,FALSE()),"BIC: "&amp;VLOOKUP(A783,Internal_lists_bugs!$A$2:$G1061,7,FALSE())&amp;CHAR(10)&amp;"Intro.Issues: "&amp;VLOOKUP(A783,Internal_lists_bugs!$A$2:$P1061,16,FALSE())),"please select a BUG ID")</f>
        <v>please select a BUG ID</v>
      </c>
      <c r="D783" s="105"/>
      <c r="E783" s="54"/>
      <c r="F783" s="82"/>
      <c r="G783" s="92"/>
      <c r="H783" s="54"/>
      <c r="I783" s="1"/>
    </row>
    <row r="784">
      <c r="A784" s="54"/>
      <c r="B784" s="88" t="str">
        <f>IFERROR(HYPERLINK(VLOOKUP(A784,Internal_lists_bugs!$A$2:$C$73,3,FALSE()), VLOOKUP(A784,Internal_lists_bugs!$A$2:$C$73,3,FALSE())&amp;Char(10) &amp; Char(10) &amp; VLOOKUP(A784,Internal_lists_bugs!$A$2:$Z$73,26,FALSE())),"please select a BUG ID")</f>
        <v>please select a BUG ID</v>
      </c>
      <c r="C784" s="51" t="str">
        <f>IFERROR(Hyperlink(VLOOKUP(A784,Internal_lists_bugs!$A$2:$G1061,7,FALSE()),"BIC: "&amp;VLOOKUP(A784,Internal_lists_bugs!$A$2:$G1061,7,FALSE())&amp;CHAR(10)&amp;"Intro.Issues: "&amp;VLOOKUP(A784,Internal_lists_bugs!$A$2:$P1061,16,FALSE())),"please select a BUG ID")</f>
        <v>please select a BUG ID</v>
      </c>
      <c r="D784" s="105"/>
      <c r="E784" s="54"/>
      <c r="F784" s="82"/>
      <c r="G784" s="92"/>
      <c r="H784" s="54"/>
      <c r="I784" s="1"/>
    </row>
    <row r="785">
      <c r="A785" s="54"/>
      <c r="B785" s="88" t="str">
        <f>IFERROR(HYPERLINK(VLOOKUP(A785,Internal_lists_bugs!$A$2:$C$73,3,FALSE()), VLOOKUP(A785,Internal_lists_bugs!$A$2:$C$73,3,FALSE())&amp;Char(10) &amp; Char(10) &amp; VLOOKUP(A785,Internal_lists_bugs!$A$2:$Z$73,26,FALSE())),"please select a BUG ID")</f>
        <v>please select a BUG ID</v>
      </c>
      <c r="C785" s="51" t="str">
        <f>IFERROR(Hyperlink(VLOOKUP(A785,Internal_lists_bugs!$A$2:$G1061,7,FALSE()),"BIC: "&amp;VLOOKUP(A785,Internal_lists_bugs!$A$2:$G1061,7,FALSE())&amp;CHAR(10)&amp;"Intro.Issues: "&amp;VLOOKUP(A785,Internal_lists_bugs!$A$2:$P1061,16,FALSE())),"please select a BUG ID")</f>
        <v>please select a BUG ID</v>
      </c>
      <c r="D785" s="105"/>
      <c r="E785" s="54"/>
      <c r="F785" s="82"/>
      <c r="G785" s="92"/>
      <c r="H785" s="54"/>
      <c r="I785" s="1"/>
    </row>
    <row r="786">
      <c r="A786" s="54"/>
      <c r="B786" s="88" t="str">
        <f>IFERROR(HYPERLINK(VLOOKUP(A786,Internal_lists_bugs!$A$2:$C$73,3,FALSE()), VLOOKUP(A786,Internal_lists_bugs!$A$2:$C$73,3,FALSE())&amp;Char(10) &amp; Char(10) &amp; VLOOKUP(A786,Internal_lists_bugs!$A$2:$Z$73,26,FALSE())),"please select a BUG ID")</f>
        <v>please select a BUG ID</v>
      </c>
      <c r="C786" s="51" t="str">
        <f>IFERROR(Hyperlink(VLOOKUP(A786,Internal_lists_bugs!$A$2:$G1061,7,FALSE()),"BIC: "&amp;VLOOKUP(A786,Internal_lists_bugs!$A$2:$G1061,7,FALSE())&amp;CHAR(10)&amp;"Intro.Issues: "&amp;VLOOKUP(A786,Internal_lists_bugs!$A$2:$P1061,16,FALSE())),"please select a BUG ID")</f>
        <v>please select a BUG ID</v>
      </c>
      <c r="D786" s="105"/>
      <c r="E786" s="54"/>
      <c r="F786" s="82"/>
      <c r="G786" s="92"/>
      <c r="H786" s="54"/>
      <c r="I786" s="1"/>
    </row>
    <row r="787">
      <c r="A787" s="54"/>
      <c r="B787" s="88" t="str">
        <f>IFERROR(HYPERLINK(VLOOKUP(A787,Internal_lists_bugs!$A$2:$C$73,3,FALSE()), VLOOKUP(A787,Internal_lists_bugs!$A$2:$C$73,3,FALSE())&amp;Char(10) &amp; Char(10) &amp; VLOOKUP(A787,Internal_lists_bugs!$A$2:$Z$73,26,FALSE())),"please select a BUG ID")</f>
        <v>please select a BUG ID</v>
      </c>
      <c r="C787" s="51" t="str">
        <f>IFERROR(Hyperlink(VLOOKUP(A787,Internal_lists_bugs!$A$2:$G1061,7,FALSE()),"BIC: "&amp;VLOOKUP(A787,Internal_lists_bugs!$A$2:$G1061,7,FALSE())&amp;CHAR(10)&amp;"Intro.Issues: "&amp;VLOOKUP(A787,Internal_lists_bugs!$A$2:$P1061,16,FALSE())),"please select a BUG ID")</f>
        <v>please select a BUG ID</v>
      </c>
      <c r="D787" s="105"/>
      <c r="E787" s="54"/>
      <c r="F787" s="82"/>
      <c r="G787" s="92"/>
      <c r="H787" s="54"/>
      <c r="I787" s="1"/>
    </row>
    <row r="788">
      <c r="A788" s="54"/>
      <c r="B788" s="88" t="str">
        <f>IFERROR(HYPERLINK(VLOOKUP(A788,Internal_lists_bugs!$A$2:$C$73,3,FALSE()), VLOOKUP(A788,Internal_lists_bugs!$A$2:$C$73,3,FALSE())&amp;Char(10) &amp; Char(10) &amp; VLOOKUP(A788,Internal_lists_bugs!$A$2:$Z$73,26,FALSE())),"please select a BUG ID")</f>
        <v>please select a BUG ID</v>
      </c>
      <c r="C788" s="51" t="str">
        <f>IFERROR(Hyperlink(VLOOKUP(A788,Internal_lists_bugs!$A$2:$G1061,7,FALSE()),"BIC: "&amp;VLOOKUP(A788,Internal_lists_bugs!$A$2:$G1061,7,FALSE())&amp;CHAR(10)&amp;"Intro.Issues: "&amp;VLOOKUP(A788,Internal_lists_bugs!$A$2:$P1061,16,FALSE())),"please select a BUG ID")</f>
        <v>please select a BUG ID</v>
      </c>
      <c r="D788" s="105"/>
      <c r="E788" s="54"/>
      <c r="F788" s="82"/>
      <c r="G788" s="92"/>
      <c r="H788" s="54"/>
      <c r="I788" s="1"/>
    </row>
    <row r="789">
      <c r="A789" s="54"/>
      <c r="B789" s="88" t="str">
        <f>IFERROR(HYPERLINK(VLOOKUP(A789,Internal_lists_bugs!$A$2:$C$73,3,FALSE()), VLOOKUP(A789,Internal_lists_bugs!$A$2:$C$73,3,FALSE())&amp;Char(10) &amp; Char(10) &amp; VLOOKUP(A789,Internal_lists_bugs!$A$2:$Z$73,26,FALSE())),"please select a BUG ID")</f>
        <v>please select a BUG ID</v>
      </c>
      <c r="C789" s="51" t="str">
        <f>IFERROR(Hyperlink(VLOOKUP(A789,Internal_lists_bugs!$A$2:$G1061,7,FALSE()),"BIC: "&amp;VLOOKUP(A789,Internal_lists_bugs!$A$2:$G1061,7,FALSE())&amp;CHAR(10)&amp;"Intro.Issues: "&amp;VLOOKUP(A789,Internal_lists_bugs!$A$2:$P1061,16,FALSE())),"please select a BUG ID")</f>
        <v>please select a BUG ID</v>
      </c>
      <c r="D789" s="105"/>
      <c r="E789" s="54"/>
      <c r="F789" s="82"/>
      <c r="G789" s="92"/>
      <c r="H789" s="54"/>
      <c r="I789" s="1"/>
    </row>
    <row r="790">
      <c r="A790" s="54"/>
      <c r="B790" s="88" t="str">
        <f>IFERROR(HYPERLINK(VLOOKUP(A790,Internal_lists_bugs!$A$2:$C$73,3,FALSE()), VLOOKUP(A790,Internal_lists_bugs!$A$2:$C$73,3,FALSE())&amp;Char(10) &amp; Char(10) &amp; VLOOKUP(A790,Internal_lists_bugs!$A$2:$Z$73,26,FALSE())),"please select a BUG ID")</f>
        <v>please select a BUG ID</v>
      </c>
      <c r="C790" s="51" t="str">
        <f>IFERROR(Hyperlink(VLOOKUP(A790,Internal_lists_bugs!$A$2:$G1061,7,FALSE()),"BIC: "&amp;VLOOKUP(A790,Internal_lists_bugs!$A$2:$G1061,7,FALSE())&amp;CHAR(10)&amp;"Intro.Issues: "&amp;VLOOKUP(A790,Internal_lists_bugs!$A$2:$P1061,16,FALSE())),"please select a BUG ID")</f>
        <v>please select a BUG ID</v>
      </c>
      <c r="D790" s="105"/>
      <c r="E790" s="54"/>
      <c r="F790" s="82"/>
      <c r="G790" s="92"/>
      <c r="H790" s="54"/>
      <c r="I790" s="1"/>
    </row>
    <row r="791">
      <c r="A791" s="54"/>
      <c r="B791" s="88" t="str">
        <f>IFERROR(HYPERLINK(VLOOKUP(A791,Internal_lists_bugs!$A$2:$C$73,3,FALSE()), VLOOKUP(A791,Internal_lists_bugs!$A$2:$C$73,3,FALSE())&amp;Char(10) &amp; Char(10) &amp; VLOOKUP(A791,Internal_lists_bugs!$A$2:$Z$73,26,FALSE())),"please select a BUG ID")</f>
        <v>please select a BUG ID</v>
      </c>
      <c r="C791" s="51" t="str">
        <f>IFERROR(Hyperlink(VLOOKUP(A791,Internal_lists_bugs!$A$2:$G1061,7,FALSE()),"BIC: "&amp;VLOOKUP(A791,Internal_lists_bugs!$A$2:$G1061,7,FALSE())&amp;CHAR(10)&amp;"Intro.Issues: "&amp;VLOOKUP(A791,Internal_lists_bugs!$A$2:$P1061,16,FALSE())),"please select a BUG ID")</f>
        <v>please select a BUG ID</v>
      </c>
      <c r="D791" s="105"/>
      <c r="E791" s="54"/>
      <c r="F791" s="82"/>
      <c r="G791" s="92"/>
      <c r="H791" s="54"/>
      <c r="I791" s="1"/>
    </row>
    <row r="792">
      <c r="A792" s="54"/>
      <c r="B792" s="88" t="str">
        <f>IFERROR(HYPERLINK(VLOOKUP(A792,Internal_lists_bugs!$A$2:$C$73,3,FALSE()), VLOOKUP(A792,Internal_lists_bugs!$A$2:$C$73,3,FALSE())&amp;Char(10) &amp; Char(10) &amp; VLOOKUP(A792,Internal_lists_bugs!$A$2:$Z$73,26,FALSE())),"please select a BUG ID")</f>
        <v>please select a BUG ID</v>
      </c>
      <c r="C792" s="51" t="str">
        <f>IFERROR(Hyperlink(VLOOKUP(A792,Internal_lists_bugs!$A$2:$G1061,7,FALSE()),"BIC: "&amp;VLOOKUP(A792,Internal_lists_bugs!$A$2:$G1061,7,FALSE())&amp;CHAR(10)&amp;"Intro.Issues: "&amp;VLOOKUP(A792,Internal_lists_bugs!$A$2:$P1061,16,FALSE())),"please select a BUG ID")</f>
        <v>please select a BUG ID</v>
      </c>
      <c r="D792" s="105"/>
      <c r="E792" s="54"/>
      <c r="F792" s="82"/>
      <c r="G792" s="92"/>
      <c r="H792" s="54"/>
      <c r="I792" s="1"/>
    </row>
    <row r="793">
      <c r="A793" s="54"/>
      <c r="B793" s="88" t="str">
        <f>IFERROR(HYPERLINK(VLOOKUP(A793,Internal_lists_bugs!$A$2:$C$73,3,FALSE()), VLOOKUP(A793,Internal_lists_bugs!$A$2:$C$73,3,FALSE())&amp;Char(10) &amp; Char(10) &amp; VLOOKUP(A793,Internal_lists_bugs!$A$2:$Z$73,26,FALSE())),"please select a BUG ID")</f>
        <v>please select a BUG ID</v>
      </c>
      <c r="C793" s="51" t="str">
        <f>IFERROR(Hyperlink(VLOOKUP(A793,Internal_lists_bugs!$A$2:$G1061,7,FALSE()),"BIC: "&amp;VLOOKUP(A793,Internal_lists_bugs!$A$2:$G1061,7,FALSE())&amp;CHAR(10)&amp;"Intro.Issues: "&amp;VLOOKUP(A793,Internal_lists_bugs!$A$2:$P1061,16,FALSE())),"please select a BUG ID")</f>
        <v>please select a BUG ID</v>
      </c>
      <c r="D793" s="105"/>
      <c r="E793" s="54"/>
      <c r="F793" s="82"/>
      <c r="G793" s="92"/>
      <c r="H793" s="54"/>
      <c r="I793" s="1"/>
    </row>
    <row r="794">
      <c r="A794" s="54"/>
      <c r="B794" s="88" t="str">
        <f>IFERROR(HYPERLINK(VLOOKUP(A794,Internal_lists_bugs!$A$2:$C$73,3,FALSE()), VLOOKUP(A794,Internal_lists_bugs!$A$2:$C$73,3,FALSE())&amp;Char(10) &amp; Char(10) &amp; VLOOKUP(A794,Internal_lists_bugs!$A$2:$Z$73,26,FALSE())),"please select a BUG ID")</f>
        <v>please select a BUG ID</v>
      </c>
      <c r="C794" s="51" t="str">
        <f>IFERROR(Hyperlink(VLOOKUP(A794,Internal_lists_bugs!$A$2:$G1061,7,FALSE()),"BIC: "&amp;VLOOKUP(A794,Internal_lists_bugs!$A$2:$G1061,7,FALSE())&amp;CHAR(10)&amp;"Intro.Issues: "&amp;VLOOKUP(A794,Internal_lists_bugs!$A$2:$P1061,16,FALSE())),"please select a BUG ID")</f>
        <v>please select a BUG ID</v>
      </c>
      <c r="D794" s="105"/>
      <c r="E794" s="54"/>
      <c r="F794" s="82"/>
      <c r="G794" s="92"/>
      <c r="H794" s="54"/>
      <c r="I794" s="1"/>
    </row>
    <row r="795">
      <c r="A795" s="54"/>
      <c r="B795" s="88" t="str">
        <f>IFERROR(HYPERLINK(VLOOKUP(A795,Internal_lists_bugs!$A$2:$C$73,3,FALSE()), VLOOKUP(A795,Internal_lists_bugs!$A$2:$C$73,3,FALSE())&amp;Char(10) &amp; Char(10) &amp; VLOOKUP(A795,Internal_lists_bugs!$A$2:$Z$73,26,FALSE())),"please select a BUG ID")</f>
        <v>please select a BUG ID</v>
      </c>
      <c r="C795" s="51" t="str">
        <f>IFERROR(Hyperlink(VLOOKUP(A795,Internal_lists_bugs!$A$2:$G1061,7,FALSE()),"BIC: "&amp;VLOOKUP(A795,Internal_lists_bugs!$A$2:$G1061,7,FALSE())&amp;CHAR(10)&amp;"Intro.Issues: "&amp;VLOOKUP(A795,Internal_lists_bugs!$A$2:$P1061,16,FALSE())),"please select a BUG ID")</f>
        <v>please select a BUG ID</v>
      </c>
      <c r="D795" s="105"/>
      <c r="E795" s="54"/>
      <c r="F795" s="82"/>
      <c r="G795" s="92"/>
      <c r="H795" s="54"/>
      <c r="I795" s="1"/>
    </row>
    <row r="796">
      <c r="A796" s="54"/>
      <c r="B796" s="88" t="str">
        <f>IFERROR(HYPERLINK(VLOOKUP(A796,Internal_lists_bugs!$A$2:$C$73,3,FALSE()), VLOOKUP(A796,Internal_lists_bugs!$A$2:$C$73,3,FALSE())&amp;Char(10) &amp; Char(10) &amp; VLOOKUP(A796,Internal_lists_bugs!$A$2:$Z$73,26,FALSE())),"please select a BUG ID")</f>
        <v>please select a BUG ID</v>
      </c>
      <c r="C796" s="51" t="str">
        <f>IFERROR(Hyperlink(VLOOKUP(A796,Internal_lists_bugs!$A$2:$G1061,7,FALSE()),"BIC: "&amp;VLOOKUP(A796,Internal_lists_bugs!$A$2:$G1061,7,FALSE())&amp;CHAR(10)&amp;"Intro.Issues: "&amp;VLOOKUP(A796,Internal_lists_bugs!$A$2:$P1061,16,FALSE())),"please select a BUG ID")</f>
        <v>please select a BUG ID</v>
      </c>
      <c r="D796" s="105"/>
      <c r="E796" s="54"/>
      <c r="F796" s="82"/>
      <c r="G796" s="92"/>
      <c r="H796" s="54"/>
      <c r="I796" s="1"/>
    </row>
    <row r="797">
      <c r="A797" s="54"/>
      <c r="B797" s="88" t="str">
        <f>IFERROR(HYPERLINK(VLOOKUP(A797,Internal_lists_bugs!$A$2:$C$73,3,FALSE()), VLOOKUP(A797,Internal_lists_bugs!$A$2:$C$73,3,FALSE())&amp;Char(10) &amp; Char(10) &amp; VLOOKUP(A797,Internal_lists_bugs!$A$2:$Z$73,26,FALSE())),"please select a BUG ID")</f>
        <v>please select a BUG ID</v>
      </c>
      <c r="C797" s="51" t="str">
        <f>IFERROR(Hyperlink(VLOOKUP(A797,Internal_lists_bugs!$A$2:$G1061,7,FALSE()),"BIC: "&amp;VLOOKUP(A797,Internal_lists_bugs!$A$2:$G1061,7,FALSE())&amp;CHAR(10)&amp;"Intro.Issues: "&amp;VLOOKUP(A797,Internal_lists_bugs!$A$2:$P1061,16,FALSE())),"please select a BUG ID")</f>
        <v>please select a BUG ID</v>
      </c>
      <c r="D797" s="105"/>
      <c r="E797" s="54"/>
      <c r="F797" s="82"/>
      <c r="G797" s="92"/>
      <c r="H797" s="54"/>
      <c r="I797" s="1"/>
    </row>
    <row r="798">
      <c r="A798" s="54"/>
      <c r="B798" s="88" t="str">
        <f>IFERROR(HYPERLINK(VLOOKUP(A798,Internal_lists_bugs!$A$2:$C$73,3,FALSE()), VLOOKUP(A798,Internal_lists_bugs!$A$2:$C$73,3,FALSE())&amp;Char(10) &amp; Char(10) &amp; VLOOKUP(A798,Internal_lists_bugs!$A$2:$Z$73,26,FALSE())),"please select a BUG ID")</f>
        <v>please select a BUG ID</v>
      </c>
      <c r="C798" s="51" t="str">
        <f>IFERROR(Hyperlink(VLOOKUP(A798,Internal_lists_bugs!$A$2:$G1061,7,FALSE()),"BIC: "&amp;VLOOKUP(A798,Internal_lists_bugs!$A$2:$G1061,7,FALSE())&amp;CHAR(10)&amp;"Intro.Issues: "&amp;VLOOKUP(A798,Internal_lists_bugs!$A$2:$P1061,16,FALSE())),"please select a BUG ID")</f>
        <v>please select a BUG ID</v>
      </c>
      <c r="D798" s="105"/>
      <c r="E798" s="54"/>
      <c r="F798" s="82"/>
      <c r="G798" s="92"/>
      <c r="H798" s="54"/>
      <c r="I798" s="1"/>
    </row>
    <row r="799">
      <c r="A799" s="54"/>
      <c r="B799" s="88" t="str">
        <f>IFERROR(HYPERLINK(VLOOKUP(A799,Internal_lists_bugs!$A$2:$C$73,3,FALSE()), VLOOKUP(A799,Internal_lists_bugs!$A$2:$C$73,3,FALSE())&amp;Char(10) &amp; Char(10) &amp; VLOOKUP(A799,Internal_lists_bugs!$A$2:$Z$73,26,FALSE())),"please select a BUG ID")</f>
        <v>please select a BUG ID</v>
      </c>
      <c r="C799" s="51" t="str">
        <f>IFERROR(Hyperlink(VLOOKUP(A799,Internal_lists_bugs!$A$2:$G1061,7,FALSE()),"BIC: "&amp;VLOOKUP(A799,Internal_lists_bugs!$A$2:$G1061,7,FALSE())&amp;CHAR(10)&amp;"Intro.Issues: "&amp;VLOOKUP(A799,Internal_lists_bugs!$A$2:$P1061,16,FALSE())),"please select a BUG ID")</f>
        <v>please select a BUG ID</v>
      </c>
      <c r="D799" s="105"/>
      <c r="E799" s="54"/>
      <c r="F799" s="82"/>
      <c r="G799" s="92"/>
      <c r="H799" s="54"/>
      <c r="I799" s="1"/>
    </row>
    <row r="800">
      <c r="A800" s="54"/>
      <c r="B800" s="88" t="str">
        <f>IFERROR(HYPERLINK(VLOOKUP(A800,Internal_lists_bugs!$A$2:$C$73,3,FALSE()), VLOOKUP(A800,Internal_lists_bugs!$A$2:$C$73,3,FALSE())&amp;Char(10) &amp; Char(10) &amp; VLOOKUP(A800,Internal_lists_bugs!$A$2:$Z$73,26,FALSE())),"please select a BUG ID")</f>
        <v>please select a BUG ID</v>
      </c>
      <c r="C800" s="51" t="str">
        <f>IFERROR(Hyperlink(VLOOKUP(A800,Internal_lists_bugs!$A$2:$G1061,7,FALSE()),"BIC: "&amp;VLOOKUP(A800,Internal_lists_bugs!$A$2:$G1061,7,FALSE())&amp;CHAR(10)&amp;"Intro.Issues: "&amp;VLOOKUP(A800,Internal_lists_bugs!$A$2:$P1061,16,FALSE())),"please select a BUG ID")</f>
        <v>please select a BUG ID</v>
      </c>
      <c r="D800" s="105"/>
      <c r="E800" s="54"/>
      <c r="F800" s="82"/>
      <c r="G800" s="92"/>
      <c r="H800" s="54"/>
      <c r="I800" s="1"/>
    </row>
    <row r="801">
      <c r="A801" s="54"/>
      <c r="B801" s="88" t="str">
        <f>IFERROR(HYPERLINK(VLOOKUP(A801,Internal_lists_bugs!$A$2:$C$73,3,FALSE()), VLOOKUP(A801,Internal_lists_bugs!$A$2:$C$73,3,FALSE())&amp;Char(10) &amp; Char(10) &amp; VLOOKUP(A801,Internal_lists_bugs!$A$2:$Z$73,26,FALSE())),"please select a BUG ID")</f>
        <v>please select a BUG ID</v>
      </c>
      <c r="C801" s="51" t="str">
        <f>IFERROR(Hyperlink(VLOOKUP(A801,Internal_lists_bugs!$A$2:$G1061,7,FALSE()),"BIC: "&amp;VLOOKUP(A801,Internal_lists_bugs!$A$2:$G1061,7,FALSE())&amp;CHAR(10)&amp;"Intro.Issues: "&amp;VLOOKUP(A801,Internal_lists_bugs!$A$2:$P1061,16,FALSE())),"please select a BUG ID")</f>
        <v>please select a BUG ID</v>
      </c>
      <c r="D801" s="105"/>
      <c r="E801" s="54"/>
      <c r="F801" s="82"/>
      <c r="G801" s="92"/>
      <c r="H801" s="54"/>
      <c r="I801" s="1"/>
    </row>
    <row r="802">
      <c r="A802" s="54"/>
      <c r="B802" s="88" t="str">
        <f>IFERROR(HYPERLINK(VLOOKUP(A802,Internal_lists_bugs!$A$2:$C$73,3,FALSE()), VLOOKUP(A802,Internal_lists_bugs!$A$2:$C$73,3,FALSE())&amp;Char(10) &amp; Char(10) &amp; VLOOKUP(A802,Internal_lists_bugs!$A$2:$Z$73,26,FALSE())),"please select a BUG ID")</f>
        <v>please select a BUG ID</v>
      </c>
      <c r="C802" s="51" t="str">
        <f>IFERROR(Hyperlink(VLOOKUP(A802,Internal_lists_bugs!$A$2:$G1061,7,FALSE()),"BIC: "&amp;VLOOKUP(A802,Internal_lists_bugs!$A$2:$G1061,7,FALSE())&amp;CHAR(10)&amp;"Intro.Issues: "&amp;VLOOKUP(A802,Internal_lists_bugs!$A$2:$P1061,16,FALSE())),"please select a BUG ID")</f>
        <v>please select a BUG ID</v>
      </c>
      <c r="D802" s="105"/>
      <c r="E802" s="54"/>
      <c r="F802" s="82"/>
      <c r="G802" s="92"/>
      <c r="H802" s="54"/>
      <c r="I802" s="1"/>
    </row>
    <row r="803">
      <c r="A803" s="54"/>
      <c r="B803" s="88" t="str">
        <f>IFERROR(HYPERLINK(VLOOKUP(A803,Internal_lists_bugs!$A$2:$C$73,3,FALSE()), VLOOKUP(A803,Internal_lists_bugs!$A$2:$C$73,3,FALSE())&amp;Char(10) &amp; Char(10) &amp; VLOOKUP(A803,Internal_lists_bugs!$A$2:$Z$73,26,FALSE())),"please select a BUG ID")</f>
        <v>please select a BUG ID</v>
      </c>
      <c r="C803" s="51" t="str">
        <f>IFERROR(Hyperlink(VLOOKUP(A803,Internal_lists_bugs!$A$2:$G1061,7,FALSE()),"BIC: "&amp;VLOOKUP(A803,Internal_lists_bugs!$A$2:$G1061,7,FALSE())&amp;CHAR(10)&amp;"Intro.Issues: "&amp;VLOOKUP(A803,Internal_lists_bugs!$A$2:$P1061,16,FALSE())),"please select a BUG ID")</f>
        <v>please select a BUG ID</v>
      </c>
      <c r="D803" s="105"/>
      <c r="E803" s="54"/>
      <c r="F803" s="82"/>
      <c r="G803" s="92"/>
      <c r="H803" s="54"/>
      <c r="I803" s="1"/>
    </row>
    <row r="804">
      <c r="A804" s="54"/>
      <c r="B804" s="88" t="str">
        <f>IFERROR(HYPERLINK(VLOOKUP(A804,Internal_lists_bugs!$A$2:$C$73,3,FALSE()), VLOOKUP(A804,Internal_lists_bugs!$A$2:$C$73,3,FALSE())&amp;Char(10) &amp; Char(10) &amp; VLOOKUP(A804,Internal_lists_bugs!$A$2:$Z$73,26,FALSE())),"please select a BUG ID")</f>
        <v>please select a BUG ID</v>
      </c>
      <c r="C804" s="51" t="str">
        <f>IFERROR(Hyperlink(VLOOKUP(A804,Internal_lists_bugs!$A$2:$G1061,7,FALSE()),"BIC: "&amp;VLOOKUP(A804,Internal_lists_bugs!$A$2:$G1061,7,FALSE())&amp;CHAR(10)&amp;"Intro.Issues: "&amp;VLOOKUP(A804,Internal_lists_bugs!$A$2:$P1061,16,FALSE())),"please select a BUG ID")</f>
        <v>please select a BUG ID</v>
      </c>
      <c r="D804" s="105"/>
      <c r="E804" s="54"/>
      <c r="F804" s="82"/>
      <c r="G804" s="92"/>
      <c r="H804" s="54"/>
      <c r="I804" s="1"/>
    </row>
    <row r="805">
      <c r="A805" s="54"/>
      <c r="B805" s="88" t="str">
        <f>IFERROR(HYPERLINK(VLOOKUP(A805,Internal_lists_bugs!$A$2:$C$73,3,FALSE()), VLOOKUP(A805,Internal_lists_bugs!$A$2:$C$73,3,FALSE())&amp;Char(10) &amp; Char(10) &amp; VLOOKUP(A805,Internal_lists_bugs!$A$2:$Z$73,26,FALSE())),"please select a BUG ID")</f>
        <v>please select a BUG ID</v>
      </c>
      <c r="C805" s="51" t="str">
        <f>IFERROR(Hyperlink(VLOOKUP(A805,Internal_lists_bugs!$A$2:$G1061,7,FALSE()),"BIC: "&amp;VLOOKUP(A805,Internal_lists_bugs!$A$2:$G1061,7,FALSE())&amp;CHAR(10)&amp;"Intro.Issues: "&amp;VLOOKUP(A805,Internal_lists_bugs!$A$2:$P1061,16,FALSE())),"please select a BUG ID")</f>
        <v>please select a BUG ID</v>
      </c>
      <c r="D805" s="105"/>
      <c r="E805" s="54"/>
      <c r="F805" s="82"/>
      <c r="G805" s="92"/>
      <c r="H805" s="54"/>
      <c r="I805" s="1"/>
    </row>
    <row r="806">
      <c r="A806" s="54"/>
      <c r="B806" s="88" t="str">
        <f>IFERROR(HYPERLINK(VLOOKUP(A806,Internal_lists_bugs!$A$2:$C$73,3,FALSE()), VLOOKUP(A806,Internal_lists_bugs!$A$2:$C$73,3,FALSE())&amp;Char(10) &amp; Char(10) &amp; VLOOKUP(A806,Internal_lists_bugs!$A$2:$Z$73,26,FALSE())),"please select a BUG ID")</f>
        <v>please select a BUG ID</v>
      </c>
      <c r="C806" s="51" t="str">
        <f>IFERROR(Hyperlink(VLOOKUP(A806,Internal_lists_bugs!$A$2:$G1061,7,FALSE()),"BIC: "&amp;VLOOKUP(A806,Internal_lists_bugs!$A$2:$G1061,7,FALSE())&amp;CHAR(10)&amp;"Intro.Issues: "&amp;VLOOKUP(A806,Internal_lists_bugs!$A$2:$P1061,16,FALSE())),"please select a BUG ID")</f>
        <v>please select a BUG ID</v>
      </c>
      <c r="D806" s="105"/>
      <c r="E806" s="54"/>
      <c r="F806" s="82"/>
      <c r="G806" s="92"/>
      <c r="H806" s="54"/>
      <c r="I806" s="1"/>
    </row>
    <row r="807">
      <c r="A807" s="54"/>
      <c r="B807" s="88" t="str">
        <f>IFERROR(HYPERLINK(VLOOKUP(A807,Internal_lists_bugs!$A$2:$C$73,3,FALSE()), VLOOKUP(A807,Internal_lists_bugs!$A$2:$C$73,3,FALSE())&amp;Char(10) &amp; Char(10) &amp; VLOOKUP(A807,Internal_lists_bugs!$A$2:$Z$73,26,FALSE())),"please select a BUG ID")</f>
        <v>please select a BUG ID</v>
      </c>
      <c r="C807" s="51" t="str">
        <f>IFERROR(Hyperlink(VLOOKUP(A807,Internal_lists_bugs!$A$2:$G1061,7,FALSE()),"BIC: "&amp;VLOOKUP(A807,Internal_lists_bugs!$A$2:$G1061,7,FALSE())&amp;CHAR(10)&amp;"Intro.Issues: "&amp;VLOOKUP(A807,Internal_lists_bugs!$A$2:$P1061,16,FALSE())),"please select a BUG ID")</f>
        <v>please select a BUG ID</v>
      </c>
      <c r="D807" s="105"/>
      <c r="E807" s="54"/>
      <c r="F807" s="82"/>
      <c r="G807" s="92"/>
      <c r="H807" s="54"/>
      <c r="I807" s="1"/>
    </row>
    <row r="808">
      <c r="A808" s="54"/>
      <c r="B808" s="88" t="str">
        <f>IFERROR(HYPERLINK(VLOOKUP(A808,Internal_lists_bugs!$A$2:$C$73,3,FALSE()), VLOOKUP(A808,Internal_lists_bugs!$A$2:$C$73,3,FALSE())&amp;Char(10) &amp; Char(10) &amp; VLOOKUP(A808,Internal_lists_bugs!$A$2:$Z$73,26,FALSE())),"please select a BUG ID")</f>
        <v>please select a BUG ID</v>
      </c>
      <c r="C808" s="51" t="str">
        <f>IFERROR(Hyperlink(VLOOKUP(A808,Internal_lists_bugs!$A$2:$G1061,7,FALSE()),"BIC: "&amp;VLOOKUP(A808,Internal_lists_bugs!$A$2:$G1061,7,FALSE())&amp;CHAR(10)&amp;"Intro.Issues: "&amp;VLOOKUP(A808,Internal_lists_bugs!$A$2:$P1061,16,FALSE())),"please select a BUG ID")</f>
        <v>please select a BUG ID</v>
      </c>
      <c r="D808" s="105"/>
      <c r="E808" s="54"/>
      <c r="F808" s="82"/>
      <c r="G808" s="92"/>
      <c r="H808" s="54"/>
      <c r="I808" s="1"/>
    </row>
    <row r="809">
      <c r="A809" s="54"/>
      <c r="B809" s="88" t="str">
        <f>IFERROR(HYPERLINK(VLOOKUP(A809,Internal_lists_bugs!$A$2:$C$73,3,FALSE()), VLOOKUP(A809,Internal_lists_bugs!$A$2:$C$73,3,FALSE())&amp;Char(10) &amp; Char(10) &amp; VLOOKUP(A809,Internal_lists_bugs!$A$2:$Z$73,26,FALSE())),"please select a BUG ID")</f>
        <v>please select a BUG ID</v>
      </c>
      <c r="C809" s="51" t="str">
        <f>IFERROR(Hyperlink(VLOOKUP(A809,Internal_lists_bugs!$A$2:$G1061,7,FALSE()),"BIC: "&amp;VLOOKUP(A809,Internal_lists_bugs!$A$2:$G1061,7,FALSE())&amp;CHAR(10)&amp;"Intro.Issues: "&amp;VLOOKUP(A809,Internal_lists_bugs!$A$2:$P1061,16,FALSE())),"please select a BUG ID")</f>
        <v>please select a BUG ID</v>
      </c>
      <c r="D809" s="105"/>
      <c r="E809" s="54"/>
      <c r="F809" s="82"/>
      <c r="G809" s="92"/>
      <c r="H809" s="54"/>
      <c r="I809" s="1"/>
    </row>
    <row r="810">
      <c r="A810" s="54"/>
      <c r="B810" s="88" t="str">
        <f>IFERROR(HYPERLINK(VLOOKUP(A810,Internal_lists_bugs!$A$2:$C$73,3,FALSE()), VLOOKUP(A810,Internal_lists_bugs!$A$2:$C$73,3,FALSE())&amp;Char(10) &amp; Char(10) &amp; VLOOKUP(A810,Internal_lists_bugs!$A$2:$Z$73,26,FALSE())),"please select a BUG ID")</f>
        <v>please select a BUG ID</v>
      </c>
      <c r="C810" s="51" t="str">
        <f>IFERROR(Hyperlink(VLOOKUP(A810,Internal_lists_bugs!$A$2:$G1061,7,FALSE()),"BIC: "&amp;VLOOKUP(A810,Internal_lists_bugs!$A$2:$G1061,7,FALSE())&amp;CHAR(10)&amp;"Intro.Issues: "&amp;VLOOKUP(A810,Internal_lists_bugs!$A$2:$P1061,16,FALSE())),"please select a BUG ID")</f>
        <v>please select a BUG ID</v>
      </c>
      <c r="D810" s="105"/>
      <c r="E810" s="54"/>
      <c r="F810" s="82"/>
      <c r="G810" s="92"/>
      <c r="H810" s="54"/>
      <c r="I810" s="1"/>
    </row>
    <row r="811">
      <c r="A811" s="54"/>
      <c r="B811" s="88" t="str">
        <f>IFERROR(HYPERLINK(VLOOKUP(A811,Internal_lists_bugs!$A$2:$C$73,3,FALSE()), VLOOKUP(A811,Internal_lists_bugs!$A$2:$C$73,3,FALSE())&amp;Char(10) &amp; Char(10) &amp; VLOOKUP(A811,Internal_lists_bugs!$A$2:$Z$73,26,FALSE())),"please select a BUG ID")</f>
        <v>please select a BUG ID</v>
      </c>
      <c r="C811" s="51" t="str">
        <f>IFERROR(Hyperlink(VLOOKUP(A811,Internal_lists_bugs!$A$2:$G1061,7,FALSE()),"BIC: "&amp;VLOOKUP(A811,Internal_lists_bugs!$A$2:$G1061,7,FALSE())&amp;CHAR(10)&amp;"Intro.Issues: "&amp;VLOOKUP(A811,Internal_lists_bugs!$A$2:$P1061,16,FALSE())),"please select a BUG ID")</f>
        <v>please select a BUG ID</v>
      </c>
      <c r="D811" s="105"/>
      <c r="E811" s="54"/>
      <c r="F811" s="82"/>
      <c r="G811" s="92"/>
      <c r="H811" s="54"/>
      <c r="I811" s="1"/>
    </row>
    <row r="812">
      <c r="A812" s="54"/>
      <c r="B812" s="88" t="str">
        <f>IFERROR(HYPERLINK(VLOOKUP(A812,Internal_lists_bugs!$A$2:$C$73,3,FALSE()), VLOOKUP(A812,Internal_lists_bugs!$A$2:$C$73,3,FALSE())&amp;Char(10) &amp; Char(10) &amp; VLOOKUP(A812,Internal_lists_bugs!$A$2:$Z$73,26,FALSE())),"please select a BUG ID")</f>
        <v>please select a BUG ID</v>
      </c>
      <c r="C812" s="51" t="str">
        <f>IFERROR(Hyperlink(VLOOKUP(A812,Internal_lists_bugs!$A$2:$G1061,7,FALSE()),"BIC: "&amp;VLOOKUP(A812,Internal_lists_bugs!$A$2:$G1061,7,FALSE())&amp;CHAR(10)&amp;"Intro.Issues: "&amp;VLOOKUP(A812,Internal_lists_bugs!$A$2:$P1061,16,FALSE())),"please select a BUG ID")</f>
        <v>please select a BUG ID</v>
      </c>
      <c r="D812" s="105"/>
      <c r="E812" s="54"/>
      <c r="F812" s="82"/>
      <c r="G812" s="92"/>
      <c r="H812" s="54"/>
      <c r="I812" s="1"/>
    </row>
    <row r="813">
      <c r="A813" s="54"/>
      <c r="B813" s="88" t="str">
        <f>IFERROR(HYPERLINK(VLOOKUP(A813,Internal_lists_bugs!$A$2:$C$73,3,FALSE()), VLOOKUP(A813,Internal_lists_bugs!$A$2:$C$73,3,FALSE())&amp;Char(10) &amp; Char(10) &amp; VLOOKUP(A813,Internal_lists_bugs!$A$2:$Z$73,26,FALSE())),"please select a BUG ID")</f>
        <v>please select a BUG ID</v>
      </c>
      <c r="C813" s="51" t="str">
        <f>IFERROR(Hyperlink(VLOOKUP(A813,Internal_lists_bugs!$A$2:$G1061,7,FALSE()),"BIC: "&amp;VLOOKUP(A813,Internal_lists_bugs!$A$2:$G1061,7,FALSE())&amp;CHAR(10)&amp;"Intro.Issues: "&amp;VLOOKUP(A813,Internal_lists_bugs!$A$2:$P1061,16,FALSE())),"please select a BUG ID")</f>
        <v>please select a BUG ID</v>
      </c>
      <c r="D813" s="105"/>
      <c r="E813" s="54"/>
      <c r="F813" s="82"/>
      <c r="G813" s="92"/>
      <c r="H813" s="54"/>
      <c r="I813" s="1"/>
    </row>
    <row r="814">
      <c r="A814" s="54"/>
      <c r="B814" s="88" t="str">
        <f>IFERROR(HYPERLINK(VLOOKUP(A814,Internal_lists_bugs!$A$2:$C$73,3,FALSE()), VLOOKUP(A814,Internal_lists_bugs!$A$2:$C$73,3,FALSE())&amp;Char(10) &amp; Char(10) &amp; VLOOKUP(A814,Internal_lists_bugs!$A$2:$Z$73,26,FALSE())),"please select a BUG ID")</f>
        <v>please select a BUG ID</v>
      </c>
      <c r="C814" s="51" t="str">
        <f>IFERROR(Hyperlink(VLOOKUP(A814,Internal_lists_bugs!$A$2:$G1061,7,FALSE()),"BIC: "&amp;VLOOKUP(A814,Internal_lists_bugs!$A$2:$G1061,7,FALSE())&amp;CHAR(10)&amp;"Intro.Issues: "&amp;VLOOKUP(A814,Internal_lists_bugs!$A$2:$P1061,16,FALSE())),"please select a BUG ID")</f>
        <v>please select a BUG ID</v>
      </c>
      <c r="D814" s="105"/>
      <c r="E814" s="54"/>
      <c r="F814" s="82"/>
      <c r="G814" s="92"/>
      <c r="H814" s="54"/>
      <c r="I814" s="1"/>
    </row>
    <row r="815">
      <c r="A815" s="54"/>
      <c r="B815" s="88" t="str">
        <f>IFERROR(HYPERLINK(VLOOKUP(A815,Internal_lists_bugs!$A$2:$C$73,3,FALSE()), VLOOKUP(A815,Internal_lists_bugs!$A$2:$C$73,3,FALSE())&amp;Char(10) &amp; Char(10) &amp; VLOOKUP(A815,Internal_lists_bugs!$A$2:$Z$73,26,FALSE())),"please select a BUG ID")</f>
        <v>please select a BUG ID</v>
      </c>
      <c r="C815" s="51" t="str">
        <f>IFERROR(Hyperlink(VLOOKUP(A815,Internal_lists_bugs!$A$2:$G1061,7,FALSE()),"BIC: "&amp;VLOOKUP(A815,Internal_lists_bugs!$A$2:$G1061,7,FALSE())&amp;CHAR(10)&amp;"Intro.Issues: "&amp;VLOOKUP(A815,Internal_lists_bugs!$A$2:$P1061,16,FALSE())),"please select a BUG ID")</f>
        <v>please select a BUG ID</v>
      </c>
      <c r="D815" s="105"/>
      <c r="E815" s="54"/>
      <c r="F815" s="82"/>
      <c r="G815" s="92"/>
      <c r="H815" s="54"/>
      <c r="I815" s="1"/>
    </row>
    <row r="816">
      <c r="A816" s="54"/>
      <c r="B816" s="88" t="str">
        <f>IFERROR(HYPERLINK(VLOOKUP(A816,Internal_lists_bugs!$A$2:$C$73,3,FALSE()), VLOOKUP(A816,Internal_lists_bugs!$A$2:$C$73,3,FALSE())&amp;Char(10) &amp; Char(10) &amp; VLOOKUP(A816,Internal_lists_bugs!$A$2:$Z$73,26,FALSE())),"please select a BUG ID")</f>
        <v>please select a BUG ID</v>
      </c>
      <c r="C816" s="51" t="str">
        <f>IFERROR(Hyperlink(VLOOKUP(A816,Internal_lists_bugs!$A$2:$G1061,7,FALSE()),"BIC: "&amp;VLOOKUP(A816,Internal_lists_bugs!$A$2:$G1061,7,FALSE())&amp;CHAR(10)&amp;"Intro.Issues: "&amp;VLOOKUP(A816,Internal_lists_bugs!$A$2:$P1061,16,FALSE())),"please select a BUG ID")</f>
        <v>please select a BUG ID</v>
      </c>
      <c r="D816" s="105"/>
      <c r="E816" s="54"/>
      <c r="F816" s="82"/>
      <c r="G816" s="92"/>
      <c r="H816" s="54"/>
      <c r="I816" s="1"/>
    </row>
    <row r="817">
      <c r="A817" s="54"/>
      <c r="B817" s="88" t="str">
        <f>IFERROR(HYPERLINK(VLOOKUP(A817,Internal_lists_bugs!$A$2:$C$73,3,FALSE()), VLOOKUP(A817,Internal_lists_bugs!$A$2:$C$73,3,FALSE())&amp;Char(10) &amp; Char(10) &amp; VLOOKUP(A817,Internal_lists_bugs!$A$2:$Z$73,26,FALSE())),"please select a BUG ID")</f>
        <v>please select a BUG ID</v>
      </c>
      <c r="C817" s="51" t="str">
        <f>IFERROR(Hyperlink(VLOOKUP(A817,Internal_lists_bugs!$A$2:$G1061,7,FALSE()),"BIC: "&amp;VLOOKUP(A817,Internal_lists_bugs!$A$2:$G1061,7,FALSE())&amp;CHAR(10)&amp;"Intro.Issues: "&amp;VLOOKUP(A817,Internal_lists_bugs!$A$2:$P1061,16,FALSE())),"please select a BUG ID")</f>
        <v>please select a BUG ID</v>
      </c>
      <c r="D817" s="105"/>
      <c r="E817" s="54"/>
      <c r="F817" s="82"/>
      <c r="G817" s="92"/>
      <c r="H817" s="54"/>
      <c r="I817" s="1"/>
    </row>
    <row r="818">
      <c r="A818" s="54"/>
      <c r="B818" s="88" t="str">
        <f>IFERROR(HYPERLINK(VLOOKUP(A818,Internal_lists_bugs!$A$2:$C$73,3,FALSE()), VLOOKUP(A818,Internal_lists_bugs!$A$2:$C$73,3,FALSE())&amp;Char(10) &amp; Char(10) &amp; VLOOKUP(A818,Internal_lists_bugs!$A$2:$Z$73,26,FALSE())),"please select a BUG ID")</f>
        <v>please select a BUG ID</v>
      </c>
      <c r="C818" s="51" t="str">
        <f>IFERROR(Hyperlink(VLOOKUP(A818,Internal_lists_bugs!$A$2:$G1061,7,FALSE()),"BIC: "&amp;VLOOKUP(A818,Internal_lists_bugs!$A$2:$G1061,7,FALSE())&amp;CHAR(10)&amp;"Intro.Issues: "&amp;VLOOKUP(A818,Internal_lists_bugs!$A$2:$P1061,16,FALSE())),"please select a BUG ID")</f>
        <v>please select a BUG ID</v>
      </c>
      <c r="D818" s="105"/>
      <c r="E818" s="54"/>
      <c r="F818" s="82"/>
      <c r="G818" s="92"/>
      <c r="H818" s="54"/>
      <c r="I818" s="1"/>
    </row>
    <row r="819">
      <c r="A819" s="54"/>
      <c r="B819" s="88" t="str">
        <f>IFERROR(HYPERLINK(VLOOKUP(A819,Internal_lists_bugs!$A$2:$C$73,3,FALSE()), VLOOKUP(A819,Internal_lists_bugs!$A$2:$C$73,3,FALSE())&amp;Char(10) &amp; Char(10) &amp; VLOOKUP(A819,Internal_lists_bugs!$A$2:$Z$73,26,FALSE())),"please select a BUG ID")</f>
        <v>please select a BUG ID</v>
      </c>
      <c r="C819" s="51" t="str">
        <f>IFERROR(Hyperlink(VLOOKUP(A819,Internal_lists_bugs!$A$2:$G1061,7,FALSE()),"BIC: "&amp;VLOOKUP(A819,Internal_lists_bugs!$A$2:$G1061,7,FALSE())&amp;CHAR(10)&amp;"Intro.Issues: "&amp;VLOOKUP(A819,Internal_lists_bugs!$A$2:$P1061,16,FALSE())),"please select a BUG ID")</f>
        <v>please select a BUG ID</v>
      </c>
      <c r="D819" s="105"/>
      <c r="E819" s="54"/>
      <c r="F819" s="82"/>
      <c r="G819" s="92"/>
      <c r="H819" s="54"/>
      <c r="I819" s="1"/>
    </row>
    <row r="820">
      <c r="A820" s="54"/>
      <c r="B820" s="88" t="str">
        <f>IFERROR(HYPERLINK(VLOOKUP(A820,Internal_lists_bugs!$A$2:$C$73,3,FALSE()), VLOOKUP(A820,Internal_lists_bugs!$A$2:$C$73,3,FALSE())&amp;Char(10) &amp; Char(10) &amp; VLOOKUP(A820,Internal_lists_bugs!$A$2:$Z$73,26,FALSE())),"please select a BUG ID")</f>
        <v>please select a BUG ID</v>
      </c>
      <c r="C820" s="51" t="str">
        <f>IFERROR(Hyperlink(VLOOKUP(A820,Internal_lists_bugs!$A$2:$G1061,7,FALSE()),"BIC: "&amp;VLOOKUP(A820,Internal_lists_bugs!$A$2:$G1061,7,FALSE())&amp;CHAR(10)&amp;"Intro.Issues: "&amp;VLOOKUP(A820,Internal_lists_bugs!$A$2:$P1061,16,FALSE())),"please select a BUG ID")</f>
        <v>please select a BUG ID</v>
      </c>
      <c r="D820" s="105"/>
      <c r="E820" s="54"/>
      <c r="F820" s="82"/>
      <c r="G820" s="92"/>
      <c r="H820" s="54"/>
      <c r="I820" s="1"/>
    </row>
    <row r="821">
      <c r="A821" s="54"/>
      <c r="B821" s="88" t="str">
        <f>IFERROR(HYPERLINK(VLOOKUP(A821,Internal_lists_bugs!$A$2:$C$73,3,FALSE()), VLOOKUP(A821,Internal_lists_bugs!$A$2:$C$73,3,FALSE())&amp;Char(10) &amp; Char(10) &amp; VLOOKUP(A821,Internal_lists_bugs!$A$2:$Z$73,26,FALSE())),"please select a BUG ID")</f>
        <v>please select a BUG ID</v>
      </c>
      <c r="C821" s="51" t="str">
        <f>IFERROR(Hyperlink(VLOOKUP(A821,Internal_lists_bugs!$A$2:$G1061,7,FALSE()),"BIC: "&amp;VLOOKUP(A821,Internal_lists_bugs!$A$2:$G1061,7,FALSE())&amp;CHAR(10)&amp;"Intro.Issues: "&amp;VLOOKUP(A821,Internal_lists_bugs!$A$2:$P1061,16,FALSE())),"please select a BUG ID")</f>
        <v>please select a BUG ID</v>
      </c>
      <c r="D821" s="105"/>
      <c r="E821" s="54"/>
      <c r="F821" s="82"/>
      <c r="G821" s="92"/>
      <c r="H821" s="54"/>
      <c r="I821" s="1"/>
    </row>
    <row r="822">
      <c r="A822" s="54"/>
      <c r="B822" s="88" t="str">
        <f>IFERROR(HYPERLINK(VLOOKUP(A822,Internal_lists_bugs!$A$2:$C$73,3,FALSE()), VLOOKUP(A822,Internal_lists_bugs!$A$2:$C$73,3,FALSE())&amp;Char(10) &amp; Char(10) &amp; VLOOKUP(A822,Internal_lists_bugs!$A$2:$Z$73,26,FALSE())),"please select a BUG ID")</f>
        <v>please select a BUG ID</v>
      </c>
      <c r="C822" s="51" t="str">
        <f>IFERROR(Hyperlink(VLOOKUP(A822,Internal_lists_bugs!$A$2:$G1061,7,FALSE()),"BIC: "&amp;VLOOKUP(A822,Internal_lists_bugs!$A$2:$G1061,7,FALSE())&amp;CHAR(10)&amp;"Intro.Issues: "&amp;VLOOKUP(A822,Internal_lists_bugs!$A$2:$P1061,16,FALSE())),"please select a BUG ID")</f>
        <v>please select a BUG ID</v>
      </c>
      <c r="D822" s="105"/>
      <c r="E822" s="54"/>
      <c r="F822" s="82"/>
      <c r="G822" s="92"/>
      <c r="H822" s="54"/>
      <c r="I822" s="1"/>
    </row>
    <row r="823">
      <c r="A823" s="54"/>
      <c r="B823" s="88" t="str">
        <f>IFERROR(HYPERLINK(VLOOKUP(A823,Internal_lists_bugs!$A$2:$C$73,3,FALSE()), VLOOKUP(A823,Internal_lists_bugs!$A$2:$C$73,3,FALSE())&amp;Char(10) &amp; Char(10) &amp; VLOOKUP(A823,Internal_lists_bugs!$A$2:$Z$73,26,FALSE())),"please select a BUG ID")</f>
        <v>please select a BUG ID</v>
      </c>
      <c r="C823" s="51" t="str">
        <f>IFERROR(Hyperlink(VLOOKUP(A823,Internal_lists_bugs!$A$2:$G1061,7,FALSE()),"BIC: "&amp;VLOOKUP(A823,Internal_lists_bugs!$A$2:$G1061,7,FALSE())&amp;CHAR(10)&amp;"Intro.Issues: "&amp;VLOOKUP(A823,Internal_lists_bugs!$A$2:$P1061,16,FALSE())),"please select a BUG ID")</f>
        <v>please select a BUG ID</v>
      </c>
      <c r="D823" s="105"/>
      <c r="E823" s="54"/>
      <c r="F823" s="82"/>
      <c r="G823" s="92"/>
      <c r="H823" s="54"/>
      <c r="I823" s="1"/>
    </row>
    <row r="824">
      <c r="A824" s="54"/>
      <c r="B824" s="88" t="str">
        <f>IFERROR(HYPERLINK(VLOOKUP(A824,Internal_lists_bugs!$A$2:$C$73,3,FALSE()), VLOOKUP(A824,Internal_lists_bugs!$A$2:$C$73,3,FALSE())&amp;Char(10) &amp; Char(10) &amp; VLOOKUP(A824,Internal_lists_bugs!$A$2:$Z$73,26,FALSE())),"please select a BUG ID")</f>
        <v>please select a BUG ID</v>
      </c>
      <c r="C824" s="51" t="str">
        <f>IFERROR(Hyperlink(VLOOKUP(A824,Internal_lists_bugs!$A$2:$G1061,7,FALSE()),"BIC: "&amp;VLOOKUP(A824,Internal_lists_bugs!$A$2:$G1061,7,FALSE())&amp;CHAR(10)&amp;"Intro.Issues: "&amp;VLOOKUP(A824,Internal_lists_bugs!$A$2:$P1061,16,FALSE())),"please select a BUG ID")</f>
        <v>please select a BUG ID</v>
      </c>
      <c r="D824" s="105"/>
      <c r="E824" s="54"/>
      <c r="F824" s="82"/>
      <c r="G824" s="92"/>
      <c r="H824" s="54"/>
      <c r="I824" s="1"/>
    </row>
    <row r="825">
      <c r="A825" s="54"/>
      <c r="B825" s="88" t="str">
        <f>IFERROR(HYPERLINK(VLOOKUP(A825,Internal_lists_bugs!$A$2:$C$73,3,FALSE()), VLOOKUP(A825,Internal_lists_bugs!$A$2:$C$73,3,FALSE())&amp;Char(10) &amp; Char(10) &amp; VLOOKUP(A825,Internal_lists_bugs!$A$2:$Z$73,26,FALSE())),"please select a BUG ID")</f>
        <v>please select a BUG ID</v>
      </c>
      <c r="C825" s="51" t="str">
        <f>IFERROR(Hyperlink(VLOOKUP(A825,Internal_lists_bugs!$A$2:$G1061,7,FALSE()),"BIC: "&amp;VLOOKUP(A825,Internal_lists_bugs!$A$2:$G1061,7,FALSE())&amp;CHAR(10)&amp;"Intro.Issues: "&amp;VLOOKUP(A825,Internal_lists_bugs!$A$2:$P1061,16,FALSE())),"please select a BUG ID")</f>
        <v>please select a BUG ID</v>
      </c>
      <c r="D825" s="105"/>
      <c r="E825" s="54"/>
      <c r="F825" s="82"/>
      <c r="G825" s="92"/>
      <c r="H825" s="54"/>
      <c r="I825" s="1"/>
    </row>
    <row r="826">
      <c r="A826" s="54"/>
      <c r="B826" s="88" t="str">
        <f>IFERROR(HYPERLINK(VLOOKUP(A826,Internal_lists_bugs!$A$2:$C$73,3,FALSE()), VLOOKUP(A826,Internal_lists_bugs!$A$2:$C$73,3,FALSE())&amp;Char(10) &amp; Char(10) &amp; VLOOKUP(A826,Internal_lists_bugs!$A$2:$Z$73,26,FALSE())),"please select a BUG ID")</f>
        <v>please select a BUG ID</v>
      </c>
      <c r="C826" s="51" t="str">
        <f>IFERROR(Hyperlink(VLOOKUP(A826,Internal_lists_bugs!$A$2:$G1061,7,FALSE()),"BIC: "&amp;VLOOKUP(A826,Internal_lists_bugs!$A$2:$G1061,7,FALSE())&amp;CHAR(10)&amp;"Intro.Issues: "&amp;VLOOKUP(A826,Internal_lists_bugs!$A$2:$P1061,16,FALSE())),"please select a BUG ID")</f>
        <v>please select a BUG ID</v>
      </c>
      <c r="D826" s="105"/>
      <c r="E826" s="54"/>
      <c r="F826" s="82"/>
      <c r="G826" s="92"/>
      <c r="H826" s="54"/>
      <c r="I826" s="1"/>
    </row>
    <row r="827">
      <c r="A827" s="54"/>
      <c r="B827" s="88" t="str">
        <f>IFERROR(HYPERLINK(VLOOKUP(A827,Internal_lists_bugs!$A$2:$C$73,3,FALSE()), VLOOKUP(A827,Internal_lists_bugs!$A$2:$C$73,3,FALSE())&amp;Char(10) &amp; Char(10) &amp; VLOOKUP(A827,Internal_lists_bugs!$A$2:$Z$73,26,FALSE())),"please select a BUG ID")</f>
        <v>please select a BUG ID</v>
      </c>
      <c r="C827" s="51" t="str">
        <f>IFERROR(Hyperlink(VLOOKUP(A827,Internal_lists_bugs!$A$2:$G1061,7,FALSE()),"BIC: "&amp;VLOOKUP(A827,Internal_lists_bugs!$A$2:$G1061,7,FALSE())&amp;CHAR(10)&amp;"Intro.Issues: "&amp;VLOOKUP(A827,Internal_lists_bugs!$A$2:$P1061,16,FALSE())),"please select a BUG ID")</f>
        <v>please select a BUG ID</v>
      </c>
      <c r="D827" s="105"/>
      <c r="E827" s="54"/>
      <c r="F827" s="82"/>
      <c r="G827" s="92"/>
      <c r="H827" s="54"/>
      <c r="I827" s="1"/>
    </row>
    <row r="828">
      <c r="A828" s="54"/>
      <c r="B828" s="88" t="str">
        <f>IFERROR(HYPERLINK(VLOOKUP(A828,Internal_lists_bugs!$A$2:$C$73,3,FALSE()), VLOOKUP(A828,Internal_lists_bugs!$A$2:$C$73,3,FALSE())&amp;Char(10) &amp; Char(10) &amp; VLOOKUP(A828,Internal_lists_bugs!$A$2:$Z$73,26,FALSE())),"please select a BUG ID")</f>
        <v>please select a BUG ID</v>
      </c>
      <c r="C828" s="51" t="str">
        <f>IFERROR(Hyperlink(VLOOKUP(A828,Internal_lists_bugs!$A$2:$G1061,7,FALSE()),"BIC: "&amp;VLOOKUP(A828,Internal_lists_bugs!$A$2:$G1061,7,FALSE())&amp;CHAR(10)&amp;"Intro.Issues: "&amp;VLOOKUP(A828,Internal_lists_bugs!$A$2:$P1061,16,FALSE())),"please select a BUG ID")</f>
        <v>please select a BUG ID</v>
      </c>
      <c r="D828" s="105"/>
      <c r="E828" s="54"/>
      <c r="F828" s="82"/>
      <c r="G828" s="92"/>
      <c r="H828" s="54"/>
      <c r="I828" s="1"/>
    </row>
    <row r="829">
      <c r="A829" s="54"/>
      <c r="B829" s="88" t="str">
        <f>IFERROR(HYPERLINK(VLOOKUP(A829,Internal_lists_bugs!$A$2:$C$73,3,FALSE()), VLOOKUP(A829,Internal_lists_bugs!$A$2:$C$73,3,FALSE())&amp;Char(10) &amp; Char(10) &amp; VLOOKUP(A829,Internal_lists_bugs!$A$2:$Z$73,26,FALSE())),"please select a BUG ID")</f>
        <v>please select a BUG ID</v>
      </c>
      <c r="C829" s="51" t="str">
        <f>IFERROR(Hyperlink(VLOOKUP(A829,Internal_lists_bugs!$A$2:$G1061,7,FALSE()),"BIC: "&amp;VLOOKUP(A829,Internal_lists_bugs!$A$2:$G1061,7,FALSE())&amp;CHAR(10)&amp;"Intro.Issues: "&amp;VLOOKUP(A829,Internal_lists_bugs!$A$2:$P1061,16,FALSE())),"please select a BUG ID")</f>
        <v>please select a BUG ID</v>
      </c>
      <c r="D829" s="105"/>
      <c r="E829" s="54"/>
      <c r="F829" s="82"/>
      <c r="G829" s="92"/>
      <c r="H829" s="54"/>
      <c r="I829" s="1"/>
    </row>
    <row r="830">
      <c r="A830" s="54"/>
      <c r="B830" s="88" t="str">
        <f>IFERROR(HYPERLINK(VLOOKUP(A830,Internal_lists_bugs!$A$2:$C$73,3,FALSE()), VLOOKUP(A830,Internal_lists_bugs!$A$2:$C$73,3,FALSE())&amp;Char(10) &amp; Char(10) &amp; VLOOKUP(A830,Internal_lists_bugs!$A$2:$Z$73,26,FALSE())),"please select a BUG ID")</f>
        <v>please select a BUG ID</v>
      </c>
      <c r="C830" s="51" t="str">
        <f>IFERROR(Hyperlink(VLOOKUP(A830,Internal_lists_bugs!$A$2:$G1061,7,FALSE()),"BIC: "&amp;VLOOKUP(A830,Internal_lists_bugs!$A$2:$G1061,7,FALSE())&amp;CHAR(10)&amp;"Intro.Issues: "&amp;VLOOKUP(A830,Internal_lists_bugs!$A$2:$P1061,16,FALSE())),"please select a BUG ID")</f>
        <v>please select a BUG ID</v>
      </c>
      <c r="D830" s="105"/>
      <c r="E830" s="54"/>
      <c r="F830" s="82"/>
      <c r="G830" s="92"/>
      <c r="H830" s="54"/>
      <c r="I830" s="1"/>
    </row>
    <row r="831">
      <c r="A831" s="54"/>
      <c r="B831" s="88" t="str">
        <f>IFERROR(HYPERLINK(VLOOKUP(A831,Internal_lists_bugs!$A$2:$C$73,3,FALSE()), VLOOKUP(A831,Internal_lists_bugs!$A$2:$C$73,3,FALSE())&amp;Char(10) &amp; Char(10) &amp; VLOOKUP(A831,Internal_lists_bugs!$A$2:$Z$73,26,FALSE())),"please select a BUG ID")</f>
        <v>please select a BUG ID</v>
      </c>
      <c r="C831" s="51" t="str">
        <f>IFERROR(Hyperlink(VLOOKUP(A831,Internal_lists_bugs!$A$2:$G1061,7,FALSE()),"BIC: "&amp;VLOOKUP(A831,Internal_lists_bugs!$A$2:$G1061,7,FALSE())&amp;CHAR(10)&amp;"Intro.Issues: "&amp;VLOOKUP(A831,Internal_lists_bugs!$A$2:$P1061,16,FALSE())),"please select a BUG ID")</f>
        <v>please select a BUG ID</v>
      </c>
      <c r="D831" s="105"/>
      <c r="E831" s="54"/>
      <c r="F831" s="82"/>
      <c r="G831" s="92"/>
      <c r="H831" s="54"/>
      <c r="I831" s="1"/>
    </row>
    <row r="832">
      <c r="A832" s="54"/>
      <c r="B832" s="88" t="str">
        <f>IFERROR(HYPERLINK(VLOOKUP(A832,Internal_lists_bugs!$A$2:$C$73,3,FALSE()), VLOOKUP(A832,Internal_lists_bugs!$A$2:$C$73,3,FALSE())&amp;Char(10) &amp; Char(10) &amp; VLOOKUP(A832,Internal_lists_bugs!$A$2:$Z$73,26,FALSE())),"please select a BUG ID")</f>
        <v>please select a BUG ID</v>
      </c>
      <c r="C832" s="51" t="str">
        <f>IFERROR(Hyperlink(VLOOKUP(A832,Internal_lists_bugs!$A$2:$G1061,7,FALSE()),"BIC: "&amp;VLOOKUP(A832,Internal_lists_bugs!$A$2:$G1061,7,FALSE())&amp;CHAR(10)&amp;"Intro.Issues: "&amp;VLOOKUP(A832,Internal_lists_bugs!$A$2:$P1061,16,FALSE())),"please select a BUG ID")</f>
        <v>please select a BUG ID</v>
      </c>
      <c r="D832" s="105"/>
      <c r="E832" s="54"/>
      <c r="F832" s="82"/>
      <c r="G832" s="92"/>
      <c r="H832" s="54"/>
      <c r="I832" s="1"/>
    </row>
    <row r="833">
      <c r="A833" s="54"/>
      <c r="B833" s="88" t="str">
        <f>IFERROR(HYPERLINK(VLOOKUP(A833,Internal_lists_bugs!$A$2:$C$73,3,FALSE()), VLOOKUP(A833,Internal_lists_bugs!$A$2:$C$73,3,FALSE())&amp;Char(10) &amp; Char(10) &amp; VLOOKUP(A833,Internal_lists_bugs!$A$2:$Z$73,26,FALSE())),"please select a BUG ID")</f>
        <v>please select a BUG ID</v>
      </c>
      <c r="C833" s="51" t="str">
        <f>IFERROR(Hyperlink(VLOOKUP(A833,Internal_lists_bugs!$A$2:$G1061,7,FALSE()),"BIC: "&amp;VLOOKUP(A833,Internal_lists_bugs!$A$2:$G1061,7,FALSE())&amp;CHAR(10)&amp;"Intro.Issues: "&amp;VLOOKUP(A833,Internal_lists_bugs!$A$2:$P1061,16,FALSE())),"please select a BUG ID")</f>
        <v>please select a BUG ID</v>
      </c>
      <c r="D833" s="105"/>
      <c r="E833" s="54"/>
      <c r="F833" s="82"/>
      <c r="G833" s="92"/>
      <c r="H833" s="54"/>
      <c r="I833" s="1"/>
    </row>
    <row r="834">
      <c r="A834" s="54"/>
      <c r="B834" s="88" t="str">
        <f>IFERROR(HYPERLINK(VLOOKUP(A834,Internal_lists_bugs!$A$2:$C$73,3,FALSE()), VLOOKUP(A834,Internal_lists_bugs!$A$2:$C$73,3,FALSE())&amp;Char(10) &amp; Char(10) &amp; VLOOKUP(A834,Internal_lists_bugs!$A$2:$Z$73,26,FALSE())),"please select a BUG ID")</f>
        <v>please select a BUG ID</v>
      </c>
      <c r="C834" s="51" t="str">
        <f>IFERROR(Hyperlink(VLOOKUP(A834,Internal_lists_bugs!$A$2:$G1061,7,FALSE()),"BIC: "&amp;VLOOKUP(A834,Internal_lists_bugs!$A$2:$G1061,7,FALSE())&amp;CHAR(10)&amp;"Intro.Issues: "&amp;VLOOKUP(A834,Internal_lists_bugs!$A$2:$P1061,16,FALSE())),"please select a BUG ID")</f>
        <v>please select a BUG ID</v>
      </c>
      <c r="D834" s="105"/>
      <c r="E834" s="54"/>
      <c r="F834" s="82"/>
      <c r="G834" s="92"/>
      <c r="H834" s="54"/>
      <c r="I834" s="1"/>
    </row>
    <row r="835">
      <c r="A835" s="54"/>
      <c r="B835" s="88" t="str">
        <f>IFERROR(HYPERLINK(VLOOKUP(A835,Internal_lists_bugs!$A$2:$C$73,3,FALSE()), VLOOKUP(A835,Internal_lists_bugs!$A$2:$C$73,3,FALSE())&amp;Char(10) &amp; Char(10) &amp; VLOOKUP(A835,Internal_lists_bugs!$A$2:$Z$73,26,FALSE())),"please select a BUG ID")</f>
        <v>please select a BUG ID</v>
      </c>
      <c r="C835" s="51" t="str">
        <f>IFERROR(Hyperlink(VLOOKUP(A835,Internal_lists_bugs!$A$2:$G1061,7,FALSE()),"BIC: "&amp;VLOOKUP(A835,Internal_lists_bugs!$A$2:$G1061,7,FALSE())&amp;CHAR(10)&amp;"Intro.Issues: "&amp;VLOOKUP(A835,Internal_lists_bugs!$A$2:$P1061,16,FALSE())),"please select a BUG ID")</f>
        <v>please select a BUG ID</v>
      </c>
      <c r="D835" s="105"/>
      <c r="E835" s="54"/>
      <c r="F835" s="82"/>
      <c r="G835" s="92"/>
      <c r="H835" s="54"/>
      <c r="I835" s="1"/>
    </row>
    <row r="836">
      <c r="A836" s="54"/>
      <c r="B836" s="88" t="str">
        <f>IFERROR(HYPERLINK(VLOOKUP(A836,Internal_lists_bugs!$A$2:$C$73,3,FALSE()), VLOOKUP(A836,Internal_lists_bugs!$A$2:$C$73,3,FALSE())&amp;Char(10) &amp; Char(10) &amp; VLOOKUP(A836,Internal_lists_bugs!$A$2:$Z$73,26,FALSE())),"please select a BUG ID")</f>
        <v>please select a BUG ID</v>
      </c>
      <c r="C836" s="51" t="str">
        <f>IFERROR(Hyperlink(VLOOKUP(A836,Internal_lists_bugs!$A$2:$G1061,7,FALSE()),"BIC: "&amp;VLOOKUP(A836,Internal_lists_bugs!$A$2:$G1061,7,FALSE())&amp;CHAR(10)&amp;"Intro.Issues: "&amp;VLOOKUP(A836,Internal_lists_bugs!$A$2:$P1061,16,FALSE())),"please select a BUG ID")</f>
        <v>please select a BUG ID</v>
      </c>
      <c r="D836" s="105"/>
      <c r="E836" s="54"/>
      <c r="F836" s="82"/>
      <c r="G836" s="92"/>
      <c r="H836" s="54"/>
      <c r="I836" s="1"/>
    </row>
    <row r="837">
      <c r="A837" s="54"/>
      <c r="B837" s="88" t="str">
        <f>IFERROR(HYPERLINK(VLOOKUP(A837,Internal_lists_bugs!$A$2:$C$73,3,FALSE()), VLOOKUP(A837,Internal_lists_bugs!$A$2:$C$73,3,FALSE())&amp;Char(10) &amp; Char(10) &amp; VLOOKUP(A837,Internal_lists_bugs!$A$2:$Z$73,26,FALSE())),"please select a BUG ID")</f>
        <v>please select a BUG ID</v>
      </c>
      <c r="C837" s="51" t="str">
        <f>IFERROR(Hyperlink(VLOOKUP(A837,Internal_lists_bugs!$A$2:$G1061,7,FALSE()),"BIC: "&amp;VLOOKUP(A837,Internal_lists_bugs!$A$2:$G1061,7,FALSE())&amp;CHAR(10)&amp;"Intro.Issues: "&amp;VLOOKUP(A837,Internal_lists_bugs!$A$2:$P1061,16,FALSE())),"please select a BUG ID")</f>
        <v>please select a BUG ID</v>
      </c>
      <c r="D837" s="105"/>
      <c r="E837" s="54"/>
      <c r="F837" s="82"/>
      <c r="G837" s="92"/>
      <c r="H837" s="54"/>
      <c r="I837" s="1"/>
    </row>
    <row r="838">
      <c r="A838" s="54"/>
      <c r="B838" s="88" t="str">
        <f>IFERROR(HYPERLINK(VLOOKUP(A838,Internal_lists_bugs!$A$2:$C$73,3,FALSE()), VLOOKUP(A838,Internal_lists_bugs!$A$2:$C$73,3,FALSE())&amp;Char(10) &amp; Char(10) &amp; VLOOKUP(A838,Internal_lists_bugs!$A$2:$Z$73,26,FALSE())),"please select a BUG ID")</f>
        <v>please select a BUG ID</v>
      </c>
      <c r="C838" s="51" t="str">
        <f>IFERROR(Hyperlink(VLOOKUP(A838,Internal_lists_bugs!$A$2:$G1061,7,FALSE()),"BIC: "&amp;VLOOKUP(A838,Internal_lists_bugs!$A$2:$G1061,7,FALSE())&amp;CHAR(10)&amp;"Intro.Issues: "&amp;VLOOKUP(A838,Internal_lists_bugs!$A$2:$P1061,16,FALSE())),"please select a BUG ID")</f>
        <v>please select a BUG ID</v>
      </c>
      <c r="D838" s="105"/>
      <c r="E838" s="54"/>
      <c r="F838" s="82"/>
      <c r="G838" s="92"/>
      <c r="H838" s="54"/>
      <c r="I838" s="1"/>
    </row>
    <row r="839">
      <c r="A839" s="54"/>
      <c r="B839" s="88" t="str">
        <f>IFERROR(HYPERLINK(VLOOKUP(A839,Internal_lists_bugs!$A$2:$C$73,3,FALSE()), VLOOKUP(A839,Internal_lists_bugs!$A$2:$C$73,3,FALSE())&amp;Char(10) &amp; Char(10) &amp; VLOOKUP(A839,Internal_lists_bugs!$A$2:$Z$73,26,FALSE())),"please select a BUG ID")</f>
        <v>please select a BUG ID</v>
      </c>
      <c r="C839" s="51" t="str">
        <f>IFERROR(Hyperlink(VLOOKUP(A839,Internal_lists_bugs!$A$2:$G1061,7,FALSE()),"BIC: "&amp;VLOOKUP(A839,Internal_lists_bugs!$A$2:$G1061,7,FALSE())&amp;CHAR(10)&amp;"Intro.Issues: "&amp;VLOOKUP(A839,Internal_lists_bugs!$A$2:$P1061,16,FALSE())),"please select a BUG ID")</f>
        <v>please select a BUG ID</v>
      </c>
      <c r="D839" s="105"/>
      <c r="E839" s="54"/>
      <c r="F839" s="82"/>
      <c r="G839" s="92"/>
      <c r="H839" s="54"/>
      <c r="I839" s="1"/>
    </row>
    <row r="840">
      <c r="A840" s="54"/>
      <c r="B840" s="88" t="str">
        <f>IFERROR(HYPERLINK(VLOOKUP(A840,Internal_lists_bugs!$A$2:$C$73,3,FALSE()), VLOOKUP(A840,Internal_lists_bugs!$A$2:$C$73,3,FALSE())&amp;Char(10) &amp; Char(10) &amp; VLOOKUP(A840,Internal_lists_bugs!$A$2:$Z$73,26,FALSE())),"please select a BUG ID")</f>
        <v>please select a BUG ID</v>
      </c>
      <c r="C840" s="51" t="str">
        <f>IFERROR(Hyperlink(VLOOKUP(A840,Internal_lists_bugs!$A$2:$G1061,7,FALSE()),"BIC: "&amp;VLOOKUP(A840,Internal_lists_bugs!$A$2:$G1061,7,FALSE())&amp;CHAR(10)&amp;"Intro.Issues: "&amp;VLOOKUP(A840,Internal_lists_bugs!$A$2:$P1061,16,FALSE())),"please select a BUG ID")</f>
        <v>please select a BUG ID</v>
      </c>
      <c r="D840" s="105"/>
      <c r="E840" s="54"/>
      <c r="F840" s="82"/>
      <c r="G840" s="92"/>
      <c r="H840" s="54"/>
      <c r="I840" s="1"/>
    </row>
    <row r="841">
      <c r="A841" s="54"/>
      <c r="B841" s="88" t="str">
        <f>IFERROR(HYPERLINK(VLOOKUP(A841,Internal_lists_bugs!$A$2:$C$73,3,FALSE()), VLOOKUP(A841,Internal_lists_bugs!$A$2:$C$73,3,FALSE())&amp;Char(10) &amp; Char(10) &amp; VLOOKUP(A841,Internal_lists_bugs!$A$2:$Z$73,26,FALSE())),"please select a BUG ID")</f>
        <v>please select a BUG ID</v>
      </c>
      <c r="C841" s="51" t="str">
        <f>IFERROR(Hyperlink(VLOOKUP(A841,Internal_lists_bugs!$A$2:$G1061,7,FALSE()),"BIC: "&amp;VLOOKUP(A841,Internal_lists_bugs!$A$2:$G1061,7,FALSE())&amp;CHAR(10)&amp;"Intro.Issues: "&amp;VLOOKUP(A841,Internal_lists_bugs!$A$2:$P1061,16,FALSE())),"please select a BUG ID")</f>
        <v>please select a BUG ID</v>
      </c>
      <c r="D841" s="105"/>
      <c r="E841" s="54"/>
      <c r="F841" s="82"/>
      <c r="G841" s="92"/>
      <c r="H841" s="54"/>
      <c r="I841" s="1"/>
    </row>
    <row r="842">
      <c r="A842" s="54"/>
      <c r="B842" s="88" t="str">
        <f>IFERROR(HYPERLINK(VLOOKUP(A842,Internal_lists_bugs!$A$2:$C$73,3,FALSE()), VLOOKUP(A842,Internal_lists_bugs!$A$2:$C$73,3,FALSE())&amp;Char(10) &amp; Char(10) &amp; VLOOKUP(A842,Internal_lists_bugs!$A$2:$Z$73,26,FALSE())),"please select a BUG ID")</f>
        <v>please select a BUG ID</v>
      </c>
      <c r="C842" s="51" t="str">
        <f>IFERROR(Hyperlink(VLOOKUP(A842,Internal_lists_bugs!$A$2:$G1061,7,FALSE()),"BIC: "&amp;VLOOKUP(A842,Internal_lists_bugs!$A$2:$G1061,7,FALSE())&amp;CHAR(10)&amp;"Intro.Issues: "&amp;VLOOKUP(A842,Internal_lists_bugs!$A$2:$P1061,16,FALSE())),"please select a BUG ID")</f>
        <v>please select a BUG ID</v>
      </c>
      <c r="D842" s="105"/>
      <c r="E842" s="54"/>
      <c r="F842" s="82"/>
      <c r="G842" s="92"/>
      <c r="H842" s="54"/>
      <c r="I842" s="1"/>
    </row>
    <row r="843">
      <c r="A843" s="54"/>
      <c r="B843" s="88" t="str">
        <f>IFERROR(HYPERLINK(VLOOKUP(A843,Internal_lists_bugs!$A$2:$C$73,3,FALSE()), VLOOKUP(A843,Internal_lists_bugs!$A$2:$C$73,3,FALSE())&amp;Char(10) &amp; Char(10) &amp; VLOOKUP(A843,Internal_lists_bugs!$A$2:$Z$73,26,FALSE())),"please select a BUG ID")</f>
        <v>please select a BUG ID</v>
      </c>
      <c r="C843" s="51" t="str">
        <f>IFERROR(Hyperlink(VLOOKUP(A843,Internal_lists_bugs!$A$2:$G1061,7,FALSE()),"BIC: "&amp;VLOOKUP(A843,Internal_lists_bugs!$A$2:$G1061,7,FALSE())&amp;CHAR(10)&amp;"Intro.Issues: "&amp;VLOOKUP(A843,Internal_lists_bugs!$A$2:$P1061,16,FALSE())),"please select a BUG ID")</f>
        <v>please select a BUG ID</v>
      </c>
      <c r="D843" s="105"/>
      <c r="E843" s="54"/>
      <c r="F843" s="82"/>
      <c r="G843" s="92"/>
      <c r="H843" s="54"/>
      <c r="I843" s="1"/>
    </row>
    <row r="844">
      <c r="A844" s="54"/>
      <c r="B844" s="88" t="str">
        <f>IFERROR(HYPERLINK(VLOOKUP(A844,Internal_lists_bugs!$A$2:$C$73,3,FALSE()), VLOOKUP(A844,Internal_lists_bugs!$A$2:$C$73,3,FALSE())&amp;Char(10) &amp; Char(10) &amp; VLOOKUP(A844,Internal_lists_bugs!$A$2:$Z$73,26,FALSE())),"please select a BUG ID")</f>
        <v>please select a BUG ID</v>
      </c>
      <c r="C844" s="51" t="str">
        <f>IFERROR(Hyperlink(VLOOKUP(A844,Internal_lists_bugs!$A$2:$G1061,7,FALSE()),"BIC: "&amp;VLOOKUP(A844,Internal_lists_bugs!$A$2:$G1061,7,FALSE())&amp;CHAR(10)&amp;"Intro.Issues: "&amp;VLOOKUP(A844,Internal_lists_bugs!$A$2:$P1061,16,FALSE())),"please select a BUG ID")</f>
        <v>please select a BUG ID</v>
      </c>
      <c r="D844" s="105"/>
      <c r="E844" s="54"/>
      <c r="F844" s="82"/>
      <c r="G844" s="92"/>
      <c r="H844" s="54"/>
      <c r="I844" s="1"/>
    </row>
    <row r="845">
      <c r="A845" s="54"/>
      <c r="B845" s="88" t="str">
        <f>IFERROR(HYPERLINK(VLOOKUP(A845,Internal_lists_bugs!$A$2:$C$73,3,FALSE()), VLOOKUP(A845,Internal_lists_bugs!$A$2:$C$73,3,FALSE())&amp;Char(10) &amp; Char(10) &amp; VLOOKUP(A845,Internal_lists_bugs!$A$2:$Z$73,26,FALSE())),"please select a BUG ID")</f>
        <v>please select a BUG ID</v>
      </c>
      <c r="C845" s="51" t="str">
        <f>IFERROR(Hyperlink(VLOOKUP(A845,Internal_lists_bugs!$A$2:$G1061,7,FALSE()),"BIC: "&amp;VLOOKUP(A845,Internal_lists_bugs!$A$2:$G1061,7,FALSE())&amp;CHAR(10)&amp;"Intro.Issues: "&amp;VLOOKUP(A845,Internal_lists_bugs!$A$2:$P1061,16,FALSE())),"please select a BUG ID")</f>
        <v>please select a BUG ID</v>
      </c>
      <c r="D845" s="105"/>
      <c r="E845" s="54"/>
      <c r="F845" s="82"/>
      <c r="G845" s="92"/>
      <c r="H845" s="54"/>
      <c r="I845" s="1"/>
    </row>
    <row r="846">
      <c r="A846" s="54"/>
      <c r="B846" s="88" t="str">
        <f>IFERROR(HYPERLINK(VLOOKUP(A846,Internal_lists_bugs!$A$2:$C$73,3,FALSE()), VLOOKUP(A846,Internal_lists_bugs!$A$2:$C$73,3,FALSE())&amp;Char(10) &amp; Char(10) &amp; VLOOKUP(A846,Internal_lists_bugs!$A$2:$Z$73,26,FALSE())),"please select a BUG ID")</f>
        <v>please select a BUG ID</v>
      </c>
      <c r="C846" s="51" t="str">
        <f>IFERROR(Hyperlink(VLOOKUP(A846,Internal_lists_bugs!$A$2:$G1061,7,FALSE()),"BIC: "&amp;VLOOKUP(A846,Internal_lists_bugs!$A$2:$G1061,7,FALSE())&amp;CHAR(10)&amp;"Intro.Issues: "&amp;VLOOKUP(A846,Internal_lists_bugs!$A$2:$P1061,16,FALSE())),"please select a BUG ID")</f>
        <v>please select a BUG ID</v>
      </c>
      <c r="D846" s="105"/>
      <c r="E846" s="54"/>
      <c r="F846" s="82"/>
      <c r="G846" s="92"/>
      <c r="H846" s="54"/>
      <c r="I846" s="1"/>
    </row>
    <row r="847">
      <c r="A847" s="54"/>
      <c r="B847" s="88" t="str">
        <f>IFERROR(HYPERLINK(VLOOKUP(A847,Internal_lists_bugs!$A$2:$C$73,3,FALSE()), VLOOKUP(A847,Internal_lists_bugs!$A$2:$C$73,3,FALSE())&amp;Char(10) &amp; Char(10) &amp; VLOOKUP(A847,Internal_lists_bugs!$A$2:$Z$73,26,FALSE())),"please select a BUG ID")</f>
        <v>please select a BUG ID</v>
      </c>
      <c r="C847" s="51" t="str">
        <f>IFERROR(Hyperlink(VLOOKUP(A847,Internal_lists_bugs!$A$2:$G1061,7,FALSE()),"BIC: "&amp;VLOOKUP(A847,Internal_lists_bugs!$A$2:$G1061,7,FALSE())&amp;CHAR(10)&amp;"Intro.Issues: "&amp;VLOOKUP(A847,Internal_lists_bugs!$A$2:$P1061,16,FALSE())),"please select a BUG ID")</f>
        <v>please select a BUG ID</v>
      </c>
      <c r="D847" s="105"/>
      <c r="E847" s="54"/>
      <c r="F847" s="82"/>
      <c r="G847" s="92"/>
      <c r="H847" s="54"/>
      <c r="I847" s="1"/>
    </row>
    <row r="848">
      <c r="A848" s="54"/>
      <c r="B848" s="88" t="str">
        <f>IFERROR(HYPERLINK(VLOOKUP(A848,Internal_lists_bugs!$A$2:$C$73,3,FALSE()), VLOOKUP(A848,Internal_lists_bugs!$A$2:$C$73,3,FALSE())&amp;Char(10) &amp; Char(10) &amp; VLOOKUP(A848,Internal_lists_bugs!$A$2:$Z$73,26,FALSE())),"please select a BUG ID")</f>
        <v>please select a BUG ID</v>
      </c>
      <c r="C848" s="51" t="str">
        <f>IFERROR(Hyperlink(VLOOKUP(A848,Internal_lists_bugs!$A$2:$G1061,7,FALSE()),"BIC: "&amp;VLOOKUP(A848,Internal_lists_bugs!$A$2:$G1061,7,FALSE())&amp;CHAR(10)&amp;"Intro.Issues: "&amp;VLOOKUP(A848,Internal_lists_bugs!$A$2:$P1061,16,FALSE())),"please select a BUG ID")</f>
        <v>please select a BUG ID</v>
      </c>
      <c r="D848" s="105"/>
      <c r="E848" s="54"/>
      <c r="F848" s="82"/>
      <c r="G848" s="92"/>
      <c r="H848" s="54"/>
      <c r="I848" s="1"/>
    </row>
    <row r="849">
      <c r="A849" s="54"/>
      <c r="B849" s="88" t="str">
        <f>IFERROR(HYPERLINK(VLOOKUP(A849,Internal_lists_bugs!$A$2:$C$73,3,FALSE()), VLOOKUP(A849,Internal_lists_bugs!$A$2:$C$73,3,FALSE())&amp;Char(10) &amp; Char(10) &amp; VLOOKUP(A849,Internal_lists_bugs!$A$2:$Z$73,26,FALSE())),"please select a BUG ID")</f>
        <v>please select a BUG ID</v>
      </c>
      <c r="C849" s="51" t="str">
        <f>IFERROR(Hyperlink(VLOOKUP(A849,Internal_lists_bugs!$A$2:$G1061,7,FALSE()),"BIC: "&amp;VLOOKUP(A849,Internal_lists_bugs!$A$2:$G1061,7,FALSE())&amp;CHAR(10)&amp;"Intro.Issues: "&amp;VLOOKUP(A849,Internal_lists_bugs!$A$2:$P1061,16,FALSE())),"please select a BUG ID")</f>
        <v>please select a BUG ID</v>
      </c>
      <c r="D849" s="105"/>
      <c r="E849" s="54"/>
      <c r="F849" s="82"/>
      <c r="G849" s="92"/>
      <c r="H849" s="54"/>
      <c r="I849" s="1"/>
    </row>
    <row r="850">
      <c r="A850" s="54"/>
      <c r="B850" s="88" t="str">
        <f>IFERROR(HYPERLINK(VLOOKUP(A850,Internal_lists_bugs!$A$2:$C$73,3,FALSE()), VLOOKUP(A850,Internal_lists_bugs!$A$2:$C$73,3,FALSE())&amp;Char(10) &amp; Char(10) &amp; VLOOKUP(A850,Internal_lists_bugs!$A$2:$Z$73,26,FALSE())),"please select a BUG ID")</f>
        <v>please select a BUG ID</v>
      </c>
      <c r="C850" s="51" t="str">
        <f>IFERROR(Hyperlink(VLOOKUP(A850,Internal_lists_bugs!$A$2:$G1061,7,FALSE()),"BIC: "&amp;VLOOKUP(A850,Internal_lists_bugs!$A$2:$G1061,7,FALSE())&amp;CHAR(10)&amp;"Intro.Issues: "&amp;VLOOKUP(A850,Internal_lists_bugs!$A$2:$P1061,16,FALSE())),"please select a BUG ID")</f>
        <v>please select a BUG ID</v>
      </c>
      <c r="D850" s="105"/>
      <c r="E850" s="54"/>
      <c r="F850" s="82"/>
      <c r="G850" s="92"/>
      <c r="H850" s="54"/>
      <c r="I850" s="1"/>
    </row>
    <row r="851">
      <c r="A851" s="54"/>
      <c r="B851" s="88" t="str">
        <f>IFERROR(HYPERLINK(VLOOKUP(A851,Internal_lists_bugs!$A$2:$C$73,3,FALSE()), VLOOKUP(A851,Internal_lists_bugs!$A$2:$C$73,3,FALSE())&amp;Char(10) &amp; Char(10) &amp; VLOOKUP(A851,Internal_lists_bugs!$A$2:$Z$73,26,FALSE())),"please select a BUG ID")</f>
        <v>please select a BUG ID</v>
      </c>
      <c r="C851" s="51" t="str">
        <f>IFERROR(Hyperlink(VLOOKUP(A851,Internal_lists_bugs!$A$2:$G1061,7,FALSE()),"BIC: "&amp;VLOOKUP(A851,Internal_lists_bugs!$A$2:$G1061,7,FALSE())&amp;CHAR(10)&amp;"Intro.Issues: "&amp;VLOOKUP(A851,Internal_lists_bugs!$A$2:$P1061,16,FALSE())),"please select a BUG ID")</f>
        <v>please select a BUG ID</v>
      </c>
      <c r="D851" s="105"/>
      <c r="E851" s="54"/>
      <c r="F851" s="82"/>
      <c r="G851" s="92"/>
      <c r="H851" s="54"/>
      <c r="I851" s="1"/>
    </row>
    <row r="852">
      <c r="A852" s="54"/>
      <c r="B852" s="88" t="str">
        <f>IFERROR(HYPERLINK(VLOOKUP(A852,Internal_lists_bugs!$A$2:$C$73,3,FALSE()), VLOOKUP(A852,Internal_lists_bugs!$A$2:$C$73,3,FALSE())&amp;Char(10) &amp; Char(10) &amp; VLOOKUP(A852,Internal_lists_bugs!$A$2:$Z$73,26,FALSE())),"please select a BUG ID")</f>
        <v>please select a BUG ID</v>
      </c>
      <c r="C852" s="51" t="str">
        <f>IFERROR(Hyperlink(VLOOKUP(A852,Internal_lists_bugs!$A$2:$G1061,7,FALSE()),"BIC: "&amp;VLOOKUP(A852,Internal_lists_bugs!$A$2:$G1061,7,FALSE())&amp;CHAR(10)&amp;"Intro.Issues: "&amp;VLOOKUP(A852,Internal_lists_bugs!$A$2:$P1061,16,FALSE())),"please select a BUG ID")</f>
        <v>please select a BUG ID</v>
      </c>
      <c r="D852" s="105"/>
      <c r="E852" s="54"/>
      <c r="F852" s="82"/>
      <c r="G852" s="92"/>
      <c r="H852" s="54"/>
      <c r="I852" s="1"/>
    </row>
    <row r="853">
      <c r="A853" s="54"/>
      <c r="B853" s="88" t="str">
        <f>IFERROR(HYPERLINK(VLOOKUP(A853,Internal_lists_bugs!$A$2:$C$73,3,FALSE()), VLOOKUP(A853,Internal_lists_bugs!$A$2:$C$73,3,FALSE())&amp;Char(10) &amp; Char(10) &amp; VLOOKUP(A853,Internal_lists_bugs!$A$2:$Z$73,26,FALSE())),"please select a BUG ID")</f>
        <v>please select a BUG ID</v>
      </c>
      <c r="C853" s="51" t="str">
        <f>IFERROR(Hyperlink(VLOOKUP(A853,Internal_lists_bugs!$A$2:$G1061,7,FALSE()),"BIC: "&amp;VLOOKUP(A853,Internal_lists_bugs!$A$2:$G1061,7,FALSE())&amp;CHAR(10)&amp;"Intro.Issues: "&amp;VLOOKUP(A853,Internal_lists_bugs!$A$2:$P1061,16,FALSE())),"please select a BUG ID")</f>
        <v>please select a BUG ID</v>
      </c>
      <c r="D853" s="105"/>
      <c r="E853" s="54"/>
      <c r="F853" s="82"/>
      <c r="G853" s="92"/>
      <c r="H853" s="54"/>
      <c r="I853" s="1"/>
    </row>
    <row r="854">
      <c r="A854" s="54"/>
      <c r="B854" s="88" t="str">
        <f>IFERROR(HYPERLINK(VLOOKUP(A854,Internal_lists_bugs!$A$2:$C$73,3,FALSE()), VLOOKUP(A854,Internal_lists_bugs!$A$2:$C$73,3,FALSE())&amp;Char(10) &amp; Char(10) &amp; VLOOKUP(A854,Internal_lists_bugs!$A$2:$Z$73,26,FALSE())),"please select a BUG ID")</f>
        <v>please select a BUG ID</v>
      </c>
      <c r="C854" s="51" t="str">
        <f>IFERROR(Hyperlink(VLOOKUP(A854,Internal_lists_bugs!$A$2:$G1061,7,FALSE()),"BIC: "&amp;VLOOKUP(A854,Internal_lists_bugs!$A$2:$G1061,7,FALSE())&amp;CHAR(10)&amp;"Intro.Issues: "&amp;VLOOKUP(A854,Internal_lists_bugs!$A$2:$P1061,16,FALSE())),"please select a BUG ID")</f>
        <v>please select a BUG ID</v>
      </c>
      <c r="D854" s="105"/>
      <c r="E854" s="54"/>
      <c r="F854" s="82"/>
      <c r="G854" s="92"/>
      <c r="H854" s="54"/>
      <c r="I854" s="1"/>
    </row>
    <row r="855">
      <c r="A855" s="54"/>
      <c r="B855" s="88" t="str">
        <f>IFERROR(HYPERLINK(VLOOKUP(A855,Internal_lists_bugs!$A$2:$C$73,3,FALSE()), VLOOKUP(A855,Internal_lists_bugs!$A$2:$C$73,3,FALSE())&amp;Char(10) &amp; Char(10) &amp; VLOOKUP(A855,Internal_lists_bugs!$A$2:$Z$73,26,FALSE())),"please select a BUG ID")</f>
        <v>please select a BUG ID</v>
      </c>
      <c r="C855" s="51" t="str">
        <f>IFERROR(Hyperlink(VLOOKUP(A855,Internal_lists_bugs!$A$2:$G1061,7,FALSE()),"BIC: "&amp;VLOOKUP(A855,Internal_lists_bugs!$A$2:$G1061,7,FALSE())&amp;CHAR(10)&amp;"Intro.Issues: "&amp;VLOOKUP(A855,Internal_lists_bugs!$A$2:$P1061,16,FALSE())),"please select a BUG ID")</f>
        <v>please select a BUG ID</v>
      </c>
      <c r="D855" s="105"/>
      <c r="E855" s="54"/>
      <c r="F855" s="82"/>
      <c r="G855" s="92"/>
      <c r="H855" s="54"/>
      <c r="I855" s="1"/>
    </row>
    <row r="856">
      <c r="A856" s="54"/>
      <c r="B856" s="88" t="str">
        <f>IFERROR(HYPERLINK(VLOOKUP(A856,Internal_lists_bugs!$A$2:$C$73,3,FALSE()), VLOOKUP(A856,Internal_lists_bugs!$A$2:$C$73,3,FALSE())&amp;Char(10) &amp; Char(10) &amp; VLOOKUP(A856,Internal_lists_bugs!$A$2:$Z$73,26,FALSE())),"please select a BUG ID")</f>
        <v>please select a BUG ID</v>
      </c>
      <c r="C856" s="51" t="str">
        <f>IFERROR(Hyperlink(VLOOKUP(A856,Internal_lists_bugs!$A$2:$G1061,7,FALSE()),"BIC: "&amp;VLOOKUP(A856,Internal_lists_bugs!$A$2:$G1061,7,FALSE())&amp;CHAR(10)&amp;"Intro.Issues: "&amp;VLOOKUP(A856,Internal_lists_bugs!$A$2:$P1061,16,FALSE())),"please select a BUG ID")</f>
        <v>please select a BUG ID</v>
      </c>
      <c r="D856" s="105"/>
      <c r="E856" s="54"/>
      <c r="F856" s="82"/>
      <c r="G856" s="92"/>
      <c r="H856" s="54"/>
      <c r="I856" s="1"/>
    </row>
    <row r="857">
      <c r="A857" s="54"/>
      <c r="B857" s="88" t="str">
        <f>IFERROR(HYPERLINK(VLOOKUP(A857,Internal_lists_bugs!$A$2:$C$73,3,FALSE()), VLOOKUP(A857,Internal_lists_bugs!$A$2:$C$73,3,FALSE())&amp;Char(10) &amp; Char(10) &amp; VLOOKUP(A857,Internal_lists_bugs!$A$2:$Z$73,26,FALSE())),"please select a BUG ID")</f>
        <v>please select a BUG ID</v>
      </c>
      <c r="C857" s="51" t="str">
        <f>IFERROR(Hyperlink(VLOOKUP(A857,Internal_lists_bugs!$A$2:$G1061,7,FALSE()),"BIC: "&amp;VLOOKUP(A857,Internal_lists_bugs!$A$2:$G1061,7,FALSE())&amp;CHAR(10)&amp;"Intro.Issues: "&amp;VLOOKUP(A857,Internal_lists_bugs!$A$2:$P1061,16,FALSE())),"please select a BUG ID")</f>
        <v>please select a BUG ID</v>
      </c>
      <c r="D857" s="105"/>
      <c r="E857" s="54"/>
      <c r="F857" s="82"/>
      <c r="G857" s="92"/>
      <c r="H857" s="54"/>
      <c r="I857" s="1"/>
    </row>
    <row r="858">
      <c r="A858" s="54"/>
      <c r="B858" s="88" t="str">
        <f>IFERROR(HYPERLINK(VLOOKUP(A858,Internal_lists_bugs!$A$2:$C$73,3,FALSE()), VLOOKUP(A858,Internal_lists_bugs!$A$2:$C$73,3,FALSE())&amp;Char(10) &amp; Char(10) &amp; VLOOKUP(A858,Internal_lists_bugs!$A$2:$Z$73,26,FALSE())),"please select a BUG ID")</f>
        <v>please select a BUG ID</v>
      </c>
      <c r="C858" s="51" t="str">
        <f>IFERROR(Hyperlink(VLOOKUP(A858,Internal_lists_bugs!$A$2:$G1061,7,FALSE()),"BIC: "&amp;VLOOKUP(A858,Internal_lists_bugs!$A$2:$G1061,7,FALSE())&amp;CHAR(10)&amp;"Intro.Issues: "&amp;VLOOKUP(A858,Internal_lists_bugs!$A$2:$P1061,16,FALSE())),"please select a BUG ID")</f>
        <v>please select a BUG ID</v>
      </c>
      <c r="D858" s="105"/>
      <c r="E858" s="54"/>
      <c r="F858" s="82"/>
      <c r="G858" s="92"/>
      <c r="H858" s="54"/>
      <c r="I858" s="1"/>
    </row>
    <row r="859">
      <c r="A859" s="54"/>
      <c r="B859" s="88" t="str">
        <f>IFERROR(HYPERLINK(VLOOKUP(A859,Internal_lists_bugs!$A$2:$C$73,3,FALSE()), VLOOKUP(A859,Internal_lists_bugs!$A$2:$C$73,3,FALSE())&amp;Char(10) &amp; Char(10) &amp; VLOOKUP(A859,Internal_lists_bugs!$A$2:$Z$73,26,FALSE())),"please select a BUG ID")</f>
        <v>please select a BUG ID</v>
      </c>
      <c r="C859" s="51" t="str">
        <f>IFERROR(Hyperlink(VLOOKUP(A859,Internal_lists_bugs!$A$2:$G1061,7,FALSE()),"BIC: "&amp;VLOOKUP(A859,Internal_lists_bugs!$A$2:$G1061,7,FALSE())&amp;CHAR(10)&amp;"Intro.Issues: "&amp;VLOOKUP(A859,Internal_lists_bugs!$A$2:$P1061,16,FALSE())),"please select a BUG ID")</f>
        <v>please select a BUG ID</v>
      </c>
      <c r="D859" s="105"/>
      <c r="E859" s="54"/>
      <c r="F859" s="82"/>
      <c r="G859" s="92"/>
      <c r="H859" s="54"/>
      <c r="I859" s="1"/>
    </row>
    <row r="860">
      <c r="A860" s="54"/>
      <c r="B860" s="88" t="str">
        <f>IFERROR(HYPERLINK(VLOOKUP(A860,Internal_lists_bugs!$A$2:$C$73,3,FALSE()), VLOOKUP(A860,Internal_lists_bugs!$A$2:$C$73,3,FALSE())&amp;Char(10) &amp; Char(10) &amp; VLOOKUP(A860,Internal_lists_bugs!$A$2:$Z$73,26,FALSE())),"please select a BUG ID")</f>
        <v>please select a BUG ID</v>
      </c>
      <c r="C860" s="51" t="str">
        <f>IFERROR(Hyperlink(VLOOKUP(A860,Internal_lists_bugs!$A$2:$G1061,7,FALSE()),"BIC: "&amp;VLOOKUP(A860,Internal_lists_bugs!$A$2:$G1061,7,FALSE())&amp;CHAR(10)&amp;"Intro.Issues: "&amp;VLOOKUP(A860,Internal_lists_bugs!$A$2:$P1061,16,FALSE())),"please select a BUG ID")</f>
        <v>please select a BUG ID</v>
      </c>
      <c r="D860" s="105"/>
      <c r="E860" s="54"/>
      <c r="F860" s="82"/>
      <c r="G860" s="92"/>
      <c r="H860" s="54"/>
      <c r="I860" s="1"/>
    </row>
    <row r="861">
      <c r="A861" s="54"/>
      <c r="B861" s="88" t="str">
        <f>IFERROR(HYPERLINK(VLOOKUP(A861,Internal_lists_bugs!$A$2:$C$73,3,FALSE()), VLOOKUP(A861,Internal_lists_bugs!$A$2:$C$73,3,FALSE())&amp;Char(10) &amp; Char(10) &amp; VLOOKUP(A861,Internal_lists_bugs!$A$2:$Z$73,26,FALSE())),"please select a BUG ID")</f>
        <v>please select a BUG ID</v>
      </c>
      <c r="C861" s="51" t="str">
        <f>IFERROR(Hyperlink(VLOOKUP(A861,Internal_lists_bugs!$A$2:$G1061,7,FALSE()),"BIC: "&amp;VLOOKUP(A861,Internal_lists_bugs!$A$2:$G1061,7,FALSE())&amp;CHAR(10)&amp;"Intro.Issues: "&amp;VLOOKUP(A861,Internal_lists_bugs!$A$2:$P1061,16,FALSE())),"please select a BUG ID")</f>
        <v>please select a BUG ID</v>
      </c>
      <c r="D861" s="105"/>
      <c r="E861" s="54"/>
      <c r="F861" s="82"/>
      <c r="G861" s="92"/>
      <c r="H861" s="54"/>
      <c r="I861" s="1"/>
    </row>
    <row r="862">
      <c r="A862" s="54"/>
      <c r="B862" s="88" t="str">
        <f>IFERROR(HYPERLINK(VLOOKUP(A862,Internal_lists_bugs!$A$2:$C$73,3,FALSE()), VLOOKUP(A862,Internal_lists_bugs!$A$2:$C$73,3,FALSE())&amp;Char(10) &amp; Char(10) &amp; VLOOKUP(A862,Internal_lists_bugs!$A$2:$Z$73,26,FALSE())),"please select a BUG ID")</f>
        <v>please select a BUG ID</v>
      </c>
      <c r="C862" s="51" t="str">
        <f>IFERROR(Hyperlink(VLOOKUP(A862,Internal_lists_bugs!$A$2:$G1061,7,FALSE()),"BIC: "&amp;VLOOKUP(A862,Internal_lists_bugs!$A$2:$G1061,7,FALSE())&amp;CHAR(10)&amp;"Intro.Issues: "&amp;VLOOKUP(A862,Internal_lists_bugs!$A$2:$P1061,16,FALSE())),"please select a BUG ID")</f>
        <v>please select a BUG ID</v>
      </c>
      <c r="D862" s="105"/>
      <c r="E862" s="54"/>
      <c r="F862" s="82"/>
      <c r="G862" s="92"/>
      <c r="H862" s="54"/>
      <c r="I862" s="1"/>
    </row>
    <row r="863">
      <c r="A863" s="54"/>
      <c r="B863" s="88" t="str">
        <f>IFERROR(HYPERLINK(VLOOKUP(A863,Internal_lists_bugs!$A$2:$C$73,3,FALSE()), VLOOKUP(A863,Internal_lists_bugs!$A$2:$C$73,3,FALSE())&amp;Char(10) &amp; Char(10) &amp; VLOOKUP(A863,Internal_lists_bugs!$A$2:$Z$73,26,FALSE())),"please select a BUG ID")</f>
        <v>please select a BUG ID</v>
      </c>
      <c r="C863" s="51" t="str">
        <f>IFERROR(Hyperlink(VLOOKUP(A863,Internal_lists_bugs!$A$2:$G1061,7,FALSE()),"BIC: "&amp;VLOOKUP(A863,Internal_lists_bugs!$A$2:$G1061,7,FALSE())&amp;CHAR(10)&amp;"Intro.Issues: "&amp;VLOOKUP(A863,Internal_lists_bugs!$A$2:$P1061,16,FALSE())),"please select a BUG ID")</f>
        <v>please select a BUG ID</v>
      </c>
      <c r="D863" s="105"/>
      <c r="E863" s="54"/>
      <c r="F863" s="82"/>
      <c r="G863" s="92"/>
      <c r="H863" s="54"/>
      <c r="I863" s="1"/>
    </row>
    <row r="864">
      <c r="A864" s="54"/>
      <c r="B864" s="88" t="str">
        <f>IFERROR(HYPERLINK(VLOOKUP(A864,Internal_lists_bugs!$A$2:$C$73,3,FALSE()), VLOOKUP(A864,Internal_lists_bugs!$A$2:$C$73,3,FALSE())&amp;Char(10) &amp; Char(10) &amp; VLOOKUP(A864,Internal_lists_bugs!$A$2:$Z$73,26,FALSE())),"please select a BUG ID")</f>
        <v>please select a BUG ID</v>
      </c>
      <c r="C864" s="51" t="str">
        <f>IFERROR(Hyperlink(VLOOKUP(A864,Internal_lists_bugs!$A$2:$G1061,7,FALSE()),"BIC: "&amp;VLOOKUP(A864,Internal_lists_bugs!$A$2:$G1061,7,FALSE())&amp;CHAR(10)&amp;"Intro.Issues: "&amp;VLOOKUP(A864,Internal_lists_bugs!$A$2:$P1061,16,FALSE())),"please select a BUG ID")</f>
        <v>please select a BUG ID</v>
      </c>
      <c r="D864" s="105"/>
      <c r="E864" s="54"/>
      <c r="F864" s="82"/>
      <c r="G864" s="92"/>
      <c r="H864" s="54"/>
      <c r="I864" s="1"/>
    </row>
    <row r="865">
      <c r="A865" s="54"/>
      <c r="B865" s="88" t="str">
        <f>IFERROR(HYPERLINK(VLOOKUP(A865,Internal_lists_bugs!$A$2:$C$73,3,FALSE()), VLOOKUP(A865,Internal_lists_bugs!$A$2:$C$73,3,FALSE())&amp;Char(10) &amp; Char(10) &amp; VLOOKUP(A865,Internal_lists_bugs!$A$2:$Z$73,26,FALSE())),"please select a BUG ID")</f>
        <v>please select a BUG ID</v>
      </c>
      <c r="C865" s="51" t="str">
        <f>IFERROR(Hyperlink(VLOOKUP(A865,Internal_lists_bugs!$A$2:$G1061,7,FALSE()),"BIC: "&amp;VLOOKUP(A865,Internal_lists_bugs!$A$2:$G1061,7,FALSE())&amp;CHAR(10)&amp;"Intro.Issues: "&amp;VLOOKUP(A865,Internal_lists_bugs!$A$2:$P1061,16,FALSE())),"please select a BUG ID")</f>
        <v>please select a BUG ID</v>
      </c>
      <c r="D865" s="105"/>
      <c r="E865" s="54"/>
      <c r="F865" s="82"/>
      <c r="G865" s="92"/>
      <c r="H865" s="54"/>
      <c r="I865" s="1"/>
    </row>
    <row r="866">
      <c r="A866" s="54"/>
      <c r="B866" s="88" t="str">
        <f>IFERROR(HYPERLINK(VLOOKUP(A866,Internal_lists_bugs!$A$2:$C$73,3,FALSE()), VLOOKUP(A866,Internal_lists_bugs!$A$2:$C$73,3,FALSE())&amp;Char(10) &amp; Char(10) &amp; VLOOKUP(A866,Internal_lists_bugs!$A$2:$Z$73,26,FALSE())),"please select a BUG ID")</f>
        <v>please select a BUG ID</v>
      </c>
      <c r="C866" s="51" t="str">
        <f>IFERROR(Hyperlink(VLOOKUP(A866,Internal_lists_bugs!$A$2:$G1061,7,FALSE()),"BIC: "&amp;VLOOKUP(A866,Internal_lists_bugs!$A$2:$G1061,7,FALSE())&amp;CHAR(10)&amp;"Intro.Issues: "&amp;VLOOKUP(A866,Internal_lists_bugs!$A$2:$P1061,16,FALSE())),"please select a BUG ID")</f>
        <v>please select a BUG ID</v>
      </c>
      <c r="D866" s="105"/>
      <c r="E866" s="54"/>
      <c r="F866" s="82"/>
      <c r="G866" s="92"/>
      <c r="H866" s="54"/>
      <c r="I866" s="1"/>
    </row>
    <row r="867">
      <c r="A867" s="54"/>
      <c r="B867" s="88" t="str">
        <f>IFERROR(HYPERLINK(VLOOKUP(A867,Internal_lists_bugs!$A$2:$C$73,3,FALSE()), VLOOKUP(A867,Internal_lists_bugs!$A$2:$C$73,3,FALSE())&amp;Char(10) &amp; Char(10) &amp; VLOOKUP(A867,Internal_lists_bugs!$A$2:$Z$73,26,FALSE())),"please select a BUG ID")</f>
        <v>please select a BUG ID</v>
      </c>
      <c r="C867" s="51" t="str">
        <f>IFERROR(Hyperlink(VLOOKUP(A867,Internal_lists_bugs!$A$2:$G1061,7,FALSE()),"BIC: "&amp;VLOOKUP(A867,Internal_lists_bugs!$A$2:$G1061,7,FALSE())&amp;CHAR(10)&amp;"Intro.Issues: "&amp;VLOOKUP(A867,Internal_lists_bugs!$A$2:$P1061,16,FALSE())),"please select a BUG ID")</f>
        <v>please select a BUG ID</v>
      </c>
      <c r="D867" s="105"/>
      <c r="E867" s="54"/>
      <c r="F867" s="82"/>
      <c r="G867" s="92"/>
      <c r="H867" s="54"/>
      <c r="I867" s="1"/>
    </row>
    <row r="868">
      <c r="A868" s="54"/>
      <c r="B868" s="88" t="str">
        <f>IFERROR(HYPERLINK(VLOOKUP(A868,Internal_lists_bugs!$A$2:$C$73,3,FALSE()), VLOOKUP(A868,Internal_lists_bugs!$A$2:$C$73,3,FALSE())&amp;Char(10) &amp; Char(10) &amp; VLOOKUP(A868,Internal_lists_bugs!$A$2:$Z$73,26,FALSE())),"please select a BUG ID")</f>
        <v>please select a BUG ID</v>
      </c>
      <c r="C868" s="51" t="str">
        <f>IFERROR(Hyperlink(VLOOKUP(A868,Internal_lists_bugs!$A$2:$G1061,7,FALSE()),"BIC: "&amp;VLOOKUP(A868,Internal_lists_bugs!$A$2:$G1061,7,FALSE())&amp;CHAR(10)&amp;"Intro.Issues: "&amp;VLOOKUP(A868,Internal_lists_bugs!$A$2:$P1061,16,FALSE())),"please select a BUG ID")</f>
        <v>please select a BUG ID</v>
      </c>
      <c r="D868" s="105"/>
      <c r="E868" s="54"/>
      <c r="F868" s="82"/>
      <c r="G868" s="92"/>
      <c r="H868" s="54"/>
      <c r="I868" s="1"/>
    </row>
    <row r="869">
      <c r="A869" s="54"/>
      <c r="B869" s="88" t="str">
        <f>IFERROR(HYPERLINK(VLOOKUP(A869,Internal_lists_bugs!$A$2:$C$73,3,FALSE()), VLOOKUP(A869,Internal_lists_bugs!$A$2:$C$73,3,FALSE())&amp;Char(10) &amp; Char(10) &amp; VLOOKUP(A869,Internal_lists_bugs!$A$2:$Z$73,26,FALSE())),"please select a BUG ID")</f>
        <v>please select a BUG ID</v>
      </c>
      <c r="C869" s="51" t="str">
        <f>IFERROR(Hyperlink(VLOOKUP(A869,Internal_lists_bugs!$A$2:$G1061,7,FALSE()),"BIC: "&amp;VLOOKUP(A869,Internal_lists_bugs!$A$2:$G1061,7,FALSE())&amp;CHAR(10)&amp;"Intro.Issues: "&amp;VLOOKUP(A869,Internal_lists_bugs!$A$2:$P1061,16,FALSE())),"please select a BUG ID")</f>
        <v>please select a BUG ID</v>
      </c>
      <c r="D869" s="105"/>
      <c r="E869" s="54"/>
      <c r="F869" s="82"/>
      <c r="G869" s="92"/>
      <c r="H869" s="54"/>
      <c r="I869" s="1"/>
    </row>
    <row r="870">
      <c r="A870" s="54"/>
      <c r="B870" s="88" t="str">
        <f>IFERROR(HYPERLINK(VLOOKUP(A870,Internal_lists_bugs!$A$2:$C$73,3,FALSE()), VLOOKUP(A870,Internal_lists_bugs!$A$2:$C$73,3,FALSE())&amp;Char(10) &amp; Char(10) &amp; VLOOKUP(A870,Internal_lists_bugs!$A$2:$Z$73,26,FALSE())),"please select a BUG ID")</f>
        <v>please select a BUG ID</v>
      </c>
      <c r="C870" s="51" t="str">
        <f>IFERROR(Hyperlink(VLOOKUP(A870,Internal_lists_bugs!$A$2:$G1061,7,FALSE()),"BIC: "&amp;VLOOKUP(A870,Internal_lists_bugs!$A$2:$G1061,7,FALSE())&amp;CHAR(10)&amp;"Intro.Issues: "&amp;VLOOKUP(A870,Internal_lists_bugs!$A$2:$P1061,16,FALSE())),"please select a BUG ID")</f>
        <v>please select a BUG ID</v>
      </c>
      <c r="D870" s="105"/>
      <c r="E870" s="54"/>
      <c r="F870" s="82"/>
      <c r="G870" s="92"/>
      <c r="H870" s="54"/>
      <c r="I870" s="1"/>
    </row>
    <row r="871">
      <c r="A871" s="54"/>
      <c r="B871" s="88" t="str">
        <f>IFERROR(HYPERLINK(VLOOKUP(A871,Internal_lists_bugs!$A$2:$C$73,3,FALSE()), VLOOKUP(A871,Internal_lists_bugs!$A$2:$C$73,3,FALSE())&amp;Char(10) &amp; Char(10) &amp; VLOOKUP(A871,Internal_lists_bugs!$A$2:$Z$73,26,FALSE())),"please select a BUG ID")</f>
        <v>please select a BUG ID</v>
      </c>
      <c r="C871" s="51" t="str">
        <f>IFERROR(Hyperlink(VLOOKUP(A871,Internal_lists_bugs!$A$2:$G1061,7,FALSE()),"BIC: "&amp;VLOOKUP(A871,Internal_lists_bugs!$A$2:$G1061,7,FALSE())&amp;CHAR(10)&amp;"Intro.Issues: "&amp;VLOOKUP(A871,Internal_lists_bugs!$A$2:$P1061,16,FALSE())),"please select a BUG ID")</f>
        <v>please select a BUG ID</v>
      </c>
      <c r="D871" s="105"/>
      <c r="E871" s="54"/>
      <c r="F871" s="82"/>
      <c r="G871" s="92"/>
      <c r="H871" s="54"/>
      <c r="I871" s="1"/>
    </row>
    <row r="872">
      <c r="A872" s="54"/>
      <c r="B872" s="88" t="str">
        <f>IFERROR(HYPERLINK(VLOOKUP(A872,Internal_lists_bugs!$A$2:$C$73,3,FALSE()), VLOOKUP(A872,Internal_lists_bugs!$A$2:$C$73,3,FALSE())&amp;Char(10) &amp; Char(10) &amp; VLOOKUP(A872,Internal_lists_bugs!$A$2:$Z$73,26,FALSE())),"please select a BUG ID")</f>
        <v>please select a BUG ID</v>
      </c>
      <c r="C872" s="51" t="str">
        <f>IFERROR(Hyperlink(VLOOKUP(A872,Internal_lists_bugs!$A$2:$G1061,7,FALSE()),"BIC: "&amp;VLOOKUP(A872,Internal_lists_bugs!$A$2:$G1061,7,FALSE())&amp;CHAR(10)&amp;"Intro.Issues: "&amp;VLOOKUP(A872,Internal_lists_bugs!$A$2:$P1061,16,FALSE())),"please select a BUG ID")</f>
        <v>please select a BUG ID</v>
      </c>
      <c r="D872" s="105"/>
      <c r="E872" s="54"/>
      <c r="F872" s="82"/>
      <c r="G872" s="92"/>
      <c r="H872" s="54"/>
      <c r="I872" s="1"/>
    </row>
    <row r="873">
      <c r="A873" s="54"/>
      <c r="B873" s="88" t="str">
        <f>IFERROR(HYPERLINK(VLOOKUP(A873,Internal_lists_bugs!$A$2:$C$73,3,FALSE()), VLOOKUP(A873,Internal_lists_bugs!$A$2:$C$73,3,FALSE())&amp;Char(10) &amp; Char(10) &amp; VLOOKUP(A873,Internal_lists_bugs!$A$2:$Z$73,26,FALSE())),"please select a BUG ID")</f>
        <v>please select a BUG ID</v>
      </c>
      <c r="C873" s="51" t="str">
        <f>IFERROR(Hyperlink(VLOOKUP(A873,Internal_lists_bugs!$A$2:$G1061,7,FALSE()),"BIC: "&amp;VLOOKUP(A873,Internal_lists_bugs!$A$2:$G1061,7,FALSE())&amp;CHAR(10)&amp;"Intro.Issues: "&amp;VLOOKUP(A873,Internal_lists_bugs!$A$2:$P1061,16,FALSE())),"please select a BUG ID")</f>
        <v>please select a BUG ID</v>
      </c>
      <c r="D873" s="105"/>
      <c r="E873" s="54"/>
      <c r="F873" s="82"/>
      <c r="G873" s="92"/>
      <c r="H873" s="54"/>
      <c r="I873" s="1"/>
    </row>
    <row r="874">
      <c r="A874" s="54"/>
      <c r="B874" s="88" t="str">
        <f>IFERROR(HYPERLINK(VLOOKUP(A874,Internal_lists_bugs!$A$2:$C$73,3,FALSE()), VLOOKUP(A874,Internal_lists_bugs!$A$2:$C$73,3,FALSE())&amp;Char(10) &amp; Char(10) &amp; VLOOKUP(A874,Internal_lists_bugs!$A$2:$Z$73,26,FALSE())),"please select a BUG ID")</f>
        <v>please select a BUG ID</v>
      </c>
      <c r="C874" s="51" t="str">
        <f>IFERROR(Hyperlink(VLOOKUP(A874,Internal_lists_bugs!$A$2:$G1061,7,FALSE()),"BIC: "&amp;VLOOKUP(A874,Internal_lists_bugs!$A$2:$G1061,7,FALSE())&amp;CHAR(10)&amp;"Intro.Issues: "&amp;VLOOKUP(A874,Internal_lists_bugs!$A$2:$P1061,16,FALSE())),"please select a BUG ID")</f>
        <v>please select a BUG ID</v>
      </c>
      <c r="D874" s="105"/>
      <c r="E874" s="54"/>
      <c r="F874" s="82"/>
      <c r="G874" s="92"/>
      <c r="H874" s="54"/>
      <c r="I874" s="1"/>
    </row>
    <row r="875">
      <c r="A875" s="54"/>
      <c r="B875" s="88" t="str">
        <f>IFERROR(HYPERLINK(VLOOKUP(A875,Internal_lists_bugs!$A$2:$C$73,3,FALSE()), VLOOKUP(A875,Internal_lists_bugs!$A$2:$C$73,3,FALSE())&amp;Char(10) &amp; Char(10) &amp; VLOOKUP(A875,Internal_lists_bugs!$A$2:$Z$73,26,FALSE())),"please select a BUG ID")</f>
        <v>please select a BUG ID</v>
      </c>
      <c r="C875" s="51" t="str">
        <f>IFERROR(Hyperlink(VLOOKUP(A875,Internal_lists_bugs!$A$2:$G1061,7,FALSE()),"BIC: "&amp;VLOOKUP(A875,Internal_lists_bugs!$A$2:$G1061,7,FALSE())&amp;CHAR(10)&amp;"Intro.Issues: "&amp;VLOOKUP(A875,Internal_lists_bugs!$A$2:$P1061,16,FALSE())),"please select a BUG ID")</f>
        <v>please select a BUG ID</v>
      </c>
      <c r="D875" s="105"/>
      <c r="E875" s="54"/>
      <c r="F875" s="82"/>
      <c r="G875" s="92"/>
      <c r="H875" s="54"/>
      <c r="I875" s="1"/>
    </row>
    <row r="876">
      <c r="A876" s="54"/>
      <c r="B876" s="88" t="str">
        <f>IFERROR(HYPERLINK(VLOOKUP(A876,Internal_lists_bugs!$A$2:$C$73,3,FALSE()), VLOOKUP(A876,Internal_lists_bugs!$A$2:$C$73,3,FALSE())&amp;Char(10) &amp; Char(10) &amp; VLOOKUP(A876,Internal_lists_bugs!$A$2:$Z$73,26,FALSE())),"please select a BUG ID")</f>
        <v>please select a BUG ID</v>
      </c>
      <c r="C876" s="51" t="str">
        <f>IFERROR(Hyperlink(VLOOKUP(A876,Internal_lists_bugs!$A$2:$G1061,7,FALSE()),"BIC: "&amp;VLOOKUP(A876,Internal_lists_bugs!$A$2:$G1061,7,FALSE())&amp;CHAR(10)&amp;"Intro.Issues: "&amp;VLOOKUP(A876,Internal_lists_bugs!$A$2:$P1061,16,FALSE())),"please select a BUG ID")</f>
        <v>please select a BUG ID</v>
      </c>
      <c r="D876" s="105"/>
      <c r="E876" s="54"/>
      <c r="F876" s="82"/>
      <c r="G876" s="92"/>
      <c r="H876" s="54"/>
      <c r="I876" s="1"/>
    </row>
    <row r="877">
      <c r="A877" s="54"/>
      <c r="B877" s="88" t="str">
        <f>IFERROR(HYPERLINK(VLOOKUP(A877,Internal_lists_bugs!$A$2:$C$73,3,FALSE()), VLOOKUP(A877,Internal_lists_bugs!$A$2:$C$73,3,FALSE())&amp;Char(10) &amp; Char(10) &amp; VLOOKUP(A877,Internal_lists_bugs!$A$2:$Z$73,26,FALSE())),"please select a BUG ID")</f>
        <v>please select a BUG ID</v>
      </c>
      <c r="C877" s="51" t="str">
        <f>IFERROR(Hyperlink(VLOOKUP(A877,Internal_lists_bugs!$A$2:$G1061,7,FALSE()),"BIC: "&amp;VLOOKUP(A877,Internal_lists_bugs!$A$2:$G1061,7,FALSE())&amp;CHAR(10)&amp;"Intro.Issues: "&amp;VLOOKUP(A877,Internal_lists_bugs!$A$2:$P1061,16,FALSE())),"please select a BUG ID")</f>
        <v>please select a BUG ID</v>
      </c>
      <c r="D877" s="105"/>
      <c r="E877" s="54"/>
      <c r="F877" s="82"/>
      <c r="G877" s="92"/>
      <c r="H877" s="54"/>
      <c r="I877" s="1"/>
    </row>
    <row r="878">
      <c r="A878" s="54"/>
      <c r="B878" s="88" t="str">
        <f>IFERROR(HYPERLINK(VLOOKUP(A878,Internal_lists_bugs!$A$2:$C$73,3,FALSE()), VLOOKUP(A878,Internal_lists_bugs!$A$2:$C$73,3,FALSE())&amp;Char(10) &amp; Char(10) &amp; VLOOKUP(A878,Internal_lists_bugs!$A$2:$Z$73,26,FALSE())),"please select a BUG ID")</f>
        <v>please select a BUG ID</v>
      </c>
      <c r="C878" s="51" t="str">
        <f>IFERROR(Hyperlink(VLOOKUP(A878,Internal_lists_bugs!$A$2:$G1061,7,FALSE()),"BIC: "&amp;VLOOKUP(A878,Internal_lists_bugs!$A$2:$G1061,7,FALSE())&amp;CHAR(10)&amp;"Intro.Issues: "&amp;VLOOKUP(A878,Internal_lists_bugs!$A$2:$P1061,16,FALSE())),"please select a BUG ID")</f>
        <v>please select a BUG ID</v>
      </c>
      <c r="D878" s="105"/>
      <c r="E878" s="54"/>
      <c r="F878" s="82"/>
      <c r="G878" s="92"/>
      <c r="H878" s="54"/>
      <c r="I878" s="1"/>
    </row>
    <row r="879">
      <c r="A879" s="54"/>
      <c r="B879" s="88" t="str">
        <f>IFERROR(HYPERLINK(VLOOKUP(A879,Internal_lists_bugs!$A$2:$C$73,3,FALSE()), VLOOKUP(A879,Internal_lists_bugs!$A$2:$C$73,3,FALSE())&amp;Char(10) &amp; Char(10) &amp; VLOOKUP(A879,Internal_lists_bugs!$A$2:$Z$73,26,FALSE())),"please select a BUG ID")</f>
        <v>please select a BUG ID</v>
      </c>
      <c r="C879" s="51" t="str">
        <f>IFERROR(Hyperlink(VLOOKUP(A879,Internal_lists_bugs!$A$2:$G1061,7,FALSE()),"BIC: "&amp;VLOOKUP(A879,Internal_lists_bugs!$A$2:$G1061,7,FALSE())&amp;CHAR(10)&amp;"Intro.Issues: "&amp;VLOOKUP(A879,Internal_lists_bugs!$A$2:$P1061,16,FALSE())),"please select a BUG ID")</f>
        <v>please select a BUG ID</v>
      </c>
      <c r="D879" s="105"/>
      <c r="E879" s="54"/>
      <c r="F879" s="82"/>
      <c r="G879" s="92"/>
      <c r="H879" s="54"/>
      <c r="I879" s="1"/>
    </row>
    <row r="880">
      <c r="A880" s="54"/>
      <c r="B880" s="88" t="str">
        <f>IFERROR(HYPERLINK(VLOOKUP(A880,Internal_lists_bugs!$A$2:$C$73,3,FALSE()), VLOOKUP(A880,Internal_lists_bugs!$A$2:$C$73,3,FALSE())&amp;Char(10) &amp; Char(10) &amp; VLOOKUP(A880,Internal_lists_bugs!$A$2:$Z$73,26,FALSE())),"please select a BUG ID")</f>
        <v>please select a BUG ID</v>
      </c>
      <c r="C880" s="51" t="str">
        <f>IFERROR(Hyperlink(VLOOKUP(A880,Internal_lists_bugs!$A$2:$G1061,7,FALSE()),"BIC: "&amp;VLOOKUP(A880,Internal_lists_bugs!$A$2:$G1061,7,FALSE())&amp;CHAR(10)&amp;"Intro.Issues: "&amp;VLOOKUP(A880,Internal_lists_bugs!$A$2:$P1061,16,FALSE())),"please select a BUG ID")</f>
        <v>please select a BUG ID</v>
      </c>
      <c r="D880" s="105"/>
      <c r="E880" s="54"/>
      <c r="F880" s="82"/>
      <c r="G880" s="92"/>
      <c r="H880" s="54"/>
      <c r="I880" s="1"/>
    </row>
    <row r="881">
      <c r="A881" s="54"/>
      <c r="B881" s="88" t="str">
        <f>IFERROR(HYPERLINK(VLOOKUP(A881,Internal_lists_bugs!$A$2:$C$73,3,FALSE()), VLOOKUP(A881,Internal_lists_bugs!$A$2:$C$73,3,FALSE())&amp;Char(10) &amp; Char(10) &amp; VLOOKUP(A881,Internal_lists_bugs!$A$2:$Z$73,26,FALSE())),"please select a BUG ID")</f>
        <v>please select a BUG ID</v>
      </c>
      <c r="C881" s="51" t="str">
        <f>IFERROR(Hyperlink(VLOOKUP(A881,Internal_lists_bugs!$A$2:$G1061,7,FALSE()),"BIC: "&amp;VLOOKUP(A881,Internal_lists_bugs!$A$2:$G1061,7,FALSE())&amp;CHAR(10)&amp;"Intro.Issues: "&amp;VLOOKUP(A881,Internal_lists_bugs!$A$2:$P1061,16,FALSE())),"please select a BUG ID")</f>
        <v>please select a BUG ID</v>
      </c>
      <c r="D881" s="105"/>
      <c r="E881" s="54"/>
      <c r="F881" s="82"/>
      <c r="G881" s="92"/>
      <c r="H881" s="54"/>
      <c r="I881" s="1"/>
    </row>
    <row r="882">
      <c r="A882" s="54"/>
      <c r="B882" s="88" t="str">
        <f>IFERROR(HYPERLINK(VLOOKUP(A882,Internal_lists_bugs!$A$2:$C$73,3,FALSE()), VLOOKUP(A882,Internal_lists_bugs!$A$2:$C$73,3,FALSE())&amp;Char(10) &amp; Char(10) &amp; VLOOKUP(A882,Internal_lists_bugs!$A$2:$Z$73,26,FALSE())),"please select a BUG ID")</f>
        <v>please select a BUG ID</v>
      </c>
      <c r="C882" s="51" t="str">
        <f>IFERROR(Hyperlink(VLOOKUP(A882,Internal_lists_bugs!$A$2:$G1061,7,FALSE()),"BIC: "&amp;VLOOKUP(A882,Internal_lists_bugs!$A$2:$G1061,7,FALSE())&amp;CHAR(10)&amp;"Intro.Issues: "&amp;VLOOKUP(A882,Internal_lists_bugs!$A$2:$P1061,16,FALSE())),"please select a BUG ID")</f>
        <v>please select a BUG ID</v>
      </c>
      <c r="D882" s="105"/>
      <c r="E882" s="54"/>
      <c r="F882" s="82"/>
      <c r="G882" s="92"/>
      <c r="H882" s="54"/>
      <c r="I882" s="1"/>
    </row>
    <row r="883">
      <c r="A883" s="54"/>
      <c r="B883" s="88" t="str">
        <f>IFERROR(HYPERLINK(VLOOKUP(A883,Internal_lists_bugs!$A$2:$C$73,3,FALSE()), VLOOKUP(A883,Internal_lists_bugs!$A$2:$C$73,3,FALSE())&amp;Char(10) &amp; Char(10) &amp; VLOOKUP(A883,Internal_lists_bugs!$A$2:$Z$73,26,FALSE())),"please select a BUG ID")</f>
        <v>please select a BUG ID</v>
      </c>
      <c r="C883" s="51" t="str">
        <f>IFERROR(Hyperlink(VLOOKUP(A883,Internal_lists_bugs!$A$2:$G1061,7,FALSE()),"BIC: "&amp;VLOOKUP(A883,Internal_lists_bugs!$A$2:$G1061,7,FALSE())&amp;CHAR(10)&amp;"Intro.Issues: "&amp;VLOOKUP(A883,Internal_lists_bugs!$A$2:$P1061,16,FALSE())),"please select a BUG ID")</f>
        <v>please select a BUG ID</v>
      </c>
      <c r="D883" s="105"/>
      <c r="E883" s="54"/>
      <c r="F883" s="82"/>
      <c r="G883" s="92"/>
      <c r="H883" s="54"/>
      <c r="I883" s="1"/>
    </row>
    <row r="884">
      <c r="A884" s="54"/>
      <c r="B884" s="88" t="str">
        <f>IFERROR(HYPERLINK(VLOOKUP(A884,Internal_lists_bugs!$A$2:$C$73,3,FALSE()), VLOOKUP(A884,Internal_lists_bugs!$A$2:$C$73,3,FALSE())&amp;Char(10) &amp; Char(10) &amp; VLOOKUP(A884,Internal_lists_bugs!$A$2:$Z$73,26,FALSE())),"please select a BUG ID")</f>
        <v>please select a BUG ID</v>
      </c>
      <c r="C884" s="51" t="str">
        <f>IFERROR(Hyperlink(VLOOKUP(A884,Internal_lists_bugs!$A$2:$G1061,7,FALSE()),"BIC: "&amp;VLOOKUP(A884,Internal_lists_bugs!$A$2:$G1061,7,FALSE())&amp;CHAR(10)&amp;"Intro.Issues: "&amp;VLOOKUP(A884,Internal_lists_bugs!$A$2:$P1061,16,FALSE())),"please select a BUG ID")</f>
        <v>please select a BUG ID</v>
      </c>
      <c r="D884" s="105"/>
      <c r="E884" s="54"/>
      <c r="F884" s="82"/>
      <c r="G884" s="92"/>
      <c r="H884" s="54"/>
      <c r="I884" s="1"/>
    </row>
    <row r="885">
      <c r="A885" s="54"/>
      <c r="B885" s="88" t="str">
        <f>IFERROR(HYPERLINK(VLOOKUP(A885,Internal_lists_bugs!$A$2:$C$73,3,FALSE()), VLOOKUP(A885,Internal_lists_bugs!$A$2:$C$73,3,FALSE())&amp;Char(10) &amp; Char(10) &amp; VLOOKUP(A885,Internal_lists_bugs!$A$2:$Z$73,26,FALSE())),"please select a BUG ID")</f>
        <v>please select a BUG ID</v>
      </c>
      <c r="C885" s="51" t="str">
        <f>IFERROR(Hyperlink(VLOOKUP(A885,Internal_lists_bugs!$A$2:$G1061,7,FALSE()),"BIC: "&amp;VLOOKUP(A885,Internal_lists_bugs!$A$2:$G1061,7,FALSE())&amp;CHAR(10)&amp;"Intro.Issues: "&amp;VLOOKUP(A885,Internal_lists_bugs!$A$2:$P1061,16,FALSE())),"please select a BUG ID")</f>
        <v>please select a BUG ID</v>
      </c>
      <c r="D885" s="105"/>
      <c r="E885" s="54"/>
      <c r="F885" s="82"/>
      <c r="G885" s="92"/>
      <c r="H885" s="54"/>
      <c r="I885" s="1"/>
    </row>
    <row r="886">
      <c r="A886" s="54"/>
      <c r="B886" s="88" t="str">
        <f>IFERROR(HYPERLINK(VLOOKUP(A886,Internal_lists_bugs!$A$2:$C$73,3,FALSE()), VLOOKUP(A886,Internal_lists_bugs!$A$2:$C$73,3,FALSE())&amp;Char(10) &amp; Char(10) &amp; VLOOKUP(A886,Internal_lists_bugs!$A$2:$Z$73,26,FALSE())),"please select a BUG ID")</f>
        <v>please select a BUG ID</v>
      </c>
      <c r="C886" s="51" t="str">
        <f>IFERROR(Hyperlink(VLOOKUP(A886,Internal_lists_bugs!$A$2:$G1061,7,FALSE()),"BIC: "&amp;VLOOKUP(A886,Internal_lists_bugs!$A$2:$G1061,7,FALSE())&amp;CHAR(10)&amp;"Intro.Issues: "&amp;VLOOKUP(A886,Internal_lists_bugs!$A$2:$P1061,16,FALSE())),"please select a BUG ID")</f>
        <v>please select a BUG ID</v>
      </c>
      <c r="D886" s="105"/>
      <c r="E886" s="54"/>
      <c r="F886" s="82"/>
      <c r="G886" s="92"/>
      <c r="H886" s="54"/>
      <c r="I886" s="1"/>
    </row>
    <row r="887">
      <c r="A887" s="54"/>
      <c r="B887" s="88" t="str">
        <f>IFERROR(HYPERLINK(VLOOKUP(A887,Internal_lists_bugs!$A$2:$C$73,3,FALSE()), VLOOKUP(A887,Internal_lists_bugs!$A$2:$C$73,3,FALSE())&amp;Char(10) &amp; Char(10) &amp; VLOOKUP(A887,Internal_lists_bugs!$A$2:$Z$73,26,FALSE())),"please select a BUG ID")</f>
        <v>please select a BUG ID</v>
      </c>
      <c r="C887" s="51" t="str">
        <f>IFERROR(Hyperlink(VLOOKUP(A887,Internal_lists_bugs!$A$2:$G1061,7,FALSE()),"BIC: "&amp;VLOOKUP(A887,Internal_lists_bugs!$A$2:$G1061,7,FALSE())&amp;CHAR(10)&amp;"Intro.Issues: "&amp;VLOOKUP(A887,Internal_lists_bugs!$A$2:$P1061,16,FALSE())),"please select a BUG ID")</f>
        <v>please select a BUG ID</v>
      </c>
      <c r="D887" s="105"/>
      <c r="E887" s="54"/>
      <c r="F887" s="82"/>
      <c r="G887" s="92"/>
      <c r="H887" s="54"/>
      <c r="I887" s="1"/>
    </row>
    <row r="888">
      <c r="A888" s="54"/>
      <c r="B888" s="88" t="str">
        <f>IFERROR(HYPERLINK(VLOOKUP(A888,Internal_lists_bugs!$A$2:$C$73,3,FALSE()), VLOOKUP(A888,Internal_lists_bugs!$A$2:$C$73,3,FALSE())&amp;Char(10) &amp; Char(10) &amp; VLOOKUP(A888,Internal_lists_bugs!$A$2:$Z$73,26,FALSE())),"please select a BUG ID")</f>
        <v>please select a BUG ID</v>
      </c>
      <c r="C888" s="51" t="str">
        <f>IFERROR(Hyperlink(VLOOKUP(A888,Internal_lists_bugs!$A$2:$G1061,7,FALSE()),"BIC: "&amp;VLOOKUP(A888,Internal_lists_bugs!$A$2:$G1061,7,FALSE())&amp;CHAR(10)&amp;"Intro.Issues: "&amp;VLOOKUP(A888,Internal_lists_bugs!$A$2:$P1061,16,FALSE())),"please select a BUG ID")</f>
        <v>please select a BUG ID</v>
      </c>
      <c r="D888" s="105"/>
      <c r="E888" s="54"/>
      <c r="F888" s="82"/>
      <c r="G888" s="92"/>
      <c r="H888" s="54"/>
      <c r="I888" s="1"/>
    </row>
    <row r="889">
      <c r="A889" s="54"/>
      <c r="B889" s="88" t="str">
        <f>IFERROR(HYPERLINK(VLOOKUP(A889,Internal_lists_bugs!$A$2:$C$73,3,FALSE()), VLOOKUP(A889,Internal_lists_bugs!$A$2:$C$73,3,FALSE())&amp;Char(10) &amp; Char(10) &amp; VLOOKUP(A889,Internal_lists_bugs!$A$2:$Z$73,26,FALSE())),"please select a BUG ID")</f>
        <v>please select a BUG ID</v>
      </c>
      <c r="C889" s="51" t="str">
        <f>IFERROR(Hyperlink(VLOOKUP(A889,Internal_lists_bugs!$A$2:$G1061,7,FALSE()),"BIC: "&amp;VLOOKUP(A889,Internal_lists_bugs!$A$2:$G1061,7,FALSE())&amp;CHAR(10)&amp;"Intro.Issues: "&amp;VLOOKUP(A889,Internal_lists_bugs!$A$2:$P1061,16,FALSE())),"please select a BUG ID")</f>
        <v>please select a BUG ID</v>
      </c>
      <c r="D889" s="105"/>
      <c r="E889" s="54"/>
      <c r="F889" s="82"/>
      <c r="G889" s="92"/>
      <c r="H889" s="54"/>
      <c r="I889" s="1"/>
    </row>
    <row r="890">
      <c r="A890" s="54"/>
      <c r="B890" s="88" t="str">
        <f>IFERROR(HYPERLINK(VLOOKUP(A890,Internal_lists_bugs!$A$2:$C$73,3,FALSE()), VLOOKUP(A890,Internal_lists_bugs!$A$2:$C$73,3,FALSE())&amp;Char(10) &amp; Char(10) &amp; VLOOKUP(A890,Internal_lists_bugs!$A$2:$Z$73,26,FALSE())),"please select a BUG ID")</f>
        <v>please select a BUG ID</v>
      </c>
      <c r="C890" s="51" t="str">
        <f>IFERROR(Hyperlink(VLOOKUP(A890,Internal_lists_bugs!$A$2:$G1061,7,FALSE()),"BIC: "&amp;VLOOKUP(A890,Internal_lists_bugs!$A$2:$G1061,7,FALSE())&amp;CHAR(10)&amp;"Intro.Issues: "&amp;VLOOKUP(A890,Internal_lists_bugs!$A$2:$P1061,16,FALSE())),"please select a BUG ID")</f>
        <v>please select a BUG ID</v>
      </c>
      <c r="D890" s="105"/>
      <c r="E890" s="54"/>
      <c r="F890" s="82"/>
      <c r="G890" s="92"/>
      <c r="H890" s="54"/>
      <c r="I890" s="1"/>
    </row>
    <row r="891">
      <c r="A891" s="54"/>
      <c r="B891" s="88" t="str">
        <f>IFERROR(HYPERLINK(VLOOKUP(A891,Internal_lists_bugs!$A$2:$C$73,3,FALSE()), VLOOKUP(A891,Internal_lists_bugs!$A$2:$C$73,3,FALSE())&amp;Char(10) &amp; Char(10) &amp; VLOOKUP(A891,Internal_lists_bugs!$A$2:$Z$73,26,FALSE())),"please select a BUG ID")</f>
        <v>please select a BUG ID</v>
      </c>
      <c r="C891" s="51" t="str">
        <f>IFERROR(Hyperlink(VLOOKUP(A891,Internal_lists_bugs!$A$2:$G1061,7,FALSE()),"BIC: "&amp;VLOOKUP(A891,Internal_lists_bugs!$A$2:$G1061,7,FALSE())&amp;CHAR(10)&amp;"Intro.Issues: "&amp;VLOOKUP(A891,Internal_lists_bugs!$A$2:$P1061,16,FALSE())),"please select a BUG ID")</f>
        <v>please select a BUG ID</v>
      </c>
      <c r="D891" s="105"/>
      <c r="E891" s="54"/>
      <c r="F891" s="82"/>
      <c r="G891" s="92"/>
      <c r="H891" s="54"/>
      <c r="I891" s="1"/>
    </row>
    <row r="892">
      <c r="A892" s="54"/>
      <c r="B892" s="88" t="str">
        <f>IFERROR(HYPERLINK(VLOOKUP(A892,Internal_lists_bugs!$A$2:$C$73,3,FALSE()), VLOOKUP(A892,Internal_lists_bugs!$A$2:$C$73,3,FALSE())&amp;Char(10) &amp; Char(10) &amp; VLOOKUP(A892,Internal_lists_bugs!$A$2:$Z$73,26,FALSE())),"please select a BUG ID")</f>
        <v>please select a BUG ID</v>
      </c>
      <c r="C892" s="51" t="str">
        <f>IFERROR(Hyperlink(VLOOKUP(A892,Internal_lists_bugs!$A$2:$G1061,7,FALSE()),"BIC: "&amp;VLOOKUP(A892,Internal_lists_bugs!$A$2:$G1061,7,FALSE())&amp;CHAR(10)&amp;"Intro.Issues: "&amp;VLOOKUP(A892,Internal_lists_bugs!$A$2:$P1061,16,FALSE())),"please select a BUG ID")</f>
        <v>please select a BUG ID</v>
      </c>
      <c r="D892" s="105"/>
      <c r="E892" s="54"/>
      <c r="F892" s="82"/>
      <c r="G892" s="92"/>
      <c r="H892" s="54"/>
      <c r="I892" s="1"/>
    </row>
    <row r="893">
      <c r="A893" s="54"/>
      <c r="B893" s="88" t="str">
        <f>IFERROR(HYPERLINK(VLOOKUP(A893,Internal_lists_bugs!$A$2:$C$73,3,FALSE()), VLOOKUP(A893,Internal_lists_bugs!$A$2:$C$73,3,FALSE())&amp;Char(10) &amp; Char(10) &amp; VLOOKUP(A893,Internal_lists_bugs!$A$2:$Z$73,26,FALSE())),"please select a BUG ID")</f>
        <v>please select a BUG ID</v>
      </c>
      <c r="C893" s="51" t="str">
        <f>IFERROR(Hyperlink(VLOOKUP(A893,Internal_lists_bugs!$A$2:$G1061,7,FALSE()),"BIC: "&amp;VLOOKUP(A893,Internal_lists_bugs!$A$2:$G1061,7,FALSE())&amp;CHAR(10)&amp;"Intro.Issues: "&amp;VLOOKUP(A893,Internal_lists_bugs!$A$2:$P1061,16,FALSE())),"please select a BUG ID")</f>
        <v>please select a BUG ID</v>
      </c>
      <c r="D893" s="105"/>
      <c r="E893" s="54"/>
      <c r="F893" s="82"/>
      <c r="G893" s="92"/>
      <c r="H893" s="54"/>
      <c r="I893" s="1"/>
    </row>
    <row r="894">
      <c r="A894" s="54"/>
      <c r="B894" s="88" t="str">
        <f>IFERROR(HYPERLINK(VLOOKUP(A894,Internal_lists_bugs!$A$2:$C$73,3,FALSE()), VLOOKUP(A894,Internal_lists_bugs!$A$2:$C$73,3,FALSE())&amp;Char(10) &amp; Char(10) &amp; VLOOKUP(A894,Internal_lists_bugs!$A$2:$Z$73,26,FALSE())),"please select a BUG ID")</f>
        <v>please select a BUG ID</v>
      </c>
      <c r="C894" s="51" t="str">
        <f>IFERROR(Hyperlink(VLOOKUP(A894,Internal_lists_bugs!$A$2:$G1061,7,FALSE()),"BIC: "&amp;VLOOKUP(A894,Internal_lists_bugs!$A$2:$G1061,7,FALSE())&amp;CHAR(10)&amp;"Intro.Issues: "&amp;VLOOKUP(A894,Internal_lists_bugs!$A$2:$P1061,16,FALSE())),"please select a BUG ID")</f>
        <v>please select a BUG ID</v>
      </c>
      <c r="D894" s="105"/>
      <c r="E894" s="54"/>
      <c r="F894" s="82"/>
      <c r="G894" s="92"/>
      <c r="H894" s="54"/>
      <c r="I894" s="1"/>
    </row>
    <row r="895">
      <c r="A895" s="54"/>
      <c r="B895" s="88" t="str">
        <f>IFERROR(HYPERLINK(VLOOKUP(A895,Internal_lists_bugs!$A$2:$C$73,3,FALSE()), VLOOKUP(A895,Internal_lists_bugs!$A$2:$C$73,3,FALSE())&amp;Char(10) &amp; Char(10) &amp; VLOOKUP(A895,Internal_lists_bugs!$A$2:$Z$73,26,FALSE())),"please select a BUG ID")</f>
        <v>please select a BUG ID</v>
      </c>
      <c r="C895" s="51" t="str">
        <f>IFERROR(Hyperlink(VLOOKUP(A895,Internal_lists_bugs!$A$2:$G1061,7,FALSE()),"BIC: "&amp;VLOOKUP(A895,Internal_lists_bugs!$A$2:$G1061,7,FALSE())&amp;CHAR(10)&amp;"Intro.Issues: "&amp;VLOOKUP(A895,Internal_lists_bugs!$A$2:$P1061,16,FALSE())),"please select a BUG ID")</f>
        <v>please select a BUG ID</v>
      </c>
      <c r="D895" s="105"/>
      <c r="E895" s="54"/>
      <c r="F895" s="82"/>
      <c r="G895" s="92"/>
      <c r="H895" s="54"/>
      <c r="I895" s="1"/>
    </row>
    <row r="896">
      <c r="A896" s="54"/>
      <c r="B896" s="88" t="str">
        <f>IFERROR(HYPERLINK(VLOOKUP(A896,Internal_lists_bugs!$A$2:$C$73,3,FALSE()), VLOOKUP(A896,Internal_lists_bugs!$A$2:$C$73,3,FALSE())&amp;Char(10) &amp; Char(10) &amp; VLOOKUP(A896,Internal_lists_bugs!$A$2:$Z$73,26,FALSE())),"please select a BUG ID")</f>
        <v>please select a BUG ID</v>
      </c>
      <c r="C896" s="51" t="str">
        <f>IFERROR(Hyperlink(VLOOKUP(A896,Internal_lists_bugs!$A$2:$G1061,7,FALSE()),"BIC: "&amp;VLOOKUP(A896,Internal_lists_bugs!$A$2:$G1061,7,FALSE())&amp;CHAR(10)&amp;"Intro.Issues: "&amp;VLOOKUP(A896,Internal_lists_bugs!$A$2:$P1061,16,FALSE())),"please select a BUG ID")</f>
        <v>please select a BUG ID</v>
      </c>
      <c r="D896" s="105"/>
      <c r="E896" s="54"/>
      <c r="F896" s="82"/>
      <c r="G896" s="92"/>
      <c r="H896" s="54"/>
      <c r="I896" s="1"/>
    </row>
    <row r="897">
      <c r="A897" s="54"/>
      <c r="B897" s="88" t="str">
        <f>IFERROR(HYPERLINK(VLOOKUP(A897,Internal_lists_bugs!$A$2:$C$73,3,FALSE()), VLOOKUP(A897,Internal_lists_bugs!$A$2:$C$73,3,FALSE())&amp;Char(10) &amp; Char(10) &amp; VLOOKUP(A897,Internal_lists_bugs!$A$2:$Z$73,26,FALSE())),"please select a BUG ID")</f>
        <v>please select a BUG ID</v>
      </c>
      <c r="C897" s="51" t="str">
        <f>IFERROR(Hyperlink(VLOOKUP(A897,Internal_lists_bugs!$A$2:$G1061,7,FALSE()),"BIC: "&amp;VLOOKUP(A897,Internal_lists_bugs!$A$2:$G1061,7,FALSE())&amp;CHAR(10)&amp;"Intro.Issues: "&amp;VLOOKUP(A897,Internal_lists_bugs!$A$2:$P1061,16,FALSE())),"please select a BUG ID")</f>
        <v>please select a BUG ID</v>
      </c>
      <c r="D897" s="105"/>
      <c r="E897" s="54"/>
      <c r="F897" s="82"/>
      <c r="G897" s="92"/>
      <c r="H897" s="54"/>
      <c r="I897" s="1"/>
    </row>
    <row r="898">
      <c r="A898" s="54"/>
      <c r="B898" s="88" t="str">
        <f>IFERROR(HYPERLINK(VLOOKUP(A898,Internal_lists_bugs!$A$2:$C$73,3,FALSE()), VLOOKUP(A898,Internal_lists_bugs!$A$2:$C$73,3,FALSE())&amp;Char(10) &amp; Char(10) &amp; VLOOKUP(A898,Internal_lists_bugs!$A$2:$Z$73,26,FALSE())),"please select a BUG ID")</f>
        <v>please select a BUG ID</v>
      </c>
      <c r="C898" s="51" t="str">
        <f>IFERROR(Hyperlink(VLOOKUP(A898,Internal_lists_bugs!$A$2:$G1061,7,FALSE()),"BIC: "&amp;VLOOKUP(A898,Internal_lists_bugs!$A$2:$G1061,7,FALSE())&amp;CHAR(10)&amp;"Intro.Issues: "&amp;VLOOKUP(A898,Internal_lists_bugs!$A$2:$P1061,16,FALSE())),"please select a BUG ID")</f>
        <v>please select a BUG ID</v>
      </c>
      <c r="D898" s="105"/>
      <c r="E898" s="54"/>
      <c r="F898" s="82"/>
      <c r="G898" s="92"/>
      <c r="H898" s="54"/>
      <c r="I898" s="1"/>
    </row>
    <row r="899">
      <c r="A899" s="54"/>
      <c r="B899" s="88" t="str">
        <f>IFERROR(HYPERLINK(VLOOKUP(A899,Internal_lists_bugs!$A$2:$C$73,3,FALSE()), VLOOKUP(A899,Internal_lists_bugs!$A$2:$C$73,3,FALSE())&amp;Char(10) &amp; Char(10) &amp; VLOOKUP(A899,Internal_lists_bugs!$A$2:$Z$73,26,FALSE())),"please select a BUG ID")</f>
        <v>please select a BUG ID</v>
      </c>
      <c r="C899" s="51" t="str">
        <f>IFERROR(Hyperlink(VLOOKUP(A899,Internal_lists_bugs!$A$2:$G1061,7,FALSE()),"BIC: "&amp;VLOOKUP(A899,Internal_lists_bugs!$A$2:$G1061,7,FALSE())&amp;CHAR(10)&amp;"Intro.Issues: "&amp;VLOOKUP(A899,Internal_lists_bugs!$A$2:$P1061,16,FALSE())),"please select a BUG ID")</f>
        <v>please select a BUG ID</v>
      </c>
      <c r="D899" s="105"/>
      <c r="E899" s="54"/>
      <c r="F899" s="82"/>
      <c r="G899" s="92"/>
      <c r="H899" s="54"/>
      <c r="I899" s="1"/>
    </row>
    <row r="900">
      <c r="A900" s="54"/>
      <c r="B900" s="88" t="str">
        <f>IFERROR(HYPERLINK(VLOOKUP(A900,Internal_lists_bugs!$A$2:$C$73,3,FALSE()), VLOOKUP(A900,Internal_lists_bugs!$A$2:$C$73,3,FALSE())&amp;Char(10) &amp; Char(10) &amp; VLOOKUP(A900,Internal_lists_bugs!$A$2:$Z$73,26,FALSE())),"please select a BUG ID")</f>
        <v>please select a BUG ID</v>
      </c>
      <c r="C900" s="51" t="str">
        <f>IFERROR(Hyperlink(VLOOKUP(A900,Internal_lists_bugs!$A$2:$G1061,7,FALSE()),"BIC: "&amp;VLOOKUP(A900,Internal_lists_bugs!$A$2:$G1061,7,FALSE())&amp;CHAR(10)&amp;"Intro.Issues: "&amp;VLOOKUP(A900,Internal_lists_bugs!$A$2:$P1061,16,FALSE())),"please select a BUG ID")</f>
        <v>please select a BUG ID</v>
      </c>
      <c r="D900" s="105"/>
      <c r="E900" s="54"/>
      <c r="F900" s="82"/>
      <c r="G900" s="92"/>
      <c r="H900" s="54"/>
      <c r="I900" s="1"/>
    </row>
    <row r="901">
      <c r="A901" s="54"/>
      <c r="B901" s="88" t="str">
        <f>IFERROR(HYPERLINK(VLOOKUP(A901,Internal_lists_bugs!$A$2:$C$73,3,FALSE()), VLOOKUP(A901,Internal_lists_bugs!$A$2:$C$73,3,FALSE())&amp;Char(10) &amp; Char(10) &amp; VLOOKUP(A901,Internal_lists_bugs!$A$2:$Z$73,26,FALSE())),"please select a BUG ID")</f>
        <v>please select a BUG ID</v>
      </c>
      <c r="C901" s="51" t="str">
        <f>IFERROR(Hyperlink(VLOOKUP(A901,Internal_lists_bugs!$A$2:$G1061,7,FALSE()),"BIC: "&amp;VLOOKUP(A901,Internal_lists_bugs!$A$2:$G1061,7,FALSE())&amp;CHAR(10)&amp;"Intro.Issues: "&amp;VLOOKUP(A901,Internal_lists_bugs!$A$2:$P1061,16,FALSE())),"please select a BUG ID")</f>
        <v>please select a BUG ID</v>
      </c>
      <c r="D901" s="105"/>
      <c r="E901" s="54"/>
      <c r="F901" s="82"/>
      <c r="G901" s="92"/>
      <c r="H901" s="54"/>
      <c r="I901" s="1"/>
    </row>
    <row r="902">
      <c r="A902" s="54"/>
      <c r="B902" s="88" t="str">
        <f>IFERROR(HYPERLINK(VLOOKUP(A902,Internal_lists_bugs!$A$2:$C$73,3,FALSE()), VLOOKUP(A902,Internal_lists_bugs!$A$2:$C$73,3,FALSE())&amp;Char(10) &amp; Char(10) &amp; VLOOKUP(A902,Internal_lists_bugs!$A$2:$Z$73,26,FALSE())),"please select a BUG ID")</f>
        <v>please select a BUG ID</v>
      </c>
      <c r="C902" s="51" t="str">
        <f>IFERROR(Hyperlink(VLOOKUP(A902,Internal_lists_bugs!$A$2:$G1061,7,FALSE()),"BIC: "&amp;VLOOKUP(A902,Internal_lists_bugs!$A$2:$G1061,7,FALSE())&amp;CHAR(10)&amp;"Intro.Issues: "&amp;VLOOKUP(A902,Internal_lists_bugs!$A$2:$P1061,16,FALSE())),"please select a BUG ID")</f>
        <v>please select a BUG ID</v>
      </c>
      <c r="D902" s="105"/>
      <c r="E902" s="54"/>
      <c r="F902" s="82"/>
      <c r="G902" s="92"/>
      <c r="H902" s="54"/>
      <c r="I902" s="1"/>
    </row>
    <row r="903">
      <c r="A903" s="54"/>
      <c r="B903" s="88" t="str">
        <f>IFERROR(HYPERLINK(VLOOKUP(A903,Internal_lists_bugs!$A$2:$C$73,3,FALSE()), VLOOKUP(A903,Internal_lists_bugs!$A$2:$C$73,3,FALSE())&amp;Char(10) &amp; Char(10) &amp; VLOOKUP(A903,Internal_lists_bugs!$A$2:$Z$73,26,FALSE())),"please select a BUG ID")</f>
        <v>please select a BUG ID</v>
      </c>
      <c r="C903" s="51" t="str">
        <f>IFERROR(Hyperlink(VLOOKUP(A903,Internal_lists_bugs!$A$2:$G1061,7,FALSE()),"BIC: "&amp;VLOOKUP(A903,Internal_lists_bugs!$A$2:$G1061,7,FALSE())&amp;CHAR(10)&amp;"Intro.Issues: "&amp;VLOOKUP(A903,Internal_lists_bugs!$A$2:$P1061,16,FALSE())),"please select a BUG ID")</f>
        <v>please select a BUG ID</v>
      </c>
      <c r="D903" s="105"/>
      <c r="E903" s="54"/>
      <c r="F903" s="82"/>
      <c r="G903" s="92"/>
      <c r="H903" s="54"/>
      <c r="I903" s="1"/>
    </row>
    <row r="904">
      <c r="A904" s="54"/>
      <c r="B904" s="88" t="str">
        <f>IFERROR(HYPERLINK(VLOOKUP(A904,Internal_lists_bugs!$A$2:$C$73,3,FALSE()), VLOOKUP(A904,Internal_lists_bugs!$A$2:$C$73,3,FALSE())&amp;Char(10) &amp; Char(10) &amp; VLOOKUP(A904,Internal_lists_bugs!$A$2:$Z$73,26,FALSE())),"please select a BUG ID")</f>
        <v>please select a BUG ID</v>
      </c>
      <c r="C904" s="51" t="str">
        <f>IFERROR(Hyperlink(VLOOKUP(A904,Internal_lists_bugs!$A$2:$G1061,7,FALSE()),"BIC: "&amp;VLOOKUP(A904,Internal_lists_bugs!$A$2:$G1061,7,FALSE())&amp;CHAR(10)&amp;"Intro.Issues: "&amp;VLOOKUP(A904,Internal_lists_bugs!$A$2:$P1061,16,FALSE())),"please select a BUG ID")</f>
        <v>please select a BUG ID</v>
      </c>
      <c r="D904" s="105"/>
      <c r="E904" s="54"/>
      <c r="F904" s="82"/>
      <c r="G904" s="92"/>
      <c r="H904" s="54"/>
      <c r="I904" s="1"/>
    </row>
    <row r="905">
      <c r="A905" s="54"/>
      <c r="B905" s="88" t="str">
        <f>IFERROR(HYPERLINK(VLOOKUP(A905,Internal_lists_bugs!$A$2:$C$73,3,FALSE()), VLOOKUP(A905,Internal_lists_bugs!$A$2:$C$73,3,FALSE())&amp;Char(10) &amp; Char(10) &amp; VLOOKUP(A905,Internal_lists_bugs!$A$2:$Z$73,26,FALSE())),"please select a BUG ID")</f>
        <v>please select a BUG ID</v>
      </c>
      <c r="C905" s="51" t="str">
        <f>IFERROR(Hyperlink(VLOOKUP(A905,Internal_lists_bugs!$A$2:$G1061,7,FALSE()),"BIC: "&amp;VLOOKUP(A905,Internal_lists_bugs!$A$2:$G1061,7,FALSE())&amp;CHAR(10)&amp;"Intro.Issues: "&amp;VLOOKUP(A905,Internal_lists_bugs!$A$2:$P1061,16,FALSE())),"please select a BUG ID")</f>
        <v>please select a BUG ID</v>
      </c>
      <c r="D905" s="105"/>
      <c r="E905" s="54"/>
      <c r="F905" s="82"/>
      <c r="G905" s="92"/>
      <c r="H905" s="54"/>
      <c r="I905" s="1"/>
    </row>
    <row r="906">
      <c r="A906" s="54"/>
      <c r="B906" s="88" t="str">
        <f>IFERROR(HYPERLINK(VLOOKUP(A906,Internal_lists_bugs!$A$2:$C$73,3,FALSE()), VLOOKUP(A906,Internal_lists_bugs!$A$2:$C$73,3,FALSE())&amp;Char(10) &amp; Char(10) &amp; VLOOKUP(A906,Internal_lists_bugs!$A$2:$Z$73,26,FALSE())),"please select a BUG ID")</f>
        <v>please select a BUG ID</v>
      </c>
      <c r="C906" s="51" t="str">
        <f>IFERROR(Hyperlink(VLOOKUP(A906,Internal_lists_bugs!$A$2:$G1061,7,FALSE()),"BIC: "&amp;VLOOKUP(A906,Internal_lists_bugs!$A$2:$G1061,7,FALSE())&amp;CHAR(10)&amp;"Intro.Issues: "&amp;VLOOKUP(A906,Internal_lists_bugs!$A$2:$P1061,16,FALSE())),"please select a BUG ID")</f>
        <v>please select a BUG ID</v>
      </c>
      <c r="D906" s="105"/>
      <c r="E906" s="54"/>
      <c r="F906" s="82"/>
      <c r="G906" s="92"/>
      <c r="H906" s="54"/>
      <c r="I906" s="1"/>
    </row>
    <row r="907">
      <c r="A907" s="54"/>
      <c r="B907" s="88" t="str">
        <f>IFERROR(HYPERLINK(VLOOKUP(A907,Internal_lists_bugs!$A$2:$C$73,3,FALSE()), VLOOKUP(A907,Internal_lists_bugs!$A$2:$C$73,3,FALSE())&amp;Char(10) &amp; Char(10) &amp; VLOOKUP(A907,Internal_lists_bugs!$A$2:$Z$73,26,FALSE())),"please select a BUG ID")</f>
        <v>please select a BUG ID</v>
      </c>
      <c r="C907" s="51" t="str">
        <f>IFERROR(Hyperlink(VLOOKUP(A907,Internal_lists_bugs!$A$2:$G1061,7,FALSE()),"BIC: "&amp;VLOOKUP(A907,Internal_lists_bugs!$A$2:$G1061,7,FALSE())&amp;CHAR(10)&amp;"Intro.Issues: "&amp;VLOOKUP(A907,Internal_lists_bugs!$A$2:$P1061,16,FALSE())),"please select a BUG ID")</f>
        <v>please select a BUG ID</v>
      </c>
      <c r="D907" s="105"/>
      <c r="E907" s="54"/>
      <c r="F907" s="82"/>
      <c r="G907" s="92"/>
      <c r="H907" s="54"/>
      <c r="I907" s="1"/>
    </row>
    <row r="908">
      <c r="A908" s="54"/>
      <c r="B908" s="88" t="str">
        <f>IFERROR(HYPERLINK(VLOOKUP(A908,Internal_lists_bugs!$A$2:$C$73,3,FALSE()), VLOOKUP(A908,Internal_lists_bugs!$A$2:$C$73,3,FALSE())&amp;Char(10) &amp; Char(10) &amp; VLOOKUP(A908,Internal_lists_bugs!$A$2:$Z$73,26,FALSE())),"please select a BUG ID")</f>
        <v>please select a BUG ID</v>
      </c>
      <c r="C908" s="51" t="str">
        <f>IFERROR(Hyperlink(VLOOKUP(A908,Internal_lists_bugs!$A$2:$G1061,7,FALSE()),"BIC: "&amp;VLOOKUP(A908,Internal_lists_bugs!$A$2:$G1061,7,FALSE())&amp;CHAR(10)&amp;"Intro.Issues: "&amp;VLOOKUP(A908,Internal_lists_bugs!$A$2:$P1061,16,FALSE())),"please select a BUG ID")</f>
        <v>please select a BUG ID</v>
      </c>
      <c r="D908" s="105"/>
      <c r="E908" s="54"/>
      <c r="F908" s="82"/>
      <c r="G908" s="92"/>
      <c r="H908" s="54"/>
      <c r="I908" s="1"/>
    </row>
    <row r="909">
      <c r="A909" s="54"/>
      <c r="B909" s="88" t="str">
        <f>IFERROR(HYPERLINK(VLOOKUP(A909,Internal_lists_bugs!$A$2:$C$73,3,FALSE()), VLOOKUP(A909,Internal_lists_bugs!$A$2:$C$73,3,FALSE())&amp;Char(10) &amp; Char(10) &amp; VLOOKUP(A909,Internal_lists_bugs!$A$2:$Z$73,26,FALSE())),"please select a BUG ID")</f>
        <v>please select a BUG ID</v>
      </c>
      <c r="C909" s="51" t="str">
        <f>IFERROR(Hyperlink(VLOOKUP(A909,Internal_lists_bugs!$A$2:$G1061,7,FALSE()),"BIC: "&amp;VLOOKUP(A909,Internal_lists_bugs!$A$2:$G1061,7,FALSE())&amp;CHAR(10)&amp;"Intro.Issues: "&amp;VLOOKUP(A909,Internal_lists_bugs!$A$2:$P1061,16,FALSE())),"please select a BUG ID")</f>
        <v>please select a BUG ID</v>
      </c>
      <c r="D909" s="105"/>
      <c r="E909" s="54"/>
      <c r="F909" s="82"/>
      <c r="G909" s="92"/>
      <c r="H909" s="54"/>
      <c r="I909" s="1"/>
    </row>
    <row r="910">
      <c r="A910" s="54"/>
      <c r="B910" s="88" t="str">
        <f>IFERROR(HYPERLINK(VLOOKUP(A910,Internal_lists_bugs!$A$2:$C$73,3,FALSE()), VLOOKUP(A910,Internal_lists_bugs!$A$2:$C$73,3,FALSE())&amp;Char(10) &amp; Char(10) &amp; VLOOKUP(A910,Internal_lists_bugs!$A$2:$Z$73,26,FALSE())),"please select a BUG ID")</f>
        <v>please select a BUG ID</v>
      </c>
      <c r="C910" s="51" t="str">
        <f>IFERROR(Hyperlink(VLOOKUP(A910,Internal_lists_bugs!$A$2:$G1061,7,FALSE()),"BIC: "&amp;VLOOKUP(A910,Internal_lists_bugs!$A$2:$G1061,7,FALSE())&amp;CHAR(10)&amp;"Intro.Issues: "&amp;VLOOKUP(A910,Internal_lists_bugs!$A$2:$P1061,16,FALSE())),"please select a BUG ID")</f>
        <v>please select a BUG ID</v>
      </c>
      <c r="D910" s="105"/>
      <c r="E910" s="54"/>
      <c r="F910" s="82"/>
      <c r="G910" s="92"/>
      <c r="H910" s="54"/>
      <c r="I910" s="1"/>
    </row>
    <row r="911">
      <c r="A911" s="54"/>
      <c r="B911" s="88" t="str">
        <f>IFERROR(HYPERLINK(VLOOKUP(A911,Internal_lists_bugs!$A$2:$C$73,3,FALSE()), VLOOKUP(A911,Internal_lists_bugs!$A$2:$C$73,3,FALSE())&amp;Char(10) &amp; Char(10) &amp; VLOOKUP(A911,Internal_lists_bugs!$A$2:$Z$73,26,FALSE())),"please select a BUG ID")</f>
        <v>please select a BUG ID</v>
      </c>
      <c r="C911" s="51" t="str">
        <f>IFERROR(Hyperlink(VLOOKUP(A911,Internal_lists_bugs!$A$2:$G1061,7,FALSE()),"BIC: "&amp;VLOOKUP(A911,Internal_lists_bugs!$A$2:$G1061,7,FALSE())&amp;CHAR(10)&amp;"Intro.Issues: "&amp;VLOOKUP(A911,Internal_lists_bugs!$A$2:$P1061,16,FALSE())),"please select a BUG ID")</f>
        <v>please select a BUG ID</v>
      </c>
      <c r="D911" s="105"/>
      <c r="E911" s="54"/>
      <c r="F911" s="82"/>
      <c r="G911" s="92"/>
      <c r="H911" s="54"/>
      <c r="I911" s="1"/>
    </row>
    <row r="912">
      <c r="A912" s="54"/>
      <c r="B912" s="88" t="str">
        <f>IFERROR(HYPERLINK(VLOOKUP(A912,Internal_lists_bugs!$A$2:$C$73,3,FALSE()), VLOOKUP(A912,Internal_lists_bugs!$A$2:$C$73,3,FALSE())&amp;Char(10) &amp; Char(10) &amp; VLOOKUP(A912,Internal_lists_bugs!$A$2:$Z$73,26,FALSE())),"please select a BUG ID")</f>
        <v>please select a BUG ID</v>
      </c>
      <c r="C912" s="51" t="str">
        <f>IFERROR(Hyperlink(VLOOKUP(A912,Internal_lists_bugs!$A$2:$G1061,7,FALSE()),"BIC: "&amp;VLOOKUP(A912,Internal_lists_bugs!$A$2:$G1061,7,FALSE())&amp;CHAR(10)&amp;"Intro.Issues: "&amp;VLOOKUP(A912,Internal_lists_bugs!$A$2:$P1061,16,FALSE())),"please select a BUG ID")</f>
        <v>please select a BUG ID</v>
      </c>
      <c r="D912" s="105"/>
      <c r="E912" s="54"/>
      <c r="F912" s="82"/>
      <c r="G912" s="92"/>
      <c r="H912" s="54"/>
      <c r="I912" s="1"/>
    </row>
    <row r="913">
      <c r="A913" s="54"/>
      <c r="B913" s="88" t="str">
        <f>IFERROR(HYPERLINK(VLOOKUP(A913,Internal_lists_bugs!$A$2:$C$73,3,FALSE()), VLOOKUP(A913,Internal_lists_bugs!$A$2:$C$73,3,FALSE())&amp;Char(10) &amp; Char(10) &amp; VLOOKUP(A913,Internal_lists_bugs!$A$2:$Z$73,26,FALSE())),"please select a BUG ID")</f>
        <v>please select a BUG ID</v>
      </c>
      <c r="C913" s="51" t="str">
        <f>IFERROR(Hyperlink(VLOOKUP(A913,Internal_lists_bugs!$A$2:$G1061,7,FALSE()),"BIC: "&amp;VLOOKUP(A913,Internal_lists_bugs!$A$2:$G1061,7,FALSE())&amp;CHAR(10)&amp;"Intro.Issues: "&amp;VLOOKUP(A913,Internal_lists_bugs!$A$2:$P1061,16,FALSE())),"please select a BUG ID")</f>
        <v>please select a BUG ID</v>
      </c>
      <c r="D913" s="105"/>
      <c r="E913" s="54"/>
      <c r="F913" s="82"/>
      <c r="G913" s="92"/>
      <c r="H913" s="54"/>
      <c r="I913" s="1"/>
    </row>
    <row r="914">
      <c r="A914" s="54"/>
      <c r="B914" s="88" t="str">
        <f>IFERROR(HYPERLINK(VLOOKUP(A914,Internal_lists_bugs!$A$2:$C$73,3,FALSE()), VLOOKUP(A914,Internal_lists_bugs!$A$2:$C$73,3,FALSE())&amp;Char(10) &amp; Char(10) &amp; VLOOKUP(A914,Internal_lists_bugs!$A$2:$Z$73,26,FALSE())),"please select a BUG ID")</f>
        <v>please select a BUG ID</v>
      </c>
      <c r="C914" s="51" t="str">
        <f>IFERROR(Hyperlink(VLOOKUP(A914,Internal_lists_bugs!$A$2:$G1061,7,FALSE()),"BIC: "&amp;VLOOKUP(A914,Internal_lists_bugs!$A$2:$G1061,7,FALSE())&amp;CHAR(10)&amp;"Intro.Issues: "&amp;VLOOKUP(A914,Internal_lists_bugs!$A$2:$P1061,16,FALSE())),"please select a BUG ID")</f>
        <v>please select a BUG ID</v>
      </c>
      <c r="D914" s="105"/>
      <c r="E914" s="54"/>
      <c r="F914" s="82"/>
      <c r="G914" s="92"/>
      <c r="H914" s="54"/>
      <c r="I914" s="1"/>
    </row>
    <row r="915">
      <c r="A915" s="54"/>
      <c r="B915" s="88" t="str">
        <f>IFERROR(HYPERLINK(VLOOKUP(A915,Internal_lists_bugs!$A$2:$C$73,3,FALSE()), VLOOKUP(A915,Internal_lists_bugs!$A$2:$C$73,3,FALSE())&amp;Char(10) &amp; Char(10) &amp; VLOOKUP(A915,Internal_lists_bugs!$A$2:$Z$73,26,FALSE())),"please select a BUG ID")</f>
        <v>please select a BUG ID</v>
      </c>
      <c r="C915" s="51" t="str">
        <f>IFERROR(Hyperlink(VLOOKUP(A915,Internal_lists_bugs!$A$2:$G1061,7,FALSE()),"BIC: "&amp;VLOOKUP(A915,Internal_lists_bugs!$A$2:$G1061,7,FALSE())&amp;CHAR(10)&amp;"Intro.Issues: "&amp;VLOOKUP(A915,Internal_lists_bugs!$A$2:$P1061,16,FALSE())),"please select a BUG ID")</f>
        <v>please select a BUG ID</v>
      </c>
      <c r="D915" s="105"/>
      <c r="E915" s="54"/>
      <c r="F915" s="82"/>
      <c r="G915" s="92"/>
      <c r="H915" s="54"/>
      <c r="I915" s="1"/>
    </row>
    <row r="916">
      <c r="A916" s="54"/>
      <c r="B916" s="88" t="str">
        <f>IFERROR(HYPERLINK(VLOOKUP(A916,Internal_lists_bugs!$A$2:$C$73,3,FALSE()), VLOOKUP(A916,Internal_lists_bugs!$A$2:$C$73,3,FALSE())&amp;Char(10) &amp; Char(10) &amp; VLOOKUP(A916,Internal_lists_bugs!$A$2:$Z$73,26,FALSE())),"please select a BUG ID")</f>
        <v>please select a BUG ID</v>
      </c>
      <c r="C916" s="51" t="str">
        <f>IFERROR(Hyperlink(VLOOKUP(A916,Internal_lists_bugs!$A$2:$G1061,7,FALSE()),"BIC: "&amp;VLOOKUP(A916,Internal_lists_bugs!$A$2:$G1061,7,FALSE())&amp;CHAR(10)&amp;"Intro.Issues: "&amp;VLOOKUP(A916,Internal_lists_bugs!$A$2:$P1061,16,FALSE())),"please select a BUG ID")</f>
        <v>please select a BUG ID</v>
      </c>
      <c r="D916" s="105"/>
      <c r="E916" s="54"/>
      <c r="F916" s="82"/>
      <c r="G916" s="92"/>
      <c r="H916" s="54"/>
      <c r="I916" s="1"/>
    </row>
    <row r="917">
      <c r="A917" s="54"/>
      <c r="B917" s="88" t="str">
        <f>IFERROR(HYPERLINK(VLOOKUP(A917,Internal_lists_bugs!$A$2:$C$73,3,FALSE()), VLOOKUP(A917,Internal_lists_bugs!$A$2:$C$73,3,FALSE())&amp;Char(10) &amp; Char(10) &amp; VLOOKUP(A917,Internal_lists_bugs!$A$2:$Z$73,26,FALSE())),"please select a BUG ID")</f>
        <v>please select a BUG ID</v>
      </c>
      <c r="C917" s="51" t="str">
        <f>IFERROR(Hyperlink(VLOOKUP(A917,Internal_lists_bugs!$A$2:$G1061,7,FALSE()),"BIC: "&amp;VLOOKUP(A917,Internal_lists_bugs!$A$2:$G1061,7,FALSE())&amp;CHAR(10)&amp;"Intro.Issues: "&amp;VLOOKUP(A917,Internal_lists_bugs!$A$2:$P1061,16,FALSE())),"please select a BUG ID")</f>
        <v>please select a BUG ID</v>
      </c>
      <c r="D917" s="105"/>
      <c r="E917" s="54"/>
      <c r="F917" s="82"/>
      <c r="G917" s="92"/>
      <c r="H917" s="54"/>
      <c r="I917" s="1"/>
    </row>
    <row r="918">
      <c r="A918" s="54"/>
      <c r="B918" s="88" t="str">
        <f>IFERROR(HYPERLINK(VLOOKUP(A918,Internal_lists_bugs!$A$2:$C$73,3,FALSE()), VLOOKUP(A918,Internal_lists_bugs!$A$2:$C$73,3,FALSE())&amp;Char(10) &amp; Char(10) &amp; VLOOKUP(A918,Internal_lists_bugs!$A$2:$Z$73,26,FALSE())),"please select a BUG ID")</f>
        <v>please select a BUG ID</v>
      </c>
      <c r="C918" s="51" t="str">
        <f>IFERROR(Hyperlink(VLOOKUP(A918,Internal_lists_bugs!$A$2:$G1061,7,FALSE()),"BIC: "&amp;VLOOKUP(A918,Internal_lists_bugs!$A$2:$G1061,7,FALSE())&amp;CHAR(10)&amp;"Intro.Issues: "&amp;VLOOKUP(A918,Internal_lists_bugs!$A$2:$P1061,16,FALSE())),"please select a BUG ID")</f>
        <v>please select a BUG ID</v>
      </c>
      <c r="D918" s="105"/>
      <c r="E918" s="54"/>
      <c r="F918" s="82"/>
      <c r="G918" s="92"/>
      <c r="H918" s="54"/>
      <c r="I918" s="1"/>
    </row>
    <row r="919">
      <c r="A919" s="54"/>
      <c r="B919" s="88" t="str">
        <f>IFERROR(HYPERLINK(VLOOKUP(A919,Internal_lists_bugs!$A$2:$C$73,3,FALSE()), VLOOKUP(A919,Internal_lists_bugs!$A$2:$C$73,3,FALSE())&amp;Char(10) &amp; Char(10) &amp; VLOOKUP(A919,Internal_lists_bugs!$A$2:$Z$73,26,FALSE())),"please select a BUG ID")</f>
        <v>please select a BUG ID</v>
      </c>
      <c r="C919" s="51" t="str">
        <f>IFERROR(Hyperlink(VLOOKUP(A919,Internal_lists_bugs!$A$2:$G1061,7,FALSE()),"BIC: "&amp;VLOOKUP(A919,Internal_lists_bugs!$A$2:$G1061,7,FALSE())&amp;CHAR(10)&amp;"Intro.Issues: "&amp;VLOOKUP(A919,Internal_lists_bugs!$A$2:$P1061,16,FALSE())),"please select a BUG ID")</f>
        <v>please select a BUG ID</v>
      </c>
      <c r="D919" s="105"/>
      <c r="E919" s="54"/>
      <c r="F919" s="82"/>
      <c r="G919" s="92"/>
      <c r="H919" s="54"/>
      <c r="I919" s="1"/>
    </row>
    <row r="920">
      <c r="A920" s="54"/>
      <c r="B920" s="88" t="str">
        <f>IFERROR(HYPERLINK(VLOOKUP(A920,Internal_lists_bugs!$A$2:$C$73,3,FALSE()), VLOOKUP(A920,Internal_lists_bugs!$A$2:$C$73,3,FALSE())&amp;Char(10) &amp; Char(10) &amp; VLOOKUP(A920,Internal_lists_bugs!$A$2:$Z$73,26,FALSE())),"please select a BUG ID")</f>
        <v>please select a BUG ID</v>
      </c>
      <c r="C920" s="51" t="str">
        <f>IFERROR(Hyperlink(VLOOKUP(A920,Internal_lists_bugs!$A$2:$G1061,7,FALSE()),"BIC: "&amp;VLOOKUP(A920,Internal_lists_bugs!$A$2:$G1061,7,FALSE())&amp;CHAR(10)&amp;"Intro.Issues: "&amp;VLOOKUP(A920,Internal_lists_bugs!$A$2:$P1061,16,FALSE())),"please select a BUG ID")</f>
        <v>please select a BUG ID</v>
      </c>
      <c r="D920" s="105"/>
      <c r="E920" s="54"/>
      <c r="F920" s="82"/>
      <c r="G920" s="92"/>
      <c r="H920" s="54"/>
      <c r="I920" s="1"/>
    </row>
    <row r="921">
      <c r="A921" s="54"/>
      <c r="B921" s="88" t="str">
        <f>IFERROR(HYPERLINK(VLOOKUP(A921,Internal_lists_bugs!$A$2:$C$73,3,FALSE()), VLOOKUP(A921,Internal_lists_bugs!$A$2:$C$73,3,FALSE())&amp;Char(10) &amp; Char(10) &amp; VLOOKUP(A921,Internal_lists_bugs!$A$2:$Z$73,26,FALSE())),"please select a BUG ID")</f>
        <v>please select a BUG ID</v>
      </c>
      <c r="C921" s="51" t="str">
        <f>IFERROR(Hyperlink(VLOOKUP(A921,Internal_lists_bugs!$A$2:$G1061,7,FALSE()),"BIC: "&amp;VLOOKUP(A921,Internal_lists_bugs!$A$2:$G1061,7,FALSE())&amp;CHAR(10)&amp;"Intro.Issues: "&amp;VLOOKUP(A921,Internal_lists_bugs!$A$2:$P1061,16,FALSE())),"please select a BUG ID")</f>
        <v>please select a BUG ID</v>
      </c>
      <c r="D921" s="105"/>
      <c r="E921" s="54"/>
      <c r="F921" s="82"/>
      <c r="G921" s="92"/>
      <c r="H921" s="54"/>
      <c r="I921" s="1"/>
    </row>
    <row r="922">
      <c r="A922" s="54"/>
      <c r="B922" s="88" t="str">
        <f>IFERROR(HYPERLINK(VLOOKUP(A922,Internal_lists_bugs!$A$2:$C$73,3,FALSE()), VLOOKUP(A922,Internal_lists_bugs!$A$2:$C$73,3,FALSE())&amp;Char(10) &amp; Char(10) &amp; VLOOKUP(A922,Internal_lists_bugs!$A$2:$Z$73,26,FALSE())),"please select a BUG ID")</f>
        <v>please select a BUG ID</v>
      </c>
      <c r="C922" s="51" t="str">
        <f>IFERROR(Hyperlink(VLOOKUP(A922,Internal_lists_bugs!$A$2:$G1061,7,FALSE()),"BIC: "&amp;VLOOKUP(A922,Internal_lists_bugs!$A$2:$G1061,7,FALSE())&amp;CHAR(10)&amp;"Intro.Issues: "&amp;VLOOKUP(A922,Internal_lists_bugs!$A$2:$P1061,16,FALSE())),"please select a BUG ID")</f>
        <v>please select a BUG ID</v>
      </c>
      <c r="D922" s="105"/>
      <c r="E922" s="54"/>
      <c r="F922" s="82"/>
      <c r="G922" s="92"/>
      <c r="H922" s="54"/>
      <c r="I922" s="1"/>
    </row>
    <row r="923">
      <c r="A923" s="54"/>
      <c r="B923" s="88" t="str">
        <f>IFERROR(HYPERLINK(VLOOKUP(A923,Internal_lists_bugs!$A$2:$C$73,3,FALSE()), VLOOKUP(A923,Internal_lists_bugs!$A$2:$C$73,3,FALSE())&amp;Char(10) &amp; Char(10) &amp; VLOOKUP(A923,Internal_lists_bugs!$A$2:$Z$73,26,FALSE())),"please select a BUG ID")</f>
        <v>please select a BUG ID</v>
      </c>
      <c r="C923" s="51" t="str">
        <f>IFERROR(Hyperlink(VLOOKUP(A923,Internal_lists_bugs!$A$2:$G1061,7,FALSE()),"BIC: "&amp;VLOOKUP(A923,Internal_lists_bugs!$A$2:$G1061,7,FALSE())&amp;CHAR(10)&amp;"Intro.Issues: "&amp;VLOOKUP(A923,Internal_lists_bugs!$A$2:$P1061,16,FALSE())),"please select a BUG ID")</f>
        <v>please select a BUG ID</v>
      </c>
      <c r="D923" s="105"/>
      <c r="E923" s="54"/>
      <c r="F923" s="82"/>
      <c r="G923" s="92"/>
      <c r="H923" s="54"/>
      <c r="I923" s="1"/>
    </row>
    <row r="924">
      <c r="A924" s="54"/>
      <c r="B924" s="88" t="str">
        <f>IFERROR(HYPERLINK(VLOOKUP(A924,Internal_lists_bugs!$A$2:$C$73,3,FALSE()), VLOOKUP(A924,Internal_lists_bugs!$A$2:$C$73,3,FALSE())&amp;Char(10) &amp; Char(10) &amp; VLOOKUP(A924,Internal_lists_bugs!$A$2:$Z$73,26,FALSE())),"please select a BUG ID")</f>
        <v>please select a BUG ID</v>
      </c>
      <c r="C924" s="51" t="str">
        <f>IFERROR(Hyperlink(VLOOKUP(A924,Internal_lists_bugs!$A$2:$G1061,7,FALSE()),"BIC: "&amp;VLOOKUP(A924,Internal_lists_bugs!$A$2:$G1061,7,FALSE())&amp;CHAR(10)&amp;"Intro.Issues: "&amp;VLOOKUP(A924,Internal_lists_bugs!$A$2:$P1061,16,FALSE())),"please select a BUG ID")</f>
        <v>please select a BUG ID</v>
      </c>
      <c r="D924" s="105"/>
      <c r="E924" s="54"/>
      <c r="F924" s="82"/>
      <c r="G924" s="92"/>
      <c r="H924" s="54"/>
      <c r="I924" s="1"/>
    </row>
    <row r="925">
      <c r="A925" s="54"/>
      <c r="B925" s="88" t="str">
        <f>IFERROR(HYPERLINK(VLOOKUP(A925,Internal_lists_bugs!$A$2:$C$73,3,FALSE()), VLOOKUP(A925,Internal_lists_bugs!$A$2:$C$73,3,FALSE())&amp;Char(10) &amp; Char(10) &amp; VLOOKUP(A925,Internal_lists_bugs!$A$2:$Z$73,26,FALSE())),"please select a BUG ID")</f>
        <v>please select a BUG ID</v>
      </c>
      <c r="C925" s="51" t="str">
        <f>IFERROR(Hyperlink(VLOOKUP(A925,Internal_lists_bugs!$A$2:$G1061,7,FALSE()),"BIC: "&amp;VLOOKUP(A925,Internal_lists_bugs!$A$2:$G1061,7,FALSE())&amp;CHAR(10)&amp;"Intro.Issues: "&amp;VLOOKUP(A925,Internal_lists_bugs!$A$2:$P1061,16,FALSE())),"please select a BUG ID")</f>
        <v>please select a BUG ID</v>
      </c>
      <c r="D925" s="105"/>
      <c r="E925" s="54"/>
      <c r="F925" s="82"/>
      <c r="G925" s="92"/>
      <c r="H925" s="54"/>
      <c r="I925" s="1"/>
    </row>
    <row r="926">
      <c r="A926" s="54"/>
      <c r="B926" s="88" t="str">
        <f>IFERROR(HYPERLINK(VLOOKUP(A926,Internal_lists_bugs!$A$2:$C$73,3,FALSE()), VLOOKUP(A926,Internal_lists_bugs!$A$2:$C$73,3,FALSE())&amp;Char(10) &amp; Char(10) &amp; VLOOKUP(A926,Internal_lists_bugs!$A$2:$Z$73,26,FALSE())),"please select a BUG ID")</f>
        <v>please select a BUG ID</v>
      </c>
      <c r="C926" s="51" t="str">
        <f>IFERROR(Hyperlink(VLOOKUP(A926,Internal_lists_bugs!$A$2:$G1061,7,FALSE()),"BIC: "&amp;VLOOKUP(A926,Internal_lists_bugs!$A$2:$G1061,7,FALSE())&amp;CHAR(10)&amp;"Intro.Issues: "&amp;VLOOKUP(A926,Internal_lists_bugs!$A$2:$P1061,16,FALSE())),"please select a BUG ID")</f>
        <v>please select a BUG ID</v>
      </c>
      <c r="D926" s="105"/>
      <c r="E926" s="54"/>
      <c r="F926" s="82"/>
      <c r="G926" s="92"/>
      <c r="H926" s="54"/>
      <c r="I926" s="1"/>
    </row>
    <row r="927">
      <c r="A927" s="54"/>
      <c r="B927" s="88" t="str">
        <f>IFERROR(HYPERLINK(VLOOKUP(A927,Internal_lists_bugs!$A$2:$C$73,3,FALSE()), VLOOKUP(A927,Internal_lists_bugs!$A$2:$C$73,3,FALSE())&amp;Char(10) &amp; Char(10) &amp; VLOOKUP(A927,Internal_lists_bugs!$A$2:$Z$73,26,FALSE())),"please select a BUG ID")</f>
        <v>please select a BUG ID</v>
      </c>
      <c r="C927" s="51" t="str">
        <f>IFERROR(Hyperlink(VLOOKUP(A927,Internal_lists_bugs!$A$2:$G1061,7,FALSE()),"BIC: "&amp;VLOOKUP(A927,Internal_lists_bugs!$A$2:$G1061,7,FALSE())&amp;CHAR(10)&amp;"Intro.Issues: "&amp;VLOOKUP(A927,Internal_lists_bugs!$A$2:$P1061,16,FALSE())),"please select a BUG ID")</f>
        <v>please select a BUG ID</v>
      </c>
      <c r="D927" s="105"/>
      <c r="E927" s="54"/>
      <c r="F927" s="82"/>
      <c r="G927" s="92"/>
      <c r="H927" s="54"/>
      <c r="I927" s="1"/>
    </row>
    <row r="928">
      <c r="A928" s="54"/>
      <c r="B928" s="88" t="str">
        <f>IFERROR(HYPERLINK(VLOOKUP(A928,Internal_lists_bugs!$A$2:$C$73,3,FALSE()), VLOOKUP(A928,Internal_lists_bugs!$A$2:$C$73,3,FALSE())&amp;Char(10) &amp; Char(10) &amp; VLOOKUP(A928,Internal_lists_bugs!$A$2:$Z$73,26,FALSE())),"please select a BUG ID")</f>
        <v>please select a BUG ID</v>
      </c>
      <c r="C928" s="51" t="str">
        <f>IFERROR(Hyperlink(VLOOKUP(A928,Internal_lists_bugs!$A$2:$G1061,7,FALSE()),"BIC: "&amp;VLOOKUP(A928,Internal_lists_bugs!$A$2:$G1061,7,FALSE())&amp;CHAR(10)&amp;"Intro.Issues: "&amp;VLOOKUP(A928,Internal_lists_bugs!$A$2:$P1061,16,FALSE())),"please select a BUG ID")</f>
        <v>please select a BUG ID</v>
      </c>
      <c r="D928" s="105"/>
      <c r="E928" s="54"/>
      <c r="F928" s="82"/>
      <c r="G928" s="92"/>
      <c r="H928" s="54"/>
      <c r="I928" s="1"/>
    </row>
    <row r="929">
      <c r="A929" s="54"/>
      <c r="B929" s="88" t="str">
        <f>IFERROR(HYPERLINK(VLOOKUP(A929,Internal_lists_bugs!$A$2:$C$73,3,FALSE()), VLOOKUP(A929,Internal_lists_bugs!$A$2:$C$73,3,FALSE())&amp;Char(10) &amp; Char(10) &amp; VLOOKUP(A929,Internal_lists_bugs!$A$2:$Z$73,26,FALSE())),"please select a BUG ID")</f>
        <v>please select a BUG ID</v>
      </c>
      <c r="C929" s="51" t="str">
        <f>IFERROR(Hyperlink(VLOOKUP(A929,Internal_lists_bugs!$A$2:$G1061,7,FALSE()),"BIC: "&amp;VLOOKUP(A929,Internal_lists_bugs!$A$2:$G1061,7,FALSE())&amp;CHAR(10)&amp;"Intro.Issues: "&amp;VLOOKUP(A929,Internal_lists_bugs!$A$2:$P1061,16,FALSE())),"please select a BUG ID")</f>
        <v>please select a BUG ID</v>
      </c>
      <c r="D929" s="105"/>
      <c r="E929" s="54"/>
      <c r="F929" s="82"/>
      <c r="G929" s="92"/>
      <c r="H929" s="54"/>
      <c r="I929" s="1"/>
    </row>
    <row r="930">
      <c r="A930" s="54"/>
      <c r="B930" s="88" t="str">
        <f>IFERROR(HYPERLINK(VLOOKUP(A930,Internal_lists_bugs!$A$2:$C$73,3,FALSE()), VLOOKUP(A930,Internal_lists_bugs!$A$2:$C$73,3,FALSE())&amp;Char(10) &amp; Char(10) &amp; VLOOKUP(A930,Internal_lists_bugs!$A$2:$Z$73,26,FALSE())),"please select a BUG ID")</f>
        <v>please select a BUG ID</v>
      </c>
      <c r="C930" s="51" t="str">
        <f>IFERROR(Hyperlink(VLOOKUP(A930,Internal_lists_bugs!$A$2:$G1061,7,FALSE()),"BIC: "&amp;VLOOKUP(A930,Internal_lists_bugs!$A$2:$G1061,7,FALSE())&amp;CHAR(10)&amp;"Intro.Issues: "&amp;VLOOKUP(A930,Internal_lists_bugs!$A$2:$P1061,16,FALSE())),"please select a BUG ID")</f>
        <v>please select a BUG ID</v>
      </c>
      <c r="D930" s="105"/>
      <c r="E930" s="54"/>
      <c r="F930" s="82"/>
      <c r="G930" s="92"/>
      <c r="H930" s="54"/>
      <c r="I930" s="1"/>
    </row>
    <row r="931">
      <c r="A931" s="54"/>
      <c r="B931" s="88" t="str">
        <f>IFERROR(HYPERLINK(VLOOKUP(A931,Internal_lists_bugs!$A$2:$C$73,3,FALSE()), VLOOKUP(A931,Internal_lists_bugs!$A$2:$C$73,3,FALSE())&amp;Char(10) &amp; Char(10) &amp; VLOOKUP(A931,Internal_lists_bugs!$A$2:$Z$73,26,FALSE())),"please select a BUG ID")</f>
        <v>please select a BUG ID</v>
      </c>
      <c r="C931" s="51" t="str">
        <f>IFERROR(Hyperlink(VLOOKUP(A931,Internal_lists_bugs!$A$2:$G1061,7,FALSE()),"BIC: "&amp;VLOOKUP(A931,Internal_lists_bugs!$A$2:$G1061,7,FALSE())&amp;CHAR(10)&amp;"Intro.Issues: "&amp;VLOOKUP(A931,Internal_lists_bugs!$A$2:$P1061,16,FALSE())),"please select a BUG ID")</f>
        <v>please select a BUG ID</v>
      </c>
      <c r="D931" s="105"/>
      <c r="E931" s="54"/>
      <c r="F931" s="82"/>
      <c r="G931" s="92"/>
      <c r="H931" s="54"/>
      <c r="I931" s="1"/>
    </row>
    <row r="932">
      <c r="A932" s="54"/>
      <c r="B932" s="88" t="str">
        <f>IFERROR(HYPERLINK(VLOOKUP(A932,Internal_lists_bugs!$A$2:$C$73,3,FALSE()), VLOOKUP(A932,Internal_lists_bugs!$A$2:$C$73,3,FALSE())&amp;Char(10) &amp; Char(10) &amp; VLOOKUP(A932,Internal_lists_bugs!$A$2:$Z$73,26,FALSE())),"please select a BUG ID")</f>
        <v>please select a BUG ID</v>
      </c>
      <c r="C932" s="51" t="str">
        <f>IFERROR(Hyperlink(VLOOKUP(A932,Internal_lists_bugs!$A$2:$G1061,7,FALSE()),"BIC: "&amp;VLOOKUP(A932,Internal_lists_bugs!$A$2:$G1061,7,FALSE())&amp;CHAR(10)&amp;"Intro.Issues: "&amp;VLOOKUP(A932,Internal_lists_bugs!$A$2:$P1061,16,FALSE())),"please select a BUG ID")</f>
        <v>please select a BUG ID</v>
      </c>
      <c r="D932" s="105"/>
      <c r="E932" s="54"/>
      <c r="F932" s="82"/>
      <c r="G932" s="92"/>
      <c r="H932" s="54"/>
      <c r="I932" s="1"/>
    </row>
    <row r="933">
      <c r="A933" s="54"/>
      <c r="B933" s="88" t="str">
        <f>IFERROR(HYPERLINK(VLOOKUP(A933,Internal_lists_bugs!$A$2:$C$73,3,FALSE()), VLOOKUP(A933,Internal_lists_bugs!$A$2:$C$73,3,FALSE())&amp;Char(10) &amp; Char(10) &amp; VLOOKUP(A933,Internal_lists_bugs!$A$2:$Z$73,26,FALSE())),"please select a BUG ID")</f>
        <v>please select a BUG ID</v>
      </c>
      <c r="C933" s="51" t="str">
        <f>IFERROR(Hyperlink(VLOOKUP(A933,Internal_lists_bugs!$A$2:$G1061,7,FALSE()),"BIC: "&amp;VLOOKUP(A933,Internal_lists_bugs!$A$2:$G1061,7,FALSE())&amp;CHAR(10)&amp;"Intro.Issues: "&amp;VLOOKUP(A933,Internal_lists_bugs!$A$2:$P1061,16,FALSE())),"please select a BUG ID")</f>
        <v>please select a BUG ID</v>
      </c>
      <c r="D933" s="105"/>
      <c r="E933" s="54"/>
      <c r="F933" s="82"/>
      <c r="G933" s="92"/>
      <c r="H933" s="54"/>
      <c r="I933" s="1"/>
    </row>
    <row r="934">
      <c r="A934" s="54"/>
      <c r="B934" s="88" t="str">
        <f>IFERROR(HYPERLINK(VLOOKUP(A934,Internal_lists_bugs!$A$2:$C$73,3,FALSE()), VLOOKUP(A934,Internal_lists_bugs!$A$2:$C$73,3,FALSE())&amp;Char(10) &amp; Char(10) &amp; VLOOKUP(A934,Internal_lists_bugs!$A$2:$Z$73,26,FALSE())),"please select a BUG ID")</f>
        <v>please select a BUG ID</v>
      </c>
      <c r="C934" s="51" t="str">
        <f>IFERROR(Hyperlink(VLOOKUP(A934,Internal_lists_bugs!$A$2:$G1061,7,FALSE()),"BIC: "&amp;VLOOKUP(A934,Internal_lists_bugs!$A$2:$G1061,7,FALSE())&amp;CHAR(10)&amp;"Intro.Issues: "&amp;VLOOKUP(A934,Internal_lists_bugs!$A$2:$P1061,16,FALSE())),"please select a BUG ID")</f>
        <v>please select a BUG ID</v>
      </c>
      <c r="D934" s="105"/>
      <c r="E934" s="54"/>
      <c r="F934" s="82"/>
      <c r="G934" s="92"/>
      <c r="H934" s="54"/>
      <c r="I934" s="1"/>
    </row>
    <row r="935">
      <c r="A935" s="54"/>
      <c r="B935" s="88" t="str">
        <f>IFERROR(HYPERLINK(VLOOKUP(A935,Internal_lists_bugs!$A$2:$C$73,3,FALSE()), VLOOKUP(A935,Internal_lists_bugs!$A$2:$C$73,3,FALSE())&amp;Char(10) &amp; Char(10) &amp; VLOOKUP(A935,Internal_lists_bugs!$A$2:$Z$73,26,FALSE())),"please select a BUG ID")</f>
        <v>please select a BUG ID</v>
      </c>
      <c r="C935" s="51" t="str">
        <f>IFERROR(Hyperlink(VLOOKUP(A935,Internal_lists_bugs!$A$2:$G1061,7,FALSE()),"BIC: "&amp;VLOOKUP(A935,Internal_lists_bugs!$A$2:$G1061,7,FALSE())&amp;CHAR(10)&amp;"Intro.Issues: "&amp;VLOOKUP(A935,Internal_lists_bugs!$A$2:$P1061,16,FALSE())),"please select a BUG ID")</f>
        <v>please select a BUG ID</v>
      </c>
      <c r="D935" s="105"/>
      <c r="E935" s="54"/>
      <c r="F935" s="82"/>
      <c r="G935" s="92"/>
      <c r="H935" s="54"/>
      <c r="I935" s="1"/>
    </row>
    <row r="936">
      <c r="A936" s="54"/>
      <c r="B936" s="88" t="str">
        <f>IFERROR(HYPERLINK(VLOOKUP(A936,Internal_lists_bugs!$A$2:$C$73,3,FALSE()), VLOOKUP(A936,Internal_lists_bugs!$A$2:$C$73,3,FALSE())&amp;Char(10) &amp; Char(10) &amp; VLOOKUP(A936,Internal_lists_bugs!$A$2:$Z$73,26,FALSE())),"please select a BUG ID")</f>
        <v>please select a BUG ID</v>
      </c>
      <c r="C936" s="51" t="str">
        <f>IFERROR(Hyperlink(VLOOKUP(A936,Internal_lists_bugs!$A$2:$G1061,7,FALSE()),"BIC: "&amp;VLOOKUP(A936,Internal_lists_bugs!$A$2:$G1061,7,FALSE())&amp;CHAR(10)&amp;"Intro.Issues: "&amp;VLOOKUP(A936,Internal_lists_bugs!$A$2:$P1061,16,FALSE())),"please select a BUG ID")</f>
        <v>please select a BUG ID</v>
      </c>
      <c r="D936" s="105"/>
      <c r="E936" s="54"/>
      <c r="F936" s="82"/>
      <c r="G936" s="92"/>
      <c r="H936" s="54"/>
      <c r="I936" s="1"/>
    </row>
    <row r="937">
      <c r="A937" s="54"/>
      <c r="B937" s="88" t="str">
        <f>IFERROR(HYPERLINK(VLOOKUP(A937,Internal_lists_bugs!$A$2:$C$73,3,FALSE()), VLOOKUP(A937,Internal_lists_bugs!$A$2:$C$73,3,FALSE())&amp;Char(10) &amp; Char(10) &amp; VLOOKUP(A937,Internal_lists_bugs!$A$2:$Z$73,26,FALSE())),"please select a BUG ID")</f>
        <v>please select a BUG ID</v>
      </c>
      <c r="C937" s="51" t="str">
        <f>IFERROR(Hyperlink(VLOOKUP(A937,Internal_lists_bugs!$A$2:$G1061,7,FALSE()),"BIC: "&amp;VLOOKUP(A937,Internal_lists_bugs!$A$2:$G1061,7,FALSE())&amp;CHAR(10)&amp;"Intro.Issues: "&amp;VLOOKUP(A937,Internal_lists_bugs!$A$2:$P1061,16,FALSE())),"please select a BUG ID")</f>
        <v>please select a BUG ID</v>
      </c>
      <c r="D937" s="105"/>
      <c r="E937" s="54"/>
      <c r="F937" s="82"/>
      <c r="G937" s="92"/>
      <c r="H937" s="54"/>
      <c r="I937" s="1"/>
    </row>
    <row r="938">
      <c r="A938" s="54"/>
      <c r="B938" s="88" t="str">
        <f>IFERROR(HYPERLINK(VLOOKUP(A938,Internal_lists_bugs!$A$2:$C$73,3,FALSE()), VLOOKUP(A938,Internal_lists_bugs!$A$2:$C$73,3,FALSE())&amp;Char(10) &amp; Char(10) &amp; VLOOKUP(A938,Internal_lists_bugs!$A$2:$Z$73,26,FALSE())),"please select a BUG ID")</f>
        <v>please select a BUG ID</v>
      </c>
      <c r="C938" s="51" t="str">
        <f>IFERROR(Hyperlink(VLOOKUP(A938,Internal_lists_bugs!$A$2:$G1061,7,FALSE()),"BIC: "&amp;VLOOKUP(A938,Internal_lists_bugs!$A$2:$G1061,7,FALSE())&amp;CHAR(10)&amp;"Intro.Issues: "&amp;VLOOKUP(A938,Internal_lists_bugs!$A$2:$P1061,16,FALSE())),"please select a BUG ID")</f>
        <v>please select a BUG ID</v>
      </c>
      <c r="D938" s="105"/>
      <c r="E938" s="54"/>
      <c r="F938" s="82"/>
      <c r="G938" s="92"/>
      <c r="H938" s="54"/>
      <c r="I938" s="1"/>
    </row>
    <row r="939">
      <c r="A939" s="54"/>
      <c r="B939" s="88" t="str">
        <f>IFERROR(HYPERLINK(VLOOKUP(A939,Internal_lists_bugs!$A$2:$C$73,3,FALSE()), VLOOKUP(A939,Internal_lists_bugs!$A$2:$C$73,3,FALSE())&amp;Char(10) &amp; Char(10) &amp; VLOOKUP(A939,Internal_lists_bugs!$A$2:$Z$73,26,FALSE())),"please select a BUG ID")</f>
        <v>please select a BUG ID</v>
      </c>
      <c r="C939" s="51" t="str">
        <f>IFERROR(Hyperlink(VLOOKUP(A939,Internal_lists_bugs!$A$2:$G1061,7,FALSE()),"BIC: "&amp;VLOOKUP(A939,Internal_lists_bugs!$A$2:$G1061,7,FALSE())&amp;CHAR(10)&amp;"Intro.Issues: "&amp;VLOOKUP(A939,Internal_lists_bugs!$A$2:$P1061,16,FALSE())),"please select a BUG ID")</f>
        <v>please select a BUG ID</v>
      </c>
      <c r="D939" s="105"/>
      <c r="E939" s="54"/>
      <c r="F939" s="82"/>
      <c r="G939" s="92"/>
      <c r="H939" s="54"/>
      <c r="I939" s="1"/>
    </row>
    <row r="940">
      <c r="A940" s="54"/>
      <c r="B940" s="88" t="str">
        <f>IFERROR(HYPERLINK(VLOOKUP(A940,Internal_lists_bugs!$A$2:$C$73,3,FALSE()), VLOOKUP(A940,Internal_lists_bugs!$A$2:$C$73,3,FALSE())&amp;Char(10) &amp; Char(10) &amp; VLOOKUP(A940,Internal_lists_bugs!$A$2:$Z$73,26,FALSE())),"please select a BUG ID")</f>
        <v>please select a BUG ID</v>
      </c>
      <c r="C940" s="51" t="str">
        <f>IFERROR(Hyperlink(VLOOKUP(A940,Internal_lists_bugs!$A$2:$G1061,7,FALSE()),"BIC: "&amp;VLOOKUP(A940,Internal_lists_bugs!$A$2:$G1061,7,FALSE())&amp;CHAR(10)&amp;"Intro.Issues: "&amp;VLOOKUP(A940,Internal_lists_bugs!$A$2:$P1061,16,FALSE())),"please select a BUG ID")</f>
        <v>please select a BUG ID</v>
      </c>
      <c r="D940" s="105"/>
      <c r="E940" s="54"/>
      <c r="F940" s="82"/>
      <c r="G940" s="92"/>
      <c r="H940" s="54"/>
      <c r="I940" s="1"/>
    </row>
    <row r="941">
      <c r="A941" s="54"/>
      <c r="B941" s="88" t="str">
        <f>IFERROR(HYPERLINK(VLOOKUP(A941,Internal_lists_bugs!$A$2:$C$73,3,FALSE()), VLOOKUP(A941,Internal_lists_bugs!$A$2:$C$73,3,FALSE())&amp;Char(10) &amp; Char(10) &amp; VLOOKUP(A941,Internal_lists_bugs!$A$2:$Z$73,26,FALSE())),"please select a BUG ID")</f>
        <v>please select a BUG ID</v>
      </c>
      <c r="C941" s="51" t="str">
        <f>IFERROR(Hyperlink(VLOOKUP(A941,Internal_lists_bugs!$A$2:$G1061,7,FALSE()),"BIC: "&amp;VLOOKUP(A941,Internal_lists_bugs!$A$2:$G1061,7,FALSE())&amp;CHAR(10)&amp;"Intro.Issues: "&amp;VLOOKUP(A941,Internal_lists_bugs!$A$2:$P1061,16,FALSE())),"please select a BUG ID")</f>
        <v>please select a BUG ID</v>
      </c>
      <c r="D941" s="105"/>
      <c r="E941" s="54"/>
      <c r="F941" s="82"/>
      <c r="G941" s="92"/>
      <c r="H941" s="54"/>
      <c r="I941" s="1"/>
    </row>
    <row r="942">
      <c r="A942" s="54"/>
      <c r="B942" s="88" t="str">
        <f>IFERROR(HYPERLINK(VLOOKUP(A942,Internal_lists_bugs!$A$2:$C$73,3,FALSE()), VLOOKUP(A942,Internal_lists_bugs!$A$2:$C$73,3,FALSE())&amp;Char(10) &amp; Char(10) &amp; VLOOKUP(A942,Internal_lists_bugs!$A$2:$Z$73,26,FALSE())),"please select a BUG ID")</f>
        <v>please select a BUG ID</v>
      </c>
      <c r="C942" s="51" t="str">
        <f>IFERROR(Hyperlink(VLOOKUP(A942,Internal_lists_bugs!$A$2:$G1061,7,FALSE()),"BIC: "&amp;VLOOKUP(A942,Internal_lists_bugs!$A$2:$G1061,7,FALSE())&amp;CHAR(10)&amp;"Intro.Issues: "&amp;VLOOKUP(A942,Internal_lists_bugs!$A$2:$P1061,16,FALSE())),"please select a BUG ID")</f>
        <v>please select a BUG ID</v>
      </c>
      <c r="D942" s="105"/>
      <c r="E942" s="54"/>
      <c r="F942" s="82"/>
      <c r="G942" s="92"/>
      <c r="H942" s="54"/>
      <c r="I942" s="1"/>
    </row>
    <row r="943">
      <c r="A943" s="54"/>
      <c r="B943" s="88" t="str">
        <f>IFERROR(HYPERLINK(VLOOKUP(A943,Internal_lists_bugs!$A$2:$C$73,3,FALSE()), VLOOKUP(A943,Internal_lists_bugs!$A$2:$C$73,3,FALSE())&amp;Char(10) &amp; Char(10) &amp; VLOOKUP(A943,Internal_lists_bugs!$A$2:$Z$73,26,FALSE())),"please select a BUG ID")</f>
        <v>please select a BUG ID</v>
      </c>
      <c r="C943" s="51" t="str">
        <f>IFERROR(Hyperlink(VLOOKUP(A943,Internal_lists_bugs!$A$2:$G1061,7,FALSE()),"BIC: "&amp;VLOOKUP(A943,Internal_lists_bugs!$A$2:$G1061,7,FALSE())&amp;CHAR(10)&amp;"Intro.Issues: "&amp;VLOOKUP(A943,Internal_lists_bugs!$A$2:$P1061,16,FALSE())),"please select a BUG ID")</f>
        <v>please select a BUG ID</v>
      </c>
      <c r="D943" s="105"/>
      <c r="E943" s="54"/>
      <c r="F943" s="82"/>
      <c r="G943" s="92"/>
      <c r="H943" s="54"/>
      <c r="I943" s="1"/>
    </row>
    <row r="944">
      <c r="A944" s="54"/>
      <c r="B944" s="88" t="str">
        <f>IFERROR(HYPERLINK(VLOOKUP(A944,Internal_lists_bugs!$A$2:$C$73,3,FALSE()), VLOOKUP(A944,Internal_lists_bugs!$A$2:$C$73,3,FALSE())&amp;Char(10) &amp; Char(10) &amp; VLOOKUP(A944,Internal_lists_bugs!$A$2:$Z$73,26,FALSE())),"please select a BUG ID")</f>
        <v>please select a BUG ID</v>
      </c>
      <c r="C944" s="51" t="str">
        <f>IFERROR(Hyperlink(VLOOKUP(A944,Internal_lists_bugs!$A$2:$G1061,7,FALSE()),"BIC: "&amp;VLOOKUP(A944,Internal_lists_bugs!$A$2:$G1061,7,FALSE())&amp;CHAR(10)&amp;"Intro.Issues: "&amp;VLOOKUP(A944,Internal_lists_bugs!$A$2:$P1061,16,FALSE())),"please select a BUG ID")</f>
        <v>please select a BUG ID</v>
      </c>
      <c r="D944" s="105"/>
      <c r="E944" s="54"/>
      <c r="F944" s="82"/>
      <c r="G944" s="92"/>
      <c r="H944" s="54"/>
      <c r="I944" s="1"/>
    </row>
    <row r="945">
      <c r="A945" s="54"/>
      <c r="B945" s="88" t="str">
        <f>IFERROR(HYPERLINK(VLOOKUP(A945,Internal_lists_bugs!$A$2:$C$73,3,FALSE()), VLOOKUP(A945,Internal_lists_bugs!$A$2:$C$73,3,FALSE())&amp;Char(10) &amp; Char(10) &amp; VLOOKUP(A945,Internal_lists_bugs!$A$2:$Z$73,26,FALSE())),"please select a BUG ID")</f>
        <v>please select a BUG ID</v>
      </c>
      <c r="C945" s="51" t="str">
        <f>IFERROR(Hyperlink(VLOOKUP(A945,Internal_lists_bugs!$A$2:$G1061,7,FALSE()),"BIC: "&amp;VLOOKUP(A945,Internal_lists_bugs!$A$2:$G1061,7,FALSE())&amp;CHAR(10)&amp;"Intro.Issues: "&amp;VLOOKUP(A945,Internal_lists_bugs!$A$2:$P1061,16,FALSE())),"please select a BUG ID")</f>
        <v>please select a BUG ID</v>
      </c>
      <c r="D945" s="105"/>
      <c r="E945" s="54"/>
      <c r="F945" s="82"/>
      <c r="G945" s="92"/>
      <c r="H945" s="54"/>
      <c r="I945" s="1"/>
    </row>
    <row r="946">
      <c r="A946" s="54"/>
      <c r="B946" s="88" t="str">
        <f>IFERROR(HYPERLINK(VLOOKUP(A946,Internal_lists_bugs!$A$2:$C$73,3,FALSE()), VLOOKUP(A946,Internal_lists_bugs!$A$2:$C$73,3,FALSE())&amp;Char(10) &amp; Char(10) &amp; VLOOKUP(A946,Internal_lists_bugs!$A$2:$Z$73,26,FALSE())),"please select a BUG ID")</f>
        <v>please select a BUG ID</v>
      </c>
      <c r="C946" s="51" t="str">
        <f>IFERROR(Hyperlink(VLOOKUP(A946,Internal_lists_bugs!$A$2:$G1061,7,FALSE()),"BIC: "&amp;VLOOKUP(A946,Internal_lists_bugs!$A$2:$G1061,7,FALSE())&amp;CHAR(10)&amp;"Intro.Issues: "&amp;VLOOKUP(A946,Internal_lists_bugs!$A$2:$P1061,16,FALSE())),"please select a BUG ID")</f>
        <v>please select a BUG ID</v>
      </c>
      <c r="D946" s="105"/>
      <c r="E946" s="54"/>
      <c r="F946" s="82"/>
      <c r="G946" s="92"/>
      <c r="H946" s="54"/>
      <c r="I946" s="1"/>
    </row>
    <row r="947">
      <c r="A947" s="54"/>
      <c r="B947" s="88" t="str">
        <f>IFERROR(HYPERLINK(VLOOKUP(A947,Internal_lists_bugs!$A$2:$C$73,3,FALSE()), VLOOKUP(A947,Internal_lists_bugs!$A$2:$C$73,3,FALSE())&amp;Char(10) &amp; Char(10) &amp; VLOOKUP(A947,Internal_lists_bugs!$A$2:$Z$73,26,FALSE())),"please select a BUG ID")</f>
        <v>please select a BUG ID</v>
      </c>
      <c r="C947" s="51" t="str">
        <f>IFERROR(Hyperlink(VLOOKUP(A947,Internal_lists_bugs!$A$2:$G1061,7,FALSE()),"BIC: "&amp;VLOOKUP(A947,Internal_lists_bugs!$A$2:$G1061,7,FALSE())&amp;CHAR(10)&amp;"Intro.Issues: "&amp;VLOOKUP(A947,Internal_lists_bugs!$A$2:$P1061,16,FALSE())),"please select a BUG ID")</f>
        <v>please select a BUG ID</v>
      </c>
      <c r="D947" s="105"/>
      <c r="E947" s="54"/>
      <c r="F947" s="82"/>
      <c r="G947" s="92"/>
      <c r="H947" s="54"/>
      <c r="I947" s="1"/>
    </row>
    <row r="948">
      <c r="A948" s="54"/>
      <c r="B948" s="88" t="str">
        <f>IFERROR(HYPERLINK(VLOOKUP(A948,Internal_lists_bugs!$A$2:$C$73,3,FALSE()), VLOOKUP(A948,Internal_lists_bugs!$A$2:$C$73,3,FALSE())&amp;Char(10) &amp; Char(10) &amp; VLOOKUP(A948,Internal_lists_bugs!$A$2:$Z$73,26,FALSE())),"please select a BUG ID")</f>
        <v>please select a BUG ID</v>
      </c>
      <c r="C948" s="51" t="str">
        <f>IFERROR(Hyperlink(VLOOKUP(A948,Internal_lists_bugs!$A$2:$G1061,7,FALSE()),"BIC: "&amp;VLOOKUP(A948,Internal_lists_bugs!$A$2:$G1061,7,FALSE())&amp;CHAR(10)&amp;"Intro.Issues: "&amp;VLOOKUP(A948,Internal_lists_bugs!$A$2:$P1061,16,FALSE())),"please select a BUG ID")</f>
        <v>please select a BUG ID</v>
      </c>
      <c r="D948" s="105"/>
      <c r="E948" s="54"/>
      <c r="F948" s="82"/>
      <c r="G948" s="92"/>
      <c r="H948" s="54"/>
      <c r="I948" s="1"/>
    </row>
    <row r="949">
      <c r="A949" s="54"/>
      <c r="B949" s="88" t="str">
        <f>IFERROR(HYPERLINK(VLOOKUP(A949,Internal_lists_bugs!$A$2:$C$73,3,FALSE()), VLOOKUP(A949,Internal_lists_bugs!$A$2:$C$73,3,FALSE())&amp;Char(10) &amp; Char(10) &amp; VLOOKUP(A949,Internal_lists_bugs!$A$2:$Z$73,26,FALSE())),"please select a BUG ID")</f>
        <v>please select a BUG ID</v>
      </c>
      <c r="C949" s="51" t="str">
        <f>IFERROR(Hyperlink(VLOOKUP(A949,Internal_lists_bugs!$A$2:$G1061,7,FALSE()),"BIC: "&amp;VLOOKUP(A949,Internal_lists_bugs!$A$2:$G1061,7,FALSE())&amp;CHAR(10)&amp;"Intro.Issues: "&amp;VLOOKUP(A949,Internal_lists_bugs!$A$2:$P1061,16,FALSE())),"please select a BUG ID")</f>
        <v>please select a BUG ID</v>
      </c>
      <c r="D949" s="105"/>
      <c r="E949" s="54"/>
      <c r="F949" s="82"/>
      <c r="G949" s="92"/>
      <c r="H949" s="54"/>
      <c r="I949" s="1"/>
    </row>
    <row r="950">
      <c r="A950" s="54"/>
      <c r="B950" s="88" t="str">
        <f>IFERROR(HYPERLINK(VLOOKUP(A950,Internal_lists_bugs!$A$2:$C$73,3,FALSE()), VLOOKUP(A950,Internal_lists_bugs!$A$2:$C$73,3,FALSE())&amp;Char(10) &amp; Char(10) &amp; VLOOKUP(A950,Internal_lists_bugs!$A$2:$Z$73,26,FALSE())),"please select a BUG ID")</f>
        <v>please select a BUG ID</v>
      </c>
      <c r="C950" s="51" t="str">
        <f>IFERROR(Hyperlink(VLOOKUP(A950,Internal_lists_bugs!$A$2:$G1061,7,FALSE()),"BIC: "&amp;VLOOKUP(A950,Internal_lists_bugs!$A$2:$G1061,7,FALSE())&amp;CHAR(10)&amp;"Intro.Issues: "&amp;VLOOKUP(A950,Internal_lists_bugs!$A$2:$P1061,16,FALSE())),"please select a BUG ID")</f>
        <v>please select a BUG ID</v>
      </c>
      <c r="D950" s="105"/>
      <c r="E950" s="54"/>
      <c r="F950" s="82"/>
      <c r="G950" s="92"/>
      <c r="H950" s="54"/>
      <c r="I950" s="1"/>
    </row>
    <row r="951">
      <c r="A951" s="54"/>
      <c r="B951" s="88" t="str">
        <f>IFERROR(HYPERLINK(VLOOKUP(A951,Internal_lists_bugs!$A$2:$C$73,3,FALSE()), VLOOKUP(A951,Internal_lists_bugs!$A$2:$C$73,3,FALSE())&amp;Char(10) &amp; Char(10) &amp; VLOOKUP(A951,Internal_lists_bugs!$A$2:$Z$73,26,FALSE())),"please select a BUG ID")</f>
        <v>please select a BUG ID</v>
      </c>
      <c r="C951" s="51" t="str">
        <f>IFERROR(Hyperlink(VLOOKUP(A951,Internal_lists_bugs!$A$2:$G1061,7,FALSE()),"BIC: "&amp;VLOOKUP(A951,Internal_lists_bugs!$A$2:$G1061,7,FALSE())&amp;CHAR(10)&amp;"Intro.Issues: "&amp;VLOOKUP(A951,Internal_lists_bugs!$A$2:$P1061,16,FALSE())),"please select a BUG ID")</f>
        <v>please select a BUG ID</v>
      </c>
      <c r="D951" s="105"/>
      <c r="E951" s="54"/>
      <c r="F951" s="82"/>
      <c r="G951" s="92"/>
      <c r="H951" s="54"/>
      <c r="I951" s="1"/>
    </row>
    <row r="952">
      <c r="A952" s="54"/>
      <c r="B952" s="88" t="str">
        <f>IFERROR(HYPERLINK(VLOOKUP(A952,Internal_lists_bugs!$A$2:$C$73,3,FALSE()), VLOOKUP(A952,Internal_lists_bugs!$A$2:$C$73,3,FALSE())&amp;Char(10) &amp; Char(10) &amp; VLOOKUP(A952,Internal_lists_bugs!$A$2:$Z$73,26,FALSE())),"please select a BUG ID")</f>
        <v>please select a BUG ID</v>
      </c>
      <c r="C952" s="51" t="str">
        <f>IFERROR(Hyperlink(VLOOKUP(A952,Internal_lists_bugs!$A$2:$G1061,7,FALSE()),"BIC: "&amp;VLOOKUP(A952,Internal_lists_bugs!$A$2:$G1061,7,FALSE())&amp;CHAR(10)&amp;"Intro.Issues: "&amp;VLOOKUP(A952,Internal_lists_bugs!$A$2:$P1061,16,FALSE())),"please select a BUG ID")</f>
        <v>please select a BUG ID</v>
      </c>
      <c r="D952" s="105"/>
      <c r="E952" s="54"/>
      <c r="F952" s="82"/>
      <c r="G952" s="92"/>
      <c r="H952" s="54"/>
      <c r="I952" s="1"/>
    </row>
    <row r="953">
      <c r="A953" s="54"/>
      <c r="B953" s="88" t="str">
        <f>IFERROR(HYPERLINK(VLOOKUP(A953,Internal_lists_bugs!$A$2:$C$73,3,FALSE()), VLOOKUP(A953,Internal_lists_bugs!$A$2:$C$73,3,FALSE())&amp;Char(10) &amp; Char(10) &amp; VLOOKUP(A953,Internal_lists_bugs!$A$2:$Z$73,26,FALSE())),"please select a BUG ID")</f>
        <v>please select a BUG ID</v>
      </c>
      <c r="C953" s="51" t="str">
        <f>IFERROR(Hyperlink(VLOOKUP(A953,Internal_lists_bugs!$A$2:$G1061,7,FALSE()),"BIC: "&amp;VLOOKUP(A953,Internal_lists_bugs!$A$2:$G1061,7,FALSE())&amp;CHAR(10)&amp;"Intro.Issues: "&amp;VLOOKUP(A953,Internal_lists_bugs!$A$2:$P1061,16,FALSE())),"please select a BUG ID")</f>
        <v>please select a BUG ID</v>
      </c>
      <c r="D953" s="105"/>
      <c r="E953" s="54"/>
      <c r="F953" s="82"/>
      <c r="G953" s="92"/>
      <c r="H953" s="54"/>
      <c r="I953" s="1"/>
    </row>
    <row r="954">
      <c r="A954" s="54"/>
      <c r="B954" s="88" t="str">
        <f>IFERROR(HYPERLINK(VLOOKUP(A954,Internal_lists_bugs!$A$2:$C$73,3,FALSE()), VLOOKUP(A954,Internal_lists_bugs!$A$2:$C$73,3,FALSE())&amp;Char(10) &amp; Char(10) &amp; VLOOKUP(A954,Internal_lists_bugs!$A$2:$Z$73,26,FALSE())),"please select a BUG ID")</f>
        <v>please select a BUG ID</v>
      </c>
      <c r="C954" s="51" t="str">
        <f>IFERROR(Hyperlink(VLOOKUP(A954,Internal_lists_bugs!$A$2:$G1061,7,FALSE()),"BIC: "&amp;VLOOKUP(A954,Internal_lists_bugs!$A$2:$G1061,7,FALSE())&amp;CHAR(10)&amp;"Intro.Issues: "&amp;VLOOKUP(A954,Internal_lists_bugs!$A$2:$P1061,16,FALSE())),"please select a BUG ID")</f>
        <v>please select a BUG ID</v>
      </c>
      <c r="D954" s="105"/>
      <c r="E954" s="54"/>
      <c r="F954" s="82"/>
      <c r="G954" s="92"/>
      <c r="H954" s="54"/>
      <c r="I954" s="1"/>
    </row>
    <row r="955">
      <c r="A955" s="54"/>
      <c r="B955" s="88" t="str">
        <f>IFERROR(HYPERLINK(VLOOKUP(A955,Internal_lists_bugs!$A$2:$C$73,3,FALSE()), VLOOKUP(A955,Internal_lists_bugs!$A$2:$C$73,3,FALSE())&amp;Char(10) &amp; Char(10) &amp; VLOOKUP(A955,Internal_lists_bugs!$A$2:$Z$73,26,FALSE())),"please select a BUG ID")</f>
        <v>please select a BUG ID</v>
      </c>
      <c r="C955" s="51" t="str">
        <f>IFERROR(Hyperlink(VLOOKUP(A955,Internal_lists_bugs!$A$2:$G1061,7,FALSE()),"BIC: "&amp;VLOOKUP(A955,Internal_lists_bugs!$A$2:$G1061,7,FALSE())&amp;CHAR(10)&amp;"Intro.Issues: "&amp;VLOOKUP(A955,Internal_lists_bugs!$A$2:$P1061,16,FALSE())),"please select a BUG ID")</f>
        <v>please select a BUG ID</v>
      </c>
      <c r="D955" s="105"/>
      <c r="E955" s="54"/>
      <c r="F955" s="82"/>
      <c r="G955" s="92"/>
      <c r="H955" s="54"/>
      <c r="I955" s="1"/>
    </row>
    <row r="956">
      <c r="A956" s="54"/>
      <c r="B956" s="88" t="str">
        <f>IFERROR(HYPERLINK(VLOOKUP(A956,Internal_lists_bugs!$A$2:$C$73,3,FALSE()), VLOOKUP(A956,Internal_lists_bugs!$A$2:$C$73,3,FALSE())&amp;Char(10) &amp; Char(10) &amp; VLOOKUP(A956,Internal_lists_bugs!$A$2:$Z$73,26,FALSE())),"please select a BUG ID")</f>
        <v>please select a BUG ID</v>
      </c>
      <c r="C956" s="51" t="str">
        <f>IFERROR(Hyperlink(VLOOKUP(A956,Internal_lists_bugs!$A$2:$G1061,7,FALSE()),"BIC: "&amp;VLOOKUP(A956,Internal_lists_bugs!$A$2:$G1061,7,FALSE())&amp;CHAR(10)&amp;"Intro.Issues: "&amp;VLOOKUP(A956,Internal_lists_bugs!$A$2:$P1061,16,FALSE())),"please select a BUG ID")</f>
        <v>please select a BUG ID</v>
      </c>
      <c r="D956" s="105"/>
      <c r="E956" s="54"/>
      <c r="F956" s="82"/>
      <c r="G956" s="92"/>
      <c r="H956" s="54"/>
      <c r="I956" s="1"/>
    </row>
    <row r="957">
      <c r="A957" s="54"/>
      <c r="B957" s="88" t="str">
        <f>IFERROR(HYPERLINK(VLOOKUP(A957,Internal_lists_bugs!$A$2:$C$73,3,FALSE()), VLOOKUP(A957,Internal_lists_bugs!$A$2:$C$73,3,FALSE())&amp;Char(10) &amp; Char(10) &amp; VLOOKUP(A957,Internal_lists_bugs!$A$2:$Z$73,26,FALSE())),"please select a BUG ID")</f>
        <v>please select a BUG ID</v>
      </c>
      <c r="C957" s="51" t="str">
        <f>IFERROR(Hyperlink(VLOOKUP(A957,Internal_lists_bugs!$A$2:$G1061,7,FALSE()),"BIC: "&amp;VLOOKUP(A957,Internal_lists_bugs!$A$2:$G1061,7,FALSE())&amp;CHAR(10)&amp;"Intro.Issues: "&amp;VLOOKUP(A957,Internal_lists_bugs!$A$2:$P1061,16,FALSE())),"please select a BUG ID")</f>
        <v>please select a BUG ID</v>
      </c>
      <c r="D957" s="105"/>
      <c r="E957" s="54"/>
      <c r="F957" s="82"/>
      <c r="G957" s="92"/>
      <c r="H957" s="54"/>
      <c r="I957" s="1"/>
    </row>
    <row r="958">
      <c r="A958" s="54"/>
      <c r="B958" s="88" t="str">
        <f>IFERROR(HYPERLINK(VLOOKUP(A958,Internal_lists_bugs!$A$2:$C$73,3,FALSE()), VLOOKUP(A958,Internal_lists_bugs!$A$2:$C$73,3,FALSE())&amp;Char(10) &amp; Char(10) &amp; VLOOKUP(A958,Internal_lists_bugs!$A$2:$Z$73,26,FALSE())),"please select a BUG ID")</f>
        <v>please select a BUG ID</v>
      </c>
      <c r="C958" s="51" t="str">
        <f>IFERROR(Hyperlink(VLOOKUP(A958,Internal_lists_bugs!$A$2:$G1061,7,FALSE()),"BIC: "&amp;VLOOKUP(A958,Internal_lists_bugs!$A$2:$G1061,7,FALSE())&amp;CHAR(10)&amp;"Intro.Issues: "&amp;VLOOKUP(A958,Internal_lists_bugs!$A$2:$P1061,16,FALSE())),"please select a BUG ID")</f>
        <v>please select a BUG ID</v>
      </c>
      <c r="D958" s="105"/>
      <c r="E958" s="54"/>
      <c r="F958" s="82"/>
      <c r="G958" s="92"/>
      <c r="H958" s="54"/>
      <c r="I958" s="1"/>
    </row>
    <row r="959">
      <c r="A959" s="54"/>
      <c r="B959" s="88" t="str">
        <f>IFERROR(HYPERLINK(VLOOKUP(A959,Internal_lists_bugs!$A$2:$C$73,3,FALSE()), VLOOKUP(A959,Internal_lists_bugs!$A$2:$C$73,3,FALSE())&amp;Char(10) &amp; Char(10) &amp; VLOOKUP(A959,Internal_lists_bugs!$A$2:$Z$73,26,FALSE())),"please select a BUG ID")</f>
        <v>please select a BUG ID</v>
      </c>
      <c r="C959" s="51" t="str">
        <f>IFERROR(Hyperlink(VLOOKUP(A959,Internal_lists_bugs!$A$2:$G1061,7,FALSE()),"BIC: "&amp;VLOOKUP(A959,Internal_lists_bugs!$A$2:$G1061,7,FALSE())&amp;CHAR(10)&amp;"Intro.Issues: "&amp;VLOOKUP(A959,Internal_lists_bugs!$A$2:$P1061,16,FALSE())),"please select a BUG ID")</f>
        <v>please select a BUG ID</v>
      </c>
      <c r="D959" s="105"/>
      <c r="E959" s="54"/>
      <c r="F959" s="82"/>
      <c r="G959" s="92"/>
      <c r="H959" s="54"/>
      <c r="I959" s="1"/>
    </row>
    <row r="960">
      <c r="A960" s="54"/>
      <c r="B960" s="88" t="str">
        <f>IFERROR(HYPERLINK(VLOOKUP(A960,Internal_lists_bugs!$A$2:$C$73,3,FALSE()), VLOOKUP(A960,Internal_lists_bugs!$A$2:$C$73,3,FALSE())&amp;Char(10) &amp; Char(10) &amp; VLOOKUP(A960,Internal_lists_bugs!$A$2:$Z$73,26,FALSE())),"please select a BUG ID")</f>
        <v>please select a BUG ID</v>
      </c>
      <c r="C960" s="51" t="str">
        <f>IFERROR(Hyperlink(VLOOKUP(A960,Internal_lists_bugs!$A$2:$G1061,7,FALSE()),"BIC: "&amp;VLOOKUP(A960,Internal_lists_bugs!$A$2:$G1061,7,FALSE())&amp;CHAR(10)&amp;"Intro.Issues: "&amp;VLOOKUP(A960,Internal_lists_bugs!$A$2:$P1061,16,FALSE())),"please select a BUG ID")</f>
        <v>please select a BUG ID</v>
      </c>
      <c r="D960" s="105"/>
      <c r="E960" s="54"/>
      <c r="F960" s="82"/>
      <c r="G960" s="92"/>
      <c r="H960" s="54"/>
      <c r="I960" s="1"/>
    </row>
    <row r="961">
      <c r="A961" s="54"/>
      <c r="B961" s="88" t="str">
        <f>IFERROR(HYPERLINK(VLOOKUP(A961,Internal_lists_bugs!$A$2:$C$73,3,FALSE()), VLOOKUP(A961,Internal_lists_bugs!$A$2:$C$73,3,FALSE())&amp;Char(10) &amp; Char(10) &amp; VLOOKUP(A961,Internal_lists_bugs!$A$2:$Z$73,26,FALSE())),"please select a BUG ID")</f>
        <v>please select a BUG ID</v>
      </c>
      <c r="C961" s="51" t="str">
        <f>IFERROR(Hyperlink(VLOOKUP(A961,Internal_lists_bugs!$A$2:$G1061,7,FALSE()),"BIC: "&amp;VLOOKUP(A961,Internal_lists_bugs!$A$2:$G1061,7,FALSE())&amp;CHAR(10)&amp;"Intro.Issues: "&amp;VLOOKUP(A961,Internal_lists_bugs!$A$2:$P1061,16,FALSE())),"please select a BUG ID")</f>
        <v>please select a BUG ID</v>
      </c>
      <c r="D961" s="105"/>
      <c r="E961" s="54"/>
      <c r="F961" s="82"/>
      <c r="G961" s="92"/>
      <c r="H961" s="54"/>
      <c r="I961" s="1"/>
    </row>
    <row r="962">
      <c r="A962" s="54"/>
      <c r="B962" s="88" t="str">
        <f>IFERROR(HYPERLINK(VLOOKUP(A962,Internal_lists_bugs!$A$2:$C$73,3,FALSE()), VLOOKUP(A962,Internal_lists_bugs!$A$2:$C$73,3,FALSE())&amp;Char(10) &amp; Char(10) &amp; VLOOKUP(A962,Internal_lists_bugs!$A$2:$Z$73,26,FALSE())),"please select a BUG ID")</f>
        <v>please select a BUG ID</v>
      </c>
      <c r="C962" s="51" t="str">
        <f>IFERROR(Hyperlink(VLOOKUP(A962,Internal_lists_bugs!$A$2:$G1061,7,FALSE()),"BIC: "&amp;VLOOKUP(A962,Internal_lists_bugs!$A$2:$G1061,7,FALSE())&amp;CHAR(10)&amp;"Intro.Issues: "&amp;VLOOKUP(A962,Internal_lists_bugs!$A$2:$P1061,16,FALSE())),"please select a BUG ID")</f>
        <v>please select a BUG ID</v>
      </c>
      <c r="D962" s="105"/>
      <c r="E962" s="54"/>
      <c r="F962" s="82"/>
      <c r="G962" s="92"/>
      <c r="H962" s="54"/>
      <c r="I962" s="1"/>
    </row>
    <row r="963">
      <c r="A963" s="54"/>
      <c r="B963" s="88" t="str">
        <f>IFERROR(HYPERLINK(VLOOKUP(A963,Internal_lists_bugs!$A$2:$C$73,3,FALSE()), VLOOKUP(A963,Internal_lists_bugs!$A$2:$C$73,3,FALSE())&amp;Char(10) &amp; Char(10) &amp; VLOOKUP(A963,Internal_lists_bugs!$A$2:$Z$73,26,FALSE())),"please select a BUG ID")</f>
        <v>please select a BUG ID</v>
      </c>
      <c r="C963" s="51" t="str">
        <f>IFERROR(Hyperlink(VLOOKUP(A963,Internal_lists_bugs!$A$2:$G1061,7,FALSE()),"BIC: "&amp;VLOOKUP(A963,Internal_lists_bugs!$A$2:$G1061,7,FALSE())&amp;CHAR(10)&amp;"Intro.Issues: "&amp;VLOOKUP(A963,Internal_lists_bugs!$A$2:$P1061,16,FALSE())),"please select a BUG ID")</f>
        <v>please select a BUG ID</v>
      </c>
      <c r="D963" s="105"/>
      <c r="E963" s="54"/>
      <c r="F963" s="82"/>
      <c r="G963" s="92"/>
      <c r="H963" s="54"/>
      <c r="I963" s="1"/>
    </row>
    <row r="964">
      <c r="A964" s="54"/>
      <c r="B964" s="88" t="str">
        <f>IFERROR(HYPERLINK(VLOOKUP(A964,Internal_lists_bugs!$A$2:$C$73,3,FALSE()), VLOOKUP(A964,Internal_lists_bugs!$A$2:$C$73,3,FALSE())&amp;Char(10) &amp; Char(10) &amp; VLOOKUP(A964,Internal_lists_bugs!$A$2:$Z$73,26,FALSE())),"please select a BUG ID")</f>
        <v>please select a BUG ID</v>
      </c>
      <c r="C964" s="51" t="str">
        <f>IFERROR(Hyperlink(VLOOKUP(A964,Internal_lists_bugs!$A$2:$G1061,7,FALSE()),"BIC: "&amp;VLOOKUP(A964,Internal_lists_bugs!$A$2:$G1061,7,FALSE())&amp;CHAR(10)&amp;"Intro.Issues: "&amp;VLOOKUP(A964,Internal_lists_bugs!$A$2:$P1061,16,FALSE())),"please select a BUG ID")</f>
        <v>please select a BUG ID</v>
      </c>
      <c r="D964" s="105"/>
      <c r="E964" s="54"/>
      <c r="F964" s="82"/>
      <c r="G964" s="92"/>
      <c r="H964" s="54"/>
      <c r="I964" s="1"/>
    </row>
    <row r="965">
      <c r="A965" s="54"/>
      <c r="B965" s="88" t="str">
        <f>IFERROR(HYPERLINK(VLOOKUP(A965,Internal_lists_bugs!$A$2:$C$73,3,FALSE()), VLOOKUP(A965,Internal_lists_bugs!$A$2:$C$73,3,FALSE())&amp;Char(10) &amp; Char(10) &amp; VLOOKUP(A965,Internal_lists_bugs!$A$2:$Z$73,26,FALSE())),"please select a BUG ID")</f>
        <v>please select a BUG ID</v>
      </c>
      <c r="C965" s="51" t="str">
        <f>IFERROR(Hyperlink(VLOOKUP(A965,Internal_lists_bugs!$A$2:$G1061,7,FALSE()),"BIC: "&amp;VLOOKUP(A965,Internal_lists_bugs!$A$2:$G1061,7,FALSE())&amp;CHAR(10)&amp;"Intro.Issues: "&amp;VLOOKUP(A965,Internal_lists_bugs!$A$2:$P1061,16,FALSE())),"please select a BUG ID")</f>
        <v>please select a BUG ID</v>
      </c>
      <c r="D965" s="105"/>
      <c r="E965" s="54"/>
      <c r="F965" s="82"/>
      <c r="G965" s="92"/>
      <c r="H965" s="54"/>
      <c r="I965" s="1"/>
    </row>
    <row r="966">
      <c r="A966" s="54"/>
      <c r="B966" s="88" t="str">
        <f>IFERROR(HYPERLINK(VLOOKUP(A966,Internal_lists_bugs!$A$2:$C$73,3,FALSE()), VLOOKUP(A966,Internal_lists_bugs!$A$2:$C$73,3,FALSE())&amp;Char(10) &amp; Char(10) &amp; VLOOKUP(A966,Internal_lists_bugs!$A$2:$Z$73,26,FALSE())),"please select a BUG ID")</f>
        <v>please select a BUG ID</v>
      </c>
      <c r="C966" s="51" t="str">
        <f>IFERROR(Hyperlink(VLOOKUP(A966,Internal_lists_bugs!$A$2:$G1061,7,FALSE()),"BIC: "&amp;VLOOKUP(A966,Internal_lists_bugs!$A$2:$G1061,7,FALSE())&amp;CHAR(10)&amp;"Intro.Issues: "&amp;VLOOKUP(A966,Internal_lists_bugs!$A$2:$P1061,16,FALSE())),"please select a BUG ID")</f>
        <v>please select a BUG ID</v>
      </c>
      <c r="D966" s="105"/>
      <c r="E966" s="54"/>
      <c r="F966" s="82"/>
      <c r="G966" s="92"/>
      <c r="H966" s="54"/>
      <c r="I966" s="1"/>
    </row>
    <row r="967">
      <c r="A967" s="54"/>
      <c r="B967" s="88" t="str">
        <f>IFERROR(HYPERLINK(VLOOKUP(A967,Internal_lists_bugs!$A$2:$C$73,3,FALSE()), VLOOKUP(A967,Internal_lists_bugs!$A$2:$C$73,3,FALSE())&amp;Char(10) &amp; Char(10) &amp; VLOOKUP(A967,Internal_lists_bugs!$A$2:$Z$73,26,FALSE())),"please select a BUG ID")</f>
        <v>please select a BUG ID</v>
      </c>
      <c r="C967" s="51" t="str">
        <f>IFERROR(Hyperlink(VLOOKUP(A967,Internal_lists_bugs!$A$2:$G1061,7,FALSE()),"BIC: "&amp;VLOOKUP(A967,Internal_lists_bugs!$A$2:$G1061,7,FALSE())&amp;CHAR(10)&amp;"Intro.Issues: "&amp;VLOOKUP(A967,Internal_lists_bugs!$A$2:$P1061,16,FALSE())),"please select a BUG ID")</f>
        <v>please select a BUG ID</v>
      </c>
      <c r="D967" s="105"/>
      <c r="E967" s="54"/>
      <c r="F967" s="82"/>
      <c r="G967" s="92"/>
      <c r="H967" s="54"/>
      <c r="I967" s="1"/>
    </row>
    <row r="968">
      <c r="A968" s="54"/>
      <c r="B968" s="88" t="str">
        <f>IFERROR(HYPERLINK(VLOOKUP(A968,Internal_lists_bugs!$A$2:$C$73,3,FALSE()), VLOOKUP(A968,Internal_lists_bugs!$A$2:$C$73,3,FALSE())&amp;Char(10) &amp; Char(10) &amp; VLOOKUP(A968,Internal_lists_bugs!$A$2:$Z$73,26,FALSE())),"please select a BUG ID")</f>
        <v>please select a BUG ID</v>
      </c>
      <c r="C968" s="51" t="str">
        <f>IFERROR(Hyperlink(VLOOKUP(A968,Internal_lists_bugs!$A$2:$G1061,7,FALSE()),"BIC: "&amp;VLOOKUP(A968,Internal_lists_bugs!$A$2:$G1061,7,FALSE())&amp;CHAR(10)&amp;"Intro.Issues: "&amp;VLOOKUP(A968,Internal_lists_bugs!$A$2:$P1061,16,FALSE())),"please select a BUG ID")</f>
        <v>please select a BUG ID</v>
      </c>
      <c r="D968" s="105"/>
      <c r="E968" s="54"/>
      <c r="F968" s="82"/>
      <c r="G968" s="92"/>
      <c r="H968" s="54"/>
      <c r="I968" s="1"/>
    </row>
    <row r="969">
      <c r="A969" s="54"/>
      <c r="B969" s="88" t="str">
        <f>IFERROR(HYPERLINK(VLOOKUP(A969,Internal_lists_bugs!$A$2:$C$73,3,FALSE()), VLOOKUP(A969,Internal_lists_bugs!$A$2:$C$73,3,FALSE())&amp;Char(10) &amp; Char(10) &amp; VLOOKUP(A969,Internal_lists_bugs!$A$2:$Z$73,26,FALSE())),"please select a BUG ID")</f>
        <v>please select a BUG ID</v>
      </c>
      <c r="C969" s="51" t="str">
        <f>IFERROR(Hyperlink(VLOOKUP(A969,Internal_lists_bugs!$A$2:$G1061,7,FALSE()),"BIC: "&amp;VLOOKUP(A969,Internal_lists_bugs!$A$2:$G1061,7,FALSE())&amp;CHAR(10)&amp;"Intro.Issues: "&amp;VLOOKUP(A969,Internal_lists_bugs!$A$2:$P1061,16,FALSE())),"please select a BUG ID")</f>
        <v>please select a BUG ID</v>
      </c>
      <c r="D969" s="105"/>
      <c r="E969" s="54"/>
      <c r="F969" s="82"/>
      <c r="G969" s="92"/>
      <c r="H969" s="54"/>
      <c r="I969" s="1"/>
    </row>
    <row r="970">
      <c r="A970" s="54"/>
      <c r="B970" s="88" t="str">
        <f>IFERROR(HYPERLINK(VLOOKUP(A970,Internal_lists_bugs!$A$2:$C$73,3,FALSE()), VLOOKUP(A970,Internal_lists_bugs!$A$2:$C$73,3,FALSE())&amp;Char(10) &amp; Char(10) &amp; VLOOKUP(A970,Internal_lists_bugs!$A$2:$Z$73,26,FALSE())),"please select a BUG ID")</f>
        <v>please select a BUG ID</v>
      </c>
      <c r="C970" s="51" t="str">
        <f>IFERROR(Hyperlink(VLOOKUP(A970,Internal_lists_bugs!$A$2:$G1061,7,FALSE()),"BIC: "&amp;VLOOKUP(A970,Internal_lists_bugs!$A$2:$G1061,7,FALSE())&amp;CHAR(10)&amp;"Intro.Issues: "&amp;VLOOKUP(A970,Internal_lists_bugs!$A$2:$P1061,16,FALSE())),"please select a BUG ID")</f>
        <v>please select a BUG ID</v>
      </c>
      <c r="D970" s="105"/>
      <c r="E970" s="54"/>
      <c r="F970" s="82"/>
      <c r="G970" s="92"/>
      <c r="H970" s="54"/>
      <c r="I970" s="1"/>
    </row>
    <row r="971">
      <c r="A971" s="54"/>
      <c r="B971" s="88" t="str">
        <f>IFERROR(HYPERLINK(VLOOKUP(A971,Internal_lists_bugs!$A$2:$C$73,3,FALSE()), VLOOKUP(A971,Internal_lists_bugs!$A$2:$C$73,3,FALSE())&amp;Char(10) &amp; Char(10) &amp; VLOOKUP(A971,Internal_lists_bugs!$A$2:$Z$73,26,FALSE())),"please select a BUG ID")</f>
        <v>please select a BUG ID</v>
      </c>
      <c r="C971" s="51" t="str">
        <f>IFERROR(Hyperlink(VLOOKUP(A971,Internal_lists_bugs!$A$2:$G1061,7,FALSE()),"BIC: "&amp;VLOOKUP(A971,Internal_lists_bugs!$A$2:$G1061,7,FALSE())&amp;CHAR(10)&amp;"Intro.Issues: "&amp;VLOOKUP(A971,Internal_lists_bugs!$A$2:$P1061,16,FALSE())),"please select a BUG ID")</f>
        <v>please select a BUG ID</v>
      </c>
      <c r="D971" s="105"/>
      <c r="E971" s="54"/>
      <c r="F971" s="82"/>
      <c r="G971" s="92"/>
      <c r="H971" s="54"/>
      <c r="I971" s="1"/>
    </row>
    <row r="972">
      <c r="A972" s="54"/>
      <c r="B972" s="88" t="str">
        <f>IFERROR(HYPERLINK(VLOOKUP(A972,Internal_lists_bugs!$A$2:$C$73,3,FALSE()), VLOOKUP(A972,Internal_lists_bugs!$A$2:$C$73,3,FALSE())&amp;Char(10) &amp; Char(10) &amp; VLOOKUP(A972,Internal_lists_bugs!$A$2:$Z$73,26,FALSE())),"please select a BUG ID")</f>
        <v>please select a BUG ID</v>
      </c>
      <c r="C972" s="51" t="str">
        <f>IFERROR(Hyperlink(VLOOKUP(A972,Internal_lists_bugs!$A$2:$G1061,7,FALSE()),"BIC: "&amp;VLOOKUP(A972,Internal_lists_bugs!$A$2:$G1061,7,FALSE())&amp;CHAR(10)&amp;"Intro.Issues: "&amp;VLOOKUP(A972,Internal_lists_bugs!$A$2:$P1061,16,FALSE())),"please select a BUG ID")</f>
        <v>please select a BUG ID</v>
      </c>
      <c r="D972" s="105"/>
      <c r="E972" s="54"/>
      <c r="F972" s="82"/>
      <c r="G972" s="92"/>
      <c r="H972" s="54"/>
      <c r="I972" s="1"/>
    </row>
    <row r="973">
      <c r="A973" s="54"/>
      <c r="B973" s="88" t="str">
        <f>IFERROR(HYPERLINK(VLOOKUP(A973,Internal_lists_bugs!$A$2:$C$73,3,FALSE()), VLOOKUP(A973,Internal_lists_bugs!$A$2:$C$73,3,FALSE())&amp;Char(10) &amp; Char(10) &amp; VLOOKUP(A973,Internal_lists_bugs!$A$2:$Z$73,26,FALSE())),"please select a BUG ID")</f>
        <v>please select a BUG ID</v>
      </c>
      <c r="C973" s="51" t="str">
        <f>IFERROR(Hyperlink(VLOOKUP(A973,Internal_lists_bugs!$A$2:$G1061,7,FALSE()),"BIC: "&amp;VLOOKUP(A973,Internal_lists_bugs!$A$2:$G1061,7,FALSE())&amp;CHAR(10)&amp;"Intro.Issues: "&amp;VLOOKUP(A973,Internal_lists_bugs!$A$2:$P1061,16,FALSE())),"please select a BUG ID")</f>
        <v>please select a BUG ID</v>
      </c>
      <c r="D973" s="105"/>
      <c r="E973" s="54"/>
      <c r="F973" s="82"/>
      <c r="G973" s="92"/>
      <c r="H973" s="54"/>
      <c r="I973" s="1"/>
    </row>
    <row r="974">
      <c r="A974" s="54"/>
      <c r="B974" s="88" t="str">
        <f>IFERROR(HYPERLINK(VLOOKUP(A974,Internal_lists_bugs!$A$2:$C$73,3,FALSE()), VLOOKUP(A974,Internal_lists_bugs!$A$2:$C$73,3,FALSE())&amp;Char(10) &amp; Char(10) &amp; VLOOKUP(A974,Internal_lists_bugs!$A$2:$Z$73,26,FALSE())),"please select a BUG ID")</f>
        <v>please select a BUG ID</v>
      </c>
      <c r="C974" s="51" t="str">
        <f>IFERROR(Hyperlink(VLOOKUP(A974,Internal_lists_bugs!$A$2:$G1061,7,FALSE()),"BIC: "&amp;VLOOKUP(A974,Internal_lists_bugs!$A$2:$G1061,7,FALSE())&amp;CHAR(10)&amp;"Intro.Issues: "&amp;VLOOKUP(A974,Internal_lists_bugs!$A$2:$P1061,16,FALSE())),"please select a BUG ID")</f>
        <v>please select a BUG ID</v>
      </c>
      <c r="D974" s="105"/>
      <c r="E974" s="54"/>
      <c r="F974" s="82"/>
      <c r="G974" s="92"/>
      <c r="H974" s="54"/>
      <c r="I974" s="1"/>
    </row>
    <row r="975">
      <c r="A975" s="54"/>
      <c r="B975" s="88" t="str">
        <f>IFERROR(HYPERLINK(VLOOKUP(A975,Internal_lists_bugs!$A$2:$C$73,3,FALSE()), VLOOKUP(A975,Internal_lists_bugs!$A$2:$C$73,3,FALSE())&amp;Char(10) &amp; Char(10) &amp; VLOOKUP(A975,Internal_lists_bugs!$A$2:$Z$73,26,FALSE())),"please select a BUG ID")</f>
        <v>please select a BUG ID</v>
      </c>
      <c r="C975" s="51" t="str">
        <f>IFERROR(Hyperlink(VLOOKUP(A975,Internal_lists_bugs!$A$2:$G1061,7,FALSE()),"BIC: "&amp;VLOOKUP(A975,Internal_lists_bugs!$A$2:$G1061,7,FALSE())&amp;CHAR(10)&amp;"Intro.Issues: "&amp;VLOOKUP(A975,Internal_lists_bugs!$A$2:$P1061,16,FALSE())),"please select a BUG ID")</f>
        <v>please select a BUG ID</v>
      </c>
      <c r="D975" s="105"/>
      <c r="E975" s="54"/>
      <c r="F975" s="82"/>
      <c r="G975" s="92"/>
      <c r="H975" s="54"/>
      <c r="I975" s="1"/>
    </row>
    <row r="976">
      <c r="A976" s="54"/>
      <c r="B976" s="88" t="str">
        <f>IFERROR(HYPERLINK(VLOOKUP(A976,Internal_lists_bugs!$A$2:$C$73,3,FALSE()), VLOOKUP(A976,Internal_lists_bugs!$A$2:$C$73,3,FALSE())&amp;Char(10) &amp; Char(10) &amp; VLOOKUP(A976,Internal_lists_bugs!$A$2:$Z$73,26,FALSE())),"please select a BUG ID")</f>
        <v>please select a BUG ID</v>
      </c>
      <c r="C976" s="51" t="str">
        <f>IFERROR(Hyperlink(VLOOKUP(A976,Internal_lists_bugs!$A$2:$G1061,7,FALSE()),"BIC: "&amp;VLOOKUP(A976,Internal_lists_bugs!$A$2:$G1061,7,FALSE())&amp;CHAR(10)&amp;"Intro.Issues: "&amp;VLOOKUP(A976,Internal_lists_bugs!$A$2:$P1061,16,FALSE())),"please select a BUG ID")</f>
        <v>please select a BUG ID</v>
      </c>
      <c r="D976" s="105"/>
      <c r="E976" s="54"/>
      <c r="F976" s="82"/>
      <c r="G976" s="92"/>
      <c r="H976" s="54"/>
      <c r="I976" s="1"/>
    </row>
    <row r="977">
      <c r="A977" s="54"/>
      <c r="B977" s="88" t="str">
        <f>IFERROR(HYPERLINK(VLOOKUP(A977,Internal_lists_bugs!$A$2:$C$73,3,FALSE()), VLOOKUP(A977,Internal_lists_bugs!$A$2:$C$73,3,FALSE())&amp;Char(10) &amp; Char(10) &amp; VLOOKUP(A977,Internal_lists_bugs!$A$2:$Z$73,26,FALSE())),"please select a BUG ID")</f>
        <v>please select a BUG ID</v>
      </c>
      <c r="C977" s="51" t="str">
        <f>IFERROR(Hyperlink(VLOOKUP(A977,Internal_lists_bugs!$A$2:$G1061,7,FALSE()),"BIC: "&amp;VLOOKUP(A977,Internal_lists_bugs!$A$2:$G1061,7,FALSE())&amp;CHAR(10)&amp;"Intro.Issues: "&amp;VLOOKUP(A977,Internal_lists_bugs!$A$2:$P1061,16,FALSE())),"please select a BUG ID")</f>
        <v>please select a BUG ID</v>
      </c>
      <c r="D977" s="105"/>
      <c r="E977" s="54"/>
      <c r="F977" s="82"/>
      <c r="G977" s="92"/>
      <c r="H977" s="54"/>
      <c r="I977" s="1"/>
    </row>
    <row r="978">
      <c r="A978" s="54"/>
      <c r="B978" s="88" t="str">
        <f>IFERROR(HYPERLINK(VLOOKUP(A978,Internal_lists_bugs!$A$2:$C$73,3,FALSE()), VLOOKUP(A978,Internal_lists_bugs!$A$2:$C$73,3,FALSE())&amp;Char(10) &amp; Char(10) &amp; VLOOKUP(A978,Internal_lists_bugs!$A$2:$Z$73,26,FALSE())),"please select a BUG ID")</f>
        <v>please select a BUG ID</v>
      </c>
      <c r="C978" s="51" t="str">
        <f>IFERROR(Hyperlink(VLOOKUP(A978,Internal_lists_bugs!$A$2:$G1061,7,FALSE()),"BIC: "&amp;VLOOKUP(A978,Internal_lists_bugs!$A$2:$G1061,7,FALSE())&amp;CHAR(10)&amp;"Intro.Issues: "&amp;VLOOKUP(A978,Internal_lists_bugs!$A$2:$P1061,16,FALSE())),"please select a BUG ID")</f>
        <v>please select a BUG ID</v>
      </c>
      <c r="D978" s="105"/>
      <c r="E978" s="54"/>
      <c r="F978" s="82"/>
      <c r="G978" s="92"/>
      <c r="H978" s="54"/>
      <c r="I978" s="1"/>
    </row>
    <row r="979">
      <c r="A979" s="54"/>
      <c r="B979" s="88" t="str">
        <f>IFERROR(HYPERLINK(VLOOKUP(A979,Internal_lists_bugs!$A$2:$C$73,3,FALSE()), VLOOKUP(A979,Internal_lists_bugs!$A$2:$C$73,3,FALSE())&amp;Char(10) &amp; Char(10) &amp; VLOOKUP(A979,Internal_lists_bugs!$A$2:$Z$73,26,FALSE())),"please select a BUG ID")</f>
        <v>please select a BUG ID</v>
      </c>
      <c r="C979" s="51" t="str">
        <f>IFERROR(Hyperlink(VLOOKUP(A979,Internal_lists_bugs!$A$2:$G1061,7,FALSE()),"BIC: "&amp;VLOOKUP(A979,Internal_lists_bugs!$A$2:$G1061,7,FALSE())&amp;CHAR(10)&amp;"Intro.Issues: "&amp;VLOOKUP(A979,Internal_lists_bugs!$A$2:$P1061,16,FALSE())),"please select a BUG ID")</f>
        <v>please select a BUG ID</v>
      </c>
      <c r="D979" s="105"/>
      <c r="E979" s="54"/>
      <c r="F979" s="82"/>
      <c r="G979" s="92"/>
      <c r="H979" s="54"/>
      <c r="I979" s="1"/>
    </row>
    <row r="980">
      <c r="A980" s="54"/>
      <c r="B980" s="88" t="str">
        <f>IFERROR(HYPERLINK(VLOOKUP(A980,Internal_lists_bugs!$A$2:$C$73,3,FALSE()), VLOOKUP(A980,Internal_lists_bugs!$A$2:$C$73,3,FALSE())&amp;Char(10) &amp; Char(10) &amp; VLOOKUP(A980,Internal_lists_bugs!$A$2:$Z$73,26,FALSE())),"please select a BUG ID")</f>
        <v>please select a BUG ID</v>
      </c>
      <c r="C980" s="51" t="str">
        <f>IFERROR(Hyperlink(VLOOKUP(A980,Internal_lists_bugs!$A$2:$G1061,7,FALSE()),"BIC: "&amp;VLOOKUP(A980,Internal_lists_bugs!$A$2:$G1061,7,FALSE())&amp;CHAR(10)&amp;"Intro.Issues: "&amp;VLOOKUP(A980,Internal_lists_bugs!$A$2:$P1061,16,FALSE())),"please select a BUG ID")</f>
        <v>please select a BUG ID</v>
      </c>
      <c r="D980" s="105"/>
      <c r="E980" s="54"/>
      <c r="F980" s="82"/>
      <c r="G980" s="92"/>
      <c r="H980" s="54"/>
      <c r="I980" s="1"/>
    </row>
    <row r="981">
      <c r="A981" s="54"/>
      <c r="B981" s="88" t="str">
        <f>IFERROR(HYPERLINK(VLOOKUP(A981,Internal_lists_bugs!$A$2:$C$73,3,FALSE()), VLOOKUP(A981,Internal_lists_bugs!$A$2:$C$73,3,FALSE())&amp;Char(10) &amp; Char(10) &amp; VLOOKUP(A981,Internal_lists_bugs!$A$2:$Z$73,26,FALSE())),"please select a BUG ID")</f>
        <v>please select a BUG ID</v>
      </c>
      <c r="C981" s="51" t="str">
        <f>IFERROR(Hyperlink(VLOOKUP(A981,Internal_lists_bugs!$A$2:$G1061,7,FALSE()),"BIC: "&amp;VLOOKUP(A981,Internal_lists_bugs!$A$2:$G1061,7,FALSE())&amp;CHAR(10)&amp;"Intro.Issues: "&amp;VLOOKUP(A981,Internal_lists_bugs!$A$2:$P1061,16,FALSE())),"please select a BUG ID")</f>
        <v>please select a BUG ID</v>
      </c>
      <c r="D981" s="105"/>
      <c r="E981" s="54"/>
      <c r="F981" s="82"/>
      <c r="G981" s="92"/>
      <c r="H981" s="54"/>
      <c r="I981" s="1"/>
    </row>
    <row r="982">
      <c r="A982" s="54"/>
      <c r="B982" s="88" t="str">
        <f>IFERROR(HYPERLINK(VLOOKUP(A982,Internal_lists_bugs!$A$2:$C$73,3,FALSE()), VLOOKUP(A982,Internal_lists_bugs!$A$2:$C$73,3,FALSE())&amp;Char(10) &amp; Char(10) &amp; VLOOKUP(A982,Internal_lists_bugs!$A$2:$Z$73,26,FALSE())),"please select a BUG ID")</f>
        <v>please select a BUG ID</v>
      </c>
      <c r="C982" s="51" t="str">
        <f>IFERROR(Hyperlink(VLOOKUP(A982,Internal_lists_bugs!$A$2:$G1061,7,FALSE()),"BIC: "&amp;VLOOKUP(A982,Internal_lists_bugs!$A$2:$G1061,7,FALSE())&amp;CHAR(10)&amp;"Intro.Issues: "&amp;VLOOKUP(A982,Internal_lists_bugs!$A$2:$P1061,16,FALSE())),"please select a BUG ID")</f>
        <v>please select a BUG ID</v>
      </c>
      <c r="D982" s="105"/>
      <c r="E982" s="54"/>
      <c r="F982" s="82"/>
      <c r="G982" s="92"/>
      <c r="H982" s="54"/>
      <c r="I982" s="1"/>
    </row>
    <row r="983">
      <c r="A983" s="54"/>
      <c r="B983" s="88" t="str">
        <f>IFERROR(HYPERLINK(VLOOKUP(A983,Internal_lists_bugs!$A$2:$C$73,3,FALSE()), VLOOKUP(A983,Internal_lists_bugs!$A$2:$C$73,3,FALSE())&amp;Char(10) &amp; Char(10) &amp; VLOOKUP(A983,Internal_lists_bugs!$A$2:$Z$73,26,FALSE())),"please select a BUG ID")</f>
        <v>please select a BUG ID</v>
      </c>
      <c r="C983" s="51" t="str">
        <f>IFERROR(Hyperlink(VLOOKUP(A983,Internal_lists_bugs!$A$2:$G1061,7,FALSE()),"BIC: "&amp;VLOOKUP(A983,Internal_lists_bugs!$A$2:$G1061,7,FALSE())&amp;CHAR(10)&amp;"Intro.Issues: "&amp;VLOOKUP(A983,Internal_lists_bugs!$A$2:$P1061,16,FALSE())),"please select a BUG ID")</f>
        <v>please select a BUG ID</v>
      </c>
      <c r="D983" s="105"/>
      <c r="E983" s="54"/>
      <c r="F983" s="82"/>
      <c r="G983" s="92"/>
      <c r="H983" s="54"/>
      <c r="I983" s="1"/>
    </row>
    <row r="984">
      <c r="A984" s="54"/>
      <c r="B984" s="88" t="str">
        <f>IFERROR(HYPERLINK(VLOOKUP(A984,Internal_lists_bugs!$A$2:$C$73,3,FALSE()), VLOOKUP(A984,Internal_lists_bugs!$A$2:$C$73,3,FALSE())&amp;Char(10) &amp; Char(10) &amp; VLOOKUP(A984,Internal_lists_bugs!$A$2:$Z$73,26,FALSE())),"please select a BUG ID")</f>
        <v>please select a BUG ID</v>
      </c>
      <c r="C984" s="51" t="str">
        <f>IFERROR(Hyperlink(VLOOKUP(A984,Internal_lists_bugs!$A$2:$G1061,7,FALSE()),"BIC: "&amp;VLOOKUP(A984,Internal_lists_bugs!$A$2:$G1061,7,FALSE())&amp;CHAR(10)&amp;"Intro.Issues: "&amp;VLOOKUP(A984,Internal_lists_bugs!$A$2:$P1061,16,FALSE())),"please select a BUG ID")</f>
        <v>please select a BUG ID</v>
      </c>
      <c r="D984" s="105"/>
      <c r="E984" s="54"/>
      <c r="F984" s="82"/>
      <c r="G984" s="92"/>
      <c r="H984" s="54"/>
      <c r="I984" s="1"/>
    </row>
    <row r="985">
      <c r="A985" s="54"/>
      <c r="B985" s="88" t="str">
        <f>IFERROR(HYPERLINK(VLOOKUP(A985,Internal_lists_bugs!$A$2:$C$73,3,FALSE()), VLOOKUP(A985,Internal_lists_bugs!$A$2:$C$73,3,FALSE())&amp;Char(10) &amp; Char(10) &amp; VLOOKUP(A985,Internal_lists_bugs!$A$2:$Z$73,26,FALSE())),"please select a BUG ID")</f>
        <v>please select a BUG ID</v>
      </c>
      <c r="C985" s="51" t="str">
        <f>IFERROR(Hyperlink(VLOOKUP(A985,Internal_lists_bugs!$A$2:$G1061,7,FALSE()),"BIC: "&amp;VLOOKUP(A985,Internal_lists_bugs!$A$2:$G1061,7,FALSE())&amp;CHAR(10)&amp;"Intro.Issues: "&amp;VLOOKUP(A985,Internal_lists_bugs!$A$2:$P1061,16,FALSE())),"please select a BUG ID")</f>
        <v>please select a BUG ID</v>
      </c>
      <c r="D985" s="105"/>
      <c r="E985" s="54"/>
      <c r="F985" s="82"/>
      <c r="G985" s="92"/>
      <c r="H985" s="54"/>
      <c r="I985" s="1"/>
    </row>
    <row r="986">
      <c r="A986" s="54"/>
      <c r="B986" s="88" t="str">
        <f>IFERROR(HYPERLINK(VLOOKUP(A986,Internal_lists_bugs!$A$2:$C$73,3,FALSE()), VLOOKUP(A986,Internal_lists_bugs!$A$2:$C$73,3,FALSE())&amp;Char(10) &amp; Char(10) &amp; VLOOKUP(A986,Internal_lists_bugs!$A$2:$Z$73,26,FALSE())),"please select a BUG ID")</f>
        <v>please select a BUG ID</v>
      </c>
      <c r="C986" s="51" t="str">
        <f>IFERROR(Hyperlink(VLOOKUP(A986,Internal_lists_bugs!$A$2:$G1061,7,FALSE()),"BIC: "&amp;VLOOKUP(A986,Internal_lists_bugs!$A$2:$G1061,7,FALSE())&amp;CHAR(10)&amp;"Intro.Issues: "&amp;VLOOKUP(A986,Internal_lists_bugs!$A$2:$P1061,16,FALSE())),"please select a BUG ID")</f>
        <v>please select a BUG ID</v>
      </c>
      <c r="D986" s="105"/>
      <c r="E986" s="54"/>
      <c r="F986" s="82"/>
      <c r="G986" s="92"/>
      <c r="H986" s="54"/>
      <c r="I986" s="1"/>
    </row>
    <row r="987">
      <c r="A987" s="54"/>
      <c r="B987" s="88" t="str">
        <f>IFERROR(HYPERLINK(VLOOKUP(A987,Internal_lists_bugs!$A$2:$C$73,3,FALSE()), VLOOKUP(A987,Internal_lists_bugs!$A$2:$C$73,3,FALSE())&amp;Char(10) &amp; Char(10) &amp; VLOOKUP(A987,Internal_lists_bugs!$A$2:$Z$73,26,FALSE())),"please select a BUG ID")</f>
        <v>please select a BUG ID</v>
      </c>
      <c r="C987" s="51" t="str">
        <f>IFERROR(Hyperlink(VLOOKUP(A987,Internal_lists_bugs!$A$2:$G1061,7,FALSE()),"BIC: "&amp;VLOOKUP(A987,Internal_lists_bugs!$A$2:$G1061,7,FALSE())&amp;CHAR(10)&amp;"Intro.Issues: "&amp;VLOOKUP(A987,Internal_lists_bugs!$A$2:$P1061,16,FALSE())),"please select a BUG ID")</f>
        <v>please select a BUG ID</v>
      </c>
      <c r="D987" s="105"/>
      <c r="E987" s="54"/>
      <c r="F987" s="82"/>
      <c r="G987" s="92"/>
      <c r="H987" s="54"/>
      <c r="I987" s="1"/>
    </row>
    <row r="988">
      <c r="A988" s="54"/>
      <c r="B988" s="88" t="str">
        <f>IFERROR(HYPERLINK(VLOOKUP(A988,Internal_lists_bugs!$A$2:$C$73,3,FALSE()), VLOOKUP(A988,Internal_lists_bugs!$A$2:$C$73,3,FALSE())&amp;Char(10) &amp; Char(10) &amp; VLOOKUP(A988,Internal_lists_bugs!$A$2:$Z$73,26,FALSE())),"please select a BUG ID")</f>
        <v>please select a BUG ID</v>
      </c>
      <c r="C988" s="51" t="str">
        <f>IFERROR(Hyperlink(VLOOKUP(A988,Internal_lists_bugs!$A$2:$G1061,7,FALSE()),"BIC: "&amp;VLOOKUP(A988,Internal_lists_bugs!$A$2:$G1061,7,FALSE())&amp;CHAR(10)&amp;"Intro.Issues: "&amp;VLOOKUP(A988,Internal_lists_bugs!$A$2:$P1061,16,FALSE())),"please select a BUG ID")</f>
        <v>please select a BUG ID</v>
      </c>
      <c r="D988" s="105"/>
      <c r="E988" s="54"/>
      <c r="F988" s="82"/>
      <c r="G988" s="92"/>
      <c r="H988" s="54"/>
      <c r="I988" s="1"/>
    </row>
    <row r="989">
      <c r="A989" s="54"/>
      <c r="B989" s="88" t="str">
        <f>IFERROR(HYPERLINK(VLOOKUP(A989,Internal_lists_bugs!$A$2:$C$73,3,FALSE()), VLOOKUP(A989,Internal_lists_bugs!$A$2:$C$73,3,FALSE())&amp;Char(10) &amp; Char(10) &amp; VLOOKUP(A989,Internal_lists_bugs!$A$2:$Z$73,26,FALSE())),"please select a BUG ID")</f>
        <v>please select a BUG ID</v>
      </c>
      <c r="C989" s="51" t="str">
        <f>IFERROR(Hyperlink(VLOOKUP(A989,Internal_lists_bugs!$A$2:$G1061,7,FALSE()),"BIC: "&amp;VLOOKUP(A989,Internal_lists_bugs!$A$2:$G1061,7,FALSE())&amp;CHAR(10)&amp;"Intro.Issues: "&amp;VLOOKUP(A989,Internal_lists_bugs!$A$2:$P1061,16,FALSE())),"please select a BUG ID")</f>
        <v>please select a BUG ID</v>
      </c>
      <c r="D989" s="105"/>
      <c r="E989" s="54"/>
      <c r="F989" s="82"/>
      <c r="G989" s="92"/>
      <c r="H989" s="54"/>
      <c r="I989" s="1"/>
    </row>
    <row r="990">
      <c r="A990" s="54"/>
      <c r="B990" s="88" t="str">
        <f>IFERROR(HYPERLINK(VLOOKUP(A990,Internal_lists_bugs!$A$2:$C$73,3,FALSE()), VLOOKUP(A990,Internal_lists_bugs!$A$2:$C$73,3,FALSE())&amp;Char(10) &amp; Char(10) &amp; VLOOKUP(A990,Internal_lists_bugs!$A$2:$Z$73,26,FALSE())),"please select a BUG ID")</f>
        <v>please select a BUG ID</v>
      </c>
      <c r="C990" s="51" t="str">
        <f>IFERROR(Hyperlink(VLOOKUP(A990,Internal_lists_bugs!$A$2:$G1061,7,FALSE()),"BIC: "&amp;VLOOKUP(A990,Internal_lists_bugs!$A$2:$G1061,7,FALSE())&amp;CHAR(10)&amp;"Intro.Issues: "&amp;VLOOKUP(A990,Internal_lists_bugs!$A$2:$P1061,16,FALSE())),"please select a BUG ID")</f>
        <v>please select a BUG ID</v>
      </c>
      <c r="D990" s="105"/>
      <c r="E990" s="54"/>
      <c r="F990" s="82"/>
      <c r="G990" s="92"/>
      <c r="H990" s="54"/>
      <c r="I990" s="1"/>
    </row>
    <row r="991">
      <c r="A991" s="54"/>
      <c r="B991" s="88" t="str">
        <f>IFERROR(HYPERLINK(VLOOKUP(A991,Internal_lists_bugs!$A$2:$C$73,3,FALSE()), VLOOKUP(A991,Internal_lists_bugs!$A$2:$C$73,3,FALSE())&amp;Char(10) &amp; Char(10) &amp; VLOOKUP(A991,Internal_lists_bugs!$A$2:$Z$73,26,FALSE())),"please select a BUG ID")</f>
        <v>please select a BUG ID</v>
      </c>
      <c r="C991" s="51" t="str">
        <f>IFERROR(Hyperlink(VLOOKUP(A991,Internal_lists_bugs!$A$2:$G1061,7,FALSE()),"BIC: "&amp;VLOOKUP(A991,Internal_lists_bugs!$A$2:$G1061,7,FALSE())&amp;CHAR(10)&amp;"Intro.Issues: "&amp;VLOOKUP(A991,Internal_lists_bugs!$A$2:$P1061,16,FALSE())),"please select a BUG ID")</f>
        <v>please select a BUG ID</v>
      </c>
      <c r="D991" s="105"/>
      <c r="E991" s="54"/>
      <c r="F991" s="82"/>
      <c r="G991" s="92"/>
      <c r="H991" s="54"/>
      <c r="I991" s="1"/>
    </row>
    <row r="992">
      <c r="A992" s="54"/>
      <c r="B992" s="88" t="str">
        <f>IFERROR(HYPERLINK(VLOOKUP(A992,Internal_lists_bugs!$A$2:$C$73,3,FALSE()), VLOOKUP(A992,Internal_lists_bugs!$A$2:$C$73,3,FALSE())&amp;Char(10) &amp; Char(10) &amp; VLOOKUP(A992,Internal_lists_bugs!$A$2:$Z$73,26,FALSE())),"please select a BUG ID")</f>
        <v>please select a BUG ID</v>
      </c>
      <c r="C992" s="51" t="str">
        <f>IFERROR(Hyperlink(VLOOKUP(A992,Internal_lists_bugs!$A$2:$G1061,7,FALSE()),"BIC: "&amp;VLOOKUP(A992,Internal_lists_bugs!$A$2:$G1061,7,FALSE())&amp;CHAR(10)&amp;"Intro.Issues: "&amp;VLOOKUP(A992,Internal_lists_bugs!$A$2:$P1061,16,FALSE())),"please select a BUG ID")</f>
        <v>please select a BUG ID</v>
      </c>
      <c r="D992" s="105"/>
      <c r="E992" s="54"/>
      <c r="F992" s="82"/>
      <c r="G992" s="92"/>
      <c r="H992" s="54"/>
      <c r="I992" s="1"/>
    </row>
    <row r="993">
      <c r="A993" s="54"/>
      <c r="B993" s="88" t="str">
        <f>IFERROR(HYPERLINK(VLOOKUP(A993,Internal_lists_bugs!$A$2:$C$73,3,FALSE()), VLOOKUP(A993,Internal_lists_bugs!$A$2:$C$73,3,FALSE())&amp;Char(10) &amp; Char(10) &amp; VLOOKUP(A993,Internal_lists_bugs!$A$2:$Z$73,26,FALSE())),"please select a BUG ID")</f>
        <v>please select a BUG ID</v>
      </c>
      <c r="C993" s="51" t="str">
        <f>IFERROR(Hyperlink(VLOOKUP(A993,Internal_lists_bugs!$A$2:$G1061,7,FALSE()),"BIC: "&amp;VLOOKUP(A993,Internal_lists_bugs!$A$2:$G1061,7,FALSE())&amp;CHAR(10)&amp;"Intro.Issues: "&amp;VLOOKUP(A993,Internal_lists_bugs!$A$2:$P1061,16,FALSE())),"please select a BUG ID")</f>
        <v>please select a BUG ID</v>
      </c>
      <c r="D993" s="105"/>
      <c r="E993" s="54"/>
      <c r="F993" s="82"/>
      <c r="G993" s="92"/>
      <c r="H993" s="54"/>
      <c r="I993" s="1"/>
    </row>
    <row r="994">
      <c r="A994" s="54"/>
      <c r="B994" s="88" t="str">
        <f>IFERROR(HYPERLINK(VLOOKUP(A994,Internal_lists_bugs!$A$2:$C$73,3,FALSE()), VLOOKUP(A994,Internal_lists_bugs!$A$2:$C$73,3,FALSE())&amp;Char(10) &amp; Char(10) &amp; VLOOKUP(A994,Internal_lists_bugs!$A$2:$Z$73,26,FALSE())),"please select a BUG ID")</f>
        <v>please select a BUG ID</v>
      </c>
      <c r="C994" s="51" t="str">
        <f>IFERROR(Hyperlink(VLOOKUP(A994,Internal_lists_bugs!$A$2:$G1061,7,FALSE()),"BIC: "&amp;VLOOKUP(A994,Internal_lists_bugs!$A$2:$G1061,7,FALSE())&amp;CHAR(10)&amp;"Intro.Issues: "&amp;VLOOKUP(A994,Internal_lists_bugs!$A$2:$P1061,16,FALSE())),"please select a BUG ID")</f>
        <v>please select a BUG ID</v>
      </c>
      <c r="D994" s="105"/>
      <c r="E994" s="54"/>
      <c r="F994" s="82"/>
      <c r="G994" s="92"/>
      <c r="H994" s="54"/>
      <c r="I994" s="1"/>
    </row>
    <row r="995">
      <c r="A995" s="54"/>
      <c r="B995" s="88" t="str">
        <f>IFERROR(HYPERLINK(VLOOKUP(A995,Internal_lists_bugs!$A$2:$C$73,3,FALSE()), VLOOKUP(A995,Internal_lists_bugs!$A$2:$C$73,3,FALSE())&amp;Char(10) &amp; Char(10) &amp; VLOOKUP(A995,Internal_lists_bugs!$A$2:$Z$73,26,FALSE())),"please select a BUG ID")</f>
        <v>please select a BUG ID</v>
      </c>
      <c r="C995" s="51" t="str">
        <f>IFERROR(Hyperlink(VLOOKUP(A995,Internal_lists_bugs!$A$2:$G1061,7,FALSE()),"BIC: "&amp;VLOOKUP(A995,Internal_lists_bugs!$A$2:$G1061,7,FALSE())&amp;CHAR(10)&amp;"Intro.Issues: "&amp;VLOOKUP(A995,Internal_lists_bugs!$A$2:$P1061,16,FALSE())),"please select a BUG ID")</f>
        <v>please select a BUG ID</v>
      </c>
      <c r="D995" s="105"/>
      <c r="E995" s="54"/>
      <c r="F995" s="82"/>
      <c r="G995" s="92"/>
      <c r="H995" s="54"/>
      <c r="I995" s="1"/>
    </row>
    <row r="996">
      <c r="A996" s="54"/>
      <c r="B996" s="88" t="str">
        <f>IFERROR(HYPERLINK(VLOOKUP(A996,Internal_lists_bugs!$A$2:$C$73,3,FALSE()), VLOOKUP(A996,Internal_lists_bugs!$A$2:$C$73,3,FALSE())&amp;Char(10) &amp; Char(10) &amp; VLOOKUP(A996,Internal_lists_bugs!$A$2:$Z$73,26,FALSE())),"please select a BUG ID")</f>
        <v>please select a BUG ID</v>
      </c>
      <c r="C996" s="51" t="str">
        <f>IFERROR(Hyperlink(VLOOKUP(A996,Internal_lists_bugs!$A$2:$G1061,7,FALSE()),"BIC: "&amp;VLOOKUP(A996,Internal_lists_bugs!$A$2:$G1061,7,FALSE())&amp;CHAR(10)&amp;"Intro.Issues: "&amp;VLOOKUP(A996,Internal_lists_bugs!$A$2:$P1061,16,FALSE())),"please select a BUG ID")</f>
        <v>please select a BUG ID</v>
      </c>
      <c r="D996" s="105"/>
      <c r="E996" s="54"/>
      <c r="F996" s="82"/>
      <c r="G996" s="92"/>
      <c r="H996" s="54"/>
      <c r="I996" s="1"/>
    </row>
    <row r="997">
      <c r="A997" s="54"/>
      <c r="B997" s="88" t="str">
        <f>IFERROR(HYPERLINK(VLOOKUP(A997,Internal_lists_bugs!$A$2:$C$73,3,FALSE()), VLOOKUP(A997,Internal_lists_bugs!$A$2:$C$73,3,FALSE())&amp;Char(10) &amp; Char(10) &amp; VLOOKUP(A997,Internal_lists_bugs!$A$2:$Z$73,26,FALSE())),"please select a BUG ID")</f>
        <v>please select a BUG ID</v>
      </c>
      <c r="C997" s="51" t="str">
        <f>IFERROR(Hyperlink(VLOOKUP(A997,Internal_lists_bugs!$A$2:$G1061,7,FALSE()),"BIC: "&amp;VLOOKUP(A997,Internal_lists_bugs!$A$2:$G1061,7,FALSE())&amp;CHAR(10)&amp;"Intro.Issues: "&amp;VLOOKUP(A997,Internal_lists_bugs!$A$2:$P1061,16,FALSE())),"please select a BUG ID")</f>
        <v>please select a BUG ID</v>
      </c>
      <c r="D997" s="105"/>
      <c r="E997" s="54"/>
      <c r="F997" s="82"/>
      <c r="G997" s="92"/>
      <c r="H997" s="54"/>
      <c r="I997" s="1"/>
    </row>
    <row r="998">
      <c r="A998" s="54"/>
      <c r="B998" s="88" t="str">
        <f>IFERROR(HYPERLINK(VLOOKUP(A998,Internal_lists_bugs!$A$2:$C$73,3,FALSE()), VLOOKUP(A998,Internal_lists_bugs!$A$2:$C$73,3,FALSE())&amp;Char(10) &amp; Char(10) &amp; VLOOKUP(A998,Internal_lists_bugs!$A$2:$Z$73,26,FALSE())),"please select a BUG ID")</f>
        <v>please select a BUG ID</v>
      </c>
      <c r="C998" s="51" t="str">
        <f>IFERROR(Hyperlink(VLOOKUP(A998,Internal_lists_bugs!$A$2:$G1061,7,FALSE()),"BIC: "&amp;VLOOKUP(A998,Internal_lists_bugs!$A$2:$G1061,7,FALSE())&amp;CHAR(10)&amp;"Intro.Issues: "&amp;VLOOKUP(A998,Internal_lists_bugs!$A$2:$P1061,16,FALSE())),"please select a BUG ID")</f>
        <v>please select a BUG ID</v>
      </c>
      <c r="D998" s="105"/>
      <c r="E998" s="54"/>
      <c r="F998" s="82"/>
      <c r="G998" s="92"/>
      <c r="H998" s="54"/>
      <c r="I998" s="1"/>
    </row>
    <row r="999">
      <c r="A999" s="54"/>
      <c r="B999" s="88" t="str">
        <f>IFERROR(HYPERLINK(VLOOKUP(A999,Internal_lists_bugs!$A$2:$C$73,3,FALSE()), VLOOKUP(A999,Internal_lists_bugs!$A$2:$C$73,3,FALSE())&amp;Char(10) &amp; Char(10) &amp; VLOOKUP(A999,Internal_lists_bugs!$A$2:$Z$73,26,FALSE())),"please select a BUG ID")</f>
        <v>please select a BUG ID</v>
      </c>
      <c r="C999" s="51" t="str">
        <f>IFERROR(Hyperlink(VLOOKUP(A999,Internal_lists_bugs!$A$2:$G1061,7,FALSE()),"BIC: "&amp;VLOOKUP(A999,Internal_lists_bugs!$A$2:$G1061,7,FALSE())&amp;CHAR(10)&amp;"Intro.Issues: "&amp;VLOOKUP(A999,Internal_lists_bugs!$A$2:$P1061,16,FALSE())),"please select a BUG ID")</f>
        <v>please select a BUG ID</v>
      </c>
      <c r="D999" s="105"/>
      <c r="E999" s="54"/>
      <c r="F999" s="82"/>
      <c r="G999" s="92"/>
      <c r="H999" s="54"/>
      <c r="I999" s="1"/>
    </row>
    <row r="1000">
      <c r="A1000" s="54"/>
      <c r="B1000" s="88" t="str">
        <f>IFERROR(HYPERLINK(VLOOKUP(A1000,Internal_lists_bugs!$A$2:$C$73,3,FALSE()), VLOOKUP(A1000,Internal_lists_bugs!$A$2:$C$73,3,FALSE())&amp;Char(10) &amp; Char(10) &amp; VLOOKUP(A1000,Internal_lists_bugs!$A$2:$Z$73,26,FALSE())),"please select a BUG ID")</f>
        <v>please select a BUG ID</v>
      </c>
      <c r="C1000" s="51" t="str">
        <f>IFERROR(Hyperlink(VLOOKUP(A1000,Internal_lists_bugs!$A$2:$G1061,7,FALSE()),"BIC: "&amp;VLOOKUP(A1000,Internal_lists_bugs!$A$2:$G1061,7,FALSE())&amp;CHAR(10)&amp;"Intro.Issues: "&amp;VLOOKUP(A1000,Internal_lists_bugs!$A$2:$P1061,16,FALSE())),"please select a BUG ID")</f>
        <v>please select a BUG ID</v>
      </c>
      <c r="D1000" s="105"/>
      <c r="E1000" s="54"/>
      <c r="F1000" s="82"/>
      <c r="G1000" s="92"/>
      <c r="H1000" s="54"/>
      <c r="I1000" s="1"/>
    </row>
    <row r="1001">
      <c r="A1001" s="54"/>
      <c r="B1001" s="88" t="str">
        <f>IFERROR(HYPERLINK(VLOOKUP(A1001,Internal_lists_bugs!$A$2:$C$73,3,FALSE()), VLOOKUP(A1001,Internal_lists_bugs!$A$2:$C$73,3,FALSE())&amp;Char(10) &amp; Char(10) &amp; VLOOKUP(A1001,Internal_lists_bugs!$A$2:$Z$73,26,FALSE())),"please select a BUG ID")</f>
        <v>please select a BUG ID</v>
      </c>
      <c r="C1001" s="51" t="str">
        <f>IFERROR(Hyperlink(VLOOKUP(A1001,Internal_lists_bugs!$A$2:$G1061,7,FALSE()),"BIC: "&amp;VLOOKUP(A1001,Internal_lists_bugs!$A$2:$G1061,7,FALSE())&amp;CHAR(10)&amp;"Intro.Issues: "&amp;VLOOKUP(A1001,Internal_lists_bugs!$A$2:$P1061,16,FALSE())),"please select a BUG ID")</f>
        <v>please select a BUG ID</v>
      </c>
      <c r="D1001" s="105"/>
      <c r="E1001" s="54"/>
      <c r="F1001" s="82"/>
      <c r="G1001" s="92"/>
      <c r="H1001" s="54"/>
      <c r="I1001" s="1"/>
    </row>
    <row r="1002">
      <c r="A1002" s="54"/>
      <c r="B1002" s="88" t="str">
        <f>IFERROR(HYPERLINK(VLOOKUP(A1002,Internal_lists_bugs!$A$2:$C$73,3,FALSE()), VLOOKUP(A1002,Internal_lists_bugs!$A$2:$C$73,3,FALSE())&amp;Char(10) &amp; Char(10) &amp; VLOOKUP(A1002,Internal_lists_bugs!$A$2:$Z$73,26,FALSE())),"please select a BUG ID")</f>
        <v>please select a BUG ID</v>
      </c>
      <c r="C1002" s="51" t="str">
        <f>IFERROR(Hyperlink(VLOOKUP(A1002,Internal_lists_bugs!$A$2:$G1061,7,FALSE()),"BIC: "&amp;VLOOKUP(A1002,Internal_lists_bugs!$A$2:$G1061,7,FALSE())&amp;CHAR(10)&amp;"Intro.Issues: "&amp;VLOOKUP(A1002,Internal_lists_bugs!$A$2:$P1061,16,FALSE())),"please select a BUG ID")</f>
        <v>please select a BUG ID</v>
      </c>
      <c r="D1002" s="105"/>
      <c r="E1002" s="54"/>
      <c r="F1002" s="82"/>
      <c r="G1002" s="92"/>
      <c r="H1002" s="54"/>
      <c r="I1002" s="1"/>
    </row>
    <row r="1003">
      <c r="A1003" s="54"/>
      <c r="B1003" s="88" t="str">
        <f>IFERROR(HYPERLINK(VLOOKUP(A1003,Internal_lists_bugs!$A$2:$C$73,3,FALSE()), VLOOKUP(A1003,Internal_lists_bugs!$A$2:$C$73,3,FALSE())&amp;Char(10) &amp; Char(10) &amp; VLOOKUP(A1003,Internal_lists_bugs!$A$2:$Z$73,26,FALSE())),"please select a BUG ID")</f>
        <v>please select a BUG ID</v>
      </c>
      <c r="C1003" s="51" t="str">
        <f>IFERROR(Hyperlink(VLOOKUP(A1003,Internal_lists_bugs!$A$2:$G1061,7,FALSE()),"BIC: "&amp;VLOOKUP(A1003,Internal_lists_bugs!$A$2:$G1061,7,FALSE())&amp;CHAR(10)&amp;"Intro.Issues: "&amp;VLOOKUP(A1003,Internal_lists_bugs!$A$2:$P1061,16,FALSE())),"please select a BUG ID")</f>
        <v>please select a BUG ID</v>
      </c>
      <c r="D1003" s="105"/>
      <c r="E1003" s="54"/>
      <c r="F1003" s="82"/>
      <c r="G1003" s="92"/>
      <c r="H1003" s="54"/>
      <c r="I1003" s="1"/>
    </row>
    <row r="1004">
      <c r="A1004" s="54"/>
      <c r="B1004" s="88" t="str">
        <f>IFERROR(HYPERLINK(VLOOKUP(A1004,Internal_lists_bugs!$A$2:$C$73,3,FALSE()), VLOOKUP(A1004,Internal_lists_bugs!$A$2:$C$73,3,FALSE())&amp;Char(10) &amp; Char(10) &amp; VLOOKUP(A1004,Internal_lists_bugs!$A$2:$Z$73,26,FALSE())),"please select a BUG ID")</f>
        <v>please select a BUG ID</v>
      </c>
      <c r="C1004" s="51" t="str">
        <f>IFERROR(Hyperlink(VLOOKUP(A1004,Internal_lists_bugs!$A$2:$G1061,7,FALSE()),"BIC: "&amp;VLOOKUP(A1004,Internal_lists_bugs!$A$2:$G1061,7,FALSE())&amp;CHAR(10)&amp;"Intro.Issues: "&amp;VLOOKUP(A1004,Internal_lists_bugs!$A$2:$P1061,16,FALSE())),"please select a BUG ID")</f>
        <v>please select a BUG ID</v>
      </c>
      <c r="D1004" s="105"/>
      <c r="E1004" s="54"/>
      <c r="F1004" s="82"/>
      <c r="G1004" s="92"/>
      <c r="H1004" s="54"/>
      <c r="I1004" s="1"/>
    </row>
    <row r="1005">
      <c r="A1005" s="54"/>
      <c r="B1005" s="88" t="str">
        <f>IFERROR(HYPERLINK(VLOOKUP(A1005,Internal_lists_bugs!$A$2:$C$73,3,FALSE()), VLOOKUP(A1005,Internal_lists_bugs!$A$2:$C$73,3,FALSE())&amp;Char(10) &amp; Char(10) &amp; VLOOKUP(A1005,Internal_lists_bugs!$A$2:$Z$73,26,FALSE())),"please select a BUG ID")</f>
        <v>please select a BUG ID</v>
      </c>
      <c r="C1005" s="51" t="str">
        <f>IFERROR(Hyperlink(VLOOKUP(A1005,Internal_lists_bugs!$A$2:$G1061,7,FALSE()),"BIC: "&amp;VLOOKUP(A1005,Internal_lists_bugs!$A$2:$G1061,7,FALSE())&amp;CHAR(10)&amp;"Intro.Issues: "&amp;VLOOKUP(A1005,Internal_lists_bugs!$A$2:$P1061,16,FALSE())),"please select a BUG ID")</f>
        <v>please select a BUG ID</v>
      </c>
      <c r="D1005" s="105"/>
      <c r="E1005" s="54"/>
      <c r="F1005" s="82"/>
      <c r="G1005" s="92"/>
      <c r="H1005" s="54"/>
      <c r="I1005" s="1"/>
    </row>
    <row r="1006">
      <c r="A1006" s="54"/>
      <c r="B1006" s="88" t="str">
        <f>IFERROR(HYPERLINK(VLOOKUP(A1006,Internal_lists_bugs!$A$2:$C$73,3,FALSE()), VLOOKUP(A1006,Internal_lists_bugs!$A$2:$C$73,3,FALSE())&amp;Char(10) &amp; Char(10) &amp; VLOOKUP(A1006,Internal_lists_bugs!$A$2:$Z$73,26,FALSE())),"please select a BUG ID")</f>
        <v>please select a BUG ID</v>
      </c>
      <c r="C1006" s="51" t="str">
        <f>IFERROR(Hyperlink(VLOOKUP(A1006,Internal_lists_bugs!$A$2:$G1061,7,FALSE()),"BIC: "&amp;VLOOKUP(A1006,Internal_lists_bugs!$A$2:$G1061,7,FALSE())&amp;CHAR(10)&amp;"Intro.Issues: "&amp;VLOOKUP(A1006,Internal_lists_bugs!$A$2:$P1061,16,FALSE())),"please select a BUG ID")</f>
        <v>please select a BUG ID</v>
      </c>
      <c r="D1006" s="105"/>
      <c r="E1006" s="54"/>
      <c r="F1006" s="82"/>
      <c r="G1006" s="92"/>
      <c r="H1006" s="54"/>
      <c r="I1006" s="1"/>
    </row>
    <row r="1007">
      <c r="A1007" s="54"/>
      <c r="B1007" s="88" t="str">
        <f>IFERROR(HYPERLINK(VLOOKUP(A1007,Internal_lists_bugs!$A$2:$C$73,3,FALSE()), VLOOKUP(A1007,Internal_lists_bugs!$A$2:$C$73,3,FALSE())&amp;Char(10) &amp; Char(10) &amp; VLOOKUP(A1007,Internal_lists_bugs!$A$2:$Z$73,26,FALSE())),"please select a BUG ID")</f>
        <v>please select a BUG ID</v>
      </c>
      <c r="C1007" s="51" t="str">
        <f>IFERROR(Hyperlink(VLOOKUP(A1007,Internal_lists_bugs!$A$2:$G1061,7,FALSE()),"BIC: "&amp;VLOOKUP(A1007,Internal_lists_bugs!$A$2:$G1061,7,FALSE())&amp;CHAR(10)&amp;"Intro.Issues: "&amp;VLOOKUP(A1007,Internal_lists_bugs!$A$2:$P1061,16,FALSE())),"please select a BUG ID")</f>
        <v>please select a BUG ID</v>
      </c>
      <c r="D1007" s="105"/>
      <c r="E1007" s="54"/>
      <c r="F1007" s="82"/>
      <c r="G1007" s="92"/>
      <c r="H1007" s="54"/>
      <c r="I1007" s="1"/>
    </row>
    <row r="1008">
      <c r="A1008" s="54"/>
      <c r="B1008" s="88" t="str">
        <f>IFERROR(HYPERLINK(VLOOKUP(A1008,Internal_lists_bugs!$A$2:$C$73,3,FALSE()), VLOOKUP(A1008,Internal_lists_bugs!$A$2:$C$73,3,FALSE())&amp;Char(10) &amp; Char(10) &amp; VLOOKUP(A1008,Internal_lists_bugs!$A$2:$Z$73,26,FALSE())),"please select a BUG ID")</f>
        <v>please select a BUG ID</v>
      </c>
      <c r="C1008" s="51" t="str">
        <f>IFERROR(Hyperlink(VLOOKUP(A1008,Internal_lists_bugs!$A$2:$G1061,7,FALSE()),"BIC: "&amp;VLOOKUP(A1008,Internal_lists_bugs!$A$2:$G1061,7,FALSE())&amp;CHAR(10)&amp;"Intro.Issues: "&amp;VLOOKUP(A1008,Internal_lists_bugs!$A$2:$P1061,16,FALSE())),"please select a BUG ID")</f>
        <v>please select a BUG ID</v>
      </c>
      <c r="D1008" s="105"/>
      <c r="E1008" s="54"/>
      <c r="F1008" s="82"/>
      <c r="G1008" s="92"/>
      <c r="H1008" s="54"/>
      <c r="I1008" s="1"/>
    </row>
    <row r="1009">
      <c r="A1009" s="54"/>
      <c r="B1009" s="88" t="str">
        <f>IFERROR(HYPERLINK(VLOOKUP(A1009,Internal_lists_bugs!$A$2:$C$73,3,FALSE()), VLOOKUP(A1009,Internal_lists_bugs!$A$2:$C$73,3,FALSE())&amp;Char(10) &amp; Char(10) &amp; VLOOKUP(A1009,Internal_lists_bugs!$A$2:$Z$73,26,FALSE())),"please select a BUG ID")</f>
        <v>please select a BUG ID</v>
      </c>
      <c r="C1009" s="51" t="str">
        <f>IFERROR(Hyperlink(VLOOKUP(A1009,Internal_lists_bugs!$A$2:$G1061,7,FALSE()),"BIC: "&amp;VLOOKUP(A1009,Internal_lists_bugs!$A$2:$G1061,7,FALSE())&amp;CHAR(10)&amp;"Intro.Issues: "&amp;VLOOKUP(A1009,Internal_lists_bugs!$A$2:$P1061,16,FALSE())),"please select a BUG ID")</f>
        <v>please select a BUG ID</v>
      </c>
      <c r="D1009" s="105"/>
      <c r="E1009" s="54"/>
      <c r="F1009" s="82"/>
      <c r="G1009" s="92"/>
      <c r="H1009" s="54"/>
      <c r="I1009" s="1"/>
    </row>
    <row r="1010">
      <c r="A1010" s="54"/>
      <c r="B1010" s="88" t="str">
        <f>IFERROR(HYPERLINK(VLOOKUP(A1010,Internal_lists_bugs!$A$2:$C$73,3,FALSE()), VLOOKUP(A1010,Internal_lists_bugs!$A$2:$C$73,3,FALSE())&amp;Char(10) &amp; Char(10) &amp; VLOOKUP(A1010,Internal_lists_bugs!$A$2:$Z$73,26,FALSE())),"please select a BUG ID")</f>
        <v>please select a BUG ID</v>
      </c>
      <c r="C1010" s="51" t="str">
        <f>IFERROR(Hyperlink(VLOOKUP(A1010,Internal_lists_bugs!$A$2:$G1061,7,FALSE()),"BIC: "&amp;VLOOKUP(A1010,Internal_lists_bugs!$A$2:$G1061,7,FALSE())&amp;CHAR(10)&amp;"Intro.Issues: "&amp;VLOOKUP(A1010,Internal_lists_bugs!$A$2:$P1061,16,FALSE())),"please select a BUG ID")</f>
        <v>please select a BUG ID</v>
      </c>
      <c r="D1010" s="105"/>
      <c r="E1010" s="54"/>
      <c r="F1010" s="82"/>
      <c r="G1010" s="92"/>
      <c r="H1010" s="54"/>
      <c r="I1010" s="1"/>
    </row>
    <row r="1011">
      <c r="A1011" s="54"/>
      <c r="B1011" s="88" t="str">
        <f>IFERROR(HYPERLINK(VLOOKUP(A1011,Internal_lists_bugs!$A$2:$C$73,3,FALSE()), VLOOKUP(A1011,Internal_lists_bugs!$A$2:$C$73,3,FALSE())&amp;Char(10) &amp; Char(10) &amp; VLOOKUP(A1011,Internal_lists_bugs!$A$2:$Z$73,26,FALSE())),"please select a BUG ID")</f>
        <v>please select a BUG ID</v>
      </c>
      <c r="C1011" s="51" t="str">
        <f>IFERROR(Hyperlink(VLOOKUP(A1011,Internal_lists_bugs!$A$2:$G1061,7,FALSE()),"BIC: "&amp;VLOOKUP(A1011,Internal_lists_bugs!$A$2:$G1061,7,FALSE())&amp;CHAR(10)&amp;"Intro.Issues: "&amp;VLOOKUP(A1011,Internal_lists_bugs!$A$2:$P1061,16,FALSE())),"please select a BUG ID")</f>
        <v>please select a BUG ID</v>
      </c>
      <c r="D1011" s="105"/>
      <c r="E1011" s="54"/>
      <c r="F1011" s="82"/>
      <c r="G1011" s="92"/>
      <c r="H1011" s="54"/>
      <c r="I1011" s="1"/>
    </row>
    <row r="1012">
      <c r="A1012" s="54"/>
      <c r="B1012" s="88" t="str">
        <f>IFERROR(HYPERLINK(VLOOKUP(A1012,Internal_lists_bugs!$A$2:$C$73,3,FALSE()), VLOOKUP(A1012,Internal_lists_bugs!$A$2:$C$73,3,FALSE())&amp;Char(10) &amp; Char(10) &amp; VLOOKUP(A1012,Internal_lists_bugs!$A$2:$Z$73,26,FALSE())),"please select a BUG ID")</f>
        <v>please select a BUG ID</v>
      </c>
      <c r="C1012" s="51" t="str">
        <f>IFERROR(Hyperlink(VLOOKUP(A1012,Internal_lists_bugs!$A$2:$G1061,7,FALSE()),"BIC: "&amp;VLOOKUP(A1012,Internal_lists_bugs!$A$2:$G1061,7,FALSE())&amp;CHAR(10)&amp;"Intro.Issues: "&amp;VLOOKUP(A1012,Internal_lists_bugs!$A$2:$P1061,16,FALSE())),"please select a BUG ID")</f>
        <v>please select a BUG ID</v>
      </c>
      <c r="D1012" s="105"/>
      <c r="E1012" s="54"/>
      <c r="F1012" s="82"/>
      <c r="G1012" s="92"/>
      <c r="H1012" s="54"/>
      <c r="I1012" s="1"/>
    </row>
    <row r="1013">
      <c r="A1013" s="54"/>
      <c r="B1013" s="88" t="str">
        <f>IFERROR(HYPERLINK(VLOOKUP(A1013,Internal_lists_bugs!$A$2:$C$73,3,FALSE()), VLOOKUP(A1013,Internal_lists_bugs!$A$2:$C$73,3,FALSE())&amp;Char(10) &amp; Char(10) &amp; VLOOKUP(A1013,Internal_lists_bugs!$A$2:$Z$73,26,FALSE())),"please select a BUG ID")</f>
        <v>please select a BUG ID</v>
      </c>
      <c r="C1013" s="51" t="str">
        <f>IFERROR(Hyperlink(VLOOKUP(A1013,Internal_lists_bugs!$A$2:$G1061,7,FALSE()),"BIC: "&amp;VLOOKUP(A1013,Internal_lists_bugs!$A$2:$G1061,7,FALSE())&amp;CHAR(10)&amp;"Intro.Issues: "&amp;VLOOKUP(A1013,Internal_lists_bugs!$A$2:$P1061,16,FALSE())),"please select a BUG ID")</f>
        <v>please select a BUG ID</v>
      </c>
      <c r="D1013" s="105"/>
      <c r="E1013" s="54"/>
      <c r="F1013" s="82"/>
      <c r="G1013" s="92"/>
      <c r="H1013" s="54"/>
      <c r="I1013" s="1"/>
    </row>
    <row r="1014">
      <c r="A1014" s="54"/>
      <c r="B1014" s="88" t="str">
        <f>IFERROR(HYPERLINK(VLOOKUP(A1014,Internal_lists_bugs!$A$2:$C$73,3,FALSE()), VLOOKUP(A1014,Internal_lists_bugs!$A$2:$C$73,3,FALSE())&amp;Char(10) &amp; Char(10) &amp; VLOOKUP(A1014,Internal_lists_bugs!$A$2:$Z$73,26,FALSE())),"please select a BUG ID")</f>
        <v>please select a BUG ID</v>
      </c>
      <c r="C1014" s="51" t="str">
        <f>IFERROR(Hyperlink(VLOOKUP(A1014,Internal_lists_bugs!$A$2:$G1061,7,FALSE()),"BIC: "&amp;VLOOKUP(A1014,Internal_lists_bugs!$A$2:$G1061,7,FALSE())&amp;CHAR(10)&amp;"Intro.Issues: "&amp;VLOOKUP(A1014,Internal_lists_bugs!$A$2:$P1061,16,FALSE())),"please select a BUG ID")</f>
        <v>please select a BUG ID</v>
      </c>
      <c r="D1014" s="105"/>
      <c r="E1014" s="54"/>
      <c r="F1014" s="82"/>
      <c r="G1014" s="92"/>
      <c r="H1014" s="54"/>
      <c r="I1014" s="1"/>
    </row>
    <row r="1015">
      <c r="A1015" s="54"/>
      <c r="B1015" s="88" t="str">
        <f>IFERROR(HYPERLINK(VLOOKUP(A1015,Internal_lists_bugs!$A$2:$C$73,3,FALSE()), VLOOKUP(A1015,Internal_lists_bugs!$A$2:$C$73,3,FALSE())&amp;Char(10) &amp; Char(10) &amp; VLOOKUP(A1015,Internal_lists_bugs!$A$2:$Z$73,26,FALSE())),"please select a BUG ID")</f>
        <v>please select a BUG ID</v>
      </c>
      <c r="C1015" s="51" t="str">
        <f>IFERROR(Hyperlink(VLOOKUP(A1015,Internal_lists_bugs!$A$2:$G1061,7,FALSE()),"BIC: "&amp;VLOOKUP(A1015,Internal_lists_bugs!$A$2:$G1061,7,FALSE())&amp;CHAR(10)&amp;"Intro.Issues: "&amp;VLOOKUP(A1015,Internal_lists_bugs!$A$2:$P1061,16,FALSE())),"please select a BUG ID")</f>
        <v>please select a BUG ID</v>
      </c>
      <c r="D1015" s="105"/>
      <c r="E1015" s="54"/>
      <c r="F1015" s="82"/>
      <c r="G1015" s="92"/>
      <c r="H1015" s="54"/>
      <c r="I1015" s="1"/>
    </row>
    <row r="1016">
      <c r="A1016" s="54"/>
      <c r="B1016" s="88"/>
      <c r="C1016" s="51"/>
      <c r="D1016" s="105"/>
      <c r="E1016" s="54"/>
      <c r="F1016" s="54"/>
      <c r="H1016" s="54"/>
      <c r="I1016" s="1"/>
    </row>
    <row r="1017">
      <c r="A1017" s="54"/>
      <c r="B1017" s="88"/>
      <c r="C1017" s="51"/>
      <c r="D1017" s="105"/>
      <c r="E1017" s="54"/>
      <c r="F1017" s="54"/>
      <c r="H1017" s="54"/>
      <c r="I1017" s="1"/>
    </row>
    <row r="1018">
      <c r="A1018" s="54"/>
      <c r="B1018" s="88"/>
      <c r="C1018" s="51"/>
      <c r="D1018" s="105"/>
      <c r="E1018" s="54"/>
      <c r="F1018" s="54"/>
      <c r="H1018" s="54"/>
      <c r="I1018" s="1"/>
    </row>
    <row r="1019">
      <c r="A1019" s="54"/>
      <c r="B1019" s="88"/>
      <c r="C1019" s="51"/>
      <c r="D1019" s="105"/>
      <c r="E1019" s="54"/>
      <c r="F1019" s="54"/>
      <c r="H1019" s="54"/>
      <c r="I1019" s="1"/>
    </row>
    <row r="1020">
      <c r="A1020" s="54"/>
      <c r="B1020" s="88"/>
      <c r="C1020" s="51"/>
      <c r="D1020" s="105"/>
      <c r="E1020" s="54"/>
      <c r="F1020" s="54"/>
      <c r="H1020" s="54"/>
      <c r="I1020" s="1"/>
    </row>
    <row r="1021">
      <c r="A1021" s="54"/>
      <c r="B1021" s="88"/>
      <c r="C1021" s="51"/>
      <c r="D1021" s="105"/>
      <c r="E1021" s="54"/>
      <c r="F1021" s="54"/>
      <c r="H1021" s="54"/>
      <c r="I1021" s="1"/>
    </row>
    <row r="1022">
      <c r="A1022" s="54"/>
      <c r="B1022" s="88"/>
      <c r="C1022" s="51"/>
      <c r="D1022" s="105"/>
      <c r="E1022" s="54"/>
      <c r="F1022" s="54"/>
      <c r="H1022" s="54"/>
      <c r="I1022" s="1"/>
    </row>
    <row r="1023">
      <c r="A1023" s="54"/>
      <c r="B1023" s="88"/>
      <c r="C1023" s="51"/>
      <c r="D1023" s="105"/>
      <c r="E1023" s="54"/>
      <c r="F1023" s="54"/>
      <c r="H1023" s="54"/>
      <c r="I1023" s="1"/>
    </row>
    <row r="1024">
      <c r="A1024" s="54"/>
      <c r="B1024" s="88"/>
      <c r="C1024" s="51"/>
      <c r="D1024" s="105"/>
      <c r="E1024" s="54"/>
      <c r="F1024" s="54"/>
      <c r="H1024" s="54"/>
      <c r="I1024" s="1"/>
    </row>
    <row r="1025">
      <c r="A1025" s="54"/>
      <c r="B1025" s="88"/>
      <c r="C1025" s="51"/>
      <c r="D1025" s="105"/>
      <c r="E1025" s="54"/>
      <c r="F1025" s="54"/>
      <c r="H1025" s="54"/>
      <c r="I1025" s="1"/>
    </row>
    <row r="1026">
      <c r="A1026" s="54"/>
      <c r="B1026" s="88"/>
      <c r="C1026" s="51"/>
      <c r="D1026" s="105"/>
      <c r="E1026" s="54"/>
      <c r="F1026" s="54"/>
      <c r="H1026" s="54"/>
      <c r="I1026" s="1"/>
    </row>
    <row r="1027">
      <c r="A1027" s="54"/>
      <c r="B1027" s="88"/>
      <c r="C1027" s="51"/>
      <c r="D1027" s="105"/>
      <c r="E1027" s="54"/>
      <c r="F1027" s="54"/>
      <c r="H1027" s="54"/>
      <c r="I1027" s="1"/>
    </row>
    <row r="1028">
      <c r="A1028" s="54"/>
      <c r="B1028" s="88"/>
      <c r="C1028" s="51"/>
      <c r="D1028" s="105"/>
      <c r="E1028" s="54"/>
      <c r="F1028" s="54"/>
      <c r="H1028" s="54"/>
      <c r="I1028" s="1"/>
    </row>
    <row r="1029">
      <c r="A1029" s="54"/>
      <c r="B1029" s="88"/>
      <c r="C1029" s="51"/>
      <c r="D1029" s="105"/>
      <c r="E1029" s="54"/>
      <c r="F1029" s="54"/>
      <c r="H1029" s="54"/>
      <c r="I1029" s="1"/>
    </row>
    <row r="1030">
      <c r="A1030" s="54"/>
      <c r="B1030" s="88"/>
      <c r="C1030" s="51"/>
      <c r="D1030" s="105"/>
      <c r="E1030" s="54"/>
      <c r="F1030" s="54"/>
      <c r="H1030" s="54"/>
      <c r="I1030" s="1"/>
    </row>
    <row r="1031">
      <c r="A1031" s="54"/>
      <c r="B1031" s="88"/>
      <c r="C1031" s="51"/>
      <c r="D1031" s="105"/>
      <c r="E1031" s="54"/>
      <c r="F1031" s="54"/>
      <c r="H1031" s="54"/>
      <c r="I1031" s="1"/>
    </row>
    <row r="1032">
      <c r="A1032" s="54"/>
      <c r="B1032" s="88"/>
      <c r="C1032" s="51"/>
      <c r="D1032" s="105"/>
      <c r="E1032" s="54"/>
      <c r="F1032" s="54"/>
      <c r="H1032" s="54"/>
      <c r="I1032" s="1"/>
    </row>
    <row r="1033">
      <c r="A1033" s="54"/>
      <c r="B1033" s="88"/>
      <c r="C1033" s="51"/>
      <c r="D1033" s="105"/>
      <c r="E1033" s="54"/>
      <c r="F1033" s="54"/>
      <c r="H1033" s="54"/>
      <c r="I1033" s="1"/>
    </row>
    <row r="1034">
      <c r="A1034" s="54"/>
      <c r="B1034" s="88"/>
      <c r="C1034" s="51"/>
      <c r="D1034" s="105"/>
      <c r="E1034" s="54"/>
      <c r="F1034" s="54"/>
      <c r="H1034" s="54"/>
      <c r="I1034" s="1"/>
    </row>
    <row r="1035">
      <c r="A1035" s="54"/>
      <c r="B1035" s="88"/>
      <c r="C1035" s="51"/>
      <c r="D1035" s="105"/>
      <c r="E1035" s="54"/>
      <c r="F1035" s="54"/>
      <c r="H1035" s="54"/>
      <c r="I1035" s="1"/>
    </row>
    <row r="1036">
      <c r="A1036" s="54"/>
      <c r="B1036" s="88"/>
      <c r="C1036" s="51"/>
      <c r="D1036" s="105"/>
      <c r="E1036" s="54"/>
      <c r="F1036" s="54"/>
      <c r="H1036" s="54"/>
      <c r="I1036" s="1"/>
    </row>
    <row r="1037">
      <c r="A1037" s="54"/>
      <c r="B1037" s="88"/>
      <c r="C1037" s="51"/>
      <c r="D1037" s="105"/>
      <c r="E1037" s="54"/>
      <c r="F1037" s="54"/>
      <c r="H1037" s="54"/>
      <c r="I1037" s="1"/>
    </row>
    <row r="1038">
      <c r="A1038" s="54"/>
      <c r="B1038" s="88"/>
      <c r="C1038" s="51"/>
      <c r="D1038" s="105"/>
      <c r="E1038" s="54"/>
      <c r="F1038" s="54"/>
      <c r="H1038" s="54"/>
      <c r="I1038" s="1"/>
    </row>
    <row r="1039">
      <c r="A1039" s="54"/>
      <c r="B1039" s="88"/>
      <c r="C1039" s="51"/>
      <c r="D1039" s="105"/>
      <c r="E1039" s="54"/>
      <c r="F1039" s="54"/>
      <c r="H1039" s="54"/>
      <c r="I1039" s="1"/>
    </row>
    <row r="1040">
      <c r="A1040" s="54"/>
      <c r="B1040" s="88"/>
      <c r="C1040" s="51"/>
      <c r="D1040" s="105"/>
      <c r="E1040" s="54"/>
      <c r="F1040" s="54"/>
      <c r="H1040" s="54"/>
      <c r="I1040" s="1"/>
    </row>
    <row r="1041">
      <c r="A1041" s="54"/>
      <c r="B1041" s="88"/>
      <c r="C1041" s="51"/>
      <c r="D1041" s="105"/>
      <c r="E1041" s="54"/>
      <c r="F1041" s="54"/>
      <c r="H1041" s="54"/>
      <c r="I1041" s="1"/>
    </row>
    <row r="1042">
      <c r="A1042" s="54"/>
      <c r="B1042" s="88"/>
      <c r="C1042" s="51"/>
      <c r="D1042" s="105"/>
      <c r="E1042" s="54"/>
      <c r="F1042" s="54"/>
      <c r="H1042" s="54"/>
      <c r="I1042" s="1"/>
    </row>
    <row r="1043">
      <c r="A1043" s="54"/>
      <c r="B1043" s="88"/>
      <c r="C1043" s="51"/>
      <c r="D1043" s="105"/>
      <c r="E1043" s="54"/>
      <c r="F1043" s="54"/>
      <c r="H1043" s="54"/>
      <c r="I1043" s="1"/>
    </row>
    <row r="1044">
      <c r="A1044" s="54"/>
      <c r="B1044" s="88"/>
      <c r="C1044" s="51"/>
      <c r="D1044" s="105"/>
      <c r="E1044" s="54"/>
      <c r="F1044" s="54"/>
      <c r="H1044" s="54"/>
      <c r="I1044" s="1"/>
    </row>
    <row r="1045">
      <c r="A1045" s="54"/>
      <c r="B1045" s="88"/>
      <c r="C1045" s="51"/>
      <c r="D1045" s="105"/>
      <c r="E1045" s="54"/>
      <c r="F1045" s="54"/>
      <c r="H1045" s="54"/>
      <c r="I1045" s="1"/>
    </row>
    <row r="1046">
      <c r="A1046" s="54"/>
      <c r="B1046" s="88"/>
      <c r="C1046" s="51"/>
      <c r="D1046" s="105"/>
      <c r="E1046" s="54"/>
      <c r="F1046" s="54"/>
      <c r="H1046" s="54"/>
      <c r="I1046" s="1"/>
    </row>
    <row r="1047">
      <c r="A1047" s="54"/>
      <c r="B1047" s="88"/>
      <c r="C1047" s="51"/>
      <c r="D1047" s="105"/>
      <c r="E1047" s="54"/>
      <c r="F1047" s="54"/>
      <c r="H1047" s="54"/>
      <c r="I1047" s="1"/>
    </row>
    <row r="1048">
      <c r="A1048" s="54"/>
      <c r="B1048" s="88"/>
      <c r="C1048" s="51"/>
      <c r="D1048" s="105"/>
      <c r="E1048" s="54"/>
      <c r="F1048" s="54"/>
      <c r="H1048" s="54"/>
      <c r="I1048" s="1"/>
    </row>
    <row r="1049">
      <c r="A1049" s="54"/>
      <c r="B1049" s="88"/>
      <c r="C1049" s="51"/>
      <c r="D1049" s="105"/>
      <c r="E1049" s="54"/>
      <c r="F1049" s="54"/>
      <c r="H1049" s="54"/>
      <c r="I1049" s="1"/>
    </row>
    <row r="1050">
      <c r="A1050" s="54"/>
      <c r="B1050" s="88"/>
      <c r="C1050" s="51"/>
      <c r="D1050" s="105"/>
      <c r="E1050" s="54"/>
      <c r="F1050" s="54"/>
      <c r="H1050" s="54"/>
      <c r="I1050" s="1"/>
    </row>
    <row r="1051">
      <c r="A1051" s="54"/>
      <c r="B1051" s="88"/>
      <c r="C1051" s="51"/>
      <c r="D1051" s="105"/>
      <c r="E1051" s="54"/>
      <c r="F1051" s="54"/>
      <c r="H1051" s="54"/>
      <c r="I1051" s="1"/>
    </row>
    <row r="1052">
      <c r="A1052" s="54"/>
      <c r="B1052" s="88"/>
      <c r="C1052" s="51"/>
      <c r="D1052" s="105"/>
      <c r="E1052" s="54"/>
      <c r="F1052" s="54"/>
      <c r="H1052" s="54"/>
      <c r="I1052" s="1"/>
    </row>
    <row r="1053">
      <c r="A1053" s="54"/>
      <c r="B1053" s="88"/>
      <c r="C1053" s="51"/>
      <c r="D1053" s="105"/>
      <c r="E1053" s="54"/>
      <c r="F1053" s="54"/>
      <c r="H1053" s="54"/>
      <c r="I1053" s="1"/>
    </row>
    <row r="1054">
      <c r="A1054" s="54"/>
      <c r="B1054" s="88"/>
      <c r="C1054" s="51"/>
      <c r="D1054" s="105"/>
      <c r="E1054" s="54"/>
      <c r="F1054" s="54"/>
      <c r="H1054" s="54"/>
      <c r="I1054" s="1"/>
    </row>
    <row r="1055">
      <c r="A1055" s="54"/>
      <c r="B1055" s="88"/>
      <c r="C1055" s="51"/>
      <c r="D1055" s="105"/>
      <c r="E1055" s="54"/>
      <c r="F1055" s="54"/>
      <c r="H1055" s="54"/>
      <c r="I1055" s="1"/>
    </row>
    <row r="1056">
      <c r="A1056" s="54"/>
      <c r="B1056" s="88"/>
      <c r="C1056" s="51"/>
      <c r="D1056" s="105"/>
      <c r="E1056" s="54"/>
      <c r="F1056" s="54"/>
      <c r="H1056" s="54"/>
      <c r="I1056" s="1"/>
    </row>
    <row r="1057">
      <c r="A1057" s="54"/>
      <c r="B1057" s="88"/>
      <c r="C1057" s="51"/>
      <c r="D1057" s="105"/>
      <c r="E1057" s="54"/>
      <c r="F1057" s="54"/>
      <c r="H1057" s="54"/>
      <c r="I1057" s="1"/>
    </row>
    <row r="1058">
      <c r="A1058" s="54"/>
      <c r="B1058" s="88"/>
      <c r="C1058" s="51"/>
      <c r="D1058" s="105"/>
      <c r="E1058" s="54"/>
      <c r="F1058" s="54"/>
      <c r="H1058" s="54"/>
      <c r="I1058" s="1"/>
    </row>
    <row r="1059">
      <c r="A1059" s="54"/>
      <c r="B1059" s="88"/>
      <c r="C1059" s="51"/>
      <c r="D1059" s="105"/>
      <c r="E1059" s="54"/>
      <c r="F1059" s="54"/>
      <c r="H1059" s="54"/>
      <c r="I1059" s="1"/>
    </row>
    <row r="1060">
      <c r="A1060" s="54"/>
      <c r="B1060" s="88"/>
      <c r="C1060" s="51"/>
      <c r="D1060" s="105"/>
      <c r="E1060" s="54"/>
      <c r="F1060" s="54"/>
      <c r="H1060" s="54"/>
      <c r="I1060" s="1"/>
    </row>
    <row r="1061">
      <c r="A1061" s="54"/>
      <c r="B1061" s="88"/>
      <c r="C1061" s="51"/>
      <c r="D1061" s="100"/>
      <c r="E1061" s="54"/>
      <c r="F1061" s="79"/>
      <c r="G1061" s="93"/>
      <c r="H1061" s="54"/>
      <c r="I1061" s="1"/>
    </row>
  </sheetData>
  <mergeCells count="1">
    <mergeCell ref="F1:G1"/>
  </mergeCells>
  <dataValidations>
    <dataValidation type="list" allowBlank="1" showErrorMessage="1" sqref="H3:H1061">
      <formula1>"YES,NO"</formula1>
    </dataValidation>
    <dataValidation type="list" allowBlank="1" sqref="F3:F412 F414:F1061">
      <formula1>Internal_lists_variables!$D$2:$D1061</formula1>
    </dataValidation>
    <dataValidation type="list" allowBlank="1" sqref="E3:E213 E215:E414 E416:E1061">
      <formula1>Internal_lists_variables!$C$2:$C1061</formula1>
    </dataValidation>
    <dataValidation type="list" allowBlank="1" showInputMessage="1" showErrorMessage="1" prompt="Project BugID" sqref="A3:A1061">
      <formula1>Internal_lists_bugs!$A$2:$A1061</formula1>
    </dataValidation>
  </dataValidations>
  <hyperlinks>
    <hyperlink r:id="rId2" ref="A1"/>
    <hyperlink r:id="rId3" location="gid=405816964" ref="B1"/>
    <hyperlink r:id="rId4" location="....." ref="G22"/>
    <hyperlink r:id="rId5" location="/q/t" ref="G52"/>
    <hyperlink r:id="rId6" ref="G53"/>
    <hyperlink r:id="rId7" ref="G105"/>
    <hyperlink r:id="rId8" ref="G109"/>
    <hyperlink r:id="rId9" ref="G135"/>
    <hyperlink r:id="rId10" location="....." ref="G170"/>
    <hyperlink r:id="rId11" location="/q/t" ref="G200"/>
    <hyperlink r:id="rId12" ref="G218"/>
    <hyperlink r:id="rId13" location="issuecomment-30225998" ref="G392"/>
    <hyperlink r:id="rId14" location="issuecomment-30262388" ref="G397"/>
    <hyperlink r:id="rId15" location="issuecomment-30225998" ref="G655"/>
    <hyperlink r:id="rId16" location="issuecomment-30262388" ref="G660"/>
  </hyperlinks>
  <drawing r:id="rId17"/>
  <legacyDrawing r:id="rId18"/>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3">
        <v>40513.0</v>
      </c>
      <c r="B1" s="16">
        <v>1.0</v>
      </c>
    </row>
    <row r="2">
      <c r="A2" s="133">
        <v>40652.0</v>
      </c>
      <c r="B2" s="16">
        <v>2.0</v>
      </c>
    </row>
    <row r="3">
      <c r="A3" s="131">
        <v>40863.0</v>
      </c>
      <c r="B3" s="16">
        <v>3.0</v>
      </c>
    </row>
    <row r="4">
      <c r="A4" s="131">
        <v>41212.0</v>
      </c>
      <c r="B4" s="16">
        <v>4.0</v>
      </c>
    </row>
    <row r="5">
      <c r="A5" s="131">
        <v>41239.0</v>
      </c>
      <c r="B5" s="16">
        <v>5.0</v>
      </c>
    </row>
    <row r="6">
      <c r="A6" s="133">
        <v>41290.0</v>
      </c>
      <c r="B6" s="16">
        <v>6.0</v>
      </c>
    </row>
    <row r="7">
      <c r="A7" s="133">
        <v>41323.0</v>
      </c>
      <c r="B7" s="16">
        <v>7.0</v>
      </c>
    </row>
    <row r="8">
      <c r="A8" s="133">
        <v>41404.0</v>
      </c>
      <c r="B8" s="16">
        <v>8.0</v>
      </c>
    </row>
    <row r="9">
      <c r="A9" s="133">
        <v>41436.0</v>
      </c>
      <c r="B9" s="16">
        <v>9.0</v>
      </c>
    </row>
    <row r="10">
      <c r="A10" s="133">
        <v>41438.0</v>
      </c>
      <c r="B10" s="16">
        <v>10.0</v>
      </c>
    </row>
    <row r="11">
      <c r="A11" s="133">
        <v>41470.0</v>
      </c>
      <c r="B11" s="16">
        <v>11.0</v>
      </c>
    </row>
    <row r="12">
      <c r="A12" s="131">
        <v>41569.0</v>
      </c>
      <c r="B12" s="16">
        <v>12.0</v>
      </c>
    </row>
    <row r="13">
      <c r="A13" s="131">
        <v>41624.0</v>
      </c>
      <c r="B13" s="16">
        <v>13.0</v>
      </c>
    </row>
    <row r="14">
      <c r="A14" s="131">
        <v>41638.0</v>
      </c>
      <c r="B14" s="16">
        <v>14.0</v>
      </c>
    </row>
    <row r="15">
      <c r="A15" s="133">
        <v>41669.0</v>
      </c>
      <c r="B15" s="16">
        <v>15.0</v>
      </c>
    </row>
    <row r="16">
      <c r="A16" s="133">
        <v>41682.0</v>
      </c>
      <c r="B16" s="16">
        <v>16.0</v>
      </c>
    </row>
    <row r="17">
      <c r="A17" s="133">
        <v>41704.0</v>
      </c>
      <c r="B17" s="16">
        <v>17.0</v>
      </c>
    </row>
    <row r="18">
      <c r="A18" s="133">
        <v>41809.0</v>
      </c>
      <c r="B18" s="16">
        <v>18.0</v>
      </c>
    </row>
    <row r="19">
      <c r="A19" s="133">
        <v>41831.0</v>
      </c>
      <c r="B19" s="16">
        <v>19.0</v>
      </c>
    </row>
    <row r="20">
      <c r="A20" s="133">
        <v>41847.0</v>
      </c>
      <c r="B20" s="16">
        <v>20.0</v>
      </c>
    </row>
    <row r="21">
      <c r="A21" s="133">
        <v>41880.0</v>
      </c>
      <c r="B21" s="16">
        <v>21.0</v>
      </c>
    </row>
    <row r="22">
      <c r="A22" s="133">
        <v>41888.0</v>
      </c>
      <c r="B22" s="16">
        <v>22.0</v>
      </c>
    </row>
    <row r="23">
      <c r="A23" s="133">
        <v>41892.0</v>
      </c>
      <c r="B23" s="16">
        <v>23.0</v>
      </c>
    </row>
    <row r="24">
      <c r="A24" s="133">
        <v>41910.0</v>
      </c>
      <c r="B24" s="16">
        <v>24.0</v>
      </c>
    </row>
    <row r="25">
      <c r="A25" s="133">
        <v>41912.0</v>
      </c>
      <c r="B25" s="16">
        <v>25.0</v>
      </c>
    </row>
    <row r="26">
      <c r="A26" s="133">
        <v>41981.0</v>
      </c>
      <c r="B26" s="16">
        <v>26.0</v>
      </c>
    </row>
    <row r="27">
      <c r="A27" s="133">
        <v>42024.0</v>
      </c>
      <c r="B27" s="16">
        <v>27.0</v>
      </c>
    </row>
    <row r="28">
      <c r="A28" s="133">
        <v>42038.0</v>
      </c>
      <c r="B28" s="16">
        <v>28.0</v>
      </c>
    </row>
    <row r="29">
      <c r="A29" s="133">
        <v>42049.0</v>
      </c>
      <c r="B29" s="16">
        <v>29.0</v>
      </c>
    </row>
    <row r="30">
      <c r="A30" s="133">
        <v>42053.0</v>
      </c>
      <c r="B30" s="16">
        <v>30.0</v>
      </c>
    </row>
    <row r="31">
      <c r="A31" s="133">
        <v>42068.0</v>
      </c>
      <c r="B31" s="16">
        <v>31.0</v>
      </c>
    </row>
    <row r="32">
      <c r="A32" s="133">
        <v>42101.0</v>
      </c>
      <c r="B32" s="16">
        <v>32.0</v>
      </c>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9.13"/>
  </cols>
  <sheetData>
    <row r="1">
      <c r="A1" s="105" t="str">
        <f>IFERROR(__xludf.DUMMYFUNCTION("IMPORTRANGE(""https://docs.google.com/spreadsheets/d/1Y9FDM6PWfeg9VaMejzWN3Md3FLlGVyeSUr8AibeJN5I/edit#gid=405816964"",""all_information!A1:AB73"")"),"ID_project")</f>
        <v>ID_project</v>
      </c>
      <c r="B1" s="105" t="str">
        <f>IFERROR(__xludf.DUMMYFUNCTION("""COMPUTED_VALUE"""),"#ID")</f>
        <v>#ID</v>
      </c>
      <c r="C1" s="177" t="str">
        <f>IFERROR(__xludf.DUMMYFUNCTION("""COMPUTED_VALUE"""),"URL_BUG")</f>
        <v>URL_BUG</v>
      </c>
      <c r="D1" s="105" t="str">
        <f>IFERROR(__xludf.DUMMYFUNCTION("""COMPUTED_VALUE"""),"#BFC")</f>
        <v>#BFC</v>
      </c>
      <c r="E1" s="105" t="str">
        <f>IFERROR(__xludf.DUMMYFUNCTION("""COMPUTED_VALUE"""),"URL_BFC_COMMIT")</f>
        <v>URL_BFC_COMMIT</v>
      </c>
      <c r="F1" s="105" t="str">
        <f>IFERROR(__xludf.DUMMYFUNCTION("""COMPUTED_VALUE"""),"#BIC")</f>
        <v>#BIC</v>
      </c>
      <c r="G1" s="105" t="str">
        <f>IFERROR(__xludf.DUMMYFUNCTION("""COMPUTED_VALUE"""),"URL_ICOMMIT")</f>
        <v>URL_ICOMMIT</v>
      </c>
      <c r="H1" s="105" t="str">
        <f>IFERROR(__xludf.DUMMYFUNCTION("""COMPUTED_VALUE"""),"Code_Review")</f>
        <v>Code_Review</v>
      </c>
      <c r="I1" s="105" t="str">
        <f>IFERROR(__xludf.DUMMYFUNCTION("""COMPUTED_VALUE"""),"URL_REVIEW")</f>
        <v>URL_REVIEW</v>
      </c>
      <c r="J1" s="105" t="str">
        <f>IFERROR(__xludf.DUMMYFUNCTION("""COMPUTED_VALUE"""),"Introducing_issue_1")</f>
        <v>Introducing_issue_1</v>
      </c>
      <c r="K1" s="105" t="str">
        <f>IFERROR(__xludf.DUMMYFUNCTION("""COMPUTED_VALUE"""),"URL_II_1")</f>
        <v>URL_II_1</v>
      </c>
      <c r="L1" s="105" t="str">
        <f>IFERROR(__xludf.DUMMYFUNCTION("""COMPUTED_VALUE"""),"Introducing_issue_2")</f>
        <v>Introducing_issue_2</v>
      </c>
      <c r="M1" s="105" t="str">
        <f>IFERROR(__xludf.DUMMYFUNCTION("""COMPUTED_VALUE"""),"URL_II_2")</f>
        <v>URL_II_2</v>
      </c>
      <c r="N1" s="105" t="str">
        <f>IFERROR(__xludf.DUMMYFUNCTION("""COMPUTED_VALUE"""),"Introducing_issue_3")</f>
        <v>Introducing_issue_3</v>
      </c>
      <c r="O1" s="105" t="str">
        <f>IFERROR(__xludf.DUMMYFUNCTION("""COMPUTED_VALUE"""),"URL_IT 3")</f>
        <v>URL_IT 3</v>
      </c>
      <c r="P1" s="105" t="str">
        <f>IFERROR(__xludf.DUMMYFUNCTION("""COMPUTED_VALUE"""),"Introducing issues id_list")</f>
        <v>Introducing issues id_list</v>
      </c>
      <c r="Q1" s="105" t="str">
        <f>IFERROR(__xludf.DUMMYFUNCTION("""COMPUTED_VALUE"""),"Introducing issues URLs_list")</f>
        <v>Introducing issues URLs_list</v>
      </c>
      <c r="R1" s="105" t="str">
        <f>IFERROR(__xludf.DUMMYFUNCTION("""COMPUTED_VALUE"""),"Has duplicates")</f>
        <v>Has duplicates</v>
      </c>
      <c r="S1" s="105"/>
      <c r="T1" s="105" t="str">
        <f>IFERROR(__xludf.DUMMYFUNCTION("""COMPUTED_VALUE"""),"Others ")</f>
        <v>Others </v>
      </c>
      <c r="U1" s="105" t="str">
        <f>IFERROR(__xludf.DUMMYFUNCTION("""COMPUTED_VALUE"""),"Duplicated_ids")</f>
        <v>Duplicated_ids</v>
      </c>
      <c r="V1" s="105" t="str">
        <f>IFERROR(__xludf.DUMMYFUNCTION("""COMPUTED_VALUE"""),"Duplicated Urls")</f>
        <v>Duplicated Urls</v>
      </c>
      <c r="W1" s="54" t="str">
        <f>IFERROR(__xludf.DUMMYFUNCTION("""COMPUTED_VALUE"""),"Project")</f>
        <v>Project</v>
      </c>
      <c r="X1" s="54" t="str">
        <f>IFERROR(__xludf.DUMMYFUNCTION("""COMPUTED_VALUE"""),"Mailing List")</f>
        <v>Mailing List</v>
      </c>
      <c r="Y1" s="54" t="str">
        <f>IFERROR(__xludf.DUMMYFUNCTION("""COMPUTED_VALUE"""),"Involved File")</f>
        <v>Involved File</v>
      </c>
      <c r="Z1" s="54" t="str">
        <f>IFERROR(__xludf.DUMMYFUNCTION("""COMPUTED_VALUE"""),"Files")</f>
        <v>Files</v>
      </c>
      <c r="AA1" s="54"/>
      <c r="AB1" s="54" t="str">
        <f>IFERROR(__xludf.DUMMYFUNCTION("""COMPUTED_VALUE"""),"Notes")</f>
        <v>Notes</v>
      </c>
      <c r="AC1" s="16" t="s">
        <v>4675</v>
      </c>
    </row>
    <row r="2">
      <c r="A2" s="105" t="str">
        <f>IFERROR(__xludf.DUMMYFUNCTION("""COMPUTED_VALUE"""),"Elastic Search 1134")</f>
        <v>Elastic Search 1134</v>
      </c>
      <c r="B2" s="105">
        <f>IFERROR(__xludf.DUMMYFUNCTION("""COMPUTED_VALUE"""),1134.0)</f>
        <v>1134</v>
      </c>
      <c r="C2" s="178" t="str">
        <f>IFERROR(__xludf.DUMMYFUNCTION("""COMPUTED_VALUE"""),"https://github.com/elastic/elasticsearch/issues/1134")</f>
        <v>https://github.com/elastic/elasticsearch/issues/1134</v>
      </c>
      <c r="D2" s="179" t="str">
        <f>IFERROR(__xludf.DUMMYFUNCTION("""COMPUTED_VALUE"""),"cbb1c35f94a36e8871301fce435d516db3cd4256")</f>
        <v>cbb1c35f94a36e8871301fce435d516db3cd4256</v>
      </c>
      <c r="E2" s="178" t="str">
        <f>IFERROR(__xludf.DUMMYFUNCTION("""COMPUTED_VALUE"""),"https://github.com/elastic/elasticsearch/commit/cbb1c35f94a36e8871301fce435d516db3cd4256")</f>
        <v>https://github.com/elastic/elasticsearch/commit/cbb1c35f94a36e8871301fce435d516db3cd4256</v>
      </c>
      <c r="F2" s="105" t="str">
        <f>IFERROR(__xludf.DUMMYFUNCTION("""COMPUTED_VALUE"""),"61ad8b614a94dabf8a263cf1edd35faa50ede36d")</f>
        <v>61ad8b614a94dabf8a263cf1edd35faa50ede36d</v>
      </c>
      <c r="G2" s="178" t="str">
        <f>IFERROR(__xludf.DUMMYFUNCTION("""COMPUTED_VALUE"""),"https://github.com/elastic/elasticsearch/commit/61ad8b6")</f>
        <v>https://github.com/elastic/elasticsearch/commit/61ad8b6</v>
      </c>
      <c r="H2" s="105" t="str">
        <f>IFERROR(__xludf.DUMMYFUNCTION("""COMPUTED_VALUE"""),"NA")</f>
        <v>NA</v>
      </c>
      <c r="I2" s="105" t="str">
        <f>IFERROR(__xludf.DUMMYFUNCTION("""COMPUTED_VALUE"""),"No information available")</f>
        <v>No information available</v>
      </c>
      <c r="J2" s="105">
        <f>IFERROR(__xludf.DUMMYFUNCTION("""COMPUTED_VALUE"""),1104.0)</f>
        <v>1104</v>
      </c>
      <c r="K2" s="178" t="str">
        <f>IFERROR(__xludf.DUMMYFUNCTION("""COMPUTED_VALUE"""),"https://github.com/elastic/elasticsearch/issues/1104")</f>
        <v>https://github.com/elastic/elasticsearch/issues/1104</v>
      </c>
      <c r="L2" s="105"/>
      <c r="M2" s="105"/>
      <c r="N2" s="105"/>
      <c r="O2" s="105"/>
      <c r="P2" s="105">
        <f>IFERROR(__xludf.DUMMYFUNCTION("""COMPUTED_VALUE"""),1104.0)</f>
        <v>1104</v>
      </c>
      <c r="Q2" s="178" t="str">
        <f>IFERROR(__xludf.DUMMYFUNCTION("""COMPUTED_VALUE"""),"https://github.com/elastic/elasticsearch/issues/1104")</f>
        <v>https://github.com/elastic/elasticsearch/issues/1104</v>
      </c>
      <c r="R2" s="105" t="str">
        <f>IFERROR(__xludf.DUMMYFUNCTION("""COMPUTED_VALUE"""),"No, however, check in the comments something like dup #ID or duplicate #ID")</f>
        <v>No, however, check in the comments something like dup #ID or duplicate #ID</v>
      </c>
      <c r="S2" s="105"/>
      <c r="T2" s="105" t="str">
        <f>IFERROR(__xludf.DUMMYFUNCTION("""COMPUTED_VALUE"""),"None identified. However, double check yourself")</f>
        <v>None identified. However, double check yourself</v>
      </c>
      <c r="U2" s="105"/>
      <c r="V2" s="105"/>
      <c r="W2" s="54" t="str">
        <f>IFERROR(__xludf.DUMMYFUNCTION("""COMPUTED_VALUE"""),"Elastic Search")</f>
        <v>Elastic Search</v>
      </c>
      <c r="X2" s="54" t="str">
        <f>IFERROR(__xludf.DUMMYFUNCTION("""COMPUTED_VALUE"""),"Not identified. However, it can be googled with the bug ID")</f>
        <v>Not identified. However, it can be googled with the bug ID</v>
      </c>
      <c r="Y2" s="54" t="str">
        <f>IFERROR(__xludf.DUMMYFUNCTION("""COMPUTED_VALUE"""),"modules/elasticsearch/src/main/java/org/elasticsearch/common/network/NetworkService.java")</f>
        <v>modules/elasticsearch/src/main/java/org/elasticsearch/common/network/NetworkService.java</v>
      </c>
      <c r="Z2" s="54" t="str">
        <f>IFERROR(__xludf.DUMMYFUNCTION("""COMPUTED_VALUE"""),"/network/NetworkService.java")</f>
        <v>/network/NetworkService.java</v>
      </c>
      <c r="AA2" s="54">
        <f>IFERROR(__xludf.DUMMYFUNCTION("""COMPUTED_VALUE"""),0.0)</f>
        <v>0</v>
      </c>
      <c r="AB2" s="54" t="str">
        <f>IFERROR(__xludf.DUMMYFUNCTION("""COMPUTED_VALUE"""),"Note1")</f>
        <v>Note1</v>
      </c>
      <c r="AC2" s="54" t="str">
        <f t="shared" ref="AC2:AC73" si="1">A2</f>
        <v>Elastic Search 1134</v>
      </c>
    </row>
    <row r="3">
      <c r="A3" s="105" t="str">
        <f>IFERROR(__xludf.DUMMYFUNCTION("""COMPUTED_VALUE"""),"Elastic Search 1154")</f>
        <v>Elastic Search 1154</v>
      </c>
      <c r="B3" s="105">
        <f>IFERROR(__xludf.DUMMYFUNCTION("""COMPUTED_VALUE"""),1154.0)</f>
        <v>1154</v>
      </c>
      <c r="C3" s="178" t="str">
        <f>IFERROR(__xludf.DUMMYFUNCTION("""COMPUTED_VALUE"""),"https://github.com/elastic/elasticsearch/issues/1154")</f>
        <v>https://github.com/elastic/elasticsearch/issues/1154</v>
      </c>
      <c r="D3" s="179" t="str">
        <f>IFERROR(__xludf.DUMMYFUNCTION("""COMPUTED_VALUE"""),"31ea01bbc68f64cd7787b97479cb5deba1b529b9")</f>
        <v>31ea01bbc68f64cd7787b97479cb5deba1b529b9</v>
      </c>
      <c r="E3" s="178" t="str">
        <f>IFERROR(__xludf.DUMMYFUNCTION("""COMPUTED_VALUE"""),"https://github.com/elastic/elasticsearch/commit/31ea01bbc68f64cd7787b97479cb5deba1b529b9")</f>
        <v>https://github.com/elastic/elasticsearch/commit/31ea01bbc68f64cd7787b97479cb5deba1b529b9</v>
      </c>
      <c r="F3" s="105" t="str">
        <f>IFERROR(__xludf.DUMMYFUNCTION("""COMPUTED_VALUE"""),"b3337c3")</f>
        <v>b3337c3</v>
      </c>
      <c r="G3" s="178" t="str">
        <f>IFERROR(__xludf.DUMMYFUNCTION("""COMPUTED_VALUE"""),"https://github.com/elastic/elasticsearch/commit/b3337c3")</f>
        <v>https://github.com/elastic/elasticsearch/commit/b3337c3</v>
      </c>
      <c r="H3" s="105" t="str">
        <f>IFERROR(__xludf.DUMMYFUNCTION("""COMPUTED_VALUE"""),"NA")</f>
        <v>NA</v>
      </c>
      <c r="I3" s="105" t="str">
        <f>IFERROR(__xludf.DUMMYFUNCTION("""COMPUTED_VALUE"""),"No information available")</f>
        <v>No information available</v>
      </c>
      <c r="J3" s="105" t="str">
        <f>IFERROR(__xludf.DUMMYFUNCTION("""COMPUTED_VALUE"""),"NA")</f>
        <v>NA</v>
      </c>
      <c r="K3" s="105"/>
      <c r="L3" s="105"/>
      <c r="M3" s="105"/>
      <c r="N3" s="105"/>
      <c r="O3" s="105"/>
      <c r="P3" s="105" t="str">
        <f>IFERROR(__xludf.DUMMYFUNCTION("""COMPUTED_VALUE"""),"NA")</f>
        <v>NA</v>
      </c>
      <c r="Q3" s="105"/>
      <c r="R3" s="105" t="str">
        <f>IFERROR(__xludf.DUMMYFUNCTION("""COMPUTED_VALUE"""),"No, however, check in the comments something like dup #ID or duplicate #ID")</f>
        <v>No, however, check in the comments something like dup #ID or duplicate #ID</v>
      </c>
      <c r="S3" s="105"/>
      <c r="T3" s="105" t="str">
        <f>IFERROR(__xludf.DUMMYFUNCTION("""COMPUTED_VALUE"""),"None identified. However, double check yourself")</f>
        <v>None identified. However, double check yourself</v>
      </c>
      <c r="U3" s="105"/>
      <c r="V3" s="105"/>
      <c r="W3" s="54" t="str">
        <f>IFERROR(__xludf.DUMMYFUNCTION("""COMPUTED_VALUE"""),"Elastic Search")</f>
        <v>Elastic Search</v>
      </c>
      <c r="X3" s="54" t="str">
        <f>IFERROR(__xludf.DUMMYFUNCTION("""COMPUTED_VALUE"""),"Not identified. However, it can be googled with the bug ID")</f>
        <v>Not identified. However, it can be googled with the bug ID</v>
      </c>
      <c r="Y3" s="54" t="str">
        <f>IFERROR(__xludf.DUMMYFUNCTION("""COMPUTED_VALUE"""),"modules/elasticsearch/src/main/java/org/elasticsearch/action/search/SearchOperationThreading.java,modules/elasticsearch/src/main/java/org/elasticsearch/rest/action/search/RestSearchAction.java,modules/elasticsearch/src/main/java/org/elasticsearch/rest/act"&amp;"ion/search/RestSearchScrollAction.java 
")</f>
        <v>modules/elasticsearch/src/main/java/org/elasticsearch/action/search/SearchOperationThreading.java,modules/elasticsearch/src/main/java/org/elasticsearch/rest/action/search/RestSearchAction.java,modules/elasticsearch/src/main/java/org/elasticsearch/rest/action/search/RestSearchScrollAction.java 
</v>
      </c>
      <c r="Z3" s="54" t="str">
        <f>IFERROR(__xludf.DUMMYFUNCTION("""COMPUTED_VALUE"""),"/RestSearchScrollAction.java 
/search/SearchOperationThreading.java
/search/RestSearchAction.java")</f>
        <v>/RestSearchScrollAction.java 
/search/SearchOperationThreading.java
/search/RestSearchAction.java</v>
      </c>
      <c r="AA3" s="54">
        <f>IFERROR(__xludf.DUMMYFUNCTION("""COMPUTED_VALUE"""),2.0)</f>
        <v>2</v>
      </c>
      <c r="AB3" s="54" t="str">
        <f>IFERROR(__xludf.DUMMYFUNCTION("""COMPUTED_VALUE"""),"Note2")</f>
        <v>Note2</v>
      </c>
      <c r="AC3" s="54" t="str">
        <f t="shared" si="1"/>
        <v>Elastic Search 1154</v>
      </c>
    </row>
    <row r="4">
      <c r="A4" s="105" t="str">
        <f>IFERROR(__xludf.DUMMYFUNCTION("""COMPUTED_VALUE"""),"Elastic Search 1162")</f>
        <v>Elastic Search 1162</v>
      </c>
      <c r="B4" s="105">
        <f>IFERROR(__xludf.DUMMYFUNCTION("""COMPUTED_VALUE"""),1162.0)</f>
        <v>1162</v>
      </c>
      <c r="C4" s="178" t="str">
        <f>IFERROR(__xludf.DUMMYFUNCTION("""COMPUTED_VALUE"""),"https://github.com/elastic/elasticsearch/issues/1162")</f>
        <v>https://github.com/elastic/elasticsearch/issues/1162</v>
      </c>
      <c r="D4" s="179" t="str">
        <f>IFERROR(__xludf.DUMMYFUNCTION("""COMPUTED_VALUE"""),"b70694ce631d7b55be6edd7b9049237456a6e4b4")</f>
        <v>b70694ce631d7b55be6edd7b9049237456a6e4b4</v>
      </c>
      <c r="E4" s="178" t="str">
        <f>IFERROR(__xludf.DUMMYFUNCTION("""COMPUTED_VALUE"""),"https://github.com/elastic/elasticsearch/commit/b70694ce631d7b55be6edd7b9049237456a6e4b4")</f>
        <v>https://github.com/elastic/elasticsearch/commit/b70694ce631d7b55be6edd7b9049237456a6e4b4</v>
      </c>
      <c r="F4" s="105" t="str">
        <f>IFERROR(__xludf.DUMMYFUNCTION("""COMPUTED_VALUE"""),"d4547c629")</f>
        <v>d4547c629</v>
      </c>
      <c r="G4" s="178" t="str">
        <f>IFERROR(__xludf.DUMMYFUNCTION("""COMPUTED_VALUE"""),"https://github.com/elastic/elasticsearch/commit/d4547c629")</f>
        <v>https://github.com/elastic/elasticsearch/commit/d4547c629</v>
      </c>
      <c r="H4" s="105" t="str">
        <f>IFERROR(__xludf.DUMMYFUNCTION("""COMPUTED_VALUE"""),"NA")</f>
        <v>NA</v>
      </c>
      <c r="I4" s="105" t="str">
        <f>IFERROR(__xludf.DUMMYFUNCTION("""COMPUTED_VALUE"""),"No information available")</f>
        <v>No information available</v>
      </c>
      <c r="J4" s="105" t="str">
        <f>IFERROR(__xludf.DUMMYFUNCTION("""COMPUTED_VALUE"""),"NA")</f>
        <v>NA</v>
      </c>
      <c r="K4" s="105"/>
      <c r="L4" s="105"/>
      <c r="M4" s="105"/>
      <c r="N4" s="105"/>
      <c r="O4" s="105"/>
      <c r="P4" s="105" t="str">
        <f>IFERROR(__xludf.DUMMYFUNCTION("""COMPUTED_VALUE"""),"NA")</f>
        <v>NA</v>
      </c>
      <c r="Q4" s="105"/>
      <c r="R4" s="105" t="str">
        <f>IFERROR(__xludf.DUMMYFUNCTION("""COMPUTED_VALUE"""),"No, however, check in the comments something like dup #ID or duplicate #ID")</f>
        <v>No, however, check in the comments something like dup #ID or duplicate #ID</v>
      </c>
      <c r="S4" s="105"/>
      <c r="T4" s="105" t="str">
        <f>IFERROR(__xludf.DUMMYFUNCTION("""COMPUTED_VALUE"""),"None identified. However, double check yourself")</f>
        <v>None identified. However, double check yourself</v>
      </c>
      <c r="U4" s="105"/>
      <c r="V4" s="105"/>
      <c r="W4" s="54" t="str">
        <f>IFERROR(__xludf.DUMMYFUNCTION("""COMPUTED_VALUE"""),"Elastic Search")</f>
        <v>Elastic Search</v>
      </c>
      <c r="X4" s="54" t="str">
        <f>IFERROR(__xludf.DUMMYFUNCTION("""COMPUTED_VALUE"""),"Not identified. However, it can be googled with the bug ID")</f>
        <v>Not identified. However, it can be googled with the bug ID</v>
      </c>
      <c r="Y4" s="54" t="str">
        <f>IFERROR(__xludf.DUMMYFUNCTION("""COMPUTED_VALUE"""),"modules/elasticsearch/src/main/java/org/elasticsearch/cluster/metadata/MetaDataUpdateSettingsService.java")</f>
        <v>modules/elasticsearch/src/main/java/org/elasticsearch/cluster/metadata/MetaDataUpdateSettingsService.java</v>
      </c>
      <c r="Z4" s="54" t="str">
        <f>IFERROR(__xludf.DUMMYFUNCTION("""COMPUTED_VALUE"""),"/MetaDataUpdateSettingsService.java")</f>
        <v>/MetaDataUpdateSettingsService.java</v>
      </c>
      <c r="AA4" s="54">
        <f>IFERROR(__xludf.DUMMYFUNCTION("""COMPUTED_VALUE"""),0.0)</f>
        <v>0</v>
      </c>
      <c r="AB4" s="54" t="str">
        <f>IFERROR(__xludf.DUMMYFUNCTION("""COMPUTED_VALUE"""),"Note3")</f>
        <v>Note3</v>
      </c>
      <c r="AC4" s="54" t="str">
        <f t="shared" si="1"/>
        <v>Elastic Search 1162</v>
      </c>
    </row>
    <row r="5">
      <c r="A5" s="105" t="str">
        <f>IFERROR(__xludf.DUMMYFUNCTION("""COMPUTED_VALUE"""),"Elastic Search 12193")</f>
        <v>Elastic Search 12193</v>
      </c>
      <c r="B5" s="105">
        <f>IFERROR(__xludf.DUMMYFUNCTION("""COMPUTED_VALUE"""),12193.0)</f>
        <v>12193</v>
      </c>
      <c r="C5" s="178" t="str">
        <f>IFERROR(__xludf.DUMMYFUNCTION("""COMPUTED_VALUE"""),"https://github.com/elastic/elasticsearch/issues/12193")</f>
        <v>https://github.com/elastic/elasticsearch/issues/12193</v>
      </c>
      <c r="D5" s="179" t="str">
        <f>IFERROR(__xludf.DUMMYFUNCTION("""COMPUTED_VALUE"""),"2ea45fd753b89c12431dab")</f>
        <v>2ea45fd753b89c12431dab</v>
      </c>
      <c r="E5" s="178" t="str">
        <f>IFERROR(__xludf.DUMMYFUNCTION("""COMPUTED_VALUE"""),"https://github.com/elastic/elasticsearch/commit/2ea45fd753b89c12431dab")</f>
        <v>https://github.com/elastic/elasticsearch/commit/2ea45fd753b89c12431dab</v>
      </c>
      <c r="F5" s="105" t="str">
        <f>IFERROR(__xludf.DUMMYFUNCTION("""COMPUTED_VALUE"""),"15a62448")</f>
        <v>15a62448</v>
      </c>
      <c r="G5" s="178" t="str">
        <f>IFERROR(__xludf.DUMMYFUNCTION("""COMPUTED_VALUE"""),"https://github.com/elastic/elasticsearch/commit/15a62448")</f>
        <v>https://github.com/elastic/elasticsearch/commit/15a62448</v>
      </c>
      <c r="H5" s="105" t="str">
        <f>IFERROR(__xludf.DUMMYFUNCTION("""COMPUTED_VALUE"""),"NA")</f>
        <v>NA</v>
      </c>
      <c r="I5" s="105" t="str">
        <f>IFERROR(__xludf.DUMMYFUNCTION("""COMPUTED_VALUE"""),"No information available")</f>
        <v>No information available</v>
      </c>
      <c r="J5" s="105" t="str">
        <f>IFERROR(__xludf.DUMMYFUNCTION("""COMPUTED_VALUE"""),"NA")</f>
        <v>NA</v>
      </c>
      <c r="K5" s="105"/>
      <c r="L5" s="105"/>
      <c r="M5" s="105"/>
      <c r="N5" s="105"/>
      <c r="O5" s="105"/>
      <c r="P5" s="105" t="str">
        <f>IFERROR(__xludf.DUMMYFUNCTION("""COMPUTED_VALUE"""),"NA")</f>
        <v>NA</v>
      </c>
      <c r="Q5" s="105"/>
      <c r="R5" s="105" t="str">
        <f>IFERROR(__xludf.DUMMYFUNCTION("""COMPUTED_VALUE"""),"No, however, check in the comments something like dup #ID or duplicate #ID")</f>
        <v>No, however, check in the comments something like dup #ID or duplicate #ID</v>
      </c>
      <c r="S5" s="105"/>
      <c r="T5" s="105" t="str">
        <f>IFERROR(__xludf.DUMMYFUNCTION("""COMPUTED_VALUE"""),"None identified. However, double check yourself")</f>
        <v>None identified. However, double check yourself</v>
      </c>
      <c r="U5" s="105"/>
      <c r="V5" s="105"/>
      <c r="W5" s="54" t="str">
        <f>IFERROR(__xludf.DUMMYFUNCTION("""COMPUTED_VALUE"""),"Elastic Search")</f>
        <v>Elastic Search</v>
      </c>
      <c r="X5" s="54" t="str">
        <f>IFERROR(__xludf.DUMMYFUNCTION("""COMPUTED_VALUE"""),"Not identified. However, it can be googled with the bug ID")</f>
        <v>Not identified. However, it can be googled with the bug ID</v>
      </c>
      <c r="Y5" s="54" t="str">
        <f>IFERROR(__xludf.DUMMYFUNCTION("""COMPUTED_VALUE"""),"core/pom.xml")</f>
        <v>core/pom.xml</v>
      </c>
      <c r="Z5" s="54" t="str">
        <f>IFERROR(__xludf.DUMMYFUNCTION("""COMPUTED_VALUE"""),"core/pom.xml")</f>
        <v>core/pom.xml</v>
      </c>
      <c r="AA5" s="54">
        <f>IFERROR(__xludf.DUMMYFUNCTION("""COMPUTED_VALUE"""),0.0)</f>
        <v>0</v>
      </c>
      <c r="AB5" s="54" t="str">
        <f>IFERROR(__xludf.DUMMYFUNCTION("""COMPUTED_VALUE"""),"Note4")</f>
        <v>Note4</v>
      </c>
      <c r="AC5" s="54" t="str">
        <f t="shared" si="1"/>
        <v>Elastic Search 12193</v>
      </c>
    </row>
    <row r="6">
      <c r="A6" s="105" t="str">
        <f>IFERROR(__xludf.DUMMYFUNCTION("""COMPUTED_VALUE"""),"Elastic Search 1380")</f>
        <v>Elastic Search 1380</v>
      </c>
      <c r="B6" s="105">
        <f>IFERROR(__xludf.DUMMYFUNCTION("""COMPUTED_VALUE"""),1380.0)</f>
        <v>1380</v>
      </c>
      <c r="C6" s="178" t="str">
        <f>IFERROR(__xludf.DUMMYFUNCTION("""COMPUTED_VALUE"""),"https://github.com/elastic/elasticsearch/issues/1380")</f>
        <v>https://github.com/elastic/elasticsearch/issues/1380</v>
      </c>
      <c r="D6" s="179" t="str">
        <f>IFERROR(__xludf.DUMMYFUNCTION("""COMPUTED_VALUE"""),"bd87f8de3ac84eb408d5ada0976664545c9228a0")</f>
        <v>bd87f8de3ac84eb408d5ada0976664545c9228a0</v>
      </c>
      <c r="E6" s="178" t="str">
        <f>IFERROR(__xludf.DUMMYFUNCTION("""COMPUTED_VALUE"""),"https://github.com/elastic/elasticsearch/commit/bd87f8de3ac84eb408d5ada0976664545c9228a0")</f>
        <v>https://github.com/elastic/elasticsearch/commit/bd87f8de3ac84eb408d5ada0976664545c9228a0</v>
      </c>
      <c r="F6" s="105" t="str">
        <f>IFERROR(__xludf.DUMMYFUNCTION("""COMPUTED_VALUE"""),"adc3dc0")</f>
        <v>adc3dc0</v>
      </c>
      <c r="G6" s="178" t="str">
        <f>IFERROR(__xludf.DUMMYFUNCTION("""COMPUTED_VALUE"""),"https://github.com/elastic/elasticsearch/commit/adc3dc0")</f>
        <v>https://github.com/elastic/elasticsearch/commit/adc3dc0</v>
      </c>
      <c r="H6" s="105" t="str">
        <f>IFERROR(__xludf.DUMMYFUNCTION("""COMPUTED_VALUE"""),"NA")</f>
        <v>NA</v>
      </c>
      <c r="I6" s="105" t="str">
        <f>IFERROR(__xludf.DUMMYFUNCTION("""COMPUTED_VALUE"""),"No information available")</f>
        <v>No information available</v>
      </c>
      <c r="J6" s="105">
        <f>IFERROR(__xludf.DUMMYFUNCTION("""COMPUTED_VALUE"""),873.0)</f>
        <v>873</v>
      </c>
      <c r="K6" s="178" t="str">
        <f>IFERROR(__xludf.DUMMYFUNCTION("""COMPUTED_VALUE"""),"https://github.com/elastic/elasticsearch/issues/873")</f>
        <v>https://github.com/elastic/elasticsearch/issues/873</v>
      </c>
      <c r="L6" s="105"/>
      <c r="M6" s="105"/>
      <c r="N6" s="105"/>
      <c r="O6" s="105"/>
      <c r="P6" s="105">
        <f>IFERROR(__xludf.DUMMYFUNCTION("""COMPUTED_VALUE"""),873.0)</f>
        <v>873</v>
      </c>
      <c r="Q6" s="178" t="str">
        <f>IFERROR(__xludf.DUMMYFUNCTION("""COMPUTED_VALUE"""),"https://github.com/elastic/elasticsearch/issues/873")</f>
        <v>https://github.com/elastic/elasticsearch/issues/873</v>
      </c>
      <c r="R6" s="105" t="str">
        <f>IFERROR(__xludf.DUMMYFUNCTION("""COMPUTED_VALUE"""),"No, however, check in the comments something like dup #ID or duplicate #ID")</f>
        <v>No, however, check in the comments something like dup #ID or duplicate #ID</v>
      </c>
      <c r="S6" s="105"/>
      <c r="T6" s="105" t="str">
        <f>IFERROR(__xludf.DUMMYFUNCTION("""COMPUTED_VALUE"""),"None identified. However, double check yourself")</f>
        <v>None identified. However, double check yourself</v>
      </c>
      <c r="U6" s="105"/>
      <c r="V6" s="105"/>
      <c r="W6" s="54" t="str">
        <f>IFERROR(__xludf.DUMMYFUNCTION("""COMPUTED_VALUE"""),"Elastic Search")</f>
        <v>Elastic Search</v>
      </c>
      <c r="X6" s="54" t="str">
        <f>IFERROR(__xludf.DUMMYFUNCTION("""COMPUTED_VALUE"""),"Not identified. However, it can be googled with the bug ID")</f>
        <v>Not identified. However, it can be googled with the bug ID</v>
      </c>
      <c r="Y6" s="54" t="str">
        <f>IFERROR(__xludf.DUMMYFUNCTION("""COMPUTED_VALUE"""),"modules/elasticsearch/src/main/java/org/elasticsearch/search/highlight/HighlightPhase.java")</f>
        <v>modules/elasticsearch/src/main/java/org/elasticsearch/search/highlight/HighlightPhase.java</v>
      </c>
      <c r="Z6" s="54" t="str">
        <f>IFERROR(__xludf.DUMMYFUNCTION("""COMPUTED_VALUE"""),"/highlight/HighlightPhase.java")</f>
        <v>/highlight/HighlightPhase.java</v>
      </c>
      <c r="AA6" s="54">
        <f>IFERROR(__xludf.DUMMYFUNCTION("""COMPUTED_VALUE"""),0.0)</f>
        <v>0</v>
      </c>
      <c r="AB6" s="54" t="str">
        <f>IFERROR(__xludf.DUMMYFUNCTION("""COMPUTED_VALUE"""),"Note5")</f>
        <v>Note5</v>
      </c>
      <c r="AC6" s="54" t="str">
        <f t="shared" si="1"/>
        <v>Elastic Search 1380</v>
      </c>
    </row>
    <row r="7">
      <c r="A7" s="105" t="str">
        <f>IFERROR(__xludf.DUMMYFUNCTION("""COMPUTED_VALUE"""),"Elastic Search 14782")</f>
        <v>Elastic Search 14782</v>
      </c>
      <c r="B7" s="105">
        <f>IFERROR(__xludf.DUMMYFUNCTION("""COMPUTED_VALUE"""),14782.0)</f>
        <v>14782</v>
      </c>
      <c r="C7" s="178" t="str">
        <f>IFERROR(__xludf.DUMMYFUNCTION("""COMPUTED_VALUE"""),"https://github.com/elastic/elasticsearch/issues/14782")</f>
        <v>https://github.com/elastic/elasticsearch/issues/14782</v>
      </c>
      <c r="D7" s="179" t="str">
        <f>IFERROR(__xludf.DUMMYFUNCTION("""COMPUTED_VALUE"""),"9e4a0cba0b6a9a93")</f>
        <v>9e4a0cba0b6a9a93</v>
      </c>
      <c r="E7" s="178" t="str">
        <f>IFERROR(__xludf.DUMMYFUNCTION("""COMPUTED_VALUE"""),"https://github.com/elastic/elasticsearch/commit/9e4a0cba0b6a9a93")</f>
        <v>https://github.com/elastic/elasticsearch/commit/9e4a0cba0b6a9a93</v>
      </c>
      <c r="F7" s="105" t="str">
        <f>IFERROR(__xludf.DUMMYFUNCTION("""COMPUTED_VALUE"""),"904cbf534")</f>
        <v>904cbf534</v>
      </c>
      <c r="G7" s="178" t="str">
        <f>IFERROR(__xludf.DUMMYFUNCTION("""COMPUTED_VALUE"""),"https://github.com/elastic/elasticsearch/commit/904cbf534")</f>
        <v>https://github.com/elastic/elasticsearch/commit/904cbf534</v>
      </c>
      <c r="H7" s="105" t="str">
        <f>IFERROR(__xludf.DUMMYFUNCTION("""COMPUTED_VALUE"""),"13788, 12943, 12694, II (12527)")</f>
        <v>13788, 12943, 12694, II (12527)</v>
      </c>
      <c r="I7" s="178" t="str">
        <f>IFERROR(__xludf.DUMMYFUNCTION("""COMPUTED_VALUE"""),"https://github.com/elastic/elasticsearch/pull/13788, https://github.com/elastic/elasticsearch/pull/12943, https://github.com/elastic/elasticsearch/pull/12694, https://github.com/elastic/elasticsearch/pull/12527 (II)")</f>
        <v>https://github.com/elastic/elasticsearch/pull/13788, https://github.com/elastic/elasticsearch/pull/12943, https://github.com/elastic/elasticsearch/pull/12694, https://github.com/elastic/elasticsearch/pull/12527 (II)</v>
      </c>
      <c r="J7" s="105">
        <f>IFERROR(__xludf.DUMMYFUNCTION("""COMPUTED_VALUE"""),10217.0)</f>
        <v>10217</v>
      </c>
      <c r="K7" s="178" t="str">
        <f>IFERROR(__xludf.DUMMYFUNCTION("""COMPUTED_VALUE"""),"https://github.com/elastic/elasticsearch/issues/10217")</f>
        <v>https://github.com/elastic/elasticsearch/issues/10217</v>
      </c>
      <c r="L7" s="105">
        <f>IFERROR(__xludf.DUMMYFUNCTION("""COMPUTED_VALUE"""),12527.0)</f>
        <v>12527</v>
      </c>
      <c r="M7" s="178" t="str">
        <f>IFERROR(__xludf.DUMMYFUNCTION("""COMPUTED_VALUE"""),"https://github.com/elastic/elasticsearch/pull/12527")</f>
        <v>https://github.com/elastic/elasticsearch/pull/12527</v>
      </c>
      <c r="N7" s="105"/>
      <c r="O7" s="105"/>
      <c r="P7" s="105" t="str">
        <f>IFERROR(__xludf.DUMMYFUNCTION("""COMPUTED_VALUE"""),"10217, 12527")</f>
        <v>10217, 12527</v>
      </c>
      <c r="Q7" s="178" t="str">
        <f>IFERROR(__xludf.DUMMYFUNCTION("""COMPUTED_VALUE"""),"https://github.com/elastic/elasticsearch/issues/10217")</f>
        <v>https://github.com/elastic/elasticsearch/issues/10217</v>
      </c>
      <c r="R7" s="105" t="str">
        <f>IFERROR(__xludf.DUMMYFUNCTION("""COMPUTED_VALUE"""),"No, however, check in the comments something like dup #ID or duplicate #ID")</f>
        <v>No, however, check in the comments something like dup #ID or duplicate #ID</v>
      </c>
      <c r="S7" s="105"/>
      <c r="T7" s="178" t="str">
        <f>IFERROR(__xludf.DUMMYFUNCTION("""COMPUTED_VALUE"""),"https://github.com/elastic/elasticsearch/pull/12527")</f>
        <v>https://github.com/elastic/elasticsearch/pull/12527</v>
      </c>
      <c r="U7" s="105"/>
      <c r="V7" s="105"/>
      <c r="W7" s="54" t="str">
        <f>IFERROR(__xludf.DUMMYFUNCTION("""COMPUTED_VALUE"""),"Elastic Search")</f>
        <v>Elastic Search</v>
      </c>
      <c r="X7" s="54" t="str">
        <f>IFERROR(__xludf.DUMMYFUNCTION("""COMPUTED_VALUE"""),"Not identified. However, it can be googled with the bug ID")</f>
        <v>Not identified. However, it can be googled with the bug ID</v>
      </c>
      <c r="Y7" s="54" t="str">
        <f>IFERROR(__xludf.DUMMYFUNCTION("""COMPUTED_VALUE"""),"core/src/main/java/org/elasticsearch/index/mapper/MappedFieldType.java")</f>
        <v>core/src/main/java/org/elasticsearch/index/mapper/MappedFieldType.java</v>
      </c>
      <c r="Z7" s="54" t="str">
        <f>IFERROR(__xludf.DUMMYFUNCTION("""COMPUTED_VALUE"""),"/mapper/MappedFieldType.java")</f>
        <v>/mapper/MappedFieldType.java</v>
      </c>
      <c r="AA7" s="54">
        <f>IFERROR(__xludf.DUMMYFUNCTION("""COMPUTED_VALUE"""),0.0)</f>
        <v>0</v>
      </c>
      <c r="AB7" s="54" t="str">
        <f>IFERROR(__xludf.DUMMYFUNCTION("""COMPUTED_VALUE"""),"Note6")</f>
        <v>Note6</v>
      </c>
      <c r="AC7" s="54" t="str">
        <f t="shared" si="1"/>
        <v>Elastic Search 14782</v>
      </c>
    </row>
    <row r="8">
      <c r="A8" s="105" t="str">
        <f>IFERROR(__xludf.DUMMYFUNCTION("""COMPUTED_VALUE"""),"Elastic Search 15858")</f>
        <v>Elastic Search 15858</v>
      </c>
      <c r="B8" s="105">
        <f>IFERROR(__xludf.DUMMYFUNCTION("""COMPUTED_VALUE"""),15858.0)</f>
        <v>15858</v>
      </c>
      <c r="C8" s="178" t="str">
        <f>IFERROR(__xludf.DUMMYFUNCTION("""COMPUTED_VALUE"""),"https://github.com/elastic/elasticsearch/issues/15858")</f>
        <v>https://github.com/elastic/elasticsearch/issues/15858</v>
      </c>
      <c r="D8" s="179" t="str">
        <f>IFERROR(__xludf.DUMMYFUNCTION("""COMPUTED_VALUE"""),"12df1e7a6f096e")</f>
        <v>12df1e7a6f096e</v>
      </c>
      <c r="E8" s="178" t="str">
        <f>IFERROR(__xludf.DUMMYFUNCTION("""COMPUTED_VALUE"""),"https://github.com/elastic/elasticsearch/commit/12df1e7a6f096e")</f>
        <v>https://github.com/elastic/elasticsearch/commit/12df1e7a6f096e</v>
      </c>
      <c r="F8" s="105" t="str">
        <f>IFERROR(__xludf.DUMMYFUNCTION("""COMPUTED_VALUE"""),"0cde90fcb10c9")</f>
        <v>0cde90fcb10c9</v>
      </c>
      <c r="G8" s="178" t="str">
        <f>IFERROR(__xludf.DUMMYFUNCTION("""COMPUTED_VALUE"""),"https://github.com/elastic/elasticsearch/commit/0cde90fcb10c9")</f>
        <v>https://github.com/elastic/elasticsearch/commit/0cde90fcb10c9</v>
      </c>
      <c r="H8" s="105" t="str">
        <f>IFERROR(__xludf.DUMMYFUNCTION("""COMPUTED_VALUE"""),"NA")</f>
        <v>NA</v>
      </c>
      <c r="I8" s="105" t="str">
        <f>IFERROR(__xludf.DUMMYFUNCTION("""COMPUTED_VALUE"""),"No information available")</f>
        <v>No information available</v>
      </c>
      <c r="J8" s="105">
        <f>IFERROR(__xludf.DUMMYFUNCTION("""COMPUTED_VALUE"""),1420.0)</f>
        <v>1420</v>
      </c>
      <c r="K8" s="178" t="str">
        <f>IFERROR(__xludf.DUMMYFUNCTION("""COMPUTED_VALUE"""),"https://github.com/elastic/elasticsearch/issues/1420")</f>
        <v>https://github.com/elastic/elasticsearch/issues/1420</v>
      </c>
      <c r="L8" s="105"/>
      <c r="M8" s="105"/>
      <c r="N8" s="105"/>
      <c r="O8" s="105"/>
      <c r="P8" s="105">
        <f>IFERROR(__xludf.DUMMYFUNCTION("""COMPUTED_VALUE"""),1420.0)</f>
        <v>1420</v>
      </c>
      <c r="Q8" s="178" t="str">
        <f>IFERROR(__xludf.DUMMYFUNCTION("""COMPUTED_VALUE"""),"https://github.com/elastic/elasticsearch/issues/1420")</f>
        <v>https://github.com/elastic/elasticsearch/issues/1420</v>
      </c>
      <c r="R8" s="105" t="str">
        <f>IFERROR(__xludf.DUMMYFUNCTION("""COMPUTED_VALUE"""),"No, however, check in the comments something like dup #ID or duplicate #ID")</f>
        <v>No, however, check in the comments something like dup #ID or duplicate #ID</v>
      </c>
      <c r="S8" s="105"/>
      <c r="T8" s="178" t="str">
        <f>IFERROR(__xludf.DUMMYFUNCTION("""COMPUTED_VALUE"""),"https://issues.apache.org/jira/browse/LUCENE-6972")</f>
        <v>https://issues.apache.org/jira/browse/LUCENE-6972</v>
      </c>
      <c r="U8" s="105"/>
      <c r="V8" s="105"/>
      <c r="W8" s="54" t="str">
        <f>IFERROR(__xludf.DUMMYFUNCTION("""COMPUTED_VALUE"""),"Elastic Search")</f>
        <v>Elastic Search</v>
      </c>
      <c r="X8" s="54" t="str">
        <f>IFERROR(__xludf.DUMMYFUNCTION("""COMPUTED_VALUE"""),"Not identified. However, it can be googled with the bug ID")</f>
        <v>Not identified. However, it can be googled with the bug ID</v>
      </c>
      <c r="Y8" s="54" t="str">
        <f>IFERROR(__xludf.DUMMYFUNCTION("""COMPUTED_VALUE"""),"core/src/main/java/org/elasticsearch/common/lucene/search/Queries.java")</f>
        <v>core/src/main/java/org/elasticsearch/common/lucene/search/Queries.java</v>
      </c>
      <c r="Z8" s="54" t="str">
        <f>IFERROR(__xludf.DUMMYFUNCTION("""COMPUTED_VALUE"""),"/lucene/search/Queries.java")</f>
        <v>/lucene/search/Queries.java</v>
      </c>
      <c r="AA8" s="54">
        <f>IFERROR(__xludf.DUMMYFUNCTION("""COMPUTED_VALUE"""),0.0)</f>
        <v>0</v>
      </c>
      <c r="AB8" s="54" t="str">
        <f>IFERROR(__xludf.DUMMYFUNCTION("""COMPUTED_VALUE"""),"Note7")</f>
        <v>Note7</v>
      </c>
      <c r="AC8" s="54" t="str">
        <f t="shared" si="1"/>
        <v>Elastic Search 15858</v>
      </c>
    </row>
    <row r="9">
      <c r="A9" s="105" t="str">
        <f>IFERROR(__xludf.DUMMYFUNCTION("""COMPUTED_VALUE"""),"Elastic Search 16246")</f>
        <v>Elastic Search 16246</v>
      </c>
      <c r="B9" s="105">
        <f>IFERROR(__xludf.DUMMYFUNCTION("""COMPUTED_VALUE"""),16246.0)</f>
        <v>16246</v>
      </c>
      <c r="C9" s="178" t="str">
        <f>IFERROR(__xludf.DUMMYFUNCTION("""COMPUTED_VALUE"""),"https://github.com/elastic/elasticsearch/issues/16246")</f>
        <v>https://github.com/elastic/elasticsearch/issues/16246</v>
      </c>
      <c r="D9" s="179" t="str">
        <f>IFERROR(__xludf.DUMMYFUNCTION("""COMPUTED_VALUE"""),"1556750")</f>
        <v>1556750</v>
      </c>
      <c r="E9" s="178" t="str">
        <f>IFERROR(__xludf.DUMMYFUNCTION("""COMPUTED_VALUE"""),"https://github.com/elastic/elasticsearch/commit/1556750")</f>
        <v>https://github.com/elastic/elasticsearch/commit/1556750</v>
      </c>
      <c r="F9" s="105" t="str">
        <f>IFERROR(__xludf.DUMMYFUNCTION("""COMPUTED_VALUE"""),"57d6971")</f>
        <v>57d6971</v>
      </c>
      <c r="G9" s="178" t="str">
        <f>IFERROR(__xludf.DUMMYFUNCTION("""COMPUTED_VALUE"""),"https://github.com/elastic/elasticsearch/commit/57d6971")</f>
        <v>https://github.com/elastic/elasticsearch/commit/57d6971</v>
      </c>
      <c r="H9" s="105" t="str">
        <f>IFERROR(__xludf.DUMMYFUNCTION("""COMPUTED_VALUE"""),"15283, 15564, 16049")</f>
        <v>15283, 15564, 16049</v>
      </c>
      <c r="I9" s="178" t="str">
        <f>IFERROR(__xludf.DUMMYFUNCTION("""COMPUTED_VALUE"""),"https://github.com/elastic/elasticsearch/pull/15283, https://github.com/elastic/elasticsearch/pull/15564, https://github.com/elastic/elasticsearch/pull/16049")</f>
        <v>https://github.com/elastic/elasticsearch/pull/15283, https://github.com/elastic/elasticsearch/pull/15564, https://github.com/elastic/elasticsearch/pull/16049</v>
      </c>
      <c r="J9" s="105">
        <f>IFERROR(__xludf.DUMMYFUNCTION("""COMPUTED_VALUE"""),15036.0)</f>
        <v>15036</v>
      </c>
      <c r="K9" s="178" t="str">
        <f>IFERROR(__xludf.DUMMYFUNCTION("""COMPUTED_VALUE"""),"https://github.com/elastic/elasticsearch/issues/15036")</f>
        <v>https://github.com/elastic/elasticsearch/issues/15036</v>
      </c>
      <c r="L9" s="105"/>
      <c r="M9" s="105"/>
      <c r="N9" s="105"/>
      <c r="O9" s="105"/>
      <c r="P9" s="105">
        <f>IFERROR(__xludf.DUMMYFUNCTION("""COMPUTED_VALUE"""),15036.0)</f>
        <v>15036</v>
      </c>
      <c r="Q9" s="105"/>
      <c r="R9" s="105" t="str">
        <f>IFERROR(__xludf.DUMMYFUNCTION("""COMPUTED_VALUE"""),"No, however, check in the comments something like dup #ID or duplicate #ID")</f>
        <v>No, however, check in the comments something like dup #ID or duplicate #ID</v>
      </c>
      <c r="S9" s="105"/>
      <c r="T9" s="105" t="str">
        <f>IFERROR(__xludf.DUMMYFUNCTION("""COMPUTED_VALUE"""),"None identified. However, double check yourself")</f>
        <v>None identified. However, double check yourself</v>
      </c>
      <c r="U9" s="105"/>
      <c r="V9" s="105"/>
      <c r="W9" s="54" t="str">
        <f>IFERROR(__xludf.DUMMYFUNCTION("""COMPUTED_VALUE"""),"Elastic Search")</f>
        <v>Elastic Search</v>
      </c>
      <c r="X9" s="54" t="str">
        <f>IFERROR(__xludf.DUMMYFUNCTION("""COMPUTED_VALUE"""),"Not identified. However, it can be googled with the bug ID")</f>
        <v>Not identified. However, it can be googled with the bug ID</v>
      </c>
      <c r="Y9" s="54" t="str">
        <f>IFERROR(__xludf.DUMMYFUNCTION("""COMPUTED_VALUE"""),"core/src/main/java/org/elasticsearch/ingest/core/IngestDocument.java")</f>
        <v>core/src/main/java/org/elasticsearch/ingest/core/IngestDocument.java</v>
      </c>
      <c r="Z9" s="54" t="str">
        <f>IFERROR(__xludf.DUMMYFUNCTION("""COMPUTED_VALUE"""),"/core/IngestDocument.java")</f>
        <v>/core/IngestDocument.java</v>
      </c>
      <c r="AA9" s="54">
        <f>IFERROR(__xludf.DUMMYFUNCTION("""COMPUTED_VALUE"""),0.0)</f>
        <v>0</v>
      </c>
      <c r="AB9" s="54" t="str">
        <f>IFERROR(__xludf.DUMMYFUNCTION("""COMPUTED_VALUE"""),"Note8")</f>
        <v>Note8</v>
      </c>
      <c r="AC9" s="54" t="str">
        <f t="shared" si="1"/>
        <v>Elastic Search 16246</v>
      </c>
    </row>
    <row r="10">
      <c r="A10" s="105" t="str">
        <f>IFERROR(__xludf.DUMMYFUNCTION("""COMPUTED_VALUE"""),"Elastic Search 1626")</f>
        <v>Elastic Search 1626</v>
      </c>
      <c r="B10" s="105">
        <f>IFERROR(__xludf.DUMMYFUNCTION("""COMPUTED_VALUE"""),1626.0)</f>
        <v>1626</v>
      </c>
      <c r="C10" s="178" t="str">
        <f>IFERROR(__xludf.DUMMYFUNCTION("""COMPUTED_VALUE"""),"https://github.com/elastic/elasticsearch/issues/1626")</f>
        <v>https://github.com/elastic/elasticsearch/issues/1626</v>
      </c>
      <c r="D10" s="179" t="str">
        <f>IFERROR(__xludf.DUMMYFUNCTION("""COMPUTED_VALUE"""),"a1a30226caaef4667cb7d85a4702ecf6a6bb0703")</f>
        <v>a1a30226caaef4667cb7d85a4702ecf6a6bb0703</v>
      </c>
      <c r="E10" s="178" t="str">
        <f>IFERROR(__xludf.DUMMYFUNCTION("""COMPUTED_VALUE"""),"https://github.com/elastic/elasticsearch/commit/a1a30226caaef4667cb7d85a4702ecf6a6bb0703")</f>
        <v>https://github.com/elastic/elasticsearch/commit/a1a30226caaef4667cb7d85a4702ecf6a6bb0703</v>
      </c>
      <c r="F10" s="105" t="str">
        <f>IFERROR(__xludf.DUMMYFUNCTION("""COMPUTED_VALUE"""),"4180a7f7")</f>
        <v>4180a7f7</v>
      </c>
      <c r="G10" s="178" t="str">
        <f>IFERROR(__xludf.DUMMYFUNCTION("""COMPUTED_VALUE"""),"https://github.com/elastic/elasticsearch/commit/4180a7f7")</f>
        <v>https://github.com/elastic/elasticsearch/commit/4180a7f7</v>
      </c>
      <c r="H10" s="105" t="str">
        <f>IFERROR(__xludf.DUMMYFUNCTION("""COMPUTED_VALUE"""),"NA")</f>
        <v>NA</v>
      </c>
      <c r="I10" s="105" t="str">
        <f>IFERROR(__xludf.DUMMYFUNCTION("""COMPUTED_VALUE"""),"No information available")</f>
        <v>No information available</v>
      </c>
      <c r="J10" s="105" t="str">
        <f>IFERROR(__xludf.DUMMYFUNCTION("""COMPUTED_VALUE"""),"NA")</f>
        <v>NA</v>
      </c>
      <c r="K10" s="105"/>
      <c r="L10" s="105"/>
      <c r="M10" s="105"/>
      <c r="N10" s="105"/>
      <c r="O10" s="105"/>
      <c r="P10" s="105" t="str">
        <f>IFERROR(__xludf.DUMMYFUNCTION("""COMPUTED_VALUE"""),"NA")</f>
        <v>NA</v>
      </c>
      <c r="Q10" s="105"/>
      <c r="R10" s="105" t="str">
        <f>IFERROR(__xludf.DUMMYFUNCTION("""COMPUTED_VALUE"""),"No, however, check in the comments something like dup #ID or duplicate #ID")</f>
        <v>No, however, check in the comments something like dup #ID or duplicate #ID</v>
      </c>
      <c r="S10" s="105"/>
      <c r="T10" s="105" t="str">
        <f>IFERROR(__xludf.DUMMYFUNCTION("""COMPUTED_VALUE"""),"None identified. However, double check yourself")</f>
        <v>None identified. However, double check yourself</v>
      </c>
      <c r="U10" s="105"/>
      <c r="V10" s="105"/>
      <c r="W10" s="54" t="str">
        <f>IFERROR(__xludf.DUMMYFUNCTION("""COMPUTED_VALUE"""),"Elastic Search")</f>
        <v>Elastic Search</v>
      </c>
      <c r="X10" s="54" t="str">
        <f>IFERROR(__xludf.DUMMYFUNCTION("""COMPUTED_VALUE"""),"Not identified. However, it can be googled with the bug ID")</f>
        <v>Not identified. However, it can be googled with the bug ID</v>
      </c>
      <c r="Y10" s="54" t="str">
        <f>IFERROR(__xludf.DUMMYFUNCTION("""COMPUTED_VALUE"""),"src/main/java/org/elasticsearch/cluster/routing/RoutingNode.java, src/main/java/org/elasticsearch/cluster/routing/RoutingNodes.java ,src/main/java/org/elasticsearch/cluster/routing/allocation/AllocationService.java 
")</f>
        <v>src/main/java/org/elasticsearch/cluster/routing/RoutingNode.java, src/main/java/org/elasticsearch/cluster/routing/RoutingNodes.java ,src/main/java/org/elasticsearch/cluster/routing/allocation/AllocationService.java 
</v>
      </c>
      <c r="Z10" s="54" t="str">
        <f>IFERROR(__xludf.DUMMYFUNCTION("""COMPUTED_VALUE"""),"/routing/RoutingNode.java
/routing/RoutingNodes.java
/routing/allocation/AllocationService.java ")</f>
        <v>/routing/RoutingNode.java
/routing/RoutingNodes.java
/routing/allocation/AllocationService.java </v>
      </c>
      <c r="AA10" s="54">
        <f>IFERROR(__xludf.DUMMYFUNCTION("""COMPUTED_VALUE"""),2.0)</f>
        <v>2</v>
      </c>
      <c r="AB10" s="54" t="str">
        <f>IFERROR(__xludf.DUMMYFUNCTION("""COMPUTED_VALUE"""),"Note9")</f>
        <v>Note9</v>
      </c>
      <c r="AC10" s="54" t="str">
        <f t="shared" si="1"/>
        <v>Elastic Search 1626</v>
      </c>
    </row>
    <row r="11">
      <c r="A11" s="105" t="str">
        <f>IFERROR(__xludf.DUMMYFUNCTION("""COMPUTED_VALUE"""),"Elastic Search 16790")</f>
        <v>Elastic Search 16790</v>
      </c>
      <c r="B11" s="105">
        <f>IFERROR(__xludf.DUMMYFUNCTION("""COMPUTED_VALUE"""),16790.0)</f>
        <v>16790</v>
      </c>
      <c r="C11" s="178" t="str">
        <f>IFERROR(__xludf.DUMMYFUNCTION("""COMPUTED_VALUE"""),"https://github.com/elastic/elasticsearch/issues/16790")</f>
        <v>https://github.com/elastic/elasticsearch/issues/16790</v>
      </c>
      <c r="D11" s="179" t="str">
        <f>IFERROR(__xludf.DUMMYFUNCTION("""COMPUTED_VALUE"""),"4c6cf7ee88bc75a")</f>
        <v>4c6cf7ee88bc75a</v>
      </c>
      <c r="E11" s="178" t="str">
        <f>IFERROR(__xludf.DUMMYFUNCTION("""COMPUTED_VALUE"""),"https://github.com/elastic/elasticsearch/commit/4c6cf7ee88bc75a")</f>
        <v>https://github.com/elastic/elasticsearch/commit/4c6cf7ee88bc75a</v>
      </c>
      <c r="F11" s="105" t="str">
        <f>IFERROR(__xludf.DUMMYFUNCTION("""COMPUTED_VALUE"""),"1e209e3802")</f>
        <v>1e209e3802</v>
      </c>
      <c r="G11" s="178" t="str">
        <f>IFERROR(__xludf.DUMMYFUNCTION("""COMPUTED_VALUE"""),"https://github.com/elastic/elasticsearch/commit/1e209e3802")</f>
        <v>https://github.com/elastic/elasticsearch/commit/1e209e3802</v>
      </c>
      <c r="H11" s="105">
        <f>IFERROR(__xludf.DUMMYFUNCTION("""COMPUTED_VALUE"""),12801.0)</f>
        <v>12801</v>
      </c>
      <c r="I11" s="178" t="str">
        <f>IFERROR(__xludf.DUMMYFUNCTION("""COMPUTED_VALUE"""),"https://github.com/elastic/elasticsearch/pull/12801")</f>
        <v>https://github.com/elastic/elasticsearch/pull/12801</v>
      </c>
      <c r="J11" s="105">
        <f>IFERROR(__xludf.DUMMYFUNCTION("""COMPUTED_VALUE"""),12479.0)</f>
        <v>12479</v>
      </c>
      <c r="K11" s="178" t="str">
        <f>IFERROR(__xludf.DUMMYFUNCTION("""COMPUTED_VALUE"""),"https://github.com/elastic/elasticsearch/issues/12479")</f>
        <v>https://github.com/elastic/elasticsearch/issues/12479</v>
      </c>
      <c r="L11" s="105"/>
      <c r="M11" s="105"/>
      <c r="N11" s="105"/>
      <c r="O11" s="105"/>
      <c r="P11" s="105">
        <f>IFERROR(__xludf.DUMMYFUNCTION("""COMPUTED_VALUE"""),12479.0)</f>
        <v>12479</v>
      </c>
      <c r="Q11" s="178" t="str">
        <f>IFERROR(__xludf.DUMMYFUNCTION("""COMPUTED_VALUE"""),"https://github.com/elastic/elasticsearch/issues/12479")</f>
        <v>https://github.com/elastic/elasticsearch/issues/12479</v>
      </c>
      <c r="R11" s="105" t="str">
        <f>IFERROR(__xludf.DUMMYFUNCTION("""COMPUTED_VALUE"""),"No, however, check in the comments something like dup #ID or duplicate #ID")</f>
        <v>No, however, check in the comments something like dup #ID or duplicate #ID</v>
      </c>
      <c r="S11" s="105"/>
      <c r="T11" s="178" t="str">
        <f>IFERROR(__xludf.DUMMYFUNCTION("""COMPUTED_VALUE"""),"https://github.com/elastic/elasticsearch/issues/17121")</f>
        <v>https://github.com/elastic/elasticsearch/issues/17121</v>
      </c>
      <c r="U11" s="105"/>
      <c r="V11" s="105"/>
      <c r="W11" s="54" t="str">
        <f>IFERROR(__xludf.DUMMYFUNCTION("""COMPUTED_VALUE"""),"Elastic Search")</f>
        <v>Elastic Search</v>
      </c>
      <c r="X11" s="54" t="str">
        <f>IFERROR(__xludf.DUMMYFUNCTION("""COMPUTED_VALUE"""),"Not identified. However, it can be googled with the bug ID")</f>
        <v>Not identified. However, it can be googled with the bug ID</v>
      </c>
      <c r="Y11" s="54" t="str">
        <f>IFERROR(__xludf.DUMMYFUNCTION("""COMPUTED_VALUE"""),"distribution/src/main/resources/bin/elasticsearch-plugin ,distribution/src/main/resources/bin/elasticsearch-plugin.bat 
")</f>
        <v>distribution/src/main/resources/bin/elasticsearch-plugin ,distribution/src/main/resources/bin/elasticsearch-plugin.bat 
</v>
      </c>
      <c r="Z11" s="54" t="str">
        <f>IFERROR(__xludf.DUMMYFUNCTION("""COMPUTED_VALUE"""),"/bin/elasticsearch-plugin
/bin/elasticsearch-plugin.bat ")</f>
        <v>/bin/elasticsearch-plugin
/bin/elasticsearch-plugin.bat </v>
      </c>
      <c r="AA11" s="54">
        <f>IFERROR(__xludf.DUMMYFUNCTION("""COMPUTED_VALUE"""),1.0)</f>
        <v>1</v>
      </c>
      <c r="AB11" s="54" t="str">
        <f>IFERROR(__xludf.DUMMYFUNCTION("""COMPUTED_VALUE"""),"Note10")</f>
        <v>Note10</v>
      </c>
      <c r="AC11" s="54" t="str">
        <f t="shared" si="1"/>
        <v>Elastic Search 16790</v>
      </c>
    </row>
    <row r="12">
      <c r="A12" s="105" t="str">
        <f>IFERROR(__xludf.DUMMYFUNCTION("""COMPUTED_VALUE"""),"Elastic Search 1725")</f>
        <v>Elastic Search 1725</v>
      </c>
      <c r="B12" s="105">
        <f>IFERROR(__xludf.DUMMYFUNCTION("""COMPUTED_VALUE"""),1725.0)</f>
        <v>1725</v>
      </c>
      <c r="C12" s="178" t="str">
        <f>IFERROR(__xludf.DUMMYFUNCTION("""COMPUTED_VALUE"""),"https://github.com/elastic/elasticsearch/issues/1725")</f>
        <v>https://github.com/elastic/elasticsearch/issues/1725</v>
      </c>
      <c r="D12" s="179" t="str">
        <f>IFERROR(__xludf.DUMMYFUNCTION("""COMPUTED_VALUE"""),"31b793591ea4dd4c60088d9185fb66a3f7ae293e")</f>
        <v>31b793591ea4dd4c60088d9185fb66a3f7ae293e</v>
      </c>
      <c r="E12" s="178" t="str">
        <f>IFERROR(__xludf.DUMMYFUNCTION("""COMPUTED_VALUE"""),"https://github.com/elastic/elasticsearch/commit/31b793591ea4dd4c60088d9185fb66a3f7ae293e")</f>
        <v>https://github.com/elastic/elasticsearch/commit/31b793591ea4dd4c60088d9185fb66a3f7ae293e</v>
      </c>
      <c r="F12" s="105" t="str">
        <f>IFERROR(__xludf.DUMMYFUNCTION("""COMPUTED_VALUE"""),"bd6b89f7cab39a")</f>
        <v>bd6b89f7cab39a</v>
      </c>
      <c r="G12" s="178" t="str">
        <f>IFERROR(__xludf.DUMMYFUNCTION("""COMPUTED_VALUE"""),"https://github.com/elastic/elasticsearch/commit/bd6b89f7cab39a")</f>
        <v>https://github.com/elastic/elasticsearch/commit/bd6b89f7cab39a</v>
      </c>
      <c r="H12" s="105" t="str">
        <f>IFERROR(__xludf.DUMMYFUNCTION("""COMPUTED_VALUE"""),"NA")</f>
        <v>NA</v>
      </c>
      <c r="I12" s="105" t="str">
        <f>IFERROR(__xludf.DUMMYFUNCTION("""COMPUTED_VALUE"""),"No information available")</f>
        <v>No information available</v>
      </c>
      <c r="J12" s="105">
        <f>IFERROR(__xludf.DUMMYFUNCTION("""COMPUTED_VALUE"""),181.0)</f>
        <v>181</v>
      </c>
      <c r="K12" s="178" t="str">
        <f>IFERROR(__xludf.DUMMYFUNCTION("""COMPUTED_VALUE"""),"https://github.com/elastic/elasticsearch/issues/181")</f>
        <v>https://github.com/elastic/elasticsearch/issues/181</v>
      </c>
      <c r="L12" s="105"/>
      <c r="M12" s="105"/>
      <c r="N12" s="105"/>
      <c r="O12" s="105"/>
      <c r="P12" s="105">
        <f>IFERROR(__xludf.DUMMYFUNCTION("""COMPUTED_VALUE"""),181.0)</f>
        <v>181</v>
      </c>
      <c r="Q12" s="178" t="str">
        <f>IFERROR(__xludf.DUMMYFUNCTION("""COMPUTED_VALUE"""),"https://github.com/elastic/elasticsearch/issues/181")</f>
        <v>https://github.com/elastic/elasticsearch/issues/181</v>
      </c>
      <c r="R12" s="105" t="str">
        <f>IFERROR(__xludf.DUMMYFUNCTION("""COMPUTED_VALUE"""),"No, however, check in the comments something like dup #ID or duplicate #ID")</f>
        <v>No, however, check in the comments something like dup #ID or duplicate #ID</v>
      </c>
      <c r="S12" s="105"/>
      <c r="T12" s="105" t="str">
        <f>IFERROR(__xludf.DUMMYFUNCTION("""COMPUTED_VALUE"""),"None identified. However, double check yourself")</f>
        <v>None identified. However, double check yourself</v>
      </c>
      <c r="U12" s="105"/>
      <c r="V12" s="105"/>
      <c r="W12" s="54" t="str">
        <f>IFERROR(__xludf.DUMMYFUNCTION("""COMPUTED_VALUE"""),"Elastic Search")</f>
        <v>Elastic Search</v>
      </c>
      <c r="X12" s="54" t="str">
        <f>IFERROR(__xludf.DUMMYFUNCTION("""COMPUTED_VALUE"""),"Not identified. However, it can be googled with the bug ID")</f>
        <v>Not identified. However, it can be googled with the bug ID</v>
      </c>
      <c r="Y12" s="54" t="str">
        <f>IFERROR(__xludf.DUMMYFUNCTION("""COMPUTED_VALUE"""),"src/main/java/org/apache/lucene/search/DeletionAwareConstantScoreQuery.java, src/main/java/org/elasticsearch/common/lucene/search/NotDeletedFilter.java 
")</f>
        <v>src/main/java/org/apache/lucene/search/DeletionAwareConstantScoreQuery.java, src/main/java/org/elasticsearch/common/lucene/search/NotDeletedFilter.java 
</v>
      </c>
      <c r="Z12" s="54" t="str">
        <f>IFERROR(__xludf.DUMMYFUNCTION("""COMPUTED_VALUE"""),"/search/DeletionAwareConstantScoreQuery.java
/search/NotDeletedFilter.java ")</f>
        <v>/search/DeletionAwareConstantScoreQuery.java
/search/NotDeletedFilter.java </v>
      </c>
      <c r="AA12" s="54">
        <f>IFERROR(__xludf.DUMMYFUNCTION("""COMPUTED_VALUE"""),1.0)</f>
        <v>1</v>
      </c>
      <c r="AB12" s="54" t="str">
        <f>IFERROR(__xludf.DUMMYFUNCTION("""COMPUTED_VALUE"""),"Note11")</f>
        <v>Note11</v>
      </c>
      <c r="AC12" s="54" t="str">
        <f t="shared" si="1"/>
        <v>Elastic Search 1725</v>
      </c>
    </row>
    <row r="13">
      <c r="A13" s="105" t="str">
        <f>IFERROR(__xludf.DUMMYFUNCTION("""COMPUTED_VALUE"""),"Elastic Search 1814")</f>
        <v>Elastic Search 1814</v>
      </c>
      <c r="B13" s="105">
        <f>IFERROR(__xludf.DUMMYFUNCTION("""COMPUTED_VALUE"""),1814.0)</f>
        <v>1814</v>
      </c>
      <c r="C13" s="178" t="str">
        <f>IFERROR(__xludf.DUMMYFUNCTION("""COMPUTED_VALUE"""),"https://github.com/elastic/elasticsearch/issues/1814")</f>
        <v>https://github.com/elastic/elasticsearch/issues/1814</v>
      </c>
      <c r="D13" s="179" t="str">
        <f>IFERROR(__xludf.DUMMYFUNCTION("""COMPUTED_VALUE"""),"a76d914cfa4c4ff2a866b8f1539c5cb3ef48afbb")</f>
        <v>a76d914cfa4c4ff2a866b8f1539c5cb3ef48afbb</v>
      </c>
      <c r="E13" s="178" t="str">
        <f>IFERROR(__xludf.DUMMYFUNCTION("""COMPUTED_VALUE"""),"https://github.com/elastic/elasticsearch/commit/a76d914cfa4c4ff2a866b8f1539c5cb3ef48afbb")</f>
        <v>https://github.com/elastic/elasticsearch/commit/a76d914cfa4c4ff2a866b8f1539c5cb3ef48afbb</v>
      </c>
      <c r="F13" s="105" t="str">
        <f>IFERROR(__xludf.DUMMYFUNCTION("""COMPUTED_VALUE"""),"14237317fce")</f>
        <v>14237317fce</v>
      </c>
      <c r="G13" s="178" t="str">
        <f>IFERROR(__xludf.DUMMYFUNCTION("""COMPUTED_VALUE"""),"https://github.com/elastic/elasticsearch/commit/14237317fce")</f>
        <v>https://github.com/elastic/elasticsearch/commit/14237317fce</v>
      </c>
      <c r="H13" s="105" t="str">
        <f>IFERROR(__xludf.DUMMYFUNCTION("""COMPUTED_VALUE"""),"NA")</f>
        <v>NA</v>
      </c>
      <c r="I13" s="105" t="str">
        <f>IFERROR(__xludf.DUMMYFUNCTION("""COMPUTED_VALUE"""),"No information available")</f>
        <v>No information available</v>
      </c>
      <c r="J13" s="105" t="str">
        <f>IFERROR(__xludf.DUMMYFUNCTION("""COMPUTED_VALUE"""),"NA")</f>
        <v>NA</v>
      </c>
      <c r="K13" s="105"/>
      <c r="L13" s="105"/>
      <c r="M13" s="105"/>
      <c r="N13" s="105"/>
      <c r="O13" s="105"/>
      <c r="P13" s="105" t="str">
        <f>IFERROR(__xludf.DUMMYFUNCTION("""COMPUTED_VALUE"""),"NA")</f>
        <v>NA</v>
      </c>
      <c r="Q13" s="105"/>
      <c r="R13" s="105" t="str">
        <f>IFERROR(__xludf.DUMMYFUNCTION("""COMPUTED_VALUE"""),"No, however, check in the comments something like dup #ID or duplicate #ID")</f>
        <v>No, however, check in the comments something like dup #ID or duplicate #ID</v>
      </c>
      <c r="S13" s="105"/>
      <c r="T13" s="105" t="str">
        <f>IFERROR(__xludf.DUMMYFUNCTION("""COMPUTED_VALUE"""),"None identified. However, double check yourself")</f>
        <v>None identified. However, double check yourself</v>
      </c>
      <c r="U13" s="105"/>
      <c r="V13" s="105"/>
      <c r="W13" s="54" t="str">
        <f>IFERROR(__xludf.DUMMYFUNCTION("""COMPUTED_VALUE"""),"Elastic Search")</f>
        <v>Elastic Search</v>
      </c>
      <c r="X13" s="54" t="str">
        <f>IFERROR(__xludf.DUMMYFUNCTION("""COMPUTED_VALUE"""),"Not identified. However, it can be googled with the bug ID")</f>
        <v>Not identified. However, it can be googled with the bug ID</v>
      </c>
      <c r="Y13" s="54" t="str">
        <f>IFERROR(__xludf.DUMMYFUNCTION("""COMPUTED_VALUE"""),"src/main/java/org/elasticsearch/search/internal/InternalSearchHit.java")</f>
        <v>src/main/java/org/elasticsearch/search/internal/InternalSearchHit.java</v>
      </c>
      <c r="Z13" s="54" t="str">
        <f>IFERROR(__xludf.DUMMYFUNCTION("""COMPUTED_VALUE"""),"/internal/InternalSearchHit.java")</f>
        <v>/internal/InternalSearchHit.java</v>
      </c>
      <c r="AA13" s="54">
        <f>IFERROR(__xludf.DUMMYFUNCTION("""COMPUTED_VALUE"""),0.0)</f>
        <v>0</v>
      </c>
      <c r="AB13" s="54" t="str">
        <f>IFERROR(__xludf.DUMMYFUNCTION("""COMPUTED_VALUE"""),"Note12")</f>
        <v>Note12</v>
      </c>
      <c r="AC13" s="54" t="str">
        <f t="shared" si="1"/>
        <v>Elastic Search 1814</v>
      </c>
    </row>
    <row r="14">
      <c r="A14" s="105" t="str">
        <f>IFERROR(__xludf.DUMMYFUNCTION("""COMPUTED_VALUE"""),"Elastic Search 1948")</f>
        <v>Elastic Search 1948</v>
      </c>
      <c r="B14" s="105">
        <f>IFERROR(__xludf.DUMMYFUNCTION("""COMPUTED_VALUE"""),1948.0)</f>
        <v>1948</v>
      </c>
      <c r="C14" s="178" t="str">
        <f>IFERROR(__xludf.DUMMYFUNCTION("""COMPUTED_VALUE"""),"https://github.com/elastic/elasticsearch/issues/1948")</f>
        <v>https://github.com/elastic/elasticsearch/issues/1948</v>
      </c>
      <c r="D14" s="179" t="str">
        <f>IFERROR(__xludf.DUMMYFUNCTION("""COMPUTED_VALUE"""),"0c732b8bf30e8cd68a6b00cac7ff156c3d19ade1")</f>
        <v>0c732b8bf30e8cd68a6b00cac7ff156c3d19ade1</v>
      </c>
      <c r="E14" s="178" t="str">
        <f>IFERROR(__xludf.DUMMYFUNCTION("""COMPUTED_VALUE"""),"https://github.com/elastic/elasticsearch/commit/0c732b8bf30e8cd68a6b00cac7ff156c3d19ade1")</f>
        <v>https://github.com/elastic/elasticsearch/commit/0c732b8bf30e8cd68a6b00cac7ff156c3d19ade1</v>
      </c>
      <c r="F14" s="105" t="str">
        <f>IFERROR(__xludf.DUMMYFUNCTION("""COMPUTED_VALUE"""),"3b967040da2")</f>
        <v>3b967040da2</v>
      </c>
      <c r="G14" s="178" t="str">
        <f>IFERROR(__xludf.DUMMYFUNCTION("""COMPUTED_VALUE"""),"https://github.com/elastic/elasticsearch/commit/3b967040da2")</f>
        <v>https://github.com/elastic/elasticsearch/commit/3b967040da2</v>
      </c>
      <c r="H14" s="105" t="str">
        <f>IFERROR(__xludf.DUMMYFUNCTION("""COMPUTED_VALUE"""),"NA")</f>
        <v>NA</v>
      </c>
      <c r="I14" s="105" t="str">
        <f>IFERROR(__xludf.DUMMYFUNCTION("""COMPUTED_VALUE"""),"No information available")</f>
        <v>No information available</v>
      </c>
      <c r="J14" s="105">
        <f>IFERROR(__xludf.DUMMYFUNCTION("""COMPUTED_VALUE"""),725.0)</f>
        <v>725</v>
      </c>
      <c r="K14" s="178" t="str">
        <f>IFERROR(__xludf.DUMMYFUNCTION("""COMPUTED_VALUE"""),"https://github.com/elastic/elasticsearch/issues/725")</f>
        <v>https://github.com/elastic/elasticsearch/issues/725</v>
      </c>
      <c r="L14" s="105"/>
      <c r="M14" s="105"/>
      <c r="N14" s="105"/>
      <c r="O14" s="105"/>
      <c r="P14" s="105">
        <f>IFERROR(__xludf.DUMMYFUNCTION("""COMPUTED_VALUE"""),725.0)</f>
        <v>725</v>
      </c>
      <c r="Q14" s="178" t="str">
        <f>IFERROR(__xludf.DUMMYFUNCTION("""COMPUTED_VALUE"""),"https://github.com/elastic/elasticsearch/issues/725")</f>
        <v>https://github.com/elastic/elasticsearch/issues/725</v>
      </c>
      <c r="R14" s="105" t="str">
        <f>IFERROR(__xludf.DUMMYFUNCTION("""COMPUTED_VALUE"""),"No, however, check in the comments something like dup #ID or duplicate #ID")</f>
        <v>No, however, check in the comments something like dup #ID or duplicate #ID</v>
      </c>
      <c r="S14" s="105"/>
      <c r="T14" s="105" t="str">
        <f>IFERROR(__xludf.DUMMYFUNCTION("""COMPUTED_VALUE"""),"None identified. However, double check yourself")</f>
        <v>None identified. However, double check yourself</v>
      </c>
      <c r="U14" s="105"/>
      <c r="V14" s="105"/>
      <c r="W14" s="54" t="str">
        <f>IFERROR(__xludf.DUMMYFUNCTION("""COMPUTED_VALUE"""),"Elastic Search")</f>
        <v>Elastic Search</v>
      </c>
      <c r="X14" s="54" t="str">
        <f>IFERROR(__xludf.DUMMYFUNCTION("""COMPUTED_VALUE"""),"Not identified. However, it can be googled with the bug ID")</f>
        <v>Not identified. However, it can be googled with the bug ID</v>
      </c>
      <c r="Y14" s="54" t="str">
        <f>IFERROR(__xludf.DUMMYFUNCTION("""COMPUTED_VALUE"""),"src/main/java/org/elasticsearch/index/percolator/PercolatorExecutor.java")</f>
        <v>src/main/java/org/elasticsearch/index/percolator/PercolatorExecutor.java</v>
      </c>
      <c r="Z14" s="54" t="str">
        <f>IFERROR(__xludf.DUMMYFUNCTION("""COMPUTED_VALUE"""),"/percolator/PercolatorExecutor.java")</f>
        <v>/percolator/PercolatorExecutor.java</v>
      </c>
      <c r="AA14" s="54">
        <f>IFERROR(__xludf.DUMMYFUNCTION("""COMPUTED_VALUE"""),0.0)</f>
        <v>0</v>
      </c>
      <c r="AB14" s="54" t="str">
        <f>IFERROR(__xludf.DUMMYFUNCTION("""COMPUTED_VALUE"""),"Note13")</f>
        <v>Note13</v>
      </c>
      <c r="AC14" s="54" t="str">
        <f t="shared" si="1"/>
        <v>Elastic Search 1948</v>
      </c>
    </row>
    <row r="15">
      <c r="A15" s="105" t="str">
        <f>IFERROR(__xludf.DUMMYFUNCTION("""COMPUTED_VALUE"""),"Elastic Search 1960")</f>
        <v>Elastic Search 1960</v>
      </c>
      <c r="B15" s="105">
        <f>IFERROR(__xludf.DUMMYFUNCTION("""COMPUTED_VALUE"""),1960.0)</f>
        <v>1960</v>
      </c>
      <c r="C15" s="178" t="str">
        <f>IFERROR(__xludf.DUMMYFUNCTION("""COMPUTED_VALUE"""),"https://github.com/elastic/elasticsearch/issues/1960")</f>
        <v>https://github.com/elastic/elasticsearch/issues/1960</v>
      </c>
      <c r="D15" s="179" t="str">
        <f>IFERROR(__xludf.DUMMYFUNCTION("""COMPUTED_VALUE"""),"be01e8fe19c822fe30ba1cff4d9e96c3f567e4c7")</f>
        <v>be01e8fe19c822fe30ba1cff4d9e96c3f567e4c7</v>
      </c>
      <c r="E15" s="178" t="str">
        <f>IFERROR(__xludf.DUMMYFUNCTION("""COMPUTED_VALUE"""),"https://github.com/elastic/elasticsearch/commit/be01e8fe19c822fe30ba1cff4d9e96c3f567e4c7")</f>
        <v>https://github.com/elastic/elasticsearch/commit/be01e8fe19c822fe30ba1cff4d9e96c3f567e4c7</v>
      </c>
      <c r="F15" s="105" t="str">
        <f>IFERROR(__xludf.DUMMYFUNCTION("""COMPUTED_VALUE"""),"ebd6316")</f>
        <v>ebd6316</v>
      </c>
      <c r="G15" s="178" t="str">
        <f>IFERROR(__xludf.DUMMYFUNCTION("""COMPUTED_VALUE"""),"https://github.com/elastic/elasticsearch/commit/ebd6316")</f>
        <v>https://github.com/elastic/elasticsearch/commit/ebd6316</v>
      </c>
      <c r="H15" s="105" t="str">
        <f>IFERROR(__xludf.DUMMYFUNCTION("""COMPUTED_VALUE"""),"NA")</f>
        <v>NA</v>
      </c>
      <c r="I15" s="105" t="str">
        <f>IFERROR(__xludf.DUMMYFUNCTION("""COMPUTED_VALUE"""),"No information available")</f>
        <v>No information available</v>
      </c>
      <c r="J15" s="105">
        <f>IFERROR(__xludf.DUMMYFUNCTION("""COMPUTED_VALUE"""),540.0)</f>
        <v>540</v>
      </c>
      <c r="K15" s="178" t="str">
        <f>IFERROR(__xludf.DUMMYFUNCTION("""COMPUTED_VALUE"""),"https://github.com/elastic/elasticsearch/issues/540")</f>
        <v>https://github.com/elastic/elasticsearch/issues/540</v>
      </c>
      <c r="L15" s="105"/>
      <c r="M15" s="105"/>
      <c r="N15" s="105"/>
      <c r="O15" s="105"/>
      <c r="P15" s="105">
        <f>IFERROR(__xludf.DUMMYFUNCTION("""COMPUTED_VALUE"""),540.0)</f>
        <v>540</v>
      </c>
      <c r="Q15" s="178" t="str">
        <f>IFERROR(__xludf.DUMMYFUNCTION("""COMPUTED_VALUE"""),"https://github.com/elastic/elasticsearch/issues/540")</f>
        <v>https://github.com/elastic/elasticsearch/issues/540</v>
      </c>
      <c r="R15" s="105" t="str">
        <f>IFERROR(__xludf.DUMMYFUNCTION("""COMPUTED_VALUE"""),"No, however, check in the comments something like dup #ID or duplicate #ID")</f>
        <v>No, however, check in the comments something like dup #ID or duplicate #ID</v>
      </c>
      <c r="S15" s="105"/>
      <c r="T15" s="105" t="str">
        <f>IFERROR(__xludf.DUMMYFUNCTION("""COMPUTED_VALUE"""),"None identified. However, double check yourself")</f>
        <v>None identified. However, double check yourself</v>
      </c>
      <c r="U15" s="105"/>
      <c r="V15" s="105"/>
      <c r="W15" s="54" t="str">
        <f>IFERROR(__xludf.DUMMYFUNCTION("""COMPUTED_VALUE"""),"Elastic Search")</f>
        <v>Elastic Search</v>
      </c>
      <c r="X15" s="54" t="str">
        <f>IFERROR(__xludf.DUMMYFUNCTION("""COMPUTED_VALUE"""),"Not identified. However, it can be googled with the bug ID")</f>
        <v>Not identified. However, it can be googled with the bug ID</v>
      </c>
      <c r="Y15" s="54" t="str">
        <f>IFERROR(__xludf.DUMMYFUNCTION("""COMPUTED_VALUE"""),"src/main/java/org/elasticsearch/cluster/metadata/IndexMetaData.java,src/main/java/org/elasticsearch/cluster/metadata/IndexTemplateMetaData.java, src/main/java/org/elasticsearch/cluster/metadata/MetaData.java,src/main/java/org/elasticsearch/common/settings"&amp;"/loader/SettingsLoader.java, src/main/java/org/elasticsearch/common/settings/loader/YamlSettingsLoader.java 
")</f>
        <v>src/main/java/org/elasticsearch/cluster/metadata/IndexMetaData.java,src/main/java/org/elasticsearch/cluster/metadata/IndexTemplateMetaData.java, src/main/java/org/elasticsearch/cluster/metadata/MetaData.java,src/main/java/org/elasticsearch/common/settings/loader/SettingsLoader.java, src/main/java/org/elasticsearch/common/settings/loader/YamlSettingsLoader.java 
</v>
      </c>
      <c r="Z15" s="54" t="str">
        <f>IFERROR(__xludf.DUMMYFUNCTION("""COMPUTED_VALUE"""),"/metadata/IndexMetaData.java
/metadata/IndexTemplateMetaData.java
/metadata/MetaData.java
/loader/SettingsLoader.java
/loader/YamlSettingsLoader.java")</f>
        <v>/metadata/IndexMetaData.java
/metadata/IndexTemplateMetaData.java
/metadata/MetaData.java
/loader/SettingsLoader.java
/loader/YamlSettingsLoader.java</v>
      </c>
      <c r="AA15" s="54">
        <f>IFERROR(__xludf.DUMMYFUNCTION("""COMPUTED_VALUE"""),4.0)</f>
        <v>4</v>
      </c>
      <c r="AB15" s="54" t="str">
        <f>IFERROR(__xludf.DUMMYFUNCTION("""COMPUTED_VALUE"""),"Note14")</f>
        <v>Note14</v>
      </c>
      <c r="AC15" s="54" t="str">
        <f t="shared" si="1"/>
        <v>Elastic Search 1960</v>
      </c>
    </row>
    <row r="16">
      <c r="A16" s="105" t="str">
        <f>IFERROR(__xludf.DUMMYFUNCTION("""COMPUTED_VALUE"""),"Elastic Search 200")</f>
        <v>Elastic Search 200</v>
      </c>
      <c r="B16" s="105">
        <f>IFERROR(__xludf.DUMMYFUNCTION("""COMPUTED_VALUE"""),200.0)</f>
        <v>200</v>
      </c>
      <c r="C16" s="178" t="str">
        <f>IFERROR(__xludf.DUMMYFUNCTION("""COMPUTED_VALUE"""),"https://github.com/elastic/elasticsearch/issues/200")</f>
        <v>https://github.com/elastic/elasticsearch/issues/200</v>
      </c>
      <c r="D16" s="179" t="str">
        <f>IFERROR(__xludf.DUMMYFUNCTION("""COMPUTED_VALUE"""),"a7ad295f63aaf3b6073cbbe6d0ca684031b84aab")</f>
        <v>a7ad295f63aaf3b6073cbbe6d0ca684031b84aab</v>
      </c>
      <c r="E16" s="178" t="str">
        <f>IFERROR(__xludf.DUMMYFUNCTION("""COMPUTED_VALUE"""),"https://github.com/elastic/elasticsearch/commit/a7ad295f63aaf3b6073cbbe6d0ca684031b84aab")</f>
        <v>https://github.com/elastic/elasticsearch/commit/a7ad295f63aaf3b6073cbbe6d0ca684031b84aab</v>
      </c>
      <c r="F16" s="105" t="str">
        <f>IFERROR(__xludf.DUMMYFUNCTION("""COMPUTED_VALUE"""),"cb0d7d4")</f>
        <v>cb0d7d4</v>
      </c>
      <c r="G16" s="178" t="str">
        <f>IFERROR(__xludf.DUMMYFUNCTION("""COMPUTED_VALUE"""),"https://github.com/elastic/elasticsearch/commit/cb0d7d4")</f>
        <v>https://github.com/elastic/elasticsearch/commit/cb0d7d4</v>
      </c>
      <c r="H16" s="105" t="str">
        <f>IFERROR(__xludf.DUMMYFUNCTION("""COMPUTED_VALUE"""),"NA")</f>
        <v>NA</v>
      </c>
      <c r="I16" s="105" t="str">
        <f>IFERROR(__xludf.DUMMYFUNCTION("""COMPUTED_VALUE"""),"No information available")</f>
        <v>No information available</v>
      </c>
      <c r="J16" s="105" t="str">
        <f>IFERROR(__xludf.DUMMYFUNCTION("""COMPUTED_VALUE"""),"NA")</f>
        <v>NA</v>
      </c>
      <c r="K16" s="105"/>
      <c r="L16" s="105"/>
      <c r="M16" s="105"/>
      <c r="N16" s="105"/>
      <c r="O16" s="105"/>
      <c r="P16" s="105" t="str">
        <f>IFERROR(__xludf.DUMMYFUNCTION("""COMPUTED_VALUE"""),"NA")</f>
        <v>NA</v>
      </c>
      <c r="Q16" s="105"/>
      <c r="R16" s="105" t="str">
        <f>IFERROR(__xludf.DUMMYFUNCTION("""COMPUTED_VALUE"""),"No, however, check in the comments something like dup #ID or duplicate #ID")</f>
        <v>No, however, check in the comments something like dup #ID or duplicate #ID</v>
      </c>
      <c r="S16" s="105"/>
      <c r="T16" s="105" t="str">
        <f>IFERROR(__xludf.DUMMYFUNCTION("""COMPUTED_VALUE"""),"None identified. However, double check yourself")</f>
        <v>None identified. However, double check yourself</v>
      </c>
      <c r="U16" s="105"/>
      <c r="V16" s="105"/>
      <c r="W16" s="54" t="str">
        <f>IFERROR(__xludf.DUMMYFUNCTION("""COMPUTED_VALUE"""),"Elastic Search")</f>
        <v>Elastic Search</v>
      </c>
      <c r="X16" s="54" t="str">
        <f>IFERROR(__xludf.DUMMYFUNCTION("""COMPUTED_VALUE"""),"Not identified. However, it can be googled with the bug ID")</f>
        <v>Not identified. However, it can be googled with the bug ID</v>
      </c>
      <c r="Y16" s="54" t="str">
        <f>IFERROR(__xludf.DUMMYFUNCTION("""COMPUTED_VALUE"""),"modules/elasticsearch/src/main/java/org/elasticsearch/discovery/zen/ZenDiscovery.java,modules/elasticsearch/src/main/java/org/elasticsearch/discovery/zen/fd/MasterFaultDetection.java ,modules/elasticsearch/src/main/java/org/elasticsearch/discovery/zen/fd/"&amp;"NodesFaultDetection.java 
")</f>
        <v>modules/elasticsearch/src/main/java/org/elasticsearch/discovery/zen/ZenDiscovery.java,modules/elasticsearch/src/main/java/org/elasticsearch/discovery/zen/fd/MasterFaultDetection.java ,modules/elasticsearch/src/main/java/org/elasticsearch/discovery/zen/fd/NodesFaultDetection.java 
</v>
      </c>
      <c r="Z16" s="54" t="str">
        <f>IFERROR(__xludf.DUMMYFUNCTION("""COMPUTED_VALUE"""),"/zen/ZenDiscovery.java
/MasterFaultDetection.java
/zen/fd/NodesFaultDetection.java ")</f>
        <v>/zen/ZenDiscovery.java
/MasterFaultDetection.java
/zen/fd/NodesFaultDetection.java </v>
      </c>
      <c r="AA16" s="54">
        <f>IFERROR(__xludf.DUMMYFUNCTION("""COMPUTED_VALUE"""),2.0)</f>
        <v>2</v>
      </c>
      <c r="AB16" s="54" t="str">
        <f>IFERROR(__xludf.DUMMYFUNCTION("""COMPUTED_VALUE"""),"Note15")</f>
        <v>Note15</v>
      </c>
      <c r="AC16" s="54" t="str">
        <f t="shared" si="1"/>
        <v>Elastic Search 200</v>
      </c>
    </row>
    <row r="17">
      <c r="A17" s="105" t="str">
        <f>IFERROR(__xludf.DUMMYFUNCTION("""COMPUTED_VALUE"""),"Elastic Search 2566")</f>
        <v>Elastic Search 2566</v>
      </c>
      <c r="B17" s="105">
        <f>IFERROR(__xludf.DUMMYFUNCTION("""COMPUTED_VALUE"""),2566.0)</f>
        <v>2566</v>
      </c>
      <c r="C17" s="178" t="str">
        <f>IFERROR(__xludf.DUMMYFUNCTION("""COMPUTED_VALUE"""),"https://github.com/elastic/elasticsearch/issues/2566")</f>
        <v>https://github.com/elastic/elasticsearch/issues/2566</v>
      </c>
      <c r="D17" s="179" t="str">
        <f>IFERROR(__xludf.DUMMYFUNCTION("""COMPUTED_VALUE"""),"d6b613ac8c6e3ddee6d8e1604db208721f03cb75")</f>
        <v>d6b613ac8c6e3ddee6d8e1604db208721f03cb75</v>
      </c>
      <c r="E17" s="178" t="str">
        <f>IFERROR(__xludf.DUMMYFUNCTION("""COMPUTED_VALUE"""),"https://github.com/elastic/elasticsearch/commit/d6b613ac8c6e3ddee6d8e1604db208721f03cb75")</f>
        <v>https://github.com/elastic/elasticsearch/commit/d6b613ac8c6e3ddee6d8e1604db208721f03cb75</v>
      </c>
      <c r="F17" s="105" t="str">
        <f>IFERROR(__xludf.DUMMYFUNCTION("""COMPUTED_VALUE"""),"2442e1fb")</f>
        <v>2442e1fb</v>
      </c>
      <c r="G17" s="178" t="str">
        <f>IFERROR(__xludf.DUMMYFUNCTION("""COMPUTED_VALUE"""),"https://github.com/elastic/elasticsearch/commit/2442e1fb")</f>
        <v>https://github.com/elastic/elasticsearch/commit/2442e1fb</v>
      </c>
      <c r="H17" s="105" t="str">
        <f>IFERROR(__xludf.DUMMYFUNCTION("""COMPUTED_VALUE"""),"NA")</f>
        <v>NA</v>
      </c>
      <c r="I17" s="105" t="str">
        <f>IFERROR(__xludf.DUMMYFUNCTION("""COMPUTED_VALUE"""),"No information available")</f>
        <v>No information available</v>
      </c>
      <c r="J17" s="105"/>
      <c r="K17" s="105"/>
      <c r="L17" s="105"/>
      <c r="M17" s="105"/>
      <c r="N17" s="105"/>
      <c r="O17" s="105"/>
      <c r="P17" s="105"/>
      <c r="Q17" s="105"/>
      <c r="R17" s="105" t="str">
        <f>IFERROR(__xludf.DUMMYFUNCTION("""COMPUTED_VALUE"""),"No, however, check in the comments something like dup #ID or duplicate #ID")</f>
        <v>No, however, check in the comments something like dup #ID or duplicate #ID</v>
      </c>
      <c r="S17" s="105"/>
      <c r="T17" s="105" t="str">
        <f>IFERROR(__xludf.DUMMYFUNCTION("""COMPUTED_VALUE"""),"None identified. However, double check yourself")</f>
        <v>None identified. However, double check yourself</v>
      </c>
      <c r="U17" s="105"/>
      <c r="V17" s="105"/>
      <c r="W17" s="54" t="str">
        <f>IFERROR(__xludf.DUMMYFUNCTION("""COMPUTED_VALUE"""),"Elastic Search")</f>
        <v>Elastic Search</v>
      </c>
      <c r="X17" s="54" t="str">
        <f>IFERROR(__xludf.DUMMYFUNCTION("""COMPUTED_VALUE"""),"Not identified. However, it can be googled with the bug ID")</f>
        <v>Not identified. However, it can be googled with the bug ID</v>
      </c>
      <c r="Y17" s="54" t="str">
        <f>IFERROR(__xludf.DUMMYFUNCTION("""COMPUTED_VALUE"""),"src/main/java/org/apache/lucene/queryparser/classic/MapperQueryParser.java")</f>
        <v>src/main/java/org/apache/lucene/queryparser/classic/MapperQueryParser.java</v>
      </c>
      <c r="Z17" s="54" t="str">
        <f>IFERROR(__xludf.DUMMYFUNCTION("""COMPUTED_VALUE"""),"/classic/MapperQueryParser.java")</f>
        <v>/classic/MapperQueryParser.java</v>
      </c>
      <c r="AA17" s="54">
        <f>IFERROR(__xludf.DUMMYFUNCTION("""COMPUTED_VALUE"""),0.0)</f>
        <v>0</v>
      </c>
      <c r="AB17" s="54" t="str">
        <f>IFERROR(__xludf.DUMMYFUNCTION("""COMPUTED_VALUE"""),"Note16")</f>
        <v>Note16</v>
      </c>
      <c r="AC17" s="54" t="str">
        <f t="shared" si="1"/>
        <v>Elastic Search 2566</v>
      </c>
    </row>
    <row r="18">
      <c r="A18" s="105" t="str">
        <f>IFERROR(__xludf.DUMMYFUNCTION("""COMPUTED_VALUE"""),"Elastic Search 2608")</f>
        <v>Elastic Search 2608</v>
      </c>
      <c r="B18" s="105">
        <f>IFERROR(__xludf.DUMMYFUNCTION("""COMPUTED_VALUE"""),2608.0)</f>
        <v>2608</v>
      </c>
      <c r="C18" s="178" t="str">
        <f>IFERROR(__xludf.DUMMYFUNCTION("""COMPUTED_VALUE"""),"https://github.com/elastic/elasticsearch/issues/2608")</f>
        <v>https://github.com/elastic/elasticsearch/issues/2608</v>
      </c>
      <c r="D18" s="179" t="str">
        <f>IFERROR(__xludf.DUMMYFUNCTION("""COMPUTED_VALUE"""),"20ce01bd53cc3f0d6bcb52554f89fb98ce00bd4c")</f>
        <v>20ce01bd53cc3f0d6bcb52554f89fb98ce00bd4c</v>
      </c>
      <c r="E18" s="178" t="str">
        <f>IFERROR(__xludf.DUMMYFUNCTION("""COMPUTED_VALUE"""),"https://github.com/elastic/elasticsearch/commit/20ce01bd53cc3f0d6bcb52554f89fb98ce00bd4c")</f>
        <v>https://github.com/elastic/elasticsearch/commit/20ce01bd53cc3f0d6bcb52554f89fb98ce00bd4c</v>
      </c>
      <c r="F18" s="105" t="str">
        <f>IFERROR(__xludf.DUMMYFUNCTION("""COMPUTED_VALUE"""),"167d358")</f>
        <v>167d358</v>
      </c>
      <c r="G18" s="178" t="str">
        <f>IFERROR(__xludf.DUMMYFUNCTION("""COMPUTED_VALUE"""),"https://github.com/elastic/elasticsearch/commit/167d358")</f>
        <v>https://github.com/elastic/elasticsearch/commit/167d358</v>
      </c>
      <c r="H18" s="105" t="str">
        <f>IFERROR(__xludf.DUMMYFUNCTION("""COMPUTED_VALUE"""),"NA")</f>
        <v>NA</v>
      </c>
      <c r="I18" s="105" t="str">
        <f>IFERROR(__xludf.DUMMYFUNCTION("""COMPUTED_VALUE"""),"No information available")</f>
        <v>No information available</v>
      </c>
      <c r="J18" s="105">
        <f>IFERROR(__xludf.DUMMYFUNCTION("""COMPUTED_VALUE"""),557.0)</f>
        <v>557</v>
      </c>
      <c r="K18" s="178" t="str">
        <f>IFERROR(__xludf.DUMMYFUNCTION("""COMPUTED_VALUE"""),"https://github.com/elastic/elasticsearch/issues/557")</f>
        <v>https://github.com/elastic/elasticsearch/issues/557</v>
      </c>
      <c r="L18" s="105"/>
      <c r="M18" s="105"/>
      <c r="N18" s="105"/>
      <c r="O18" s="105"/>
      <c r="P18" s="105">
        <f>IFERROR(__xludf.DUMMYFUNCTION("""COMPUTED_VALUE"""),557.0)</f>
        <v>557</v>
      </c>
      <c r="Q18" s="178" t="str">
        <f>IFERROR(__xludf.DUMMYFUNCTION("""COMPUTED_VALUE"""),"https://github.com/elastic/elasticsearch/issues/557")</f>
        <v>https://github.com/elastic/elasticsearch/issues/557</v>
      </c>
      <c r="R18" s="105" t="str">
        <f>IFERROR(__xludf.DUMMYFUNCTION("""COMPUTED_VALUE"""),"No, however, check in the comments something like dup #ID or duplicate #ID")</f>
        <v>No, however, check in the comments something like dup #ID or duplicate #ID</v>
      </c>
      <c r="S18" s="105"/>
      <c r="T18" s="105" t="str">
        <f>IFERROR(__xludf.DUMMYFUNCTION("""COMPUTED_VALUE"""),"None identified. However, double check yourself")</f>
        <v>None identified. However, double check yourself</v>
      </c>
      <c r="U18" s="105"/>
      <c r="V18" s="105"/>
      <c r="W18" s="54" t="str">
        <f>IFERROR(__xludf.DUMMYFUNCTION("""COMPUTED_VALUE"""),"Elastic Search")</f>
        <v>Elastic Search</v>
      </c>
      <c r="X18" s="54" t="str">
        <f>IFERROR(__xludf.DUMMYFUNCTION("""COMPUTED_VALUE"""),"Not identified. However, it can be googled with the bug ID")</f>
        <v>Not identified. However, it can be googled with the bug ID</v>
      </c>
      <c r="Y18" s="54" t="str">
        <f>IFERROR(__xludf.DUMMYFUNCTION("""COMPUTED_VALUE"""),"src/main/java/org/elasticsearch/index/query/TermsQueryParser.java")</f>
        <v>src/main/java/org/elasticsearch/index/query/TermsQueryParser.java</v>
      </c>
      <c r="Z18" s="54" t="str">
        <f>IFERROR(__xludf.DUMMYFUNCTION("""COMPUTED_VALUE"""),"/query/TermsQueryParser.java")</f>
        <v>/query/TermsQueryParser.java</v>
      </c>
      <c r="AA18" s="54">
        <f>IFERROR(__xludf.DUMMYFUNCTION("""COMPUTED_VALUE"""),0.0)</f>
        <v>0</v>
      </c>
      <c r="AB18" s="54" t="str">
        <f>IFERROR(__xludf.DUMMYFUNCTION("""COMPUTED_VALUE"""),"Note17")</f>
        <v>Note17</v>
      </c>
      <c r="AC18" s="54" t="str">
        <f t="shared" si="1"/>
        <v>Elastic Search 2608</v>
      </c>
    </row>
    <row r="19">
      <c r="A19" s="105" t="str">
        <f>IFERROR(__xludf.DUMMYFUNCTION("""COMPUTED_VALUE"""),"Elastic Search 2991")</f>
        <v>Elastic Search 2991</v>
      </c>
      <c r="B19" s="105">
        <f>IFERROR(__xludf.DUMMYFUNCTION("""COMPUTED_VALUE"""),2991.0)</f>
        <v>2991</v>
      </c>
      <c r="C19" s="178" t="str">
        <f>IFERROR(__xludf.DUMMYFUNCTION("""COMPUTED_VALUE"""),"https://github.com/elastic/elasticsearch/issues/2991")</f>
        <v>https://github.com/elastic/elasticsearch/issues/2991</v>
      </c>
      <c r="D19" s="179" t="str">
        <f>IFERROR(__xludf.DUMMYFUNCTION("""COMPUTED_VALUE"""),"29da615afd83d198911f839565257dd03c7fcf39")</f>
        <v>29da615afd83d198911f839565257dd03c7fcf39</v>
      </c>
      <c r="E19" s="178" t="str">
        <f>IFERROR(__xludf.DUMMYFUNCTION("""COMPUTED_VALUE"""),"https://github.com/elastic/elasticsearch/commit/29da615afd83d198911f839565257dd03c7fcf39")</f>
        <v>https://github.com/elastic/elasticsearch/commit/29da615afd83d198911f839565257dd03c7fcf39</v>
      </c>
      <c r="F19" s="105">
        <f>IFERROR(__xludf.DUMMYFUNCTION("""COMPUTED_VALUE"""),7397007.0)</f>
        <v>7397007</v>
      </c>
      <c r="G19" s="178" t="str">
        <f>IFERROR(__xludf.DUMMYFUNCTION("""COMPUTED_VALUE"""),"https://github.com/elastic/elasticsearch/commit/7397007")</f>
        <v>https://github.com/elastic/elasticsearch/commit/7397007</v>
      </c>
      <c r="H19" s="105" t="str">
        <f>IFERROR(__xludf.DUMMYFUNCTION("""COMPUTED_VALUE"""),"NA")</f>
        <v>NA</v>
      </c>
      <c r="I19" s="105" t="str">
        <f>IFERROR(__xludf.DUMMYFUNCTION("""COMPUTED_VALUE"""),"No information available")</f>
        <v>No information available</v>
      </c>
      <c r="J19" s="105" t="str">
        <f>IFERROR(__xludf.DUMMYFUNCTION("""COMPUTED_VALUE"""),"NA")</f>
        <v>NA</v>
      </c>
      <c r="K19" s="105"/>
      <c r="L19" s="105"/>
      <c r="M19" s="105"/>
      <c r="N19" s="105"/>
      <c r="O19" s="105"/>
      <c r="P19" s="105" t="str">
        <f>IFERROR(__xludf.DUMMYFUNCTION("""COMPUTED_VALUE"""),"NA")</f>
        <v>NA</v>
      </c>
      <c r="Q19" s="105"/>
      <c r="R19" s="105" t="str">
        <f>IFERROR(__xludf.DUMMYFUNCTION("""COMPUTED_VALUE"""),"No, however, check in the comments something like dup #ID or duplicate #ID")</f>
        <v>No, however, check in the comments something like dup #ID or duplicate #ID</v>
      </c>
      <c r="S19" s="105"/>
      <c r="T19" s="105" t="str">
        <f>IFERROR(__xludf.DUMMYFUNCTION("""COMPUTED_VALUE"""),"None identified. However, double check yourself")</f>
        <v>None identified. However, double check yourself</v>
      </c>
      <c r="U19" s="105"/>
      <c r="V19" s="105"/>
      <c r="W19" s="54" t="str">
        <f>IFERROR(__xludf.DUMMYFUNCTION("""COMPUTED_VALUE"""),"Elastic Search")</f>
        <v>Elastic Search</v>
      </c>
      <c r="X19" s="54" t="str">
        <f>IFERROR(__xludf.DUMMYFUNCTION("""COMPUTED_VALUE"""),"Not identified. However, it can be googled with the bug ID")</f>
        <v>Not identified. However, it can be googled with the bug ID</v>
      </c>
      <c r="Y19" s="54" t="str">
        <f>IFERROR(__xludf.DUMMYFUNCTION("""COMPUTED_VALUE"""),"src/main/java/org/elasticsearch/index/fielddata/fieldcomparator/BytesRefOrdValComparator.java 
")</f>
        <v>src/main/java/org/elasticsearch/index/fielddata/fieldcomparator/BytesRefOrdValComparator.java 
</v>
      </c>
      <c r="Z19" s="54" t="str">
        <f>IFERROR(__xludf.DUMMYFUNCTION("""COMPUTED_VALUE"""),"/BytesRefOrdValComparator.java ")</f>
        <v>/BytesRefOrdValComparator.java </v>
      </c>
      <c r="AA19" s="54">
        <f>IFERROR(__xludf.DUMMYFUNCTION("""COMPUTED_VALUE"""),0.0)</f>
        <v>0</v>
      </c>
      <c r="AB19" s="54" t="str">
        <f>IFERROR(__xludf.DUMMYFUNCTION("""COMPUTED_VALUE"""),"Note18")</f>
        <v>Note18</v>
      </c>
      <c r="AC19" s="54" t="str">
        <f t="shared" si="1"/>
        <v>Elastic Search 2991</v>
      </c>
    </row>
    <row r="20">
      <c r="A20" s="105" t="str">
        <f>IFERROR(__xludf.DUMMYFUNCTION("""COMPUTED_VALUE"""),"Elastic Search 3242")</f>
        <v>Elastic Search 3242</v>
      </c>
      <c r="B20" s="105">
        <f>IFERROR(__xludf.DUMMYFUNCTION("""COMPUTED_VALUE"""),3242.0)</f>
        <v>3242</v>
      </c>
      <c r="C20" s="178" t="str">
        <f>IFERROR(__xludf.DUMMYFUNCTION("""COMPUTED_VALUE"""),"https://github.com/elastic/elasticsearch/issues/3242")</f>
        <v>https://github.com/elastic/elasticsearch/issues/3242</v>
      </c>
      <c r="D20" s="179" t="str">
        <f>IFERROR(__xludf.DUMMYFUNCTION("""COMPUTED_VALUE"""),"42b3f06a32844ade7fdf21e48f5e7e5800c31670")</f>
        <v>42b3f06a32844ade7fdf21e48f5e7e5800c31670</v>
      </c>
      <c r="E20" s="178" t="str">
        <f>IFERROR(__xludf.DUMMYFUNCTION("""COMPUTED_VALUE"""),"https://github.com/elastic/elasticsearch/commit/42b3f06a32844ade7fdf21e48f5e7e5800c31670")</f>
        <v>https://github.com/elastic/elasticsearch/commit/42b3f06a32844ade7fdf21e48f5e7e5800c31670</v>
      </c>
      <c r="F20" s="105" t="str">
        <f>IFERROR(__xludf.DUMMYFUNCTION("""COMPUTED_VALUE"""),"05e0b4d4e")</f>
        <v>05e0b4d4e</v>
      </c>
      <c r="G20" s="178" t="str">
        <f>IFERROR(__xludf.DUMMYFUNCTION("""COMPUTED_VALUE"""),"https://github.com/elastic/elasticsearch/commit/05e0b4d4e")</f>
        <v>https://github.com/elastic/elasticsearch/commit/05e0b4d4e</v>
      </c>
      <c r="H20" s="105">
        <f>IFERROR(__xludf.DUMMYFUNCTION("""COMPUTED_VALUE"""),1065.0)</f>
        <v>1065</v>
      </c>
      <c r="I20" s="178" t="str">
        <f>IFERROR(__xludf.DUMMYFUNCTION("""COMPUTED_VALUE"""),"https://github.com/elastic/elasticsearch/pull/1065")</f>
        <v>https://github.com/elastic/elasticsearch/pull/1065</v>
      </c>
      <c r="J20" s="105" t="str">
        <f>IFERROR(__xludf.DUMMYFUNCTION("""COMPUTED_VALUE"""),"NA")</f>
        <v>NA</v>
      </c>
      <c r="K20" s="105"/>
      <c r="L20" s="105"/>
      <c r="M20" s="105"/>
      <c r="N20" s="105"/>
      <c r="O20" s="105"/>
      <c r="P20" s="105" t="str">
        <f>IFERROR(__xludf.DUMMYFUNCTION("""COMPUTED_VALUE"""),"NA")</f>
        <v>NA</v>
      </c>
      <c r="Q20" s="105"/>
      <c r="R20" s="105" t="str">
        <f>IFERROR(__xludf.DUMMYFUNCTION("""COMPUTED_VALUE"""),"No, however, check in the comments something like dup #ID or duplicate #ID")</f>
        <v>No, however, check in the comments something like dup #ID or duplicate #ID</v>
      </c>
      <c r="S20" s="105"/>
      <c r="T20" s="105" t="str">
        <f>IFERROR(__xludf.DUMMYFUNCTION("""COMPUTED_VALUE"""),"None identified. However, double check yourself")</f>
        <v>None identified. However, double check yourself</v>
      </c>
      <c r="U20" s="105"/>
      <c r="V20" s="105"/>
      <c r="W20" s="54" t="str">
        <f>IFERROR(__xludf.DUMMYFUNCTION("""COMPUTED_VALUE"""),"Elastic Search")</f>
        <v>Elastic Search</v>
      </c>
      <c r="X20" s="54" t="str">
        <f>IFERROR(__xludf.DUMMYFUNCTION("""COMPUTED_VALUE"""),"Not identified. However, it can be googled with the bug ID")</f>
        <v>Not identified. However, it can be googled with the bug ID</v>
      </c>
      <c r="Y20" s="54" t="str">
        <f>IFERROR(__xludf.DUMMYFUNCTION("""COMPUTED_VALUE"""),"src/main/java/org/elasticsearch/index/search/shape/ShapeFetchService.java")</f>
        <v>src/main/java/org/elasticsearch/index/search/shape/ShapeFetchService.java</v>
      </c>
      <c r="Z20" s="54" t="str">
        <f>IFERROR(__xludf.DUMMYFUNCTION("""COMPUTED_VALUE"""),"/shape/ShapeFetchService.java")</f>
        <v>/shape/ShapeFetchService.java</v>
      </c>
      <c r="AA20" s="54">
        <f>IFERROR(__xludf.DUMMYFUNCTION("""COMPUTED_VALUE"""),0.0)</f>
        <v>0</v>
      </c>
      <c r="AB20" s="54" t="str">
        <f>IFERROR(__xludf.DUMMYFUNCTION("""COMPUTED_VALUE"""),"Note19")</f>
        <v>Note19</v>
      </c>
      <c r="AC20" s="54" t="str">
        <f t="shared" si="1"/>
        <v>Elastic Search 3242</v>
      </c>
    </row>
    <row r="21">
      <c r="A21" s="105" t="str">
        <f>IFERROR(__xludf.DUMMYFUNCTION("""COMPUTED_VALUE"""),"Elastic Search 3267")</f>
        <v>Elastic Search 3267</v>
      </c>
      <c r="B21" s="105">
        <f>IFERROR(__xludf.DUMMYFUNCTION("""COMPUTED_VALUE"""),3267.0)</f>
        <v>3267</v>
      </c>
      <c r="C21" s="178" t="str">
        <f>IFERROR(__xludf.DUMMYFUNCTION("""COMPUTED_VALUE"""),"https://github.com/elastic/elasticsearch/issues/3267")</f>
        <v>https://github.com/elastic/elasticsearch/issues/3267</v>
      </c>
      <c r="D21" s="179" t="str">
        <f>IFERROR(__xludf.DUMMYFUNCTION("""COMPUTED_VALUE"""),"7790d2bf6578825924446013caba183fae6ba92b")</f>
        <v>7790d2bf6578825924446013caba183fae6ba92b</v>
      </c>
      <c r="E21" s="178" t="str">
        <f>IFERROR(__xludf.DUMMYFUNCTION("""COMPUTED_VALUE"""),"https://github.com/elastic/elasticsearch/commit/7790d2bf6578825924446013caba183fae6ba92b")</f>
        <v>https://github.com/elastic/elasticsearch/commit/7790d2bf6578825924446013caba183fae6ba92b</v>
      </c>
      <c r="F21" s="105" t="str">
        <f>IFERROR(__xludf.DUMMYFUNCTION("""COMPUTED_VALUE"""),"9bf686e")</f>
        <v>9bf686e</v>
      </c>
      <c r="G21" s="178" t="str">
        <f>IFERROR(__xludf.DUMMYFUNCTION("""COMPUTED_VALUE"""),"https://github.com/elastic/elasticsearch/commit/9bf686e")</f>
        <v>https://github.com/elastic/elasticsearch/commit/9bf686e</v>
      </c>
      <c r="H21" s="105" t="str">
        <f>IFERROR(__xludf.DUMMYFUNCTION("""COMPUTED_VALUE"""),"NA")</f>
        <v>NA</v>
      </c>
      <c r="I21" s="105" t="str">
        <f>IFERROR(__xludf.DUMMYFUNCTION("""COMPUTED_VALUE"""),"No information available")</f>
        <v>No information available</v>
      </c>
      <c r="J21" s="105">
        <f>IFERROR(__xludf.DUMMYFUNCTION("""COMPUTED_VALUE"""),1068.0)</f>
        <v>1068</v>
      </c>
      <c r="K21" s="178" t="str">
        <f>IFERROR(__xludf.DUMMYFUNCTION("""COMPUTED_VALUE"""),"https://github.com/elastic/elasticsearch/issues/1068")</f>
        <v>https://github.com/elastic/elasticsearch/issues/1068</v>
      </c>
      <c r="L21" s="105"/>
      <c r="M21" s="105"/>
      <c r="N21" s="105"/>
      <c r="O21" s="105"/>
      <c r="P21" s="105">
        <f>IFERROR(__xludf.DUMMYFUNCTION("""COMPUTED_VALUE"""),1068.0)</f>
        <v>1068</v>
      </c>
      <c r="Q21" s="178" t="str">
        <f>IFERROR(__xludf.DUMMYFUNCTION("""COMPUTED_VALUE"""),"https://github.com/elastic/elasticsearch/issues/1068")</f>
        <v>https://github.com/elastic/elasticsearch/issues/1068</v>
      </c>
      <c r="R21" s="105" t="str">
        <f>IFERROR(__xludf.DUMMYFUNCTION("""COMPUTED_VALUE"""),"No, however, check in the comments something like dup #ID or duplicate #ID")</f>
        <v>No, however, check in the comments something like dup #ID or duplicate #ID</v>
      </c>
      <c r="S21" s="105"/>
      <c r="T21" s="105" t="str">
        <f>IFERROR(__xludf.DUMMYFUNCTION("""COMPUTED_VALUE"""),"None identified. However, double check yourself")</f>
        <v>None identified. However, double check yourself</v>
      </c>
      <c r="U21" s="105"/>
      <c r="V21" s="105"/>
      <c r="W21" s="54" t="str">
        <f>IFERROR(__xludf.DUMMYFUNCTION("""COMPUTED_VALUE"""),"Elastic Search")</f>
        <v>Elastic Search</v>
      </c>
      <c r="X21" s="54" t="str">
        <f>IFERROR(__xludf.DUMMYFUNCTION("""COMPUTED_VALUE"""),"Not identified. However, it can be googled with the bug ID")</f>
        <v>Not identified. However, it can be googled with the bug ID</v>
      </c>
      <c r="Y21" s="54" t="str">
        <f>IFERROR(__xludf.DUMMYFUNCTION("""COMPUTED_VALUE"""),"src/main/java/org/elasticsearch/action/get/TransportMultiGetAction.java")</f>
        <v>src/main/java/org/elasticsearch/action/get/TransportMultiGetAction.java</v>
      </c>
      <c r="Z21" s="54" t="str">
        <f>IFERROR(__xludf.DUMMYFUNCTION("""COMPUTED_VALUE"""),"/get/TransportMultiGetAction.java")</f>
        <v>/get/TransportMultiGetAction.java</v>
      </c>
      <c r="AA21" s="54">
        <f>IFERROR(__xludf.DUMMYFUNCTION("""COMPUTED_VALUE"""),0.0)</f>
        <v>0</v>
      </c>
      <c r="AB21" s="54" t="str">
        <f>IFERROR(__xludf.DUMMYFUNCTION("""COMPUTED_VALUE"""),"Note20")</f>
        <v>Note20</v>
      </c>
      <c r="AC21" s="54" t="str">
        <f t="shared" si="1"/>
        <v>Elastic Search 3267</v>
      </c>
    </row>
    <row r="22">
      <c r="A22" s="105" t="str">
        <f>IFERROR(__xludf.DUMMYFUNCTION("""COMPUTED_VALUE"""),"Elastic Search 3560")</f>
        <v>Elastic Search 3560</v>
      </c>
      <c r="B22" s="105">
        <f>IFERROR(__xludf.DUMMYFUNCTION("""COMPUTED_VALUE"""),3560.0)</f>
        <v>3560</v>
      </c>
      <c r="C22" s="178" t="str">
        <f>IFERROR(__xludf.DUMMYFUNCTION("""COMPUTED_VALUE"""),"https://github.com/elastic/elasticsearch/issues/3560")</f>
        <v>https://github.com/elastic/elasticsearch/issues/3560</v>
      </c>
      <c r="D22" s="179" t="str">
        <f>IFERROR(__xludf.DUMMYFUNCTION("""COMPUTED_VALUE"""),"109e2944f2e0cfea948ee77aabb7a022e0146ada")</f>
        <v>109e2944f2e0cfea948ee77aabb7a022e0146ada</v>
      </c>
      <c r="E22" s="178" t="str">
        <f>IFERROR(__xludf.DUMMYFUNCTION("""COMPUTED_VALUE"""),"https://github.com/elastic/elasticsearch/commit/109e2944f2e0cfea948ee77aabb7a022e0146ada")</f>
        <v>https://github.com/elastic/elasticsearch/commit/109e2944f2e0cfea948ee77aabb7a022e0146ada</v>
      </c>
      <c r="F22" s="105" t="str">
        <f>IFERROR(__xludf.DUMMYFUNCTION("""COMPUTED_VALUE"""),"4930b93")</f>
        <v>4930b93</v>
      </c>
      <c r="G22" s="178" t="str">
        <f>IFERROR(__xludf.DUMMYFUNCTION("""COMPUTED_VALUE"""),"https://github.com/elastic/elasticsearch/commit/4930b93")</f>
        <v>https://github.com/elastic/elasticsearch/commit/4930b93</v>
      </c>
      <c r="H22" s="105" t="str">
        <f>IFERROR(__xludf.DUMMYFUNCTION("""COMPUTED_VALUE"""),"NA")</f>
        <v>NA</v>
      </c>
      <c r="I22" s="105" t="str">
        <f>IFERROR(__xludf.DUMMYFUNCTION("""COMPUTED_VALUE"""),"No information available")</f>
        <v>No information available</v>
      </c>
      <c r="J22" s="105" t="str">
        <f>IFERROR(__xludf.DUMMYFUNCTION("""COMPUTED_VALUE"""),"NA")</f>
        <v>NA</v>
      </c>
      <c r="K22" s="105"/>
      <c r="L22" s="105"/>
      <c r="M22" s="105"/>
      <c r="N22" s="105"/>
      <c r="O22" s="105"/>
      <c r="P22" s="105" t="str">
        <f>IFERROR(__xludf.DUMMYFUNCTION("""COMPUTED_VALUE"""),"NA")</f>
        <v>NA</v>
      </c>
      <c r="Q22" s="105"/>
      <c r="R22" s="105" t="str">
        <f>IFERROR(__xludf.DUMMYFUNCTION("""COMPUTED_VALUE"""),"No, however, check in the comments something like dup #ID or duplicate #ID")</f>
        <v>No, however, check in the comments something like dup #ID or duplicate #ID</v>
      </c>
      <c r="S22" s="105"/>
      <c r="T22" s="105" t="str">
        <f>IFERROR(__xludf.DUMMYFUNCTION("""COMPUTED_VALUE"""),"None identified. However, double check yourself")</f>
        <v>None identified. However, double check yourself</v>
      </c>
      <c r="U22" s="105"/>
      <c r="V22" s="105"/>
      <c r="W22" s="54" t="str">
        <f>IFERROR(__xludf.DUMMYFUNCTION("""COMPUTED_VALUE"""),"Elastic Search")</f>
        <v>Elastic Search</v>
      </c>
      <c r="X22" s="54" t="str">
        <f>IFERROR(__xludf.DUMMYFUNCTION("""COMPUTED_VALUE"""),"Not identified. However, it can be googled with the bug ID")</f>
        <v>Not identified. However, it can be googled with the bug ID</v>
      </c>
      <c r="Y22" s="54" t="str">
        <f>IFERROR(__xludf.DUMMYFUNCTION("""COMPUTED_VALUE"""),"src/main/java/org/elasticsearch/action/admin/cluster/settings/TransportClusterUpdateSettingsAction.java")</f>
        <v>src/main/java/org/elasticsearch/action/admin/cluster/settings/TransportClusterUpdateSettingsAction.java</v>
      </c>
      <c r="Z22" s="54" t="str">
        <f>IFERROR(__xludf.DUMMYFUNCTION("""COMPUTED_VALUE"""),"/settings/TransportClusterUpdateSettingsAction.java")</f>
        <v>/settings/TransportClusterUpdateSettingsAction.java</v>
      </c>
      <c r="AA22" s="54">
        <f>IFERROR(__xludf.DUMMYFUNCTION("""COMPUTED_VALUE"""),0.0)</f>
        <v>0</v>
      </c>
      <c r="AB22" s="54" t="str">
        <f>IFERROR(__xludf.DUMMYFUNCTION("""COMPUTED_VALUE"""),"Note21")</f>
        <v>Note21</v>
      </c>
      <c r="AC22" s="54" t="str">
        <f t="shared" si="1"/>
        <v>Elastic Search 3560</v>
      </c>
    </row>
    <row r="23">
      <c r="A23" s="105" t="str">
        <f>IFERROR(__xludf.DUMMYFUNCTION("""COMPUTED_VALUE"""),"Elastic Search 4581")</f>
        <v>Elastic Search 4581</v>
      </c>
      <c r="B23" s="105">
        <f>IFERROR(__xludf.DUMMYFUNCTION("""COMPUTED_VALUE"""),4581.0)</f>
        <v>4581</v>
      </c>
      <c r="C23" s="178" t="str">
        <f>IFERROR(__xludf.DUMMYFUNCTION("""COMPUTED_VALUE"""),"https://github.com/elastic/elasticsearch/issues/4581")</f>
        <v>https://github.com/elastic/elasticsearch/issues/4581</v>
      </c>
      <c r="D23" s="179" t="str">
        <f>IFERROR(__xludf.DUMMYFUNCTION("""COMPUTED_VALUE"""),"beaa915")</f>
        <v>beaa915</v>
      </c>
      <c r="E23" s="178" t="str">
        <f>IFERROR(__xludf.DUMMYFUNCTION("""COMPUTED_VALUE"""),"https://github.com/elastic/elasticsearch/commit/beaa915")</f>
        <v>https://github.com/elastic/elasticsearch/commit/beaa915</v>
      </c>
      <c r="F23" s="105" t="str">
        <f>IFERROR(__xludf.DUMMYFUNCTION("""COMPUTED_VALUE"""),"f444ed4")</f>
        <v>f444ed4</v>
      </c>
      <c r="G23" s="178" t="str">
        <f>IFERROR(__xludf.DUMMYFUNCTION("""COMPUTED_VALUE"""),"https://github.com/elastic/elasticsearch/commit/f444ed4")</f>
        <v>https://github.com/elastic/elasticsearch/commit/f444ed4</v>
      </c>
      <c r="H23" s="105" t="str">
        <f>IFERROR(__xludf.DUMMYFUNCTION("""COMPUTED_VALUE"""),"NA")</f>
        <v>NA</v>
      </c>
      <c r="I23" s="105" t="str">
        <f>IFERROR(__xludf.DUMMYFUNCTION("""COMPUTED_VALUE"""),"No information available")</f>
        <v>No information available</v>
      </c>
      <c r="J23" s="105" t="str">
        <f>IFERROR(__xludf.DUMMYFUNCTION("""COMPUTED_VALUE"""),"NA")</f>
        <v>NA</v>
      </c>
      <c r="K23" s="105"/>
      <c r="L23" s="105"/>
      <c r="M23" s="105"/>
      <c r="N23" s="105"/>
      <c r="O23" s="105"/>
      <c r="P23" s="105" t="str">
        <f>IFERROR(__xludf.DUMMYFUNCTION("""COMPUTED_VALUE"""),"NA")</f>
        <v>NA</v>
      </c>
      <c r="Q23" s="105"/>
      <c r="R23" s="105" t="str">
        <f>IFERROR(__xludf.DUMMYFUNCTION("""COMPUTED_VALUE"""),"No, however, check in the comments something like dup #ID or duplicate #ID")</f>
        <v>No, however, check in the comments something like dup #ID or duplicate #ID</v>
      </c>
      <c r="S23" s="105"/>
      <c r="T23" s="105" t="str">
        <f>IFERROR(__xludf.DUMMYFUNCTION("""COMPUTED_VALUE"""),"None identified. However, double check yourself")</f>
        <v>None identified. However, double check yourself</v>
      </c>
      <c r="U23" s="105"/>
      <c r="V23" s="105"/>
      <c r="W23" s="54" t="str">
        <f>IFERROR(__xludf.DUMMYFUNCTION("""COMPUTED_VALUE"""),"Elastic Search")</f>
        <v>Elastic Search</v>
      </c>
      <c r="X23" s="54" t="str">
        <f>IFERROR(__xludf.DUMMYFUNCTION("""COMPUTED_VALUE"""),"Not identified. However, it can be googled with the bug ID")</f>
        <v>Not identified. However, it can be googled with the bug ID</v>
      </c>
      <c r="Y23" s="54" t="str">
        <f>IFERROR(__xludf.DUMMYFUNCTION("""COMPUTED_VALUE"""),"src/main/java/org/elasticsearch/index/mapper/internal/AllFieldMapper.java")</f>
        <v>src/main/java/org/elasticsearch/index/mapper/internal/AllFieldMapper.java</v>
      </c>
      <c r="Z23" s="54" t="str">
        <f>IFERROR(__xludf.DUMMYFUNCTION("""COMPUTED_VALUE"""),"/internal/AllFieldMapper.java")</f>
        <v>/internal/AllFieldMapper.java</v>
      </c>
      <c r="AA23" s="54">
        <f>IFERROR(__xludf.DUMMYFUNCTION("""COMPUTED_VALUE"""),0.0)</f>
        <v>0</v>
      </c>
      <c r="AB23" s="54" t="str">
        <f>IFERROR(__xludf.DUMMYFUNCTION("""COMPUTED_VALUE"""),"Note22")</f>
        <v>Note22</v>
      </c>
      <c r="AC23" s="54" t="str">
        <f t="shared" si="1"/>
        <v>Elastic Search 4581</v>
      </c>
    </row>
    <row r="24">
      <c r="A24" s="105" t="str">
        <f>IFERROR(__xludf.DUMMYFUNCTION("""COMPUTED_VALUE"""),"Elastic Search 4814")</f>
        <v>Elastic Search 4814</v>
      </c>
      <c r="B24" s="105">
        <f>IFERROR(__xludf.DUMMYFUNCTION("""COMPUTED_VALUE"""),4814.0)</f>
        <v>4814</v>
      </c>
      <c r="C24" s="178" t="str">
        <f>IFERROR(__xludf.DUMMYFUNCTION("""COMPUTED_VALUE"""),"https://github.com/elastic/elasticsearch/issues/4814")</f>
        <v>https://github.com/elastic/elasticsearch/issues/4814</v>
      </c>
      <c r="D24" s="179" t="str">
        <f>IFERROR(__xludf.DUMMYFUNCTION("""COMPUTED_VALUE"""),"af1513f")</f>
        <v>af1513f</v>
      </c>
      <c r="E24" s="178" t="str">
        <f>IFERROR(__xludf.DUMMYFUNCTION("""COMPUTED_VALUE"""),"https://github.com/elastic/elasticsearch/commit/af1513f")</f>
        <v>https://github.com/elastic/elasticsearch/commit/af1513f</v>
      </c>
      <c r="F24" s="105" t="str">
        <f>IFERROR(__xludf.DUMMYFUNCTION("""COMPUTED_VALUE"""),"4271d57")</f>
        <v>4271d57</v>
      </c>
      <c r="G24" s="178" t="str">
        <f>IFERROR(__xludf.DUMMYFUNCTION("""COMPUTED_VALUE"""),"https://github.com/elastic/elasticsearch/commit/4271d57")</f>
        <v>https://github.com/elastic/elasticsearch/commit/4271d57</v>
      </c>
      <c r="H24" s="105" t="str">
        <f>IFERROR(__xludf.DUMMYFUNCTION("""COMPUTED_VALUE"""),"NA")</f>
        <v>NA</v>
      </c>
      <c r="I24" s="105" t="str">
        <f>IFERROR(__xludf.DUMMYFUNCTION("""COMPUTED_VALUE"""),"No information available")</f>
        <v>No information available</v>
      </c>
      <c r="J24" s="105">
        <f>IFERROR(__xludf.DUMMYFUNCTION("""COMPUTED_VALUE"""),4557.0)</f>
        <v>4557</v>
      </c>
      <c r="K24" s="178" t="str">
        <f>IFERROR(__xludf.DUMMYFUNCTION("""COMPUTED_VALUE"""),"https://github.com/elastic/elasticsearch/issues/4557")</f>
        <v>https://github.com/elastic/elasticsearch/issues/4557</v>
      </c>
      <c r="L24" s="105"/>
      <c r="M24" s="105"/>
      <c r="N24" s="105"/>
      <c r="O24" s="105"/>
      <c r="P24" s="105">
        <f>IFERROR(__xludf.DUMMYFUNCTION("""COMPUTED_VALUE"""),4557.0)</f>
        <v>4557</v>
      </c>
      <c r="Q24" s="178" t="str">
        <f>IFERROR(__xludf.DUMMYFUNCTION("""COMPUTED_VALUE"""),"https://github.com/elastic/elasticsearch/issues/4557")</f>
        <v>https://github.com/elastic/elasticsearch/issues/4557</v>
      </c>
      <c r="R24" s="105" t="str">
        <f>IFERROR(__xludf.DUMMYFUNCTION("""COMPUTED_VALUE"""),"No, however, check in the comments something like dup #ID or duplicate #ID")</f>
        <v>No, however, check in the comments something like dup #ID or duplicate #ID</v>
      </c>
      <c r="S24" s="105"/>
      <c r="T24" s="105" t="str">
        <f>IFERROR(__xludf.DUMMYFUNCTION("""COMPUTED_VALUE"""),"None identified. However, double check yourself")</f>
        <v>None identified. However, double check yourself</v>
      </c>
      <c r="U24" s="105"/>
      <c r="V24" s="105"/>
      <c r="W24" s="54" t="str">
        <f>IFERROR(__xludf.DUMMYFUNCTION("""COMPUTED_VALUE"""),"Elastic Search")</f>
        <v>Elastic Search</v>
      </c>
      <c r="X24" s="54" t="str">
        <f>IFERROR(__xludf.DUMMYFUNCTION("""COMPUTED_VALUE"""),"Not identified. However, it can be googled with the bug ID")</f>
        <v>Not identified. However, it can be googled with the bug ID</v>
      </c>
      <c r="Y24" s="54" t="str">
        <f>IFERROR(__xludf.DUMMYFUNCTION("""COMPUTED_VALUE"""),"src/main/java/org/elasticsearch/search/aggregations/bucket/BytesRefHash.java")</f>
        <v>src/main/java/org/elasticsearch/search/aggregations/bucket/BytesRefHash.java</v>
      </c>
      <c r="Z24" s="54" t="str">
        <f>IFERROR(__xludf.DUMMYFUNCTION("""COMPUTED_VALUE"""),"/bucket/BytesRefHash.java")</f>
        <v>/bucket/BytesRefHash.java</v>
      </c>
      <c r="AA24" s="54">
        <f>IFERROR(__xludf.DUMMYFUNCTION("""COMPUTED_VALUE"""),0.0)</f>
        <v>0</v>
      </c>
      <c r="AB24" s="54" t="str">
        <f>IFERROR(__xludf.DUMMYFUNCTION("""COMPUTED_VALUE"""),"Note23")</f>
        <v>Note23</v>
      </c>
      <c r="AC24" s="54" t="str">
        <f t="shared" si="1"/>
        <v>Elastic Search 4814</v>
      </c>
    </row>
    <row r="25">
      <c r="A25" s="105" t="str">
        <f>IFERROR(__xludf.DUMMYFUNCTION("""COMPUTED_VALUE"""),"Elastic Search 5021")</f>
        <v>Elastic Search 5021</v>
      </c>
      <c r="B25" s="105">
        <f>IFERROR(__xludf.DUMMYFUNCTION("""COMPUTED_VALUE"""),5021.0)</f>
        <v>5021</v>
      </c>
      <c r="C25" s="178" t="str">
        <f>IFERROR(__xludf.DUMMYFUNCTION("""COMPUTED_VALUE"""),"https://github.com/elastic/elasticsearch/issues/5021")</f>
        <v>https://github.com/elastic/elasticsearch/issues/5021</v>
      </c>
      <c r="D25" s="179" t="str">
        <f>IFERROR(__xludf.DUMMYFUNCTION("""COMPUTED_VALUE"""),"e1c1120")</f>
        <v>e1c1120</v>
      </c>
      <c r="E25" s="178" t="str">
        <f>IFERROR(__xludf.DUMMYFUNCTION("""COMPUTED_VALUE"""),"https://github.com/elastic/elasticsearch/commit/e1c1120")</f>
        <v>https://github.com/elastic/elasticsearch/commit/e1c1120</v>
      </c>
      <c r="F25" s="105" t="str">
        <f>IFERROR(__xludf.DUMMYFUNCTION("""COMPUTED_VALUE"""),"c7f6c5266")</f>
        <v>c7f6c5266</v>
      </c>
      <c r="G25" s="178" t="str">
        <f>IFERROR(__xludf.DUMMYFUNCTION("""COMPUTED_VALUE"""),"https://github.com/elastic/elasticsearch/commit/c7f6c5266")</f>
        <v>https://github.com/elastic/elasticsearch/commit/c7f6c5266</v>
      </c>
      <c r="H25" s="105" t="str">
        <f>IFERROR(__xludf.DUMMYFUNCTION("""COMPUTED_VALUE"""),"NA")</f>
        <v>NA</v>
      </c>
      <c r="I25" s="105" t="str">
        <f>IFERROR(__xludf.DUMMYFUNCTION("""COMPUTED_VALUE"""),"No information available")</f>
        <v>No information available</v>
      </c>
      <c r="J25" s="105">
        <f>IFERROR(__xludf.DUMMYFUNCTION("""COMPUTED_VALUE"""),3300.0)</f>
        <v>3300</v>
      </c>
      <c r="K25" s="178" t="str">
        <f>IFERROR(__xludf.DUMMYFUNCTION("""COMPUTED_VALUE"""),"https://github.com/elastic/elasticsearch/issues/3300")</f>
        <v>https://github.com/elastic/elasticsearch/issues/3300</v>
      </c>
      <c r="L25" s="105"/>
      <c r="M25" s="105"/>
      <c r="N25" s="105"/>
      <c r="O25" s="105"/>
      <c r="P25" s="105">
        <f>IFERROR(__xludf.DUMMYFUNCTION("""COMPUTED_VALUE"""),3300.0)</f>
        <v>3300</v>
      </c>
      <c r="Q25" s="178" t="str">
        <f>IFERROR(__xludf.DUMMYFUNCTION("""COMPUTED_VALUE"""),"https://github.com/elastic/elasticsearch/issues/3300")</f>
        <v>https://github.com/elastic/elasticsearch/issues/3300</v>
      </c>
      <c r="R25" s="105" t="str">
        <f>IFERROR(__xludf.DUMMYFUNCTION("""COMPUTED_VALUE"""),"No, however, check in the comments something like dup #ID or duplicate #ID")</f>
        <v>No, however, check in the comments something like dup #ID or duplicate #ID</v>
      </c>
      <c r="S25" s="105"/>
      <c r="T25" s="178" t="str">
        <f>IFERROR(__xludf.DUMMYFUNCTION("""COMPUTED_VALUE"""),"https://github.com/elastic/elasticsearch/issues/1305")</f>
        <v>https://github.com/elastic/elasticsearch/issues/1305</v>
      </c>
      <c r="U25" s="105"/>
      <c r="V25" s="105"/>
      <c r="W25" s="54" t="str">
        <f>IFERROR(__xludf.DUMMYFUNCTION("""COMPUTED_VALUE"""),"Elastic Search")</f>
        <v>Elastic Search</v>
      </c>
      <c r="X25" s="54" t="str">
        <f>IFERROR(__xludf.DUMMYFUNCTION("""COMPUTED_VALUE"""),"Not identified. However, it can be googled with the bug ID")</f>
        <v>Not identified. However, it can be googled with the bug ID</v>
      </c>
      <c r="Y25" s="54" t="str">
        <f>IFERROR(__xludf.DUMMYFUNCTION("""COMPUTED_VALUE"""),"src/main/java/org/elasticsearch/search/aggregations/bucket/BytesRefHash.java,src/main/java/org/elasticsearch/search/aggregations/bucket/terms/StringTerms.java, src/main/java/org/elasticsearch/search/aggregations/bucket/terms/StringTermsAggregator.java 
")</f>
        <v>src/main/java/org/elasticsearch/search/aggregations/bucket/BytesRefHash.java,src/main/java/org/elasticsearch/search/aggregations/bucket/terms/StringTerms.java, src/main/java/org/elasticsearch/search/aggregations/bucket/terms/StringTermsAggregator.java 
</v>
      </c>
      <c r="Z25" s="54" t="str">
        <f>IFERROR(__xludf.DUMMYFUNCTION("""COMPUTED_VALUE"""),"/terms/StringTerms.java
/terms/StringTerms.java
/terms/StringTermsAggregator.java ")</f>
        <v>/terms/StringTerms.java
/terms/StringTerms.java
/terms/StringTermsAggregator.java </v>
      </c>
      <c r="AA25" s="54">
        <f>IFERROR(__xludf.DUMMYFUNCTION("""COMPUTED_VALUE"""),2.0)</f>
        <v>2</v>
      </c>
      <c r="AB25" s="54" t="str">
        <f>IFERROR(__xludf.DUMMYFUNCTION("""COMPUTED_VALUE"""),"This BIC is the same for Bug 5021 and 5048. If you have already done one, copy all the values to the other bug, no dot label two times")</f>
        <v>This BIC is the same for Bug 5021 and 5048. If you have already done one, copy all the values to the other bug, no dot label two times</v>
      </c>
      <c r="AC25" s="54" t="str">
        <f t="shared" si="1"/>
        <v>Elastic Search 5021</v>
      </c>
    </row>
    <row r="26">
      <c r="A26" s="105" t="str">
        <f>IFERROR(__xludf.DUMMYFUNCTION("""COMPUTED_VALUE"""),"Elastic Search 5048")</f>
        <v>Elastic Search 5048</v>
      </c>
      <c r="B26" s="105">
        <f>IFERROR(__xludf.DUMMYFUNCTION("""COMPUTED_VALUE"""),5048.0)</f>
        <v>5048</v>
      </c>
      <c r="C26" s="178" t="str">
        <f>IFERROR(__xludf.DUMMYFUNCTION("""COMPUTED_VALUE"""),"https://github.com/elastic/elasticsearch/issues/5048")</f>
        <v>https://github.com/elastic/elasticsearch/issues/5048</v>
      </c>
      <c r="D26" s="179" t="str">
        <f>IFERROR(__xludf.DUMMYFUNCTION("""COMPUTED_VALUE"""),"6106944")</f>
        <v>6106944</v>
      </c>
      <c r="E26" s="178" t="str">
        <f>IFERROR(__xludf.DUMMYFUNCTION("""COMPUTED_VALUE"""),"https://github.com/elastic/elasticsearch/commit/6106944")</f>
        <v>https://github.com/elastic/elasticsearch/commit/6106944</v>
      </c>
      <c r="F26" s="105" t="str">
        <f>IFERROR(__xludf.DUMMYFUNCTION("""COMPUTED_VALUE"""),"c7f6c52")</f>
        <v>c7f6c52</v>
      </c>
      <c r="G26" s="178" t="str">
        <f>IFERROR(__xludf.DUMMYFUNCTION("""COMPUTED_VALUE"""),"https://github.com/elastic/elasticsearch/commit/c7f6c52")</f>
        <v>https://github.com/elastic/elasticsearch/commit/c7f6c52</v>
      </c>
      <c r="H26" s="105" t="str">
        <f>IFERROR(__xludf.DUMMYFUNCTION("""COMPUTED_VALUE"""),"NA")</f>
        <v>NA</v>
      </c>
      <c r="I26" s="105" t="str">
        <f>IFERROR(__xludf.DUMMYFUNCTION("""COMPUTED_VALUE"""),"No information available")</f>
        <v>No information available</v>
      </c>
      <c r="J26" s="105">
        <f>IFERROR(__xludf.DUMMYFUNCTION("""COMPUTED_VALUE"""),3300.0)</f>
        <v>3300</v>
      </c>
      <c r="K26" s="178" t="str">
        <f>IFERROR(__xludf.DUMMYFUNCTION("""COMPUTED_VALUE"""),"https://github.com/elastic/elasticsearch/issues/3300")</f>
        <v>https://github.com/elastic/elasticsearch/issues/3300</v>
      </c>
      <c r="L26" s="105"/>
      <c r="M26" s="105"/>
      <c r="N26" s="105"/>
      <c r="O26" s="105"/>
      <c r="P26" s="105">
        <f>IFERROR(__xludf.DUMMYFUNCTION("""COMPUTED_VALUE"""),3300.0)</f>
        <v>3300</v>
      </c>
      <c r="Q26" s="178" t="str">
        <f>IFERROR(__xludf.DUMMYFUNCTION("""COMPUTED_VALUE"""),"https://github.com/elastic/elasticsearch/issues/3300")</f>
        <v>https://github.com/elastic/elasticsearch/issues/3300</v>
      </c>
      <c r="R26" s="105" t="str">
        <f>IFERROR(__xludf.DUMMYFUNCTION("""COMPUTED_VALUE"""),"No, however, check in the comments something like dup #ID or duplicate #ID")</f>
        <v>No, however, check in the comments something like dup #ID or duplicate #ID</v>
      </c>
      <c r="S26" s="105"/>
      <c r="T26" s="105" t="str">
        <f>IFERROR(__xludf.DUMMYFUNCTION("""COMPUTED_VALUE"""),"None identified (the linked commits are not other Information)")</f>
        <v>None identified (the linked commits are not other Information)</v>
      </c>
      <c r="U26" s="105"/>
      <c r="V26" s="105"/>
      <c r="W26" s="54" t="str">
        <f>IFERROR(__xludf.DUMMYFUNCTION("""COMPUTED_VALUE"""),"Elastic Search")</f>
        <v>Elastic Search</v>
      </c>
      <c r="X26" s="54" t="str">
        <f>IFERROR(__xludf.DUMMYFUNCTION("""COMPUTED_VALUE"""),"Not identified. However, it can be googled with the bug ID")</f>
        <v>Not identified. However, it can be googled with the bug ID</v>
      </c>
      <c r="Y26" s="54" t="str">
        <f>IFERROR(__xludf.DUMMYFUNCTION("""COMPUTED_VALUE"""),"src/main/java/org/elasticsearch/search/aggregations/AggregatorFactories.java")</f>
        <v>src/main/java/org/elasticsearch/search/aggregations/AggregatorFactories.java</v>
      </c>
      <c r="Z26" s="54" t="str">
        <f>IFERROR(__xludf.DUMMYFUNCTION("""COMPUTED_VALUE"""),"/aggregations/AggregatorFactories.java")</f>
        <v>/aggregations/AggregatorFactories.java</v>
      </c>
      <c r="AA26" s="54">
        <f>IFERROR(__xludf.DUMMYFUNCTION("""COMPUTED_VALUE"""),0.0)</f>
        <v>0</v>
      </c>
      <c r="AB26" s="54" t="str">
        <f>IFERROR(__xludf.DUMMYFUNCTION("""COMPUTED_VALUE"""),"This BIC is the same for Bug 5021 and 5048. If you have already done one, copy all the values to the other bug, no dot label two times")</f>
        <v>This BIC is the same for Bug 5021 and 5048. If you have already done one, copy all the values to the other bug, no dot label two times</v>
      </c>
      <c r="AC26" s="54" t="str">
        <f t="shared" si="1"/>
        <v>Elastic Search 5048</v>
      </c>
    </row>
    <row r="27">
      <c r="A27" s="105" t="str">
        <f>IFERROR(__xludf.DUMMYFUNCTION("""COMPUTED_VALUE"""),"Elastic Search 5165")</f>
        <v>Elastic Search 5165</v>
      </c>
      <c r="B27" s="105">
        <f>IFERROR(__xludf.DUMMYFUNCTION("""COMPUTED_VALUE"""),5165.0)</f>
        <v>5165</v>
      </c>
      <c r="C27" s="178" t="str">
        <f>IFERROR(__xludf.DUMMYFUNCTION("""COMPUTED_VALUE"""),"https://github.com/elastic/elasticsearch/issues/5165")</f>
        <v>https://github.com/elastic/elasticsearch/issues/5165</v>
      </c>
      <c r="D27" s="179" t="str">
        <f>IFERROR(__xludf.DUMMYFUNCTION("""COMPUTED_VALUE"""),"3dec916")</f>
        <v>3dec916</v>
      </c>
      <c r="E27" s="178" t="str">
        <f>IFERROR(__xludf.DUMMYFUNCTION("""COMPUTED_VALUE"""),"https://github.com/elastic/elasticsearch/commit/3dec916")</f>
        <v>https://github.com/elastic/elasticsearch/commit/3dec916</v>
      </c>
      <c r="F27" s="105" t="str">
        <f>IFERROR(__xludf.DUMMYFUNCTION("""COMPUTED_VALUE"""),"3ca0239")</f>
        <v>3ca0239</v>
      </c>
      <c r="G27" s="178" t="str">
        <f>IFERROR(__xludf.DUMMYFUNCTION("""COMPUTED_VALUE"""),"https://github.com/elastic/elasticsearch/commit/3ca0239")</f>
        <v>https://github.com/elastic/elasticsearch/commit/3ca0239</v>
      </c>
      <c r="H27" s="105" t="str">
        <f>IFERROR(__xludf.DUMMYFUNCTION("""COMPUTED_VALUE"""),"NA")</f>
        <v>NA</v>
      </c>
      <c r="I27" s="105" t="str">
        <f>IFERROR(__xludf.DUMMYFUNCTION("""COMPUTED_VALUE"""),"No information available")</f>
        <v>No information available</v>
      </c>
      <c r="J27" s="105">
        <f>IFERROR(__xludf.DUMMYFUNCTION("""COMPUTED_VALUE"""),3574.0)</f>
        <v>3574</v>
      </c>
      <c r="K27" s="178" t="str">
        <f>IFERROR(__xludf.DUMMYFUNCTION("""COMPUTED_VALUE"""),"https://github.com/elastic/elasticsearch/issues/3574")</f>
        <v>https://github.com/elastic/elasticsearch/issues/3574</v>
      </c>
      <c r="L27" s="105"/>
      <c r="M27" s="105"/>
      <c r="N27" s="105"/>
      <c r="O27" s="105"/>
      <c r="P27" s="105">
        <f>IFERROR(__xludf.DUMMYFUNCTION("""COMPUTED_VALUE"""),3574.0)</f>
        <v>3574</v>
      </c>
      <c r="Q27" s="178" t="str">
        <f>IFERROR(__xludf.DUMMYFUNCTION("""COMPUTED_VALUE"""),"https://github.com/elastic/elasticsearch/issues/3574")</f>
        <v>https://github.com/elastic/elasticsearch/issues/3574</v>
      </c>
      <c r="R27" s="105" t="str">
        <f>IFERROR(__xludf.DUMMYFUNCTION("""COMPUTED_VALUE"""),"No, however, check in the comments something like dup #ID or duplicate #ID")</f>
        <v>No, however, check in the comments something like dup #ID or duplicate #ID</v>
      </c>
      <c r="S27" s="105"/>
      <c r="T27" s="105" t="str">
        <f>IFERROR(__xludf.DUMMYFUNCTION("""COMPUTED_VALUE"""),"None identified. However, double check yourself")</f>
        <v>None identified. However, double check yourself</v>
      </c>
      <c r="U27" s="105"/>
      <c r="V27" s="105"/>
      <c r="W27" s="54" t="str">
        <f>IFERROR(__xludf.DUMMYFUNCTION("""COMPUTED_VALUE"""),"Elastic Search")</f>
        <v>Elastic Search</v>
      </c>
      <c r="X27" s="54" t="str">
        <f>IFERROR(__xludf.DUMMYFUNCTION("""COMPUTED_VALUE"""),"Not identified. However, it can be googled with the bug ID")</f>
        <v>Not identified. However, it can be googled with the bug ID</v>
      </c>
      <c r="Y27" s="54" t="str">
        <f>IFERROR(__xludf.DUMMYFUNCTION("""COMPUTED_VALUE"""),"src/main/java/org/elasticsearch/search/SearchService.java, src/main/java/org/elasticsearch/search/internal/DefaultSearchContext.java 
")</f>
        <v>src/main/java/org/elasticsearch/search/SearchService.java, src/main/java/org/elasticsearch/search/internal/DefaultSearchContext.java 
</v>
      </c>
      <c r="Z27" s="54" t="str">
        <f>IFERROR(__xludf.DUMMYFUNCTION("""COMPUTED_VALUE"""),"/search/SearchService.java
/internal/DefaultSearchContext.java")</f>
        <v>/search/SearchService.java
/internal/DefaultSearchContext.java</v>
      </c>
      <c r="AA27" s="54">
        <f>IFERROR(__xludf.DUMMYFUNCTION("""COMPUTED_VALUE"""),1.0)</f>
        <v>1</v>
      </c>
      <c r="AB27" s="54" t="str">
        <f>IFERROR(__xludf.DUMMYFUNCTION("""COMPUTED_VALUE"""),"Note26")</f>
        <v>Note26</v>
      </c>
      <c r="AC27" s="54" t="str">
        <f t="shared" si="1"/>
        <v>Elastic Search 5165</v>
      </c>
    </row>
    <row r="28">
      <c r="A28" s="105" t="str">
        <f>IFERROR(__xludf.DUMMYFUNCTION("""COMPUTED_VALUE"""),"Elastic Search 5948")</f>
        <v>Elastic Search 5948</v>
      </c>
      <c r="B28" s="105">
        <f>IFERROR(__xludf.DUMMYFUNCTION("""COMPUTED_VALUE"""),5948.0)</f>
        <v>5948</v>
      </c>
      <c r="C28" s="178" t="str">
        <f>IFERROR(__xludf.DUMMYFUNCTION("""COMPUTED_VALUE"""),"https://github.com/elastic/elasticsearch/issues/5948")</f>
        <v>https://github.com/elastic/elasticsearch/issues/5948</v>
      </c>
      <c r="D28" s="179" t="str">
        <f>IFERROR(__xludf.DUMMYFUNCTION("""COMPUTED_VALUE"""),"aa4dc09")</f>
        <v>aa4dc09</v>
      </c>
      <c r="E28" s="178" t="str">
        <f>IFERROR(__xludf.DUMMYFUNCTION("""COMPUTED_VALUE"""),"https://github.com/elastic/elasticsearch/commit/aa4dc09")</f>
        <v>https://github.com/elastic/elasticsearch/commit/aa4dc09</v>
      </c>
      <c r="F28" s="105" t="str">
        <f>IFERROR(__xludf.DUMMYFUNCTION("""COMPUTED_VALUE"""),"b35ca1a")</f>
        <v>b35ca1a</v>
      </c>
      <c r="G28" s="178" t="str">
        <f>IFERROR(__xludf.DUMMYFUNCTION("""COMPUTED_VALUE"""),"https://github.com/elastic/elasticsearch/commit/b35ca1a")</f>
        <v>https://github.com/elastic/elasticsearch/commit/b35ca1a</v>
      </c>
      <c r="H28" s="105" t="str">
        <f>IFERROR(__xludf.DUMMYFUNCTION("""COMPUTED_VALUE"""),"NA")</f>
        <v>NA</v>
      </c>
      <c r="I28" s="105" t="str">
        <f>IFERROR(__xludf.DUMMYFUNCTION("""COMPUTED_VALUE"""),"No information available")</f>
        <v>No information available</v>
      </c>
      <c r="J28" s="105">
        <f>IFERROR(__xludf.DUMMYFUNCTION("""COMPUTED_VALUE"""),4670.0)</f>
        <v>4670</v>
      </c>
      <c r="K28" s="178" t="str">
        <f>IFERROR(__xludf.DUMMYFUNCTION("""COMPUTED_VALUE"""),"https://github.com/elastic/elasticsearch/issues/46700")</f>
        <v>https://github.com/elastic/elasticsearch/issues/46700</v>
      </c>
      <c r="L28" s="105"/>
      <c r="M28" s="105"/>
      <c r="N28" s="105"/>
      <c r="O28" s="105"/>
      <c r="P28" s="105">
        <f>IFERROR(__xludf.DUMMYFUNCTION("""COMPUTED_VALUE"""),4670.0)</f>
        <v>4670</v>
      </c>
      <c r="Q28" s="178" t="str">
        <f>IFERROR(__xludf.DUMMYFUNCTION("""COMPUTED_VALUE"""),"https://github.com/elastic/elasticsearch/issues/46700")</f>
        <v>https://github.com/elastic/elasticsearch/issues/46700</v>
      </c>
      <c r="R28" s="105" t="str">
        <f>IFERROR(__xludf.DUMMYFUNCTION("""COMPUTED_VALUE"""),"No, however, check in the comments something like dup #ID or duplicate #ID")</f>
        <v>No, however, check in the comments something like dup #ID or duplicate #ID</v>
      </c>
      <c r="S28" s="105"/>
      <c r="T28" s="105" t="str">
        <f>IFERROR(__xludf.DUMMYFUNCTION("""COMPUTED_VALUE"""),"None identified. However, double check yourself")</f>
        <v>None identified. However, double check yourself</v>
      </c>
      <c r="U28" s="105"/>
      <c r="V28" s="105"/>
      <c r="W28" s="54" t="str">
        <f>IFERROR(__xludf.DUMMYFUNCTION("""COMPUTED_VALUE"""),"Elastic Search")</f>
        <v>Elastic Search</v>
      </c>
      <c r="X28" s="54" t="str">
        <f>IFERROR(__xludf.DUMMYFUNCTION("""COMPUTED_VALUE"""),"Not identified. However, it can be googled with the bug ID")</f>
        <v>Not identified. However, it can be googled with the bug ID</v>
      </c>
      <c r="Y28" s="54" t="str">
        <f>IFERROR(__xludf.DUMMYFUNCTION("""COMPUTED_VALUE"""),"src/main/java/org/elasticsearch/rest/action/cat/RestAllocationAction.java")</f>
        <v>src/main/java/org/elasticsearch/rest/action/cat/RestAllocationAction.java</v>
      </c>
      <c r="Z28" s="54" t="str">
        <f>IFERROR(__xludf.DUMMYFUNCTION("""COMPUTED_VALUE"""),"/cat/RestAllocationAction.java")</f>
        <v>/cat/RestAllocationAction.java</v>
      </c>
      <c r="AA28" s="54">
        <f>IFERROR(__xludf.DUMMYFUNCTION("""COMPUTED_VALUE"""),0.0)</f>
        <v>0</v>
      </c>
      <c r="AB28" s="54" t="str">
        <f>IFERROR(__xludf.DUMMYFUNCTION("""COMPUTED_VALUE"""),"Note27")</f>
        <v>Note27</v>
      </c>
      <c r="AC28" s="54" t="str">
        <f t="shared" si="1"/>
        <v>Elastic Search 5948</v>
      </c>
    </row>
    <row r="29">
      <c r="A29" s="105" t="str">
        <f>IFERROR(__xludf.DUMMYFUNCTION("""COMPUTED_VALUE"""),"Elastic Search 7623")</f>
        <v>Elastic Search 7623</v>
      </c>
      <c r="B29" s="105">
        <f>IFERROR(__xludf.DUMMYFUNCTION("""COMPUTED_VALUE"""),7623.0)</f>
        <v>7623</v>
      </c>
      <c r="C29" s="178" t="str">
        <f>IFERROR(__xludf.DUMMYFUNCTION("""COMPUTED_VALUE"""),"https://github.com/elastic/elasticsearch/issues/7623")</f>
        <v>https://github.com/elastic/elasticsearch/issues/7623</v>
      </c>
      <c r="D29" s="179" t="str">
        <f>IFERROR(__xludf.DUMMYFUNCTION("""COMPUTED_VALUE"""),"cb9cf948dfaf8c91625dca9f436feacdc5c2deb9")</f>
        <v>cb9cf948dfaf8c91625dca9f436feacdc5c2deb9</v>
      </c>
      <c r="E29" s="178" t="str">
        <f>IFERROR(__xludf.DUMMYFUNCTION("""COMPUTED_VALUE"""),"https://github.com/elastic/elasticsearch/commit/cb9cf948dfaf8c91625dca9f436feacdc5c2deb9")</f>
        <v>https://github.com/elastic/elasticsearch/commit/cb9cf948dfaf8c91625dca9f436feacdc5c2deb9</v>
      </c>
      <c r="F29" s="105" t="str">
        <f>IFERROR(__xludf.DUMMYFUNCTION("""COMPUTED_VALUE"""),"575250e")</f>
        <v>575250e</v>
      </c>
      <c r="G29" s="178" t="str">
        <f>IFERROR(__xludf.DUMMYFUNCTION("""COMPUTED_VALUE"""),"https://github.com/elastic/elasticsearch/commit/575250e")</f>
        <v>https://github.com/elastic/elasticsearch/commit/575250e</v>
      </c>
      <c r="H29" s="105" t="str">
        <f>IFERROR(__xludf.DUMMYFUNCTION("""COMPUTED_VALUE"""),"NA")</f>
        <v>NA</v>
      </c>
      <c r="I29" s="105" t="str">
        <f>IFERROR(__xludf.DUMMYFUNCTION("""COMPUTED_VALUE"""),"No information available")</f>
        <v>No information available</v>
      </c>
      <c r="J29" s="105" t="str">
        <f>IFERROR(__xludf.DUMMYFUNCTION("""COMPUTED_VALUE"""),"NA")</f>
        <v>NA</v>
      </c>
      <c r="K29" s="105"/>
      <c r="L29" s="105"/>
      <c r="M29" s="105"/>
      <c r="N29" s="105"/>
      <c r="O29" s="105"/>
      <c r="P29" s="105" t="str">
        <f>IFERROR(__xludf.DUMMYFUNCTION("""COMPUTED_VALUE"""),"NA")</f>
        <v>NA</v>
      </c>
      <c r="Q29" s="105"/>
      <c r="R29" s="105" t="str">
        <f>IFERROR(__xludf.DUMMYFUNCTION("""COMPUTED_VALUE"""),"No, however, check in the comments something like dup #ID or duplicate #ID")</f>
        <v>No, however, check in the comments something like dup #ID or duplicate #ID</v>
      </c>
      <c r="S29" s="105"/>
      <c r="T29" s="105" t="str">
        <f>IFERROR(__xludf.DUMMYFUNCTION("""COMPUTED_VALUE"""),"None identified. However, double check yourself")</f>
        <v>None identified. However, double check yourself</v>
      </c>
      <c r="U29" s="105"/>
      <c r="V29" s="105"/>
      <c r="W29" s="54" t="str">
        <f>IFERROR(__xludf.DUMMYFUNCTION("""COMPUTED_VALUE"""),"Elastic Search")</f>
        <v>Elastic Search</v>
      </c>
      <c r="X29" s="54" t="str">
        <f>IFERROR(__xludf.DUMMYFUNCTION("""COMPUTED_VALUE"""),"Not identified. However, it can be googled with the bug ID")</f>
        <v>Not identified. However, it can be googled with the bug ID</v>
      </c>
      <c r="Y29" s="54" t="str">
        <f>IFERROR(__xludf.DUMMYFUNCTION("""COMPUTED_VALUE"""),"src/main/java/org/elasticsearch/action/search/type/TransportSearchDfsQueryAndFetchAction.java , src/main/java/org/elasticsearch/action/search/type/TransportSearchDfsQueryThenFetchAction.java , src/main/java/org/elasticsearch/action/search/type/TransportSe"&amp;"archQueryAndFetchAction.java , src/main/java/org/elasticsearch/action/search/type/TransportSearchQueryThenFetchAction.java , src/main/java/org/elasticsearch/threadpool/ThreadPool.java 
")</f>
        <v>src/main/java/org/elasticsearch/action/search/type/TransportSearchDfsQueryAndFetchAction.java , src/main/java/org/elasticsearch/action/search/type/TransportSearchDfsQueryThenFetchAction.java , src/main/java/org/elasticsearch/action/search/type/TransportSearchQueryAndFetchAction.java , src/main/java/org/elasticsearch/action/search/type/TransportSearchQueryThenFetchAction.java , src/main/java/org/elasticsearch/threadpool/ThreadPool.java 
</v>
      </c>
      <c r="Z29" s="54" t="str">
        <f>IFERROR(__xludf.DUMMYFUNCTION("""COMPUTED_VALUE"""),"/type/TransportSearchDfsQueryAndFetchAction.java
/type/TransportSearchDfsQueryThenFetchAction.java
/type/TransportSearchQueryAndFetchAction.java
/type/TransportSearchQueryThenFetchAction.java
/threadpool/ThreadPool.java")</f>
        <v>/type/TransportSearchDfsQueryAndFetchAction.java
/type/TransportSearchDfsQueryThenFetchAction.java
/type/TransportSearchQueryAndFetchAction.java
/type/TransportSearchQueryThenFetchAction.java
/threadpool/ThreadPool.java</v>
      </c>
      <c r="AA29" s="54">
        <f>IFERROR(__xludf.DUMMYFUNCTION("""COMPUTED_VALUE"""),4.0)</f>
        <v>4</v>
      </c>
      <c r="AB29" s="54" t="str">
        <f>IFERROR(__xludf.DUMMYFUNCTION("""COMPUTED_VALUE"""),"Note28")</f>
        <v>Note28</v>
      </c>
      <c r="AC29" s="54" t="str">
        <f t="shared" si="1"/>
        <v>Elastic Search 7623</v>
      </c>
    </row>
    <row r="30">
      <c r="A30" s="105" t="str">
        <f>IFERROR(__xludf.DUMMYFUNCTION("""COMPUTED_VALUE"""),"Elastic Search 764")</f>
        <v>Elastic Search 764</v>
      </c>
      <c r="B30" s="105">
        <f>IFERROR(__xludf.DUMMYFUNCTION("""COMPUTED_VALUE"""),764.0)</f>
        <v>764</v>
      </c>
      <c r="C30" s="178" t="str">
        <f>IFERROR(__xludf.DUMMYFUNCTION("""COMPUTED_VALUE"""),"https://github.com/elastic/elasticsearch/issues/764")</f>
        <v>https://github.com/elastic/elasticsearch/issues/764</v>
      </c>
      <c r="D30" s="179" t="str">
        <f>IFERROR(__xludf.DUMMYFUNCTION("""COMPUTED_VALUE"""),"2a0e0b767ad4275dabd7abf4625b6ad5f8a8757")</f>
        <v>2a0e0b767ad4275dabd7abf4625b6ad5f8a8757</v>
      </c>
      <c r="E30" s="178" t="str">
        <f>IFERROR(__xludf.DUMMYFUNCTION("""COMPUTED_VALUE"""),"https://github.com/elastic/elasticsearch/commit/2a0e0b767ad4275dabd7abf4625b6ad5f8a8757")</f>
        <v>https://github.com/elastic/elasticsearch/commit/2a0e0b767ad4275dabd7abf4625b6ad5f8a8757</v>
      </c>
      <c r="F30" s="105" t="str">
        <f>IFERROR(__xludf.DUMMYFUNCTION("""COMPUTED_VALUE"""),"4c34840")</f>
        <v>4c34840</v>
      </c>
      <c r="G30" s="178" t="str">
        <f>IFERROR(__xludf.DUMMYFUNCTION("""COMPUTED_VALUE"""),"https://github.com/elastic/elasticsearch/commit/4c34840")</f>
        <v>https://github.com/elastic/elasticsearch/commit/4c34840</v>
      </c>
      <c r="H30" s="105" t="str">
        <f>IFERROR(__xludf.DUMMYFUNCTION("""COMPUTED_VALUE"""),"NA")</f>
        <v>NA</v>
      </c>
      <c r="I30" s="105" t="str">
        <f>IFERROR(__xludf.DUMMYFUNCTION("""COMPUTED_VALUE"""),"No information available")</f>
        <v>No information available</v>
      </c>
      <c r="J30" s="105" t="str">
        <f>IFERROR(__xludf.DUMMYFUNCTION("""COMPUTED_VALUE"""),"NA")</f>
        <v>NA</v>
      </c>
      <c r="K30" s="105"/>
      <c r="L30" s="105"/>
      <c r="M30" s="105"/>
      <c r="N30" s="105"/>
      <c r="O30" s="105"/>
      <c r="P30" s="105" t="str">
        <f>IFERROR(__xludf.DUMMYFUNCTION("""COMPUTED_VALUE"""),"NA")</f>
        <v>NA</v>
      </c>
      <c r="Q30" s="105"/>
      <c r="R30" s="105" t="str">
        <f>IFERROR(__xludf.DUMMYFUNCTION("""COMPUTED_VALUE"""),"No, however, check in the comments something like dup #ID or duplicate #ID")</f>
        <v>No, however, check in the comments something like dup #ID or duplicate #ID</v>
      </c>
      <c r="S30" s="105"/>
      <c r="T30" s="105" t="str">
        <f>IFERROR(__xludf.DUMMYFUNCTION("""COMPUTED_VALUE"""),"None identified. However, double check yourself")</f>
        <v>None identified. However, double check yourself</v>
      </c>
      <c r="U30" s="105"/>
      <c r="V30" s="105"/>
      <c r="W30" s="54" t="str">
        <f>IFERROR(__xludf.DUMMYFUNCTION("""COMPUTED_VALUE"""),"Elastic Search")</f>
        <v>Elastic Search</v>
      </c>
      <c r="X30" s="54" t="str">
        <f>IFERROR(__xludf.DUMMYFUNCTION("""COMPUTED_VALUE"""),"Not identified. However, it can be googled with the bug ID")</f>
        <v>Not identified. However, it can be googled with the bug ID</v>
      </c>
      <c r="Y30" s="54" t="str">
        <f>IFERROR(__xludf.DUMMYFUNCTION("""COMPUTED_VALUE"""),"modules/elasticsearch/src/main/java/org/elasticsearch/index/mapper/xcontent/DynamicTemplate.java ")</f>
        <v>modules/elasticsearch/src/main/java/org/elasticsearch/index/mapper/xcontent/DynamicTemplate.java </v>
      </c>
      <c r="Z30" s="54" t="str">
        <f>IFERROR(__xludf.DUMMYFUNCTION("""COMPUTED_VALUE"""),"/xcontent/DynamicTemplate.java")</f>
        <v>/xcontent/DynamicTemplate.java</v>
      </c>
      <c r="AA30" s="54">
        <f>IFERROR(__xludf.DUMMYFUNCTION("""COMPUTED_VALUE"""),0.0)</f>
        <v>0</v>
      </c>
      <c r="AB30" s="54" t="str">
        <f>IFERROR(__xludf.DUMMYFUNCTION("""COMPUTED_VALUE"""),"Note29")</f>
        <v>Note29</v>
      </c>
      <c r="AC30" s="54" t="str">
        <f t="shared" si="1"/>
        <v>Elastic Search 764</v>
      </c>
    </row>
    <row r="31">
      <c r="A31" s="105" t="str">
        <f>IFERROR(__xludf.DUMMYFUNCTION("""COMPUTED_VALUE"""),"Elastic Search 7686")</f>
        <v>Elastic Search 7686</v>
      </c>
      <c r="B31" s="105">
        <f>IFERROR(__xludf.DUMMYFUNCTION("""COMPUTED_VALUE"""),7686.0)</f>
        <v>7686</v>
      </c>
      <c r="C31" s="178" t="str">
        <f>IFERROR(__xludf.DUMMYFUNCTION("""COMPUTED_VALUE"""),"https://github.com/elastic/elasticsearch/issues/7686")</f>
        <v>https://github.com/elastic/elasticsearch/issues/7686</v>
      </c>
      <c r="D31" s="179" t="str">
        <f>IFERROR(__xludf.DUMMYFUNCTION("""COMPUTED_VALUE"""),"9c8beb8")</f>
        <v>9c8beb8</v>
      </c>
      <c r="E31" s="178" t="str">
        <f>IFERROR(__xludf.DUMMYFUNCTION("""COMPUTED_VALUE"""),"https://github.com/elastic/elasticsearch/commit/9c8beb8")</f>
        <v>https://github.com/elastic/elasticsearch/commit/9c8beb8</v>
      </c>
      <c r="F31" s="105" t="str">
        <f>IFERROR(__xludf.DUMMYFUNCTION("""COMPUTED_VALUE"""),"c3f3c26")</f>
        <v>c3f3c26</v>
      </c>
      <c r="G31" s="178" t="str">
        <f>IFERROR(__xludf.DUMMYFUNCTION("""COMPUTED_VALUE"""),"https://github.com/elastic/elasticsearch/commit/c3f3c26")</f>
        <v>https://github.com/elastic/elasticsearch/commit/c3f3c26</v>
      </c>
      <c r="H31" s="105" t="str">
        <f>IFERROR(__xludf.DUMMYFUNCTION("""COMPUTED_VALUE"""),"NA")</f>
        <v>NA</v>
      </c>
      <c r="I31" s="105" t="str">
        <f>IFERROR(__xludf.DUMMYFUNCTION("""COMPUTED_VALUE"""),"No information available")</f>
        <v>No information available</v>
      </c>
      <c r="J31" s="105">
        <f>IFERROR(__xludf.DUMMYFUNCTION("""COMPUTED_VALUE"""),865.0)</f>
        <v>865</v>
      </c>
      <c r="K31" s="178" t="str">
        <f>IFERROR(__xludf.DUMMYFUNCTION("""COMPUTED_VALUE"""),"https://github.com/elastic/elasticsearch/issues/865")</f>
        <v>https://github.com/elastic/elasticsearch/issues/865</v>
      </c>
      <c r="L31" s="105"/>
      <c r="M31" s="105"/>
      <c r="N31" s="105"/>
      <c r="O31" s="105"/>
      <c r="P31" s="105">
        <f>IFERROR(__xludf.DUMMYFUNCTION("""COMPUTED_VALUE"""),865.0)</f>
        <v>865</v>
      </c>
      <c r="Q31" s="178" t="str">
        <f>IFERROR(__xludf.DUMMYFUNCTION("""COMPUTED_VALUE"""),"https://github.com/elastic/elasticsearch/issues/865")</f>
        <v>https://github.com/elastic/elasticsearch/issues/865</v>
      </c>
      <c r="R31" s="105" t="str">
        <f>IFERROR(__xludf.DUMMYFUNCTION("""COMPUTED_VALUE"""),"No, however, check in the comments something like dup #ID or duplicate #ID")</f>
        <v>No, however, check in the comments something like dup #ID or duplicate #ID</v>
      </c>
      <c r="S31" s="105"/>
      <c r="T31" s="105" t="str">
        <f>IFERROR(__xludf.DUMMYFUNCTION("""COMPUTED_VALUE"""),"None identified. However, double check yourself")</f>
        <v>None identified. However, double check yourself</v>
      </c>
      <c r="U31" s="105"/>
      <c r="V31" s="105"/>
      <c r="W31" s="54" t="str">
        <f>IFERROR(__xludf.DUMMYFUNCTION("""COMPUTED_VALUE"""),"Elastic Search")</f>
        <v>Elastic Search</v>
      </c>
      <c r="X31" s="54" t="str">
        <f>IFERROR(__xludf.DUMMYFUNCTION("""COMPUTED_VALUE"""),"Not identified. However, it can be googled with the bug ID")</f>
        <v>Not identified. However, it can be googled with the bug ID</v>
      </c>
      <c r="Y31" s="54" t="str">
        <f>IFERROR(__xludf.DUMMYFUNCTION("""COMPUTED_VALUE"""),"src/main/java/org/elasticsearch/index/query/IdsQueryParser.java")</f>
        <v>src/main/java/org/elasticsearch/index/query/IdsQueryParser.java</v>
      </c>
      <c r="Z31" s="54" t="str">
        <f>IFERROR(__xludf.DUMMYFUNCTION("""COMPUTED_VALUE"""),"/query/IdsQueryParser.java")</f>
        <v>/query/IdsQueryParser.java</v>
      </c>
      <c r="AA31" s="54">
        <f>IFERROR(__xludf.DUMMYFUNCTION("""COMPUTED_VALUE"""),0.0)</f>
        <v>0</v>
      </c>
      <c r="AB31" s="54" t="str">
        <f>IFERROR(__xludf.DUMMYFUNCTION("""COMPUTED_VALUE"""),"Note30")</f>
        <v>Note30</v>
      </c>
      <c r="AC31" s="54" t="str">
        <f t="shared" si="1"/>
        <v>Elastic Search 7686</v>
      </c>
    </row>
    <row r="32">
      <c r="A32" s="105" t="str">
        <f>IFERROR(__xludf.DUMMYFUNCTION("""COMPUTED_VALUE"""),"Elastic Search 8125")</f>
        <v>Elastic Search 8125</v>
      </c>
      <c r="B32" s="105">
        <f>IFERROR(__xludf.DUMMYFUNCTION("""COMPUTED_VALUE"""),8125.0)</f>
        <v>8125</v>
      </c>
      <c r="C32" s="178" t="str">
        <f>IFERROR(__xludf.DUMMYFUNCTION("""COMPUTED_VALUE"""),"https://github.com/elastic/elasticsearch/issues/8125")</f>
        <v>https://github.com/elastic/elasticsearch/issues/8125</v>
      </c>
      <c r="D32" s="179" t="str">
        <f>IFERROR(__xludf.DUMMYFUNCTION("""COMPUTED_VALUE"""),"d12ae19")</f>
        <v>d12ae19</v>
      </c>
      <c r="E32" s="178" t="str">
        <f>IFERROR(__xludf.DUMMYFUNCTION("""COMPUTED_VALUE"""),"https://github.com/elastic/elasticsearch/commit/d12ae19")</f>
        <v>https://github.com/elastic/elasticsearch/commit/d12ae19</v>
      </c>
      <c r="F32" s="105" t="str">
        <f>IFERROR(__xludf.DUMMYFUNCTION("""COMPUTED_VALUE"""),"61c21f9")</f>
        <v>61c21f9</v>
      </c>
      <c r="G32" s="178" t="str">
        <f>IFERROR(__xludf.DUMMYFUNCTION("""COMPUTED_VALUE"""),"https://github.com/elastic/elasticsearch/commit/61c21f9")</f>
        <v>https://github.com/elastic/elasticsearch/commit/61c21f9</v>
      </c>
      <c r="H32" s="105">
        <f>IFERROR(__xludf.DUMMYFUNCTION("""COMPUTED_VALUE"""),9005.0)</f>
        <v>9005</v>
      </c>
      <c r="I32" s="178" t="str">
        <f>IFERROR(__xludf.DUMMYFUNCTION("""COMPUTED_VALUE"""),"https://github.com/elastic/elasticsearch/pull/9005")</f>
        <v>https://github.com/elastic/elasticsearch/pull/9005</v>
      </c>
      <c r="J32" s="105">
        <f>IFERROR(__xludf.DUMMYFUNCTION("""COMPUTED_VALUE"""),6410.0)</f>
        <v>6410</v>
      </c>
      <c r="K32" s="178" t="str">
        <f>IFERROR(__xludf.DUMMYFUNCTION("""COMPUTED_VALUE"""),"https://github.com/elastic/elasticsearch/issues/6410")</f>
        <v>https://github.com/elastic/elasticsearch/issues/6410</v>
      </c>
      <c r="L32" s="105"/>
      <c r="M32" s="105"/>
      <c r="N32" s="105"/>
      <c r="O32" s="105"/>
      <c r="P32" s="105">
        <f>IFERROR(__xludf.DUMMYFUNCTION("""COMPUTED_VALUE"""),6410.0)</f>
        <v>6410</v>
      </c>
      <c r="Q32" s="178" t="str">
        <f>IFERROR(__xludf.DUMMYFUNCTION("""COMPUTED_VALUE"""),"https://github.com/elastic/elasticsearch/issues/6410")</f>
        <v>https://github.com/elastic/elasticsearch/issues/6410</v>
      </c>
      <c r="R32" s="105" t="str">
        <f>IFERROR(__xludf.DUMMYFUNCTION("""COMPUTED_VALUE"""),"No, however, check in the comments something like dup #ID or duplicate #ID")</f>
        <v>No, however, check in the comments something like dup #ID or duplicate #ID</v>
      </c>
      <c r="S32" s="105"/>
      <c r="T32" s="105" t="str">
        <f>IFERROR(__xludf.DUMMYFUNCTION("""COMPUTED_VALUE"""),"None identified. However, double check yourself")</f>
        <v>None identified. However, double check yourself</v>
      </c>
      <c r="U32" s="105"/>
      <c r="V32" s="105"/>
      <c r="W32" s="54" t="str">
        <f>IFERROR(__xludf.DUMMYFUNCTION("""COMPUTED_VALUE"""),"Elastic Search")</f>
        <v>Elastic Search</v>
      </c>
      <c r="X32" s="54" t="str">
        <f>IFERROR(__xludf.DUMMYFUNCTION("""COMPUTED_VALUE"""),"Not identified. However, it can be googled with the bug ID")</f>
        <v>Not identified. However, it can be googled with the bug ID</v>
      </c>
      <c r="Y32" s="54" t="str">
        <f>IFERROR(__xludf.DUMMYFUNCTION("""COMPUTED_VALUE"""),"src/main/java/org/elasticsearch/action/bulk/TransportBulkAction.java")</f>
        <v>src/main/java/org/elasticsearch/action/bulk/TransportBulkAction.java</v>
      </c>
      <c r="Z32" s="54" t="str">
        <f>IFERROR(__xludf.DUMMYFUNCTION("""COMPUTED_VALUE"""),"/bulk/TransportBulkAction.java")</f>
        <v>/bulk/TransportBulkAction.java</v>
      </c>
      <c r="AA32" s="54">
        <f>IFERROR(__xludf.DUMMYFUNCTION("""COMPUTED_VALUE"""),0.0)</f>
        <v>0</v>
      </c>
      <c r="AB32" s="54" t="str">
        <f>IFERROR(__xludf.DUMMYFUNCTION("""COMPUTED_VALUE"""),"Note31")</f>
        <v>Note31</v>
      </c>
      <c r="AC32" s="54" t="str">
        <f t="shared" si="1"/>
        <v>Elastic Search 8125</v>
      </c>
    </row>
    <row r="33">
      <c r="A33" s="105" t="str">
        <f>IFERROR(__xludf.DUMMYFUNCTION("""COMPUTED_VALUE"""),"Elastic Search 8438")</f>
        <v>Elastic Search 8438</v>
      </c>
      <c r="B33" s="105">
        <f>IFERROR(__xludf.DUMMYFUNCTION("""COMPUTED_VALUE"""),8438.0)</f>
        <v>8438</v>
      </c>
      <c r="C33" s="178" t="str">
        <f>IFERROR(__xludf.DUMMYFUNCTION("""COMPUTED_VALUE"""),"https://github.com/elastic/elasticsearch/issues/8438")</f>
        <v>https://github.com/elastic/elasticsearch/issues/8438</v>
      </c>
      <c r="D33" s="179" t="str">
        <f>IFERROR(__xludf.DUMMYFUNCTION("""COMPUTED_VALUE"""),"0c94314")</f>
        <v>0c94314</v>
      </c>
      <c r="E33" s="178" t="str">
        <f>IFERROR(__xludf.DUMMYFUNCTION("""COMPUTED_VALUE"""),"https://github.com/elastic/elasticsearch/commit/0c94314")</f>
        <v>https://github.com/elastic/elasticsearch/commit/0c94314</v>
      </c>
      <c r="F33" s="105" t="str">
        <f>IFERROR(__xludf.DUMMYFUNCTION("""COMPUTED_VALUE"""),"3c9c9f33")</f>
        <v>3c9c9f33</v>
      </c>
      <c r="G33" s="178" t="str">
        <f>IFERROR(__xludf.DUMMYFUNCTION("""COMPUTED_VALUE"""),"https://github.com/elastic/elasticsearch/commit/3c9c9f33")</f>
        <v>https://github.com/elastic/elasticsearch/commit/3c9c9f33</v>
      </c>
      <c r="H33" s="105">
        <f>IFERROR(__xludf.DUMMYFUNCTION("""COMPUTED_VALUE"""),6974.0)</f>
        <v>6974</v>
      </c>
      <c r="I33" s="178" t="str">
        <f>IFERROR(__xludf.DUMMYFUNCTION("""COMPUTED_VALUE"""),"https://github.com/elastic/elasticsearch/pull/6974")</f>
        <v>https://github.com/elastic/elasticsearch/pull/6974</v>
      </c>
      <c r="J33" s="105">
        <f>IFERROR(__xludf.DUMMYFUNCTION("""COMPUTED_VALUE"""),6118.0)</f>
        <v>6118</v>
      </c>
      <c r="K33" s="178" t="str">
        <f>IFERROR(__xludf.DUMMYFUNCTION("""COMPUTED_VALUE"""),"https://github.com/elastic/elasticsearch/issues/6118")</f>
        <v>https://github.com/elastic/elasticsearch/issues/6118</v>
      </c>
      <c r="L33" s="105"/>
      <c r="M33" s="105"/>
      <c r="N33" s="105"/>
      <c r="O33" s="105"/>
      <c r="P33" s="105">
        <f>IFERROR(__xludf.DUMMYFUNCTION("""COMPUTED_VALUE"""),6118.0)</f>
        <v>6118</v>
      </c>
      <c r="Q33" s="178" t="str">
        <f>IFERROR(__xludf.DUMMYFUNCTION("""COMPUTED_VALUE"""),"https://github.com/elastic/elasticsearch/issues/6118")</f>
        <v>https://github.com/elastic/elasticsearch/issues/6118</v>
      </c>
      <c r="R33" s="105" t="str">
        <f>IFERROR(__xludf.DUMMYFUNCTION("""COMPUTED_VALUE"""),"No, however, check in the comments something like dup #ID or duplicate #ID")</f>
        <v>No, however, check in the comments something like dup #ID or duplicate #ID</v>
      </c>
      <c r="S33" s="105"/>
      <c r="T33" s="105" t="str">
        <f>IFERROR(__xludf.DUMMYFUNCTION("""COMPUTED_VALUE"""),"None identified. However, double check yourself")</f>
        <v>None identified. However, double check yourself</v>
      </c>
      <c r="U33" s="105"/>
      <c r="V33" s="105"/>
      <c r="W33" s="54" t="str">
        <f>IFERROR(__xludf.DUMMYFUNCTION("""COMPUTED_VALUE"""),"Elastic Search")</f>
        <v>Elastic Search</v>
      </c>
      <c r="X33" s="54" t="str">
        <f>IFERROR(__xludf.DUMMYFUNCTION("""COMPUTED_VALUE"""),"Not identified. However, it can be googled with the bug ID")</f>
        <v>Not identified. However, it can be googled with the bug ID</v>
      </c>
      <c r="Y33" s="54" t="str">
        <f>IFERROR(__xludf.DUMMYFUNCTION("""COMPUTED_VALUE"""),"src/main/java/org/elasticsearch/search/aggregations/bucket/filter/FilterParser.java ,src/main/java/org/elasticsearch/search/aggregations/bucket/filters/FiltersParser.java 
")</f>
        <v>src/main/java/org/elasticsearch/search/aggregations/bucket/filter/FilterParser.java ,src/main/java/org/elasticsearch/search/aggregations/bucket/filters/FiltersParser.java 
</v>
      </c>
      <c r="Z33" s="54" t="str">
        <f>IFERROR(__xludf.DUMMYFUNCTION("""COMPUTED_VALUE"""),"/filter/FilterParser.java
/filters/FiltersParser.java")</f>
        <v>/filter/FilterParser.java
/filters/FiltersParser.java</v>
      </c>
      <c r="AA33" s="54">
        <f>IFERROR(__xludf.DUMMYFUNCTION("""COMPUTED_VALUE"""),1.0)</f>
        <v>1</v>
      </c>
      <c r="AB33" s="54" t="str">
        <f>IFERROR(__xludf.DUMMYFUNCTION("""COMPUTED_VALUE"""),"Note32")</f>
        <v>Note32</v>
      </c>
      <c r="AC33" s="54" t="str">
        <f t="shared" si="1"/>
        <v>Elastic Search 8438</v>
      </c>
    </row>
    <row r="34">
      <c r="A34" s="105" t="str">
        <f>IFERROR(__xludf.DUMMYFUNCTION("""COMPUTED_VALUE"""),"Elastic Search 8507")</f>
        <v>Elastic Search 8507</v>
      </c>
      <c r="B34" s="105">
        <f>IFERROR(__xludf.DUMMYFUNCTION("""COMPUTED_VALUE"""),8507.0)</f>
        <v>8507</v>
      </c>
      <c r="C34" s="178" t="str">
        <f>IFERROR(__xludf.DUMMYFUNCTION("""COMPUTED_VALUE"""),"https://github.com/elastic/elasticsearch/issues/8507")</f>
        <v>https://github.com/elastic/elasticsearch/issues/8507</v>
      </c>
      <c r="D34" s="179" t="str">
        <f>IFERROR(__xludf.DUMMYFUNCTION("""COMPUTED_VALUE"""),"a94fb92")</f>
        <v>a94fb92</v>
      </c>
      <c r="E34" s="178" t="str">
        <f>IFERROR(__xludf.DUMMYFUNCTION("""COMPUTED_VALUE"""),"https://github.com/elastic/elasticsearch/commit/a94fb92")</f>
        <v>https://github.com/elastic/elasticsearch/commit/a94fb92</v>
      </c>
      <c r="F34" s="105" t="str">
        <f>IFERROR(__xludf.DUMMYFUNCTION("""COMPUTED_VALUE"""),"3c142e5")</f>
        <v>3c142e5</v>
      </c>
      <c r="G34" s="178" t="str">
        <f>IFERROR(__xludf.DUMMYFUNCTION("""COMPUTED_VALUE"""),"https://github.com/elastic/elasticsearch/commit/3c142e5")</f>
        <v>https://github.com/elastic/elasticsearch/commit/3c142e5</v>
      </c>
      <c r="H34" s="105"/>
      <c r="I34" s="105" t="str">
        <f>IFERROR(__xludf.DUMMYFUNCTION("""COMPUTED_VALUE"""),"II is PR (6908)")</f>
        <v>II is PR (6908)</v>
      </c>
      <c r="J34" s="105">
        <f>IFERROR(__xludf.DUMMYFUNCTION("""COMPUTED_VALUE"""),6908.0)</f>
        <v>6908</v>
      </c>
      <c r="K34" s="178" t="str">
        <f>IFERROR(__xludf.DUMMYFUNCTION("""COMPUTED_VALUE"""),"https://github.com/elastic/elasticsearch/pull/6908")</f>
        <v>https://github.com/elastic/elasticsearch/pull/6908</v>
      </c>
      <c r="L34" s="105"/>
      <c r="M34" s="105"/>
      <c r="N34" s="105"/>
      <c r="O34" s="105"/>
      <c r="P34" s="105">
        <f>IFERROR(__xludf.DUMMYFUNCTION("""COMPUTED_VALUE"""),6908.0)</f>
        <v>6908</v>
      </c>
      <c r="Q34" s="178" t="str">
        <f>IFERROR(__xludf.DUMMYFUNCTION("""COMPUTED_VALUE"""),"https://github.com/elastic/elasticsearch/pull/6908")</f>
        <v>https://github.com/elastic/elasticsearch/pull/6908</v>
      </c>
      <c r="R34" s="105" t="str">
        <f>IFERROR(__xludf.DUMMYFUNCTION("""COMPUTED_VALUE"""),"No, however, check in the comments something like dup #ID or duplicate #ID")</f>
        <v>No, however, check in the comments something like dup #ID or duplicate #ID</v>
      </c>
      <c r="S34" s="105"/>
      <c r="T34" s="105" t="str">
        <f>IFERROR(__xludf.DUMMYFUNCTION("""COMPUTED_VALUE"""),"None identified. However, double check yourself")</f>
        <v>None identified. However, double check yourself</v>
      </c>
      <c r="U34" s="105"/>
      <c r="V34" s="105"/>
      <c r="W34" s="54" t="str">
        <f>IFERROR(__xludf.DUMMYFUNCTION("""COMPUTED_VALUE"""),"Elastic Search")</f>
        <v>Elastic Search</v>
      </c>
      <c r="X34" s="54" t="str">
        <f>IFERROR(__xludf.DUMMYFUNCTION("""COMPUTED_VALUE"""),"Not identified. However, it can be googled with the bug ID")</f>
        <v>Not identified. However, it can be googled with the bug ID</v>
      </c>
      <c r="Y34" s="54" t="str">
        <f>IFERROR(__xludf.DUMMYFUNCTION("""COMPUTED_VALUE"""),"src/main/java/org/elasticsearch/index/fielddata/SortingNumericDocValues.java ,src/main/java/org/elasticsearch/search/aggregations/bucket/geogrid/GeoHashGridParser.java ,src/main/java/org/elasticsearch/search/aggregations/support/ValuesSource.java ,src/mai"&amp;"n/java/org/elasticsearch/search/aggregations/support/values/ScriptLongValues.java 
")</f>
        <v>src/main/java/org/elasticsearch/index/fielddata/SortingNumericDocValues.java ,src/main/java/org/elasticsearch/search/aggregations/bucket/geogrid/GeoHashGridParser.java ,src/main/java/org/elasticsearch/search/aggregations/support/ValuesSource.java ,src/main/java/org/elasticsearch/search/aggregations/support/values/ScriptLongValues.java 
</v>
      </c>
      <c r="Z34" s="54" t="str">
        <f>IFERROR(__xludf.DUMMYFUNCTION("""COMPUTED_VALUE"""),"/fielddata/SortingNumericDocValues.java
/geogrid/GeoHashGridParser.java
/support/ValuesSource.java
/values/ScriptLongValues.java")</f>
        <v>/fielddata/SortingNumericDocValues.java
/geogrid/GeoHashGridParser.java
/support/ValuesSource.java
/values/ScriptLongValues.java</v>
      </c>
      <c r="AA34" s="54">
        <f>IFERROR(__xludf.DUMMYFUNCTION("""COMPUTED_VALUE"""),3.0)</f>
        <v>3</v>
      </c>
      <c r="AB34" s="54" t="str">
        <f>IFERROR(__xludf.DUMMYFUNCTION("""COMPUTED_VALUE"""),"This BIC is the same for Bug 8507 and 8580. If you have already done one, copy all the values to the other bug, no dot label two times")</f>
        <v>This BIC is the same for Bug 8507 and 8580. If you have already done one, copy all the values to the other bug, no dot label two times</v>
      </c>
      <c r="AC34" s="54" t="str">
        <f t="shared" si="1"/>
        <v>Elastic Search 8507</v>
      </c>
    </row>
    <row r="35">
      <c r="A35" s="105" t="str">
        <f>IFERROR(__xludf.DUMMYFUNCTION("""COMPUTED_VALUE"""),"Elastic Search 8526")</f>
        <v>Elastic Search 8526</v>
      </c>
      <c r="B35" s="105">
        <f>IFERROR(__xludf.DUMMYFUNCTION("""COMPUTED_VALUE"""),8526.0)</f>
        <v>8526</v>
      </c>
      <c r="C35" s="178" t="str">
        <f>IFERROR(__xludf.DUMMYFUNCTION("""COMPUTED_VALUE"""),"https://github.com/elastic/elasticsearch/issues/8526")</f>
        <v>https://github.com/elastic/elasticsearch/issues/8526</v>
      </c>
      <c r="D35" s="179" t="str">
        <f>IFERROR(__xludf.DUMMYFUNCTION("""COMPUTED_VALUE"""),"15db5b9")</f>
        <v>15db5b9</v>
      </c>
      <c r="E35" s="178" t="str">
        <f>IFERROR(__xludf.DUMMYFUNCTION("""COMPUTED_VALUE"""),"https://github.com/elastic/elasticsearch/commit/15db5b9")</f>
        <v>https://github.com/elastic/elasticsearch/commit/15db5b9</v>
      </c>
      <c r="F35" s="105" t="str">
        <f>IFERROR(__xludf.DUMMYFUNCTION("""COMPUTED_VALUE"""),"5aa0a8438f")</f>
        <v>5aa0a8438f</v>
      </c>
      <c r="G35" s="178" t="str">
        <f>IFERROR(__xludf.DUMMYFUNCTION("""COMPUTED_VALUE"""),"https://github.com/elastic/elasticsearch/commit/5aa0a8438f")</f>
        <v>https://github.com/elastic/elasticsearch/commit/5aa0a8438f</v>
      </c>
      <c r="H35" s="105" t="str">
        <f>IFERROR(__xludf.DUMMYFUNCTION("""COMPUTED_VALUE"""),"NA")</f>
        <v>NA</v>
      </c>
      <c r="I35" s="105" t="str">
        <f>IFERROR(__xludf.DUMMYFUNCTION("""COMPUTED_VALUE"""),"No information available")</f>
        <v>No information available</v>
      </c>
      <c r="J35" s="105">
        <f>IFERROR(__xludf.DUMMYFUNCTION("""COMPUTED_VALUE"""),2778.0)</f>
        <v>2778</v>
      </c>
      <c r="K35" s="178" t="str">
        <f>IFERROR(__xludf.DUMMYFUNCTION("""COMPUTED_VALUE"""),"https://github.com/elastic/elasticsearch/issues/2778")</f>
        <v>https://github.com/elastic/elasticsearch/issues/2778</v>
      </c>
      <c r="L35" s="105"/>
      <c r="M35" s="105"/>
      <c r="N35" s="105"/>
      <c r="O35" s="105"/>
      <c r="P35" s="105">
        <f>IFERROR(__xludf.DUMMYFUNCTION("""COMPUTED_VALUE"""),2778.0)</f>
        <v>2778</v>
      </c>
      <c r="Q35" s="178" t="str">
        <f>IFERROR(__xludf.DUMMYFUNCTION("""COMPUTED_VALUE"""),"https://github.com/elastic/elasticsearch/issues/2778")</f>
        <v>https://github.com/elastic/elasticsearch/issues/2778</v>
      </c>
      <c r="R35" s="105" t="str">
        <f>IFERROR(__xludf.DUMMYFUNCTION("""COMPUTED_VALUE"""),"No, however, check in the comments something like dup #ID or duplicate #ID")</f>
        <v>No, however, check in the comments something like dup #ID or duplicate #ID</v>
      </c>
      <c r="S35" s="105"/>
      <c r="T35" s="105" t="str">
        <f>IFERROR(__xludf.DUMMYFUNCTION("""COMPUTED_VALUE"""),"None identified. However, double check yourself")</f>
        <v>None identified. However, double check yourself</v>
      </c>
      <c r="U35" s="105"/>
      <c r="V35" s="105"/>
      <c r="W35" s="54" t="str">
        <f>IFERROR(__xludf.DUMMYFUNCTION("""COMPUTED_VALUE"""),"Elastic Search")</f>
        <v>Elastic Search</v>
      </c>
      <c r="X35" s="54" t="str">
        <f>IFERROR(__xludf.DUMMYFUNCTION("""COMPUTED_VALUE"""),"Not identified. However, it can be googled with the bug ID")</f>
        <v>Not identified. However, it can be googled with the bug ID</v>
      </c>
      <c r="Y35" s="54" t="str">
        <f>IFERROR(__xludf.DUMMYFUNCTION("""COMPUTED_VALUE"""),"src/main/java/org/elasticsearch/common/geo/GeoHashUtils.java")</f>
        <v>src/main/java/org/elasticsearch/common/geo/GeoHashUtils.java</v>
      </c>
      <c r="Z35" s="54" t="str">
        <f>IFERROR(__xludf.DUMMYFUNCTION("""COMPUTED_VALUE"""),"/geo/GeoHashUtils.java")</f>
        <v>/geo/GeoHashUtils.java</v>
      </c>
      <c r="AA35" s="54">
        <f>IFERROR(__xludf.DUMMYFUNCTION("""COMPUTED_VALUE"""),0.0)</f>
        <v>0</v>
      </c>
      <c r="AB35" s="54" t="str">
        <f>IFERROR(__xludf.DUMMYFUNCTION("""COMPUTED_VALUE"""),"Note34")</f>
        <v>Note34</v>
      </c>
      <c r="AC35" s="54" t="str">
        <f t="shared" si="1"/>
        <v>Elastic Search 8526</v>
      </c>
    </row>
    <row r="36">
      <c r="A36" s="105" t="str">
        <f>IFERROR(__xludf.DUMMYFUNCTION("""COMPUTED_VALUE"""),"Elastic Search 8580")</f>
        <v>Elastic Search 8580</v>
      </c>
      <c r="B36" s="105">
        <f>IFERROR(__xludf.DUMMYFUNCTION("""COMPUTED_VALUE"""),8580.0)</f>
        <v>8580</v>
      </c>
      <c r="C36" s="178" t="str">
        <f>IFERROR(__xludf.DUMMYFUNCTION("""COMPUTED_VALUE"""),"https://github.com/elastic/elasticsearch/issues/8580")</f>
        <v>https://github.com/elastic/elasticsearch/issues/8580</v>
      </c>
      <c r="D36" s="179" t="str">
        <f>IFERROR(__xludf.DUMMYFUNCTION("""COMPUTED_VALUE"""),"d60500f")</f>
        <v>d60500f</v>
      </c>
      <c r="E36" s="178" t="str">
        <f>IFERROR(__xludf.DUMMYFUNCTION("""COMPUTED_VALUE"""),"https://github.com/elastic/elasticsearch/commit/d60500f")</f>
        <v>https://github.com/elastic/elasticsearch/commit/d60500f</v>
      </c>
      <c r="F36" s="105" t="str">
        <f>IFERROR(__xludf.DUMMYFUNCTION("""COMPUTED_VALUE"""),"3c142e5")</f>
        <v>3c142e5</v>
      </c>
      <c r="G36" s="178" t="str">
        <f>IFERROR(__xludf.DUMMYFUNCTION("""COMPUTED_VALUE"""),"https://github.com/elastic/elasticsearch/commit/3c142e5")</f>
        <v>https://github.com/elastic/elasticsearch/commit/3c142e5</v>
      </c>
      <c r="H36" s="105"/>
      <c r="I36" s="105" t="str">
        <f>IFERROR(__xludf.DUMMYFUNCTION("""COMPUTED_VALUE"""),"II is PR (6908)")</f>
        <v>II is PR (6908)</v>
      </c>
      <c r="J36" s="105">
        <f>IFERROR(__xludf.DUMMYFUNCTION("""COMPUTED_VALUE"""),6908.0)</f>
        <v>6908</v>
      </c>
      <c r="K36" s="178" t="str">
        <f>IFERROR(__xludf.DUMMYFUNCTION("""COMPUTED_VALUE"""),"https://github.com/elastic/elasticsearch/pull/6908")</f>
        <v>https://github.com/elastic/elasticsearch/pull/6908</v>
      </c>
      <c r="L36" s="105"/>
      <c r="M36" s="105"/>
      <c r="N36" s="105"/>
      <c r="O36" s="105"/>
      <c r="P36" s="105">
        <f>IFERROR(__xludf.DUMMYFUNCTION("""COMPUTED_VALUE"""),6908.0)</f>
        <v>6908</v>
      </c>
      <c r="Q36" s="178" t="str">
        <f>IFERROR(__xludf.DUMMYFUNCTION("""COMPUTED_VALUE"""),"https://github.com/elastic/elasticsearch/pull/6908")</f>
        <v>https://github.com/elastic/elasticsearch/pull/6908</v>
      </c>
      <c r="R36" s="105" t="str">
        <f>IFERROR(__xludf.DUMMYFUNCTION("""COMPUTED_VALUE"""),"No, however, check in the comments something like dup #ID or duplicate #ID")</f>
        <v>No, however, check in the comments something like dup #ID or duplicate #ID</v>
      </c>
      <c r="S36" s="105"/>
      <c r="T36" s="105" t="str">
        <f>IFERROR(__xludf.DUMMYFUNCTION("""COMPUTED_VALUE"""),"None identified. However, double check yourself")</f>
        <v>None identified. However, double check yourself</v>
      </c>
      <c r="U36" s="105"/>
      <c r="V36" s="105"/>
      <c r="W36" s="54" t="str">
        <f>IFERROR(__xludf.DUMMYFUNCTION("""COMPUTED_VALUE"""),"Elastic Search")</f>
        <v>Elastic Search</v>
      </c>
      <c r="X36" s="54" t="str">
        <f>IFERROR(__xludf.DUMMYFUNCTION("""COMPUTED_VALUE"""),"Not identified. However, it can be googled with the bug ID")</f>
        <v>Not identified. However, it can be googled with the bug ID</v>
      </c>
      <c r="Y36" s="54" t="str">
        <f>IFERROR(__xludf.DUMMYFUNCTION("""COMPUTED_VALUE"""),"src/main/java/org/elasticsearch/index/fielddata/AbstractRandomAccessOrds.java")</f>
        <v>src/main/java/org/elasticsearch/index/fielddata/AbstractRandomAccessOrds.java</v>
      </c>
      <c r="Z36" s="54" t="str">
        <f>IFERROR(__xludf.DUMMYFUNCTION("""COMPUTED_VALUE"""),"/index/fielddata/AbstractRandomAccessOrds.java")</f>
        <v>/index/fielddata/AbstractRandomAccessOrds.java</v>
      </c>
      <c r="AA36" s="54">
        <f>IFERROR(__xludf.DUMMYFUNCTION("""COMPUTED_VALUE"""),0.0)</f>
        <v>0</v>
      </c>
      <c r="AB36" s="54" t="str">
        <f>IFERROR(__xludf.DUMMYFUNCTION("""COMPUTED_VALUE"""),"This BIC is the same for Bug 8507 and 8580. If you have already done one, copy all the values to the other bug, no dot label two times")</f>
        <v>This BIC is the same for Bug 8507 and 8580. If you have already done one, copy all the values to the other bug, no dot label two times</v>
      </c>
      <c r="AC36" s="54" t="str">
        <f t="shared" si="1"/>
        <v>Elastic Search 8580</v>
      </c>
    </row>
    <row r="37">
      <c r="A37" s="105" t="str">
        <f>IFERROR(__xludf.DUMMYFUNCTION("""COMPUTED_VALUE"""),"Elastic Search 864")</f>
        <v>Elastic Search 864</v>
      </c>
      <c r="B37" s="105">
        <f>IFERROR(__xludf.DUMMYFUNCTION("""COMPUTED_VALUE"""),864.0)</f>
        <v>864</v>
      </c>
      <c r="C37" s="178" t="str">
        <f>IFERROR(__xludf.DUMMYFUNCTION("""COMPUTED_VALUE"""),"https://github.com/elastic/elasticsearch/issues/864")</f>
        <v>https://github.com/elastic/elasticsearch/issues/864</v>
      </c>
      <c r="D37" s="179" t="str">
        <f>IFERROR(__xludf.DUMMYFUNCTION("""COMPUTED_VALUE"""),"ffc8c3b68a775a61924ca0cd01dc8b9b97a96d09")</f>
        <v>ffc8c3b68a775a61924ca0cd01dc8b9b97a96d09</v>
      </c>
      <c r="E37" s="178" t="str">
        <f>IFERROR(__xludf.DUMMYFUNCTION("""COMPUTED_VALUE"""),"https://github.com/elastic/elasticsearch/commit/ffc8c3b68a775a61924ca0cd01dc8b9b97a96d09")</f>
        <v>https://github.com/elastic/elasticsearch/commit/ffc8c3b68a775a61924ca0cd01dc8b9b97a96d09</v>
      </c>
      <c r="F37" s="105" t="str">
        <f>IFERROR(__xludf.DUMMYFUNCTION("""COMPUTED_VALUE"""),"8f32467")</f>
        <v>8f32467</v>
      </c>
      <c r="G37" s="178" t="str">
        <f>IFERROR(__xludf.DUMMYFUNCTION("""COMPUTED_VALUE"""),"https://github.com/elastic/elasticsearch/commit/8f32467")</f>
        <v>https://github.com/elastic/elasticsearch/commit/8f32467</v>
      </c>
      <c r="H37" s="105" t="str">
        <f>IFERROR(__xludf.DUMMYFUNCTION("""COMPUTED_VALUE"""),"NA")</f>
        <v>NA</v>
      </c>
      <c r="I37" s="105" t="str">
        <f>IFERROR(__xludf.DUMMYFUNCTION("""COMPUTED_VALUE"""),"No information available")</f>
        <v>No information available</v>
      </c>
      <c r="J37" s="105">
        <f>IFERROR(__xludf.DUMMYFUNCTION("""COMPUTED_VALUE"""),88.0)</f>
        <v>88</v>
      </c>
      <c r="K37" s="178" t="str">
        <f>IFERROR(__xludf.DUMMYFUNCTION("""COMPUTED_VALUE"""),"https://github.com/elastic/elasticsearch/issues/88")</f>
        <v>https://github.com/elastic/elasticsearch/issues/88</v>
      </c>
      <c r="L37" s="105"/>
      <c r="M37" s="105"/>
      <c r="N37" s="105"/>
      <c r="O37" s="105"/>
      <c r="P37" s="105">
        <f>IFERROR(__xludf.DUMMYFUNCTION("""COMPUTED_VALUE"""),88.0)</f>
        <v>88</v>
      </c>
      <c r="Q37" s="178" t="str">
        <f>IFERROR(__xludf.DUMMYFUNCTION("""COMPUTED_VALUE"""),"https://github.com/elastic/elasticsearch/issues/88")</f>
        <v>https://github.com/elastic/elasticsearch/issues/88</v>
      </c>
      <c r="R37" s="105" t="str">
        <f>IFERROR(__xludf.DUMMYFUNCTION("""COMPUTED_VALUE"""),"No, however, check in the comments something like dup #ID or duplicate #ID")</f>
        <v>No, however, check in the comments something like dup #ID or duplicate #ID</v>
      </c>
      <c r="S37" s="105"/>
      <c r="T37" s="105" t="str">
        <f>IFERROR(__xludf.DUMMYFUNCTION("""COMPUTED_VALUE"""),"None identified. However, double check yourself")</f>
        <v>None identified. However, double check yourself</v>
      </c>
      <c r="U37" s="105"/>
      <c r="V37" s="105"/>
      <c r="W37" s="54" t="str">
        <f>IFERROR(__xludf.DUMMYFUNCTION("""COMPUTED_VALUE"""),"Elastic Search")</f>
        <v>Elastic Search</v>
      </c>
      <c r="X37" s="54" t="str">
        <f>IFERROR(__xludf.DUMMYFUNCTION("""COMPUTED_VALUE"""),"Not identified. However, it can be googled with the bug ID")</f>
        <v>Not identified. However, it can be googled with the bug ID</v>
      </c>
      <c r="Y37" s="54" t="str">
        <f>IFERROR(__xludf.DUMMYFUNCTION("""COMPUTED_VALUE"""),"modules/elasticsearch/src/main/java/org/elasticsearch/ElasticSearchIllegalArgumentException.java, modules/elasticsearch/src/main/java/org/elasticsearch/rest/action/admin/indices/alias/RestIndicesAliasesAction.java")</f>
        <v>modules/elasticsearch/src/main/java/org/elasticsearch/ElasticSearchIllegalArgumentException.java, modules/elasticsearch/src/main/java/org/elasticsearch/rest/action/admin/indices/alias/RestIndicesAliasesAction.java</v>
      </c>
      <c r="Z37" s="54" t="str">
        <f>IFERROR(__xludf.DUMMYFUNCTION("""COMPUTED_VALUE"""),"/ElasticSearchIllegalArgumentException.java
/alias/RestIndicesAliasesAction.java")</f>
        <v>/ElasticSearchIllegalArgumentException.java
/alias/RestIndicesAliasesAction.java</v>
      </c>
      <c r="AA37" s="54">
        <f>IFERROR(__xludf.DUMMYFUNCTION("""COMPUTED_VALUE"""),1.0)</f>
        <v>1</v>
      </c>
      <c r="AB37" s="54" t="str">
        <f>IFERROR(__xludf.DUMMYFUNCTION("""COMPUTED_VALUE"""),"Note36")</f>
        <v>Note36</v>
      </c>
      <c r="AC37" s="54" t="str">
        <f t="shared" si="1"/>
        <v>Elastic Search 864</v>
      </c>
    </row>
    <row r="38">
      <c r="A38" s="105" t="str">
        <f>IFERROR(__xludf.DUMMYFUNCTION("""COMPUTED_VALUE"""),"Elastic Search 8893")</f>
        <v>Elastic Search 8893</v>
      </c>
      <c r="B38" s="105">
        <f>IFERROR(__xludf.DUMMYFUNCTION("""COMPUTED_VALUE"""),8893.0)</f>
        <v>8893</v>
      </c>
      <c r="C38" s="178" t="str">
        <f>IFERROR(__xludf.DUMMYFUNCTION("""COMPUTED_VALUE"""),"https://github.com/elastic/elasticsearch/issues/8893")</f>
        <v>https://github.com/elastic/elasticsearch/issues/8893</v>
      </c>
      <c r="D38" s="179" t="str">
        <f>IFERROR(__xludf.DUMMYFUNCTION("""COMPUTED_VALUE"""),"7d5a15e461eccf82342dfa7aca7700ee30")</f>
        <v>7d5a15e461eccf82342dfa7aca7700ee30</v>
      </c>
      <c r="E38" s="178" t="str">
        <f>IFERROR(__xludf.DUMMYFUNCTION("""COMPUTED_VALUE"""),"https://github.com/elastic/elasticsearch/commit/7d5a15e461eccf82342dfa7aca7700ee30")</f>
        <v>https://github.com/elastic/elasticsearch/commit/7d5a15e461eccf82342dfa7aca7700ee30</v>
      </c>
      <c r="F38" s="105" t="str">
        <f>IFERROR(__xludf.DUMMYFUNCTION("""COMPUTED_VALUE"""),"85eb0ea")</f>
        <v>85eb0ea</v>
      </c>
      <c r="G38" s="178" t="str">
        <f>IFERROR(__xludf.DUMMYFUNCTION("""COMPUTED_VALUE"""),"https://github.com/elastic/elasticsearch/commit/85eb0ea")</f>
        <v>https://github.com/elastic/elasticsearch/commit/85eb0ea</v>
      </c>
      <c r="H38" s="105">
        <f>IFERROR(__xludf.DUMMYFUNCTION("""COMPUTED_VALUE"""),7036.0)</f>
        <v>7036</v>
      </c>
      <c r="I38" s="178" t="str">
        <f>IFERROR(__xludf.DUMMYFUNCTION("""COMPUTED_VALUE"""),"https://github.com/elastic/elasticsearch/pull/7036")</f>
        <v>https://github.com/elastic/elasticsearch/pull/7036</v>
      </c>
      <c r="J38" s="105">
        <f>IFERROR(__xludf.DUMMYFUNCTION("""COMPUTED_VALUE"""),4718.0)</f>
        <v>4718</v>
      </c>
      <c r="K38" s="178" t="str">
        <f>IFERROR(__xludf.DUMMYFUNCTION("""COMPUTED_VALUE"""),"https://github.com/elastic/elasticsearch/issues/4718")</f>
        <v>https://github.com/elastic/elasticsearch/issues/4718</v>
      </c>
      <c r="L38" s="105">
        <f>IFERROR(__xludf.DUMMYFUNCTION("""COMPUTED_VALUE"""),7036.0)</f>
        <v>7036</v>
      </c>
      <c r="M38" s="178" t="str">
        <f>IFERROR(__xludf.DUMMYFUNCTION("""COMPUTED_VALUE"""),"https://github.com/elastic/elasticsearch/pull/7036")</f>
        <v>https://github.com/elastic/elasticsearch/pull/7036</v>
      </c>
      <c r="N38" s="105"/>
      <c r="O38" s="105"/>
      <c r="P38" s="105" t="str">
        <f>IFERROR(__xludf.DUMMYFUNCTION("""COMPUTED_VALUE"""),"4718, 7036")</f>
        <v>4718, 7036</v>
      </c>
      <c r="Q38" s="178" t="str">
        <f>IFERROR(__xludf.DUMMYFUNCTION("""COMPUTED_VALUE"""),"https://github.com/elastic/elasticsearch/issues/4718")</f>
        <v>https://github.com/elastic/elasticsearch/issues/4718</v>
      </c>
      <c r="R38" s="105" t="str">
        <f>IFERROR(__xludf.DUMMYFUNCTION("""COMPUTED_VALUE"""),"No, however, check in the comments something like dup #ID or duplicate #ID")</f>
        <v>No, however, check in the comments something like dup #ID or duplicate #ID</v>
      </c>
      <c r="S38" s="105"/>
      <c r="T38" s="178" t="str">
        <f>IFERROR(__xludf.DUMMYFUNCTION("""COMPUTED_VALUE"""),"https://github.com/elastic/elasticsearch/pull/7036")</f>
        <v>https://github.com/elastic/elasticsearch/pull/7036</v>
      </c>
      <c r="U38" s="105"/>
      <c r="V38" s="105"/>
      <c r="W38" s="54" t="str">
        <f>IFERROR(__xludf.DUMMYFUNCTION("""COMPUTED_VALUE"""),"Elastic Search")</f>
        <v>Elastic Search</v>
      </c>
      <c r="X38" s="54" t="str">
        <f>IFERROR(__xludf.DUMMYFUNCTION("""COMPUTED_VALUE"""),"Not identified. However, it can be googled with the bug ID")</f>
        <v>Not identified. However, it can be googled with the bug ID</v>
      </c>
      <c r="Y38" s="54" t="str">
        <f>IFERROR(__xludf.DUMMYFUNCTION("""COMPUTED_VALUE"""),"src/main/java/org/elasticsearch/index/mapper/core/AbstractFieldMapper.java ,src/main/java/org/elasticsearch/index/mapper/internal/TimestampFieldMapper.java 
")</f>
        <v>src/main/java/org/elasticsearch/index/mapper/core/AbstractFieldMapper.java ,src/main/java/org/elasticsearch/index/mapper/internal/TimestampFieldMapper.java 
</v>
      </c>
      <c r="Z38" s="54" t="str">
        <f>IFERROR(__xludf.DUMMYFUNCTION("""COMPUTED_VALUE"""),"/core/AbstractFieldMapper.java
/internal/TimestampFieldMapper.java")</f>
        <v>/core/AbstractFieldMapper.java
/internal/TimestampFieldMapper.java</v>
      </c>
      <c r="AA38" s="54">
        <f>IFERROR(__xludf.DUMMYFUNCTION("""COMPUTED_VALUE"""),1.0)</f>
        <v>1</v>
      </c>
      <c r="AB38" s="54" t="str">
        <f>IFERROR(__xludf.DUMMYFUNCTION("""COMPUTED_VALUE"""),"Note37")</f>
        <v>Note37</v>
      </c>
      <c r="AC38" s="54" t="str">
        <f t="shared" si="1"/>
        <v>Elastic Search 8893</v>
      </c>
    </row>
    <row r="39">
      <c r="A39" s="105" t="str">
        <f>IFERROR(__xludf.DUMMYFUNCTION("""COMPUTED_VALUE"""),"Elastic Search 9317")</f>
        <v>Elastic Search 9317</v>
      </c>
      <c r="B39" s="105">
        <f>IFERROR(__xludf.DUMMYFUNCTION("""COMPUTED_VALUE"""),9317.0)</f>
        <v>9317</v>
      </c>
      <c r="C39" s="178" t="str">
        <f>IFERROR(__xludf.DUMMYFUNCTION("""COMPUTED_VALUE"""),"https://github.com/elastic/elasticsearch/issues/9317")</f>
        <v>https://github.com/elastic/elasticsearch/issues/9317</v>
      </c>
      <c r="D39" s="179" t="str">
        <f>IFERROR(__xludf.DUMMYFUNCTION("""COMPUTED_VALUE"""),"7ca2ef9b93fc9421e8604")</f>
        <v>7ca2ef9b93fc9421e8604</v>
      </c>
      <c r="E39" s="178" t="str">
        <f>IFERROR(__xludf.DUMMYFUNCTION("""COMPUTED_VALUE"""),"https://github.com/elastic/elasticsearch/commit/7ca2ef9b93fc9421e8604")</f>
        <v>https://github.com/elastic/elasticsearch/commit/7ca2ef9b93fc9421e8604</v>
      </c>
      <c r="F39" s="105" t="str">
        <f>IFERROR(__xludf.DUMMYFUNCTION("""COMPUTED_VALUE"""),"5714b0a")</f>
        <v>5714b0a</v>
      </c>
      <c r="G39" s="178" t="str">
        <f>IFERROR(__xludf.DUMMYFUNCTION("""COMPUTED_VALUE"""),"https://github.com/elastic/elasticsearch/commit/5714b0a")</f>
        <v>https://github.com/elastic/elasticsearch/commit/5714b0a</v>
      </c>
      <c r="H39" s="105"/>
      <c r="I39" s="105"/>
      <c r="J39" s="105">
        <f>IFERROR(__xludf.DUMMYFUNCTION("""COMPUTED_VALUE"""),8454.0)</f>
        <v>8454</v>
      </c>
      <c r="K39" s="178" t="str">
        <f>IFERROR(__xludf.DUMMYFUNCTION("""COMPUTED_VALUE"""),"https://github.com/elastic/elasticsearch/pull/8454")</f>
        <v>https://github.com/elastic/elasticsearch/pull/8454</v>
      </c>
      <c r="L39" s="105"/>
      <c r="M39" s="105"/>
      <c r="N39" s="105"/>
      <c r="O39" s="105"/>
      <c r="P39" s="105">
        <f>IFERROR(__xludf.DUMMYFUNCTION("""COMPUTED_VALUE"""),8454.0)</f>
        <v>8454</v>
      </c>
      <c r="Q39" s="178" t="str">
        <f>IFERROR(__xludf.DUMMYFUNCTION("""COMPUTED_VALUE"""),"https://github.com/elastic/elasticsearch/pull/8454")</f>
        <v>https://github.com/elastic/elasticsearch/pull/8454</v>
      </c>
      <c r="R39" s="105" t="str">
        <f>IFERROR(__xludf.DUMMYFUNCTION("""COMPUTED_VALUE"""),"No, however, check in the comments something like dup #ID or duplicate #ID")</f>
        <v>No, however, check in the comments something like dup #ID or duplicate #ID</v>
      </c>
      <c r="S39" s="105"/>
      <c r="T39" s="105" t="str">
        <f>IFERROR(__xludf.DUMMYFUNCTION("""COMPUTED_VALUE"""),"None identified. However, double check yourself")</f>
        <v>None identified. However, double check yourself</v>
      </c>
      <c r="U39" s="105"/>
      <c r="V39" s="105"/>
      <c r="W39" s="54" t="str">
        <f>IFERROR(__xludf.DUMMYFUNCTION("""COMPUTED_VALUE"""),"Elastic Search")</f>
        <v>Elastic Search</v>
      </c>
      <c r="X39" s="54" t="str">
        <f>IFERROR(__xludf.DUMMYFUNCTION("""COMPUTED_VALUE"""),"Not identified. However, it can be googled with the bug ID")</f>
        <v>Not identified. However, it can be googled with the bug ID</v>
      </c>
      <c r="Y39" s="54" t="str">
        <f>IFERROR(__xludf.DUMMYFUNCTION("""COMPUTED_VALUE"""),"src/main/java/org/elasticsearch/search/aggregations/bucket/nested/NestedAggregator.java")</f>
        <v>src/main/java/org/elasticsearch/search/aggregations/bucket/nested/NestedAggregator.java</v>
      </c>
      <c r="Z39" s="54" t="str">
        <f>IFERROR(__xludf.DUMMYFUNCTION("""COMPUTED_VALUE"""),"/nested/NestedAggregator.java")</f>
        <v>/nested/NestedAggregator.java</v>
      </c>
      <c r="AA39" s="54">
        <f>IFERROR(__xludf.DUMMYFUNCTION("""COMPUTED_VALUE"""),0.0)</f>
        <v>0</v>
      </c>
      <c r="AB39" s="54" t="str">
        <f>IFERROR(__xludf.DUMMYFUNCTION("""COMPUTED_VALUE"""),"Note38")</f>
        <v>Note38</v>
      </c>
      <c r="AC39" s="54" t="str">
        <f t="shared" si="1"/>
        <v>Elastic Search 9317</v>
      </c>
    </row>
    <row r="40">
      <c r="A40" s="105" t="str">
        <f>IFERROR(__xludf.DUMMYFUNCTION("""COMPUTED_VALUE"""),"NOVA 1294939")</f>
        <v>NOVA 1294939</v>
      </c>
      <c r="B40" s="105">
        <f>IFERROR(__xludf.DUMMYFUNCTION("""COMPUTED_VALUE"""),1294939.0)</f>
        <v>1294939</v>
      </c>
      <c r="C40" s="178" t="str">
        <f>IFERROR(__xludf.DUMMYFUNCTION("""COMPUTED_VALUE"""),"https://bugs.launchpad.net/nova/+bug/1294939")</f>
        <v>https://bugs.launchpad.net/nova/+bug/1294939</v>
      </c>
      <c r="D40" s="105" t="str">
        <f>IFERROR(__xludf.DUMMYFUNCTION("""COMPUTED_VALUE"""),"e08ce4de920b68c84ac45be8a657a95113688780")</f>
        <v>e08ce4de920b68c84ac45be8a657a95113688780</v>
      </c>
      <c r="E40" s="178" t="str">
        <f>IFERROR(__xludf.DUMMYFUNCTION("""COMPUTED_VALUE"""),"https://opendev.org/openstack/nova/commit/e08ce4de920b68c84ac45be8a657a95113688780")</f>
        <v>https://opendev.org/openstack/nova/commit/e08ce4de920b68c84ac45be8a657a95113688780</v>
      </c>
      <c r="F40" s="105" t="str">
        <f>IFERROR(__xludf.DUMMYFUNCTION("""COMPUTED_VALUE"""),"542958fac7445a14dea")</f>
        <v>542958fac7445a14dea</v>
      </c>
      <c r="G40" s="178" t="str">
        <f>IFERROR(__xludf.DUMMYFUNCTION("""COMPUTED_VALUE"""),"https://opendev.org/openstack/nova/commit/542958fac7445a14dea")</f>
        <v>https://opendev.org/openstack/nova/commit/542958fac7445a14dea</v>
      </c>
      <c r="H40" s="105">
        <f>IFERROR(__xludf.DUMMYFUNCTION("""COMPUTED_VALUE"""),67338.0)</f>
        <v>67338</v>
      </c>
      <c r="I40" s="178" t="str">
        <f>IFERROR(__xludf.DUMMYFUNCTION("""COMPUTED_VALUE"""),"https://review.opendev.org/c/openstack/nova/+/67338")</f>
        <v>https://review.opendev.org/c/openstack/nova/+/67338</v>
      </c>
      <c r="J40" s="105" t="str">
        <f>IFERROR(__xludf.DUMMYFUNCTION("""COMPUTED_VALUE"""),"nova-network-objects")</f>
        <v>nova-network-objects</v>
      </c>
      <c r="K40" s="178" t="str">
        <f>IFERROR(__xludf.DUMMYFUNCTION("""COMPUTED_VALUE"""),"https://blueprints.launchpad.net/nova/+spec/nova-network-objects")</f>
        <v>https://blueprints.launchpad.net/nova/+spec/nova-network-objects</v>
      </c>
      <c r="L40" s="105"/>
      <c r="M40" s="105"/>
      <c r="N40" s="105"/>
      <c r="O40" s="105"/>
      <c r="P40" s="105" t="str">
        <f>IFERROR(__xludf.DUMMYFUNCTION("""COMPUTED_VALUE"""),"nova-network-objects")</f>
        <v>nova-network-objects</v>
      </c>
      <c r="Q40" s="178" t="str">
        <f>IFERROR(__xludf.DUMMYFUNCTION("""COMPUTED_VALUE"""),"https://blueprints.launchpad.net/nova/+spec/nova-network-objects")</f>
        <v>https://blueprints.launchpad.net/nova/+spec/nova-network-objects</v>
      </c>
      <c r="R40" s="105" t="str">
        <f>IFERROR(__xludf.DUMMYFUNCTION("""COMPUTED_VALUE"""),"No, however, check in the right corner of the bug description")</f>
        <v>No, however, check in the right corner of the bug description</v>
      </c>
      <c r="S40" s="105">
        <f>IFERROR(__xludf.DUMMYFUNCTION("""COMPUTED_VALUE"""),0.0)</f>
        <v>0</v>
      </c>
      <c r="T40" s="105" t="str">
        <f>IFERROR(__xludf.DUMMYFUNCTION("""COMPUTED_VALUE"""),"None identified. However, double check yourself")</f>
        <v>None identified. However, double check yourself</v>
      </c>
      <c r="U40" s="105"/>
      <c r="V40" s="105"/>
      <c r="W40" s="54" t="str">
        <f>IFERROR(__xludf.DUMMYFUNCTION("""COMPUTED_VALUE"""),"NOVA")</f>
        <v>NOVA</v>
      </c>
      <c r="X40" s="180" t="str">
        <f>IFERROR(__xludf.DUMMYFUNCTION("""COMPUTED_VALUE"""),"https://www.mail-archive.com/openstack-dev@lists.openstack.org/ ")</f>
        <v>https://www.mail-archive.com/openstack-dev@lists.openstack.org/ </v>
      </c>
      <c r="Y40" s="54" t="str">
        <f>IFERROR(__xludf.DUMMYFUNCTION("""COMPUTED_VALUE"""),"nova/network/manager.py")</f>
        <v>nova/network/manager.py</v>
      </c>
      <c r="Z40" s="54" t="str">
        <f>IFERROR(__xludf.DUMMYFUNCTION("""COMPUTED_VALUE"""),"/network/manager.py")</f>
        <v>/network/manager.py</v>
      </c>
      <c r="AA40" s="54">
        <f>IFERROR(__xludf.DUMMYFUNCTION("""COMPUTED_VALUE"""),0.0)</f>
        <v>0</v>
      </c>
      <c r="AB40" s="54" t="str">
        <f>IFERROR(__xludf.DUMMYFUNCTION("""COMPUTED_VALUE"""),"Note39")</f>
        <v>Note39</v>
      </c>
      <c r="AC40" s="54" t="str">
        <f t="shared" si="1"/>
        <v>NOVA 1294939</v>
      </c>
    </row>
    <row r="41">
      <c r="A41" s="105" t="str">
        <f>IFERROR(__xludf.DUMMYFUNCTION("""COMPUTED_VALUE"""),"NOVA 1300788")</f>
        <v>NOVA 1300788</v>
      </c>
      <c r="B41" s="105">
        <f>IFERROR(__xludf.DUMMYFUNCTION("""COMPUTED_VALUE"""),1300788.0)</f>
        <v>1300788</v>
      </c>
      <c r="C41" s="178" t="str">
        <f>IFERROR(__xludf.DUMMYFUNCTION("""COMPUTED_VALUE"""),"https://bugs.launchpad.net/nova/+bug/1300788")</f>
        <v>https://bugs.launchpad.net/nova/+bug/1300788</v>
      </c>
      <c r="D41" s="105" t="str">
        <f>IFERROR(__xludf.DUMMYFUNCTION("""COMPUTED_VALUE"""),"98fb5e56ef96c0c6a8754276e5f8c9c0b7e50fed")</f>
        <v>98fb5e56ef96c0c6a8754276e5f8c9c0b7e50fed</v>
      </c>
      <c r="E41" s="178" t="str">
        <f>IFERROR(__xludf.DUMMYFUNCTION("""COMPUTED_VALUE"""),"https://opendev.org/openstack/nova/commit/98fb5e56ef96c0c6a8754276e5f8c9c0b7e50fed")</f>
        <v>https://opendev.org/openstack/nova/commit/98fb5e56ef96c0c6a8754276e5f8c9c0b7e50fed</v>
      </c>
      <c r="F41" s="105" t="str">
        <f>IFERROR(__xludf.DUMMYFUNCTION("""COMPUTED_VALUE"""),"e517e5668ab")</f>
        <v>e517e5668ab</v>
      </c>
      <c r="G41" s="178" t="str">
        <f>IFERROR(__xludf.DUMMYFUNCTION("""COMPUTED_VALUE"""),"https://opendev.org/openstack/nova/commit/e517e5668ab")</f>
        <v>https://opendev.org/openstack/nova/commit/e517e5668ab</v>
      </c>
      <c r="H41" s="105">
        <f>IFERROR(__xludf.DUMMYFUNCTION("""COMPUTED_VALUE"""),31593.0)</f>
        <v>31593</v>
      </c>
      <c r="I41" s="178" t="str">
        <f>IFERROR(__xludf.DUMMYFUNCTION("""COMPUTED_VALUE"""),"https://review.opendev.org/c/openstack/nova/+/31593")</f>
        <v>https://review.opendev.org/c/openstack/nova/+/31593</v>
      </c>
      <c r="J41" s="105">
        <f>IFERROR(__xludf.DUMMYFUNCTION("""COMPUTED_VALUE"""),1186944.0)</f>
        <v>1186944</v>
      </c>
      <c r="K41" s="178" t="str">
        <f>IFERROR(__xludf.DUMMYFUNCTION("""COMPUTED_VALUE"""),"https://bugs.launchpad.net/nova/+bug/1186944")</f>
        <v>https://bugs.launchpad.net/nova/+bug/1186944</v>
      </c>
      <c r="L41" s="105"/>
      <c r="M41" s="105"/>
      <c r="N41" s="105"/>
      <c r="O41" s="105"/>
      <c r="P41" s="105">
        <f>IFERROR(__xludf.DUMMYFUNCTION("""COMPUTED_VALUE"""),1186944.0)</f>
        <v>1186944</v>
      </c>
      <c r="Q41" s="178" t="str">
        <f>IFERROR(__xludf.DUMMYFUNCTION("""COMPUTED_VALUE"""),"https://bugs.launchpad.net/nova/+bug/1186944")</f>
        <v>https://bugs.launchpad.net/nova/+bug/1186944</v>
      </c>
      <c r="R41" s="105" t="str">
        <f>IFERROR(__xludf.DUMMYFUNCTION("""COMPUTED_VALUE"""),"No, however, check in the right corner of the bug description")</f>
        <v>No, however, check in the right corner of the bug description</v>
      </c>
      <c r="S41" s="105">
        <f>IFERROR(__xludf.DUMMYFUNCTION("""COMPUTED_VALUE"""),0.0)</f>
        <v>0</v>
      </c>
      <c r="T41" s="105" t="str">
        <f>IFERROR(__xludf.DUMMYFUNCTION("""COMPUTED_VALUE"""),"None identified. However, double check yourself")</f>
        <v>None identified. However, double check yourself</v>
      </c>
      <c r="U41" s="105"/>
      <c r="V41" s="105"/>
      <c r="W41" s="54" t="str">
        <f>IFERROR(__xludf.DUMMYFUNCTION("""COMPUTED_VALUE"""),"NOVA")</f>
        <v>NOVA</v>
      </c>
      <c r="X41" s="180" t="str">
        <f>IFERROR(__xludf.DUMMYFUNCTION("""COMPUTED_VALUE"""),"https://www.mail-archive.com/openstack-dev@lists.openstack.org/ ")</f>
        <v>https://www.mail-archive.com/openstack-dev@lists.openstack.org/ </v>
      </c>
      <c r="Y41" s="54" t="str">
        <f>IFERROR(__xludf.DUMMYFUNCTION("""COMPUTED_VALUE"""),"nova/virt/vmwareapi/vmops.py")</f>
        <v>nova/virt/vmwareapi/vmops.py</v>
      </c>
      <c r="Z41" s="54" t="str">
        <f>IFERROR(__xludf.DUMMYFUNCTION("""COMPUTED_VALUE"""),"/vmwareapi/vmops.py")</f>
        <v>/vmwareapi/vmops.py</v>
      </c>
      <c r="AA41" s="54">
        <f>IFERROR(__xludf.DUMMYFUNCTION("""COMPUTED_VALUE"""),0.0)</f>
        <v>0</v>
      </c>
      <c r="AB41" s="54" t="str">
        <f>IFERROR(__xludf.DUMMYFUNCTION("""COMPUTED_VALUE"""),"Note40")</f>
        <v>Note40</v>
      </c>
      <c r="AC41" s="54" t="str">
        <f t="shared" si="1"/>
        <v>NOVA 1300788</v>
      </c>
    </row>
    <row r="42">
      <c r="A42" s="105" t="str">
        <f>IFERROR(__xludf.DUMMYFUNCTION("""COMPUTED_VALUE"""),"NOVA 1307791")</f>
        <v>NOVA 1307791</v>
      </c>
      <c r="B42" s="105">
        <f>IFERROR(__xludf.DUMMYFUNCTION("""COMPUTED_VALUE"""),1307791.0)</f>
        <v>1307791</v>
      </c>
      <c r="C42" s="178" t="str">
        <f>IFERROR(__xludf.DUMMYFUNCTION("""COMPUTED_VALUE"""),"https://bugs.launchpad.net/nova/+bug/1307791")</f>
        <v>https://bugs.launchpad.net/nova/+bug/1307791</v>
      </c>
      <c r="D42" s="105" t="str">
        <f>IFERROR(__xludf.DUMMYFUNCTION("""COMPUTED_VALUE"""),"54f4600c82241ad6ae6768d3dcd1e1755dac4ddc")</f>
        <v>54f4600c82241ad6ae6768d3dcd1e1755dac4ddc</v>
      </c>
      <c r="E42" s="178" t="str">
        <f>IFERROR(__xludf.DUMMYFUNCTION("""COMPUTED_VALUE"""),"https://opendev.org/openstack/nova/commit/54f4600c82241ad6ae6768d3dcd1e1755dac4ddc")</f>
        <v>https://opendev.org/openstack/nova/commit/54f4600c82241ad6ae6768d3dcd1e1755dac4ddc</v>
      </c>
      <c r="F42" s="105" t="str">
        <f>IFERROR(__xludf.DUMMYFUNCTION("""COMPUTED_VALUE"""),"3dff4335661")</f>
        <v>3dff4335661</v>
      </c>
      <c r="G42" s="178" t="str">
        <f>IFERROR(__xludf.DUMMYFUNCTION("""COMPUTED_VALUE"""),"https://opendev.org/openstack/nova/commit/3dff4335661")</f>
        <v>https://opendev.org/openstack/nova/commit/3dff4335661</v>
      </c>
      <c r="H42" s="105">
        <f>IFERROR(__xludf.DUMMYFUNCTION("""COMPUTED_VALUE"""),14805.0)</f>
        <v>14805</v>
      </c>
      <c r="I42" s="178" t="str">
        <f>IFERROR(__xludf.DUMMYFUNCTION("""COMPUTED_VALUE"""),"https://review.opendev.org/c/openstack/nova/+/14805")</f>
        <v>https://review.opendev.org/c/openstack/nova/+/14805</v>
      </c>
      <c r="J42" s="105">
        <f>IFERROR(__xludf.DUMMYFUNCTION("""COMPUTED_VALUE"""),1067214.0)</f>
        <v>1067214</v>
      </c>
      <c r="K42" s="178" t="str">
        <f>IFERROR(__xludf.DUMMYFUNCTION("""COMPUTED_VALUE"""),"https://bugs.launchpad.net/nova/+bug/1067214")</f>
        <v>https://bugs.launchpad.net/nova/+bug/1067214</v>
      </c>
      <c r="L42" s="105"/>
      <c r="M42" s="105"/>
      <c r="N42" s="105"/>
      <c r="O42" s="105"/>
      <c r="P42" s="105">
        <f>IFERROR(__xludf.DUMMYFUNCTION("""COMPUTED_VALUE"""),1067214.0)</f>
        <v>1067214</v>
      </c>
      <c r="Q42" s="178" t="str">
        <f>IFERROR(__xludf.DUMMYFUNCTION("""COMPUTED_VALUE"""),"https://bugs.launchpad.net/nova/+bug/1067214")</f>
        <v>https://bugs.launchpad.net/nova/+bug/1067214</v>
      </c>
      <c r="R42" s="105" t="str">
        <f>IFERROR(__xludf.DUMMYFUNCTION("""COMPUTED_VALUE"""),"No, however, check in the right corner of the bug description")</f>
        <v>No, however, check in the right corner of the bug description</v>
      </c>
      <c r="S42" s="105">
        <f>IFERROR(__xludf.DUMMYFUNCTION("""COMPUTED_VALUE"""),0.0)</f>
        <v>0</v>
      </c>
      <c r="T42" s="105" t="str">
        <f>IFERROR(__xludf.DUMMYFUNCTION("""COMPUTED_VALUE"""),"None identified. However, double check yourself")</f>
        <v>None identified. However, double check yourself</v>
      </c>
      <c r="U42" s="105"/>
      <c r="V42" s="105"/>
      <c r="W42" s="54" t="str">
        <f>IFERROR(__xludf.DUMMYFUNCTION("""COMPUTED_VALUE"""),"NOVA")</f>
        <v>NOVA</v>
      </c>
      <c r="X42" s="180" t="str">
        <f>IFERROR(__xludf.DUMMYFUNCTION("""COMPUTED_VALUE"""),"https://www.mail-archive.com/openstack-dev@lists.openstack.org/ ")</f>
        <v>https://www.mail-archive.com/openstack-dev@lists.openstack.org/ </v>
      </c>
      <c r="Y42" s="54" t="str">
        <f>IFERROR(__xludf.DUMMYFUNCTION("""COMPUTED_VALUE"""),"nova/compute/api.py")</f>
        <v>nova/compute/api.py</v>
      </c>
      <c r="Z42" s="54" t="str">
        <f>IFERROR(__xludf.DUMMYFUNCTION("""COMPUTED_VALUE"""),"/compute/api.py")</f>
        <v>/compute/api.py</v>
      </c>
      <c r="AA42" s="54">
        <f>IFERROR(__xludf.DUMMYFUNCTION("""COMPUTED_VALUE"""),0.0)</f>
        <v>0</v>
      </c>
      <c r="AB42" s="54" t="str">
        <f>IFERROR(__xludf.DUMMYFUNCTION("""COMPUTED_VALUE"""),"Note41")</f>
        <v>Note41</v>
      </c>
      <c r="AC42" s="54" t="str">
        <f t="shared" si="1"/>
        <v>NOVA 1307791</v>
      </c>
    </row>
    <row r="43">
      <c r="A43" s="105" t="str">
        <f>IFERROR(__xludf.DUMMYFUNCTION("""COMPUTED_VALUE"""),"NOVA 1314677")</f>
        <v>NOVA 1314677</v>
      </c>
      <c r="B43" s="105">
        <f>IFERROR(__xludf.DUMMYFUNCTION("""COMPUTED_VALUE"""),1314677.0)</f>
        <v>1314677</v>
      </c>
      <c r="C43" s="178" t="str">
        <f>IFERROR(__xludf.DUMMYFUNCTION("""COMPUTED_VALUE"""),"https://bugs.launchpad.net/nova/+bug/1314677")</f>
        <v>https://bugs.launchpad.net/nova/+bug/1314677</v>
      </c>
      <c r="D43" s="105" t="str">
        <f>IFERROR(__xludf.DUMMYFUNCTION("""COMPUTED_VALUE"""),"695191fa89387d96e60120ff32965493c844e7f5")</f>
        <v>695191fa89387d96e60120ff32965493c844e7f5</v>
      </c>
      <c r="E43" s="178" t="str">
        <f>IFERROR(__xludf.DUMMYFUNCTION("""COMPUTED_VALUE"""),"https://opendev.org/openstack/nova/commit/695191fa89387d96e60120ff32965493c844e7f5")</f>
        <v>https://opendev.org/openstack/nova/commit/695191fa89387d96e60120ff32965493c844e7f5</v>
      </c>
      <c r="F43" s="105" t="str">
        <f>IFERROR(__xludf.DUMMYFUNCTION("""COMPUTED_VALUE"""),"88ab936")</f>
        <v>88ab936</v>
      </c>
      <c r="G43" s="178" t="str">
        <f>IFERROR(__xludf.DUMMYFUNCTION("""COMPUTED_VALUE"""),"https://opendev.org/openstack/nova/commit/88ab936")</f>
        <v>https://opendev.org/openstack/nova/commit/88ab936</v>
      </c>
      <c r="H43" s="105">
        <f>IFERROR(__xludf.DUMMYFUNCTION("""COMPUTED_VALUE"""),34464.0)</f>
        <v>34464</v>
      </c>
      <c r="I43" s="178" t="str">
        <f>IFERROR(__xludf.DUMMYFUNCTION("""COMPUTED_VALUE"""),"https://review.opendev.org/c/openstack/nova/+/34464")</f>
        <v>https://review.opendev.org/c/openstack/nova/+/34464</v>
      </c>
      <c r="J43" s="105" t="str">
        <f>IFERROR(__xludf.DUMMYFUNCTION("""COMPUTED_VALUE"""),"eliminate-clear-passwords-from-cells-table")</f>
        <v>eliminate-clear-passwords-from-cells-table</v>
      </c>
      <c r="K43" s="178" t="str">
        <f>IFERROR(__xludf.DUMMYFUNCTION("""COMPUTED_VALUE"""),"https://blueprints.launchpad.net/nova/+spec/eliminate-clear-passwords-from-cells-table")</f>
        <v>https://blueprints.launchpad.net/nova/+spec/eliminate-clear-passwords-from-cells-table</v>
      </c>
      <c r="L43" s="105"/>
      <c r="M43" s="105"/>
      <c r="N43" s="105"/>
      <c r="O43" s="105"/>
      <c r="P43" s="105" t="str">
        <f>IFERROR(__xludf.DUMMYFUNCTION("""COMPUTED_VALUE"""),"eliminate-clear-passwords-from-cells-table")</f>
        <v>eliminate-clear-passwords-from-cells-table</v>
      </c>
      <c r="Q43" s="178" t="str">
        <f>IFERROR(__xludf.DUMMYFUNCTION("""COMPUTED_VALUE"""),"https://blueprints.launchpad.net/nova/+spec/eliminate-clear-passwords-from-cells-table")</f>
        <v>https://blueprints.launchpad.net/nova/+spec/eliminate-clear-passwords-from-cells-table</v>
      </c>
      <c r="R43" s="105" t="str">
        <f>IFERROR(__xludf.DUMMYFUNCTION("""COMPUTED_VALUE"""),"No, however, check in the right corner of the bug description")</f>
        <v>No, however, check in the right corner of the bug description</v>
      </c>
      <c r="S43" s="105">
        <f>IFERROR(__xludf.DUMMYFUNCTION("""COMPUTED_VALUE"""),1.0)</f>
        <v>1</v>
      </c>
      <c r="T43" s="105" t="str">
        <f>IFERROR(__xludf.DUMMYFUNCTION("""COMPUTED_VALUE"""),"None identified, the attached patch is ignored")</f>
        <v>None identified, the attached patch is ignored</v>
      </c>
      <c r="U43" s="105"/>
      <c r="V43" s="105"/>
      <c r="W43" s="54" t="str">
        <f>IFERROR(__xludf.DUMMYFUNCTION("""COMPUTED_VALUE"""),"NOVA")</f>
        <v>NOVA</v>
      </c>
      <c r="X43" s="180" t="str">
        <f>IFERROR(__xludf.DUMMYFUNCTION("""COMPUTED_VALUE"""),"https://www.mail-archive.com/openstack-dev@lists.openstack.org/ ")</f>
        <v>https://www.mail-archive.com/openstack-dev@lists.openstack.org/ </v>
      </c>
      <c r="Y43" s="54" t="str">
        <f>IFERROR(__xludf.DUMMYFUNCTION("""COMPUTED_VALUE"""),"nova/cells/state.py")</f>
        <v>nova/cells/state.py</v>
      </c>
      <c r="Z43" s="54" t="str">
        <f>IFERROR(__xludf.DUMMYFUNCTION("""COMPUTED_VALUE"""),"/cells/state.py")</f>
        <v>/cells/state.py</v>
      </c>
      <c r="AA43" s="54">
        <f>IFERROR(__xludf.DUMMYFUNCTION("""COMPUTED_VALUE"""),0.0)</f>
        <v>0</v>
      </c>
      <c r="AB43" s="54" t="str">
        <f>IFERROR(__xludf.DUMMYFUNCTION("""COMPUTED_VALUE"""),"Note42")</f>
        <v>Note42</v>
      </c>
      <c r="AC43" s="54" t="str">
        <f t="shared" si="1"/>
        <v>NOVA 1314677</v>
      </c>
    </row>
    <row r="44">
      <c r="A44" s="105" t="str">
        <f>IFERROR(__xludf.DUMMYFUNCTION("""COMPUTED_VALUE"""),"NOVA 1336127")</f>
        <v>NOVA 1336127</v>
      </c>
      <c r="B44" s="105">
        <f>IFERROR(__xludf.DUMMYFUNCTION("""COMPUTED_VALUE"""),1336127.0)</f>
        <v>1336127</v>
      </c>
      <c r="C44" s="178" t="str">
        <f>IFERROR(__xludf.DUMMYFUNCTION("""COMPUTED_VALUE"""),"https://bugs.launchpad.net/nova/+bug/1336127")</f>
        <v>https://bugs.launchpad.net/nova/+bug/1336127</v>
      </c>
      <c r="D44" s="105" t="str">
        <f>IFERROR(__xludf.DUMMYFUNCTION("""COMPUTED_VALUE"""),"6ddd9f93f82427ce909c7773f7a806361035a0b2")</f>
        <v>6ddd9f93f82427ce909c7773f7a806361035a0b2</v>
      </c>
      <c r="E44" s="178" t="str">
        <f>IFERROR(__xludf.DUMMYFUNCTION("""COMPUTED_VALUE"""),"https://opendev.org/openstack/nova/commit/6ddd9f93f82427ce909c7773f7a806361035a0b2")</f>
        <v>https://opendev.org/openstack/nova/commit/6ddd9f93f82427ce909c7773f7a806361035a0b2</v>
      </c>
      <c r="F44" s="105" t="str">
        <f>IFERROR(__xludf.DUMMYFUNCTION("""COMPUTED_VALUE"""),"2c62e34")</f>
        <v>2c62e34</v>
      </c>
      <c r="G44" s="178" t="str">
        <f>IFERROR(__xludf.DUMMYFUNCTION("""COMPUTED_VALUE"""),"https://opendev.org/openstack/nova/commit/2c62e34")</f>
        <v>https://opendev.org/openstack/nova/commit/2c62e34</v>
      </c>
      <c r="H44" s="105">
        <f>IFERROR(__xludf.DUMMYFUNCTION("""COMPUTED_VALUE"""),42389.0)</f>
        <v>42389</v>
      </c>
      <c r="I44" s="178" t="str">
        <f>IFERROR(__xludf.DUMMYFUNCTION("""COMPUTED_VALUE"""),"https://review.opendev.org/c/openstack/nova/+/42389")</f>
        <v>https://review.opendev.org/c/openstack/nova/+/42389</v>
      </c>
      <c r="J44" s="105" t="str">
        <f>IFERROR(__xludf.DUMMYFUNCTION("""COMPUTED_VALUE"""),"remove-cast-to-schedule-run-instance")</f>
        <v>remove-cast-to-schedule-run-instance</v>
      </c>
      <c r="K44" s="178" t="str">
        <f>IFERROR(__xludf.DUMMYFUNCTION("""COMPUTED_VALUE"""),"https://blueprints.launchpad.net/nova/+spec/remove-cast-to-schedule-run-instance")</f>
        <v>https://blueprints.launchpad.net/nova/+spec/remove-cast-to-schedule-run-instance</v>
      </c>
      <c r="L44" s="105"/>
      <c r="M44" s="105"/>
      <c r="N44" s="105"/>
      <c r="O44" s="105"/>
      <c r="P44" s="105" t="str">
        <f>IFERROR(__xludf.DUMMYFUNCTION("""COMPUTED_VALUE"""),"remove-cast-to-schedule-run-instance")</f>
        <v>remove-cast-to-schedule-run-instance</v>
      </c>
      <c r="Q44" s="178" t="str">
        <f>IFERROR(__xludf.DUMMYFUNCTION("""COMPUTED_VALUE"""),"https://blueprints.launchpad.net/nova/+spec/remove-cast-to-schedule-run-instance")</f>
        <v>https://blueprints.launchpad.net/nova/+spec/remove-cast-to-schedule-run-instance</v>
      </c>
      <c r="R44" s="105" t="str">
        <f>IFERROR(__xludf.DUMMYFUNCTION("""COMPUTED_VALUE"""),"Yes (1)")</f>
        <v>Yes (1)</v>
      </c>
      <c r="S44" s="105">
        <f>IFERROR(__xludf.DUMMYFUNCTION("""COMPUTED_VALUE"""),1.0)</f>
        <v>1</v>
      </c>
      <c r="T44" s="105" t="str">
        <f>IFERROR(__xludf.DUMMYFUNCTION("""COMPUTED_VALUE"""),"None identified. However, double check yourself")</f>
        <v>None identified. However, double check yourself</v>
      </c>
      <c r="U44" s="105">
        <f>IFERROR(__xludf.DUMMYFUNCTION("""COMPUTED_VALUE"""),1437516.0)</f>
        <v>1437516</v>
      </c>
      <c r="V44" s="178" t="str">
        <f>IFERROR(__xludf.DUMMYFUNCTION("""COMPUTED_VALUE"""),"https://bugs.launchpad.net/nova/+bug/1437516")</f>
        <v>https://bugs.launchpad.net/nova/+bug/1437516</v>
      </c>
      <c r="W44" s="54" t="str">
        <f>IFERROR(__xludf.DUMMYFUNCTION("""COMPUTED_VALUE"""),"NOVA")</f>
        <v>NOVA</v>
      </c>
      <c r="X44" s="180" t="str">
        <f>IFERROR(__xludf.DUMMYFUNCTION("""COMPUTED_VALUE"""),"https://www.mail-archive.com/openstack-dev@lists.openstack.org/ ")</f>
        <v>https://www.mail-archive.com/openstack-dev@lists.openstack.org/ </v>
      </c>
      <c r="Y44" s="54" t="str">
        <f>IFERROR(__xludf.DUMMYFUNCTION("""COMPUTED_VALUE"""),"nova/compute/manager.py")</f>
        <v>nova/compute/manager.py</v>
      </c>
      <c r="Z44" s="54" t="str">
        <f>IFERROR(__xludf.DUMMYFUNCTION("""COMPUTED_VALUE"""),"/compute/manager.py")</f>
        <v>/compute/manager.py</v>
      </c>
      <c r="AA44" s="54">
        <f>IFERROR(__xludf.DUMMYFUNCTION("""COMPUTED_VALUE"""),0.0)</f>
        <v>0</v>
      </c>
      <c r="AB44" s="54" t="str">
        <f>IFERROR(__xludf.DUMMYFUNCTION("""COMPUTED_VALUE"""),"Note43")</f>
        <v>Note43</v>
      </c>
      <c r="AC44" s="54" t="str">
        <f t="shared" si="1"/>
        <v>NOVA 1336127</v>
      </c>
    </row>
    <row r="45">
      <c r="A45" s="105" t="str">
        <f>IFERROR(__xludf.DUMMYFUNCTION("""COMPUTED_VALUE"""),"NOVA 1343080")</f>
        <v>NOVA 1343080</v>
      </c>
      <c r="B45" s="105">
        <f>IFERROR(__xludf.DUMMYFUNCTION("""COMPUTED_VALUE"""),1343080.0)</f>
        <v>1343080</v>
      </c>
      <c r="C45" s="178" t="str">
        <f>IFERROR(__xludf.DUMMYFUNCTION("""COMPUTED_VALUE"""),"https://bugs.launchpad.net/nova/+bug/1343080")</f>
        <v>https://bugs.launchpad.net/nova/+bug/1343080</v>
      </c>
      <c r="D45" s="105" t="str">
        <f>IFERROR(__xludf.DUMMYFUNCTION("""COMPUTED_VALUE"""),"e516de74c192591e890f4e9586d8e70bb8d9203e")</f>
        <v>e516de74c192591e890f4e9586d8e70bb8d9203e</v>
      </c>
      <c r="E45" s="178" t="str">
        <f>IFERROR(__xludf.DUMMYFUNCTION("""COMPUTED_VALUE"""),"https://opendev.org/openstack/nova/commit/e516de74c192591e890f4e9586d8e70bb8d9203e")</f>
        <v>https://opendev.org/openstack/nova/commit/e516de74c192591e890f4e9586d8e70bb8d9203e</v>
      </c>
      <c r="F45" s="105" t="str">
        <f>IFERROR(__xludf.DUMMYFUNCTION("""COMPUTED_VALUE"""),"e7aa4022374fb35d2131a7c633212c5d6302db3d")</f>
        <v>e7aa4022374fb35d2131a7c633212c5d6302db3d</v>
      </c>
      <c r="G45" s="178" t="str">
        <f>IFERROR(__xludf.DUMMYFUNCTION("""COMPUTED_VALUE"""),"https://opendev.org/openstack/nova/commit/e7aa4022374fb35d2131a7c633212c5d6302db3d")</f>
        <v>https://opendev.org/openstack/nova/commit/e7aa4022374fb35d2131a7c633212c5d6302db3d</v>
      </c>
      <c r="H45" s="105">
        <f>IFERROR(__xludf.DUMMYFUNCTION("""COMPUTED_VALUE"""),1324.0)</f>
        <v>1324</v>
      </c>
      <c r="I45" s="178" t="str">
        <f>IFERROR(__xludf.DUMMYFUNCTION("""COMPUTED_VALUE"""),"https://review.opendev.org/c/openstack/nova/+/1324")</f>
        <v>https://review.opendev.org/c/openstack/nova/+/1324</v>
      </c>
      <c r="J45" s="105" t="str">
        <f>IFERROR(__xludf.DUMMYFUNCTION("""COMPUTED_VALUE"""),"NA")</f>
        <v>NA</v>
      </c>
      <c r="K45" s="105"/>
      <c r="L45" s="105"/>
      <c r="M45" s="105"/>
      <c r="N45" s="105"/>
      <c r="O45" s="105"/>
      <c r="P45" s="105" t="str">
        <f>IFERROR(__xludf.DUMMYFUNCTION("""COMPUTED_VALUE"""),"NA")</f>
        <v>NA</v>
      </c>
      <c r="Q45" s="105"/>
      <c r="R45" s="105" t="str">
        <f>IFERROR(__xludf.DUMMYFUNCTION("""COMPUTED_VALUE"""),"No, however, check in the right corner of the bug description")</f>
        <v>No, however, check in the right corner of the bug description</v>
      </c>
      <c r="S45" s="105">
        <f>IFERROR(__xludf.DUMMYFUNCTION("""COMPUTED_VALUE"""),0.0)</f>
        <v>0</v>
      </c>
      <c r="T45" s="105" t="str">
        <f>IFERROR(__xludf.DUMMYFUNCTION("""COMPUTED_VALUE"""),"None identified")</f>
        <v>None identified</v>
      </c>
      <c r="U45" s="105"/>
      <c r="V45" s="105"/>
      <c r="W45" s="54" t="str">
        <f>IFERROR(__xludf.DUMMYFUNCTION("""COMPUTED_VALUE"""),"NOVA")</f>
        <v>NOVA</v>
      </c>
      <c r="X45" s="180" t="str">
        <f>IFERROR(__xludf.DUMMYFUNCTION("""COMPUTED_VALUE"""),"https://www.mail-archive.com/openstack-dev@lists.openstack.org/ ")</f>
        <v>https://www.mail-archive.com/openstack-dev@lists.openstack.org/ </v>
      </c>
      <c r="Y45" s="54" t="str">
        <f>IFERROR(__xludf.DUMMYFUNCTION("""COMPUTED_VALUE"""),"doc/api_samples/OS-DCF/image-get-resp.json, doc/api_samples/OS-DCF/image-get-resp.xml,doc/api_samples/OS-DCF/image-list-resp.json,doc/api_samples/OS-DCF/image-list-resp.xml, doc/api_samples/OS-EXT-IMG-SIZE/image-get-resp.json, doc/api_samples/OS-EXT-IMG-S"&amp;"IZE/image-get-resp.xml,doc/api_samples/OS-EXT-IMG-SIZE/images-details-get-resp.json,doc/api_samples/OS-EXT-IMG-SIZE/images-details-get-resp.xml, doc/api_samples/image-get-resp.json,doc/api_samples/image-get-resp.xml,doc/api_samples/images-details-get-resp"&amp;".json,doc/api_samples/images-details-get-resp.xml, doc/api_samples/images-list-get-resp.json,doc/api_samples/images-list-get-resp.xml,doc/v3/api_samples/image-size/image-get-resp.json,doc/v3/api_samples/image-size/images-details-get-resp.json, doc/v3/api_"&amp;"samples/images/image-get-resp.json,doc/v3/api_samples/images/images-details-get-resp.json, doc/v3/api_samples/images/images-list-get-resp.json,doc/v3/api_samples/os-disk-config/image-get-resp.json,doc/v3/api_samples/os-disk-config/image-list-resp.json,nov"&amp;"a/api/openstack/compute/views/images.py 
")</f>
        <v>doc/api_samples/OS-DCF/image-get-resp.json, doc/api_samples/OS-DCF/image-get-resp.xml,doc/api_samples/OS-DCF/image-list-resp.json,doc/api_samples/OS-DCF/image-list-resp.xml, doc/api_samples/OS-EXT-IMG-SIZE/image-get-resp.json, doc/api_samples/OS-EXT-IMG-SIZE/image-get-resp.xml,doc/api_samples/OS-EXT-IMG-SIZE/images-details-get-resp.json,doc/api_samples/OS-EXT-IMG-SIZE/images-details-get-resp.xml, doc/api_samples/image-get-resp.json,doc/api_samples/image-get-resp.xml,doc/api_samples/images-details-get-resp.json,doc/api_samples/images-details-get-resp.xml, doc/api_samples/images-list-get-resp.json,doc/api_samples/images-list-get-resp.xml,doc/v3/api_samples/image-size/image-get-resp.json,doc/v3/api_samples/image-size/images-details-get-resp.json, doc/v3/api_samples/images/image-get-resp.json,doc/v3/api_samples/images/images-details-get-resp.json, doc/v3/api_samples/images/images-list-get-resp.json,doc/v3/api_samples/os-disk-config/image-get-resp.json,doc/v3/api_samples/os-disk-config/image-list-resp.json,nova/api/openstack/compute/views/images.py 
</v>
      </c>
      <c r="Z45" s="54" t="str">
        <f>IFERROR(__xludf.DUMMYFUNCTION("""COMPUTED_VALUE"""),"/OS-DCF/image-get-resp.json
/OS-DCF/image-get-resp.xml
/OS-DCF/image-list-resp.json
/OS-DCF/image-list-resp.xml
/OS-EXT-IMG-SIZE/image-get-resp.json
/OS-EXT-IMG-SIZE/image-get-resp.xml
/OS-EXT-IMG-SIZE/images-details-get-resp.json
/OS-EXT-IMG-SIZE/images-"&amp;"details-get-resp.xml
/api_samples/image-get-resp.json
/api_samples/image-get-resp.xml
/api_samples/images-details-get-resp.json
/api_samples/images-details-get-resp.xml
/api_samples/images-list-get-resp.json
/api_samples/images-list-get-resp.xml
/image-si"&amp;"ze/image-get-resp.json
/image-size/images-details-get-resp.json
/images/image-get-resp.json
/images/images-details-get-resp.json
/images/images-list-get-resp.json
/os-disk-config/image-get-resp.json
/os-disk-config/image-list-resp.json
/views/images.py ")</f>
        <v>/OS-DCF/image-get-resp.json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AA45" s="54">
        <f>IFERROR(__xludf.DUMMYFUNCTION("""COMPUTED_VALUE"""),21.0)</f>
        <v>21</v>
      </c>
      <c r="AB45" s="54" t="str">
        <f>IFERROR(__xludf.DUMMYFUNCTION("""COMPUTED_VALUE"""),"Note44")</f>
        <v>Note44</v>
      </c>
      <c r="AC45" s="54" t="str">
        <f t="shared" si="1"/>
        <v>NOVA 1343080</v>
      </c>
    </row>
    <row r="46">
      <c r="A46" s="105" t="str">
        <f>IFERROR(__xludf.DUMMYFUNCTION("""COMPUTED_VALUE"""),"NOVA 1367363")</f>
        <v>NOVA 1367363</v>
      </c>
      <c r="B46" s="105">
        <f>IFERROR(__xludf.DUMMYFUNCTION("""COMPUTED_VALUE"""),1367363.0)</f>
        <v>1367363</v>
      </c>
      <c r="C46" s="178" t="str">
        <f>IFERROR(__xludf.DUMMYFUNCTION("""COMPUTED_VALUE"""),"https://bugs.launchpad.net/nova/+bug/1367363")</f>
        <v>https://bugs.launchpad.net/nova/+bug/1367363</v>
      </c>
      <c r="D46" s="105" t="str">
        <f>IFERROR(__xludf.DUMMYFUNCTION("""COMPUTED_VALUE"""),"5f93c841a80663b68da2fb04df78d5acd0754d68")</f>
        <v>5f93c841a80663b68da2fb04df78d5acd0754d68</v>
      </c>
      <c r="E46" s="178" t="str">
        <f>IFERROR(__xludf.DUMMYFUNCTION("""COMPUTED_VALUE"""),"https://opendev.org/openstack/nova/commit/5f93c841a80663b68da2fb04df78d5acd0754d68")</f>
        <v>https://opendev.org/openstack/nova/commit/5f93c841a80663b68da2fb04df78d5acd0754d68</v>
      </c>
      <c r="F46" s="105" t="str">
        <f>IFERROR(__xludf.DUMMYFUNCTION("""COMPUTED_VALUE"""),"0fcbb7b")</f>
        <v>0fcbb7b</v>
      </c>
      <c r="G46" s="178" t="str">
        <f>IFERROR(__xludf.DUMMYFUNCTION("""COMPUTED_VALUE"""),"https://opendev.org/openstack/nova/commit/0fcbb7b")</f>
        <v>https://opendev.org/openstack/nova/commit/0fcbb7b</v>
      </c>
      <c r="H46" s="105">
        <f>IFERROR(__xludf.DUMMYFUNCTION("""COMPUTED_VALUE"""),53069.0)</f>
        <v>53069</v>
      </c>
      <c r="I46" s="178" t="str">
        <f>IFERROR(__xludf.DUMMYFUNCTION("""COMPUTED_VALUE"""),"https://review.opendev.org/c/openstack/nova/+/53069")</f>
        <v>https://review.opendev.org/c/openstack/nova/+/53069</v>
      </c>
      <c r="J46" s="105">
        <f>IFERROR(__xludf.DUMMYFUNCTION("""COMPUTED_VALUE"""),1243083.0)</f>
        <v>1243083</v>
      </c>
      <c r="K46" s="178" t="str">
        <f>IFERROR(__xludf.DUMMYFUNCTION("""COMPUTED_VALUE"""),"https://bugs.launchpad.net/nova/+bug/1243083")</f>
        <v>https://bugs.launchpad.net/nova/+bug/1243083</v>
      </c>
      <c r="L46" s="105"/>
      <c r="M46" s="105"/>
      <c r="N46" s="105"/>
      <c r="O46" s="105"/>
      <c r="P46" s="105">
        <f>IFERROR(__xludf.DUMMYFUNCTION("""COMPUTED_VALUE"""),1243083.0)</f>
        <v>1243083</v>
      </c>
      <c r="Q46" s="178" t="str">
        <f>IFERROR(__xludf.DUMMYFUNCTION("""COMPUTED_VALUE"""),"https://bugs.launchpad.net/nova/+bug/1243083")</f>
        <v>https://bugs.launchpad.net/nova/+bug/1243083</v>
      </c>
      <c r="R46" s="105" t="str">
        <f>IFERROR(__xludf.DUMMYFUNCTION("""COMPUTED_VALUE"""),"No, however, check in the right corner of the bug description")</f>
        <v>No, however, check in the right corner of the bug description</v>
      </c>
      <c r="S46" s="105">
        <f>IFERROR(__xludf.DUMMYFUNCTION("""COMPUTED_VALUE"""),0.0)</f>
        <v>0</v>
      </c>
      <c r="T46" s="105" t="str">
        <f>IFERROR(__xludf.DUMMYFUNCTION("""COMPUTED_VALUE"""),"None identified")</f>
        <v>None identified</v>
      </c>
      <c r="U46" s="105"/>
      <c r="V46" s="105"/>
      <c r="W46" s="54" t="str">
        <f>IFERROR(__xludf.DUMMYFUNCTION("""COMPUTED_VALUE"""),"NOVA")</f>
        <v>NOVA</v>
      </c>
      <c r="X46" s="180" t="str">
        <f>IFERROR(__xludf.DUMMYFUNCTION("""COMPUTED_VALUE"""),"https://www.mail-archive.com/openstack-dev@lists.openstack.org/ ")</f>
        <v>https://www.mail-archive.com/openstack-dev@lists.openstack.org/ </v>
      </c>
      <c r="Y46" s="54" t="str">
        <f>IFERROR(__xludf.DUMMYFUNCTION("""COMPUTED_VALUE"""),"nova/virt/libvirt/driver.py")</f>
        <v>nova/virt/libvirt/driver.py</v>
      </c>
      <c r="Z46" s="54" t="str">
        <f>IFERROR(__xludf.DUMMYFUNCTION("""COMPUTED_VALUE"""),"/libvirt/driver.py")</f>
        <v>/libvirt/driver.py</v>
      </c>
      <c r="AA46" s="54">
        <f>IFERROR(__xludf.DUMMYFUNCTION("""COMPUTED_VALUE"""),0.0)</f>
        <v>0</v>
      </c>
      <c r="AB46" s="54" t="str">
        <f>IFERROR(__xludf.DUMMYFUNCTION("""COMPUTED_VALUE"""),"Note45")</f>
        <v>Note45</v>
      </c>
      <c r="AC46" s="54" t="str">
        <f t="shared" si="1"/>
        <v>NOVA 1367363</v>
      </c>
    </row>
    <row r="47">
      <c r="A47" s="105" t="str">
        <f>IFERROR(__xludf.DUMMYFUNCTION("""COMPUTED_VALUE"""),"NOVA 1370177")</f>
        <v>NOVA 1370177</v>
      </c>
      <c r="B47" s="105">
        <f>IFERROR(__xludf.DUMMYFUNCTION("""COMPUTED_VALUE"""),1370177.0)</f>
        <v>1370177</v>
      </c>
      <c r="C47" s="178" t="str">
        <f>IFERROR(__xludf.DUMMYFUNCTION("""COMPUTED_VALUE"""),"https://bugs.launchpad.net/nova/+bug/1370177")</f>
        <v>https://bugs.launchpad.net/nova/+bug/1370177</v>
      </c>
      <c r="D47" s="105" t="str">
        <f>IFERROR(__xludf.DUMMYFUNCTION("""COMPUTED_VALUE"""),"a7de013891da5afd43c2aa2dd6dad61048799230")</f>
        <v>a7de013891da5afd43c2aa2dd6dad61048799230</v>
      </c>
      <c r="E47" s="178" t="str">
        <f>IFERROR(__xludf.DUMMYFUNCTION("""COMPUTED_VALUE"""),"https://opendev.org/openstack/nova/commit/a7de013891da5afd43c2aa2dd6dad61048799230")</f>
        <v>https://opendev.org/openstack/nova/commit/a7de013891da5afd43c2aa2dd6dad61048799230</v>
      </c>
      <c r="F47" s="105" t="str">
        <f>IFERROR(__xludf.DUMMYFUNCTION("""COMPUTED_VALUE"""),"33e3d4c6b9")</f>
        <v>33e3d4c6b9</v>
      </c>
      <c r="G47" s="178" t="str">
        <f>IFERROR(__xludf.DUMMYFUNCTION("""COMPUTED_VALUE"""),"https://opendev.org/openstack/nova/commit/33e3d4c6b9")</f>
        <v>https://opendev.org/openstack/nova/commit/33e3d4c6b9</v>
      </c>
      <c r="H47" s="105">
        <f>IFERROR(__xludf.DUMMYFUNCTION("""COMPUTED_VALUE"""),59034.0)</f>
        <v>59034</v>
      </c>
      <c r="I47" s="178" t="str">
        <f>IFERROR(__xludf.DUMMYFUNCTION("""COMPUTED_VALUE"""),"https://review.opendev.org/c/openstack/nova/+/59034")</f>
        <v>https://review.opendev.org/c/openstack/nova/+/59034</v>
      </c>
      <c r="J47" s="105" t="str">
        <f>IFERROR(__xludf.DUMMYFUNCTION("""COMPUTED_VALUE"""),"icehouse-objects")</f>
        <v>icehouse-objects</v>
      </c>
      <c r="K47" s="178" t="str">
        <f>IFERROR(__xludf.DUMMYFUNCTION("""COMPUTED_VALUE"""),"https://blueprints.launchpad.net/nova/+spec/icehouse-objects")</f>
        <v>https://blueprints.launchpad.net/nova/+spec/icehouse-objects</v>
      </c>
      <c r="L47" s="105" t="str">
        <f>IFERROR(__xludf.DUMMYFUNCTION("""COMPUTED_VALUE"""),"clean-up-legacy-block-device-mapping")</f>
        <v>clean-up-legacy-block-device-mapping</v>
      </c>
      <c r="M47" s="178" t="str">
        <f>IFERROR(__xludf.DUMMYFUNCTION("""COMPUTED_VALUE"""),"https://blueprints.launchpad.net/nova/+spec/clean-up-legacy-block-device-mapping")</f>
        <v>https://blueprints.launchpad.net/nova/+spec/clean-up-legacy-block-device-mapping</v>
      </c>
      <c r="N47" s="105"/>
      <c r="O47" s="105"/>
      <c r="P47" s="105" t="str">
        <f>IFERROR(__xludf.DUMMYFUNCTION("""COMPUTED_VALUE"""),"icehouse-objects, clean-up-legacy-block-device-mapping")</f>
        <v>icehouse-objects, clean-up-legacy-block-device-mapping</v>
      </c>
      <c r="Q47" s="105" t="str">
        <f>IFERROR(__xludf.DUMMYFUNCTION("""COMPUTED_VALUE"""),"https://blueprints.launchpad.net/nova/+spec/icehouse-objects, https://blueprints.launchpad.net/nova/+spec/clean-up-legacy-block-device-mapping")</f>
        <v>https://blueprints.launchpad.net/nova/+spec/icehouse-objects, https://blueprints.launchpad.net/nova/+spec/clean-up-legacy-block-device-mapping</v>
      </c>
      <c r="R47" s="105" t="str">
        <f>IFERROR(__xludf.DUMMYFUNCTION("""COMPUTED_VALUE"""),"Yes (1)")</f>
        <v>Yes (1)</v>
      </c>
      <c r="S47" s="105">
        <f>IFERROR(__xludf.DUMMYFUNCTION("""COMPUTED_VALUE"""),1.0)</f>
        <v>1</v>
      </c>
      <c r="T47" s="105" t="str">
        <f>IFERROR(__xludf.DUMMYFUNCTION("""COMPUTED_VALUE"""),"None identified")</f>
        <v>None identified</v>
      </c>
      <c r="U47" s="105">
        <f>IFERROR(__xludf.DUMMYFUNCTION("""COMPUTED_VALUE"""),1470834.0)</f>
        <v>1470834</v>
      </c>
      <c r="V47" s="178" t="str">
        <f>IFERROR(__xludf.DUMMYFUNCTION("""COMPUTED_VALUE"""),"https://bugs.launchpad.net/nova/+bug/1470834")</f>
        <v>https://bugs.launchpad.net/nova/+bug/1470834</v>
      </c>
      <c r="W47" s="54" t="str">
        <f>IFERROR(__xludf.DUMMYFUNCTION("""COMPUTED_VALUE"""),"NOVA")</f>
        <v>NOVA</v>
      </c>
      <c r="X47" s="180" t="str">
        <f>IFERROR(__xludf.DUMMYFUNCTION("""COMPUTED_VALUE"""),"https://www.mail-archive.com/openstack-dev@lists.openstack.org/ ")</f>
        <v>https://www.mail-archive.com/openstack-dev@lists.openstack.org/ </v>
      </c>
      <c r="Y47" s="54" t="str">
        <f>IFERROR(__xludf.DUMMYFUNCTION("""COMPUTED_VALUE"""),"nova/block_device.py")</f>
        <v>nova/block_device.py</v>
      </c>
      <c r="Z47" s="54" t="str">
        <f>IFERROR(__xludf.DUMMYFUNCTION("""COMPUTED_VALUE"""),"nova/block_device.py")</f>
        <v>nova/block_device.py</v>
      </c>
      <c r="AA47" s="54">
        <f>IFERROR(__xludf.DUMMYFUNCTION("""COMPUTED_VALUE"""),0.0)</f>
        <v>0</v>
      </c>
      <c r="AB47" s="54"/>
      <c r="AC47" s="54" t="str">
        <f t="shared" si="1"/>
        <v>NOVA 1370177</v>
      </c>
    </row>
    <row r="48">
      <c r="A48" s="105" t="str">
        <f>IFERROR(__xludf.DUMMYFUNCTION("""COMPUTED_VALUE"""),"NOVA 1370590")</f>
        <v>NOVA 1370590</v>
      </c>
      <c r="B48" s="105">
        <f>IFERROR(__xludf.DUMMYFUNCTION("""COMPUTED_VALUE"""),1370590.0)</f>
        <v>1370590</v>
      </c>
      <c r="C48" s="178" t="str">
        <f>IFERROR(__xludf.DUMMYFUNCTION("""COMPUTED_VALUE"""),"https://bugs.launchpad.net/nova/+bug/1370590")</f>
        <v>https://bugs.launchpad.net/nova/+bug/1370590</v>
      </c>
      <c r="D48" s="105" t="str">
        <f>IFERROR(__xludf.DUMMYFUNCTION("""COMPUTED_VALUE"""),"de62c0d8361bf9dae16a8ff1672229fee1c15e5e")</f>
        <v>de62c0d8361bf9dae16a8ff1672229fee1c15e5e</v>
      </c>
      <c r="E48" s="178" t="str">
        <f>IFERROR(__xludf.DUMMYFUNCTION("""COMPUTED_VALUE"""),"https://opendev.org/openstack/nova/commit/de62c0d8361bf9dae16a8ff1672229fee1c15e5e")</f>
        <v>https://opendev.org/openstack/nova/commit/de62c0d8361bf9dae16a8ff1672229fee1c15e5e</v>
      </c>
      <c r="F48" s="105" t="str">
        <f>IFERROR(__xludf.DUMMYFUNCTION("""COMPUTED_VALUE"""),"7326bac8f95")</f>
        <v>7326bac8f95</v>
      </c>
      <c r="G48" s="178" t="str">
        <f>IFERROR(__xludf.DUMMYFUNCTION("""COMPUTED_VALUE"""),"https://opendev.org/openstack/nova/commit/7326bac8f95")</f>
        <v>https://opendev.org/openstack/nova/commit/7326bac8f95</v>
      </c>
      <c r="H48" s="105">
        <f>IFERROR(__xludf.DUMMYFUNCTION("""COMPUTED_VALUE"""),74537.0)</f>
        <v>74537</v>
      </c>
      <c r="I48" s="178" t="str">
        <f>IFERROR(__xludf.DUMMYFUNCTION("""COMPUTED_VALUE"""),"https://review.opendev.org/c/openstack/nova/+/74537")</f>
        <v>https://review.opendev.org/c/openstack/nova/+/74537</v>
      </c>
      <c r="J48" s="105" t="str">
        <f>IFERROR(__xludf.DUMMYFUNCTION("""COMPUTED_VALUE"""),"libvirt-start-lxc-from-block-devices")</f>
        <v>libvirt-start-lxc-from-block-devices</v>
      </c>
      <c r="K48" s="178" t="str">
        <f>IFERROR(__xludf.DUMMYFUNCTION("""COMPUTED_VALUE"""),"https://blueprints.launchpad.net/nova/+spec/libvirt-start-lxc-from-block-devices")</f>
        <v>https://blueprints.launchpad.net/nova/+spec/libvirt-start-lxc-from-block-devices</v>
      </c>
      <c r="L48" s="105"/>
      <c r="M48" s="105"/>
      <c r="N48" s="105"/>
      <c r="O48" s="105"/>
      <c r="P48" s="105" t="str">
        <f>IFERROR(__xludf.DUMMYFUNCTION("""COMPUTED_VALUE"""),"libvirt-start-lxc-from-block-devices")</f>
        <v>libvirt-start-lxc-from-block-devices</v>
      </c>
      <c r="Q48" s="178" t="str">
        <f>IFERROR(__xludf.DUMMYFUNCTION("""COMPUTED_VALUE"""),"https://blueprints.launchpad.net/nova/+spec/libvirt-start-lxc-from-block-devices")</f>
        <v>https://blueprints.launchpad.net/nova/+spec/libvirt-start-lxc-from-block-devices</v>
      </c>
      <c r="R48" s="105" t="str">
        <f>IFERROR(__xludf.DUMMYFUNCTION("""COMPUTED_VALUE"""),"Yes (1)")</f>
        <v>Yes (1)</v>
      </c>
      <c r="S48" s="105">
        <f>IFERROR(__xludf.DUMMYFUNCTION("""COMPUTED_VALUE"""),1.0)</f>
        <v>1</v>
      </c>
      <c r="T48" s="105" t="str">
        <f>IFERROR(__xludf.DUMMYFUNCTION("""COMPUTED_VALUE"""),"None identified")</f>
        <v>None identified</v>
      </c>
      <c r="U48" s="105">
        <f>IFERROR(__xludf.DUMMYFUNCTION("""COMPUTED_VALUE"""),1387539.0)</f>
        <v>1387539</v>
      </c>
      <c r="V48" s="178" t="str">
        <f>IFERROR(__xludf.DUMMYFUNCTION("""COMPUTED_VALUE"""),"https://bugs.launchpad.net/nova/+bug/1387539")</f>
        <v>https://bugs.launchpad.net/nova/+bug/1387539</v>
      </c>
      <c r="W48" s="54" t="str">
        <f>IFERROR(__xludf.DUMMYFUNCTION("""COMPUTED_VALUE"""),"NOVA")</f>
        <v>NOVA</v>
      </c>
      <c r="X48" s="180" t="str">
        <f>IFERROR(__xludf.DUMMYFUNCTION("""COMPUTED_VALUE"""),"https://www.mail-archive.com/openstack-dev@lists.openstack.org/ ")</f>
        <v>https://www.mail-archive.com/openstack-dev@lists.openstack.org/ </v>
      </c>
      <c r="Y48" s="54" t="str">
        <f>IFERROR(__xludf.DUMMYFUNCTION("""COMPUTED_VALUE"""),"nova/virt/libvirt/driver.py")</f>
        <v>nova/virt/libvirt/driver.py</v>
      </c>
      <c r="Z48" s="54" t="str">
        <f>IFERROR(__xludf.DUMMYFUNCTION("""COMPUTED_VALUE"""),"/libvirt/driver.py")</f>
        <v>/libvirt/driver.py</v>
      </c>
      <c r="AA48" s="54">
        <f>IFERROR(__xludf.DUMMYFUNCTION("""COMPUTED_VALUE"""),0.0)</f>
        <v>0</v>
      </c>
      <c r="AB48" s="54" t="str">
        <f>IFERROR(__xludf.DUMMYFUNCTION("""COMPUTED_VALUE"""),"Note47")</f>
        <v>Note47</v>
      </c>
      <c r="AC48" s="54" t="str">
        <f t="shared" si="1"/>
        <v>NOVA 1370590</v>
      </c>
    </row>
    <row r="49">
      <c r="A49" s="105" t="str">
        <f>IFERROR(__xludf.DUMMYFUNCTION("""COMPUTED_VALUE"""),"NOVA 1371677")</f>
        <v>NOVA 1371677</v>
      </c>
      <c r="B49" s="105">
        <f>IFERROR(__xludf.DUMMYFUNCTION("""COMPUTED_VALUE"""),1371677.0)</f>
        <v>1371677</v>
      </c>
      <c r="C49" s="178" t="str">
        <f>IFERROR(__xludf.DUMMYFUNCTION("""COMPUTED_VALUE"""),"https://bugs.launchpad.net/nova/+bug/1371677")</f>
        <v>https://bugs.launchpad.net/nova/+bug/1371677</v>
      </c>
      <c r="D49" s="105" t="str">
        <f>IFERROR(__xludf.DUMMYFUNCTION("""COMPUTED_VALUE"""),"833357301bc80a27422f7bf081fae2d3da730a24")</f>
        <v>833357301bc80a27422f7bf081fae2d3da730a24</v>
      </c>
      <c r="E49" s="178" t="str">
        <f>IFERROR(__xludf.DUMMYFUNCTION("""COMPUTED_VALUE"""),"https://opendev.org/openstack/nova/commit/833357301bc80a27422f7bf081fae2d3da730a24")</f>
        <v>https://opendev.org/openstack/nova/commit/833357301bc80a27422f7bf081fae2d3da730a24</v>
      </c>
      <c r="F49" s="105" t="str">
        <f>IFERROR(__xludf.DUMMYFUNCTION("""COMPUTED_VALUE"""),"5fa74bc")</f>
        <v>5fa74bc</v>
      </c>
      <c r="G49" s="178" t="str">
        <f>IFERROR(__xludf.DUMMYFUNCTION("""COMPUTED_VALUE"""),"https://opendev.org/openstack/nova/commit/5fa74bc")</f>
        <v>https://opendev.org/openstack/nova/commit/5fa74bc</v>
      </c>
      <c r="H49" s="105">
        <f>IFERROR(__xludf.DUMMYFUNCTION("""COMPUTED_VALUE"""),40467.0)</f>
        <v>40467</v>
      </c>
      <c r="I49" s="178" t="str">
        <f>IFERROR(__xludf.DUMMYFUNCTION("""COMPUTED_VALUE"""),"https://review.opendev.org/c/openstack/nova/+/40467")</f>
        <v>https://review.opendev.org/c/openstack/nova/+/40467</v>
      </c>
      <c r="J49" s="105" t="str">
        <f>IFERROR(__xludf.DUMMYFUNCTION("""COMPUTED_VALUE"""),"lvm-ephemeral-storage-encryption")</f>
        <v>lvm-ephemeral-storage-encryption</v>
      </c>
      <c r="K49" s="178" t="str">
        <f>IFERROR(__xludf.DUMMYFUNCTION("""COMPUTED_VALUE"""),"https://blueprints.launchpad.net/nova/+spec/lvm-ephemeral-storage-encryption")</f>
        <v>https://blueprints.launchpad.net/nova/+spec/lvm-ephemeral-storage-encryption</v>
      </c>
      <c r="L49" s="105"/>
      <c r="M49" s="105"/>
      <c r="N49" s="105"/>
      <c r="O49" s="105"/>
      <c r="P49" s="105" t="str">
        <f>IFERROR(__xludf.DUMMYFUNCTION("""COMPUTED_VALUE"""),"lvm-ephemeral-storage-encryption")</f>
        <v>lvm-ephemeral-storage-encryption</v>
      </c>
      <c r="Q49" s="178" t="str">
        <f>IFERROR(__xludf.DUMMYFUNCTION("""COMPUTED_VALUE"""),"https://blueprints.launchpad.net/nova/+spec/lvm-ephemeral-storage-encryption")</f>
        <v>https://blueprints.launchpad.net/nova/+spec/lvm-ephemeral-storage-encryption</v>
      </c>
      <c r="R49" s="105" t="str">
        <f>IFERROR(__xludf.DUMMYFUNCTION("""COMPUTED_VALUE"""),"Yes (2)")</f>
        <v>Yes (2)</v>
      </c>
      <c r="S49" s="105">
        <f>IFERROR(__xludf.DUMMYFUNCTION("""COMPUTED_VALUE"""),2.0)</f>
        <v>2</v>
      </c>
      <c r="T49" s="105" t="str">
        <f>IFERROR(__xludf.DUMMYFUNCTION("""COMPUTED_VALUE"""),"None identified")</f>
        <v>None identified</v>
      </c>
      <c r="U49" s="105" t="str">
        <f>IFERROR(__xludf.DUMMYFUNCTION("""COMPUTED_VALUE"""),"1372369, 1448333")</f>
        <v>1372369, 1448333</v>
      </c>
      <c r="V49" s="105" t="str">
        <f>IFERROR(__xludf.DUMMYFUNCTION("""COMPUTED_VALUE"""),"https://bugs.launchpad.net/nova/+bug/1372369, https://bugs.launchpad.net/nova/+bug/1448333")</f>
        <v>https://bugs.launchpad.net/nova/+bug/1372369, https://bugs.launchpad.net/nova/+bug/1448333</v>
      </c>
      <c r="W49" s="54" t="str">
        <f>IFERROR(__xludf.DUMMYFUNCTION("""COMPUTED_VALUE"""),"NOVA")</f>
        <v>NOVA</v>
      </c>
      <c r="X49" s="180" t="str">
        <f>IFERROR(__xludf.DUMMYFUNCTION("""COMPUTED_VALUE"""),"https://www.mail-archive.com/openstack-dev@lists.openstack.org/ ")</f>
        <v>https://www.mail-archive.com/openstack-dev@lists.openstack.org/ </v>
      </c>
      <c r="Y49" s="54" t="str">
        <f>IFERROR(__xludf.DUMMYFUNCTION("""COMPUTED_VALUE"""),"nova/virt/libvirt/driver.py")</f>
        <v>nova/virt/libvirt/driver.py</v>
      </c>
      <c r="Z49" s="54" t="str">
        <f>IFERROR(__xludf.DUMMYFUNCTION("""COMPUTED_VALUE"""),"/libvirt/driver.py")</f>
        <v>/libvirt/driver.py</v>
      </c>
      <c r="AA49" s="54">
        <f>IFERROR(__xludf.DUMMYFUNCTION("""COMPUTED_VALUE"""),0.0)</f>
        <v>0</v>
      </c>
      <c r="AB49" s="54" t="str">
        <f>IFERROR(__xludf.DUMMYFUNCTION("""COMPUTED_VALUE"""),"Note48")</f>
        <v>Note48</v>
      </c>
      <c r="AC49" s="54" t="str">
        <f t="shared" si="1"/>
        <v>NOVA 1371677</v>
      </c>
    </row>
    <row r="50">
      <c r="A50" s="105" t="str">
        <f>IFERROR(__xludf.DUMMYFUNCTION("""COMPUTED_VALUE"""),"NOVA 1375379")</f>
        <v>NOVA 1375379</v>
      </c>
      <c r="B50" s="105">
        <f>IFERROR(__xludf.DUMMYFUNCTION("""COMPUTED_VALUE"""),1375379.0)</f>
        <v>1375379</v>
      </c>
      <c r="C50" s="178" t="str">
        <f>IFERROR(__xludf.DUMMYFUNCTION("""COMPUTED_VALUE"""),"https://bugs.launchpad.net/nova/+bug/1375379")</f>
        <v>https://bugs.launchpad.net/nova/+bug/1375379</v>
      </c>
      <c r="D50" s="105" t="str">
        <f>IFERROR(__xludf.DUMMYFUNCTION("""COMPUTED_VALUE"""),"4f0547d4978172e29eb328bceb404335da1b9e0a")</f>
        <v>4f0547d4978172e29eb328bceb404335da1b9e0a</v>
      </c>
      <c r="E50" s="178" t="str">
        <f>IFERROR(__xludf.DUMMYFUNCTION("""COMPUTED_VALUE"""),"https://opendev.org/openstack/nova/commit/4f0547d4978172e29eb328bceb404335da1b9e0a")</f>
        <v>https://opendev.org/openstack/nova/commit/4f0547d4978172e29eb328bceb404335da1b9e0a</v>
      </c>
      <c r="F50" s="105" t="str">
        <f>IFERROR(__xludf.DUMMYFUNCTION("""COMPUTED_VALUE"""),"e71e8c2")</f>
        <v>e71e8c2</v>
      </c>
      <c r="G50" s="178" t="str">
        <f>IFERROR(__xludf.DUMMYFUNCTION("""COMPUTED_VALUE"""),"https://opendev.org/openstack/nova/commit/e71e8c2")</f>
        <v>https://opendev.org/openstack/nova/commit/e71e8c2</v>
      </c>
      <c r="H50" s="105">
        <f>IFERROR(__xludf.DUMMYFUNCTION("""COMPUTED_VALUE"""),18864.0)</f>
        <v>18864</v>
      </c>
      <c r="I50" s="178" t="str">
        <f>IFERROR(__xludf.DUMMYFUNCTION("""COMPUTED_VALUE"""),"https://review.opendev.org/c/openstack/nova/+/18864")</f>
        <v>https://review.opendev.org/c/openstack/nova/+/18864</v>
      </c>
      <c r="J50" s="105" t="str">
        <f>IFERROR(__xludf.DUMMYFUNCTION("""COMPUTED_VALUE"""),"libvirt-spice")</f>
        <v>libvirt-spice</v>
      </c>
      <c r="K50" s="178" t="str">
        <f>IFERROR(__xludf.DUMMYFUNCTION("""COMPUTED_VALUE"""),"https://blueprints.launchpad.net/nova/+spec/libvirt-spice")</f>
        <v>https://blueprints.launchpad.net/nova/+spec/libvirt-spice</v>
      </c>
      <c r="L50" s="105"/>
      <c r="M50" s="105"/>
      <c r="N50" s="105"/>
      <c r="O50" s="105"/>
      <c r="P50" s="105" t="str">
        <f>IFERROR(__xludf.DUMMYFUNCTION("""COMPUTED_VALUE"""),"libvirt-spice")</f>
        <v>libvirt-spice</v>
      </c>
      <c r="Q50" s="178" t="str">
        <f>IFERROR(__xludf.DUMMYFUNCTION("""COMPUTED_VALUE"""),"https://blueprints.launchpad.net/nova/+spec/libvirt-spice")</f>
        <v>https://blueprints.launchpad.net/nova/+spec/libvirt-spice</v>
      </c>
      <c r="R50" s="105" t="str">
        <f>IFERROR(__xludf.DUMMYFUNCTION("""COMPUTED_VALUE"""),"No, however, check in the right corner of the bug description")</f>
        <v>No, however, check in the right corner of the bug description</v>
      </c>
      <c r="S50" s="105">
        <f>IFERROR(__xludf.DUMMYFUNCTION("""COMPUTED_VALUE"""),0.0)</f>
        <v>0</v>
      </c>
      <c r="T50" s="105" t="str">
        <f>IFERROR(__xludf.DUMMYFUNCTION("""COMPUTED_VALUE"""),"None identified")</f>
        <v>None identified</v>
      </c>
      <c r="U50" s="105"/>
      <c r="V50" s="105"/>
      <c r="W50" s="54" t="str">
        <f>IFERROR(__xludf.DUMMYFUNCTION("""COMPUTED_VALUE"""),"NOVA")</f>
        <v>NOVA</v>
      </c>
      <c r="X50" s="180" t="str">
        <f>IFERROR(__xludf.DUMMYFUNCTION("""COMPUTED_VALUE"""),"https://www.mail-archive.com/openstack-dev@lists.openstack.org/ ")</f>
        <v>https://www.mail-archive.com/openstack-dev@lists.openstack.org/ </v>
      </c>
      <c r="Y50" s="54" t="str">
        <f>IFERROR(__xludf.DUMMYFUNCTION("""COMPUTED_VALUE"""),"nova/console/websocketproxy.py")</f>
        <v>nova/console/websocketproxy.py</v>
      </c>
      <c r="Z50" s="54" t="str">
        <f>IFERROR(__xludf.DUMMYFUNCTION("""COMPUTED_VALUE"""),"/console/websocketproxy.py")</f>
        <v>/console/websocketproxy.py</v>
      </c>
      <c r="AA50" s="54">
        <f>IFERROR(__xludf.DUMMYFUNCTION("""COMPUTED_VALUE"""),0.0)</f>
        <v>0</v>
      </c>
      <c r="AB50" s="54" t="str">
        <f>IFERROR(__xludf.DUMMYFUNCTION("""COMPUTED_VALUE"""),"Note49")</f>
        <v>Note49</v>
      </c>
      <c r="AC50" s="54" t="str">
        <f t="shared" si="1"/>
        <v>NOVA 1375379</v>
      </c>
    </row>
    <row r="51">
      <c r="A51" s="105" t="str">
        <f>IFERROR(__xludf.DUMMYFUNCTION("""COMPUTED_VALUE"""),"NOVA 1381468")</f>
        <v>NOVA 1381468</v>
      </c>
      <c r="B51" s="105">
        <f>IFERROR(__xludf.DUMMYFUNCTION("""COMPUTED_VALUE"""),1381468.0)</f>
        <v>1381468</v>
      </c>
      <c r="C51" s="178" t="str">
        <f>IFERROR(__xludf.DUMMYFUNCTION("""COMPUTED_VALUE"""),"https://bugs.launchpad.net/nova/+bug/1381468")</f>
        <v>https://bugs.launchpad.net/nova/+bug/1381468</v>
      </c>
      <c r="D51" s="105" t="str">
        <f>IFERROR(__xludf.DUMMYFUNCTION("""COMPUTED_VALUE"""),"fdcf358eaeef6edb5c8d2dcc94f906a22882544a")</f>
        <v>fdcf358eaeef6edb5c8d2dcc94f906a22882544a</v>
      </c>
      <c r="E51" s="178" t="str">
        <f>IFERROR(__xludf.DUMMYFUNCTION("""COMPUTED_VALUE"""),"https://opendev.org/openstack/nova/commit/fdcf358eaeef6edb5c8d2dcc94f906a22882544a")</f>
        <v>https://opendev.org/openstack/nova/commit/fdcf358eaeef6edb5c8d2dcc94f906a22882544a</v>
      </c>
      <c r="F51" s="105" t="str">
        <f>IFERROR(__xludf.DUMMYFUNCTION("""COMPUTED_VALUE"""),"30871e870")</f>
        <v>30871e870</v>
      </c>
      <c r="G51" s="178" t="str">
        <f>IFERROR(__xludf.DUMMYFUNCTION("""COMPUTED_VALUE"""),"https://opendev.org/openstack/nova/commit/30871e870")</f>
        <v>https://opendev.org/openstack/nova/commit/30871e870</v>
      </c>
      <c r="H51" s="105">
        <f>IFERROR(__xludf.DUMMYFUNCTION("""COMPUTED_VALUE"""),124714.0)</f>
        <v>124714</v>
      </c>
      <c r="I51" s="178" t="str">
        <f>IFERROR(__xludf.DUMMYFUNCTION("""COMPUTED_VALUE"""),"https://review.opendev.org/c/openstack/nova/+/124714")</f>
        <v>https://review.opendev.org/c/openstack/nova/+/124714</v>
      </c>
      <c r="J51" s="105">
        <f>IFERROR(__xludf.DUMMYFUNCTION("""COMPUTED_VALUE"""),1373993.0)</f>
        <v>1373993</v>
      </c>
      <c r="K51" s="178" t="str">
        <f>IFERROR(__xludf.DUMMYFUNCTION("""COMPUTED_VALUE"""),"https://bugs.launchpad.net/nova/+bug/1373993")</f>
        <v>https://bugs.launchpad.net/nova/+bug/1373993</v>
      </c>
      <c r="L51" s="105"/>
      <c r="M51" s="105"/>
      <c r="N51" s="105"/>
      <c r="O51" s="105"/>
      <c r="P51" s="105">
        <f>IFERROR(__xludf.DUMMYFUNCTION("""COMPUTED_VALUE"""),1373993.0)</f>
        <v>1373993</v>
      </c>
      <c r="Q51" s="178" t="str">
        <f>IFERROR(__xludf.DUMMYFUNCTION("""COMPUTED_VALUE"""),"https://bugs.launchpad.net/nova/+bug/1373993")</f>
        <v>https://bugs.launchpad.net/nova/+bug/1373993</v>
      </c>
      <c r="R51" s="105" t="str">
        <f>IFERROR(__xludf.DUMMYFUNCTION("""COMPUTED_VALUE"""),"No, however, check in the right corner of the bug description")</f>
        <v>No, however, check in the right corner of the bug description</v>
      </c>
      <c r="S51" s="105">
        <f>IFERROR(__xludf.DUMMYFUNCTION("""COMPUTED_VALUE"""),0.0)</f>
        <v>0</v>
      </c>
      <c r="T51" s="105" t="str">
        <f>IFERROR(__xludf.DUMMYFUNCTION("""COMPUTED_VALUE"""),"None identified")</f>
        <v>None identified</v>
      </c>
      <c r="U51" s="105"/>
      <c r="V51" s="105"/>
      <c r="W51" s="54" t="str">
        <f>IFERROR(__xludf.DUMMYFUNCTION("""COMPUTED_VALUE"""),"NOVA")</f>
        <v>NOVA</v>
      </c>
      <c r="X51" s="180" t="str">
        <f>IFERROR(__xludf.DUMMYFUNCTION("""COMPUTED_VALUE"""),"https://www.mail-archive.com/openstack-dev@lists.openstack.org/ ")</f>
        <v>https://www.mail-archive.com/openstack-dev@lists.openstack.org/ </v>
      </c>
      <c r="Y51" s="54" t="str">
        <f>IFERROR(__xludf.DUMMYFUNCTION("""COMPUTED_VALUE"""),"nova/scheduler/filters/trusted_filter.py")</f>
        <v>nova/scheduler/filters/trusted_filter.py</v>
      </c>
      <c r="Z51" s="54" t="str">
        <f>IFERROR(__xludf.DUMMYFUNCTION("""COMPUTED_VALUE"""),"/filters/trusted_filter.py")</f>
        <v>/filters/trusted_filter.py</v>
      </c>
      <c r="AA51" s="54">
        <f>IFERROR(__xludf.DUMMYFUNCTION("""COMPUTED_VALUE"""),0.0)</f>
        <v>0</v>
      </c>
      <c r="AB51" s="54" t="str">
        <f>IFERROR(__xludf.DUMMYFUNCTION("""COMPUTED_VALUE"""),"Note50")</f>
        <v>Note50</v>
      </c>
      <c r="AC51" s="54" t="str">
        <f t="shared" si="1"/>
        <v>NOVA 1381468</v>
      </c>
    </row>
    <row r="52">
      <c r="A52" s="105" t="str">
        <f>IFERROR(__xludf.DUMMYFUNCTION("""COMPUTED_VALUE"""),"NOVA 1392798")</f>
        <v>NOVA 1392798</v>
      </c>
      <c r="B52" s="105">
        <f>IFERROR(__xludf.DUMMYFUNCTION("""COMPUTED_VALUE"""),1392798.0)</f>
        <v>1392798</v>
      </c>
      <c r="C52" s="178" t="str">
        <f>IFERROR(__xludf.DUMMYFUNCTION("""COMPUTED_VALUE"""),"https://bugs.launchpad.net/nova/+bug/1392798")</f>
        <v>https://bugs.launchpad.net/nova/+bug/1392798</v>
      </c>
      <c r="D52" s="105" t="str">
        <f>IFERROR(__xludf.DUMMYFUNCTION("""COMPUTED_VALUE"""),"2aea3a3d54cbe0dc9ce2b8c504818baeb1542677")</f>
        <v>2aea3a3d54cbe0dc9ce2b8c504818baeb1542677</v>
      </c>
      <c r="E52" s="178" t="str">
        <f>IFERROR(__xludf.DUMMYFUNCTION("""COMPUTED_VALUE"""),"https://opendev.org/openstack/nova/commit/2aea3a3d54cbe0dc9ce2b8c504818baeb1542677")</f>
        <v>https://opendev.org/openstack/nova/commit/2aea3a3d54cbe0dc9ce2b8c504818baeb1542677</v>
      </c>
      <c r="F52" s="105" t="str">
        <f>IFERROR(__xludf.DUMMYFUNCTION("""COMPUTED_VALUE"""),"a9d0313c")</f>
        <v>a9d0313c</v>
      </c>
      <c r="G52" s="178" t="str">
        <f>IFERROR(__xludf.DUMMYFUNCTION("""COMPUTED_VALUE"""),"https://opendev.org/openstack/nova/commit/a9d0313c")</f>
        <v>https://opendev.org/openstack/nova/commit/a9d0313c</v>
      </c>
      <c r="H52" s="105">
        <f>IFERROR(__xludf.DUMMYFUNCTION("""COMPUTED_VALUE"""),22897.0)</f>
        <v>22897</v>
      </c>
      <c r="I52" s="178" t="str">
        <f>IFERROR(__xludf.DUMMYFUNCTION("""COMPUTED_VALUE"""),"https://review.opendev.org/c/openstack/nova/+/22897")</f>
        <v>https://review.opendev.org/c/openstack/nova/+/22897</v>
      </c>
      <c r="J52" s="105">
        <f>IFERROR(__xludf.DUMMYFUNCTION("""COMPUTED_VALUE"""),1131588.0)</f>
        <v>1131588</v>
      </c>
      <c r="K52" s="178" t="str">
        <f>IFERROR(__xludf.DUMMYFUNCTION("""COMPUTED_VALUE"""),"https://bugs.launchpad.net/nova/+bug/1131588")</f>
        <v>https://bugs.launchpad.net/nova/+bug/1131588</v>
      </c>
      <c r="L52" s="105"/>
      <c r="M52" s="105"/>
      <c r="N52" s="105"/>
      <c r="O52" s="105"/>
      <c r="P52" s="105">
        <f>IFERROR(__xludf.DUMMYFUNCTION("""COMPUTED_VALUE"""),1131588.0)</f>
        <v>1131588</v>
      </c>
      <c r="Q52" s="178" t="str">
        <f>IFERROR(__xludf.DUMMYFUNCTION("""COMPUTED_VALUE"""),"https://bugs.launchpad.net/nova/+bug/1131588")</f>
        <v>https://bugs.launchpad.net/nova/+bug/1131588</v>
      </c>
      <c r="R52" s="105" t="str">
        <f>IFERROR(__xludf.DUMMYFUNCTION("""COMPUTED_VALUE"""),"No, however, check in the right corner of the bug description")</f>
        <v>No, however, check in the right corner of the bug description</v>
      </c>
      <c r="S52" s="105">
        <f>IFERROR(__xludf.DUMMYFUNCTION("""COMPUTED_VALUE"""),0.0)</f>
        <v>0</v>
      </c>
      <c r="T52" s="105" t="str">
        <f>IFERROR(__xludf.DUMMYFUNCTION("""COMPUTED_VALUE"""),"None identified")</f>
        <v>None identified</v>
      </c>
      <c r="U52" s="105"/>
      <c r="V52" s="105"/>
      <c r="W52" s="54" t="str">
        <f>IFERROR(__xludf.DUMMYFUNCTION("""COMPUTED_VALUE"""),"NOVA")</f>
        <v>NOVA</v>
      </c>
      <c r="X52" s="180" t="str">
        <f>IFERROR(__xludf.DUMMYFUNCTION("""COMPUTED_VALUE"""),"https://www.mail-archive.com/openstack-dev@lists.openstack.org/ ")</f>
        <v>https://www.mail-archive.com/openstack-dev@lists.openstack.org/ </v>
      </c>
      <c r="Y52" s="54" t="str">
        <f>IFERROR(__xludf.DUMMYFUNCTION("""COMPUTED_VALUE"""),"nova/compute/manager.py")</f>
        <v>nova/compute/manager.py</v>
      </c>
      <c r="Z52" s="54" t="str">
        <f>IFERROR(__xludf.DUMMYFUNCTION("""COMPUTED_VALUE"""),"/compute/manager.py")</f>
        <v>/compute/manager.py</v>
      </c>
      <c r="AA52" s="54">
        <f>IFERROR(__xludf.DUMMYFUNCTION("""COMPUTED_VALUE"""),0.0)</f>
        <v>0</v>
      </c>
      <c r="AB52" s="54" t="str">
        <f>IFERROR(__xludf.DUMMYFUNCTION("""COMPUTED_VALUE"""),"Note51")</f>
        <v>Note51</v>
      </c>
      <c r="AC52" s="54" t="str">
        <f t="shared" si="1"/>
        <v>NOVA 1392798</v>
      </c>
    </row>
    <row r="53">
      <c r="A53" s="105" t="str">
        <f>IFERROR(__xludf.DUMMYFUNCTION("""COMPUTED_VALUE"""),"NOVA 1402535")</f>
        <v>NOVA 1402535</v>
      </c>
      <c r="B53" s="105">
        <f>IFERROR(__xludf.DUMMYFUNCTION("""COMPUTED_VALUE"""),1402535.0)</f>
        <v>1402535</v>
      </c>
      <c r="C53" s="178" t="str">
        <f>IFERROR(__xludf.DUMMYFUNCTION("""COMPUTED_VALUE"""),"https://bugs.launchpad.net/nova/+bug/1402535")</f>
        <v>https://bugs.launchpad.net/nova/+bug/1402535</v>
      </c>
      <c r="D53" s="105" t="str">
        <f>IFERROR(__xludf.DUMMYFUNCTION("""COMPUTED_VALUE"""),"2833f8c08fcfb7961b3c64b285ceff958bf5a05e")</f>
        <v>2833f8c08fcfb7961b3c64b285ceff958bf5a05e</v>
      </c>
      <c r="E53" s="178" t="str">
        <f>IFERROR(__xludf.DUMMYFUNCTION("""COMPUTED_VALUE"""),"https://opendev.org/openstack/nova/commit/2833f8c08fcfb7961b3c64b285ceff958bf5a05e")</f>
        <v>https://opendev.org/openstack/nova/commit/2833f8c08fcfb7961b3c64b285ceff958bf5a05e</v>
      </c>
      <c r="F53" s="105" t="str">
        <f>IFERROR(__xludf.DUMMYFUNCTION("""COMPUTED_VALUE"""),"933365a58")</f>
        <v>933365a58</v>
      </c>
      <c r="G53" s="178" t="str">
        <f>IFERROR(__xludf.DUMMYFUNCTION("""COMPUTED_VALUE"""),"https://opendev.org/openstack/nova/commit/933365a58")</f>
        <v>https://opendev.org/openstack/nova/commit/933365a58</v>
      </c>
      <c r="H53" s="105">
        <f>IFERROR(__xludf.DUMMYFUNCTION("""COMPUTED_VALUE"""),17946.0)</f>
        <v>17946</v>
      </c>
      <c r="I53" s="178" t="str">
        <f>IFERROR(__xludf.DUMMYFUNCTION("""COMPUTED_VALUE"""),"https://review.opendev.org/c/openstack/nova/+/17946")</f>
        <v>https://review.opendev.org/c/openstack/nova/+/17946</v>
      </c>
      <c r="J53" s="105" t="str">
        <f>IFERROR(__xludf.DUMMYFUNCTION("""COMPUTED_VALUE"""),"NA")</f>
        <v>NA</v>
      </c>
      <c r="K53" s="105"/>
      <c r="L53" s="105"/>
      <c r="M53" s="105"/>
      <c r="N53" s="105"/>
      <c r="O53" s="105"/>
      <c r="P53" s="105" t="str">
        <f>IFERROR(__xludf.DUMMYFUNCTION("""COMPUTED_VALUE"""),"NA")</f>
        <v>NA</v>
      </c>
      <c r="Q53" s="105"/>
      <c r="R53" s="105" t="str">
        <f>IFERROR(__xludf.DUMMYFUNCTION("""COMPUTED_VALUE"""),"No, however, check in the right corner of the bug description")</f>
        <v>No, however, check in the right corner of the bug description</v>
      </c>
      <c r="S53" s="105">
        <f>IFERROR(__xludf.DUMMYFUNCTION("""COMPUTED_VALUE"""),0.0)</f>
        <v>0</v>
      </c>
      <c r="T53" s="105" t="str">
        <f>IFERROR(__xludf.DUMMYFUNCTION("""COMPUTED_VALUE"""),"None identified")</f>
        <v>None identified</v>
      </c>
      <c r="U53" s="105"/>
      <c r="V53" s="105"/>
      <c r="W53" s="54" t="str">
        <f>IFERROR(__xludf.DUMMYFUNCTION("""COMPUTED_VALUE"""),"NOVA")</f>
        <v>NOVA</v>
      </c>
      <c r="X53" s="180" t="str">
        <f>IFERROR(__xludf.DUMMYFUNCTION("""COMPUTED_VALUE"""),"https://www.mail-archive.com/openstack-dev@lists.openstack.org/ ")</f>
        <v>https://www.mail-archive.com/openstack-dev@lists.openstack.org/ </v>
      </c>
      <c r="Y53" s="54" t="str">
        <f>IFERROR(__xludf.DUMMYFUNCTION("""COMPUTED_VALUE"""),"nova/virt/libvirt/volume.py")</f>
        <v>nova/virt/libvirt/volume.py</v>
      </c>
      <c r="Z53" s="54" t="str">
        <f>IFERROR(__xludf.DUMMYFUNCTION("""COMPUTED_VALUE"""),"/virt/libvirt/volume.py")</f>
        <v>/virt/libvirt/volume.py</v>
      </c>
      <c r="AA53" s="54">
        <f>IFERROR(__xludf.DUMMYFUNCTION("""COMPUTED_VALUE"""),0.0)</f>
        <v>0</v>
      </c>
      <c r="AB53" s="54" t="str">
        <f>IFERROR(__xludf.DUMMYFUNCTION("""COMPUTED_VALUE"""),"Note52")</f>
        <v>Note52</v>
      </c>
      <c r="AC53" s="54" t="str">
        <f t="shared" si="1"/>
        <v>NOVA 1402535</v>
      </c>
    </row>
    <row r="54">
      <c r="A54" s="105" t="str">
        <f>IFERROR(__xludf.DUMMYFUNCTION("""COMPUTED_VALUE"""),"NOVA 1402728")</f>
        <v>NOVA 1402728</v>
      </c>
      <c r="B54" s="105">
        <f>IFERROR(__xludf.DUMMYFUNCTION("""COMPUTED_VALUE"""),1402728.0)</f>
        <v>1402728</v>
      </c>
      <c r="C54" s="178" t="str">
        <f>IFERROR(__xludf.DUMMYFUNCTION("""COMPUTED_VALUE"""),"https://bugs.launchpad.net/nova/+bug/1402728")</f>
        <v>https://bugs.launchpad.net/nova/+bug/1402728</v>
      </c>
      <c r="D54" s="105" t="str">
        <f>IFERROR(__xludf.DUMMYFUNCTION("""COMPUTED_VALUE"""),"1b2aa11758fd52acdec0289777d276303555903b")</f>
        <v>1b2aa11758fd52acdec0289777d276303555903b</v>
      </c>
      <c r="E54" s="178" t="str">
        <f>IFERROR(__xludf.DUMMYFUNCTION("""COMPUTED_VALUE"""),"https://opendev.org/openstack/nova/commit/1b2aa11758fd52acdec0289777d276303555903b")</f>
        <v>https://opendev.org/openstack/nova/commit/1b2aa11758fd52acdec0289777d276303555903b</v>
      </c>
      <c r="F54" s="105" t="str">
        <f>IFERROR(__xludf.DUMMYFUNCTION("""COMPUTED_VALUE"""),"2bcda65d512")</f>
        <v>2bcda65d512</v>
      </c>
      <c r="G54" s="178" t="str">
        <f>IFERROR(__xludf.DUMMYFUNCTION("""COMPUTED_VALUE"""),"https://opendev.org/openstack/nova/commit/2bcda65d512")</f>
        <v>https://opendev.org/openstack/nova/commit/2bcda65d512</v>
      </c>
      <c r="H54" s="105">
        <f>IFERROR(__xludf.DUMMYFUNCTION("""COMPUTED_VALUE"""),107009.0)</f>
        <v>107009</v>
      </c>
      <c r="I54" s="178" t="str">
        <f>IFERROR(__xludf.DUMMYFUNCTION("""COMPUTED_VALUE"""),"https://review.opendev.org/c/openstack/nova/+/107009")</f>
        <v>https://review.opendev.org/c/openstack/nova/+/107009</v>
      </c>
      <c r="J54" s="105" t="str">
        <f>IFERROR(__xludf.DUMMYFUNCTION("""COMPUTED_VALUE"""),"NA")</f>
        <v>NA</v>
      </c>
      <c r="K54" s="105"/>
      <c r="L54" s="105"/>
      <c r="M54" s="105"/>
      <c r="N54" s="105"/>
      <c r="O54" s="105"/>
      <c r="P54" s="105" t="str">
        <f>IFERROR(__xludf.DUMMYFUNCTION("""COMPUTED_VALUE"""),"NA")</f>
        <v>NA</v>
      </c>
      <c r="Q54" s="105"/>
      <c r="R54" s="105" t="str">
        <f>IFERROR(__xludf.DUMMYFUNCTION("""COMPUTED_VALUE"""),"No, however, check in the right corner of the bug description")</f>
        <v>No, however, check in the right corner of the bug description</v>
      </c>
      <c r="S54" s="105">
        <f>IFERROR(__xludf.DUMMYFUNCTION("""COMPUTED_VALUE"""),0.0)</f>
        <v>0</v>
      </c>
      <c r="T54" s="105" t="str">
        <f>IFERROR(__xludf.DUMMYFUNCTION("""COMPUTED_VALUE"""),"None identified")</f>
        <v>None identified</v>
      </c>
      <c r="U54" s="105"/>
      <c r="V54" s="105"/>
      <c r="W54" s="54" t="str">
        <f>IFERROR(__xludf.DUMMYFUNCTION("""COMPUTED_VALUE"""),"NOVA")</f>
        <v>NOVA</v>
      </c>
      <c r="X54" s="180" t="str">
        <f>IFERROR(__xludf.DUMMYFUNCTION("""COMPUTED_VALUE"""),"https://www.mail-archive.com/openstack-dev@lists.openstack.org/ ")</f>
        <v>https://www.mail-archive.com/openstack-dev@lists.openstack.org/ </v>
      </c>
      <c r="Y54" s="54" t="str">
        <f>IFERROR(__xludf.DUMMYFUNCTION("""COMPUTED_VALUE"""),"nova/virt/vmwareapi/vm_util.py,nova/virt/vmwareapi/vmops.py 
")</f>
        <v>nova/virt/vmwareapi/vm_util.py,nova/virt/vmwareapi/vmops.py 
</v>
      </c>
      <c r="Z54" s="54" t="str">
        <f>IFERROR(__xludf.DUMMYFUNCTION("""COMPUTED_VALUE"""),"/vmwareapi/vm_util.py
/vmwareapi/vmops.py ")</f>
        <v>/vmwareapi/vm_util.py
/vmwareapi/vmops.py </v>
      </c>
      <c r="AA54" s="54">
        <f>IFERROR(__xludf.DUMMYFUNCTION("""COMPUTED_VALUE"""),1.0)</f>
        <v>1</v>
      </c>
      <c r="AB54" s="54" t="str">
        <f>IFERROR(__xludf.DUMMYFUNCTION("""COMPUTED_VALUE"""),"Note53")</f>
        <v>Note53</v>
      </c>
      <c r="AC54" s="54" t="str">
        <f t="shared" si="1"/>
        <v>NOVA 1402728</v>
      </c>
    </row>
    <row r="55">
      <c r="A55" s="105" t="str">
        <f>IFERROR(__xludf.DUMMYFUNCTION("""COMPUTED_VALUE"""),"NOVA 1403544")</f>
        <v>NOVA 1403544</v>
      </c>
      <c r="B55" s="105">
        <f>IFERROR(__xludf.DUMMYFUNCTION("""COMPUTED_VALUE"""),1403544.0)</f>
        <v>1403544</v>
      </c>
      <c r="C55" s="178" t="str">
        <f>IFERROR(__xludf.DUMMYFUNCTION("""COMPUTED_VALUE"""),"https://bugs.launchpad.net/nova/+bug/1403544")</f>
        <v>https://bugs.launchpad.net/nova/+bug/1403544</v>
      </c>
      <c r="D55" s="105" t="str">
        <f>IFERROR(__xludf.DUMMYFUNCTION("""COMPUTED_VALUE"""),"2ad3009f3595e701a866f265263ca3a0a8ef09dc")</f>
        <v>2ad3009f3595e701a866f265263ca3a0a8ef09dc</v>
      </c>
      <c r="E55" s="178" t="str">
        <f>IFERROR(__xludf.DUMMYFUNCTION("""COMPUTED_VALUE"""),"https://opendev.org/openstack/nova/commit/2ad3009f3595e701a866f265263ca3a0a8ef09dc")</f>
        <v>https://opendev.org/openstack/nova/commit/2ad3009f3595e701a866f265263ca3a0a8ef09dc</v>
      </c>
      <c r="F55" s="105" t="str">
        <f>IFERROR(__xludf.DUMMYFUNCTION("""COMPUTED_VALUE"""),"6956057ac490c788")</f>
        <v>6956057ac490c788</v>
      </c>
      <c r="G55" s="178" t="str">
        <f>IFERROR(__xludf.DUMMYFUNCTION("""COMPUTED_VALUE"""),"https://opendev.org/openstack/nova/commit/6956057ac490c788")</f>
        <v>https://opendev.org/openstack/nova/commit/6956057ac490c788</v>
      </c>
      <c r="H55" s="105" t="str">
        <f>IFERROR(__xludf.DUMMYFUNCTION("""COMPUTED_VALUE"""),"NA")</f>
        <v>NA</v>
      </c>
      <c r="I55" s="105" t="str">
        <f>IFERROR(__xludf.DUMMYFUNCTION("""COMPUTED_VALUE"""),"No information available")</f>
        <v>No information available</v>
      </c>
      <c r="J55" s="105" t="str">
        <f>IFERROR(__xludf.DUMMYFUNCTION("""COMPUTED_VALUE"""),"NA")</f>
        <v>NA</v>
      </c>
      <c r="K55" s="105"/>
      <c r="L55" s="105"/>
      <c r="M55" s="105"/>
      <c r="N55" s="105"/>
      <c r="O55" s="105"/>
      <c r="P55" s="105" t="str">
        <f>IFERROR(__xludf.DUMMYFUNCTION("""COMPUTED_VALUE"""),"NA")</f>
        <v>NA</v>
      </c>
      <c r="Q55" s="105"/>
      <c r="R55" s="105" t="str">
        <f>IFERROR(__xludf.DUMMYFUNCTION("""COMPUTED_VALUE"""),"No, however, check in the right corner of the bug description")</f>
        <v>No, however, check in the right corner of the bug description</v>
      </c>
      <c r="S55" s="105">
        <f>IFERROR(__xludf.DUMMYFUNCTION("""COMPUTED_VALUE"""),0.0)</f>
        <v>0</v>
      </c>
      <c r="T55" s="105" t="str">
        <f>IFERROR(__xludf.DUMMYFUNCTION("""COMPUTED_VALUE"""),"None identified")</f>
        <v>None identified</v>
      </c>
      <c r="U55" s="105"/>
      <c r="V55" s="105"/>
      <c r="W55" s="54" t="str">
        <f>IFERROR(__xludf.DUMMYFUNCTION("""COMPUTED_VALUE"""),"NOVA")</f>
        <v>NOVA</v>
      </c>
      <c r="X55" s="180" t="str">
        <f>IFERROR(__xludf.DUMMYFUNCTION("""COMPUTED_VALUE"""),"https://www.mail-archive.com/openstack-dev@lists.openstack.org/ ")</f>
        <v>https://www.mail-archive.com/openstack-dev@lists.openstack.org/ </v>
      </c>
      <c r="Y55" s="54" t="str">
        <f>IFERROR(__xludf.DUMMYFUNCTION("""COMPUTED_VALUE"""),"nova/compute/api.py")</f>
        <v>nova/compute/api.py</v>
      </c>
      <c r="Z55" s="54" t="str">
        <f>IFERROR(__xludf.DUMMYFUNCTION("""COMPUTED_VALUE"""),"/compute/api.py")</f>
        <v>/compute/api.py</v>
      </c>
      <c r="AA55" s="54">
        <f>IFERROR(__xludf.DUMMYFUNCTION("""COMPUTED_VALUE"""),0.0)</f>
        <v>0</v>
      </c>
      <c r="AB55" s="54" t="str">
        <f>IFERROR(__xludf.DUMMYFUNCTION("""COMPUTED_VALUE"""),"Note54")</f>
        <v>Note54</v>
      </c>
      <c r="AC55" s="54" t="str">
        <f t="shared" si="1"/>
        <v>NOVA 1403544</v>
      </c>
    </row>
    <row r="56">
      <c r="A56" s="105" t="str">
        <f>IFERROR(__xludf.DUMMYFUNCTION("""COMPUTED_VALUE"""),"NOVA 1419002")</f>
        <v>NOVA 1419002</v>
      </c>
      <c r="B56" s="105">
        <f>IFERROR(__xludf.DUMMYFUNCTION("""COMPUTED_VALUE"""),1419002.0)</f>
        <v>1419002</v>
      </c>
      <c r="C56" s="178" t="str">
        <f>IFERROR(__xludf.DUMMYFUNCTION("""COMPUTED_VALUE"""),"https://bugs.launchpad.net/nova/+bug/1419002")</f>
        <v>https://bugs.launchpad.net/nova/+bug/1419002</v>
      </c>
      <c r="D56" s="105" t="str">
        <f>IFERROR(__xludf.DUMMYFUNCTION("""COMPUTED_VALUE"""),"b838ca28e0ffda21b298a4514a647fc74c154f4a")</f>
        <v>b838ca28e0ffda21b298a4514a647fc74c154f4a</v>
      </c>
      <c r="E56" s="178" t="str">
        <f>IFERROR(__xludf.DUMMYFUNCTION("""COMPUTED_VALUE"""),"https://opendev.org/openstack/nova/commit/b838ca28e0ffda21b298a4514a647fc74c154f4a")</f>
        <v>https://opendev.org/openstack/nova/commit/b838ca28e0ffda21b298a4514a647fc74c154f4a</v>
      </c>
      <c r="F56" s="105" t="str">
        <f>IFERROR(__xludf.DUMMYFUNCTION("""COMPUTED_VALUE"""),"2ef03c6a0a8c5705")</f>
        <v>2ef03c6a0a8c5705</v>
      </c>
      <c r="G56" s="178" t="str">
        <f>IFERROR(__xludf.DUMMYFUNCTION("""COMPUTED_VALUE"""),"https://opendev.org/openstack/nova/commit/2ef03c6a0a8c5705")</f>
        <v>https://opendev.org/openstack/nova/commit/2ef03c6a0a8c5705</v>
      </c>
      <c r="H56" s="105" t="str">
        <f>IFERROR(__xludf.DUMMYFUNCTION("""COMPUTED_VALUE"""),"NA")</f>
        <v>NA</v>
      </c>
      <c r="I56" s="105" t="str">
        <f>IFERROR(__xludf.DUMMYFUNCTION("""COMPUTED_VALUE"""),"No information available")</f>
        <v>No information available</v>
      </c>
      <c r="J56" s="105" t="str">
        <f>IFERROR(__xludf.DUMMYFUNCTION("""COMPUTED_VALUE"""),"NA")</f>
        <v>NA</v>
      </c>
      <c r="K56" s="105"/>
      <c r="L56" s="105"/>
      <c r="M56" s="105"/>
      <c r="N56" s="105"/>
      <c r="O56" s="105"/>
      <c r="P56" s="105" t="str">
        <f>IFERROR(__xludf.DUMMYFUNCTION("""COMPUTED_VALUE"""),"NA")</f>
        <v>NA</v>
      </c>
      <c r="Q56" s="105"/>
      <c r="R56" s="105" t="str">
        <f>IFERROR(__xludf.DUMMYFUNCTION("""COMPUTED_VALUE"""),"No, however, check in the right corner of the bug description")</f>
        <v>No, however, check in the right corner of the bug description</v>
      </c>
      <c r="S56" s="105">
        <f>IFERROR(__xludf.DUMMYFUNCTION("""COMPUTED_VALUE"""),0.0)</f>
        <v>0</v>
      </c>
      <c r="T56" s="105" t="str">
        <f>IFERROR(__xludf.DUMMYFUNCTION("""COMPUTED_VALUE"""),"None identified")</f>
        <v>None identified</v>
      </c>
      <c r="U56" s="105"/>
      <c r="V56" s="105"/>
      <c r="W56" s="54" t="str">
        <f>IFERROR(__xludf.DUMMYFUNCTION("""COMPUTED_VALUE"""),"NOVA")</f>
        <v>NOVA</v>
      </c>
      <c r="X56" s="180" t="str">
        <f>IFERROR(__xludf.DUMMYFUNCTION("""COMPUTED_VALUE"""),"https://www.mail-archive.com/openstack-dev@lists.openstack.org/ ")</f>
        <v>https://www.mail-archive.com/openstack-dev@lists.openstack.org/ </v>
      </c>
      <c r="Y56" s="54" t="str">
        <f>IFERROR(__xludf.DUMMYFUNCTION("""COMPUTED_VALUE"""),"nova/virt/libvirt/driver.py, nova/compute/utils.py")</f>
        <v>nova/virt/libvirt/driver.py, nova/compute/utils.py</v>
      </c>
      <c r="Z56" s="54" t="str">
        <f>IFERROR(__xludf.DUMMYFUNCTION("""COMPUTED_VALUE"""),"/libvirt/driver.py
/compute/utils.py")</f>
        <v>/libvirt/driver.py
/compute/utils.py</v>
      </c>
      <c r="AA56" s="54">
        <f>IFERROR(__xludf.DUMMYFUNCTION("""COMPUTED_VALUE"""),1.0)</f>
        <v>1</v>
      </c>
      <c r="AB56" s="54" t="str">
        <f>IFERROR(__xludf.DUMMYFUNCTION("""COMPUTED_VALUE"""),"Note55")</f>
        <v>Note55</v>
      </c>
      <c r="AC56" s="54" t="str">
        <f t="shared" si="1"/>
        <v>NOVA 1419002</v>
      </c>
    </row>
    <row r="57">
      <c r="A57" s="105" t="str">
        <f>IFERROR(__xludf.DUMMYFUNCTION("""COMPUTED_VALUE"""),"NOVA 1424647")</f>
        <v>NOVA 1424647</v>
      </c>
      <c r="B57" s="105">
        <f>IFERROR(__xludf.DUMMYFUNCTION("""COMPUTED_VALUE"""),1424647.0)</f>
        <v>1424647</v>
      </c>
      <c r="C57" s="178" t="str">
        <f>IFERROR(__xludf.DUMMYFUNCTION("""COMPUTED_VALUE"""),"https://bugs.launchpad.net/nova/+bug/1424647")</f>
        <v>https://bugs.launchpad.net/nova/+bug/1424647</v>
      </c>
      <c r="D57" s="105" t="str">
        <f>IFERROR(__xludf.DUMMYFUNCTION("""COMPUTED_VALUE"""),"8f060f07c7eeb1d1356f0ce6c0e1ca6ec4ec0b96")</f>
        <v>8f060f07c7eeb1d1356f0ce6c0e1ca6ec4ec0b96</v>
      </c>
      <c r="E57" s="178" t="str">
        <f>IFERROR(__xludf.DUMMYFUNCTION("""COMPUTED_VALUE"""),"https://opendev.org/openstack/nova/commit/8f060f07c7eeb1d1356f0ce6c0e1ca6ec4ec0b96")</f>
        <v>https://opendev.org/openstack/nova/commit/8f060f07c7eeb1d1356f0ce6c0e1ca6ec4ec0b96</v>
      </c>
      <c r="F57" s="105" t="str">
        <f>IFERROR(__xludf.DUMMYFUNCTION("""COMPUTED_VALUE"""),"d2cbb9a")</f>
        <v>d2cbb9a</v>
      </c>
      <c r="G57" s="178" t="str">
        <f>IFERROR(__xludf.DUMMYFUNCTION("""COMPUTED_VALUE"""),"https://opendev.org/openstack/nova/commit/d2cbb9a")</f>
        <v>https://opendev.org/openstack/nova/commit/d2cbb9a</v>
      </c>
      <c r="H57" s="105">
        <f>IFERROR(__xludf.DUMMYFUNCTION("""COMPUTED_VALUE"""),119396.0)</f>
        <v>119396</v>
      </c>
      <c r="I57" s="178" t="str">
        <f>IFERROR(__xludf.DUMMYFUNCTION("""COMPUTED_VALUE"""),"https://review.opendev.org/c/openstack/nova/+/119396")</f>
        <v>https://review.opendev.org/c/openstack/nova/+/119396</v>
      </c>
      <c r="J57" s="105" t="str">
        <f>IFERROR(__xludf.DUMMYFUNCTION("""COMPUTED_VALUE"""),"NA")</f>
        <v>NA</v>
      </c>
      <c r="K57" s="105"/>
      <c r="L57" s="105"/>
      <c r="M57" s="105"/>
      <c r="N57" s="105"/>
      <c r="O57" s="105"/>
      <c r="P57" s="105" t="str">
        <f>IFERROR(__xludf.DUMMYFUNCTION("""COMPUTED_VALUE"""),"NA")</f>
        <v>NA</v>
      </c>
      <c r="Q57" s="105"/>
      <c r="R57" s="105" t="str">
        <f>IFERROR(__xludf.DUMMYFUNCTION("""COMPUTED_VALUE"""),"Yes (1)")</f>
        <v>Yes (1)</v>
      </c>
      <c r="S57" s="105">
        <f>IFERROR(__xludf.DUMMYFUNCTION("""COMPUTED_VALUE"""),1.0)</f>
        <v>1</v>
      </c>
      <c r="T57" s="105" t="str">
        <f>IFERROR(__xludf.DUMMYFUNCTION("""COMPUTED_VALUE"""),"None identified")</f>
        <v>None identified</v>
      </c>
      <c r="U57" s="105">
        <f>IFERROR(__xludf.DUMMYFUNCTION("""COMPUTED_VALUE"""),1425178.0)</f>
        <v>1425178</v>
      </c>
      <c r="V57" s="178" t="str">
        <f>IFERROR(__xludf.DUMMYFUNCTION("""COMPUTED_VALUE"""),"https://bugs.launchpad.net/nova/+bug/1425178")</f>
        <v>https://bugs.launchpad.net/nova/+bug/1425178</v>
      </c>
      <c r="W57" s="54" t="str">
        <f>IFERROR(__xludf.DUMMYFUNCTION("""COMPUTED_VALUE"""),"NOVA")</f>
        <v>NOVA</v>
      </c>
      <c r="X57" s="180" t="str">
        <f>IFERROR(__xludf.DUMMYFUNCTION("""COMPUTED_VALUE"""),"https://www.mail-archive.com/openstack-dev@lists.openstack.org/ ")</f>
        <v>https://www.mail-archive.com/openstack-dev@lists.openstack.org/ </v>
      </c>
      <c r="Y57" s="54" t="str">
        <f>IFERROR(__xludf.DUMMYFUNCTION("""COMPUTED_VALUE"""),"nova/cmd/baseproxy.py, nova/cmd/novncproxy.py, nova/cmd/serialproxy.py, nova/cmd/spicehtml5proxy.py 
")</f>
        <v>nova/cmd/baseproxy.py, nova/cmd/novncproxy.py, nova/cmd/serialproxy.py, nova/cmd/spicehtml5proxy.py 
</v>
      </c>
      <c r="Z57" s="54" t="str">
        <f>IFERROR(__xludf.DUMMYFUNCTION("""COMPUTED_VALUE"""),"/cmd/baseproxy.py
/cmd/novncproxy.py
/cmd/serialproxy.py
/cmd/spicehtml5proxy.py ")</f>
        <v>/cmd/baseproxy.py
/cmd/novncproxy.py
/cmd/serialproxy.py
/cmd/spicehtml5proxy.py </v>
      </c>
      <c r="AA57" s="54">
        <f>IFERROR(__xludf.DUMMYFUNCTION("""COMPUTED_VALUE"""),3.0)</f>
        <v>3</v>
      </c>
      <c r="AB57" s="54" t="str">
        <f>IFERROR(__xludf.DUMMYFUNCTION("""COMPUTED_VALUE"""),"Note56")</f>
        <v>Note56</v>
      </c>
      <c r="AC57" s="54" t="str">
        <f t="shared" si="1"/>
        <v>NOVA 1424647</v>
      </c>
    </row>
    <row r="58">
      <c r="A58" s="105" t="str">
        <f>IFERROR(__xludf.DUMMYFUNCTION("""COMPUTED_VALUE"""),"NOVA 1434855")</f>
        <v>NOVA 1434855</v>
      </c>
      <c r="B58" s="105">
        <f>IFERROR(__xludf.DUMMYFUNCTION("""COMPUTED_VALUE"""),1434855.0)</f>
        <v>1434855</v>
      </c>
      <c r="C58" s="178" t="str">
        <f>IFERROR(__xludf.DUMMYFUNCTION("""COMPUTED_VALUE"""),"https://bugs.launchpad.net/nova/+bug/1434855")</f>
        <v>https://bugs.launchpad.net/nova/+bug/1434855</v>
      </c>
      <c r="D58" s="105" t="str">
        <f>IFERROR(__xludf.DUMMYFUNCTION("""COMPUTED_VALUE"""),"ae3c63502096b9e16bd02f356286e396e4abb0de")</f>
        <v>ae3c63502096b9e16bd02f356286e396e4abb0de</v>
      </c>
      <c r="E58" s="178" t="str">
        <f>IFERROR(__xludf.DUMMYFUNCTION("""COMPUTED_VALUE"""),"https://opendev.org/openstack/nova/commit/ae3c63502096b9e16bd02f356286e396e4abb0de")</f>
        <v>https://opendev.org/openstack/nova/commit/ae3c63502096b9e16bd02f356286e396e4abb0de</v>
      </c>
      <c r="F58" s="105" t="str">
        <f>IFERROR(__xludf.DUMMYFUNCTION("""COMPUTED_VALUE"""),"abc656d")</f>
        <v>abc656d</v>
      </c>
      <c r="G58" s="178" t="str">
        <f>IFERROR(__xludf.DUMMYFUNCTION("""COMPUTED_VALUE"""),"https://opendev.org/openstack/nova/commit/abc656d")</f>
        <v>https://opendev.org/openstack/nova/commit/abc656d</v>
      </c>
      <c r="H58" s="105">
        <f>IFERROR(__xludf.DUMMYFUNCTION("""COMPUTED_VALUE"""),155853.0)</f>
        <v>155853</v>
      </c>
      <c r="I58" s="178" t="str">
        <f>IFERROR(__xludf.DUMMYFUNCTION("""COMPUTED_VALUE"""),"https://review.opendev.org/c/openstack/nova/+/155853")</f>
        <v>https://review.opendev.org/c/openstack/nova/+/155853</v>
      </c>
      <c r="J58" s="105" t="str">
        <f>IFERROR(__xludf.DUMMYFUNCTION("""COMPUTED_VALUE"""),"blueprint ec2-api")</f>
        <v>blueprint ec2-api</v>
      </c>
      <c r="K58" s="178" t="str">
        <f>IFERROR(__xludf.DUMMYFUNCTION("""COMPUTED_VALUE"""),"https://blueprints.launchpad.net/nova/+spec/ec2-api")</f>
        <v>https://blueprints.launchpad.net/nova/+spec/ec2-api</v>
      </c>
      <c r="L58" s="105"/>
      <c r="M58" s="105"/>
      <c r="N58" s="105"/>
      <c r="O58" s="105"/>
      <c r="P58" s="105" t="str">
        <f>IFERROR(__xludf.DUMMYFUNCTION("""COMPUTED_VALUE"""),"blueprint ec2-api")</f>
        <v>blueprint ec2-api</v>
      </c>
      <c r="Q58" s="178" t="str">
        <f>IFERROR(__xludf.DUMMYFUNCTION("""COMPUTED_VALUE"""),"https://blueprints.launchpad.net/nova/+spec/ec2-api")</f>
        <v>https://blueprints.launchpad.net/nova/+spec/ec2-api</v>
      </c>
      <c r="R58" s="105" t="str">
        <f>IFERROR(__xludf.DUMMYFUNCTION("""COMPUTED_VALUE"""),"No, however, check in the right corner of the bug description")</f>
        <v>No, however, check in the right corner of the bug description</v>
      </c>
      <c r="S58" s="105">
        <f>IFERROR(__xludf.DUMMYFUNCTION("""COMPUTED_VALUE"""),1.0)</f>
        <v>1</v>
      </c>
      <c r="T58" s="178" t="str">
        <f>IFERROR(__xludf.DUMMYFUNCTION("""COMPUTED_VALUE"""),"https://opendev.org/openstack/nova/commit/abc656d")</f>
        <v>https://opendev.org/openstack/nova/commit/abc656d</v>
      </c>
      <c r="U58" s="105"/>
      <c r="V58" s="105"/>
      <c r="W58" s="54" t="str">
        <f>IFERROR(__xludf.DUMMYFUNCTION("""COMPUTED_VALUE"""),"NOVA")</f>
        <v>NOVA</v>
      </c>
      <c r="X58" s="180" t="str">
        <f>IFERROR(__xludf.DUMMYFUNCTION("""COMPUTED_VALUE"""),"https://www.mail-archive.com/openstack-dev@lists.openstack.org/ ")</f>
        <v>https://www.mail-archive.com/openstack-dev@lists.openstack.org/ </v>
      </c>
      <c r="Y58" s="54" t="str">
        <f>IFERROR(__xludf.DUMMYFUNCTION("""COMPUTED_VALUE"""),"doc/v3/api_samples/os-extended-volumes/v2.3/server-get-resp.json, doc/v3/api_samples/os-extended-volumes/v2.3/servers-detail-resp.json 
")</f>
        <v>doc/v3/api_samples/os-extended-volumes/v2.3/server-get-resp.json, doc/v3/api_samples/os-extended-volumes/v2.3/servers-detail-resp.json 
</v>
      </c>
      <c r="Z58" s="54" t="str">
        <f>IFERROR(__xludf.DUMMYFUNCTION("""COMPUTED_VALUE"""),"/os-extended-volumes/v2.3/server-get-resp.json
/os-extended-volumes/v2.3/servers-detail-resp.json ")</f>
        <v>/os-extended-volumes/v2.3/server-get-resp.json
/os-extended-volumes/v2.3/servers-detail-resp.json </v>
      </c>
      <c r="AA58" s="54">
        <f>IFERROR(__xludf.DUMMYFUNCTION("""COMPUTED_VALUE"""),1.0)</f>
        <v>1</v>
      </c>
      <c r="AB58" s="54" t="str">
        <f>IFERROR(__xludf.DUMMYFUNCTION("""COMPUTED_VALUE"""),"Note57")</f>
        <v>Note57</v>
      </c>
      <c r="AC58" s="54" t="str">
        <f t="shared" si="1"/>
        <v>NOVA 1434855</v>
      </c>
    </row>
    <row r="59">
      <c r="A59" s="105" t="str">
        <f>IFERROR(__xludf.DUMMYFUNCTION("""COMPUTED_VALUE"""),"NOVA 1437855")</f>
        <v>NOVA 1437855</v>
      </c>
      <c r="B59" s="105">
        <f>IFERROR(__xludf.DUMMYFUNCTION("""COMPUTED_VALUE"""),1437855.0)</f>
        <v>1437855</v>
      </c>
      <c r="C59" s="178" t="str">
        <f>IFERROR(__xludf.DUMMYFUNCTION("""COMPUTED_VALUE"""),"https://bugs.launchpad.net/nova/+bug/1437855")</f>
        <v>https://bugs.launchpad.net/nova/+bug/1437855</v>
      </c>
      <c r="D59" s="105" t="str">
        <f>IFERROR(__xludf.DUMMYFUNCTION("""COMPUTED_VALUE"""),"c5dfd2c3ef773b29666fae3fe75bf7548044dbf5")</f>
        <v>c5dfd2c3ef773b29666fae3fe75bf7548044dbf5</v>
      </c>
      <c r="E59" s="178" t="str">
        <f>IFERROR(__xludf.DUMMYFUNCTION("""COMPUTED_VALUE"""),"https://opendev.org/openstack/nova/commit/c5dfd2c3ef773b29666fae3fe75bf7548044dbf5")</f>
        <v>https://opendev.org/openstack/nova/commit/c5dfd2c3ef773b29666fae3fe75bf7548044dbf5</v>
      </c>
      <c r="F59" s="105" t="str">
        <f>IFERROR(__xludf.DUMMYFUNCTION("""COMPUTED_VALUE"""),"1b2c121f133b1")</f>
        <v>1b2c121f133b1</v>
      </c>
      <c r="G59" s="178" t="str">
        <f>IFERROR(__xludf.DUMMYFUNCTION("""COMPUTED_VALUE"""),"https://opendev.org/openstack/nova/commit/1b2c121f133b1")</f>
        <v>https://opendev.org/openstack/nova/commit/1b2c121f133b1</v>
      </c>
      <c r="H59" s="105">
        <f>IFERROR(__xludf.DUMMYFUNCTION("""COMPUTED_VALUE"""),26113.0)</f>
        <v>26113</v>
      </c>
      <c r="I59" s="178" t="str">
        <f>IFERROR(__xludf.DUMMYFUNCTION("""COMPUTED_VALUE"""),"https://review.opendev.org/c/openstack/nova/+/26113")</f>
        <v>https://review.opendev.org/c/openstack/nova/+/26113</v>
      </c>
      <c r="J59" s="105" t="str">
        <f>IFERROR(__xludf.DUMMYFUNCTION("""COMPUTED_VALUE"""),"multi-nic-floating-ip-assignment")</f>
        <v>multi-nic-floating-ip-assignment</v>
      </c>
      <c r="K59" s="178" t="str">
        <f>IFERROR(__xludf.DUMMYFUNCTION("""COMPUTED_VALUE"""),"https://blueprints.launchpad.net/nova/+spec/multi-nic-floating-ip-assignment")</f>
        <v>https://blueprints.launchpad.net/nova/+spec/multi-nic-floating-ip-assignment</v>
      </c>
      <c r="L59" s="105"/>
      <c r="M59" s="105"/>
      <c r="N59" s="105"/>
      <c r="O59" s="105"/>
      <c r="P59" s="105" t="str">
        <f>IFERROR(__xludf.DUMMYFUNCTION("""COMPUTED_VALUE"""),"multi-nic-floating-ip-assignment")</f>
        <v>multi-nic-floating-ip-assignment</v>
      </c>
      <c r="Q59" s="178" t="str">
        <f>IFERROR(__xludf.DUMMYFUNCTION("""COMPUTED_VALUE"""),"https://blueprints.launchpad.net/nova/+spec/multi-nic-floating-ip-assignment")</f>
        <v>https://blueprints.launchpad.net/nova/+spec/multi-nic-floating-ip-assignment</v>
      </c>
      <c r="R59" s="105" t="str">
        <f>IFERROR(__xludf.DUMMYFUNCTION("""COMPUTED_VALUE"""),"No, however, check in the right corner of the bug description")</f>
        <v>No, however, check in the right corner of the bug description</v>
      </c>
      <c r="S59" s="105">
        <f>IFERROR(__xludf.DUMMYFUNCTION("""COMPUTED_VALUE"""),0.0)</f>
        <v>0</v>
      </c>
      <c r="T59" s="105" t="str">
        <f>IFERROR(__xludf.DUMMYFUNCTION("""COMPUTED_VALUE"""),"None identified")</f>
        <v>None identified</v>
      </c>
      <c r="U59" s="105"/>
      <c r="V59" s="105"/>
      <c r="W59" s="54" t="str">
        <f>IFERROR(__xludf.DUMMYFUNCTION("""COMPUTED_VALUE"""),"NOVA")</f>
        <v>NOVA</v>
      </c>
      <c r="X59" s="180" t="str">
        <f>IFERROR(__xludf.DUMMYFUNCTION("""COMPUTED_VALUE"""),"https://www.mail-archive.com/openstack-dev@lists.openstack.org/ ")</f>
        <v>https://www.mail-archive.com/openstack-dev@lists.openstack.org/ </v>
      </c>
      <c r="Y59" s="54" t="str">
        <f>IFERROR(__xludf.DUMMYFUNCTION("""COMPUTED_VALUE"""),"nova/api/openstack/compute/contrib/floating_ips.py, nova/api/openstack/compute/plugins/v3/floating_ips.py 
")</f>
        <v>nova/api/openstack/compute/contrib/floating_ips.py, nova/api/openstack/compute/plugins/v3/floating_ips.py 
</v>
      </c>
      <c r="Z59" s="54" t="str">
        <f>IFERROR(__xludf.DUMMYFUNCTION("""COMPUTED_VALUE"""),"/contrib/floating_ips.py
/v3/floating_ips.py ")</f>
        <v>/contrib/floating_ips.py
/v3/floating_ips.py </v>
      </c>
      <c r="AA59" s="54">
        <f>IFERROR(__xludf.DUMMYFUNCTION("""COMPUTED_VALUE"""),1.0)</f>
        <v>1</v>
      </c>
      <c r="AB59" s="54" t="str">
        <f>IFERROR(__xludf.DUMMYFUNCTION("""COMPUTED_VALUE"""),"Note58")</f>
        <v>Note58</v>
      </c>
      <c r="AC59" s="54" t="str">
        <f t="shared" si="1"/>
        <v>NOVA 1437855</v>
      </c>
    </row>
    <row r="60">
      <c r="A60" s="105" t="str">
        <f>IFERROR(__xludf.DUMMYFUNCTION("""COMPUTED_VALUE"""),"NOVA 1438331")</f>
        <v>NOVA 1438331</v>
      </c>
      <c r="B60" s="105">
        <f>IFERROR(__xludf.DUMMYFUNCTION("""COMPUTED_VALUE"""),1438331.0)</f>
        <v>1438331</v>
      </c>
      <c r="C60" s="178" t="str">
        <f>IFERROR(__xludf.DUMMYFUNCTION("""COMPUTED_VALUE"""),"https://bugs.launchpad.net/nova/+bug/1438331")</f>
        <v>https://bugs.launchpad.net/nova/+bug/1438331</v>
      </c>
      <c r="D60" s="105" t="str">
        <f>IFERROR(__xludf.DUMMYFUNCTION("""COMPUTED_VALUE"""),"a37bc78ed57aeabbb87b26f77fd785db3ee6a9ba")</f>
        <v>a37bc78ed57aeabbb87b26f77fd785db3ee6a9ba</v>
      </c>
      <c r="E60" s="178" t="str">
        <f>IFERROR(__xludf.DUMMYFUNCTION("""COMPUTED_VALUE"""),"https://opendev.org/openstack/nova/commit/a37bc78ed57aeabbb87b26f77fd785db3ee6a9ba")</f>
        <v>https://opendev.org/openstack/nova/commit/a37bc78ed57aeabbb87b26f77fd785db3ee6a9ba</v>
      </c>
      <c r="F60" s="105" t="str">
        <f>IFERROR(__xludf.DUMMYFUNCTION("""COMPUTED_VALUE"""),"13e2bd0")</f>
        <v>13e2bd0</v>
      </c>
      <c r="G60" s="178" t="str">
        <f>IFERROR(__xludf.DUMMYFUNCTION("""COMPUTED_VALUE"""),"https://opendev.org/openstack/nova/commit/13e2bd0")</f>
        <v>https://opendev.org/openstack/nova/commit/13e2bd0</v>
      </c>
      <c r="H60" s="105">
        <f>IFERROR(__xludf.DUMMYFUNCTION("""COMPUTED_VALUE"""),94294.0)</f>
        <v>94294</v>
      </c>
      <c r="I60" s="178" t="str">
        <f>IFERROR(__xludf.DUMMYFUNCTION("""COMPUTED_VALUE"""),"https://review.opendev.org/c/openstack/nova/+/94294")</f>
        <v>https://review.opendev.org/c/openstack/nova/+/94294</v>
      </c>
      <c r="J60" s="105">
        <f>IFERROR(__xludf.DUMMYFUNCTION("""COMPUTED_VALUE"""),1346092.0)</f>
        <v>1346092</v>
      </c>
      <c r="K60" s="178" t="str">
        <f>IFERROR(__xludf.DUMMYFUNCTION("""COMPUTED_VALUE"""),"https://bugs.launchpad.net/nova/+bug/1346092")</f>
        <v>https://bugs.launchpad.net/nova/+bug/1346092</v>
      </c>
      <c r="L60" s="105"/>
      <c r="M60" s="105"/>
      <c r="N60" s="105"/>
      <c r="O60" s="105"/>
      <c r="P60" s="105">
        <f>IFERROR(__xludf.DUMMYFUNCTION("""COMPUTED_VALUE"""),1346092.0)</f>
        <v>1346092</v>
      </c>
      <c r="Q60" s="178" t="str">
        <f>IFERROR(__xludf.DUMMYFUNCTION("""COMPUTED_VALUE"""),"https://bugs.launchpad.net/nova/+bug/1346092")</f>
        <v>https://bugs.launchpad.net/nova/+bug/1346092</v>
      </c>
      <c r="R60" s="105" t="str">
        <f>IFERROR(__xludf.DUMMYFUNCTION("""COMPUTED_VALUE"""),"No, however, check in the right corner of the bug description")</f>
        <v>No, however, check in the right corner of the bug description</v>
      </c>
      <c r="S60" s="105">
        <f>IFERROR(__xludf.DUMMYFUNCTION("""COMPUTED_VALUE"""),0.0)</f>
        <v>0</v>
      </c>
      <c r="T60" s="105" t="str">
        <f>IFERROR(__xludf.DUMMYFUNCTION("""COMPUTED_VALUE"""),"None identified")</f>
        <v>None identified</v>
      </c>
      <c r="U60" s="105"/>
      <c r="V60" s="105"/>
      <c r="W60" s="54" t="str">
        <f>IFERROR(__xludf.DUMMYFUNCTION("""COMPUTED_VALUE"""),"NOVA")</f>
        <v>NOVA</v>
      </c>
      <c r="X60" s="180" t="str">
        <f>IFERROR(__xludf.DUMMYFUNCTION("""COMPUTED_VALUE"""),"https://www.mail-archive.com/openstack-dev@lists.openstack.org/ ")</f>
        <v>https://www.mail-archive.com/openstack-dev@lists.openstack.org/ </v>
      </c>
      <c r="Y60" s="181" t="str">
        <f>IFERROR(__xludf.DUMMYFUNCTION("""COMPUTED_VALUE"""),"nova/virt/libvirt/rbd_utils.py")</f>
        <v>nova/virt/libvirt/rbd_utils.py</v>
      </c>
      <c r="Z60" s="181" t="str">
        <f>IFERROR(__xludf.DUMMYFUNCTION("""COMPUTED_VALUE"""),"/libvirt/rbd_utils.py")</f>
        <v>/libvirt/rbd_utils.py</v>
      </c>
      <c r="AA60" s="54">
        <f>IFERROR(__xludf.DUMMYFUNCTION("""COMPUTED_VALUE"""),0.0)</f>
        <v>0</v>
      </c>
      <c r="AB60" s="54" t="str">
        <f>IFERROR(__xludf.DUMMYFUNCTION("""COMPUTED_VALUE"""),"Note59")</f>
        <v>Note59</v>
      </c>
      <c r="AC60" s="54" t="str">
        <f t="shared" si="1"/>
        <v>NOVA 1438331</v>
      </c>
    </row>
    <row r="61">
      <c r="A61" s="105" t="str">
        <f>IFERROR(__xludf.DUMMYFUNCTION("""COMPUTED_VALUE"""),"NOVA 1441000")</f>
        <v>NOVA 1441000</v>
      </c>
      <c r="B61" s="105">
        <f>IFERROR(__xludf.DUMMYFUNCTION("""COMPUTED_VALUE"""),1441000.0)</f>
        <v>1441000</v>
      </c>
      <c r="C61" s="178" t="str">
        <f>IFERROR(__xludf.DUMMYFUNCTION("""COMPUTED_VALUE"""),"https://bugs.launchpad.net/nova/+bug/1441000")</f>
        <v>https://bugs.launchpad.net/nova/+bug/1441000</v>
      </c>
      <c r="D61" s="105" t="str">
        <f>IFERROR(__xludf.DUMMYFUNCTION("""COMPUTED_VALUE"""),"3946cfd900b18917fccdc7330bc4f070d7abd81d")</f>
        <v>3946cfd900b18917fccdc7330bc4f070d7abd81d</v>
      </c>
      <c r="E61" s="178" t="str">
        <f>IFERROR(__xludf.DUMMYFUNCTION("""COMPUTED_VALUE"""),"https://opendev.org/openstack/nova/commit/3946cfd900b18917fccdc7330bc4f070d7abd81d")</f>
        <v>https://opendev.org/openstack/nova/commit/3946cfd900b18917fccdc7330bc4f070d7abd81d</v>
      </c>
      <c r="F61" s="105" t="str">
        <f>IFERROR(__xludf.DUMMYFUNCTION("""COMPUTED_VALUE"""),"7dd6a4a")</f>
        <v>7dd6a4a</v>
      </c>
      <c r="G61" s="178" t="str">
        <f>IFERROR(__xludf.DUMMYFUNCTION("""COMPUTED_VALUE"""),"https://opendev.org/openstack/nova/commit/7dd6a4a")</f>
        <v>https://opendev.org/openstack/nova/commit/7dd6a4a</v>
      </c>
      <c r="H61" s="105">
        <f>IFERROR(__xludf.DUMMYFUNCTION("""COMPUTED_VALUE"""),151664.0)</f>
        <v>151664</v>
      </c>
      <c r="I61" s="178" t="str">
        <f>IFERROR(__xludf.DUMMYFUNCTION("""COMPUTED_VALUE"""),"https://review.opendev.org/c/openstack/nova/+/151664")</f>
        <v>https://review.opendev.org/c/openstack/nova/+/151664</v>
      </c>
      <c r="J61" s="105">
        <f>IFERROR(__xludf.DUMMYFUNCTION("""COMPUTED_VALUE"""),1414065.0)</f>
        <v>1414065</v>
      </c>
      <c r="K61" s="178" t="str">
        <f>IFERROR(__xludf.DUMMYFUNCTION("""COMPUTED_VALUE"""),"https://bugs.launchpad.net/nova/+bug/1414065")</f>
        <v>https://bugs.launchpad.net/nova/+bug/1414065</v>
      </c>
      <c r="L61" s="105"/>
      <c r="M61" s="105"/>
      <c r="N61" s="105"/>
      <c r="O61" s="105"/>
      <c r="P61" s="105">
        <f>IFERROR(__xludf.DUMMYFUNCTION("""COMPUTED_VALUE"""),1414065.0)</f>
        <v>1414065</v>
      </c>
      <c r="Q61" s="178" t="str">
        <f>IFERROR(__xludf.DUMMYFUNCTION("""COMPUTED_VALUE"""),"https://bugs.launchpad.net/nova/+bug/1414065")</f>
        <v>https://bugs.launchpad.net/nova/+bug/1414065</v>
      </c>
      <c r="R61" s="105" t="str">
        <f>IFERROR(__xludf.DUMMYFUNCTION("""COMPUTED_VALUE"""),"No, however, check in the right corner of the bug description")</f>
        <v>No, however, check in the right corner of the bug description</v>
      </c>
      <c r="S61" s="105">
        <f>IFERROR(__xludf.DUMMYFUNCTION("""COMPUTED_VALUE"""),0.0)</f>
        <v>0</v>
      </c>
      <c r="T61" s="105" t="str">
        <f>IFERROR(__xludf.DUMMYFUNCTION("""COMPUTED_VALUE"""),"None identified")</f>
        <v>None identified</v>
      </c>
      <c r="U61" s="105"/>
      <c r="V61" s="105"/>
      <c r="W61" s="54" t="str">
        <f>IFERROR(__xludf.DUMMYFUNCTION("""COMPUTED_VALUE"""),"NOVA")</f>
        <v>NOVA</v>
      </c>
      <c r="X61" s="180" t="str">
        <f>IFERROR(__xludf.DUMMYFUNCTION("""COMPUTED_VALUE"""),"https://www.mail-archive.com/openstack-dev@lists.openstack.org/ ")</f>
        <v>https://www.mail-archive.com/openstack-dev@lists.openstack.org/ </v>
      </c>
      <c r="Y61" s="54" t="str">
        <f>IFERROR(__xludf.DUMMYFUNCTION("""COMPUTED_VALUE"""),"nova/virt/libvirt/driver.py")</f>
        <v>nova/virt/libvirt/driver.py</v>
      </c>
      <c r="Z61" s="54" t="str">
        <f>IFERROR(__xludf.DUMMYFUNCTION("""COMPUTED_VALUE"""),"/libvirt/driver.py")</f>
        <v>/libvirt/driver.py</v>
      </c>
      <c r="AA61" s="54">
        <f>IFERROR(__xludf.DUMMYFUNCTION("""COMPUTED_VALUE"""),0.0)</f>
        <v>0</v>
      </c>
      <c r="AB61" s="54" t="str">
        <f>IFERROR(__xludf.DUMMYFUNCTION("""COMPUTED_VALUE"""),"Note60")</f>
        <v>Note60</v>
      </c>
      <c r="AC61" s="54" t="str">
        <f t="shared" si="1"/>
        <v>NOVA 1441000</v>
      </c>
    </row>
    <row r="62">
      <c r="A62" s="105" t="str">
        <f>IFERROR(__xludf.DUMMYFUNCTION("""COMPUTED_VALUE"""),"NOVA 1443697")</f>
        <v>NOVA 1443697</v>
      </c>
      <c r="B62" s="105">
        <f>IFERROR(__xludf.DUMMYFUNCTION("""COMPUTED_VALUE"""),1443697.0)</f>
        <v>1443697</v>
      </c>
      <c r="C62" s="178" t="str">
        <f>IFERROR(__xludf.DUMMYFUNCTION("""COMPUTED_VALUE"""),"https://bugs.launchpad.net/nova/+bug/1443697")</f>
        <v>https://bugs.launchpad.net/nova/+bug/1443697</v>
      </c>
      <c r="D62" s="105" t="str">
        <f>IFERROR(__xludf.DUMMYFUNCTION("""COMPUTED_VALUE"""),"3a77c7c570acee40100f2fae77ef5b461997b78e")</f>
        <v>3a77c7c570acee40100f2fae77ef5b461997b78e</v>
      </c>
      <c r="E62" s="178" t="str">
        <f>IFERROR(__xludf.DUMMYFUNCTION("""COMPUTED_VALUE"""),"https://opendev.org/openstack/nova/commit/3a77c7c570acee40100f2fae77ef5b461997b78e")</f>
        <v>https://opendev.org/openstack/nova/commit/3a77c7c570acee40100f2fae77ef5b461997b78e</v>
      </c>
      <c r="F62" s="105" t="str">
        <f>IFERROR(__xludf.DUMMYFUNCTION("""COMPUTED_VALUE"""),"f3f1a53f")</f>
        <v>f3f1a53f</v>
      </c>
      <c r="G62" s="178" t="str">
        <f>IFERROR(__xludf.DUMMYFUNCTION("""COMPUTED_VALUE"""),"https://opendev.org/openstack/nova/commit/f3f1a53f")</f>
        <v>https://opendev.org/openstack/nova/commit/f3f1a53f</v>
      </c>
      <c r="H62" s="105">
        <f>IFERROR(__xludf.DUMMYFUNCTION("""COMPUTED_VALUE"""),145007.0)</f>
        <v>145007</v>
      </c>
      <c r="I62" s="178" t="str">
        <f>IFERROR(__xludf.DUMMYFUNCTION("""COMPUTED_VALUE"""),"https://review.opendev.org/c/openstack/nova/+/145007")</f>
        <v>https://review.opendev.org/c/openstack/nova/+/145007</v>
      </c>
      <c r="J62" s="105">
        <f>IFERROR(__xludf.DUMMYFUNCTION("""COMPUTED_VALUE"""),1407438.0)</f>
        <v>1407438</v>
      </c>
      <c r="K62" s="178" t="str">
        <f>IFERROR(__xludf.DUMMYFUNCTION("""COMPUTED_VALUE"""),"https://bugs.launchpad.net/nova/+bug/1407438")</f>
        <v>https://bugs.launchpad.net/nova/+bug/1407438</v>
      </c>
      <c r="L62" s="105">
        <f>IFERROR(__xludf.DUMMYFUNCTION("""COMPUTED_VALUE"""),1407050.0)</f>
        <v>1407050</v>
      </c>
      <c r="M62" s="178" t="str">
        <f>IFERROR(__xludf.DUMMYFUNCTION("""COMPUTED_VALUE"""),"https://bugs.launchpad.net/nova/+bug/1407050")</f>
        <v>https://bugs.launchpad.net/nova/+bug/1407050</v>
      </c>
      <c r="N62" s="105">
        <f>IFERROR(__xludf.DUMMYFUNCTION("""COMPUTED_VALUE"""),1402784.0)</f>
        <v>1402784</v>
      </c>
      <c r="O62" s="178" t="str">
        <f>IFERROR(__xludf.DUMMYFUNCTION("""COMPUTED_VALUE"""),"https://bugs.launchpad.net/nova/+bug/1402784")</f>
        <v>https://bugs.launchpad.net/nova/+bug/1402784</v>
      </c>
      <c r="P62" s="105" t="str">
        <f>IFERROR(__xludf.DUMMYFUNCTION("""COMPUTED_VALUE"""),"1407438, 1407050, 1402784")</f>
        <v>1407438, 1407050, 1402784</v>
      </c>
      <c r="Q62" s="105" t="str">
        <f>IFERROR(__xludf.DUMMYFUNCTION("""COMPUTED_VALUE"""),"https://bugs.launchpad.net/nova/+bug/1407438, https://bugs.launchpad.net/nova/+bug/1407050, https://bugs.launchpad.net/nova/+bug/1402784")</f>
        <v>https://bugs.launchpad.net/nova/+bug/1407438, https://bugs.launchpad.net/nova/+bug/1407050, https://bugs.launchpad.net/nova/+bug/1402784</v>
      </c>
      <c r="R62" s="105" t="str">
        <f>IFERROR(__xludf.DUMMYFUNCTION("""COMPUTED_VALUE"""),"No, however, check in the right corner of the bug description")</f>
        <v>No, however, check in the right corner of the bug description</v>
      </c>
      <c r="S62" s="105">
        <f>IFERROR(__xludf.DUMMYFUNCTION("""COMPUTED_VALUE"""),0.0)</f>
        <v>0</v>
      </c>
      <c r="T62" s="105" t="str">
        <f>IFERROR(__xludf.DUMMYFUNCTION("""COMPUTED_VALUE"""),"None identified")</f>
        <v>None identified</v>
      </c>
      <c r="U62" s="105"/>
      <c r="V62" s="105"/>
      <c r="W62" s="54" t="str">
        <f>IFERROR(__xludf.DUMMYFUNCTION("""COMPUTED_VALUE"""),"NOVA")</f>
        <v>NOVA</v>
      </c>
      <c r="X62" s="180" t="str">
        <f>IFERROR(__xludf.DUMMYFUNCTION("""COMPUTED_VALUE"""),"https://www.mail-archive.com/openstack-dev@lists.openstack.org/ ")</f>
        <v>https://www.mail-archive.com/openstack-dev@lists.openstack.org/ </v>
      </c>
      <c r="Y62" s="54" t="str">
        <f>IFERROR(__xludf.DUMMYFUNCTION("""COMPUTED_VALUE"""),"nova/virt/vmwareapi/vmops.py")</f>
        <v>nova/virt/vmwareapi/vmops.py</v>
      </c>
      <c r="Z62" s="54" t="str">
        <f>IFERROR(__xludf.DUMMYFUNCTION("""COMPUTED_VALUE"""),"/vmwareapi/vmops.py")</f>
        <v>/vmwareapi/vmops.py</v>
      </c>
      <c r="AA62" s="54">
        <f>IFERROR(__xludf.DUMMYFUNCTION("""COMPUTED_VALUE"""),0.0)</f>
        <v>0</v>
      </c>
      <c r="AB62" s="54" t="str">
        <f>IFERROR(__xludf.DUMMYFUNCTION("""COMPUTED_VALUE"""),"Note61")</f>
        <v>Note61</v>
      </c>
      <c r="AC62" s="54" t="str">
        <f t="shared" si="1"/>
        <v>NOVA 1443697</v>
      </c>
    </row>
    <row r="63">
      <c r="A63" s="105" t="str">
        <f>IFERROR(__xludf.DUMMYFUNCTION("""COMPUTED_VALUE"""),"NOVA 1443970")</f>
        <v>NOVA 1443970</v>
      </c>
      <c r="B63" s="105">
        <f>IFERROR(__xludf.DUMMYFUNCTION("""COMPUTED_VALUE"""),1443970.0)</f>
        <v>1443970</v>
      </c>
      <c r="C63" s="178" t="str">
        <f>IFERROR(__xludf.DUMMYFUNCTION("""COMPUTED_VALUE"""),"https://bugs.launchpad.net/nova/+bug/1443970")</f>
        <v>https://bugs.launchpad.net/nova/+bug/1443970</v>
      </c>
      <c r="D63" s="105" t="str">
        <f>IFERROR(__xludf.DUMMYFUNCTION("""COMPUTED_VALUE"""),"f697befdd3a0f9b81ff9a74f55e4460cd3783692")</f>
        <v>f697befdd3a0f9b81ff9a74f55e4460cd3783692</v>
      </c>
      <c r="E63" s="178" t="str">
        <f>IFERROR(__xludf.DUMMYFUNCTION("""COMPUTED_VALUE"""),"https://opendev.org/openstack/nova/commit/f697befdd3a0f9b81ff9a74f55e4460cd3783692")</f>
        <v>https://opendev.org/openstack/nova/commit/f697befdd3a0f9b81ff9a74f55e4460cd3783692</v>
      </c>
      <c r="F63" s="105" t="str">
        <f>IFERROR(__xludf.DUMMYFUNCTION("""COMPUTED_VALUE"""),"447641972539f1")</f>
        <v>447641972539f1</v>
      </c>
      <c r="G63" s="178" t="str">
        <f>IFERROR(__xludf.DUMMYFUNCTION("""COMPUTED_VALUE"""),"https://opendev.org/openstack/nova/commit/447641972539f1")</f>
        <v>https://opendev.org/openstack/nova/commit/447641972539f1</v>
      </c>
      <c r="H63" s="105">
        <f>IFERROR(__xludf.DUMMYFUNCTION("""COMPUTED_VALUE"""),93754.0)</f>
        <v>93754</v>
      </c>
      <c r="I63" s="178" t="str">
        <f>IFERROR(__xludf.DUMMYFUNCTION("""COMPUTED_VALUE"""),"https://review.opendev.org/c/openstack/nova/+/93754")</f>
        <v>https://review.opendev.org/c/openstack/nova/+/93754</v>
      </c>
      <c r="J63" s="105" t="str">
        <f>IFERROR(__xludf.DUMMYFUNCTION("""COMPUTED_VALUE"""),"better-support-for-multiple-networks")</f>
        <v>better-support-for-multiple-networks</v>
      </c>
      <c r="K63" s="178" t="str">
        <f>IFERROR(__xludf.DUMMYFUNCTION("""COMPUTED_VALUE"""),"https://blueprints.launchpad.net/nova/+spec/better-support-for-multiple-networks")</f>
        <v>https://blueprints.launchpad.net/nova/+spec/better-support-for-multiple-networks</v>
      </c>
      <c r="L63" s="105"/>
      <c r="M63" s="105"/>
      <c r="N63" s="105"/>
      <c r="O63" s="105"/>
      <c r="P63" s="105" t="str">
        <f>IFERROR(__xludf.DUMMYFUNCTION("""COMPUTED_VALUE"""),"better-support-for-multiple-networks")</f>
        <v>better-support-for-multiple-networks</v>
      </c>
      <c r="Q63" s="178" t="str">
        <f>IFERROR(__xludf.DUMMYFUNCTION("""COMPUTED_VALUE"""),"https://blueprints.launchpad.net/nova/+spec/better-support-for-multiple-networks")</f>
        <v>https://blueprints.launchpad.net/nova/+spec/better-support-for-multiple-networks</v>
      </c>
      <c r="R63" s="105" t="str">
        <f>IFERROR(__xludf.DUMMYFUNCTION("""COMPUTED_VALUE"""),"Yes (1)")</f>
        <v>Yes (1)</v>
      </c>
      <c r="S63" s="105">
        <f>IFERROR(__xludf.DUMMYFUNCTION("""COMPUTED_VALUE"""),1.0)</f>
        <v>1</v>
      </c>
      <c r="T63" s="105" t="str">
        <f>IFERROR(__xludf.DUMMYFUNCTION("""COMPUTED_VALUE"""),"None identified")</f>
        <v>None identified</v>
      </c>
      <c r="U63" s="105">
        <f>IFERROR(__xludf.DUMMYFUNCTION("""COMPUTED_VALUE"""),1456321.0)</f>
        <v>1456321</v>
      </c>
      <c r="V63" s="178" t="str">
        <f>IFERROR(__xludf.DUMMYFUNCTION("""COMPUTED_VALUE"""),"https://bugs.launchpad.net/nova/+bug/1456321")</f>
        <v>https://bugs.launchpad.net/nova/+bug/1456321</v>
      </c>
      <c r="W63" s="54" t="str">
        <f>IFERROR(__xludf.DUMMYFUNCTION("""COMPUTED_VALUE"""),"NOVA")</f>
        <v>NOVA</v>
      </c>
      <c r="X63" s="180" t="str">
        <f>IFERROR(__xludf.DUMMYFUNCTION("""COMPUTED_VALUE"""),"https://www.mail-archive.com/openstack-dev@lists.openstack.org/ ")</f>
        <v>https://www.mail-archive.com/openstack-dev@lists.openstack.org/ </v>
      </c>
      <c r="Y63" s="54" t="str">
        <f>IFERROR(__xludf.DUMMYFUNCTION("""COMPUTED_VALUE"""),"nova/network/manager.py")</f>
        <v>nova/network/manager.py</v>
      </c>
      <c r="Z63" s="54" t="str">
        <f>IFERROR(__xludf.DUMMYFUNCTION("""COMPUTED_VALUE"""),"/network/manager.py")</f>
        <v>/network/manager.py</v>
      </c>
      <c r="AA63" s="54">
        <f>IFERROR(__xludf.DUMMYFUNCTION("""COMPUTED_VALUE"""),0.0)</f>
        <v>0</v>
      </c>
      <c r="AB63" s="54" t="str">
        <f>IFERROR(__xludf.DUMMYFUNCTION("""COMPUTED_VALUE"""),"Note62")</f>
        <v>Note62</v>
      </c>
      <c r="AC63" s="54" t="str">
        <f t="shared" si="1"/>
        <v>NOVA 1443970</v>
      </c>
    </row>
    <row r="64">
      <c r="A64" s="105" t="str">
        <f>IFERROR(__xludf.DUMMYFUNCTION("""COMPUTED_VALUE"""),"NOVA 1447249")</f>
        <v>NOVA 1447249</v>
      </c>
      <c r="B64" s="105">
        <f>IFERROR(__xludf.DUMMYFUNCTION("""COMPUTED_VALUE"""),1447249.0)</f>
        <v>1447249</v>
      </c>
      <c r="C64" s="178" t="str">
        <f>IFERROR(__xludf.DUMMYFUNCTION("""COMPUTED_VALUE"""),"https://bugs.launchpad.net/nova/+bug/1447249")</f>
        <v>https://bugs.launchpad.net/nova/+bug/1447249</v>
      </c>
      <c r="D64" s="105" t="str">
        <f>IFERROR(__xludf.DUMMYFUNCTION("""COMPUTED_VALUE"""),"7471b5a0924c8cb90b94ea122967b422d35d9c69")</f>
        <v>7471b5a0924c8cb90b94ea122967b422d35d9c69</v>
      </c>
      <c r="E64" s="178" t="str">
        <f>IFERROR(__xludf.DUMMYFUNCTION("""COMPUTED_VALUE"""),"https://opendev.org/openstack/nova/commit/7471b5a0924c8cb90b94ea122967b422d35d9c69")</f>
        <v>https://opendev.org/openstack/nova/commit/7471b5a0924c8cb90b94ea122967b422d35d9c69</v>
      </c>
      <c r="F64" s="105" t="str">
        <f>IFERROR(__xludf.DUMMYFUNCTION("""COMPUTED_VALUE"""),"1682c5b")</f>
        <v>1682c5b</v>
      </c>
      <c r="G64" s="178" t="str">
        <f>IFERROR(__xludf.DUMMYFUNCTION("""COMPUTED_VALUE"""),"https://opendev.org/openstack/nova/commit/1682c5b")</f>
        <v>https://opendev.org/openstack/nova/commit/1682c5b</v>
      </c>
      <c r="H64" s="105">
        <f>IFERROR(__xludf.DUMMYFUNCTION("""COMPUTED_VALUE"""),144792.0)</f>
        <v>144792</v>
      </c>
      <c r="I64" s="178" t="str">
        <f>IFERROR(__xludf.DUMMYFUNCTION("""COMPUTED_VALUE"""),"https://review.opendev.org/c/openstack/nova/+/144792")</f>
        <v>https://review.opendev.org/c/openstack/nova/+/144792</v>
      </c>
      <c r="J64" s="105" t="str">
        <f>IFERROR(__xludf.DUMMYFUNCTION("""COMPUTED_VALUE"""),"use-configdrive-with-ironic")</f>
        <v>use-configdrive-with-ironic</v>
      </c>
      <c r="K64" s="178" t="str">
        <f>IFERROR(__xludf.DUMMYFUNCTION("""COMPUTED_VALUE"""),"https://blueprints.launchpad.net/nova/+spec/use-configdrive-with-ironic")</f>
        <v>https://blueprints.launchpad.net/nova/+spec/use-configdrive-with-ironic</v>
      </c>
      <c r="L64" s="105"/>
      <c r="M64" s="105"/>
      <c r="N64" s="105"/>
      <c r="O64" s="105"/>
      <c r="P64" s="105" t="str">
        <f>IFERROR(__xludf.DUMMYFUNCTION("""COMPUTED_VALUE"""),"use-configdrive-with-ironic")</f>
        <v>use-configdrive-with-ironic</v>
      </c>
      <c r="Q64" s="178" t="str">
        <f>IFERROR(__xludf.DUMMYFUNCTION("""COMPUTED_VALUE"""),"https://blueprints.launchpad.net/nova/+spec/use-configdrive-with-ironic")</f>
        <v>https://blueprints.launchpad.net/nova/+spec/use-configdrive-with-ironic</v>
      </c>
      <c r="R64" s="105" t="str">
        <f>IFERROR(__xludf.DUMMYFUNCTION("""COMPUTED_VALUE"""),"No, however, check in the right corner of the bug description")</f>
        <v>No, however, check in the right corner of the bug description</v>
      </c>
      <c r="S64" s="105">
        <f>IFERROR(__xludf.DUMMYFUNCTION("""COMPUTED_VALUE"""),0.0)</f>
        <v>0</v>
      </c>
      <c r="T64" s="105" t="str">
        <f>IFERROR(__xludf.DUMMYFUNCTION("""COMPUTED_VALUE"""),"None identified")</f>
        <v>None identified</v>
      </c>
      <c r="U64" s="105"/>
      <c r="V64" s="105"/>
      <c r="W64" s="54" t="str">
        <f>IFERROR(__xludf.DUMMYFUNCTION("""COMPUTED_VALUE"""),"NOVA")</f>
        <v>NOVA</v>
      </c>
      <c r="X64" s="180" t="str">
        <f>IFERROR(__xludf.DUMMYFUNCTION("""COMPUTED_VALUE"""),"https://www.mail-archive.com/openstack-dev@lists.openstack.org/ ")</f>
        <v>https://www.mail-archive.com/openstack-dev@lists.openstack.org/ </v>
      </c>
      <c r="Y64" s="54" t="str">
        <f>IFERROR(__xludf.DUMMYFUNCTION("""COMPUTED_VALUE"""),"nova/virt/ironic/driver.py")</f>
        <v>nova/virt/ironic/driver.py</v>
      </c>
      <c r="Z64" s="54" t="str">
        <f>IFERROR(__xludf.DUMMYFUNCTION("""COMPUTED_VALUE"""),"/virt/ironic/driver.py")</f>
        <v>/virt/ironic/driver.py</v>
      </c>
      <c r="AA64" s="54">
        <f>IFERROR(__xludf.DUMMYFUNCTION("""COMPUTED_VALUE"""),0.0)</f>
        <v>0</v>
      </c>
      <c r="AB64" s="54" t="str">
        <f>IFERROR(__xludf.DUMMYFUNCTION("""COMPUTED_VALUE"""),"Note63")</f>
        <v>Note63</v>
      </c>
      <c r="AC64" s="54" t="str">
        <f t="shared" si="1"/>
        <v>NOVA 1447249</v>
      </c>
    </row>
    <row r="65">
      <c r="A65" s="105" t="str">
        <f>IFERROR(__xludf.DUMMYFUNCTION("""COMPUTED_VALUE"""),"NOVA 1453274")</f>
        <v>NOVA 1453274</v>
      </c>
      <c r="B65" s="105">
        <f>IFERROR(__xludf.DUMMYFUNCTION("""COMPUTED_VALUE"""),1453274.0)</f>
        <v>1453274</v>
      </c>
      <c r="C65" s="178" t="str">
        <f>IFERROR(__xludf.DUMMYFUNCTION("""COMPUTED_VALUE"""),"https://bugs.launchpad.net/nova/+bug/1453274")</f>
        <v>https://bugs.launchpad.net/nova/+bug/1453274</v>
      </c>
      <c r="D65" s="105" t="str">
        <f>IFERROR(__xludf.DUMMYFUNCTION("""COMPUTED_VALUE"""),"96a2283c1a07f0298c57f57d8c4112c1c33b6128")</f>
        <v>96a2283c1a07f0298c57f57d8c4112c1c33b6128</v>
      </c>
      <c r="E65" s="178" t="str">
        <f>IFERROR(__xludf.DUMMYFUNCTION("""COMPUTED_VALUE"""),"https://opendev.org/openstack/nova/commit/96a2283c1a07f0298c57f57d8c4112c1c33b6128")</f>
        <v>https://opendev.org/openstack/nova/commit/96a2283c1a07f0298c57f57d8c4112c1c33b6128</v>
      </c>
      <c r="F65" s="105" t="str">
        <f>IFERROR(__xludf.DUMMYFUNCTION("""COMPUTED_VALUE"""),"60c90f7")</f>
        <v>60c90f7</v>
      </c>
      <c r="G65" s="178" t="str">
        <f>IFERROR(__xludf.DUMMYFUNCTION("""COMPUTED_VALUE"""),"https://opendev.org/openstack/nova/commit/60c90f7")</f>
        <v>https://opendev.org/openstack/nova/commit/60c90f7</v>
      </c>
      <c r="H65" s="105">
        <f>IFERROR(__xludf.DUMMYFUNCTION("""COMPUTED_VALUE"""),102324.0)</f>
        <v>102324</v>
      </c>
      <c r="I65" s="178" t="str">
        <f>IFERROR(__xludf.DUMMYFUNCTION("""COMPUTED_VALUE"""),"https://review.opendev.org/c/openstack/nova/+/102324")</f>
        <v>https://review.opendev.org/c/openstack/nova/+/102324</v>
      </c>
      <c r="J65" s="105">
        <f>IFERROR(__xludf.DUMMYFUNCTION("""COMPUTED_VALUE"""),1333827.0)</f>
        <v>1333827</v>
      </c>
      <c r="K65" s="178" t="str">
        <f>IFERROR(__xludf.DUMMYFUNCTION("""COMPUTED_VALUE"""),"https://bugs.launchpad.net/nova/+bug/1333827")</f>
        <v>https://bugs.launchpad.net/nova/+bug/1333827</v>
      </c>
      <c r="L65" s="105"/>
      <c r="M65" s="105"/>
      <c r="N65" s="105"/>
      <c r="O65" s="105"/>
      <c r="P65" s="105">
        <f>IFERROR(__xludf.DUMMYFUNCTION("""COMPUTED_VALUE"""),1333827.0)</f>
        <v>1333827</v>
      </c>
      <c r="Q65" s="178" t="str">
        <f>IFERROR(__xludf.DUMMYFUNCTION("""COMPUTED_VALUE"""),"https://bugs.launchpad.net/nova/+bug/1333827")</f>
        <v>https://bugs.launchpad.net/nova/+bug/1333827</v>
      </c>
      <c r="R65" s="105" t="str">
        <f>IFERROR(__xludf.DUMMYFUNCTION("""COMPUTED_VALUE"""),"No, however, check in the right corner of the bug description")</f>
        <v>No, however, check in the right corner of the bug description</v>
      </c>
      <c r="S65" s="105">
        <f>IFERROR(__xludf.DUMMYFUNCTION("""COMPUTED_VALUE"""),0.0)</f>
        <v>0</v>
      </c>
      <c r="T65" s="178" t="str">
        <f>IFERROR(__xludf.DUMMYFUNCTION("""COMPUTED_VALUE"""),"https://bugs.launchpad.net/nova/+bug/1388386")</f>
        <v>https://bugs.launchpad.net/nova/+bug/1388386</v>
      </c>
      <c r="U65" s="105"/>
      <c r="V65" s="105"/>
      <c r="W65" s="54" t="str">
        <f>IFERROR(__xludf.DUMMYFUNCTION("""COMPUTED_VALUE"""),"NOVA")</f>
        <v>NOVA</v>
      </c>
      <c r="X65" s="180" t="str">
        <f>IFERROR(__xludf.DUMMYFUNCTION("""COMPUTED_VALUE"""),"https://www.mail-archive.com/openstack-dev@lists.openstack.org/ ")</f>
        <v>https://www.mail-archive.com/openstack-dev@lists.openstack.org/ </v>
      </c>
      <c r="Y65" s="54" t="str">
        <f>IFERROR(__xludf.DUMMYFUNCTION("""COMPUTED_VALUE"""),"nova/virt/libvirt/driver.py")</f>
        <v>nova/virt/libvirt/driver.py</v>
      </c>
      <c r="Z65" s="54" t="str">
        <f>IFERROR(__xludf.DUMMYFUNCTION("""COMPUTED_VALUE"""),"/libvirt/driver.py")</f>
        <v>/libvirt/driver.py</v>
      </c>
      <c r="AA65" s="54">
        <f>IFERROR(__xludf.DUMMYFUNCTION("""COMPUTED_VALUE"""),0.0)</f>
        <v>0</v>
      </c>
      <c r="AB65" s="54" t="str">
        <f>IFERROR(__xludf.DUMMYFUNCTION("""COMPUTED_VALUE"""),"Note64")</f>
        <v>Note64</v>
      </c>
      <c r="AC65" s="54" t="str">
        <f t="shared" si="1"/>
        <v>NOVA 1453274</v>
      </c>
    </row>
    <row r="66">
      <c r="A66" s="105" t="str">
        <f>IFERROR(__xludf.DUMMYFUNCTION("""COMPUTED_VALUE"""),"NOVA 1466390")</f>
        <v>NOVA 1466390</v>
      </c>
      <c r="B66" s="105">
        <f>IFERROR(__xludf.DUMMYFUNCTION("""COMPUTED_VALUE"""),1466390.0)</f>
        <v>1466390</v>
      </c>
      <c r="C66" s="178" t="str">
        <f>IFERROR(__xludf.DUMMYFUNCTION("""COMPUTED_VALUE"""),"https://bugs.launchpad.net/nova/+bug/1466390")</f>
        <v>https://bugs.launchpad.net/nova/+bug/1466390</v>
      </c>
      <c r="D66" s="105" t="str">
        <f>IFERROR(__xludf.DUMMYFUNCTION("""COMPUTED_VALUE"""),"d4d23124a54a62607f710c44a871c0810105729a")</f>
        <v>d4d23124a54a62607f710c44a871c0810105729a</v>
      </c>
      <c r="E66" s="178" t="str">
        <f>IFERROR(__xludf.DUMMYFUNCTION("""COMPUTED_VALUE"""),"https://opendev.org/openstack/nova/commit/d4d23124a54a62607f710c44a871c0810105729a")</f>
        <v>https://opendev.org/openstack/nova/commit/d4d23124a54a62607f710c44a871c0810105729a</v>
      </c>
      <c r="F66" s="105" t="str">
        <f>IFERROR(__xludf.DUMMYFUNCTION("""COMPUTED_VALUE"""),"501ff41")</f>
        <v>501ff41</v>
      </c>
      <c r="G66" s="178" t="str">
        <f>IFERROR(__xludf.DUMMYFUNCTION("""COMPUTED_VALUE"""),"https://opendev.org/openstack/nova/commit/501ff41")</f>
        <v>https://opendev.org/openstack/nova/commit/501ff41</v>
      </c>
      <c r="H66" s="105">
        <f>IFERROR(__xludf.DUMMYFUNCTION("""COMPUTED_VALUE"""),28880.0)</f>
        <v>28880</v>
      </c>
      <c r="I66" s="178" t="str">
        <f>IFERROR(__xludf.DUMMYFUNCTION("""COMPUTED_VALUE"""),"https://review.opendev.org/c/openstack/nova/+/28880")</f>
        <v>https://review.opendev.org/c/openstack/nova/+/28880</v>
      </c>
      <c r="J66" s="105" t="str">
        <f>IFERROR(__xludf.DUMMYFUNCTION("""COMPUTED_VALUE"""),"instance-group-api-extension")</f>
        <v>instance-group-api-extension</v>
      </c>
      <c r="K66" s="178" t="str">
        <f>IFERROR(__xludf.DUMMYFUNCTION("""COMPUTED_VALUE"""),"https://blueprints.launchpad.net/nova/+spec/instance-group-api-extension")</f>
        <v>https://blueprints.launchpad.net/nova/+spec/instance-group-api-extension</v>
      </c>
      <c r="L66" s="105"/>
      <c r="M66" s="105"/>
      <c r="N66" s="105"/>
      <c r="O66" s="105"/>
      <c r="P66" s="105" t="str">
        <f>IFERROR(__xludf.DUMMYFUNCTION("""COMPUTED_VALUE"""),"instance-group-api-extension")</f>
        <v>instance-group-api-extension</v>
      </c>
      <c r="Q66" s="178" t="str">
        <f>IFERROR(__xludf.DUMMYFUNCTION("""COMPUTED_VALUE"""),"https://blueprints.launchpad.net/nova/+spec/instance-group-api-extension")</f>
        <v>https://blueprints.launchpad.net/nova/+spec/instance-group-api-extension</v>
      </c>
      <c r="R66" s="105" t="str">
        <f>IFERROR(__xludf.DUMMYFUNCTION("""COMPUTED_VALUE"""),"No, however, check in the right corner of the bug description")</f>
        <v>No, however, check in the right corner of the bug description</v>
      </c>
      <c r="S66" s="105">
        <f>IFERROR(__xludf.DUMMYFUNCTION("""COMPUTED_VALUE"""),0.0)</f>
        <v>0</v>
      </c>
      <c r="T66" s="105" t="str">
        <f>IFERROR(__xludf.DUMMYFUNCTION("""COMPUTED_VALUE"""),"None identified")</f>
        <v>None identified</v>
      </c>
      <c r="U66" s="105"/>
      <c r="V66" s="105"/>
      <c r="W66" s="54" t="str">
        <f>IFERROR(__xludf.DUMMYFUNCTION("""COMPUTED_VALUE"""),"NOVA")</f>
        <v>NOVA</v>
      </c>
      <c r="X66" s="180" t="str">
        <f>IFERROR(__xludf.DUMMYFUNCTION("""COMPUTED_VALUE"""),"https://www.mail-archive.com/openstack-dev@lists.openstack.org/ ")</f>
        <v>https://www.mail-archive.com/openstack-dev@lists.openstack.org/ </v>
      </c>
      <c r="Y66" s="54" t="str">
        <f>IFERROR(__xludf.DUMMYFUNCTION("""COMPUTED_VALUE"""),"nova/db/sqlalchemy/api.py")</f>
        <v>nova/db/sqlalchemy/api.py</v>
      </c>
      <c r="Z66" s="54" t="str">
        <f>IFERROR(__xludf.DUMMYFUNCTION("""COMPUTED_VALUE"""),"/sqlalchemy/api.py")</f>
        <v>/sqlalchemy/api.py</v>
      </c>
      <c r="AA66" s="54">
        <f>IFERROR(__xludf.DUMMYFUNCTION("""COMPUTED_VALUE"""),0.0)</f>
        <v>0</v>
      </c>
      <c r="AB66" s="54" t="str">
        <f>IFERROR(__xludf.DUMMYFUNCTION("""COMPUTED_VALUE"""),"Note65")</f>
        <v>Note65</v>
      </c>
      <c r="AC66" s="54" t="str">
        <f t="shared" si="1"/>
        <v>NOVA 1466390</v>
      </c>
    </row>
    <row r="67">
      <c r="A67" s="105" t="str">
        <f>IFERROR(__xludf.DUMMYFUNCTION("""COMPUTED_VALUE"""),"NOVA 1467451")</f>
        <v>NOVA 1467451</v>
      </c>
      <c r="B67" s="105">
        <f>IFERROR(__xludf.DUMMYFUNCTION("""COMPUTED_VALUE"""),1467451.0)</f>
        <v>1467451</v>
      </c>
      <c r="C67" s="178" t="str">
        <f>IFERROR(__xludf.DUMMYFUNCTION("""COMPUTED_VALUE"""),"https://bugs.launchpad.net/nova/+bug/1467451")</f>
        <v>https://bugs.launchpad.net/nova/+bug/1467451</v>
      </c>
      <c r="D67" s="105" t="str">
        <f>IFERROR(__xludf.DUMMYFUNCTION("""COMPUTED_VALUE"""),"a02deffcfab6cc9a7b0764dd36b8514f6cb1a108")</f>
        <v>a02deffcfab6cc9a7b0764dd36b8514f6cb1a108</v>
      </c>
      <c r="E67" s="178" t="str">
        <f>IFERROR(__xludf.DUMMYFUNCTION("""COMPUTED_VALUE"""),"https://opendev.org/openstack/nova/commit/a02deffcfab6cc9a7b0764dd36b8514f6cb1a108")</f>
        <v>https://opendev.org/openstack/nova/commit/a02deffcfab6cc9a7b0764dd36b8514f6cb1a108</v>
      </c>
      <c r="F67" s="105" t="str">
        <f>IFERROR(__xludf.DUMMYFUNCTION("""COMPUTED_VALUE"""),"0e02db2980dc4e76ef7949ba4ec131af9fc4a44d")</f>
        <v>0e02db2980dc4e76ef7949ba4ec131af9fc4a44d</v>
      </c>
      <c r="G67" s="178" t="str">
        <f>IFERROR(__xludf.DUMMYFUNCTION("""COMPUTED_VALUE"""),"https://opendev.org/openstack/nova/commit/0e02db2980dc4e76ef7949ba4ec131af9fc4a44d")</f>
        <v>https://opendev.org/openstack/nova/commit/0e02db2980dc4e76ef7949ba4ec131af9fc4a44d</v>
      </c>
      <c r="H67" s="105">
        <f>IFERROR(__xludf.DUMMYFUNCTION("""COMPUTED_VALUE"""),129235.0)</f>
        <v>129235</v>
      </c>
      <c r="I67" s="178" t="str">
        <f>IFERROR(__xludf.DUMMYFUNCTION("""COMPUTED_VALUE"""),"https://review.opendev.org/c/openstack/nova/+/129235")</f>
        <v>https://review.opendev.org/c/openstack/nova/+/129235</v>
      </c>
      <c r="J67" s="105" t="str">
        <f>IFERROR(__xludf.DUMMYFUNCTION("""COMPUTED_VALUE"""),"hyper-v-smbfs-volume-support")</f>
        <v>hyper-v-smbfs-volume-support</v>
      </c>
      <c r="K67" s="178" t="str">
        <f>IFERROR(__xludf.DUMMYFUNCTION("""COMPUTED_VALUE"""),"https://blueprints.launchpad.net/nova/+spec/hyper-v-smbfs-volume-support")</f>
        <v>https://blueprints.launchpad.net/nova/+spec/hyper-v-smbfs-volume-support</v>
      </c>
      <c r="L67" s="105"/>
      <c r="M67" s="105"/>
      <c r="N67" s="105"/>
      <c r="O67" s="105"/>
      <c r="P67" s="105" t="str">
        <f>IFERROR(__xludf.DUMMYFUNCTION("""COMPUTED_VALUE"""),"hyper-v-smbfs-volume-support")</f>
        <v>hyper-v-smbfs-volume-support</v>
      </c>
      <c r="Q67" s="178" t="str">
        <f>IFERROR(__xludf.DUMMYFUNCTION("""COMPUTED_VALUE"""),"https://blueprints.launchpad.net/nova/+spec/hyper-v-smbfs-volume-support")</f>
        <v>https://blueprints.launchpad.net/nova/+spec/hyper-v-smbfs-volume-support</v>
      </c>
      <c r="R67" s="105" t="str">
        <f>IFERROR(__xludf.DUMMYFUNCTION("""COMPUTED_VALUE"""),"No, however, check in the right corner of the bug description")</f>
        <v>No, however, check in the right corner of the bug description</v>
      </c>
      <c r="S67" s="105">
        <f>IFERROR(__xludf.DUMMYFUNCTION("""COMPUTED_VALUE"""),0.0)</f>
        <v>0</v>
      </c>
      <c r="T67" s="105" t="str">
        <f>IFERROR(__xludf.DUMMYFUNCTION("""COMPUTED_VALUE"""),"None identified")</f>
        <v>None identified</v>
      </c>
      <c r="U67" s="105"/>
      <c r="V67" s="105"/>
      <c r="W67" s="54" t="str">
        <f>IFERROR(__xludf.DUMMYFUNCTION("""COMPUTED_VALUE"""),"NOVA")</f>
        <v>NOVA</v>
      </c>
      <c r="X67" s="180" t="str">
        <f>IFERROR(__xludf.DUMMYFUNCTION("""COMPUTED_VALUE"""),"https://www.mail-archive.com/openstack-dev@lists.openstack.org/ ")</f>
        <v>https://www.mail-archive.com/openstack-dev@lists.openstack.org/ </v>
      </c>
      <c r="Y67" s="54" t="str">
        <f>IFERROR(__xludf.DUMMYFUNCTION("""COMPUTED_VALUE"""),"nova/virt/hyperv/vmutils.py, nova/virt/hyperv/vmutilsv2.py 
")</f>
        <v>nova/virt/hyperv/vmutils.py, nova/virt/hyperv/vmutilsv2.py 
</v>
      </c>
      <c r="Z67" s="54" t="str">
        <f>IFERROR(__xludf.DUMMYFUNCTION("""COMPUTED_VALUE"""),"/hyperv/vmutils.py
/virt/hyperv/vmutilsv2.py ")</f>
        <v>/hyperv/vmutils.py
/virt/hyperv/vmutilsv2.py </v>
      </c>
      <c r="AA67" s="54">
        <f>IFERROR(__xludf.DUMMYFUNCTION("""COMPUTED_VALUE"""),1.0)</f>
        <v>1</v>
      </c>
      <c r="AB67" s="54" t="str">
        <f>IFERROR(__xludf.DUMMYFUNCTION("""COMPUTED_VALUE"""),"Note66")</f>
        <v>Note66</v>
      </c>
      <c r="AC67" s="54" t="str">
        <f t="shared" si="1"/>
        <v>NOVA 1467451</v>
      </c>
    </row>
    <row r="68">
      <c r="A68" s="105" t="str">
        <f>IFERROR(__xludf.DUMMYFUNCTION("""COMPUTED_VALUE"""),"NOVA 1475356")</f>
        <v>NOVA 1475356</v>
      </c>
      <c r="B68" s="105">
        <f>IFERROR(__xludf.DUMMYFUNCTION("""COMPUTED_VALUE"""),1475356.0)</f>
        <v>1475356</v>
      </c>
      <c r="C68" s="178" t="str">
        <f>IFERROR(__xludf.DUMMYFUNCTION("""COMPUTED_VALUE"""),"https://bugs.launchpad.net/nova/+bug/1475356")</f>
        <v>https://bugs.launchpad.net/nova/+bug/1475356</v>
      </c>
      <c r="D68" s="105" t="str">
        <f>IFERROR(__xludf.DUMMYFUNCTION("""COMPUTED_VALUE"""),"7c0e2238eb003ac0c620f4b63fa92baa6675e724")</f>
        <v>7c0e2238eb003ac0c620f4b63fa92baa6675e724</v>
      </c>
      <c r="E68" s="178" t="str">
        <f>IFERROR(__xludf.DUMMYFUNCTION("""COMPUTED_VALUE"""),"https://opendev.org/openstack/nova/commit/7c0e2238eb003ac0c620f4b63fa92baa6675e724")</f>
        <v>https://opendev.org/openstack/nova/commit/7c0e2238eb003ac0c620f4b63fa92baa6675e724</v>
      </c>
      <c r="F68" s="105" t="str">
        <f>IFERROR(__xludf.DUMMYFUNCTION("""COMPUTED_VALUE"""),"0eb7e35fbf")</f>
        <v>0eb7e35fbf</v>
      </c>
      <c r="G68" s="178" t="str">
        <f>IFERROR(__xludf.DUMMYFUNCTION("""COMPUTED_VALUE"""),"https://opendev.org/openstack/nova/commit/0eb7e35fbf")</f>
        <v>https://opendev.org/openstack/nova/commit/0eb7e35fbf</v>
      </c>
      <c r="H68" s="105">
        <f>IFERROR(__xludf.DUMMYFUNCTION("""COMPUTED_VALUE"""),59560.0)</f>
        <v>59560</v>
      </c>
      <c r="I68" s="178" t="str">
        <f>IFERROR(__xludf.DUMMYFUNCTION("""COMPUTED_VALUE"""),"https://review.opendev.org/c/openstack/nova/+/59560")</f>
        <v>https://review.opendev.org/c/openstack/nova/+/59560</v>
      </c>
      <c r="J68" s="105">
        <f>IFERROR(__xludf.DUMMYFUNCTION("""COMPUTED_VALUE"""),1258256.0)</f>
        <v>1258256</v>
      </c>
      <c r="K68" s="178" t="str">
        <f>IFERROR(__xludf.DUMMYFUNCTION("""COMPUTED_VALUE"""),"https://bugs.launchpad.net/nova/+bug/1258256")</f>
        <v>https://bugs.launchpad.net/nova/+bug/1258256</v>
      </c>
      <c r="L68" s="105"/>
      <c r="M68" s="105"/>
      <c r="N68" s="105"/>
      <c r="O68" s="105"/>
      <c r="P68" s="105">
        <f>IFERROR(__xludf.DUMMYFUNCTION("""COMPUTED_VALUE"""),1258256.0)</f>
        <v>1258256</v>
      </c>
      <c r="Q68" s="178" t="str">
        <f>IFERROR(__xludf.DUMMYFUNCTION("""COMPUTED_VALUE"""),"https://bugs.launchpad.net/nova/+bug/1258256")</f>
        <v>https://bugs.launchpad.net/nova/+bug/1258256</v>
      </c>
      <c r="R68" s="105" t="str">
        <f>IFERROR(__xludf.DUMMYFUNCTION("""COMPUTED_VALUE"""),"No, however, check in the right corner of the bug description")</f>
        <v>No, however, check in the right corner of the bug description</v>
      </c>
      <c r="S68" s="105">
        <f>IFERROR(__xludf.DUMMYFUNCTION("""COMPUTED_VALUE"""),0.0)</f>
        <v>0</v>
      </c>
      <c r="T68" s="105" t="str">
        <f>IFERROR(__xludf.DUMMYFUNCTION("""COMPUTED_VALUE"""),"None identified")</f>
        <v>None identified</v>
      </c>
      <c r="U68" s="105"/>
      <c r="V68" s="105"/>
      <c r="W68" s="54" t="str">
        <f>IFERROR(__xludf.DUMMYFUNCTION("""COMPUTED_VALUE"""),"NOVA")</f>
        <v>NOVA</v>
      </c>
      <c r="X68" s="180" t="str">
        <f>IFERROR(__xludf.DUMMYFUNCTION("""COMPUTED_VALUE"""),"https://www.mail-archive.com/openstack-dev@lists.openstack.org/ ")</f>
        <v>https://www.mail-archive.com/openstack-dev@lists.openstack.org/ </v>
      </c>
      <c r="Y68" s="54" t="str">
        <f>IFERROR(__xludf.DUMMYFUNCTION("""COMPUTED_VALUE"""),"nova/objects/base.py")</f>
        <v>nova/objects/base.py</v>
      </c>
      <c r="Z68" s="54" t="str">
        <f>IFERROR(__xludf.DUMMYFUNCTION("""COMPUTED_VALUE"""),"/objects/base.py")</f>
        <v>/objects/base.py</v>
      </c>
      <c r="AA68" s="54">
        <f>IFERROR(__xludf.DUMMYFUNCTION("""COMPUTED_VALUE"""),0.0)</f>
        <v>0</v>
      </c>
      <c r="AB68" s="54" t="str">
        <f>IFERROR(__xludf.DUMMYFUNCTION("""COMPUTED_VALUE"""),"Note67")</f>
        <v>Note67</v>
      </c>
      <c r="AC68" s="54" t="str">
        <f t="shared" si="1"/>
        <v>NOVA 1475356</v>
      </c>
    </row>
    <row r="69">
      <c r="A69" s="105" t="str">
        <f>IFERROR(__xludf.DUMMYFUNCTION("""COMPUTED_VALUE"""),"NOVA 1475911")</f>
        <v>NOVA 1475911</v>
      </c>
      <c r="B69" s="105">
        <f>IFERROR(__xludf.DUMMYFUNCTION("""COMPUTED_VALUE"""),1475911.0)</f>
        <v>1475911</v>
      </c>
      <c r="C69" s="178" t="str">
        <f>IFERROR(__xludf.DUMMYFUNCTION("""COMPUTED_VALUE"""),"https://bugs.launchpad.net/nova/+bug/1475911")</f>
        <v>https://bugs.launchpad.net/nova/+bug/1475911</v>
      </c>
      <c r="D69" s="105" t="str">
        <f>IFERROR(__xludf.DUMMYFUNCTION("""COMPUTED_VALUE"""),"74e140faf23d07e23c33f707d2278679fbc5bbde")</f>
        <v>74e140faf23d07e23c33f707d2278679fbc5bbde</v>
      </c>
      <c r="E69" s="178" t="str">
        <f>IFERROR(__xludf.DUMMYFUNCTION("""COMPUTED_VALUE"""),"https://opendev.org/openstack/nova/commit/74e140faf23d07e23c33f707d2278679fbc5bbde")</f>
        <v>https://opendev.org/openstack/nova/commit/74e140faf23d07e23c33f707d2278679fbc5bbde</v>
      </c>
      <c r="F69" s="105" t="str">
        <f>IFERROR(__xludf.DUMMYFUNCTION("""COMPUTED_VALUE"""),"e310985")</f>
        <v>e310985</v>
      </c>
      <c r="G69" s="178" t="str">
        <f>IFERROR(__xludf.DUMMYFUNCTION("""COMPUTED_VALUE"""),"https://opendev.org/openstack/nova/commit/e310985")</f>
        <v>https://opendev.org/openstack/nova/commit/e310985</v>
      </c>
      <c r="H69" s="105">
        <f>IFERROR(__xludf.DUMMYFUNCTION("""COMPUTED_VALUE"""),113545.0)</f>
        <v>113545</v>
      </c>
      <c r="I69" s="178" t="str">
        <f>IFERROR(__xludf.DUMMYFUNCTION("""COMPUTED_VALUE"""),"https://review.opendev.org/c/openstack/nova/+/113545")</f>
        <v>https://review.opendev.org/c/openstack/nova/+/113545</v>
      </c>
      <c r="J69" s="105" t="str">
        <f>IFERROR(__xludf.DUMMYFUNCTION("""COMPUTED_VALUE"""),"libvirt-lxc-user-namespaces")</f>
        <v>libvirt-lxc-user-namespaces</v>
      </c>
      <c r="K69" s="178" t="str">
        <f>IFERROR(__xludf.DUMMYFUNCTION("""COMPUTED_VALUE"""),"https://blueprints.launchpad.net/nova/+spec/libvirt-lxc-user-namespaces")</f>
        <v>https://blueprints.launchpad.net/nova/+spec/libvirt-lxc-user-namespaces</v>
      </c>
      <c r="L69" s="105"/>
      <c r="M69" s="105"/>
      <c r="N69" s="105"/>
      <c r="O69" s="105"/>
      <c r="P69" s="105" t="str">
        <f>IFERROR(__xludf.DUMMYFUNCTION("""COMPUTED_VALUE"""),"libvirt-lxc-user-namespaces")</f>
        <v>libvirt-lxc-user-namespaces</v>
      </c>
      <c r="Q69" s="178" t="str">
        <f>IFERROR(__xludf.DUMMYFUNCTION("""COMPUTED_VALUE"""),"https://blueprints.launchpad.net/nova/+spec/libvirt-lxc-user-namespaces")</f>
        <v>https://blueprints.launchpad.net/nova/+spec/libvirt-lxc-user-namespaces</v>
      </c>
      <c r="R69" s="105" t="str">
        <f>IFERROR(__xludf.DUMMYFUNCTION("""COMPUTED_VALUE"""),"No, however, check in the right corner of the bug description")</f>
        <v>No, however, check in the right corner of the bug description</v>
      </c>
      <c r="S69" s="105">
        <f>IFERROR(__xludf.DUMMYFUNCTION("""COMPUTED_VALUE"""),0.0)</f>
        <v>0</v>
      </c>
      <c r="T69" s="105" t="str">
        <f>IFERROR(__xludf.DUMMYFUNCTION("""COMPUTED_VALUE"""),"None identified")</f>
        <v>None identified</v>
      </c>
      <c r="U69" s="105"/>
      <c r="V69" s="105"/>
      <c r="W69" s="54" t="str">
        <f>IFERROR(__xludf.DUMMYFUNCTION("""COMPUTED_VALUE"""),"NOVA")</f>
        <v>NOVA</v>
      </c>
      <c r="X69" s="180" t="str">
        <f>IFERROR(__xludf.DUMMYFUNCTION("""COMPUTED_VALUE"""),"https://www.mail-archive.com/openstack-dev@lists.openstack.org/ ")</f>
        <v>https://www.mail-archive.com/openstack-dev@lists.openstack.org/ </v>
      </c>
      <c r="Y69" s="54" t="str">
        <f>IFERROR(__xludf.DUMMYFUNCTION("""COMPUTED_VALUE"""),"nova/cmd/idmapshift.py")</f>
        <v>nova/cmd/idmapshift.py</v>
      </c>
      <c r="Z69" s="54" t="str">
        <f>IFERROR(__xludf.DUMMYFUNCTION("""COMPUTED_VALUE"""),"cmd/idmapshift.py")</f>
        <v>cmd/idmapshift.py</v>
      </c>
      <c r="AA69" s="54">
        <f>IFERROR(__xludf.DUMMYFUNCTION("""COMPUTED_VALUE"""),0.0)</f>
        <v>0</v>
      </c>
      <c r="AB69" s="54" t="str">
        <f>IFERROR(__xludf.DUMMYFUNCTION("""COMPUTED_VALUE"""),"Note68")</f>
        <v>Note68</v>
      </c>
      <c r="AC69" s="54" t="str">
        <f t="shared" si="1"/>
        <v>NOVA 1475911</v>
      </c>
    </row>
    <row r="70">
      <c r="A70" s="105" t="str">
        <f>IFERROR(__xludf.DUMMYFUNCTION("""COMPUTED_VALUE"""),"NOVA 1481078")</f>
        <v>NOVA 1481078</v>
      </c>
      <c r="B70" s="105">
        <f>IFERROR(__xludf.DUMMYFUNCTION("""COMPUTED_VALUE"""),1481078.0)</f>
        <v>1481078</v>
      </c>
      <c r="C70" s="178" t="str">
        <f>IFERROR(__xludf.DUMMYFUNCTION("""COMPUTED_VALUE"""),"https://bugs.launchpad.net/nova/+bug/1481078")</f>
        <v>https://bugs.launchpad.net/nova/+bug/1481078</v>
      </c>
      <c r="D70" s="105" t="str">
        <f>IFERROR(__xludf.DUMMYFUNCTION("""COMPUTED_VALUE"""),"20847c25a8157a10b765387ff8dbda31f8f4e91a")</f>
        <v>20847c25a8157a10b765387ff8dbda31f8f4e91a</v>
      </c>
      <c r="E70" s="178" t="str">
        <f>IFERROR(__xludf.DUMMYFUNCTION("""COMPUTED_VALUE"""),"https://opendev.org/openstack/nova/commit/20847c25a8157a10b765387ff8dbda31f8f4e91a")</f>
        <v>https://opendev.org/openstack/nova/commit/20847c25a8157a10b765387ff8dbda31f8f4e91a</v>
      </c>
      <c r="F70" s="105" t="str">
        <f>IFERROR(__xludf.DUMMYFUNCTION("""COMPUTED_VALUE"""),"31f208423405")</f>
        <v>31f208423405</v>
      </c>
      <c r="G70" s="178" t="str">
        <f>IFERROR(__xludf.DUMMYFUNCTION("""COMPUTED_VALUE"""),"https://opendev.org/openstack/nova/commit/31f208423405")</f>
        <v>https://opendev.org/openstack/nova/commit/31f208423405</v>
      </c>
      <c r="H70" s="105">
        <f>IFERROR(__xludf.DUMMYFUNCTION("""COMPUTED_VALUE"""),164940.0)</f>
        <v>164940</v>
      </c>
      <c r="I70" s="178" t="str">
        <f>IFERROR(__xludf.DUMMYFUNCTION("""COMPUTED_VALUE"""),"https://review.opendev.org/c/openstack/nova/+/164940")</f>
        <v>https://review.opendev.org/c/openstack/nova/+/164940</v>
      </c>
      <c r="J70" s="105">
        <f>IFERROR(__xludf.DUMMYFUNCTION("""COMPUTED_VALUE"""),1432913.0)</f>
        <v>1432913</v>
      </c>
      <c r="K70" s="178" t="str">
        <f>IFERROR(__xludf.DUMMYFUNCTION("""COMPUTED_VALUE"""),"https://bugs.launchpad.net/nova/+bug/1432913")</f>
        <v>https://bugs.launchpad.net/nova/+bug/1432913</v>
      </c>
      <c r="L70" s="105"/>
      <c r="M70" s="105"/>
      <c r="N70" s="105"/>
      <c r="O70" s="105"/>
      <c r="P70" s="105">
        <f>IFERROR(__xludf.DUMMYFUNCTION("""COMPUTED_VALUE"""),1432913.0)</f>
        <v>1432913</v>
      </c>
      <c r="Q70" s="178" t="str">
        <f>IFERROR(__xludf.DUMMYFUNCTION("""COMPUTED_VALUE"""),"https://bugs.launchpad.net/nova/+bug/1432913")</f>
        <v>https://bugs.launchpad.net/nova/+bug/1432913</v>
      </c>
      <c r="R70" s="105" t="str">
        <f>IFERROR(__xludf.DUMMYFUNCTION("""COMPUTED_VALUE"""),"No, however, check in the right corner of the bug description")</f>
        <v>No, however, check in the right corner of the bug description</v>
      </c>
      <c r="S70" s="105">
        <f>IFERROR(__xludf.DUMMYFUNCTION("""COMPUTED_VALUE"""),1.0)</f>
        <v>1</v>
      </c>
      <c r="T70" s="105" t="str">
        <f>IFERROR(__xludf.DUMMYFUNCTION("""COMPUTED_VALUE"""),"None identified")</f>
        <v>None identified</v>
      </c>
      <c r="U70" s="105"/>
      <c r="V70" s="105"/>
      <c r="W70" s="54" t="str">
        <f>IFERROR(__xludf.DUMMYFUNCTION("""COMPUTED_VALUE"""),"NOVA")</f>
        <v>NOVA</v>
      </c>
      <c r="X70" s="180" t="str">
        <f>IFERROR(__xludf.DUMMYFUNCTION("""COMPUTED_VALUE"""),"https://www.mail-archive.com/openstack-dev@lists.openstack.org/ ")</f>
        <v>https://www.mail-archive.com/openstack-dev@lists.openstack.org/ </v>
      </c>
      <c r="Y70" s="54" t="str">
        <f>IFERROR(__xludf.DUMMYFUNCTION("""COMPUTED_VALUE"""),"nova/virt/xenapi/vmops.py")</f>
        <v>nova/virt/xenapi/vmops.py</v>
      </c>
      <c r="Z70" s="54" t="str">
        <f>IFERROR(__xludf.DUMMYFUNCTION("""COMPUTED_VALUE"""),"/xenapi/vmops.py")</f>
        <v>/xenapi/vmops.py</v>
      </c>
      <c r="AA70" s="54">
        <f>IFERROR(__xludf.DUMMYFUNCTION("""COMPUTED_VALUE"""),0.0)</f>
        <v>0</v>
      </c>
      <c r="AB70" s="54" t="str">
        <f>IFERROR(__xludf.DUMMYFUNCTION("""COMPUTED_VALUE"""),"Note69")</f>
        <v>Note69</v>
      </c>
      <c r="AC70" s="54" t="str">
        <f t="shared" si="1"/>
        <v>NOVA 1481078</v>
      </c>
    </row>
    <row r="71">
      <c r="A71" s="105" t="str">
        <f>IFERROR(__xludf.DUMMYFUNCTION("""COMPUTED_VALUE"""),"NOVA 1481164")</f>
        <v>NOVA 1481164</v>
      </c>
      <c r="B71" s="105">
        <f>IFERROR(__xludf.DUMMYFUNCTION("""COMPUTED_VALUE"""),1481164.0)</f>
        <v>1481164</v>
      </c>
      <c r="C71" s="178" t="str">
        <f>IFERROR(__xludf.DUMMYFUNCTION("""COMPUTED_VALUE"""),"https://bugs.launchpad.net/nova/+bug/1481164")</f>
        <v>https://bugs.launchpad.net/nova/+bug/1481164</v>
      </c>
      <c r="D71" s="105" t="str">
        <f>IFERROR(__xludf.DUMMYFUNCTION("""COMPUTED_VALUE"""),"0ed3f33028b539877abf51b5a36a0f8e5c0a5927")</f>
        <v>0ed3f33028b539877abf51b5a36a0f8e5c0a5927</v>
      </c>
      <c r="E71" s="178" t="str">
        <f>IFERROR(__xludf.DUMMYFUNCTION("""COMPUTED_VALUE"""),"https://opendev.org/openstack/nova/commit/0ed3f33028b539877abf51b5a36a0f8e5c0a5927")</f>
        <v>https://opendev.org/openstack/nova/commit/0ed3f33028b539877abf51b5a36a0f8e5c0a5927</v>
      </c>
      <c r="F71" s="105"/>
      <c r="G71" s="105"/>
      <c r="H71" s="105">
        <f>IFERROR(__xludf.DUMMYFUNCTION("""COMPUTED_VALUE"""),208796.0)</f>
        <v>208796</v>
      </c>
      <c r="I71" s="178" t="str">
        <f>IFERROR(__xludf.DUMMYFUNCTION("""COMPUTED_VALUE"""),"https://review.opendev.org/c/openstack/nova/+/208796")</f>
        <v>https://review.opendev.org/c/openstack/nova/+/208796</v>
      </c>
      <c r="J71" s="105" t="str">
        <f>IFERROR(__xludf.DUMMYFUNCTION("""COMPUTED_VALUE"""),"NA")</f>
        <v>NA</v>
      </c>
      <c r="K71" s="105"/>
      <c r="L71" s="105"/>
      <c r="M71" s="105"/>
      <c r="N71" s="105"/>
      <c r="O71" s="105"/>
      <c r="P71" s="105" t="str">
        <f>IFERROR(__xludf.DUMMYFUNCTION("""COMPUTED_VALUE"""),"NA")</f>
        <v>NA</v>
      </c>
      <c r="Q71" s="105"/>
      <c r="R71" s="105" t="str">
        <f>IFERROR(__xludf.DUMMYFUNCTION("""COMPUTED_VALUE"""),"No, however, check in the right corner of the bug description")</f>
        <v>No, however, check in the right corner of the bug description</v>
      </c>
      <c r="S71" s="105">
        <f>IFERROR(__xludf.DUMMYFUNCTION("""COMPUTED_VALUE"""),0.0)</f>
        <v>0</v>
      </c>
      <c r="T71" s="105" t="str">
        <f>IFERROR(__xludf.DUMMYFUNCTION("""COMPUTED_VALUE"""),"None identified")</f>
        <v>None identified</v>
      </c>
      <c r="U71" s="105"/>
      <c r="V71" s="105"/>
      <c r="W71" s="54" t="str">
        <f>IFERROR(__xludf.DUMMYFUNCTION("""COMPUTED_VALUE"""),"NOVA")</f>
        <v>NOVA</v>
      </c>
      <c r="X71" s="180" t="str">
        <f>IFERROR(__xludf.DUMMYFUNCTION("""COMPUTED_VALUE"""),"https://www.mail-archive.com/openstack-dev@lists.openstack.org/ ")</f>
        <v>https://www.mail-archive.com/openstack-dev@lists.openstack.org/ </v>
      </c>
      <c r="Y71" s="54" t="str">
        <f>IFERROR(__xludf.DUMMYFUNCTION("""COMPUTED_VALUE"""),"nova/virt/libvirt/blockinfo.py")</f>
        <v>nova/virt/libvirt/blockinfo.py</v>
      </c>
      <c r="Z71" s="54" t="str">
        <f>IFERROR(__xludf.DUMMYFUNCTION("""COMPUTED_VALUE"""),"/libvirt/blockinfo.py")</f>
        <v>/libvirt/blockinfo.py</v>
      </c>
      <c r="AA71" s="54">
        <f>IFERROR(__xludf.DUMMYFUNCTION("""COMPUTED_VALUE"""),0.0)</f>
        <v>0</v>
      </c>
      <c r="AB71" s="54" t="str">
        <f>IFERROR(__xludf.DUMMYFUNCTION("""COMPUTED_VALUE"""),"Note70")</f>
        <v>Note70</v>
      </c>
      <c r="AC71" s="54" t="str">
        <f t="shared" si="1"/>
        <v>NOVA 1481164</v>
      </c>
    </row>
    <row r="72">
      <c r="A72" s="105" t="str">
        <f>IFERROR(__xludf.DUMMYFUNCTION("""COMPUTED_VALUE"""),"NOVA 1486541")</f>
        <v>NOVA 1486541</v>
      </c>
      <c r="B72" s="105">
        <f>IFERROR(__xludf.DUMMYFUNCTION("""COMPUTED_VALUE"""),1486541.0)</f>
        <v>1486541</v>
      </c>
      <c r="C72" s="178" t="str">
        <f>IFERROR(__xludf.DUMMYFUNCTION("""COMPUTED_VALUE"""),"https://bugs.launchpad.net/nova/+bug/1486541")</f>
        <v>https://bugs.launchpad.net/nova/+bug/1486541</v>
      </c>
      <c r="D72" s="105" t="str">
        <f>IFERROR(__xludf.DUMMYFUNCTION("""COMPUTED_VALUE"""),"812d75ecb59c3198cf40ae81cfc97a99b5ff1a50")</f>
        <v>812d75ecb59c3198cf40ae81cfc97a99b5ff1a50</v>
      </c>
      <c r="E72" s="178" t="str">
        <f>IFERROR(__xludf.DUMMYFUNCTION("""COMPUTED_VALUE"""),"https://opendev.org/openstack/nova/commit/812d75ecb59c3198cf40ae81cfc97a99b5ff1a50")</f>
        <v>https://opendev.org/openstack/nova/commit/812d75ecb59c3198cf40ae81cfc97a99b5ff1a50</v>
      </c>
      <c r="F72" s="105" t="str">
        <f>IFERROR(__xludf.DUMMYFUNCTION("""COMPUTED_VALUE"""),"f5071bd1ac00ed68102d37c8025")</f>
        <v>f5071bd1ac00ed68102d37c8025</v>
      </c>
      <c r="G72" s="178" t="str">
        <f>IFERROR(__xludf.DUMMYFUNCTION("""COMPUTED_VALUE"""),"https://opendev.org/openstack/nova/commit/f5071bd1ac00ed68102d37c8025")</f>
        <v>https://opendev.org/openstack/nova/commit/f5071bd1ac00ed68102d37c8025</v>
      </c>
      <c r="H72" s="105">
        <f>IFERROR(__xludf.DUMMYFUNCTION("""COMPUTED_VALUE"""),70747.0)</f>
        <v>70747</v>
      </c>
      <c r="I72" s="178" t="str">
        <f>IFERROR(__xludf.DUMMYFUNCTION("""COMPUTED_VALUE"""),"https://review.opendev.org/c/openstack/nova/+/70747")</f>
        <v>https://review.opendev.org/c/openstack/nova/+/70747</v>
      </c>
      <c r="J72" s="105" t="str">
        <f>IFERROR(__xludf.DUMMYFUNCTION("""COMPUTED_VALUE"""),"icehouse-objects")</f>
        <v>icehouse-objects</v>
      </c>
      <c r="K72" s="178" t="str">
        <f>IFERROR(__xludf.DUMMYFUNCTION("""COMPUTED_VALUE"""),"https://blueprints.launchpad.net/nova/+spec/icehouse-objects")</f>
        <v>https://blueprints.launchpad.net/nova/+spec/icehouse-objects</v>
      </c>
      <c r="L72" s="105" t="str">
        <f>IFERROR(__xludf.DUMMYFUNCTION("""COMPUTED_VALUE"""),"clean-up-legacy-block-device-mapping")</f>
        <v>clean-up-legacy-block-device-mapping</v>
      </c>
      <c r="M72" s="178" t="str">
        <f>IFERROR(__xludf.DUMMYFUNCTION("""COMPUTED_VALUE"""),"https://blueprints.launchpad.net/nova/+spec/clean-up-legacy-block-device-mapping")</f>
        <v>https://blueprints.launchpad.net/nova/+spec/clean-up-legacy-block-device-mapping</v>
      </c>
      <c r="N72" s="105"/>
      <c r="O72" s="105"/>
      <c r="P72" s="105" t="str">
        <f>IFERROR(__xludf.DUMMYFUNCTION("""COMPUTED_VALUE"""),"icehouse-objects, clean-up-legacy-block-device-mapping ")</f>
        <v>icehouse-objects, clean-up-legacy-block-device-mapping </v>
      </c>
      <c r="Q72" s="105" t="str">
        <f>IFERROR(__xludf.DUMMYFUNCTION("""COMPUTED_VALUE"""),"https://blueprints.launchpad.net/nova/+spec/icehouse-objects, https://blueprints.launchpad.net/nova/+spec/clean-up-legacy-block-device-mapping")</f>
        <v>https://blueprints.launchpad.net/nova/+spec/icehouse-objects, https://blueprints.launchpad.net/nova/+spec/clean-up-legacy-block-device-mapping</v>
      </c>
      <c r="R72" s="105" t="str">
        <f>IFERROR(__xludf.DUMMYFUNCTION("""COMPUTED_VALUE"""),"No, however, check in the right corner of the bug description")</f>
        <v>No, however, check in the right corner of the bug description</v>
      </c>
      <c r="S72" s="105">
        <f>IFERROR(__xludf.DUMMYFUNCTION("""COMPUTED_VALUE"""),0.0)</f>
        <v>0</v>
      </c>
      <c r="T72" s="105" t="str">
        <f>IFERROR(__xludf.DUMMYFUNCTION("""COMPUTED_VALUE"""),"None identified")</f>
        <v>None identified</v>
      </c>
      <c r="U72" s="105"/>
      <c r="V72" s="105"/>
      <c r="W72" s="54" t="str">
        <f>IFERROR(__xludf.DUMMYFUNCTION("""COMPUTED_VALUE"""),"NOVA")</f>
        <v>NOVA</v>
      </c>
      <c r="X72" s="180" t="str">
        <f>IFERROR(__xludf.DUMMYFUNCTION("""COMPUTED_VALUE"""),"https://www.mail-archive.com/openstack-dev@lists.openstack.org/ ")</f>
        <v>https://www.mail-archive.com/openstack-dev@lists.openstack.org/ </v>
      </c>
      <c r="Y72" s="54" t="str">
        <f>IFERROR(__xludf.DUMMYFUNCTION("""COMPUTED_VALUE"""),"nova/compute/cells_api.py")</f>
        <v>nova/compute/cells_api.py</v>
      </c>
      <c r="Z72" s="54" t="str">
        <f>IFERROR(__xludf.DUMMYFUNCTION("""COMPUTED_VALUE"""),"/compute/cells_api.py")</f>
        <v>/compute/cells_api.py</v>
      </c>
      <c r="AA72" s="54">
        <f>IFERROR(__xludf.DUMMYFUNCTION("""COMPUTED_VALUE"""),0.0)</f>
        <v>0</v>
      </c>
      <c r="AB72" s="54"/>
      <c r="AC72" s="54" t="str">
        <f t="shared" si="1"/>
        <v>NOVA 1486541</v>
      </c>
    </row>
    <row r="73">
      <c r="A73" s="105" t="str">
        <f>IFERROR(__xludf.DUMMYFUNCTION("""COMPUTED_VALUE"""),"NOVA 1505471")</f>
        <v>NOVA 1505471</v>
      </c>
      <c r="B73" s="105">
        <f>IFERROR(__xludf.DUMMYFUNCTION("""COMPUTED_VALUE"""),1505471.0)</f>
        <v>1505471</v>
      </c>
      <c r="C73" s="178" t="str">
        <f>IFERROR(__xludf.DUMMYFUNCTION("""COMPUTED_VALUE"""),"https://bugs.launchpad.net/nova/+bug/1505471")</f>
        <v>https://bugs.launchpad.net/nova/+bug/1505471</v>
      </c>
      <c r="D73" s="105" t="str">
        <f>IFERROR(__xludf.DUMMYFUNCTION("""COMPUTED_VALUE"""),"5252bba03e43c71f90cb2a657e6a7f396d04be75")</f>
        <v>5252bba03e43c71f90cb2a657e6a7f396d04be75</v>
      </c>
      <c r="E73" s="178" t="str">
        <f>IFERROR(__xludf.DUMMYFUNCTION("""COMPUTED_VALUE"""),"https://opendev.org/openstack/nova/commit/5252bba03e43c71f90cb2a657e6a7f396d04be75")</f>
        <v>https://opendev.org/openstack/nova/commit/5252bba03e43c71f90cb2a657e6a7f396d04be75</v>
      </c>
      <c r="F73" s="105" t="str">
        <f>IFERROR(__xludf.DUMMYFUNCTION("""COMPUTED_VALUE"""),"64e167eb6")</f>
        <v>64e167eb6</v>
      </c>
      <c r="G73" s="178" t="str">
        <f>IFERROR(__xludf.DUMMYFUNCTION("""COMPUTED_VALUE"""),"https://opendev.org/openstack/nova/commit/64e167eb6")</f>
        <v>https://opendev.org/openstack/nova/commit/64e167eb6</v>
      </c>
      <c r="H73" s="105">
        <f>IFERROR(__xludf.DUMMYFUNCTION("""COMPUTED_VALUE"""),10903.0)</f>
        <v>10903</v>
      </c>
      <c r="I73" s="178" t="str">
        <f>IFERROR(__xludf.DUMMYFUNCTION("""COMPUTED_VALUE"""),"https://review.opendev.org/c/openstack/nova/+/10903")</f>
        <v>https://review.opendev.org/c/openstack/nova/+/10903</v>
      </c>
      <c r="J73" s="105" t="str">
        <f>IFERROR(__xludf.DUMMYFUNCTION("""COMPUTED_VALUE"""),"NA")</f>
        <v>NA</v>
      </c>
      <c r="K73" s="105"/>
      <c r="L73" s="105"/>
      <c r="M73" s="105"/>
      <c r="N73" s="105"/>
      <c r="O73" s="105"/>
      <c r="P73" s="105" t="str">
        <f>IFERROR(__xludf.DUMMYFUNCTION("""COMPUTED_VALUE"""),"NA")</f>
        <v>NA</v>
      </c>
      <c r="Q73" s="105"/>
      <c r="R73" s="105" t="str">
        <f>IFERROR(__xludf.DUMMYFUNCTION("""COMPUTED_VALUE"""),"No, however, check in the right corner of the bug description")</f>
        <v>No, however, check in the right corner of the bug description</v>
      </c>
      <c r="S73" s="105">
        <f>IFERROR(__xludf.DUMMYFUNCTION("""COMPUTED_VALUE"""),0.0)</f>
        <v>0</v>
      </c>
      <c r="T73" s="105" t="str">
        <f>IFERROR(__xludf.DUMMYFUNCTION("""COMPUTED_VALUE"""),"None identified")</f>
        <v>None identified</v>
      </c>
      <c r="U73" s="105"/>
      <c r="V73" s="105"/>
      <c r="W73" s="54" t="str">
        <f>IFERROR(__xludf.DUMMYFUNCTION("""COMPUTED_VALUE"""),"NOVA")</f>
        <v>NOVA</v>
      </c>
      <c r="X73" s="180" t="str">
        <f>IFERROR(__xludf.DUMMYFUNCTION("""COMPUTED_VALUE"""),"https://www.mail-archive.com/openstack-dev@lists.openstack.org/ ")</f>
        <v>https://www.mail-archive.com/openstack-dev@lists.openstack.org/ </v>
      </c>
      <c r="Y73" s="54" t="str">
        <f>IFERROR(__xludf.DUMMYFUNCTION("""COMPUTED_VALUE"""),"nova/servicegroup/drivers/db.py")</f>
        <v>nova/servicegroup/drivers/db.py</v>
      </c>
      <c r="Z73" s="54" t="str">
        <f>IFERROR(__xludf.DUMMYFUNCTION("""COMPUTED_VALUE"""),"/servicegroup/drivers/db.py")</f>
        <v>/servicegroup/drivers/db.py</v>
      </c>
      <c r="AA73" s="54">
        <f>IFERROR(__xludf.DUMMYFUNCTION("""COMPUTED_VALUE"""),0.0)</f>
        <v>0</v>
      </c>
      <c r="AB73" s="54" t="str">
        <f>IFERROR(__xludf.DUMMYFUNCTION("""COMPUTED_VALUE"""),"Note72")</f>
        <v>Note72</v>
      </c>
      <c r="AC73" s="54" t="str">
        <f t="shared" si="1"/>
        <v>NOVA 1505471</v>
      </c>
    </row>
    <row r="75">
      <c r="AC75" s="54">
        <f>COLUMN(AC74)</f>
        <v>29</v>
      </c>
    </row>
  </sheetData>
  <hyperlinks>
    <hyperlink r:id="rId1" ref="C2"/>
    <hyperlink r:id="rId2" ref="E2"/>
    <hyperlink r:id="rId3" ref="G2"/>
    <hyperlink r:id="rId4" ref="K2"/>
    <hyperlink r:id="rId5" ref="Q2"/>
    <hyperlink r:id="rId6" ref="C3"/>
    <hyperlink r:id="rId7" ref="E3"/>
    <hyperlink r:id="rId8" ref="G3"/>
    <hyperlink r:id="rId9" ref="C4"/>
    <hyperlink r:id="rId10" ref="E4"/>
    <hyperlink r:id="rId11" ref="G4"/>
    <hyperlink r:id="rId12" ref="C5"/>
    <hyperlink r:id="rId13" ref="E5"/>
    <hyperlink r:id="rId14" ref="G5"/>
    <hyperlink r:id="rId15" ref="C6"/>
    <hyperlink r:id="rId16" ref="E6"/>
    <hyperlink r:id="rId17" ref="G6"/>
    <hyperlink r:id="rId18" ref="K6"/>
    <hyperlink r:id="rId19" ref="Q6"/>
    <hyperlink r:id="rId20" ref="C7"/>
    <hyperlink r:id="rId21" ref="E7"/>
    <hyperlink r:id="rId22" ref="G7"/>
    <hyperlink r:id="rId23" ref="I7"/>
    <hyperlink r:id="rId24" ref="K7"/>
    <hyperlink r:id="rId25" ref="M7"/>
    <hyperlink r:id="rId26" ref="Q7"/>
    <hyperlink r:id="rId27" ref="T7"/>
    <hyperlink r:id="rId28" ref="C8"/>
    <hyperlink r:id="rId29" ref="E8"/>
    <hyperlink r:id="rId30" ref="G8"/>
    <hyperlink r:id="rId31" ref="K8"/>
    <hyperlink r:id="rId32" ref="Q8"/>
    <hyperlink r:id="rId33" ref="T8"/>
    <hyperlink r:id="rId34" ref="C9"/>
    <hyperlink r:id="rId35" ref="E9"/>
    <hyperlink r:id="rId36" ref="G9"/>
    <hyperlink r:id="rId37" ref="I9"/>
    <hyperlink r:id="rId38" ref="K9"/>
    <hyperlink r:id="rId39" ref="C10"/>
    <hyperlink r:id="rId40" ref="E10"/>
    <hyperlink r:id="rId41" ref="G10"/>
    <hyperlink r:id="rId42" ref="C11"/>
    <hyperlink r:id="rId43" ref="E11"/>
    <hyperlink r:id="rId44" ref="G11"/>
    <hyperlink r:id="rId45" ref="I11"/>
    <hyperlink r:id="rId46" ref="K11"/>
    <hyperlink r:id="rId47" ref="Q11"/>
    <hyperlink r:id="rId48" ref="T11"/>
    <hyperlink r:id="rId49" ref="C12"/>
    <hyperlink r:id="rId50" ref="E12"/>
    <hyperlink r:id="rId51" ref="G12"/>
    <hyperlink r:id="rId52" ref="K12"/>
    <hyperlink r:id="rId53" ref="Q12"/>
    <hyperlink r:id="rId54" ref="C13"/>
    <hyperlink r:id="rId55" ref="E13"/>
    <hyperlink r:id="rId56" ref="G13"/>
    <hyperlink r:id="rId57" ref="C14"/>
    <hyperlink r:id="rId58" ref="E14"/>
    <hyperlink r:id="rId59" ref="G14"/>
    <hyperlink r:id="rId60" ref="K14"/>
    <hyperlink r:id="rId61" ref="Q14"/>
    <hyperlink r:id="rId62" ref="C15"/>
    <hyperlink r:id="rId63" ref="E15"/>
    <hyperlink r:id="rId64" ref="G15"/>
    <hyperlink r:id="rId65" ref="K15"/>
    <hyperlink r:id="rId66" ref="Q15"/>
    <hyperlink r:id="rId67" ref="C16"/>
    <hyperlink r:id="rId68" ref="E16"/>
    <hyperlink r:id="rId69" ref="G16"/>
    <hyperlink r:id="rId70" ref="C17"/>
    <hyperlink r:id="rId71" ref="E17"/>
    <hyperlink r:id="rId72" ref="G17"/>
    <hyperlink r:id="rId73" ref="C18"/>
    <hyperlink r:id="rId74" ref="E18"/>
    <hyperlink r:id="rId75" ref="G18"/>
    <hyperlink r:id="rId76" ref="K18"/>
    <hyperlink r:id="rId77" ref="Q18"/>
    <hyperlink r:id="rId78" ref="C19"/>
    <hyperlink r:id="rId79" ref="E19"/>
    <hyperlink r:id="rId80" ref="G19"/>
    <hyperlink r:id="rId81" ref="C20"/>
    <hyperlink r:id="rId82" ref="E20"/>
    <hyperlink r:id="rId83" ref="G20"/>
    <hyperlink r:id="rId84" ref="I20"/>
    <hyperlink r:id="rId85" ref="C21"/>
    <hyperlink r:id="rId86" ref="E21"/>
    <hyperlink r:id="rId87" ref="G21"/>
    <hyperlink r:id="rId88" ref="K21"/>
    <hyperlink r:id="rId89" ref="Q21"/>
    <hyperlink r:id="rId90" ref="C22"/>
    <hyperlink r:id="rId91" ref="E22"/>
    <hyperlink r:id="rId92" ref="G22"/>
    <hyperlink r:id="rId93" ref="C23"/>
    <hyperlink r:id="rId94" ref="E23"/>
    <hyperlink r:id="rId95" ref="G23"/>
    <hyperlink r:id="rId96" ref="C24"/>
    <hyperlink r:id="rId97" ref="E24"/>
    <hyperlink r:id="rId98" ref="G24"/>
    <hyperlink r:id="rId99" ref="K24"/>
    <hyperlink r:id="rId100" ref="Q24"/>
    <hyperlink r:id="rId101" ref="C25"/>
    <hyperlink r:id="rId102" ref="E25"/>
    <hyperlink r:id="rId103" ref="G25"/>
    <hyperlink r:id="rId104" ref="K25"/>
    <hyperlink r:id="rId105" ref="Q25"/>
    <hyperlink r:id="rId106" ref="T25"/>
    <hyperlink r:id="rId107" ref="C26"/>
    <hyperlink r:id="rId108" ref="E26"/>
    <hyperlink r:id="rId109" ref="G26"/>
    <hyperlink r:id="rId110" ref="K26"/>
    <hyperlink r:id="rId111" ref="Q26"/>
    <hyperlink r:id="rId112" ref="C27"/>
    <hyperlink r:id="rId113" ref="E27"/>
    <hyperlink r:id="rId114" ref="G27"/>
    <hyperlink r:id="rId115" ref="K27"/>
    <hyperlink r:id="rId116" ref="Q27"/>
    <hyperlink r:id="rId117" ref="C28"/>
    <hyperlink r:id="rId118" ref="E28"/>
    <hyperlink r:id="rId119" ref="G28"/>
    <hyperlink r:id="rId120" ref="K28"/>
    <hyperlink r:id="rId121" ref="Q28"/>
    <hyperlink r:id="rId122" ref="C29"/>
    <hyperlink r:id="rId123" ref="E29"/>
    <hyperlink r:id="rId124" ref="G29"/>
    <hyperlink r:id="rId125" ref="C30"/>
    <hyperlink r:id="rId126" ref="E30"/>
    <hyperlink r:id="rId127" ref="G30"/>
    <hyperlink r:id="rId128" ref="C31"/>
    <hyperlink r:id="rId129" ref="E31"/>
    <hyperlink r:id="rId130" ref="G31"/>
    <hyperlink r:id="rId131" ref="K31"/>
    <hyperlink r:id="rId132" ref="Q31"/>
    <hyperlink r:id="rId133" ref="C32"/>
    <hyperlink r:id="rId134" ref="E32"/>
    <hyperlink r:id="rId135" ref="G32"/>
    <hyperlink r:id="rId136" ref="I32"/>
    <hyperlink r:id="rId137" ref="K32"/>
    <hyperlink r:id="rId138" ref="Q32"/>
    <hyperlink r:id="rId139" ref="C33"/>
    <hyperlink r:id="rId140" ref="E33"/>
    <hyperlink r:id="rId141" ref="G33"/>
    <hyperlink r:id="rId142" ref="I33"/>
    <hyperlink r:id="rId143" ref="K33"/>
    <hyperlink r:id="rId144" ref="Q33"/>
    <hyperlink r:id="rId145" ref="C34"/>
    <hyperlink r:id="rId146" ref="E34"/>
    <hyperlink r:id="rId147" ref="G34"/>
    <hyperlink r:id="rId148" ref="K34"/>
    <hyperlink r:id="rId149" ref="Q34"/>
    <hyperlink r:id="rId150" ref="C35"/>
    <hyperlink r:id="rId151" ref="E35"/>
    <hyperlink r:id="rId152" ref="G35"/>
    <hyperlink r:id="rId153" ref="K35"/>
    <hyperlink r:id="rId154" ref="Q35"/>
    <hyperlink r:id="rId155" ref="C36"/>
    <hyperlink r:id="rId156" ref="E36"/>
    <hyperlink r:id="rId157" ref="G36"/>
    <hyperlink r:id="rId158" ref="K36"/>
    <hyperlink r:id="rId159" ref="Q36"/>
    <hyperlink r:id="rId160" ref="C37"/>
    <hyperlink r:id="rId161" ref="E37"/>
    <hyperlink r:id="rId162" ref="G37"/>
    <hyperlink r:id="rId163" ref="K37"/>
    <hyperlink r:id="rId164" ref="Q37"/>
    <hyperlink r:id="rId165" ref="C38"/>
    <hyperlink r:id="rId166" ref="E38"/>
    <hyperlink r:id="rId167" ref="G38"/>
    <hyperlink r:id="rId168" ref="I38"/>
    <hyperlink r:id="rId169" ref="K38"/>
    <hyperlink r:id="rId170" ref="M38"/>
    <hyperlink r:id="rId171" ref="Q38"/>
    <hyperlink r:id="rId172" ref="T38"/>
    <hyperlink r:id="rId173" ref="C39"/>
    <hyperlink r:id="rId174" ref="E39"/>
    <hyperlink r:id="rId175" ref="G39"/>
    <hyperlink r:id="rId176" ref="K39"/>
    <hyperlink r:id="rId177" ref="Q39"/>
    <hyperlink r:id="rId178" ref="C40"/>
    <hyperlink r:id="rId179" ref="E40"/>
    <hyperlink r:id="rId180" ref="G40"/>
    <hyperlink r:id="rId181" ref="I40"/>
    <hyperlink r:id="rId182" ref="K40"/>
    <hyperlink r:id="rId183" ref="Q40"/>
    <hyperlink r:id="rId184" ref="X40"/>
    <hyperlink r:id="rId185" ref="C41"/>
    <hyperlink r:id="rId186" ref="E41"/>
    <hyperlink r:id="rId187" ref="G41"/>
    <hyperlink r:id="rId188" ref="I41"/>
    <hyperlink r:id="rId189" ref="K41"/>
    <hyperlink r:id="rId190" ref="Q41"/>
    <hyperlink r:id="rId191" ref="X41"/>
    <hyperlink r:id="rId192" ref="C42"/>
    <hyperlink r:id="rId193" ref="E42"/>
    <hyperlink r:id="rId194" ref="G42"/>
    <hyperlink r:id="rId195" ref="I42"/>
    <hyperlink r:id="rId196" ref="K42"/>
    <hyperlink r:id="rId197" ref="Q42"/>
    <hyperlink r:id="rId198" ref="X42"/>
    <hyperlink r:id="rId199" ref="C43"/>
    <hyperlink r:id="rId200" ref="E43"/>
    <hyperlink r:id="rId201" ref="G43"/>
    <hyperlink r:id="rId202" ref="I43"/>
    <hyperlink r:id="rId203" ref="K43"/>
    <hyperlink r:id="rId204" ref="Q43"/>
    <hyperlink r:id="rId205" ref="X43"/>
    <hyperlink r:id="rId206" ref="C44"/>
    <hyperlink r:id="rId207" ref="E44"/>
    <hyperlink r:id="rId208" ref="G44"/>
    <hyperlink r:id="rId209" ref="I44"/>
    <hyperlink r:id="rId210" ref="K44"/>
    <hyperlink r:id="rId211" ref="Q44"/>
    <hyperlink r:id="rId212" ref="V44"/>
    <hyperlink r:id="rId213" ref="X44"/>
    <hyperlink r:id="rId214" ref="C45"/>
    <hyperlink r:id="rId215" ref="E45"/>
    <hyperlink r:id="rId216" ref="G45"/>
    <hyperlink r:id="rId217" ref="I45"/>
    <hyperlink r:id="rId218" ref="X45"/>
    <hyperlink r:id="rId219" ref="C46"/>
    <hyperlink r:id="rId220" ref="E46"/>
    <hyperlink r:id="rId221" ref="G46"/>
    <hyperlink r:id="rId222" ref="I46"/>
    <hyperlink r:id="rId223" ref="K46"/>
    <hyperlink r:id="rId224" ref="Q46"/>
    <hyperlink r:id="rId225" ref="X46"/>
    <hyperlink r:id="rId226" ref="C47"/>
    <hyperlink r:id="rId227" ref="E47"/>
    <hyperlink r:id="rId228" ref="G47"/>
    <hyperlink r:id="rId229" ref="I47"/>
    <hyperlink r:id="rId230" ref="K47"/>
    <hyperlink r:id="rId231" ref="M47"/>
    <hyperlink r:id="rId232" ref="V47"/>
    <hyperlink r:id="rId233" ref="X47"/>
    <hyperlink r:id="rId234" ref="C48"/>
    <hyperlink r:id="rId235" ref="E48"/>
    <hyperlink r:id="rId236" ref="G48"/>
    <hyperlink r:id="rId237" ref="I48"/>
    <hyperlink r:id="rId238" ref="K48"/>
    <hyperlink r:id="rId239" ref="Q48"/>
    <hyperlink r:id="rId240" ref="V48"/>
    <hyperlink r:id="rId241" ref="X48"/>
    <hyperlink r:id="rId242" ref="C49"/>
    <hyperlink r:id="rId243" ref="E49"/>
    <hyperlink r:id="rId244" ref="G49"/>
    <hyperlink r:id="rId245" ref="I49"/>
    <hyperlink r:id="rId246" ref="K49"/>
    <hyperlink r:id="rId247" ref="Q49"/>
    <hyperlink r:id="rId248" ref="X49"/>
    <hyperlink r:id="rId249" ref="C50"/>
    <hyperlink r:id="rId250" ref="E50"/>
    <hyperlink r:id="rId251" ref="G50"/>
    <hyperlink r:id="rId252" ref="I50"/>
    <hyperlink r:id="rId253" ref="K50"/>
    <hyperlink r:id="rId254" ref="Q50"/>
    <hyperlink r:id="rId255" ref="X50"/>
    <hyperlink r:id="rId256" ref="C51"/>
    <hyperlink r:id="rId257" ref="E51"/>
    <hyperlink r:id="rId258" ref="G51"/>
    <hyperlink r:id="rId259" ref="I51"/>
    <hyperlink r:id="rId260" ref="K51"/>
    <hyperlink r:id="rId261" ref="Q51"/>
    <hyperlink r:id="rId262" ref="X51"/>
    <hyperlink r:id="rId263" ref="C52"/>
    <hyperlink r:id="rId264" ref="E52"/>
    <hyperlink r:id="rId265" ref="G52"/>
    <hyperlink r:id="rId266" ref="I52"/>
    <hyperlink r:id="rId267" ref="K52"/>
    <hyperlink r:id="rId268" ref="Q52"/>
    <hyperlink r:id="rId269" ref="X52"/>
    <hyperlink r:id="rId270" ref="C53"/>
    <hyperlink r:id="rId271" ref="E53"/>
    <hyperlink r:id="rId272" ref="G53"/>
    <hyperlink r:id="rId273" ref="I53"/>
    <hyperlink r:id="rId274" ref="X53"/>
    <hyperlink r:id="rId275" ref="C54"/>
    <hyperlink r:id="rId276" ref="E54"/>
    <hyperlink r:id="rId277" ref="G54"/>
    <hyperlink r:id="rId278" ref="I54"/>
    <hyperlink r:id="rId279" ref="X54"/>
    <hyperlink r:id="rId280" ref="C55"/>
    <hyperlink r:id="rId281" ref="E55"/>
    <hyperlink r:id="rId282" ref="G55"/>
    <hyperlink r:id="rId283" ref="X55"/>
    <hyperlink r:id="rId284" ref="C56"/>
    <hyperlink r:id="rId285" ref="E56"/>
    <hyperlink r:id="rId286" ref="G56"/>
    <hyperlink r:id="rId287" ref="X56"/>
    <hyperlink r:id="rId288" ref="C57"/>
    <hyperlink r:id="rId289" ref="E57"/>
    <hyperlink r:id="rId290" ref="G57"/>
    <hyperlink r:id="rId291" ref="I57"/>
    <hyperlink r:id="rId292" ref="V57"/>
    <hyperlink r:id="rId293" ref="X57"/>
    <hyperlink r:id="rId294" ref="C58"/>
    <hyperlink r:id="rId295" ref="E58"/>
    <hyperlink r:id="rId296" ref="G58"/>
    <hyperlink r:id="rId297" ref="I58"/>
    <hyperlink r:id="rId298" ref="K58"/>
    <hyperlink r:id="rId299" ref="Q58"/>
    <hyperlink r:id="rId300" ref="T58"/>
    <hyperlink r:id="rId301" ref="X58"/>
    <hyperlink r:id="rId302" ref="C59"/>
    <hyperlink r:id="rId303" ref="E59"/>
    <hyperlink r:id="rId304" ref="G59"/>
    <hyperlink r:id="rId305" ref="I59"/>
    <hyperlink r:id="rId306" ref="K59"/>
    <hyperlink r:id="rId307" ref="Q59"/>
    <hyperlink r:id="rId308" ref="X59"/>
    <hyperlink r:id="rId309" ref="C60"/>
    <hyperlink r:id="rId310" ref="E60"/>
    <hyperlink r:id="rId311" ref="G60"/>
    <hyperlink r:id="rId312" ref="I60"/>
    <hyperlink r:id="rId313" ref="K60"/>
    <hyperlink r:id="rId314" ref="Q60"/>
    <hyperlink r:id="rId315" ref="X60"/>
    <hyperlink r:id="rId316" ref="C61"/>
    <hyperlink r:id="rId317" ref="E61"/>
    <hyperlink r:id="rId318" ref="G61"/>
    <hyperlink r:id="rId319" ref="I61"/>
    <hyperlink r:id="rId320" ref="K61"/>
    <hyperlink r:id="rId321" ref="Q61"/>
    <hyperlink r:id="rId322" ref="X61"/>
    <hyperlink r:id="rId323" ref="C62"/>
    <hyperlink r:id="rId324" ref="E62"/>
    <hyperlink r:id="rId325" ref="G62"/>
    <hyperlink r:id="rId326" ref="I62"/>
    <hyperlink r:id="rId327" ref="K62"/>
    <hyperlink r:id="rId328" ref="M62"/>
    <hyperlink r:id="rId329" ref="O62"/>
    <hyperlink r:id="rId330" ref="X62"/>
    <hyperlink r:id="rId331" ref="C63"/>
    <hyperlink r:id="rId332" ref="E63"/>
    <hyperlink r:id="rId333" ref="G63"/>
    <hyperlink r:id="rId334" ref="I63"/>
    <hyperlink r:id="rId335" ref="K63"/>
    <hyperlink r:id="rId336" ref="Q63"/>
    <hyperlink r:id="rId337" ref="V63"/>
    <hyperlink r:id="rId338" ref="X63"/>
    <hyperlink r:id="rId339" ref="C64"/>
    <hyperlink r:id="rId340" ref="E64"/>
    <hyperlink r:id="rId341" ref="G64"/>
    <hyperlink r:id="rId342" ref="I64"/>
    <hyperlink r:id="rId343" ref="K64"/>
    <hyperlink r:id="rId344" ref="Q64"/>
    <hyperlink r:id="rId345" ref="X64"/>
    <hyperlink r:id="rId346" ref="C65"/>
    <hyperlink r:id="rId347" ref="E65"/>
    <hyperlink r:id="rId348" ref="G65"/>
    <hyperlink r:id="rId349" ref="I65"/>
    <hyperlink r:id="rId350" ref="K65"/>
    <hyperlink r:id="rId351" ref="Q65"/>
    <hyperlink r:id="rId352" ref="T65"/>
    <hyperlink r:id="rId353" ref="X65"/>
    <hyperlink r:id="rId354" ref="C66"/>
    <hyperlink r:id="rId355" ref="E66"/>
    <hyperlink r:id="rId356" ref="G66"/>
    <hyperlink r:id="rId357" ref="I66"/>
    <hyperlink r:id="rId358" ref="K66"/>
    <hyperlink r:id="rId359" ref="Q66"/>
    <hyperlink r:id="rId360" ref="X66"/>
    <hyperlink r:id="rId361" ref="C67"/>
    <hyperlink r:id="rId362" ref="E67"/>
    <hyperlink r:id="rId363" ref="G67"/>
    <hyperlink r:id="rId364" ref="I67"/>
    <hyperlink r:id="rId365" ref="K67"/>
    <hyperlink r:id="rId366" ref="Q67"/>
    <hyperlink r:id="rId367" ref="X67"/>
    <hyperlink r:id="rId368" ref="C68"/>
    <hyperlink r:id="rId369" ref="E68"/>
    <hyperlink r:id="rId370" ref="G68"/>
    <hyperlink r:id="rId371" ref="I68"/>
    <hyperlink r:id="rId372" ref="K68"/>
    <hyperlink r:id="rId373" ref="Q68"/>
    <hyperlink r:id="rId374" ref="X68"/>
    <hyperlink r:id="rId375" ref="C69"/>
    <hyperlink r:id="rId376" ref="E69"/>
    <hyperlink r:id="rId377" ref="G69"/>
    <hyperlink r:id="rId378" ref="I69"/>
    <hyperlink r:id="rId379" ref="K69"/>
    <hyperlink r:id="rId380" ref="Q69"/>
    <hyperlink r:id="rId381" ref="X69"/>
    <hyperlink r:id="rId382" ref="C70"/>
    <hyperlink r:id="rId383" ref="E70"/>
    <hyperlink r:id="rId384" ref="G70"/>
    <hyperlink r:id="rId385" ref="I70"/>
    <hyperlink r:id="rId386" ref="K70"/>
    <hyperlink r:id="rId387" ref="Q70"/>
    <hyperlink r:id="rId388" ref="X70"/>
    <hyperlink r:id="rId389" ref="C71"/>
    <hyperlink r:id="rId390" ref="E71"/>
    <hyperlink r:id="rId391" ref="I71"/>
    <hyperlink r:id="rId392" ref="X71"/>
    <hyperlink r:id="rId393" ref="C72"/>
    <hyperlink r:id="rId394" ref="E72"/>
    <hyperlink r:id="rId395" ref="G72"/>
    <hyperlink r:id="rId396" ref="I72"/>
    <hyperlink r:id="rId397" ref="K72"/>
    <hyperlink r:id="rId398" ref="M72"/>
    <hyperlink r:id="rId399" ref="X72"/>
    <hyperlink r:id="rId400" ref="C73"/>
    <hyperlink r:id="rId401" ref="E73"/>
    <hyperlink r:id="rId402" ref="G73"/>
    <hyperlink r:id="rId403" ref="I73"/>
    <hyperlink r:id="rId404" ref="X73"/>
  </hyperlinks>
  <drawing r:id="rId405"/>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outlineLevelCol="1"/>
  <cols>
    <col customWidth="1" min="1" max="1" width="18.0"/>
    <col customWidth="1" min="2" max="2" width="21.75"/>
    <col customWidth="1" min="3" max="3" width="34.88"/>
    <col customWidth="1" min="4" max="4" width="22.5" outlineLevel="1"/>
    <col customWidth="1" min="5" max="5" width="22.75" outlineLevel="1"/>
    <col min="6" max="7" width="12.63" outlineLevel="1"/>
    <col customWidth="1" min="8" max="8" width="40.5" outlineLevel="1"/>
    <col customWidth="1" min="9" max="9" width="30.25" outlineLevel="1"/>
    <col customWidth="1" min="10" max="10" width="39.25"/>
  </cols>
  <sheetData>
    <row r="1">
      <c r="A1" s="32" t="s">
        <v>103</v>
      </c>
      <c r="B1" s="32" t="s">
        <v>104</v>
      </c>
      <c r="C1" s="33" t="s">
        <v>105</v>
      </c>
      <c r="D1" s="34" t="s">
        <v>4676</v>
      </c>
      <c r="E1" s="36"/>
      <c r="F1" s="34" t="s">
        <v>4677</v>
      </c>
      <c r="G1" s="36"/>
      <c r="H1" s="37" t="s">
        <v>4678</v>
      </c>
      <c r="J1" s="182"/>
      <c r="K1" s="16"/>
      <c r="L1" s="16"/>
    </row>
    <row r="2">
      <c r="A2" s="39" t="s">
        <v>111</v>
      </c>
      <c r="B2" s="40" t="s">
        <v>511</v>
      </c>
      <c r="C2" s="41" t="s">
        <v>4679</v>
      </c>
      <c r="D2" s="42" t="s">
        <v>114</v>
      </c>
      <c r="E2" s="44" t="s">
        <v>115</v>
      </c>
      <c r="F2" s="42" t="s">
        <v>114</v>
      </c>
      <c r="G2" s="44" t="s">
        <v>115</v>
      </c>
      <c r="H2" s="42" t="s">
        <v>114</v>
      </c>
      <c r="I2" s="44" t="s">
        <v>115</v>
      </c>
      <c r="J2" s="183"/>
      <c r="K2" s="48"/>
      <c r="L2" s="48"/>
    </row>
    <row r="3">
      <c r="A3" s="30" t="s">
        <v>50</v>
      </c>
      <c r="B3" s="184" t="str">
        <f>IFERROR(HYPERLINK(VLOOKUP(A3,Internal_lists_bugs!$A$2:$C$73,3,FALSE()), VLOOKUP(A3,Internal_lists_bugs!$A$2:$C$73,3,FALSE())&amp;Char(10) &amp; Char(10) &amp; VLOOKUP(A3,Internal_lists_bugs!$A$2:$Z$73,26,FALSE())),"please select a BUG ID")</f>
        <v>https://bugs.launchpad.net/nova/+bug/1403544
/compute/api.py</v>
      </c>
      <c r="C3" s="185" t="str">
        <f>IFERROR(SUBSTITUTE(VLOOKUP(A3,Internal_lists_bugs!$A$2:$G2031,7,FALSE()),"nova/commit","nova/src/commit"),"please select a BUG ID")</f>
        <v>https://opendev.org/openstack/nova/src/commit/6956057ac490c788</v>
      </c>
      <c r="D3" s="16" t="s">
        <v>4680</v>
      </c>
      <c r="E3" s="66" t="s">
        <v>4681</v>
      </c>
      <c r="F3" s="16" t="s">
        <v>4682</v>
      </c>
      <c r="G3" s="16" t="s">
        <v>4683</v>
      </c>
      <c r="H3" s="112" t="s">
        <v>4684</v>
      </c>
      <c r="I3" s="16" t="s">
        <v>4685</v>
      </c>
      <c r="J3" s="183" t="str">
        <f>IFERROR(VLOOKUP(A3,Internal_lists_bugs!$A$2:$I2031,9,FALSE()),"please select a BUG ID")</f>
        <v>No information available</v>
      </c>
    </row>
    <row r="4">
      <c r="A4" s="16" t="s">
        <v>50</v>
      </c>
      <c r="B4" s="50" t="str">
        <f>IFERROR(HYPERLINK(VLOOKUP(A4,Internal_lists_bugs!$A$2:$C$73,3,FALSE()), VLOOKUP(A4,Internal_lists_bugs!$A$2:$C$73,3,FALSE())&amp;Char(10) &amp; Char(10) &amp; VLOOKUP(A4,Internal_lists_bugs!$A$2:$Z$73,26,FALSE())),"please select a BUG ID")</f>
        <v>https://bugs.launchpad.net/nova/+bug/1403544
/compute/api.py</v>
      </c>
      <c r="C4" s="81" t="str">
        <f>IFERROR(SUBSTITUTE(VLOOKUP(A4,Internal_lists_bugs!$A$2:$G2031,7,FALSE()),"nova/commit","nova/src/commit"),"please select a BUG ID")</f>
        <v>https://opendev.org/openstack/nova/src/commit/6956057ac490c788</v>
      </c>
      <c r="D4" s="16" t="s">
        <v>4686</v>
      </c>
      <c r="E4" s="66" t="s">
        <v>4687</v>
      </c>
      <c r="F4" s="54"/>
      <c r="H4" s="112" t="s">
        <v>4688</v>
      </c>
      <c r="I4" s="16" t="s">
        <v>4689</v>
      </c>
      <c r="J4" s="183" t="str">
        <f>IFERROR(VLOOKUP(A4,Internal_lists_bugs!$A$2:$I2031,9,FALSE()),"please select a BUG ID")</f>
        <v>No information available</v>
      </c>
    </row>
    <row r="5">
      <c r="A5" s="16" t="s">
        <v>50</v>
      </c>
      <c r="B5" s="50" t="str">
        <f>IFERROR(HYPERLINK(VLOOKUP(A5,Internal_lists_bugs!$A$2:$C$73,3,FALSE()), VLOOKUP(A5,Internal_lists_bugs!$A$2:$C$73,3,FALSE())&amp;Char(10) &amp; Char(10) &amp; VLOOKUP(A5,Internal_lists_bugs!$A$2:$Z$73,26,FALSE())),"please select a BUG ID")</f>
        <v>https://bugs.launchpad.net/nova/+bug/1403544
/compute/api.py</v>
      </c>
      <c r="C5" s="81" t="str">
        <f>IFERROR(SUBSTITUTE(VLOOKUP(A5,Internal_lists_bugs!$A$2:$G2031,7,FALSE()),"nova/commit","nova/src/commit"),"please select a BUG ID")</f>
        <v>https://opendev.org/openstack/nova/src/commit/6956057ac490c788</v>
      </c>
      <c r="D5" s="16" t="s">
        <v>4690</v>
      </c>
      <c r="E5" s="16" t="s">
        <v>4691</v>
      </c>
      <c r="F5" s="54"/>
      <c r="H5" s="112" t="s">
        <v>4692</v>
      </c>
      <c r="I5" s="16" t="s">
        <v>4693</v>
      </c>
      <c r="J5" s="183" t="str">
        <f>IFERROR(VLOOKUP(A5,Internal_lists_bugs!$A$2:$I2031,9,FALSE()),"please select a BUG ID")</f>
        <v>No information available</v>
      </c>
    </row>
    <row r="6">
      <c r="A6" s="16" t="s">
        <v>50</v>
      </c>
      <c r="B6" s="50" t="str">
        <f>IFERROR(HYPERLINK(VLOOKUP(A6,Internal_lists_bugs!$A$2:$C$73,3,FALSE()), VLOOKUP(A6,Internal_lists_bugs!$A$2:$C$73,3,FALSE())&amp;Char(10) &amp; Char(10) &amp; VLOOKUP(A6,Internal_lists_bugs!$A$2:$Z$73,26,FALSE())),"please select a BUG ID")</f>
        <v>https://bugs.launchpad.net/nova/+bug/1403544
/compute/api.py</v>
      </c>
      <c r="C6" s="81" t="str">
        <f>IFERROR(SUBSTITUTE(VLOOKUP(A6,Internal_lists_bugs!$A$2:$G2031,7,FALSE()),"nova/commit","nova/src/commit"),"please select a BUG ID")</f>
        <v>https://opendev.org/openstack/nova/src/commit/6956057ac490c788</v>
      </c>
      <c r="D6" s="16" t="s">
        <v>4694</v>
      </c>
      <c r="E6" s="16" t="s">
        <v>4695</v>
      </c>
      <c r="F6" s="54"/>
      <c r="H6" s="112" t="s">
        <v>4696</v>
      </c>
      <c r="I6" s="16" t="s">
        <v>4697</v>
      </c>
      <c r="J6" s="183" t="str">
        <f>IFERROR(VLOOKUP(A6,Internal_lists_bugs!$A$2:$I2031,9,FALSE()),"please select a BUG ID")</f>
        <v>No information available</v>
      </c>
    </row>
    <row r="7">
      <c r="A7" s="16" t="s">
        <v>50</v>
      </c>
      <c r="B7" s="50" t="str">
        <f>IFERROR(HYPERLINK(VLOOKUP(A7,Internal_lists_bugs!$A$2:$C$73,3,FALSE()), VLOOKUP(A7,Internal_lists_bugs!$A$2:$C$73,3,FALSE())&amp;Char(10) &amp; Char(10) &amp; VLOOKUP(A7,Internal_lists_bugs!$A$2:$Z$73,26,FALSE())),"please select a BUG ID")</f>
        <v>https://bugs.launchpad.net/nova/+bug/1403544
/compute/api.py</v>
      </c>
      <c r="C7" s="81" t="str">
        <f>IFERROR(SUBSTITUTE(VLOOKUP(A7,Internal_lists_bugs!$A$2:$G2031,7,FALSE()),"nova/commit","nova/src/commit"),"please select a BUG ID")</f>
        <v>https://opendev.org/openstack/nova/src/commit/6956057ac490c788</v>
      </c>
      <c r="D7" s="16" t="s">
        <v>4698</v>
      </c>
      <c r="E7" s="16" t="s">
        <v>4699</v>
      </c>
      <c r="F7" s="54"/>
      <c r="H7" s="112" t="s">
        <v>4700</v>
      </c>
      <c r="I7" s="16" t="s">
        <v>4701</v>
      </c>
      <c r="J7" s="183" t="str">
        <f>IFERROR(VLOOKUP(A7,Internal_lists_bugs!$A$2:$I2031,9,FALSE()),"please select a BUG ID")</f>
        <v>No information available</v>
      </c>
    </row>
    <row r="8">
      <c r="A8" s="16" t="s">
        <v>50</v>
      </c>
      <c r="B8" s="50" t="str">
        <f>IFERROR(HYPERLINK(VLOOKUP(A8,Internal_lists_bugs!$A$2:$C$73,3,FALSE()), VLOOKUP(A8,Internal_lists_bugs!$A$2:$C$73,3,FALSE())&amp;Char(10) &amp; Char(10) &amp; VLOOKUP(A8,Internal_lists_bugs!$A$2:$Z$73,26,FALSE())),"please select a BUG ID")</f>
        <v>https://bugs.launchpad.net/nova/+bug/1403544
/compute/api.py</v>
      </c>
      <c r="C8" s="81" t="str">
        <f>IFERROR(SUBSTITUTE(VLOOKUP(A8,Internal_lists_bugs!$A$2:$G2031,7,FALSE()),"nova/commit","nova/src/commit"),"please select a BUG ID")</f>
        <v>https://opendev.org/openstack/nova/src/commit/6956057ac490c788</v>
      </c>
      <c r="D8" s="16" t="s">
        <v>4702</v>
      </c>
      <c r="E8" s="16" t="s">
        <v>4703</v>
      </c>
      <c r="F8" s="54"/>
      <c r="H8" s="112" t="s">
        <v>4704</v>
      </c>
      <c r="I8" s="16" t="s">
        <v>4705</v>
      </c>
      <c r="J8" s="183" t="str">
        <f>IFERROR(VLOOKUP(A8,Internal_lists_bugs!$A$2:$I2031,9,FALSE()),"please select a BUG ID")</f>
        <v>No information available</v>
      </c>
    </row>
    <row r="9">
      <c r="A9" s="16" t="s">
        <v>50</v>
      </c>
      <c r="B9" s="50" t="str">
        <f>IFERROR(HYPERLINK(VLOOKUP(A9,Internal_lists_bugs!$A$2:$C$73,3,FALSE()), VLOOKUP(A9,Internal_lists_bugs!$A$2:$C$73,3,FALSE())&amp;Char(10) &amp; Char(10) &amp; VLOOKUP(A9,Internal_lists_bugs!$A$2:$Z$73,26,FALSE())),"please select a BUG ID")</f>
        <v>https://bugs.launchpad.net/nova/+bug/1403544
/compute/api.py</v>
      </c>
      <c r="C9" s="81" t="str">
        <f>IFERROR(SUBSTITUTE(VLOOKUP(A9,Internal_lists_bugs!$A$2:$G2031,7,FALSE()),"nova/commit","nova/src/commit"),"please select a BUG ID")</f>
        <v>https://opendev.org/openstack/nova/src/commit/6956057ac490c788</v>
      </c>
      <c r="D9" s="16" t="s">
        <v>4706</v>
      </c>
      <c r="E9" s="66" t="s">
        <v>4707</v>
      </c>
      <c r="F9" s="54"/>
      <c r="H9" s="112" t="s">
        <v>4708</v>
      </c>
      <c r="I9" s="16" t="s">
        <v>4709</v>
      </c>
      <c r="J9" s="183" t="str">
        <f>IFERROR(VLOOKUP(A9,Internal_lists_bugs!$A$2:$I2031,9,FALSE()),"please select a BUG ID")</f>
        <v>No information available</v>
      </c>
    </row>
    <row r="10">
      <c r="A10" s="16" t="s">
        <v>50</v>
      </c>
      <c r="B10" s="50" t="str">
        <f>IFERROR(HYPERLINK(VLOOKUP(A10,Internal_lists_bugs!$A$2:$C$73,3,FALSE()), VLOOKUP(A10,Internal_lists_bugs!$A$2:$C$73,3,FALSE())&amp;Char(10) &amp; Char(10) &amp; VLOOKUP(A10,Internal_lists_bugs!$A$2:$Z$73,26,FALSE())),"please select a BUG ID")</f>
        <v>https://bugs.launchpad.net/nova/+bug/1403544
/compute/api.py</v>
      </c>
      <c r="C10" s="81" t="str">
        <f>IFERROR(SUBSTITUTE(VLOOKUP(A10,Internal_lists_bugs!$A$2:$G2031,7,FALSE()),"nova/commit","nova/src/commit"),"please select a BUG ID")</f>
        <v>https://opendev.org/openstack/nova/src/commit/6956057ac490c788</v>
      </c>
      <c r="D10" s="16" t="s">
        <v>4710</v>
      </c>
      <c r="E10" s="14" t="s">
        <v>4711</v>
      </c>
      <c r="F10" s="54"/>
      <c r="H10" s="112" t="s">
        <v>4712</v>
      </c>
      <c r="I10" s="16" t="s">
        <v>4713</v>
      </c>
      <c r="J10" s="183" t="str">
        <f>IFERROR(VLOOKUP(A10,Internal_lists_bugs!$A$2:$I2031,9,FALSE()),"please select a BUG ID")</f>
        <v>No information available</v>
      </c>
    </row>
    <row r="11">
      <c r="A11" s="16" t="s">
        <v>50</v>
      </c>
      <c r="B11" s="50" t="str">
        <f>IFERROR(HYPERLINK(VLOOKUP(A11,Internal_lists_bugs!$A$2:$C$73,3,FALSE()), VLOOKUP(A11,Internal_lists_bugs!$A$2:$C$73,3,FALSE())&amp;Char(10) &amp; Char(10) &amp; VLOOKUP(A11,Internal_lists_bugs!$A$2:$Z$73,26,FALSE())),"please select a BUG ID")</f>
        <v>https://bugs.launchpad.net/nova/+bug/1403544
/compute/api.py</v>
      </c>
      <c r="C11" s="81" t="str">
        <f>IFERROR(SUBSTITUTE(VLOOKUP(A11,Internal_lists_bugs!$A$2:$G2031,7,FALSE()),"nova/commit","nova/src/commit"),"please select a BUG ID")</f>
        <v>https://opendev.org/openstack/nova/src/commit/6956057ac490c788</v>
      </c>
      <c r="D11" s="16" t="s">
        <v>4714</v>
      </c>
      <c r="E11" s="14" t="s">
        <v>4715</v>
      </c>
      <c r="F11" s="54"/>
      <c r="H11" s="112" t="s">
        <v>4716</v>
      </c>
      <c r="I11" s="16" t="s">
        <v>4717</v>
      </c>
      <c r="J11" s="183" t="str">
        <f>IFERROR(VLOOKUP(A11,Internal_lists_bugs!$A$2:$I2031,9,FALSE()),"please select a BUG ID")</f>
        <v>No information available</v>
      </c>
    </row>
    <row r="12">
      <c r="A12" s="16" t="s">
        <v>50</v>
      </c>
      <c r="B12" s="50" t="str">
        <f>IFERROR(HYPERLINK(VLOOKUP(A12,Internal_lists_bugs!$A$2:$C$73,3,FALSE()), VLOOKUP(A12,Internal_lists_bugs!$A$2:$C$73,3,FALSE())&amp;Char(10) &amp; Char(10) &amp; VLOOKUP(A12,Internal_lists_bugs!$A$2:$Z$73,26,FALSE())),"please select a BUG ID")</f>
        <v>https://bugs.launchpad.net/nova/+bug/1403544
/compute/api.py</v>
      </c>
      <c r="C12" s="81" t="str">
        <f>IFERROR(SUBSTITUTE(VLOOKUP(A12,Internal_lists_bugs!$A$2:$G2031,7,FALSE()),"nova/commit","nova/src/commit"),"please select a BUG ID")</f>
        <v>https://opendev.org/openstack/nova/src/commit/6956057ac490c788</v>
      </c>
      <c r="D12" s="16" t="s">
        <v>4718</v>
      </c>
      <c r="E12" s="66" t="s">
        <v>4719</v>
      </c>
      <c r="F12" s="54"/>
      <c r="H12" s="112"/>
      <c r="I12" s="66"/>
      <c r="J12" s="183"/>
    </row>
    <row r="13">
      <c r="A13" s="16" t="s">
        <v>50</v>
      </c>
      <c r="B13" s="50" t="str">
        <f>IFERROR(HYPERLINK(VLOOKUP(A13,Internal_lists_bugs!$A$2:$C$73,3,FALSE()), VLOOKUP(A13,Internal_lists_bugs!$A$2:$C$73,3,FALSE())&amp;Char(10) &amp; Char(10) &amp; VLOOKUP(A13,Internal_lists_bugs!$A$2:$Z$73,26,FALSE())),"please select a BUG ID")</f>
        <v>https://bugs.launchpad.net/nova/+bug/1403544
/compute/api.py</v>
      </c>
      <c r="C13" s="81" t="str">
        <f>IFERROR(SUBSTITUTE(VLOOKUP(A13,Internal_lists_bugs!$A$2:$G2031,7,FALSE()),"nova/commit","nova/src/commit"),"please select a BUG ID")</f>
        <v>https://opendev.org/openstack/nova/src/commit/6956057ac490c788</v>
      </c>
      <c r="D13" s="16" t="s">
        <v>4720</v>
      </c>
      <c r="E13" s="14" t="s">
        <v>4721</v>
      </c>
      <c r="F13" s="54"/>
      <c r="H13" s="112" t="s">
        <v>4722</v>
      </c>
      <c r="I13" s="14" t="s">
        <v>4723</v>
      </c>
      <c r="J13" s="183" t="str">
        <f>IFERROR(VLOOKUP(A13,Internal_lists_bugs!$A$2:$I2031,9,FALSE()),"please select a BUG ID")</f>
        <v>No information available</v>
      </c>
    </row>
    <row r="14">
      <c r="A14" s="186" t="s">
        <v>52</v>
      </c>
      <c r="B14" s="187" t="str">
        <f>IFERROR(HYPERLINK(VLOOKUP(A14,Internal_lists_bugs!$A$2:$C$73,3,FALSE()), VLOOKUP(A14,Internal_lists_bugs!$A$2:$C$73,3,FALSE())&amp;Char(10) &amp; Char(10) &amp; VLOOKUP(A14,Internal_lists_bugs!$A$2:$Z$73,26,FALSE())),"please select a BUG ID")</f>
        <v>https://bugs.launchpad.net/nova/+bug/1419002
/libvirt/driver.py
/compute/utils.py</v>
      </c>
      <c r="C14" s="188" t="str">
        <f>IFERROR(SUBSTITUTE(VLOOKUP(A14,Internal_lists_bugs!$A$2:$G2031,7,FALSE()),"nova/commit","nova/src/commit"),"please select a BUG ID")</f>
        <v>https://opendev.org/openstack/nova/src/commit/2ef03c6a0a8c5705</v>
      </c>
      <c r="D14" s="189" t="s">
        <v>4686</v>
      </c>
      <c r="E14" s="190" t="s">
        <v>4687</v>
      </c>
      <c r="F14" s="189" t="s">
        <v>4724</v>
      </c>
      <c r="G14" s="189" t="s">
        <v>4725</v>
      </c>
      <c r="H14" s="191" t="s">
        <v>4684</v>
      </c>
      <c r="I14" s="189" t="s">
        <v>4726</v>
      </c>
      <c r="J14" s="192" t="str">
        <f>IFERROR(VLOOKUP(A14,Internal_lists_bugs!$A$2:$I2031,9,FALSE()),"please select a BUG ID")</f>
        <v>No information available</v>
      </c>
      <c r="K14" s="193"/>
      <c r="L14" s="193"/>
    </row>
    <row r="15">
      <c r="A15" s="16" t="s">
        <v>52</v>
      </c>
      <c r="B15" s="50" t="str">
        <f>IFERROR(HYPERLINK(VLOOKUP(A15,Internal_lists_bugs!$A$2:$C$73,3,FALSE()), VLOOKUP(A15,Internal_lists_bugs!$A$2:$C$73,3,FALSE())&amp;Char(10) &amp; Char(10) &amp; VLOOKUP(A15,Internal_lists_bugs!$A$2:$Z$73,26,FALSE())),"please select a BUG ID")</f>
        <v>https://bugs.launchpad.net/nova/+bug/1419002
/libvirt/driver.py
/compute/utils.py</v>
      </c>
      <c r="C15" s="81" t="str">
        <f>IFERROR(SUBSTITUTE(VLOOKUP(A15,Internal_lists_bugs!$A$2:$G2031,7,FALSE()),"nova/commit","nova/src/commit"),"please select a BUG ID")</f>
        <v>https://opendev.org/openstack/nova/src/commit/2ef03c6a0a8c5705</v>
      </c>
      <c r="D15" s="16" t="s">
        <v>4727</v>
      </c>
      <c r="E15" s="14" t="s">
        <v>4728</v>
      </c>
      <c r="F15" s="54"/>
      <c r="H15" s="112" t="s">
        <v>4688</v>
      </c>
      <c r="I15" s="16" t="s">
        <v>4689</v>
      </c>
      <c r="J15" s="183" t="str">
        <f>IFERROR(VLOOKUP(A15,Internal_lists_bugs!$A$2:$I2031,9,FALSE()),"please select a BUG ID")</f>
        <v>No information available</v>
      </c>
    </row>
    <row r="16">
      <c r="A16" s="16" t="s">
        <v>52</v>
      </c>
      <c r="B16" s="50" t="str">
        <f>IFERROR(HYPERLINK(VLOOKUP(A16,Internal_lists_bugs!$A$2:$C$73,3,FALSE()), VLOOKUP(A16,Internal_lists_bugs!$A$2:$C$73,3,FALSE())&amp;Char(10) &amp; Char(10) &amp; VLOOKUP(A16,Internal_lists_bugs!$A$2:$Z$73,26,FALSE())),"please select a BUG ID")</f>
        <v>https://bugs.launchpad.net/nova/+bug/1419002
/libvirt/driver.py
/compute/utils.py</v>
      </c>
      <c r="C16" s="81" t="str">
        <f>IFERROR(SUBSTITUTE(VLOOKUP(A16,Internal_lists_bugs!$A$2:$G2031,7,FALSE()),"nova/commit","nova/src/commit"),"please select a BUG ID")</f>
        <v>https://opendev.org/openstack/nova/src/commit/2ef03c6a0a8c5705</v>
      </c>
      <c r="D16" s="16" t="s">
        <v>4720</v>
      </c>
      <c r="E16" s="14" t="s">
        <v>4729</v>
      </c>
      <c r="F16" s="54"/>
      <c r="H16" s="112" t="s">
        <v>4708</v>
      </c>
      <c r="I16" s="16" t="s">
        <v>4730</v>
      </c>
      <c r="J16" s="183" t="str">
        <f>IFERROR(VLOOKUP(A16,Internal_lists_bugs!$A$2:$I2031,9,FALSE()),"please select a BUG ID")</f>
        <v>No information available</v>
      </c>
    </row>
    <row r="17">
      <c r="A17" s="16" t="s">
        <v>52</v>
      </c>
      <c r="B17" s="50" t="str">
        <f>IFERROR(HYPERLINK(VLOOKUP(A17,Internal_lists_bugs!$A$2:$C$73,3,FALSE()), VLOOKUP(A17,Internal_lists_bugs!$A$2:$C$73,3,FALSE())&amp;Char(10) &amp; Char(10) &amp; VLOOKUP(A17,Internal_lists_bugs!$A$2:$Z$73,26,FALSE())),"please select a BUG ID")</f>
        <v>https://bugs.launchpad.net/nova/+bug/1419002
/libvirt/driver.py
/compute/utils.py</v>
      </c>
      <c r="C17" s="81" t="str">
        <f>IFERROR(SUBSTITUTE(VLOOKUP(A17,Internal_lists_bugs!$A$2:$G2031,7,FALSE()),"nova/commit","nova/src/commit"),"please select a BUG ID")</f>
        <v>https://opendev.org/openstack/nova/src/commit/2ef03c6a0a8c5705</v>
      </c>
      <c r="D17" s="16" t="s">
        <v>4690</v>
      </c>
      <c r="E17" s="16" t="s">
        <v>4731</v>
      </c>
      <c r="F17" s="54"/>
      <c r="H17" s="112" t="s">
        <v>4700</v>
      </c>
      <c r="I17" s="16" t="s">
        <v>4732</v>
      </c>
      <c r="J17" s="183" t="str">
        <f>IFERROR(VLOOKUP(A17,Internal_lists_bugs!$A$2:$I2031,9,FALSE()),"please select a BUG ID")</f>
        <v>No information available</v>
      </c>
    </row>
    <row r="18">
      <c r="A18" s="16" t="s">
        <v>52</v>
      </c>
      <c r="B18" s="50" t="str">
        <f>IFERROR(HYPERLINK(VLOOKUP(A18,Internal_lists_bugs!$A$2:$C$73,3,FALSE()), VLOOKUP(A18,Internal_lists_bugs!$A$2:$C$73,3,FALSE())&amp;Char(10) &amp; Char(10) &amp; VLOOKUP(A18,Internal_lists_bugs!$A$2:$Z$73,26,FALSE())),"please select a BUG ID")</f>
        <v>https://bugs.launchpad.net/nova/+bug/1419002
/libvirt/driver.py
/compute/utils.py</v>
      </c>
      <c r="C18" s="81" t="str">
        <f>IFERROR(SUBSTITUTE(VLOOKUP(A18,Internal_lists_bugs!$A$2:$G2031,7,FALSE()),"nova/commit","nova/src/commit"),"please select a BUG ID")</f>
        <v>https://opendev.org/openstack/nova/src/commit/2ef03c6a0a8c5705</v>
      </c>
      <c r="D18" s="16" t="s">
        <v>4702</v>
      </c>
      <c r="E18" s="16" t="s">
        <v>4733</v>
      </c>
      <c r="F18" s="54"/>
      <c r="H18" s="112" t="s">
        <v>4696</v>
      </c>
      <c r="I18" s="16" t="s">
        <v>4734</v>
      </c>
      <c r="J18" s="183" t="str">
        <f>IFERROR(VLOOKUP(A18,Internal_lists_bugs!$A$2:$I2031,9,FALSE()),"please select a BUG ID")</f>
        <v>No information available</v>
      </c>
    </row>
    <row r="19">
      <c r="A19" s="16" t="s">
        <v>52</v>
      </c>
      <c r="B19" s="50" t="str">
        <f>IFERROR(HYPERLINK(VLOOKUP(A19,Internal_lists_bugs!$A$2:$C$73,3,FALSE()), VLOOKUP(A19,Internal_lists_bugs!$A$2:$C$73,3,FALSE())&amp;Char(10) &amp; Char(10) &amp; VLOOKUP(A19,Internal_lists_bugs!$A$2:$Z$73,26,FALSE())),"please select a BUG ID")</f>
        <v>https://bugs.launchpad.net/nova/+bug/1419002
/libvirt/driver.py
/compute/utils.py</v>
      </c>
      <c r="C19" s="81" t="str">
        <f>IFERROR(SUBSTITUTE(VLOOKUP(A19,Internal_lists_bugs!$A$2:$G2031,7,FALSE()),"nova/commit","nova/src/commit"),"please select a BUG ID")</f>
        <v>https://opendev.org/openstack/nova/src/commit/2ef03c6a0a8c5705</v>
      </c>
      <c r="D19" s="16" t="s">
        <v>4694</v>
      </c>
      <c r="E19" s="14" t="s">
        <v>4735</v>
      </c>
      <c r="F19" s="54"/>
      <c r="H19" s="112" t="s">
        <v>4712</v>
      </c>
      <c r="I19" s="16" t="s">
        <v>4736</v>
      </c>
      <c r="J19" s="183" t="str">
        <f>IFERROR(VLOOKUP(A19,Internal_lists_bugs!$A$2:$I2031,9,FALSE()),"please select a BUG ID")</f>
        <v>No information available</v>
      </c>
    </row>
    <row r="20">
      <c r="A20" s="16" t="s">
        <v>52</v>
      </c>
      <c r="B20" s="50" t="str">
        <f>IFERROR(HYPERLINK(VLOOKUP(A20,Internal_lists_bugs!$A$2:$C$73,3,FALSE()), VLOOKUP(A20,Internal_lists_bugs!$A$2:$C$73,3,FALSE())&amp;Char(10) &amp; Char(10) &amp; VLOOKUP(A20,Internal_lists_bugs!$A$2:$Z$73,26,FALSE())),"please select a BUG ID")</f>
        <v>https://bugs.launchpad.net/nova/+bug/1419002
/libvirt/driver.py
/compute/utils.py</v>
      </c>
      <c r="C20" s="81" t="str">
        <f>IFERROR(SUBSTITUTE(VLOOKUP(A20,Internal_lists_bugs!$A$2:$G2031,7,FALSE()),"nova/commit","nova/src/commit"),"please select a BUG ID")</f>
        <v>https://opendev.org/openstack/nova/src/commit/2ef03c6a0a8c5705</v>
      </c>
      <c r="D20" s="16" t="s">
        <v>4710</v>
      </c>
      <c r="E20" s="66" t="s">
        <v>4737</v>
      </c>
      <c r="F20" s="54"/>
      <c r="H20" s="112" t="s">
        <v>4704</v>
      </c>
      <c r="I20" s="16" t="s">
        <v>4705</v>
      </c>
      <c r="J20" s="183" t="str">
        <f>IFERROR(VLOOKUP(A20,Internal_lists_bugs!$A$2:$I2031,9,FALSE()),"please select a BUG ID")</f>
        <v>No information available</v>
      </c>
    </row>
    <row r="21">
      <c r="A21" s="16" t="s">
        <v>52</v>
      </c>
      <c r="B21" s="50" t="str">
        <f>IFERROR(HYPERLINK(VLOOKUP(A21,Internal_lists_bugs!$A$2:$C$73,3,FALSE()), VLOOKUP(A21,Internal_lists_bugs!$A$2:$C$73,3,FALSE())&amp;Char(10) &amp; Char(10) &amp; VLOOKUP(A21,Internal_lists_bugs!$A$2:$Z$73,26,FALSE())),"please select a BUG ID")</f>
        <v>https://bugs.launchpad.net/nova/+bug/1419002
/libvirt/driver.py
/compute/utils.py</v>
      </c>
      <c r="C21" s="81" t="str">
        <f>IFERROR(SUBSTITUTE(VLOOKUP(A21,Internal_lists_bugs!$A$2:$G2031,7,FALSE()),"nova/commit","nova/src/commit"),"please select a BUG ID")</f>
        <v>https://opendev.org/openstack/nova/src/commit/2ef03c6a0a8c5705</v>
      </c>
      <c r="D21" s="16" t="s">
        <v>4706</v>
      </c>
      <c r="E21" s="66" t="s">
        <v>4737</v>
      </c>
      <c r="F21" s="54"/>
      <c r="H21" s="112" t="s">
        <v>4716</v>
      </c>
      <c r="I21" s="16" t="s">
        <v>4717</v>
      </c>
      <c r="J21" s="183" t="str">
        <f>IFERROR(VLOOKUP(A21,Internal_lists_bugs!$A$2:$I2031,9,FALSE()),"please select a BUG ID")</f>
        <v>No information available</v>
      </c>
    </row>
    <row r="22" ht="43.5" customHeight="1">
      <c r="A22" s="16" t="s">
        <v>52</v>
      </c>
      <c r="B22" s="50" t="str">
        <f>IFERROR(HYPERLINK(VLOOKUP(A22,Internal_lists_bugs!$A$2:$C$73,3,FALSE()), VLOOKUP(A22,Internal_lists_bugs!$A$2:$C$73,3,FALSE())&amp;Char(10) &amp; Char(10) &amp; VLOOKUP(A22,Internal_lists_bugs!$A$2:$Z$73,26,FALSE())),"please select a BUG ID")</f>
        <v>https://bugs.launchpad.net/nova/+bug/1419002
/libvirt/driver.py
/compute/utils.py</v>
      </c>
      <c r="C22" s="81" t="str">
        <f>IFERROR(SUBSTITUTE(VLOOKUP(A22,Internal_lists_bugs!$A$2:$G2031,7,FALSE()),"nova/commit","nova/src/commit"),"please select a BUG ID")</f>
        <v>https://opendev.org/openstack/nova/src/commit/2ef03c6a0a8c5705</v>
      </c>
      <c r="D22" s="16" t="s">
        <v>4714</v>
      </c>
      <c r="E22" s="66" t="s">
        <v>4738</v>
      </c>
      <c r="F22" s="16"/>
      <c r="G22" s="16"/>
      <c r="H22" s="112" t="s">
        <v>4722</v>
      </c>
      <c r="I22" s="14" t="s">
        <v>4739</v>
      </c>
      <c r="J22" s="183" t="str">
        <f>IFERROR(VLOOKUP(A22,Internal_lists_bugs!$A$2:$I2031,9,FALSE()),"please select a BUG ID")</f>
        <v>No information available</v>
      </c>
    </row>
    <row r="23" ht="43.5" customHeight="1">
      <c r="A23" s="186" t="s">
        <v>32</v>
      </c>
      <c r="B23" s="187" t="str">
        <f>IFERROR(HYPERLINK(VLOOKUP(A23,Internal_lists_bugs!$A$2:$C$73,3,FALSE()), VLOOKUP(A23,Internal_lists_bugs!$A$2:$C$73,3,FALSE())&amp;Char(10) &amp; Char(10) &amp; VLOOKUP(A23,Internal_lists_bugs!$A$2:$Z$73,26,FALSE())),"please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3" s="188" t="str">
        <f>IFERROR(SUBSTITUTE(VLOOKUP(A23,Internal_lists_bugs!$A$2:$G2031,7,FALSE()),"nova/commit","nova/src/commit"),"please select a BUG ID")</f>
        <v>https://opendev.org/openstack/nova/src/commit/e7aa4022374fb35d2131a7c633212c5d6302db3d</v>
      </c>
      <c r="D23" s="189" t="s">
        <v>4727</v>
      </c>
      <c r="E23" s="194" t="s">
        <v>4740</v>
      </c>
      <c r="F23" s="189" t="s">
        <v>4682</v>
      </c>
      <c r="G23" s="189" t="s">
        <v>4741</v>
      </c>
      <c r="H23" s="191" t="s">
        <v>4712</v>
      </c>
      <c r="I23" s="189" t="s">
        <v>4690</v>
      </c>
      <c r="J23" s="195" t="str">
        <f>IFERROR(VLOOKUP(A23,Internal_lists_bugs!$A$2:$I2031,9,FALSE()),"please select a BUG ID")</f>
        <v>https://review.opendev.org/c/openstack/nova/+/1324</v>
      </c>
      <c r="K23" s="193"/>
      <c r="L23" s="193"/>
    </row>
    <row r="24" ht="35.25" customHeight="1">
      <c r="A24" s="16" t="s">
        <v>32</v>
      </c>
      <c r="B24" s="50" t="str">
        <f>IFERROR(HYPERLINK(VLOOKUP(A24,Internal_lists_bugs!$A$2:$C$73,3,FALSE()), VLOOKUP(A24,Internal_lists_bugs!$A$2:$C$73,3,FALSE())&amp;Char(10) &amp; Char(10) &amp; VLOOKUP(A24,Internal_lists_bugs!$A$2:$Z$73,26,FALSE())),"please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4" s="81" t="str">
        <f>IFERROR(SUBSTITUTE(VLOOKUP(A24,Internal_lists_bugs!$A$2:$G2031,7,FALSE()),"nova/commit","nova/src/commit"),"please select a BUG ID")</f>
        <v>https://opendev.org/openstack/nova/src/commit/e7aa4022374fb35d2131a7c633212c5d6302db3d</v>
      </c>
      <c r="D24" s="16" t="s">
        <v>4686</v>
      </c>
      <c r="E24" s="66" t="s">
        <v>4687</v>
      </c>
      <c r="F24" s="54"/>
      <c r="H24" s="112" t="s">
        <v>4692</v>
      </c>
      <c r="I24" s="16" t="s">
        <v>4742</v>
      </c>
      <c r="J24" s="196" t="str">
        <f>IFERROR(VLOOKUP(A24,Internal_lists_bugs!$A$2:$I2031,9,FALSE()),"please select a BUG ID")</f>
        <v>https://review.opendev.org/c/openstack/nova/+/1324</v>
      </c>
    </row>
    <row r="25" ht="39.0" customHeight="1">
      <c r="A25" s="16" t="s">
        <v>32</v>
      </c>
      <c r="B25" s="50" t="str">
        <f>IFERROR(HYPERLINK(VLOOKUP(A25,Internal_lists_bugs!$A$2:$C$73,3,FALSE()), VLOOKUP(A25,Internal_lists_bugs!$A$2:$C$73,3,FALSE())&amp;Char(10) &amp; Char(10) &amp; VLOOKUP(A25,Internal_lists_bugs!$A$2:$Z$73,26,FALSE())),"please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5" s="81" t="str">
        <f>IFERROR(SUBSTITUTE(VLOOKUP(A25,Internal_lists_bugs!$A$2:$G2031,7,FALSE()),"nova/commit","nova/src/commit"),"please select a BUG ID")</f>
        <v>https://opendev.org/openstack/nova/src/commit/e7aa4022374fb35d2131a7c633212c5d6302db3d</v>
      </c>
      <c r="D25" s="16" t="s">
        <v>4680</v>
      </c>
      <c r="E25" s="66" t="s">
        <v>4743</v>
      </c>
      <c r="F25" s="54"/>
      <c r="H25" s="112" t="s">
        <v>4716</v>
      </c>
      <c r="I25" s="16" t="s">
        <v>4717</v>
      </c>
      <c r="J25" s="196" t="str">
        <f>IFERROR(VLOOKUP(A25,Internal_lists_bugs!$A$2:$I2031,9,FALSE()),"please select a BUG ID")</f>
        <v>https://review.opendev.org/c/openstack/nova/+/1324</v>
      </c>
    </row>
    <row r="26" ht="37.5" customHeight="1">
      <c r="A26" s="16" t="s">
        <v>32</v>
      </c>
      <c r="B26" s="50" t="str">
        <f>IFERROR(HYPERLINK(VLOOKUP(A26,Internal_lists_bugs!$A$2:$C$73,3,FALSE()), VLOOKUP(A26,Internal_lists_bugs!$A$2:$C$73,3,FALSE())&amp;Char(10) &amp; Char(10) &amp; VLOOKUP(A26,Internal_lists_bugs!$A$2:$Z$73,26,FALSE())),"please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6" s="81" t="str">
        <f>IFERROR(SUBSTITUTE(VLOOKUP(A26,Internal_lists_bugs!$A$2:$G2031,7,FALSE()),"nova/commit","nova/src/commit"),"please select a BUG ID")</f>
        <v>https://opendev.org/openstack/nova/src/commit/e7aa4022374fb35d2131a7c633212c5d6302db3d</v>
      </c>
      <c r="D26" s="16" t="s">
        <v>4720</v>
      </c>
      <c r="E26" s="14" t="s">
        <v>4744</v>
      </c>
      <c r="F26" s="54"/>
      <c r="H26" s="112" t="s">
        <v>4696</v>
      </c>
      <c r="I26" s="16" t="s">
        <v>4745</v>
      </c>
      <c r="J26" s="196" t="str">
        <f>IFERROR(VLOOKUP(A26,Internal_lists_bugs!$A$2:$I2031,9,FALSE()),"please select a BUG ID")</f>
        <v>https://review.opendev.org/c/openstack/nova/+/1324</v>
      </c>
    </row>
    <row r="27" ht="39.75" customHeight="1">
      <c r="A27" s="16" t="s">
        <v>32</v>
      </c>
      <c r="B27" s="50" t="str">
        <f>IFERROR(HYPERLINK(VLOOKUP(A27,Internal_lists_bugs!$A$2:$C$73,3,FALSE()), VLOOKUP(A27,Internal_lists_bugs!$A$2:$C$73,3,FALSE())&amp;Char(10) &amp; Char(10) &amp; VLOOKUP(A27,Internal_lists_bugs!$A$2:$Z$73,26,FALSE())),"please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7" s="81" t="str">
        <f>IFERROR(SUBSTITUTE(VLOOKUP(A27,Internal_lists_bugs!$A$2:$G2031,7,FALSE()),"nova/commit","nova/src/commit"),"please select a BUG ID")</f>
        <v>https://opendev.org/openstack/nova/src/commit/e7aa4022374fb35d2131a7c633212c5d6302db3d</v>
      </c>
      <c r="D27" s="16" t="s">
        <v>4690</v>
      </c>
      <c r="E27" s="16" t="s">
        <v>4731</v>
      </c>
      <c r="F27" s="54"/>
      <c r="H27" s="112" t="s">
        <v>4684</v>
      </c>
      <c r="I27" s="16" t="s">
        <v>4746</v>
      </c>
      <c r="J27" s="196" t="str">
        <f>IFERROR(VLOOKUP(A27,Internal_lists_bugs!$A$2:$I2031,9,FALSE()),"please select a BUG ID")</f>
        <v>https://review.opendev.org/c/openstack/nova/+/1324</v>
      </c>
    </row>
    <row r="28" ht="30.75" customHeight="1">
      <c r="A28" s="16" t="s">
        <v>32</v>
      </c>
      <c r="B28" s="50" t="str">
        <f>IFERROR(HYPERLINK(VLOOKUP(A28,Internal_lists_bugs!$A$2:$C$73,3,FALSE()), VLOOKUP(A28,Internal_lists_bugs!$A$2:$C$73,3,FALSE())&amp;Char(10) &amp; Char(10) &amp; VLOOKUP(A28,Internal_lists_bugs!$A$2:$Z$73,26,FALSE())),"please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8" s="81" t="str">
        <f>IFERROR(SUBSTITUTE(VLOOKUP(A28,Internal_lists_bugs!$A$2:$G2031,7,FALSE()),"nova/commit","nova/src/commit"),"please select a BUG ID")</f>
        <v>https://opendev.org/openstack/nova/src/commit/e7aa4022374fb35d2131a7c633212c5d6302db3d</v>
      </c>
      <c r="D28" s="16" t="s">
        <v>4702</v>
      </c>
      <c r="E28" s="16" t="s">
        <v>4733</v>
      </c>
      <c r="F28" s="54"/>
      <c r="H28" s="112" t="s">
        <v>4700</v>
      </c>
      <c r="I28" s="16" t="s">
        <v>4747</v>
      </c>
      <c r="J28" s="196" t="str">
        <f>IFERROR(VLOOKUP(A28,Internal_lists_bugs!$A$2:$I2031,9,FALSE()),"please select a BUG ID")</f>
        <v>https://review.opendev.org/c/openstack/nova/+/1324</v>
      </c>
    </row>
    <row r="29" ht="30.75" customHeight="1">
      <c r="A29" s="16" t="s">
        <v>32</v>
      </c>
      <c r="B29" s="50" t="str">
        <f>IFERROR(HYPERLINK(VLOOKUP(A29,Internal_lists_bugs!$A$2:$C$73,3,FALSE()), VLOOKUP(A29,Internal_lists_bugs!$A$2:$C$73,3,FALSE())&amp;Char(10) &amp; Char(10) &amp; VLOOKUP(A29,Internal_lists_bugs!$A$2:$Z$73,26,FALSE())),"please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29" s="81" t="str">
        <f>IFERROR(SUBSTITUTE(VLOOKUP(A29,Internal_lists_bugs!$A$2:$G2031,7,FALSE()),"nova/commit","nova/src/commit"),"please select a BUG ID")</f>
        <v>https://opendev.org/openstack/nova/src/commit/e7aa4022374fb35d2131a7c633212c5d6302db3d</v>
      </c>
      <c r="D29" s="16" t="s">
        <v>4710</v>
      </c>
      <c r="E29" s="66" t="s">
        <v>4737</v>
      </c>
      <c r="F29" s="54"/>
      <c r="H29" s="112" t="s">
        <v>4708</v>
      </c>
      <c r="I29" s="16" t="s">
        <v>4748</v>
      </c>
      <c r="J29" s="196" t="str">
        <f>IFERROR(VLOOKUP(A29,Internal_lists_bugs!$A$2:$I2031,9,FALSE()),"please select a BUG ID")</f>
        <v>https://review.opendev.org/c/openstack/nova/+/1324</v>
      </c>
    </row>
    <row r="30" ht="31.5" customHeight="1">
      <c r="A30" s="16" t="s">
        <v>32</v>
      </c>
      <c r="B30" s="50" t="str">
        <f>IFERROR(HYPERLINK(VLOOKUP(A30,Internal_lists_bugs!$A$2:$C$73,3,FALSE()), VLOOKUP(A30,Internal_lists_bugs!$A$2:$C$73,3,FALSE())&amp;Char(10) &amp; Char(10) &amp; VLOOKUP(A30,Internal_lists_bugs!$A$2:$Z$73,26,FALSE())),"please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0" s="81" t="str">
        <f>IFERROR(SUBSTITUTE(VLOOKUP(A30,Internal_lists_bugs!$A$2:$G2031,7,FALSE()),"nova/commit","nova/src/commit"),"please select a BUG ID")</f>
        <v>https://opendev.org/openstack/nova/src/commit/e7aa4022374fb35d2131a7c633212c5d6302db3d</v>
      </c>
      <c r="D30" s="16" t="s">
        <v>4706</v>
      </c>
      <c r="E30" s="66" t="s">
        <v>4737</v>
      </c>
      <c r="F30" s="54"/>
      <c r="H30" s="112" t="s">
        <v>4749</v>
      </c>
      <c r="I30" s="16" t="s">
        <v>4750</v>
      </c>
      <c r="J30" s="196" t="str">
        <f>IFERROR(VLOOKUP(A30,Internal_lists_bugs!$A$2:$I2031,9,FALSE()),"please select a BUG ID")</f>
        <v>https://review.opendev.org/c/openstack/nova/+/1324</v>
      </c>
    </row>
    <row r="31" ht="24.0" customHeight="1">
      <c r="A31" s="16" t="s">
        <v>32</v>
      </c>
      <c r="B31" s="50" t="str">
        <f>IFERROR(HYPERLINK(VLOOKUP(A31,Internal_lists_bugs!$A$2:$C$73,3,FALSE()), VLOOKUP(A31,Internal_lists_bugs!$A$2:$C$73,3,FALSE())&amp;Char(10) &amp; Char(10) &amp; VLOOKUP(A31,Internal_lists_bugs!$A$2:$Z$73,26,FALSE())),"please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1" s="81" t="str">
        <f>IFERROR(SUBSTITUTE(VLOOKUP(A31,Internal_lists_bugs!$A$2:$G2031,7,FALSE()),"nova/commit","nova/src/commit"),"please select a BUG ID")</f>
        <v>https://opendev.org/openstack/nova/src/commit/e7aa4022374fb35d2131a7c633212c5d6302db3d</v>
      </c>
      <c r="D31" s="16" t="s">
        <v>1325</v>
      </c>
      <c r="E31" s="16" t="s">
        <v>4751</v>
      </c>
      <c r="F31" s="54"/>
      <c r="H31" s="112" t="s">
        <v>4704</v>
      </c>
      <c r="I31" s="16" t="s">
        <v>4752</v>
      </c>
      <c r="J31" s="183"/>
    </row>
    <row r="32" ht="24.0" customHeight="1">
      <c r="A32" s="16" t="s">
        <v>32</v>
      </c>
      <c r="B32" s="50" t="str">
        <f>IFERROR(HYPERLINK(VLOOKUP(A32,Internal_lists_bugs!$A$2:$C$73,3,FALSE()), VLOOKUP(A32,Internal_lists_bugs!$A$2:$C$73,3,FALSE())&amp;Char(10) &amp; Char(10) &amp; VLOOKUP(A32,Internal_lists_bugs!$A$2:$Z$73,26,FALSE())),"please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2" s="81" t="str">
        <f>IFERROR(SUBSTITUTE(VLOOKUP(A32,Internal_lists_bugs!$A$2:$G2031,7,FALSE()),"nova/commit","nova/src/commit"),"please select a BUG ID")</f>
        <v>https://opendev.org/openstack/nova/src/commit/e7aa4022374fb35d2131a7c633212c5d6302db3d</v>
      </c>
      <c r="D32" s="16" t="s">
        <v>4714</v>
      </c>
      <c r="E32" s="66" t="s">
        <v>4738</v>
      </c>
      <c r="F32" s="54"/>
      <c r="H32" s="112" t="s">
        <v>4722</v>
      </c>
      <c r="I32" s="14" t="s">
        <v>4753</v>
      </c>
      <c r="J32" s="183"/>
    </row>
    <row r="33" ht="24.0" customHeight="1">
      <c r="A33" s="16" t="s">
        <v>32</v>
      </c>
      <c r="B33" s="50" t="str">
        <f>IFERROR(HYPERLINK(VLOOKUP(A33,Internal_lists_bugs!$A$2:$C$73,3,FALSE()), VLOOKUP(A33,Internal_lists_bugs!$A$2:$C$73,3,FALSE())&amp;Char(10) &amp; Char(10) &amp; VLOOKUP(A33,Internal_lists_bugs!$A$2:$Z$73,26,FALSE())),"please select a BUG ID")</f>
        <v>https://bugs.launchpad.net/nova/+bug/1343080
/OS-DCF/image-get-resp.json
/OS-DCF/image-get-resp.xml
/OS-DCF/image-list-resp.json
/OS-DCF/image-list-resp.xml
/OS-EXT-IMG-SIZE/image-get-resp.json
/OS-EXT-IMG-SIZE/image-get-resp.xml
/OS-EXT-IMG-SIZE/images-details-get-resp.json
/OS-EXT-IMG-SIZE/images-details-get-resp.xml
/api_samples/image-get-resp.json
/api_samples/image-get-resp.xml
/api_samples/images-details-get-resp.json
/api_samples/images-details-get-resp.xml
/api_samples/images-list-get-resp.json
/api_samples/images-list-get-resp.xml
/image-size/image-get-resp.json
/image-size/images-details-get-resp.json
/images/image-get-resp.json
/images/images-details-get-resp.json
/images/images-list-get-resp.json
/os-disk-config/image-get-resp.json
/os-disk-config/image-list-resp.json
/views/images.py </v>
      </c>
      <c r="C33" s="81" t="str">
        <f>IFERROR(SUBSTITUTE(VLOOKUP(A33,Internal_lists_bugs!$A$2:$G2031,7,FALSE()),"nova/commit","nova/src/commit"),"please select a BUG ID")</f>
        <v>https://opendev.org/openstack/nova/src/commit/e7aa4022374fb35d2131a7c633212c5d6302db3d</v>
      </c>
      <c r="D33" s="16" t="s">
        <v>4754</v>
      </c>
      <c r="E33" s="66" t="s">
        <v>4755</v>
      </c>
      <c r="F33" s="54"/>
      <c r="H33" s="112" t="s">
        <v>4756</v>
      </c>
      <c r="I33" s="14" t="s">
        <v>4757</v>
      </c>
      <c r="J33" s="196" t="str">
        <f>IFERROR(VLOOKUP(A33,Internal_lists_bugs!$A$2:$I2031,9,FALSE()),"please select a BUG ID")</f>
        <v>https://review.opendev.org/c/openstack/nova/+/1324</v>
      </c>
    </row>
    <row r="34" ht="30.0" customHeight="1">
      <c r="A34" s="186" t="s">
        <v>54</v>
      </c>
      <c r="B34" s="187" t="str">
        <f>IFERROR(HYPERLINK(VLOOKUP(A34,Internal_lists_bugs!$A$2:$C$73,3,FALSE()), VLOOKUP(A34,Internal_lists_bugs!$A$2:$C$73,3,FALSE())&amp;Char(10) &amp; Char(10) &amp; VLOOKUP(A34,Internal_lists_bugs!$A$2:$Z$73,26,FALSE())),"please select a BUG ID")</f>
        <v>https://bugs.launchpad.net/nova/+bug/1307791
/compute/api.py</v>
      </c>
      <c r="C34" s="188" t="str">
        <f>IFERROR(SUBSTITUTE(VLOOKUP(A34,Internal_lists_bugs!$A$2:$G2031,7,FALSE()),"nova/commit","nova/src/commit"),"please select a BUG ID")</f>
        <v>https://opendev.org/openstack/nova/src/commit/3dff4335661</v>
      </c>
      <c r="D34" s="189" t="s">
        <v>4758</v>
      </c>
      <c r="E34" s="190" t="s">
        <v>4759</v>
      </c>
      <c r="F34" s="189" t="s">
        <v>4682</v>
      </c>
      <c r="G34" s="189" t="s">
        <v>4760</v>
      </c>
      <c r="H34" s="191" t="s">
        <v>4756</v>
      </c>
      <c r="I34" s="194" t="s">
        <v>4761</v>
      </c>
      <c r="J34" s="195" t="str">
        <f>IFERROR(VLOOKUP(A34,Internal_lists_bugs!$A$2:$I2031,9,FALSE()),"please select a BUG ID")</f>
        <v>https://review.opendev.org/c/openstack/nova/+/14805</v>
      </c>
      <c r="K34" s="193"/>
      <c r="L34" s="193"/>
    </row>
    <row r="35" ht="27.75" customHeight="1">
      <c r="A35" s="16" t="s">
        <v>54</v>
      </c>
      <c r="B35" s="50" t="str">
        <f>IFERROR(HYPERLINK(VLOOKUP(A35,Internal_lists_bugs!$A$2:$C$73,3,FALSE()), VLOOKUP(A35,Internal_lists_bugs!$A$2:$C$73,3,FALSE())&amp;Char(10) &amp; Char(10) &amp; VLOOKUP(A35,Internal_lists_bugs!$A$2:$Z$73,26,FALSE())),"please select a BUG ID")</f>
        <v>https://bugs.launchpad.net/nova/+bug/1307791
/compute/api.py</v>
      </c>
      <c r="C35" s="81" t="str">
        <f>IFERROR(SUBSTITUTE(VLOOKUP(A35,Internal_lists_bugs!$A$2:$G2031,7,FALSE()),"nova/commit","nova/src/commit"),"please select a BUG ID")</f>
        <v>https://opendev.org/openstack/nova/src/commit/3dff4335661</v>
      </c>
      <c r="D35" s="16" t="s">
        <v>4720</v>
      </c>
      <c r="E35" s="14" t="s">
        <v>4762</v>
      </c>
      <c r="F35" s="54"/>
      <c r="H35" s="112" t="s">
        <v>4763</v>
      </c>
      <c r="I35" s="16" t="s">
        <v>4764</v>
      </c>
      <c r="J35" s="196" t="str">
        <f>IFERROR(VLOOKUP(A35,Internal_lists_bugs!$A$2:$I2031,9,FALSE()),"please select a BUG ID")</f>
        <v>https://review.opendev.org/c/openstack/nova/+/14805</v>
      </c>
    </row>
    <row r="36">
      <c r="A36" s="16" t="s">
        <v>54</v>
      </c>
      <c r="B36" s="50" t="str">
        <f>IFERROR(HYPERLINK(VLOOKUP(A36,Internal_lists_bugs!$A$2:$C$73,3,FALSE()), VLOOKUP(A36,Internal_lists_bugs!$A$2:$C$73,3,FALSE())&amp;Char(10) &amp; Char(10) &amp; VLOOKUP(A36,Internal_lists_bugs!$A$2:$Z$73,26,FALSE())),"please select a BUG ID")</f>
        <v>https://bugs.launchpad.net/nova/+bug/1307791
/compute/api.py</v>
      </c>
      <c r="C36" s="81" t="str">
        <f>IFERROR(SUBSTITUTE(VLOOKUP(A36,Internal_lists_bugs!$A$2:$G2031,7,FALSE()),"nova/commit","nova/src/commit"),"please select a BUG ID")</f>
        <v>https://opendev.org/openstack/nova/src/commit/3dff4335661</v>
      </c>
      <c r="D36" s="16" t="s">
        <v>4765</v>
      </c>
      <c r="E36" s="14" t="s">
        <v>4766</v>
      </c>
      <c r="F36" s="54"/>
      <c r="H36" s="112" t="s">
        <v>4708</v>
      </c>
      <c r="I36" s="16" t="s">
        <v>4767</v>
      </c>
      <c r="J36" s="196" t="str">
        <f>IFERROR(VLOOKUP(A36,Internal_lists_bugs!$A$2:$I2031,9,FALSE()),"please select a BUG ID")</f>
        <v>https://review.opendev.org/c/openstack/nova/+/14805</v>
      </c>
    </row>
    <row r="37">
      <c r="A37" s="16" t="s">
        <v>54</v>
      </c>
      <c r="B37" s="50" t="str">
        <f>IFERROR(HYPERLINK(VLOOKUP(A37,Internal_lists_bugs!$A$2:$C$73,3,FALSE()), VLOOKUP(A37,Internal_lists_bugs!$A$2:$C$73,3,FALSE())&amp;Char(10) &amp; Char(10) &amp; VLOOKUP(A37,Internal_lists_bugs!$A$2:$Z$73,26,FALSE())),"please select a BUG ID")</f>
        <v>https://bugs.launchpad.net/nova/+bug/1307791
/compute/api.py</v>
      </c>
      <c r="C37" s="81" t="str">
        <f>IFERROR(SUBSTITUTE(VLOOKUP(A37,Internal_lists_bugs!$A$2:$G2031,7,FALSE()),"nova/commit","nova/src/commit"),"please select a BUG ID")</f>
        <v>https://opendev.org/openstack/nova/src/commit/3dff4335661</v>
      </c>
      <c r="D37" s="16" t="s">
        <v>4686</v>
      </c>
      <c r="E37" s="63" t="s">
        <v>4768</v>
      </c>
      <c r="F37" s="54"/>
      <c r="H37" s="112" t="s">
        <v>4696</v>
      </c>
      <c r="I37" s="16" t="s">
        <v>4731</v>
      </c>
      <c r="J37" s="196" t="str">
        <f>IFERROR(VLOOKUP(A37,Internal_lists_bugs!$A$2:$I2031,9,FALSE()),"please select a BUG ID")</f>
        <v>https://review.opendev.org/c/openstack/nova/+/14805</v>
      </c>
    </row>
    <row r="38">
      <c r="A38" s="16" t="s">
        <v>54</v>
      </c>
      <c r="B38" s="50" t="str">
        <f>IFERROR(HYPERLINK(VLOOKUP(A38,Internal_lists_bugs!$A$2:$C$73,3,FALSE()), VLOOKUP(A38,Internal_lists_bugs!$A$2:$C$73,3,FALSE())&amp;Char(10) &amp; Char(10) &amp; VLOOKUP(A38,Internal_lists_bugs!$A$2:$Z$73,26,FALSE())),"please select a BUG ID")</f>
        <v>https://bugs.launchpad.net/nova/+bug/1307791
/compute/api.py</v>
      </c>
      <c r="C38" s="81" t="str">
        <f>IFERROR(SUBSTITUTE(VLOOKUP(A38,Internal_lists_bugs!$A$2:$G2031,7,FALSE()),"nova/commit","nova/src/commit"),"please select a BUG ID")</f>
        <v>https://opendev.org/openstack/nova/src/commit/3dff4335661</v>
      </c>
      <c r="D38" s="16" t="s">
        <v>4690</v>
      </c>
      <c r="E38" s="16" t="s">
        <v>4731</v>
      </c>
      <c r="F38" s="54"/>
      <c r="H38" s="112" t="s">
        <v>4716</v>
      </c>
      <c r="I38" s="16" t="s">
        <v>4769</v>
      </c>
      <c r="J38" s="196" t="str">
        <f>IFERROR(VLOOKUP(A38,Internal_lists_bugs!$A$2:$I2031,9,FALSE()),"please select a BUG ID")</f>
        <v>https://review.opendev.org/c/openstack/nova/+/14805</v>
      </c>
    </row>
    <row r="39">
      <c r="A39" s="16" t="s">
        <v>54</v>
      </c>
      <c r="B39" s="50" t="str">
        <f>IFERROR(HYPERLINK(VLOOKUP(A39,Internal_lists_bugs!$A$2:$C$73,3,FALSE()), VLOOKUP(A39,Internal_lists_bugs!$A$2:$C$73,3,FALSE())&amp;Char(10) &amp; Char(10) &amp; VLOOKUP(A39,Internal_lists_bugs!$A$2:$Z$73,26,FALSE())),"please select a BUG ID")</f>
        <v>https://bugs.launchpad.net/nova/+bug/1307791
/compute/api.py</v>
      </c>
      <c r="C39" s="81" t="str">
        <f>IFERROR(SUBSTITUTE(VLOOKUP(A39,Internal_lists_bugs!$A$2:$G2031,7,FALSE()),"nova/commit","nova/src/commit"),"please select a BUG ID")</f>
        <v>https://opendev.org/openstack/nova/src/commit/3dff4335661</v>
      </c>
      <c r="D39" s="16" t="s">
        <v>4702</v>
      </c>
      <c r="E39" s="16" t="s">
        <v>4770</v>
      </c>
      <c r="F39" s="54"/>
      <c r="H39" s="112" t="s">
        <v>4708</v>
      </c>
      <c r="I39" s="16" t="s">
        <v>4771</v>
      </c>
      <c r="J39" s="196" t="str">
        <f>IFERROR(VLOOKUP(A39,Internal_lists_bugs!$A$2:$I2031,9,FALSE()),"please select a BUG ID")</f>
        <v>https://review.opendev.org/c/openstack/nova/+/14805</v>
      </c>
    </row>
    <row r="40">
      <c r="A40" s="16" t="s">
        <v>54</v>
      </c>
      <c r="B40" s="50" t="str">
        <f>IFERROR(HYPERLINK(VLOOKUP(A40,Internal_lists_bugs!$A$2:$C$73,3,FALSE()), VLOOKUP(A40,Internal_lists_bugs!$A$2:$C$73,3,FALSE())&amp;Char(10) &amp; Char(10) &amp; VLOOKUP(A40,Internal_lists_bugs!$A$2:$Z$73,26,FALSE())),"please select a BUG ID")</f>
        <v>https://bugs.launchpad.net/nova/+bug/1307791
/compute/api.py</v>
      </c>
      <c r="C40" s="81" t="str">
        <f>IFERROR(SUBSTITUTE(VLOOKUP(A40,Internal_lists_bugs!$A$2:$G2031,7,FALSE()),"nova/commit","nova/src/commit"),"please select a BUG ID")</f>
        <v>https://opendev.org/openstack/nova/src/commit/3dff4335661</v>
      </c>
      <c r="D40" s="16" t="s">
        <v>4698</v>
      </c>
      <c r="E40" s="66" t="s">
        <v>4747</v>
      </c>
      <c r="F40" s="54"/>
      <c r="H40" s="112" t="s">
        <v>4700</v>
      </c>
      <c r="I40" s="16" t="s">
        <v>4747</v>
      </c>
      <c r="J40" s="196" t="str">
        <f>IFERROR(VLOOKUP(A40,Internal_lists_bugs!$A$2:$I2031,9,FALSE()),"please select a BUG ID")</f>
        <v>https://review.opendev.org/c/openstack/nova/+/14805</v>
      </c>
    </row>
    <row r="41">
      <c r="A41" s="16" t="s">
        <v>54</v>
      </c>
      <c r="B41" s="50" t="str">
        <f>IFERROR(HYPERLINK(VLOOKUP(A41,Internal_lists_bugs!$A$2:$C$73,3,FALSE()), VLOOKUP(A41,Internal_lists_bugs!$A$2:$C$73,3,FALSE())&amp;Char(10) &amp; Char(10) &amp; VLOOKUP(A41,Internal_lists_bugs!$A$2:$Z$73,26,FALSE())),"please select a BUG ID")</f>
        <v>https://bugs.launchpad.net/nova/+bug/1307791
/compute/api.py</v>
      </c>
      <c r="C41" s="81" t="str">
        <f>IFERROR(SUBSTITUTE(VLOOKUP(A41,Internal_lists_bugs!$A$2:$G2031,7,FALSE()),"nova/commit","nova/src/commit"),"please select a BUG ID")</f>
        <v>https://opendev.org/openstack/nova/src/commit/3dff4335661</v>
      </c>
      <c r="D41" s="16" t="s">
        <v>4772</v>
      </c>
      <c r="E41" s="14" t="s">
        <v>4773</v>
      </c>
      <c r="F41" s="54"/>
      <c r="H41" s="112" t="s">
        <v>4684</v>
      </c>
      <c r="I41" s="16" t="s">
        <v>4774</v>
      </c>
      <c r="J41" s="196" t="str">
        <f>IFERROR(VLOOKUP(A41,Internal_lists_bugs!$A$2:$I2031,9,FALSE()),"please select a BUG ID")</f>
        <v>https://review.opendev.org/c/openstack/nova/+/14805</v>
      </c>
    </row>
    <row r="42">
      <c r="A42" s="16" t="s">
        <v>54</v>
      </c>
      <c r="B42" s="50" t="str">
        <f>IFERROR(HYPERLINK(VLOOKUP(A42,Internal_lists_bugs!$A$2:$C$73,3,FALSE()), VLOOKUP(A42,Internal_lists_bugs!$A$2:$C$73,3,FALSE())&amp;Char(10) &amp; Char(10) &amp; VLOOKUP(A42,Internal_lists_bugs!$A$2:$Z$73,26,FALSE())),"please select a BUG ID")</f>
        <v>https://bugs.launchpad.net/nova/+bug/1307791
/compute/api.py</v>
      </c>
      <c r="C42" s="81" t="str">
        <f>IFERROR(SUBSTITUTE(VLOOKUP(A42,Internal_lists_bugs!$A$2:$G2031,7,FALSE()),"nova/commit","nova/src/commit"),"please select a BUG ID")</f>
        <v>https://opendev.org/openstack/nova/src/commit/3dff4335661</v>
      </c>
      <c r="D42" s="16" t="s">
        <v>4706</v>
      </c>
      <c r="E42" s="16" t="s">
        <v>4775</v>
      </c>
      <c r="F42" s="54"/>
      <c r="H42" s="112" t="s">
        <v>4712</v>
      </c>
      <c r="I42" s="16" t="s">
        <v>4776</v>
      </c>
      <c r="J42" s="196" t="str">
        <f>IFERROR(VLOOKUP(A42,Internal_lists_bugs!$A$2:$I2031,9,FALSE()),"please select a BUG ID")</f>
        <v>https://review.opendev.org/c/openstack/nova/+/14805</v>
      </c>
    </row>
    <row r="43">
      <c r="A43" s="16" t="s">
        <v>54</v>
      </c>
      <c r="B43" s="50" t="str">
        <f>IFERROR(HYPERLINK(VLOOKUP(A43,Internal_lists_bugs!$A$2:$C$73,3,FALSE()), VLOOKUP(A43,Internal_lists_bugs!$A$2:$C$73,3,FALSE())&amp;Char(10) &amp; Char(10) &amp; VLOOKUP(A43,Internal_lists_bugs!$A$2:$Z$73,26,FALSE())),"please select a BUG ID")</f>
        <v>https://bugs.launchpad.net/nova/+bug/1307791
/compute/api.py</v>
      </c>
      <c r="C43" s="81" t="str">
        <f>IFERROR(SUBSTITUTE(VLOOKUP(A43,Internal_lists_bugs!$A$2:$G2031,7,FALSE()),"nova/commit","nova/src/commit"),"please select a BUG ID")</f>
        <v>https://opendev.org/openstack/nova/src/commit/3dff4335661</v>
      </c>
      <c r="D43" s="16" t="s">
        <v>4710</v>
      </c>
      <c r="E43" s="16" t="s">
        <v>4775</v>
      </c>
      <c r="F43" s="54"/>
      <c r="H43" s="112" t="s">
        <v>4777</v>
      </c>
      <c r="I43" s="16" t="s">
        <v>4778</v>
      </c>
      <c r="J43" s="196" t="str">
        <f>IFERROR(VLOOKUP(A43,Internal_lists_bugs!$A$2:$I2031,9,FALSE()),"please select a BUG ID")</f>
        <v>https://review.opendev.org/c/openstack/nova/+/14805</v>
      </c>
    </row>
    <row r="44">
      <c r="A44" s="16" t="s">
        <v>54</v>
      </c>
      <c r="B44" s="50" t="str">
        <f>IFERROR(HYPERLINK(VLOOKUP(A44,Internal_lists_bugs!$A$2:$C$73,3,FALSE()), VLOOKUP(A44,Internal_lists_bugs!$A$2:$C$73,3,FALSE())&amp;Char(10) &amp; Char(10) &amp; VLOOKUP(A44,Internal_lists_bugs!$A$2:$Z$73,26,FALSE())),"please select a BUG ID")</f>
        <v>https://bugs.launchpad.net/nova/+bug/1307791
/compute/api.py</v>
      </c>
      <c r="C44" s="81" t="str">
        <f>IFERROR(SUBSTITUTE(VLOOKUP(A44,Internal_lists_bugs!$A$2:$G2031,7,FALSE()),"nova/commit","nova/src/commit"),"please select a BUG ID")</f>
        <v>https://opendev.org/openstack/nova/src/commit/3dff4335661</v>
      </c>
      <c r="D44" s="16" t="s">
        <v>1325</v>
      </c>
      <c r="E44" s="16" t="s">
        <v>4751</v>
      </c>
      <c r="F44" s="54"/>
      <c r="H44" s="112" t="s">
        <v>4704</v>
      </c>
      <c r="I44" s="16" t="s">
        <v>4752</v>
      </c>
      <c r="J44" s="196" t="str">
        <f>IFERROR(VLOOKUP(A44,Internal_lists_bugs!$A$2:$I2031,9,FALSE()),"please select a BUG ID")</f>
        <v>https://review.opendev.org/c/openstack/nova/+/14805</v>
      </c>
    </row>
    <row r="45">
      <c r="A45" s="16" t="s">
        <v>54</v>
      </c>
      <c r="B45" s="50" t="str">
        <f>IFERROR(HYPERLINK(VLOOKUP(A45,Internal_lists_bugs!$A$2:$C$73,3,FALSE()), VLOOKUP(A45,Internal_lists_bugs!$A$2:$C$73,3,FALSE())&amp;Char(10) &amp; Char(10) &amp; VLOOKUP(A45,Internal_lists_bugs!$A$2:$Z$73,26,FALSE())),"please select a BUG ID")</f>
        <v>https://bugs.launchpad.net/nova/+bug/1307791
/compute/api.py</v>
      </c>
      <c r="C45" s="81" t="str">
        <f>IFERROR(SUBSTITUTE(VLOOKUP(A45,Internal_lists_bugs!$A$2:$G2031,7,FALSE()),"nova/commit","nova/src/commit"),"please select a BUG ID")</f>
        <v>https://opendev.org/openstack/nova/src/commit/3dff4335661</v>
      </c>
      <c r="D45" s="197" t="s">
        <v>4754</v>
      </c>
      <c r="E45" s="197" t="s">
        <v>4755</v>
      </c>
      <c r="F45" s="54"/>
      <c r="H45" s="112" t="s">
        <v>4749</v>
      </c>
      <c r="I45" s="16" t="s">
        <v>4779</v>
      </c>
      <c r="J45" s="196" t="str">
        <f>IFERROR(VLOOKUP(A45,Internal_lists_bugs!$A$2:$I2031,9,FALSE()),"please select a BUG ID")</f>
        <v>https://review.opendev.org/c/openstack/nova/+/14805</v>
      </c>
    </row>
    <row r="46">
      <c r="A46" s="16" t="s">
        <v>54</v>
      </c>
      <c r="B46" s="50" t="str">
        <f>IFERROR(HYPERLINK(VLOOKUP(A46,Internal_lists_bugs!$A$2:$C$73,3,FALSE()), VLOOKUP(A46,Internal_lists_bugs!$A$2:$C$73,3,FALSE())&amp;Char(10) &amp; Char(10) &amp; VLOOKUP(A46,Internal_lists_bugs!$A$2:$Z$73,26,FALSE())),"please select a BUG ID")</f>
        <v>https://bugs.launchpad.net/nova/+bug/1307791
/compute/api.py</v>
      </c>
      <c r="C46" s="81" t="str">
        <f>IFERROR(SUBSTITUTE(VLOOKUP(A46,Internal_lists_bugs!$A$2:$G2031,7,FALSE()),"nova/commit","nova/src/commit"),"please select a BUG ID")</f>
        <v>https://opendev.org/openstack/nova/src/commit/3dff4335661</v>
      </c>
      <c r="D46" s="16"/>
      <c r="E46" s="16"/>
      <c r="F46" s="54"/>
      <c r="H46" s="112" t="s">
        <v>4722</v>
      </c>
      <c r="I46" s="14" t="s">
        <v>4780</v>
      </c>
      <c r="J46" s="196" t="str">
        <f>IFERROR(VLOOKUP(A46,Internal_lists_bugs!$A$2:$I2031,9,FALSE()),"please select a BUG ID")</f>
        <v>https://review.opendev.org/c/openstack/nova/+/14805</v>
      </c>
    </row>
    <row r="47">
      <c r="A47" s="16" t="s">
        <v>54</v>
      </c>
      <c r="B47" s="50" t="str">
        <f>IFERROR(HYPERLINK(VLOOKUP(A47,Internal_lists_bugs!$A$2:$C$73,3,FALSE()), VLOOKUP(A47,Internal_lists_bugs!$A$2:$C$73,3,FALSE())&amp;Char(10) &amp; Char(10) &amp; VLOOKUP(A47,Internal_lists_bugs!$A$2:$Z$73,26,FALSE())),"please select a BUG ID")</f>
        <v>https://bugs.launchpad.net/nova/+bug/1307791
/compute/api.py</v>
      </c>
      <c r="C47" s="81" t="str">
        <f>IFERROR(SUBSTITUTE(VLOOKUP(A47,Internal_lists_bugs!$A$2:$G2031,7,FALSE()),"nova/commit","nova/src/commit"),"please select a BUG ID")</f>
        <v>https://opendev.org/openstack/nova/src/commit/3dff4335661</v>
      </c>
      <c r="D47" s="16" t="s">
        <v>4714</v>
      </c>
      <c r="E47" s="16" t="s">
        <v>4781</v>
      </c>
      <c r="F47" s="54"/>
      <c r="H47" s="112" t="s">
        <v>4782</v>
      </c>
      <c r="I47" s="16" t="s">
        <v>4783</v>
      </c>
      <c r="J47" s="196" t="str">
        <f>IFERROR(VLOOKUP(A47,Internal_lists_bugs!$A$2:$I2031,9,FALSE()),"please select a BUG ID")</f>
        <v>https://review.opendev.org/c/openstack/nova/+/14805</v>
      </c>
    </row>
    <row r="48">
      <c r="A48" s="186" t="s">
        <v>60</v>
      </c>
      <c r="B48" s="187" t="str">
        <f>IFERROR(HYPERLINK(VLOOKUP(A48,Internal_lists_bugs!$A$2:$C$73,3,FALSE()), VLOOKUP(A48,Internal_lists_bugs!$A$2:$C$73,3,FALSE())&amp;Char(10) &amp; Char(10) &amp; VLOOKUP(A48,Internal_lists_bugs!$A$2:$Z$73,26,FALSE())),"please select a BUG ID")</f>
        <v>https://bugs.launchpad.net/nova/+bug/1505471
/servicegroup/drivers/db.py</v>
      </c>
      <c r="C48" s="188" t="str">
        <f>IFERROR(SUBSTITUTE(VLOOKUP(A48,Internal_lists_bugs!$A$2:$G2031,7,FALSE()),"nova/commit","nova/src/commit"),"please select a BUG ID")</f>
        <v>https://opendev.org/openstack/nova/src/commit/64e167eb6</v>
      </c>
      <c r="D48" s="189" t="s">
        <v>4758</v>
      </c>
      <c r="E48" s="190" t="s">
        <v>4759</v>
      </c>
      <c r="F48" s="189" t="s">
        <v>4682</v>
      </c>
      <c r="G48" s="189" t="s">
        <v>4784</v>
      </c>
      <c r="H48" s="191" t="s">
        <v>4756</v>
      </c>
      <c r="I48" s="194" t="s">
        <v>4761</v>
      </c>
      <c r="J48" s="195" t="str">
        <f>IFERROR(VLOOKUP(A48,Internal_lists_bugs!$A$2:$I2031,9,FALSE()),"please select a BUG ID")</f>
        <v>https://review.opendev.org/c/openstack/nova/+/10903</v>
      </c>
      <c r="K48" s="193"/>
      <c r="L48" s="193"/>
    </row>
    <row r="49">
      <c r="A49" s="16" t="s">
        <v>60</v>
      </c>
      <c r="B49" s="50" t="str">
        <f>IFERROR(HYPERLINK(VLOOKUP(A49,Internal_lists_bugs!$A$2:$C$73,3,FALSE()), VLOOKUP(A49,Internal_lists_bugs!$A$2:$C$73,3,FALSE())&amp;Char(10) &amp; Char(10) &amp; VLOOKUP(A49,Internal_lists_bugs!$A$2:$Z$73,26,FALSE())),"please select a BUG ID")</f>
        <v>https://bugs.launchpad.net/nova/+bug/1505471
/servicegroup/drivers/db.py</v>
      </c>
      <c r="C49" s="81" t="str">
        <f>IFERROR(SUBSTITUTE(VLOOKUP(A49,Internal_lists_bugs!$A$2:$G2031,7,FALSE()),"nova/commit","nova/src/commit"),"please select a BUG ID")</f>
        <v>https://opendev.org/openstack/nova/src/commit/64e167eb6</v>
      </c>
      <c r="D49" s="16" t="s">
        <v>4720</v>
      </c>
      <c r="E49" s="14" t="s">
        <v>4785</v>
      </c>
      <c r="F49" s="54"/>
      <c r="H49" s="112" t="s">
        <v>4763</v>
      </c>
      <c r="I49" s="16" t="s">
        <v>4786</v>
      </c>
      <c r="J49" s="196" t="str">
        <f>IFERROR(VLOOKUP(A49,Internal_lists_bugs!$A$2:$I2031,9,FALSE()),"please select a BUG ID")</f>
        <v>https://review.opendev.org/c/openstack/nova/+/10903</v>
      </c>
    </row>
    <row r="50">
      <c r="A50" s="16" t="s">
        <v>60</v>
      </c>
      <c r="B50" s="50" t="str">
        <f>IFERROR(HYPERLINK(VLOOKUP(A50,Internal_lists_bugs!$A$2:$C$73,3,FALSE()), VLOOKUP(A50,Internal_lists_bugs!$A$2:$C$73,3,FALSE())&amp;Char(10) &amp; Char(10) &amp; VLOOKUP(A50,Internal_lists_bugs!$A$2:$Z$73,26,FALSE())),"please select a BUG ID")</f>
        <v>https://bugs.launchpad.net/nova/+bug/1505471
/servicegroup/drivers/db.py</v>
      </c>
      <c r="C50" s="81" t="str">
        <f>IFERROR(SUBSTITUTE(VLOOKUP(A50,Internal_lists_bugs!$A$2:$G2031,7,FALSE()),"nova/commit","nova/src/commit"),"please select a BUG ID")</f>
        <v>https://opendev.org/openstack/nova/src/commit/64e167eb6</v>
      </c>
      <c r="D50" s="16" t="s">
        <v>4765</v>
      </c>
      <c r="E50" s="14" t="s">
        <v>4787</v>
      </c>
      <c r="F50" s="54"/>
      <c r="H50" s="112" t="s">
        <v>4708</v>
      </c>
      <c r="I50" s="16" t="s">
        <v>4767</v>
      </c>
      <c r="J50" s="196" t="str">
        <f>IFERROR(VLOOKUP(A50,Internal_lists_bugs!$A$2:$I2031,9,FALSE()),"please select a BUG ID")</f>
        <v>https://review.opendev.org/c/openstack/nova/+/10903</v>
      </c>
    </row>
    <row r="51">
      <c r="A51" s="16" t="s">
        <v>60</v>
      </c>
      <c r="B51" s="50" t="str">
        <f>IFERROR(HYPERLINK(VLOOKUP(A51,Internal_lists_bugs!$A$2:$C$73,3,FALSE()), VLOOKUP(A51,Internal_lists_bugs!$A$2:$C$73,3,FALSE())&amp;Char(10) &amp; Char(10) &amp; VLOOKUP(A51,Internal_lists_bugs!$A$2:$Z$73,26,FALSE())),"please select a BUG ID")</f>
        <v>https://bugs.launchpad.net/nova/+bug/1505471
/servicegroup/drivers/db.py</v>
      </c>
      <c r="C51" s="81" t="str">
        <f>IFERROR(SUBSTITUTE(VLOOKUP(A51,Internal_lists_bugs!$A$2:$G2031,7,FALSE()),"nova/commit","nova/src/commit"),"please select a BUG ID")</f>
        <v>https://opendev.org/openstack/nova/src/commit/64e167eb6</v>
      </c>
      <c r="D51" s="16" t="s">
        <v>4686</v>
      </c>
      <c r="E51" s="63" t="s">
        <v>4768</v>
      </c>
      <c r="F51" s="54"/>
      <c r="H51" s="112" t="s">
        <v>4696</v>
      </c>
      <c r="I51" s="16" t="s">
        <v>4731</v>
      </c>
      <c r="J51" s="196" t="str">
        <f>IFERROR(VLOOKUP(A51,Internal_lists_bugs!$A$2:$I2031,9,FALSE()),"please select a BUG ID")</f>
        <v>https://review.opendev.org/c/openstack/nova/+/10903</v>
      </c>
    </row>
    <row r="52">
      <c r="A52" s="16" t="s">
        <v>60</v>
      </c>
      <c r="B52" s="50" t="str">
        <f>IFERROR(HYPERLINK(VLOOKUP(A52,Internal_lists_bugs!$A$2:$C$73,3,FALSE()), VLOOKUP(A52,Internal_lists_bugs!$A$2:$C$73,3,FALSE())&amp;Char(10) &amp; Char(10) &amp; VLOOKUP(A52,Internal_lists_bugs!$A$2:$Z$73,26,FALSE())),"please select a BUG ID")</f>
        <v>https://bugs.launchpad.net/nova/+bug/1505471
/servicegroup/drivers/db.py</v>
      </c>
      <c r="C52" s="81" t="str">
        <f>IFERROR(SUBSTITUTE(VLOOKUP(A52,Internal_lists_bugs!$A$2:$G2031,7,FALSE()),"nova/commit","nova/src/commit"),"please select a BUG ID")</f>
        <v>https://opendev.org/openstack/nova/src/commit/64e167eb6</v>
      </c>
      <c r="D52" s="16" t="s">
        <v>4690</v>
      </c>
      <c r="E52" s="16" t="s">
        <v>4731</v>
      </c>
      <c r="F52" s="54"/>
      <c r="H52" s="112" t="s">
        <v>4716</v>
      </c>
      <c r="I52" s="16" t="s">
        <v>4769</v>
      </c>
      <c r="J52" s="196" t="str">
        <f>IFERROR(VLOOKUP(A52,Internal_lists_bugs!$A$2:$I2031,9,FALSE()),"please select a BUG ID")</f>
        <v>https://review.opendev.org/c/openstack/nova/+/10903</v>
      </c>
    </row>
    <row r="53">
      <c r="A53" s="16" t="s">
        <v>60</v>
      </c>
      <c r="B53" s="50" t="str">
        <f>IFERROR(HYPERLINK(VLOOKUP(A53,Internal_lists_bugs!$A$2:$C$73,3,FALSE()), VLOOKUP(A53,Internal_lists_bugs!$A$2:$C$73,3,FALSE())&amp;Char(10) &amp; Char(10) &amp; VLOOKUP(A53,Internal_lists_bugs!$A$2:$Z$73,26,FALSE())),"please select a BUG ID")</f>
        <v>https://bugs.launchpad.net/nova/+bug/1505471
/servicegroup/drivers/db.py</v>
      </c>
      <c r="C53" s="81" t="str">
        <f>IFERROR(SUBSTITUTE(VLOOKUP(A53,Internal_lists_bugs!$A$2:$G2031,7,FALSE()),"nova/commit","nova/src/commit"),"please select a BUG ID")</f>
        <v>https://opendev.org/openstack/nova/src/commit/64e167eb6</v>
      </c>
      <c r="D53" s="16" t="s">
        <v>4702</v>
      </c>
      <c r="E53" s="16" t="s">
        <v>4770</v>
      </c>
      <c r="F53" s="54"/>
      <c r="H53" s="112" t="s">
        <v>4708</v>
      </c>
      <c r="I53" s="16" t="s">
        <v>4771</v>
      </c>
      <c r="J53" s="196" t="str">
        <f>IFERROR(VLOOKUP(A53,Internal_lists_bugs!$A$2:$I2031,9,FALSE()),"please select a BUG ID")</f>
        <v>https://review.opendev.org/c/openstack/nova/+/10903</v>
      </c>
    </row>
    <row r="54">
      <c r="A54" s="16" t="s">
        <v>60</v>
      </c>
      <c r="B54" s="50" t="str">
        <f>IFERROR(HYPERLINK(VLOOKUP(A54,Internal_lists_bugs!$A$2:$C$73,3,FALSE()), VLOOKUP(A54,Internal_lists_bugs!$A$2:$C$73,3,FALSE())&amp;Char(10) &amp; Char(10) &amp; VLOOKUP(A54,Internal_lists_bugs!$A$2:$Z$73,26,FALSE())),"please select a BUG ID")</f>
        <v>https://bugs.launchpad.net/nova/+bug/1505471
/servicegroup/drivers/db.py</v>
      </c>
      <c r="C54" s="81" t="str">
        <f>IFERROR(SUBSTITUTE(VLOOKUP(A54,Internal_lists_bugs!$A$2:$G2031,7,FALSE()),"nova/commit","nova/src/commit"),"please select a BUG ID")</f>
        <v>https://opendev.org/openstack/nova/src/commit/64e167eb6</v>
      </c>
      <c r="D54" s="16" t="s">
        <v>4698</v>
      </c>
      <c r="E54" s="66" t="s">
        <v>4747</v>
      </c>
      <c r="F54" s="54"/>
      <c r="H54" s="112" t="s">
        <v>4700</v>
      </c>
      <c r="I54" s="16" t="s">
        <v>4747</v>
      </c>
      <c r="J54" s="196" t="str">
        <f>IFERROR(VLOOKUP(A54,Internal_lists_bugs!$A$2:$I2031,9,FALSE()),"please select a BUG ID")</f>
        <v>https://review.opendev.org/c/openstack/nova/+/10903</v>
      </c>
    </row>
    <row r="55">
      <c r="A55" s="16" t="s">
        <v>60</v>
      </c>
      <c r="B55" s="50" t="str">
        <f>IFERROR(HYPERLINK(VLOOKUP(A55,Internal_lists_bugs!$A$2:$C$73,3,FALSE()), VLOOKUP(A55,Internal_lists_bugs!$A$2:$C$73,3,FALSE())&amp;Char(10) &amp; Char(10) &amp; VLOOKUP(A55,Internal_lists_bugs!$A$2:$Z$73,26,FALSE())),"please select a BUG ID")</f>
        <v>https://bugs.launchpad.net/nova/+bug/1505471
/servicegroup/drivers/db.py</v>
      </c>
      <c r="C55" s="81" t="str">
        <f>IFERROR(SUBSTITUTE(VLOOKUP(A55,Internal_lists_bugs!$A$2:$G2031,7,FALSE()),"nova/commit","nova/src/commit"),"please select a BUG ID")</f>
        <v>https://opendev.org/openstack/nova/src/commit/64e167eb6</v>
      </c>
      <c r="D55" s="16" t="s">
        <v>4772</v>
      </c>
      <c r="E55" s="14" t="s">
        <v>4788</v>
      </c>
      <c r="F55" s="54"/>
      <c r="H55" s="112" t="s">
        <v>4684</v>
      </c>
      <c r="I55" s="16" t="s">
        <v>4774</v>
      </c>
      <c r="J55" s="196" t="str">
        <f>IFERROR(VLOOKUP(A55,Internal_lists_bugs!$A$2:$I2031,9,FALSE()),"please select a BUG ID")</f>
        <v>https://review.opendev.org/c/openstack/nova/+/10903</v>
      </c>
    </row>
    <row r="56">
      <c r="A56" s="16" t="s">
        <v>60</v>
      </c>
      <c r="B56" s="50" t="str">
        <f>IFERROR(HYPERLINK(VLOOKUP(A56,Internal_lists_bugs!$A$2:$C$73,3,FALSE()), VLOOKUP(A56,Internal_lists_bugs!$A$2:$C$73,3,FALSE())&amp;Char(10) &amp; Char(10) &amp; VLOOKUP(A56,Internal_lists_bugs!$A$2:$Z$73,26,FALSE())),"please select a BUG ID")</f>
        <v>https://bugs.launchpad.net/nova/+bug/1505471
/servicegroup/drivers/db.py</v>
      </c>
      <c r="C56" s="81" t="str">
        <f>IFERROR(SUBSTITUTE(VLOOKUP(A56,Internal_lists_bugs!$A$2:$G2031,7,FALSE()),"nova/commit","nova/src/commit"),"please select a BUG ID")</f>
        <v>https://opendev.org/openstack/nova/src/commit/64e167eb6</v>
      </c>
      <c r="D56" s="16" t="s">
        <v>4706</v>
      </c>
      <c r="E56" s="16" t="s">
        <v>4775</v>
      </c>
      <c r="F56" s="54"/>
      <c r="H56" s="112" t="s">
        <v>4712</v>
      </c>
      <c r="I56" s="16" t="s">
        <v>4776</v>
      </c>
      <c r="J56" s="196" t="str">
        <f>IFERROR(VLOOKUP(A56,Internal_lists_bugs!$A$2:$I2031,9,FALSE()),"please select a BUG ID")</f>
        <v>https://review.opendev.org/c/openstack/nova/+/10903</v>
      </c>
    </row>
    <row r="57">
      <c r="A57" s="16" t="s">
        <v>60</v>
      </c>
      <c r="B57" s="50" t="str">
        <f>IFERROR(HYPERLINK(VLOOKUP(A57,Internal_lists_bugs!$A$2:$C$73,3,FALSE()), VLOOKUP(A57,Internal_lists_bugs!$A$2:$C$73,3,FALSE())&amp;Char(10) &amp; Char(10) &amp; VLOOKUP(A57,Internal_lists_bugs!$A$2:$Z$73,26,FALSE())),"please select a BUG ID")</f>
        <v>https://bugs.launchpad.net/nova/+bug/1505471
/servicegroup/drivers/db.py</v>
      </c>
      <c r="C57" s="81" t="str">
        <f>IFERROR(SUBSTITUTE(VLOOKUP(A57,Internal_lists_bugs!$A$2:$G2031,7,FALSE()),"nova/commit","nova/src/commit"),"please select a BUG ID")</f>
        <v>https://opendev.org/openstack/nova/src/commit/64e167eb6</v>
      </c>
      <c r="D57" s="16" t="s">
        <v>4710</v>
      </c>
      <c r="E57" s="16" t="s">
        <v>4775</v>
      </c>
      <c r="F57" s="54"/>
      <c r="H57" s="112" t="s">
        <v>4777</v>
      </c>
      <c r="I57" s="16" t="s">
        <v>4778</v>
      </c>
      <c r="J57" s="196" t="str">
        <f>IFERROR(VLOOKUP(A57,Internal_lists_bugs!$A$2:$I2031,9,FALSE()),"please select a BUG ID")</f>
        <v>https://review.opendev.org/c/openstack/nova/+/10903</v>
      </c>
    </row>
    <row r="58">
      <c r="A58" s="16" t="s">
        <v>60</v>
      </c>
      <c r="B58" s="50" t="str">
        <f>IFERROR(HYPERLINK(VLOOKUP(A58,Internal_lists_bugs!$A$2:$C$73,3,FALSE()), VLOOKUP(A58,Internal_lists_bugs!$A$2:$C$73,3,FALSE())&amp;Char(10) &amp; Char(10) &amp; VLOOKUP(A58,Internal_lists_bugs!$A$2:$Z$73,26,FALSE())),"please select a BUG ID")</f>
        <v>https://bugs.launchpad.net/nova/+bug/1505471
/servicegroup/drivers/db.py</v>
      </c>
      <c r="C58" s="81" t="str">
        <f>IFERROR(SUBSTITUTE(VLOOKUP(A58,Internal_lists_bugs!$A$2:$G2031,7,FALSE()),"nova/commit","nova/src/commit"),"please select a BUG ID")</f>
        <v>https://opendev.org/openstack/nova/src/commit/64e167eb6</v>
      </c>
      <c r="D58" s="16" t="s">
        <v>1325</v>
      </c>
      <c r="E58" s="16" t="s">
        <v>4751</v>
      </c>
      <c r="F58" s="54"/>
      <c r="H58" s="112" t="s">
        <v>4704</v>
      </c>
      <c r="I58" s="16" t="s">
        <v>4752</v>
      </c>
      <c r="J58" s="196" t="str">
        <f>IFERROR(VLOOKUP(A58,Internal_lists_bugs!$A$2:$I2031,9,FALSE()),"please select a BUG ID")</f>
        <v>https://review.opendev.org/c/openstack/nova/+/10903</v>
      </c>
    </row>
    <row r="59">
      <c r="A59" s="16" t="s">
        <v>60</v>
      </c>
      <c r="B59" s="50" t="str">
        <f>IFERROR(HYPERLINK(VLOOKUP(A59,Internal_lists_bugs!$A$2:$C$73,3,FALSE()), VLOOKUP(A59,Internal_lists_bugs!$A$2:$C$73,3,FALSE())&amp;Char(10) &amp; Char(10) &amp; VLOOKUP(A59,Internal_lists_bugs!$A$2:$Z$73,26,FALSE())),"please select a BUG ID")</f>
        <v>https://bugs.launchpad.net/nova/+bug/1505471
/servicegroup/drivers/db.py</v>
      </c>
      <c r="C59" s="81" t="str">
        <f>IFERROR(SUBSTITUTE(VLOOKUP(A59,Internal_lists_bugs!$A$2:$G2031,7,FALSE()),"nova/commit","nova/src/commit"),"please select a BUG ID")</f>
        <v>https://opendev.org/openstack/nova/src/commit/64e167eb6</v>
      </c>
      <c r="D59" s="16" t="s">
        <v>4680</v>
      </c>
      <c r="E59" s="16" t="s">
        <v>4789</v>
      </c>
      <c r="F59" s="54"/>
      <c r="H59" s="112" t="s">
        <v>4749</v>
      </c>
      <c r="I59" s="16" t="s">
        <v>4779</v>
      </c>
      <c r="J59" s="196" t="str">
        <f>IFERROR(VLOOKUP(A59,Internal_lists_bugs!$A$2:$I2031,9,FALSE()),"please select a BUG ID")</f>
        <v>https://review.opendev.org/c/openstack/nova/+/10903</v>
      </c>
    </row>
    <row r="60">
      <c r="A60" s="16" t="s">
        <v>60</v>
      </c>
      <c r="B60" s="50" t="str">
        <f>IFERROR(HYPERLINK(VLOOKUP(A60,Internal_lists_bugs!$A$2:$C$73,3,FALSE()), VLOOKUP(A60,Internal_lists_bugs!$A$2:$C$73,3,FALSE())&amp;Char(10) &amp; Char(10) &amp; VLOOKUP(A60,Internal_lists_bugs!$A$2:$Z$73,26,FALSE())),"please select a BUG ID")</f>
        <v>https://bugs.launchpad.net/nova/+bug/1505471
/servicegroup/drivers/db.py</v>
      </c>
      <c r="C60" s="81" t="str">
        <f>IFERROR(SUBSTITUTE(VLOOKUP(A60,Internal_lists_bugs!$A$2:$G2031,7,FALSE()),"nova/commit","nova/src/commit"),"please select a BUG ID")</f>
        <v>https://opendev.org/openstack/nova/src/commit/64e167eb6</v>
      </c>
      <c r="D60" s="9" t="s">
        <v>4714</v>
      </c>
      <c r="E60" s="9" t="s">
        <v>4738</v>
      </c>
      <c r="F60" s="54"/>
      <c r="H60" s="112" t="s">
        <v>4722</v>
      </c>
      <c r="I60" s="14" t="s">
        <v>4790</v>
      </c>
      <c r="J60" s="183"/>
    </row>
    <row r="61">
      <c r="A61" s="16" t="s">
        <v>60</v>
      </c>
      <c r="B61" s="50" t="str">
        <f>IFERROR(HYPERLINK(VLOOKUP(A61,Internal_lists_bugs!$A$2:$C$73,3,FALSE()), VLOOKUP(A61,Internal_lists_bugs!$A$2:$C$73,3,FALSE())&amp;Char(10) &amp; Char(10) &amp; VLOOKUP(A61,Internal_lists_bugs!$A$2:$Z$73,26,FALSE())),"please select a BUG ID")</f>
        <v>https://bugs.launchpad.net/nova/+bug/1505471
/servicegroup/drivers/db.py</v>
      </c>
      <c r="C61" s="81" t="str">
        <f>IFERROR(SUBSTITUTE(VLOOKUP(A61,Internal_lists_bugs!$A$2:$G2031,7,FALSE()),"nova/commit","nova/src/commit"),"please select a BUG ID")</f>
        <v>https://opendev.org/openstack/nova/src/commit/64e167eb6</v>
      </c>
      <c r="D61" s="197" t="s">
        <v>4754</v>
      </c>
      <c r="E61" s="197" t="s">
        <v>4755</v>
      </c>
      <c r="F61" s="54"/>
      <c r="H61" s="112" t="s">
        <v>4782</v>
      </c>
      <c r="I61" s="16" t="s">
        <v>4783</v>
      </c>
      <c r="J61" s="196" t="str">
        <f>IFERROR(VLOOKUP(A61,Internal_lists_bugs!$A$2:$I2031,9,FALSE()),"please select a BUG ID")</f>
        <v>https://review.opendev.org/c/openstack/nova/+/10903</v>
      </c>
    </row>
    <row r="62">
      <c r="A62" s="186" t="s">
        <v>35</v>
      </c>
      <c r="B62" s="187" t="str">
        <f>IFERROR(HYPERLINK(VLOOKUP(A62,Internal_lists_bugs!$A$2:$C$73,3,FALSE()), VLOOKUP(A62,Internal_lists_bugs!$A$2:$C$73,3,FALSE())&amp;Char(10) &amp; Char(10) &amp; VLOOKUP(A62,Internal_lists_bugs!$A$2:$Z$73,26,FALSE())),"please select a BUG ID")</f>
        <v>https://bugs.launchpad.net/nova/+bug/1375379
/console/websocketproxy.py</v>
      </c>
      <c r="C62" s="188" t="str">
        <f>IFERROR(SUBSTITUTE(VLOOKUP(A62,Internal_lists_bugs!$A$2:$G2031,7,FALSE()),"nova/commit","nova/src/commit"),"please select a BUG ID")</f>
        <v>https://opendev.org/openstack/nova/src/commit/e71e8c2</v>
      </c>
      <c r="D62" s="189" t="s">
        <v>4758</v>
      </c>
      <c r="E62" s="190" t="s">
        <v>4759</v>
      </c>
      <c r="F62" s="189" t="s">
        <v>4682</v>
      </c>
      <c r="G62" s="189" t="s">
        <v>4791</v>
      </c>
      <c r="H62" s="191" t="s">
        <v>4756</v>
      </c>
      <c r="I62" s="194" t="s">
        <v>4761</v>
      </c>
      <c r="J62" s="195" t="str">
        <f>IFERROR(VLOOKUP(A62,Internal_lists_bugs!$A$2:$I2031,9,FALSE()),"please select a BUG ID")</f>
        <v>https://review.opendev.org/c/openstack/nova/+/18864</v>
      </c>
    </row>
    <row r="63">
      <c r="A63" s="16" t="s">
        <v>35</v>
      </c>
      <c r="B63" s="50" t="str">
        <f>IFERROR(HYPERLINK(VLOOKUP(A63,Internal_lists_bugs!$A$2:$C$73,3,FALSE()), VLOOKUP(A63,Internal_lists_bugs!$A$2:$C$73,3,FALSE())&amp;Char(10) &amp; Char(10) &amp; VLOOKUP(A63,Internal_lists_bugs!$A$2:$Z$73,26,FALSE())),"please select a BUG ID")</f>
        <v>https://bugs.launchpad.net/nova/+bug/1375379
/console/websocketproxy.py</v>
      </c>
      <c r="C63" s="81" t="str">
        <f>IFERROR(SUBSTITUTE(VLOOKUP(A63,Internal_lists_bugs!$A$2:$G2031,7,FALSE()),"nova/commit","nova/src/commit"),"please select a BUG ID")</f>
        <v>https://opendev.org/openstack/nova/src/commit/e71e8c2</v>
      </c>
      <c r="D63" s="16" t="s">
        <v>4720</v>
      </c>
      <c r="E63" s="14" t="s">
        <v>4792</v>
      </c>
      <c r="F63" s="54"/>
      <c r="H63" s="112" t="s">
        <v>4763</v>
      </c>
      <c r="I63" s="16" t="s">
        <v>4786</v>
      </c>
      <c r="J63" s="196" t="str">
        <f>IFERROR(VLOOKUP(A63,Internal_lists_bugs!$A$2:$I2031,9,FALSE()),"please select a BUG ID")</f>
        <v>https://review.opendev.org/c/openstack/nova/+/18864</v>
      </c>
    </row>
    <row r="64">
      <c r="A64" s="16" t="s">
        <v>35</v>
      </c>
      <c r="B64" s="50" t="str">
        <f>IFERROR(HYPERLINK(VLOOKUP(A64,Internal_lists_bugs!$A$2:$C$73,3,FALSE()), VLOOKUP(A64,Internal_lists_bugs!$A$2:$C$73,3,FALSE())&amp;Char(10) &amp; Char(10) &amp; VLOOKUP(A64,Internal_lists_bugs!$A$2:$Z$73,26,FALSE())),"please select a BUG ID")</f>
        <v>https://bugs.launchpad.net/nova/+bug/1375379
/console/websocketproxy.py</v>
      </c>
      <c r="C64" s="81" t="str">
        <f>IFERROR(SUBSTITUTE(VLOOKUP(A64,Internal_lists_bugs!$A$2:$G2031,7,FALSE()),"nova/commit","nova/src/commit"),"please select a BUG ID")</f>
        <v>https://opendev.org/openstack/nova/src/commit/e71e8c2</v>
      </c>
      <c r="D64" s="16" t="s">
        <v>4765</v>
      </c>
      <c r="E64" s="14" t="s">
        <v>4793</v>
      </c>
      <c r="F64" s="54"/>
      <c r="H64" s="112" t="s">
        <v>4708</v>
      </c>
      <c r="I64" s="16" t="s">
        <v>4767</v>
      </c>
      <c r="J64" s="196" t="str">
        <f>IFERROR(VLOOKUP(A64,Internal_lists_bugs!$A$2:$I2031,9,FALSE()),"please select a BUG ID")</f>
        <v>https://review.opendev.org/c/openstack/nova/+/18864</v>
      </c>
    </row>
    <row r="65">
      <c r="A65" s="16" t="s">
        <v>35</v>
      </c>
      <c r="B65" s="50" t="str">
        <f>IFERROR(HYPERLINK(VLOOKUP(A65,Internal_lists_bugs!$A$2:$C$73,3,FALSE()), VLOOKUP(A65,Internal_lists_bugs!$A$2:$C$73,3,FALSE())&amp;Char(10) &amp; Char(10) &amp; VLOOKUP(A65,Internal_lists_bugs!$A$2:$Z$73,26,FALSE())),"please select a BUG ID")</f>
        <v>https://bugs.launchpad.net/nova/+bug/1375379
/console/websocketproxy.py</v>
      </c>
      <c r="C65" s="81" t="str">
        <f>IFERROR(SUBSTITUTE(VLOOKUP(A65,Internal_lists_bugs!$A$2:$G2031,7,FALSE()),"nova/commit","nova/src/commit"),"please select a BUG ID")</f>
        <v>https://opendev.org/openstack/nova/src/commit/e71e8c2</v>
      </c>
      <c r="D65" s="16" t="s">
        <v>4686</v>
      </c>
      <c r="E65" s="63" t="s">
        <v>4768</v>
      </c>
      <c r="F65" s="54"/>
      <c r="H65" s="112" t="s">
        <v>4696</v>
      </c>
      <c r="I65" s="16" t="s">
        <v>4731</v>
      </c>
      <c r="J65" s="196" t="str">
        <f>IFERROR(VLOOKUP(A65,Internal_lists_bugs!$A$2:$I2031,9,FALSE()),"please select a BUG ID")</f>
        <v>https://review.opendev.org/c/openstack/nova/+/18864</v>
      </c>
    </row>
    <row r="66">
      <c r="A66" s="16" t="s">
        <v>35</v>
      </c>
      <c r="B66" s="50" t="str">
        <f>IFERROR(HYPERLINK(VLOOKUP(A66,Internal_lists_bugs!$A$2:$C$73,3,FALSE()), VLOOKUP(A66,Internal_lists_bugs!$A$2:$C$73,3,FALSE())&amp;Char(10) &amp; Char(10) &amp; VLOOKUP(A66,Internal_lists_bugs!$A$2:$Z$73,26,FALSE())),"please select a BUG ID")</f>
        <v>https://bugs.launchpad.net/nova/+bug/1375379
/console/websocketproxy.py</v>
      </c>
      <c r="C66" s="81" t="str">
        <f>IFERROR(SUBSTITUTE(VLOOKUP(A66,Internal_lists_bugs!$A$2:$G2031,7,FALSE()),"nova/commit","nova/src/commit"),"please select a BUG ID")</f>
        <v>https://opendev.org/openstack/nova/src/commit/e71e8c2</v>
      </c>
      <c r="D66" s="16" t="s">
        <v>4690</v>
      </c>
      <c r="E66" s="16" t="s">
        <v>4731</v>
      </c>
      <c r="F66" s="54"/>
      <c r="H66" s="112" t="s">
        <v>4716</v>
      </c>
      <c r="I66" s="16" t="s">
        <v>4769</v>
      </c>
      <c r="J66" s="196" t="str">
        <f>IFERROR(VLOOKUP(A66,Internal_lists_bugs!$A$2:$I2031,9,FALSE()),"please select a BUG ID")</f>
        <v>https://review.opendev.org/c/openstack/nova/+/18864</v>
      </c>
    </row>
    <row r="67">
      <c r="A67" s="16" t="s">
        <v>35</v>
      </c>
      <c r="B67" s="50" t="str">
        <f>IFERROR(HYPERLINK(VLOOKUP(A67,Internal_lists_bugs!$A$2:$C$73,3,FALSE()), VLOOKUP(A67,Internal_lists_bugs!$A$2:$C$73,3,FALSE())&amp;Char(10) &amp; Char(10) &amp; VLOOKUP(A67,Internal_lists_bugs!$A$2:$Z$73,26,FALSE())),"please select a BUG ID")</f>
        <v>https://bugs.launchpad.net/nova/+bug/1375379
/console/websocketproxy.py</v>
      </c>
      <c r="C67" s="81" t="str">
        <f>IFERROR(SUBSTITUTE(VLOOKUP(A67,Internal_lists_bugs!$A$2:$G2031,7,FALSE()),"nova/commit","nova/src/commit"),"please select a BUG ID")</f>
        <v>https://opendev.org/openstack/nova/src/commit/e71e8c2</v>
      </c>
      <c r="D67" s="16" t="s">
        <v>4702</v>
      </c>
      <c r="E67" s="16" t="s">
        <v>4770</v>
      </c>
      <c r="F67" s="54"/>
      <c r="H67" s="112" t="s">
        <v>4708</v>
      </c>
      <c r="I67" s="16" t="s">
        <v>4771</v>
      </c>
      <c r="J67" s="196" t="str">
        <f>IFERROR(VLOOKUP(A67,Internal_lists_bugs!$A$2:$I2031,9,FALSE()),"please select a BUG ID")</f>
        <v>https://review.opendev.org/c/openstack/nova/+/18864</v>
      </c>
    </row>
    <row r="68">
      <c r="A68" s="16" t="s">
        <v>35</v>
      </c>
      <c r="B68" s="50" t="str">
        <f>IFERROR(HYPERLINK(VLOOKUP(A68,Internal_lists_bugs!$A$2:$C$73,3,FALSE()), VLOOKUP(A68,Internal_lists_bugs!$A$2:$C$73,3,FALSE())&amp;Char(10) &amp; Char(10) &amp; VLOOKUP(A68,Internal_lists_bugs!$A$2:$Z$73,26,FALSE())),"please select a BUG ID")</f>
        <v>https://bugs.launchpad.net/nova/+bug/1375379
/console/websocketproxy.py</v>
      </c>
      <c r="C68" s="81" t="str">
        <f>IFERROR(SUBSTITUTE(VLOOKUP(A68,Internal_lists_bugs!$A$2:$G2031,7,FALSE()),"nova/commit","nova/src/commit"),"please select a BUG ID")</f>
        <v>https://opendev.org/openstack/nova/src/commit/e71e8c2</v>
      </c>
      <c r="D68" s="16" t="s">
        <v>4698</v>
      </c>
      <c r="E68" s="66" t="s">
        <v>4747</v>
      </c>
      <c r="F68" s="54"/>
      <c r="H68" s="112" t="s">
        <v>4700</v>
      </c>
      <c r="I68" s="16" t="s">
        <v>4747</v>
      </c>
      <c r="J68" s="196" t="str">
        <f>IFERROR(VLOOKUP(A68,Internal_lists_bugs!$A$2:$I2031,9,FALSE()),"please select a BUG ID")</f>
        <v>https://review.opendev.org/c/openstack/nova/+/18864</v>
      </c>
    </row>
    <row r="69">
      <c r="A69" s="16" t="s">
        <v>35</v>
      </c>
      <c r="B69" s="50" t="str">
        <f>IFERROR(HYPERLINK(VLOOKUP(A69,Internal_lists_bugs!$A$2:$C$73,3,FALSE()), VLOOKUP(A69,Internal_lists_bugs!$A$2:$C$73,3,FALSE())&amp;Char(10) &amp; Char(10) &amp; VLOOKUP(A69,Internal_lists_bugs!$A$2:$Z$73,26,FALSE())),"please select a BUG ID")</f>
        <v>https://bugs.launchpad.net/nova/+bug/1375379
/console/websocketproxy.py</v>
      </c>
      <c r="C69" s="81" t="str">
        <f>IFERROR(SUBSTITUTE(VLOOKUP(A69,Internal_lists_bugs!$A$2:$G2031,7,FALSE()),"nova/commit","nova/src/commit"),"please select a BUG ID")</f>
        <v>https://opendev.org/openstack/nova/src/commit/e71e8c2</v>
      </c>
      <c r="D69" s="16" t="s">
        <v>4772</v>
      </c>
      <c r="E69" s="14" t="s">
        <v>4794</v>
      </c>
      <c r="F69" s="54"/>
      <c r="H69" s="112" t="s">
        <v>4684</v>
      </c>
      <c r="I69" s="16" t="s">
        <v>4774</v>
      </c>
      <c r="J69" s="196" t="str">
        <f>IFERROR(VLOOKUP(A69,Internal_lists_bugs!$A$2:$I2031,9,FALSE()),"please select a BUG ID")</f>
        <v>https://review.opendev.org/c/openstack/nova/+/18864</v>
      </c>
    </row>
    <row r="70">
      <c r="A70" s="16" t="s">
        <v>35</v>
      </c>
      <c r="B70" s="50" t="str">
        <f>IFERROR(HYPERLINK(VLOOKUP(A70,Internal_lists_bugs!$A$2:$C$73,3,FALSE()), VLOOKUP(A70,Internal_lists_bugs!$A$2:$C$73,3,FALSE())&amp;Char(10) &amp; Char(10) &amp; VLOOKUP(A70,Internal_lists_bugs!$A$2:$Z$73,26,FALSE())),"please select a BUG ID")</f>
        <v>https://bugs.launchpad.net/nova/+bug/1375379
/console/websocketproxy.py</v>
      </c>
      <c r="C70" s="81" t="str">
        <f>IFERROR(SUBSTITUTE(VLOOKUP(A70,Internal_lists_bugs!$A$2:$G2031,7,FALSE()),"nova/commit","nova/src/commit"),"please select a BUG ID")</f>
        <v>https://opendev.org/openstack/nova/src/commit/e71e8c2</v>
      </c>
      <c r="D70" s="16" t="s">
        <v>4706</v>
      </c>
      <c r="E70" s="16" t="s">
        <v>4775</v>
      </c>
      <c r="F70" s="54"/>
      <c r="H70" s="112" t="s">
        <v>4712</v>
      </c>
      <c r="I70" s="16" t="s">
        <v>4776</v>
      </c>
      <c r="J70" s="196" t="str">
        <f>IFERROR(VLOOKUP(A70,Internal_lists_bugs!$A$2:$I2031,9,FALSE()),"please select a BUG ID")</f>
        <v>https://review.opendev.org/c/openstack/nova/+/18864</v>
      </c>
    </row>
    <row r="71">
      <c r="A71" s="16" t="s">
        <v>35</v>
      </c>
      <c r="B71" s="50" t="str">
        <f>IFERROR(HYPERLINK(VLOOKUP(A71,Internal_lists_bugs!$A$2:$C$73,3,FALSE()), VLOOKUP(A71,Internal_lists_bugs!$A$2:$C$73,3,FALSE())&amp;Char(10) &amp; Char(10) &amp; VLOOKUP(A71,Internal_lists_bugs!$A$2:$Z$73,26,FALSE())),"please select a BUG ID")</f>
        <v>https://bugs.launchpad.net/nova/+bug/1375379
/console/websocketproxy.py</v>
      </c>
      <c r="C71" s="81" t="str">
        <f>IFERROR(SUBSTITUTE(VLOOKUP(A71,Internal_lists_bugs!$A$2:$G2031,7,FALSE()),"nova/commit","nova/src/commit"),"please select a BUG ID")</f>
        <v>https://opendev.org/openstack/nova/src/commit/e71e8c2</v>
      </c>
      <c r="D71" s="16" t="s">
        <v>4710</v>
      </c>
      <c r="E71" s="16" t="s">
        <v>4775</v>
      </c>
      <c r="F71" s="54"/>
      <c r="H71" s="112" t="s">
        <v>4777</v>
      </c>
      <c r="I71" s="16" t="s">
        <v>4778</v>
      </c>
      <c r="J71" s="196" t="str">
        <f>IFERROR(VLOOKUP(A71,Internal_lists_bugs!$A$2:$I2031,9,FALSE()),"please select a BUG ID")</f>
        <v>https://review.opendev.org/c/openstack/nova/+/18864</v>
      </c>
    </row>
    <row r="72">
      <c r="A72" s="16" t="s">
        <v>35</v>
      </c>
      <c r="B72" s="50" t="str">
        <f>IFERROR(HYPERLINK(VLOOKUP(A72,Internal_lists_bugs!$A$2:$C$73,3,FALSE()), VLOOKUP(A72,Internal_lists_bugs!$A$2:$C$73,3,FALSE())&amp;Char(10) &amp; Char(10) &amp; VLOOKUP(A72,Internal_lists_bugs!$A$2:$Z$73,26,FALSE())),"please select a BUG ID")</f>
        <v>https://bugs.launchpad.net/nova/+bug/1375379
/console/websocketproxy.py</v>
      </c>
      <c r="C72" s="81" t="str">
        <f>IFERROR(SUBSTITUTE(VLOOKUP(A72,Internal_lists_bugs!$A$2:$G2031,7,FALSE()),"nova/commit","nova/src/commit"),"please select a BUG ID")</f>
        <v>https://opendev.org/openstack/nova/src/commit/e71e8c2</v>
      </c>
      <c r="D72" s="16" t="s">
        <v>1325</v>
      </c>
      <c r="E72" s="16" t="s">
        <v>4751</v>
      </c>
      <c r="F72" s="54"/>
      <c r="H72" s="112" t="s">
        <v>4704</v>
      </c>
      <c r="I72" s="16" t="s">
        <v>4752</v>
      </c>
      <c r="J72" s="196" t="str">
        <f>IFERROR(VLOOKUP(A72,Internal_lists_bugs!$A$2:$I2031,9,FALSE()),"please select a BUG ID")</f>
        <v>https://review.opendev.org/c/openstack/nova/+/18864</v>
      </c>
    </row>
    <row r="73">
      <c r="A73" s="16" t="s">
        <v>35</v>
      </c>
      <c r="B73" s="50" t="str">
        <f>IFERROR(HYPERLINK(VLOOKUP(A73,Internal_lists_bugs!$A$2:$C$73,3,FALSE()), VLOOKUP(A73,Internal_lists_bugs!$A$2:$C$73,3,FALSE())&amp;Char(10) &amp; Char(10) &amp; VLOOKUP(A73,Internal_lists_bugs!$A$2:$Z$73,26,FALSE())),"please select a BUG ID")</f>
        <v>https://bugs.launchpad.net/nova/+bug/1375379
/console/websocketproxy.py</v>
      </c>
      <c r="C73" s="81" t="str">
        <f>IFERROR(SUBSTITUTE(VLOOKUP(A73,Internal_lists_bugs!$A$2:$G2031,7,FALSE()),"nova/commit","nova/src/commit"),"please select a BUG ID")</f>
        <v>https://opendev.org/openstack/nova/src/commit/e71e8c2</v>
      </c>
      <c r="D73" s="16" t="s">
        <v>4680</v>
      </c>
      <c r="E73" s="16" t="s">
        <v>4789</v>
      </c>
      <c r="F73" s="54"/>
      <c r="H73" s="112" t="s">
        <v>4749</v>
      </c>
      <c r="I73" s="16" t="s">
        <v>4779</v>
      </c>
      <c r="J73" s="196" t="str">
        <f>IFERROR(VLOOKUP(A73,Internal_lists_bugs!$A$2:$I2031,9,FALSE()),"please select a BUG ID")</f>
        <v>https://review.opendev.org/c/openstack/nova/+/18864</v>
      </c>
    </row>
    <row r="74">
      <c r="A74" s="16" t="s">
        <v>35</v>
      </c>
      <c r="B74" s="50" t="str">
        <f>IFERROR(HYPERLINK(VLOOKUP(A74,Internal_lists_bugs!$A$2:$C$73,3,FALSE()), VLOOKUP(A74,Internal_lists_bugs!$A$2:$C$73,3,FALSE())&amp;Char(10) &amp; Char(10) &amp; VLOOKUP(A74,Internal_lists_bugs!$A$2:$Z$73,26,FALSE())),"please select a BUG ID")</f>
        <v>https://bugs.launchpad.net/nova/+bug/1375379
/console/websocketproxy.py</v>
      </c>
      <c r="C74" s="81" t="str">
        <f>IFERROR(SUBSTITUTE(VLOOKUP(A74,Internal_lists_bugs!$A$2:$G2031,7,FALSE()),"nova/commit","nova/src/commit"),"please select a BUG ID")</f>
        <v>https://opendev.org/openstack/nova/src/commit/e71e8c2</v>
      </c>
      <c r="D74" s="197" t="s">
        <v>4754</v>
      </c>
      <c r="E74" s="197" t="s">
        <v>4755</v>
      </c>
      <c r="F74" s="54"/>
      <c r="H74" s="112" t="s">
        <v>4782</v>
      </c>
      <c r="I74" s="16" t="s">
        <v>4783</v>
      </c>
      <c r="J74" s="196" t="str">
        <f>IFERROR(VLOOKUP(A74,Internal_lists_bugs!$A$2:$I2031,9,FALSE()),"please select a BUG ID")</f>
        <v>https://review.opendev.org/c/openstack/nova/+/18864</v>
      </c>
    </row>
    <row r="75">
      <c r="A75" s="16" t="s">
        <v>35</v>
      </c>
      <c r="B75" s="50" t="str">
        <f>IFERROR(HYPERLINK(VLOOKUP(A75,Internal_lists_bugs!$A$2:$C$73,3,FALSE()), VLOOKUP(A75,Internal_lists_bugs!$A$2:$C$73,3,FALSE())&amp;Char(10) &amp; Char(10) &amp; VLOOKUP(A75,Internal_lists_bugs!$A$2:$Z$73,26,FALSE())),"please select a BUG ID")</f>
        <v>https://bugs.launchpad.net/nova/+bug/1375379
/console/websocketproxy.py</v>
      </c>
      <c r="C75" s="81" t="str">
        <f>IFERROR(SUBSTITUTE(VLOOKUP(A75,Internal_lists_bugs!$A$2:$G2031,7,FALSE()),"nova/commit","nova/src/commit"),"please select a BUG ID")</f>
        <v>https://opendev.org/openstack/nova/src/commit/e71e8c2</v>
      </c>
      <c r="D75" s="16" t="s">
        <v>4714</v>
      </c>
      <c r="E75" s="66" t="s">
        <v>4781</v>
      </c>
      <c r="F75" s="16"/>
      <c r="G75" s="16"/>
      <c r="H75" s="112" t="s">
        <v>4722</v>
      </c>
      <c r="I75" s="14" t="s">
        <v>4795</v>
      </c>
      <c r="J75" s="196" t="str">
        <f>IFERROR(VLOOKUP(A75,Internal_lists_bugs!$A$2:$I2031,9,FALSE()),"please select a BUG ID")</f>
        <v>https://review.opendev.org/c/openstack/nova/+/18864</v>
      </c>
    </row>
    <row r="76">
      <c r="A76" s="189" t="s">
        <v>55</v>
      </c>
      <c r="B76" s="198" t="str">
        <f>IFERROR(HYPERLINK(VLOOKUP(A76,Internal_lists_bugs!$A$2:$C$73,3,FALSE()), VLOOKUP(A76,Internal_lists_bugs!$A$2:$C$73,3,FALSE())&amp;Char(10) &amp; Char(10) &amp; VLOOKUP(A76,Internal_lists_bugs!$A$2:$Z$73,26,FALSE())),"please select a BUG ID")</f>
        <v>https://bugs.launchpad.net/nova/+bug/1402535
/virt/libvirt/volume.py</v>
      </c>
      <c r="C76" s="199" t="str">
        <f>IFERROR(SUBSTITUTE(VLOOKUP(A76,Internal_lists_bugs!$A$2:$G2031,7,FALSE()),"nova/commit","nova/src/commit"),"please select a BUG ID")</f>
        <v>https://opendev.org/openstack/nova/src/commit/933365a58</v>
      </c>
      <c r="D76" s="186" t="s">
        <v>4758</v>
      </c>
      <c r="E76" s="190" t="s">
        <v>4759</v>
      </c>
      <c r="F76" s="189" t="s">
        <v>4682</v>
      </c>
      <c r="G76" s="189" t="s">
        <v>4791</v>
      </c>
      <c r="H76" s="191" t="s">
        <v>4756</v>
      </c>
      <c r="I76" s="194" t="s">
        <v>4761</v>
      </c>
      <c r="J76" s="195" t="str">
        <f>IFERROR(VLOOKUP(A76,Internal_lists_bugs!$A$2:$I2031,9,FALSE()),"please select a BUG ID")</f>
        <v>https://review.opendev.org/c/openstack/nova/+/17946</v>
      </c>
      <c r="K76" s="193"/>
      <c r="L76" s="193"/>
    </row>
    <row r="77">
      <c r="A77" s="16" t="s">
        <v>55</v>
      </c>
      <c r="B77" s="50" t="str">
        <f>IFERROR(HYPERLINK(VLOOKUP(A77,Internal_lists_bugs!$A$2:$C$73,3,FALSE()), VLOOKUP(A77,Internal_lists_bugs!$A$2:$C$73,3,FALSE())&amp;Char(10) &amp; Char(10) &amp; VLOOKUP(A77,Internal_lists_bugs!$A$2:$Z$73,26,FALSE())),"please select a BUG ID")</f>
        <v>https://bugs.launchpad.net/nova/+bug/1402535
/virt/libvirt/volume.py</v>
      </c>
      <c r="C77" s="81" t="str">
        <f>IFERROR(SUBSTITUTE(VLOOKUP(A77,Internal_lists_bugs!$A$2:$G2031,7,FALSE()),"nova/commit","nova/src/commit"),"please select a BUG ID")</f>
        <v>https://opendev.org/openstack/nova/src/commit/933365a58</v>
      </c>
      <c r="D77" s="30" t="s">
        <v>4720</v>
      </c>
      <c r="E77" s="14" t="s">
        <v>4796</v>
      </c>
      <c r="F77" s="54"/>
      <c r="H77" s="112" t="s">
        <v>4763</v>
      </c>
      <c r="I77" s="16" t="s">
        <v>4797</v>
      </c>
      <c r="J77" s="196" t="str">
        <f>IFERROR(VLOOKUP(A77,Internal_lists_bugs!$A$2:$I2031,9,FALSE()),"please select a BUG ID")</f>
        <v>https://review.opendev.org/c/openstack/nova/+/17946</v>
      </c>
    </row>
    <row r="78">
      <c r="A78" s="16" t="s">
        <v>55</v>
      </c>
      <c r="B78" s="50" t="str">
        <f>IFERROR(HYPERLINK(VLOOKUP(A78,Internal_lists_bugs!$A$2:$C$73,3,FALSE()), VLOOKUP(A78,Internal_lists_bugs!$A$2:$C$73,3,FALSE())&amp;Char(10) &amp; Char(10) &amp; VLOOKUP(A78,Internal_lists_bugs!$A$2:$Z$73,26,FALSE())),"please select a BUG ID")</f>
        <v>https://bugs.launchpad.net/nova/+bug/1402535
/virt/libvirt/volume.py</v>
      </c>
      <c r="C78" s="81" t="str">
        <f>IFERROR(SUBSTITUTE(VLOOKUP(A78,Internal_lists_bugs!$A$2:$G2031,7,FALSE()),"nova/commit","nova/src/commit"),"please select a BUG ID")</f>
        <v>https://opendev.org/openstack/nova/src/commit/933365a58</v>
      </c>
      <c r="D78" s="30" t="s">
        <v>4765</v>
      </c>
      <c r="E78" s="14" t="s">
        <v>4798</v>
      </c>
      <c r="F78" s="54"/>
      <c r="H78" s="112" t="s">
        <v>4708</v>
      </c>
      <c r="I78" s="16" t="s">
        <v>4767</v>
      </c>
      <c r="J78" s="196" t="str">
        <f>IFERROR(VLOOKUP(A78,Internal_lists_bugs!$A$2:$I2031,9,FALSE()),"please select a BUG ID")</f>
        <v>https://review.opendev.org/c/openstack/nova/+/17946</v>
      </c>
    </row>
    <row r="79">
      <c r="A79" s="16" t="s">
        <v>55</v>
      </c>
      <c r="B79" s="50" t="str">
        <f>IFERROR(HYPERLINK(VLOOKUP(A79,Internal_lists_bugs!$A$2:$C$73,3,FALSE()), VLOOKUP(A79,Internal_lists_bugs!$A$2:$C$73,3,FALSE())&amp;Char(10) &amp; Char(10) &amp; VLOOKUP(A79,Internal_lists_bugs!$A$2:$Z$73,26,FALSE())),"please select a BUG ID")</f>
        <v>https://bugs.launchpad.net/nova/+bug/1402535
/virt/libvirt/volume.py</v>
      </c>
      <c r="C79" s="81" t="str">
        <f>IFERROR(SUBSTITUTE(VLOOKUP(A79,Internal_lists_bugs!$A$2:$G2031,7,FALSE()),"nova/commit","nova/src/commit"),"please select a BUG ID")</f>
        <v>https://opendev.org/openstack/nova/src/commit/933365a58</v>
      </c>
      <c r="D79" s="30" t="s">
        <v>4686</v>
      </c>
      <c r="E79" s="63" t="s">
        <v>4768</v>
      </c>
      <c r="F79" s="54"/>
      <c r="H79" s="112" t="s">
        <v>4696</v>
      </c>
      <c r="I79" s="16" t="s">
        <v>4731</v>
      </c>
      <c r="J79" s="196" t="str">
        <f>IFERROR(VLOOKUP(A79,Internal_lists_bugs!$A$2:$I2031,9,FALSE()),"please select a BUG ID")</f>
        <v>https://review.opendev.org/c/openstack/nova/+/17946</v>
      </c>
    </row>
    <row r="80">
      <c r="A80" s="16" t="s">
        <v>55</v>
      </c>
      <c r="B80" s="50" t="str">
        <f>IFERROR(HYPERLINK(VLOOKUP(A80,Internal_lists_bugs!$A$2:$C$73,3,FALSE()), VLOOKUP(A80,Internal_lists_bugs!$A$2:$C$73,3,FALSE())&amp;Char(10) &amp; Char(10) &amp; VLOOKUP(A80,Internal_lists_bugs!$A$2:$Z$73,26,FALSE())),"please select a BUG ID")</f>
        <v>https://bugs.launchpad.net/nova/+bug/1402535
/virt/libvirt/volume.py</v>
      </c>
      <c r="C80" s="81" t="str">
        <f>IFERROR(SUBSTITUTE(VLOOKUP(A80,Internal_lists_bugs!$A$2:$G2031,7,FALSE()),"nova/commit","nova/src/commit"),"please select a BUG ID")</f>
        <v>https://opendev.org/openstack/nova/src/commit/933365a58</v>
      </c>
      <c r="D80" s="30" t="s">
        <v>4690</v>
      </c>
      <c r="E80" s="16" t="s">
        <v>4731</v>
      </c>
      <c r="F80" s="54"/>
      <c r="H80" s="112" t="s">
        <v>4716</v>
      </c>
      <c r="I80" s="16" t="s">
        <v>4769</v>
      </c>
      <c r="J80" s="196" t="str">
        <f>IFERROR(VLOOKUP(A80,Internal_lists_bugs!$A$2:$I2031,9,FALSE()),"please select a BUG ID")</f>
        <v>https://review.opendev.org/c/openstack/nova/+/17946</v>
      </c>
    </row>
    <row r="81">
      <c r="A81" s="16" t="s">
        <v>55</v>
      </c>
      <c r="B81" s="50" t="str">
        <f>IFERROR(HYPERLINK(VLOOKUP(A81,Internal_lists_bugs!$A$2:$C$73,3,FALSE()), VLOOKUP(A81,Internal_lists_bugs!$A$2:$C$73,3,FALSE())&amp;Char(10) &amp; Char(10) &amp; VLOOKUP(A81,Internal_lists_bugs!$A$2:$Z$73,26,FALSE())),"please select a BUG ID")</f>
        <v>https://bugs.launchpad.net/nova/+bug/1402535
/virt/libvirt/volume.py</v>
      </c>
      <c r="C81" s="81" t="str">
        <f>IFERROR(SUBSTITUTE(VLOOKUP(A81,Internal_lists_bugs!$A$2:$G2031,7,FALSE()),"nova/commit","nova/src/commit"),"please select a BUG ID")</f>
        <v>https://opendev.org/openstack/nova/src/commit/933365a58</v>
      </c>
      <c r="D81" s="30" t="s">
        <v>4702</v>
      </c>
      <c r="E81" s="16" t="s">
        <v>4770</v>
      </c>
      <c r="F81" s="54"/>
      <c r="H81" s="112" t="s">
        <v>4708</v>
      </c>
      <c r="I81" s="16" t="s">
        <v>4771</v>
      </c>
      <c r="J81" s="196" t="str">
        <f>IFERROR(VLOOKUP(A81,Internal_lists_bugs!$A$2:$I2031,9,FALSE()),"please select a BUG ID")</f>
        <v>https://review.opendev.org/c/openstack/nova/+/17946</v>
      </c>
    </row>
    <row r="82">
      <c r="A82" s="16" t="s">
        <v>55</v>
      </c>
      <c r="B82" s="50" t="str">
        <f>IFERROR(HYPERLINK(VLOOKUP(A82,Internal_lists_bugs!$A$2:$C$73,3,FALSE()), VLOOKUP(A82,Internal_lists_bugs!$A$2:$C$73,3,FALSE())&amp;Char(10) &amp; Char(10) &amp; VLOOKUP(A82,Internal_lists_bugs!$A$2:$Z$73,26,FALSE())),"please select a BUG ID")</f>
        <v>https://bugs.launchpad.net/nova/+bug/1402535
/virt/libvirt/volume.py</v>
      </c>
      <c r="C82" s="81" t="str">
        <f>IFERROR(SUBSTITUTE(VLOOKUP(A82,Internal_lists_bugs!$A$2:$G2031,7,FALSE()),"nova/commit","nova/src/commit"),"please select a BUG ID")</f>
        <v>https://opendev.org/openstack/nova/src/commit/933365a58</v>
      </c>
      <c r="D82" s="30" t="s">
        <v>4698</v>
      </c>
      <c r="E82" s="66" t="s">
        <v>4747</v>
      </c>
      <c r="F82" s="54"/>
      <c r="H82" s="112" t="s">
        <v>4700</v>
      </c>
      <c r="I82" s="16" t="s">
        <v>4747</v>
      </c>
      <c r="J82" s="196" t="str">
        <f>IFERROR(VLOOKUP(A82,Internal_lists_bugs!$A$2:$I2031,9,FALSE()),"please select a BUG ID")</f>
        <v>https://review.opendev.org/c/openstack/nova/+/17946</v>
      </c>
    </row>
    <row r="83">
      <c r="A83" s="16" t="s">
        <v>55</v>
      </c>
      <c r="B83" s="50" t="str">
        <f>IFERROR(HYPERLINK(VLOOKUP(A83,Internal_lists_bugs!$A$2:$C$73,3,FALSE()), VLOOKUP(A83,Internal_lists_bugs!$A$2:$C$73,3,FALSE())&amp;Char(10) &amp; Char(10) &amp; VLOOKUP(A83,Internal_lists_bugs!$A$2:$Z$73,26,FALSE())),"please select a BUG ID")</f>
        <v>https://bugs.launchpad.net/nova/+bug/1402535
/virt/libvirt/volume.py</v>
      </c>
      <c r="C83" s="81" t="str">
        <f>IFERROR(SUBSTITUTE(VLOOKUP(A83,Internal_lists_bugs!$A$2:$G2031,7,FALSE()),"nova/commit","nova/src/commit"),"please select a BUG ID")</f>
        <v>https://opendev.org/openstack/nova/src/commit/933365a58</v>
      </c>
      <c r="D83" s="30" t="s">
        <v>4772</v>
      </c>
      <c r="E83" s="14" t="s">
        <v>4799</v>
      </c>
      <c r="F83" s="54"/>
      <c r="H83" s="112" t="s">
        <v>4684</v>
      </c>
      <c r="I83" s="16" t="s">
        <v>4774</v>
      </c>
      <c r="J83" s="196" t="str">
        <f>IFERROR(VLOOKUP(A83,Internal_lists_bugs!$A$2:$I2031,9,FALSE()),"please select a BUG ID")</f>
        <v>https://review.opendev.org/c/openstack/nova/+/17946</v>
      </c>
    </row>
    <row r="84">
      <c r="A84" s="16" t="s">
        <v>55</v>
      </c>
      <c r="B84" s="50" t="str">
        <f>IFERROR(HYPERLINK(VLOOKUP(A84,Internal_lists_bugs!$A$2:$C$73,3,FALSE()), VLOOKUP(A84,Internal_lists_bugs!$A$2:$C$73,3,FALSE())&amp;Char(10) &amp; Char(10) &amp; VLOOKUP(A84,Internal_lists_bugs!$A$2:$Z$73,26,FALSE())),"please select a BUG ID")</f>
        <v>https://bugs.launchpad.net/nova/+bug/1402535
/virt/libvirt/volume.py</v>
      </c>
      <c r="C84" s="81" t="str">
        <f>IFERROR(SUBSTITUTE(VLOOKUP(A84,Internal_lists_bugs!$A$2:$G2031,7,FALSE()),"nova/commit","nova/src/commit"),"please select a BUG ID")</f>
        <v>https://opendev.org/openstack/nova/src/commit/933365a58</v>
      </c>
      <c r="D84" s="30" t="s">
        <v>4706</v>
      </c>
      <c r="E84" s="16" t="s">
        <v>4775</v>
      </c>
      <c r="F84" s="54"/>
      <c r="H84" s="112" t="s">
        <v>4712</v>
      </c>
      <c r="I84" s="16" t="s">
        <v>4776</v>
      </c>
      <c r="J84" s="196" t="str">
        <f>IFERROR(VLOOKUP(A84,Internal_lists_bugs!$A$2:$I2031,9,FALSE()),"please select a BUG ID")</f>
        <v>https://review.opendev.org/c/openstack/nova/+/17946</v>
      </c>
    </row>
    <row r="85">
      <c r="A85" s="16" t="s">
        <v>55</v>
      </c>
      <c r="B85" s="50" t="str">
        <f>IFERROR(HYPERLINK(VLOOKUP(A85,Internal_lists_bugs!$A$2:$C$73,3,FALSE()), VLOOKUP(A85,Internal_lists_bugs!$A$2:$C$73,3,FALSE())&amp;Char(10) &amp; Char(10) &amp; VLOOKUP(A85,Internal_lists_bugs!$A$2:$Z$73,26,FALSE())),"please select a BUG ID")</f>
        <v>https://bugs.launchpad.net/nova/+bug/1402535
/virt/libvirt/volume.py</v>
      </c>
      <c r="C85" s="81" t="str">
        <f>IFERROR(SUBSTITUTE(VLOOKUP(A85,Internal_lists_bugs!$A$2:$G2031,7,FALSE()),"nova/commit","nova/src/commit"),"please select a BUG ID")</f>
        <v>https://opendev.org/openstack/nova/src/commit/933365a58</v>
      </c>
      <c r="D85" s="30" t="s">
        <v>4710</v>
      </c>
      <c r="E85" s="16" t="s">
        <v>4775</v>
      </c>
      <c r="F85" s="54"/>
      <c r="H85" s="112" t="s">
        <v>4777</v>
      </c>
      <c r="I85" s="16" t="s">
        <v>4778</v>
      </c>
      <c r="J85" s="196" t="str">
        <f>IFERROR(VLOOKUP(A85,Internal_lists_bugs!$A$2:$I2031,9,FALSE()),"please select a BUG ID")</f>
        <v>https://review.opendev.org/c/openstack/nova/+/17946</v>
      </c>
    </row>
    <row r="86">
      <c r="A86" s="16" t="s">
        <v>55</v>
      </c>
      <c r="B86" s="50" t="str">
        <f>IFERROR(HYPERLINK(VLOOKUP(A86,Internal_lists_bugs!$A$2:$C$73,3,FALSE()), VLOOKUP(A86,Internal_lists_bugs!$A$2:$C$73,3,FALSE())&amp;Char(10) &amp; Char(10) &amp; VLOOKUP(A86,Internal_lists_bugs!$A$2:$Z$73,26,FALSE())),"please select a BUG ID")</f>
        <v>https://bugs.launchpad.net/nova/+bug/1402535
/virt/libvirt/volume.py</v>
      </c>
      <c r="C86" s="81" t="str">
        <f>IFERROR(SUBSTITUTE(VLOOKUP(A86,Internal_lists_bugs!$A$2:$G2031,7,FALSE()),"nova/commit","nova/src/commit"),"please select a BUG ID")</f>
        <v>https://opendev.org/openstack/nova/src/commit/933365a58</v>
      </c>
      <c r="D86" s="30" t="s">
        <v>1325</v>
      </c>
      <c r="E86" s="16" t="s">
        <v>4751</v>
      </c>
      <c r="F86" s="54"/>
      <c r="H86" s="112" t="s">
        <v>4704</v>
      </c>
      <c r="I86" s="16" t="s">
        <v>4752</v>
      </c>
      <c r="J86" s="196" t="str">
        <f>IFERROR(VLOOKUP(A86,Internal_lists_bugs!$A$2:$I2031,9,FALSE()),"please select a BUG ID")</f>
        <v>https://review.opendev.org/c/openstack/nova/+/17946</v>
      </c>
    </row>
    <row r="87">
      <c r="A87" s="16" t="s">
        <v>55</v>
      </c>
      <c r="B87" s="50" t="str">
        <f>IFERROR(HYPERLINK(VLOOKUP(A87,Internal_lists_bugs!$A$2:$C$73,3,FALSE()), VLOOKUP(A87,Internal_lists_bugs!$A$2:$C$73,3,FALSE())&amp;Char(10) &amp; Char(10) &amp; VLOOKUP(A87,Internal_lists_bugs!$A$2:$Z$73,26,FALSE())),"please select a BUG ID")</f>
        <v>https://bugs.launchpad.net/nova/+bug/1402535
/virt/libvirt/volume.py</v>
      </c>
      <c r="C87" s="81" t="str">
        <f>IFERROR(SUBSTITUTE(VLOOKUP(A87,Internal_lists_bugs!$A$2:$G2031,7,FALSE()),"nova/commit","nova/src/commit"),"please select a BUG ID")</f>
        <v>https://opendev.org/openstack/nova/src/commit/933365a58</v>
      </c>
      <c r="D87" s="30" t="s">
        <v>4680</v>
      </c>
      <c r="E87" s="16" t="s">
        <v>4789</v>
      </c>
      <c r="F87" s="54"/>
      <c r="H87" s="112" t="s">
        <v>4749</v>
      </c>
      <c r="I87" s="16" t="s">
        <v>4779</v>
      </c>
      <c r="J87" s="196" t="str">
        <f>IFERROR(VLOOKUP(A87,Internal_lists_bugs!$A$2:$I2031,9,FALSE()),"please select a BUG ID")</f>
        <v>https://review.opendev.org/c/openstack/nova/+/17946</v>
      </c>
    </row>
    <row r="88">
      <c r="A88" s="16" t="s">
        <v>55</v>
      </c>
      <c r="B88" s="50" t="str">
        <f>IFERROR(HYPERLINK(VLOOKUP(A88,Internal_lists_bugs!$A$2:$C$73,3,FALSE()), VLOOKUP(A88,Internal_lists_bugs!$A$2:$C$73,3,FALSE())&amp;Char(10) &amp; Char(10) &amp; VLOOKUP(A88,Internal_lists_bugs!$A$2:$Z$73,26,FALSE())),"please select a BUG ID")</f>
        <v>https://bugs.launchpad.net/nova/+bug/1402535
/virt/libvirt/volume.py</v>
      </c>
      <c r="C88" s="81" t="str">
        <f>IFERROR(SUBSTITUTE(VLOOKUP(A88,Internal_lists_bugs!$A$2:$G2031,7,FALSE()),"nova/commit","nova/src/commit"),"please select a BUG ID")</f>
        <v>https://opendev.org/openstack/nova/src/commit/933365a58</v>
      </c>
      <c r="D88" s="30" t="s">
        <v>4754</v>
      </c>
      <c r="E88" s="16" t="s">
        <v>4755</v>
      </c>
      <c r="F88" s="54"/>
      <c r="H88" s="112" t="s">
        <v>4782</v>
      </c>
      <c r="I88" s="16" t="s">
        <v>4783</v>
      </c>
      <c r="J88" s="196" t="str">
        <f>IFERROR(VLOOKUP(A88,Internal_lists_bugs!$A$2:$I2031,9,FALSE()),"please select a BUG ID")</f>
        <v>https://review.opendev.org/c/openstack/nova/+/17946</v>
      </c>
    </row>
    <row r="89">
      <c r="A89" s="16" t="s">
        <v>55</v>
      </c>
      <c r="B89" s="50" t="str">
        <f>IFERROR(HYPERLINK(VLOOKUP(A89,Internal_lists_bugs!$A$2:$C$73,3,FALSE()), VLOOKUP(A89,Internal_lists_bugs!$A$2:$C$73,3,FALSE())&amp;Char(10) &amp; Char(10) &amp; VLOOKUP(A89,Internal_lists_bugs!$A$2:$Z$73,26,FALSE())),"please select a BUG ID")</f>
        <v>https://bugs.launchpad.net/nova/+bug/1402535
/virt/libvirt/volume.py</v>
      </c>
      <c r="C89" s="81" t="str">
        <f>IFERROR(SUBSTITUTE(VLOOKUP(A89,Internal_lists_bugs!$A$2:$G2031,7,FALSE()),"nova/commit","nova/src/commit"),"please select a BUG ID")</f>
        <v>https://opendev.org/openstack/nova/src/commit/933365a58</v>
      </c>
      <c r="D89" s="200"/>
      <c r="E89" s="1"/>
      <c r="F89" s="54"/>
      <c r="H89" s="112" t="s">
        <v>4722</v>
      </c>
      <c r="I89" s="14" t="s">
        <v>4800</v>
      </c>
      <c r="J89" s="196" t="str">
        <f>IFERROR(VLOOKUP(A89,Internal_lists_bugs!$A$2:$I2031,9,FALSE()),"please select a BUG ID")</f>
        <v>https://review.opendev.org/c/openstack/nova/+/17946</v>
      </c>
    </row>
    <row r="90">
      <c r="A90" s="16" t="s">
        <v>55</v>
      </c>
      <c r="B90" s="50" t="str">
        <f>IFERROR(HYPERLINK(VLOOKUP(A90,Internal_lists_bugs!$A$2:$C$73,3,FALSE()), VLOOKUP(A90,Internal_lists_bugs!$A$2:$C$73,3,FALSE())&amp;Char(10) &amp; Char(10) &amp; VLOOKUP(A90,Internal_lists_bugs!$A$2:$Z$73,26,FALSE())),"please select a BUG ID")</f>
        <v>https://bugs.launchpad.net/nova/+bug/1402535
/virt/libvirt/volume.py</v>
      </c>
      <c r="C90" s="81" t="str">
        <f>IFERROR(SUBSTITUTE(VLOOKUP(A90,Internal_lists_bugs!$A$2:$G2031,7,FALSE()),"nova/commit","nova/src/commit"),"please select a BUG ID")</f>
        <v>https://opendev.org/openstack/nova/src/commit/933365a58</v>
      </c>
      <c r="D90" s="201" t="s">
        <v>4714</v>
      </c>
      <c r="E90" s="197" t="s">
        <v>4738</v>
      </c>
      <c r="F90" s="54"/>
      <c r="H90" s="112" t="s">
        <v>4801</v>
      </c>
      <c r="J90" s="196" t="str">
        <f>IFERROR(VLOOKUP(A90,Internal_lists_bugs!$A$2:$I2031,9,FALSE()),"please select a BUG ID")</f>
        <v>https://review.opendev.org/c/openstack/nova/+/17946</v>
      </c>
    </row>
    <row r="91">
      <c r="A91" s="189" t="s">
        <v>45</v>
      </c>
      <c r="B91" s="198" t="str">
        <f>IFERROR(HYPERLINK(VLOOKUP(A91,Internal_lists_bugs!$A$2:$C$73,3,FALSE()), VLOOKUP(A91,Internal_lists_bugs!$A$2:$C$73,3,FALSE())&amp;Char(10) &amp; Char(10) &amp; VLOOKUP(A91,Internal_lists_bugs!$A$2:$Z$73,26,FALSE())),"please select a BUG ID")</f>
        <v>https://bugs.launchpad.net/nova/+bug/1437855
/contrib/floating_ips.py
/v3/floating_ips.py </v>
      </c>
      <c r="C91" s="199" t="str">
        <f>IFERROR(SUBSTITUTE(VLOOKUP(A91,Internal_lists_bugs!$A$2:$G2031,7,FALSE()),"nova/commit","nova/src/commit"),"please select a BUG ID")</f>
        <v>https://opendev.org/openstack/nova/src/commit/1b2c121f133b1</v>
      </c>
      <c r="D91" s="189" t="s">
        <v>4758</v>
      </c>
      <c r="E91" s="190" t="s">
        <v>4759</v>
      </c>
      <c r="F91" s="189" t="s">
        <v>4682</v>
      </c>
      <c r="G91" s="189" t="s">
        <v>4802</v>
      </c>
      <c r="H91" s="191" t="s">
        <v>4756</v>
      </c>
      <c r="I91" s="194" t="s">
        <v>4761</v>
      </c>
      <c r="J91" s="195" t="str">
        <f>IFERROR(VLOOKUP(A91,Internal_lists_bugs!$A$2:$I2031,9,FALSE()),"please select a BUG ID")</f>
        <v>https://review.opendev.org/c/openstack/nova/+/26113</v>
      </c>
      <c r="K91" s="193"/>
      <c r="L91" s="193"/>
    </row>
    <row r="92">
      <c r="A92" s="16" t="s">
        <v>45</v>
      </c>
      <c r="B92" s="50" t="str">
        <f>IFERROR(HYPERLINK(VLOOKUP(A92,Internal_lists_bugs!$A$2:$C$73,3,FALSE()), VLOOKUP(A92,Internal_lists_bugs!$A$2:$C$73,3,FALSE())&amp;Char(10) &amp; Char(10) &amp; VLOOKUP(A92,Internal_lists_bugs!$A$2:$Z$73,26,FALSE())),"please select a BUG ID")</f>
        <v>https://bugs.launchpad.net/nova/+bug/1437855
/contrib/floating_ips.py
/v3/floating_ips.py </v>
      </c>
      <c r="C92" s="81" t="str">
        <f>IFERROR(SUBSTITUTE(VLOOKUP(A92,Internal_lists_bugs!$A$2:$G2031,7,FALSE()),"nova/commit","nova/src/commit"),"please select a BUG ID")</f>
        <v>https://opendev.org/openstack/nova/src/commit/1b2c121f133b1</v>
      </c>
      <c r="D92" s="16" t="s">
        <v>4720</v>
      </c>
      <c r="E92" s="14" t="s">
        <v>4803</v>
      </c>
      <c r="F92" s="54"/>
      <c r="H92" s="112" t="s">
        <v>4763</v>
      </c>
      <c r="I92" s="16" t="s">
        <v>4797</v>
      </c>
      <c r="J92" s="196" t="str">
        <f>IFERROR(VLOOKUP(A92,Internal_lists_bugs!$A$2:$I2031,9,FALSE()),"please select a BUG ID")</f>
        <v>https://review.opendev.org/c/openstack/nova/+/26113</v>
      </c>
    </row>
    <row r="93">
      <c r="A93" s="16" t="s">
        <v>45</v>
      </c>
      <c r="B93" s="50" t="str">
        <f>IFERROR(HYPERLINK(VLOOKUP(A93,Internal_lists_bugs!$A$2:$C$73,3,FALSE()), VLOOKUP(A93,Internal_lists_bugs!$A$2:$C$73,3,FALSE())&amp;Char(10) &amp; Char(10) &amp; VLOOKUP(A93,Internal_lists_bugs!$A$2:$Z$73,26,FALSE())),"please select a BUG ID")</f>
        <v>https://bugs.launchpad.net/nova/+bug/1437855
/contrib/floating_ips.py
/v3/floating_ips.py </v>
      </c>
      <c r="C93" s="81" t="str">
        <f>IFERROR(SUBSTITUTE(VLOOKUP(A93,Internal_lists_bugs!$A$2:$G2031,7,FALSE()),"nova/commit","nova/src/commit"),"please select a BUG ID")</f>
        <v>https://opendev.org/openstack/nova/src/commit/1b2c121f133b1</v>
      </c>
      <c r="D93" s="16" t="s">
        <v>4765</v>
      </c>
      <c r="E93" s="14" t="s">
        <v>4804</v>
      </c>
      <c r="F93" s="54"/>
      <c r="H93" s="112" t="s">
        <v>4708</v>
      </c>
      <c r="I93" s="16" t="s">
        <v>4767</v>
      </c>
      <c r="J93" s="196" t="str">
        <f>IFERROR(VLOOKUP(A93,Internal_lists_bugs!$A$2:$I2031,9,FALSE()),"please select a BUG ID")</f>
        <v>https://review.opendev.org/c/openstack/nova/+/26113</v>
      </c>
    </row>
    <row r="94">
      <c r="A94" s="16" t="s">
        <v>45</v>
      </c>
      <c r="B94" s="50" t="str">
        <f>IFERROR(HYPERLINK(VLOOKUP(A94,Internal_lists_bugs!$A$2:$C$73,3,FALSE()), VLOOKUP(A94,Internal_lists_bugs!$A$2:$C$73,3,FALSE())&amp;Char(10) &amp; Char(10) &amp; VLOOKUP(A94,Internal_lists_bugs!$A$2:$Z$73,26,FALSE())),"please select a BUG ID")</f>
        <v>https://bugs.launchpad.net/nova/+bug/1437855
/contrib/floating_ips.py
/v3/floating_ips.py </v>
      </c>
      <c r="C94" s="81" t="str">
        <f>IFERROR(SUBSTITUTE(VLOOKUP(A94,Internal_lists_bugs!$A$2:$G2031,7,FALSE()),"nova/commit","nova/src/commit"),"please select a BUG ID")</f>
        <v>https://opendev.org/openstack/nova/src/commit/1b2c121f133b1</v>
      </c>
      <c r="D94" s="16" t="s">
        <v>4686</v>
      </c>
      <c r="E94" s="63" t="s">
        <v>4768</v>
      </c>
      <c r="F94" s="54"/>
      <c r="H94" s="112" t="s">
        <v>4696</v>
      </c>
      <c r="I94" s="16" t="s">
        <v>4731</v>
      </c>
      <c r="J94" s="196" t="str">
        <f>IFERROR(VLOOKUP(A94,Internal_lists_bugs!$A$2:$I2031,9,FALSE()),"please select a BUG ID")</f>
        <v>https://review.opendev.org/c/openstack/nova/+/26113</v>
      </c>
    </row>
    <row r="95">
      <c r="A95" s="16" t="s">
        <v>45</v>
      </c>
      <c r="B95" s="50" t="str">
        <f>IFERROR(HYPERLINK(VLOOKUP(A95,Internal_lists_bugs!$A$2:$C$73,3,FALSE()), VLOOKUP(A95,Internal_lists_bugs!$A$2:$C$73,3,FALSE())&amp;Char(10) &amp; Char(10) &amp; VLOOKUP(A95,Internal_lists_bugs!$A$2:$Z$73,26,FALSE())),"please select a BUG ID")</f>
        <v>https://bugs.launchpad.net/nova/+bug/1437855
/contrib/floating_ips.py
/v3/floating_ips.py </v>
      </c>
      <c r="C95" s="81" t="str">
        <f>IFERROR(SUBSTITUTE(VLOOKUP(A95,Internal_lists_bugs!$A$2:$G2031,7,FALSE()),"nova/commit","nova/src/commit"),"please select a BUG ID")</f>
        <v>https://opendev.org/openstack/nova/src/commit/1b2c121f133b1</v>
      </c>
      <c r="D95" s="16" t="s">
        <v>4690</v>
      </c>
      <c r="E95" s="16" t="s">
        <v>4731</v>
      </c>
      <c r="F95" s="54"/>
      <c r="H95" s="112" t="s">
        <v>4716</v>
      </c>
      <c r="I95" s="16" t="s">
        <v>4769</v>
      </c>
      <c r="J95" s="196" t="str">
        <f>IFERROR(VLOOKUP(A95,Internal_lists_bugs!$A$2:$I2031,9,FALSE()),"please select a BUG ID")</f>
        <v>https://review.opendev.org/c/openstack/nova/+/26113</v>
      </c>
    </row>
    <row r="96">
      <c r="A96" s="16" t="s">
        <v>45</v>
      </c>
      <c r="B96" s="50" t="str">
        <f>IFERROR(HYPERLINK(VLOOKUP(A96,Internal_lists_bugs!$A$2:$C$73,3,FALSE()), VLOOKUP(A96,Internal_lists_bugs!$A$2:$C$73,3,FALSE())&amp;Char(10) &amp; Char(10) &amp; VLOOKUP(A96,Internal_lists_bugs!$A$2:$Z$73,26,FALSE())),"please select a BUG ID")</f>
        <v>https://bugs.launchpad.net/nova/+bug/1437855
/contrib/floating_ips.py
/v3/floating_ips.py </v>
      </c>
      <c r="C96" s="81" t="str">
        <f>IFERROR(SUBSTITUTE(VLOOKUP(A96,Internal_lists_bugs!$A$2:$G2031,7,FALSE()),"nova/commit","nova/src/commit"),"please select a BUG ID")</f>
        <v>https://opendev.org/openstack/nova/src/commit/1b2c121f133b1</v>
      </c>
      <c r="D96" s="16" t="s">
        <v>4702</v>
      </c>
      <c r="E96" s="16" t="s">
        <v>4770</v>
      </c>
      <c r="F96" s="54"/>
      <c r="H96" s="112" t="s">
        <v>4708</v>
      </c>
      <c r="I96" s="16" t="s">
        <v>4771</v>
      </c>
      <c r="J96" s="196" t="str">
        <f>IFERROR(VLOOKUP(A96,Internal_lists_bugs!$A$2:$I2031,9,FALSE()),"please select a BUG ID")</f>
        <v>https://review.opendev.org/c/openstack/nova/+/26113</v>
      </c>
    </row>
    <row r="97">
      <c r="A97" s="16" t="s">
        <v>45</v>
      </c>
      <c r="B97" s="50" t="str">
        <f>IFERROR(HYPERLINK(VLOOKUP(A97,Internal_lists_bugs!$A$2:$C$73,3,FALSE()), VLOOKUP(A97,Internal_lists_bugs!$A$2:$C$73,3,FALSE())&amp;Char(10) &amp; Char(10) &amp; VLOOKUP(A97,Internal_lists_bugs!$A$2:$Z$73,26,FALSE())),"please select a BUG ID")</f>
        <v>https://bugs.launchpad.net/nova/+bug/1437855
/contrib/floating_ips.py
/v3/floating_ips.py </v>
      </c>
      <c r="C97" s="81" t="str">
        <f>IFERROR(SUBSTITUTE(VLOOKUP(A97,Internal_lists_bugs!$A$2:$G2031,7,FALSE()),"nova/commit","nova/src/commit"),"please select a BUG ID")</f>
        <v>https://opendev.org/openstack/nova/src/commit/1b2c121f133b1</v>
      </c>
      <c r="D97" s="16" t="s">
        <v>4698</v>
      </c>
      <c r="E97" s="66" t="s">
        <v>4747</v>
      </c>
      <c r="F97" s="54"/>
      <c r="H97" s="112" t="s">
        <v>4700</v>
      </c>
      <c r="I97" s="16" t="s">
        <v>4747</v>
      </c>
      <c r="J97" s="196" t="str">
        <f>IFERROR(VLOOKUP(A97,Internal_lists_bugs!$A$2:$I2031,9,FALSE()),"please select a BUG ID")</f>
        <v>https://review.opendev.org/c/openstack/nova/+/26113</v>
      </c>
    </row>
    <row r="98">
      <c r="A98" s="16" t="s">
        <v>45</v>
      </c>
      <c r="B98" s="50" t="str">
        <f>IFERROR(HYPERLINK(VLOOKUP(A98,Internal_lists_bugs!$A$2:$C$73,3,FALSE()), VLOOKUP(A98,Internal_lists_bugs!$A$2:$C$73,3,FALSE())&amp;Char(10) &amp; Char(10) &amp; VLOOKUP(A98,Internal_lists_bugs!$A$2:$Z$73,26,FALSE())),"please select a BUG ID")</f>
        <v>https://bugs.launchpad.net/nova/+bug/1437855
/contrib/floating_ips.py
/v3/floating_ips.py </v>
      </c>
      <c r="C98" s="81" t="str">
        <f>IFERROR(SUBSTITUTE(VLOOKUP(A98,Internal_lists_bugs!$A$2:$G2031,7,FALSE()),"nova/commit","nova/src/commit"),"please select a BUG ID")</f>
        <v>https://opendev.org/openstack/nova/src/commit/1b2c121f133b1</v>
      </c>
      <c r="D98" s="30" t="s">
        <v>4772</v>
      </c>
      <c r="E98" s="14" t="s">
        <v>4805</v>
      </c>
      <c r="F98" s="54"/>
      <c r="H98" s="112" t="s">
        <v>4684</v>
      </c>
      <c r="I98" s="16" t="s">
        <v>4774</v>
      </c>
      <c r="J98" s="196" t="str">
        <f>IFERROR(VLOOKUP(A98,Internal_lists_bugs!$A$2:$I2031,9,FALSE()),"please select a BUG ID")</f>
        <v>https://review.opendev.org/c/openstack/nova/+/26113</v>
      </c>
    </row>
    <row r="99">
      <c r="A99" s="16" t="s">
        <v>45</v>
      </c>
      <c r="B99" s="50" t="str">
        <f>IFERROR(HYPERLINK(VLOOKUP(A99,Internal_lists_bugs!$A$2:$C$73,3,FALSE()), VLOOKUP(A99,Internal_lists_bugs!$A$2:$C$73,3,FALSE())&amp;Char(10) &amp; Char(10) &amp; VLOOKUP(A99,Internal_lists_bugs!$A$2:$Z$73,26,FALSE())),"please select a BUG ID")</f>
        <v>https://bugs.launchpad.net/nova/+bug/1437855
/contrib/floating_ips.py
/v3/floating_ips.py </v>
      </c>
      <c r="C99" s="81" t="str">
        <f>IFERROR(SUBSTITUTE(VLOOKUP(A99,Internal_lists_bugs!$A$2:$G2031,7,FALSE()),"nova/commit","nova/src/commit"),"please select a BUG ID")</f>
        <v>https://opendev.org/openstack/nova/src/commit/1b2c121f133b1</v>
      </c>
      <c r="D99" s="16" t="s">
        <v>4706</v>
      </c>
      <c r="E99" s="16" t="s">
        <v>4775</v>
      </c>
      <c r="F99" s="54"/>
      <c r="H99" s="112" t="s">
        <v>4712</v>
      </c>
      <c r="I99" s="16" t="s">
        <v>4776</v>
      </c>
      <c r="J99" s="196" t="str">
        <f>IFERROR(VLOOKUP(A99,Internal_lists_bugs!$A$2:$I2031,9,FALSE()),"please select a BUG ID")</f>
        <v>https://review.opendev.org/c/openstack/nova/+/26113</v>
      </c>
    </row>
    <row r="100">
      <c r="A100" s="16" t="s">
        <v>45</v>
      </c>
      <c r="B100" s="50" t="str">
        <f>IFERROR(HYPERLINK(VLOOKUP(A100,Internal_lists_bugs!$A$2:$C$73,3,FALSE()), VLOOKUP(A100,Internal_lists_bugs!$A$2:$C$73,3,FALSE())&amp;Char(10) &amp; Char(10) &amp; VLOOKUP(A100,Internal_lists_bugs!$A$2:$Z$73,26,FALSE())),"please select a BUG ID")</f>
        <v>https://bugs.launchpad.net/nova/+bug/1437855
/contrib/floating_ips.py
/v3/floating_ips.py </v>
      </c>
      <c r="C100" s="81" t="str">
        <f>IFERROR(SUBSTITUTE(VLOOKUP(A100,Internal_lists_bugs!$A$2:$G2031,7,FALSE()),"nova/commit","nova/src/commit"),"please select a BUG ID")</f>
        <v>https://opendev.org/openstack/nova/src/commit/1b2c121f133b1</v>
      </c>
      <c r="D100" s="16" t="s">
        <v>4710</v>
      </c>
      <c r="E100" s="16" t="s">
        <v>4775</v>
      </c>
      <c r="F100" s="54"/>
      <c r="H100" s="112" t="s">
        <v>4777</v>
      </c>
      <c r="I100" s="16" t="s">
        <v>4778</v>
      </c>
      <c r="J100" s="196" t="str">
        <f>IFERROR(VLOOKUP(A100,Internal_lists_bugs!$A$2:$I2031,9,FALSE()),"please select a BUG ID")</f>
        <v>https://review.opendev.org/c/openstack/nova/+/26113</v>
      </c>
    </row>
    <row r="101">
      <c r="A101" s="16" t="s">
        <v>45</v>
      </c>
      <c r="B101" s="50" t="str">
        <f>IFERROR(HYPERLINK(VLOOKUP(A101,Internal_lists_bugs!$A$2:$C$73,3,FALSE()), VLOOKUP(A101,Internal_lists_bugs!$A$2:$C$73,3,FALSE())&amp;Char(10) &amp; Char(10) &amp; VLOOKUP(A101,Internal_lists_bugs!$A$2:$Z$73,26,FALSE())),"please select a BUG ID")</f>
        <v>https://bugs.launchpad.net/nova/+bug/1437855
/contrib/floating_ips.py
/v3/floating_ips.py </v>
      </c>
      <c r="C101" s="81" t="str">
        <f>IFERROR(SUBSTITUTE(VLOOKUP(A101,Internal_lists_bugs!$A$2:$G2031,7,FALSE()),"nova/commit","nova/src/commit"),"please select a BUG ID")</f>
        <v>https://opendev.org/openstack/nova/src/commit/1b2c121f133b1</v>
      </c>
      <c r="D101" s="16" t="s">
        <v>1325</v>
      </c>
      <c r="E101" s="16" t="s">
        <v>4751</v>
      </c>
      <c r="F101" s="54"/>
      <c r="H101" s="112" t="s">
        <v>4704</v>
      </c>
      <c r="I101" s="16" t="s">
        <v>4752</v>
      </c>
      <c r="J101" s="196" t="str">
        <f>IFERROR(VLOOKUP(A101,Internal_lists_bugs!$A$2:$I2031,9,FALSE()),"please select a BUG ID")</f>
        <v>https://review.opendev.org/c/openstack/nova/+/26113</v>
      </c>
    </row>
    <row r="102">
      <c r="A102" s="16" t="s">
        <v>45</v>
      </c>
      <c r="B102" s="50" t="str">
        <f>IFERROR(HYPERLINK(VLOOKUP(A102,Internal_lists_bugs!$A$2:$C$73,3,FALSE()), VLOOKUP(A102,Internal_lists_bugs!$A$2:$C$73,3,FALSE())&amp;Char(10) &amp; Char(10) &amp; VLOOKUP(A102,Internal_lists_bugs!$A$2:$Z$73,26,FALSE())),"please select a BUG ID")</f>
        <v>https://bugs.launchpad.net/nova/+bug/1437855
/contrib/floating_ips.py
/v3/floating_ips.py </v>
      </c>
      <c r="C102" s="81" t="str">
        <f>IFERROR(SUBSTITUTE(VLOOKUP(A102,Internal_lists_bugs!$A$2:$G2031,7,FALSE()),"nova/commit","nova/src/commit"),"please select a BUG ID")</f>
        <v>https://opendev.org/openstack/nova/src/commit/1b2c121f133b1</v>
      </c>
      <c r="D102" s="16" t="s">
        <v>4680</v>
      </c>
      <c r="E102" s="16" t="s">
        <v>4789</v>
      </c>
      <c r="F102" s="54"/>
      <c r="H102" s="112" t="s">
        <v>4749</v>
      </c>
      <c r="I102" s="16" t="s">
        <v>4779</v>
      </c>
      <c r="J102" s="196" t="str">
        <f>IFERROR(VLOOKUP(A102,Internal_lists_bugs!$A$2:$I2031,9,FALSE()),"please select a BUG ID")</f>
        <v>https://review.opendev.org/c/openstack/nova/+/26113</v>
      </c>
    </row>
    <row r="103">
      <c r="A103" s="16" t="s">
        <v>45</v>
      </c>
      <c r="B103" s="50" t="str">
        <f>IFERROR(HYPERLINK(VLOOKUP(A103,Internal_lists_bugs!$A$2:$C$73,3,FALSE()), VLOOKUP(A103,Internal_lists_bugs!$A$2:$C$73,3,FALSE())&amp;Char(10) &amp; Char(10) &amp; VLOOKUP(A103,Internal_lists_bugs!$A$2:$Z$73,26,FALSE())),"please select a BUG ID")</f>
        <v>https://bugs.launchpad.net/nova/+bug/1437855
/contrib/floating_ips.py
/v3/floating_ips.py </v>
      </c>
      <c r="C103" s="81" t="str">
        <f>IFERROR(SUBSTITUTE(VLOOKUP(A103,Internal_lists_bugs!$A$2:$G2031,7,FALSE()),"nova/commit","nova/src/commit"),"please select a BUG ID")</f>
        <v>https://opendev.org/openstack/nova/src/commit/1b2c121f133b1</v>
      </c>
      <c r="D103" s="16" t="s">
        <v>4754</v>
      </c>
      <c r="E103" s="16" t="s">
        <v>4755</v>
      </c>
      <c r="F103" s="54"/>
      <c r="H103" s="112" t="s">
        <v>4782</v>
      </c>
      <c r="I103" s="16" t="s">
        <v>4783</v>
      </c>
      <c r="J103" s="196" t="str">
        <f>IFERROR(VLOOKUP(A103,Internal_lists_bugs!$A$2:$I2031,9,FALSE()),"please select a BUG ID")</f>
        <v>https://review.opendev.org/c/openstack/nova/+/26113</v>
      </c>
    </row>
    <row r="104">
      <c r="A104" s="16" t="s">
        <v>45</v>
      </c>
      <c r="B104" s="50" t="str">
        <f>IFERROR(HYPERLINK(VLOOKUP(A104,Internal_lists_bugs!$A$2:$C$73,3,FALSE()), VLOOKUP(A104,Internal_lists_bugs!$A$2:$C$73,3,FALSE())&amp;Char(10) &amp; Char(10) &amp; VLOOKUP(A104,Internal_lists_bugs!$A$2:$Z$73,26,FALSE())),"please select a BUG ID")</f>
        <v>https://bugs.launchpad.net/nova/+bug/1437855
/contrib/floating_ips.py
/v3/floating_ips.py </v>
      </c>
      <c r="C104" s="81" t="str">
        <f>IFERROR(SUBSTITUTE(VLOOKUP(A104,Internal_lists_bugs!$A$2:$G2031,7,FALSE()),"nova/commit","nova/src/commit"),"please select a BUG ID")</f>
        <v>https://opendev.org/openstack/nova/src/commit/1b2c121f133b1</v>
      </c>
      <c r="D104" s="16" t="s">
        <v>4714</v>
      </c>
      <c r="E104" s="16" t="s">
        <v>4738</v>
      </c>
      <c r="F104" s="54"/>
      <c r="H104" s="112" t="s">
        <v>4801</v>
      </c>
      <c r="I104" s="16" t="s">
        <v>4806</v>
      </c>
      <c r="J104" s="196" t="str">
        <f>IFERROR(VLOOKUP(A104,Internal_lists_bugs!$A$2:$I2031,9,FALSE()),"please select a BUG ID")</f>
        <v>https://review.opendev.org/c/openstack/nova/+/26113</v>
      </c>
    </row>
    <row r="105">
      <c r="A105" s="16" t="s">
        <v>45</v>
      </c>
      <c r="B105" s="50" t="str">
        <f>IFERROR(HYPERLINK(VLOOKUP(A105,Internal_lists_bugs!$A$2:$C$73,3,FALSE()), VLOOKUP(A105,Internal_lists_bugs!$A$2:$C$73,3,FALSE())&amp;Char(10) &amp; Char(10) &amp; VLOOKUP(A105,Internal_lists_bugs!$A$2:$Z$73,26,FALSE())),"please select a BUG ID")</f>
        <v>https://bugs.launchpad.net/nova/+bug/1437855
/contrib/floating_ips.py
/v3/floating_ips.py </v>
      </c>
      <c r="C105" s="81" t="str">
        <f>IFERROR(SUBSTITUTE(VLOOKUP(A105,Internal_lists_bugs!$A$2:$G2031,7,FALSE()),"nova/commit","nova/src/commit"),"please select a BUG ID")</f>
        <v>https://opendev.org/openstack/nova/src/commit/1b2c121f133b1</v>
      </c>
      <c r="D105" s="16" t="s">
        <v>4807</v>
      </c>
      <c r="E105" s="16" t="s">
        <v>4808</v>
      </c>
      <c r="F105" s="54"/>
      <c r="H105" s="112" t="s">
        <v>4722</v>
      </c>
      <c r="I105" s="14" t="s">
        <v>4809</v>
      </c>
      <c r="J105" s="196" t="str">
        <f>IFERROR(VLOOKUP(A105,Internal_lists_bugs!$A$2:$I2031,9,FALSE()),"please select a BUG ID")</f>
        <v>https://review.opendev.org/c/openstack/nova/+/26113</v>
      </c>
    </row>
    <row r="106">
      <c r="A106" s="189" t="s">
        <v>41</v>
      </c>
      <c r="B106" s="198" t="str">
        <f>IFERROR(HYPERLINK(VLOOKUP(A106,Internal_lists_bugs!$A$2:$C$73,3,FALSE()), VLOOKUP(A106,Internal_lists_bugs!$A$2:$C$73,3,FALSE())&amp;Char(10) &amp; Char(10) &amp; VLOOKUP(A106,Internal_lists_bugs!$A$2:$Z$73,26,FALSE())),"please select a BUG ID")</f>
        <v>https://bugs.launchpad.net/nova/+bug/1466390
/sqlalchemy/api.py</v>
      </c>
      <c r="C106" s="199" t="str">
        <f>IFERROR(SUBSTITUTE(VLOOKUP(A106,Internal_lists_bugs!$A$2:$G2031,7,FALSE()),"nova/commit","nova/src/commit"),"please select a BUG ID")</f>
        <v>https://opendev.org/openstack/nova/src/commit/501ff41</v>
      </c>
      <c r="D106" s="186" t="s">
        <v>4758</v>
      </c>
      <c r="E106" s="190" t="s">
        <v>4759</v>
      </c>
      <c r="F106" s="189" t="s">
        <v>4682</v>
      </c>
      <c r="G106" s="189" t="s">
        <v>4802</v>
      </c>
      <c r="H106" s="191" t="s">
        <v>4756</v>
      </c>
      <c r="I106" s="194" t="s">
        <v>4761</v>
      </c>
      <c r="J106" s="195" t="str">
        <f>IFERROR(VLOOKUP(A106,Internal_lists_bugs!$A$2:$I2031,9,FALSE()),"please select a BUG ID")</f>
        <v>https://review.opendev.org/c/openstack/nova/+/28880</v>
      </c>
      <c r="K106" s="193"/>
      <c r="L106" s="193"/>
    </row>
    <row r="107">
      <c r="A107" s="16" t="s">
        <v>41</v>
      </c>
      <c r="B107" s="50" t="str">
        <f>IFERROR(HYPERLINK(VLOOKUP(A107,Internal_lists_bugs!$A$2:$C$73,3,FALSE()), VLOOKUP(A107,Internal_lists_bugs!$A$2:$C$73,3,FALSE())&amp;Char(10) &amp; Char(10) &amp; VLOOKUP(A107,Internal_lists_bugs!$A$2:$Z$73,26,FALSE())),"please select a BUG ID")</f>
        <v>https://bugs.launchpad.net/nova/+bug/1466390
/sqlalchemy/api.py</v>
      </c>
      <c r="C107" s="81" t="str">
        <f>IFERROR(SUBSTITUTE(VLOOKUP(A107,Internal_lists_bugs!$A$2:$G2031,7,FALSE()),"nova/commit","nova/src/commit"),"please select a BUG ID")</f>
        <v>https://opendev.org/openstack/nova/src/commit/501ff41</v>
      </c>
      <c r="D107" s="30"/>
      <c r="E107" s="66"/>
      <c r="F107" s="54"/>
      <c r="H107" s="112" t="s">
        <v>4763</v>
      </c>
      <c r="I107" s="16" t="s">
        <v>4797</v>
      </c>
      <c r="J107" s="196" t="str">
        <f>IFERROR(VLOOKUP(A107,Internal_lists_bugs!$A$2:$I2031,9,FALSE()),"please select a BUG ID")</f>
        <v>https://review.opendev.org/c/openstack/nova/+/28880</v>
      </c>
    </row>
    <row r="108">
      <c r="A108" s="16" t="s">
        <v>41</v>
      </c>
      <c r="B108" s="50" t="str">
        <f>IFERROR(HYPERLINK(VLOOKUP(A108,Internal_lists_bugs!$A$2:$C$73,3,FALSE()), VLOOKUP(A108,Internal_lists_bugs!$A$2:$C$73,3,FALSE())&amp;Char(10) &amp; Char(10) &amp; VLOOKUP(A108,Internal_lists_bugs!$A$2:$Z$73,26,FALSE())),"please select a BUG ID")</f>
        <v>https://bugs.launchpad.net/nova/+bug/1466390
/sqlalchemy/api.py</v>
      </c>
      <c r="C108" s="81" t="str">
        <f>IFERROR(SUBSTITUTE(VLOOKUP(A108,Internal_lists_bugs!$A$2:$G2031,7,FALSE()),"nova/commit","nova/src/commit"),"please select a BUG ID")</f>
        <v>https://opendev.org/openstack/nova/src/commit/501ff41</v>
      </c>
      <c r="D108" s="30" t="s">
        <v>4765</v>
      </c>
      <c r="E108" s="14" t="s">
        <v>4810</v>
      </c>
      <c r="F108" s="54"/>
      <c r="H108" s="112" t="s">
        <v>4708</v>
      </c>
      <c r="I108" s="16" t="s">
        <v>4767</v>
      </c>
      <c r="J108" s="196" t="str">
        <f>IFERROR(VLOOKUP(A108,Internal_lists_bugs!$A$2:$I2031,9,FALSE()),"please select a BUG ID")</f>
        <v>https://review.opendev.org/c/openstack/nova/+/28880</v>
      </c>
    </row>
    <row r="109">
      <c r="A109" s="16" t="s">
        <v>41</v>
      </c>
      <c r="B109" s="50" t="str">
        <f>IFERROR(HYPERLINK(VLOOKUP(A109,Internal_lists_bugs!$A$2:$C$73,3,FALSE()), VLOOKUP(A109,Internal_lists_bugs!$A$2:$C$73,3,FALSE())&amp;Char(10) &amp; Char(10) &amp; VLOOKUP(A109,Internal_lists_bugs!$A$2:$Z$73,26,FALSE())),"please select a BUG ID")</f>
        <v>https://bugs.launchpad.net/nova/+bug/1466390
/sqlalchemy/api.py</v>
      </c>
      <c r="C109" s="81" t="str">
        <f>IFERROR(SUBSTITUTE(VLOOKUP(A109,Internal_lists_bugs!$A$2:$G2031,7,FALSE()),"nova/commit","nova/src/commit"),"please select a BUG ID")</f>
        <v>https://opendev.org/openstack/nova/src/commit/501ff41</v>
      </c>
      <c r="D109" s="30" t="s">
        <v>4686</v>
      </c>
      <c r="E109" s="63" t="s">
        <v>4768</v>
      </c>
      <c r="F109" s="54"/>
      <c r="H109" s="112" t="s">
        <v>4696</v>
      </c>
      <c r="I109" s="16" t="s">
        <v>4731</v>
      </c>
      <c r="J109" s="196" t="str">
        <f>IFERROR(VLOOKUP(A109,Internal_lists_bugs!$A$2:$I2031,9,FALSE()),"please select a BUG ID")</f>
        <v>https://review.opendev.org/c/openstack/nova/+/28880</v>
      </c>
    </row>
    <row r="110">
      <c r="A110" s="16" t="s">
        <v>41</v>
      </c>
      <c r="B110" s="50" t="str">
        <f>IFERROR(HYPERLINK(VLOOKUP(A110,Internal_lists_bugs!$A$2:$C$73,3,FALSE()), VLOOKUP(A110,Internal_lists_bugs!$A$2:$C$73,3,FALSE())&amp;Char(10) &amp; Char(10) &amp; VLOOKUP(A110,Internal_lists_bugs!$A$2:$Z$73,26,FALSE())),"please select a BUG ID")</f>
        <v>https://bugs.launchpad.net/nova/+bug/1466390
/sqlalchemy/api.py</v>
      </c>
      <c r="C110" s="81" t="str">
        <f>IFERROR(SUBSTITUTE(VLOOKUP(A110,Internal_lists_bugs!$A$2:$G2031,7,FALSE()),"nova/commit","nova/src/commit"),"please select a BUG ID")</f>
        <v>https://opendev.org/openstack/nova/src/commit/501ff41</v>
      </c>
      <c r="D110" s="30" t="s">
        <v>4690</v>
      </c>
      <c r="E110" s="16" t="s">
        <v>4731</v>
      </c>
      <c r="F110" s="54"/>
      <c r="H110" s="112" t="s">
        <v>4716</v>
      </c>
      <c r="I110" s="16" t="s">
        <v>4769</v>
      </c>
      <c r="J110" s="196" t="str">
        <f>IFERROR(VLOOKUP(A110,Internal_lists_bugs!$A$2:$I2031,9,FALSE()),"please select a BUG ID")</f>
        <v>https://review.opendev.org/c/openstack/nova/+/28880</v>
      </c>
    </row>
    <row r="111">
      <c r="A111" s="16" t="s">
        <v>41</v>
      </c>
      <c r="B111" s="50" t="str">
        <f>IFERROR(HYPERLINK(VLOOKUP(A111,Internal_lists_bugs!$A$2:$C$73,3,FALSE()), VLOOKUP(A111,Internal_lists_bugs!$A$2:$C$73,3,FALSE())&amp;Char(10) &amp; Char(10) &amp; VLOOKUP(A111,Internal_lists_bugs!$A$2:$Z$73,26,FALSE())),"please select a BUG ID")</f>
        <v>https://bugs.launchpad.net/nova/+bug/1466390
/sqlalchemy/api.py</v>
      </c>
      <c r="C111" s="81" t="str">
        <f>IFERROR(SUBSTITUTE(VLOOKUP(A111,Internal_lists_bugs!$A$2:$G2031,7,FALSE()),"nova/commit","nova/src/commit"),"please select a BUG ID")</f>
        <v>https://opendev.org/openstack/nova/src/commit/501ff41</v>
      </c>
      <c r="D111" s="30" t="s">
        <v>4702</v>
      </c>
      <c r="E111" s="16" t="s">
        <v>4770</v>
      </c>
      <c r="F111" s="54"/>
      <c r="H111" s="112" t="s">
        <v>4708</v>
      </c>
      <c r="I111" s="16" t="s">
        <v>4771</v>
      </c>
      <c r="J111" s="196" t="str">
        <f>IFERROR(VLOOKUP(A111,Internal_lists_bugs!$A$2:$I2031,9,FALSE()),"please select a BUG ID")</f>
        <v>https://review.opendev.org/c/openstack/nova/+/28880</v>
      </c>
    </row>
    <row r="112">
      <c r="A112" s="16" t="s">
        <v>41</v>
      </c>
      <c r="B112" s="50" t="str">
        <f>IFERROR(HYPERLINK(VLOOKUP(A112,Internal_lists_bugs!$A$2:$C$73,3,FALSE()), VLOOKUP(A112,Internal_lists_bugs!$A$2:$C$73,3,FALSE())&amp;Char(10) &amp; Char(10) &amp; VLOOKUP(A112,Internal_lists_bugs!$A$2:$Z$73,26,FALSE())),"please select a BUG ID")</f>
        <v>https://bugs.launchpad.net/nova/+bug/1466390
/sqlalchemy/api.py</v>
      </c>
      <c r="C112" s="81" t="str">
        <f>IFERROR(SUBSTITUTE(VLOOKUP(A112,Internal_lists_bugs!$A$2:$G2031,7,FALSE()),"nova/commit","nova/src/commit"),"please select a BUG ID")</f>
        <v>https://opendev.org/openstack/nova/src/commit/501ff41</v>
      </c>
      <c r="D112" s="30" t="s">
        <v>4698</v>
      </c>
      <c r="E112" s="66" t="s">
        <v>4747</v>
      </c>
      <c r="F112" s="54"/>
      <c r="H112" s="112" t="s">
        <v>4700</v>
      </c>
      <c r="I112" s="16" t="s">
        <v>4747</v>
      </c>
      <c r="J112" s="196" t="str">
        <f>IFERROR(VLOOKUP(A112,Internal_lists_bugs!$A$2:$I2031,9,FALSE()),"please select a BUG ID")</f>
        <v>https://review.opendev.org/c/openstack/nova/+/28880</v>
      </c>
    </row>
    <row r="113">
      <c r="A113" s="16" t="s">
        <v>41</v>
      </c>
      <c r="B113" s="50" t="str">
        <f>IFERROR(HYPERLINK(VLOOKUP(A113,Internal_lists_bugs!$A$2:$C$73,3,FALSE()), VLOOKUP(A113,Internal_lists_bugs!$A$2:$C$73,3,FALSE())&amp;Char(10) &amp; Char(10) &amp; VLOOKUP(A113,Internal_lists_bugs!$A$2:$Z$73,26,FALSE())),"please select a BUG ID")</f>
        <v>https://bugs.launchpad.net/nova/+bug/1466390
/sqlalchemy/api.py</v>
      </c>
      <c r="C113" s="81" t="str">
        <f>IFERROR(SUBSTITUTE(VLOOKUP(A113,Internal_lists_bugs!$A$2:$G2031,7,FALSE()),"nova/commit","nova/src/commit"),"please select a BUG ID")</f>
        <v>https://opendev.org/openstack/nova/src/commit/501ff41</v>
      </c>
      <c r="D113" s="30" t="s">
        <v>4772</v>
      </c>
      <c r="E113" s="14" t="s">
        <v>4811</v>
      </c>
      <c r="F113" s="54"/>
      <c r="H113" s="112" t="s">
        <v>4684</v>
      </c>
      <c r="I113" s="16" t="s">
        <v>4774</v>
      </c>
      <c r="J113" s="196" t="str">
        <f>IFERROR(VLOOKUP(A113,Internal_lists_bugs!$A$2:$I2031,9,FALSE()),"please select a BUG ID")</f>
        <v>https://review.opendev.org/c/openstack/nova/+/28880</v>
      </c>
    </row>
    <row r="114">
      <c r="A114" s="16" t="s">
        <v>41</v>
      </c>
      <c r="B114" s="50" t="str">
        <f>IFERROR(HYPERLINK(VLOOKUP(A114,Internal_lists_bugs!$A$2:$C$73,3,FALSE()), VLOOKUP(A114,Internal_lists_bugs!$A$2:$C$73,3,FALSE())&amp;Char(10) &amp; Char(10) &amp; VLOOKUP(A114,Internal_lists_bugs!$A$2:$Z$73,26,FALSE())),"please select a BUG ID")</f>
        <v>https://bugs.launchpad.net/nova/+bug/1466390
/sqlalchemy/api.py</v>
      </c>
      <c r="C114" s="81" t="str">
        <f>IFERROR(SUBSTITUTE(VLOOKUP(A114,Internal_lists_bugs!$A$2:$G2031,7,FALSE()),"nova/commit","nova/src/commit"),"please select a BUG ID")</f>
        <v>https://opendev.org/openstack/nova/src/commit/501ff41</v>
      </c>
      <c r="D114" s="30" t="s">
        <v>4706</v>
      </c>
      <c r="E114" s="16" t="s">
        <v>4775</v>
      </c>
      <c r="F114" s="54"/>
      <c r="H114" s="112" t="s">
        <v>4712</v>
      </c>
      <c r="I114" s="16" t="s">
        <v>4776</v>
      </c>
      <c r="J114" s="196" t="str">
        <f>IFERROR(VLOOKUP(A114,Internal_lists_bugs!$A$2:$I2031,9,FALSE()),"please select a BUG ID")</f>
        <v>https://review.opendev.org/c/openstack/nova/+/28880</v>
      </c>
    </row>
    <row r="115">
      <c r="A115" s="16" t="s">
        <v>41</v>
      </c>
      <c r="B115" s="50" t="str">
        <f>IFERROR(HYPERLINK(VLOOKUP(A115,Internal_lists_bugs!$A$2:$C$73,3,FALSE()), VLOOKUP(A115,Internal_lists_bugs!$A$2:$C$73,3,FALSE())&amp;Char(10) &amp; Char(10) &amp; VLOOKUP(A115,Internal_lists_bugs!$A$2:$Z$73,26,FALSE())),"please select a BUG ID")</f>
        <v>https://bugs.launchpad.net/nova/+bug/1466390
/sqlalchemy/api.py</v>
      </c>
      <c r="C115" s="81" t="str">
        <f>IFERROR(SUBSTITUTE(VLOOKUP(A115,Internal_lists_bugs!$A$2:$G2031,7,FALSE()),"nova/commit","nova/src/commit"),"please select a BUG ID")</f>
        <v>https://opendev.org/openstack/nova/src/commit/501ff41</v>
      </c>
      <c r="D115" s="30" t="s">
        <v>4710</v>
      </c>
      <c r="E115" s="16" t="s">
        <v>4775</v>
      </c>
      <c r="F115" s="54"/>
      <c r="H115" s="112" t="s">
        <v>4777</v>
      </c>
      <c r="I115" s="16" t="s">
        <v>4778</v>
      </c>
      <c r="J115" s="196" t="str">
        <f>IFERROR(VLOOKUP(A115,Internal_lists_bugs!$A$2:$I2031,9,FALSE()),"please select a BUG ID")</f>
        <v>https://review.opendev.org/c/openstack/nova/+/28880</v>
      </c>
    </row>
    <row r="116">
      <c r="A116" s="16" t="s">
        <v>41</v>
      </c>
      <c r="B116" s="50" t="str">
        <f>IFERROR(HYPERLINK(VLOOKUP(A116,Internal_lists_bugs!$A$2:$C$73,3,FALSE()), VLOOKUP(A116,Internal_lists_bugs!$A$2:$C$73,3,FALSE())&amp;Char(10) &amp; Char(10) &amp; VLOOKUP(A116,Internal_lists_bugs!$A$2:$Z$73,26,FALSE())),"please select a BUG ID")</f>
        <v>https://bugs.launchpad.net/nova/+bug/1466390
/sqlalchemy/api.py</v>
      </c>
      <c r="C116" s="81" t="str">
        <f>IFERROR(SUBSTITUTE(VLOOKUP(A116,Internal_lists_bugs!$A$2:$G2031,7,FALSE()),"nova/commit","nova/src/commit"),"please select a BUG ID")</f>
        <v>https://opendev.org/openstack/nova/src/commit/501ff41</v>
      </c>
      <c r="D116" s="30" t="s">
        <v>1325</v>
      </c>
      <c r="E116" s="16" t="s">
        <v>4751</v>
      </c>
      <c r="F116" s="54"/>
      <c r="H116" s="112" t="s">
        <v>4704</v>
      </c>
      <c r="I116" s="16" t="s">
        <v>4752</v>
      </c>
      <c r="J116" s="196" t="str">
        <f>IFERROR(VLOOKUP(A116,Internal_lists_bugs!$A$2:$I2031,9,FALSE()),"please select a BUG ID")</f>
        <v>https://review.opendev.org/c/openstack/nova/+/28880</v>
      </c>
    </row>
    <row r="117">
      <c r="A117" s="16" t="s">
        <v>41</v>
      </c>
      <c r="B117" s="50" t="str">
        <f>IFERROR(HYPERLINK(VLOOKUP(A117,Internal_lists_bugs!$A$2:$C$73,3,FALSE()), VLOOKUP(A117,Internal_lists_bugs!$A$2:$C$73,3,FALSE())&amp;Char(10) &amp; Char(10) &amp; VLOOKUP(A117,Internal_lists_bugs!$A$2:$Z$73,26,FALSE())),"please select a BUG ID")</f>
        <v>https://bugs.launchpad.net/nova/+bug/1466390
/sqlalchemy/api.py</v>
      </c>
      <c r="C117" s="81" t="str">
        <f>IFERROR(SUBSTITUTE(VLOOKUP(A117,Internal_lists_bugs!$A$2:$G2031,7,FALSE()),"nova/commit","nova/src/commit"),"please select a BUG ID")</f>
        <v>https://opendev.org/openstack/nova/src/commit/501ff41</v>
      </c>
      <c r="D117" s="30" t="s">
        <v>4680</v>
      </c>
      <c r="E117" s="16" t="s">
        <v>4789</v>
      </c>
      <c r="F117" s="54"/>
      <c r="H117" s="112" t="s">
        <v>4749</v>
      </c>
      <c r="I117" s="16" t="s">
        <v>4779</v>
      </c>
      <c r="J117" s="196" t="str">
        <f>IFERROR(VLOOKUP(A117,Internal_lists_bugs!$A$2:$I2031,9,FALSE()),"please select a BUG ID")</f>
        <v>https://review.opendev.org/c/openstack/nova/+/28880</v>
      </c>
    </row>
    <row r="118">
      <c r="A118" s="16" t="s">
        <v>41</v>
      </c>
      <c r="B118" s="50" t="str">
        <f>IFERROR(HYPERLINK(VLOOKUP(A118,Internal_lists_bugs!$A$2:$C$73,3,FALSE()), VLOOKUP(A118,Internal_lists_bugs!$A$2:$C$73,3,FALSE())&amp;Char(10) &amp; Char(10) &amp; VLOOKUP(A118,Internal_lists_bugs!$A$2:$Z$73,26,FALSE())),"please select a BUG ID")</f>
        <v>https://bugs.launchpad.net/nova/+bug/1466390
/sqlalchemy/api.py</v>
      </c>
      <c r="C118" s="81" t="str">
        <f>IFERROR(SUBSTITUTE(VLOOKUP(A118,Internal_lists_bugs!$A$2:$G2031,7,FALSE()),"nova/commit","nova/src/commit"),"please select a BUG ID")</f>
        <v>https://opendev.org/openstack/nova/src/commit/501ff41</v>
      </c>
      <c r="D118" s="30" t="s">
        <v>4754</v>
      </c>
      <c r="E118" s="16" t="s">
        <v>4755</v>
      </c>
      <c r="F118" s="54"/>
      <c r="H118" s="112" t="s">
        <v>4782</v>
      </c>
      <c r="I118" s="16" t="s">
        <v>4783</v>
      </c>
      <c r="J118" s="196" t="str">
        <f>IFERROR(VLOOKUP(A118,Internal_lists_bugs!$A$2:$I2031,9,FALSE()),"please select a BUG ID")</f>
        <v>https://review.opendev.org/c/openstack/nova/+/28880</v>
      </c>
    </row>
    <row r="119">
      <c r="A119" s="16" t="s">
        <v>41</v>
      </c>
      <c r="B119" s="50" t="str">
        <f>IFERROR(HYPERLINK(VLOOKUP(A119,Internal_lists_bugs!$A$2:$C$73,3,FALSE()), VLOOKUP(A119,Internal_lists_bugs!$A$2:$C$73,3,FALSE())&amp;Char(10) &amp; Char(10) &amp; VLOOKUP(A119,Internal_lists_bugs!$A$2:$Z$73,26,FALSE())),"please select a BUG ID")</f>
        <v>https://bugs.launchpad.net/nova/+bug/1466390
/sqlalchemy/api.py</v>
      </c>
      <c r="C119" s="81" t="str">
        <f>IFERROR(SUBSTITUTE(VLOOKUP(A119,Internal_lists_bugs!$A$2:$G2031,7,FALSE()),"nova/commit","nova/src/commit"),"please select a BUG ID")</f>
        <v>https://opendev.org/openstack/nova/src/commit/501ff41</v>
      </c>
      <c r="D119" s="30" t="s">
        <v>4714</v>
      </c>
      <c r="E119" s="16" t="s">
        <v>4738</v>
      </c>
      <c r="F119" s="54"/>
      <c r="H119" s="112" t="s">
        <v>4801</v>
      </c>
      <c r="I119" s="16" t="s">
        <v>4806</v>
      </c>
      <c r="J119" s="196" t="str">
        <f>IFERROR(VLOOKUP(A119,Internal_lists_bugs!$A$2:$I2031,9,FALSE()),"please select a BUG ID")</f>
        <v>https://review.opendev.org/c/openstack/nova/+/28880</v>
      </c>
    </row>
    <row r="120">
      <c r="A120" s="16" t="s">
        <v>41</v>
      </c>
      <c r="B120" s="50" t="str">
        <f>IFERROR(HYPERLINK(VLOOKUP(A120,Internal_lists_bugs!$A$2:$C$73,3,FALSE()), VLOOKUP(A120,Internal_lists_bugs!$A$2:$C$73,3,FALSE())&amp;Char(10) &amp; Char(10) &amp; VLOOKUP(A120,Internal_lists_bugs!$A$2:$Z$73,26,FALSE())),"please select a BUG ID")</f>
        <v>https://bugs.launchpad.net/nova/+bug/1466390
/sqlalchemy/api.py</v>
      </c>
      <c r="C120" s="81" t="str">
        <f>IFERROR(SUBSTITUTE(VLOOKUP(A120,Internal_lists_bugs!$A$2:$G2031,7,FALSE()),"nova/commit","nova/src/commit"),"please select a BUG ID")</f>
        <v>https://opendev.org/openstack/nova/src/commit/501ff41</v>
      </c>
      <c r="D120" s="30" t="s">
        <v>4812</v>
      </c>
      <c r="E120" s="16" t="s">
        <v>4813</v>
      </c>
      <c r="F120" s="54"/>
      <c r="H120" s="112" t="s">
        <v>4814</v>
      </c>
      <c r="I120" s="16" t="s">
        <v>4815</v>
      </c>
      <c r="J120" s="196" t="str">
        <f>IFERROR(VLOOKUP(A120,Internal_lists_bugs!$A$2:$I2031,9,FALSE()),"please select a BUG ID")</f>
        <v>https://review.opendev.org/c/openstack/nova/+/28880</v>
      </c>
    </row>
    <row r="121">
      <c r="A121" s="16" t="s">
        <v>41</v>
      </c>
      <c r="B121" s="50" t="str">
        <f>IFERROR(HYPERLINK(VLOOKUP(A121,Internal_lists_bugs!$A$2:$C$73,3,FALSE()), VLOOKUP(A121,Internal_lists_bugs!$A$2:$C$73,3,FALSE())&amp;Char(10) &amp; Char(10) &amp; VLOOKUP(A121,Internal_lists_bugs!$A$2:$Z$73,26,FALSE())),"please select a BUG ID")</f>
        <v>https://bugs.launchpad.net/nova/+bug/1466390
/sqlalchemy/api.py</v>
      </c>
      <c r="C121" s="81" t="str">
        <f>IFERROR(SUBSTITUTE(VLOOKUP(A121,Internal_lists_bugs!$A$2:$G2031,7,FALSE()),"nova/commit","nova/src/commit"),"please select a BUG ID")</f>
        <v>https://opendev.org/openstack/nova/src/commit/501ff41</v>
      </c>
      <c r="D121" s="30"/>
      <c r="E121" s="16"/>
      <c r="F121" s="54"/>
      <c r="H121" s="112" t="s">
        <v>4816</v>
      </c>
      <c r="I121" s="14" t="s">
        <v>4817</v>
      </c>
      <c r="J121" s="196" t="str">
        <f>IFERROR(VLOOKUP(A121,Internal_lists_bugs!$A$2:$I2031,9,FALSE()),"please select a BUG ID")</f>
        <v>https://review.opendev.org/c/openstack/nova/+/28880</v>
      </c>
    </row>
    <row r="122">
      <c r="A122" s="16" t="s">
        <v>41</v>
      </c>
      <c r="B122" s="50" t="str">
        <f>IFERROR(HYPERLINK(VLOOKUP(A122,Internal_lists_bugs!$A$2:$C$73,3,FALSE()), VLOOKUP(A122,Internal_lists_bugs!$A$2:$C$73,3,FALSE())&amp;Char(10) &amp; Char(10) &amp; VLOOKUP(A122,Internal_lists_bugs!$A$2:$Z$73,26,FALSE())),"please select a BUG ID")</f>
        <v>https://bugs.launchpad.net/nova/+bug/1466390
/sqlalchemy/api.py</v>
      </c>
      <c r="C122" s="81" t="str">
        <f>IFERROR(SUBSTITUTE(VLOOKUP(A122,Internal_lists_bugs!$A$2:$G2031,7,FALSE()),"nova/commit","nova/src/commit"),"please select a BUG ID")</f>
        <v>https://opendev.org/openstack/nova/src/commit/501ff41</v>
      </c>
      <c r="D122" s="30" t="s">
        <v>4807</v>
      </c>
      <c r="E122" s="16" t="s">
        <v>4808</v>
      </c>
      <c r="F122" s="54"/>
      <c r="H122" s="112" t="s">
        <v>4818</v>
      </c>
      <c r="I122" s="14" t="s">
        <v>4819</v>
      </c>
      <c r="J122" s="196" t="str">
        <f>IFERROR(VLOOKUP(A122,Internal_lists_bugs!$A$2:$I2031,9,FALSE()),"please select a BUG ID")</f>
        <v>https://review.opendev.org/c/openstack/nova/+/28880</v>
      </c>
    </row>
    <row r="123">
      <c r="A123" s="189" t="s">
        <v>40</v>
      </c>
      <c r="B123" s="198" t="str">
        <f>IFERROR(HYPERLINK(VLOOKUP(A123,Internal_lists_bugs!$A$2:$C$73,3,FALSE()), VLOOKUP(A123,Internal_lists_bugs!$A$2:$C$73,3,FALSE())&amp;Char(10) &amp; Char(10) &amp; VLOOKUP(A123,Internal_lists_bugs!$A$2:$Z$73,26,FALSE())),"please select a BUG ID")</f>
        <v>https://bugs.launchpad.net/nova/+bug/1300788
/vmwareapi/vmops.py</v>
      </c>
      <c r="C123" s="199" t="str">
        <f>IFERROR(SUBSTITUTE(VLOOKUP(A123,Internal_lists_bugs!$A$2:$G2031,7,FALSE()),"nova/commit","nova/src/commit"),"please select a BUG ID")</f>
        <v>https://opendev.org/openstack/nova/src/commit/e517e5668ab</v>
      </c>
      <c r="D123" s="189" t="s">
        <v>4758</v>
      </c>
      <c r="E123" s="190" t="s">
        <v>4759</v>
      </c>
      <c r="F123" s="189" t="s">
        <v>4682</v>
      </c>
      <c r="G123" s="189" t="s">
        <v>4802</v>
      </c>
      <c r="H123" s="191" t="s">
        <v>4756</v>
      </c>
      <c r="I123" s="194" t="s">
        <v>4761</v>
      </c>
      <c r="J123" s="195" t="str">
        <f>IFERROR(VLOOKUP(A123,Internal_lists_bugs!$A$2:$I2031,9,FALSE()),"please select a BUG ID")</f>
        <v>https://review.opendev.org/c/openstack/nova/+/31593</v>
      </c>
      <c r="K123" s="193"/>
      <c r="L123" s="193"/>
    </row>
    <row r="124">
      <c r="A124" s="16" t="s">
        <v>40</v>
      </c>
      <c r="B124" s="50" t="str">
        <f>IFERROR(HYPERLINK(VLOOKUP(A124,Internal_lists_bugs!$A$2:$C$73,3,FALSE()), VLOOKUP(A124,Internal_lists_bugs!$A$2:$C$73,3,FALSE())&amp;Char(10) &amp; Char(10) &amp; VLOOKUP(A124,Internal_lists_bugs!$A$2:$Z$73,26,FALSE())),"please select a BUG ID")</f>
        <v>https://bugs.launchpad.net/nova/+bug/1300788
/vmwareapi/vmops.py</v>
      </c>
      <c r="C124" s="81" t="str">
        <f>IFERROR(SUBSTITUTE(VLOOKUP(A124,Internal_lists_bugs!$A$2:$G2031,7,FALSE()),"nova/commit","nova/src/commit"),"please select a BUG ID")</f>
        <v>https://opendev.org/openstack/nova/src/commit/e517e5668ab</v>
      </c>
      <c r="D124" s="30"/>
      <c r="E124" s="66"/>
      <c r="F124" s="54"/>
      <c r="H124" s="112" t="s">
        <v>4763</v>
      </c>
      <c r="I124" s="16" t="s">
        <v>4797</v>
      </c>
      <c r="J124" s="196" t="str">
        <f>IFERROR(VLOOKUP(A124,Internal_lists_bugs!$A$2:$I2031,9,FALSE()),"please select a BUG ID")</f>
        <v>https://review.opendev.org/c/openstack/nova/+/31593</v>
      </c>
    </row>
    <row r="125">
      <c r="A125" s="16" t="s">
        <v>40</v>
      </c>
      <c r="B125" s="50" t="str">
        <f>IFERROR(HYPERLINK(VLOOKUP(A125,Internal_lists_bugs!$A$2:$C$73,3,FALSE()), VLOOKUP(A125,Internal_lists_bugs!$A$2:$C$73,3,FALSE())&amp;Char(10) &amp; Char(10) &amp; VLOOKUP(A125,Internal_lists_bugs!$A$2:$Z$73,26,FALSE())),"please select a BUG ID")</f>
        <v>https://bugs.launchpad.net/nova/+bug/1300788
/vmwareapi/vmops.py</v>
      </c>
      <c r="C125" s="81" t="str">
        <f>IFERROR(SUBSTITUTE(VLOOKUP(A125,Internal_lists_bugs!$A$2:$G2031,7,FALSE()),"nova/commit","nova/src/commit"),"please select a BUG ID")</f>
        <v>https://opendev.org/openstack/nova/src/commit/e517e5668ab</v>
      </c>
      <c r="D125" s="16" t="s">
        <v>4765</v>
      </c>
      <c r="E125" s="14" t="s">
        <v>4820</v>
      </c>
      <c r="F125" s="54"/>
      <c r="H125" s="112" t="s">
        <v>4708</v>
      </c>
      <c r="I125" s="16" t="s">
        <v>4767</v>
      </c>
      <c r="J125" s="196" t="str">
        <f>IFERROR(VLOOKUP(A125,Internal_lists_bugs!$A$2:$I2031,9,FALSE()),"please select a BUG ID")</f>
        <v>https://review.opendev.org/c/openstack/nova/+/31593</v>
      </c>
    </row>
    <row r="126">
      <c r="A126" s="16" t="s">
        <v>40</v>
      </c>
      <c r="B126" s="50" t="str">
        <f>IFERROR(HYPERLINK(VLOOKUP(A126,Internal_lists_bugs!$A$2:$C$73,3,FALSE()), VLOOKUP(A126,Internal_lists_bugs!$A$2:$C$73,3,FALSE())&amp;Char(10) &amp; Char(10) &amp; VLOOKUP(A126,Internal_lists_bugs!$A$2:$Z$73,26,FALSE())),"please select a BUG ID")</f>
        <v>https://bugs.launchpad.net/nova/+bug/1300788
/vmwareapi/vmops.py</v>
      </c>
      <c r="C126" s="81" t="str">
        <f>IFERROR(SUBSTITUTE(VLOOKUP(A126,Internal_lists_bugs!$A$2:$G2031,7,FALSE()),"nova/commit","nova/src/commit"),"please select a BUG ID")</f>
        <v>https://opendev.org/openstack/nova/src/commit/e517e5668ab</v>
      </c>
      <c r="D126" s="16" t="s">
        <v>4686</v>
      </c>
      <c r="E126" s="63" t="s">
        <v>4768</v>
      </c>
      <c r="F126" s="54"/>
      <c r="H126" s="112" t="s">
        <v>4696</v>
      </c>
      <c r="I126" s="16" t="s">
        <v>4731</v>
      </c>
      <c r="J126" s="196" t="str">
        <f>IFERROR(VLOOKUP(A126,Internal_lists_bugs!$A$2:$I2031,9,FALSE()),"please select a BUG ID")</f>
        <v>https://review.opendev.org/c/openstack/nova/+/31593</v>
      </c>
    </row>
    <row r="127">
      <c r="A127" s="16" t="s">
        <v>40</v>
      </c>
      <c r="B127" s="50" t="str">
        <f>IFERROR(HYPERLINK(VLOOKUP(A127,Internal_lists_bugs!$A$2:$C$73,3,FALSE()), VLOOKUP(A127,Internal_lists_bugs!$A$2:$C$73,3,FALSE())&amp;Char(10) &amp; Char(10) &amp; VLOOKUP(A127,Internal_lists_bugs!$A$2:$Z$73,26,FALSE())),"please select a BUG ID")</f>
        <v>https://bugs.launchpad.net/nova/+bug/1300788
/vmwareapi/vmops.py</v>
      </c>
      <c r="C127" s="81" t="str">
        <f>IFERROR(SUBSTITUTE(VLOOKUP(A127,Internal_lists_bugs!$A$2:$G2031,7,FALSE()),"nova/commit","nova/src/commit"),"please select a BUG ID")</f>
        <v>https://opendev.org/openstack/nova/src/commit/e517e5668ab</v>
      </c>
      <c r="D127" s="16" t="s">
        <v>4690</v>
      </c>
      <c r="E127" s="16" t="s">
        <v>4731</v>
      </c>
      <c r="F127" s="54"/>
      <c r="H127" s="112" t="s">
        <v>4716</v>
      </c>
      <c r="I127" s="16" t="s">
        <v>4769</v>
      </c>
      <c r="J127" s="196" t="str">
        <f>IFERROR(VLOOKUP(A127,Internal_lists_bugs!$A$2:$I2031,9,FALSE()),"please select a BUG ID")</f>
        <v>https://review.opendev.org/c/openstack/nova/+/31593</v>
      </c>
    </row>
    <row r="128">
      <c r="A128" s="16" t="s">
        <v>40</v>
      </c>
      <c r="B128" s="50" t="str">
        <f>IFERROR(HYPERLINK(VLOOKUP(A128,Internal_lists_bugs!$A$2:$C$73,3,FALSE()), VLOOKUP(A128,Internal_lists_bugs!$A$2:$C$73,3,FALSE())&amp;Char(10) &amp; Char(10) &amp; VLOOKUP(A128,Internal_lists_bugs!$A$2:$Z$73,26,FALSE())),"please select a BUG ID")</f>
        <v>https://bugs.launchpad.net/nova/+bug/1300788
/vmwareapi/vmops.py</v>
      </c>
      <c r="C128" s="81" t="str">
        <f>IFERROR(SUBSTITUTE(VLOOKUP(A128,Internal_lists_bugs!$A$2:$G2031,7,FALSE()),"nova/commit","nova/src/commit"),"please select a BUG ID")</f>
        <v>https://opendev.org/openstack/nova/src/commit/e517e5668ab</v>
      </c>
      <c r="D128" s="16" t="s">
        <v>4702</v>
      </c>
      <c r="E128" s="16" t="s">
        <v>4770</v>
      </c>
      <c r="F128" s="54"/>
      <c r="H128" s="112" t="s">
        <v>4708</v>
      </c>
      <c r="I128" s="16" t="s">
        <v>4771</v>
      </c>
      <c r="J128" s="196" t="str">
        <f>IFERROR(VLOOKUP(A128,Internal_lists_bugs!$A$2:$I2031,9,FALSE()),"please select a BUG ID")</f>
        <v>https://review.opendev.org/c/openstack/nova/+/31593</v>
      </c>
    </row>
    <row r="129">
      <c r="A129" s="16" t="s">
        <v>40</v>
      </c>
      <c r="B129" s="50" t="str">
        <f>IFERROR(HYPERLINK(VLOOKUP(A129,Internal_lists_bugs!$A$2:$C$73,3,FALSE()), VLOOKUP(A129,Internal_lists_bugs!$A$2:$C$73,3,FALSE())&amp;Char(10) &amp; Char(10) &amp; VLOOKUP(A129,Internal_lists_bugs!$A$2:$Z$73,26,FALSE())),"please select a BUG ID")</f>
        <v>https://bugs.launchpad.net/nova/+bug/1300788
/vmwareapi/vmops.py</v>
      </c>
      <c r="C129" s="81" t="str">
        <f>IFERROR(SUBSTITUTE(VLOOKUP(A129,Internal_lists_bugs!$A$2:$G2031,7,FALSE()),"nova/commit","nova/src/commit"),"please select a BUG ID")</f>
        <v>https://opendev.org/openstack/nova/src/commit/e517e5668ab</v>
      </c>
      <c r="D129" s="16" t="s">
        <v>4698</v>
      </c>
      <c r="E129" s="66" t="s">
        <v>4747</v>
      </c>
      <c r="F129" s="54"/>
      <c r="H129" s="112" t="s">
        <v>4700</v>
      </c>
      <c r="I129" s="16" t="s">
        <v>4747</v>
      </c>
      <c r="J129" s="196" t="str">
        <f>IFERROR(VLOOKUP(A129,Internal_lists_bugs!$A$2:$I2031,9,FALSE()),"please select a BUG ID")</f>
        <v>https://review.opendev.org/c/openstack/nova/+/31593</v>
      </c>
    </row>
    <row r="130">
      <c r="A130" s="16" t="s">
        <v>40</v>
      </c>
      <c r="B130" s="50" t="str">
        <f>IFERROR(HYPERLINK(VLOOKUP(A130,Internal_lists_bugs!$A$2:$C$73,3,FALSE()), VLOOKUP(A130,Internal_lists_bugs!$A$2:$C$73,3,FALSE())&amp;Char(10) &amp; Char(10) &amp; VLOOKUP(A130,Internal_lists_bugs!$A$2:$Z$73,26,FALSE())),"please select a BUG ID")</f>
        <v>https://bugs.launchpad.net/nova/+bug/1300788
/vmwareapi/vmops.py</v>
      </c>
      <c r="C130" s="81" t="str">
        <f>IFERROR(SUBSTITUTE(VLOOKUP(A130,Internal_lists_bugs!$A$2:$G2031,7,FALSE()),"nova/commit","nova/src/commit"),"please select a BUG ID")</f>
        <v>https://opendev.org/openstack/nova/src/commit/e517e5668ab</v>
      </c>
      <c r="D130" s="16" t="s">
        <v>4772</v>
      </c>
      <c r="E130" s="14" t="s">
        <v>4821</v>
      </c>
      <c r="F130" s="54"/>
      <c r="H130" s="112" t="s">
        <v>4684</v>
      </c>
      <c r="I130" s="16" t="s">
        <v>4774</v>
      </c>
      <c r="J130" s="196" t="str">
        <f>IFERROR(VLOOKUP(A130,Internal_lists_bugs!$A$2:$I2031,9,FALSE()),"please select a BUG ID")</f>
        <v>https://review.opendev.org/c/openstack/nova/+/31593</v>
      </c>
    </row>
    <row r="131">
      <c r="A131" s="16" t="s">
        <v>40</v>
      </c>
      <c r="B131" s="50" t="str">
        <f>IFERROR(HYPERLINK(VLOOKUP(A131,Internal_lists_bugs!$A$2:$C$73,3,FALSE()), VLOOKUP(A131,Internal_lists_bugs!$A$2:$C$73,3,FALSE())&amp;Char(10) &amp; Char(10) &amp; VLOOKUP(A131,Internal_lists_bugs!$A$2:$Z$73,26,FALSE())),"please select a BUG ID")</f>
        <v>https://bugs.launchpad.net/nova/+bug/1300788
/vmwareapi/vmops.py</v>
      </c>
      <c r="C131" s="81" t="str">
        <f>IFERROR(SUBSTITUTE(VLOOKUP(A131,Internal_lists_bugs!$A$2:$G2031,7,FALSE()),"nova/commit","nova/src/commit"),"please select a BUG ID")</f>
        <v>https://opendev.org/openstack/nova/src/commit/e517e5668ab</v>
      </c>
      <c r="D131" s="16" t="s">
        <v>4706</v>
      </c>
      <c r="E131" s="16" t="s">
        <v>4775</v>
      </c>
      <c r="F131" s="54"/>
      <c r="H131" s="112" t="s">
        <v>4712</v>
      </c>
      <c r="I131" s="16" t="s">
        <v>4776</v>
      </c>
      <c r="J131" s="196" t="str">
        <f>IFERROR(VLOOKUP(A131,Internal_lists_bugs!$A$2:$I2031,9,FALSE()),"please select a BUG ID")</f>
        <v>https://review.opendev.org/c/openstack/nova/+/31593</v>
      </c>
    </row>
    <row r="132">
      <c r="A132" s="16" t="s">
        <v>40</v>
      </c>
      <c r="B132" s="50" t="str">
        <f>IFERROR(HYPERLINK(VLOOKUP(A132,Internal_lists_bugs!$A$2:$C$73,3,FALSE()), VLOOKUP(A132,Internal_lists_bugs!$A$2:$C$73,3,FALSE())&amp;Char(10) &amp; Char(10) &amp; VLOOKUP(A132,Internal_lists_bugs!$A$2:$Z$73,26,FALSE())),"please select a BUG ID")</f>
        <v>https://bugs.launchpad.net/nova/+bug/1300788
/vmwareapi/vmops.py</v>
      </c>
      <c r="C132" s="81" t="str">
        <f>IFERROR(SUBSTITUTE(VLOOKUP(A132,Internal_lists_bugs!$A$2:$G2031,7,FALSE()),"nova/commit","nova/src/commit"),"please select a BUG ID")</f>
        <v>https://opendev.org/openstack/nova/src/commit/e517e5668ab</v>
      </c>
      <c r="D132" s="16" t="s">
        <v>4710</v>
      </c>
      <c r="E132" s="16" t="s">
        <v>4775</v>
      </c>
      <c r="F132" s="54"/>
      <c r="H132" s="112" t="s">
        <v>4777</v>
      </c>
      <c r="I132" s="16" t="s">
        <v>4778</v>
      </c>
      <c r="J132" s="196" t="str">
        <f>IFERROR(VLOOKUP(A132,Internal_lists_bugs!$A$2:$I2031,9,FALSE()),"please select a BUG ID")</f>
        <v>https://review.opendev.org/c/openstack/nova/+/31593</v>
      </c>
    </row>
    <row r="133">
      <c r="A133" s="16" t="s">
        <v>40</v>
      </c>
      <c r="B133" s="50" t="str">
        <f>IFERROR(HYPERLINK(VLOOKUP(A133,Internal_lists_bugs!$A$2:$C$73,3,FALSE()), VLOOKUP(A133,Internal_lists_bugs!$A$2:$C$73,3,FALSE())&amp;Char(10) &amp; Char(10) &amp; VLOOKUP(A133,Internal_lists_bugs!$A$2:$Z$73,26,FALSE())),"please select a BUG ID")</f>
        <v>https://bugs.launchpad.net/nova/+bug/1300788
/vmwareapi/vmops.py</v>
      </c>
      <c r="C133" s="81" t="str">
        <f>IFERROR(SUBSTITUTE(VLOOKUP(A133,Internal_lists_bugs!$A$2:$G2031,7,FALSE()),"nova/commit","nova/src/commit"),"please select a BUG ID")</f>
        <v>https://opendev.org/openstack/nova/src/commit/e517e5668ab</v>
      </c>
      <c r="D133" s="16" t="s">
        <v>1325</v>
      </c>
      <c r="E133" s="16" t="s">
        <v>4751</v>
      </c>
      <c r="F133" s="54"/>
      <c r="H133" s="112" t="s">
        <v>4704</v>
      </c>
      <c r="I133" s="16" t="s">
        <v>4752</v>
      </c>
      <c r="J133" s="196" t="str">
        <f>IFERROR(VLOOKUP(A133,Internal_lists_bugs!$A$2:$I2031,9,FALSE()),"please select a BUG ID")</f>
        <v>https://review.opendev.org/c/openstack/nova/+/31593</v>
      </c>
    </row>
    <row r="134">
      <c r="A134" s="16" t="s">
        <v>40</v>
      </c>
      <c r="B134" s="50" t="str">
        <f>IFERROR(HYPERLINK(VLOOKUP(A134,Internal_lists_bugs!$A$2:$C$73,3,FALSE()), VLOOKUP(A134,Internal_lists_bugs!$A$2:$C$73,3,FALSE())&amp;Char(10) &amp; Char(10) &amp; VLOOKUP(A134,Internal_lists_bugs!$A$2:$Z$73,26,FALSE())),"please select a BUG ID")</f>
        <v>https://bugs.launchpad.net/nova/+bug/1300788
/vmwareapi/vmops.py</v>
      </c>
      <c r="C134" s="81" t="str">
        <f>IFERROR(SUBSTITUTE(VLOOKUP(A134,Internal_lists_bugs!$A$2:$G2031,7,FALSE()),"nova/commit","nova/src/commit"),"please select a BUG ID")</f>
        <v>https://opendev.org/openstack/nova/src/commit/e517e5668ab</v>
      </c>
      <c r="D134" s="16" t="s">
        <v>4680</v>
      </c>
      <c r="E134" s="16" t="s">
        <v>4789</v>
      </c>
      <c r="F134" s="54"/>
      <c r="H134" s="112" t="s">
        <v>4749</v>
      </c>
      <c r="I134" s="16" t="s">
        <v>4779</v>
      </c>
      <c r="J134" s="196" t="str">
        <f>IFERROR(VLOOKUP(A134,Internal_lists_bugs!$A$2:$I2031,9,FALSE()),"please select a BUG ID")</f>
        <v>https://review.opendev.org/c/openstack/nova/+/31593</v>
      </c>
    </row>
    <row r="135">
      <c r="A135" s="16" t="s">
        <v>40</v>
      </c>
      <c r="B135" s="50" t="str">
        <f>IFERROR(HYPERLINK(VLOOKUP(A135,Internal_lists_bugs!$A$2:$C$73,3,FALSE()), VLOOKUP(A135,Internal_lists_bugs!$A$2:$C$73,3,FALSE())&amp;Char(10) &amp; Char(10) &amp; VLOOKUP(A135,Internal_lists_bugs!$A$2:$Z$73,26,FALSE())),"please select a BUG ID")</f>
        <v>https://bugs.launchpad.net/nova/+bug/1300788
/vmwareapi/vmops.py</v>
      </c>
      <c r="C135" s="81" t="str">
        <f>IFERROR(SUBSTITUTE(VLOOKUP(A135,Internal_lists_bugs!$A$2:$G2031,7,FALSE()),"nova/commit","nova/src/commit"),"please select a BUG ID")</f>
        <v>https://opendev.org/openstack/nova/src/commit/e517e5668ab</v>
      </c>
      <c r="D135" s="16" t="s">
        <v>4754</v>
      </c>
      <c r="E135" s="16" t="s">
        <v>4755</v>
      </c>
      <c r="F135" s="54"/>
      <c r="H135" s="112" t="s">
        <v>4782</v>
      </c>
      <c r="I135" s="16" t="s">
        <v>4783</v>
      </c>
      <c r="J135" s="196" t="str">
        <f>IFERROR(VLOOKUP(A135,Internal_lists_bugs!$A$2:$I2031,9,FALSE()),"please select a BUG ID")</f>
        <v>https://review.opendev.org/c/openstack/nova/+/31593</v>
      </c>
    </row>
    <row r="136">
      <c r="A136" s="16" t="s">
        <v>40</v>
      </c>
      <c r="B136" s="50" t="str">
        <f>IFERROR(HYPERLINK(VLOOKUP(A136,Internal_lists_bugs!$A$2:$C$73,3,FALSE()), VLOOKUP(A136,Internal_lists_bugs!$A$2:$C$73,3,FALSE())&amp;Char(10) &amp; Char(10) &amp; VLOOKUP(A136,Internal_lists_bugs!$A$2:$Z$73,26,FALSE())),"please select a BUG ID")</f>
        <v>https://bugs.launchpad.net/nova/+bug/1300788
/vmwareapi/vmops.py</v>
      </c>
      <c r="C136" s="81" t="str">
        <f>IFERROR(SUBSTITUTE(VLOOKUP(A136,Internal_lists_bugs!$A$2:$G2031,7,FALSE()),"nova/commit","nova/src/commit"),"please select a BUG ID")</f>
        <v>https://opendev.org/openstack/nova/src/commit/e517e5668ab</v>
      </c>
      <c r="D136" s="16" t="s">
        <v>4714</v>
      </c>
      <c r="E136" s="16" t="s">
        <v>4738</v>
      </c>
      <c r="F136" s="54"/>
      <c r="H136" s="112" t="s">
        <v>4801</v>
      </c>
      <c r="I136" s="16" t="s">
        <v>4806</v>
      </c>
      <c r="J136" s="196" t="str">
        <f>IFERROR(VLOOKUP(A136,Internal_lists_bugs!$A$2:$I2031,9,FALSE()),"please select a BUG ID")</f>
        <v>https://review.opendev.org/c/openstack/nova/+/31593</v>
      </c>
    </row>
    <row r="137">
      <c r="A137" s="16" t="s">
        <v>40</v>
      </c>
      <c r="B137" s="50" t="str">
        <f>IFERROR(HYPERLINK(VLOOKUP(A137,Internal_lists_bugs!$A$2:$C$73,3,FALSE()), VLOOKUP(A137,Internal_lists_bugs!$A$2:$C$73,3,FALSE())&amp;Char(10) &amp; Char(10) &amp; VLOOKUP(A137,Internal_lists_bugs!$A$2:$Z$73,26,FALSE())),"please select a BUG ID")</f>
        <v>https://bugs.launchpad.net/nova/+bug/1300788
/vmwareapi/vmops.py</v>
      </c>
      <c r="C137" s="81" t="str">
        <f>IFERROR(SUBSTITUTE(VLOOKUP(A137,Internal_lists_bugs!$A$2:$G2031,7,FALSE()),"nova/commit","nova/src/commit"),"please select a BUG ID")</f>
        <v>https://opendev.org/openstack/nova/src/commit/e517e5668ab</v>
      </c>
      <c r="D137" s="16" t="s">
        <v>4807</v>
      </c>
      <c r="E137" s="16" t="s">
        <v>4822</v>
      </c>
      <c r="F137" s="54"/>
      <c r="H137" s="112" t="s">
        <v>4818</v>
      </c>
      <c r="I137" s="14" t="s">
        <v>4823</v>
      </c>
      <c r="J137" s="196" t="str">
        <f>IFERROR(VLOOKUP(A137,Internal_lists_bugs!$A$2:$I2031,9,FALSE()),"please select a BUG ID")</f>
        <v>https://review.opendev.org/c/openstack/nova/+/31593</v>
      </c>
    </row>
    <row r="138">
      <c r="A138" s="16" t="s">
        <v>40</v>
      </c>
      <c r="B138" s="50" t="str">
        <f>IFERROR(HYPERLINK(VLOOKUP(A138,Internal_lists_bugs!$A$2:$C$73,3,FALSE()), VLOOKUP(A138,Internal_lists_bugs!$A$2:$C$73,3,FALSE())&amp;Char(10) &amp; Char(10) &amp; VLOOKUP(A138,Internal_lists_bugs!$A$2:$Z$73,26,FALSE())),"please select a BUG ID")</f>
        <v>https://bugs.launchpad.net/nova/+bug/1300788
/vmwareapi/vmops.py</v>
      </c>
      <c r="C138" s="81" t="str">
        <f>IFERROR(SUBSTITUTE(VLOOKUP(A138,Internal_lists_bugs!$A$2:$G2031,7,FALSE()),"nova/commit","nova/src/commit"),"please select a BUG ID")</f>
        <v>https://opendev.org/openstack/nova/src/commit/e517e5668ab</v>
      </c>
      <c r="D138" s="30"/>
      <c r="E138" s="16"/>
      <c r="F138" s="54"/>
      <c r="H138" s="112" t="s">
        <v>4816</v>
      </c>
      <c r="I138" s="14" t="s">
        <v>4824</v>
      </c>
      <c r="J138" s="196" t="str">
        <f>IFERROR(VLOOKUP(A138,Internal_lists_bugs!$A$2:$I2031,9,FALSE()),"please select a BUG ID")</f>
        <v>https://review.opendev.org/c/openstack/nova/+/31593</v>
      </c>
    </row>
    <row r="139">
      <c r="A139" s="16" t="s">
        <v>40</v>
      </c>
      <c r="B139" s="50" t="str">
        <f>IFERROR(HYPERLINK(VLOOKUP(A139,Internal_lists_bugs!$A$2:$C$73,3,FALSE()), VLOOKUP(A139,Internal_lists_bugs!$A$2:$C$73,3,FALSE())&amp;Char(10) &amp; Char(10) &amp; VLOOKUP(A139,Internal_lists_bugs!$A$2:$Z$73,26,FALSE())),"please select a BUG ID")</f>
        <v>https://bugs.launchpad.net/nova/+bug/1300788
/vmwareapi/vmops.py</v>
      </c>
      <c r="C139" s="81" t="str">
        <f>IFERROR(SUBSTITUTE(VLOOKUP(A139,Internal_lists_bugs!$A$2:$G2031,7,FALSE()),"nova/commit","nova/src/commit"),"please select a BUG ID")</f>
        <v>https://opendev.org/openstack/nova/src/commit/e517e5668ab</v>
      </c>
      <c r="D139" s="30" t="s">
        <v>4812</v>
      </c>
      <c r="E139" s="16" t="s">
        <v>4813</v>
      </c>
      <c r="F139" s="54"/>
      <c r="H139" s="112" t="s">
        <v>4814</v>
      </c>
      <c r="I139" s="16" t="s">
        <v>4815</v>
      </c>
      <c r="J139" s="196" t="str">
        <f>IFERROR(VLOOKUP(A139,Internal_lists_bugs!$A$2:$I2031,9,FALSE()),"please select a BUG ID")</f>
        <v>https://review.opendev.org/c/openstack/nova/+/31593</v>
      </c>
    </row>
    <row r="140">
      <c r="A140" s="189" t="s">
        <v>37</v>
      </c>
      <c r="B140" s="198" t="str">
        <f>IFERROR(HYPERLINK(VLOOKUP(A140,Internal_lists_bugs!$A$2:$C$73,3,FALSE()), VLOOKUP(A140,Internal_lists_bugs!$A$2:$C$73,3,FALSE())&amp;Char(10) &amp; Char(10) &amp; VLOOKUP(A140,Internal_lists_bugs!$A$2:$Z$73,26,FALSE())),"please select a BUG ID")</f>
        <v>https://bugs.launchpad.net/nova/+bug/1314677
/cells/state.py</v>
      </c>
      <c r="C140" s="199" t="str">
        <f>IFERROR(SUBSTITUTE(VLOOKUP(A140,Internal_lists_bugs!$A$2:$G2031,7,FALSE()),"nova/commit","nova/src/commit"),"please select a BUG ID")</f>
        <v>https://opendev.org/openstack/nova/src/commit/88ab936</v>
      </c>
      <c r="D140" s="186" t="s">
        <v>4758</v>
      </c>
      <c r="E140" s="190" t="s">
        <v>4759</v>
      </c>
      <c r="F140" s="189" t="s">
        <v>4682</v>
      </c>
      <c r="G140" s="189" t="s">
        <v>4802</v>
      </c>
      <c r="H140" s="191" t="s">
        <v>4756</v>
      </c>
      <c r="I140" s="194" t="s">
        <v>4761</v>
      </c>
      <c r="J140" s="195" t="str">
        <f>IFERROR(VLOOKUP(A140,Internal_lists_bugs!$A$2:$I2031,9,FALSE()),"please select a BUG ID")</f>
        <v>https://review.opendev.org/c/openstack/nova/+/34464</v>
      </c>
      <c r="K140" s="193"/>
      <c r="L140" s="193"/>
    </row>
    <row r="141">
      <c r="A141" s="16" t="s">
        <v>37</v>
      </c>
      <c r="B141" s="50" t="str">
        <f>IFERROR(HYPERLINK(VLOOKUP(A141,Internal_lists_bugs!$A$2:$C$73,3,FALSE()), VLOOKUP(A141,Internal_lists_bugs!$A$2:$C$73,3,FALSE())&amp;Char(10) &amp; Char(10) &amp; VLOOKUP(A141,Internal_lists_bugs!$A$2:$Z$73,26,FALSE())),"please select a BUG ID")</f>
        <v>https://bugs.launchpad.net/nova/+bug/1314677
/cells/state.py</v>
      </c>
      <c r="C141" s="81" t="str">
        <f>IFERROR(SUBSTITUTE(VLOOKUP(A141,Internal_lists_bugs!$A$2:$G2031,7,FALSE()),"nova/commit","nova/src/commit"),"please select a BUG ID")</f>
        <v>https://opendev.org/openstack/nova/src/commit/88ab936</v>
      </c>
      <c r="D141" s="30" t="s">
        <v>4765</v>
      </c>
      <c r="E141" s="14" t="s">
        <v>4825</v>
      </c>
      <c r="F141" s="54"/>
      <c r="H141" s="112" t="s">
        <v>4763</v>
      </c>
      <c r="I141" s="16" t="s">
        <v>4797</v>
      </c>
      <c r="J141" s="196" t="str">
        <f>IFERROR(VLOOKUP(A141,Internal_lists_bugs!$A$2:$I2031,9,FALSE()),"please select a BUG ID")</f>
        <v>https://review.opendev.org/c/openstack/nova/+/34464</v>
      </c>
    </row>
    <row r="142">
      <c r="A142" s="16" t="s">
        <v>37</v>
      </c>
      <c r="B142" s="50" t="str">
        <f>IFERROR(HYPERLINK(VLOOKUP(A142,Internal_lists_bugs!$A$2:$C$73,3,FALSE()), VLOOKUP(A142,Internal_lists_bugs!$A$2:$C$73,3,FALSE())&amp;Char(10) &amp; Char(10) &amp; VLOOKUP(A142,Internal_lists_bugs!$A$2:$Z$73,26,FALSE())),"please select a BUG ID")</f>
        <v>https://bugs.launchpad.net/nova/+bug/1314677
/cells/state.py</v>
      </c>
      <c r="C142" s="81" t="str">
        <f>IFERROR(SUBSTITUTE(VLOOKUP(A142,Internal_lists_bugs!$A$2:$G2031,7,FALSE()),"nova/commit","nova/src/commit"),"please select a BUG ID")</f>
        <v>https://opendev.org/openstack/nova/src/commit/88ab936</v>
      </c>
      <c r="D142" s="30" t="s">
        <v>4686</v>
      </c>
      <c r="E142" s="63" t="s">
        <v>4768</v>
      </c>
      <c r="F142" s="54"/>
      <c r="H142" s="112" t="s">
        <v>4708</v>
      </c>
      <c r="I142" s="16" t="s">
        <v>4767</v>
      </c>
      <c r="J142" s="196" t="str">
        <f>IFERROR(VLOOKUP(A142,Internal_lists_bugs!$A$2:$I2031,9,FALSE()),"please select a BUG ID")</f>
        <v>https://review.opendev.org/c/openstack/nova/+/34464</v>
      </c>
    </row>
    <row r="143">
      <c r="A143" s="16" t="s">
        <v>37</v>
      </c>
      <c r="B143" s="50" t="str">
        <f>IFERROR(HYPERLINK(VLOOKUP(A143,Internal_lists_bugs!$A$2:$C$73,3,FALSE()), VLOOKUP(A143,Internal_lists_bugs!$A$2:$C$73,3,FALSE())&amp;Char(10) &amp; Char(10) &amp; VLOOKUP(A143,Internal_lists_bugs!$A$2:$Z$73,26,FALSE())),"please select a BUG ID")</f>
        <v>https://bugs.launchpad.net/nova/+bug/1314677
/cells/state.py</v>
      </c>
      <c r="C143" s="81" t="str">
        <f>IFERROR(SUBSTITUTE(VLOOKUP(A143,Internal_lists_bugs!$A$2:$G2031,7,FALSE()),"nova/commit","nova/src/commit"),"please select a BUG ID")</f>
        <v>https://opendev.org/openstack/nova/src/commit/88ab936</v>
      </c>
      <c r="D143" s="30" t="s">
        <v>4690</v>
      </c>
      <c r="E143" s="16" t="s">
        <v>4731</v>
      </c>
      <c r="F143" s="54"/>
      <c r="H143" s="112" t="s">
        <v>4696</v>
      </c>
      <c r="I143" s="16" t="s">
        <v>4731</v>
      </c>
      <c r="J143" s="196" t="str">
        <f>IFERROR(VLOOKUP(A143,Internal_lists_bugs!$A$2:$I2031,9,FALSE()),"please select a BUG ID")</f>
        <v>https://review.opendev.org/c/openstack/nova/+/34464</v>
      </c>
    </row>
    <row r="144">
      <c r="A144" s="16" t="s">
        <v>37</v>
      </c>
      <c r="B144" s="50" t="str">
        <f>IFERROR(HYPERLINK(VLOOKUP(A144,Internal_lists_bugs!$A$2:$C$73,3,FALSE()), VLOOKUP(A144,Internal_lists_bugs!$A$2:$C$73,3,FALSE())&amp;Char(10) &amp; Char(10) &amp; VLOOKUP(A144,Internal_lists_bugs!$A$2:$Z$73,26,FALSE())),"please select a BUG ID")</f>
        <v>https://bugs.launchpad.net/nova/+bug/1314677
/cells/state.py</v>
      </c>
      <c r="C144" s="81" t="str">
        <f>IFERROR(SUBSTITUTE(VLOOKUP(A144,Internal_lists_bugs!$A$2:$G2031,7,FALSE()),"nova/commit","nova/src/commit"),"please select a BUG ID")</f>
        <v>https://opendev.org/openstack/nova/src/commit/88ab936</v>
      </c>
      <c r="D144" s="30" t="s">
        <v>4702</v>
      </c>
      <c r="E144" s="16" t="s">
        <v>4770</v>
      </c>
      <c r="F144" s="54"/>
      <c r="H144" s="112" t="s">
        <v>4716</v>
      </c>
      <c r="I144" s="16" t="s">
        <v>4769</v>
      </c>
      <c r="J144" s="196" t="str">
        <f>IFERROR(VLOOKUP(A144,Internal_lists_bugs!$A$2:$I2031,9,FALSE()),"please select a BUG ID")</f>
        <v>https://review.opendev.org/c/openstack/nova/+/34464</v>
      </c>
    </row>
    <row r="145">
      <c r="A145" s="16" t="s">
        <v>37</v>
      </c>
      <c r="B145" s="50" t="str">
        <f>IFERROR(HYPERLINK(VLOOKUP(A145,Internal_lists_bugs!$A$2:$C$73,3,FALSE()), VLOOKUP(A145,Internal_lists_bugs!$A$2:$C$73,3,FALSE())&amp;Char(10) &amp; Char(10) &amp; VLOOKUP(A145,Internal_lists_bugs!$A$2:$Z$73,26,FALSE())),"please select a BUG ID")</f>
        <v>https://bugs.launchpad.net/nova/+bug/1314677
/cells/state.py</v>
      </c>
      <c r="C145" s="81" t="str">
        <f>IFERROR(SUBSTITUTE(VLOOKUP(A145,Internal_lists_bugs!$A$2:$G2031,7,FALSE()),"nova/commit","nova/src/commit"),"please select a BUG ID")</f>
        <v>https://opendev.org/openstack/nova/src/commit/88ab936</v>
      </c>
      <c r="D145" s="30" t="s">
        <v>4698</v>
      </c>
      <c r="E145" s="66" t="s">
        <v>4747</v>
      </c>
      <c r="F145" s="54"/>
      <c r="H145" s="112" t="s">
        <v>4708</v>
      </c>
      <c r="I145" s="16" t="s">
        <v>4771</v>
      </c>
      <c r="J145" s="196" t="str">
        <f>IFERROR(VLOOKUP(A145,Internal_lists_bugs!$A$2:$I2031,9,FALSE()),"please select a BUG ID")</f>
        <v>https://review.opendev.org/c/openstack/nova/+/34464</v>
      </c>
    </row>
    <row r="146">
      <c r="A146" s="16" t="s">
        <v>37</v>
      </c>
      <c r="B146" s="50" t="str">
        <f>IFERROR(HYPERLINK(VLOOKUP(A146,Internal_lists_bugs!$A$2:$C$73,3,FALSE()), VLOOKUP(A146,Internal_lists_bugs!$A$2:$C$73,3,FALSE())&amp;Char(10) &amp; Char(10) &amp; VLOOKUP(A146,Internal_lists_bugs!$A$2:$Z$73,26,FALSE())),"please select a BUG ID")</f>
        <v>https://bugs.launchpad.net/nova/+bug/1314677
/cells/state.py</v>
      </c>
      <c r="C146" s="81" t="str">
        <f>IFERROR(SUBSTITUTE(VLOOKUP(A146,Internal_lists_bugs!$A$2:$G2031,7,FALSE()),"nova/commit","nova/src/commit"),"please select a BUG ID")</f>
        <v>https://opendev.org/openstack/nova/src/commit/88ab936</v>
      </c>
      <c r="D146" s="30" t="s">
        <v>4772</v>
      </c>
      <c r="E146" s="14" t="s">
        <v>4826</v>
      </c>
      <c r="F146" s="54"/>
      <c r="H146" s="112" t="s">
        <v>4700</v>
      </c>
      <c r="I146" s="16" t="s">
        <v>4747</v>
      </c>
      <c r="J146" s="196" t="str">
        <f>IFERROR(VLOOKUP(A146,Internal_lists_bugs!$A$2:$I2031,9,FALSE()),"please select a BUG ID")</f>
        <v>https://review.opendev.org/c/openstack/nova/+/34464</v>
      </c>
    </row>
    <row r="147">
      <c r="A147" s="16" t="s">
        <v>37</v>
      </c>
      <c r="B147" s="50" t="str">
        <f>IFERROR(HYPERLINK(VLOOKUP(A147,Internal_lists_bugs!$A$2:$C$73,3,FALSE()), VLOOKUP(A147,Internal_lists_bugs!$A$2:$C$73,3,FALSE())&amp;Char(10) &amp; Char(10) &amp; VLOOKUP(A147,Internal_lists_bugs!$A$2:$Z$73,26,FALSE())),"please select a BUG ID")</f>
        <v>https://bugs.launchpad.net/nova/+bug/1314677
/cells/state.py</v>
      </c>
      <c r="C147" s="81" t="str">
        <f>IFERROR(SUBSTITUTE(VLOOKUP(A147,Internal_lists_bugs!$A$2:$G2031,7,FALSE()),"nova/commit","nova/src/commit"),"please select a BUG ID")</f>
        <v>https://opendev.org/openstack/nova/src/commit/88ab936</v>
      </c>
      <c r="D147" s="30" t="s">
        <v>4706</v>
      </c>
      <c r="E147" s="16" t="s">
        <v>4775</v>
      </c>
      <c r="F147" s="54"/>
      <c r="H147" s="112" t="s">
        <v>4684</v>
      </c>
      <c r="I147" s="16" t="s">
        <v>4774</v>
      </c>
      <c r="J147" s="196" t="str">
        <f>IFERROR(VLOOKUP(A147,Internal_lists_bugs!$A$2:$I2031,9,FALSE()),"please select a BUG ID")</f>
        <v>https://review.opendev.org/c/openstack/nova/+/34464</v>
      </c>
    </row>
    <row r="148">
      <c r="A148" s="16" t="s">
        <v>37</v>
      </c>
      <c r="B148" s="50" t="str">
        <f>IFERROR(HYPERLINK(VLOOKUP(A148,Internal_lists_bugs!$A$2:$C$73,3,FALSE()), VLOOKUP(A148,Internal_lists_bugs!$A$2:$C$73,3,FALSE())&amp;Char(10) &amp; Char(10) &amp; VLOOKUP(A148,Internal_lists_bugs!$A$2:$Z$73,26,FALSE())),"please select a BUG ID")</f>
        <v>https://bugs.launchpad.net/nova/+bug/1314677
/cells/state.py</v>
      </c>
      <c r="C148" s="81" t="str">
        <f>IFERROR(SUBSTITUTE(VLOOKUP(A148,Internal_lists_bugs!$A$2:$G2031,7,FALSE()),"nova/commit","nova/src/commit"),"please select a BUG ID")</f>
        <v>https://opendev.org/openstack/nova/src/commit/88ab936</v>
      </c>
      <c r="D148" s="30" t="s">
        <v>4710</v>
      </c>
      <c r="E148" s="16" t="s">
        <v>4775</v>
      </c>
      <c r="F148" s="54"/>
      <c r="H148" s="112" t="s">
        <v>4712</v>
      </c>
      <c r="I148" s="16" t="s">
        <v>4776</v>
      </c>
      <c r="J148" s="196" t="str">
        <f>IFERROR(VLOOKUP(A148,Internal_lists_bugs!$A$2:$I2031,9,FALSE()),"please select a BUG ID")</f>
        <v>https://review.opendev.org/c/openstack/nova/+/34464</v>
      </c>
    </row>
    <row r="149">
      <c r="A149" s="16" t="s">
        <v>37</v>
      </c>
      <c r="B149" s="50" t="str">
        <f>IFERROR(HYPERLINK(VLOOKUP(A149,Internal_lists_bugs!$A$2:$C$73,3,FALSE()), VLOOKUP(A149,Internal_lists_bugs!$A$2:$C$73,3,FALSE())&amp;Char(10) &amp; Char(10) &amp; VLOOKUP(A149,Internal_lists_bugs!$A$2:$Z$73,26,FALSE())),"please select a BUG ID")</f>
        <v>https://bugs.launchpad.net/nova/+bug/1314677
/cells/state.py</v>
      </c>
      <c r="C149" s="81" t="str">
        <f>IFERROR(SUBSTITUTE(VLOOKUP(A149,Internal_lists_bugs!$A$2:$G2031,7,FALSE()),"nova/commit","nova/src/commit"),"please select a BUG ID")</f>
        <v>https://opendev.org/openstack/nova/src/commit/88ab936</v>
      </c>
      <c r="D149" s="30" t="s">
        <v>1325</v>
      </c>
      <c r="E149" s="16" t="s">
        <v>4751</v>
      </c>
      <c r="F149" s="54"/>
      <c r="H149" s="112" t="s">
        <v>4777</v>
      </c>
      <c r="I149" s="16" t="s">
        <v>4778</v>
      </c>
      <c r="J149" s="196" t="str">
        <f>IFERROR(VLOOKUP(A149,Internal_lists_bugs!$A$2:$I2031,9,FALSE()),"please select a BUG ID")</f>
        <v>https://review.opendev.org/c/openstack/nova/+/34464</v>
      </c>
    </row>
    <row r="150">
      <c r="A150" s="16" t="s">
        <v>37</v>
      </c>
      <c r="B150" s="50" t="str">
        <f>IFERROR(HYPERLINK(VLOOKUP(A150,Internal_lists_bugs!$A$2:$C$73,3,FALSE()), VLOOKUP(A150,Internal_lists_bugs!$A$2:$C$73,3,FALSE())&amp;Char(10) &amp; Char(10) &amp; VLOOKUP(A150,Internal_lists_bugs!$A$2:$Z$73,26,FALSE())),"please select a BUG ID")</f>
        <v>https://bugs.launchpad.net/nova/+bug/1314677
/cells/state.py</v>
      </c>
      <c r="C150" s="81" t="str">
        <f>IFERROR(SUBSTITUTE(VLOOKUP(A150,Internal_lists_bugs!$A$2:$G2031,7,FALSE()),"nova/commit","nova/src/commit"),"please select a BUG ID")</f>
        <v>https://opendev.org/openstack/nova/src/commit/88ab936</v>
      </c>
      <c r="D150" s="30" t="s">
        <v>4680</v>
      </c>
      <c r="E150" s="16" t="s">
        <v>4789</v>
      </c>
      <c r="F150" s="54"/>
      <c r="H150" s="112" t="s">
        <v>4704</v>
      </c>
      <c r="I150" s="16" t="s">
        <v>4752</v>
      </c>
      <c r="J150" s="196" t="str">
        <f>IFERROR(VLOOKUP(A150,Internal_lists_bugs!$A$2:$I2031,9,FALSE()),"please select a BUG ID")</f>
        <v>https://review.opendev.org/c/openstack/nova/+/34464</v>
      </c>
    </row>
    <row r="151">
      <c r="A151" s="16" t="s">
        <v>37</v>
      </c>
      <c r="B151" s="50" t="str">
        <f>IFERROR(HYPERLINK(VLOOKUP(A151,Internal_lists_bugs!$A$2:$C$73,3,FALSE()), VLOOKUP(A151,Internal_lists_bugs!$A$2:$C$73,3,FALSE())&amp;Char(10) &amp; Char(10) &amp; VLOOKUP(A151,Internal_lists_bugs!$A$2:$Z$73,26,FALSE())),"please select a BUG ID")</f>
        <v>https://bugs.launchpad.net/nova/+bug/1314677
/cells/state.py</v>
      </c>
      <c r="C151" s="81" t="str">
        <f>IFERROR(SUBSTITUTE(VLOOKUP(A151,Internal_lists_bugs!$A$2:$G2031,7,FALSE()),"nova/commit","nova/src/commit"),"please select a BUG ID")</f>
        <v>https://opendev.org/openstack/nova/src/commit/88ab936</v>
      </c>
      <c r="D151" s="30" t="s">
        <v>4754</v>
      </c>
      <c r="E151" s="16" t="s">
        <v>4755</v>
      </c>
      <c r="F151" s="54"/>
      <c r="H151" s="112" t="s">
        <v>4749</v>
      </c>
      <c r="I151" s="16" t="s">
        <v>4779</v>
      </c>
      <c r="J151" s="196" t="str">
        <f>IFERROR(VLOOKUP(A151,Internal_lists_bugs!$A$2:$I2031,9,FALSE()),"please select a BUG ID")</f>
        <v>https://review.opendev.org/c/openstack/nova/+/34464</v>
      </c>
    </row>
    <row r="152">
      <c r="A152" s="16" t="s">
        <v>37</v>
      </c>
      <c r="B152" s="50" t="str">
        <f>IFERROR(HYPERLINK(VLOOKUP(A152,Internal_lists_bugs!$A$2:$C$73,3,FALSE()), VLOOKUP(A152,Internal_lists_bugs!$A$2:$C$73,3,FALSE())&amp;Char(10) &amp; Char(10) &amp; VLOOKUP(A152,Internal_lists_bugs!$A$2:$Z$73,26,FALSE())),"please select a BUG ID")</f>
        <v>https://bugs.launchpad.net/nova/+bug/1314677
/cells/state.py</v>
      </c>
      <c r="C152" s="81" t="str">
        <f>IFERROR(SUBSTITUTE(VLOOKUP(A152,Internal_lists_bugs!$A$2:$G2031,7,FALSE()),"nova/commit","nova/src/commit"),"please select a BUG ID")</f>
        <v>https://opendev.org/openstack/nova/src/commit/88ab936</v>
      </c>
      <c r="D152" s="30" t="s">
        <v>4714</v>
      </c>
      <c r="E152" s="16" t="s">
        <v>4738</v>
      </c>
      <c r="F152" s="54"/>
      <c r="H152" s="112" t="s">
        <v>4782</v>
      </c>
      <c r="I152" s="16" t="s">
        <v>4783</v>
      </c>
      <c r="J152" s="196" t="str">
        <f>IFERROR(VLOOKUP(A152,Internal_lists_bugs!$A$2:$I2031,9,FALSE()),"please select a BUG ID")</f>
        <v>https://review.opendev.org/c/openstack/nova/+/34464</v>
      </c>
    </row>
    <row r="153">
      <c r="A153" s="16" t="s">
        <v>37</v>
      </c>
      <c r="B153" s="50" t="str">
        <f>IFERROR(HYPERLINK(VLOOKUP(A153,Internal_lists_bugs!$A$2:$C$73,3,FALSE()), VLOOKUP(A153,Internal_lists_bugs!$A$2:$C$73,3,FALSE())&amp;Char(10) &amp; Char(10) &amp; VLOOKUP(A153,Internal_lists_bugs!$A$2:$Z$73,26,FALSE())),"please select a BUG ID")</f>
        <v>https://bugs.launchpad.net/nova/+bug/1314677
/cells/state.py</v>
      </c>
      <c r="C153" s="81" t="str">
        <f>IFERROR(SUBSTITUTE(VLOOKUP(A153,Internal_lists_bugs!$A$2:$G2031,7,FALSE()),"nova/commit","nova/src/commit"),"please select a BUG ID")</f>
        <v>https://opendev.org/openstack/nova/src/commit/88ab936</v>
      </c>
      <c r="D153" s="30" t="s">
        <v>4807</v>
      </c>
      <c r="E153" s="16" t="s">
        <v>4822</v>
      </c>
      <c r="F153" s="54"/>
      <c r="H153" s="112" t="s">
        <v>4801</v>
      </c>
      <c r="I153" s="16" t="s">
        <v>4806</v>
      </c>
      <c r="J153" s="196" t="str">
        <f>IFERROR(VLOOKUP(A153,Internal_lists_bugs!$A$2:$I2031,9,FALSE()),"please select a BUG ID")</f>
        <v>https://review.opendev.org/c/openstack/nova/+/34464</v>
      </c>
    </row>
    <row r="154">
      <c r="A154" s="16" t="s">
        <v>37</v>
      </c>
      <c r="B154" s="50" t="str">
        <f>IFERROR(HYPERLINK(VLOOKUP(A154,Internal_lists_bugs!$A$2:$C$73,3,FALSE()), VLOOKUP(A154,Internal_lists_bugs!$A$2:$C$73,3,FALSE())&amp;Char(10) &amp; Char(10) &amp; VLOOKUP(A154,Internal_lists_bugs!$A$2:$Z$73,26,FALSE())),"please select a BUG ID")</f>
        <v>https://bugs.launchpad.net/nova/+bug/1314677
/cells/state.py</v>
      </c>
      <c r="C154" s="81" t="str">
        <f>IFERROR(SUBSTITUTE(VLOOKUP(A154,Internal_lists_bugs!$A$2:$G2031,7,FALSE()),"nova/commit","nova/src/commit"),"please select a BUG ID")</f>
        <v>https://opendev.org/openstack/nova/src/commit/88ab936</v>
      </c>
      <c r="D154" s="30" t="s">
        <v>4812</v>
      </c>
      <c r="E154" s="16" t="s">
        <v>4813</v>
      </c>
      <c r="F154" s="54"/>
      <c r="H154" s="112" t="s">
        <v>4818</v>
      </c>
      <c r="I154" s="14" t="s">
        <v>4827</v>
      </c>
      <c r="J154" s="196" t="str">
        <f>IFERROR(VLOOKUP(A154,Internal_lists_bugs!$A$2:$I2031,9,FALSE()),"please select a BUG ID")</f>
        <v>https://review.opendev.org/c/openstack/nova/+/34464</v>
      </c>
    </row>
    <row r="155">
      <c r="A155" s="16" t="s">
        <v>37</v>
      </c>
      <c r="B155" s="50" t="str">
        <f>IFERROR(HYPERLINK(VLOOKUP(A155,Internal_lists_bugs!$A$2:$C$73,3,FALSE()), VLOOKUP(A155,Internal_lists_bugs!$A$2:$C$73,3,FALSE())&amp;Char(10) &amp; Char(10) &amp; VLOOKUP(A155,Internal_lists_bugs!$A$2:$Z$73,26,FALSE())),"please select a BUG ID")</f>
        <v>https://bugs.launchpad.net/nova/+bug/1314677
/cells/state.py</v>
      </c>
      <c r="C155" s="81" t="str">
        <f>IFERROR(SUBSTITUTE(VLOOKUP(A155,Internal_lists_bugs!$A$2:$G2031,7,FALSE()),"nova/commit","nova/src/commit"),"please select a BUG ID")</f>
        <v>https://opendev.org/openstack/nova/src/commit/88ab936</v>
      </c>
      <c r="D155" s="54"/>
      <c r="F155" s="54"/>
      <c r="H155" s="112" t="s">
        <v>4816</v>
      </c>
      <c r="I155" s="14" t="s">
        <v>4828</v>
      </c>
      <c r="J155" s="196" t="str">
        <f>IFERROR(VLOOKUP(A155,Internal_lists_bugs!$A$2:$I2031,9,FALSE()),"please select a BUG ID")</f>
        <v>https://review.opendev.org/c/openstack/nova/+/34464</v>
      </c>
    </row>
    <row r="156">
      <c r="A156" s="16" t="s">
        <v>37</v>
      </c>
      <c r="B156" s="50" t="str">
        <f>IFERROR(HYPERLINK(VLOOKUP(A156,Internal_lists_bugs!$A$2:$C$73,3,FALSE()), VLOOKUP(A156,Internal_lists_bugs!$A$2:$C$73,3,FALSE())&amp;Char(10) &amp; Char(10) &amp; VLOOKUP(A156,Internal_lists_bugs!$A$2:$Z$73,26,FALSE())),"please select a BUG ID")</f>
        <v>https://bugs.launchpad.net/nova/+bug/1314677
/cells/state.py</v>
      </c>
      <c r="C156" s="81" t="str">
        <f>IFERROR(SUBSTITUTE(VLOOKUP(A156,Internal_lists_bugs!$A$2:$G2031,7,FALSE()),"nova/commit","nova/src/commit"),"please select a BUG ID")</f>
        <v>https://opendev.org/openstack/nova/src/commit/88ab936</v>
      </c>
      <c r="D156" s="54"/>
      <c r="F156" s="54"/>
      <c r="H156" s="112" t="s">
        <v>4814</v>
      </c>
      <c r="I156" s="16" t="s">
        <v>4815</v>
      </c>
      <c r="J156" s="196" t="str">
        <f>IFERROR(VLOOKUP(A156,Internal_lists_bugs!$A$2:$I2031,9,FALSE()),"please select a BUG ID")</f>
        <v>https://review.opendev.org/c/openstack/nova/+/34464</v>
      </c>
    </row>
    <row r="157">
      <c r="A157" s="189" t="s">
        <v>53</v>
      </c>
      <c r="B157" s="198" t="str">
        <f>IFERROR(HYPERLINK(VLOOKUP(A157,Internal_lists_bugs!$A$2:$C$73,3,FALSE()), VLOOKUP(A157,Internal_lists_bugs!$A$2:$C$73,3,FALSE())&amp;Char(10) &amp; Char(10) &amp; VLOOKUP(A157,Internal_lists_bugs!$A$2:$Z$73,26,FALSE())),"please select a BUG ID")</f>
        <v>https://bugs.launchpad.net/nova/+bug/1336127
/compute/manager.py</v>
      </c>
      <c r="C157" s="199" t="str">
        <f>IFERROR(SUBSTITUTE(VLOOKUP(A157,Internal_lists_bugs!$A$2:$G2031,7,FALSE()),"nova/commit","nova/src/commit"),"please select a BUG ID")</f>
        <v>https://opendev.org/openstack/nova/src/commit/2c62e34</v>
      </c>
      <c r="D157" s="189" t="s">
        <v>4758</v>
      </c>
      <c r="E157" s="190" t="s">
        <v>4759</v>
      </c>
      <c r="F157" s="189" t="s">
        <v>4682</v>
      </c>
      <c r="G157" s="189" t="s">
        <v>4802</v>
      </c>
      <c r="H157" s="191" t="s">
        <v>4756</v>
      </c>
      <c r="I157" s="194" t="s">
        <v>4761</v>
      </c>
      <c r="J157" s="195" t="str">
        <f>IFERROR(VLOOKUP(A157,Internal_lists_bugs!$A$2:$I2031,9,FALSE()),"please select a BUG ID")</f>
        <v>https://review.opendev.org/c/openstack/nova/+/42389</v>
      </c>
      <c r="K157" s="193"/>
      <c r="L157" s="193"/>
    </row>
    <row r="158">
      <c r="A158" s="16" t="s">
        <v>53</v>
      </c>
      <c r="B158" s="50" t="str">
        <f>IFERROR(HYPERLINK(VLOOKUP(A158,Internal_lists_bugs!$A$2:$C$73,3,FALSE()), VLOOKUP(A158,Internal_lists_bugs!$A$2:$C$73,3,FALSE())&amp;Char(10) &amp; Char(10) &amp; VLOOKUP(A158,Internal_lists_bugs!$A$2:$Z$73,26,FALSE())),"please select a BUG ID")</f>
        <v>https://bugs.launchpad.net/nova/+bug/1336127
/compute/manager.py</v>
      </c>
      <c r="C158" s="81" t="str">
        <f>IFERROR(SUBSTITUTE(VLOOKUP(A158,Internal_lists_bugs!$A$2:$G2031,7,FALSE()),"nova/commit","nova/src/commit"),"please select a BUG ID")</f>
        <v>https://opendev.org/openstack/nova/src/commit/2c62e34</v>
      </c>
      <c r="D158" s="16" t="s">
        <v>4765</v>
      </c>
      <c r="E158" s="14" t="s">
        <v>4829</v>
      </c>
      <c r="F158" s="54"/>
      <c r="H158" s="112" t="s">
        <v>4763</v>
      </c>
      <c r="I158" s="16" t="s">
        <v>4797</v>
      </c>
      <c r="J158" s="196" t="str">
        <f>IFERROR(VLOOKUP(A158,Internal_lists_bugs!$A$2:$I2031,9,FALSE()),"please select a BUG ID")</f>
        <v>https://review.opendev.org/c/openstack/nova/+/42389</v>
      </c>
    </row>
    <row r="159">
      <c r="A159" s="16" t="s">
        <v>53</v>
      </c>
      <c r="B159" s="50" t="str">
        <f>IFERROR(HYPERLINK(VLOOKUP(A159,Internal_lists_bugs!$A$2:$C$73,3,FALSE()), VLOOKUP(A159,Internal_lists_bugs!$A$2:$C$73,3,FALSE())&amp;Char(10) &amp; Char(10) &amp; VLOOKUP(A159,Internal_lists_bugs!$A$2:$Z$73,26,FALSE())),"please select a BUG ID")</f>
        <v>https://bugs.launchpad.net/nova/+bug/1336127
/compute/manager.py</v>
      </c>
      <c r="C159" s="81" t="str">
        <f>IFERROR(SUBSTITUTE(VLOOKUP(A159,Internal_lists_bugs!$A$2:$G2031,7,FALSE()),"nova/commit","nova/src/commit"),"please select a BUG ID")</f>
        <v>https://opendev.org/openstack/nova/src/commit/2c62e34</v>
      </c>
      <c r="D159" s="16" t="s">
        <v>4686</v>
      </c>
      <c r="E159" s="63" t="s">
        <v>4768</v>
      </c>
      <c r="F159" s="54"/>
      <c r="H159" s="112" t="s">
        <v>4708</v>
      </c>
      <c r="I159" s="16" t="s">
        <v>4767</v>
      </c>
      <c r="J159" s="196" t="str">
        <f>IFERROR(VLOOKUP(A159,Internal_lists_bugs!$A$2:$I2031,9,FALSE()),"please select a BUG ID")</f>
        <v>https://review.opendev.org/c/openstack/nova/+/42389</v>
      </c>
    </row>
    <row r="160">
      <c r="A160" s="16" t="s">
        <v>53</v>
      </c>
      <c r="B160" s="50" t="str">
        <f>IFERROR(HYPERLINK(VLOOKUP(A160,Internal_lists_bugs!$A$2:$C$73,3,FALSE()), VLOOKUP(A160,Internal_lists_bugs!$A$2:$C$73,3,FALSE())&amp;Char(10) &amp; Char(10) &amp; VLOOKUP(A160,Internal_lists_bugs!$A$2:$Z$73,26,FALSE())),"please select a BUG ID")</f>
        <v>https://bugs.launchpad.net/nova/+bug/1336127
/compute/manager.py</v>
      </c>
      <c r="C160" s="81" t="str">
        <f>IFERROR(SUBSTITUTE(VLOOKUP(A160,Internal_lists_bugs!$A$2:$G2031,7,FALSE()),"nova/commit","nova/src/commit"),"please select a BUG ID")</f>
        <v>https://opendev.org/openstack/nova/src/commit/2c62e34</v>
      </c>
      <c r="D160" s="16" t="s">
        <v>4690</v>
      </c>
      <c r="E160" s="16" t="s">
        <v>4731</v>
      </c>
      <c r="F160" s="54"/>
      <c r="H160" s="112" t="s">
        <v>4696</v>
      </c>
      <c r="I160" s="16" t="s">
        <v>4731</v>
      </c>
      <c r="J160" s="196" t="str">
        <f>IFERROR(VLOOKUP(A160,Internal_lists_bugs!$A$2:$I2031,9,FALSE()),"please select a BUG ID")</f>
        <v>https://review.opendev.org/c/openstack/nova/+/42389</v>
      </c>
    </row>
    <row r="161">
      <c r="A161" s="16" t="s">
        <v>53</v>
      </c>
      <c r="B161" s="50" t="str">
        <f>IFERROR(HYPERLINK(VLOOKUP(A161,Internal_lists_bugs!$A$2:$C$73,3,FALSE()), VLOOKUP(A161,Internal_lists_bugs!$A$2:$C$73,3,FALSE())&amp;Char(10) &amp; Char(10) &amp; VLOOKUP(A161,Internal_lists_bugs!$A$2:$Z$73,26,FALSE())),"please select a BUG ID")</f>
        <v>https://bugs.launchpad.net/nova/+bug/1336127
/compute/manager.py</v>
      </c>
      <c r="C161" s="81" t="str">
        <f>IFERROR(SUBSTITUTE(VLOOKUP(A161,Internal_lists_bugs!$A$2:$G2031,7,FALSE()),"nova/commit","nova/src/commit"),"please select a BUG ID")</f>
        <v>https://opendev.org/openstack/nova/src/commit/2c62e34</v>
      </c>
      <c r="D161" s="16" t="s">
        <v>4702</v>
      </c>
      <c r="E161" s="16" t="s">
        <v>4770</v>
      </c>
      <c r="F161" s="54"/>
      <c r="H161" s="112" t="s">
        <v>4716</v>
      </c>
      <c r="I161" s="16" t="s">
        <v>4769</v>
      </c>
      <c r="J161" s="196" t="str">
        <f>IFERROR(VLOOKUP(A161,Internal_lists_bugs!$A$2:$I2031,9,FALSE()),"please select a BUG ID")</f>
        <v>https://review.opendev.org/c/openstack/nova/+/42389</v>
      </c>
    </row>
    <row r="162">
      <c r="A162" s="16" t="s">
        <v>53</v>
      </c>
      <c r="B162" s="50" t="str">
        <f>IFERROR(HYPERLINK(VLOOKUP(A162,Internal_lists_bugs!$A$2:$C$73,3,FALSE()), VLOOKUP(A162,Internal_lists_bugs!$A$2:$C$73,3,FALSE())&amp;Char(10) &amp; Char(10) &amp; VLOOKUP(A162,Internal_lists_bugs!$A$2:$Z$73,26,FALSE())),"please select a BUG ID")</f>
        <v>https://bugs.launchpad.net/nova/+bug/1336127
/compute/manager.py</v>
      </c>
      <c r="C162" s="81" t="str">
        <f>IFERROR(SUBSTITUTE(VLOOKUP(A162,Internal_lists_bugs!$A$2:$G2031,7,FALSE()),"nova/commit","nova/src/commit"),"please select a BUG ID")</f>
        <v>https://opendev.org/openstack/nova/src/commit/2c62e34</v>
      </c>
      <c r="D162" s="16" t="s">
        <v>4698</v>
      </c>
      <c r="E162" s="66" t="s">
        <v>4747</v>
      </c>
      <c r="F162" s="54"/>
      <c r="H162" s="112" t="s">
        <v>4708</v>
      </c>
      <c r="I162" s="16" t="s">
        <v>4771</v>
      </c>
      <c r="J162" s="196" t="str">
        <f>IFERROR(VLOOKUP(A162,Internal_lists_bugs!$A$2:$I2031,9,FALSE()),"please select a BUG ID")</f>
        <v>https://review.opendev.org/c/openstack/nova/+/42389</v>
      </c>
    </row>
    <row r="163">
      <c r="A163" s="16" t="s">
        <v>53</v>
      </c>
      <c r="B163" s="50" t="str">
        <f>IFERROR(HYPERLINK(VLOOKUP(A163,Internal_lists_bugs!$A$2:$C$73,3,FALSE()), VLOOKUP(A163,Internal_lists_bugs!$A$2:$C$73,3,FALSE())&amp;Char(10) &amp; Char(10) &amp; VLOOKUP(A163,Internal_lists_bugs!$A$2:$Z$73,26,FALSE())),"please select a BUG ID")</f>
        <v>https://bugs.launchpad.net/nova/+bug/1336127
/compute/manager.py</v>
      </c>
      <c r="C163" s="81" t="str">
        <f>IFERROR(SUBSTITUTE(VLOOKUP(A163,Internal_lists_bugs!$A$2:$G2031,7,FALSE()),"nova/commit","nova/src/commit"),"please select a BUG ID")</f>
        <v>https://opendev.org/openstack/nova/src/commit/2c62e34</v>
      </c>
      <c r="D163" s="16" t="s">
        <v>4772</v>
      </c>
      <c r="E163" s="14" t="s">
        <v>4830</v>
      </c>
      <c r="F163" s="54"/>
      <c r="H163" s="112" t="s">
        <v>4700</v>
      </c>
      <c r="I163" s="16" t="s">
        <v>4747</v>
      </c>
      <c r="J163" s="196" t="str">
        <f>IFERROR(VLOOKUP(A163,Internal_lists_bugs!$A$2:$I2031,9,FALSE()),"please select a BUG ID")</f>
        <v>https://review.opendev.org/c/openstack/nova/+/42389</v>
      </c>
    </row>
    <row r="164">
      <c r="A164" s="16" t="s">
        <v>53</v>
      </c>
      <c r="B164" s="50" t="str">
        <f>IFERROR(HYPERLINK(VLOOKUP(A164,Internal_lists_bugs!$A$2:$C$73,3,FALSE()), VLOOKUP(A164,Internal_lists_bugs!$A$2:$C$73,3,FALSE())&amp;Char(10) &amp; Char(10) &amp; VLOOKUP(A164,Internal_lists_bugs!$A$2:$Z$73,26,FALSE())),"please select a BUG ID")</f>
        <v>https://bugs.launchpad.net/nova/+bug/1336127
/compute/manager.py</v>
      </c>
      <c r="C164" s="81" t="str">
        <f>IFERROR(SUBSTITUTE(VLOOKUP(A164,Internal_lists_bugs!$A$2:$G2031,7,FALSE()),"nova/commit","nova/src/commit"),"please select a BUG ID")</f>
        <v>https://opendev.org/openstack/nova/src/commit/2c62e34</v>
      </c>
      <c r="D164" s="16" t="s">
        <v>4706</v>
      </c>
      <c r="E164" s="16" t="s">
        <v>4775</v>
      </c>
      <c r="F164" s="54"/>
      <c r="H164" s="112" t="s">
        <v>4684</v>
      </c>
      <c r="I164" s="16" t="s">
        <v>4774</v>
      </c>
      <c r="J164" s="196" t="str">
        <f>IFERROR(VLOOKUP(A164,Internal_lists_bugs!$A$2:$I2031,9,FALSE()),"please select a BUG ID")</f>
        <v>https://review.opendev.org/c/openstack/nova/+/42389</v>
      </c>
    </row>
    <row r="165">
      <c r="A165" s="16" t="s">
        <v>53</v>
      </c>
      <c r="B165" s="50" t="str">
        <f>IFERROR(HYPERLINK(VLOOKUP(A165,Internal_lists_bugs!$A$2:$C$73,3,FALSE()), VLOOKUP(A165,Internal_lists_bugs!$A$2:$C$73,3,FALSE())&amp;Char(10) &amp; Char(10) &amp; VLOOKUP(A165,Internal_lists_bugs!$A$2:$Z$73,26,FALSE())),"please select a BUG ID")</f>
        <v>https://bugs.launchpad.net/nova/+bug/1336127
/compute/manager.py</v>
      </c>
      <c r="C165" s="81" t="str">
        <f>IFERROR(SUBSTITUTE(VLOOKUP(A165,Internal_lists_bugs!$A$2:$G2031,7,FALSE()),"nova/commit","nova/src/commit"),"please select a BUG ID")</f>
        <v>https://opendev.org/openstack/nova/src/commit/2c62e34</v>
      </c>
      <c r="D165" s="16" t="s">
        <v>4710</v>
      </c>
      <c r="E165" s="16" t="s">
        <v>4775</v>
      </c>
      <c r="F165" s="54"/>
      <c r="H165" s="112" t="s">
        <v>4712</v>
      </c>
      <c r="I165" s="16" t="s">
        <v>4776</v>
      </c>
      <c r="J165" s="196" t="str">
        <f>IFERROR(VLOOKUP(A165,Internal_lists_bugs!$A$2:$I2031,9,FALSE()),"please select a BUG ID")</f>
        <v>https://review.opendev.org/c/openstack/nova/+/42389</v>
      </c>
    </row>
    <row r="166">
      <c r="A166" s="16" t="s">
        <v>53</v>
      </c>
      <c r="B166" s="50" t="str">
        <f>IFERROR(HYPERLINK(VLOOKUP(A166,Internal_lists_bugs!$A$2:$C$73,3,FALSE()), VLOOKUP(A166,Internal_lists_bugs!$A$2:$C$73,3,FALSE())&amp;Char(10) &amp; Char(10) &amp; VLOOKUP(A166,Internal_lists_bugs!$A$2:$Z$73,26,FALSE())),"please select a BUG ID")</f>
        <v>https://bugs.launchpad.net/nova/+bug/1336127
/compute/manager.py</v>
      </c>
      <c r="C166" s="81" t="str">
        <f>IFERROR(SUBSTITUTE(VLOOKUP(A166,Internal_lists_bugs!$A$2:$G2031,7,FALSE()),"nova/commit","nova/src/commit"),"please select a BUG ID")</f>
        <v>https://opendev.org/openstack/nova/src/commit/2c62e34</v>
      </c>
      <c r="D166" s="16" t="s">
        <v>1325</v>
      </c>
      <c r="E166" s="16" t="s">
        <v>4751</v>
      </c>
      <c r="F166" s="54"/>
      <c r="H166" s="112" t="s">
        <v>4777</v>
      </c>
      <c r="I166" s="16" t="s">
        <v>4778</v>
      </c>
      <c r="J166" s="196" t="str">
        <f>IFERROR(VLOOKUP(A166,Internal_lists_bugs!$A$2:$I2031,9,FALSE()),"please select a BUG ID")</f>
        <v>https://review.opendev.org/c/openstack/nova/+/42389</v>
      </c>
    </row>
    <row r="167">
      <c r="A167" s="16" t="s">
        <v>53</v>
      </c>
      <c r="B167" s="50" t="str">
        <f>IFERROR(HYPERLINK(VLOOKUP(A167,Internal_lists_bugs!$A$2:$C$73,3,FALSE()), VLOOKUP(A167,Internal_lists_bugs!$A$2:$C$73,3,FALSE())&amp;Char(10) &amp; Char(10) &amp; VLOOKUP(A167,Internal_lists_bugs!$A$2:$Z$73,26,FALSE())),"please select a BUG ID")</f>
        <v>https://bugs.launchpad.net/nova/+bug/1336127
/compute/manager.py</v>
      </c>
      <c r="C167" s="81" t="str">
        <f>IFERROR(SUBSTITUTE(VLOOKUP(A167,Internal_lists_bugs!$A$2:$G2031,7,FALSE()),"nova/commit","nova/src/commit"),"please select a BUG ID")</f>
        <v>https://opendev.org/openstack/nova/src/commit/2c62e34</v>
      </c>
      <c r="D167" s="16" t="s">
        <v>4680</v>
      </c>
      <c r="E167" s="16" t="s">
        <v>4789</v>
      </c>
      <c r="F167" s="54"/>
      <c r="H167" s="112" t="s">
        <v>4704</v>
      </c>
      <c r="I167" s="16" t="s">
        <v>4752</v>
      </c>
      <c r="J167" s="196" t="str">
        <f>IFERROR(VLOOKUP(A167,Internal_lists_bugs!$A$2:$I2031,9,FALSE()),"please select a BUG ID")</f>
        <v>https://review.opendev.org/c/openstack/nova/+/42389</v>
      </c>
    </row>
    <row r="168">
      <c r="A168" s="16" t="s">
        <v>53</v>
      </c>
      <c r="B168" s="50" t="str">
        <f>IFERROR(HYPERLINK(VLOOKUP(A168,Internal_lists_bugs!$A$2:$C$73,3,FALSE()), VLOOKUP(A168,Internal_lists_bugs!$A$2:$C$73,3,FALSE())&amp;Char(10) &amp; Char(10) &amp; VLOOKUP(A168,Internal_lists_bugs!$A$2:$Z$73,26,FALSE())),"please select a BUG ID")</f>
        <v>https://bugs.launchpad.net/nova/+bug/1336127
/compute/manager.py</v>
      </c>
      <c r="C168" s="81" t="str">
        <f>IFERROR(SUBSTITUTE(VLOOKUP(A168,Internal_lists_bugs!$A$2:$G2031,7,FALSE()),"nova/commit","nova/src/commit"),"please select a BUG ID")</f>
        <v>https://opendev.org/openstack/nova/src/commit/2c62e34</v>
      </c>
      <c r="D168" s="16" t="s">
        <v>4754</v>
      </c>
      <c r="E168" s="16" t="s">
        <v>4755</v>
      </c>
      <c r="F168" s="54"/>
      <c r="H168" s="112" t="s">
        <v>4749</v>
      </c>
      <c r="I168" s="16" t="s">
        <v>4779</v>
      </c>
      <c r="J168" s="196" t="str">
        <f>IFERROR(VLOOKUP(A168,Internal_lists_bugs!$A$2:$I2031,9,FALSE()),"please select a BUG ID")</f>
        <v>https://review.opendev.org/c/openstack/nova/+/42389</v>
      </c>
    </row>
    <row r="169">
      <c r="A169" s="16" t="s">
        <v>53</v>
      </c>
      <c r="B169" s="50" t="str">
        <f>IFERROR(HYPERLINK(VLOOKUP(A169,Internal_lists_bugs!$A$2:$C$73,3,FALSE()), VLOOKUP(A169,Internal_lists_bugs!$A$2:$C$73,3,FALSE())&amp;Char(10) &amp; Char(10) &amp; VLOOKUP(A169,Internal_lists_bugs!$A$2:$Z$73,26,FALSE())),"please select a BUG ID")</f>
        <v>https://bugs.launchpad.net/nova/+bug/1336127
/compute/manager.py</v>
      </c>
      <c r="C169" s="81" t="str">
        <f>IFERROR(SUBSTITUTE(VLOOKUP(A169,Internal_lists_bugs!$A$2:$G2031,7,FALSE()),"nova/commit","nova/src/commit"),"please select a BUG ID")</f>
        <v>https://opendev.org/openstack/nova/src/commit/2c62e34</v>
      </c>
      <c r="D169" s="16" t="s">
        <v>4714</v>
      </c>
      <c r="E169" s="16" t="s">
        <v>4738</v>
      </c>
      <c r="F169" s="54"/>
      <c r="H169" s="112" t="s">
        <v>4782</v>
      </c>
      <c r="I169" s="16" t="s">
        <v>4783</v>
      </c>
      <c r="J169" s="196" t="str">
        <f>IFERROR(VLOOKUP(A169,Internal_lists_bugs!$A$2:$I2031,9,FALSE()),"please select a BUG ID")</f>
        <v>https://review.opendev.org/c/openstack/nova/+/42389</v>
      </c>
    </row>
    <row r="170">
      <c r="A170" s="16" t="s">
        <v>53</v>
      </c>
      <c r="B170" s="50" t="str">
        <f>IFERROR(HYPERLINK(VLOOKUP(A170,Internal_lists_bugs!$A$2:$C$73,3,FALSE()), VLOOKUP(A170,Internal_lists_bugs!$A$2:$C$73,3,FALSE())&amp;Char(10) &amp; Char(10) &amp; VLOOKUP(A170,Internal_lists_bugs!$A$2:$Z$73,26,FALSE())),"please select a BUG ID")</f>
        <v>https://bugs.launchpad.net/nova/+bug/1336127
/compute/manager.py</v>
      </c>
      <c r="C170" s="81" t="str">
        <f>IFERROR(SUBSTITUTE(VLOOKUP(A170,Internal_lists_bugs!$A$2:$G2031,7,FALSE()),"nova/commit","nova/src/commit"),"please select a BUG ID")</f>
        <v>https://opendev.org/openstack/nova/src/commit/2c62e34</v>
      </c>
      <c r="D170" s="16" t="s">
        <v>4807</v>
      </c>
      <c r="E170" s="16" t="s">
        <v>4822</v>
      </c>
      <c r="F170" s="54"/>
      <c r="H170" s="112" t="s">
        <v>4801</v>
      </c>
      <c r="I170" s="16" t="s">
        <v>4806</v>
      </c>
      <c r="J170" s="196" t="str">
        <f>IFERROR(VLOOKUP(A170,Internal_lists_bugs!$A$2:$I2031,9,FALSE()),"please select a BUG ID")</f>
        <v>https://review.opendev.org/c/openstack/nova/+/42389</v>
      </c>
    </row>
    <row r="171">
      <c r="A171" s="16" t="s">
        <v>53</v>
      </c>
      <c r="B171" s="50" t="str">
        <f>IFERROR(HYPERLINK(VLOOKUP(A171,Internal_lists_bugs!$A$2:$C$73,3,FALSE()), VLOOKUP(A171,Internal_lists_bugs!$A$2:$C$73,3,FALSE())&amp;Char(10) &amp; Char(10) &amp; VLOOKUP(A171,Internal_lists_bugs!$A$2:$Z$73,26,FALSE())),"please select a BUG ID")</f>
        <v>https://bugs.launchpad.net/nova/+bug/1336127
/compute/manager.py</v>
      </c>
      <c r="C171" s="81" t="str">
        <f>IFERROR(SUBSTITUTE(VLOOKUP(A171,Internal_lists_bugs!$A$2:$G2031,7,FALSE()),"nova/commit","nova/src/commit"),"please select a BUG ID")</f>
        <v>https://opendev.org/openstack/nova/src/commit/2c62e34</v>
      </c>
      <c r="D171" s="16"/>
      <c r="E171" s="16"/>
      <c r="F171" s="54"/>
      <c r="H171" s="112" t="s">
        <v>4831</v>
      </c>
      <c r="I171" s="14" t="s">
        <v>4832</v>
      </c>
      <c r="J171" s="196" t="str">
        <f>IFERROR(VLOOKUP(A171,Internal_lists_bugs!$A$2:$I2031,9,FALSE()),"please select a BUG ID")</f>
        <v>https://review.opendev.org/c/openstack/nova/+/42389</v>
      </c>
    </row>
    <row r="172">
      <c r="A172" s="16" t="s">
        <v>53</v>
      </c>
      <c r="B172" s="50" t="str">
        <f>IFERROR(HYPERLINK(VLOOKUP(A172,Internal_lists_bugs!$A$2:$C$73,3,FALSE()), VLOOKUP(A172,Internal_lists_bugs!$A$2:$C$73,3,FALSE())&amp;Char(10) &amp; Char(10) &amp; VLOOKUP(A172,Internal_lists_bugs!$A$2:$Z$73,26,FALSE())),"please select a BUG ID")</f>
        <v>https://bugs.launchpad.net/nova/+bug/1336127
/compute/manager.py</v>
      </c>
      <c r="C172" s="81" t="str">
        <f>IFERROR(SUBSTITUTE(VLOOKUP(A172,Internal_lists_bugs!$A$2:$G2031,7,FALSE()),"nova/commit","nova/src/commit"),"please select a BUG ID")</f>
        <v>https://opendev.org/openstack/nova/src/commit/2c62e34</v>
      </c>
      <c r="D172" s="16" t="s">
        <v>4812</v>
      </c>
      <c r="E172" s="16" t="s">
        <v>4813</v>
      </c>
      <c r="F172" s="54"/>
      <c r="H172" s="112" t="s">
        <v>4818</v>
      </c>
      <c r="I172" s="14" t="s">
        <v>4833</v>
      </c>
      <c r="J172" s="196" t="str">
        <f>IFERROR(VLOOKUP(A172,Internal_lists_bugs!$A$2:$I2031,9,FALSE()),"please select a BUG ID")</f>
        <v>https://review.opendev.org/c/openstack/nova/+/42389</v>
      </c>
    </row>
    <row r="173">
      <c r="A173" s="189" t="s">
        <v>48</v>
      </c>
      <c r="B173" s="198" t="str">
        <f>IFERROR(HYPERLINK(VLOOKUP(A173,Internal_lists_bugs!$A$2:$C$73,3,FALSE()), VLOOKUP(A173,Internal_lists_bugs!$A$2:$C$73,3,FALSE())&amp;Char(10) &amp; Char(10) &amp; VLOOKUP(A173,Internal_lists_bugs!$A$2:$Z$73,26,FALSE())),"please select a BUG ID")</f>
        <v>https://bugs.launchpad.net/nova/+bug/1475356
/objects/base.py</v>
      </c>
      <c r="C173" s="199" t="str">
        <f>IFERROR(SUBSTITUTE(VLOOKUP(A173,Internal_lists_bugs!$A$2:$G2031,7,FALSE()),"nova/commit","nova/src/commit"),"please select a BUG ID")</f>
        <v>https://opendev.org/openstack/nova/src/commit/0eb7e35fbf</v>
      </c>
      <c r="D173" s="186" t="s">
        <v>4758</v>
      </c>
      <c r="E173" s="190" t="s">
        <v>4759</v>
      </c>
      <c r="F173" s="189" t="s">
        <v>4682</v>
      </c>
      <c r="G173" s="189" t="s">
        <v>4802</v>
      </c>
      <c r="H173" s="191" t="s">
        <v>4756</v>
      </c>
      <c r="I173" s="194" t="s">
        <v>4761</v>
      </c>
      <c r="J173" s="195" t="str">
        <f>IFERROR(VLOOKUP(A173,Internal_lists_bugs!$A$2:$I2031,9,FALSE()),"please select a BUG ID")</f>
        <v>https://review.opendev.org/c/openstack/nova/+/59560</v>
      </c>
      <c r="K173" s="193"/>
      <c r="L173" s="193"/>
    </row>
    <row r="174">
      <c r="A174" s="16" t="s">
        <v>48</v>
      </c>
      <c r="B174" s="50" t="str">
        <f>IFERROR(HYPERLINK(VLOOKUP(A174,Internal_lists_bugs!$A$2:$C$73,3,FALSE()), VLOOKUP(A174,Internal_lists_bugs!$A$2:$C$73,3,FALSE())&amp;Char(10) &amp; Char(10) &amp; VLOOKUP(A174,Internal_lists_bugs!$A$2:$Z$73,26,FALSE())),"please select a BUG ID")</f>
        <v>https://bugs.launchpad.net/nova/+bug/1475356
/objects/base.py</v>
      </c>
      <c r="C174" s="81" t="str">
        <f>IFERROR(SUBSTITUTE(VLOOKUP(A174,Internal_lists_bugs!$A$2:$G2031,7,FALSE()),"nova/commit","nova/src/commit"),"please select a BUG ID")</f>
        <v>https://opendev.org/openstack/nova/src/commit/0eb7e35fbf</v>
      </c>
      <c r="D174" s="30" t="s">
        <v>4765</v>
      </c>
      <c r="E174" s="14" t="s">
        <v>4834</v>
      </c>
      <c r="F174" s="54"/>
      <c r="H174" s="112" t="s">
        <v>4763</v>
      </c>
      <c r="I174" s="16" t="s">
        <v>4797</v>
      </c>
      <c r="J174" s="196" t="str">
        <f>IFERROR(VLOOKUP(A174,Internal_lists_bugs!$A$2:$I2031,9,FALSE()),"please select a BUG ID")</f>
        <v>https://review.opendev.org/c/openstack/nova/+/59560</v>
      </c>
    </row>
    <row r="175">
      <c r="A175" s="16" t="s">
        <v>48</v>
      </c>
      <c r="B175" s="50" t="str">
        <f>IFERROR(HYPERLINK(VLOOKUP(A175,Internal_lists_bugs!$A$2:$C$73,3,FALSE()), VLOOKUP(A175,Internal_lists_bugs!$A$2:$C$73,3,FALSE())&amp;Char(10) &amp; Char(10) &amp; VLOOKUP(A175,Internal_lists_bugs!$A$2:$Z$73,26,FALSE())),"please select a BUG ID")</f>
        <v>https://bugs.launchpad.net/nova/+bug/1475356
/objects/base.py</v>
      </c>
      <c r="C175" s="81" t="str">
        <f>IFERROR(SUBSTITUTE(VLOOKUP(A175,Internal_lists_bugs!$A$2:$G2031,7,FALSE()),"nova/commit","nova/src/commit"),"please select a BUG ID")</f>
        <v>https://opendev.org/openstack/nova/src/commit/0eb7e35fbf</v>
      </c>
      <c r="D175" s="30" t="s">
        <v>4686</v>
      </c>
      <c r="E175" s="63" t="s">
        <v>4768</v>
      </c>
      <c r="F175" s="54"/>
      <c r="H175" s="112" t="s">
        <v>4708</v>
      </c>
      <c r="I175" s="16" t="s">
        <v>4767</v>
      </c>
      <c r="J175" s="196" t="str">
        <f>IFERROR(VLOOKUP(A175,Internal_lists_bugs!$A$2:$I2031,9,FALSE()),"please select a BUG ID")</f>
        <v>https://review.opendev.org/c/openstack/nova/+/59560</v>
      </c>
    </row>
    <row r="176">
      <c r="A176" s="16" t="s">
        <v>48</v>
      </c>
      <c r="B176" s="50" t="str">
        <f>IFERROR(HYPERLINK(VLOOKUP(A176,Internal_lists_bugs!$A$2:$C$73,3,FALSE()), VLOOKUP(A176,Internal_lists_bugs!$A$2:$C$73,3,FALSE())&amp;Char(10) &amp; Char(10) &amp; VLOOKUP(A176,Internal_lists_bugs!$A$2:$Z$73,26,FALSE())),"please select a BUG ID")</f>
        <v>https://bugs.launchpad.net/nova/+bug/1475356
/objects/base.py</v>
      </c>
      <c r="C176" s="81" t="str">
        <f>IFERROR(SUBSTITUTE(VLOOKUP(A176,Internal_lists_bugs!$A$2:$G2031,7,FALSE()),"nova/commit","nova/src/commit"),"please select a BUG ID")</f>
        <v>https://opendev.org/openstack/nova/src/commit/0eb7e35fbf</v>
      </c>
      <c r="D176" s="30" t="s">
        <v>4690</v>
      </c>
      <c r="E176" s="16" t="s">
        <v>4731</v>
      </c>
      <c r="F176" s="54"/>
      <c r="H176" s="112" t="s">
        <v>4696</v>
      </c>
      <c r="I176" s="16" t="s">
        <v>4731</v>
      </c>
      <c r="J176" s="196" t="str">
        <f>IFERROR(VLOOKUP(A176,Internal_lists_bugs!$A$2:$I2031,9,FALSE()),"please select a BUG ID")</f>
        <v>https://review.opendev.org/c/openstack/nova/+/59560</v>
      </c>
    </row>
    <row r="177">
      <c r="A177" s="16" t="s">
        <v>48</v>
      </c>
      <c r="B177" s="50" t="str">
        <f>IFERROR(HYPERLINK(VLOOKUP(A177,Internal_lists_bugs!$A$2:$C$73,3,FALSE()), VLOOKUP(A177,Internal_lists_bugs!$A$2:$C$73,3,FALSE())&amp;Char(10) &amp; Char(10) &amp; VLOOKUP(A177,Internal_lists_bugs!$A$2:$Z$73,26,FALSE())),"please select a BUG ID")</f>
        <v>https://bugs.launchpad.net/nova/+bug/1475356
/objects/base.py</v>
      </c>
      <c r="C177" s="81" t="str">
        <f>IFERROR(SUBSTITUTE(VLOOKUP(A177,Internal_lists_bugs!$A$2:$G2031,7,FALSE()),"nova/commit","nova/src/commit"),"please select a BUG ID")</f>
        <v>https://opendev.org/openstack/nova/src/commit/0eb7e35fbf</v>
      </c>
      <c r="D177" s="30" t="s">
        <v>4702</v>
      </c>
      <c r="E177" s="16" t="s">
        <v>4770</v>
      </c>
      <c r="F177" s="54"/>
      <c r="H177" s="112" t="s">
        <v>4716</v>
      </c>
      <c r="I177" s="16" t="s">
        <v>4769</v>
      </c>
      <c r="J177" s="196" t="str">
        <f>IFERROR(VLOOKUP(A177,Internal_lists_bugs!$A$2:$I2031,9,FALSE()),"please select a BUG ID")</f>
        <v>https://review.opendev.org/c/openstack/nova/+/59560</v>
      </c>
    </row>
    <row r="178">
      <c r="A178" s="16" t="s">
        <v>48</v>
      </c>
      <c r="B178" s="50" t="str">
        <f>IFERROR(HYPERLINK(VLOOKUP(A178,Internal_lists_bugs!$A$2:$C$73,3,FALSE()), VLOOKUP(A178,Internal_lists_bugs!$A$2:$C$73,3,FALSE())&amp;Char(10) &amp; Char(10) &amp; VLOOKUP(A178,Internal_lists_bugs!$A$2:$Z$73,26,FALSE())),"please select a BUG ID")</f>
        <v>https://bugs.launchpad.net/nova/+bug/1475356
/objects/base.py</v>
      </c>
      <c r="C178" s="81" t="str">
        <f>IFERROR(SUBSTITUTE(VLOOKUP(A178,Internal_lists_bugs!$A$2:$G2031,7,FALSE()),"nova/commit","nova/src/commit"),"please select a BUG ID")</f>
        <v>https://opendev.org/openstack/nova/src/commit/0eb7e35fbf</v>
      </c>
      <c r="D178" s="30" t="s">
        <v>4698</v>
      </c>
      <c r="E178" s="66" t="s">
        <v>4747</v>
      </c>
      <c r="F178" s="54"/>
      <c r="H178" s="112" t="s">
        <v>4708</v>
      </c>
      <c r="I178" s="16" t="s">
        <v>4771</v>
      </c>
      <c r="J178" s="196" t="str">
        <f>IFERROR(VLOOKUP(A178,Internal_lists_bugs!$A$2:$I2031,9,FALSE()),"please select a BUG ID")</f>
        <v>https://review.opendev.org/c/openstack/nova/+/59560</v>
      </c>
    </row>
    <row r="179">
      <c r="A179" s="16" t="s">
        <v>48</v>
      </c>
      <c r="B179" s="50" t="str">
        <f>IFERROR(HYPERLINK(VLOOKUP(A179,Internal_lists_bugs!$A$2:$C$73,3,FALSE()), VLOOKUP(A179,Internal_lists_bugs!$A$2:$C$73,3,FALSE())&amp;Char(10) &amp; Char(10) &amp; VLOOKUP(A179,Internal_lists_bugs!$A$2:$Z$73,26,FALSE())),"please select a BUG ID")</f>
        <v>https://bugs.launchpad.net/nova/+bug/1475356
/objects/base.py</v>
      </c>
      <c r="C179" s="81" t="str">
        <f>IFERROR(SUBSTITUTE(VLOOKUP(A179,Internal_lists_bugs!$A$2:$G2031,7,FALSE()),"nova/commit","nova/src/commit"),"please select a BUG ID")</f>
        <v>https://opendev.org/openstack/nova/src/commit/0eb7e35fbf</v>
      </c>
      <c r="D179" s="30" t="s">
        <v>4772</v>
      </c>
      <c r="E179" s="14" t="s">
        <v>4835</v>
      </c>
      <c r="F179" s="54"/>
      <c r="H179" s="112" t="s">
        <v>4700</v>
      </c>
      <c r="I179" s="16" t="s">
        <v>4747</v>
      </c>
      <c r="J179" s="196" t="str">
        <f>IFERROR(VLOOKUP(A179,Internal_lists_bugs!$A$2:$I2031,9,FALSE()),"please select a BUG ID")</f>
        <v>https://review.opendev.org/c/openstack/nova/+/59560</v>
      </c>
    </row>
    <row r="180">
      <c r="A180" s="16" t="s">
        <v>48</v>
      </c>
      <c r="B180" s="50" t="str">
        <f>IFERROR(HYPERLINK(VLOOKUP(A180,Internal_lists_bugs!$A$2:$C$73,3,FALSE()), VLOOKUP(A180,Internal_lists_bugs!$A$2:$C$73,3,FALSE())&amp;Char(10) &amp; Char(10) &amp; VLOOKUP(A180,Internal_lists_bugs!$A$2:$Z$73,26,FALSE())),"please select a BUG ID")</f>
        <v>https://bugs.launchpad.net/nova/+bug/1475356
/objects/base.py</v>
      </c>
      <c r="C180" s="81" t="str">
        <f>IFERROR(SUBSTITUTE(VLOOKUP(A180,Internal_lists_bugs!$A$2:$G2031,7,FALSE()),"nova/commit","nova/src/commit"),"please select a BUG ID")</f>
        <v>https://opendev.org/openstack/nova/src/commit/0eb7e35fbf</v>
      </c>
      <c r="D180" s="30" t="s">
        <v>4706</v>
      </c>
      <c r="E180" s="16" t="s">
        <v>4775</v>
      </c>
      <c r="F180" s="54"/>
      <c r="H180" s="112" t="s">
        <v>4684</v>
      </c>
      <c r="I180" s="16" t="s">
        <v>4774</v>
      </c>
      <c r="J180" s="196" t="str">
        <f>IFERROR(VLOOKUP(A180,Internal_lists_bugs!$A$2:$I2031,9,FALSE()),"please select a BUG ID")</f>
        <v>https://review.opendev.org/c/openstack/nova/+/59560</v>
      </c>
    </row>
    <row r="181">
      <c r="A181" s="16" t="s">
        <v>48</v>
      </c>
      <c r="B181" s="50" t="str">
        <f>IFERROR(HYPERLINK(VLOOKUP(A181,Internal_lists_bugs!$A$2:$C$73,3,FALSE()), VLOOKUP(A181,Internal_lists_bugs!$A$2:$C$73,3,FALSE())&amp;Char(10) &amp; Char(10) &amp; VLOOKUP(A181,Internal_lists_bugs!$A$2:$Z$73,26,FALSE())),"please select a BUG ID")</f>
        <v>https://bugs.launchpad.net/nova/+bug/1475356
/objects/base.py</v>
      </c>
      <c r="C181" s="81" t="str">
        <f>IFERROR(SUBSTITUTE(VLOOKUP(A181,Internal_lists_bugs!$A$2:$G2031,7,FALSE()),"nova/commit","nova/src/commit"),"please select a BUG ID")</f>
        <v>https://opendev.org/openstack/nova/src/commit/0eb7e35fbf</v>
      </c>
      <c r="D181" s="30" t="s">
        <v>4710</v>
      </c>
      <c r="E181" s="16" t="s">
        <v>4775</v>
      </c>
      <c r="F181" s="54"/>
      <c r="H181" s="112" t="s">
        <v>4712</v>
      </c>
      <c r="I181" s="16" t="s">
        <v>4776</v>
      </c>
      <c r="J181" s="196" t="str">
        <f>IFERROR(VLOOKUP(A181,Internal_lists_bugs!$A$2:$I2031,9,FALSE()),"please select a BUG ID")</f>
        <v>https://review.opendev.org/c/openstack/nova/+/59560</v>
      </c>
    </row>
    <row r="182">
      <c r="A182" s="16" t="s">
        <v>48</v>
      </c>
      <c r="B182" s="50" t="str">
        <f>IFERROR(HYPERLINK(VLOOKUP(A182,Internal_lists_bugs!$A$2:$C$73,3,FALSE()), VLOOKUP(A182,Internal_lists_bugs!$A$2:$C$73,3,FALSE())&amp;Char(10) &amp; Char(10) &amp; VLOOKUP(A182,Internal_lists_bugs!$A$2:$Z$73,26,FALSE())),"please select a BUG ID")</f>
        <v>https://bugs.launchpad.net/nova/+bug/1475356
/objects/base.py</v>
      </c>
      <c r="C182" s="81" t="str">
        <f>IFERROR(SUBSTITUTE(VLOOKUP(A182,Internal_lists_bugs!$A$2:$G2031,7,FALSE()),"nova/commit","nova/src/commit"),"please select a BUG ID")</f>
        <v>https://opendev.org/openstack/nova/src/commit/0eb7e35fbf</v>
      </c>
      <c r="D182" s="30" t="s">
        <v>1325</v>
      </c>
      <c r="E182" s="16" t="s">
        <v>4751</v>
      </c>
      <c r="F182" s="54"/>
      <c r="H182" s="112" t="s">
        <v>4777</v>
      </c>
      <c r="I182" s="16" t="s">
        <v>4778</v>
      </c>
      <c r="J182" s="196" t="str">
        <f>IFERROR(VLOOKUP(A182,Internal_lists_bugs!$A$2:$I2031,9,FALSE()),"please select a BUG ID")</f>
        <v>https://review.opendev.org/c/openstack/nova/+/59560</v>
      </c>
    </row>
    <row r="183">
      <c r="A183" s="16" t="s">
        <v>48</v>
      </c>
      <c r="B183" s="50" t="str">
        <f>IFERROR(HYPERLINK(VLOOKUP(A183,Internal_lists_bugs!$A$2:$C$73,3,FALSE()), VLOOKUP(A183,Internal_lists_bugs!$A$2:$C$73,3,FALSE())&amp;Char(10) &amp; Char(10) &amp; VLOOKUP(A183,Internal_lists_bugs!$A$2:$Z$73,26,FALSE())),"please select a BUG ID")</f>
        <v>https://bugs.launchpad.net/nova/+bug/1475356
/objects/base.py</v>
      </c>
      <c r="C183" s="81" t="str">
        <f>IFERROR(SUBSTITUTE(VLOOKUP(A183,Internal_lists_bugs!$A$2:$G2031,7,FALSE()),"nova/commit","nova/src/commit"),"please select a BUG ID")</f>
        <v>https://opendev.org/openstack/nova/src/commit/0eb7e35fbf</v>
      </c>
      <c r="D183" s="30" t="s">
        <v>4680</v>
      </c>
      <c r="E183" s="16" t="s">
        <v>4789</v>
      </c>
      <c r="F183" s="54"/>
      <c r="H183" s="112" t="s">
        <v>4704</v>
      </c>
      <c r="I183" s="16" t="s">
        <v>4752</v>
      </c>
      <c r="J183" s="196" t="str">
        <f>IFERROR(VLOOKUP(A183,Internal_lists_bugs!$A$2:$I2031,9,FALSE()),"please select a BUG ID")</f>
        <v>https://review.opendev.org/c/openstack/nova/+/59560</v>
      </c>
    </row>
    <row r="184">
      <c r="A184" s="16" t="s">
        <v>48</v>
      </c>
      <c r="B184" s="50" t="str">
        <f>IFERROR(HYPERLINK(VLOOKUP(A184,Internal_lists_bugs!$A$2:$C$73,3,FALSE()), VLOOKUP(A184,Internal_lists_bugs!$A$2:$C$73,3,FALSE())&amp;Char(10) &amp; Char(10) &amp; VLOOKUP(A184,Internal_lists_bugs!$A$2:$Z$73,26,FALSE())),"please select a BUG ID")</f>
        <v>https://bugs.launchpad.net/nova/+bug/1475356
/objects/base.py</v>
      </c>
      <c r="C184" s="81" t="str">
        <f>IFERROR(SUBSTITUTE(VLOOKUP(A184,Internal_lists_bugs!$A$2:$G2031,7,FALSE()),"nova/commit","nova/src/commit"),"please select a BUG ID")</f>
        <v>https://opendev.org/openstack/nova/src/commit/0eb7e35fbf</v>
      </c>
      <c r="D184" s="30" t="s">
        <v>4754</v>
      </c>
      <c r="E184" s="16" t="s">
        <v>4755</v>
      </c>
      <c r="F184" s="54"/>
      <c r="H184" s="112" t="s">
        <v>4749</v>
      </c>
      <c r="I184" s="16" t="s">
        <v>4779</v>
      </c>
      <c r="J184" s="196" t="str">
        <f>IFERROR(VLOOKUP(A184,Internal_lists_bugs!$A$2:$I2031,9,FALSE()),"please select a BUG ID")</f>
        <v>https://review.opendev.org/c/openstack/nova/+/59560</v>
      </c>
    </row>
    <row r="185">
      <c r="A185" s="16" t="s">
        <v>48</v>
      </c>
      <c r="B185" s="50" t="str">
        <f>IFERROR(HYPERLINK(VLOOKUP(A185,Internal_lists_bugs!$A$2:$C$73,3,FALSE()), VLOOKUP(A185,Internal_lists_bugs!$A$2:$C$73,3,FALSE())&amp;Char(10) &amp; Char(10) &amp; VLOOKUP(A185,Internal_lists_bugs!$A$2:$Z$73,26,FALSE())),"please select a BUG ID")</f>
        <v>https://bugs.launchpad.net/nova/+bug/1475356
/objects/base.py</v>
      </c>
      <c r="C185" s="81" t="str">
        <f>IFERROR(SUBSTITUTE(VLOOKUP(A185,Internal_lists_bugs!$A$2:$G2031,7,FALSE()),"nova/commit","nova/src/commit"),"please select a BUG ID")</f>
        <v>https://opendev.org/openstack/nova/src/commit/0eb7e35fbf</v>
      </c>
      <c r="D185" s="30" t="s">
        <v>4714</v>
      </c>
      <c r="E185" s="16" t="s">
        <v>4738</v>
      </c>
      <c r="F185" s="54"/>
      <c r="H185" s="112" t="s">
        <v>4782</v>
      </c>
      <c r="I185" s="16" t="s">
        <v>4783</v>
      </c>
      <c r="J185" s="196" t="str">
        <f>IFERROR(VLOOKUP(A185,Internal_lists_bugs!$A$2:$I2031,9,FALSE()),"please select a BUG ID")</f>
        <v>https://review.opendev.org/c/openstack/nova/+/59560</v>
      </c>
    </row>
    <row r="186">
      <c r="A186" s="16" t="s">
        <v>48</v>
      </c>
      <c r="B186" s="50" t="str">
        <f>IFERROR(HYPERLINK(VLOOKUP(A186,Internal_lists_bugs!$A$2:$C$73,3,FALSE()), VLOOKUP(A186,Internal_lists_bugs!$A$2:$C$73,3,FALSE())&amp;Char(10) &amp; Char(10) &amp; VLOOKUP(A186,Internal_lists_bugs!$A$2:$Z$73,26,FALSE())),"please select a BUG ID")</f>
        <v>https://bugs.launchpad.net/nova/+bug/1475356
/objects/base.py</v>
      </c>
      <c r="C186" s="81" t="str">
        <f>IFERROR(SUBSTITUTE(VLOOKUP(A186,Internal_lists_bugs!$A$2:$G2031,7,FALSE()),"nova/commit","nova/src/commit"),"please select a BUG ID")</f>
        <v>https://opendev.org/openstack/nova/src/commit/0eb7e35fbf</v>
      </c>
      <c r="D186" s="30" t="s">
        <v>4807</v>
      </c>
      <c r="E186" s="16" t="s">
        <v>4822</v>
      </c>
      <c r="F186" s="54"/>
      <c r="H186" s="112" t="s">
        <v>4801</v>
      </c>
      <c r="I186" s="16" t="s">
        <v>4806</v>
      </c>
      <c r="J186" s="196" t="str">
        <f>IFERROR(VLOOKUP(A186,Internal_lists_bugs!$A$2:$I2031,9,FALSE()),"please select a BUG ID")</f>
        <v>https://review.opendev.org/c/openstack/nova/+/59560</v>
      </c>
    </row>
    <row r="187">
      <c r="A187" s="16" t="s">
        <v>48</v>
      </c>
      <c r="B187" s="50" t="str">
        <f>IFERROR(HYPERLINK(VLOOKUP(A187,Internal_lists_bugs!$A$2:$C$73,3,FALSE()), VLOOKUP(A187,Internal_lists_bugs!$A$2:$C$73,3,FALSE())&amp;Char(10) &amp; Char(10) &amp; VLOOKUP(A187,Internal_lists_bugs!$A$2:$Z$73,26,FALSE())),"please select a BUG ID")</f>
        <v>https://bugs.launchpad.net/nova/+bug/1475356
/objects/base.py</v>
      </c>
      <c r="C187" s="81" t="str">
        <f>IFERROR(SUBSTITUTE(VLOOKUP(A187,Internal_lists_bugs!$A$2:$G2031,7,FALSE()),"nova/commit","nova/src/commit"),"please select a BUG ID")</f>
        <v>https://opendev.org/openstack/nova/src/commit/0eb7e35fbf</v>
      </c>
      <c r="D187" s="30"/>
      <c r="E187" s="16"/>
      <c r="F187" s="54"/>
      <c r="H187" s="112" t="s">
        <v>4831</v>
      </c>
      <c r="I187" s="14" t="s">
        <v>4836</v>
      </c>
      <c r="J187" s="196" t="str">
        <f>IFERROR(VLOOKUP(A187,Internal_lists_bugs!$A$2:$I2031,9,FALSE()),"please select a BUG ID")</f>
        <v>https://review.opendev.org/c/openstack/nova/+/59560</v>
      </c>
    </row>
    <row r="188">
      <c r="A188" s="16" t="s">
        <v>48</v>
      </c>
      <c r="B188" s="50" t="str">
        <f>IFERROR(HYPERLINK(VLOOKUP(A188,Internal_lists_bugs!$A$2:$C$73,3,FALSE()), VLOOKUP(A188,Internal_lists_bugs!$A$2:$C$73,3,FALSE())&amp;Char(10) &amp; Char(10) &amp; VLOOKUP(A188,Internal_lists_bugs!$A$2:$Z$73,26,FALSE())),"please select a BUG ID")</f>
        <v>https://bugs.launchpad.net/nova/+bug/1475356
/objects/base.py</v>
      </c>
      <c r="C188" s="81" t="str">
        <f>IFERROR(SUBSTITUTE(VLOOKUP(A188,Internal_lists_bugs!$A$2:$G2031,7,FALSE()),"nova/commit","nova/src/commit"),"please select a BUG ID")</f>
        <v>https://opendev.org/openstack/nova/src/commit/0eb7e35fbf</v>
      </c>
      <c r="D188" s="30" t="s">
        <v>4812</v>
      </c>
      <c r="E188" s="16" t="s">
        <v>4813</v>
      </c>
      <c r="F188" s="54"/>
      <c r="H188" s="112" t="s">
        <v>4818</v>
      </c>
      <c r="I188" s="14" t="s">
        <v>4837</v>
      </c>
      <c r="J188" s="196" t="str">
        <f>IFERROR(VLOOKUP(A188,Internal_lists_bugs!$A$2:$I2031,9,FALSE()),"please select a BUG ID")</f>
        <v>https://review.opendev.org/c/openstack/nova/+/59560</v>
      </c>
    </row>
    <row r="189">
      <c r="A189" s="189" t="s">
        <v>33</v>
      </c>
      <c r="B189" s="198" t="str">
        <f>IFERROR(HYPERLINK(VLOOKUP(A189,Internal_lists_bugs!$A$2:$C$73,3,FALSE()), VLOOKUP(A189,Internal_lists_bugs!$A$2:$C$73,3,FALSE())&amp;Char(10) &amp; Char(10) &amp; VLOOKUP(A189,Internal_lists_bugs!$A$2:$Z$73,26,FALSE())),"please select a BUG ID")</f>
        <v>https://bugs.launchpad.net/nova/+bug/1367363
/libvirt/driver.py</v>
      </c>
      <c r="C189" s="199" t="str">
        <f>IFERROR(SUBSTITUTE(VLOOKUP(A189,Internal_lists_bugs!$A$2:$G2031,7,FALSE()),"nova/commit","nova/src/commit"),"please select a BUG ID")</f>
        <v>https://opendev.org/openstack/nova/src/commit/0fcbb7b</v>
      </c>
      <c r="D189" s="189" t="s">
        <v>4758</v>
      </c>
      <c r="E189" s="190" t="s">
        <v>4759</v>
      </c>
      <c r="F189" s="189" t="s">
        <v>4682</v>
      </c>
      <c r="G189" s="189" t="s">
        <v>4802</v>
      </c>
      <c r="H189" s="191" t="s">
        <v>4756</v>
      </c>
      <c r="I189" s="194" t="s">
        <v>4761</v>
      </c>
      <c r="J189" s="195" t="str">
        <f>IFERROR(VLOOKUP(A189,Internal_lists_bugs!$A$2:$I2031,9,FALSE()),"please select a BUG ID")</f>
        <v>https://review.opendev.org/c/openstack/nova/+/53069</v>
      </c>
      <c r="K189" s="193"/>
      <c r="L189" s="193"/>
    </row>
    <row r="190">
      <c r="A190" s="16" t="s">
        <v>33</v>
      </c>
      <c r="B190" s="50" t="str">
        <f>IFERROR(HYPERLINK(VLOOKUP(A190,Internal_lists_bugs!$A$2:$C$73,3,FALSE()), VLOOKUP(A190,Internal_lists_bugs!$A$2:$C$73,3,FALSE())&amp;Char(10) &amp; Char(10) &amp; VLOOKUP(A190,Internal_lists_bugs!$A$2:$Z$73,26,FALSE())),"please select a BUG ID")</f>
        <v>https://bugs.launchpad.net/nova/+bug/1367363
/libvirt/driver.py</v>
      </c>
      <c r="C190" s="81" t="str">
        <f>IFERROR(SUBSTITUTE(VLOOKUP(A190,Internal_lists_bugs!$A$2:$G2031,7,FALSE()),"nova/commit","nova/src/commit"),"please select a BUG ID")</f>
        <v>https://opendev.org/openstack/nova/src/commit/0fcbb7b</v>
      </c>
      <c r="D190" s="16" t="s">
        <v>4765</v>
      </c>
      <c r="E190" s="14" t="s">
        <v>4838</v>
      </c>
      <c r="F190" s="54"/>
      <c r="H190" s="112" t="s">
        <v>4763</v>
      </c>
      <c r="I190" s="16" t="s">
        <v>4797</v>
      </c>
      <c r="J190" s="196" t="str">
        <f>IFERROR(VLOOKUP(A190,Internal_lists_bugs!$A$2:$I2031,9,FALSE()),"please select a BUG ID")</f>
        <v>https://review.opendev.org/c/openstack/nova/+/53069</v>
      </c>
    </row>
    <row r="191">
      <c r="A191" s="16" t="s">
        <v>33</v>
      </c>
      <c r="B191" s="50" t="str">
        <f>IFERROR(HYPERLINK(VLOOKUP(A191,Internal_lists_bugs!$A$2:$C$73,3,FALSE()), VLOOKUP(A191,Internal_lists_bugs!$A$2:$C$73,3,FALSE())&amp;Char(10) &amp; Char(10) &amp; VLOOKUP(A191,Internal_lists_bugs!$A$2:$Z$73,26,FALSE())),"please select a BUG ID")</f>
        <v>https://bugs.launchpad.net/nova/+bug/1367363
/libvirt/driver.py</v>
      </c>
      <c r="C191" s="81" t="str">
        <f>IFERROR(SUBSTITUTE(VLOOKUP(A191,Internal_lists_bugs!$A$2:$G2031,7,FALSE()),"nova/commit","nova/src/commit"),"please select a BUG ID")</f>
        <v>https://opendev.org/openstack/nova/src/commit/0fcbb7b</v>
      </c>
      <c r="D191" s="16" t="s">
        <v>4686</v>
      </c>
      <c r="E191" s="63" t="s">
        <v>4768</v>
      </c>
      <c r="F191" s="54"/>
      <c r="H191" s="112" t="s">
        <v>4708</v>
      </c>
      <c r="I191" s="16" t="s">
        <v>4767</v>
      </c>
      <c r="J191" s="196" t="str">
        <f>IFERROR(VLOOKUP(A191,Internal_lists_bugs!$A$2:$I2031,9,FALSE()),"please select a BUG ID")</f>
        <v>https://review.opendev.org/c/openstack/nova/+/53069</v>
      </c>
    </row>
    <row r="192">
      <c r="A192" s="16" t="s">
        <v>33</v>
      </c>
      <c r="B192" s="50" t="str">
        <f>IFERROR(HYPERLINK(VLOOKUP(A192,Internal_lists_bugs!$A$2:$C$73,3,FALSE()), VLOOKUP(A192,Internal_lists_bugs!$A$2:$C$73,3,FALSE())&amp;Char(10) &amp; Char(10) &amp; VLOOKUP(A192,Internal_lists_bugs!$A$2:$Z$73,26,FALSE())),"please select a BUG ID")</f>
        <v>https://bugs.launchpad.net/nova/+bug/1367363
/libvirt/driver.py</v>
      </c>
      <c r="C192" s="81" t="str">
        <f>IFERROR(SUBSTITUTE(VLOOKUP(A192,Internal_lists_bugs!$A$2:$G2031,7,FALSE()),"nova/commit","nova/src/commit"),"please select a BUG ID")</f>
        <v>https://opendev.org/openstack/nova/src/commit/0fcbb7b</v>
      </c>
      <c r="D192" s="16" t="s">
        <v>4690</v>
      </c>
      <c r="E192" s="16" t="s">
        <v>4731</v>
      </c>
      <c r="F192" s="54"/>
      <c r="H192" s="112" t="s">
        <v>4696</v>
      </c>
      <c r="I192" s="16" t="s">
        <v>4731</v>
      </c>
      <c r="J192" s="196" t="str">
        <f>IFERROR(VLOOKUP(A192,Internal_lists_bugs!$A$2:$I2031,9,FALSE()),"please select a BUG ID")</f>
        <v>https://review.opendev.org/c/openstack/nova/+/53069</v>
      </c>
    </row>
    <row r="193">
      <c r="A193" s="16" t="s">
        <v>33</v>
      </c>
      <c r="B193" s="50" t="str">
        <f>IFERROR(HYPERLINK(VLOOKUP(A193,Internal_lists_bugs!$A$2:$C$73,3,FALSE()), VLOOKUP(A193,Internal_lists_bugs!$A$2:$C$73,3,FALSE())&amp;Char(10) &amp; Char(10) &amp; VLOOKUP(A193,Internal_lists_bugs!$A$2:$Z$73,26,FALSE())),"please select a BUG ID")</f>
        <v>https://bugs.launchpad.net/nova/+bug/1367363
/libvirt/driver.py</v>
      </c>
      <c r="C193" s="81" t="str">
        <f>IFERROR(SUBSTITUTE(VLOOKUP(A193,Internal_lists_bugs!$A$2:$G2031,7,FALSE()),"nova/commit","nova/src/commit"),"please select a BUG ID")</f>
        <v>https://opendev.org/openstack/nova/src/commit/0fcbb7b</v>
      </c>
      <c r="D193" s="16" t="s">
        <v>4702</v>
      </c>
      <c r="E193" s="16" t="s">
        <v>4770</v>
      </c>
      <c r="F193" s="54"/>
      <c r="H193" s="112" t="s">
        <v>4716</v>
      </c>
      <c r="I193" s="16" t="s">
        <v>4769</v>
      </c>
      <c r="J193" s="196" t="str">
        <f>IFERROR(VLOOKUP(A193,Internal_lists_bugs!$A$2:$I2031,9,FALSE()),"please select a BUG ID")</f>
        <v>https://review.opendev.org/c/openstack/nova/+/53069</v>
      </c>
    </row>
    <row r="194">
      <c r="A194" s="16" t="s">
        <v>33</v>
      </c>
      <c r="B194" s="50" t="str">
        <f>IFERROR(HYPERLINK(VLOOKUP(A194,Internal_lists_bugs!$A$2:$C$73,3,FALSE()), VLOOKUP(A194,Internal_lists_bugs!$A$2:$C$73,3,FALSE())&amp;Char(10) &amp; Char(10) &amp; VLOOKUP(A194,Internal_lists_bugs!$A$2:$Z$73,26,FALSE())),"please select a BUG ID")</f>
        <v>https://bugs.launchpad.net/nova/+bug/1367363
/libvirt/driver.py</v>
      </c>
      <c r="C194" s="81" t="str">
        <f>IFERROR(SUBSTITUTE(VLOOKUP(A194,Internal_lists_bugs!$A$2:$G2031,7,FALSE()),"nova/commit","nova/src/commit"),"please select a BUG ID")</f>
        <v>https://opendev.org/openstack/nova/src/commit/0fcbb7b</v>
      </c>
      <c r="D194" s="16" t="s">
        <v>4772</v>
      </c>
      <c r="E194" s="14" t="s">
        <v>4839</v>
      </c>
      <c r="F194" s="54"/>
      <c r="H194" s="112" t="s">
        <v>4708</v>
      </c>
      <c r="I194" s="16" t="s">
        <v>4771</v>
      </c>
      <c r="J194" s="196" t="str">
        <f>IFERROR(VLOOKUP(A194,Internal_lists_bugs!$A$2:$I2031,9,FALSE()),"please select a BUG ID")</f>
        <v>https://review.opendev.org/c/openstack/nova/+/53069</v>
      </c>
    </row>
    <row r="195">
      <c r="A195" s="16" t="s">
        <v>33</v>
      </c>
      <c r="B195" s="50" t="str">
        <f>IFERROR(HYPERLINK(VLOOKUP(A195,Internal_lists_bugs!$A$2:$C$73,3,FALSE()), VLOOKUP(A195,Internal_lists_bugs!$A$2:$C$73,3,FALSE())&amp;Char(10) &amp; Char(10) &amp; VLOOKUP(A195,Internal_lists_bugs!$A$2:$Z$73,26,FALSE())),"please select a BUG ID")</f>
        <v>https://bugs.launchpad.net/nova/+bug/1367363
/libvirt/driver.py</v>
      </c>
      <c r="C195" s="81" t="str">
        <f>IFERROR(SUBSTITUTE(VLOOKUP(A195,Internal_lists_bugs!$A$2:$G2031,7,FALSE()),"nova/commit","nova/src/commit"),"please select a BUG ID")</f>
        <v>https://opendev.org/openstack/nova/src/commit/0fcbb7b</v>
      </c>
      <c r="D195" s="16" t="s">
        <v>4706</v>
      </c>
      <c r="E195" s="16" t="s">
        <v>4775</v>
      </c>
      <c r="F195" s="54"/>
      <c r="H195" s="112" t="s">
        <v>4684</v>
      </c>
      <c r="I195" s="16" t="s">
        <v>4774</v>
      </c>
      <c r="J195" s="196" t="str">
        <f>IFERROR(VLOOKUP(A195,Internal_lists_bugs!$A$2:$I2031,9,FALSE()),"please select a BUG ID")</f>
        <v>https://review.opendev.org/c/openstack/nova/+/53069</v>
      </c>
    </row>
    <row r="196">
      <c r="A196" s="16" t="s">
        <v>33</v>
      </c>
      <c r="B196" s="50" t="str">
        <f>IFERROR(HYPERLINK(VLOOKUP(A196,Internal_lists_bugs!$A$2:$C$73,3,FALSE()), VLOOKUP(A196,Internal_lists_bugs!$A$2:$C$73,3,FALSE())&amp;Char(10) &amp; Char(10) &amp; VLOOKUP(A196,Internal_lists_bugs!$A$2:$Z$73,26,FALSE())),"please select a BUG ID")</f>
        <v>https://bugs.launchpad.net/nova/+bug/1367363
/libvirt/driver.py</v>
      </c>
      <c r="C196" s="81" t="str">
        <f>IFERROR(SUBSTITUTE(VLOOKUP(A196,Internal_lists_bugs!$A$2:$G2031,7,FALSE()),"nova/commit","nova/src/commit"),"please select a BUG ID")</f>
        <v>https://opendev.org/openstack/nova/src/commit/0fcbb7b</v>
      </c>
      <c r="D196" s="16" t="s">
        <v>4710</v>
      </c>
      <c r="E196" s="16" t="s">
        <v>4775</v>
      </c>
      <c r="F196" s="54"/>
      <c r="H196" s="112" t="s">
        <v>4712</v>
      </c>
      <c r="I196" s="16" t="s">
        <v>4776</v>
      </c>
      <c r="J196" s="196" t="str">
        <f>IFERROR(VLOOKUP(A196,Internal_lists_bugs!$A$2:$I2031,9,FALSE()),"please select a BUG ID")</f>
        <v>https://review.opendev.org/c/openstack/nova/+/53069</v>
      </c>
    </row>
    <row r="197">
      <c r="A197" s="16" t="s">
        <v>33</v>
      </c>
      <c r="B197" s="50" t="str">
        <f>IFERROR(HYPERLINK(VLOOKUP(A197,Internal_lists_bugs!$A$2:$C$73,3,FALSE()), VLOOKUP(A197,Internal_lists_bugs!$A$2:$C$73,3,FALSE())&amp;Char(10) &amp; Char(10) &amp; VLOOKUP(A197,Internal_lists_bugs!$A$2:$Z$73,26,FALSE())),"please select a BUG ID")</f>
        <v>https://bugs.launchpad.net/nova/+bug/1367363
/libvirt/driver.py</v>
      </c>
      <c r="C197" s="81" t="str">
        <f>IFERROR(SUBSTITUTE(VLOOKUP(A197,Internal_lists_bugs!$A$2:$G2031,7,FALSE()),"nova/commit","nova/src/commit"),"please select a BUG ID")</f>
        <v>https://opendev.org/openstack/nova/src/commit/0fcbb7b</v>
      </c>
      <c r="D197" s="16" t="s">
        <v>1325</v>
      </c>
      <c r="E197" s="16" t="s">
        <v>4751</v>
      </c>
      <c r="F197" s="54"/>
      <c r="H197" s="112" t="s">
        <v>4777</v>
      </c>
      <c r="I197" s="16" t="s">
        <v>4778</v>
      </c>
      <c r="J197" s="196" t="str">
        <f>IFERROR(VLOOKUP(A197,Internal_lists_bugs!$A$2:$I2031,9,FALSE()),"please select a BUG ID")</f>
        <v>https://review.opendev.org/c/openstack/nova/+/53069</v>
      </c>
    </row>
    <row r="198">
      <c r="A198" s="16" t="s">
        <v>33</v>
      </c>
      <c r="B198" s="50" t="str">
        <f>IFERROR(HYPERLINK(VLOOKUP(A198,Internal_lists_bugs!$A$2:$C$73,3,FALSE()), VLOOKUP(A198,Internal_lists_bugs!$A$2:$C$73,3,FALSE())&amp;Char(10) &amp; Char(10) &amp; VLOOKUP(A198,Internal_lists_bugs!$A$2:$Z$73,26,FALSE())),"please select a BUG ID")</f>
        <v>https://bugs.launchpad.net/nova/+bug/1367363
/libvirt/driver.py</v>
      </c>
      <c r="C198" s="81" t="str">
        <f>IFERROR(SUBSTITUTE(VLOOKUP(A198,Internal_lists_bugs!$A$2:$G2031,7,FALSE()),"nova/commit","nova/src/commit"),"please select a BUG ID")</f>
        <v>https://opendev.org/openstack/nova/src/commit/0fcbb7b</v>
      </c>
      <c r="D198" s="16" t="s">
        <v>4680</v>
      </c>
      <c r="E198" s="16" t="s">
        <v>4789</v>
      </c>
      <c r="F198" s="54"/>
      <c r="H198" s="112" t="s">
        <v>4704</v>
      </c>
      <c r="I198" s="16" t="s">
        <v>4752</v>
      </c>
      <c r="J198" s="196" t="str">
        <f>IFERROR(VLOOKUP(A198,Internal_lists_bugs!$A$2:$I2031,9,FALSE()),"please select a BUG ID")</f>
        <v>https://review.opendev.org/c/openstack/nova/+/53069</v>
      </c>
    </row>
    <row r="199">
      <c r="A199" s="16" t="s">
        <v>33</v>
      </c>
      <c r="B199" s="50" t="str">
        <f>IFERROR(HYPERLINK(VLOOKUP(A199,Internal_lists_bugs!$A$2:$C$73,3,FALSE()), VLOOKUP(A199,Internal_lists_bugs!$A$2:$C$73,3,FALSE())&amp;Char(10) &amp; Char(10) &amp; VLOOKUP(A199,Internal_lists_bugs!$A$2:$Z$73,26,FALSE())),"please select a BUG ID")</f>
        <v>https://bugs.launchpad.net/nova/+bug/1367363
/libvirt/driver.py</v>
      </c>
      <c r="C199" s="81" t="str">
        <f>IFERROR(SUBSTITUTE(VLOOKUP(A199,Internal_lists_bugs!$A$2:$G2031,7,FALSE()),"nova/commit","nova/src/commit"),"please select a BUG ID")</f>
        <v>https://opendev.org/openstack/nova/src/commit/0fcbb7b</v>
      </c>
      <c r="D199" s="16" t="s">
        <v>4754</v>
      </c>
      <c r="E199" s="16" t="s">
        <v>4755</v>
      </c>
      <c r="F199" s="54"/>
      <c r="H199" s="112" t="s">
        <v>4749</v>
      </c>
      <c r="I199" s="16" t="s">
        <v>4779</v>
      </c>
      <c r="J199" s="196" t="str">
        <f>IFERROR(VLOOKUP(A199,Internal_lists_bugs!$A$2:$I2031,9,FALSE()),"please select a BUG ID")</f>
        <v>https://review.opendev.org/c/openstack/nova/+/53069</v>
      </c>
    </row>
    <row r="200">
      <c r="A200" s="16" t="s">
        <v>33</v>
      </c>
      <c r="B200" s="50" t="str">
        <f>IFERROR(HYPERLINK(VLOOKUP(A200,Internal_lists_bugs!$A$2:$C$73,3,FALSE()), VLOOKUP(A200,Internal_lists_bugs!$A$2:$C$73,3,FALSE())&amp;Char(10) &amp; Char(10) &amp; VLOOKUP(A200,Internal_lists_bugs!$A$2:$Z$73,26,FALSE())),"please select a BUG ID")</f>
        <v>https://bugs.launchpad.net/nova/+bug/1367363
/libvirt/driver.py</v>
      </c>
      <c r="C200" s="81" t="str">
        <f>IFERROR(SUBSTITUTE(VLOOKUP(A200,Internal_lists_bugs!$A$2:$G2031,7,FALSE()),"nova/commit","nova/src/commit"),"please select a BUG ID")</f>
        <v>https://opendev.org/openstack/nova/src/commit/0fcbb7b</v>
      </c>
      <c r="D200" s="16" t="s">
        <v>4714</v>
      </c>
      <c r="E200" s="16" t="s">
        <v>4738</v>
      </c>
      <c r="F200" s="54"/>
      <c r="H200" s="112" t="s">
        <v>4782</v>
      </c>
      <c r="I200" s="16" t="s">
        <v>4783</v>
      </c>
      <c r="J200" s="196" t="str">
        <f>IFERROR(VLOOKUP(A200,Internal_lists_bugs!$A$2:$I2031,9,FALSE()),"please select a BUG ID")</f>
        <v>https://review.opendev.org/c/openstack/nova/+/53069</v>
      </c>
    </row>
    <row r="201">
      <c r="A201" s="16" t="s">
        <v>33</v>
      </c>
      <c r="B201" s="50" t="str">
        <f>IFERROR(HYPERLINK(VLOOKUP(A201,Internal_lists_bugs!$A$2:$C$73,3,FALSE()), VLOOKUP(A201,Internal_lists_bugs!$A$2:$C$73,3,FALSE())&amp;Char(10) &amp; Char(10) &amp; VLOOKUP(A201,Internal_lists_bugs!$A$2:$Z$73,26,FALSE())),"please select a BUG ID")</f>
        <v>https://bugs.launchpad.net/nova/+bug/1367363
/libvirt/driver.py</v>
      </c>
      <c r="C201" s="81" t="str">
        <f>IFERROR(SUBSTITUTE(VLOOKUP(A201,Internal_lists_bugs!$A$2:$G2031,7,FALSE()),"nova/commit","nova/src/commit"),"please select a BUG ID")</f>
        <v>https://opendev.org/openstack/nova/src/commit/0fcbb7b</v>
      </c>
      <c r="D201" s="16" t="s">
        <v>4807</v>
      </c>
      <c r="E201" s="16" t="s">
        <v>4822</v>
      </c>
      <c r="F201" s="54"/>
      <c r="H201" s="112" t="s">
        <v>4801</v>
      </c>
      <c r="I201" s="16" t="s">
        <v>4806</v>
      </c>
      <c r="J201" s="196" t="str">
        <f>IFERROR(VLOOKUP(A201,Internal_lists_bugs!$A$2:$I2031,9,FALSE()),"please select a BUG ID")</f>
        <v>https://review.opendev.org/c/openstack/nova/+/53069</v>
      </c>
    </row>
    <row r="202">
      <c r="A202" s="16" t="s">
        <v>33</v>
      </c>
      <c r="B202" s="50" t="str">
        <f>IFERROR(HYPERLINK(VLOOKUP(A202,Internal_lists_bugs!$A$2:$C$73,3,FALSE()), VLOOKUP(A202,Internal_lists_bugs!$A$2:$C$73,3,FALSE())&amp;Char(10) &amp; Char(10) &amp; VLOOKUP(A202,Internal_lists_bugs!$A$2:$Z$73,26,FALSE())),"please select a BUG ID")</f>
        <v>https://bugs.launchpad.net/nova/+bug/1367363
/libvirt/driver.py</v>
      </c>
      <c r="C202" s="81" t="str">
        <f>IFERROR(SUBSTITUTE(VLOOKUP(A202,Internal_lists_bugs!$A$2:$G2031,7,FALSE()),"nova/commit","nova/src/commit"),"please select a BUG ID")</f>
        <v>https://opendev.org/openstack/nova/src/commit/0fcbb7b</v>
      </c>
      <c r="D202" s="16" t="s">
        <v>4812</v>
      </c>
      <c r="E202" s="16" t="s">
        <v>4813</v>
      </c>
      <c r="F202" s="54"/>
      <c r="H202" s="112" t="s">
        <v>4818</v>
      </c>
      <c r="I202" s="66" t="s">
        <v>4840</v>
      </c>
      <c r="J202" s="196" t="str">
        <f>IFERROR(VLOOKUP(A202,Internal_lists_bugs!$A$2:$I2031,9,FALSE()),"please select a BUG ID")</f>
        <v>https://review.opendev.org/c/openstack/nova/+/53069</v>
      </c>
    </row>
    <row r="203">
      <c r="A203" s="16" t="s">
        <v>33</v>
      </c>
      <c r="B203" s="50" t="str">
        <f>IFERROR(HYPERLINK(VLOOKUP(A203,Internal_lists_bugs!$A$2:$C$73,3,FALSE()), VLOOKUP(A203,Internal_lists_bugs!$A$2:$C$73,3,FALSE())&amp;Char(10) &amp; Char(10) &amp; VLOOKUP(A203,Internal_lists_bugs!$A$2:$Z$73,26,FALSE())),"please select a BUG ID")</f>
        <v>https://bugs.launchpad.net/nova/+bug/1367363
/libvirt/driver.py</v>
      </c>
      <c r="C203" s="81" t="str">
        <f>IFERROR(SUBSTITUTE(VLOOKUP(A203,Internal_lists_bugs!$A$2:$G2031,7,FALSE()),"nova/commit","nova/src/commit"),"please select a BUG ID")</f>
        <v>https://opendev.org/openstack/nova/src/commit/0fcbb7b</v>
      </c>
      <c r="D203" s="16" t="s">
        <v>4841</v>
      </c>
      <c r="E203" s="16" t="s">
        <v>4842</v>
      </c>
      <c r="F203" s="54"/>
      <c r="H203" s="112" t="s">
        <v>4831</v>
      </c>
      <c r="I203" s="66"/>
      <c r="J203" s="196" t="str">
        <f>IFERROR(VLOOKUP(A203,Internal_lists_bugs!$A$2:$I2031,9,FALSE()),"please select a BUG ID")</f>
        <v>https://review.opendev.org/c/openstack/nova/+/53069</v>
      </c>
    </row>
    <row r="204">
      <c r="A204" s="189" t="s">
        <v>49</v>
      </c>
      <c r="B204" s="198" t="str">
        <f>IFERROR(HYPERLINK(VLOOKUP(A204,Internal_lists_bugs!$A$2:$C$73,3,FALSE()), VLOOKUP(A204,Internal_lists_bugs!$A$2:$C$73,3,FALSE())&amp;Char(10) &amp; Char(10) &amp; VLOOKUP(A204,Internal_lists_bugs!$A$2:$Z$73,26,FALSE())),"please select a BUG ID")</f>
        <v>https://bugs.launchpad.net/nova/+bug/1370177
nova/block_device.py</v>
      </c>
      <c r="C204" s="199" t="str">
        <f>IFERROR(SUBSTITUTE(VLOOKUP(A204,Internal_lists_bugs!$A$2:$G2031,7,FALSE()),"nova/commit","nova/src/commit"),"please select a BUG ID")</f>
        <v>https://opendev.org/openstack/nova/src/commit/33e3d4c6b9</v>
      </c>
      <c r="D204" s="186" t="s">
        <v>4758</v>
      </c>
      <c r="E204" s="190" t="s">
        <v>4759</v>
      </c>
      <c r="F204" s="189" t="s">
        <v>4682</v>
      </c>
      <c r="G204" s="189" t="s">
        <v>4802</v>
      </c>
      <c r="H204" s="191" t="s">
        <v>4756</v>
      </c>
      <c r="I204" s="194" t="s">
        <v>4761</v>
      </c>
      <c r="J204" s="195" t="str">
        <f>IFERROR(VLOOKUP(A204,Internal_lists_bugs!$A$2:$I2031,9,FALSE()),"please select a BUG ID")</f>
        <v>https://review.opendev.org/c/openstack/nova/+/59034</v>
      </c>
      <c r="K204" s="193"/>
      <c r="L204" s="193"/>
    </row>
    <row r="205">
      <c r="A205" s="16" t="s">
        <v>49</v>
      </c>
      <c r="B205" s="50" t="str">
        <f>IFERROR(HYPERLINK(VLOOKUP(A205,Internal_lists_bugs!$A$2:$C$73,3,FALSE()), VLOOKUP(A205,Internal_lists_bugs!$A$2:$C$73,3,FALSE())&amp;Char(10) &amp; Char(10) &amp; VLOOKUP(A205,Internal_lists_bugs!$A$2:$Z$73,26,FALSE())),"please select a BUG ID")</f>
        <v>https://bugs.launchpad.net/nova/+bug/1370177
nova/block_device.py</v>
      </c>
      <c r="C205" s="81" t="str">
        <f>IFERROR(SUBSTITUTE(VLOOKUP(A205,Internal_lists_bugs!$A$2:$G2031,7,FALSE()),"nova/commit","nova/src/commit"),"please select a BUG ID")</f>
        <v>https://opendev.org/openstack/nova/src/commit/33e3d4c6b9</v>
      </c>
      <c r="D205" s="30" t="s">
        <v>4765</v>
      </c>
      <c r="E205" s="14" t="s">
        <v>4843</v>
      </c>
      <c r="F205" s="54"/>
      <c r="H205" s="112" t="s">
        <v>4763</v>
      </c>
      <c r="I205" s="16" t="s">
        <v>4797</v>
      </c>
      <c r="J205" s="196" t="str">
        <f>IFERROR(VLOOKUP(A205,Internal_lists_bugs!$A$2:$I2031,9,FALSE()),"please select a BUG ID")</f>
        <v>https://review.opendev.org/c/openstack/nova/+/59034</v>
      </c>
    </row>
    <row r="206">
      <c r="A206" s="16" t="s">
        <v>49</v>
      </c>
      <c r="B206" s="50" t="str">
        <f>IFERROR(HYPERLINK(VLOOKUP(A206,Internal_lists_bugs!$A$2:$C$73,3,FALSE()), VLOOKUP(A206,Internal_lists_bugs!$A$2:$C$73,3,FALSE())&amp;Char(10) &amp; Char(10) &amp; VLOOKUP(A206,Internal_lists_bugs!$A$2:$Z$73,26,FALSE())),"please select a BUG ID")</f>
        <v>https://bugs.launchpad.net/nova/+bug/1370177
nova/block_device.py</v>
      </c>
      <c r="C206" s="81" t="str">
        <f>IFERROR(SUBSTITUTE(VLOOKUP(A206,Internal_lists_bugs!$A$2:$G2031,7,FALSE()),"nova/commit","nova/src/commit"),"please select a BUG ID")</f>
        <v>https://opendev.org/openstack/nova/src/commit/33e3d4c6b9</v>
      </c>
      <c r="D206" s="30" t="s">
        <v>4686</v>
      </c>
      <c r="E206" s="63" t="s">
        <v>4768</v>
      </c>
      <c r="F206" s="54"/>
      <c r="H206" s="112" t="s">
        <v>4708</v>
      </c>
      <c r="I206" s="16" t="s">
        <v>4767</v>
      </c>
      <c r="J206" s="196" t="str">
        <f>IFERROR(VLOOKUP(A206,Internal_lists_bugs!$A$2:$I2031,9,FALSE()),"please select a BUG ID")</f>
        <v>https://review.opendev.org/c/openstack/nova/+/59034</v>
      </c>
    </row>
    <row r="207">
      <c r="A207" s="16" t="s">
        <v>49</v>
      </c>
      <c r="B207" s="50" t="str">
        <f>IFERROR(HYPERLINK(VLOOKUP(A207,Internal_lists_bugs!$A$2:$C$73,3,FALSE()), VLOOKUP(A207,Internal_lists_bugs!$A$2:$C$73,3,FALSE())&amp;Char(10) &amp; Char(10) &amp; VLOOKUP(A207,Internal_lists_bugs!$A$2:$Z$73,26,FALSE())),"please select a BUG ID")</f>
        <v>https://bugs.launchpad.net/nova/+bug/1370177
nova/block_device.py</v>
      </c>
      <c r="C207" s="81" t="str">
        <f>IFERROR(SUBSTITUTE(VLOOKUP(A207,Internal_lists_bugs!$A$2:$G2031,7,FALSE()),"nova/commit","nova/src/commit"),"please select a BUG ID")</f>
        <v>https://opendev.org/openstack/nova/src/commit/33e3d4c6b9</v>
      </c>
      <c r="D207" s="30" t="s">
        <v>4690</v>
      </c>
      <c r="E207" s="16" t="s">
        <v>4731</v>
      </c>
      <c r="F207" s="54"/>
      <c r="H207" s="112" t="s">
        <v>4696</v>
      </c>
      <c r="I207" s="16" t="s">
        <v>4731</v>
      </c>
      <c r="J207" s="196" t="str">
        <f>IFERROR(VLOOKUP(A207,Internal_lists_bugs!$A$2:$I2031,9,FALSE()),"please select a BUG ID")</f>
        <v>https://review.opendev.org/c/openstack/nova/+/59034</v>
      </c>
    </row>
    <row r="208">
      <c r="A208" s="16" t="s">
        <v>49</v>
      </c>
      <c r="B208" s="50" t="str">
        <f>IFERROR(HYPERLINK(VLOOKUP(A208,Internal_lists_bugs!$A$2:$C$73,3,FALSE()), VLOOKUP(A208,Internal_lists_bugs!$A$2:$C$73,3,FALSE())&amp;Char(10) &amp; Char(10) &amp; VLOOKUP(A208,Internal_lists_bugs!$A$2:$Z$73,26,FALSE())),"please select a BUG ID")</f>
        <v>https://bugs.launchpad.net/nova/+bug/1370177
nova/block_device.py</v>
      </c>
      <c r="C208" s="81" t="str">
        <f>IFERROR(SUBSTITUTE(VLOOKUP(A208,Internal_lists_bugs!$A$2:$G2031,7,FALSE()),"nova/commit","nova/src/commit"),"please select a BUG ID")</f>
        <v>https://opendev.org/openstack/nova/src/commit/33e3d4c6b9</v>
      </c>
      <c r="D208" s="30" t="s">
        <v>4702</v>
      </c>
      <c r="E208" s="16" t="s">
        <v>4770</v>
      </c>
      <c r="F208" s="54"/>
      <c r="H208" s="112" t="s">
        <v>4716</v>
      </c>
      <c r="I208" s="16" t="s">
        <v>4769</v>
      </c>
      <c r="J208" s="196" t="str">
        <f>IFERROR(VLOOKUP(A208,Internal_lists_bugs!$A$2:$I2031,9,FALSE()),"please select a BUG ID")</f>
        <v>https://review.opendev.org/c/openstack/nova/+/59034</v>
      </c>
    </row>
    <row r="209">
      <c r="A209" s="16" t="s">
        <v>49</v>
      </c>
      <c r="B209" s="50" t="str">
        <f>IFERROR(HYPERLINK(VLOOKUP(A209,Internal_lists_bugs!$A$2:$C$73,3,FALSE()), VLOOKUP(A209,Internal_lists_bugs!$A$2:$C$73,3,FALSE())&amp;Char(10) &amp; Char(10) &amp; VLOOKUP(A209,Internal_lists_bugs!$A$2:$Z$73,26,FALSE())),"please select a BUG ID")</f>
        <v>https://bugs.launchpad.net/nova/+bug/1370177
nova/block_device.py</v>
      </c>
      <c r="C209" s="81" t="str">
        <f>IFERROR(SUBSTITUTE(VLOOKUP(A209,Internal_lists_bugs!$A$2:$G2031,7,FALSE()),"nova/commit","nova/src/commit"),"please select a BUG ID")</f>
        <v>https://opendev.org/openstack/nova/src/commit/33e3d4c6b9</v>
      </c>
      <c r="D209" s="30" t="s">
        <v>4772</v>
      </c>
      <c r="E209" s="14" t="s">
        <v>4844</v>
      </c>
      <c r="F209" s="54"/>
      <c r="H209" s="112" t="s">
        <v>4708</v>
      </c>
      <c r="I209" s="16" t="s">
        <v>4771</v>
      </c>
      <c r="J209" s="196" t="str">
        <f>IFERROR(VLOOKUP(A209,Internal_lists_bugs!$A$2:$I2031,9,FALSE()),"please select a BUG ID")</f>
        <v>https://review.opendev.org/c/openstack/nova/+/59034</v>
      </c>
    </row>
    <row r="210">
      <c r="A210" s="16" t="s">
        <v>49</v>
      </c>
      <c r="B210" s="50" t="str">
        <f>IFERROR(HYPERLINK(VLOOKUP(A210,Internal_lists_bugs!$A$2:$C$73,3,FALSE()), VLOOKUP(A210,Internal_lists_bugs!$A$2:$C$73,3,FALSE())&amp;Char(10) &amp; Char(10) &amp; VLOOKUP(A210,Internal_lists_bugs!$A$2:$Z$73,26,FALSE())),"please select a BUG ID")</f>
        <v>https://bugs.launchpad.net/nova/+bug/1370177
nova/block_device.py</v>
      </c>
      <c r="C210" s="81" t="str">
        <f>IFERROR(SUBSTITUTE(VLOOKUP(A210,Internal_lists_bugs!$A$2:$G2031,7,FALSE()),"nova/commit","nova/src/commit"),"please select a BUG ID")</f>
        <v>https://opendev.org/openstack/nova/src/commit/33e3d4c6b9</v>
      </c>
      <c r="D210" s="30" t="s">
        <v>4706</v>
      </c>
      <c r="E210" s="16" t="s">
        <v>4775</v>
      </c>
      <c r="F210" s="54"/>
      <c r="H210" s="112" t="s">
        <v>4684</v>
      </c>
      <c r="I210" s="16" t="s">
        <v>4774</v>
      </c>
      <c r="J210" s="196" t="str">
        <f>IFERROR(VLOOKUP(A210,Internal_lists_bugs!$A$2:$I2031,9,FALSE()),"please select a BUG ID")</f>
        <v>https://review.opendev.org/c/openstack/nova/+/59034</v>
      </c>
    </row>
    <row r="211">
      <c r="A211" s="16" t="s">
        <v>49</v>
      </c>
      <c r="B211" s="50" t="str">
        <f>IFERROR(HYPERLINK(VLOOKUP(A211,Internal_lists_bugs!$A$2:$C$73,3,FALSE()), VLOOKUP(A211,Internal_lists_bugs!$A$2:$C$73,3,FALSE())&amp;Char(10) &amp; Char(10) &amp; VLOOKUP(A211,Internal_lists_bugs!$A$2:$Z$73,26,FALSE())),"please select a BUG ID")</f>
        <v>https://bugs.launchpad.net/nova/+bug/1370177
nova/block_device.py</v>
      </c>
      <c r="C211" s="81" t="str">
        <f>IFERROR(SUBSTITUTE(VLOOKUP(A211,Internal_lists_bugs!$A$2:$G2031,7,FALSE()),"nova/commit","nova/src/commit"),"please select a BUG ID")</f>
        <v>https://opendev.org/openstack/nova/src/commit/33e3d4c6b9</v>
      </c>
      <c r="D211" s="30" t="s">
        <v>4710</v>
      </c>
      <c r="E211" s="16" t="s">
        <v>4775</v>
      </c>
      <c r="F211" s="54"/>
      <c r="H211" s="112" t="s">
        <v>4712</v>
      </c>
      <c r="I211" s="16" t="s">
        <v>4776</v>
      </c>
      <c r="J211" s="196" t="str">
        <f>IFERROR(VLOOKUP(A211,Internal_lists_bugs!$A$2:$I2031,9,FALSE()),"please select a BUG ID")</f>
        <v>https://review.opendev.org/c/openstack/nova/+/59034</v>
      </c>
    </row>
    <row r="212">
      <c r="A212" s="16" t="s">
        <v>49</v>
      </c>
      <c r="B212" s="50" t="str">
        <f>IFERROR(HYPERLINK(VLOOKUP(A212,Internal_lists_bugs!$A$2:$C$73,3,FALSE()), VLOOKUP(A212,Internal_lists_bugs!$A$2:$C$73,3,FALSE())&amp;Char(10) &amp; Char(10) &amp; VLOOKUP(A212,Internal_lists_bugs!$A$2:$Z$73,26,FALSE())),"please select a BUG ID")</f>
        <v>https://bugs.launchpad.net/nova/+bug/1370177
nova/block_device.py</v>
      </c>
      <c r="C212" s="81" t="str">
        <f>IFERROR(SUBSTITUTE(VLOOKUP(A212,Internal_lists_bugs!$A$2:$G2031,7,FALSE()),"nova/commit","nova/src/commit"),"please select a BUG ID")</f>
        <v>https://opendev.org/openstack/nova/src/commit/33e3d4c6b9</v>
      </c>
      <c r="D212" s="30" t="s">
        <v>1325</v>
      </c>
      <c r="E212" s="16" t="s">
        <v>4751</v>
      </c>
      <c r="F212" s="54"/>
      <c r="H212" s="112" t="s">
        <v>4777</v>
      </c>
      <c r="I212" s="16" t="s">
        <v>4778</v>
      </c>
      <c r="J212" s="196" t="str">
        <f>IFERROR(VLOOKUP(A212,Internal_lists_bugs!$A$2:$I2031,9,FALSE()),"please select a BUG ID")</f>
        <v>https://review.opendev.org/c/openstack/nova/+/59034</v>
      </c>
    </row>
    <row r="213">
      <c r="A213" s="16" t="s">
        <v>49</v>
      </c>
      <c r="B213" s="50" t="str">
        <f>IFERROR(HYPERLINK(VLOOKUP(A213,Internal_lists_bugs!$A$2:$C$73,3,FALSE()), VLOOKUP(A213,Internal_lists_bugs!$A$2:$C$73,3,FALSE())&amp;Char(10) &amp; Char(10) &amp; VLOOKUP(A213,Internal_lists_bugs!$A$2:$Z$73,26,FALSE())),"please select a BUG ID")</f>
        <v>https://bugs.launchpad.net/nova/+bug/1370177
nova/block_device.py</v>
      </c>
      <c r="C213" s="81" t="str">
        <f>IFERROR(SUBSTITUTE(VLOOKUP(A213,Internal_lists_bugs!$A$2:$G2031,7,FALSE()),"nova/commit","nova/src/commit"),"please select a BUG ID")</f>
        <v>https://opendev.org/openstack/nova/src/commit/33e3d4c6b9</v>
      </c>
      <c r="D213" s="30" t="s">
        <v>4680</v>
      </c>
      <c r="E213" s="16" t="s">
        <v>4789</v>
      </c>
      <c r="F213" s="54"/>
      <c r="H213" s="112" t="s">
        <v>4704</v>
      </c>
      <c r="I213" s="16" t="s">
        <v>4752</v>
      </c>
      <c r="J213" s="196" t="str">
        <f>IFERROR(VLOOKUP(A213,Internal_lists_bugs!$A$2:$I2031,9,FALSE()),"please select a BUG ID")</f>
        <v>https://review.opendev.org/c/openstack/nova/+/59034</v>
      </c>
    </row>
    <row r="214">
      <c r="A214" s="16" t="s">
        <v>49</v>
      </c>
      <c r="B214" s="50" t="str">
        <f>IFERROR(HYPERLINK(VLOOKUP(A214,Internal_lists_bugs!$A$2:$C$73,3,FALSE()), VLOOKUP(A214,Internal_lists_bugs!$A$2:$C$73,3,FALSE())&amp;Char(10) &amp; Char(10) &amp; VLOOKUP(A214,Internal_lists_bugs!$A$2:$Z$73,26,FALSE())),"please select a BUG ID")</f>
        <v>https://bugs.launchpad.net/nova/+bug/1370177
nova/block_device.py</v>
      </c>
      <c r="C214" s="81" t="str">
        <f>IFERROR(SUBSTITUTE(VLOOKUP(A214,Internal_lists_bugs!$A$2:$G2031,7,FALSE()),"nova/commit","nova/src/commit"),"please select a BUG ID")</f>
        <v>https://opendev.org/openstack/nova/src/commit/33e3d4c6b9</v>
      </c>
      <c r="D214" s="30" t="s">
        <v>4754</v>
      </c>
      <c r="E214" s="16" t="s">
        <v>4755</v>
      </c>
      <c r="F214" s="54"/>
      <c r="H214" s="112" t="s">
        <v>4749</v>
      </c>
      <c r="I214" s="16" t="s">
        <v>4779</v>
      </c>
      <c r="J214" s="196" t="str">
        <f>IFERROR(VLOOKUP(A214,Internal_lists_bugs!$A$2:$I2031,9,FALSE()),"please select a BUG ID")</f>
        <v>https://review.opendev.org/c/openstack/nova/+/59034</v>
      </c>
    </row>
    <row r="215">
      <c r="A215" s="16" t="s">
        <v>49</v>
      </c>
      <c r="B215" s="50" t="str">
        <f>IFERROR(HYPERLINK(VLOOKUP(A215,Internal_lists_bugs!$A$2:$C$73,3,FALSE()), VLOOKUP(A215,Internal_lists_bugs!$A$2:$C$73,3,FALSE())&amp;Char(10) &amp; Char(10) &amp; VLOOKUP(A215,Internal_lists_bugs!$A$2:$Z$73,26,FALSE())),"please select a BUG ID")</f>
        <v>https://bugs.launchpad.net/nova/+bug/1370177
nova/block_device.py</v>
      </c>
      <c r="C215" s="81" t="str">
        <f>IFERROR(SUBSTITUTE(VLOOKUP(A215,Internal_lists_bugs!$A$2:$G2031,7,FALSE()),"nova/commit","nova/src/commit"),"please select a BUG ID")</f>
        <v>https://opendev.org/openstack/nova/src/commit/33e3d4c6b9</v>
      </c>
      <c r="D215" s="30" t="s">
        <v>4714</v>
      </c>
      <c r="E215" s="16" t="s">
        <v>4738</v>
      </c>
      <c r="F215" s="54"/>
      <c r="H215" s="112" t="s">
        <v>4782</v>
      </c>
      <c r="I215" s="16" t="s">
        <v>4783</v>
      </c>
      <c r="J215" s="196" t="str">
        <f>IFERROR(VLOOKUP(A215,Internal_lists_bugs!$A$2:$I2031,9,FALSE()),"please select a BUG ID")</f>
        <v>https://review.opendev.org/c/openstack/nova/+/59034</v>
      </c>
    </row>
    <row r="216">
      <c r="A216" s="16" t="s">
        <v>49</v>
      </c>
      <c r="B216" s="50" t="str">
        <f>IFERROR(HYPERLINK(VLOOKUP(A216,Internal_lists_bugs!$A$2:$C$73,3,FALSE()), VLOOKUP(A216,Internal_lists_bugs!$A$2:$C$73,3,FALSE())&amp;Char(10) &amp; Char(10) &amp; VLOOKUP(A216,Internal_lists_bugs!$A$2:$Z$73,26,FALSE())),"please select a BUG ID")</f>
        <v>https://bugs.launchpad.net/nova/+bug/1370177
nova/block_device.py</v>
      </c>
      <c r="C216" s="81" t="str">
        <f>IFERROR(SUBSTITUTE(VLOOKUP(A216,Internal_lists_bugs!$A$2:$G2031,7,FALSE()),"nova/commit","nova/src/commit"),"please select a BUG ID")</f>
        <v>https://opendev.org/openstack/nova/src/commit/33e3d4c6b9</v>
      </c>
      <c r="D216" s="30" t="s">
        <v>4807</v>
      </c>
      <c r="E216" s="16" t="s">
        <v>4822</v>
      </c>
      <c r="F216" s="54"/>
      <c r="H216" s="112" t="s">
        <v>4801</v>
      </c>
      <c r="I216" s="16" t="s">
        <v>4806</v>
      </c>
      <c r="J216" s="196" t="str">
        <f>IFERROR(VLOOKUP(A216,Internal_lists_bugs!$A$2:$I2031,9,FALSE()),"please select a BUG ID")</f>
        <v>https://review.opendev.org/c/openstack/nova/+/59034</v>
      </c>
    </row>
    <row r="217">
      <c r="A217" s="16" t="s">
        <v>49</v>
      </c>
      <c r="B217" s="50" t="str">
        <f>IFERROR(HYPERLINK(VLOOKUP(A217,Internal_lists_bugs!$A$2:$C$73,3,FALSE()), VLOOKUP(A217,Internal_lists_bugs!$A$2:$C$73,3,FALSE())&amp;Char(10) &amp; Char(10) &amp; VLOOKUP(A217,Internal_lists_bugs!$A$2:$Z$73,26,FALSE())),"please select a BUG ID")</f>
        <v>https://bugs.launchpad.net/nova/+bug/1370177
nova/block_device.py</v>
      </c>
      <c r="C217" s="81" t="str">
        <f>IFERROR(SUBSTITUTE(VLOOKUP(A217,Internal_lists_bugs!$A$2:$G2031,7,FALSE()),"nova/commit","nova/src/commit"),"please select a BUG ID")</f>
        <v>https://opendev.org/openstack/nova/src/commit/33e3d4c6b9</v>
      </c>
      <c r="D217" s="30" t="s">
        <v>4812</v>
      </c>
      <c r="E217" s="16" t="s">
        <v>4813</v>
      </c>
      <c r="F217" s="54"/>
      <c r="H217" s="112" t="s">
        <v>4818</v>
      </c>
      <c r="I217" s="66" t="s">
        <v>4840</v>
      </c>
      <c r="J217" s="196" t="str">
        <f>IFERROR(VLOOKUP(A217,Internal_lists_bugs!$A$2:$I2031,9,FALSE()),"please select a BUG ID")</f>
        <v>https://review.opendev.org/c/openstack/nova/+/59034</v>
      </c>
    </row>
    <row r="218">
      <c r="A218" s="16" t="s">
        <v>49</v>
      </c>
      <c r="B218" s="50" t="str">
        <f>IFERROR(HYPERLINK(VLOOKUP(A218,Internal_lists_bugs!$A$2:$C$73,3,FALSE()), VLOOKUP(A218,Internal_lists_bugs!$A$2:$C$73,3,FALSE())&amp;Char(10) &amp; Char(10) &amp; VLOOKUP(A218,Internal_lists_bugs!$A$2:$Z$73,26,FALSE())),"please select a BUG ID")</f>
        <v>https://bugs.launchpad.net/nova/+bug/1370177
nova/block_device.py</v>
      </c>
      <c r="C218" s="81" t="str">
        <f>IFERROR(SUBSTITUTE(VLOOKUP(A218,Internal_lists_bugs!$A$2:$G2031,7,FALSE()),"nova/commit","nova/src/commit"),"please select a BUG ID")</f>
        <v>https://opendev.org/openstack/nova/src/commit/33e3d4c6b9</v>
      </c>
      <c r="D218" s="30" t="s">
        <v>4841</v>
      </c>
      <c r="E218" s="16" t="s">
        <v>4842</v>
      </c>
      <c r="F218" s="54"/>
      <c r="H218" s="112" t="s">
        <v>4845</v>
      </c>
      <c r="I218" s="66" t="s">
        <v>4846</v>
      </c>
      <c r="J218" s="196" t="str">
        <f>IFERROR(VLOOKUP(A218,Internal_lists_bugs!$A$2:$I2031,9,FALSE()),"please select a BUG ID")</f>
        <v>https://review.opendev.org/c/openstack/nova/+/59034</v>
      </c>
    </row>
    <row r="219">
      <c r="A219" s="16" t="s">
        <v>49</v>
      </c>
      <c r="B219" s="50" t="str">
        <f>IFERROR(HYPERLINK(VLOOKUP(A219,Internal_lists_bugs!$A$2:$C$73,3,FALSE()), VLOOKUP(A219,Internal_lists_bugs!$A$2:$C$73,3,FALSE())&amp;Char(10) &amp; Char(10) &amp; VLOOKUP(A219,Internal_lists_bugs!$A$2:$Z$73,26,FALSE())),"please select a BUG ID")</f>
        <v>https://bugs.launchpad.net/nova/+bug/1370177
nova/block_device.py</v>
      </c>
      <c r="C219" s="81" t="str">
        <f>IFERROR(SUBSTITUTE(VLOOKUP(A219,Internal_lists_bugs!$A$2:$G2031,7,FALSE()),"nova/commit","nova/src/commit"),"please select a BUG ID")</f>
        <v>https://opendev.org/openstack/nova/src/commit/33e3d4c6b9</v>
      </c>
      <c r="D219" s="30" t="s">
        <v>4847</v>
      </c>
      <c r="E219" s="14" t="s">
        <v>4848</v>
      </c>
      <c r="F219" s="54"/>
      <c r="H219" s="112" t="s">
        <v>4831</v>
      </c>
      <c r="J219" s="196" t="str">
        <f>IFERROR(VLOOKUP(A219,Internal_lists_bugs!$A$2:$I2031,9,FALSE()),"please select a BUG ID")</f>
        <v>https://review.opendev.org/c/openstack/nova/+/59034</v>
      </c>
    </row>
    <row r="220">
      <c r="A220" s="16" t="s">
        <v>49</v>
      </c>
      <c r="B220" s="50" t="str">
        <f>IFERROR(HYPERLINK(VLOOKUP(A220,Internal_lists_bugs!$A$2:$C$73,3,FALSE()), VLOOKUP(A220,Internal_lists_bugs!$A$2:$C$73,3,FALSE())&amp;Char(10) &amp; Char(10) &amp; VLOOKUP(A220,Internal_lists_bugs!$A$2:$Z$73,26,FALSE())),"please select a BUG ID")</f>
        <v>https://bugs.launchpad.net/nova/+bug/1370177
nova/block_device.py</v>
      </c>
      <c r="C220" s="81" t="str">
        <f>IFERROR(SUBSTITUTE(VLOOKUP(A220,Internal_lists_bugs!$A$2:$G2031,7,FALSE()),"nova/commit","nova/src/commit"),"please select a BUG ID")</f>
        <v>https://opendev.org/openstack/nova/src/commit/33e3d4c6b9</v>
      </c>
      <c r="D220" s="54"/>
      <c r="E220" s="66"/>
      <c r="F220" s="54"/>
      <c r="H220" s="114"/>
      <c r="J220" s="183"/>
    </row>
    <row r="221">
      <c r="A221" s="16" t="s">
        <v>49</v>
      </c>
      <c r="B221" s="50" t="str">
        <f>IFERROR(HYPERLINK(VLOOKUP(A221,Internal_lists_bugs!$A$2:$C$73,3,FALSE()), VLOOKUP(A221,Internal_lists_bugs!$A$2:$C$73,3,FALSE())&amp;Char(10) &amp; Char(10) &amp; VLOOKUP(A221,Internal_lists_bugs!$A$2:$Z$73,26,FALSE())),"please select a BUG ID")</f>
        <v>https://bugs.launchpad.net/nova/+bug/1370177
nova/block_device.py</v>
      </c>
      <c r="C221" s="81" t="str">
        <f>IFERROR(SUBSTITUTE(VLOOKUP(A221,Internal_lists_bugs!$A$2:$G2031,7,FALSE()),"nova/commit","nova/src/commit"),"please select a BUG ID")</f>
        <v>https://opendev.org/openstack/nova/src/commit/33e3d4c6b9</v>
      </c>
      <c r="D221" s="30" t="s">
        <v>4849</v>
      </c>
      <c r="E221" s="14" t="s">
        <v>4850</v>
      </c>
      <c r="F221" s="54"/>
      <c r="H221" s="114"/>
      <c r="J221" s="196" t="str">
        <f>IFERROR(VLOOKUP(A221,Internal_lists_bugs!$A$2:$I2031,9,FALSE()),"please select a BUG ID")</f>
        <v>https://review.opendev.org/c/openstack/nova/+/59034</v>
      </c>
    </row>
    <row r="222">
      <c r="A222" s="189" t="s">
        <v>38</v>
      </c>
      <c r="B222" s="198" t="str">
        <f>IFERROR(HYPERLINK(VLOOKUP(A222,Internal_lists_bugs!$A$2:$C$73,3,FALSE()), VLOOKUP(A222,Internal_lists_bugs!$A$2:$C$73,3,FALSE())&amp;Char(10) &amp; Char(10) &amp; VLOOKUP(A222,Internal_lists_bugs!$A$2:$Z$73,26,FALSE())),"please select a BUG ID")</f>
        <v>https://bugs.launchpad.net/nova/+bug/1294939
/network/manager.py</v>
      </c>
      <c r="C222" s="199" t="str">
        <f>IFERROR(SUBSTITUTE(VLOOKUP(A222,Internal_lists_bugs!$A$2:$G2031,7,FALSE()),"nova/commit","nova/src/commit"),"please select a BUG ID")</f>
        <v>https://opendev.org/openstack/nova/src/commit/542958fac7445a14dea</v>
      </c>
      <c r="D222" s="189" t="s">
        <v>4758</v>
      </c>
      <c r="E222" s="190" t="s">
        <v>4759</v>
      </c>
      <c r="F222" s="189" t="s">
        <v>4682</v>
      </c>
      <c r="G222" s="189" t="s">
        <v>4802</v>
      </c>
      <c r="H222" s="191" t="s">
        <v>4756</v>
      </c>
      <c r="I222" s="194" t="s">
        <v>4761</v>
      </c>
      <c r="J222" s="195" t="str">
        <f>IFERROR(VLOOKUP(A222,Internal_lists_bugs!$A$2:$I2031,9,FALSE()),"please select a BUG ID")</f>
        <v>https://review.opendev.org/c/openstack/nova/+/67338</v>
      </c>
      <c r="K222" s="193"/>
      <c r="L222" s="193"/>
    </row>
    <row r="223">
      <c r="A223" s="16" t="s">
        <v>38</v>
      </c>
      <c r="B223" s="50" t="str">
        <f>IFERROR(HYPERLINK(VLOOKUP(A223,Internal_lists_bugs!$A$2:$C$73,3,FALSE()), VLOOKUP(A223,Internal_lists_bugs!$A$2:$C$73,3,FALSE())&amp;Char(10) &amp; Char(10) &amp; VLOOKUP(A223,Internal_lists_bugs!$A$2:$Z$73,26,FALSE())),"please select a BUG ID")</f>
        <v>https://bugs.launchpad.net/nova/+bug/1294939
/network/manager.py</v>
      </c>
      <c r="C223" s="81" t="str">
        <f>IFERROR(SUBSTITUTE(VLOOKUP(A223,Internal_lists_bugs!$A$2:$G2031,7,FALSE()),"nova/commit","nova/src/commit"),"please select a BUG ID")</f>
        <v>https://opendev.org/openstack/nova/src/commit/542958fac7445a14dea</v>
      </c>
      <c r="D223" s="16" t="s">
        <v>4765</v>
      </c>
      <c r="E223" s="14" t="s">
        <v>4851</v>
      </c>
      <c r="F223" s="54"/>
      <c r="H223" s="112" t="s">
        <v>4763</v>
      </c>
      <c r="I223" s="16" t="s">
        <v>4797</v>
      </c>
      <c r="J223" s="196" t="str">
        <f>IFERROR(VLOOKUP(A223,Internal_lists_bugs!$A$2:$I2031,9,FALSE()),"please select a BUG ID")</f>
        <v>https://review.opendev.org/c/openstack/nova/+/67338</v>
      </c>
    </row>
    <row r="224">
      <c r="A224" s="16" t="s">
        <v>38</v>
      </c>
      <c r="B224" s="50" t="str">
        <f>IFERROR(HYPERLINK(VLOOKUP(A224,Internal_lists_bugs!$A$2:$C$73,3,FALSE()), VLOOKUP(A224,Internal_lists_bugs!$A$2:$C$73,3,FALSE())&amp;Char(10) &amp; Char(10) &amp; VLOOKUP(A224,Internal_lists_bugs!$A$2:$Z$73,26,FALSE())),"please select a BUG ID")</f>
        <v>https://bugs.launchpad.net/nova/+bug/1294939
/network/manager.py</v>
      </c>
      <c r="C224" s="81" t="str">
        <f>IFERROR(SUBSTITUTE(VLOOKUP(A224,Internal_lists_bugs!$A$2:$G2031,7,FALSE()),"nova/commit","nova/src/commit"),"please select a BUG ID")</f>
        <v>https://opendev.org/openstack/nova/src/commit/542958fac7445a14dea</v>
      </c>
      <c r="D224" s="16" t="s">
        <v>4686</v>
      </c>
      <c r="E224" s="63" t="s">
        <v>4768</v>
      </c>
      <c r="F224" s="54"/>
      <c r="H224" s="112" t="s">
        <v>4708</v>
      </c>
      <c r="I224" s="16" t="s">
        <v>4767</v>
      </c>
      <c r="J224" s="196" t="str">
        <f>IFERROR(VLOOKUP(A224,Internal_lists_bugs!$A$2:$I2031,9,FALSE()),"please select a BUG ID")</f>
        <v>https://review.opendev.org/c/openstack/nova/+/67338</v>
      </c>
    </row>
    <row r="225">
      <c r="A225" s="16" t="s">
        <v>38</v>
      </c>
      <c r="B225" s="50" t="str">
        <f>IFERROR(HYPERLINK(VLOOKUP(A225,Internal_lists_bugs!$A$2:$C$73,3,FALSE()), VLOOKUP(A225,Internal_lists_bugs!$A$2:$C$73,3,FALSE())&amp;Char(10) &amp; Char(10) &amp; VLOOKUP(A225,Internal_lists_bugs!$A$2:$Z$73,26,FALSE())),"please select a BUG ID")</f>
        <v>https://bugs.launchpad.net/nova/+bug/1294939
/network/manager.py</v>
      </c>
      <c r="C225" s="81" t="str">
        <f>IFERROR(SUBSTITUTE(VLOOKUP(A225,Internal_lists_bugs!$A$2:$G2031,7,FALSE()),"nova/commit","nova/src/commit"),"please select a BUG ID")</f>
        <v>https://opendev.org/openstack/nova/src/commit/542958fac7445a14dea</v>
      </c>
      <c r="D225" s="16" t="s">
        <v>4690</v>
      </c>
      <c r="E225" s="16" t="s">
        <v>4731</v>
      </c>
      <c r="F225" s="54"/>
      <c r="H225" s="112" t="s">
        <v>4696</v>
      </c>
      <c r="I225" s="16" t="s">
        <v>4731</v>
      </c>
      <c r="J225" s="196" t="str">
        <f>IFERROR(VLOOKUP(A225,Internal_lists_bugs!$A$2:$I2031,9,FALSE()),"please select a BUG ID")</f>
        <v>https://review.opendev.org/c/openstack/nova/+/67338</v>
      </c>
    </row>
    <row r="226">
      <c r="A226" s="16" t="s">
        <v>38</v>
      </c>
      <c r="B226" s="50" t="str">
        <f>IFERROR(HYPERLINK(VLOOKUP(A226,Internal_lists_bugs!$A$2:$C$73,3,FALSE()), VLOOKUP(A226,Internal_lists_bugs!$A$2:$C$73,3,FALSE())&amp;Char(10) &amp; Char(10) &amp; VLOOKUP(A226,Internal_lists_bugs!$A$2:$Z$73,26,FALSE())),"please select a BUG ID")</f>
        <v>https://bugs.launchpad.net/nova/+bug/1294939
/network/manager.py</v>
      </c>
      <c r="C226" s="81" t="str">
        <f>IFERROR(SUBSTITUTE(VLOOKUP(A226,Internal_lists_bugs!$A$2:$G2031,7,FALSE()),"nova/commit","nova/src/commit"),"please select a BUG ID")</f>
        <v>https://opendev.org/openstack/nova/src/commit/542958fac7445a14dea</v>
      </c>
      <c r="D226" s="16" t="s">
        <v>4702</v>
      </c>
      <c r="E226" s="16" t="s">
        <v>4770</v>
      </c>
      <c r="F226" s="54"/>
      <c r="H226" s="112" t="s">
        <v>4716</v>
      </c>
      <c r="I226" s="16" t="s">
        <v>4769</v>
      </c>
      <c r="J226" s="196" t="str">
        <f>IFERROR(VLOOKUP(A226,Internal_lists_bugs!$A$2:$I2031,9,FALSE()),"please select a BUG ID")</f>
        <v>https://review.opendev.org/c/openstack/nova/+/67338</v>
      </c>
    </row>
    <row r="227">
      <c r="A227" s="16" t="s">
        <v>38</v>
      </c>
      <c r="B227" s="50" t="str">
        <f>IFERROR(HYPERLINK(VLOOKUP(A227,Internal_lists_bugs!$A$2:$C$73,3,FALSE()), VLOOKUP(A227,Internal_lists_bugs!$A$2:$C$73,3,FALSE())&amp;Char(10) &amp; Char(10) &amp; VLOOKUP(A227,Internal_lists_bugs!$A$2:$Z$73,26,FALSE())),"please select a BUG ID")</f>
        <v>https://bugs.launchpad.net/nova/+bug/1294939
/network/manager.py</v>
      </c>
      <c r="C227" s="81" t="str">
        <f>IFERROR(SUBSTITUTE(VLOOKUP(A227,Internal_lists_bugs!$A$2:$G2031,7,FALSE()),"nova/commit","nova/src/commit"),"please select a BUG ID")</f>
        <v>https://opendev.org/openstack/nova/src/commit/542958fac7445a14dea</v>
      </c>
      <c r="D227" s="16" t="s">
        <v>4772</v>
      </c>
      <c r="E227" s="14" t="s">
        <v>4852</v>
      </c>
      <c r="F227" s="54"/>
      <c r="H227" s="112" t="s">
        <v>4708</v>
      </c>
      <c r="I227" s="16" t="s">
        <v>4771</v>
      </c>
      <c r="J227" s="196" t="str">
        <f>IFERROR(VLOOKUP(A227,Internal_lists_bugs!$A$2:$I2031,9,FALSE()),"please select a BUG ID")</f>
        <v>https://review.opendev.org/c/openstack/nova/+/67338</v>
      </c>
    </row>
    <row r="228">
      <c r="A228" s="16" t="s">
        <v>38</v>
      </c>
      <c r="B228" s="50" t="str">
        <f>IFERROR(HYPERLINK(VLOOKUP(A228,Internal_lists_bugs!$A$2:$C$73,3,FALSE()), VLOOKUP(A228,Internal_lists_bugs!$A$2:$C$73,3,FALSE())&amp;Char(10) &amp; Char(10) &amp; VLOOKUP(A228,Internal_lists_bugs!$A$2:$Z$73,26,FALSE())),"please select a BUG ID")</f>
        <v>https://bugs.launchpad.net/nova/+bug/1294939
/network/manager.py</v>
      </c>
      <c r="C228" s="81" t="str">
        <f>IFERROR(SUBSTITUTE(VLOOKUP(A228,Internal_lists_bugs!$A$2:$G2031,7,FALSE()),"nova/commit","nova/src/commit"),"please select a BUG ID")</f>
        <v>https://opendev.org/openstack/nova/src/commit/542958fac7445a14dea</v>
      </c>
      <c r="D228" s="16" t="s">
        <v>4706</v>
      </c>
      <c r="E228" s="16" t="s">
        <v>4775</v>
      </c>
      <c r="F228" s="54"/>
      <c r="H228" s="112" t="s">
        <v>4684</v>
      </c>
      <c r="I228" s="16" t="s">
        <v>4774</v>
      </c>
      <c r="J228" s="196" t="str">
        <f>IFERROR(VLOOKUP(A228,Internal_lists_bugs!$A$2:$I2031,9,FALSE()),"please select a BUG ID")</f>
        <v>https://review.opendev.org/c/openstack/nova/+/67338</v>
      </c>
    </row>
    <row r="229">
      <c r="A229" s="16" t="s">
        <v>38</v>
      </c>
      <c r="B229" s="50" t="str">
        <f>IFERROR(HYPERLINK(VLOOKUP(A229,Internal_lists_bugs!$A$2:$C$73,3,FALSE()), VLOOKUP(A229,Internal_lists_bugs!$A$2:$C$73,3,FALSE())&amp;Char(10) &amp; Char(10) &amp; VLOOKUP(A229,Internal_lists_bugs!$A$2:$Z$73,26,FALSE())),"please select a BUG ID")</f>
        <v>https://bugs.launchpad.net/nova/+bug/1294939
/network/manager.py</v>
      </c>
      <c r="C229" s="81" t="str">
        <f>IFERROR(SUBSTITUTE(VLOOKUP(A229,Internal_lists_bugs!$A$2:$G2031,7,FALSE()),"nova/commit","nova/src/commit"),"please select a BUG ID")</f>
        <v>https://opendev.org/openstack/nova/src/commit/542958fac7445a14dea</v>
      </c>
      <c r="D229" s="16" t="s">
        <v>4710</v>
      </c>
      <c r="E229" s="16" t="s">
        <v>4775</v>
      </c>
      <c r="F229" s="54"/>
      <c r="H229" s="112" t="s">
        <v>4712</v>
      </c>
      <c r="I229" s="16" t="s">
        <v>4776</v>
      </c>
      <c r="J229" s="196" t="str">
        <f>IFERROR(VLOOKUP(A229,Internal_lists_bugs!$A$2:$I2031,9,FALSE()),"please select a BUG ID")</f>
        <v>https://review.opendev.org/c/openstack/nova/+/67338</v>
      </c>
    </row>
    <row r="230">
      <c r="A230" s="16" t="s">
        <v>38</v>
      </c>
      <c r="B230" s="50" t="str">
        <f>IFERROR(HYPERLINK(VLOOKUP(A230,Internal_lists_bugs!$A$2:$C$73,3,FALSE()), VLOOKUP(A230,Internal_lists_bugs!$A$2:$C$73,3,FALSE())&amp;Char(10) &amp; Char(10) &amp; VLOOKUP(A230,Internal_lists_bugs!$A$2:$Z$73,26,FALSE())),"please select a BUG ID")</f>
        <v>https://bugs.launchpad.net/nova/+bug/1294939
/network/manager.py</v>
      </c>
      <c r="C230" s="81" t="str">
        <f>IFERROR(SUBSTITUTE(VLOOKUP(A230,Internal_lists_bugs!$A$2:$G2031,7,FALSE()),"nova/commit","nova/src/commit"),"please select a BUG ID")</f>
        <v>https://opendev.org/openstack/nova/src/commit/542958fac7445a14dea</v>
      </c>
      <c r="D230" s="16" t="s">
        <v>1325</v>
      </c>
      <c r="E230" s="16" t="s">
        <v>4751</v>
      </c>
      <c r="F230" s="54"/>
      <c r="H230" s="112" t="s">
        <v>4777</v>
      </c>
      <c r="I230" s="16" t="s">
        <v>4778</v>
      </c>
      <c r="J230" s="196" t="str">
        <f>IFERROR(VLOOKUP(A230,Internal_lists_bugs!$A$2:$I2031,9,FALSE()),"please select a BUG ID")</f>
        <v>https://review.opendev.org/c/openstack/nova/+/67338</v>
      </c>
    </row>
    <row r="231">
      <c r="A231" s="16" t="s">
        <v>38</v>
      </c>
      <c r="B231" s="50" t="str">
        <f>IFERROR(HYPERLINK(VLOOKUP(A231,Internal_lists_bugs!$A$2:$C$73,3,FALSE()), VLOOKUP(A231,Internal_lists_bugs!$A$2:$C$73,3,FALSE())&amp;Char(10) &amp; Char(10) &amp; VLOOKUP(A231,Internal_lists_bugs!$A$2:$Z$73,26,FALSE())),"please select a BUG ID")</f>
        <v>https://bugs.launchpad.net/nova/+bug/1294939
/network/manager.py</v>
      </c>
      <c r="C231" s="81" t="str">
        <f>IFERROR(SUBSTITUTE(VLOOKUP(A231,Internal_lists_bugs!$A$2:$G2031,7,FALSE()),"nova/commit","nova/src/commit"),"please select a BUG ID")</f>
        <v>https://opendev.org/openstack/nova/src/commit/542958fac7445a14dea</v>
      </c>
      <c r="D231" s="16" t="s">
        <v>4680</v>
      </c>
      <c r="E231" s="16" t="s">
        <v>4789</v>
      </c>
      <c r="F231" s="54"/>
      <c r="H231" s="112" t="s">
        <v>4704</v>
      </c>
      <c r="I231" s="16" t="s">
        <v>4752</v>
      </c>
      <c r="J231" s="196" t="str">
        <f>IFERROR(VLOOKUP(A231,Internal_lists_bugs!$A$2:$I2031,9,FALSE()),"please select a BUG ID")</f>
        <v>https://review.opendev.org/c/openstack/nova/+/67338</v>
      </c>
    </row>
    <row r="232">
      <c r="A232" s="16" t="s">
        <v>38</v>
      </c>
      <c r="B232" s="50" t="str">
        <f>IFERROR(HYPERLINK(VLOOKUP(A232,Internal_lists_bugs!$A$2:$C$73,3,FALSE()), VLOOKUP(A232,Internal_lists_bugs!$A$2:$C$73,3,FALSE())&amp;Char(10) &amp; Char(10) &amp; VLOOKUP(A232,Internal_lists_bugs!$A$2:$Z$73,26,FALSE())),"please select a BUG ID")</f>
        <v>https://bugs.launchpad.net/nova/+bug/1294939
/network/manager.py</v>
      </c>
      <c r="C232" s="81" t="str">
        <f>IFERROR(SUBSTITUTE(VLOOKUP(A232,Internal_lists_bugs!$A$2:$G2031,7,FALSE()),"nova/commit","nova/src/commit"),"please select a BUG ID")</f>
        <v>https://opendev.org/openstack/nova/src/commit/542958fac7445a14dea</v>
      </c>
      <c r="D232" s="16" t="s">
        <v>4754</v>
      </c>
      <c r="E232" s="16" t="s">
        <v>4755</v>
      </c>
      <c r="F232" s="54"/>
      <c r="H232" s="112" t="s">
        <v>4749</v>
      </c>
      <c r="I232" s="16" t="s">
        <v>4779</v>
      </c>
      <c r="J232" s="196" t="str">
        <f>IFERROR(VLOOKUP(A232,Internal_lists_bugs!$A$2:$I2031,9,FALSE()),"please select a BUG ID")</f>
        <v>https://review.opendev.org/c/openstack/nova/+/67338</v>
      </c>
    </row>
    <row r="233">
      <c r="A233" s="16" t="s">
        <v>38</v>
      </c>
      <c r="B233" s="50" t="str">
        <f>IFERROR(HYPERLINK(VLOOKUP(A233,Internal_lists_bugs!$A$2:$C$73,3,FALSE()), VLOOKUP(A233,Internal_lists_bugs!$A$2:$C$73,3,FALSE())&amp;Char(10) &amp; Char(10) &amp; VLOOKUP(A233,Internal_lists_bugs!$A$2:$Z$73,26,FALSE())),"please select a BUG ID")</f>
        <v>https://bugs.launchpad.net/nova/+bug/1294939
/network/manager.py</v>
      </c>
      <c r="C233" s="81" t="str">
        <f>IFERROR(SUBSTITUTE(VLOOKUP(A233,Internal_lists_bugs!$A$2:$G2031,7,FALSE()),"nova/commit","nova/src/commit"),"please select a BUG ID")</f>
        <v>https://opendev.org/openstack/nova/src/commit/542958fac7445a14dea</v>
      </c>
      <c r="D233" s="16" t="s">
        <v>4714</v>
      </c>
      <c r="E233" s="16" t="s">
        <v>4738</v>
      </c>
      <c r="F233" s="54"/>
      <c r="H233" s="112" t="s">
        <v>4782</v>
      </c>
      <c r="I233" s="16" t="s">
        <v>4783</v>
      </c>
      <c r="J233" s="196" t="str">
        <f>IFERROR(VLOOKUP(A233,Internal_lists_bugs!$A$2:$I2031,9,FALSE()),"please select a BUG ID")</f>
        <v>https://review.opendev.org/c/openstack/nova/+/67338</v>
      </c>
    </row>
    <row r="234">
      <c r="A234" s="16" t="s">
        <v>38</v>
      </c>
      <c r="B234" s="50" t="str">
        <f>IFERROR(HYPERLINK(VLOOKUP(A234,Internal_lists_bugs!$A$2:$C$73,3,FALSE()), VLOOKUP(A234,Internal_lists_bugs!$A$2:$C$73,3,FALSE())&amp;Char(10) &amp; Char(10) &amp; VLOOKUP(A234,Internal_lists_bugs!$A$2:$Z$73,26,FALSE())),"please select a BUG ID")</f>
        <v>https://bugs.launchpad.net/nova/+bug/1294939
/network/manager.py</v>
      </c>
      <c r="C234" s="81" t="str">
        <f>IFERROR(SUBSTITUTE(VLOOKUP(A234,Internal_lists_bugs!$A$2:$G2031,7,FALSE()),"nova/commit","nova/src/commit"),"please select a BUG ID")</f>
        <v>https://opendev.org/openstack/nova/src/commit/542958fac7445a14dea</v>
      </c>
      <c r="D234" s="16" t="s">
        <v>4807</v>
      </c>
      <c r="E234" s="16" t="s">
        <v>4822</v>
      </c>
      <c r="F234" s="54"/>
      <c r="H234" s="112" t="s">
        <v>4801</v>
      </c>
      <c r="I234" s="16" t="s">
        <v>4806</v>
      </c>
      <c r="J234" s="196" t="str">
        <f>IFERROR(VLOOKUP(A234,Internal_lists_bugs!$A$2:$I2031,9,FALSE()),"please select a BUG ID")</f>
        <v>https://review.opendev.org/c/openstack/nova/+/67338</v>
      </c>
    </row>
    <row r="235">
      <c r="A235" s="16" t="s">
        <v>38</v>
      </c>
      <c r="B235" s="50" t="str">
        <f>IFERROR(HYPERLINK(VLOOKUP(A235,Internal_lists_bugs!$A$2:$C$73,3,FALSE()), VLOOKUP(A235,Internal_lists_bugs!$A$2:$C$73,3,FALSE())&amp;Char(10) &amp; Char(10) &amp; VLOOKUP(A235,Internal_lists_bugs!$A$2:$Z$73,26,FALSE())),"please select a BUG ID")</f>
        <v>https://bugs.launchpad.net/nova/+bug/1294939
/network/manager.py</v>
      </c>
      <c r="C235" s="81" t="str">
        <f>IFERROR(SUBSTITUTE(VLOOKUP(A235,Internal_lists_bugs!$A$2:$G2031,7,FALSE()),"nova/commit","nova/src/commit"),"please select a BUG ID")</f>
        <v>https://opendev.org/openstack/nova/src/commit/542958fac7445a14dea</v>
      </c>
      <c r="D235" s="16" t="s">
        <v>4812</v>
      </c>
      <c r="E235" s="16" t="s">
        <v>4813</v>
      </c>
      <c r="F235" s="54"/>
      <c r="H235" s="112" t="s">
        <v>4818</v>
      </c>
      <c r="I235" s="66" t="s">
        <v>4840</v>
      </c>
      <c r="J235" s="196" t="str">
        <f>IFERROR(VLOOKUP(A235,Internal_lists_bugs!$A$2:$I2031,9,FALSE()),"please select a BUG ID")</f>
        <v>https://review.opendev.org/c/openstack/nova/+/67338</v>
      </c>
    </row>
    <row r="236">
      <c r="A236" s="16" t="s">
        <v>38</v>
      </c>
      <c r="B236" s="50" t="str">
        <f>IFERROR(HYPERLINK(VLOOKUP(A236,Internal_lists_bugs!$A$2:$C$73,3,FALSE()), VLOOKUP(A236,Internal_lists_bugs!$A$2:$C$73,3,FALSE())&amp;Char(10) &amp; Char(10) &amp; VLOOKUP(A236,Internal_lists_bugs!$A$2:$Z$73,26,FALSE())),"please select a BUG ID")</f>
        <v>https://bugs.launchpad.net/nova/+bug/1294939
/network/manager.py</v>
      </c>
      <c r="C236" s="81" t="str">
        <f>IFERROR(SUBSTITUTE(VLOOKUP(A236,Internal_lists_bugs!$A$2:$G2031,7,FALSE()),"nova/commit","nova/src/commit"),"please select a BUG ID")</f>
        <v>https://opendev.org/openstack/nova/src/commit/542958fac7445a14dea</v>
      </c>
      <c r="D236" s="16" t="s">
        <v>4841</v>
      </c>
      <c r="E236" s="16" t="s">
        <v>4842</v>
      </c>
      <c r="F236" s="54"/>
      <c r="H236" s="112" t="s">
        <v>4845</v>
      </c>
      <c r="I236" s="66" t="s">
        <v>4846</v>
      </c>
      <c r="J236" s="196" t="str">
        <f>IFERROR(VLOOKUP(A236,Internal_lists_bugs!$A$2:$I2031,9,FALSE()),"please select a BUG ID")</f>
        <v>https://review.opendev.org/c/openstack/nova/+/67338</v>
      </c>
    </row>
    <row r="237">
      <c r="A237" s="16" t="s">
        <v>38</v>
      </c>
      <c r="B237" s="50" t="str">
        <f>IFERROR(HYPERLINK(VLOOKUP(A237,Internal_lists_bugs!$A$2:$C$73,3,FALSE()), VLOOKUP(A237,Internal_lists_bugs!$A$2:$C$73,3,FALSE())&amp;Char(10) &amp; Char(10) &amp; VLOOKUP(A237,Internal_lists_bugs!$A$2:$Z$73,26,FALSE())),"please select a BUG ID")</f>
        <v>https://bugs.launchpad.net/nova/+bug/1294939
/network/manager.py</v>
      </c>
      <c r="C237" s="81" t="str">
        <f>IFERROR(SUBSTITUTE(VLOOKUP(A237,Internal_lists_bugs!$A$2:$G2031,7,FALSE()),"nova/commit","nova/src/commit"),"please select a BUG ID")</f>
        <v>https://opendev.org/openstack/nova/src/commit/542958fac7445a14dea</v>
      </c>
      <c r="D237" s="16" t="s">
        <v>4847</v>
      </c>
      <c r="E237" s="14" t="s">
        <v>4853</v>
      </c>
      <c r="F237" s="54"/>
      <c r="H237" s="112" t="s">
        <v>4831</v>
      </c>
      <c r="J237" s="196" t="str">
        <f>IFERROR(VLOOKUP(A237,Internal_lists_bugs!$A$2:$I2031,9,FALSE()),"please select a BUG ID")</f>
        <v>https://review.opendev.org/c/openstack/nova/+/67338</v>
      </c>
    </row>
    <row r="238">
      <c r="A238" s="16" t="s">
        <v>38</v>
      </c>
      <c r="B238" s="50" t="str">
        <f>IFERROR(HYPERLINK(VLOOKUP(A238,Internal_lists_bugs!$A$2:$C$73,3,FALSE()), VLOOKUP(A238,Internal_lists_bugs!$A$2:$C$73,3,FALSE())&amp;Char(10) &amp; Char(10) &amp; VLOOKUP(A238,Internal_lists_bugs!$A$2:$Z$73,26,FALSE())),"please select a BUG ID")</f>
        <v>https://bugs.launchpad.net/nova/+bug/1294939
/network/manager.py</v>
      </c>
      <c r="C238" s="81" t="str">
        <f>IFERROR(SUBSTITUTE(VLOOKUP(A238,Internal_lists_bugs!$A$2:$G2031,7,FALSE()),"nova/commit","nova/src/commit"),"please select a BUG ID")</f>
        <v>https://opendev.org/openstack/nova/src/commit/542958fac7445a14dea</v>
      </c>
      <c r="D238" s="54"/>
      <c r="E238" s="66"/>
      <c r="F238" s="54"/>
      <c r="H238" s="114"/>
      <c r="J238" s="183"/>
    </row>
    <row r="239">
      <c r="A239" s="16" t="s">
        <v>38</v>
      </c>
      <c r="B239" s="50" t="str">
        <f>IFERROR(HYPERLINK(VLOOKUP(A239,Internal_lists_bugs!$A$2:$C$73,3,FALSE()), VLOOKUP(A239,Internal_lists_bugs!$A$2:$C$73,3,FALSE())&amp;Char(10) &amp; Char(10) &amp; VLOOKUP(A239,Internal_lists_bugs!$A$2:$Z$73,26,FALSE())),"please select a BUG ID")</f>
        <v>https://bugs.launchpad.net/nova/+bug/1294939
/network/manager.py</v>
      </c>
      <c r="C239" s="81" t="str">
        <f>IFERROR(SUBSTITUTE(VLOOKUP(A239,Internal_lists_bugs!$A$2:$G2031,7,FALSE()),"nova/commit","nova/src/commit"),"please select a BUG ID")</f>
        <v>https://opendev.org/openstack/nova/src/commit/542958fac7445a14dea</v>
      </c>
      <c r="D239" s="16" t="s">
        <v>4849</v>
      </c>
      <c r="E239" s="14" t="s">
        <v>4854</v>
      </c>
      <c r="F239" s="54"/>
      <c r="H239" s="114"/>
      <c r="J239" s="196" t="str">
        <f>IFERROR(VLOOKUP(A239,Internal_lists_bugs!$A$2:$I2031,9,FALSE()),"please select a BUG ID")</f>
        <v>https://review.opendev.org/c/openstack/nova/+/67338</v>
      </c>
    </row>
    <row r="240">
      <c r="A240" s="189" t="s">
        <v>36</v>
      </c>
      <c r="B240" s="198" t="str">
        <f>IFERROR(HYPERLINK(VLOOKUP(A240,Internal_lists_bugs!$A$2:$C$73,3,FALSE()), VLOOKUP(A240,Internal_lists_bugs!$A$2:$C$73,3,FALSE())&amp;Char(10) &amp; Char(10) &amp; VLOOKUP(A240,Internal_lists_bugs!$A$2:$Z$73,26,FALSE())),"please select a BUG ID")</f>
        <v>https://bugs.launchpad.net/nova/+bug/1486541
/compute/cells_api.py</v>
      </c>
      <c r="C240" s="199" t="str">
        <f>IFERROR(SUBSTITUTE(VLOOKUP(A240,Internal_lists_bugs!$A$2:$G2031,7,FALSE()),"nova/commit","nova/src/commit"),"please select a BUG ID")</f>
        <v>https://opendev.org/openstack/nova/src/commit/f5071bd1ac00ed68102d37c8025</v>
      </c>
      <c r="D240" s="186" t="s">
        <v>4758</v>
      </c>
      <c r="E240" s="190" t="s">
        <v>4759</v>
      </c>
      <c r="F240" s="189" t="s">
        <v>4682</v>
      </c>
      <c r="G240" s="189" t="s">
        <v>4802</v>
      </c>
      <c r="H240" s="191" t="s">
        <v>4756</v>
      </c>
      <c r="I240" s="194" t="s">
        <v>4761</v>
      </c>
      <c r="J240" s="195" t="str">
        <f>IFERROR(VLOOKUP(A240,Internal_lists_bugs!$A$2:$I2031,9,FALSE()),"please select a BUG ID")</f>
        <v>https://review.opendev.org/c/openstack/nova/+/70747</v>
      </c>
      <c r="K240" s="193"/>
      <c r="L240" s="193"/>
    </row>
    <row r="241">
      <c r="A241" s="16" t="s">
        <v>36</v>
      </c>
      <c r="B241" s="50" t="str">
        <f>IFERROR(HYPERLINK(VLOOKUP(A241,Internal_lists_bugs!$A$2:$C$73,3,FALSE()), VLOOKUP(A241,Internal_lists_bugs!$A$2:$C$73,3,FALSE())&amp;Char(10) &amp; Char(10) &amp; VLOOKUP(A241,Internal_lists_bugs!$A$2:$Z$73,26,FALSE())),"please select a BUG ID")</f>
        <v>https://bugs.launchpad.net/nova/+bug/1486541
/compute/cells_api.py</v>
      </c>
      <c r="C241" s="81" t="str">
        <f>IFERROR(SUBSTITUTE(VLOOKUP(A241,Internal_lists_bugs!$A$2:$G2031,7,FALSE()),"nova/commit","nova/src/commit"),"please select a BUG ID")</f>
        <v>https://opendev.org/openstack/nova/src/commit/f5071bd1ac00ed68102d37c8025</v>
      </c>
      <c r="D241" s="30" t="s">
        <v>4765</v>
      </c>
      <c r="E241" s="14" t="s">
        <v>4855</v>
      </c>
      <c r="F241" s="54"/>
      <c r="H241" s="112" t="s">
        <v>4763</v>
      </c>
      <c r="I241" s="16" t="s">
        <v>4797</v>
      </c>
      <c r="J241" s="196" t="str">
        <f>IFERROR(VLOOKUP(A241,Internal_lists_bugs!$A$2:$I2031,9,FALSE()),"please select a BUG ID")</f>
        <v>https://review.opendev.org/c/openstack/nova/+/70747</v>
      </c>
    </row>
    <row r="242">
      <c r="A242" s="16" t="s">
        <v>36</v>
      </c>
      <c r="B242" s="50" t="str">
        <f>IFERROR(HYPERLINK(VLOOKUP(A242,Internal_lists_bugs!$A$2:$C$73,3,FALSE()), VLOOKUP(A242,Internal_lists_bugs!$A$2:$C$73,3,FALSE())&amp;Char(10) &amp; Char(10) &amp; VLOOKUP(A242,Internal_lists_bugs!$A$2:$Z$73,26,FALSE())),"please select a BUG ID")</f>
        <v>https://bugs.launchpad.net/nova/+bug/1486541
/compute/cells_api.py</v>
      </c>
      <c r="C242" s="81" t="str">
        <f>IFERROR(SUBSTITUTE(VLOOKUP(A242,Internal_lists_bugs!$A$2:$G2031,7,FALSE()),"nova/commit","nova/src/commit"),"please select a BUG ID")</f>
        <v>https://opendev.org/openstack/nova/src/commit/f5071bd1ac00ed68102d37c8025</v>
      </c>
      <c r="D242" s="30" t="s">
        <v>4686</v>
      </c>
      <c r="E242" s="63" t="s">
        <v>4768</v>
      </c>
      <c r="F242" s="54"/>
      <c r="H242" s="112" t="s">
        <v>4708</v>
      </c>
      <c r="I242" s="16" t="s">
        <v>4767</v>
      </c>
      <c r="J242" s="196" t="str">
        <f>IFERROR(VLOOKUP(A242,Internal_lists_bugs!$A$2:$I2031,9,FALSE()),"please select a BUG ID")</f>
        <v>https://review.opendev.org/c/openstack/nova/+/70747</v>
      </c>
    </row>
    <row r="243">
      <c r="A243" s="16" t="s">
        <v>36</v>
      </c>
      <c r="B243" s="50" t="str">
        <f>IFERROR(HYPERLINK(VLOOKUP(A243,Internal_lists_bugs!$A$2:$C$73,3,FALSE()), VLOOKUP(A243,Internal_lists_bugs!$A$2:$C$73,3,FALSE())&amp;Char(10) &amp; Char(10) &amp; VLOOKUP(A243,Internal_lists_bugs!$A$2:$Z$73,26,FALSE())),"please select a BUG ID")</f>
        <v>https://bugs.launchpad.net/nova/+bug/1486541
/compute/cells_api.py</v>
      </c>
      <c r="C243" s="81" t="str">
        <f>IFERROR(SUBSTITUTE(VLOOKUP(A243,Internal_lists_bugs!$A$2:$G2031,7,FALSE()),"nova/commit","nova/src/commit"),"please select a BUG ID")</f>
        <v>https://opendev.org/openstack/nova/src/commit/f5071bd1ac00ed68102d37c8025</v>
      </c>
      <c r="D243" s="30" t="s">
        <v>4690</v>
      </c>
      <c r="E243" s="16" t="s">
        <v>4731</v>
      </c>
      <c r="F243" s="54"/>
      <c r="H243" s="112" t="s">
        <v>4696</v>
      </c>
      <c r="I243" s="16" t="s">
        <v>4731</v>
      </c>
      <c r="J243" s="196" t="str">
        <f>IFERROR(VLOOKUP(A243,Internal_lists_bugs!$A$2:$I2031,9,FALSE()),"please select a BUG ID")</f>
        <v>https://review.opendev.org/c/openstack/nova/+/70747</v>
      </c>
    </row>
    <row r="244">
      <c r="A244" s="16" t="s">
        <v>36</v>
      </c>
      <c r="B244" s="50" t="str">
        <f>IFERROR(HYPERLINK(VLOOKUP(A244,Internal_lists_bugs!$A$2:$C$73,3,FALSE()), VLOOKUP(A244,Internal_lists_bugs!$A$2:$C$73,3,FALSE())&amp;Char(10) &amp; Char(10) &amp; VLOOKUP(A244,Internal_lists_bugs!$A$2:$Z$73,26,FALSE())),"please select a BUG ID")</f>
        <v>https://bugs.launchpad.net/nova/+bug/1486541
/compute/cells_api.py</v>
      </c>
      <c r="C244" s="81" t="str">
        <f>IFERROR(SUBSTITUTE(VLOOKUP(A244,Internal_lists_bugs!$A$2:$G2031,7,FALSE()),"nova/commit","nova/src/commit"),"please select a BUG ID")</f>
        <v>https://opendev.org/openstack/nova/src/commit/f5071bd1ac00ed68102d37c8025</v>
      </c>
      <c r="D244" s="30" t="s">
        <v>4702</v>
      </c>
      <c r="E244" s="16" t="s">
        <v>4770</v>
      </c>
      <c r="F244" s="54"/>
      <c r="H244" s="112" t="s">
        <v>4716</v>
      </c>
      <c r="I244" s="16" t="s">
        <v>4769</v>
      </c>
      <c r="J244" s="196" t="str">
        <f>IFERROR(VLOOKUP(A244,Internal_lists_bugs!$A$2:$I2031,9,FALSE()),"please select a BUG ID")</f>
        <v>https://review.opendev.org/c/openstack/nova/+/70747</v>
      </c>
    </row>
    <row r="245">
      <c r="A245" s="16" t="s">
        <v>36</v>
      </c>
      <c r="B245" s="50" t="str">
        <f>IFERROR(HYPERLINK(VLOOKUP(A245,Internal_lists_bugs!$A$2:$C$73,3,FALSE()), VLOOKUP(A245,Internal_lists_bugs!$A$2:$C$73,3,FALSE())&amp;Char(10) &amp; Char(10) &amp; VLOOKUP(A245,Internal_lists_bugs!$A$2:$Z$73,26,FALSE())),"please select a BUG ID")</f>
        <v>https://bugs.launchpad.net/nova/+bug/1486541
/compute/cells_api.py</v>
      </c>
      <c r="C245" s="81" t="str">
        <f>IFERROR(SUBSTITUTE(VLOOKUP(A245,Internal_lists_bugs!$A$2:$G2031,7,FALSE()),"nova/commit","nova/src/commit"),"please select a BUG ID")</f>
        <v>https://opendev.org/openstack/nova/src/commit/f5071bd1ac00ed68102d37c8025</v>
      </c>
      <c r="D245" s="30" t="s">
        <v>4772</v>
      </c>
      <c r="E245" s="14" t="s">
        <v>4856</v>
      </c>
      <c r="F245" s="54"/>
      <c r="H245" s="112" t="s">
        <v>4708</v>
      </c>
      <c r="I245" s="16" t="s">
        <v>4771</v>
      </c>
      <c r="J245" s="196" t="str">
        <f>IFERROR(VLOOKUP(A245,Internal_lists_bugs!$A$2:$I2031,9,FALSE()),"please select a BUG ID")</f>
        <v>https://review.opendev.org/c/openstack/nova/+/70747</v>
      </c>
    </row>
    <row r="246">
      <c r="A246" s="16" t="s">
        <v>36</v>
      </c>
      <c r="B246" s="50" t="str">
        <f>IFERROR(HYPERLINK(VLOOKUP(A246,Internal_lists_bugs!$A$2:$C$73,3,FALSE()), VLOOKUP(A246,Internal_lists_bugs!$A$2:$C$73,3,FALSE())&amp;Char(10) &amp; Char(10) &amp; VLOOKUP(A246,Internal_lists_bugs!$A$2:$Z$73,26,FALSE())),"please select a BUG ID")</f>
        <v>https://bugs.launchpad.net/nova/+bug/1486541
/compute/cells_api.py</v>
      </c>
      <c r="C246" s="81" t="str">
        <f>IFERROR(SUBSTITUTE(VLOOKUP(A246,Internal_lists_bugs!$A$2:$G2031,7,FALSE()),"nova/commit","nova/src/commit"),"please select a BUG ID")</f>
        <v>https://opendev.org/openstack/nova/src/commit/f5071bd1ac00ed68102d37c8025</v>
      </c>
      <c r="D246" s="30" t="s">
        <v>4706</v>
      </c>
      <c r="E246" s="16" t="s">
        <v>4775</v>
      </c>
      <c r="F246" s="54"/>
      <c r="H246" s="112" t="s">
        <v>4684</v>
      </c>
      <c r="I246" s="16" t="s">
        <v>4774</v>
      </c>
      <c r="J246" s="196" t="str">
        <f>IFERROR(VLOOKUP(A246,Internal_lists_bugs!$A$2:$I2031,9,FALSE()),"please select a BUG ID")</f>
        <v>https://review.opendev.org/c/openstack/nova/+/70747</v>
      </c>
    </row>
    <row r="247">
      <c r="A247" s="16" t="s">
        <v>36</v>
      </c>
      <c r="B247" s="50" t="str">
        <f>IFERROR(HYPERLINK(VLOOKUP(A247,Internal_lists_bugs!$A$2:$C$73,3,FALSE()), VLOOKUP(A247,Internal_lists_bugs!$A$2:$C$73,3,FALSE())&amp;Char(10) &amp; Char(10) &amp; VLOOKUP(A247,Internal_lists_bugs!$A$2:$Z$73,26,FALSE())),"please select a BUG ID")</f>
        <v>https://bugs.launchpad.net/nova/+bug/1486541
/compute/cells_api.py</v>
      </c>
      <c r="C247" s="81" t="str">
        <f>IFERROR(SUBSTITUTE(VLOOKUP(A247,Internal_lists_bugs!$A$2:$G2031,7,FALSE()),"nova/commit","nova/src/commit"),"please select a BUG ID")</f>
        <v>https://opendev.org/openstack/nova/src/commit/f5071bd1ac00ed68102d37c8025</v>
      </c>
      <c r="D247" s="30" t="s">
        <v>4710</v>
      </c>
      <c r="E247" s="16" t="s">
        <v>4775</v>
      </c>
      <c r="F247" s="54"/>
      <c r="H247" s="112" t="s">
        <v>4712</v>
      </c>
      <c r="I247" s="16" t="s">
        <v>4776</v>
      </c>
      <c r="J247" s="196" t="str">
        <f>IFERROR(VLOOKUP(A247,Internal_lists_bugs!$A$2:$I2031,9,FALSE()),"please select a BUG ID")</f>
        <v>https://review.opendev.org/c/openstack/nova/+/70747</v>
      </c>
    </row>
    <row r="248">
      <c r="A248" s="16" t="s">
        <v>36</v>
      </c>
      <c r="B248" s="50" t="str">
        <f>IFERROR(HYPERLINK(VLOOKUP(A248,Internal_lists_bugs!$A$2:$C$73,3,FALSE()), VLOOKUP(A248,Internal_lists_bugs!$A$2:$C$73,3,FALSE())&amp;Char(10) &amp; Char(10) &amp; VLOOKUP(A248,Internal_lists_bugs!$A$2:$Z$73,26,FALSE())),"please select a BUG ID")</f>
        <v>https://bugs.launchpad.net/nova/+bug/1486541
/compute/cells_api.py</v>
      </c>
      <c r="C248" s="81" t="str">
        <f>IFERROR(SUBSTITUTE(VLOOKUP(A248,Internal_lists_bugs!$A$2:$G2031,7,FALSE()),"nova/commit","nova/src/commit"),"please select a BUG ID")</f>
        <v>https://opendev.org/openstack/nova/src/commit/f5071bd1ac00ed68102d37c8025</v>
      </c>
      <c r="D248" s="30" t="s">
        <v>1325</v>
      </c>
      <c r="E248" s="16" t="s">
        <v>4751</v>
      </c>
      <c r="F248" s="54"/>
      <c r="H248" s="112" t="s">
        <v>4777</v>
      </c>
      <c r="I248" s="16" t="s">
        <v>4778</v>
      </c>
      <c r="J248" s="196" t="str">
        <f>IFERROR(VLOOKUP(A248,Internal_lists_bugs!$A$2:$I2031,9,FALSE()),"please select a BUG ID")</f>
        <v>https://review.opendev.org/c/openstack/nova/+/70747</v>
      </c>
    </row>
    <row r="249">
      <c r="A249" s="16" t="s">
        <v>36</v>
      </c>
      <c r="B249" s="50" t="str">
        <f>IFERROR(HYPERLINK(VLOOKUP(A249,Internal_lists_bugs!$A$2:$C$73,3,FALSE()), VLOOKUP(A249,Internal_lists_bugs!$A$2:$C$73,3,FALSE())&amp;Char(10) &amp; Char(10) &amp; VLOOKUP(A249,Internal_lists_bugs!$A$2:$Z$73,26,FALSE())),"please select a BUG ID")</f>
        <v>https://bugs.launchpad.net/nova/+bug/1486541
/compute/cells_api.py</v>
      </c>
      <c r="C249" s="81" t="str">
        <f>IFERROR(SUBSTITUTE(VLOOKUP(A249,Internal_lists_bugs!$A$2:$G2031,7,FALSE()),"nova/commit","nova/src/commit"),"please select a BUG ID")</f>
        <v>https://opendev.org/openstack/nova/src/commit/f5071bd1ac00ed68102d37c8025</v>
      </c>
      <c r="D249" s="30" t="s">
        <v>4680</v>
      </c>
      <c r="E249" s="16" t="s">
        <v>4789</v>
      </c>
      <c r="F249" s="54"/>
      <c r="H249" s="112" t="s">
        <v>4704</v>
      </c>
      <c r="I249" s="16" t="s">
        <v>4752</v>
      </c>
      <c r="J249" s="196" t="str">
        <f>IFERROR(VLOOKUP(A249,Internal_lists_bugs!$A$2:$I2031,9,FALSE()),"please select a BUG ID")</f>
        <v>https://review.opendev.org/c/openstack/nova/+/70747</v>
      </c>
    </row>
    <row r="250">
      <c r="A250" s="16" t="s">
        <v>36</v>
      </c>
      <c r="B250" s="50" t="str">
        <f>IFERROR(HYPERLINK(VLOOKUP(A250,Internal_lists_bugs!$A$2:$C$73,3,FALSE()), VLOOKUP(A250,Internal_lists_bugs!$A$2:$C$73,3,FALSE())&amp;Char(10) &amp; Char(10) &amp; VLOOKUP(A250,Internal_lists_bugs!$A$2:$Z$73,26,FALSE())),"please select a BUG ID")</f>
        <v>https://bugs.launchpad.net/nova/+bug/1486541
/compute/cells_api.py</v>
      </c>
      <c r="C250" s="81" t="str">
        <f>IFERROR(SUBSTITUTE(VLOOKUP(A250,Internal_lists_bugs!$A$2:$G2031,7,FALSE()),"nova/commit","nova/src/commit"),"please select a BUG ID")</f>
        <v>https://opendev.org/openstack/nova/src/commit/f5071bd1ac00ed68102d37c8025</v>
      </c>
      <c r="D250" s="30" t="s">
        <v>4754</v>
      </c>
      <c r="E250" s="16" t="s">
        <v>4755</v>
      </c>
      <c r="F250" s="54"/>
      <c r="H250" s="112" t="s">
        <v>4749</v>
      </c>
      <c r="I250" s="16" t="s">
        <v>4779</v>
      </c>
      <c r="J250" s="196" t="str">
        <f>IFERROR(VLOOKUP(A250,Internal_lists_bugs!$A$2:$I2031,9,FALSE()),"please select a BUG ID")</f>
        <v>https://review.opendev.org/c/openstack/nova/+/70747</v>
      </c>
    </row>
    <row r="251">
      <c r="A251" s="16" t="s">
        <v>36</v>
      </c>
      <c r="B251" s="50" t="str">
        <f>IFERROR(HYPERLINK(VLOOKUP(A251,Internal_lists_bugs!$A$2:$C$73,3,FALSE()), VLOOKUP(A251,Internal_lists_bugs!$A$2:$C$73,3,FALSE())&amp;Char(10) &amp; Char(10) &amp; VLOOKUP(A251,Internal_lists_bugs!$A$2:$Z$73,26,FALSE())),"please select a BUG ID")</f>
        <v>https://bugs.launchpad.net/nova/+bug/1486541
/compute/cells_api.py</v>
      </c>
      <c r="C251" s="81" t="str">
        <f>IFERROR(SUBSTITUTE(VLOOKUP(A251,Internal_lists_bugs!$A$2:$G2031,7,FALSE()),"nova/commit","nova/src/commit"),"please select a BUG ID")</f>
        <v>https://opendev.org/openstack/nova/src/commit/f5071bd1ac00ed68102d37c8025</v>
      </c>
      <c r="D251" s="30" t="s">
        <v>4714</v>
      </c>
      <c r="E251" s="16" t="s">
        <v>4738</v>
      </c>
      <c r="F251" s="54"/>
      <c r="H251" s="112" t="s">
        <v>4782</v>
      </c>
      <c r="I251" s="16" t="s">
        <v>4783</v>
      </c>
      <c r="J251" s="196" t="str">
        <f>IFERROR(VLOOKUP(A251,Internal_lists_bugs!$A$2:$I2031,9,FALSE()),"please select a BUG ID")</f>
        <v>https://review.opendev.org/c/openstack/nova/+/70747</v>
      </c>
    </row>
    <row r="252">
      <c r="A252" s="16" t="s">
        <v>36</v>
      </c>
      <c r="B252" s="50" t="str">
        <f>IFERROR(HYPERLINK(VLOOKUP(A252,Internal_lists_bugs!$A$2:$C$73,3,FALSE()), VLOOKUP(A252,Internal_lists_bugs!$A$2:$C$73,3,FALSE())&amp;Char(10) &amp; Char(10) &amp; VLOOKUP(A252,Internal_lists_bugs!$A$2:$Z$73,26,FALSE())),"please select a BUG ID")</f>
        <v>https://bugs.launchpad.net/nova/+bug/1486541
/compute/cells_api.py</v>
      </c>
      <c r="C252" s="81" t="str">
        <f>IFERROR(SUBSTITUTE(VLOOKUP(A252,Internal_lists_bugs!$A$2:$G2031,7,FALSE()),"nova/commit","nova/src/commit"),"please select a BUG ID")</f>
        <v>https://opendev.org/openstack/nova/src/commit/f5071bd1ac00ed68102d37c8025</v>
      </c>
      <c r="D252" s="30" t="s">
        <v>4807</v>
      </c>
      <c r="E252" s="16" t="s">
        <v>4822</v>
      </c>
      <c r="F252" s="54"/>
      <c r="H252" s="112" t="s">
        <v>4801</v>
      </c>
      <c r="I252" s="16" t="s">
        <v>4806</v>
      </c>
      <c r="J252" s="196" t="str">
        <f>IFERROR(VLOOKUP(A252,Internal_lists_bugs!$A$2:$I2031,9,FALSE()),"please select a BUG ID")</f>
        <v>https://review.opendev.org/c/openstack/nova/+/70747</v>
      </c>
    </row>
    <row r="253">
      <c r="A253" s="16" t="s">
        <v>36</v>
      </c>
      <c r="B253" s="50" t="str">
        <f>IFERROR(HYPERLINK(VLOOKUP(A253,Internal_lists_bugs!$A$2:$C$73,3,FALSE()), VLOOKUP(A253,Internal_lists_bugs!$A$2:$C$73,3,FALSE())&amp;Char(10) &amp; Char(10) &amp; VLOOKUP(A253,Internal_lists_bugs!$A$2:$Z$73,26,FALSE())),"please select a BUG ID")</f>
        <v>https://bugs.launchpad.net/nova/+bug/1486541
/compute/cells_api.py</v>
      </c>
      <c r="C253" s="81" t="str">
        <f>IFERROR(SUBSTITUTE(VLOOKUP(A253,Internal_lists_bugs!$A$2:$G2031,7,FALSE()),"nova/commit","nova/src/commit"),"please select a BUG ID")</f>
        <v>https://opendev.org/openstack/nova/src/commit/f5071bd1ac00ed68102d37c8025</v>
      </c>
      <c r="D253" s="30" t="s">
        <v>4812</v>
      </c>
      <c r="E253" s="16" t="s">
        <v>4813</v>
      </c>
      <c r="F253" s="54"/>
      <c r="H253" s="112" t="s">
        <v>4818</v>
      </c>
      <c r="I253" s="66" t="s">
        <v>4840</v>
      </c>
      <c r="J253" s="196" t="str">
        <f>IFERROR(VLOOKUP(A253,Internal_lists_bugs!$A$2:$I2031,9,FALSE()),"please select a BUG ID")</f>
        <v>https://review.opendev.org/c/openstack/nova/+/70747</v>
      </c>
    </row>
    <row r="254">
      <c r="A254" s="16" t="s">
        <v>36</v>
      </c>
      <c r="B254" s="50" t="str">
        <f>IFERROR(HYPERLINK(VLOOKUP(A254,Internal_lists_bugs!$A$2:$C$73,3,FALSE()), VLOOKUP(A254,Internal_lists_bugs!$A$2:$C$73,3,FALSE())&amp;Char(10) &amp; Char(10) &amp; VLOOKUP(A254,Internal_lists_bugs!$A$2:$Z$73,26,FALSE())),"please select a BUG ID")</f>
        <v>https://bugs.launchpad.net/nova/+bug/1486541
/compute/cells_api.py</v>
      </c>
      <c r="C254" s="81" t="str">
        <f>IFERROR(SUBSTITUTE(VLOOKUP(A254,Internal_lists_bugs!$A$2:$G2031,7,FALSE()),"nova/commit","nova/src/commit"),"please select a BUG ID")</f>
        <v>https://opendev.org/openstack/nova/src/commit/f5071bd1ac00ed68102d37c8025</v>
      </c>
      <c r="D254" s="30" t="s">
        <v>4841</v>
      </c>
      <c r="E254" s="16" t="s">
        <v>4842</v>
      </c>
      <c r="F254" s="54"/>
      <c r="H254" s="112" t="s">
        <v>4845</v>
      </c>
      <c r="I254" s="66" t="s">
        <v>4846</v>
      </c>
      <c r="J254" s="196" t="str">
        <f>IFERROR(VLOOKUP(A254,Internal_lists_bugs!$A$2:$I2031,9,FALSE()),"please select a BUG ID")</f>
        <v>https://review.opendev.org/c/openstack/nova/+/70747</v>
      </c>
    </row>
    <row r="255">
      <c r="A255" s="16" t="s">
        <v>36</v>
      </c>
      <c r="B255" s="50" t="str">
        <f>IFERROR(HYPERLINK(VLOOKUP(A255,Internal_lists_bugs!$A$2:$C$73,3,FALSE()), VLOOKUP(A255,Internal_lists_bugs!$A$2:$C$73,3,FALSE())&amp;Char(10) &amp; Char(10) &amp; VLOOKUP(A255,Internal_lists_bugs!$A$2:$Z$73,26,FALSE())),"please select a BUG ID")</f>
        <v>https://bugs.launchpad.net/nova/+bug/1486541
/compute/cells_api.py</v>
      </c>
      <c r="C255" s="81" t="str">
        <f>IFERROR(SUBSTITUTE(VLOOKUP(A255,Internal_lists_bugs!$A$2:$G2031,7,FALSE()),"nova/commit","nova/src/commit"),"please select a BUG ID")</f>
        <v>https://opendev.org/openstack/nova/src/commit/f5071bd1ac00ed68102d37c8025</v>
      </c>
      <c r="D255" s="30" t="s">
        <v>4847</v>
      </c>
      <c r="E255" s="14" t="s">
        <v>4857</v>
      </c>
      <c r="F255" s="54"/>
      <c r="H255" s="112" t="s">
        <v>4831</v>
      </c>
      <c r="J255" s="196" t="str">
        <f>IFERROR(VLOOKUP(A255,Internal_lists_bugs!$A$2:$I2031,9,FALSE()),"please select a BUG ID")</f>
        <v>https://review.opendev.org/c/openstack/nova/+/70747</v>
      </c>
    </row>
    <row r="256">
      <c r="A256" s="16" t="s">
        <v>36</v>
      </c>
      <c r="B256" s="50" t="str">
        <f>IFERROR(HYPERLINK(VLOOKUP(A256,Internal_lists_bugs!$A$2:$C$73,3,FALSE()), VLOOKUP(A256,Internal_lists_bugs!$A$2:$C$73,3,FALSE())&amp;Char(10) &amp; Char(10) &amp; VLOOKUP(A256,Internal_lists_bugs!$A$2:$Z$73,26,FALSE())),"please select a BUG ID")</f>
        <v>https://bugs.launchpad.net/nova/+bug/1486541
/compute/cells_api.py</v>
      </c>
      <c r="C256" s="81" t="str">
        <f>IFERROR(SUBSTITUTE(VLOOKUP(A256,Internal_lists_bugs!$A$2:$G2031,7,FALSE()),"nova/commit","nova/src/commit"),"please select a BUG ID")</f>
        <v>https://opendev.org/openstack/nova/src/commit/f5071bd1ac00ed68102d37c8025</v>
      </c>
      <c r="D256" s="30" t="s">
        <v>4849</v>
      </c>
      <c r="E256" s="14" t="s">
        <v>4858</v>
      </c>
      <c r="F256" s="54"/>
      <c r="H256" s="114"/>
      <c r="J256" s="196" t="str">
        <f>IFERROR(VLOOKUP(A256,Internal_lists_bugs!$A$2:$I2031,9,FALSE()),"please select a BUG ID")</f>
        <v>https://review.opendev.org/c/openstack/nova/+/70747</v>
      </c>
    </row>
    <row r="257">
      <c r="A257" s="16" t="s">
        <v>36</v>
      </c>
      <c r="B257" s="50" t="str">
        <f>IFERROR(HYPERLINK(VLOOKUP(A257,Internal_lists_bugs!$A$2:$C$73,3,FALSE()), VLOOKUP(A257,Internal_lists_bugs!$A$2:$C$73,3,FALSE())&amp;Char(10) &amp; Char(10) &amp; VLOOKUP(A257,Internal_lists_bugs!$A$2:$Z$73,26,FALSE())),"please select a BUG ID")</f>
        <v>https://bugs.launchpad.net/nova/+bug/1486541
/compute/cells_api.py</v>
      </c>
      <c r="C257" s="81" t="str">
        <f>IFERROR(SUBSTITUTE(VLOOKUP(A257,Internal_lists_bugs!$A$2:$G2031,7,FALSE()),"nova/commit","nova/src/commit"),"please select a BUG ID")</f>
        <v>https://opendev.org/openstack/nova/src/commit/f5071bd1ac00ed68102d37c8025</v>
      </c>
      <c r="D257" s="30" t="s">
        <v>4859</v>
      </c>
      <c r="E257" s="14" t="s">
        <v>4860</v>
      </c>
      <c r="F257" s="54"/>
      <c r="H257" s="114"/>
      <c r="J257" s="196" t="str">
        <f>IFERROR(VLOOKUP(A257,Internal_lists_bugs!$A$2:$I2031,9,FALSE()),"please select a BUG ID")</f>
        <v>https://review.opendev.org/c/openstack/nova/+/70747</v>
      </c>
    </row>
    <row r="258">
      <c r="A258" s="16" t="s">
        <v>36</v>
      </c>
      <c r="B258" s="50" t="str">
        <f>IFERROR(HYPERLINK(VLOOKUP(A258,Internal_lists_bugs!$A$2:$C$73,3,FALSE()), VLOOKUP(A258,Internal_lists_bugs!$A$2:$C$73,3,FALSE())&amp;Char(10) &amp; Char(10) &amp; VLOOKUP(A258,Internal_lists_bugs!$A$2:$Z$73,26,FALSE())),"please select a BUG ID")</f>
        <v>https://bugs.launchpad.net/nova/+bug/1486541
/compute/cells_api.py</v>
      </c>
      <c r="C258" s="81" t="str">
        <f>IFERROR(SUBSTITUTE(VLOOKUP(A258,Internal_lists_bugs!$A$2:$G2031,7,FALSE()),"nova/commit","nova/src/commit"),"please select a BUG ID")</f>
        <v>https://opendev.org/openstack/nova/src/commit/f5071bd1ac00ed68102d37c8025</v>
      </c>
      <c r="D258" s="30" t="s">
        <v>4861</v>
      </c>
      <c r="E258" s="14" t="s">
        <v>4862</v>
      </c>
      <c r="F258" s="54"/>
      <c r="H258" s="114"/>
      <c r="J258" s="196" t="str">
        <f>IFERROR(VLOOKUP(A258,Internal_lists_bugs!$A$2:$I2031,9,FALSE()),"please select a BUG ID")</f>
        <v>https://review.opendev.org/c/openstack/nova/+/70747</v>
      </c>
    </row>
    <row r="259">
      <c r="A259" s="189" t="s">
        <v>63</v>
      </c>
      <c r="B259" s="198" t="str">
        <f>IFERROR(HYPERLINK(VLOOKUP(A259,Internal_lists_bugs!$A$2:$C$73,3,FALSE()), VLOOKUP(A259,Internal_lists_bugs!$A$2:$C$73,3,FALSE())&amp;Char(10) &amp; Char(10) &amp; VLOOKUP(A259,Internal_lists_bugs!$A$2:$Z$73,26,FALSE())),"please select a BUG ID")</f>
        <v>https://bugs.launchpad.net/nova/+bug/1443970
/network/manager.py</v>
      </c>
      <c r="C259" s="199" t="str">
        <f>IFERROR(SUBSTITUTE(VLOOKUP(A259,Internal_lists_bugs!$A$2:$G2031,7,FALSE()),"nova/commit","nova/src/commit"),"please select a BUG ID")</f>
        <v>https://opendev.org/openstack/nova/src/commit/447641972539f1</v>
      </c>
      <c r="D259" s="189" t="s">
        <v>4758</v>
      </c>
      <c r="E259" s="190" t="s">
        <v>4759</v>
      </c>
      <c r="F259" s="189" t="s">
        <v>4682</v>
      </c>
      <c r="G259" s="189" t="s">
        <v>4802</v>
      </c>
      <c r="H259" s="191" t="s">
        <v>4756</v>
      </c>
      <c r="I259" s="194" t="s">
        <v>4761</v>
      </c>
      <c r="J259" s="195" t="str">
        <f>IFERROR(VLOOKUP(A259,Internal_lists_bugs!$A$2:$I2031,9,FALSE()),"please select a BUG ID")</f>
        <v>https://review.opendev.org/c/openstack/nova/+/93754</v>
      </c>
      <c r="K259" s="193"/>
      <c r="L259" s="193"/>
    </row>
    <row r="260">
      <c r="A260" s="16" t="s">
        <v>63</v>
      </c>
      <c r="B260" s="50" t="str">
        <f>IFERROR(HYPERLINK(VLOOKUP(A260,Internal_lists_bugs!$A$2:$C$73,3,FALSE()), VLOOKUP(A260,Internal_lists_bugs!$A$2:$C$73,3,FALSE())&amp;Char(10) &amp; Char(10) &amp; VLOOKUP(A260,Internal_lists_bugs!$A$2:$Z$73,26,FALSE())),"please select a BUG ID")</f>
        <v>https://bugs.launchpad.net/nova/+bug/1443970
/network/manager.py</v>
      </c>
      <c r="C260" s="81" t="str">
        <f>IFERROR(SUBSTITUTE(VLOOKUP(A260,Internal_lists_bugs!$A$2:$G2031,7,FALSE()),"nova/commit","nova/src/commit"),"please select a BUG ID")</f>
        <v>https://opendev.org/openstack/nova/src/commit/447641972539f1</v>
      </c>
      <c r="D260" s="16" t="s">
        <v>4765</v>
      </c>
      <c r="E260" s="14" t="s">
        <v>4863</v>
      </c>
      <c r="F260" s="54"/>
      <c r="H260" s="112" t="s">
        <v>4763</v>
      </c>
      <c r="I260" s="16" t="s">
        <v>4797</v>
      </c>
      <c r="J260" s="196" t="str">
        <f>IFERROR(VLOOKUP(A260,Internal_lists_bugs!$A$2:$I2031,9,FALSE()),"please select a BUG ID")</f>
        <v>https://review.opendev.org/c/openstack/nova/+/93754</v>
      </c>
    </row>
    <row r="261">
      <c r="A261" s="16" t="s">
        <v>63</v>
      </c>
      <c r="B261" s="50" t="str">
        <f>IFERROR(HYPERLINK(VLOOKUP(A261,Internal_lists_bugs!$A$2:$C$73,3,FALSE()), VLOOKUP(A261,Internal_lists_bugs!$A$2:$C$73,3,FALSE())&amp;Char(10) &amp; Char(10) &amp; VLOOKUP(A261,Internal_lists_bugs!$A$2:$Z$73,26,FALSE())),"please select a BUG ID")</f>
        <v>https://bugs.launchpad.net/nova/+bug/1443970
/network/manager.py</v>
      </c>
      <c r="C261" s="81" t="str">
        <f>IFERROR(SUBSTITUTE(VLOOKUP(A261,Internal_lists_bugs!$A$2:$G2031,7,FALSE()),"nova/commit","nova/src/commit"),"please select a BUG ID")</f>
        <v>https://opendev.org/openstack/nova/src/commit/447641972539f1</v>
      </c>
      <c r="D261" s="16" t="s">
        <v>4686</v>
      </c>
      <c r="E261" s="63" t="s">
        <v>4768</v>
      </c>
      <c r="F261" s="54"/>
      <c r="H261" s="112" t="s">
        <v>4708</v>
      </c>
      <c r="I261" s="16" t="s">
        <v>4767</v>
      </c>
      <c r="J261" s="196" t="str">
        <f>IFERROR(VLOOKUP(A261,Internal_lists_bugs!$A$2:$I2031,9,FALSE()),"please select a BUG ID")</f>
        <v>https://review.opendev.org/c/openstack/nova/+/93754</v>
      </c>
    </row>
    <row r="262">
      <c r="A262" s="16" t="s">
        <v>63</v>
      </c>
      <c r="B262" s="50" t="str">
        <f>IFERROR(HYPERLINK(VLOOKUP(A262,Internal_lists_bugs!$A$2:$C$73,3,FALSE()), VLOOKUP(A262,Internal_lists_bugs!$A$2:$C$73,3,FALSE())&amp;Char(10) &amp; Char(10) &amp; VLOOKUP(A262,Internal_lists_bugs!$A$2:$Z$73,26,FALSE())),"please select a BUG ID")</f>
        <v>https://bugs.launchpad.net/nova/+bug/1443970
/network/manager.py</v>
      </c>
      <c r="C262" s="81" t="str">
        <f>IFERROR(SUBSTITUTE(VLOOKUP(A262,Internal_lists_bugs!$A$2:$G2031,7,FALSE()),"nova/commit","nova/src/commit"),"please select a BUG ID")</f>
        <v>https://opendev.org/openstack/nova/src/commit/447641972539f1</v>
      </c>
      <c r="D262" s="16" t="s">
        <v>4690</v>
      </c>
      <c r="E262" s="16" t="s">
        <v>4731</v>
      </c>
      <c r="F262" s="54"/>
      <c r="H262" s="112" t="s">
        <v>4696</v>
      </c>
      <c r="I262" s="16" t="s">
        <v>4731</v>
      </c>
      <c r="J262" s="196" t="str">
        <f>IFERROR(VLOOKUP(A262,Internal_lists_bugs!$A$2:$I2031,9,FALSE()),"please select a BUG ID")</f>
        <v>https://review.opendev.org/c/openstack/nova/+/93754</v>
      </c>
    </row>
    <row r="263">
      <c r="A263" s="16" t="s">
        <v>63</v>
      </c>
      <c r="B263" s="50" t="str">
        <f>IFERROR(HYPERLINK(VLOOKUP(A263,Internal_lists_bugs!$A$2:$C$73,3,FALSE()), VLOOKUP(A263,Internal_lists_bugs!$A$2:$C$73,3,FALSE())&amp;Char(10) &amp; Char(10) &amp; VLOOKUP(A263,Internal_lists_bugs!$A$2:$Z$73,26,FALSE())),"please select a BUG ID")</f>
        <v>https://bugs.launchpad.net/nova/+bug/1443970
/network/manager.py</v>
      </c>
      <c r="C263" s="81" t="str">
        <f>IFERROR(SUBSTITUTE(VLOOKUP(A263,Internal_lists_bugs!$A$2:$G2031,7,FALSE()),"nova/commit","nova/src/commit"),"please select a BUG ID")</f>
        <v>https://opendev.org/openstack/nova/src/commit/447641972539f1</v>
      </c>
      <c r="D263" s="16" t="s">
        <v>4702</v>
      </c>
      <c r="E263" s="16" t="s">
        <v>4770</v>
      </c>
      <c r="F263" s="54"/>
      <c r="H263" s="112" t="s">
        <v>4716</v>
      </c>
      <c r="I263" s="16" t="s">
        <v>4769</v>
      </c>
      <c r="J263" s="196" t="str">
        <f>IFERROR(VLOOKUP(A263,Internal_lists_bugs!$A$2:$I2031,9,FALSE()),"please select a BUG ID")</f>
        <v>https://review.opendev.org/c/openstack/nova/+/93754</v>
      </c>
    </row>
    <row r="264">
      <c r="A264" s="16" t="s">
        <v>63</v>
      </c>
      <c r="B264" s="50" t="str">
        <f>IFERROR(HYPERLINK(VLOOKUP(A264,Internal_lists_bugs!$A$2:$C$73,3,FALSE()), VLOOKUP(A264,Internal_lists_bugs!$A$2:$C$73,3,FALSE())&amp;Char(10) &amp; Char(10) &amp; VLOOKUP(A264,Internal_lists_bugs!$A$2:$Z$73,26,FALSE())),"please select a BUG ID")</f>
        <v>https://bugs.launchpad.net/nova/+bug/1443970
/network/manager.py</v>
      </c>
      <c r="C264" s="81" t="str">
        <f>IFERROR(SUBSTITUTE(VLOOKUP(A264,Internal_lists_bugs!$A$2:$G2031,7,FALSE()),"nova/commit","nova/src/commit"),"please select a BUG ID")</f>
        <v>https://opendev.org/openstack/nova/src/commit/447641972539f1</v>
      </c>
      <c r="D264" s="16" t="s">
        <v>4772</v>
      </c>
      <c r="E264" s="14" t="s">
        <v>4864</v>
      </c>
      <c r="F264" s="54"/>
      <c r="H264" s="112" t="s">
        <v>4708</v>
      </c>
      <c r="I264" s="16" t="s">
        <v>4771</v>
      </c>
      <c r="J264" s="196" t="str">
        <f>IFERROR(VLOOKUP(A264,Internal_lists_bugs!$A$2:$I2031,9,FALSE()),"please select a BUG ID")</f>
        <v>https://review.opendev.org/c/openstack/nova/+/93754</v>
      </c>
    </row>
    <row r="265">
      <c r="A265" s="16" t="s">
        <v>63</v>
      </c>
      <c r="B265" s="50" t="str">
        <f>IFERROR(HYPERLINK(VLOOKUP(A265,Internal_lists_bugs!$A$2:$C$73,3,FALSE()), VLOOKUP(A265,Internal_lists_bugs!$A$2:$C$73,3,FALSE())&amp;Char(10) &amp; Char(10) &amp; VLOOKUP(A265,Internal_lists_bugs!$A$2:$Z$73,26,FALSE())),"please select a BUG ID")</f>
        <v>https://bugs.launchpad.net/nova/+bug/1443970
/network/manager.py</v>
      </c>
      <c r="C265" s="81" t="str">
        <f>IFERROR(SUBSTITUTE(VLOOKUP(A265,Internal_lists_bugs!$A$2:$G2031,7,FALSE()),"nova/commit","nova/src/commit"),"please select a BUG ID")</f>
        <v>https://opendev.org/openstack/nova/src/commit/447641972539f1</v>
      </c>
      <c r="D265" s="16" t="s">
        <v>4706</v>
      </c>
      <c r="E265" s="16" t="s">
        <v>4775</v>
      </c>
      <c r="F265" s="54"/>
      <c r="H265" s="112" t="s">
        <v>4684</v>
      </c>
      <c r="I265" s="16" t="s">
        <v>4774</v>
      </c>
      <c r="J265" s="196" t="str">
        <f>IFERROR(VLOOKUP(A265,Internal_lists_bugs!$A$2:$I2031,9,FALSE()),"please select a BUG ID")</f>
        <v>https://review.opendev.org/c/openstack/nova/+/93754</v>
      </c>
    </row>
    <row r="266">
      <c r="A266" s="16" t="s">
        <v>63</v>
      </c>
      <c r="B266" s="50" t="str">
        <f>IFERROR(HYPERLINK(VLOOKUP(A266,Internal_lists_bugs!$A$2:$C$73,3,FALSE()), VLOOKUP(A266,Internal_lists_bugs!$A$2:$C$73,3,FALSE())&amp;Char(10) &amp; Char(10) &amp; VLOOKUP(A266,Internal_lists_bugs!$A$2:$Z$73,26,FALSE())),"please select a BUG ID")</f>
        <v>https://bugs.launchpad.net/nova/+bug/1443970
/network/manager.py</v>
      </c>
      <c r="C266" s="81" t="str">
        <f>IFERROR(SUBSTITUTE(VLOOKUP(A266,Internal_lists_bugs!$A$2:$G2031,7,FALSE()),"nova/commit","nova/src/commit"),"please select a BUG ID")</f>
        <v>https://opendev.org/openstack/nova/src/commit/447641972539f1</v>
      </c>
      <c r="D266" s="16" t="s">
        <v>4710</v>
      </c>
      <c r="E266" s="16" t="s">
        <v>4775</v>
      </c>
      <c r="F266" s="54"/>
      <c r="H266" s="112" t="s">
        <v>4712</v>
      </c>
      <c r="I266" s="16" t="s">
        <v>4776</v>
      </c>
      <c r="J266" s="196" t="str">
        <f>IFERROR(VLOOKUP(A266,Internal_lists_bugs!$A$2:$I2031,9,FALSE()),"please select a BUG ID")</f>
        <v>https://review.opendev.org/c/openstack/nova/+/93754</v>
      </c>
    </row>
    <row r="267">
      <c r="A267" s="16" t="s">
        <v>63</v>
      </c>
      <c r="B267" s="50" t="str">
        <f>IFERROR(HYPERLINK(VLOOKUP(A267,Internal_lists_bugs!$A$2:$C$73,3,FALSE()), VLOOKUP(A267,Internal_lists_bugs!$A$2:$C$73,3,FALSE())&amp;Char(10) &amp; Char(10) &amp; VLOOKUP(A267,Internal_lists_bugs!$A$2:$Z$73,26,FALSE())),"please select a BUG ID")</f>
        <v>https://bugs.launchpad.net/nova/+bug/1443970
/network/manager.py</v>
      </c>
      <c r="C267" s="81" t="str">
        <f>IFERROR(SUBSTITUTE(VLOOKUP(A267,Internal_lists_bugs!$A$2:$G2031,7,FALSE()),"nova/commit","nova/src/commit"),"please select a BUG ID")</f>
        <v>https://opendev.org/openstack/nova/src/commit/447641972539f1</v>
      </c>
      <c r="D267" s="16" t="s">
        <v>1325</v>
      </c>
      <c r="E267" s="16" t="s">
        <v>4751</v>
      </c>
      <c r="F267" s="54"/>
      <c r="H267" s="112" t="s">
        <v>4777</v>
      </c>
      <c r="I267" s="16" t="s">
        <v>4778</v>
      </c>
      <c r="J267" s="196" t="str">
        <f>IFERROR(VLOOKUP(A267,Internal_lists_bugs!$A$2:$I2031,9,FALSE()),"please select a BUG ID")</f>
        <v>https://review.opendev.org/c/openstack/nova/+/93754</v>
      </c>
    </row>
    <row r="268">
      <c r="A268" s="16" t="s">
        <v>63</v>
      </c>
      <c r="B268" s="50" t="str">
        <f>IFERROR(HYPERLINK(VLOOKUP(A268,Internal_lists_bugs!$A$2:$C$73,3,FALSE()), VLOOKUP(A268,Internal_lists_bugs!$A$2:$C$73,3,FALSE())&amp;Char(10) &amp; Char(10) &amp; VLOOKUP(A268,Internal_lists_bugs!$A$2:$Z$73,26,FALSE())),"please select a BUG ID")</f>
        <v>https://bugs.launchpad.net/nova/+bug/1443970
/network/manager.py</v>
      </c>
      <c r="C268" s="81" t="str">
        <f>IFERROR(SUBSTITUTE(VLOOKUP(A268,Internal_lists_bugs!$A$2:$G2031,7,FALSE()),"nova/commit","nova/src/commit"),"please select a BUG ID")</f>
        <v>https://opendev.org/openstack/nova/src/commit/447641972539f1</v>
      </c>
      <c r="D268" s="16" t="s">
        <v>4680</v>
      </c>
      <c r="E268" s="16" t="s">
        <v>4789</v>
      </c>
      <c r="F268" s="54"/>
      <c r="H268" s="112" t="s">
        <v>4704</v>
      </c>
      <c r="I268" s="16" t="s">
        <v>4752</v>
      </c>
      <c r="J268" s="196" t="str">
        <f>IFERROR(VLOOKUP(A268,Internal_lists_bugs!$A$2:$I2031,9,FALSE()),"please select a BUG ID")</f>
        <v>https://review.opendev.org/c/openstack/nova/+/93754</v>
      </c>
    </row>
    <row r="269">
      <c r="A269" s="16" t="s">
        <v>63</v>
      </c>
      <c r="B269" s="50" t="str">
        <f>IFERROR(HYPERLINK(VLOOKUP(A269,Internal_lists_bugs!$A$2:$C$73,3,FALSE()), VLOOKUP(A269,Internal_lists_bugs!$A$2:$C$73,3,FALSE())&amp;Char(10) &amp; Char(10) &amp; VLOOKUP(A269,Internal_lists_bugs!$A$2:$Z$73,26,FALSE())),"please select a BUG ID")</f>
        <v>https://bugs.launchpad.net/nova/+bug/1443970
/network/manager.py</v>
      </c>
      <c r="C269" s="81" t="str">
        <f>IFERROR(SUBSTITUTE(VLOOKUP(A269,Internal_lists_bugs!$A$2:$G2031,7,FALSE()),"nova/commit","nova/src/commit"),"please select a BUG ID")</f>
        <v>https://opendev.org/openstack/nova/src/commit/447641972539f1</v>
      </c>
      <c r="D269" s="16" t="s">
        <v>4754</v>
      </c>
      <c r="E269" s="16" t="s">
        <v>4755</v>
      </c>
      <c r="F269" s="54"/>
      <c r="H269" s="112" t="s">
        <v>4749</v>
      </c>
      <c r="I269" s="16" t="s">
        <v>4779</v>
      </c>
      <c r="J269" s="196" t="str">
        <f>IFERROR(VLOOKUP(A269,Internal_lists_bugs!$A$2:$I2031,9,FALSE()),"please select a BUG ID")</f>
        <v>https://review.opendev.org/c/openstack/nova/+/93754</v>
      </c>
    </row>
    <row r="270">
      <c r="A270" s="16" t="s">
        <v>63</v>
      </c>
      <c r="B270" s="50" t="str">
        <f>IFERROR(HYPERLINK(VLOOKUP(A270,Internal_lists_bugs!$A$2:$C$73,3,FALSE()), VLOOKUP(A270,Internal_lists_bugs!$A$2:$C$73,3,FALSE())&amp;Char(10) &amp; Char(10) &amp; VLOOKUP(A270,Internal_lists_bugs!$A$2:$Z$73,26,FALSE())),"please select a BUG ID")</f>
        <v>https://bugs.launchpad.net/nova/+bug/1443970
/network/manager.py</v>
      </c>
      <c r="C270" s="81" t="str">
        <f>IFERROR(SUBSTITUTE(VLOOKUP(A270,Internal_lists_bugs!$A$2:$G2031,7,FALSE()),"nova/commit","nova/src/commit"),"please select a BUG ID")</f>
        <v>https://opendev.org/openstack/nova/src/commit/447641972539f1</v>
      </c>
      <c r="D270" s="16" t="s">
        <v>4714</v>
      </c>
      <c r="E270" s="16" t="s">
        <v>4738</v>
      </c>
      <c r="F270" s="54"/>
      <c r="H270" s="112" t="s">
        <v>4782</v>
      </c>
      <c r="I270" s="16" t="s">
        <v>4783</v>
      </c>
      <c r="J270" s="196" t="str">
        <f>IFERROR(VLOOKUP(A270,Internal_lists_bugs!$A$2:$I2031,9,FALSE()),"please select a BUG ID")</f>
        <v>https://review.opendev.org/c/openstack/nova/+/93754</v>
      </c>
    </row>
    <row r="271">
      <c r="A271" s="16" t="s">
        <v>63</v>
      </c>
      <c r="B271" s="50" t="str">
        <f>IFERROR(HYPERLINK(VLOOKUP(A271,Internal_lists_bugs!$A$2:$C$73,3,FALSE()), VLOOKUP(A271,Internal_lists_bugs!$A$2:$C$73,3,FALSE())&amp;Char(10) &amp; Char(10) &amp; VLOOKUP(A271,Internal_lists_bugs!$A$2:$Z$73,26,FALSE())),"please select a BUG ID")</f>
        <v>https://bugs.launchpad.net/nova/+bug/1443970
/network/manager.py</v>
      </c>
      <c r="C271" s="81" t="str">
        <f>IFERROR(SUBSTITUTE(VLOOKUP(A271,Internal_lists_bugs!$A$2:$G2031,7,FALSE()),"nova/commit","nova/src/commit"),"please select a BUG ID")</f>
        <v>https://opendev.org/openstack/nova/src/commit/447641972539f1</v>
      </c>
      <c r="D271" s="16" t="s">
        <v>4807</v>
      </c>
      <c r="E271" s="16" t="s">
        <v>4822</v>
      </c>
      <c r="F271" s="54"/>
      <c r="H271" s="112" t="s">
        <v>4801</v>
      </c>
      <c r="I271" s="16" t="s">
        <v>4806</v>
      </c>
      <c r="J271" s="196" t="str">
        <f>IFERROR(VLOOKUP(A271,Internal_lists_bugs!$A$2:$I2031,9,FALSE()),"please select a BUG ID")</f>
        <v>https://review.opendev.org/c/openstack/nova/+/93754</v>
      </c>
    </row>
    <row r="272">
      <c r="A272" s="16" t="s">
        <v>63</v>
      </c>
      <c r="B272" s="50" t="str">
        <f>IFERROR(HYPERLINK(VLOOKUP(A272,Internal_lists_bugs!$A$2:$C$73,3,FALSE()), VLOOKUP(A272,Internal_lists_bugs!$A$2:$C$73,3,FALSE())&amp;Char(10) &amp; Char(10) &amp; VLOOKUP(A272,Internal_lists_bugs!$A$2:$Z$73,26,FALSE())),"please select a BUG ID")</f>
        <v>https://bugs.launchpad.net/nova/+bug/1443970
/network/manager.py</v>
      </c>
      <c r="C272" s="81" t="str">
        <f>IFERROR(SUBSTITUTE(VLOOKUP(A272,Internal_lists_bugs!$A$2:$G2031,7,FALSE()),"nova/commit","nova/src/commit"),"please select a BUG ID")</f>
        <v>https://opendev.org/openstack/nova/src/commit/447641972539f1</v>
      </c>
      <c r="D272" s="16" t="s">
        <v>4812</v>
      </c>
      <c r="E272" s="16" t="s">
        <v>4813</v>
      </c>
      <c r="F272" s="54"/>
      <c r="H272" s="112" t="s">
        <v>4818</v>
      </c>
      <c r="I272" s="66" t="s">
        <v>4840</v>
      </c>
      <c r="J272" s="196" t="str">
        <f>IFERROR(VLOOKUP(A272,Internal_lists_bugs!$A$2:$I2031,9,FALSE()),"please select a BUG ID")</f>
        <v>https://review.opendev.org/c/openstack/nova/+/93754</v>
      </c>
    </row>
    <row r="273">
      <c r="A273" s="16" t="s">
        <v>63</v>
      </c>
      <c r="B273" s="50" t="str">
        <f>IFERROR(HYPERLINK(VLOOKUP(A273,Internal_lists_bugs!$A$2:$C$73,3,FALSE()), VLOOKUP(A273,Internal_lists_bugs!$A$2:$C$73,3,FALSE())&amp;Char(10) &amp; Char(10) &amp; VLOOKUP(A273,Internal_lists_bugs!$A$2:$Z$73,26,FALSE())),"please select a BUG ID")</f>
        <v>https://bugs.launchpad.net/nova/+bug/1443970
/network/manager.py</v>
      </c>
      <c r="C273" s="81" t="str">
        <f>IFERROR(SUBSTITUTE(VLOOKUP(A273,Internal_lists_bugs!$A$2:$G2031,7,FALSE()),"nova/commit","nova/src/commit"),"please select a BUG ID")</f>
        <v>https://opendev.org/openstack/nova/src/commit/447641972539f1</v>
      </c>
      <c r="D273" s="16" t="s">
        <v>4841</v>
      </c>
      <c r="E273" s="16" t="s">
        <v>4842</v>
      </c>
      <c r="F273" s="54"/>
      <c r="H273" s="112" t="s">
        <v>4845</v>
      </c>
      <c r="I273" s="66" t="s">
        <v>4846</v>
      </c>
      <c r="J273" s="196" t="str">
        <f>IFERROR(VLOOKUP(A273,Internal_lists_bugs!$A$2:$I2031,9,FALSE()),"please select a BUG ID")</f>
        <v>https://review.opendev.org/c/openstack/nova/+/93754</v>
      </c>
    </row>
    <row r="274">
      <c r="A274" s="16" t="s">
        <v>63</v>
      </c>
      <c r="B274" s="50" t="str">
        <f>IFERROR(HYPERLINK(VLOOKUP(A274,Internal_lists_bugs!$A$2:$C$73,3,FALSE()), VLOOKUP(A274,Internal_lists_bugs!$A$2:$C$73,3,FALSE())&amp;Char(10) &amp; Char(10) &amp; VLOOKUP(A274,Internal_lists_bugs!$A$2:$Z$73,26,FALSE())),"please select a BUG ID")</f>
        <v>https://bugs.launchpad.net/nova/+bug/1443970
/network/manager.py</v>
      </c>
      <c r="C274" s="81" t="str">
        <f>IFERROR(SUBSTITUTE(VLOOKUP(A274,Internal_lists_bugs!$A$2:$G2031,7,FALSE()),"nova/commit","nova/src/commit"),"please select a BUG ID")</f>
        <v>https://opendev.org/openstack/nova/src/commit/447641972539f1</v>
      </c>
      <c r="D274" s="16" t="s">
        <v>4847</v>
      </c>
      <c r="E274" s="14" t="s">
        <v>4865</v>
      </c>
      <c r="F274" s="54"/>
      <c r="H274" s="112" t="s">
        <v>4831</v>
      </c>
      <c r="J274" s="196" t="str">
        <f>IFERROR(VLOOKUP(A274,Internal_lists_bugs!$A$2:$I2031,9,FALSE()),"please select a BUG ID")</f>
        <v>https://review.opendev.org/c/openstack/nova/+/93754</v>
      </c>
    </row>
    <row r="275">
      <c r="A275" s="16" t="s">
        <v>63</v>
      </c>
      <c r="B275" s="50" t="str">
        <f>IFERROR(HYPERLINK(VLOOKUP(A275,Internal_lists_bugs!$A$2:$C$73,3,FALSE()), VLOOKUP(A275,Internal_lists_bugs!$A$2:$C$73,3,FALSE())&amp;Char(10) &amp; Char(10) &amp; VLOOKUP(A275,Internal_lists_bugs!$A$2:$Z$73,26,FALSE())),"please select a BUG ID")</f>
        <v>https://bugs.launchpad.net/nova/+bug/1443970
/network/manager.py</v>
      </c>
      <c r="C275" s="81" t="str">
        <f>IFERROR(SUBSTITUTE(VLOOKUP(A275,Internal_lists_bugs!$A$2:$G2031,7,FALSE()),"nova/commit","nova/src/commit"),"please select a BUG ID")</f>
        <v>https://opendev.org/openstack/nova/src/commit/447641972539f1</v>
      </c>
      <c r="D275" s="16" t="s">
        <v>4849</v>
      </c>
      <c r="E275" s="14" t="s">
        <v>4866</v>
      </c>
      <c r="F275" s="54"/>
      <c r="H275" s="114"/>
      <c r="J275" s="196" t="str">
        <f>IFERROR(VLOOKUP(A275,Internal_lists_bugs!$A$2:$I2031,9,FALSE()),"please select a BUG ID")</f>
        <v>https://review.opendev.org/c/openstack/nova/+/93754</v>
      </c>
    </row>
    <row r="276">
      <c r="A276" s="16" t="s">
        <v>63</v>
      </c>
      <c r="B276" s="50" t="str">
        <f>IFERROR(HYPERLINK(VLOOKUP(A276,Internal_lists_bugs!$A$2:$C$73,3,FALSE()), VLOOKUP(A276,Internal_lists_bugs!$A$2:$C$73,3,FALSE())&amp;Char(10) &amp; Char(10) &amp; VLOOKUP(A276,Internal_lists_bugs!$A$2:$Z$73,26,FALSE())),"please select a BUG ID")</f>
        <v>https://bugs.launchpad.net/nova/+bug/1443970
/network/manager.py</v>
      </c>
      <c r="C276" s="81" t="str">
        <f>IFERROR(SUBSTITUTE(VLOOKUP(A276,Internal_lists_bugs!$A$2:$G2031,7,FALSE()),"nova/commit","nova/src/commit"),"please select a BUG ID")</f>
        <v>https://opendev.org/openstack/nova/src/commit/447641972539f1</v>
      </c>
      <c r="D276" s="16" t="s">
        <v>4859</v>
      </c>
      <c r="E276" s="14" t="s">
        <v>4867</v>
      </c>
      <c r="F276" s="54"/>
      <c r="H276" s="114"/>
      <c r="J276" s="196" t="str">
        <f>IFERROR(VLOOKUP(A276,Internal_lists_bugs!$A$2:$I2031,9,FALSE()),"please select a BUG ID")</f>
        <v>https://review.opendev.org/c/openstack/nova/+/93754</v>
      </c>
    </row>
    <row r="277">
      <c r="A277" s="16" t="s">
        <v>63</v>
      </c>
      <c r="B277" s="50" t="str">
        <f>IFERROR(HYPERLINK(VLOOKUP(A277,Internal_lists_bugs!$A$2:$C$73,3,FALSE()), VLOOKUP(A277,Internal_lists_bugs!$A$2:$C$73,3,FALSE())&amp;Char(10) &amp; Char(10) &amp; VLOOKUP(A277,Internal_lists_bugs!$A$2:$Z$73,26,FALSE())),"please select a BUG ID")</f>
        <v>https://bugs.launchpad.net/nova/+bug/1443970
/network/manager.py</v>
      </c>
      <c r="C277" s="81" t="str">
        <f>IFERROR(SUBSTITUTE(VLOOKUP(A277,Internal_lists_bugs!$A$2:$G2031,7,FALSE()),"nova/commit","nova/src/commit"),"please select a BUG ID")</f>
        <v>https://opendev.org/openstack/nova/src/commit/447641972539f1</v>
      </c>
      <c r="D277" s="16" t="s">
        <v>4861</v>
      </c>
      <c r="E277" s="14" t="s">
        <v>4868</v>
      </c>
      <c r="F277" s="54"/>
      <c r="H277" s="114"/>
      <c r="J277" s="196" t="str">
        <f>IFERROR(VLOOKUP(A277,Internal_lists_bugs!$A$2:$I2031,9,FALSE()),"please select a BUG ID")</f>
        <v>https://review.opendev.org/c/openstack/nova/+/93754</v>
      </c>
    </row>
    <row r="278">
      <c r="A278" s="189" t="s">
        <v>61</v>
      </c>
      <c r="B278" s="198" t="str">
        <f>IFERROR(HYPERLINK(VLOOKUP(A278,Internal_lists_bugs!$A$2:$C$73,3,FALSE()), VLOOKUP(A278,Internal_lists_bugs!$A$2:$C$73,3,FALSE())&amp;Char(10) &amp; Char(10) &amp; VLOOKUP(A278,Internal_lists_bugs!$A$2:$Z$73,26,FALSE())),"please select a BUG ID")</f>
        <v>https://bugs.launchpad.net/nova/+bug/1453274
/libvirt/driver.py</v>
      </c>
      <c r="C278" s="199" t="str">
        <f>IFERROR(SUBSTITUTE(VLOOKUP(A278,Internal_lists_bugs!$A$2:$G2031,7,FALSE()),"nova/commit","nova/src/commit"),"please select a BUG ID")</f>
        <v>https://opendev.org/openstack/nova/src/commit/60c90f7</v>
      </c>
      <c r="D278" s="186" t="s">
        <v>4758</v>
      </c>
      <c r="E278" s="190" t="s">
        <v>4759</v>
      </c>
      <c r="F278" s="189" t="s">
        <v>4682</v>
      </c>
      <c r="G278" s="189" t="s">
        <v>4802</v>
      </c>
      <c r="H278" s="191" t="s">
        <v>4756</v>
      </c>
      <c r="I278" s="194" t="s">
        <v>4761</v>
      </c>
      <c r="J278" s="195" t="str">
        <f>IFERROR(VLOOKUP(A278,Internal_lists_bugs!$A$2:$I2031,9,FALSE()),"please select a BUG ID")</f>
        <v>https://review.opendev.org/c/openstack/nova/+/102324</v>
      </c>
      <c r="K278" s="193"/>
      <c r="L278" s="193"/>
    </row>
    <row r="279">
      <c r="A279" s="16" t="s">
        <v>61</v>
      </c>
      <c r="B279" s="50" t="str">
        <f>IFERROR(HYPERLINK(VLOOKUP(A279,Internal_lists_bugs!$A$2:$C$73,3,FALSE()), VLOOKUP(A279,Internal_lists_bugs!$A$2:$C$73,3,FALSE())&amp;Char(10) &amp; Char(10) &amp; VLOOKUP(A279,Internal_lists_bugs!$A$2:$Z$73,26,FALSE())),"please select a BUG ID")</f>
        <v>https://bugs.launchpad.net/nova/+bug/1453274
/libvirt/driver.py</v>
      </c>
      <c r="C279" s="81" t="str">
        <f>IFERROR(SUBSTITUTE(VLOOKUP(A279,Internal_lists_bugs!$A$2:$G2031,7,FALSE()),"nova/commit","nova/src/commit"),"please select a BUG ID")</f>
        <v>https://opendev.org/openstack/nova/src/commit/60c90f7</v>
      </c>
      <c r="D279" s="30" t="s">
        <v>4765</v>
      </c>
      <c r="E279" s="14" t="s">
        <v>4869</v>
      </c>
      <c r="F279" s="54"/>
      <c r="H279" s="112" t="s">
        <v>4763</v>
      </c>
      <c r="I279" s="16" t="s">
        <v>4797</v>
      </c>
      <c r="J279" s="196" t="str">
        <f>IFERROR(VLOOKUP(A279,Internal_lists_bugs!$A$2:$I2031,9,FALSE()),"please select a BUG ID")</f>
        <v>https://review.opendev.org/c/openstack/nova/+/102324</v>
      </c>
    </row>
    <row r="280">
      <c r="A280" s="16" t="s">
        <v>61</v>
      </c>
      <c r="B280" s="50" t="str">
        <f>IFERROR(HYPERLINK(VLOOKUP(A280,Internal_lists_bugs!$A$2:$C$73,3,FALSE()), VLOOKUP(A280,Internal_lists_bugs!$A$2:$C$73,3,FALSE())&amp;Char(10) &amp; Char(10) &amp; VLOOKUP(A280,Internal_lists_bugs!$A$2:$Z$73,26,FALSE())),"please select a BUG ID")</f>
        <v>https://bugs.launchpad.net/nova/+bug/1453274
/libvirt/driver.py</v>
      </c>
      <c r="C280" s="81" t="str">
        <f>IFERROR(SUBSTITUTE(VLOOKUP(A280,Internal_lists_bugs!$A$2:$G2031,7,FALSE()),"nova/commit","nova/src/commit"),"please select a BUG ID")</f>
        <v>https://opendev.org/openstack/nova/src/commit/60c90f7</v>
      </c>
      <c r="D280" s="30" t="s">
        <v>4686</v>
      </c>
      <c r="E280" s="63" t="s">
        <v>4768</v>
      </c>
      <c r="F280" s="54"/>
      <c r="H280" s="112" t="s">
        <v>4708</v>
      </c>
      <c r="I280" s="16" t="s">
        <v>4767</v>
      </c>
      <c r="J280" s="196" t="str">
        <f>IFERROR(VLOOKUP(A280,Internal_lists_bugs!$A$2:$I2031,9,FALSE()),"please select a BUG ID")</f>
        <v>https://review.opendev.org/c/openstack/nova/+/102324</v>
      </c>
    </row>
    <row r="281">
      <c r="A281" s="16" t="s">
        <v>61</v>
      </c>
      <c r="B281" s="50" t="str">
        <f>IFERROR(HYPERLINK(VLOOKUP(A281,Internal_lists_bugs!$A$2:$C$73,3,FALSE()), VLOOKUP(A281,Internal_lists_bugs!$A$2:$C$73,3,FALSE())&amp;Char(10) &amp; Char(10) &amp; VLOOKUP(A281,Internal_lists_bugs!$A$2:$Z$73,26,FALSE())),"please select a BUG ID")</f>
        <v>https://bugs.launchpad.net/nova/+bug/1453274
/libvirt/driver.py</v>
      </c>
      <c r="C281" s="81" t="str">
        <f>IFERROR(SUBSTITUTE(VLOOKUP(A281,Internal_lists_bugs!$A$2:$G2031,7,FALSE()),"nova/commit","nova/src/commit"),"please select a BUG ID")</f>
        <v>https://opendev.org/openstack/nova/src/commit/60c90f7</v>
      </c>
      <c r="D281" s="30" t="s">
        <v>4690</v>
      </c>
      <c r="E281" s="16" t="s">
        <v>4731</v>
      </c>
      <c r="F281" s="54"/>
      <c r="H281" s="112" t="s">
        <v>4696</v>
      </c>
      <c r="I281" s="16" t="s">
        <v>4731</v>
      </c>
      <c r="J281" s="196" t="str">
        <f>IFERROR(VLOOKUP(A281,Internal_lists_bugs!$A$2:$I2031,9,FALSE()),"please select a BUG ID")</f>
        <v>https://review.opendev.org/c/openstack/nova/+/102324</v>
      </c>
    </row>
    <row r="282">
      <c r="A282" s="16" t="s">
        <v>61</v>
      </c>
      <c r="B282" s="50" t="str">
        <f>IFERROR(HYPERLINK(VLOOKUP(A282,Internal_lists_bugs!$A$2:$C$73,3,FALSE()), VLOOKUP(A282,Internal_lists_bugs!$A$2:$C$73,3,FALSE())&amp;Char(10) &amp; Char(10) &amp; VLOOKUP(A282,Internal_lists_bugs!$A$2:$Z$73,26,FALSE())),"please select a BUG ID")</f>
        <v>https://bugs.launchpad.net/nova/+bug/1453274
/libvirt/driver.py</v>
      </c>
      <c r="C282" s="81" t="str">
        <f>IFERROR(SUBSTITUTE(VLOOKUP(A282,Internal_lists_bugs!$A$2:$G2031,7,FALSE()),"nova/commit","nova/src/commit"),"please select a BUG ID")</f>
        <v>https://opendev.org/openstack/nova/src/commit/60c90f7</v>
      </c>
      <c r="D282" s="30" t="s">
        <v>4702</v>
      </c>
      <c r="E282" s="16" t="s">
        <v>4770</v>
      </c>
      <c r="F282" s="54"/>
      <c r="H282" s="112" t="s">
        <v>4716</v>
      </c>
      <c r="I282" s="16" t="s">
        <v>4769</v>
      </c>
      <c r="J282" s="196" t="str">
        <f>IFERROR(VLOOKUP(A282,Internal_lists_bugs!$A$2:$I2031,9,FALSE()),"please select a BUG ID")</f>
        <v>https://review.opendev.org/c/openstack/nova/+/102324</v>
      </c>
    </row>
    <row r="283">
      <c r="A283" s="16" t="s">
        <v>61</v>
      </c>
      <c r="B283" s="50" t="str">
        <f>IFERROR(HYPERLINK(VLOOKUP(A283,Internal_lists_bugs!$A$2:$C$73,3,FALSE()), VLOOKUP(A283,Internal_lists_bugs!$A$2:$C$73,3,FALSE())&amp;Char(10) &amp; Char(10) &amp; VLOOKUP(A283,Internal_lists_bugs!$A$2:$Z$73,26,FALSE())),"please select a BUG ID")</f>
        <v>https://bugs.launchpad.net/nova/+bug/1453274
/libvirt/driver.py</v>
      </c>
      <c r="C283" s="81" t="str">
        <f>IFERROR(SUBSTITUTE(VLOOKUP(A283,Internal_lists_bugs!$A$2:$G2031,7,FALSE()),"nova/commit","nova/src/commit"),"please select a BUG ID")</f>
        <v>https://opendev.org/openstack/nova/src/commit/60c90f7</v>
      </c>
      <c r="D283" s="30" t="s">
        <v>4772</v>
      </c>
      <c r="E283" s="14" t="s">
        <v>4870</v>
      </c>
      <c r="F283" s="54"/>
      <c r="H283" s="112" t="s">
        <v>4708</v>
      </c>
      <c r="I283" s="16" t="s">
        <v>4771</v>
      </c>
      <c r="J283" s="196" t="str">
        <f>IFERROR(VLOOKUP(A283,Internal_lists_bugs!$A$2:$I2031,9,FALSE()),"please select a BUG ID")</f>
        <v>https://review.opendev.org/c/openstack/nova/+/102324</v>
      </c>
    </row>
    <row r="284">
      <c r="A284" s="16" t="s">
        <v>61</v>
      </c>
      <c r="B284" s="50" t="str">
        <f>IFERROR(HYPERLINK(VLOOKUP(A284,Internal_lists_bugs!$A$2:$C$73,3,FALSE()), VLOOKUP(A284,Internal_lists_bugs!$A$2:$C$73,3,FALSE())&amp;Char(10) &amp; Char(10) &amp; VLOOKUP(A284,Internal_lists_bugs!$A$2:$Z$73,26,FALSE())),"please select a BUG ID")</f>
        <v>https://bugs.launchpad.net/nova/+bug/1453274
/libvirt/driver.py</v>
      </c>
      <c r="C284" s="81" t="str">
        <f>IFERROR(SUBSTITUTE(VLOOKUP(A284,Internal_lists_bugs!$A$2:$G2031,7,FALSE()),"nova/commit","nova/src/commit"),"please select a BUG ID")</f>
        <v>https://opendev.org/openstack/nova/src/commit/60c90f7</v>
      </c>
      <c r="D284" s="30" t="s">
        <v>4706</v>
      </c>
      <c r="E284" s="16" t="s">
        <v>4775</v>
      </c>
      <c r="F284" s="54"/>
      <c r="H284" s="112" t="s">
        <v>4684</v>
      </c>
      <c r="I284" s="16" t="s">
        <v>4774</v>
      </c>
      <c r="J284" s="196" t="str">
        <f>IFERROR(VLOOKUP(A284,Internal_lists_bugs!$A$2:$I2031,9,FALSE()),"please select a BUG ID")</f>
        <v>https://review.opendev.org/c/openstack/nova/+/102324</v>
      </c>
    </row>
    <row r="285">
      <c r="A285" s="16" t="s">
        <v>61</v>
      </c>
      <c r="B285" s="50" t="str">
        <f>IFERROR(HYPERLINK(VLOOKUP(A285,Internal_lists_bugs!$A$2:$C$73,3,FALSE()), VLOOKUP(A285,Internal_lists_bugs!$A$2:$C$73,3,FALSE())&amp;Char(10) &amp; Char(10) &amp; VLOOKUP(A285,Internal_lists_bugs!$A$2:$Z$73,26,FALSE())),"please select a BUG ID")</f>
        <v>https://bugs.launchpad.net/nova/+bug/1453274
/libvirt/driver.py</v>
      </c>
      <c r="C285" s="81" t="str">
        <f>IFERROR(SUBSTITUTE(VLOOKUP(A285,Internal_lists_bugs!$A$2:$G2031,7,FALSE()),"nova/commit","nova/src/commit"),"please select a BUG ID")</f>
        <v>https://opendev.org/openstack/nova/src/commit/60c90f7</v>
      </c>
      <c r="D285" s="30" t="s">
        <v>4710</v>
      </c>
      <c r="E285" s="16" t="s">
        <v>4775</v>
      </c>
      <c r="F285" s="54"/>
      <c r="H285" s="112" t="s">
        <v>4712</v>
      </c>
      <c r="I285" s="16" t="s">
        <v>4776</v>
      </c>
      <c r="J285" s="196" t="str">
        <f>IFERROR(VLOOKUP(A285,Internal_lists_bugs!$A$2:$I2031,9,FALSE()),"please select a BUG ID")</f>
        <v>https://review.opendev.org/c/openstack/nova/+/102324</v>
      </c>
    </row>
    <row r="286">
      <c r="A286" s="16" t="s">
        <v>61</v>
      </c>
      <c r="B286" s="50" t="str">
        <f>IFERROR(HYPERLINK(VLOOKUP(A286,Internal_lists_bugs!$A$2:$C$73,3,FALSE()), VLOOKUP(A286,Internal_lists_bugs!$A$2:$C$73,3,FALSE())&amp;Char(10) &amp; Char(10) &amp; VLOOKUP(A286,Internal_lists_bugs!$A$2:$Z$73,26,FALSE())),"please select a BUG ID")</f>
        <v>https://bugs.launchpad.net/nova/+bug/1453274
/libvirt/driver.py</v>
      </c>
      <c r="C286" s="81" t="str">
        <f>IFERROR(SUBSTITUTE(VLOOKUP(A286,Internal_lists_bugs!$A$2:$G2031,7,FALSE()),"nova/commit","nova/src/commit"),"please select a BUG ID")</f>
        <v>https://opendev.org/openstack/nova/src/commit/60c90f7</v>
      </c>
      <c r="D286" s="30" t="s">
        <v>1325</v>
      </c>
      <c r="E286" s="16" t="s">
        <v>4751</v>
      </c>
      <c r="F286" s="54"/>
      <c r="H286" s="112" t="s">
        <v>4777</v>
      </c>
      <c r="I286" s="16" t="s">
        <v>4778</v>
      </c>
      <c r="J286" s="196" t="str">
        <f>IFERROR(VLOOKUP(A286,Internal_lists_bugs!$A$2:$I2031,9,FALSE()),"please select a BUG ID")</f>
        <v>https://review.opendev.org/c/openstack/nova/+/102324</v>
      </c>
    </row>
    <row r="287">
      <c r="A287" s="16" t="s">
        <v>61</v>
      </c>
      <c r="B287" s="50" t="str">
        <f>IFERROR(HYPERLINK(VLOOKUP(A287,Internal_lists_bugs!$A$2:$C$73,3,FALSE()), VLOOKUP(A287,Internal_lists_bugs!$A$2:$C$73,3,FALSE())&amp;Char(10) &amp; Char(10) &amp; VLOOKUP(A287,Internal_lists_bugs!$A$2:$Z$73,26,FALSE())),"please select a BUG ID")</f>
        <v>https://bugs.launchpad.net/nova/+bug/1453274
/libvirt/driver.py</v>
      </c>
      <c r="C287" s="81" t="str">
        <f>IFERROR(SUBSTITUTE(VLOOKUP(A287,Internal_lists_bugs!$A$2:$G2031,7,FALSE()),"nova/commit","nova/src/commit"),"please select a BUG ID")</f>
        <v>https://opendev.org/openstack/nova/src/commit/60c90f7</v>
      </c>
      <c r="D287" s="30" t="s">
        <v>4680</v>
      </c>
      <c r="E287" s="16" t="s">
        <v>4789</v>
      </c>
      <c r="F287" s="54"/>
      <c r="H287" s="112" t="s">
        <v>4704</v>
      </c>
      <c r="I287" s="16" t="s">
        <v>4752</v>
      </c>
      <c r="J287" s="196" t="str">
        <f>IFERROR(VLOOKUP(A287,Internal_lists_bugs!$A$2:$I2031,9,FALSE()),"please select a BUG ID")</f>
        <v>https://review.opendev.org/c/openstack/nova/+/102324</v>
      </c>
    </row>
    <row r="288">
      <c r="A288" s="16" t="s">
        <v>61</v>
      </c>
      <c r="B288" s="50" t="str">
        <f>IFERROR(HYPERLINK(VLOOKUP(A288,Internal_lists_bugs!$A$2:$C$73,3,FALSE()), VLOOKUP(A288,Internal_lists_bugs!$A$2:$C$73,3,FALSE())&amp;Char(10) &amp; Char(10) &amp; VLOOKUP(A288,Internal_lists_bugs!$A$2:$Z$73,26,FALSE())),"please select a BUG ID")</f>
        <v>https://bugs.launchpad.net/nova/+bug/1453274
/libvirt/driver.py</v>
      </c>
      <c r="C288" s="81" t="str">
        <f>IFERROR(SUBSTITUTE(VLOOKUP(A288,Internal_lists_bugs!$A$2:$G2031,7,FALSE()),"nova/commit","nova/src/commit"),"please select a BUG ID")</f>
        <v>https://opendev.org/openstack/nova/src/commit/60c90f7</v>
      </c>
      <c r="D288" s="30" t="s">
        <v>4754</v>
      </c>
      <c r="E288" s="16" t="s">
        <v>4755</v>
      </c>
      <c r="F288" s="54"/>
      <c r="H288" s="112" t="s">
        <v>4749</v>
      </c>
      <c r="I288" s="16" t="s">
        <v>4779</v>
      </c>
      <c r="J288" s="196" t="str">
        <f>IFERROR(VLOOKUP(A288,Internal_lists_bugs!$A$2:$I2031,9,FALSE()),"please select a BUG ID")</f>
        <v>https://review.opendev.org/c/openstack/nova/+/102324</v>
      </c>
    </row>
    <row r="289">
      <c r="A289" s="16" t="s">
        <v>61</v>
      </c>
      <c r="B289" s="50" t="str">
        <f>IFERROR(HYPERLINK(VLOOKUP(A289,Internal_lists_bugs!$A$2:$C$73,3,FALSE()), VLOOKUP(A289,Internal_lists_bugs!$A$2:$C$73,3,FALSE())&amp;Char(10) &amp; Char(10) &amp; VLOOKUP(A289,Internal_lists_bugs!$A$2:$Z$73,26,FALSE())),"please select a BUG ID")</f>
        <v>https://bugs.launchpad.net/nova/+bug/1453274
/libvirt/driver.py</v>
      </c>
      <c r="C289" s="81" t="str">
        <f>IFERROR(SUBSTITUTE(VLOOKUP(A289,Internal_lists_bugs!$A$2:$G2031,7,FALSE()),"nova/commit","nova/src/commit"),"please select a BUG ID")</f>
        <v>https://opendev.org/openstack/nova/src/commit/60c90f7</v>
      </c>
      <c r="D289" s="30" t="s">
        <v>4714</v>
      </c>
      <c r="E289" s="16" t="s">
        <v>4738</v>
      </c>
      <c r="F289" s="54"/>
      <c r="H289" s="112" t="s">
        <v>4782</v>
      </c>
      <c r="I289" s="16" t="s">
        <v>4783</v>
      </c>
      <c r="J289" s="196" t="str">
        <f>IFERROR(VLOOKUP(A289,Internal_lists_bugs!$A$2:$I2031,9,FALSE()),"please select a BUG ID")</f>
        <v>https://review.opendev.org/c/openstack/nova/+/102324</v>
      </c>
    </row>
    <row r="290">
      <c r="A290" s="16" t="s">
        <v>61</v>
      </c>
      <c r="B290" s="50" t="str">
        <f>IFERROR(HYPERLINK(VLOOKUP(A290,Internal_lists_bugs!$A$2:$C$73,3,FALSE()), VLOOKUP(A290,Internal_lists_bugs!$A$2:$C$73,3,FALSE())&amp;Char(10) &amp; Char(10) &amp; VLOOKUP(A290,Internal_lists_bugs!$A$2:$Z$73,26,FALSE())),"please select a BUG ID")</f>
        <v>https://bugs.launchpad.net/nova/+bug/1453274
/libvirt/driver.py</v>
      </c>
      <c r="C290" s="81" t="str">
        <f>IFERROR(SUBSTITUTE(VLOOKUP(A290,Internal_lists_bugs!$A$2:$G2031,7,FALSE()),"nova/commit","nova/src/commit"),"please select a BUG ID")</f>
        <v>https://opendev.org/openstack/nova/src/commit/60c90f7</v>
      </c>
      <c r="D290" s="30" t="s">
        <v>4807</v>
      </c>
      <c r="E290" s="16" t="s">
        <v>4822</v>
      </c>
      <c r="F290" s="54"/>
      <c r="H290" s="112" t="s">
        <v>4801</v>
      </c>
      <c r="I290" s="16" t="s">
        <v>4806</v>
      </c>
      <c r="J290" s="196" t="str">
        <f>IFERROR(VLOOKUP(A290,Internal_lists_bugs!$A$2:$I2031,9,FALSE()),"please select a BUG ID")</f>
        <v>https://review.opendev.org/c/openstack/nova/+/102324</v>
      </c>
    </row>
    <row r="291">
      <c r="A291" s="16" t="s">
        <v>61</v>
      </c>
      <c r="B291" s="50" t="str">
        <f>IFERROR(HYPERLINK(VLOOKUP(A291,Internal_lists_bugs!$A$2:$C$73,3,FALSE()), VLOOKUP(A291,Internal_lists_bugs!$A$2:$C$73,3,FALSE())&amp;Char(10) &amp; Char(10) &amp; VLOOKUP(A291,Internal_lists_bugs!$A$2:$Z$73,26,FALSE())),"please select a BUG ID")</f>
        <v>https://bugs.launchpad.net/nova/+bug/1453274
/libvirt/driver.py</v>
      </c>
      <c r="C291" s="81" t="str">
        <f>IFERROR(SUBSTITUTE(VLOOKUP(A291,Internal_lists_bugs!$A$2:$G2031,7,FALSE()),"nova/commit","nova/src/commit"),"please select a BUG ID")</f>
        <v>https://opendev.org/openstack/nova/src/commit/60c90f7</v>
      </c>
      <c r="D291" s="30" t="s">
        <v>4812</v>
      </c>
      <c r="E291" s="16" t="s">
        <v>4813</v>
      </c>
      <c r="F291" s="54"/>
      <c r="H291" s="112" t="s">
        <v>4818</v>
      </c>
      <c r="I291" s="66" t="s">
        <v>4840</v>
      </c>
      <c r="J291" s="196" t="str">
        <f>IFERROR(VLOOKUP(A291,Internal_lists_bugs!$A$2:$I2031,9,FALSE()),"please select a BUG ID")</f>
        <v>https://review.opendev.org/c/openstack/nova/+/102324</v>
      </c>
    </row>
    <row r="292">
      <c r="A292" s="16" t="s">
        <v>61</v>
      </c>
      <c r="B292" s="50" t="str">
        <f>IFERROR(HYPERLINK(VLOOKUP(A292,Internal_lists_bugs!$A$2:$C$73,3,FALSE()), VLOOKUP(A292,Internal_lists_bugs!$A$2:$C$73,3,FALSE())&amp;Char(10) &amp; Char(10) &amp; VLOOKUP(A292,Internal_lists_bugs!$A$2:$Z$73,26,FALSE())),"please select a BUG ID")</f>
        <v>https://bugs.launchpad.net/nova/+bug/1453274
/libvirt/driver.py</v>
      </c>
      <c r="C292" s="81" t="str">
        <f>IFERROR(SUBSTITUTE(VLOOKUP(A292,Internal_lists_bugs!$A$2:$G2031,7,FALSE()),"nova/commit","nova/src/commit"),"please select a BUG ID")</f>
        <v>https://opendev.org/openstack/nova/src/commit/60c90f7</v>
      </c>
      <c r="D292" s="30" t="s">
        <v>4841</v>
      </c>
      <c r="E292" s="16" t="s">
        <v>4842</v>
      </c>
      <c r="F292" s="54"/>
      <c r="H292" s="112" t="s">
        <v>4845</v>
      </c>
      <c r="I292" s="66" t="s">
        <v>4846</v>
      </c>
      <c r="J292" s="196" t="str">
        <f>IFERROR(VLOOKUP(A292,Internal_lists_bugs!$A$2:$I2031,9,FALSE()),"please select a BUG ID")</f>
        <v>https://review.opendev.org/c/openstack/nova/+/102324</v>
      </c>
    </row>
    <row r="293">
      <c r="A293" s="16" t="s">
        <v>61</v>
      </c>
      <c r="B293" s="50" t="str">
        <f>IFERROR(HYPERLINK(VLOOKUP(A293,Internal_lists_bugs!$A$2:$C$73,3,FALSE()), VLOOKUP(A293,Internal_lists_bugs!$A$2:$C$73,3,FALSE())&amp;Char(10) &amp; Char(10) &amp; VLOOKUP(A293,Internal_lists_bugs!$A$2:$Z$73,26,FALSE())),"please select a BUG ID")</f>
        <v>https://bugs.launchpad.net/nova/+bug/1453274
/libvirt/driver.py</v>
      </c>
      <c r="C293" s="81" t="str">
        <f>IFERROR(SUBSTITUTE(VLOOKUP(A293,Internal_lists_bugs!$A$2:$G2031,7,FALSE()),"nova/commit","nova/src/commit"),"please select a BUG ID")</f>
        <v>https://opendev.org/openstack/nova/src/commit/60c90f7</v>
      </c>
      <c r="D293" s="30" t="s">
        <v>4847</v>
      </c>
      <c r="E293" s="14" t="s">
        <v>4871</v>
      </c>
      <c r="F293" s="54"/>
      <c r="H293" s="112" t="s">
        <v>4831</v>
      </c>
      <c r="J293" s="196" t="str">
        <f>IFERROR(VLOOKUP(A293,Internal_lists_bugs!$A$2:$I2031,9,FALSE()),"please select a BUG ID")</f>
        <v>https://review.opendev.org/c/openstack/nova/+/102324</v>
      </c>
    </row>
    <row r="294">
      <c r="A294" s="16" t="s">
        <v>61</v>
      </c>
      <c r="B294" s="50" t="str">
        <f>IFERROR(HYPERLINK(VLOOKUP(A294,Internal_lists_bugs!$A$2:$C$73,3,FALSE()), VLOOKUP(A294,Internal_lists_bugs!$A$2:$C$73,3,FALSE())&amp;Char(10) &amp; Char(10) &amp; VLOOKUP(A294,Internal_lists_bugs!$A$2:$Z$73,26,FALSE())),"please select a BUG ID")</f>
        <v>https://bugs.launchpad.net/nova/+bug/1453274
/libvirt/driver.py</v>
      </c>
      <c r="C294" s="81" t="str">
        <f>IFERROR(SUBSTITUTE(VLOOKUP(A294,Internal_lists_bugs!$A$2:$G2031,7,FALSE()),"nova/commit","nova/src/commit"),"please select a BUG ID")</f>
        <v>https://opendev.org/openstack/nova/src/commit/60c90f7</v>
      </c>
      <c r="D294" s="30" t="s">
        <v>4859</v>
      </c>
      <c r="E294" s="14" t="s">
        <v>4872</v>
      </c>
      <c r="F294" s="54"/>
      <c r="H294" s="114"/>
      <c r="J294" s="196" t="str">
        <f>IFERROR(VLOOKUP(A294,Internal_lists_bugs!$A$2:$I2031,9,FALSE()),"please select a BUG ID")</f>
        <v>https://review.opendev.org/c/openstack/nova/+/102324</v>
      </c>
    </row>
    <row r="295">
      <c r="A295" s="189" t="s">
        <v>34</v>
      </c>
      <c r="B295" s="198" t="str">
        <f>IFERROR(HYPERLINK(VLOOKUP(A295,Internal_lists_bugs!$A$2:$C$73,3,FALSE()), VLOOKUP(A295,Internal_lists_bugs!$A$2:$C$73,3,FALSE())&amp;Char(10) &amp; Char(10) &amp; VLOOKUP(A295,Internal_lists_bugs!$A$2:$Z$73,26,FALSE())),"please select a BUG ID")</f>
        <v>https://bugs.launchpad.net/nova/+bug/1438331
/libvirt/rbd_utils.py</v>
      </c>
      <c r="C295" s="199" t="str">
        <f>IFERROR(SUBSTITUTE(VLOOKUP(A295,Internal_lists_bugs!$A$2:$G2031,7,FALSE()),"nova/commit","nova/src/commit"),"please select a BUG ID")</f>
        <v>https://opendev.org/openstack/nova/src/commit/13e2bd0</v>
      </c>
      <c r="D295" s="189" t="s">
        <v>4758</v>
      </c>
      <c r="E295" s="190" t="s">
        <v>4759</v>
      </c>
      <c r="F295" s="189" t="s">
        <v>4682</v>
      </c>
      <c r="G295" s="189" t="s">
        <v>4802</v>
      </c>
      <c r="H295" s="191" t="s">
        <v>4756</v>
      </c>
      <c r="I295" s="194" t="s">
        <v>4761</v>
      </c>
      <c r="J295" s="195" t="str">
        <f>IFERROR(VLOOKUP(A295,Internal_lists_bugs!$A$2:$I2031,9,FALSE()),"please select a BUG ID")</f>
        <v>https://review.opendev.org/c/openstack/nova/+/94294</v>
      </c>
      <c r="K295" s="193"/>
      <c r="L295" s="193"/>
    </row>
    <row r="296">
      <c r="A296" s="16" t="s">
        <v>34</v>
      </c>
      <c r="B296" s="50" t="str">
        <f>IFERROR(HYPERLINK(VLOOKUP(A296,Internal_lists_bugs!$A$2:$C$73,3,FALSE()), VLOOKUP(A296,Internal_lists_bugs!$A$2:$C$73,3,FALSE())&amp;Char(10) &amp; Char(10) &amp; VLOOKUP(A296,Internal_lists_bugs!$A$2:$Z$73,26,FALSE())),"please select a BUG ID")</f>
        <v>https://bugs.launchpad.net/nova/+bug/1438331
/libvirt/rbd_utils.py</v>
      </c>
      <c r="C296" s="81" t="str">
        <f>IFERROR(SUBSTITUTE(VLOOKUP(A296,Internal_lists_bugs!$A$2:$G2031,7,FALSE()),"nova/commit","nova/src/commit"),"please select a BUG ID")</f>
        <v>https://opendev.org/openstack/nova/src/commit/13e2bd0</v>
      </c>
      <c r="D296" s="16" t="s">
        <v>4765</v>
      </c>
      <c r="E296" s="14" t="s">
        <v>4873</v>
      </c>
      <c r="F296" s="54"/>
      <c r="H296" s="112" t="s">
        <v>4763</v>
      </c>
      <c r="I296" s="16" t="s">
        <v>4797</v>
      </c>
      <c r="J296" s="196" t="str">
        <f>IFERROR(VLOOKUP(A296,Internal_lists_bugs!$A$2:$I2031,9,FALSE()),"please select a BUG ID")</f>
        <v>https://review.opendev.org/c/openstack/nova/+/94294</v>
      </c>
    </row>
    <row r="297">
      <c r="A297" s="16" t="s">
        <v>34</v>
      </c>
      <c r="B297" s="50" t="str">
        <f>IFERROR(HYPERLINK(VLOOKUP(A297,Internal_lists_bugs!$A$2:$C$73,3,FALSE()), VLOOKUP(A297,Internal_lists_bugs!$A$2:$C$73,3,FALSE())&amp;Char(10) &amp; Char(10) &amp; VLOOKUP(A297,Internal_lists_bugs!$A$2:$Z$73,26,FALSE())),"please select a BUG ID")</f>
        <v>https://bugs.launchpad.net/nova/+bug/1438331
/libvirt/rbd_utils.py</v>
      </c>
      <c r="C297" s="81" t="str">
        <f>IFERROR(SUBSTITUTE(VLOOKUP(A297,Internal_lists_bugs!$A$2:$G2031,7,FALSE()),"nova/commit","nova/src/commit"),"please select a BUG ID")</f>
        <v>https://opendev.org/openstack/nova/src/commit/13e2bd0</v>
      </c>
      <c r="D297" s="16" t="s">
        <v>4686</v>
      </c>
      <c r="E297" s="63" t="s">
        <v>4768</v>
      </c>
      <c r="F297" s="54"/>
      <c r="H297" s="112" t="s">
        <v>4708</v>
      </c>
      <c r="I297" s="16" t="s">
        <v>4767</v>
      </c>
      <c r="J297" s="196" t="str">
        <f>IFERROR(VLOOKUP(A297,Internal_lists_bugs!$A$2:$I2031,9,FALSE()),"please select a BUG ID")</f>
        <v>https://review.opendev.org/c/openstack/nova/+/94294</v>
      </c>
    </row>
    <row r="298">
      <c r="A298" s="16" t="s">
        <v>34</v>
      </c>
      <c r="B298" s="50" t="str">
        <f>IFERROR(HYPERLINK(VLOOKUP(A298,Internal_lists_bugs!$A$2:$C$73,3,FALSE()), VLOOKUP(A298,Internal_lists_bugs!$A$2:$C$73,3,FALSE())&amp;Char(10) &amp; Char(10) &amp; VLOOKUP(A298,Internal_lists_bugs!$A$2:$Z$73,26,FALSE())),"please select a BUG ID")</f>
        <v>https://bugs.launchpad.net/nova/+bug/1438331
/libvirt/rbd_utils.py</v>
      </c>
      <c r="C298" s="81" t="str">
        <f>IFERROR(SUBSTITUTE(VLOOKUP(A298,Internal_lists_bugs!$A$2:$G2031,7,FALSE()),"nova/commit","nova/src/commit"),"please select a BUG ID")</f>
        <v>https://opendev.org/openstack/nova/src/commit/13e2bd0</v>
      </c>
      <c r="D298" s="16" t="s">
        <v>4690</v>
      </c>
      <c r="E298" s="16" t="s">
        <v>4731</v>
      </c>
      <c r="F298" s="54"/>
      <c r="H298" s="112" t="s">
        <v>4696</v>
      </c>
      <c r="I298" s="16" t="s">
        <v>4731</v>
      </c>
      <c r="J298" s="196" t="str">
        <f>IFERROR(VLOOKUP(A298,Internal_lists_bugs!$A$2:$I2031,9,FALSE()),"please select a BUG ID")</f>
        <v>https://review.opendev.org/c/openstack/nova/+/94294</v>
      </c>
    </row>
    <row r="299">
      <c r="A299" s="16" t="s">
        <v>34</v>
      </c>
      <c r="B299" s="50" t="str">
        <f>IFERROR(HYPERLINK(VLOOKUP(A299,Internal_lists_bugs!$A$2:$C$73,3,FALSE()), VLOOKUP(A299,Internal_lists_bugs!$A$2:$C$73,3,FALSE())&amp;Char(10) &amp; Char(10) &amp; VLOOKUP(A299,Internal_lists_bugs!$A$2:$Z$73,26,FALSE())),"please select a BUG ID")</f>
        <v>https://bugs.launchpad.net/nova/+bug/1438331
/libvirt/rbd_utils.py</v>
      </c>
      <c r="C299" s="81" t="str">
        <f>IFERROR(SUBSTITUTE(VLOOKUP(A299,Internal_lists_bugs!$A$2:$G2031,7,FALSE()),"nova/commit","nova/src/commit"),"please select a BUG ID")</f>
        <v>https://opendev.org/openstack/nova/src/commit/13e2bd0</v>
      </c>
      <c r="D299" s="16" t="s">
        <v>4702</v>
      </c>
      <c r="E299" s="16" t="s">
        <v>4770</v>
      </c>
      <c r="F299" s="54"/>
      <c r="H299" s="112" t="s">
        <v>4716</v>
      </c>
      <c r="I299" s="16" t="s">
        <v>4769</v>
      </c>
      <c r="J299" s="196" t="str">
        <f>IFERROR(VLOOKUP(A299,Internal_lists_bugs!$A$2:$I2031,9,FALSE()),"please select a BUG ID")</f>
        <v>https://review.opendev.org/c/openstack/nova/+/94294</v>
      </c>
    </row>
    <row r="300">
      <c r="A300" s="16" t="s">
        <v>34</v>
      </c>
      <c r="B300" s="50" t="str">
        <f>IFERROR(HYPERLINK(VLOOKUP(A300,Internal_lists_bugs!$A$2:$C$73,3,FALSE()), VLOOKUP(A300,Internal_lists_bugs!$A$2:$C$73,3,FALSE())&amp;Char(10) &amp; Char(10) &amp; VLOOKUP(A300,Internal_lists_bugs!$A$2:$Z$73,26,FALSE())),"please select a BUG ID")</f>
        <v>https://bugs.launchpad.net/nova/+bug/1438331
/libvirt/rbd_utils.py</v>
      </c>
      <c r="C300" s="81" t="str">
        <f>IFERROR(SUBSTITUTE(VLOOKUP(A300,Internal_lists_bugs!$A$2:$G2031,7,FALSE()),"nova/commit","nova/src/commit"),"please select a BUG ID")</f>
        <v>https://opendev.org/openstack/nova/src/commit/13e2bd0</v>
      </c>
      <c r="D300" s="16" t="s">
        <v>4772</v>
      </c>
      <c r="E300" s="14" t="s">
        <v>4874</v>
      </c>
      <c r="F300" s="54"/>
      <c r="H300" s="112" t="s">
        <v>4708</v>
      </c>
      <c r="I300" s="16" t="s">
        <v>4771</v>
      </c>
      <c r="J300" s="196" t="str">
        <f>IFERROR(VLOOKUP(A300,Internal_lists_bugs!$A$2:$I2031,9,FALSE()),"please select a BUG ID")</f>
        <v>https://review.opendev.org/c/openstack/nova/+/94294</v>
      </c>
    </row>
    <row r="301">
      <c r="A301" s="16" t="s">
        <v>34</v>
      </c>
      <c r="B301" s="50" t="str">
        <f>IFERROR(HYPERLINK(VLOOKUP(A301,Internal_lists_bugs!$A$2:$C$73,3,FALSE()), VLOOKUP(A301,Internal_lists_bugs!$A$2:$C$73,3,FALSE())&amp;Char(10) &amp; Char(10) &amp; VLOOKUP(A301,Internal_lists_bugs!$A$2:$Z$73,26,FALSE())),"please select a BUG ID")</f>
        <v>https://bugs.launchpad.net/nova/+bug/1438331
/libvirt/rbd_utils.py</v>
      </c>
      <c r="C301" s="81" t="str">
        <f>IFERROR(SUBSTITUTE(VLOOKUP(A301,Internal_lists_bugs!$A$2:$G2031,7,FALSE()),"nova/commit","nova/src/commit"),"please select a BUG ID")</f>
        <v>https://opendev.org/openstack/nova/src/commit/13e2bd0</v>
      </c>
      <c r="D301" s="16" t="s">
        <v>4706</v>
      </c>
      <c r="E301" s="16" t="s">
        <v>4775</v>
      </c>
      <c r="F301" s="54"/>
      <c r="H301" s="112" t="s">
        <v>4684</v>
      </c>
      <c r="I301" s="16" t="s">
        <v>4774</v>
      </c>
      <c r="J301" s="196" t="str">
        <f>IFERROR(VLOOKUP(A301,Internal_lists_bugs!$A$2:$I2031,9,FALSE()),"please select a BUG ID")</f>
        <v>https://review.opendev.org/c/openstack/nova/+/94294</v>
      </c>
    </row>
    <row r="302">
      <c r="A302" s="16" t="s">
        <v>34</v>
      </c>
      <c r="B302" s="50" t="str">
        <f>IFERROR(HYPERLINK(VLOOKUP(A302,Internal_lists_bugs!$A$2:$C$73,3,FALSE()), VLOOKUP(A302,Internal_lists_bugs!$A$2:$C$73,3,FALSE())&amp;Char(10) &amp; Char(10) &amp; VLOOKUP(A302,Internal_lists_bugs!$A$2:$Z$73,26,FALSE())),"please select a BUG ID")</f>
        <v>https://bugs.launchpad.net/nova/+bug/1438331
/libvirt/rbd_utils.py</v>
      </c>
      <c r="C302" s="81" t="str">
        <f>IFERROR(SUBSTITUTE(VLOOKUP(A302,Internal_lists_bugs!$A$2:$G2031,7,FALSE()),"nova/commit","nova/src/commit"),"please select a BUG ID")</f>
        <v>https://opendev.org/openstack/nova/src/commit/13e2bd0</v>
      </c>
      <c r="D302" s="16" t="s">
        <v>4710</v>
      </c>
      <c r="E302" s="16" t="s">
        <v>4775</v>
      </c>
      <c r="F302" s="54"/>
      <c r="H302" s="112" t="s">
        <v>4712</v>
      </c>
      <c r="I302" s="16" t="s">
        <v>4776</v>
      </c>
      <c r="J302" s="196" t="str">
        <f>IFERROR(VLOOKUP(A302,Internal_lists_bugs!$A$2:$I2031,9,FALSE()),"please select a BUG ID")</f>
        <v>https://review.opendev.org/c/openstack/nova/+/94294</v>
      </c>
    </row>
    <row r="303">
      <c r="A303" s="16" t="s">
        <v>34</v>
      </c>
      <c r="B303" s="50" t="str">
        <f>IFERROR(HYPERLINK(VLOOKUP(A303,Internal_lists_bugs!$A$2:$C$73,3,FALSE()), VLOOKUP(A303,Internal_lists_bugs!$A$2:$C$73,3,FALSE())&amp;Char(10) &amp; Char(10) &amp; VLOOKUP(A303,Internal_lists_bugs!$A$2:$Z$73,26,FALSE())),"please select a BUG ID")</f>
        <v>https://bugs.launchpad.net/nova/+bug/1438331
/libvirt/rbd_utils.py</v>
      </c>
      <c r="C303" s="81" t="str">
        <f>IFERROR(SUBSTITUTE(VLOOKUP(A303,Internal_lists_bugs!$A$2:$G2031,7,FALSE()),"nova/commit","nova/src/commit"),"please select a BUG ID")</f>
        <v>https://opendev.org/openstack/nova/src/commit/13e2bd0</v>
      </c>
      <c r="D303" s="16" t="s">
        <v>1325</v>
      </c>
      <c r="E303" s="16" t="s">
        <v>4751</v>
      </c>
      <c r="F303" s="54"/>
      <c r="H303" s="112" t="s">
        <v>4777</v>
      </c>
      <c r="I303" s="16" t="s">
        <v>4778</v>
      </c>
      <c r="J303" s="196" t="str">
        <f>IFERROR(VLOOKUP(A303,Internal_lists_bugs!$A$2:$I2031,9,FALSE()),"please select a BUG ID")</f>
        <v>https://review.opendev.org/c/openstack/nova/+/94294</v>
      </c>
    </row>
    <row r="304">
      <c r="A304" s="16" t="s">
        <v>34</v>
      </c>
      <c r="B304" s="50" t="str">
        <f>IFERROR(HYPERLINK(VLOOKUP(A304,Internal_lists_bugs!$A$2:$C$73,3,FALSE()), VLOOKUP(A304,Internal_lists_bugs!$A$2:$C$73,3,FALSE())&amp;Char(10) &amp; Char(10) &amp; VLOOKUP(A304,Internal_lists_bugs!$A$2:$Z$73,26,FALSE())),"please select a BUG ID")</f>
        <v>https://bugs.launchpad.net/nova/+bug/1438331
/libvirt/rbd_utils.py</v>
      </c>
      <c r="C304" s="81" t="str">
        <f>IFERROR(SUBSTITUTE(VLOOKUP(A304,Internal_lists_bugs!$A$2:$G2031,7,FALSE()),"nova/commit","nova/src/commit"),"please select a BUG ID")</f>
        <v>https://opendev.org/openstack/nova/src/commit/13e2bd0</v>
      </c>
      <c r="D304" s="16" t="s">
        <v>4680</v>
      </c>
      <c r="E304" s="16" t="s">
        <v>4789</v>
      </c>
      <c r="F304" s="54"/>
      <c r="H304" s="112" t="s">
        <v>4704</v>
      </c>
      <c r="I304" s="16" t="s">
        <v>4752</v>
      </c>
      <c r="J304" s="196" t="str">
        <f>IFERROR(VLOOKUP(A304,Internal_lists_bugs!$A$2:$I2031,9,FALSE()),"please select a BUG ID")</f>
        <v>https://review.opendev.org/c/openstack/nova/+/94294</v>
      </c>
    </row>
    <row r="305">
      <c r="A305" s="16" t="s">
        <v>34</v>
      </c>
      <c r="B305" s="50" t="str">
        <f>IFERROR(HYPERLINK(VLOOKUP(A305,Internal_lists_bugs!$A$2:$C$73,3,FALSE()), VLOOKUP(A305,Internal_lists_bugs!$A$2:$C$73,3,FALSE())&amp;Char(10) &amp; Char(10) &amp; VLOOKUP(A305,Internal_lists_bugs!$A$2:$Z$73,26,FALSE())),"please select a BUG ID")</f>
        <v>https://bugs.launchpad.net/nova/+bug/1438331
/libvirt/rbd_utils.py</v>
      </c>
      <c r="C305" s="81" t="str">
        <f>IFERROR(SUBSTITUTE(VLOOKUP(A305,Internal_lists_bugs!$A$2:$G2031,7,FALSE()),"nova/commit","nova/src/commit"),"please select a BUG ID")</f>
        <v>https://opendev.org/openstack/nova/src/commit/13e2bd0</v>
      </c>
      <c r="D305" s="16" t="s">
        <v>4754</v>
      </c>
      <c r="E305" s="16" t="s">
        <v>4755</v>
      </c>
      <c r="F305" s="54"/>
      <c r="H305" s="112" t="s">
        <v>4749</v>
      </c>
      <c r="I305" s="16" t="s">
        <v>4779</v>
      </c>
      <c r="J305" s="196" t="str">
        <f>IFERROR(VLOOKUP(A305,Internal_lists_bugs!$A$2:$I2031,9,FALSE()),"please select a BUG ID")</f>
        <v>https://review.opendev.org/c/openstack/nova/+/94294</v>
      </c>
    </row>
    <row r="306">
      <c r="A306" s="16" t="s">
        <v>34</v>
      </c>
      <c r="B306" s="50" t="str">
        <f>IFERROR(HYPERLINK(VLOOKUP(A306,Internal_lists_bugs!$A$2:$C$73,3,FALSE()), VLOOKUP(A306,Internal_lists_bugs!$A$2:$C$73,3,FALSE())&amp;Char(10) &amp; Char(10) &amp; VLOOKUP(A306,Internal_lists_bugs!$A$2:$Z$73,26,FALSE())),"please select a BUG ID")</f>
        <v>https://bugs.launchpad.net/nova/+bug/1438331
/libvirt/rbd_utils.py</v>
      </c>
      <c r="C306" s="81" t="str">
        <f>IFERROR(SUBSTITUTE(VLOOKUP(A306,Internal_lists_bugs!$A$2:$G2031,7,FALSE()),"nova/commit","nova/src/commit"),"please select a BUG ID")</f>
        <v>https://opendev.org/openstack/nova/src/commit/13e2bd0</v>
      </c>
      <c r="D306" s="16" t="s">
        <v>4714</v>
      </c>
      <c r="E306" s="16" t="s">
        <v>4738</v>
      </c>
      <c r="F306" s="54"/>
      <c r="H306" s="112" t="s">
        <v>4782</v>
      </c>
      <c r="I306" s="16" t="s">
        <v>4783</v>
      </c>
      <c r="J306" s="196" t="str">
        <f>IFERROR(VLOOKUP(A306,Internal_lists_bugs!$A$2:$I2031,9,FALSE()),"please select a BUG ID")</f>
        <v>https://review.opendev.org/c/openstack/nova/+/94294</v>
      </c>
    </row>
    <row r="307">
      <c r="A307" s="16" t="s">
        <v>34</v>
      </c>
      <c r="B307" s="50" t="str">
        <f>IFERROR(HYPERLINK(VLOOKUP(A307,Internal_lists_bugs!$A$2:$C$73,3,FALSE()), VLOOKUP(A307,Internal_lists_bugs!$A$2:$C$73,3,FALSE())&amp;Char(10) &amp; Char(10) &amp; VLOOKUP(A307,Internal_lists_bugs!$A$2:$Z$73,26,FALSE())),"please select a BUG ID")</f>
        <v>https://bugs.launchpad.net/nova/+bug/1438331
/libvirt/rbd_utils.py</v>
      </c>
      <c r="C307" s="81" t="str">
        <f>IFERROR(SUBSTITUTE(VLOOKUP(A307,Internal_lists_bugs!$A$2:$G2031,7,FALSE()),"nova/commit","nova/src/commit"),"please select a BUG ID")</f>
        <v>https://opendev.org/openstack/nova/src/commit/13e2bd0</v>
      </c>
      <c r="D307" s="16" t="s">
        <v>4807</v>
      </c>
      <c r="E307" s="16" t="s">
        <v>4822</v>
      </c>
      <c r="F307" s="54"/>
      <c r="H307" s="112" t="s">
        <v>4801</v>
      </c>
      <c r="I307" s="16" t="s">
        <v>4806</v>
      </c>
      <c r="J307" s="196" t="str">
        <f>IFERROR(VLOOKUP(A307,Internal_lists_bugs!$A$2:$I2031,9,FALSE()),"please select a BUG ID")</f>
        <v>https://review.opendev.org/c/openstack/nova/+/94294</v>
      </c>
    </row>
    <row r="308">
      <c r="A308" s="16" t="s">
        <v>34</v>
      </c>
      <c r="B308" s="50" t="str">
        <f>IFERROR(HYPERLINK(VLOOKUP(A308,Internal_lists_bugs!$A$2:$C$73,3,FALSE()), VLOOKUP(A308,Internal_lists_bugs!$A$2:$C$73,3,FALSE())&amp;Char(10) &amp; Char(10) &amp; VLOOKUP(A308,Internal_lists_bugs!$A$2:$Z$73,26,FALSE())),"please select a BUG ID")</f>
        <v>https://bugs.launchpad.net/nova/+bug/1438331
/libvirt/rbd_utils.py</v>
      </c>
      <c r="C308" s="81" t="str">
        <f>IFERROR(SUBSTITUTE(VLOOKUP(A308,Internal_lists_bugs!$A$2:$G2031,7,FALSE()),"nova/commit","nova/src/commit"),"please select a BUG ID")</f>
        <v>https://opendev.org/openstack/nova/src/commit/13e2bd0</v>
      </c>
      <c r="D308" s="16" t="s">
        <v>4812</v>
      </c>
      <c r="E308" s="16" t="s">
        <v>4813</v>
      </c>
      <c r="F308" s="54"/>
      <c r="H308" s="112" t="s">
        <v>4818</v>
      </c>
      <c r="I308" s="66" t="s">
        <v>4840</v>
      </c>
      <c r="J308" s="196" t="str">
        <f>IFERROR(VLOOKUP(A308,Internal_lists_bugs!$A$2:$I2031,9,FALSE()),"please select a BUG ID")</f>
        <v>https://review.opendev.org/c/openstack/nova/+/94294</v>
      </c>
    </row>
    <row r="309">
      <c r="A309" s="16" t="s">
        <v>34</v>
      </c>
      <c r="B309" s="50" t="str">
        <f>IFERROR(HYPERLINK(VLOOKUP(A309,Internal_lists_bugs!$A$2:$C$73,3,FALSE()), VLOOKUP(A309,Internal_lists_bugs!$A$2:$C$73,3,FALSE())&amp;Char(10) &amp; Char(10) &amp; VLOOKUP(A309,Internal_lists_bugs!$A$2:$Z$73,26,FALSE())),"please select a BUG ID")</f>
        <v>https://bugs.launchpad.net/nova/+bug/1438331
/libvirt/rbd_utils.py</v>
      </c>
      <c r="C309" s="81" t="str">
        <f>IFERROR(SUBSTITUTE(VLOOKUP(A309,Internal_lists_bugs!$A$2:$G2031,7,FALSE()),"nova/commit","nova/src/commit"),"please select a BUG ID")</f>
        <v>https://opendev.org/openstack/nova/src/commit/13e2bd0</v>
      </c>
      <c r="D309" s="16" t="s">
        <v>4841</v>
      </c>
      <c r="E309" s="16" t="s">
        <v>4842</v>
      </c>
      <c r="F309" s="54"/>
      <c r="H309" s="112" t="s">
        <v>4845</v>
      </c>
      <c r="I309" s="66" t="s">
        <v>4846</v>
      </c>
      <c r="J309" s="196" t="str">
        <f>IFERROR(VLOOKUP(A309,Internal_lists_bugs!$A$2:$I2031,9,FALSE()),"please select a BUG ID")</f>
        <v>https://review.opendev.org/c/openstack/nova/+/94294</v>
      </c>
    </row>
    <row r="310">
      <c r="A310" s="16" t="s">
        <v>34</v>
      </c>
      <c r="B310" s="50" t="str">
        <f>IFERROR(HYPERLINK(VLOOKUP(A310,Internal_lists_bugs!$A$2:$C$73,3,FALSE()), VLOOKUP(A310,Internal_lists_bugs!$A$2:$C$73,3,FALSE())&amp;Char(10) &amp; Char(10) &amp; VLOOKUP(A310,Internal_lists_bugs!$A$2:$Z$73,26,FALSE())),"please select a BUG ID")</f>
        <v>https://bugs.launchpad.net/nova/+bug/1438331
/libvirt/rbd_utils.py</v>
      </c>
      <c r="C310" s="81" t="str">
        <f>IFERROR(SUBSTITUTE(VLOOKUP(A310,Internal_lists_bugs!$A$2:$G2031,7,FALSE()),"nova/commit","nova/src/commit"),"please select a BUG ID")</f>
        <v>https://opendev.org/openstack/nova/src/commit/13e2bd0</v>
      </c>
      <c r="D310" s="16" t="s">
        <v>4847</v>
      </c>
      <c r="E310" s="14" t="s">
        <v>4875</v>
      </c>
      <c r="F310" s="54"/>
      <c r="H310" s="112" t="s">
        <v>4831</v>
      </c>
      <c r="J310" s="196" t="str">
        <f>IFERROR(VLOOKUP(A310,Internal_lists_bugs!$A$2:$I2031,9,FALSE()),"please select a BUG ID")</f>
        <v>https://review.opendev.org/c/openstack/nova/+/94294</v>
      </c>
    </row>
    <row r="311">
      <c r="A311" s="16" t="s">
        <v>34</v>
      </c>
      <c r="B311" s="50" t="str">
        <f>IFERROR(HYPERLINK(VLOOKUP(A311,Internal_lists_bugs!$A$2:$C$73,3,FALSE()), VLOOKUP(A311,Internal_lists_bugs!$A$2:$C$73,3,FALSE())&amp;Char(10) &amp; Char(10) &amp; VLOOKUP(A311,Internal_lists_bugs!$A$2:$Z$73,26,FALSE())),"please select a BUG ID")</f>
        <v>https://bugs.launchpad.net/nova/+bug/1438331
/libvirt/rbd_utils.py</v>
      </c>
      <c r="C311" s="81" t="str">
        <f>IFERROR(SUBSTITUTE(VLOOKUP(A311,Internal_lists_bugs!$A$2:$G2031,7,FALSE()),"nova/commit","nova/src/commit"),"please select a BUG ID")</f>
        <v>https://opendev.org/openstack/nova/src/commit/13e2bd0</v>
      </c>
      <c r="D311" s="16" t="s">
        <v>4859</v>
      </c>
      <c r="E311" s="14" t="s">
        <v>4876</v>
      </c>
      <c r="F311" s="54"/>
      <c r="H311" s="114"/>
      <c r="J311" s="196" t="str">
        <f>IFERROR(VLOOKUP(A311,Internal_lists_bugs!$A$2:$I2031,9,FALSE()),"please select a BUG ID")</f>
        <v>https://review.opendev.org/c/openstack/nova/+/94294</v>
      </c>
    </row>
    <row r="312">
      <c r="A312" s="16" t="s">
        <v>34</v>
      </c>
      <c r="B312" s="50" t="str">
        <f>IFERROR(HYPERLINK(VLOOKUP(A312,Internal_lists_bugs!$A$2:$C$73,3,FALSE()), VLOOKUP(A312,Internal_lists_bugs!$A$2:$C$73,3,FALSE())&amp;Char(10) &amp; Char(10) &amp; VLOOKUP(A312,Internal_lists_bugs!$A$2:$Z$73,26,FALSE())),"please select a BUG ID")</f>
        <v>https://bugs.launchpad.net/nova/+bug/1438331
/libvirt/rbd_utils.py</v>
      </c>
      <c r="C312" s="81" t="str">
        <f>IFERROR(SUBSTITUTE(VLOOKUP(A312,Internal_lists_bugs!$A$2:$G2031,7,FALSE()),"nova/commit","nova/src/commit"),"please select a BUG ID")</f>
        <v>https://opendev.org/openstack/nova/src/commit/13e2bd0</v>
      </c>
      <c r="D312" s="16" t="s">
        <v>4861</v>
      </c>
      <c r="E312" s="14" t="s">
        <v>4877</v>
      </c>
      <c r="F312" s="54"/>
      <c r="H312" s="114"/>
      <c r="J312" s="196" t="str">
        <f>IFERROR(VLOOKUP(A312,Internal_lists_bugs!$A$2:$I2031,9,FALSE()),"please select a BUG ID")</f>
        <v>https://review.opendev.org/c/openstack/nova/+/94294</v>
      </c>
    </row>
    <row r="313">
      <c r="A313" s="189" t="s">
        <v>44</v>
      </c>
      <c r="B313" s="198" t="str">
        <f>IFERROR(HYPERLINK(VLOOKUP(A313,Internal_lists_bugs!$A$2:$C$73,3,FALSE()), VLOOKUP(A313,Internal_lists_bugs!$A$2:$C$73,3,FALSE())&amp;Char(10) &amp; Char(10) &amp; VLOOKUP(A313,Internal_lists_bugs!$A$2:$Z$73,26,FALSE())),"please select a BUG ID")</f>
        <v>https://bugs.launchpad.net/nova/+bug/1475911
cmd/idmapshift.py</v>
      </c>
      <c r="C313" s="199" t="str">
        <f>IFERROR(SUBSTITUTE(VLOOKUP(A313,Internal_lists_bugs!$A$2:$G2031,7,FALSE()),"nova/commit","nova/src/commit"),"please select a BUG ID")</f>
        <v>https://opendev.org/openstack/nova/src/commit/e310985</v>
      </c>
      <c r="D313" s="186" t="s">
        <v>4758</v>
      </c>
      <c r="E313" s="190" t="s">
        <v>4759</v>
      </c>
      <c r="F313" s="189" t="s">
        <v>4682</v>
      </c>
      <c r="G313" s="189" t="s">
        <v>4802</v>
      </c>
      <c r="H313" s="191" t="s">
        <v>4756</v>
      </c>
      <c r="I313" s="194" t="s">
        <v>4761</v>
      </c>
      <c r="J313" s="195" t="str">
        <f>IFERROR(VLOOKUP(A313,Internal_lists_bugs!$A$2:$I2031,9,FALSE()),"please select a BUG ID")</f>
        <v>https://review.opendev.org/c/openstack/nova/+/113545</v>
      </c>
      <c r="K313" s="193"/>
      <c r="L313" s="193"/>
    </row>
    <row r="314">
      <c r="A314" s="16" t="s">
        <v>44</v>
      </c>
      <c r="B314" s="50" t="str">
        <f>IFERROR(HYPERLINK(VLOOKUP(A314,Internal_lists_bugs!$A$2:$C$73,3,FALSE()), VLOOKUP(A314,Internal_lists_bugs!$A$2:$C$73,3,FALSE())&amp;Char(10) &amp; Char(10) &amp; VLOOKUP(A314,Internal_lists_bugs!$A$2:$Z$73,26,FALSE())),"please select a BUG ID")</f>
        <v>https://bugs.launchpad.net/nova/+bug/1475911
cmd/idmapshift.py</v>
      </c>
      <c r="C314" s="81" t="str">
        <f>IFERROR(SUBSTITUTE(VLOOKUP(A314,Internal_lists_bugs!$A$2:$G2031,7,FALSE()),"nova/commit","nova/src/commit"),"please select a BUG ID")</f>
        <v>https://opendev.org/openstack/nova/src/commit/e310985</v>
      </c>
      <c r="D314" s="30" t="s">
        <v>4765</v>
      </c>
      <c r="E314" s="14" t="s">
        <v>4878</v>
      </c>
      <c r="F314" s="54"/>
      <c r="H314" s="112" t="s">
        <v>4763</v>
      </c>
      <c r="I314" s="16" t="s">
        <v>4797</v>
      </c>
      <c r="J314" s="196" t="str">
        <f>IFERROR(VLOOKUP(A314,Internal_lists_bugs!$A$2:$I2031,9,FALSE()),"please select a BUG ID")</f>
        <v>https://review.opendev.org/c/openstack/nova/+/113545</v>
      </c>
    </row>
    <row r="315">
      <c r="A315" s="16" t="s">
        <v>44</v>
      </c>
      <c r="B315" s="50" t="str">
        <f>IFERROR(HYPERLINK(VLOOKUP(A315,Internal_lists_bugs!$A$2:$C$73,3,FALSE()), VLOOKUP(A315,Internal_lists_bugs!$A$2:$C$73,3,FALSE())&amp;Char(10) &amp; Char(10) &amp; VLOOKUP(A315,Internal_lists_bugs!$A$2:$Z$73,26,FALSE())),"please select a BUG ID")</f>
        <v>https://bugs.launchpad.net/nova/+bug/1475911
cmd/idmapshift.py</v>
      </c>
      <c r="C315" s="81" t="str">
        <f>IFERROR(SUBSTITUTE(VLOOKUP(A315,Internal_lists_bugs!$A$2:$G2031,7,FALSE()),"nova/commit","nova/src/commit"),"please select a BUG ID")</f>
        <v>https://opendev.org/openstack/nova/src/commit/e310985</v>
      </c>
      <c r="D315" s="30" t="s">
        <v>4686</v>
      </c>
      <c r="E315" s="63" t="s">
        <v>4768</v>
      </c>
      <c r="F315" s="54"/>
      <c r="H315" s="112" t="s">
        <v>4708</v>
      </c>
      <c r="I315" s="16" t="s">
        <v>4767</v>
      </c>
      <c r="J315" s="196" t="str">
        <f>IFERROR(VLOOKUP(A315,Internal_lists_bugs!$A$2:$I2031,9,FALSE()),"please select a BUG ID")</f>
        <v>https://review.opendev.org/c/openstack/nova/+/113545</v>
      </c>
    </row>
    <row r="316">
      <c r="A316" s="16" t="s">
        <v>44</v>
      </c>
      <c r="B316" s="50" t="str">
        <f>IFERROR(HYPERLINK(VLOOKUP(A316,Internal_lists_bugs!$A$2:$C$73,3,FALSE()), VLOOKUP(A316,Internal_lists_bugs!$A$2:$C$73,3,FALSE())&amp;Char(10) &amp; Char(10) &amp; VLOOKUP(A316,Internal_lists_bugs!$A$2:$Z$73,26,FALSE())),"please select a BUG ID")</f>
        <v>https://bugs.launchpad.net/nova/+bug/1475911
cmd/idmapshift.py</v>
      </c>
      <c r="C316" s="81" t="str">
        <f>IFERROR(SUBSTITUTE(VLOOKUP(A316,Internal_lists_bugs!$A$2:$G2031,7,FALSE()),"nova/commit","nova/src/commit"),"please select a BUG ID")</f>
        <v>https://opendev.org/openstack/nova/src/commit/e310985</v>
      </c>
      <c r="D316" s="30" t="s">
        <v>4690</v>
      </c>
      <c r="E316" s="16" t="s">
        <v>4731</v>
      </c>
      <c r="F316" s="54"/>
      <c r="H316" s="112" t="s">
        <v>4696</v>
      </c>
      <c r="I316" s="16" t="s">
        <v>4731</v>
      </c>
      <c r="J316" s="196" t="str">
        <f>IFERROR(VLOOKUP(A316,Internal_lists_bugs!$A$2:$I2031,9,FALSE()),"please select a BUG ID")</f>
        <v>https://review.opendev.org/c/openstack/nova/+/113545</v>
      </c>
    </row>
    <row r="317">
      <c r="A317" s="16" t="s">
        <v>44</v>
      </c>
      <c r="B317" s="50" t="str">
        <f>IFERROR(HYPERLINK(VLOOKUP(A317,Internal_lists_bugs!$A$2:$C$73,3,FALSE()), VLOOKUP(A317,Internal_lists_bugs!$A$2:$C$73,3,FALSE())&amp;Char(10) &amp; Char(10) &amp; VLOOKUP(A317,Internal_lists_bugs!$A$2:$Z$73,26,FALSE())),"please select a BUG ID")</f>
        <v>https://bugs.launchpad.net/nova/+bug/1475911
cmd/idmapshift.py</v>
      </c>
      <c r="C317" s="81" t="str">
        <f>IFERROR(SUBSTITUTE(VLOOKUP(A317,Internal_lists_bugs!$A$2:$G2031,7,FALSE()),"nova/commit","nova/src/commit"),"please select a BUG ID")</f>
        <v>https://opendev.org/openstack/nova/src/commit/e310985</v>
      </c>
      <c r="D317" s="30" t="s">
        <v>4702</v>
      </c>
      <c r="E317" s="16" t="s">
        <v>4770</v>
      </c>
      <c r="F317" s="54"/>
      <c r="H317" s="112" t="s">
        <v>4716</v>
      </c>
      <c r="I317" s="16" t="s">
        <v>4769</v>
      </c>
      <c r="J317" s="196" t="str">
        <f>IFERROR(VLOOKUP(A317,Internal_lists_bugs!$A$2:$I2031,9,FALSE()),"please select a BUG ID")</f>
        <v>https://review.opendev.org/c/openstack/nova/+/113545</v>
      </c>
    </row>
    <row r="318">
      <c r="A318" s="16" t="s">
        <v>44</v>
      </c>
      <c r="B318" s="50" t="str">
        <f>IFERROR(HYPERLINK(VLOOKUP(A318,Internal_lists_bugs!$A$2:$C$73,3,FALSE()), VLOOKUP(A318,Internal_lists_bugs!$A$2:$C$73,3,FALSE())&amp;Char(10) &amp; Char(10) &amp; VLOOKUP(A318,Internal_lists_bugs!$A$2:$Z$73,26,FALSE())),"please select a BUG ID")</f>
        <v>https://bugs.launchpad.net/nova/+bug/1475911
cmd/idmapshift.py</v>
      </c>
      <c r="C318" s="81" t="str">
        <f>IFERROR(SUBSTITUTE(VLOOKUP(A318,Internal_lists_bugs!$A$2:$G2031,7,FALSE()),"nova/commit","nova/src/commit"),"please select a BUG ID")</f>
        <v>https://opendev.org/openstack/nova/src/commit/e310985</v>
      </c>
      <c r="D318" s="30" t="s">
        <v>4772</v>
      </c>
      <c r="E318" s="14" t="s">
        <v>4879</v>
      </c>
      <c r="F318" s="54"/>
      <c r="H318" s="112" t="s">
        <v>4708</v>
      </c>
      <c r="I318" s="16" t="s">
        <v>4771</v>
      </c>
      <c r="J318" s="196" t="str">
        <f>IFERROR(VLOOKUP(A318,Internal_lists_bugs!$A$2:$I2031,9,FALSE()),"please select a BUG ID")</f>
        <v>https://review.opendev.org/c/openstack/nova/+/113545</v>
      </c>
    </row>
    <row r="319">
      <c r="A319" s="16" t="s">
        <v>44</v>
      </c>
      <c r="B319" s="50" t="str">
        <f>IFERROR(HYPERLINK(VLOOKUP(A319,Internal_lists_bugs!$A$2:$C$73,3,FALSE()), VLOOKUP(A319,Internal_lists_bugs!$A$2:$C$73,3,FALSE())&amp;Char(10) &amp; Char(10) &amp; VLOOKUP(A319,Internal_lists_bugs!$A$2:$Z$73,26,FALSE())),"please select a BUG ID")</f>
        <v>https://bugs.launchpad.net/nova/+bug/1475911
cmd/idmapshift.py</v>
      </c>
      <c r="C319" s="81" t="str">
        <f>IFERROR(SUBSTITUTE(VLOOKUP(A319,Internal_lists_bugs!$A$2:$G2031,7,FALSE()),"nova/commit","nova/src/commit"),"please select a BUG ID")</f>
        <v>https://opendev.org/openstack/nova/src/commit/e310985</v>
      </c>
      <c r="D319" s="30" t="s">
        <v>4706</v>
      </c>
      <c r="E319" s="16" t="s">
        <v>4775</v>
      </c>
      <c r="F319" s="54"/>
      <c r="H319" s="112" t="s">
        <v>4684</v>
      </c>
      <c r="I319" s="16" t="s">
        <v>4774</v>
      </c>
      <c r="J319" s="196" t="str">
        <f>IFERROR(VLOOKUP(A319,Internal_lists_bugs!$A$2:$I2031,9,FALSE()),"please select a BUG ID")</f>
        <v>https://review.opendev.org/c/openstack/nova/+/113545</v>
      </c>
    </row>
    <row r="320">
      <c r="A320" s="16" t="s">
        <v>44</v>
      </c>
      <c r="B320" s="50" t="str">
        <f>IFERROR(HYPERLINK(VLOOKUP(A320,Internal_lists_bugs!$A$2:$C$73,3,FALSE()), VLOOKUP(A320,Internal_lists_bugs!$A$2:$C$73,3,FALSE())&amp;Char(10) &amp; Char(10) &amp; VLOOKUP(A320,Internal_lists_bugs!$A$2:$Z$73,26,FALSE())),"please select a BUG ID")</f>
        <v>https://bugs.launchpad.net/nova/+bug/1475911
cmd/idmapshift.py</v>
      </c>
      <c r="C320" s="81" t="str">
        <f>IFERROR(SUBSTITUTE(VLOOKUP(A320,Internal_lists_bugs!$A$2:$G2031,7,FALSE()),"nova/commit","nova/src/commit"),"please select a BUG ID")</f>
        <v>https://opendev.org/openstack/nova/src/commit/e310985</v>
      </c>
      <c r="D320" s="30" t="s">
        <v>4710</v>
      </c>
      <c r="E320" s="16" t="s">
        <v>4775</v>
      </c>
      <c r="F320" s="54"/>
      <c r="H320" s="112" t="s">
        <v>4712</v>
      </c>
      <c r="I320" s="16" t="s">
        <v>4776</v>
      </c>
      <c r="J320" s="196" t="str">
        <f>IFERROR(VLOOKUP(A320,Internal_lists_bugs!$A$2:$I2031,9,FALSE()),"please select a BUG ID")</f>
        <v>https://review.opendev.org/c/openstack/nova/+/113545</v>
      </c>
    </row>
    <row r="321">
      <c r="A321" s="16" t="s">
        <v>44</v>
      </c>
      <c r="B321" s="50" t="str">
        <f>IFERROR(HYPERLINK(VLOOKUP(A321,Internal_lists_bugs!$A$2:$C$73,3,FALSE()), VLOOKUP(A321,Internal_lists_bugs!$A$2:$C$73,3,FALSE())&amp;Char(10) &amp; Char(10) &amp; VLOOKUP(A321,Internal_lists_bugs!$A$2:$Z$73,26,FALSE())),"please select a BUG ID")</f>
        <v>https://bugs.launchpad.net/nova/+bug/1475911
cmd/idmapshift.py</v>
      </c>
      <c r="C321" s="81" t="str">
        <f>IFERROR(SUBSTITUTE(VLOOKUP(A321,Internal_lists_bugs!$A$2:$G2031,7,FALSE()),"nova/commit","nova/src/commit"),"please select a BUG ID")</f>
        <v>https://opendev.org/openstack/nova/src/commit/e310985</v>
      </c>
      <c r="D321" s="30" t="s">
        <v>1325</v>
      </c>
      <c r="E321" s="16" t="s">
        <v>4751</v>
      </c>
      <c r="F321" s="54"/>
      <c r="H321" s="112" t="s">
        <v>4777</v>
      </c>
      <c r="I321" s="16" t="s">
        <v>4778</v>
      </c>
      <c r="J321" s="196" t="str">
        <f>IFERROR(VLOOKUP(A321,Internal_lists_bugs!$A$2:$I2031,9,FALSE()),"please select a BUG ID")</f>
        <v>https://review.opendev.org/c/openstack/nova/+/113545</v>
      </c>
    </row>
    <row r="322">
      <c r="A322" s="16" t="s">
        <v>44</v>
      </c>
      <c r="B322" s="50" t="str">
        <f>IFERROR(HYPERLINK(VLOOKUP(A322,Internal_lists_bugs!$A$2:$C$73,3,FALSE()), VLOOKUP(A322,Internal_lists_bugs!$A$2:$C$73,3,FALSE())&amp;Char(10) &amp; Char(10) &amp; VLOOKUP(A322,Internal_lists_bugs!$A$2:$Z$73,26,FALSE())),"please select a BUG ID")</f>
        <v>https://bugs.launchpad.net/nova/+bug/1475911
cmd/idmapshift.py</v>
      </c>
      <c r="C322" s="81" t="str">
        <f>IFERROR(SUBSTITUTE(VLOOKUP(A322,Internal_lists_bugs!$A$2:$G2031,7,FALSE()),"nova/commit","nova/src/commit"),"please select a BUG ID")</f>
        <v>https://opendev.org/openstack/nova/src/commit/e310985</v>
      </c>
      <c r="D322" s="30" t="s">
        <v>4680</v>
      </c>
      <c r="E322" s="16" t="s">
        <v>4789</v>
      </c>
      <c r="F322" s="54"/>
      <c r="H322" s="112" t="s">
        <v>4704</v>
      </c>
      <c r="I322" s="16" t="s">
        <v>4752</v>
      </c>
      <c r="J322" s="196" t="str">
        <f>IFERROR(VLOOKUP(A322,Internal_lists_bugs!$A$2:$I2031,9,FALSE()),"please select a BUG ID")</f>
        <v>https://review.opendev.org/c/openstack/nova/+/113545</v>
      </c>
    </row>
    <row r="323">
      <c r="A323" s="16" t="s">
        <v>44</v>
      </c>
      <c r="B323" s="50" t="str">
        <f>IFERROR(HYPERLINK(VLOOKUP(A323,Internal_lists_bugs!$A$2:$C$73,3,FALSE()), VLOOKUP(A323,Internal_lists_bugs!$A$2:$C$73,3,FALSE())&amp;Char(10) &amp; Char(10) &amp; VLOOKUP(A323,Internal_lists_bugs!$A$2:$Z$73,26,FALSE())),"please select a BUG ID")</f>
        <v>https://bugs.launchpad.net/nova/+bug/1475911
cmd/idmapshift.py</v>
      </c>
      <c r="C323" s="81" t="str">
        <f>IFERROR(SUBSTITUTE(VLOOKUP(A323,Internal_lists_bugs!$A$2:$G2031,7,FALSE()),"nova/commit","nova/src/commit"),"please select a BUG ID")</f>
        <v>https://opendev.org/openstack/nova/src/commit/e310985</v>
      </c>
      <c r="D323" s="30" t="s">
        <v>4754</v>
      </c>
      <c r="E323" s="16" t="s">
        <v>4755</v>
      </c>
      <c r="F323" s="54"/>
      <c r="H323" s="112" t="s">
        <v>4749</v>
      </c>
      <c r="I323" s="16" t="s">
        <v>4779</v>
      </c>
      <c r="J323" s="196" t="str">
        <f>IFERROR(VLOOKUP(A323,Internal_lists_bugs!$A$2:$I2031,9,FALSE()),"please select a BUG ID")</f>
        <v>https://review.opendev.org/c/openstack/nova/+/113545</v>
      </c>
    </row>
    <row r="324">
      <c r="A324" s="16" t="s">
        <v>44</v>
      </c>
      <c r="B324" s="50" t="str">
        <f>IFERROR(HYPERLINK(VLOOKUP(A324,Internal_lists_bugs!$A$2:$C$73,3,FALSE()), VLOOKUP(A324,Internal_lists_bugs!$A$2:$C$73,3,FALSE())&amp;Char(10) &amp; Char(10) &amp; VLOOKUP(A324,Internal_lists_bugs!$A$2:$Z$73,26,FALSE())),"please select a BUG ID")</f>
        <v>https://bugs.launchpad.net/nova/+bug/1475911
cmd/idmapshift.py</v>
      </c>
      <c r="C324" s="81" t="str">
        <f>IFERROR(SUBSTITUTE(VLOOKUP(A324,Internal_lists_bugs!$A$2:$G2031,7,FALSE()),"nova/commit","nova/src/commit"),"please select a BUG ID")</f>
        <v>https://opendev.org/openstack/nova/src/commit/e310985</v>
      </c>
      <c r="D324" s="30" t="s">
        <v>4714</v>
      </c>
      <c r="E324" s="16" t="s">
        <v>4738</v>
      </c>
      <c r="F324" s="54"/>
      <c r="H324" s="112" t="s">
        <v>4782</v>
      </c>
      <c r="I324" s="16" t="s">
        <v>4783</v>
      </c>
      <c r="J324" s="196" t="str">
        <f>IFERROR(VLOOKUP(A324,Internal_lists_bugs!$A$2:$I2031,9,FALSE()),"please select a BUG ID")</f>
        <v>https://review.opendev.org/c/openstack/nova/+/113545</v>
      </c>
    </row>
    <row r="325">
      <c r="A325" s="16" t="s">
        <v>44</v>
      </c>
      <c r="B325" s="50" t="str">
        <f>IFERROR(HYPERLINK(VLOOKUP(A325,Internal_lists_bugs!$A$2:$C$73,3,FALSE()), VLOOKUP(A325,Internal_lists_bugs!$A$2:$C$73,3,FALSE())&amp;Char(10) &amp; Char(10) &amp; VLOOKUP(A325,Internal_lists_bugs!$A$2:$Z$73,26,FALSE())),"please select a BUG ID")</f>
        <v>https://bugs.launchpad.net/nova/+bug/1475911
cmd/idmapshift.py</v>
      </c>
      <c r="C325" s="81" t="str">
        <f>IFERROR(SUBSTITUTE(VLOOKUP(A325,Internal_lists_bugs!$A$2:$G2031,7,FALSE()),"nova/commit","nova/src/commit"),"please select a BUG ID")</f>
        <v>https://opendev.org/openstack/nova/src/commit/e310985</v>
      </c>
      <c r="D325" s="30" t="s">
        <v>4807</v>
      </c>
      <c r="E325" s="16" t="s">
        <v>4822</v>
      </c>
      <c r="F325" s="54"/>
      <c r="H325" s="112" t="s">
        <v>4801</v>
      </c>
      <c r="I325" s="16" t="s">
        <v>4806</v>
      </c>
      <c r="J325" s="196" t="str">
        <f>IFERROR(VLOOKUP(A325,Internal_lists_bugs!$A$2:$I2031,9,FALSE()),"please select a BUG ID")</f>
        <v>https://review.opendev.org/c/openstack/nova/+/113545</v>
      </c>
    </row>
    <row r="326">
      <c r="A326" s="16" t="s">
        <v>44</v>
      </c>
      <c r="B326" s="50" t="str">
        <f>IFERROR(HYPERLINK(VLOOKUP(A326,Internal_lists_bugs!$A$2:$C$73,3,FALSE()), VLOOKUP(A326,Internal_lists_bugs!$A$2:$C$73,3,FALSE())&amp;Char(10) &amp; Char(10) &amp; VLOOKUP(A326,Internal_lists_bugs!$A$2:$Z$73,26,FALSE())),"please select a BUG ID")</f>
        <v>https://bugs.launchpad.net/nova/+bug/1475911
cmd/idmapshift.py</v>
      </c>
      <c r="C326" s="81" t="str">
        <f>IFERROR(SUBSTITUTE(VLOOKUP(A326,Internal_lists_bugs!$A$2:$G2031,7,FALSE()),"nova/commit","nova/src/commit"),"please select a BUG ID")</f>
        <v>https://opendev.org/openstack/nova/src/commit/e310985</v>
      </c>
      <c r="D326" s="30" t="s">
        <v>4812</v>
      </c>
      <c r="E326" s="16" t="s">
        <v>4813</v>
      </c>
      <c r="F326" s="54"/>
      <c r="H326" s="112" t="s">
        <v>4818</v>
      </c>
      <c r="I326" s="66" t="s">
        <v>4840</v>
      </c>
      <c r="J326" s="196" t="str">
        <f>IFERROR(VLOOKUP(A326,Internal_lists_bugs!$A$2:$I2031,9,FALSE()),"please select a BUG ID")</f>
        <v>https://review.opendev.org/c/openstack/nova/+/113545</v>
      </c>
    </row>
    <row r="327">
      <c r="A327" s="16" t="s">
        <v>44</v>
      </c>
      <c r="B327" s="50" t="str">
        <f>IFERROR(HYPERLINK(VLOOKUP(A327,Internal_lists_bugs!$A$2:$C$73,3,FALSE()), VLOOKUP(A327,Internal_lists_bugs!$A$2:$C$73,3,FALSE())&amp;Char(10) &amp; Char(10) &amp; VLOOKUP(A327,Internal_lists_bugs!$A$2:$Z$73,26,FALSE())),"please select a BUG ID")</f>
        <v>https://bugs.launchpad.net/nova/+bug/1475911
cmd/idmapshift.py</v>
      </c>
      <c r="C327" s="81" t="str">
        <f>IFERROR(SUBSTITUTE(VLOOKUP(A327,Internal_lists_bugs!$A$2:$G2031,7,FALSE()),"nova/commit","nova/src/commit"),"please select a BUG ID")</f>
        <v>https://opendev.org/openstack/nova/src/commit/e310985</v>
      </c>
      <c r="D327" s="30" t="s">
        <v>4841</v>
      </c>
      <c r="E327" s="16" t="s">
        <v>4842</v>
      </c>
      <c r="F327" s="54"/>
      <c r="H327" s="112" t="s">
        <v>4845</v>
      </c>
      <c r="I327" s="66" t="s">
        <v>4846</v>
      </c>
      <c r="J327" s="196" t="str">
        <f>IFERROR(VLOOKUP(A327,Internal_lists_bugs!$A$2:$I2031,9,FALSE()),"please select a BUG ID")</f>
        <v>https://review.opendev.org/c/openstack/nova/+/113545</v>
      </c>
    </row>
    <row r="328">
      <c r="A328" s="16" t="s">
        <v>44</v>
      </c>
      <c r="B328" s="50" t="str">
        <f>IFERROR(HYPERLINK(VLOOKUP(A328,Internal_lists_bugs!$A$2:$C$73,3,FALSE()), VLOOKUP(A328,Internal_lists_bugs!$A$2:$C$73,3,FALSE())&amp;Char(10) &amp; Char(10) &amp; VLOOKUP(A328,Internal_lists_bugs!$A$2:$Z$73,26,FALSE())),"please select a BUG ID")</f>
        <v>https://bugs.launchpad.net/nova/+bug/1475911
cmd/idmapshift.py</v>
      </c>
      <c r="C328" s="81" t="str">
        <f>IFERROR(SUBSTITUTE(VLOOKUP(A328,Internal_lists_bugs!$A$2:$G2031,7,FALSE()),"nova/commit","nova/src/commit"),"please select a BUG ID")</f>
        <v>https://opendev.org/openstack/nova/src/commit/e310985</v>
      </c>
      <c r="D328" s="30" t="s">
        <v>4847</v>
      </c>
      <c r="E328" s="14" t="s">
        <v>4880</v>
      </c>
      <c r="F328" s="54"/>
      <c r="H328" s="112" t="s">
        <v>4831</v>
      </c>
      <c r="J328" s="196" t="str">
        <f>IFERROR(VLOOKUP(A328,Internal_lists_bugs!$A$2:$I2031,9,FALSE()),"please select a BUG ID")</f>
        <v>https://review.opendev.org/c/openstack/nova/+/113545</v>
      </c>
    </row>
    <row r="329">
      <c r="A329" s="16" t="s">
        <v>44</v>
      </c>
      <c r="B329" s="50" t="str">
        <f>IFERROR(HYPERLINK(VLOOKUP(A329,Internal_lists_bugs!$A$2:$C$73,3,FALSE()), VLOOKUP(A329,Internal_lists_bugs!$A$2:$C$73,3,FALSE())&amp;Char(10) &amp; Char(10) &amp; VLOOKUP(A329,Internal_lists_bugs!$A$2:$Z$73,26,FALSE())),"please select a BUG ID")</f>
        <v>https://bugs.launchpad.net/nova/+bug/1475911
cmd/idmapshift.py</v>
      </c>
      <c r="C329" s="81" t="str">
        <f>IFERROR(SUBSTITUTE(VLOOKUP(A329,Internal_lists_bugs!$A$2:$G2031,7,FALSE()),"nova/commit","nova/src/commit"),"please select a BUG ID")</f>
        <v>https://opendev.org/openstack/nova/src/commit/e310985</v>
      </c>
      <c r="D329" s="30" t="s">
        <v>4859</v>
      </c>
      <c r="E329" s="14" t="s">
        <v>4881</v>
      </c>
      <c r="F329" s="54"/>
      <c r="H329" s="114"/>
      <c r="J329" s="196" t="str">
        <f>IFERROR(VLOOKUP(A329,Internal_lists_bugs!$A$2:$I2031,9,FALSE()),"please select a BUG ID")</f>
        <v>https://review.opendev.org/c/openstack/nova/+/113545</v>
      </c>
    </row>
    <row r="330">
      <c r="A330" s="16" t="s">
        <v>44</v>
      </c>
      <c r="B330" s="50" t="str">
        <f>IFERROR(HYPERLINK(VLOOKUP(A330,Internal_lists_bugs!$A$2:$C$73,3,FALSE()), VLOOKUP(A330,Internal_lists_bugs!$A$2:$C$73,3,FALSE())&amp;Char(10) &amp; Char(10) &amp; VLOOKUP(A330,Internal_lists_bugs!$A$2:$Z$73,26,FALSE())),"please select a BUG ID")</f>
        <v>https://bugs.launchpad.net/nova/+bug/1475911
cmd/idmapshift.py</v>
      </c>
      <c r="C330" s="81" t="str">
        <f>IFERROR(SUBSTITUTE(VLOOKUP(A330,Internal_lists_bugs!$A$2:$G2031,7,FALSE()),"nova/commit","nova/src/commit"),"please select a BUG ID")</f>
        <v>https://opendev.org/openstack/nova/src/commit/e310985</v>
      </c>
      <c r="D330" s="30" t="s">
        <v>4861</v>
      </c>
      <c r="E330" s="14" t="s">
        <v>4882</v>
      </c>
      <c r="F330" s="54"/>
      <c r="H330" s="114"/>
      <c r="J330" s="196" t="str">
        <f>IFERROR(VLOOKUP(A330,Internal_lists_bugs!$A$2:$I2031,9,FALSE()),"please select a BUG ID")</f>
        <v>https://review.opendev.org/c/openstack/nova/+/113545</v>
      </c>
    </row>
    <row r="331">
      <c r="A331" s="16" t="s">
        <v>44</v>
      </c>
      <c r="B331" s="50" t="str">
        <f>IFERROR(HYPERLINK(VLOOKUP(A331,Internal_lists_bugs!$A$2:$C$73,3,FALSE()), VLOOKUP(A331,Internal_lists_bugs!$A$2:$C$73,3,FALSE())&amp;Char(10) &amp; Char(10) &amp; VLOOKUP(A331,Internal_lists_bugs!$A$2:$Z$73,26,FALSE())),"please select a BUG ID")</f>
        <v>https://bugs.launchpad.net/nova/+bug/1475911
cmd/idmapshift.py</v>
      </c>
      <c r="C331" s="81" t="str">
        <f>IFERROR(SUBSTITUTE(VLOOKUP(A331,Internal_lists_bugs!$A$2:$G2031,7,FALSE()),"nova/commit","nova/src/commit"),"please select a BUG ID")</f>
        <v>https://opendev.org/openstack/nova/src/commit/e310985</v>
      </c>
      <c r="D331" s="30" t="s">
        <v>4849</v>
      </c>
      <c r="E331" s="14" t="s">
        <v>4883</v>
      </c>
      <c r="F331" s="54"/>
      <c r="H331" s="114"/>
      <c r="J331" s="196" t="str">
        <f>IFERROR(VLOOKUP(A331,Internal_lists_bugs!$A$2:$I2031,9,FALSE()),"please select a BUG ID")</f>
        <v>https://review.opendev.org/c/openstack/nova/+/113545</v>
      </c>
    </row>
    <row r="332">
      <c r="A332" s="189" t="s">
        <v>56</v>
      </c>
      <c r="B332" s="198" t="str">
        <f>IFERROR(HYPERLINK(VLOOKUP(A332,Internal_lists_bugs!$A$2:$C$73,3,FALSE()), VLOOKUP(A332,Internal_lists_bugs!$A$2:$C$73,3,FALSE())&amp;Char(10) &amp; Char(10) &amp; VLOOKUP(A332,Internal_lists_bugs!$A$2:$Z$73,26,FALSE())),"please select a BUG ID")</f>
        <v>https://bugs.launchpad.net/nova/+bug/1371677
/libvirt/driver.py</v>
      </c>
      <c r="C332" s="199" t="str">
        <f>IFERROR(SUBSTITUTE(VLOOKUP(A332,Internal_lists_bugs!$A$2:$G2031,7,FALSE()),"nova/commit","nova/src/commit"),"please select a BUG ID")</f>
        <v>https://opendev.org/openstack/nova/src/commit/5fa74bc</v>
      </c>
      <c r="D332" s="189" t="s">
        <v>4758</v>
      </c>
      <c r="E332" s="190" t="s">
        <v>4759</v>
      </c>
      <c r="F332" s="189" t="s">
        <v>4682</v>
      </c>
      <c r="G332" s="189" t="s">
        <v>4802</v>
      </c>
      <c r="H332" s="191" t="s">
        <v>4756</v>
      </c>
      <c r="I332" s="194" t="s">
        <v>4761</v>
      </c>
      <c r="J332" s="195" t="str">
        <f>IFERROR(VLOOKUP(A332,Internal_lists_bugs!$A$2:$I2031,9,FALSE()),"please select a BUG ID")</f>
        <v>https://review.opendev.org/c/openstack/nova/+/40467</v>
      </c>
      <c r="K332" s="193"/>
      <c r="L332" s="193"/>
    </row>
    <row r="333">
      <c r="A333" s="16" t="s">
        <v>56</v>
      </c>
      <c r="B333" s="50" t="str">
        <f>IFERROR(HYPERLINK(VLOOKUP(A333,Internal_lists_bugs!$A$2:$C$73,3,FALSE()), VLOOKUP(A333,Internal_lists_bugs!$A$2:$C$73,3,FALSE())&amp;Char(10) &amp; Char(10) &amp; VLOOKUP(A333,Internal_lists_bugs!$A$2:$Z$73,26,FALSE())),"please select a BUG ID")</f>
        <v>https://bugs.launchpad.net/nova/+bug/1371677
/libvirt/driver.py</v>
      </c>
      <c r="C333" s="81" t="str">
        <f>IFERROR(SUBSTITUTE(VLOOKUP(A333,Internal_lists_bugs!$A$2:$G2031,7,FALSE()),"nova/commit","nova/src/commit"),"please select a BUG ID")</f>
        <v>https://opendev.org/openstack/nova/src/commit/5fa74bc</v>
      </c>
      <c r="D333" s="16" t="s">
        <v>4765</v>
      </c>
      <c r="E333" s="14" t="s">
        <v>4884</v>
      </c>
      <c r="F333" s="54"/>
      <c r="H333" s="112" t="s">
        <v>4763</v>
      </c>
      <c r="I333" s="16" t="s">
        <v>4797</v>
      </c>
      <c r="J333" s="196" t="str">
        <f>IFERROR(VLOOKUP(A333,Internal_lists_bugs!$A$2:$I2031,9,FALSE()),"please select a BUG ID")</f>
        <v>https://review.opendev.org/c/openstack/nova/+/40467</v>
      </c>
    </row>
    <row r="334">
      <c r="A334" s="16" t="s">
        <v>56</v>
      </c>
      <c r="B334" s="50" t="str">
        <f>IFERROR(HYPERLINK(VLOOKUP(A334,Internal_lists_bugs!$A$2:$C$73,3,FALSE()), VLOOKUP(A334,Internal_lists_bugs!$A$2:$C$73,3,FALSE())&amp;Char(10) &amp; Char(10) &amp; VLOOKUP(A334,Internal_lists_bugs!$A$2:$Z$73,26,FALSE())),"please select a BUG ID")</f>
        <v>https://bugs.launchpad.net/nova/+bug/1371677
/libvirt/driver.py</v>
      </c>
      <c r="C334" s="81" t="str">
        <f>IFERROR(SUBSTITUTE(VLOOKUP(A334,Internal_lists_bugs!$A$2:$G2031,7,FALSE()),"nova/commit","nova/src/commit"),"please select a BUG ID")</f>
        <v>https://opendev.org/openstack/nova/src/commit/5fa74bc</v>
      </c>
      <c r="D334" s="16" t="s">
        <v>4686</v>
      </c>
      <c r="E334" s="63" t="s">
        <v>4768</v>
      </c>
      <c r="F334" s="54"/>
      <c r="H334" s="112" t="s">
        <v>4708</v>
      </c>
      <c r="I334" s="16" t="s">
        <v>4767</v>
      </c>
      <c r="J334" s="196" t="str">
        <f>IFERROR(VLOOKUP(A334,Internal_lists_bugs!$A$2:$I2031,9,FALSE()),"please select a BUG ID")</f>
        <v>https://review.opendev.org/c/openstack/nova/+/40467</v>
      </c>
    </row>
    <row r="335">
      <c r="A335" s="16" t="s">
        <v>56</v>
      </c>
      <c r="B335" s="50" t="str">
        <f>IFERROR(HYPERLINK(VLOOKUP(A335,Internal_lists_bugs!$A$2:$C$73,3,FALSE()), VLOOKUP(A335,Internal_lists_bugs!$A$2:$C$73,3,FALSE())&amp;Char(10) &amp; Char(10) &amp; VLOOKUP(A335,Internal_lists_bugs!$A$2:$Z$73,26,FALSE())),"please select a BUG ID")</f>
        <v>https://bugs.launchpad.net/nova/+bug/1371677
/libvirt/driver.py</v>
      </c>
      <c r="C335" s="81" t="str">
        <f>IFERROR(SUBSTITUTE(VLOOKUP(A335,Internal_lists_bugs!$A$2:$G2031,7,FALSE()),"nova/commit","nova/src/commit"),"please select a BUG ID")</f>
        <v>https://opendev.org/openstack/nova/src/commit/5fa74bc</v>
      </c>
      <c r="D335" s="16" t="s">
        <v>4690</v>
      </c>
      <c r="E335" s="16" t="s">
        <v>4731</v>
      </c>
      <c r="F335" s="54"/>
      <c r="H335" s="112" t="s">
        <v>4696</v>
      </c>
      <c r="I335" s="16" t="s">
        <v>4731</v>
      </c>
      <c r="J335" s="196" t="str">
        <f>IFERROR(VLOOKUP(A335,Internal_lists_bugs!$A$2:$I2031,9,FALSE()),"please select a BUG ID")</f>
        <v>https://review.opendev.org/c/openstack/nova/+/40467</v>
      </c>
    </row>
    <row r="336">
      <c r="A336" s="16" t="s">
        <v>56</v>
      </c>
      <c r="B336" s="50" t="str">
        <f>IFERROR(HYPERLINK(VLOOKUP(A336,Internal_lists_bugs!$A$2:$C$73,3,FALSE()), VLOOKUP(A336,Internal_lists_bugs!$A$2:$C$73,3,FALSE())&amp;Char(10) &amp; Char(10) &amp; VLOOKUP(A336,Internal_lists_bugs!$A$2:$Z$73,26,FALSE())),"please select a BUG ID")</f>
        <v>https://bugs.launchpad.net/nova/+bug/1371677
/libvirt/driver.py</v>
      </c>
      <c r="C336" s="81" t="str">
        <f>IFERROR(SUBSTITUTE(VLOOKUP(A336,Internal_lists_bugs!$A$2:$G2031,7,FALSE()),"nova/commit","nova/src/commit"),"please select a BUG ID")</f>
        <v>https://opendev.org/openstack/nova/src/commit/5fa74bc</v>
      </c>
      <c r="D336" s="16" t="s">
        <v>4702</v>
      </c>
      <c r="E336" s="16" t="s">
        <v>4770</v>
      </c>
      <c r="F336" s="54"/>
      <c r="H336" s="112" t="s">
        <v>4716</v>
      </c>
      <c r="I336" s="16" t="s">
        <v>4769</v>
      </c>
      <c r="J336" s="196" t="str">
        <f>IFERROR(VLOOKUP(A336,Internal_lists_bugs!$A$2:$I2031,9,FALSE()),"please select a BUG ID")</f>
        <v>https://review.opendev.org/c/openstack/nova/+/40467</v>
      </c>
    </row>
    <row r="337">
      <c r="A337" s="16" t="s">
        <v>56</v>
      </c>
      <c r="B337" s="50" t="str">
        <f>IFERROR(HYPERLINK(VLOOKUP(A337,Internal_lists_bugs!$A$2:$C$73,3,FALSE()), VLOOKUP(A337,Internal_lists_bugs!$A$2:$C$73,3,FALSE())&amp;Char(10) &amp; Char(10) &amp; VLOOKUP(A337,Internal_lists_bugs!$A$2:$Z$73,26,FALSE())),"please select a BUG ID")</f>
        <v>https://bugs.launchpad.net/nova/+bug/1371677
/libvirt/driver.py</v>
      </c>
      <c r="C337" s="81" t="str">
        <f>IFERROR(SUBSTITUTE(VLOOKUP(A337,Internal_lists_bugs!$A$2:$G2031,7,FALSE()),"nova/commit","nova/src/commit"),"please select a BUG ID")</f>
        <v>https://opendev.org/openstack/nova/src/commit/5fa74bc</v>
      </c>
      <c r="D337" s="16" t="s">
        <v>4772</v>
      </c>
      <c r="E337" s="14" t="s">
        <v>4885</v>
      </c>
      <c r="F337" s="54"/>
      <c r="H337" s="112" t="s">
        <v>4708</v>
      </c>
      <c r="I337" s="16" t="s">
        <v>4771</v>
      </c>
      <c r="J337" s="196" t="str">
        <f>IFERROR(VLOOKUP(A337,Internal_lists_bugs!$A$2:$I2031,9,FALSE()),"please select a BUG ID")</f>
        <v>https://review.opendev.org/c/openstack/nova/+/40467</v>
      </c>
    </row>
    <row r="338">
      <c r="A338" s="16" t="s">
        <v>56</v>
      </c>
      <c r="B338" s="50" t="str">
        <f>IFERROR(HYPERLINK(VLOOKUP(A338,Internal_lists_bugs!$A$2:$C$73,3,FALSE()), VLOOKUP(A338,Internal_lists_bugs!$A$2:$C$73,3,FALSE())&amp;Char(10) &amp; Char(10) &amp; VLOOKUP(A338,Internal_lists_bugs!$A$2:$Z$73,26,FALSE())),"please select a BUG ID")</f>
        <v>https://bugs.launchpad.net/nova/+bug/1371677
/libvirt/driver.py</v>
      </c>
      <c r="C338" s="81" t="str">
        <f>IFERROR(SUBSTITUTE(VLOOKUP(A338,Internal_lists_bugs!$A$2:$G2031,7,FALSE()),"nova/commit","nova/src/commit"),"please select a BUG ID")</f>
        <v>https://opendev.org/openstack/nova/src/commit/5fa74bc</v>
      </c>
      <c r="D338" s="16" t="s">
        <v>4706</v>
      </c>
      <c r="E338" s="16" t="s">
        <v>4775</v>
      </c>
      <c r="F338" s="54"/>
      <c r="H338" s="112" t="s">
        <v>4684</v>
      </c>
      <c r="I338" s="16" t="s">
        <v>4774</v>
      </c>
      <c r="J338" s="196" t="str">
        <f>IFERROR(VLOOKUP(A338,Internal_lists_bugs!$A$2:$I2031,9,FALSE()),"please select a BUG ID")</f>
        <v>https://review.opendev.org/c/openstack/nova/+/40467</v>
      </c>
    </row>
    <row r="339">
      <c r="A339" s="16" t="s">
        <v>56</v>
      </c>
      <c r="B339" s="50" t="str">
        <f>IFERROR(HYPERLINK(VLOOKUP(A339,Internal_lists_bugs!$A$2:$C$73,3,FALSE()), VLOOKUP(A339,Internal_lists_bugs!$A$2:$C$73,3,FALSE())&amp;Char(10) &amp; Char(10) &amp; VLOOKUP(A339,Internal_lists_bugs!$A$2:$Z$73,26,FALSE())),"please select a BUG ID")</f>
        <v>https://bugs.launchpad.net/nova/+bug/1371677
/libvirt/driver.py</v>
      </c>
      <c r="C339" s="81" t="str">
        <f>IFERROR(SUBSTITUTE(VLOOKUP(A339,Internal_lists_bugs!$A$2:$G2031,7,FALSE()),"nova/commit","nova/src/commit"),"please select a BUG ID")</f>
        <v>https://opendev.org/openstack/nova/src/commit/5fa74bc</v>
      </c>
      <c r="D339" s="16" t="s">
        <v>4710</v>
      </c>
      <c r="E339" s="16" t="s">
        <v>4775</v>
      </c>
      <c r="F339" s="54"/>
      <c r="H339" s="112" t="s">
        <v>4712</v>
      </c>
      <c r="I339" s="16" t="s">
        <v>4776</v>
      </c>
      <c r="J339" s="196" t="str">
        <f>IFERROR(VLOOKUP(A339,Internal_lists_bugs!$A$2:$I2031,9,FALSE()),"please select a BUG ID")</f>
        <v>https://review.opendev.org/c/openstack/nova/+/40467</v>
      </c>
    </row>
    <row r="340">
      <c r="A340" s="16" t="s">
        <v>56</v>
      </c>
      <c r="B340" s="50" t="str">
        <f>IFERROR(HYPERLINK(VLOOKUP(A340,Internal_lists_bugs!$A$2:$C$73,3,FALSE()), VLOOKUP(A340,Internal_lists_bugs!$A$2:$C$73,3,FALSE())&amp;Char(10) &amp; Char(10) &amp; VLOOKUP(A340,Internal_lists_bugs!$A$2:$Z$73,26,FALSE())),"please select a BUG ID")</f>
        <v>https://bugs.launchpad.net/nova/+bug/1371677
/libvirt/driver.py</v>
      </c>
      <c r="C340" s="81" t="str">
        <f>IFERROR(SUBSTITUTE(VLOOKUP(A340,Internal_lists_bugs!$A$2:$G2031,7,FALSE()),"nova/commit","nova/src/commit"),"please select a BUG ID")</f>
        <v>https://opendev.org/openstack/nova/src/commit/5fa74bc</v>
      </c>
      <c r="D340" s="16" t="s">
        <v>1325</v>
      </c>
      <c r="E340" s="16" t="s">
        <v>4751</v>
      </c>
      <c r="F340" s="54"/>
      <c r="H340" s="112" t="s">
        <v>4777</v>
      </c>
      <c r="I340" s="16" t="s">
        <v>4778</v>
      </c>
      <c r="J340" s="196" t="str">
        <f>IFERROR(VLOOKUP(A340,Internal_lists_bugs!$A$2:$I2031,9,FALSE()),"please select a BUG ID")</f>
        <v>https://review.opendev.org/c/openstack/nova/+/40467</v>
      </c>
    </row>
    <row r="341">
      <c r="A341" s="16" t="s">
        <v>56</v>
      </c>
      <c r="B341" s="50" t="str">
        <f>IFERROR(HYPERLINK(VLOOKUP(A341,Internal_lists_bugs!$A$2:$C$73,3,FALSE()), VLOOKUP(A341,Internal_lists_bugs!$A$2:$C$73,3,FALSE())&amp;Char(10) &amp; Char(10) &amp; VLOOKUP(A341,Internal_lists_bugs!$A$2:$Z$73,26,FALSE())),"please select a BUG ID")</f>
        <v>https://bugs.launchpad.net/nova/+bug/1371677
/libvirt/driver.py</v>
      </c>
      <c r="C341" s="81" t="str">
        <f>IFERROR(SUBSTITUTE(VLOOKUP(A341,Internal_lists_bugs!$A$2:$G2031,7,FALSE()),"nova/commit","nova/src/commit"),"please select a BUG ID")</f>
        <v>https://opendev.org/openstack/nova/src/commit/5fa74bc</v>
      </c>
      <c r="D341" s="16" t="s">
        <v>4680</v>
      </c>
      <c r="E341" s="16" t="s">
        <v>4886</v>
      </c>
      <c r="F341" s="54"/>
      <c r="H341" s="112" t="s">
        <v>4704</v>
      </c>
      <c r="I341" s="16" t="s">
        <v>4752</v>
      </c>
      <c r="J341" s="196" t="str">
        <f>IFERROR(VLOOKUP(A341,Internal_lists_bugs!$A$2:$I2031,9,FALSE()),"please select a BUG ID")</f>
        <v>https://review.opendev.org/c/openstack/nova/+/40467</v>
      </c>
    </row>
    <row r="342">
      <c r="A342" s="16" t="s">
        <v>56</v>
      </c>
      <c r="B342" s="50" t="str">
        <f>IFERROR(HYPERLINK(VLOOKUP(A342,Internal_lists_bugs!$A$2:$C$73,3,FALSE()), VLOOKUP(A342,Internal_lists_bugs!$A$2:$C$73,3,FALSE())&amp;Char(10) &amp; Char(10) &amp; VLOOKUP(A342,Internal_lists_bugs!$A$2:$Z$73,26,FALSE())),"please select a BUG ID")</f>
        <v>https://bugs.launchpad.net/nova/+bug/1371677
/libvirt/driver.py</v>
      </c>
      <c r="C342" s="81" t="str">
        <f>IFERROR(SUBSTITUTE(VLOOKUP(A342,Internal_lists_bugs!$A$2:$G2031,7,FALSE()),"nova/commit","nova/src/commit"),"please select a BUG ID")</f>
        <v>https://opendev.org/openstack/nova/src/commit/5fa74bc</v>
      </c>
      <c r="D342" s="16" t="s">
        <v>4754</v>
      </c>
      <c r="E342" s="16" t="s">
        <v>4755</v>
      </c>
      <c r="F342" s="54"/>
      <c r="H342" s="112" t="s">
        <v>4749</v>
      </c>
      <c r="I342" s="16" t="s">
        <v>4779</v>
      </c>
      <c r="J342" s="196" t="str">
        <f>IFERROR(VLOOKUP(A342,Internal_lists_bugs!$A$2:$I2031,9,FALSE()),"please select a BUG ID")</f>
        <v>https://review.opendev.org/c/openstack/nova/+/40467</v>
      </c>
    </row>
    <row r="343">
      <c r="A343" s="16" t="s">
        <v>56</v>
      </c>
      <c r="B343" s="50" t="str">
        <f>IFERROR(HYPERLINK(VLOOKUP(A343,Internal_lists_bugs!$A$2:$C$73,3,FALSE()), VLOOKUP(A343,Internal_lists_bugs!$A$2:$C$73,3,FALSE())&amp;Char(10) &amp; Char(10) &amp; VLOOKUP(A343,Internal_lists_bugs!$A$2:$Z$73,26,FALSE())),"please select a BUG ID")</f>
        <v>https://bugs.launchpad.net/nova/+bug/1371677
/libvirt/driver.py</v>
      </c>
      <c r="C343" s="81" t="str">
        <f>IFERROR(SUBSTITUTE(VLOOKUP(A343,Internal_lists_bugs!$A$2:$G2031,7,FALSE()),"nova/commit","nova/src/commit"),"please select a BUG ID")</f>
        <v>https://opendev.org/openstack/nova/src/commit/5fa74bc</v>
      </c>
      <c r="D343" s="16" t="s">
        <v>4714</v>
      </c>
      <c r="E343" s="16" t="s">
        <v>4738</v>
      </c>
      <c r="F343" s="54"/>
      <c r="H343" s="112" t="s">
        <v>4782</v>
      </c>
      <c r="I343" s="16" t="s">
        <v>4783</v>
      </c>
      <c r="J343" s="196" t="str">
        <f>IFERROR(VLOOKUP(A343,Internal_lists_bugs!$A$2:$I2031,9,FALSE()),"please select a BUG ID")</f>
        <v>https://review.opendev.org/c/openstack/nova/+/40467</v>
      </c>
    </row>
    <row r="344">
      <c r="A344" s="16" t="s">
        <v>56</v>
      </c>
      <c r="B344" s="50" t="str">
        <f>IFERROR(HYPERLINK(VLOOKUP(A344,Internal_lists_bugs!$A$2:$C$73,3,FALSE()), VLOOKUP(A344,Internal_lists_bugs!$A$2:$C$73,3,FALSE())&amp;Char(10) &amp; Char(10) &amp; VLOOKUP(A344,Internal_lists_bugs!$A$2:$Z$73,26,FALSE())),"please select a BUG ID")</f>
        <v>https://bugs.launchpad.net/nova/+bug/1371677
/libvirt/driver.py</v>
      </c>
      <c r="C344" s="81" t="str">
        <f>IFERROR(SUBSTITUTE(VLOOKUP(A344,Internal_lists_bugs!$A$2:$G2031,7,FALSE()),"nova/commit","nova/src/commit"),"please select a BUG ID")</f>
        <v>https://opendev.org/openstack/nova/src/commit/5fa74bc</v>
      </c>
      <c r="D344" s="16" t="s">
        <v>4807</v>
      </c>
      <c r="E344" s="16" t="s">
        <v>4822</v>
      </c>
      <c r="F344" s="54"/>
      <c r="H344" s="112" t="s">
        <v>4801</v>
      </c>
      <c r="I344" s="16" t="s">
        <v>4806</v>
      </c>
      <c r="J344" s="196" t="str">
        <f>IFERROR(VLOOKUP(A344,Internal_lists_bugs!$A$2:$I2031,9,FALSE()),"please select a BUG ID")</f>
        <v>https://review.opendev.org/c/openstack/nova/+/40467</v>
      </c>
    </row>
    <row r="345">
      <c r="A345" s="16" t="s">
        <v>56</v>
      </c>
      <c r="B345" s="50" t="str">
        <f>IFERROR(HYPERLINK(VLOOKUP(A345,Internal_lists_bugs!$A$2:$C$73,3,FALSE()), VLOOKUP(A345,Internal_lists_bugs!$A$2:$C$73,3,FALSE())&amp;Char(10) &amp; Char(10) &amp; VLOOKUP(A345,Internal_lists_bugs!$A$2:$Z$73,26,FALSE())),"please select a BUG ID")</f>
        <v>https://bugs.launchpad.net/nova/+bug/1371677
/libvirt/driver.py</v>
      </c>
      <c r="C345" s="81" t="str">
        <f>IFERROR(SUBSTITUTE(VLOOKUP(A345,Internal_lists_bugs!$A$2:$G2031,7,FALSE()),"nova/commit","nova/src/commit"),"please select a BUG ID")</f>
        <v>https://opendev.org/openstack/nova/src/commit/5fa74bc</v>
      </c>
      <c r="D345" s="16" t="s">
        <v>4812</v>
      </c>
      <c r="E345" s="16" t="s">
        <v>4813</v>
      </c>
      <c r="F345" s="54"/>
      <c r="H345" s="112" t="s">
        <v>4818</v>
      </c>
      <c r="I345" s="66" t="s">
        <v>4840</v>
      </c>
      <c r="J345" s="196" t="str">
        <f>IFERROR(VLOOKUP(A345,Internal_lists_bugs!$A$2:$I2031,9,FALSE()),"please select a BUG ID")</f>
        <v>https://review.opendev.org/c/openstack/nova/+/40467</v>
      </c>
    </row>
    <row r="346">
      <c r="A346" s="16" t="s">
        <v>56</v>
      </c>
      <c r="B346" s="50" t="str">
        <f>IFERROR(HYPERLINK(VLOOKUP(A346,Internal_lists_bugs!$A$2:$C$73,3,FALSE()), VLOOKUP(A346,Internal_lists_bugs!$A$2:$C$73,3,FALSE())&amp;Char(10) &amp; Char(10) &amp; VLOOKUP(A346,Internal_lists_bugs!$A$2:$Z$73,26,FALSE())),"please select a BUG ID")</f>
        <v>https://bugs.launchpad.net/nova/+bug/1371677
/libvirt/driver.py</v>
      </c>
      <c r="C346" s="81" t="str">
        <f>IFERROR(SUBSTITUTE(VLOOKUP(A346,Internal_lists_bugs!$A$2:$G2031,7,FALSE()),"nova/commit","nova/src/commit"),"please select a BUG ID")</f>
        <v>https://opendev.org/openstack/nova/src/commit/5fa74bc</v>
      </c>
      <c r="D346" s="16" t="s">
        <v>4841</v>
      </c>
      <c r="E346" s="16" t="s">
        <v>4842</v>
      </c>
      <c r="F346" s="54"/>
      <c r="H346" s="112" t="s">
        <v>4845</v>
      </c>
      <c r="I346" s="66" t="s">
        <v>4846</v>
      </c>
      <c r="J346" s="196" t="str">
        <f>IFERROR(VLOOKUP(A346,Internal_lists_bugs!$A$2:$I2031,9,FALSE()),"please select a BUG ID")</f>
        <v>https://review.opendev.org/c/openstack/nova/+/40467</v>
      </c>
    </row>
    <row r="347">
      <c r="A347" s="16" t="s">
        <v>56</v>
      </c>
      <c r="B347" s="50" t="str">
        <f>IFERROR(HYPERLINK(VLOOKUP(A347,Internal_lists_bugs!$A$2:$C$73,3,FALSE()), VLOOKUP(A347,Internal_lists_bugs!$A$2:$C$73,3,FALSE())&amp;Char(10) &amp; Char(10) &amp; VLOOKUP(A347,Internal_lists_bugs!$A$2:$Z$73,26,FALSE())),"please select a BUG ID")</f>
        <v>https://bugs.launchpad.net/nova/+bug/1371677
/libvirt/driver.py</v>
      </c>
      <c r="C347" s="81" t="str">
        <f>IFERROR(SUBSTITUTE(VLOOKUP(A347,Internal_lists_bugs!$A$2:$G2031,7,FALSE()),"nova/commit","nova/src/commit"),"please select a BUG ID")</f>
        <v>https://opendev.org/openstack/nova/src/commit/5fa74bc</v>
      </c>
      <c r="D347" s="16" t="s">
        <v>4847</v>
      </c>
      <c r="E347" s="14" t="s">
        <v>4887</v>
      </c>
      <c r="F347" s="54"/>
      <c r="H347" s="112" t="s">
        <v>4831</v>
      </c>
      <c r="J347" s="196" t="str">
        <f>IFERROR(VLOOKUP(A347,Internal_lists_bugs!$A$2:$I2031,9,FALSE()),"please select a BUG ID")</f>
        <v>https://review.opendev.org/c/openstack/nova/+/40467</v>
      </c>
    </row>
    <row r="348">
      <c r="A348" s="16" t="s">
        <v>56</v>
      </c>
      <c r="B348" s="50" t="str">
        <f>IFERROR(HYPERLINK(VLOOKUP(A348,Internal_lists_bugs!$A$2:$C$73,3,FALSE()), VLOOKUP(A348,Internal_lists_bugs!$A$2:$C$73,3,FALSE())&amp;Char(10) &amp; Char(10) &amp; VLOOKUP(A348,Internal_lists_bugs!$A$2:$Z$73,26,FALSE())),"please select a BUG ID")</f>
        <v>https://bugs.launchpad.net/nova/+bug/1371677
/libvirt/driver.py</v>
      </c>
      <c r="C348" s="81" t="str">
        <f>IFERROR(SUBSTITUTE(VLOOKUP(A348,Internal_lists_bugs!$A$2:$G2031,7,FALSE()),"nova/commit","nova/src/commit"),"please select a BUG ID")</f>
        <v>https://opendev.org/openstack/nova/src/commit/5fa74bc</v>
      </c>
      <c r="D348" s="16" t="s">
        <v>4859</v>
      </c>
      <c r="E348" s="14" t="s">
        <v>4888</v>
      </c>
      <c r="F348" s="54"/>
      <c r="H348" s="114"/>
      <c r="J348" s="196" t="str">
        <f>IFERROR(VLOOKUP(A348,Internal_lists_bugs!$A$2:$I2031,9,FALSE()),"please select a BUG ID")</f>
        <v>https://review.opendev.org/c/openstack/nova/+/40467</v>
      </c>
    </row>
    <row r="349">
      <c r="A349" s="16" t="s">
        <v>56</v>
      </c>
      <c r="B349" s="50" t="str">
        <f>IFERROR(HYPERLINK(VLOOKUP(A349,Internal_lists_bugs!$A$2:$C$73,3,FALSE()), VLOOKUP(A349,Internal_lists_bugs!$A$2:$C$73,3,FALSE())&amp;Char(10) &amp; Char(10) &amp; VLOOKUP(A349,Internal_lists_bugs!$A$2:$Z$73,26,FALSE())),"please select a BUG ID")</f>
        <v>https://bugs.launchpad.net/nova/+bug/1371677
/libvirt/driver.py</v>
      </c>
      <c r="C349" s="81" t="str">
        <f>IFERROR(SUBSTITUTE(VLOOKUP(A349,Internal_lists_bugs!$A$2:$G2031,7,FALSE()),"nova/commit","nova/src/commit"),"please select a BUG ID")</f>
        <v>https://opendev.org/openstack/nova/src/commit/5fa74bc</v>
      </c>
      <c r="D349" s="16" t="s">
        <v>4861</v>
      </c>
      <c r="E349" s="14" t="s">
        <v>4889</v>
      </c>
      <c r="F349" s="54"/>
      <c r="H349" s="114"/>
      <c r="J349" s="196" t="str">
        <f>IFERROR(VLOOKUP(A349,Internal_lists_bugs!$A$2:$I2031,9,FALSE()),"please select a BUG ID")</f>
        <v>https://review.opendev.org/c/openstack/nova/+/40467</v>
      </c>
    </row>
    <row r="350">
      <c r="A350" s="16" t="s">
        <v>56</v>
      </c>
      <c r="B350" s="50" t="str">
        <f>IFERROR(HYPERLINK(VLOOKUP(A350,Internal_lists_bugs!$A$2:$C$73,3,FALSE()), VLOOKUP(A350,Internal_lists_bugs!$A$2:$C$73,3,FALSE())&amp;Char(10) &amp; Char(10) &amp; VLOOKUP(A350,Internal_lists_bugs!$A$2:$Z$73,26,FALSE())),"please select a BUG ID")</f>
        <v>https://bugs.launchpad.net/nova/+bug/1371677
/libvirt/driver.py</v>
      </c>
      <c r="C350" s="81" t="str">
        <f>IFERROR(SUBSTITUTE(VLOOKUP(A350,Internal_lists_bugs!$A$2:$G2031,7,FALSE()),"nova/commit","nova/src/commit"),"please select a BUG ID")</f>
        <v>https://opendev.org/openstack/nova/src/commit/5fa74bc</v>
      </c>
      <c r="D350" s="16" t="s">
        <v>4849</v>
      </c>
      <c r="E350" s="14" t="s">
        <v>4890</v>
      </c>
      <c r="F350" s="54"/>
      <c r="H350" s="114"/>
      <c r="J350" s="196" t="str">
        <f>IFERROR(VLOOKUP(A350,Internal_lists_bugs!$A$2:$I2031,9,FALSE()),"please select a BUG ID")</f>
        <v>https://review.opendev.org/c/openstack/nova/+/40467</v>
      </c>
    </row>
    <row r="351">
      <c r="A351" s="16" t="s">
        <v>56</v>
      </c>
      <c r="B351" s="50" t="str">
        <f>IFERROR(HYPERLINK(VLOOKUP(A351,Internal_lists_bugs!$A$2:$C$73,3,FALSE()), VLOOKUP(A351,Internal_lists_bugs!$A$2:$C$73,3,FALSE())&amp;Char(10) &amp; Char(10) &amp; VLOOKUP(A351,Internal_lists_bugs!$A$2:$Z$73,26,FALSE())),"please select a BUG ID")</f>
        <v>https://bugs.launchpad.net/nova/+bug/1371677
/libvirt/driver.py</v>
      </c>
      <c r="C351" s="81" t="str">
        <f>IFERROR(SUBSTITUTE(VLOOKUP(A351,Internal_lists_bugs!$A$2:$G2031,7,FALSE()),"nova/commit","nova/src/commit"),"please select a BUG ID")</f>
        <v>https://opendev.org/openstack/nova/src/commit/5fa74bc</v>
      </c>
      <c r="D351" s="16" t="s">
        <v>4698</v>
      </c>
      <c r="E351" s="16" t="s">
        <v>4891</v>
      </c>
      <c r="F351" s="54"/>
      <c r="H351" s="114"/>
      <c r="J351" s="196" t="str">
        <f>IFERROR(VLOOKUP(A351,Internal_lists_bugs!$A$2:$I2031,9,FALSE()),"please select a BUG ID")</f>
        <v>https://review.opendev.org/c/openstack/nova/+/40467</v>
      </c>
    </row>
    <row r="352">
      <c r="A352" s="189" t="s">
        <v>51</v>
      </c>
      <c r="B352" s="198" t="str">
        <f>IFERROR(HYPERLINK(VLOOKUP(A352,Internal_lists_bugs!$A$2:$C$73,3,FALSE()), VLOOKUP(A352,Internal_lists_bugs!$A$2:$C$73,3,FALSE())&amp;Char(10) &amp; Char(10) &amp; VLOOKUP(A352,Internal_lists_bugs!$A$2:$Z$73,26,FALSE())),"please select a BUG ID")</f>
        <v>https://bugs.launchpad.net/nova/+bug/1370590
/libvirt/driver.py</v>
      </c>
      <c r="C352" s="199" t="str">
        <f>IFERROR(SUBSTITUTE(VLOOKUP(A352,Internal_lists_bugs!$A$2:$G2031,7,FALSE()),"nova/commit","nova/src/commit"),"please select a BUG ID")</f>
        <v>https://opendev.org/openstack/nova/src/commit/7326bac8f95</v>
      </c>
      <c r="D352" s="186" t="s">
        <v>4758</v>
      </c>
      <c r="E352" s="190" t="s">
        <v>4759</v>
      </c>
      <c r="F352" s="189" t="s">
        <v>4682</v>
      </c>
      <c r="G352" s="189" t="s">
        <v>4802</v>
      </c>
      <c r="H352" s="191" t="s">
        <v>4756</v>
      </c>
      <c r="I352" s="194" t="s">
        <v>4761</v>
      </c>
      <c r="J352" s="195" t="str">
        <f>IFERROR(VLOOKUP(A352,Internal_lists_bugs!$A$2:$I2031,9,FALSE()),"please select a BUG ID")</f>
        <v>https://review.opendev.org/c/openstack/nova/+/74537</v>
      </c>
      <c r="K352" s="193"/>
      <c r="L352" s="193"/>
    </row>
    <row r="353">
      <c r="A353" s="16" t="s">
        <v>51</v>
      </c>
      <c r="B353" s="50" t="str">
        <f>IFERROR(HYPERLINK(VLOOKUP(A353,Internal_lists_bugs!$A$2:$C$73,3,FALSE()), VLOOKUP(A353,Internal_lists_bugs!$A$2:$C$73,3,FALSE())&amp;Char(10) &amp; Char(10) &amp; VLOOKUP(A353,Internal_lists_bugs!$A$2:$Z$73,26,FALSE())),"please select a BUG ID")</f>
        <v>https://bugs.launchpad.net/nova/+bug/1370590
/libvirt/driver.py</v>
      </c>
      <c r="C353" s="81" t="str">
        <f>IFERROR(SUBSTITUTE(VLOOKUP(A353,Internal_lists_bugs!$A$2:$G2031,7,FALSE()),"nova/commit","nova/src/commit"),"please select a BUG ID")</f>
        <v>https://opendev.org/openstack/nova/src/commit/7326bac8f95</v>
      </c>
      <c r="D353" s="30" t="s">
        <v>4765</v>
      </c>
      <c r="E353" s="14" t="s">
        <v>4892</v>
      </c>
      <c r="F353" s="54"/>
      <c r="H353" s="112" t="s">
        <v>4763</v>
      </c>
      <c r="I353" s="16" t="s">
        <v>4797</v>
      </c>
      <c r="J353" s="196" t="str">
        <f>IFERROR(VLOOKUP(A353,Internal_lists_bugs!$A$2:$I2031,9,FALSE()),"please select a BUG ID")</f>
        <v>https://review.opendev.org/c/openstack/nova/+/74537</v>
      </c>
    </row>
    <row r="354">
      <c r="A354" s="16" t="s">
        <v>51</v>
      </c>
      <c r="B354" s="50" t="str">
        <f>IFERROR(HYPERLINK(VLOOKUP(A354,Internal_lists_bugs!$A$2:$C$73,3,FALSE()), VLOOKUP(A354,Internal_lists_bugs!$A$2:$C$73,3,FALSE())&amp;Char(10) &amp; Char(10) &amp; VLOOKUP(A354,Internal_lists_bugs!$A$2:$Z$73,26,FALSE())),"please select a BUG ID")</f>
        <v>https://bugs.launchpad.net/nova/+bug/1370590
/libvirt/driver.py</v>
      </c>
      <c r="C354" s="81" t="str">
        <f>IFERROR(SUBSTITUTE(VLOOKUP(A354,Internal_lists_bugs!$A$2:$G2031,7,FALSE()),"nova/commit","nova/src/commit"),"please select a BUG ID")</f>
        <v>https://opendev.org/openstack/nova/src/commit/7326bac8f95</v>
      </c>
      <c r="D354" s="30" t="s">
        <v>4686</v>
      </c>
      <c r="E354" s="63" t="s">
        <v>4768</v>
      </c>
      <c r="F354" s="54"/>
      <c r="H354" s="112" t="s">
        <v>4708</v>
      </c>
      <c r="I354" s="16" t="s">
        <v>4767</v>
      </c>
      <c r="J354" s="196" t="str">
        <f>IFERROR(VLOOKUP(A354,Internal_lists_bugs!$A$2:$I2031,9,FALSE()),"please select a BUG ID")</f>
        <v>https://review.opendev.org/c/openstack/nova/+/74537</v>
      </c>
    </row>
    <row r="355">
      <c r="A355" s="16" t="s">
        <v>51</v>
      </c>
      <c r="B355" s="50" t="str">
        <f>IFERROR(HYPERLINK(VLOOKUP(A355,Internal_lists_bugs!$A$2:$C$73,3,FALSE()), VLOOKUP(A355,Internal_lists_bugs!$A$2:$C$73,3,FALSE())&amp;Char(10) &amp; Char(10) &amp; VLOOKUP(A355,Internal_lists_bugs!$A$2:$Z$73,26,FALSE())),"please select a BUG ID")</f>
        <v>https://bugs.launchpad.net/nova/+bug/1370590
/libvirt/driver.py</v>
      </c>
      <c r="C355" s="81" t="str">
        <f>IFERROR(SUBSTITUTE(VLOOKUP(A355,Internal_lists_bugs!$A$2:$G2031,7,FALSE()),"nova/commit","nova/src/commit"),"please select a BUG ID")</f>
        <v>https://opendev.org/openstack/nova/src/commit/7326bac8f95</v>
      </c>
      <c r="D355" s="30" t="s">
        <v>4690</v>
      </c>
      <c r="E355" s="16" t="s">
        <v>4731</v>
      </c>
      <c r="F355" s="54"/>
      <c r="H355" s="112" t="s">
        <v>4696</v>
      </c>
      <c r="I355" s="16" t="s">
        <v>4731</v>
      </c>
      <c r="J355" s="196" t="str">
        <f>IFERROR(VLOOKUP(A355,Internal_lists_bugs!$A$2:$I2031,9,FALSE()),"please select a BUG ID")</f>
        <v>https://review.opendev.org/c/openstack/nova/+/74537</v>
      </c>
    </row>
    <row r="356">
      <c r="A356" s="16" t="s">
        <v>51</v>
      </c>
      <c r="B356" s="50" t="str">
        <f>IFERROR(HYPERLINK(VLOOKUP(A356,Internal_lists_bugs!$A$2:$C$73,3,FALSE()), VLOOKUP(A356,Internal_lists_bugs!$A$2:$C$73,3,FALSE())&amp;Char(10) &amp; Char(10) &amp; VLOOKUP(A356,Internal_lists_bugs!$A$2:$Z$73,26,FALSE())),"please select a BUG ID")</f>
        <v>https://bugs.launchpad.net/nova/+bug/1370590
/libvirt/driver.py</v>
      </c>
      <c r="C356" s="81" t="str">
        <f>IFERROR(SUBSTITUTE(VLOOKUP(A356,Internal_lists_bugs!$A$2:$G2031,7,FALSE()),"nova/commit","nova/src/commit"),"please select a BUG ID")</f>
        <v>https://opendev.org/openstack/nova/src/commit/7326bac8f95</v>
      </c>
      <c r="D356" s="30" t="s">
        <v>4702</v>
      </c>
      <c r="E356" s="16" t="s">
        <v>4770</v>
      </c>
      <c r="F356" s="54"/>
      <c r="H356" s="112" t="s">
        <v>4716</v>
      </c>
      <c r="I356" s="16" t="s">
        <v>4769</v>
      </c>
      <c r="J356" s="196" t="str">
        <f>IFERROR(VLOOKUP(A356,Internal_lists_bugs!$A$2:$I2031,9,FALSE()),"please select a BUG ID")</f>
        <v>https://review.opendev.org/c/openstack/nova/+/74537</v>
      </c>
    </row>
    <row r="357">
      <c r="A357" s="16" t="s">
        <v>51</v>
      </c>
      <c r="B357" s="50" t="str">
        <f>IFERROR(HYPERLINK(VLOOKUP(A357,Internal_lists_bugs!$A$2:$C$73,3,FALSE()), VLOOKUP(A357,Internal_lists_bugs!$A$2:$C$73,3,FALSE())&amp;Char(10) &amp; Char(10) &amp; VLOOKUP(A357,Internal_lists_bugs!$A$2:$Z$73,26,FALSE())),"please select a BUG ID")</f>
        <v>https://bugs.launchpad.net/nova/+bug/1370590
/libvirt/driver.py</v>
      </c>
      <c r="C357" s="81" t="str">
        <f>IFERROR(SUBSTITUTE(VLOOKUP(A357,Internal_lists_bugs!$A$2:$G2031,7,FALSE()),"nova/commit","nova/src/commit"),"please select a BUG ID")</f>
        <v>https://opendev.org/openstack/nova/src/commit/7326bac8f95</v>
      </c>
      <c r="D357" s="30" t="s">
        <v>4772</v>
      </c>
      <c r="E357" s="14" t="s">
        <v>4893</v>
      </c>
      <c r="F357" s="54"/>
      <c r="H357" s="112" t="s">
        <v>4708</v>
      </c>
      <c r="I357" s="16" t="s">
        <v>4771</v>
      </c>
      <c r="J357" s="196" t="str">
        <f>IFERROR(VLOOKUP(A357,Internal_lists_bugs!$A$2:$I2031,9,FALSE()),"please select a BUG ID")</f>
        <v>https://review.opendev.org/c/openstack/nova/+/74537</v>
      </c>
    </row>
    <row r="358">
      <c r="A358" s="16" t="s">
        <v>51</v>
      </c>
      <c r="B358" s="50" t="str">
        <f>IFERROR(HYPERLINK(VLOOKUP(A358,Internal_lists_bugs!$A$2:$C$73,3,FALSE()), VLOOKUP(A358,Internal_lists_bugs!$A$2:$C$73,3,FALSE())&amp;Char(10) &amp; Char(10) &amp; VLOOKUP(A358,Internal_lists_bugs!$A$2:$Z$73,26,FALSE())),"please select a BUG ID")</f>
        <v>https://bugs.launchpad.net/nova/+bug/1370590
/libvirt/driver.py</v>
      </c>
      <c r="C358" s="81" t="str">
        <f>IFERROR(SUBSTITUTE(VLOOKUP(A358,Internal_lists_bugs!$A$2:$G2031,7,FALSE()),"nova/commit","nova/src/commit"),"please select a BUG ID")</f>
        <v>https://opendev.org/openstack/nova/src/commit/7326bac8f95</v>
      </c>
      <c r="D358" s="30" t="s">
        <v>4706</v>
      </c>
      <c r="E358" s="16" t="s">
        <v>4775</v>
      </c>
      <c r="F358" s="54"/>
      <c r="H358" s="112" t="s">
        <v>4684</v>
      </c>
      <c r="I358" s="16" t="s">
        <v>4774</v>
      </c>
      <c r="J358" s="196" t="str">
        <f>IFERROR(VLOOKUP(A358,Internal_lists_bugs!$A$2:$I2031,9,FALSE()),"please select a BUG ID")</f>
        <v>https://review.opendev.org/c/openstack/nova/+/74537</v>
      </c>
    </row>
    <row r="359">
      <c r="A359" s="16" t="s">
        <v>51</v>
      </c>
      <c r="B359" s="50" t="str">
        <f>IFERROR(HYPERLINK(VLOOKUP(A359,Internal_lists_bugs!$A$2:$C$73,3,FALSE()), VLOOKUP(A359,Internal_lists_bugs!$A$2:$C$73,3,FALSE())&amp;Char(10) &amp; Char(10) &amp; VLOOKUP(A359,Internal_lists_bugs!$A$2:$Z$73,26,FALSE())),"please select a BUG ID")</f>
        <v>https://bugs.launchpad.net/nova/+bug/1370590
/libvirt/driver.py</v>
      </c>
      <c r="C359" s="81" t="str">
        <f>IFERROR(SUBSTITUTE(VLOOKUP(A359,Internal_lists_bugs!$A$2:$G2031,7,FALSE()),"nova/commit","nova/src/commit"),"please select a BUG ID")</f>
        <v>https://opendev.org/openstack/nova/src/commit/7326bac8f95</v>
      </c>
      <c r="D359" s="30" t="s">
        <v>4710</v>
      </c>
      <c r="E359" s="16" t="s">
        <v>4775</v>
      </c>
      <c r="F359" s="54"/>
      <c r="H359" s="112" t="s">
        <v>4712</v>
      </c>
      <c r="I359" s="16" t="s">
        <v>4776</v>
      </c>
      <c r="J359" s="196" t="str">
        <f>IFERROR(VLOOKUP(A359,Internal_lists_bugs!$A$2:$I2031,9,FALSE()),"please select a BUG ID")</f>
        <v>https://review.opendev.org/c/openstack/nova/+/74537</v>
      </c>
    </row>
    <row r="360">
      <c r="A360" s="16" t="s">
        <v>51</v>
      </c>
      <c r="B360" s="50" t="str">
        <f>IFERROR(HYPERLINK(VLOOKUP(A360,Internal_lists_bugs!$A$2:$C$73,3,FALSE()), VLOOKUP(A360,Internal_lists_bugs!$A$2:$C$73,3,FALSE())&amp;Char(10) &amp; Char(10) &amp; VLOOKUP(A360,Internal_lists_bugs!$A$2:$Z$73,26,FALSE())),"please select a BUG ID")</f>
        <v>https://bugs.launchpad.net/nova/+bug/1370590
/libvirt/driver.py</v>
      </c>
      <c r="C360" s="81" t="str">
        <f>IFERROR(SUBSTITUTE(VLOOKUP(A360,Internal_lists_bugs!$A$2:$G2031,7,FALSE()),"nova/commit","nova/src/commit"),"please select a BUG ID")</f>
        <v>https://opendev.org/openstack/nova/src/commit/7326bac8f95</v>
      </c>
      <c r="D360" s="30" t="s">
        <v>1325</v>
      </c>
      <c r="E360" s="16" t="s">
        <v>4751</v>
      </c>
      <c r="F360" s="54"/>
      <c r="H360" s="112" t="s">
        <v>4777</v>
      </c>
      <c r="I360" s="16" t="s">
        <v>4778</v>
      </c>
      <c r="J360" s="196" t="str">
        <f>IFERROR(VLOOKUP(A360,Internal_lists_bugs!$A$2:$I2031,9,FALSE()),"please select a BUG ID")</f>
        <v>https://review.opendev.org/c/openstack/nova/+/74537</v>
      </c>
    </row>
    <row r="361">
      <c r="A361" s="16" t="s">
        <v>51</v>
      </c>
      <c r="B361" s="50" t="str">
        <f>IFERROR(HYPERLINK(VLOOKUP(A361,Internal_lists_bugs!$A$2:$C$73,3,FALSE()), VLOOKUP(A361,Internal_lists_bugs!$A$2:$C$73,3,FALSE())&amp;Char(10) &amp; Char(10) &amp; VLOOKUP(A361,Internal_lists_bugs!$A$2:$Z$73,26,FALSE())),"please select a BUG ID")</f>
        <v>https://bugs.launchpad.net/nova/+bug/1370590
/libvirt/driver.py</v>
      </c>
      <c r="C361" s="81" t="str">
        <f>IFERROR(SUBSTITUTE(VLOOKUP(A361,Internal_lists_bugs!$A$2:$G2031,7,FALSE()),"nova/commit","nova/src/commit"),"please select a BUG ID")</f>
        <v>https://opendev.org/openstack/nova/src/commit/7326bac8f95</v>
      </c>
      <c r="D361" s="30" t="s">
        <v>4680</v>
      </c>
      <c r="E361" s="16" t="s">
        <v>4886</v>
      </c>
      <c r="F361" s="54"/>
      <c r="H361" s="112" t="s">
        <v>4704</v>
      </c>
      <c r="I361" s="16" t="s">
        <v>4752</v>
      </c>
      <c r="J361" s="196" t="str">
        <f>IFERROR(VLOOKUP(A361,Internal_lists_bugs!$A$2:$I2031,9,FALSE()),"please select a BUG ID")</f>
        <v>https://review.opendev.org/c/openstack/nova/+/74537</v>
      </c>
    </row>
    <row r="362">
      <c r="A362" s="16" t="s">
        <v>51</v>
      </c>
      <c r="B362" s="50" t="str">
        <f>IFERROR(HYPERLINK(VLOOKUP(A362,Internal_lists_bugs!$A$2:$C$73,3,FALSE()), VLOOKUP(A362,Internal_lists_bugs!$A$2:$C$73,3,FALSE())&amp;Char(10) &amp; Char(10) &amp; VLOOKUP(A362,Internal_lists_bugs!$A$2:$Z$73,26,FALSE())),"please select a BUG ID")</f>
        <v>https://bugs.launchpad.net/nova/+bug/1370590
/libvirt/driver.py</v>
      </c>
      <c r="C362" s="81" t="str">
        <f>IFERROR(SUBSTITUTE(VLOOKUP(A362,Internal_lists_bugs!$A$2:$G2031,7,FALSE()),"nova/commit","nova/src/commit"),"please select a BUG ID")</f>
        <v>https://opendev.org/openstack/nova/src/commit/7326bac8f95</v>
      </c>
      <c r="D362" s="30" t="s">
        <v>4754</v>
      </c>
      <c r="E362" s="16" t="s">
        <v>4755</v>
      </c>
      <c r="F362" s="54"/>
      <c r="H362" s="112" t="s">
        <v>4749</v>
      </c>
      <c r="I362" s="16" t="s">
        <v>4779</v>
      </c>
      <c r="J362" s="196" t="str">
        <f>IFERROR(VLOOKUP(A362,Internal_lists_bugs!$A$2:$I2031,9,FALSE()),"please select a BUG ID")</f>
        <v>https://review.opendev.org/c/openstack/nova/+/74537</v>
      </c>
    </row>
    <row r="363">
      <c r="A363" s="16" t="s">
        <v>51</v>
      </c>
      <c r="B363" s="50" t="str">
        <f>IFERROR(HYPERLINK(VLOOKUP(A363,Internal_lists_bugs!$A$2:$C$73,3,FALSE()), VLOOKUP(A363,Internal_lists_bugs!$A$2:$C$73,3,FALSE())&amp;Char(10) &amp; Char(10) &amp; VLOOKUP(A363,Internal_lists_bugs!$A$2:$Z$73,26,FALSE())),"please select a BUG ID")</f>
        <v>https://bugs.launchpad.net/nova/+bug/1370590
/libvirt/driver.py</v>
      </c>
      <c r="C363" s="81" t="str">
        <f>IFERROR(SUBSTITUTE(VLOOKUP(A363,Internal_lists_bugs!$A$2:$G2031,7,FALSE()),"nova/commit","nova/src/commit"),"please select a BUG ID")</f>
        <v>https://opendev.org/openstack/nova/src/commit/7326bac8f95</v>
      </c>
      <c r="D363" s="30" t="s">
        <v>4714</v>
      </c>
      <c r="E363" s="16" t="s">
        <v>4738</v>
      </c>
      <c r="F363" s="54"/>
      <c r="H363" s="112" t="s">
        <v>4782</v>
      </c>
      <c r="I363" s="16" t="s">
        <v>4783</v>
      </c>
      <c r="J363" s="196" t="str">
        <f>IFERROR(VLOOKUP(A363,Internal_lists_bugs!$A$2:$I2031,9,FALSE()),"please select a BUG ID")</f>
        <v>https://review.opendev.org/c/openstack/nova/+/74537</v>
      </c>
    </row>
    <row r="364">
      <c r="A364" s="16" t="s">
        <v>51</v>
      </c>
      <c r="B364" s="50" t="str">
        <f>IFERROR(HYPERLINK(VLOOKUP(A364,Internal_lists_bugs!$A$2:$C$73,3,FALSE()), VLOOKUP(A364,Internal_lists_bugs!$A$2:$C$73,3,FALSE())&amp;Char(10) &amp; Char(10) &amp; VLOOKUP(A364,Internal_lists_bugs!$A$2:$Z$73,26,FALSE())),"please select a BUG ID")</f>
        <v>https://bugs.launchpad.net/nova/+bug/1370590
/libvirt/driver.py</v>
      </c>
      <c r="C364" s="81" t="str">
        <f>IFERROR(SUBSTITUTE(VLOOKUP(A364,Internal_lists_bugs!$A$2:$G2031,7,FALSE()),"nova/commit","nova/src/commit"),"please select a BUG ID")</f>
        <v>https://opendev.org/openstack/nova/src/commit/7326bac8f95</v>
      </c>
      <c r="D364" s="30" t="s">
        <v>4807</v>
      </c>
      <c r="E364" s="16" t="s">
        <v>4822</v>
      </c>
      <c r="F364" s="54"/>
      <c r="H364" s="112" t="s">
        <v>4801</v>
      </c>
      <c r="I364" s="16" t="s">
        <v>4806</v>
      </c>
      <c r="J364" s="196" t="str">
        <f>IFERROR(VLOOKUP(A364,Internal_lists_bugs!$A$2:$I2031,9,FALSE()),"please select a BUG ID")</f>
        <v>https://review.opendev.org/c/openstack/nova/+/74537</v>
      </c>
    </row>
    <row r="365">
      <c r="A365" s="16" t="s">
        <v>51</v>
      </c>
      <c r="B365" s="50" t="str">
        <f>IFERROR(HYPERLINK(VLOOKUP(A365,Internal_lists_bugs!$A$2:$C$73,3,FALSE()), VLOOKUP(A365,Internal_lists_bugs!$A$2:$C$73,3,FALSE())&amp;Char(10) &amp; Char(10) &amp; VLOOKUP(A365,Internal_lists_bugs!$A$2:$Z$73,26,FALSE())),"please select a BUG ID")</f>
        <v>https://bugs.launchpad.net/nova/+bug/1370590
/libvirt/driver.py</v>
      </c>
      <c r="C365" s="81" t="str">
        <f>IFERROR(SUBSTITUTE(VLOOKUP(A365,Internal_lists_bugs!$A$2:$G2031,7,FALSE()),"nova/commit","nova/src/commit"),"please select a BUG ID")</f>
        <v>https://opendev.org/openstack/nova/src/commit/7326bac8f95</v>
      </c>
      <c r="D365" s="30" t="s">
        <v>4812</v>
      </c>
      <c r="E365" s="16" t="s">
        <v>4813</v>
      </c>
      <c r="F365" s="54"/>
      <c r="H365" s="112" t="s">
        <v>4818</v>
      </c>
      <c r="I365" s="66" t="s">
        <v>4840</v>
      </c>
      <c r="J365" s="196" t="str">
        <f>IFERROR(VLOOKUP(A365,Internal_lists_bugs!$A$2:$I2031,9,FALSE()),"please select a BUG ID")</f>
        <v>https://review.opendev.org/c/openstack/nova/+/74537</v>
      </c>
    </row>
    <row r="366">
      <c r="A366" s="16" t="s">
        <v>51</v>
      </c>
      <c r="B366" s="50" t="str">
        <f>IFERROR(HYPERLINK(VLOOKUP(A366,Internal_lists_bugs!$A$2:$C$73,3,FALSE()), VLOOKUP(A366,Internal_lists_bugs!$A$2:$C$73,3,FALSE())&amp;Char(10) &amp; Char(10) &amp; VLOOKUP(A366,Internal_lists_bugs!$A$2:$Z$73,26,FALSE())),"please select a BUG ID")</f>
        <v>https://bugs.launchpad.net/nova/+bug/1370590
/libvirt/driver.py</v>
      </c>
      <c r="C366" s="81" t="str">
        <f>IFERROR(SUBSTITUTE(VLOOKUP(A366,Internal_lists_bugs!$A$2:$G2031,7,FALSE()),"nova/commit","nova/src/commit"),"please select a BUG ID")</f>
        <v>https://opendev.org/openstack/nova/src/commit/7326bac8f95</v>
      </c>
      <c r="D366" s="30" t="s">
        <v>4841</v>
      </c>
      <c r="E366" s="16" t="s">
        <v>4842</v>
      </c>
      <c r="F366" s="54"/>
      <c r="H366" s="112" t="s">
        <v>4845</v>
      </c>
      <c r="I366" s="66" t="s">
        <v>4846</v>
      </c>
      <c r="J366" s="196" t="str">
        <f>IFERROR(VLOOKUP(A366,Internal_lists_bugs!$A$2:$I2031,9,FALSE()),"please select a BUG ID")</f>
        <v>https://review.opendev.org/c/openstack/nova/+/74537</v>
      </c>
    </row>
    <row r="367">
      <c r="A367" s="16" t="s">
        <v>51</v>
      </c>
      <c r="B367" s="50" t="str">
        <f>IFERROR(HYPERLINK(VLOOKUP(A367,Internal_lists_bugs!$A$2:$C$73,3,FALSE()), VLOOKUP(A367,Internal_lists_bugs!$A$2:$C$73,3,FALSE())&amp;Char(10) &amp; Char(10) &amp; VLOOKUP(A367,Internal_lists_bugs!$A$2:$Z$73,26,FALSE())),"please select a BUG ID")</f>
        <v>https://bugs.launchpad.net/nova/+bug/1370590
/libvirt/driver.py</v>
      </c>
      <c r="C367" s="81" t="str">
        <f>IFERROR(SUBSTITUTE(VLOOKUP(A367,Internal_lists_bugs!$A$2:$G2031,7,FALSE()),"nova/commit","nova/src/commit"),"please select a BUG ID")</f>
        <v>https://opendev.org/openstack/nova/src/commit/7326bac8f95</v>
      </c>
      <c r="D367" s="30" t="s">
        <v>4847</v>
      </c>
      <c r="E367" s="14" t="s">
        <v>4894</v>
      </c>
      <c r="F367" s="54"/>
      <c r="H367" s="112" t="s">
        <v>4831</v>
      </c>
      <c r="J367" s="196" t="str">
        <f>IFERROR(VLOOKUP(A367,Internal_lists_bugs!$A$2:$I2031,9,FALSE()),"please select a BUG ID")</f>
        <v>https://review.opendev.org/c/openstack/nova/+/74537</v>
      </c>
    </row>
    <row r="368">
      <c r="A368" s="16" t="s">
        <v>51</v>
      </c>
      <c r="B368" s="50" t="str">
        <f>IFERROR(HYPERLINK(VLOOKUP(A368,Internal_lists_bugs!$A$2:$C$73,3,FALSE()), VLOOKUP(A368,Internal_lists_bugs!$A$2:$C$73,3,FALSE())&amp;Char(10) &amp; Char(10) &amp; VLOOKUP(A368,Internal_lists_bugs!$A$2:$Z$73,26,FALSE())),"please select a BUG ID")</f>
        <v>https://bugs.launchpad.net/nova/+bug/1370590
/libvirt/driver.py</v>
      </c>
      <c r="C368" s="81" t="str">
        <f>IFERROR(SUBSTITUTE(VLOOKUP(A368,Internal_lists_bugs!$A$2:$G2031,7,FALSE()),"nova/commit","nova/src/commit"),"please select a BUG ID")</f>
        <v>https://opendev.org/openstack/nova/src/commit/7326bac8f95</v>
      </c>
      <c r="D368" s="30" t="s">
        <v>4859</v>
      </c>
      <c r="E368" s="14" t="s">
        <v>4895</v>
      </c>
      <c r="F368" s="54"/>
      <c r="H368" s="114"/>
      <c r="J368" s="196" t="str">
        <f>IFERROR(VLOOKUP(A368,Internal_lists_bugs!$A$2:$I2031,9,FALSE()),"please select a BUG ID")</f>
        <v>https://review.opendev.org/c/openstack/nova/+/74537</v>
      </c>
    </row>
    <row r="369">
      <c r="A369" s="16" t="s">
        <v>51</v>
      </c>
      <c r="B369" s="50" t="str">
        <f>IFERROR(HYPERLINK(VLOOKUP(A369,Internal_lists_bugs!$A$2:$C$73,3,FALSE()), VLOOKUP(A369,Internal_lists_bugs!$A$2:$C$73,3,FALSE())&amp;Char(10) &amp; Char(10) &amp; VLOOKUP(A369,Internal_lists_bugs!$A$2:$Z$73,26,FALSE())),"please select a BUG ID")</f>
        <v>https://bugs.launchpad.net/nova/+bug/1370590
/libvirt/driver.py</v>
      </c>
      <c r="C369" s="81" t="str">
        <f>IFERROR(SUBSTITUTE(VLOOKUP(A369,Internal_lists_bugs!$A$2:$G2031,7,FALSE()),"nova/commit","nova/src/commit"),"please select a BUG ID")</f>
        <v>https://opendev.org/openstack/nova/src/commit/7326bac8f95</v>
      </c>
      <c r="D369" s="30" t="s">
        <v>4861</v>
      </c>
      <c r="E369" s="14" t="s">
        <v>4896</v>
      </c>
      <c r="F369" s="54"/>
      <c r="H369" s="114"/>
      <c r="J369" s="196" t="str">
        <f>IFERROR(VLOOKUP(A369,Internal_lists_bugs!$A$2:$I2031,9,FALSE()),"please select a BUG ID")</f>
        <v>https://review.opendev.org/c/openstack/nova/+/74537</v>
      </c>
    </row>
    <row r="370">
      <c r="A370" s="189" t="s">
        <v>58</v>
      </c>
      <c r="B370" s="198" t="str">
        <f>IFERROR(HYPERLINK(VLOOKUP(A370,Internal_lists_bugs!$A$2:$C$73,3,FALSE()), VLOOKUP(A370,Internal_lists_bugs!$A$2:$C$73,3,FALSE())&amp;Char(10) &amp; Char(10) &amp; VLOOKUP(A370,Internal_lists_bugs!$A$2:$Z$73,26,FALSE())),"please select a BUG ID")</f>
        <v>https://bugs.launchpad.net/nova/+bug/1402728
/vmwareapi/vm_util.py
/vmwareapi/vmops.py </v>
      </c>
      <c r="C370" s="199" t="str">
        <f>IFERROR(SUBSTITUTE(VLOOKUP(A370,Internal_lists_bugs!$A$2:$G2031,7,FALSE()),"nova/commit","nova/src/commit"),"please select a BUG ID")</f>
        <v>https://opendev.org/openstack/nova/src/commit/2bcda65d512</v>
      </c>
      <c r="D370" s="189" t="s">
        <v>4758</v>
      </c>
      <c r="E370" s="190" t="s">
        <v>4759</v>
      </c>
      <c r="F370" s="189" t="s">
        <v>4682</v>
      </c>
      <c r="G370" s="189" t="s">
        <v>4802</v>
      </c>
      <c r="H370" s="191" t="s">
        <v>4756</v>
      </c>
      <c r="I370" s="194" t="s">
        <v>4761</v>
      </c>
      <c r="J370" s="195" t="str">
        <f>IFERROR(VLOOKUP(A370,Internal_lists_bugs!$A$2:$I2031,9,FALSE()),"please select a BUG ID")</f>
        <v>https://review.opendev.org/c/openstack/nova/+/107009</v>
      </c>
      <c r="K370" s="193"/>
      <c r="L370" s="193"/>
    </row>
    <row r="371">
      <c r="A371" s="16" t="s">
        <v>58</v>
      </c>
      <c r="B371" s="50" t="str">
        <f>IFERROR(HYPERLINK(VLOOKUP(A371,Internal_lists_bugs!$A$2:$C$73,3,FALSE()), VLOOKUP(A371,Internal_lists_bugs!$A$2:$C$73,3,FALSE())&amp;Char(10) &amp; Char(10) &amp; VLOOKUP(A371,Internal_lists_bugs!$A$2:$Z$73,26,FALSE())),"please select a BUG ID")</f>
        <v>https://bugs.launchpad.net/nova/+bug/1402728
/vmwareapi/vm_util.py
/vmwareapi/vmops.py </v>
      </c>
      <c r="C371" s="81" t="str">
        <f>IFERROR(SUBSTITUTE(VLOOKUP(A371,Internal_lists_bugs!$A$2:$G2031,7,FALSE()),"nova/commit","nova/src/commit"),"please select a BUG ID")</f>
        <v>https://opendev.org/openstack/nova/src/commit/2bcda65d512</v>
      </c>
      <c r="D371" s="16" t="s">
        <v>4765</v>
      </c>
      <c r="E371" s="14" t="s">
        <v>4897</v>
      </c>
      <c r="F371" s="54"/>
      <c r="H371" s="112" t="s">
        <v>4763</v>
      </c>
      <c r="I371" s="16" t="s">
        <v>4797</v>
      </c>
      <c r="J371" s="196" t="str">
        <f>IFERROR(VLOOKUP(A371,Internal_lists_bugs!$A$2:$I2031,9,FALSE()),"please select a BUG ID")</f>
        <v>https://review.opendev.org/c/openstack/nova/+/107009</v>
      </c>
    </row>
    <row r="372">
      <c r="A372" s="16" t="s">
        <v>58</v>
      </c>
      <c r="B372" s="50" t="str">
        <f>IFERROR(HYPERLINK(VLOOKUP(A372,Internal_lists_bugs!$A$2:$C$73,3,FALSE()), VLOOKUP(A372,Internal_lists_bugs!$A$2:$C$73,3,FALSE())&amp;Char(10) &amp; Char(10) &amp; VLOOKUP(A372,Internal_lists_bugs!$A$2:$Z$73,26,FALSE())),"please select a BUG ID")</f>
        <v>https://bugs.launchpad.net/nova/+bug/1402728
/vmwareapi/vm_util.py
/vmwareapi/vmops.py </v>
      </c>
      <c r="C372" s="81" t="str">
        <f>IFERROR(SUBSTITUTE(VLOOKUP(A372,Internal_lists_bugs!$A$2:$G2031,7,FALSE()),"nova/commit","nova/src/commit"),"please select a BUG ID")</f>
        <v>https://opendev.org/openstack/nova/src/commit/2bcda65d512</v>
      </c>
      <c r="D372" s="16" t="s">
        <v>4686</v>
      </c>
      <c r="E372" s="63" t="s">
        <v>4768</v>
      </c>
      <c r="F372" s="54"/>
      <c r="H372" s="112" t="s">
        <v>4708</v>
      </c>
      <c r="I372" s="16" t="s">
        <v>4767</v>
      </c>
      <c r="J372" s="196" t="str">
        <f>IFERROR(VLOOKUP(A372,Internal_lists_bugs!$A$2:$I2031,9,FALSE()),"please select a BUG ID")</f>
        <v>https://review.opendev.org/c/openstack/nova/+/107009</v>
      </c>
    </row>
    <row r="373">
      <c r="A373" s="16" t="s">
        <v>58</v>
      </c>
      <c r="B373" s="50" t="str">
        <f>IFERROR(HYPERLINK(VLOOKUP(A373,Internal_lists_bugs!$A$2:$C$73,3,FALSE()), VLOOKUP(A373,Internal_lists_bugs!$A$2:$C$73,3,FALSE())&amp;Char(10) &amp; Char(10) &amp; VLOOKUP(A373,Internal_lists_bugs!$A$2:$Z$73,26,FALSE())),"please select a BUG ID")</f>
        <v>https://bugs.launchpad.net/nova/+bug/1402728
/vmwareapi/vm_util.py
/vmwareapi/vmops.py </v>
      </c>
      <c r="C373" s="81" t="str">
        <f>IFERROR(SUBSTITUTE(VLOOKUP(A373,Internal_lists_bugs!$A$2:$G2031,7,FALSE()),"nova/commit","nova/src/commit"),"please select a BUG ID")</f>
        <v>https://opendev.org/openstack/nova/src/commit/2bcda65d512</v>
      </c>
      <c r="D373" s="16" t="s">
        <v>4690</v>
      </c>
      <c r="E373" s="16" t="s">
        <v>4731</v>
      </c>
      <c r="F373" s="54"/>
      <c r="H373" s="112" t="s">
        <v>4696</v>
      </c>
      <c r="I373" s="16" t="s">
        <v>4731</v>
      </c>
      <c r="J373" s="196" t="str">
        <f>IFERROR(VLOOKUP(A373,Internal_lists_bugs!$A$2:$I2031,9,FALSE()),"please select a BUG ID")</f>
        <v>https://review.opendev.org/c/openstack/nova/+/107009</v>
      </c>
    </row>
    <row r="374">
      <c r="A374" s="16" t="s">
        <v>58</v>
      </c>
      <c r="B374" s="50" t="str">
        <f>IFERROR(HYPERLINK(VLOOKUP(A374,Internal_lists_bugs!$A$2:$C$73,3,FALSE()), VLOOKUP(A374,Internal_lists_bugs!$A$2:$C$73,3,FALSE())&amp;Char(10) &amp; Char(10) &amp; VLOOKUP(A374,Internal_lists_bugs!$A$2:$Z$73,26,FALSE())),"please select a BUG ID")</f>
        <v>https://bugs.launchpad.net/nova/+bug/1402728
/vmwareapi/vm_util.py
/vmwareapi/vmops.py </v>
      </c>
      <c r="C374" s="81" t="str">
        <f>IFERROR(SUBSTITUTE(VLOOKUP(A374,Internal_lists_bugs!$A$2:$G2031,7,FALSE()),"nova/commit","nova/src/commit"),"please select a BUG ID")</f>
        <v>https://opendev.org/openstack/nova/src/commit/2bcda65d512</v>
      </c>
      <c r="D374" s="16" t="s">
        <v>4702</v>
      </c>
      <c r="E374" s="16" t="s">
        <v>4770</v>
      </c>
      <c r="F374" s="54"/>
      <c r="H374" s="112" t="s">
        <v>4716</v>
      </c>
      <c r="I374" s="16" t="s">
        <v>4769</v>
      </c>
      <c r="J374" s="196" t="str">
        <f>IFERROR(VLOOKUP(A374,Internal_lists_bugs!$A$2:$I2031,9,FALSE()),"please select a BUG ID")</f>
        <v>https://review.opendev.org/c/openstack/nova/+/107009</v>
      </c>
    </row>
    <row r="375">
      <c r="A375" s="16" t="s">
        <v>58</v>
      </c>
      <c r="B375" s="50" t="str">
        <f>IFERROR(HYPERLINK(VLOOKUP(A375,Internal_lists_bugs!$A$2:$C$73,3,FALSE()), VLOOKUP(A375,Internal_lists_bugs!$A$2:$C$73,3,FALSE())&amp;Char(10) &amp; Char(10) &amp; VLOOKUP(A375,Internal_lists_bugs!$A$2:$Z$73,26,FALSE())),"please select a BUG ID")</f>
        <v>https://bugs.launchpad.net/nova/+bug/1402728
/vmwareapi/vm_util.py
/vmwareapi/vmops.py </v>
      </c>
      <c r="C375" s="81" t="str">
        <f>IFERROR(SUBSTITUTE(VLOOKUP(A375,Internal_lists_bugs!$A$2:$G2031,7,FALSE()),"nova/commit","nova/src/commit"),"please select a BUG ID")</f>
        <v>https://opendev.org/openstack/nova/src/commit/2bcda65d512</v>
      </c>
      <c r="D375" s="16" t="s">
        <v>4772</v>
      </c>
      <c r="E375" s="14" t="s">
        <v>4898</v>
      </c>
      <c r="F375" s="54"/>
      <c r="H375" s="112" t="s">
        <v>4708</v>
      </c>
      <c r="I375" s="16" t="s">
        <v>4771</v>
      </c>
      <c r="J375" s="196" t="str">
        <f>IFERROR(VLOOKUP(A375,Internal_lists_bugs!$A$2:$I2031,9,FALSE()),"please select a BUG ID")</f>
        <v>https://review.opendev.org/c/openstack/nova/+/107009</v>
      </c>
    </row>
    <row r="376">
      <c r="A376" s="16" t="s">
        <v>58</v>
      </c>
      <c r="B376" s="50" t="str">
        <f>IFERROR(HYPERLINK(VLOOKUP(A376,Internal_lists_bugs!$A$2:$C$73,3,FALSE()), VLOOKUP(A376,Internal_lists_bugs!$A$2:$C$73,3,FALSE())&amp;Char(10) &amp; Char(10) &amp; VLOOKUP(A376,Internal_lists_bugs!$A$2:$Z$73,26,FALSE())),"please select a BUG ID")</f>
        <v>https://bugs.launchpad.net/nova/+bug/1402728
/vmwareapi/vm_util.py
/vmwareapi/vmops.py </v>
      </c>
      <c r="C376" s="81" t="str">
        <f>IFERROR(SUBSTITUTE(VLOOKUP(A376,Internal_lists_bugs!$A$2:$G2031,7,FALSE()),"nova/commit","nova/src/commit"),"please select a BUG ID")</f>
        <v>https://opendev.org/openstack/nova/src/commit/2bcda65d512</v>
      </c>
      <c r="D376" s="16" t="s">
        <v>4706</v>
      </c>
      <c r="E376" s="16" t="s">
        <v>4775</v>
      </c>
      <c r="F376" s="54"/>
      <c r="H376" s="112" t="s">
        <v>4684</v>
      </c>
      <c r="I376" s="16" t="s">
        <v>4774</v>
      </c>
      <c r="J376" s="196" t="str">
        <f>IFERROR(VLOOKUP(A376,Internal_lists_bugs!$A$2:$I2031,9,FALSE()),"please select a BUG ID")</f>
        <v>https://review.opendev.org/c/openstack/nova/+/107009</v>
      </c>
    </row>
    <row r="377">
      <c r="A377" s="16" t="s">
        <v>58</v>
      </c>
      <c r="B377" s="50" t="str">
        <f>IFERROR(HYPERLINK(VLOOKUP(A377,Internal_lists_bugs!$A$2:$C$73,3,FALSE()), VLOOKUP(A377,Internal_lists_bugs!$A$2:$C$73,3,FALSE())&amp;Char(10) &amp; Char(10) &amp; VLOOKUP(A377,Internal_lists_bugs!$A$2:$Z$73,26,FALSE())),"please select a BUG ID")</f>
        <v>https://bugs.launchpad.net/nova/+bug/1402728
/vmwareapi/vm_util.py
/vmwareapi/vmops.py </v>
      </c>
      <c r="C377" s="81" t="str">
        <f>IFERROR(SUBSTITUTE(VLOOKUP(A377,Internal_lists_bugs!$A$2:$G2031,7,FALSE()),"nova/commit","nova/src/commit"),"please select a BUG ID")</f>
        <v>https://opendev.org/openstack/nova/src/commit/2bcda65d512</v>
      </c>
      <c r="D377" s="16" t="s">
        <v>4710</v>
      </c>
      <c r="E377" s="16" t="s">
        <v>4775</v>
      </c>
      <c r="F377" s="54"/>
      <c r="H377" s="112" t="s">
        <v>4712</v>
      </c>
      <c r="I377" s="16" t="s">
        <v>4776</v>
      </c>
      <c r="J377" s="196" t="str">
        <f>IFERROR(VLOOKUP(A377,Internal_lists_bugs!$A$2:$I2031,9,FALSE()),"please select a BUG ID")</f>
        <v>https://review.opendev.org/c/openstack/nova/+/107009</v>
      </c>
    </row>
    <row r="378">
      <c r="A378" s="16" t="s">
        <v>58</v>
      </c>
      <c r="B378" s="50" t="str">
        <f>IFERROR(HYPERLINK(VLOOKUP(A378,Internal_lists_bugs!$A$2:$C$73,3,FALSE()), VLOOKUP(A378,Internal_lists_bugs!$A$2:$C$73,3,FALSE())&amp;Char(10) &amp; Char(10) &amp; VLOOKUP(A378,Internal_lists_bugs!$A$2:$Z$73,26,FALSE())),"please select a BUG ID")</f>
        <v>https://bugs.launchpad.net/nova/+bug/1402728
/vmwareapi/vm_util.py
/vmwareapi/vmops.py </v>
      </c>
      <c r="C378" s="81" t="str">
        <f>IFERROR(SUBSTITUTE(VLOOKUP(A378,Internal_lists_bugs!$A$2:$G2031,7,FALSE()),"nova/commit","nova/src/commit"),"please select a BUG ID")</f>
        <v>https://opendev.org/openstack/nova/src/commit/2bcda65d512</v>
      </c>
      <c r="D378" s="16" t="s">
        <v>1325</v>
      </c>
      <c r="E378" s="16" t="s">
        <v>4751</v>
      </c>
      <c r="F378" s="54"/>
      <c r="H378" s="112" t="s">
        <v>4777</v>
      </c>
      <c r="I378" s="16" t="s">
        <v>4778</v>
      </c>
      <c r="J378" s="196" t="str">
        <f>IFERROR(VLOOKUP(A378,Internal_lists_bugs!$A$2:$I2031,9,FALSE()),"please select a BUG ID")</f>
        <v>https://review.opendev.org/c/openstack/nova/+/107009</v>
      </c>
    </row>
    <row r="379">
      <c r="A379" s="16" t="s">
        <v>58</v>
      </c>
      <c r="B379" s="50" t="str">
        <f>IFERROR(HYPERLINK(VLOOKUP(A379,Internal_lists_bugs!$A$2:$C$73,3,FALSE()), VLOOKUP(A379,Internal_lists_bugs!$A$2:$C$73,3,FALSE())&amp;Char(10) &amp; Char(10) &amp; VLOOKUP(A379,Internal_lists_bugs!$A$2:$Z$73,26,FALSE())),"please select a BUG ID")</f>
        <v>https://bugs.launchpad.net/nova/+bug/1402728
/vmwareapi/vm_util.py
/vmwareapi/vmops.py </v>
      </c>
      <c r="C379" s="81" t="str">
        <f>IFERROR(SUBSTITUTE(VLOOKUP(A379,Internal_lists_bugs!$A$2:$G2031,7,FALSE()),"nova/commit","nova/src/commit"),"please select a BUG ID")</f>
        <v>https://opendev.org/openstack/nova/src/commit/2bcda65d512</v>
      </c>
      <c r="D379" s="16" t="s">
        <v>4680</v>
      </c>
      <c r="E379" s="16" t="s">
        <v>4886</v>
      </c>
      <c r="F379" s="54"/>
      <c r="H379" s="112" t="s">
        <v>4704</v>
      </c>
      <c r="I379" s="16" t="s">
        <v>4752</v>
      </c>
      <c r="J379" s="196" t="str">
        <f>IFERROR(VLOOKUP(A379,Internal_lists_bugs!$A$2:$I2031,9,FALSE()),"please select a BUG ID")</f>
        <v>https://review.opendev.org/c/openstack/nova/+/107009</v>
      </c>
    </row>
    <row r="380">
      <c r="A380" s="16" t="s">
        <v>58</v>
      </c>
      <c r="B380" s="50" t="str">
        <f>IFERROR(HYPERLINK(VLOOKUP(A380,Internal_lists_bugs!$A$2:$C$73,3,FALSE()), VLOOKUP(A380,Internal_lists_bugs!$A$2:$C$73,3,FALSE())&amp;Char(10) &amp; Char(10) &amp; VLOOKUP(A380,Internal_lists_bugs!$A$2:$Z$73,26,FALSE())),"please select a BUG ID")</f>
        <v>https://bugs.launchpad.net/nova/+bug/1402728
/vmwareapi/vm_util.py
/vmwareapi/vmops.py </v>
      </c>
      <c r="C380" s="81" t="str">
        <f>IFERROR(SUBSTITUTE(VLOOKUP(A380,Internal_lists_bugs!$A$2:$G2031,7,FALSE()),"nova/commit","nova/src/commit"),"please select a BUG ID")</f>
        <v>https://opendev.org/openstack/nova/src/commit/2bcda65d512</v>
      </c>
      <c r="D380" s="16" t="s">
        <v>4754</v>
      </c>
      <c r="E380" s="16" t="s">
        <v>4755</v>
      </c>
      <c r="F380" s="54"/>
      <c r="H380" s="112" t="s">
        <v>4749</v>
      </c>
      <c r="I380" s="16" t="s">
        <v>4779</v>
      </c>
      <c r="J380" s="196" t="str">
        <f>IFERROR(VLOOKUP(A380,Internal_lists_bugs!$A$2:$I2031,9,FALSE()),"please select a BUG ID")</f>
        <v>https://review.opendev.org/c/openstack/nova/+/107009</v>
      </c>
    </row>
    <row r="381">
      <c r="A381" s="16" t="s">
        <v>58</v>
      </c>
      <c r="B381" s="50" t="str">
        <f>IFERROR(HYPERLINK(VLOOKUP(A381,Internal_lists_bugs!$A$2:$C$73,3,FALSE()), VLOOKUP(A381,Internal_lists_bugs!$A$2:$C$73,3,FALSE())&amp;Char(10) &amp; Char(10) &amp; VLOOKUP(A381,Internal_lists_bugs!$A$2:$Z$73,26,FALSE())),"please select a BUG ID")</f>
        <v>https://bugs.launchpad.net/nova/+bug/1402728
/vmwareapi/vm_util.py
/vmwareapi/vmops.py </v>
      </c>
      <c r="C381" s="81" t="str">
        <f>IFERROR(SUBSTITUTE(VLOOKUP(A381,Internal_lists_bugs!$A$2:$G2031,7,FALSE()),"nova/commit","nova/src/commit"),"please select a BUG ID")</f>
        <v>https://opendev.org/openstack/nova/src/commit/2bcda65d512</v>
      </c>
      <c r="D381" s="16" t="s">
        <v>4714</v>
      </c>
      <c r="E381" s="16" t="s">
        <v>4738</v>
      </c>
      <c r="F381" s="54"/>
      <c r="H381" s="112" t="s">
        <v>4782</v>
      </c>
      <c r="I381" s="16" t="s">
        <v>4783</v>
      </c>
      <c r="J381" s="196" t="str">
        <f>IFERROR(VLOOKUP(A381,Internal_lists_bugs!$A$2:$I2031,9,FALSE()),"please select a BUG ID")</f>
        <v>https://review.opendev.org/c/openstack/nova/+/107009</v>
      </c>
    </row>
    <row r="382">
      <c r="A382" s="16" t="s">
        <v>58</v>
      </c>
      <c r="B382" s="50" t="str">
        <f>IFERROR(HYPERLINK(VLOOKUP(A382,Internal_lists_bugs!$A$2:$C$73,3,FALSE()), VLOOKUP(A382,Internal_lists_bugs!$A$2:$C$73,3,FALSE())&amp;Char(10) &amp; Char(10) &amp; VLOOKUP(A382,Internal_lists_bugs!$A$2:$Z$73,26,FALSE())),"please select a BUG ID")</f>
        <v>https://bugs.launchpad.net/nova/+bug/1402728
/vmwareapi/vm_util.py
/vmwareapi/vmops.py </v>
      </c>
      <c r="C382" s="81" t="str">
        <f>IFERROR(SUBSTITUTE(VLOOKUP(A382,Internal_lists_bugs!$A$2:$G2031,7,FALSE()),"nova/commit","nova/src/commit"),"please select a BUG ID")</f>
        <v>https://opendev.org/openstack/nova/src/commit/2bcda65d512</v>
      </c>
      <c r="D382" s="16" t="s">
        <v>4807</v>
      </c>
      <c r="E382" s="16" t="s">
        <v>4822</v>
      </c>
      <c r="F382" s="54"/>
      <c r="H382" s="112" t="s">
        <v>4801</v>
      </c>
      <c r="I382" s="16" t="s">
        <v>4806</v>
      </c>
      <c r="J382" s="196" t="str">
        <f>IFERROR(VLOOKUP(A382,Internal_lists_bugs!$A$2:$I2031,9,FALSE()),"please select a BUG ID")</f>
        <v>https://review.opendev.org/c/openstack/nova/+/107009</v>
      </c>
    </row>
    <row r="383">
      <c r="A383" s="16" t="s">
        <v>58</v>
      </c>
      <c r="B383" s="50" t="str">
        <f>IFERROR(HYPERLINK(VLOOKUP(A383,Internal_lists_bugs!$A$2:$C$73,3,FALSE()), VLOOKUP(A383,Internal_lists_bugs!$A$2:$C$73,3,FALSE())&amp;Char(10) &amp; Char(10) &amp; VLOOKUP(A383,Internal_lists_bugs!$A$2:$Z$73,26,FALSE())),"please select a BUG ID")</f>
        <v>https://bugs.launchpad.net/nova/+bug/1402728
/vmwareapi/vm_util.py
/vmwareapi/vmops.py </v>
      </c>
      <c r="C383" s="81" t="str">
        <f>IFERROR(SUBSTITUTE(VLOOKUP(A383,Internal_lists_bugs!$A$2:$G2031,7,FALSE()),"nova/commit","nova/src/commit"),"please select a BUG ID")</f>
        <v>https://opendev.org/openstack/nova/src/commit/2bcda65d512</v>
      </c>
      <c r="D383" s="16" t="s">
        <v>4812</v>
      </c>
      <c r="E383" s="16" t="s">
        <v>4813</v>
      </c>
      <c r="F383" s="54"/>
      <c r="H383" s="112" t="s">
        <v>4818</v>
      </c>
      <c r="I383" s="66" t="s">
        <v>4840</v>
      </c>
      <c r="J383" s="196" t="str">
        <f>IFERROR(VLOOKUP(A383,Internal_lists_bugs!$A$2:$I2031,9,FALSE()),"please select a BUG ID")</f>
        <v>https://review.opendev.org/c/openstack/nova/+/107009</v>
      </c>
    </row>
    <row r="384">
      <c r="A384" s="16" t="s">
        <v>58</v>
      </c>
      <c r="B384" s="50" t="str">
        <f>IFERROR(HYPERLINK(VLOOKUP(A384,Internal_lists_bugs!$A$2:$C$73,3,FALSE()), VLOOKUP(A384,Internal_lists_bugs!$A$2:$C$73,3,FALSE())&amp;Char(10) &amp; Char(10) &amp; VLOOKUP(A384,Internal_lists_bugs!$A$2:$Z$73,26,FALSE())),"please select a BUG ID")</f>
        <v>https://bugs.launchpad.net/nova/+bug/1402728
/vmwareapi/vm_util.py
/vmwareapi/vmops.py </v>
      </c>
      <c r="C384" s="81" t="str">
        <f>IFERROR(SUBSTITUTE(VLOOKUP(A384,Internal_lists_bugs!$A$2:$G2031,7,FALSE()),"nova/commit","nova/src/commit"),"please select a BUG ID")</f>
        <v>https://opendev.org/openstack/nova/src/commit/2bcda65d512</v>
      </c>
      <c r="D384" s="16" t="s">
        <v>4841</v>
      </c>
      <c r="E384" s="16" t="s">
        <v>4842</v>
      </c>
      <c r="F384" s="54"/>
      <c r="H384" s="112" t="s">
        <v>4845</v>
      </c>
      <c r="I384" s="66" t="s">
        <v>4846</v>
      </c>
      <c r="J384" s="196" t="str">
        <f>IFERROR(VLOOKUP(A384,Internal_lists_bugs!$A$2:$I2031,9,FALSE()),"please select a BUG ID")</f>
        <v>https://review.opendev.org/c/openstack/nova/+/107009</v>
      </c>
    </row>
    <row r="385">
      <c r="A385" s="16" t="s">
        <v>58</v>
      </c>
      <c r="B385" s="50" t="str">
        <f>IFERROR(HYPERLINK(VLOOKUP(A385,Internal_lists_bugs!$A$2:$C$73,3,FALSE()), VLOOKUP(A385,Internal_lists_bugs!$A$2:$C$73,3,FALSE())&amp;Char(10) &amp; Char(10) &amp; VLOOKUP(A385,Internal_lists_bugs!$A$2:$Z$73,26,FALSE())),"please select a BUG ID")</f>
        <v>https://bugs.launchpad.net/nova/+bug/1402728
/vmwareapi/vm_util.py
/vmwareapi/vmops.py </v>
      </c>
      <c r="C385" s="81" t="str">
        <f>IFERROR(SUBSTITUTE(VLOOKUP(A385,Internal_lists_bugs!$A$2:$G2031,7,FALSE()),"nova/commit","nova/src/commit"),"please select a BUG ID")</f>
        <v>https://opendev.org/openstack/nova/src/commit/2bcda65d512</v>
      </c>
      <c r="D385" s="16" t="s">
        <v>4847</v>
      </c>
      <c r="E385" s="14" t="s">
        <v>4899</v>
      </c>
      <c r="F385" s="54"/>
      <c r="H385" s="112" t="s">
        <v>4831</v>
      </c>
      <c r="J385" s="196" t="str">
        <f>IFERROR(VLOOKUP(A385,Internal_lists_bugs!$A$2:$I2031,9,FALSE()),"please select a BUG ID")</f>
        <v>https://review.opendev.org/c/openstack/nova/+/107009</v>
      </c>
    </row>
    <row r="386">
      <c r="A386" s="16" t="s">
        <v>58</v>
      </c>
      <c r="B386" s="50" t="str">
        <f>IFERROR(HYPERLINK(VLOOKUP(A386,Internal_lists_bugs!$A$2:$C$73,3,FALSE()), VLOOKUP(A386,Internal_lists_bugs!$A$2:$C$73,3,FALSE())&amp;Char(10) &amp; Char(10) &amp; VLOOKUP(A386,Internal_lists_bugs!$A$2:$Z$73,26,FALSE())),"please select a BUG ID")</f>
        <v>https://bugs.launchpad.net/nova/+bug/1402728
/vmwareapi/vm_util.py
/vmwareapi/vmops.py </v>
      </c>
      <c r="C386" s="81" t="str">
        <f>IFERROR(SUBSTITUTE(VLOOKUP(A386,Internal_lists_bugs!$A$2:$G2031,7,FALSE()),"nova/commit","nova/src/commit"),"please select a BUG ID")</f>
        <v>https://opendev.org/openstack/nova/src/commit/2bcda65d512</v>
      </c>
      <c r="D386" s="16" t="s">
        <v>4859</v>
      </c>
      <c r="E386" s="14" t="s">
        <v>4900</v>
      </c>
      <c r="F386" s="54"/>
      <c r="H386" s="114"/>
      <c r="J386" s="196" t="str">
        <f>IFERROR(VLOOKUP(A386,Internal_lists_bugs!$A$2:$I2031,9,FALSE()),"please select a BUG ID")</f>
        <v>https://review.opendev.org/c/openstack/nova/+/107009</v>
      </c>
    </row>
    <row r="387">
      <c r="A387" s="16" t="s">
        <v>58</v>
      </c>
      <c r="B387" s="50" t="str">
        <f>IFERROR(HYPERLINK(VLOOKUP(A387,Internal_lists_bugs!$A$2:$C$73,3,FALSE()), VLOOKUP(A387,Internal_lists_bugs!$A$2:$C$73,3,FALSE())&amp;Char(10) &amp; Char(10) &amp; VLOOKUP(A387,Internal_lists_bugs!$A$2:$Z$73,26,FALSE())),"please select a BUG ID")</f>
        <v>https://bugs.launchpad.net/nova/+bug/1402728
/vmwareapi/vm_util.py
/vmwareapi/vmops.py </v>
      </c>
      <c r="C387" s="81" t="str">
        <f>IFERROR(SUBSTITUTE(VLOOKUP(A387,Internal_lists_bugs!$A$2:$G2031,7,FALSE()),"nova/commit","nova/src/commit"),"please select a BUG ID")</f>
        <v>https://opendev.org/openstack/nova/src/commit/2bcda65d512</v>
      </c>
      <c r="D387" s="16" t="s">
        <v>4861</v>
      </c>
      <c r="E387" s="14" t="s">
        <v>4901</v>
      </c>
      <c r="F387" s="54"/>
      <c r="H387" s="114"/>
      <c r="J387" s="196" t="str">
        <f>IFERROR(VLOOKUP(A387,Internal_lists_bugs!$A$2:$I2031,9,FALSE()),"please select a BUG ID")</f>
        <v>https://review.opendev.org/c/openstack/nova/+/107009</v>
      </c>
    </row>
    <row r="388">
      <c r="A388" s="16" t="s">
        <v>58</v>
      </c>
      <c r="B388" s="50" t="str">
        <f>IFERROR(HYPERLINK(VLOOKUP(A388,Internal_lists_bugs!$A$2:$C$73,3,FALSE()), VLOOKUP(A388,Internal_lists_bugs!$A$2:$C$73,3,FALSE())&amp;Char(10) &amp; Char(10) &amp; VLOOKUP(A388,Internal_lists_bugs!$A$2:$Z$73,26,FALSE())),"please select a BUG ID")</f>
        <v>https://bugs.launchpad.net/nova/+bug/1402728
/vmwareapi/vm_util.py
/vmwareapi/vmops.py </v>
      </c>
      <c r="C388" s="81" t="str">
        <f>IFERROR(SUBSTITUTE(VLOOKUP(A388,Internal_lists_bugs!$A$2:$G2031,7,FALSE()),"nova/commit","nova/src/commit"),"please select a BUG ID")</f>
        <v>https://opendev.org/openstack/nova/src/commit/2bcda65d512</v>
      </c>
      <c r="D388" s="16" t="s">
        <v>4849</v>
      </c>
      <c r="E388" s="14" t="s">
        <v>4902</v>
      </c>
      <c r="F388" s="54"/>
      <c r="H388" s="114"/>
      <c r="J388" s="196" t="str">
        <f>IFERROR(VLOOKUP(A388,Internal_lists_bugs!$A$2:$I2031,9,FALSE()),"please select a BUG ID")</f>
        <v>https://review.opendev.org/c/openstack/nova/+/107009</v>
      </c>
    </row>
    <row r="389">
      <c r="A389" s="189" t="s">
        <v>64</v>
      </c>
      <c r="B389" s="198" t="str">
        <f>IFERROR(HYPERLINK(VLOOKUP(A389,Internal_lists_bugs!$A$2:$C$73,3,FALSE()), VLOOKUP(A389,Internal_lists_bugs!$A$2:$C$73,3,FALSE())&amp;Char(10) &amp; Char(10) &amp; VLOOKUP(A389,Internal_lists_bugs!$A$2:$Z$73,26,FALSE())),"please select a BUG ID")</f>
        <v>https://bugs.launchpad.net/nova/+bug/1381468
/filters/trusted_filter.py</v>
      </c>
      <c r="C389" s="199" t="str">
        <f>IFERROR(SUBSTITUTE(VLOOKUP(A389,Internal_lists_bugs!$A$2:$G2031,7,FALSE()),"nova/commit","nova/src/commit"),"please select a BUG ID")</f>
        <v>https://opendev.org/openstack/nova/src/commit/30871e870</v>
      </c>
      <c r="D389" s="186" t="s">
        <v>4758</v>
      </c>
      <c r="E389" s="190" t="s">
        <v>4759</v>
      </c>
      <c r="F389" s="189" t="s">
        <v>4682</v>
      </c>
      <c r="G389" s="189" t="s">
        <v>4802</v>
      </c>
      <c r="H389" s="191" t="s">
        <v>4756</v>
      </c>
      <c r="I389" s="194" t="s">
        <v>4761</v>
      </c>
      <c r="J389" s="195" t="str">
        <f>IFERROR(VLOOKUP(A389,Internal_lists_bugs!$A$2:$I2031,9,FALSE()),"please select a BUG ID")</f>
        <v>https://review.opendev.org/c/openstack/nova/+/124714</v>
      </c>
      <c r="K389" s="193"/>
      <c r="L389" s="193"/>
    </row>
    <row r="390">
      <c r="A390" s="16" t="s">
        <v>64</v>
      </c>
      <c r="B390" s="50" t="str">
        <f>IFERROR(HYPERLINK(VLOOKUP(A390,Internal_lists_bugs!$A$2:$C$73,3,FALSE()), VLOOKUP(A390,Internal_lists_bugs!$A$2:$C$73,3,FALSE())&amp;Char(10) &amp; Char(10) &amp; VLOOKUP(A390,Internal_lists_bugs!$A$2:$Z$73,26,FALSE())),"please select a BUG ID")</f>
        <v>https://bugs.launchpad.net/nova/+bug/1381468
/filters/trusted_filter.py</v>
      </c>
      <c r="C390" s="81" t="str">
        <f>IFERROR(SUBSTITUTE(VLOOKUP(A390,Internal_lists_bugs!$A$2:$G2031,7,FALSE()),"nova/commit","nova/src/commit"),"please select a BUG ID")</f>
        <v>https://opendev.org/openstack/nova/src/commit/30871e870</v>
      </c>
      <c r="D390" s="30" t="s">
        <v>4765</v>
      </c>
      <c r="E390" s="14" t="s">
        <v>4903</v>
      </c>
      <c r="F390" s="54"/>
      <c r="H390" s="112" t="s">
        <v>4763</v>
      </c>
      <c r="I390" s="16" t="s">
        <v>4797</v>
      </c>
      <c r="J390" s="196" t="str">
        <f>IFERROR(VLOOKUP(A390,Internal_lists_bugs!$A$2:$I2031,9,FALSE()),"please select a BUG ID")</f>
        <v>https://review.opendev.org/c/openstack/nova/+/124714</v>
      </c>
    </row>
    <row r="391">
      <c r="A391" s="16" t="s">
        <v>64</v>
      </c>
      <c r="B391" s="50" t="str">
        <f>IFERROR(HYPERLINK(VLOOKUP(A391,Internal_lists_bugs!$A$2:$C$73,3,FALSE()), VLOOKUP(A391,Internal_lists_bugs!$A$2:$C$73,3,FALSE())&amp;Char(10) &amp; Char(10) &amp; VLOOKUP(A391,Internal_lists_bugs!$A$2:$Z$73,26,FALSE())),"please select a BUG ID")</f>
        <v>https://bugs.launchpad.net/nova/+bug/1381468
/filters/trusted_filter.py</v>
      </c>
      <c r="C391" s="81" t="str">
        <f>IFERROR(SUBSTITUTE(VLOOKUP(A391,Internal_lists_bugs!$A$2:$G2031,7,FALSE()),"nova/commit","nova/src/commit"),"please select a BUG ID")</f>
        <v>https://opendev.org/openstack/nova/src/commit/30871e870</v>
      </c>
      <c r="D391" s="30" t="s">
        <v>4686</v>
      </c>
      <c r="E391" s="63" t="s">
        <v>4768</v>
      </c>
      <c r="F391" s="54"/>
      <c r="H391" s="112" t="s">
        <v>4708</v>
      </c>
      <c r="I391" s="16" t="s">
        <v>4767</v>
      </c>
      <c r="J391" s="196" t="str">
        <f>IFERROR(VLOOKUP(A391,Internal_lists_bugs!$A$2:$I2031,9,FALSE()),"please select a BUG ID")</f>
        <v>https://review.opendev.org/c/openstack/nova/+/124714</v>
      </c>
    </row>
    <row r="392">
      <c r="A392" s="16" t="s">
        <v>64</v>
      </c>
      <c r="B392" s="50" t="str">
        <f>IFERROR(HYPERLINK(VLOOKUP(A392,Internal_lists_bugs!$A$2:$C$73,3,FALSE()), VLOOKUP(A392,Internal_lists_bugs!$A$2:$C$73,3,FALSE())&amp;Char(10) &amp; Char(10) &amp; VLOOKUP(A392,Internal_lists_bugs!$A$2:$Z$73,26,FALSE())),"please select a BUG ID")</f>
        <v>https://bugs.launchpad.net/nova/+bug/1381468
/filters/trusted_filter.py</v>
      </c>
      <c r="C392" s="81" t="str">
        <f>IFERROR(SUBSTITUTE(VLOOKUP(A392,Internal_lists_bugs!$A$2:$G2031,7,FALSE()),"nova/commit","nova/src/commit"),"please select a BUG ID")</f>
        <v>https://opendev.org/openstack/nova/src/commit/30871e870</v>
      </c>
      <c r="D392" s="30" t="s">
        <v>4690</v>
      </c>
      <c r="E392" s="16" t="s">
        <v>4731</v>
      </c>
      <c r="F392" s="54"/>
      <c r="H392" s="112" t="s">
        <v>4696</v>
      </c>
      <c r="I392" s="16" t="s">
        <v>4731</v>
      </c>
      <c r="J392" s="196" t="str">
        <f>IFERROR(VLOOKUP(A392,Internal_lists_bugs!$A$2:$I2031,9,FALSE()),"please select a BUG ID")</f>
        <v>https://review.opendev.org/c/openstack/nova/+/124714</v>
      </c>
    </row>
    <row r="393">
      <c r="A393" s="16" t="s">
        <v>64</v>
      </c>
      <c r="B393" s="50" t="str">
        <f>IFERROR(HYPERLINK(VLOOKUP(A393,Internal_lists_bugs!$A$2:$C$73,3,FALSE()), VLOOKUP(A393,Internal_lists_bugs!$A$2:$C$73,3,FALSE())&amp;Char(10) &amp; Char(10) &amp; VLOOKUP(A393,Internal_lists_bugs!$A$2:$Z$73,26,FALSE())),"please select a BUG ID")</f>
        <v>https://bugs.launchpad.net/nova/+bug/1381468
/filters/trusted_filter.py</v>
      </c>
      <c r="C393" s="81" t="str">
        <f>IFERROR(SUBSTITUTE(VLOOKUP(A393,Internal_lists_bugs!$A$2:$G2031,7,FALSE()),"nova/commit","nova/src/commit"),"please select a BUG ID")</f>
        <v>https://opendev.org/openstack/nova/src/commit/30871e870</v>
      </c>
      <c r="D393" s="30" t="s">
        <v>4702</v>
      </c>
      <c r="E393" s="16" t="s">
        <v>4770</v>
      </c>
      <c r="F393" s="54"/>
      <c r="H393" s="112" t="s">
        <v>4716</v>
      </c>
      <c r="I393" s="16" t="s">
        <v>4769</v>
      </c>
      <c r="J393" s="196" t="str">
        <f>IFERROR(VLOOKUP(A393,Internal_lists_bugs!$A$2:$I2031,9,FALSE()),"please select a BUG ID")</f>
        <v>https://review.opendev.org/c/openstack/nova/+/124714</v>
      </c>
    </row>
    <row r="394">
      <c r="A394" s="16" t="s">
        <v>64</v>
      </c>
      <c r="B394" s="50" t="str">
        <f>IFERROR(HYPERLINK(VLOOKUP(A394,Internal_lists_bugs!$A$2:$C$73,3,FALSE()), VLOOKUP(A394,Internal_lists_bugs!$A$2:$C$73,3,FALSE())&amp;Char(10) &amp; Char(10) &amp; VLOOKUP(A394,Internal_lists_bugs!$A$2:$Z$73,26,FALSE())),"please select a BUG ID")</f>
        <v>https://bugs.launchpad.net/nova/+bug/1381468
/filters/trusted_filter.py</v>
      </c>
      <c r="C394" s="81" t="str">
        <f>IFERROR(SUBSTITUTE(VLOOKUP(A394,Internal_lists_bugs!$A$2:$G2031,7,FALSE()),"nova/commit","nova/src/commit"),"please select a BUG ID")</f>
        <v>https://opendev.org/openstack/nova/src/commit/30871e870</v>
      </c>
      <c r="D394" s="30" t="s">
        <v>4772</v>
      </c>
      <c r="E394" s="14" t="s">
        <v>4904</v>
      </c>
      <c r="F394" s="54"/>
      <c r="H394" s="112" t="s">
        <v>4708</v>
      </c>
      <c r="I394" s="16" t="s">
        <v>4771</v>
      </c>
      <c r="J394" s="196" t="str">
        <f>IFERROR(VLOOKUP(A394,Internal_lists_bugs!$A$2:$I2031,9,FALSE()),"please select a BUG ID")</f>
        <v>https://review.opendev.org/c/openstack/nova/+/124714</v>
      </c>
    </row>
    <row r="395">
      <c r="A395" s="16" t="s">
        <v>64</v>
      </c>
      <c r="B395" s="50" t="str">
        <f>IFERROR(HYPERLINK(VLOOKUP(A395,Internal_lists_bugs!$A$2:$C$73,3,FALSE()), VLOOKUP(A395,Internal_lists_bugs!$A$2:$C$73,3,FALSE())&amp;Char(10) &amp; Char(10) &amp; VLOOKUP(A395,Internal_lists_bugs!$A$2:$Z$73,26,FALSE())),"please select a BUG ID")</f>
        <v>https://bugs.launchpad.net/nova/+bug/1381468
/filters/trusted_filter.py</v>
      </c>
      <c r="C395" s="81" t="str">
        <f>IFERROR(SUBSTITUTE(VLOOKUP(A395,Internal_lists_bugs!$A$2:$G2031,7,FALSE()),"nova/commit","nova/src/commit"),"please select a BUG ID")</f>
        <v>https://opendev.org/openstack/nova/src/commit/30871e870</v>
      </c>
      <c r="D395" s="30" t="s">
        <v>4706</v>
      </c>
      <c r="E395" s="16" t="s">
        <v>4775</v>
      </c>
      <c r="F395" s="54"/>
      <c r="H395" s="112" t="s">
        <v>4684</v>
      </c>
      <c r="I395" s="16" t="s">
        <v>4774</v>
      </c>
      <c r="J395" s="196" t="str">
        <f>IFERROR(VLOOKUP(A395,Internal_lists_bugs!$A$2:$I2031,9,FALSE()),"please select a BUG ID")</f>
        <v>https://review.opendev.org/c/openstack/nova/+/124714</v>
      </c>
    </row>
    <row r="396">
      <c r="A396" s="16" t="s">
        <v>64</v>
      </c>
      <c r="B396" s="50" t="str">
        <f>IFERROR(HYPERLINK(VLOOKUP(A396,Internal_lists_bugs!$A$2:$C$73,3,FALSE()), VLOOKUP(A396,Internal_lists_bugs!$A$2:$C$73,3,FALSE())&amp;Char(10) &amp; Char(10) &amp; VLOOKUP(A396,Internal_lists_bugs!$A$2:$Z$73,26,FALSE())),"please select a BUG ID")</f>
        <v>https://bugs.launchpad.net/nova/+bug/1381468
/filters/trusted_filter.py</v>
      </c>
      <c r="C396" s="81" t="str">
        <f>IFERROR(SUBSTITUTE(VLOOKUP(A396,Internal_lists_bugs!$A$2:$G2031,7,FALSE()),"nova/commit","nova/src/commit"),"please select a BUG ID")</f>
        <v>https://opendev.org/openstack/nova/src/commit/30871e870</v>
      </c>
      <c r="D396" s="30" t="s">
        <v>4710</v>
      </c>
      <c r="E396" s="16" t="s">
        <v>4775</v>
      </c>
      <c r="F396" s="54"/>
      <c r="H396" s="112" t="s">
        <v>4712</v>
      </c>
      <c r="I396" s="16" t="s">
        <v>4776</v>
      </c>
      <c r="J396" s="196" t="str">
        <f>IFERROR(VLOOKUP(A396,Internal_lists_bugs!$A$2:$I2031,9,FALSE()),"please select a BUG ID")</f>
        <v>https://review.opendev.org/c/openstack/nova/+/124714</v>
      </c>
    </row>
    <row r="397">
      <c r="A397" s="16" t="s">
        <v>64</v>
      </c>
      <c r="B397" s="50" t="str">
        <f>IFERROR(HYPERLINK(VLOOKUP(A397,Internal_lists_bugs!$A$2:$C$73,3,FALSE()), VLOOKUP(A397,Internal_lists_bugs!$A$2:$C$73,3,FALSE())&amp;Char(10) &amp; Char(10) &amp; VLOOKUP(A397,Internal_lists_bugs!$A$2:$Z$73,26,FALSE())),"please select a BUG ID")</f>
        <v>https://bugs.launchpad.net/nova/+bug/1381468
/filters/trusted_filter.py</v>
      </c>
      <c r="C397" s="81" t="str">
        <f>IFERROR(SUBSTITUTE(VLOOKUP(A397,Internal_lists_bugs!$A$2:$G2031,7,FALSE()),"nova/commit","nova/src/commit"),"please select a BUG ID")</f>
        <v>https://opendev.org/openstack/nova/src/commit/30871e870</v>
      </c>
      <c r="D397" s="30" t="s">
        <v>1325</v>
      </c>
      <c r="E397" s="16" t="s">
        <v>4751</v>
      </c>
      <c r="F397" s="54"/>
      <c r="H397" s="112" t="s">
        <v>4777</v>
      </c>
      <c r="I397" s="16" t="s">
        <v>4778</v>
      </c>
      <c r="J397" s="196" t="str">
        <f>IFERROR(VLOOKUP(A397,Internal_lists_bugs!$A$2:$I2031,9,FALSE()),"please select a BUG ID")</f>
        <v>https://review.opendev.org/c/openstack/nova/+/124714</v>
      </c>
    </row>
    <row r="398">
      <c r="A398" s="16" t="s">
        <v>64</v>
      </c>
      <c r="B398" s="50" t="str">
        <f>IFERROR(HYPERLINK(VLOOKUP(A398,Internal_lists_bugs!$A$2:$C$73,3,FALSE()), VLOOKUP(A398,Internal_lists_bugs!$A$2:$C$73,3,FALSE())&amp;Char(10) &amp; Char(10) &amp; VLOOKUP(A398,Internal_lists_bugs!$A$2:$Z$73,26,FALSE())),"please select a BUG ID")</f>
        <v>https://bugs.launchpad.net/nova/+bug/1381468
/filters/trusted_filter.py</v>
      </c>
      <c r="C398" s="81" t="str">
        <f>IFERROR(SUBSTITUTE(VLOOKUP(A398,Internal_lists_bugs!$A$2:$G2031,7,FALSE()),"nova/commit","nova/src/commit"),"please select a BUG ID")</f>
        <v>https://opendev.org/openstack/nova/src/commit/30871e870</v>
      </c>
      <c r="D398" s="30" t="s">
        <v>4680</v>
      </c>
      <c r="E398" s="16" t="s">
        <v>4886</v>
      </c>
      <c r="F398" s="54"/>
      <c r="H398" s="112" t="s">
        <v>4704</v>
      </c>
      <c r="I398" s="16" t="s">
        <v>4752</v>
      </c>
      <c r="J398" s="196" t="str">
        <f>IFERROR(VLOOKUP(A398,Internal_lists_bugs!$A$2:$I2031,9,FALSE()),"please select a BUG ID")</f>
        <v>https://review.opendev.org/c/openstack/nova/+/124714</v>
      </c>
    </row>
    <row r="399">
      <c r="A399" s="16" t="s">
        <v>64</v>
      </c>
      <c r="B399" s="50" t="str">
        <f>IFERROR(HYPERLINK(VLOOKUP(A399,Internal_lists_bugs!$A$2:$C$73,3,FALSE()), VLOOKUP(A399,Internal_lists_bugs!$A$2:$C$73,3,FALSE())&amp;Char(10) &amp; Char(10) &amp; VLOOKUP(A399,Internal_lists_bugs!$A$2:$Z$73,26,FALSE())),"please select a BUG ID")</f>
        <v>https://bugs.launchpad.net/nova/+bug/1381468
/filters/trusted_filter.py</v>
      </c>
      <c r="C399" s="81" t="str">
        <f>IFERROR(SUBSTITUTE(VLOOKUP(A399,Internal_lists_bugs!$A$2:$G2031,7,FALSE()),"nova/commit","nova/src/commit"),"please select a BUG ID")</f>
        <v>https://opendev.org/openstack/nova/src/commit/30871e870</v>
      </c>
      <c r="D399" s="30" t="s">
        <v>4754</v>
      </c>
      <c r="E399" s="16" t="s">
        <v>4755</v>
      </c>
      <c r="F399" s="54"/>
      <c r="H399" s="112" t="s">
        <v>4749</v>
      </c>
      <c r="I399" s="16" t="s">
        <v>4779</v>
      </c>
      <c r="J399" s="196" t="str">
        <f>IFERROR(VLOOKUP(A399,Internal_lists_bugs!$A$2:$I2031,9,FALSE()),"please select a BUG ID")</f>
        <v>https://review.opendev.org/c/openstack/nova/+/124714</v>
      </c>
    </row>
    <row r="400">
      <c r="A400" s="16" t="s">
        <v>64</v>
      </c>
      <c r="B400" s="50" t="str">
        <f>IFERROR(HYPERLINK(VLOOKUP(A400,Internal_lists_bugs!$A$2:$C$73,3,FALSE()), VLOOKUP(A400,Internal_lists_bugs!$A$2:$C$73,3,FALSE())&amp;Char(10) &amp; Char(10) &amp; VLOOKUP(A400,Internal_lists_bugs!$A$2:$Z$73,26,FALSE())),"please select a BUG ID")</f>
        <v>https://bugs.launchpad.net/nova/+bug/1381468
/filters/trusted_filter.py</v>
      </c>
      <c r="C400" s="81" t="str">
        <f>IFERROR(SUBSTITUTE(VLOOKUP(A400,Internal_lists_bugs!$A$2:$G2031,7,FALSE()),"nova/commit","nova/src/commit"),"please select a BUG ID")</f>
        <v>https://opendev.org/openstack/nova/src/commit/30871e870</v>
      </c>
      <c r="D400" s="30" t="s">
        <v>4714</v>
      </c>
      <c r="E400" s="16" t="s">
        <v>4738</v>
      </c>
      <c r="F400" s="54"/>
      <c r="H400" s="112" t="s">
        <v>4782</v>
      </c>
      <c r="I400" s="16" t="s">
        <v>4783</v>
      </c>
      <c r="J400" s="196" t="str">
        <f>IFERROR(VLOOKUP(A400,Internal_lists_bugs!$A$2:$I2031,9,FALSE()),"please select a BUG ID")</f>
        <v>https://review.opendev.org/c/openstack/nova/+/124714</v>
      </c>
    </row>
    <row r="401">
      <c r="A401" s="16" t="s">
        <v>64</v>
      </c>
      <c r="B401" s="50" t="str">
        <f>IFERROR(HYPERLINK(VLOOKUP(A401,Internal_lists_bugs!$A$2:$C$73,3,FALSE()), VLOOKUP(A401,Internal_lists_bugs!$A$2:$C$73,3,FALSE())&amp;Char(10) &amp; Char(10) &amp; VLOOKUP(A401,Internal_lists_bugs!$A$2:$Z$73,26,FALSE())),"please select a BUG ID")</f>
        <v>https://bugs.launchpad.net/nova/+bug/1381468
/filters/trusted_filter.py</v>
      </c>
      <c r="C401" s="81" t="str">
        <f>IFERROR(SUBSTITUTE(VLOOKUP(A401,Internal_lists_bugs!$A$2:$G2031,7,FALSE()),"nova/commit","nova/src/commit"),"please select a BUG ID")</f>
        <v>https://opendev.org/openstack/nova/src/commit/30871e870</v>
      </c>
      <c r="D401" s="30" t="s">
        <v>4807</v>
      </c>
      <c r="E401" s="16" t="s">
        <v>4822</v>
      </c>
      <c r="F401" s="54"/>
      <c r="H401" s="112" t="s">
        <v>4801</v>
      </c>
      <c r="I401" s="16" t="s">
        <v>4806</v>
      </c>
      <c r="J401" s="196" t="str">
        <f>IFERROR(VLOOKUP(A401,Internal_lists_bugs!$A$2:$I2031,9,FALSE()),"please select a BUG ID")</f>
        <v>https://review.opendev.org/c/openstack/nova/+/124714</v>
      </c>
    </row>
    <row r="402">
      <c r="A402" s="16" t="s">
        <v>64</v>
      </c>
      <c r="B402" s="50" t="str">
        <f>IFERROR(HYPERLINK(VLOOKUP(A402,Internal_lists_bugs!$A$2:$C$73,3,FALSE()), VLOOKUP(A402,Internal_lists_bugs!$A$2:$C$73,3,FALSE())&amp;Char(10) &amp; Char(10) &amp; VLOOKUP(A402,Internal_lists_bugs!$A$2:$Z$73,26,FALSE())),"please select a BUG ID")</f>
        <v>https://bugs.launchpad.net/nova/+bug/1381468
/filters/trusted_filter.py</v>
      </c>
      <c r="C402" s="81" t="str">
        <f>IFERROR(SUBSTITUTE(VLOOKUP(A402,Internal_lists_bugs!$A$2:$G2031,7,FALSE()),"nova/commit","nova/src/commit"),"please select a BUG ID")</f>
        <v>https://opendev.org/openstack/nova/src/commit/30871e870</v>
      </c>
      <c r="D402" s="30" t="s">
        <v>4812</v>
      </c>
      <c r="E402" s="16" t="s">
        <v>4813</v>
      </c>
      <c r="F402" s="54"/>
      <c r="H402" s="112" t="s">
        <v>4818</v>
      </c>
      <c r="I402" s="66" t="s">
        <v>4840</v>
      </c>
      <c r="J402" s="196" t="str">
        <f>IFERROR(VLOOKUP(A402,Internal_lists_bugs!$A$2:$I2031,9,FALSE()),"please select a BUG ID")</f>
        <v>https://review.opendev.org/c/openstack/nova/+/124714</v>
      </c>
    </row>
    <row r="403">
      <c r="A403" s="16" t="s">
        <v>64</v>
      </c>
      <c r="B403" s="50" t="str">
        <f>IFERROR(HYPERLINK(VLOOKUP(A403,Internal_lists_bugs!$A$2:$C$73,3,FALSE()), VLOOKUP(A403,Internal_lists_bugs!$A$2:$C$73,3,FALSE())&amp;Char(10) &amp; Char(10) &amp; VLOOKUP(A403,Internal_lists_bugs!$A$2:$Z$73,26,FALSE())),"please select a BUG ID")</f>
        <v>https://bugs.launchpad.net/nova/+bug/1381468
/filters/trusted_filter.py</v>
      </c>
      <c r="C403" s="81" t="str">
        <f>IFERROR(SUBSTITUTE(VLOOKUP(A403,Internal_lists_bugs!$A$2:$G2031,7,FALSE()),"nova/commit","nova/src/commit"),"please select a BUG ID")</f>
        <v>https://opendev.org/openstack/nova/src/commit/30871e870</v>
      </c>
      <c r="D403" s="30" t="s">
        <v>4841</v>
      </c>
      <c r="E403" s="16" t="s">
        <v>4842</v>
      </c>
      <c r="F403" s="54"/>
      <c r="H403" s="112" t="s">
        <v>4845</v>
      </c>
      <c r="I403" s="66" t="s">
        <v>4846</v>
      </c>
      <c r="J403" s="196" t="str">
        <f>IFERROR(VLOOKUP(A403,Internal_lists_bugs!$A$2:$I2031,9,FALSE()),"please select a BUG ID")</f>
        <v>https://review.opendev.org/c/openstack/nova/+/124714</v>
      </c>
    </row>
    <row r="404">
      <c r="A404" s="16" t="s">
        <v>64</v>
      </c>
      <c r="B404" s="50" t="str">
        <f>IFERROR(HYPERLINK(VLOOKUP(A404,Internal_lists_bugs!$A$2:$C$73,3,FALSE()), VLOOKUP(A404,Internal_lists_bugs!$A$2:$C$73,3,FALSE())&amp;Char(10) &amp; Char(10) &amp; VLOOKUP(A404,Internal_lists_bugs!$A$2:$Z$73,26,FALSE())),"please select a BUG ID")</f>
        <v>https://bugs.launchpad.net/nova/+bug/1381468
/filters/trusted_filter.py</v>
      </c>
      <c r="C404" s="81" t="str">
        <f>IFERROR(SUBSTITUTE(VLOOKUP(A404,Internal_lists_bugs!$A$2:$G2031,7,FALSE()),"nova/commit","nova/src/commit"),"please select a BUG ID")</f>
        <v>https://opendev.org/openstack/nova/src/commit/30871e870</v>
      </c>
      <c r="D404" s="30" t="s">
        <v>4847</v>
      </c>
      <c r="E404" s="14" t="s">
        <v>4905</v>
      </c>
      <c r="F404" s="54"/>
      <c r="H404" s="112" t="s">
        <v>4831</v>
      </c>
      <c r="J404" s="196" t="str">
        <f>IFERROR(VLOOKUP(A404,Internal_lists_bugs!$A$2:$I2031,9,FALSE()),"please select a BUG ID")</f>
        <v>https://review.opendev.org/c/openstack/nova/+/124714</v>
      </c>
    </row>
    <row r="405">
      <c r="A405" s="16" t="s">
        <v>64</v>
      </c>
      <c r="B405" s="50" t="str">
        <f>IFERROR(HYPERLINK(VLOOKUP(A405,Internal_lists_bugs!$A$2:$C$73,3,FALSE()), VLOOKUP(A405,Internal_lists_bugs!$A$2:$C$73,3,FALSE())&amp;Char(10) &amp; Char(10) &amp; VLOOKUP(A405,Internal_lists_bugs!$A$2:$Z$73,26,FALSE())),"please select a BUG ID")</f>
        <v>https://bugs.launchpad.net/nova/+bug/1381468
/filters/trusted_filter.py</v>
      </c>
      <c r="C405" s="81" t="str">
        <f>IFERROR(SUBSTITUTE(VLOOKUP(A405,Internal_lists_bugs!$A$2:$G2031,7,FALSE()),"nova/commit","nova/src/commit"),"please select a BUG ID")</f>
        <v>https://opendev.org/openstack/nova/src/commit/30871e870</v>
      </c>
      <c r="D405" s="30" t="s">
        <v>4859</v>
      </c>
      <c r="E405" s="14" t="s">
        <v>4906</v>
      </c>
      <c r="F405" s="54"/>
      <c r="H405" s="114"/>
      <c r="J405" s="196" t="str">
        <f>IFERROR(VLOOKUP(A405,Internal_lists_bugs!$A$2:$I2031,9,FALSE()),"please select a BUG ID")</f>
        <v>https://review.opendev.org/c/openstack/nova/+/124714</v>
      </c>
    </row>
    <row r="406">
      <c r="A406" s="16" t="s">
        <v>64</v>
      </c>
      <c r="B406" s="50" t="str">
        <f>IFERROR(HYPERLINK(VLOOKUP(A406,Internal_lists_bugs!$A$2:$C$73,3,FALSE()), VLOOKUP(A406,Internal_lists_bugs!$A$2:$C$73,3,FALSE())&amp;Char(10) &amp; Char(10) &amp; VLOOKUP(A406,Internal_lists_bugs!$A$2:$Z$73,26,FALSE())),"please select a BUG ID")</f>
        <v>https://bugs.launchpad.net/nova/+bug/1381468
/filters/trusted_filter.py</v>
      </c>
      <c r="C406" s="81" t="str">
        <f>IFERROR(SUBSTITUTE(VLOOKUP(A406,Internal_lists_bugs!$A$2:$G2031,7,FALSE()),"nova/commit","nova/src/commit"),"please select a BUG ID")</f>
        <v>https://opendev.org/openstack/nova/src/commit/30871e870</v>
      </c>
      <c r="D406" s="30" t="s">
        <v>4849</v>
      </c>
      <c r="E406" s="14" t="s">
        <v>4907</v>
      </c>
      <c r="F406" s="54"/>
      <c r="H406" s="114"/>
      <c r="J406" s="196" t="str">
        <f>IFERROR(VLOOKUP(A406,Internal_lists_bugs!$A$2:$I2031,9,FALSE()),"please select a BUG ID")</f>
        <v>https://review.opendev.org/c/openstack/nova/+/124714</v>
      </c>
    </row>
    <row r="407">
      <c r="A407" s="189" t="s">
        <v>42</v>
      </c>
      <c r="B407" s="198" t="str">
        <f>IFERROR(HYPERLINK(VLOOKUP(A407,Internal_lists_bugs!$A$2:$C$73,3,FALSE()), VLOOKUP(A407,Internal_lists_bugs!$A$2:$C$73,3,FALSE())&amp;Char(10) &amp; Char(10) &amp; VLOOKUP(A407,Internal_lists_bugs!$A$2:$Z$73,26,FALSE())),"please select a BUG ID")</f>
        <v>https://bugs.launchpad.net/nova/+bug/1467451
/hyperv/vmutils.py
/virt/hyperv/vmutilsv2.py </v>
      </c>
      <c r="C407" s="199" t="str">
        <f>IFERROR(SUBSTITUTE(VLOOKUP(A407,Internal_lists_bugs!$A$2:$G2031,7,FALSE()),"nova/commit","nova/src/commit"),"please select a BUG ID")</f>
        <v>https://opendev.org/openstack/nova/src/commit/0e02db2980dc4e76ef7949ba4ec131af9fc4a44d</v>
      </c>
      <c r="D407" s="189" t="s">
        <v>4758</v>
      </c>
      <c r="E407" s="190" t="s">
        <v>4759</v>
      </c>
      <c r="F407" s="189" t="s">
        <v>4682</v>
      </c>
      <c r="G407" s="189" t="s">
        <v>4802</v>
      </c>
      <c r="H407" s="191" t="s">
        <v>4756</v>
      </c>
      <c r="I407" s="194" t="s">
        <v>4761</v>
      </c>
      <c r="J407" s="195" t="str">
        <f>IFERROR(VLOOKUP(A407,Internal_lists_bugs!$A$2:$I2031,9,FALSE()),"please select a BUG ID")</f>
        <v>https://review.opendev.org/c/openstack/nova/+/129235</v>
      </c>
      <c r="K407" s="193"/>
      <c r="L407" s="193"/>
    </row>
    <row r="408">
      <c r="A408" s="16" t="s">
        <v>42</v>
      </c>
      <c r="B408" s="50" t="str">
        <f>IFERROR(HYPERLINK(VLOOKUP(A408,Internal_lists_bugs!$A$2:$C$73,3,FALSE()), VLOOKUP(A408,Internal_lists_bugs!$A$2:$C$73,3,FALSE())&amp;Char(10) &amp; Char(10) &amp; VLOOKUP(A408,Internal_lists_bugs!$A$2:$Z$73,26,FALSE())),"please select a BUG ID")</f>
        <v>https://bugs.launchpad.net/nova/+bug/1467451
/hyperv/vmutils.py
/virt/hyperv/vmutilsv2.py </v>
      </c>
      <c r="C408" s="81" t="str">
        <f>IFERROR(SUBSTITUTE(VLOOKUP(A408,Internal_lists_bugs!$A$2:$G2031,7,FALSE()),"nova/commit","nova/src/commit"),"please select a BUG ID")</f>
        <v>https://opendev.org/openstack/nova/src/commit/0e02db2980dc4e76ef7949ba4ec131af9fc4a44d</v>
      </c>
      <c r="D408" s="16" t="s">
        <v>4765</v>
      </c>
      <c r="E408" s="14" t="s">
        <v>4908</v>
      </c>
      <c r="F408" s="54"/>
      <c r="H408" s="112" t="s">
        <v>4763</v>
      </c>
      <c r="I408" s="16" t="s">
        <v>4797</v>
      </c>
      <c r="J408" s="196" t="str">
        <f>IFERROR(VLOOKUP(A408,Internal_lists_bugs!$A$2:$I2031,9,FALSE()),"please select a BUG ID")</f>
        <v>https://review.opendev.org/c/openstack/nova/+/129235</v>
      </c>
    </row>
    <row r="409">
      <c r="A409" s="16" t="s">
        <v>42</v>
      </c>
      <c r="B409" s="50" t="str">
        <f>IFERROR(HYPERLINK(VLOOKUP(A409,Internal_lists_bugs!$A$2:$C$73,3,FALSE()), VLOOKUP(A409,Internal_lists_bugs!$A$2:$C$73,3,FALSE())&amp;Char(10) &amp; Char(10) &amp; VLOOKUP(A409,Internal_lists_bugs!$A$2:$Z$73,26,FALSE())),"please select a BUG ID")</f>
        <v>https://bugs.launchpad.net/nova/+bug/1467451
/hyperv/vmutils.py
/virt/hyperv/vmutilsv2.py </v>
      </c>
      <c r="C409" s="81" t="str">
        <f>IFERROR(SUBSTITUTE(VLOOKUP(A409,Internal_lists_bugs!$A$2:$G2031,7,FALSE()),"nova/commit","nova/src/commit"),"please select a BUG ID")</f>
        <v>https://opendev.org/openstack/nova/src/commit/0e02db2980dc4e76ef7949ba4ec131af9fc4a44d</v>
      </c>
      <c r="D409" s="16" t="s">
        <v>4686</v>
      </c>
      <c r="E409" s="63" t="s">
        <v>4768</v>
      </c>
      <c r="F409" s="54"/>
      <c r="H409" s="112" t="s">
        <v>4708</v>
      </c>
      <c r="I409" s="16" t="s">
        <v>4767</v>
      </c>
      <c r="J409" s="196" t="str">
        <f>IFERROR(VLOOKUP(A409,Internal_lists_bugs!$A$2:$I2031,9,FALSE()),"please select a BUG ID")</f>
        <v>https://review.opendev.org/c/openstack/nova/+/129235</v>
      </c>
    </row>
    <row r="410">
      <c r="A410" s="16" t="s">
        <v>42</v>
      </c>
      <c r="B410" s="50" t="str">
        <f>IFERROR(HYPERLINK(VLOOKUP(A410,Internal_lists_bugs!$A$2:$C$73,3,FALSE()), VLOOKUP(A410,Internal_lists_bugs!$A$2:$C$73,3,FALSE())&amp;Char(10) &amp; Char(10) &amp; VLOOKUP(A410,Internal_lists_bugs!$A$2:$Z$73,26,FALSE())),"please select a BUG ID")</f>
        <v>https://bugs.launchpad.net/nova/+bug/1467451
/hyperv/vmutils.py
/virt/hyperv/vmutilsv2.py </v>
      </c>
      <c r="C410" s="81" t="str">
        <f>IFERROR(SUBSTITUTE(VLOOKUP(A410,Internal_lists_bugs!$A$2:$G2031,7,FALSE()),"nova/commit","nova/src/commit"),"please select a BUG ID")</f>
        <v>https://opendev.org/openstack/nova/src/commit/0e02db2980dc4e76ef7949ba4ec131af9fc4a44d</v>
      </c>
      <c r="D410" s="16" t="s">
        <v>4690</v>
      </c>
      <c r="E410" s="16" t="s">
        <v>4731</v>
      </c>
      <c r="F410" s="54"/>
      <c r="H410" s="112" t="s">
        <v>4696</v>
      </c>
      <c r="I410" s="16" t="s">
        <v>4731</v>
      </c>
      <c r="J410" s="196" t="str">
        <f>IFERROR(VLOOKUP(A410,Internal_lists_bugs!$A$2:$I2031,9,FALSE()),"please select a BUG ID")</f>
        <v>https://review.opendev.org/c/openstack/nova/+/129235</v>
      </c>
    </row>
    <row r="411">
      <c r="A411" s="16" t="s">
        <v>42</v>
      </c>
      <c r="B411" s="50" t="str">
        <f>IFERROR(HYPERLINK(VLOOKUP(A411,Internal_lists_bugs!$A$2:$C$73,3,FALSE()), VLOOKUP(A411,Internal_lists_bugs!$A$2:$C$73,3,FALSE())&amp;Char(10) &amp; Char(10) &amp; VLOOKUP(A411,Internal_lists_bugs!$A$2:$Z$73,26,FALSE())),"please select a BUG ID")</f>
        <v>https://bugs.launchpad.net/nova/+bug/1467451
/hyperv/vmutils.py
/virt/hyperv/vmutilsv2.py </v>
      </c>
      <c r="C411" s="81" t="str">
        <f>IFERROR(SUBSTITUTE(VLOOKUP(A411,Internal_lists_bugs!$A$2:$G2031,7,FALSE()),"nova/commit","nova/src/commit"),"please select a BUG ID")</f>
        <v>https://opendev.org/openstack/nova/src/commit/0e02db2980dc4e76ef7949ba4ec131af9fc4a44d</v>
      </c>
      <c r="D411" s="16" t="s">
        <v>4702</v>
      </c>
      <c r="E411" s="16" t="s">
        <v>4770</v>
      </c>
      <c r="F411" s="54"/>
      <c r="H411" s="112" t="s">
        <v>4716</v>
      </c>
      <c r="I411" s="16" t="s">
        <v>4769</v>
      </c>
      <c r="J411" s="196" t="str">
        <f>IFERROR(VLOOKUP(A411,Internal_lists_bugs!$A$2:$I2031,9,FALSE()),"please select a BUG ID")</f>
        <v>https://review.opendev.org/c/openstack/nova/+/129235</v>
      </c>
    </row>
    <row r="412">
      <c r="A412" s="16" t="s">
        <v>42</v>
      </c>
      <c r="B412" s="50" t="str">
        <f>IFERROR(HYPERLINK(VLOOKUP(A412,Internal_lists_bugs!$A$2:$C$73,3,FALSE()), VLOOKUP(A412,Internal_lists_bugs!$A$2:$C$73,3,FALSE())&amp;Char(10) &amp; Char(10) &amp; VLOOKUP(A412,Internal_lists_bugs!$A$2:$Z$73,26,FALSE())),"please select a BUG ID")</f>
        <v>https://bugs.launchpad.net/nova/+bug/1467451
/hyperv/vmutils.py
/virt/hyperv/vmutilsv2.py </v>
      </c>
      <c r="C412" s="81" t="str">
        <f>IFERROR(SUBSTITUTE(VLOOKUP(A412,Internal_lists_bugs!$A$2:$G2031,7,FALSE()),"nova/commit","nova/src/commit"),"please select a BUG ID")</f>
        <v>https://opendev.org/openstack/nova/src/commit/0e02db2980dc4e76ef7949ba4ec131af9fc4a44d</v>
      </c>
      <c r="D412" s="16" t="s">
        <v>4772</v>
      </c>
      <c r="E412" s="14" t="s">
        <v>4909</v>
      </c>
      <c r="F412" s="54"/>
      <c r="H412" s="112" t="s">
        <v>4708</v>
      </c>
      <c r="I412" s="16" t="s">
        <v>4771</v>
      </c>
      <c r="J412" s="196" t="str">
        <f>IFERROR(VLOOKUP(A412,Internal_lists_bugs!$A$2:$I2031,9,FALSE()),"please select a BUG ID")</f>
        <v>https://review.opendev.org/c/openstack/nova/+/129235</v>
      </c>
    </row>
    <row r="413">
      <c r="A413" s="16" t="s">
        <v>42</v>
      </c>
      <c r="B413" s="50" t="str">
        <f>IFERROR(HYPERLINK(VLOOKUP(A413,Internal_lists_bugs!$A$2:$C$73,3,FALSE()), VLOOKUP(A413,Internal_lists_bugs!$A$2:$C$73,3,FALSE())&amp;Char(10) &amp; Char(10) &amp; VLOOKUP(A413,Internal_lists_bugs!$A$2:$Z$73,26,FALSE())),"please select a BUG ID")</f>
        <v>https://bugs.launchpad.net/nova/+bug/1467451
/hyperv/vmutils.py
/virt/hyperv/vmutilsv2.py </v>
      </c>
      <c r="C413" s="81" t="str">
        <f>IFERROR(SUBSTITUTE(VLOOKUP(A413,Internal_lists_bugs!$A$2:$G2031,7,FALSE()),"nova/commit","nova/src/commit"),"please select a BUG ID")</f>
        <v>https://opendev.org/openstack/nova/src/commit/0e02db2980dc4e76ef7949ba4ec131af9fc4a44d</v>
      </c>
      <c r="D413" s="16" t="s">
        <v>4706</v>
      </c>
      <c r="E413" s="16" t="s">
        <v>4775</v>
      </c>
      <c r="F413" s="54"/>
      <c r="H413" s="112" t="s">
        <v>4684</v>
      </c>
      <c r="I413" s="16" t="s">
        <v>4774</v>
      </c>
      <c r="J413" s="196" t="str">
        <f>IFERROR(VLOOKUP(A413,Internal_lists_bugs!$A$2:$I2031,9,FALSE()),"please select a BUG ID")</f>
        <v>https://review.opendev.org/c/openstack/nova/+/129235</v>
      </c>
    </row>
    <row r="414">
      <c r="A414" s="16" t="s">
        <v>42</v>
      </c>
      <c r="B414" s="50" t="str">
        <f>IFERROR(HYPERLINK(VLOOKUP(A414,Internal_lists_bugs!$A$2:$C$73,3,FALSE()), VLOOKUP(A414,Internal_lists_bugs!$A$2:$C$73,3,FALSE())&amp;Char(10) &amp; Char(10) &amp; VLOOKUP(A414,Internal_lists_bugs!$A$2:$Z$73,26,FALSE())),"please select a BUG ID")</f>
        <v>https://bugs.launchpad.net/nova/+bug/1467451
/hyperv/vmutils.py
/virt/hyperv/vmutilsv2.py </v>
      </c>
      <c r="C414" s="81" t="str">
        <f>IFERROR(SUBSTITUTE(VLOOKUP(A414,Internal_lists_bugs!$A$2:$G2031,7,FALSE()),"nova/commit","nova/src/commit"),"please select a BUG ID")</f>
        <v>https://opendev.org/openstack/nova/src/commit/0e02db2980dc4e76ef7949ba4ec131af9fc4a44d</v>
      </c>
      <c r="D414" s="16" t="s">
        <v>4710</v>
      </c>
      <c r="E414" s="16" t="s">
        <v>4775</v>
      </c>
      <c r="F414" s="54"/>
      <c r="H414" s="112" t="s">
        <v>4712</v>
      </c>
      <c r="I414" s="16" t="s">
        <v>4776</v>
      </c>
      <c r="J414" s="196" t="str">
        <f>IFERROR(VLOOKUP(A414,Internal_lists_bugs!$A$2:$I2031,9,FALSE()),"please select a BUG ID")</f>
        <v>https://review.opendev.org/c/openstack/nova/+/129235</v>
      </c>
    </row>
    <row r="415">
      <c r="A415" s="16" t="s">
        <v>42</v>
      </c>
      <c r="B415" s="50" t="str">
        <f>IFERROR(HYPERLINK(VLOOKUP(A415,Internal_lists_bugs!$A$2:$C$73,3,FALSE()), VLOOKUP(A415,Internal_lists_bugs!$A$2:$C$73,3,FALSE())&amp;Char(10) &amp; Char(10) &amp; VLOOKUP(A415,Internal_lists_bugs!$A$2:$Z$73,26,FALSE())),"please select a BUG ID")</f>
        <v>https://bugs.launchpad.net/nova/+bug/1467451
/hyperv/vmutils.py
/virt/hyperv/vmutilsv2.py </v>
      </c>
      <c r="C415" s="81" t="str">
        <f>IFERROR(SUBSTITUTE(VLOOKUP(A415,Internal_lists_bugs!$A$2:$G2031,7,FALSE()),"nova/commit","nova/src/commit"),"please select a BUG ID")</f>
        <v>https://opendev.org/openstack/nova/src/commit/0e02db2980dc4e76ef7949ba4ec131af9fc4a44d</v>
      </c>
      <c r="D415" s="16" t="s">
        <v>1325</v>
      </c>
      <c r="E415" s="16" t="s">
        <v>4751</v>
      </c>
      <c r="F415" s="54"/>
      <c r="H415" s="112" t="s">
        <v>4777</v>
      </c>
      <c r="I415" s="16" t="s">
        <v>4778</v>
      </c>
      <c r="J415" s="196" t="str">
        <f>IFERROR(VLOOKUP(A415,Internal_lists_bugs!$A$2:$I2031,9,FALSE()),"please select a BUG ID")</f>
        <v>https://review.opendev.org/c/openstack/nova/+/129235</v>
      </c>
    </row>
    <row r="416">
      <c r="A416" s="16" t="s">
        <v>42</v>
      </c>
      <c r="B416" s="50" t="str">
        <f>IFERROR(HYPERLINK(VLOOKUP(A416,Internal_lists_bugs!$A$2:$C$73,3,FALSE()), VLOOKUP(A416,Internal_lists_bugs!$A$2:$C$73,3,FALSE())&amp;Char(10) &amp; Char(10) &amp; VLOOKUP(A416,Internal_lists_bugs!$A$2:$Z$73,26,FALSE())),"please select a BUG ID")</f>
        <v>https://bugs.launchpad.net/nova/+bug/1467451
/hyperv/vmutils.py
/virt/hyperv/vmutilsv2.py </v>
      </c>
      <c r="C416" s="81" t="str">
        <f>IFERROR(SUBSTITUTE(VLOOKUP(A416,Internal_lists_bugs!$A$2:$G2031,7,FALSE()),"nova/commit","nova/src/commit"),"please select a BUG ID")</f>
        <v>https://opendev.org/openstack/nova/src/commit/0e02db2980dc4e76ef7949ba4ec131af9fc4a44d</v>
      </c>
      <c r="D416" s="16" t="s">
        <v>4680</v>
      </c>
      <c r="E416" s="16" t="s">
        <v>4886</v>
      </c>
      <c r="F416" s="54"/>
      <c r="H416" s="112" t="s">
        <v>4704</v>
      </c>
      <c r="I416" s="16" t="s">
        <v>4752</v>
      </c>
      <c r="J416" s="196" t="str">
        <f>IFERROR(VLOOKUP(A416,Internal_lists_bugs!$A$2:$I2031,9,FALSE()),"please select a BUG ID")</f>
        <v>https://review.opendev.org/c/openstack/nova/+/129235</v>
      </c>
    </row>
    <row r="417">
      <c r="A417" s="16" t="s">
        <v>42</v>
      </c>
      <c r="B417" s="50" t="str">
        <f>IFERROR(HYPERLINK(VLOOKUP(A417,Internal_lists_bugs!$A$2:$C$73,3,FALSE()), VLOOKUP(A417,Internal_lists_bugs!$A$2:$C$73,3,FALSE())&amp;Char(10) &amp; Char(10) &amp; VLOOKUP(A417,Internal_lists_bugs!$A$2:$Z$73,26,FALSE())),"please select a BUG ID")</f>
        <v>https://bugs.launchpad.net/nova/+bug/1467451
/hyperv/vmutils.py
/virt/hyperv/vmutilsv2.py </v>
      </c>
      <c r="C417" s="81" t="str">
        <f>IFERROR(SUBSTITUTE(VLOOKUP(A417,Internal_lists_bugs!$A$2:$G2031,7,FALSE()),"nova/commit","nova/src/commit"),"please select a BUG ID")</f>
        <v>https://opendev.org/openstack/nova/src/commit/0e02db2980dc4e76ef7949ba4ec131af9fc4a44d</v>
      </c>
      <c r="D417" s="16" t="s">
        <v>4754</v>
      </c>
      <c r="E417" s="16" t="s">
        <v>4755</v>
      </c>
      <c r="F417" s="54"/>
      <c r="H417" s="112" t="s">
        <v>4749</v>
      </c>
      <c r="I417" s="16" t="s">
        <v>4779</v>
      </c>
      <c r="J417" s="196" t="str">
        <f>IFERROR(VLOOKUP(A417,Internal_lists_bugs!$A$2:$I2031,9,FALSE()),"please select a BUG ID")</f>
        <v>https://review.opendev.org/c/openstack/nova/+/129235</v>
      </c>
    </row>
    <row r="418">
      <c r="A418" s="16" t="s">
        <v>42</v>
      </c>
      <c r="B418" s="50" t="str">
        <f>IFERROR(HYPERLINK(VLOOKUP(A418,Internal_lists_bugs!$A$2:$C$73,3,FALSE()), VLOOKUP(A418,Internal_lists_bugs!$A$2:$C$73,3,FALSE())&amp;Char(10) &amp; Char(10) &amp; VLOOKUP(A418,Internal_lists_bugs!$A$2:$Z$73,26,FALSE())),"please select a BUG ID")</f>
        <v>https://bugs.launchpad.net/nova/+bug/1467451
/hyperv/vmutils.py
/virt/hyperv/vmutilsv2.py </v>
      </c>
      <c r="C418" s="81" t="str">
        <f>IFERROR(SUBSTITUTE(VLOOKUP(A418,Internal_lists_bugs!$A$2:$G2031,7,FALSE()),"nova/commit","nova/src/commit"),"please select a BUG ID")</f>
        <v>https://opendev.org/openstack/nova/src/commit/0e02db2980dc4e76ef7949ba4ec131af9fc4a44d</v>
      </c>
      <c r="D418" s="16" t="s">
        <v>4714</v>
      </c>
      <c r="E418" s="16" t="s">
        <v>4738</v>
      </c>
      <c r="F418" s="54"/>
      <c r="H418" s="112" t="s">
        <v>4782</v>
      </c>
      <c r="I418" s="16" t="s">
        <v>4783</v>
      </c>
      <c r="J418" s="196" t="str">
        <f>IFERROR(VLOOKUP(A418,Internal_lists_bugs!$A$2:$I2031,9,FALSE()),"please select a BUG ID")</f>
        <v>https://review.opendev.org/c/openstack/nova/+/129235</v>
      </c>
    </row>
    <row r="419">
      <c r="A419" s="16" t="s">
        <v>42</v>
      </c>
      <c r="B419" s="50" t="str">
        <f>IFERROR(HYPERLINK(VLOOKUP(A419,Internal_lists_bugs!$A$2:$C$73,3,FALSE()), VLOOKUP(A419,Internal_lists_bugs!$A$2:$C$73,3,FALSE())&amp;Char(10) &amp; Char(10) &amp; VLOOKUP(A419,Internal_lists_bugs!$A$2:$Z$73,26,FALSE())),"please select a BUG ID")</f>
        <v>https://bugs.launchpad.net/nova/+bug/1467451
/hyperv/vmutils.py
/virt/hyperv/vmutilsv2.py </v>
      </c>
      <c r="C419" s="81" t="str">
        <f>IFERROR(SUBSTITUTE(VLOOKUP(A419,Internal_lists_bugs!$A$2:$G2031,7,FALSE()),"nova/commit","nova/src/commit"),"please select a BUG ID")</f>
        <v>https://opendev.org/openstack/nova/src/commit/0e02db2980dc4e76ef7949ba4ec131af9fc4a44d</v>
      </c>
      <c r="D419" s="16" t="s">
        <v>4807</v>
      </c>
      <c r="E419" s="16" t="s">
        <v>4822</v>
      </c>
      <c r="F419" s="54"/>
      <c r="H419" s="112" t="s">
        <v>4801</v>
      </c>
      <c r="I419" s="16" t="s">
        <v>4806</v>
      </c>
      <c r="J419" s="196" t="str">
        <f>IFERROR(VLOOKUP(A419,Internal_lists_bugs!$A$2:$I2031,9,FALSE()),"please select a BUG ID")</f>
        <v>https://review.opendev.org/c/openstack/nova/+/129235</v>
      </c>
    </row>
    <row r="420">
      <c r="A420" s="16" t="s">
        <v>42</v>
      </c>
      <c r="B420" s="50" t="str">
        <f>IFERROR(HYPERLINK(VLOOKUP(A420,Internal_lists_bugs!$A$2:$C$73,3,FALSE()), VLOOKUP(A420,Internal_lists_bugs!$A$2:$C$73,3,FALSE())&amp;Char(10) &amp; Char(10) &amp; VLOOKUP(A420,Internal_lists_bugs!$A$2:$Z$73,26,FALSE())),"please select a BUG ID")</f>
        <v>https://bugs.launchpad.net/nova/+bug/1467451
/hyperv/vmutils.py
/virt/hyperv/vmutilsv2.py </v>
      </c>
      <c r="C420" s="81" t="str">
        <f>IFERROR(SUBSTITUTE(VLOOKUP(A420,Internal_lists_bugs!$A$2:$G2031,7,FALSE()),"nova/commit","nova/src/commit"),"please select a BUG ID")</f>
        <v>https://opendev.org/openstack/nova/src/commit/0e02db2980dc4e76ef7949ba4ec131af9fc4a44d</v>
      </c>
      <c r="D420" s="16" t="s">
        <v>4812</v>
      </c>
      <c r="E420" s="16" t="s">
        <v>4813</v>
      </c>
      <c r="F420" s="54"/>
      <c r="H420" s="112" t="s">
        <v>4818</v>
      </c>
      <c r="I420" s="66" t="s">
        <v>4840</v>
      </c>
      <c r="J420" s="196" t="str">
        <f>IFERROR(VLOOKUP(A420,Internal_lists_bugs!$A$2:$I2031,9,FALSE()),"please select a BUG ID")</f>
        <v>https://review.opendev.org/c/openstack/nova/+/129235</v>
      </c>
    </row>
    <row r="421">
      <c r="A421" s="16" t="s">
        <v>42</v>
      </c>
      <c r="B421" s="50" t="str">
        <f>IFERROR(HYPERLINK(VLOOKUP(A421,Internal_lists_bugs!$A$2:$C$73,3,FALSE()), VLOOKUP(A421,Internal_lists_bugs!$A$2:$C$73,3,FALSE())&amp;Char(10) &amp; Char(10) &amp; VLOOKUP(A421,Internal_lists_bugs!$A$2:$Z$73,26,FALSE())),"please select a BUG ID")</f>
        <v>https://bugs.launchpad.net/nova/+bug/1467451
/hyperv/vmutils.py
/virt/hyperv/vmutilsv2.py </v>
      </c>
      <c r="C421" s="81" t="str">
        <f>IFERROR(SUBSTITUTE(VLOOKUP(A421,Internal_lists_bugs!$A$2:$G2031,7,FALSE()),"nova/commit","nova/src/commit"),"please select a BUG ID")</f>
        <v>https://opendev.org/openstack/nova/src/commit/0e02db2980dc4e76ef7949ba4ec131af9fc4a44d</v>
      </c>
      <c r="D421" s="16" t="s">
        <v>4841</v>
      </c>
      <c r="E421" s="16" t="s">
        <v>4842</v>
      </c>
      <c r="F421" s="54"/>
      <c r="H421" s="112" t="s">
        <v>4845</v>
      </c>
      <c r="I421" s="66" t="s">
        <v>4846</v>
      </c>
      <c r="J421" s="196" t="str">
        <f>IFERROR(VLOOKUP(A421,Internal_lists_bugs!$A$2:$I2031,9,FALSE()),"please select a BUG ID")</f>
        <v>https://review.opendev.org/c/openstack/nova/+/129235</v>
      </c>
    </row>
    <row r="422">
      <c r="A422" s="16" t="s">
        <v>42</v>
      </c>
      <c r="B422" s="50" t="str">
        <f>IFERROR(HYPERLINK(VLOOKUP(A422,Internal_lists_bugs!$A$2:$C$73,3,FALSE()), VLOOKUP(A422,Internal_lists_bugs!$A$2:$C$73,3,FALSE())&amp;Char(10) &amp; Char(10) &amp; VLOOKUP(A422,Internal_lists_bugs!$A$2:$Z$73,26,FALSE())),"please select a BUG ID")</f>
        <v>https://bugs.launchpad.net/nova/+bug/1467451
/hyperv/vmutils.py
/virt/hyperv/vmutilsv2.py </v>
      </c>
      <c r="C422" s="81" t="str">
        <f>IFERROR(SUBSTITUTE(VLOOKUP(A422,Internal_lists_bugs!$A$2:$G2031,7,FALSE()),"nova/commit","nova/src/commit"),"please select a BUG ID")</f>
        <v>https://opendev.org/openstack/nova/src/commit/0e02db2980dc4e76ef7949ba4ec131af9fc4a44d</v>
      </c>
      <c r="D422" s="16" t="s">
        <v>4847</v>
      </c>
      <c r="E422" s="14" t="s">
        <v>4910</v>
      </c>
      <c r="F422" s="54"/>
      <c r="H422" s="112" t="s">
        <v>4831</v>
      </c>
      <c r="J422" s="196" t="str">
        <f>IFERROR(VLOOKUP(A422,Internal_lists_bugs!$A$2:$I2031,9,FALSE()),"please select a BUG ID")</f>
        <v>https://review.opendev.org/c/openstack/nova/+/129235</v>
      </c>
    </row>
    <row r="423">
      <c r="A423" s="16" t="s">
        <v>42</v>
      </c>
      <c r="B423" s="50" t="str">
        <f>IFERROR(HYPERLINK(VLOOKUP(A423,Internal_lists_bugs!$A$2:$C$73,3,FALSE()), VLOOKUP(A423,Internal_lists_bugs!$A$2:$C$73,3,FALSE())&amp;Char(10) &amp; Char(10) &amp; VLOOKUP(A423,Internal_lists_bugs!$A$2:$Z$73,26,FALSE())),"please select a BUG ID")</f>
        <v>https://bugs.launchpad.net/nova/+bug/1467451
/hyperv/vmutils.py
/virt/hyperv/vmutilsv2.py </v>
      </c>
      <c r="C423" s="81" t="str">
        <f>IFERROR(SUBSTITUTE(VLOOKUP(A423,Internal_lists_bugs!$A$2:$G2031,7,FALSE()),"nova/commit","nova/src/commit"),"please select a BUG ID")</f>
        <v>https://opendev.org/openstack/nova/src/commit/0e02db2980dc4e76ef7949ba4ec131af9fc4a44d</v>
      </c>
      <c r="D423" s="16" t="s">
        <v>4859</v>
      </c>
      <c r="E423" s="14" t="s">
        <v>4911</v>
      </c>
      <c r="F423" s="54"/>
      <c r="H423" s="114"/>
      <c r="J423" s="196" t="str">
        <f>IFERROR(VLOOKUP(A423,Internal_lists_bugs!$A$2:$I2031,9,FALSE()),"please select a BUG ID")</f>
        <v>https://review.opendev.org/c/openstack/nova/+/129235</v>
      </c>
    </row>
    <row r="424">
      <c r="A424" s="16" t="s">
        <v>42</v>
      </c>
      <c r="B424" s="50" t="str">
        <f>IFERROR(HYPERLINK(VLOOKUP(A424,Internal_lists_bugs!$A$2:$C$73,3,FALSE()), VLOOKUP(A424,Internal_lists_bugs!$A$2:$C$73,3,FALSE())&amp;Char(10) &amp; Char(10) &amp; VLOOKUP(A424,Internal_lists_bugs!$A$2:$Z$73,26,FALSE())),"please select a BUG ID")</f>
        <v>https://bugs.launchpad.net/nova/+bug/1467451
/hyperv/vmutils.py
/virt/hyperv/vmutilsv2.py </v>
      </c>
      <c r="C424" s="81" t="str">
        <f>IFERROR(SUBSTITUTE(VLOOKUP(A424,Internal_lists_bugs!$A$2:$G2031,7,FALSE()),"nova/commit","nova/src/commit"),"please select a BUG ID")</f>
        <v>https://opendev.org/openstack/nova/src/commit/0e02db2980dc4e76ef7949ba4ec131af9fc4a44d</v>
      </c>
      <c r="D424" s="16" t="s">
        <v>4849</v>
      </c>
      <c r="E424" s="14" t="s">
        <v>4912</v>
      </c>
      <c r="F424" s="54"/>
      <c r="H424" s="114"/>
      <c r="J424" s="196" t="str">
        <f>IFERROR(VLOOKUP(A424,Internal_lists_bugs!$A$2:$I2031,9,FALSE()),"please select a BUG ID")</f>
        <v>https://review.opendev.org/c/openstack/nova/+/129235</v>
      </c>
    </row>
    <row r="425">
      <c r="A425" s="16" t="s">
        <v>42</v>
      </c>
      <c r="B425" s="50" t="str">
        <f>IFERROR(HYPERLINK(VLOOKUP(A425,Internal_lists_bugs!$A$2:$C$73,3,FALSE()), VLOOKUP(A425,Internal_lists_bugs!$A$2:$C$73,3,FALSE())&amp;Char(10) &amp; Char(10) &amp; VLOOKUP(A425,Internal_lists_bugs!$A$2:$Z$73,26,FALSE())),"please select a BUG ID")</f>
        <v>https://bugs.launchpad.net/nova/+bug/1467451
/hyperv/vmutils.py
/virt/hyperv/vmutilsv2.py </v>
      </c>
      <c r="C425" s="81" t="str">
        <f>IFERROR(SUBSTITUTE(VLOOKUP(A425,Internal_lists_bugs!$A$2:$G2031,7,FALSE()),"nova/commit","nova/src/commit"),"please select a BUG ID")</f>
        <v>https://opendev.org/openstack/nova/src/commit/0e02db2980dc4e76ef7949ba4ec131af9fc4a44d</v>
      </c>
      <c r="D425" s="16" t="s">
        <v>4861</v>
      </c>
      <c r="E425" s="14" t="s">
        <v>4913</v>
      </c>
      <c r="F425" s="54"/>
      <c r="H425" s="114"/>
      <c r="J425" s="196" t="str">
        <f>IFERROR(VLOOKUP(A425,Internal_lists_bugs!$A$2:$I2031,9,FALSE()),"please select a BUG ID")</f>
        <v>https://review.opendev.org/c/openstack/nova/+/129235</v>
      </c>
    </row>
    <row r="426">
      <c r="A426" s="189" t="s">
        <v>43</v>
      </c>
      <c r="B426" s="198" t="str">
        <f>IFERROR(HYPERLINK(VLOOKUP(A426,Internal_lists_bugs!$A$2:$C$73,3,FALSE()), VLOOKUP(A426,Internal_lists_bugs!$A$2:$C$73,3,FALSE())&amp;Char(10) &amp; Char(10) &amp; VLOOKUP(A426,Internal_lists_bugs!$A$2:$Z$73,26,FALSE())),"please select a BUG ID")</f>
        <v>https://bugs.launchpad.net/nova/+bug/1392798
/compute/manager.py</v>
      </c>
      <c r="C426" s="199" t="str">
        <f>IFERROR(SUBSTITUTE(VLOOKUP(A426,Internal_lists_bugs!$A$2:$G2031,7,FALSE()),"nova/commit","nova/src/commit"),"please select a BUG ID")</f>
        <v>https://opendev.org/openstack/nova/src/commit/a9d0313c</v>
      </c>
      <c r="D426" s="186" t="s">
        <v>4758</v>
      </c>
      <c r="E426" s="190" t="s">
        <v>4759</v>
      </c>
      <c r="F426" s="189" t="s">
        <v>4724</v>
      </c>
      <c r="G426" s="194" t="s">
        <v>4914</v>
      </c>
      <c r="H426" s="191" t="s">
        <v>4756</v>
      </c>
      <c r="I426" s="194" t="s">
        <v>4761</v>
      </c>
      <c r="J426" s="195" t="str">
        <f>IFERROR(VLOOKUP(A426,Internal_lists_bugs!$A$2:$I2031,9,FALSE()),"please select a BUG ID")</f>
        <v>https://review.opendev.org/c/openstack/nova/+/22897</v>
      </c>
      <c r="K426" s="193"/>
      <c r="L426" s="193"/>
    </row>
    <row r="427">
      <c r="A427" s="16" t="s">
        <v>43</v>
      </c>
      <c r="B427" s="50" t="str">
        <f>IFERROR(HYPERLINK(VLOOKUP(A427,Internal_lists_bugs!$A$2:$C$73,3,FALSE()), VLOOKUP(A427,Internal_lists_bugs!$A$2:$C$73,3,FALSE())&amp;Char(10) &amp; Char(10) &amp; VLOOKUP(A427,Internal_lists_bugs!$A$2:$Z$73,26,FALSE())),"please select a BUG ID")</f>
        <v>https://bugs.launchpad.net/nova/+bug/1392798
/compute/manager.py</v>
      </c>
      <c r="C427" s="81" t="str">
        <f>IFERROR(SUBSTITUTE(VLOOKUP(A427,Internal_lists_bugs!$A$2:$G2031,7,FALSE()),"nova/commit","nova/src/commit"),"please select a BUG ID")</f>
        <v>https://opendev.org/openstack/nova/src/commit/a9d0313c</v>
      </c>
      <c r="D427" s="30" t="s">
        <v>4765</v>
      </c>
      <c r="E427" s="14" t="s">
        <v>4915</v>
      </c>
      <c r="F427" s="54"/>
      <c r="H427" s="112" t="s">
        <v>4763</v>
      </c>
      <c r="I427" s="16" t="s">
        <v>4797</v>
      </c>
      <c r="J427" s="196" t="str">
        <f>IFERROR(VLOOKUP(A427,Internal_lists_bugs!$A$2:$I2031,9,FALSE()),"please select a BUG ID")</f>
        <v>https://review.opendev.org/c/openstack/nova/+/22897</v>
      </c>
    </row>
    <row r="428">
      <c r="A428" s="16" t="s">
        <v>43</v>
      </c>
      <c r="B428" s="50" t="str">
        <f>IFERROR(HYPERLINK(VLOOKUP(A428,Internal_lists_bugs!$A$2:$C$73,3,FALSE()), VLOOKUP(A428,Internal_lists_bugs!$A$2:$C$73,3,FALSE())&amp;Char(10) &amp; Char(10) &amp; VLOOKUP(A428,Internal_lists_bugs!$A$2:$Z$73,26,FALSE())),"please select a BUG ID")</f>
        <v>https://bugs.launchpad.net/nova/+bug/1392798
/compute/manager.py</v>
      </c>
      <c r="C428" s="81" t="str">
        <f>IFERROR(SUBSTITUTE(VLOOKUP(A428,Internal_lists_bugs!$A$2:$G2031,7,FALSE()),"nova/commit","nova/src/commit"),"please select a BUG ID")</f>
        <v>https://opendev.org/openstack/nova/src/commit/a9d0313c</v>
      </c>
      <c r="D428" s="30" t="s">
        <v>4686</v>
      </c>
      <c r="E428" s="63" t="s">
        <v>4768</v>
      </c>
      <c r="F428" s="54"/>
      <c r="H428" s="112" t="s">
        <v>4708</v>
      </c>
      <c r="I428" s="16" t="s">
        <v>4767</v>
      </c>
      <c r="J428" s="196" t="str">
        <f>IFERROR(VLOOKUP(A428,Internal_lists_bugs!$A$2:$I2031,9,FALSE()),"please select a BUG ID")</f>
        <v>https://review.opendev.org/c/openstack/nova/+/22897</v>
      </c>
    </row>
    <row r="429">
      <c r="A429" s="16" t="s">
        <v>43</v>
      </c>
      <c r="B429" s="50" t="str">
        <f>IFERROR(HYPERLINK(VLOOKUP(A429,Internal_lists_bugs!$A$2:$C$73,3,FALSE()), VLOOKUP(A429,Internal_lists_bugs!$A$2:$C$73,3,FALSE())&amp;Char(10) &amp; Char(10) &amp; VLOOKUP(A429,Internal_lists_bugs!$A$2:$Z$73,26,FALSE())),"please select a BUG ID")</f>
        <v>https://bugs.launchpad.net/nova/+bug/1392798
/compute/manager.py</v>
      </c>
      <c r="C429" s="81" t="str">
        <f>IFERROR(SUBSTITUTE(VLOOKUP(A429,Internal_lists_bugs!$A$2:$G2031,7,FALSE()),"nova/commit","nova/src/commit"),"please select a BUG ID")</f>
        <v>https://opendev.org/openstack/nova/src/commit/a9d0313c</v>
      </c>
      <c r="D429" s="30" t="s">
        <v>4690</v>
      </c>
      <c r="E429" s="16" t="s">
        <v>4731</v>
      </c>
      <c r="F429" s="54"/>
      <c r="H429" s="112" t="s">
        <v>4696</v>
      </c>
      <c r="I429" s="16" t="s">
        <v>4731</v>
      </c>
      <c r="J429" s="196" t="str">
        <f>IFERROR(VLOOKUP(A429,Internal_lists_bugs!$A$2:$I2031,9,FALSE()),"please select a BUG ID")</f>
        <v>https://review.opendev.org/c/openstack/nova/+/22897</v>
      </c>
    </row>
    <row r="430">
      <c r="A430" s="16" t="s">
        <v>43</v>
      </c>
      <c r="B430" s="50" t="str">
        <f>IFERROR(HYPERLINK(VLOOKUP(A430,Internal_lists_bugs!$A$2:$C$73,3,FALSE()), VLOOKUP(A430,Internal_lists_bugs!$A$2:$C$73,3,FALSE())&amp;Char(10) &amp; Char(10) &amp; VLOOKUP(A430,Internal_lists_bugs!$A$2:$Z$73,26,FALSE())),"please select a BUG ID")</f>
        <v>https://bugs.launchpad.net/nova/+bug/1392798
/compute/manager.py</v>
      </c>
      <c r="C430" s="81" t="str">
        <f>IFERROR(SUBSTITUTE(VLOOKUP(A430,Internal_lists_bugs!$A$2:$G2031,7,FALSE()),"nova/commit","nova/src/commit"),"please select a BUG ID")</f>
        <v>https://opendev.org/openstack/nova/src/commit/a9d0313c</v>
      </c>
      <c r="D430" s="30" t="s">
        <v>4702</v>
      </c>
      <c r="E430" s="16" t="s">
        <v>4770</v>
      </c>
      <c r="F430" s="54"/>
      <c r="H430" s="112" t="s">
        <v>4716</v>
      </c>
      <c r="I430" s="16" t="s">
        <v>4769</v>
      </c>
      <c r="J430" s="196" t="str">
        <f>IFERROR(VLOOKUP(A430,Internal_lists_bugs!$A$2:$I2031,9,FALSE()),"please select a BUG ID")</f>
        <v>https://review.opendev.org/c/openstack/nova/+/22897</v>
      </c>
    </row>
    <row r="431">
      <c r="A431" s="16" t="s">
        <v>43</v>
      </c>
      <c r="B431" s="50" t="str">
        <f>IFERROR(HYPERLINK(VLOOKUP(A431,Internal_lists_bugs!$A$2:$C$73,3,FALSE()), VLOOKUP(A431,Internal_lists_bugs!$A$2:$C$73,3,FALSE())&amp;Char(10) &amp; Char(10) &amp; VLOOKUP(A431,Internal_lists_bugs!$A$2:$Z$73,26,FALSE())),"please select a BUG ID")</f>
        <v>https://bugs.launchpad.net/nova/+bug/1392798
/compute/manager.py</v>
      </c>
      <c r="C431" s="81" t="str">
        <f>IFERROR(SUBSTITUTE(VLOOKUP(A431,Internal_lists_bugs!$A$2:$G2031,7,FALSE()),"nova/commit","nova/src/commit"),"please select a BUG ID")</f>
        <v>https://opendev.org/openstack/nova/src/commit/a9d0313c</v>
      </c>
      <c r="D431" s="30" t="s">
        <v>4772</v>
      </c>
      <c r="E431" s="14" t="s">
        <v>4916</v>
      </c>
      <c r="F431" s="54"/>
      <c r="H431" s="112" t="s">
        <v>4708</v>
      </c>
      <c r="I431" s="16" t="s">
        <v>4771</v>
      </c>
      <c r="J431" s="196" t="str">
        <f>IFERROR(VLOOKUP(A431,Internal_lists_bugs!$A$2:$I2031,9,FALSE()),"please select a BUG ID")</f>
        <v>https://review.opendev.org/c/openstack/nova/+/22897</v>
      </c>
    </row>
    <row r="432">
      <c r="A432" s="16" t="s">
        <v>43</v>
      </c>
      <c r="B432" s="50" t="str">
        <f>IFERROR(HYPERLINK(VLOOKUP(A432,Internal_lists_bugs!$A$2:$C$73,3,FALSE()), VLOOKUP(A432,Internal_lists_bugs!$A$2:$C$73,3,FALSE())&amp;Char(10) &amp; Char(10) &amp; VLOOKUP(A432,Internal_lists_bugs!$A$2:$Z$73,26,FALSE())),"please select a BUG ID")</f>
        <v>https://bugs.launchpad.net/nova/+bug/1392798
/compute/manager.py</v>
      </c>
      <c r="C432" s="81" t="str">
        <f>IFERROR(SUBSTITUTE(VLOOKUP(A432,Internal_lists_bugs!$A$2:$G2031,7,FALSE()),"nova/commit","nova/src/commit"),"please select a BUG ID")</f>
        <v>https://opendev.org/openstack/nova/src/commit/a9d0313c</v>
      </c>
      <c r="D432" s="30" t="s">
        <v>4706</v>
      </c>
      <c r="E432" s="16" t="s">
        <v>4775</v>
      </c>
      <c r="F432" s="54"/>
      <c r="H432" s="112" t="s">
        <v>4684</v>
      </c>
      <c r="I432" s="16" t="s">
        <v>4774</v>
      </c>
      <c r="J432" s="196" t="str">
        <f>IFERROR(VLOOKUP(A432,Internal_lists_bugs!$A$2:$I2031,9,FALSE()),"please select a BUG ID")</f>
        <v>https://review.opendev.org/c/openstack/nova/+/22897</v>
      </c>
    </row>
    <row r="433">
      <c r="A433" s="16" t="s">
        <v>43</v>
      </c>
      <c r="B433" s="50" t="str">
        <f>IFERROR(HYPERLINK(VLOOKUP(A433,Internal_lists_bugs!$A$2:$C$73,3,FALSE()), VLOOKUP(A433,Internal_lists_bugs!$A$2:$C$73,3,FALSE())&amp;Char(10) &amp; Char(10) &amp; VLOOKUP(A433,Internal_lists_bugs!$A$2:$Z$73,26,FALSE())),"please select a BUG ID")</f>
        <v>https://bugs.launchpad.net/nova/+bug/1392798
/compute/manager.py</v>
      </c>
      <c r="C433" s="81" t="str">
        <f>IFERROR(SUBSTITUTE(VLOOKUP(A433,Internal_lists_bugs!$A$2:$G2031,7,FALSE()),"nova/commit","nova/src/commit"),"please select a BUG ID")</f>
        <v>https://opendev.org/openstack/nova/src/commit/a9d0313c</v>
      </c>
      <c r="D433" s="30" t="s">
        <v>4710</v>
      </c>
      <c r="E433" s="16" t="s">
        <v>4775</v>
      </c>
      <c r="F433" s="54"/>
      <c r="H433" s="112" t="s">
        <v>4712</v>
      </c>
      <c r="I433" s="16" t="s">
        <v>4776</v>
      </c>
      <c r="J433" s="196" t="str">
        <f>IFERROR(VLOOKUP(A433,Internal_lists_bugs!$A$2:$I2031,9,FALSE()),"please select a BUG ID")</f>
        <v>https://review.opendev.org/c/openstack/nova/+/22897</v>
      </c>
    </row>
    <row r="434">
      <c r="A434" s="16" t="s">
        <v>43</v>
      </c>
      <c r="B434" s="50" t="str">
        <f>IFERROR(HYPERLINK(VLOOKUP(A434,Internal_lists_bugs!$A$2:$C$73,3,FALSE()), VLOOKUP(A434,Internal_lists_bugs!$A$2:$C$73,3,FALSE())&amp;Char(10) &amp; Char(10) &amp; VLOOKUP(A434,Internal_lists_bugs!$A$2:$Z$73,26,FALSE())),"please select a BUG ID")</f>
        <v>https://bugs.launchpad.net/nova/+bug/1392798
/compute/manager.py</v>
      </c>
      <c r="C434" s="81" t="str">
        <f>IFERROR(SUBSTITUTE(VLOOKUP(A434,Internal_lists_bugs!$A$2:$G2031,7,FALSE()),"nova/commit","nova/src/commit"),"please select a BUG ID")</f>
        <v>https://opendev.org/openstack/nova/src/commit/a9d0313c</v>
      </c>
      <c r="D434" s="30" t="s">
        <v>1325</v>
      </c>
      <c r="E434" s="16" t="s">
        <v>4751</v>
      </c>
      <c r="F434" s="54"/>
      <c r="H434" s="112" t="s">
        <v>4777</v>
      </c>
      <c r="I434" s="16" t="s">
        <v>4778</v>
      </c>
      <c r="J434" s="196" t="str">
        <f>IFERROR(VLOOKUP(A434,Internal_lists_bugs!$A$2:$I2031,9,FALSE()),"please select a BUG ID")</f>
        <v>https://review.opendev.org/c/openstack/nova/+/22897</v>
      </c>
    </row>
    <row r="435">
      <c r="A435" s="16" t="s">
        <v>43</v>
      </c>
      <c r="B435" s="50" t="str">
        <f>IFERROR(HYPERLINK(VLOOKUP(A435,Internal_lists_bugs!$A$2:$C$73,3,FALSE()), VLOOKUP(A435,Internal_lists_bugs!$A$2:$C$73,3,FALSE())&amp;Char(10) &amp; Char(10) &amp; VLOOKUP(A435,Internal_lists_bugs!$A$2:$Z$73,26,FALSE())),"please select a BUG ID")</f>
        <v>https://bugs.launchpad.net/nova/+bug/1392798
/compute/manager.py</v>
      </c>
      <c r="C435" s="81" t="str">
        <f>IFERROR(SUBSTITUTE(VLOOKUP(A435,Internal_lists_bugs!$A$2:$G2031,7,FALSE()),"nova/commit","nova/src/commit"),"please select a BUG ID")</f>
        <v>https://opendev.org/openstack/nova/src/commit/a9d0313c</v>
      </c>
      <c r="D435" s="30" t="s">
        <v>4680</v>
      </c>
      <c r="E435" s="16" t="s">
        <v>4886</v>
      </c>
      <c r="F435" s="54"/>
      <c r="H435" s="112" t="s">
        <v>4704</v>
      </c>
      <c r="I435" s="16" t="s">
        <v>4752</v>
      </c>
      <c r="J435" s="196" t="str">
        <f>IFERROR(VLOOKUP(A435,Internal_lists_bugs!$A$2:$I2031,9,FALSE()),"please select a BUG ID")</f>
        <v>https://review.opendev.org/c/openstack/nova/+/22897</v>
      </c>
    </row>
    <row r="436">
      <c r="A436" s="16" t="s">
        <v>43</v>
      </c>
      <c r="B436" s="50" t="str">
        <f>IFERROR(HYPERLINK(VLOOKUP(A436,Internal_lists_bugs!$A$2:$C$73,3,FALSE()), VLOOKUP(A436,Internal_lists_bugs!$A$2:$C$73,3,FALSE())&amp;Char(10) &amp; Char(10) &amp; VLOOKUP(A436,Internal_lists_bugs!$A$2:$Z$73,26,FALSE())),"please select a BUG ID")</f>
        <v>https://bugs.launchpad.net/nova/+bug/1392798
/compute/manager.py</v>
      </c>
      <c r="C436" s="81" t="str">
        <f>IFERROR(SUBSTITUTE(VLOOKUP(A436,Internal_lists_bugs!$A$2:$G2031,7,FALSE()),"nova/commit","nova/src/commit"),"please select a BUG ID")</f>
        <v>https://opendev.org/openstack/nova/src/commit/a9d0313c</v>
      </c>
      <c r="D436" s="30" t="s">
        <v>4754</v>
      </c>
      <c r="E436" s="16" t="s">
        <v>4755</v>
      </c>
      <c r="F436" s="54"/>
      <c r="H436" s="112" t="s">
        <v>4749</v>
      </c>
      <c r="I436" s="16" t="s">
        <v>4779</v>
      </c>
      <c r="J436" s="196" t="str">
        <f>IFERROR(VLOOKUP(A436,Internal_lists_bugs!$A$2:$I2031,9,FALSE()),"please select a BUG ID")</f>
        <v>https://review.opendev.org/c/openstack/nova/+/22897</v>
      </c>
    </row>
    <row r="437">
      <c r="A437" s="16" t="s">
        <v>43</v>
      </c>
      <c r="B437" s="50" t="str">
        <f>IFERROR(HYPERLINK(VLOOKUP(A437,Internal_lists_bugs!$A$2:$C$73,3,FALSE()), VLOOKUP(A437,Internal_lists_bugs!$A$2:$C$73,3,FALSE())&amp;Char(10) &amp; Char(10) &amp; VLOOKUP(A437,Internal_lists_bugs!$A$2:$Z$73,26,FALSE())),"please select a BUG ID")</f>
        <v>https://bugs.launchpad.net/nova/+bug/1392798
/compute/manager.py</v>
      </c>
      <c r="C437" s="81" t="str">
        <f>IFERROR(SUBSTITUTE(VLOOKUP(A437,Internal_lists_bugs!$A$2:$G2031,7,FALSE()),"nova/commit","nova/src/commit"),"please select a BUG ID")</f>
        <v>https://opendev.org/openstack/nova/src/commit/a9d0313c</v>
      </c>
      <c r="D437" s="30" t="s">
        <v>4714</v>
      </c>
      <c r="E437" s="16" t="s">
        <v>4738</v>
      </c>
      <c r="F437" s="54"/>
      <c r="H437" s="112" t="s">
        <v>4782</v>
      </c>
      <c r="I437" s="16" t="s">
        <v>4783</v>
      </c>
      <c r="J437" s="196" t="str">
        <f>IFERROR(VLOOKUP(A437,Internal_lists_bugs!$A$2:$I2031,9,FALSE()),"please select a BUG ID")</f>
        <v>https://review.opendev.org/c/openstack/nova/+/22897</v>
      </c>
    </row>
    <row r="438">
      <c r="A438" s="16" t="s">
        <v>43</v>
      </c>
      <c r="B438" s="50" t="str">
        <f>IFERROR(HYPERLINK(VLOOKUP(A438,Internal_lists_bugs!$A$2:$C$73,3,FALSE()), VLOOKUP(A438,Internal_lists_bugs!$A$2:$C$73,3,FALSE())&amp;Char(10) &amp; Char(10) &amp; VLOOKUP(A438,Internal_lists_bugs!$A$2:$Z$73,26,FALSE())),"please select a BUG ID")</f>
        <v>https://bugs.launchpad.net/nova/+bug/1392798
/compute/manager.py</v>
      </c>
      <c r="C438" s="81" t="str">
        <f>IFERROR(SUBSTITUTE(VLOOKUP(A438,Internal_lists_bugs!$A$2:$G2031,7,FALSE()),"nova/commit","nova/src/commit"),"please select a BUG ID")</f>
        <v>https://opendev.org/openstack/nova/src/commit/a9d0313c</v>
      </c>
      <c r="D438" s="30" t="s">
        <v>4812</v>
      </c>
      <c r="E438" s="16" t="s">
        <v>4813</v>
      </c>
      <c r="F438" s="54"/>
      <c r="H438" s="112" t="s">
        <v>4801</v>
      </c>
      <c r="I438" s="16" t="s">
        <v>4806</v>
      </c>
      <c r="J438" s="196" t="str">
        <f>IFERROR(VLOOKUP(A438,Internal_lists_bugs!$A$2:$I2031,9,FALSE()),"please select a BUG ID")</f>
        <v>https://review.opendev.org/c/openstack/nova/+/22897</v>
      </c>
    </row>
    <row r="439">
      <c r="A439" s="16" t="s">
        <v>43</v>
      </c>
      <c r="B439" s="50" t="str">
        <f>IFERROR(HYPERLINK(VLOOKUP(A439,Internal_lists_bugs!$A$2:$C$73,3,FALSE()), VLOOKUP(A439,Internal_lists_bugs!$A$2:$C$73,3,FALSE())&amp;Char(10) &amp; Char(10) &amp; VLOOKUP(A439,Internal_lists_bugs!$A$2:$Z$73,26,FALSE())),"please select a BUG ID")</f>
        <v>https://bugs.launchpad.net/nova/+bug/1392798
/compute/manager.py</v>
      </c>
      <c r="C439" s="81" t="str">
        <f>IFERROR(SUBSTITUTE(VLOOKUP(A439,Internal_lists_bugs!$A$2:$G2031,7,FALSE()),"nova/commit","nova/src/commit"),"please select a BUG ID")</f>
        <v>https://opendev.org/openstack/nova/src/commit/a9d0313c</v>
      </c>
      <c r="D439" s="30" t="s">
        <v>4720</v>
      </c>
      <c r="E439" s="14" t="s">
        <v>4917</v>
      </c>
      <c r="F439" s="54"/>
      <c r="H439" s="112" t="s">
        <v>4831</v>
      </c>
      <c r="I439" s="14" t="s">
        <v>4918</v>
      </c>
      <c r="J439" s="196" t="str">
        <f>IFERROR(VLOOKUP(A439,Internal_lists_bugs!$A$2:$I2031,9,FALSE()),"please select a BUG ID")</f>
        <v>https://review.opendev.org/c/openstack/nova/+/22897</v>
      </c>
    </row>
    <row r="440">
      <c r="A440" s="16" t="s">
        <v>43</v>
      </c>
      <c r="B440" s="50" t="str">
        <f>IFERROR(HYPERLINK(VLOOKUP(A440,Internal_lists_bugs!$A$2:$C$73,3,FALSE()), VLOOKUP(A440,Internal_lists_bugs!$A$2:$C$73,3,FALSE())&amp;Char(10) &amp; Char(10) &amp; VLOOKUP(A440,Internal_lists_bugs!$A$2:$Z$73,26,FALSE())),"please select a BUG ID")</f>
        <v>https://bugs.launchpad.net/nova/+bug/1392798
/compute/manager.py</v>
      </c>
      <c r="C440" s="81" t="str">
        <f>IFERROR(SUBSTITUTE(VLOOKUP(A440,Internal_lists_bugs!$A$2:$G2031,7,FALSE()),"nova/commit","nova/src/commit"),"please select a BUG ID")</f>
        <v>https://opendev.org/openstack/nova/src/commit/a9d0313c</v>
      </c>
      <c r="D440" s="30" t="s">
        <v>4698</v>
      </c>
      <c r="E440" s="16" t="s">
        <v>4919</v>
      </c>
      <c r="F440" s="54"/>
      <c r="H440" s="112"/>
      <c r="I440" s="66"/>
      <c r="J440" s="196" t="str">
        <f>IFERROR(VLOOKUP(A440,Internal_lists_bugs!$A$2:$I2031,9,FALSE()),"please select a BUG ID")</f>
        <v>https://review.opendev.org/c/openstack/nova/+/22897</v>
      </c>
    </row>
    <row r="441">
      <c r="A441" s="189" t="s">
        <v>62</v>
      </c>
      <c r="B441" s="198" t="str">
        <f>IFERROR(HYPERLINK(VLOOKUP(A441,Internal_lists_bugs!$A$2:$C$73,3,FALSE()), VLOOKUP(A441,Internal_lists_bugs!$A$2:$C$73,3,FALSE())&amp;Char(10) &amp; Char(10) &amp; VLOOKUP(A441,Internal_lists_bugs!$A$2:$Z$73,26,FALSE())),"please select a BUG ID")</f>
        <v>https://bugs.launchpad.net/nova/+bug/1424647
/cmd/baseproxy.py
/cmd/novncproxy.py
/cmd/serialproxy.py
/cmd/spicehtml5proxy.py </v>
      </c>
      <c r="C441" s="199" t="str">
        <f>IFERROR(SUBSTITUTE(VLOOKUP(A441,Internal_lists_bugs!$A$2:$G2031,7,FALSE()),"nova/commit","nova/src/commit"),"please select a BUG ID")</f>
        <v>https://opendev.org/openstack/nova/src/commit/d2cbb9a</v>
      </c>
      <c r="D441" s="186" t="s">
        <v>4758</v>
      </c>
      <c r="E441" s="190" t="s">
        <v>4759</v>
      </c>
      <c r="F441" s="189" t="s">
        <v>4682</v>
      </c>
      <c r="G441" s="189" t="s">
        <v>4802</v>
      </c>
      <c r="H441" s="191" t="s">
        <v>4756</v>
      </c>
      <c r="I441" s="194" t="s">
        <v>4761</v>
      </c>
      <c r="J441" s="195" t="str">
        <f>IFERROR(VLOOKUP(A441,Internal_lists_bugs!$A$2:$I2031,9,FALSE()),"please select a BUG ID")</f>
        <v>https://review.opendev.org/c/openstack/nova/+/119396</v>
      </c>
      <c r="K441" s="193"/>
      <c r="L441" s="193"/>
    </row>
    <row r="442">
      <c r="A442" s="16" t="s">
        <v>62</v>
      </c>
      <c r="B442" s="50" t="str">
        <f>IFERROR(HYPERLINK(VLOOKUP(A442,Internal_lists_bugs!$A$2:$C$73,3,FALSE()), VLOOKUP(A442,Internal_lists_bugs!$A$2:$C$73,3,FALSE())&amp;Char(10) &amp; Char(10) &amp; VLOOKUP(A442,Internal_lists_bugs!$A$2:$Z$73,26,FALSE())),"please select a BUG ID")</f>
        <v>https://bugs.launchpad.net/nova/+bug/1424647
/cmd/baseproxy.py
/cmd/novncproxy.py
/cmd/serialproxy.py
/cmd/spicehtml5proxy.py </v>
      </c>
      <c r="C442" s="81" t="str">
        <f>IFERROR(SUBSTITUTE(VLOOKUP(A442,Internal_lists_bugs!$A$2:$G2031,7,FALSE()),"nova/commit","nova/src/commit"),"please select a BUG ID")</f>
        <v>https://opendev.org/openstack/nova/src/commit/d2cbb9a</v>
      </c>
      <c r="D442" s="30" t="s">
        <v>4765</v>
      </c>
      <c r="E442" s="14" t="s">
        <v>4920</v>
      </c>
      <c r="F442" s="54"/>
      <c r="H442" s="112" t="s">
        <v>4763</v>
      </c>
      <c r="I442" s="16" t="s">
        <v>4797</v>
      </c>
      <c r="J442" s="196" t="str">
        <f>IFERROR(VLOOKUP(A442,Internal_lists_bugs!$A$2:$I2031,9,FALSE()),"please select a BUG ID")</f>
        <v>https://review.opendev.org/c/openstack/nova/+/119396</v>
      </c>
    </row>
    <row r="443">
      <c r="A443" s="16" t="s">
        <v>62</v>
      </c>
      <c r="B443" s="50" t="str">
        <f>IFERROR(HYPERLINK(VLOOKUP(A443,Internal_lists_bugs!$A$2:$C$73,3,FALSE()), VLOOKUP(A443,Internal_lists_bugs!$A$2:$C$73,3,FALSE())&amp;Char(10) &amp; Char(10) &amp; VLOOKUP(A443,Internal_lists_bugs!$A$2:$Z$73,26,FALSE())),"please select a BUG ID")</f>
        <v>https://bugs.launchpad.net/nova/+bug/1424647
/cmd/baseproxy.py
/cmd/novncproxy.py
/cmd/serialproxy.py
/cmd/spicehtml5proxy.py </v>
      </c>
      <c r="C443" s="81" t="str">
        <f>IFERROR(SUBSTITUTE(VLOOKUP(A443,Internal_lists_bugs!$A$2:$G2031,7,FALSE()),"nova/commit","nova/src/commit"),"please select a BUG ID")</f>
        <v>https://opendev.org/openstack/nova/src/commit/d2cbb9a</v>
      </c>
      <c r="D443" s="30" t="s">
        <v>4686</v>
      </c>
      <c r="E443" s="63" t="s">
        <v>4768</v>
      </c>
      <c r="F443" s="54"/>
      <c r="H443" s="112" t="s">
        <v>4708</v>
      </c>
      <c r="I443" s="16" t="s">
        <v>4767</v>
      </c>
      <c r="J443" s="196" t="str">
        <f>IFERROR(VLOOKUP(A443,Internal_lists_bugs!$A$2:$I2031,9,FALSE()),"please select a BUG ID")</f>
        <v>https://review.opendev.org/c/openstack/nova/+/119396</v>
      </c>
    </row>
    <row r="444">
      <c r="A444" s="16" t="s">
        <v>62</v>
      </c>
      <c r="B444" s="50" t="str">
        <f>IFERROR(HYPERLINK(VLOOKUP(A444,Internal_lists_bugs!$A$2:$C$73,3,FALSE()), VLOOKUP(A444,Internal_lists_bugs!$A$2:$C$73,3,FALSE())&amp;Char(10) &amp; Char(10) &amp; VLOOKUP(A444,Internal_lists_bugs!$A$2:$Z$73,26,FALSE())),"please select a BUG ID")</f>
        <v>https://bugs.launchpad.net/nova/+bug/1424647
/cmd/baseproxy.py
/cmd/novncproxy.py
/cmd/serialproxy.py
/cmd/spicehtml5proxy.py </v>
      </c>
      <c r="C444" s="81" t="str">
        <f>IFERROR(SUBSTITUTE(VLOOKUP(A444,Internal_lists_bugs!$A$2:$G2031,7,FALSE()),"nova/commit","nova/src/commit"),"please select a BUG ID")</f>
        <v>https://opendev.org/openstack/nova/src/commit/d2cbb9a</v>
      </c>
      <c r="D444" s="30"/>
      <c r="F444" s="54"/>
      <c r="H444" s="112" t="s">
        <v>4696</v>
      </c>
      <c r="I444" s="16" t="s">
        <v>4731</v>
      </c>
      <c r="J444" s="196" t="str">
        <f>IFERROR(VLOOKUP(A444,Internal_lists_bugs!$A$2:$I2031,9,FALSE()),"please select a BUG ID")</f>
        <v>https://review.opendev.org/c/openstack/nova/+/119396</v>
      </c>
    </row>
    <row r="445">
      <c r="A445" s="16" t="s">
        <v>62</v>
      </c>
      <c r="B445" s="50" t="str">
        <f>IFERROR(HYPERLINK(VLOOKUP(A445,Internal_lists_bugs!$A$2:$C$73,3,FALSE()), VLOOKUP(A445,Internal_lists_bugs!$A$2:$C$73,3,FALSE())&amp;Char(10) &amp; Char(10) &amp; VLOOKUP(A445,Internal_lists_bugs!$A$2:$Z$73,26,FALSE())),"please select a BUG ID")</f>
        <v>https://bugs.launchpad.net/nova/+bug/1424647
/cmd/baseproxy.py
/cmd/novncproxy.py
/cmd/serialproxy.py
/cmd/spicehtml5proxy.py </v>
      </c>
      <c r="C445" s="81" t="str">
        <f>IFERROR(SUBSTITUTE(VLOOKUP(A445,Internal_lists_bugs!$A$2:$G2031,7,FALSE()),"nova/commit","nova/src/commit"),"please select a BUG ID")</f>
        <v>https://opendev.org/openstack/nova/src/commit/d2cbb9a</v>
      </c>
      <c r="D445" s="30" t="s">
        <v>4702</v>
      </c>
      <c r="E445" s="16" t="s">
        <v>4770</v>
      </c>
      <c r="F445" s="54"/>
      <c r="H445" s="112" t="s">
        <v>4716</v>
      </c>
      <c r="I445" s="16" t="s">
        <v>4769</v>
      </c>
      <c r="J445" s="196" t="str">
        <f>IFERROR(VLOOKUP(A445,Internal_lists_bugs!$A$2:$I2031,9,FALSE()),"please select a BUG ID")</f>
        <v>https://review.opendev.org/c/openstack/nova/+/119396</v>
      </c>
    </row>
    <row r="446">
      <c r="A446" s="16" t="s">
        <v>62</v>
      </c>
      <c r="B446" s="50" t="str">
        <f>IFERROR(HYPERLINK(VLOOKUP(A446,Internal_lists_bugs!$A$2:$C$73,3,FALSE()), VLOOKUP(A446,Internal_lists_bugs!$A$2:$C$73,3,FALSE())&amp;Char(10) &amp; Char(10) &amp; VLOOKUP(A446,Internal_lists_bugs!$A$2:$Z$73,26,FALSE())),"please select a BUG ID")</f>
        <v>https://bugs.launchpad.net/nova/+bug/1424647
/cmd/baseproxy.py
/cmd/novncproxy.py
/cmd/serialproxy.py
/cmd/spicehtml5proxy.py </v>
      </c>
      <c r="C446" s="81" t="str">
        <f>IFERROR(SUBSTITUTE(VLOOKUP(A446,Internal_lists_bugs!$A$2:$G2031,7,FALSE()),"nova/commit","nova/src/commit"),"please select a BUG ID")</f>
        <v>https://opendev.org/openstack/nova/src/commit/d2cbb9a</v>
      </c>
      <c r="D446" s="30" t="s">
        <v>4772</v>
      </c>
      <c r="E446" s="14" t="s">
        <v>4921</v>
      </c>
      <c r="F446" s="54"/>
      <c r="H446" s="112" t="s">
        <v>4708</v>
      </c>
      <c r="I446" s="16" t="s">
        <v>4771</v>
      </c>
      <c r="J446" s="196" t="str">
        <f>IFERROR(VLOOKUP(A446,Internal_lists_bugs!$A$2:$I2031,9,FALSE()),"please select a BUG ID")</f>
        <v>https://review.opendev.org/c/openstack/nova/+/119396</v>
      </c>
    </row>
    <row r="447">
      <c r="A447" s="16" t="s">
        <v>62</v>
      </c>
      <c r="B447" s="50" t="str">
        <f>IFERROR(HYPERLINK(VLOOKUP(A447,Internal_lists_bugs!$A$2:$C$73,3,FALSE()), VLOOKUP(A447,Internal_lists_bugs!$A$2:$C$73,3,FALSE())&amp;Char(10) &amp; Char(10) &amp; VLOOKUP(A447,Internal_lists_bugs!$A$2:$Z$73,26,FALSE())),"please select a BUG ID")</f>
        <v>https://bugs.launchpad.net/nova/+bug/1424647
/cmd/baseproxy.py
/cmd/novncproxy.py
/cmd/serialproxy.py
/cmd/spicehtml5proxy.py </v>
      </c>
      <c r="C447" s="81" t="str">
        <f>IFERROR(SUBSTITUTE(VLOOKUP(A447,Internal_lists_bugs!$A$2:$G2031,7,FALSE()),"nova/commit","nova/src/commit"),"please select a BUG ID")</f>
        <v>https://opendev.org/openstack/nova/src/commit/d2cbb9a</v>
      </c>
      <c r="D447" s="30" t="s">
        <v>4706</v>
      </c>
      <c r="E447" s="16" t="s">
        <v>4775</v>
      </c>
      <c r="F447" s="54"/>
      <c r="H447" s="112" t="s">
        <v>4684</v>
      </c>
      <c r="I447" s="16" t="s">
        <v>4774</v>
      </c>
      <c r="J447" s="196" t="str">
        <f>IFERROR(VLOOKUP(A447,Internal_lists_bugs!$A$2:$I2031,9,FALSE()),"please select a BUG ID")</f>
        <v>https://review.opendev.org/c/openstack/nova/+/119396</v>
      </c>
    </row>
    <row r="448">
      <c r="A448" s="16" t="s">
        <v>62</v>
      </c>
      <c r="B448" s="50" t="str">
        <f>IFERROR(HYPERLINK(VLOOKUP(A448,Internal_lists_bugs!$A$2:$C$73,3,FALSE()), VLOOKUP(A448,Internal_lists_bugs!$A$2:$C$73,3,FALSE())&amp;Char(10) &amp; Char(10) &amp; VLOOKUP(A448,Internal_lists_bugs!$A$2:$Z$73,26,FALSE())),"please select a BUG ID")</f>
        <v>https://bugs.launchpad.net/nova/+bug/1424647
/cmd/baseproxy.py
/cmd/novncproxy.py
/cmd/serialproxy.py
/cmd/spicehtml5proxy.py </v>
      </c>
      <c r="C448" s="81" t="str">
        <f>IFERROR(SUBSTITUTE(VLOOKUP(A448,Internal_lists_bugs!$A$2:$G2031,7,FALSE()),"nova/commit","nova/src/commit"),"please select a BUG ID")</f>
        <v>https://opendev.org/openstack/nova/src/commit/d2cbb9a</v>
      </c>
      <c r="D448" s="30" t="s">
        <v>4710</v>
      </c>
      <c r="E448" s="16" t="s">
        <v>4775</v>
      </c>
      <c r="F448" s="54"/>
      <c r="H448" s="112" t="s">
        <v>4712</v>
      </c>
      <c r="I448" s="16" t="s">
        <v>4776</v>
      </c>
      <c r="J448" s="196" t="str">
        <f>IFERROR(VLOOKUP(A448,Internal_lists_bugs!$A$2:$I2031,9,FALSE()),"please select a BUG ID")</f>
        <v>https://review.opendev.org/c/openstack/nova/+/119396</v>
      </c>
    </row>
    <row r="449">
      <c r="A449" s="16" t="s">
        <v>62</v>
      </c>
      <c r="B449" s="50" t="str">
        <f>IFERROR(HYPERLINK(VLOOKUP(A449,Internal_lists_bugs!$A$2:$C$73,3,FALSE()), VLOOKUP(A449,Internal_lists_bugs!$A$2:$C$73,3,FALSE())&amp;Char(10) &amp; Char(10) &amp; VLOOKUP(A449,Internal_lists_bugs!$A$2:$Z$73,26,FALSE())),"please select a BUG ID")</f>
        <v>https://bugs.launchpad.net/nova/+bug/1424647
/cmd/baseproxy.py
/cmd/novncproxy.py
/cmd/serialproxy.py
/cmd/spicehtml5proxy.py </v>
      </c>
      <c r="C449" s="81" t="str">
        <f>IFERROR(SUBSTITUTE(VLOOKUP(A449,Internal_lists_bugs!$A$2:$G2031,7,FALSE()),"nova/commit","nova/src/commit"),"please select a BUG ID")</f>
        <v>https://opendev.org/openstack/nova/src/commit/d2cbb9a</v>
      </c>
      <c r="D449" s="30" t="s">
        <v>1325</v>
      </c>
      <c r="E449" s="16" t="s">
        <v>4751</v>
      </c>
      <c r="F449" s="54"/>
      <c r="H449" s="112" t="s">
        <v>4777</v>
      </c>
      <c r="I449" s="16" t="s">
        <v>4778</v>
      </c>
      <c r="J449" s="196" t="str">
        <f>IFERROR(VLOOKUP(A449,Internal_lists_bugs!$A$2:$I2031,9,FALSE()),"please select a BUG ID")</f>
        <v>https://review.opendev.org/c/openstack/nova/+/119396</v>
      </c>
    </row>
    <row r="450">
      <c r="A450" s="16" t="s">
        <v>62</v>
      </c>
      <c r="B450" s="50" t="str">
        <f>IFERROR(HYPERLINK(VLOOKUP(A450,Internal_lists_bugs!$A$2:$C$73,3,FALSE()), VLOOKUP(A450,Internal_lists_bugs!$A$2:$C$73,3,FALSE())&amp;Char(10) &amp; Char(10) &amp; VLOOKUP(A450,Internal_lists_bugs!$A$2:$Z$73,26,FALSE())),"please select a BUG ID")</f>
        <v>https://bugs.launchpad.net/nova/+bug/1424647
/cmd/baseproxy.py
/cmd/novncproxy.py
/cmd/serialproxy.py
/cmd/spicehtml5proxy.py </v>
      </c>
      <c r="C450" s="81" t="str">
        <f>IFERROR(SUBSTITUTE(VLOOKUP(A450,Internal_lists_bugs!$A$2:$G2031,7,FALSE()),"nova/commit","nova/src/commit"),"please select a BUG ID")</f>
        <v>https://opendev.org/openstack/nova/src/commit/d2cbb9a</v>
      </c>
      <c r="D450" s="30" t="s">
        <v>4680</v>
      </c>
      <c r="E450" s="16" t="s">
        <v>4886</v>
      </c>
      <c r="F450" s="54"/>
      <c r="H450" s="112" t="s">
        <v>4704</v>
      </c>
      <c r="I450" s="16" t="s">
        <v>4752</v>
      </c>
      <c r="J450" s="196" t="str">
        <f>IFERROR(VLOOKUP(A450,Internal_lists_bugs!$A$2:$I2031,9,FALSE()),"please select a BUG ID")</f>
        <v>https://review.opendev.org/c/openstack/nova/+/119396</v>
      </c>
    </row>
    <row r="451">
      <c r="A451" s="16" t="s">
        <v>62</v>
      </c>
      <c r="B451" s="50" t="str">
        <f>IFERROR(HYPERLINK(VLOOKUP(A451,Internal_lists_bugs!$A$2:$C$73,3,FALSE()), VLOOKUP(A451,Internal_lists_bugs!$A$2:$C$73,3,FALSE())&amp;Char(10) &amp; Char(10) &amp; VLOOKUP(A451,Internal_lists_bugs!$A$2:$Z$73,26,FALSE())),"please select a BUG ID")</f>
        <v>https://bugs.launchpad.net/nova/+bug/1424647
/cmd/baseproxy.py
/cmd/novncproxy.py
/cmd/serialproxy.py
/cmd/spicehtml5proxy.py </v>
      </c>
      <c r="C451" s="81" t="str">
        <f>IFERROR(SUBSTITUTE(VLOOKUP(A451,Internal_lists_bugs!$A$2:$G2031,7,FALSE()),"nova/commit","nova/src/commit"),"please select a BUG ID")</f>
        <v>https://opendev.org/openstack/nova/src/commit/d2cbb9a</v>
      </c>
      <c r="D451" s="30" t="s">
        <v>4754</v>
      </c>
      <c r="E451" s="16" t="s">
        <v>4755</v>
      </c>
      <c r="F451" s="54"/>
      <c r="H451" s="112" t="s">
        <v>4749</v>
      </c>
      <c r="I451" s="16" t="s">
        <v>4779</v>
      </c>
      <c r="J451" s="196" t="str">
        <f>IFERROR(VLOOKUP(A451,Internal_lists_bugs!$A$2:$I2031,9,FALSE()),"please select a BUG ID")</f>
        <v>https://review.opendev.org/c/openstack/nova/+/119396</v>
      </c>
    </row>
    <row r="452">
      <c r="A452" s="16" t="s">
        <v>62</v>
      </c>
      <c r="B452" s="50" t="str">
        <f>IFERROR(HYPERLINK(VLOOKUP(A452,Internal_lists_bugs!$A$2:$C$73,3,FALSE()), VLOOKUP(A452,Internal_lists_bugs!$A$2:$C$73,3,FALSE())&amp;Char(10) &amp; Char(10) &amp; VLOOKUP(A452,Internal_lists_bugs!$A$2:$Z$73,26,FALSE())),"please select a BUG ID")</f>
        <v>https://bugs.launchpad.net/nova/+bug/1424647
/cmd/baseproxy.py
/cmd/novncproxy.py
/cmd/serialproxy.py
/cmd/spicehtml5proxy.py </v>
      </c>
      <c r="C452" s="81" t="str">
        <f>IFERROR(SUBSTITUTE(VLOOKUP(A452,Internal_lists_bugs!$A$2:$G2031,7,FALSE()),"nova/commit","nova/src/commit"),"please select a BUG ID")</f>
        <v>https://opendev.org/openstack/nova/src/commit/d2cbb9a</v>
      </c>
      <c r="D452" s="30" t="s">
        <v>4714</v>
      </c>
      <c r="E452" s="16" t="s">
        <v>4738</v>
      </c>
      <c r="F452" s="54"/>
      <c r="H452" s="112" t="s">
        <v>4782</v>
      </c>
      <c r="I452" s="16" t="s">
        <v>4783</v>
      </c>
      <c r="J452" s="196" t="str">
        <f>IFERROR(VLOOKUP(A452,Internal_lists_bugs!$A$2:$I2031,9,FALSE()),"please select a BUG ID")</f>
        <v>https://review.opendev.org/c/openstack/nova/+/119396</v>
      </c>
    </row>
    <row r="453">
      <c r="A453" s="16" t="s">
        <v>62</v>
      </c>
      <c r="B453" s="50" t="str">
        <f>IFERROR(HYPERLINK(VLOOKUP(A453,Internal_lists_bugs!$A$2:$C$73,3,FALSE()), VLOOKUP(A453,Internal_lists_bugs!$A$2:$C$73,3,FALSE())&amp;Char(10) &amp; Char(10) &amp; VLOOKUP(A453,Internal_lists_bugs!$A$2:$Z$73,26,FALSE())),"please select a BUG ID")</f>
        <v>https://bugs.launchpad.net/nova/+bug/1424647
/cmd/baseproxy.py
/cmd/novncproxy.py
/cmd/serialproxy.py
/cmd/spicehtml5proxy.py </v>
      </c>
      <c r="C453" s="81" t="str">
        <f>IFERROR(SUBSTITUTE(VLOOKUP(A453,Internal_lists_bugs!$A$2:$G2031,7,FALSE()),"nova/commit","nova/src/commit"),"please select a BUG ID")</f>
        <v>https://opendev.org/openstack/nova/src/commit/d2cbb9a</v>
      </c>
      <c r="D453" s="30" t="s">
        <v>4807</v>
      </c>
      <c r="E453" s="16" t="s">
        <v>4822</v>
      </c>
      <c r="F453" s="54"/>
      <c r="H453" s="112" t="s">
        <v>4801</v>
      </c>
      <c r="I453" s="16" t="s">
        <v>4806</v>
      </c>
      <c r="J453" s="196" t="str">
        <f>IFERROR(VLOOKUP(A453,Internal_lists_bugs!$A$2:$I2031,9,FALSE()),"please select a BUG ID")</f>
        <v>https://review.opendev.org/c/openstack/nova/+/119396</v>
      </c>
    </row>
    <row r="454">
      <c r="A454" s="16" t="s">
        <v>62</v>
      </c>
      <c r="B454" s="50" t="str">
        <f>IFERROR(HYPERLINK(VLOOKUP(A454,Internal_lists_bugs!$A$2:$C$73,3,FALSE()), VLOOKUP(A454,Internal_lists_bugs!$A$2:$C$73,3,FALSE())&amp;Char(10) &amp; Char(10) &amp; VLOOKUP(A454,Internal_lists_bugs!$A$2:$Z$73,26,FALSE())),"please select a BUG ID")</f>
        <v>https://bugs.launchpad.net/nova/+bug/1424647
/cmd/baseproxy.py
/cmd/novncproxy.py
/cmd/serialproxy.py
/cmd/spicehtml5proxy.py </v>
      </c>
      <c r="C454" s="81" t="str">
        <f>IFERROR(SUBSTITUTE(VLOOKUP(A454,Internal_lists_bugs!$A$2:$G2031,7,FALSE()),"nova/commit","nova/src/commit"),"please select a BUG ID")</f>
        <v>https://opendev.org/openstack/nova/src/commit/d2cbb9a</v>
      </c>
      <c r="D454" s="30" t="s">
        <v>4812</v>
      </c>
      <c r="E454" s="16" t="s">
        <v>4813</v>
      </c>
      <c r="F454" s="54"/>
      <c r="H454" s="112" t="s">
        <v>4818</v>
      </c>
      <c r="I454" s="66" t="s">
        <v>4840</v>
      </c>
      <c r="J454" s="196" t="str">
        <f>IFERROR(VLOOKUP(A454,Internal_lists_bugs!$A$2:$I2031,9,FALSE()),"please select a BUG ID")</f>
        <v>https://review.opendev.org/c/openstack/nova/+/119396</v>
      </c>
    </row>
    <row r="455">
      <c r="A455" s="16" t="s">
        <v>62</v>
      </c>
      <c r="B455" s="50" t="str">
        <f>IFERROR(HYPERLINK(VLOOKUP(A455,Internal_lists_bugs!$A$2:$C$73,3,FALSE()), VLOOKUP(A455,Internal_lists_bugs!$A$2:$C$73,3,FALSE())&amp;Char(10) &amp; Char(10) &amp; VLOOKUP(A455,Internal_lists_bugs!$A$2:$Z$73,26,FALSE())),"please select a BUG ID")</f>
        <v>https://bugs.launchpad.net/nova/+bug/1424647
/cmd/baseproxy.py
/cmd/novncproxy.py
/cmd/serialproxy.py
/cmd/spicehtml5proxy.py </v>
      </c>
      <c r="C455" s="81" t="str">
        <f>IFERROR(SUBSTITUTE(VLOOKUP(A455,Internal_lists_bugs!$A$2:$G2031,7,FALSE()),"nova/commit","nova/src/commit"),"please select a BUG ID")</f>
        <v>https://opendev.org/openstack/nova/src/commit/d2cbb9a</v>
      </c>
      <c r="D455" s="30" t="s">
        <v>4841</v>
      </c>
      <c r="E455" s="16" t="s">
        <v>4842</v>
      </c>
      <c r="F455" s="54"/>
      <c r="H455" s="112" t="s">
        <v>4845</v>
      </c>
      <c r="I455" s="66" t="s">
        <v>4846</v>
      </c>
      <c r="J455" s="196" t="str">
        <f>IFERROR(VLOOKUP(A455,Internal_lists_bugs!$A$2:$I2031,9,FALSE()),"please select a BUG ID")</f>
        <v>https://review.opendev.org/c/openstack/nova/+/119396</v>
      </c>
    </row>
    <row r="456">
      <c r="A456" s="16" t="s">
        <v>62</v>
      </c>
      <c r="B456" s="50" t="str">
        <f>IFERROR(HYPERLINK(VLOOKUP(A456,Internal_lists_bugs!$A$2:$C$73,3,FALSE()), VLOOKUP(A456,Internal_lists_bugs!$A$2:$C$73,3,FALSE())&amp;Char(10) &amp; Char(10) &amp; VLOOKUP(A456,Internal_lists_bugs!$A$2:$Z$73,26,FALSE())),"please select a BUG ID")</f>
        <v>https://bugs.launchpad.net/nova/+bug/1424647
/cmd/baseproxy.py
/cmd/novncproxy.py
/cmd/serialproxy.py
/cmd/spicehtml5proxy.py </v>
      </c>
      <c r="C456" s="81" t="str">
        <f>IFERROR(SUBSTITUTE(VLOOKUP(A456,Internal_lists_bugs!$A$2:$G2031,7,FALSE()),"nova/commit","nova/src/commit"),"please select a BUG ID")</f>
        <v>https://opendev.org/openstack/nova/src/commit/d2cbb9a</v>
      </c>
      <c r="D456" s="30" t="s">
        <v>4847</v>
      </c>
      <c r="E456" s="14" t="s">
        <v>4922</v>
      </c>
      <c r="F456" s="54"/>
      <c r="H456" s="112" t="s">
        <v>4831</v>
      </c>
      <c r="J456" s="196" t="str">
        <f>IFERROR(VLOOKUP(A456,Internal_lists_bugs!$A$2:$I2031,9,FALSE()),"please select a BUG ID")</f>
        <v>https://review.opendev.org/c/openstack/nova/+/119396</v>
      </c>
    </row>
    <row r="457">
      <c r="A457" s="16" t="s">
        <v>62</v>
      </c>
      <c r="B457" s="50" t="str">
        <f>IFERROR(HYPERLINK(VLOOKUP(A457,Internal_lists_bugs!$A$2:$C$73,3,FALSE()), VLOOKUP(A457,Internal_lists_bugs!$A$2:$C$73,3,FALSE())&amp;Char(10) &amp; Char(10) &amp; VLOOKUP(A457,Internal_lists_bugs!$A$2:$Z$73,26,FALSE())),"please select a BUG ID")</f>
        <v>https://bugs.launchpad.net/nova/+bug/1424647
/cmd/baseproxy.py
/cmd/novncproxy.py
/cmd/serialproxy.py
/cmd/spicehtml5proxy.py </v>
      </c>
      <c r="C457" s="81" t="str">
        <f>IFERROR(SUBSTITUTE(VLOOKUP(A457,Internal_lists_bugs!$A$2:$G2031,7,FALSE()),"nova/commit","nova/src/commit"),"please select a BUG ID")</f>
        <v>https://opendev.org/openstack/nova/src/commit/d2cbb9a</v>
      </c>
      <c r="D457" s="30" t="s">
        <v>4859</v>
      </c>
      <c r="E457" s="14" t="s">
        <v>4923</v>
      </c>
      <c r="F457" s="54"/>
      <c r="H457" s="114"/>
      <c r="J457" s="196" t="str">
        <f>IFERROR(VLOOKUP(A457,Internal_lists_bugs!$A$2:$I2031,9,FALSE()),"please select a BUG ID")</f>
        <v>https://review.opendev.org/c/openstack/nova/+/119396</v>
      </c>
    </row>
    <row r="458">
      <c r="A458" s="16" t="s">
        <v>62</v>
      </c>
      <c r="B458" s="50" t="str">
        <f>IFERROR(HYPERLINK(VLOOKUP(A458,Internal_lists_bugs!$A$2:$C$73,3,FALSE()), VLOOKUP(A458,Internal_lists_bugs!$A$2:$C$73,3,FALSE())&amp;Char(10) &amp; Char(10) &amp; VLOOKUP(A458,Internal_lists_bugs!$A$2:$Z$73,26,FALSE())),"please select a BUG ID")</f>
        <v>https://bugs.launchpad.net/nova/+bug/1424647
/cmd/baseproxy.py
/cmd/novncproxy.py
/cmd/serialproxy.py
/cmd/spicehtml5proxy.py </v>
      </c>
      <c r="C458" s="81" t="str">
        <f>IFERROR(SUBSTITUTE(VLOOKUP(A458,Internal_lists_bugs!$A$2:$G2031,7,FALSE()),"nova/commit","nova/src/commit"),"please select a BUG ID")</f>
        <v>https://opendev.org/openstack/nova/src/commit/d2cbb9a</v>
      </c>
      <c r="D458" s="30" t="s">
        <v>4849</v>
      </c>
      <c r="E458" s="14" t="s">
        <v>4924</v>
      </c>
      <c r="F458" s="54"/>
      <c r="H458" s="114"/>
      <c r="J458" s="196" t="str">
        <f>IFERROR(VLOOKUP(A458,Internal_lists_bugs!$A$2:$I2031,9,FALSE()),"please select a BUG ID")</f>
        <v>https://review.opendev.org/c/openstack/nova/+/119396</v>
      </c>
    </row>
    <row r="459">
      <c r="A459" s="16" t="s">
        <v>62</v>
      </c>
      <c r="B459" s="50" t="str">
        <f>IFERROR(HYPERLINK(VLOOKUP(A459,Internal_lists_bugs!$A$2:$C$73,3,FALSE()), VLOOKUP(A459,Internal_lists_bugs!$A$2:$C$73,3,FALSE())&amp;Char(10) &amp; Char(10) &amp; VLOOKUP(A459,Internal_lists_bugs!$A$2:$Z$73,26,FALSE())),"please select a BUG ID")</f>
        <v>https://bugs.launchpad.net/nova/+bug/1424647
/cmd/baseproxy.py
/cmd/novncproxy.py
/cmd/serialproxy.py
/cmd/spicehtml5proxy.py </v>
      </c>
      <c r="C459" s="81" t="str">
        <f>IFERROR(SUBSTITUTE(VLOOKUP(A459,Internal_lists_bugs!$A$2:$G2031,7,FALSE()),"nova/commit","nova/src/commit"),"please select a BUG ID")</f>
        <v>https://opendev.org/openstack/nova/src/commit/d2cbb9a</v>
      </c>
      <c r="D459" s="30" t="s">
        <v>4861</v>
      </c>
      <c r="E459" s="14" t="s">
        <v>4925</v>
      </c>
      <c r="F459" s="54"/>
      <c r="H459" s="114"/>
      <c r="J459" s="196" t="str">
        <f>IFERROR(VLOOKUP(A459,Internal_lists_bugs!$A$2:$I2031,9,FALSE()),"please select a BUG ID")</f>
        <v>https://review.opendev.org/c/openstack/nova/+/119396</v>
      </c>
    </row>
    <row r="460">
      <c r="A460" s="189" t="s">
        <v>47</v>
      </c>
      <c r="B460" s="198" t="str">
        <f>IFERROR(HYPERLINK(VLOOKUP(A460,Internal_lists_bugs!$A$2:$C$73,3,FALSE()), VLOOKUP(A460,Internal_lists_bugs!$A$2:$C$73,3,FALSE())&amp;Char(10) &amp; Char(10) &amp; VLOOKUP(A460,Internal_lists_bugs!$A$2:$Z$73,26,FALSE())),"please select a BUG ID")</f>
        <v>https://bugs.launchpad.net/nova/+bug/1447249
/virt/ironic/driver.py</v>
      </c>
      <c r="C460" s="199" t="str">
        <f>IFERROR(SUBSTITUTE(VLOOKUP(A460,Internal_lists_bugs!$A$2:$G2031,7,FALSE()),"nova/commit","nova/src/commit"),"please select a BUG ID")</f>
        <v>https://opendev.org/openstack/nova/src/commit/1682c5b</v>
      </c>
      <c r="D460" s="189" t="s">
        <v>4758</v>
      </c>
      <c r="E460" s="190" t="s">
        <v>4759</v>
      </c>
      <c r="F460" s="189" t="s">
        <v>4682</v>
      </c>
      <c r="G460" s="189" t="s">
        <v>4802</v>
      </c>
      <c r="H460" s="191" t="s">
        <v>4756</v>
      </c>
      <c r="I460" s="194" t="s">
        <v>4761</v>
      </c>
      <c r="J460" s="195" t="str">
        <f>IFERROR(VLOOKUP(A460,Internal_lists_bugs!$A$2:$I2031,9,FALSE()),"please select a BUG ID")</f>
        <v>https://review.opendev.org/c/openstack/nova/+/144792</v>
      </c>
      <c r="K460" s="193"/>
      <c r="L460" s="193"/>
    </row>
    <row r="461">
      <c r="A461" s="16" t="s">
        <v>47</v>
      </c>
      <c r="B461" s="50" t="str">
        <f>IFERROR(HYPERLINK(VLOOKUP(A461,Internal_lists_bugs!$A$2:$C$73,3,FALSE()), VLOOKUP(A461,Internal_lists_bugs!$A$2:$C$73,3,FALSE())&amp;Char(10) &amp; Char(10) &amp; VLOOKUP(A461,Internal_lists_bugs!$A$2:$Z$73,26,FALSE())),"please select a BUG ID")</f>
        <v>https://bugs.launchpad.net/nova/+bug/1447249
/virt/ironic/driver.py</v>
      </c>
      <c r="C461" s="81" t="str">
        <f>IFERROR(SUBSTITUTE(VLOOKUP(A461,Internal_lists_bugs!$A$2:$G2031,7,FALSE()),"nova/commit","nova/src/commit"),"please select a BUG ID")</f>
        <v>https://opendev.org/openstack/nova/src/commit/1682c5b</v>
      </c>
      <c r="D461" s="16" t="s">
        <v>4765</v>
      </c>
      <c r="E461" s="14" t="s">
        <v>4926</v>
      </c>
      <c r="F461" s="54"/>
      <c r="H461" s="112" t="s">
        <v>4763</v>
      </c>
      <c r="I461" s="16" t="s">
        <v>4797</v>
      </c>
      <c r="J461" s="196" t="str">
        <f>IFERROR(VLOOKUP(A461,Internal_lists_bugs!$A$2:$I2031,9,FALSE()),"please select a BUG ID")</f>
        <v>https://review.opendev.org/c/openstack/nova/+/144792</v>
      </c>
    </row>
    <row r="462">
      <c r="A462" s="16" t="s">
        <v>47</v>
      </c>
      <c r="B462" s="50" t="str">
        <f>IFERROR(HYPERLINK(VLOOKUP(A462,Internal_lists_bugs!$A$2:$C$73,3,FALSE()), VLOOKUP(A462,Internal_lists_bugs!$A$2:$C$73,3,FALSE())&amp;Char(10) &amp; Char(10) &amp; VLOOKUP(A462,Internal_lists_bugs!$A$2:$Z$73,26,FALSE())),"please select a BUG ID")</f>
        <v>https://bugs.launchpad.net/nova/+bug/1447249
/virt/ironic/driver.py</v>
      </c>
      <c r="C462" s="81" t="str">
        <f>IFERROR(SUBSTITUTE(VLOOKUP(A462,Internal_lists_bugs!$A$2:$G2031,7,FALSE()),"nova/commit","nova/src/commit"),"please select a BUG ID")</f>
        <v>https://opendev.org/openstack/nova/src/commit/1682c5b</v>
      </c>
      <c r="D462" s="16" t="s">
        <v>4686</v>
      </c>
      <c r="E462" s="63" t="s">
        <v>4768</v>
      </c>
      <c r="F462" s="54"/>
      <c r="H462" s="112" t="s">
        <v>4708</v>
      </c>
      <c r="I462" s="16" t="s">
        <v>4767</v>
      </c>
      <c r="J462" s="196" t="str">
        <f>IFERROR(VLOOKUP(A462,Internal_lists_bugs!$A$2:$I2031,9,FALSE()),"please select a BUG ID")</f>
        <v>https://review.opendev.org/c/openstack/nova/+/144792</v>
      </c>
    </row>
    <row r="463">
      <c r="A463" s="16" t="s">
        <v>47</v>
      </c>
      <c r="B463" s="50" t="str">
        <f>IFERROR(HYPERLINK(VLOOKUP(A463,Internal_lists_bugs!$A$2:$C$73,3,FALSE()), VLOOKUP(A463,Internal_lists_bugs!$A$2:$C$73,3,FALSE())&amp;Char(10) &amp; Char(10) &amp; VLOOKUP(A463,Internal_lists_bugs!$A$2:$Z$73,26,FALSE())),"please select a BUG ID")</f>
        <v>https://bugs.launchpad.net/nova/+bug/1447249
/virt/ironic/driver.py</v>
      </c>
      <c r="C463" s="81" t="str">
        <f>IFERROR(SUBSTITUTE(VLOOKUP(A463,Internal_lists_bugs!$A$2:$G2031,7,FALSE()),"nova/commit","nova/src/commit"),"please select a BUG ID")</f>
        <v>https://opendev.org/openstack/nova/src/commit/1682c5b</v>
      </c>
      <c r="D463" s="54"/>
      <c r="F463" s="54"/>
      <c r="H463" s="112" t="s">
        <v>4696</v>
      </c>
      <c r="I463" s="16" t="s">
        <v>4731</v>
      </c>
      <c r="J463" s="196" t="str">
        <f>IFERROR(VLOOKUP(A463,Internal_lists_bugs!$A$2:$I2031,9,FALSE()),"please select a BUG ID")</f>
        <v>https://review.opendev.org/c/openstack/nova/+/144792</v>
      </c>
    </row>
    <row r="464">
      <c r="A464" s="16" t="s">
        <v>47</v>
      </c>
      <c r="B464" s="50" t="str">
        <f>IFERROR(HYPERLINK(VLOOKUP(A464,Internal_lists_bugs!$A$2:$C$73,3,FALSE()), VLOOKUP(A464,Internal_lists_bugs!$A$2:$C$73,3,FALSE())&amp;Char(10) &amp; Char(10) &amp; VLOOKUP(A464,Internal_lists_bugs!$A$2:$Z$73,26,FALSE())),"please select a BUG ID")</f>
        <v>https://bugs.launchpad.net/nova/+bug/1447249
/virt/ironic/driver.py</v>
      </c>
      <c r="C464" s="81" t="str">
        <f>IFERROR(SUBSTITUTE(VLOOKUP(A464,Internal_lists_bugs!$A$2:$G2031,7,FALSE()),"nova/commit","nova/src/commit"),"please select a BUG ID")</f>
        <v>https://opendev.org/openstack/nova/src/commit/1682c5b</v>
      </c>
      <c r="D464" s="16" t="s">
        <v>4702</v>
      </c>
      <c r="E464" s="16" t="s">
        <v>4770</v>
      </c>
      <c r="F464" s="54"/>
      <c r="H464" s="112" t="s">
        <v>4716</v>
      </c>
      <c r="I464" s="16" t="s">
        <v>4769</v>
      </c>
      <c r="J464" s="196" t="str">
        <f>IFERROR(VLOOKUP(A464,Internal_lists_bugs!$A$2:$I2031,9,FALSE()),"please select a BUG ID")</f>
        <v>https://review.opendev.org/c/openstack/nova/+/144792</v>
      </c>
    </row>
    <row r="465">
      <c r="A465" s="16" t="s">
        <v>47</v>
      </c>
      <c r="B465" s="50" t="str">
        <f>IFERROR(HYPERLINK(VLOOKUP(A465,Internal_lists_bugs!$A$2:$C$73,3,FALSE()), VLOOKUP(A465,Internal_lists_bugs!$A$2:$C$73,3,FALSE())&amp;Char(10) &amp; Char(10) &amp; VLOOKUP(A465,Internal_lists_bugs!$A$2:$Z$73,26,FALSE())),"please select a BUG ID")</f>
        <v>https://bugs.launchpad.net/nova/+bug/1447249
/virt/ironic/driver.py</v>
      </c>
      <c r="C465" s="81" t="str">
        <f>IFERROR(SUBSTITUTE(VLOOKUP(A465,Internal_lists_bugs!$A$2:$G2031,7,FALSE()),"nova/commit","nova/src/commit"),"please select a BUG ID")</f>
        <v>https://opendev.org/openstack/nova/src/commit/1682c5b</v>
      </c>
      <c r="D465" s="16" t="s">
        <v>4772</v>
      </c>
      <c r="E465" s="14" t="s">
        <v>4927</v>
      </c>
      <c r="F465" s="54"/>
      <c r="H465" s="112" t="s">
        <v>4708</v>
      </c>
      <c r="I465" s="16" t="s">
        <v>4771</v>
      </c>
      <c r="J465" s="196" t="str">
        <f>IFERROR(VLOOKUP(A465,Internal_lists_bugs!$A$2:$I2031,9,FALSE()),"please select a BUG ID")</f>
        <v>https://review.opendev.org/c/openstack/nova/+/144792</v>
      </c>
    </row>
    <row r="466">
      <c r="A466" s="16" t="s">
        <v>47</v>
      </c>
      <c r="B466" s="50" t="str">
        <f>IFERROR(HYPERLINK(VLOOKUP(A466,Internal_lists_bugs!$A$2:$C$73,3,FALSE()), VLOOKUP(A466,Internal_lists_bugs!$A$2:$C$73,3,FALSE())&amp;Char(10) &amp; Char(10) &amp; VLOOKUP(A466,Internal_lists_bugs!$A$2:$Z$73,26,FALSE())),"please select a BUG ID")</f>
        <v>https://bugs.launchpad.net/nova/+bug/1447249
/virt/ironic/driver.py</v>
      </c>
      <c r="C466" s="81" t="str">
        <f>IFERROR(SUBSTITUTE(VLOOKUP(A466,Internal_lists_bugs!$A$2:$G2031,7,FALSE()),"nova/commit","nova/src/commit"),"please select a BUG ID")</f>
        <v>https://opendev.org/openstack/nova/src/commit/1682c5b</v>
      </c>
      <c r="D466" s="16" t="s">
        <v>4706</v>
      </c>
      <c r="E466" s="16" t="s">
        <v>4775</v>
      </c>
      <c r="F466" s="54"/>
      <c r="H466" s="112" t="s">
        <v>4684</v>
      </c>
      <c r="I466" s="16" t="s">
        <v>4774</v>
      </c>
      <c r="J466" s="196" t="str">
        <f>IFERROR(VLOOKUP(A466,Internal_lists_bugs!$A$2:$I2031,9,FALSE()),"please select a BUG ID")</f>
        <v>https://review.opendev.org/c/openstack/nova/+/144792</v>
      </c>
    </row>
    <row r="467">
      <c r="A467" s="16" t="s">
        <v>47</v>
      </c>
      <c r="B467" s="50" t="str">
        <f>IFERROR(HYPERLINK(VLOOKUP(A467,Internal_lists_bugs!$A$2:$C$73,3,FALSE()), VLOOKUP(A467,Internal_lists_bugs!$A$2:$C$73,3,FALSE())&amp;Char(10) &amp; Char(10) &amp; VLOOKUP(A467,Internal_lists_bugs!$A$2:$Z$73,26,FALSE())),"please select a BUG ID")</f>
        <v>https://bugs.launchpad.net/nova/+bug/1447249
/virt/ironic/driver.py</v>
      </c>
      <c r="C467" s="81" t="str">
        <f>IFERROR(SUBSTITUTE(VLOOKUP(A467,Internal_lists_bugs!$A$2:$G2031,7,FALSE()),"nova/commit","nova/src/commit"),"please select a BUG ID")</f>
        <v>https://opendev.org/openstack/nova/src/commit/1682c5b</v>
      </c>
      <c r="D467" s="16" t="s">
        <v>4710</v>
      </c>
      <c r="E467" s="16" t="s">
        <v>4775</v>
      </c>
      <c r="F467" s="54"/>
      <c r="H467" s="112" t="s">
        <v>4712</v>
      </c>
      <c r="I467" s="16" t="s">
        <v>4776</v>
      </c>
      <c r="J467" s="196" t="str">
        <f>IFERROR(VLOOKUP(A467,Internal_lists_bugs!$A$2:$I2031,9,FALSE()),"please select a BUG ID")</f>
        <v>https://review.opendev.org/c/openstack/nova/+/144792</v>
      </c>
    </row>
    <row r="468">
      <c r="A468" s="16" t="s">
        <v>47</v>
      </c>
      <c r="B468" s="50" t="str">
        <f>IFERROR(HYPERLINK(VLOOKUP(A468,Internal_lists_bugs!$A$2:$C$73,3,FALSE()), VLOOKUP(A468,Internal_lists_bugs!$A$2:$C$73,3,FALSE())&amp;Char(10) &amp; Char(10) &amp; VLOOKUP(A468,Internal_lists_bugs!$A$2:$Z$73,26,FALSE())),"please select a BUG ID")</f>
        <v>https://bugs.launchpad.net/nova/+bug/1447249
/virt/ironic/driver.py</v>
      </c>
      <c r="C468" s="81" t="str">
        <f>IFERROR(SUBSTITUTE(VLOOKUP(A468,Internal_lists_bugs!$A$2:$G2031,7,FALSE()),"nova/commit","nova/src/commit"),"please select a BUG ID")</f>
        <v>https://opendev.org/openstack/nova/src/commit/1682c5b</v>
      </c>
      <c r="D468" s="16" t="s">
        <v>1325</v>
      </c>
      <c r="E468" s="16" t="s">
        <v>4751</v>
      </c>
      <c r="F468" s="54"/>
      <c r="H468" s="112" t="s">
        <v>4777</v>
      </c>
      <c r="I468" s="16" t="s">
        <v>4778</v>
      </c>
      <c r="J468" s="196" t="str">
        <f>IFERROR(VLOOKUP(A468,Internal_lists_bugs!$A$2:$I2031,9,FALSE()),"please select a BUG ID")</f>
        <v>https://review.opendev.org/c/openstack/nova/+/144792</v>
      </c>
    </row>
    <row r="469">
      <c r="A469" s="16" t="s">
        <v>47</v>
      </c>
      <c r="B469" s="50" t="str">
        <f>IFERROR(HYPERLINK(VLOOKUP(A469,Internal_lists_bugs!$A$2:$C$73,3,FALSE()), VLOOKUP(A469,Internal_lists_bugs!$A$2:$C$73,3,FALSE())&amp;Char(10) &amp; Char(10) &amp; VLOOKUP(A469,Internal_lists_bugs!$A$2:$Z$73,26,FALSE())),"please select a BUG ID")</f>
        <v>https://bugs.launchpad.net/nova/+bug/1447249
/virt/ironic/driver.py</v>
      </c>
      <c r="C469" s="81" t="str">
        <f>IFERROR(SUBSTITUTE(VLOOKUP(A469,Internal_lists_bugs!$A$2:$G2031,7,FALSE()),"nova/commit","nova/src/commit"),"please select a BUG ID")</f>
        <v>https://opendev.org/openstack/nova/src/commit/1682c5b</v>
      </c>
      <c r="D469" s="16" t="s">
        <v>4680</v>
      </c>
      <c r="E469" s="16" t="s">
        <v>4886</v>
      </c>
      <c r="F469" s="54"/>
      <c r="H469" s="112" t="s">
        <v>4704</v>
      </c>
      <c r="I469" s="16" t="s">
        <v>4752</v>
      </c>
      <c r="J469" s="196" t="str">
        <f>IFERROR(VLOOKUP(A469,Internal_lists_bugs!$A$2:$I2031,9,FALSE()),"please select a BUG ID")</f>
        <v>https://review.opendev.org/c/openstack/nova/+/144792</v>
      </c>
    </row>
    <row r="470">
      <c r="A470" s="16" t="s">
        <v>47</v>
      </c>
      <c r="B470" s="50" t="str">
        <f>IFERROR(HYPERLINK(VLOOKUP(A470,Internal_lists_bugs!$A$2:$C$73,3,FALSE()), VLOOKUP(A470,Internal_lists_bugs!$A$2:$C$73,3,FALSE())&amp;Char(10) &amp; Char(10) &amp; VLOOKUP(A470,Internal_lists_bugs!$A$2:$Z$73,26,FALSE())),"please select a BUG ID")</f>
        <v>https://bugs.launchpad.net/nova/+bug/1447249
/virt/ironic/driver.py</v>
      </c>
      <c r="C470" s="81" t="str">
        <f>IFERROR(SUBSTITUTE(VLOOKUP(A470,Internal_lists_bugs!$A$2:$G2031,7,FALSE()),"nova/commit","nova/src/commit"),"please select a BUG ID")</f>
        <v>https://opendev.org/openstack/nova/src/commit/1682c5b</v>
      </c>
      <c r="D470" s="16" t="s">
        <v>4754</v>
      </c>
      <c r="E470" s="16" t="s">
        <v>4755</v>
      </c>
      <c r="F470" s="54"/>
      <c r="H470" s="112" t="s">
        <v>4749</v>
      </c>
      <c r="I470" s="16" t="s">
        <v>4779</v>
      </c>
      <c r="J470" s="196" t="str">
        <f>IFERROR(VLOOKUP(A470,Internal_lists_bugs!$A$2:$I2031,9,FALSE()),"please select a BUG ID")</f>
        <v>https://review.opendev.org/c/openstack/nova/+/144792</v>
      </c>
    </row>
    <row r="471">
      <c r="A471" s="16" t="s">
        <v>47</v>
      </c>
      <c r="B471" s="50" t="str">
        <f>IFERROR(HYPERLINK(VLOOKUP(A471,Internal_lists_bugs!$A$2:$C$73,3,FALSE()), VLOOKUP(A471,Internal_lists_bugs!$A$2:$C$73,3,FALSE())&amp;Char(10) &amp; Char(10) &amp; VLOOKUP(A471,Internal_lists_bugs!$A$2:$Z$73,26,FALSE())),"please select a BUG ID")</f>
        <v>https://bugs.launchpad.net/nova/+bug/1447249
/virt/ironic/driver.py</v>
      </c>
      <c r="C471" s="81" t="str">
        <f>IFERROR(SUBSTITUTE(VLOOKUP(A471,Internal_lists_bugs!$A$2:$G2031,7,FALSE()),"nova/commit","nova/src/commit"),"please select a BUG ID")</f>
        <v>https://opendev.org/openstack/nova/src/commit/1682c5b</v>
      </c>
      <c r="D471" s="16" t="s">
        <v>4714</v>
      </c>
      <c r="E471" s="16" t="s">
        <v>4738</v>
      </c>
      <c r="F471" s="54"/>
      <c r="H471" s="112" t="s">
        <v>4782</v>
      </c>
      <c r="I471" s="16" t="s">
        <v>4783</v>
      </c>
      <c r="J471" s="196" t="str">
        <f>IFERROR(VLOOKUP(A471,Internal_lists_bugs!$A$2:$I2031,9,FALSE()),"please select a BUG ID")</f>
        <v>https://review.opendev.org/c/openstack/nova/+/144792</v>
      </c>
    </row>
    <row r="472">
      <c r="A472" s="16" t="s">
        <v>47</v>
      </c>
      <c r="B472" s="50" t="str">
        <f>IFERROR(HYPERLINK(VLOOKUP(A472,Internal_lists_bugs!$A$2:$C$73,3,FALSE()), VLOOKUP(A472,Internal_lists_bugs!$A$2:$C$73,3,FALSE())&amp;Char(10) &amp; Char(10) &amp; VLOOKUP(A472,Internal_lists_bugs!$A$2:$Z$73,26,FALSE())),"please select a BUG ID")</f>
        <v>https://bugs.launchpad.net/nova/+bug/1447249
/virt/ironic/driver.py</v>
      </c>
      <c r="C472" s="81" t="str">
        <f>IFERROR(SUBSTITUTE(VLOOKUP(A472,Internal_lists_bugs!$A$2:$G2031,7,FALSE()),"nova/commit","nova/src/commit"),"please select a BUG ID")</f>
        <v>https://opendev.org/openstack/nova/src/commit/1682c5b</v>
      </c>
      <c r="D472" s="16" t="s">
        <v>4807</v>
      </c>
      <c r="E472" s="16" t="s">
        <v>4822</v>
      </c>
      <c r="F472" s="54"/>
      <c r="H472" s="112" t="s">
        <v>4801</v>
      </c>
      <c r="I472" s="16" t="s">
        <v>4806</v>
      </c>
      <c r="J472" s="196" t="str">
        <f>IFERROR(VLOOKUP(A472,Internal_lists_bugs!$A$2:$I2031,9,FALSE()),"please select a BUG ID")</f>
        <v>https://review.opendev.org/c/openstack/nova/+/144792</v>
      </c>
    </row>
    <row r="473">
      <c r="A473" s="16" t="s">
        <v>47</v>
      </c>
      <c r="B473" s="50" t="str">
        <f>IFERROR(HYPERLINK(VLOOKUP(A473,Internal_lists_bugs!$A$2:$C$73,3,FALSE()), VLOOKUP(A473,Internal_lists_bugs!$A$2:$C$73,3,FALSE())&amp;Char(10) &amp; Char(10) &amp; VLOOKUP(A473,Internal_lists_bugs!$A$2:$Z$73,26,FALSE())),"please select a BUG ID")</f>
        <v>https://bugs.launchpad.net/nova/+bug/1447249
/virt/ironic/driver.py</v>
      </c>
      <c r="C473" s="81" t="str">
        <f>IFERROR(SUBSTITUTE(VLOOKUP(A473,Internal_lists_bugs!$A$2:$G2031,7,FALSE()),"nova/commit","nova/src/commit"),"please select a BUG ID")</f>
        <v>https://opendev.org/openstack/nova/src/commit/1682c5b</v>
      </c>
      <c r="D473" s="16" t="s">
        <v>4812</v>
      </c>
      <c r="E473" s="16" t="s">
        <v>4813</v>
      </c>
      <c r="F473" s="54"/>
      <c r="H473" s="112" t="s">
        <v>4818</v>
      </c>
      <c r="I473" s="66" t="s">
        <v>4840</v>
      </c>
      <c r="J473" s="196" t="str">
        <f>IFERROR(VLOOKUP(A473,Internal_lists_bugs!$A$2:$I2031,9,FALSE()),"please select a BUG ID")</f>
        <v>https://review.opendev.org/c/openstack/nova/+/144792</v>
      </c>
    </row>
    <row r="474">
      <c r="A474" s="16" t="s">
        <v>47</v>
      </c>
      <c r="B474" s="50" t="str">
        <f>IFERROR(HYPERLINK(VLOOKUP(A474,Internal_lists_bugs!$A$2:$C$73,3,FALSE()), VLOOKUP(A474,Internal_lists_bugs!$A$2:$C$73,3,FALSE())&amp;Char(10) &amp; Char(10) &amp; VLOOKUP(A474,Internal_lists_bugs!$A$2:$Z$73,26,FALSE())),"please select a BUG ID")</f>
        <v>https://bugs.launchpad.net/nova/+bug/1447249
/virt/ironic/driver.py</v>
      </c>
      <c r="C474" s="81" t="str">
        <f>IFERROR(SUBSTITUTE(VLOOKUP(A474,Internal_lists_bugs!$A$2:$G2031,7,FALSE()),"nova/commit","nova/src/commit"),"please select a BUG ID")</f>
        <v>https://opendev.org/openstack/nova/src/commit/1682c5b</v>
      </c>
      <c r="D474" s="16" t="s">
        <v>4841</v>
      </c>
      <c r="E474" s="16" t="s">
        <v>4842</v>
      </c>
      <c r="F474" s="54"/>
      <c r="H474" s="112" t="s">
        <v>4845</v>
      </c>
      <c r="I474" s="66" t="s">
        <v>4846</v>
      </c>
      <c r="J474" s="196" t="str">
        <f>IFERROR(VLOOKUP(A474,Internal_lists_bugs!$A$2:$I2031,9,FALSE()),"please select a BUG ID")</f>
        <v>https://review.opendev.org/c/openstack/nova/+/144792</v>
      </c>
    </row>
    <row r="475">
      <c r="A475" s="16" t="s">
        <v>47</v>
      </c>
      <c r="B475" s="50" t="str">
        <f>IFERROR(HYPERLINK(VLOOKUP(A475,Internal_lists_bugs!$A$2:$C$73,3,FALSE()), VLOOKUP(A475,Internal_lists_bugs!$A$2:$C$73,3,FALSE())&amp;Char(10) &amp; Char(10) &amp; VLOOKUP(A475,Internal_lists_bugs!$A$2:$Z$73,26,FALSE())),"please select a BUG ID")</f>
        <v>https://bugs.launchpad.net/nova/+bug/1447249
/virt/ironic/driver.py</v>
      </c>
      <c r="C475" s="81" t="str">
        <f>IFERROR(SUBSTITUTE(VLOOKUP(A475,Internal_lists_bugs!$A$2:$G2031,7,FALSE()),"nova/commit","nova/src/commit"),"please select a BUG ID")</f>
        <v>https://opendev.org/openstack/nova/src/commit/1682c5b</v>
      </c>
      <c r="D475" s="16" t="s">
        <v>4847</v>
      </c>
      <c r="E475" s="14" t="s">
        <v>4928</v>
      </c>
      <c r="F475" s="54"/>
      <c r="H475" s="112" t="s">
        <v>4831</v>
      </c>
      <c r="J475" s="196" t="str">
        <f>IFERROR(VLOOKUP(A475,Internal_lists_bugs!$A$2:$I2031,9,FALSE()),"please select a BUG ID")</f>
        <v>https://review.opendev.org/c/openstack/nova/+/144792</v>
      </c>
    </row>
    <row r="476">
      <c r="A476" s="16" t="s">
        <v>47</v>
      </c>
      <c r="B476" s="50" t="str">
        <f>IFERROR(HYPERLINK(VLOOKUP(A476,Internal_lists_bugs!$A$2:$C$73,3,FALSE()), VLOOKUP(A476,Internal_lists_bugs!$A$2:$C$73,3,FALSE())&amp;Char(10) &amp; Char(10) &amp; VLOOKUP(A476,Internal_lists_bugs!$A$2:$Z$73,26,FALSE())),"please select a BUG ID")</f>
        <v>https://bugs.launchpad.net/nova/+bug/1447249
/virt/ironic/driver.py</v>
      </c>
      <c r="C476" s="81" t="str">
        <f>IFERROR(SUBSTITUTE(VLOOKUP(A476,Internal_lists_bugs!$A$2:$G2031,7,FALSE()),"nova/commit","nova/src/commit"),"please select a BUG ID")</f>
        <v>https://opendev.org/openstack/nova/src/commit/1682c5b</v>
      </c>
      <c r="D476" s="16" t="s">
        <v>4859</v>
      </c>
      <c r="E476" s="14" t="s">
        <v>4929</v>
      </c>
      <c r="F476" s="54"/>
      <c r="H476" s="114"/>
      <c r="J476" s="196" t="str">
        <f>IFERROR(VLOOKUP(A476,Internal_lists_bugs!$A$2:$I2031,9,FALSE()),"please select a BUG ID")</f>
        <v>https://review.opendev.org/c/openstack/nova/+/144792</v>
      </c>
    </row>
    <row r="477">
      <c r="A477" s="16" t="s">
        <v>47</v>
      </c>
      <c r="B477" s="50" t="str">
        <f>IFERROR(HYPERLINK(VLOOKUP(A477,Internal_lists_bugs!$A$2:$C$73,3,FALSE()), VLOOKUP(A477,Internal_lists_bugs!$A$2:$C$73,3,FALSE())&amp;Char(10) &amp; Char(10) &amp; VLOOKUP(A477,Internal_lists_bugs!$A$2:$Z$73,26,FALSE())),"please select a BUG ID")</f>
        <v>https://bugs.launchpad.net/nova/+bug/1447249
/virt/ironic/driver.py</v>
      </c>
      <c r="C477" s="81" t="str">
        <f>IFERROR(SUBSTITUTE(VLOOKUP(A477,Internal_lists_bugs!$A$2:$G2031,7,FALSE()),"nova/commit","nova/src/commit"),"please select a BUG ID")</f>
        <v>https://opendev.org/openstack/nova/src/commit/1682c5b</v>
      </c>
      <c r="D477" s="16" t="s">
        <v>4849</v>
      </c>
      <c r="E477" s="14" t="s">
        <v>4930</v>
      </c>
      <c r="F477" s="54"/>
      <c r="H477" s="114"/>
      <c r="J477" s="196" t="str">
        <f>IFERROR(VLOOKUP(A477,Internal_lists_bugs!$A$2:$I2031,9,FALSE()),"please select a BUG ID")</f>
        <v>https://review.opendev.org/c/openstack/nova/+/144792</v>
      </c>
    </row>
    <row r="478">
      <c r="A478" s="16" t="s">
        <v>47</v>
      </c>
      <c r="B478" s="50" t="str">
        <f>IFERROR(HYPERLINK(VLOOKUP(A478,Internal_lists_bugs!$A$2:$C$73,3,FALSE()), VLOOKUP(A478,Internal_lists_bugs!$A$2:$C$73,3,FALSE())&amp;Char(10) &amp; Char(10) &amp; VLOOKUP(A478,Internal_lists_bugs!$A$2:$Z$73,26,FALSE())),"please select a BUG ID")</f>
        <v>https://bugs.launchpad.net/nova/+bug/1447249
/virt/ironic/driver.py</v>
      </c>
      <c r="C478" s="81" t="str">
        <f>IFERROR(SUBSTITUTE(VLOOKUP(A478,Internal_lists_bugs!$A$2:$G2031,7,FALSE()),"nova/commit","nova/src/commit"),"please select a BUG ID")</f>
        <v>https://opendev.org/openstack/nova/src/commit/1682c5b</v>
      </c>
      <c r="D478" s="16" t="s">
        <v>4861</v>
      </c>
      <c r="E478" s="14" t="s">
        <v>4931</v>
      </c>
      <c r="F478" s="54"/>
      <c r="H478" s="114"/>
      <c r="J478" s="196" t="str">
        <f>IFERROR(VLOOKUP(A478,Internal_lists_bugs!$A$2:$I2031,9,FALSE()),"please select a BUG ID")</f>
        <v>https://review.opendev.org/c/openstack/nova/+/144792</v>
      </c>
    </row>
    <row r="479">
      <c r="A479" s="16" t="s">
        <v>47</v>
      </c>
      <c r="B479" s="50" t="str">
        <f>IFERROR(HYPERLINK(VLOOKUP(A479,Internal_lists_bugs!$A$2:$C$73,3,FALSE()), VLOOKUP(A479,Internal_lists_bugs!$A$2:$C$73,3,FALSE())&amp;Char(10) &amp; Char(10) &amp; VLOOKUP(A479,Internal_lists_bugs!$A$2:$Z$73,26,FALSE())),"please select a BUG ID")</f>
        <v>https://bugs.launchpad.net/nova/+bug/1447249
/virt/ironic/driver.py</v>
      </c>
      <c r="C479" s="81" t="str">
        <f>IFERROR(SUBSTITUTE(VLOOKUP(A479,Internal_lists_bugs!$A$2:$G2031,7,FALSE()),"nova/commit","nova/src/commit"),"please select a BUG ID")</f>
        <v>https://opendev.org/openstack/nova/src/commit/1682c5b</v>
      </c>
      <c r="D479" s="16" t="s">
        <v>1356</v>
      </c>
      <c r="E479" s="14" t="s">
        <v>4932</v>
      </c>
      <c r="F479" s="54"/>
      <c r="H479" s="114"/>
      <c r="J479" s="196" t="str">
        <f>IFERROR(VLOOKUP(A479,Internal_lists_bugs!$A$2:$I2031,9,FALSE()),"please select a BUG ID")</f>
        <v>https://review.opendev.org/c/openstack/nova/+/144792</v>
      </c>
    </row>
    <row r="480">
      <c r="A480" s="189" t="s">
        <v>39</v>
      </c>
      <c r="B480" s="198" t="str">
        <f>IFERROR(HYPERLINK(VLOOKUP(A480,Internal_lists_bugs!$A$2:$C$73,3,FALSE()), VLOOKUP(A480,Internal_lists_bugs!$A$2:$C$73,3,FALSE())&amp;Char(10) &amp; Char(10) &amp; VLOOKUP(A480,Internal_lists_bugs!$A$2:$Z$73,26,FALSE())),"please select a BUG ID")</f>
        <v>https://bugs.launchpad.net/nova/+bug/1443697
/vmwareapi/vmops.py</v>
      </c>
      <c r="C480" s="199" t="str">
        <f>IFERROR(SUBSTITUTE(VLOOKUP(A480,Internal_lists_bugs!$A$2:$G2031,7,FALSE()),"nova/commit","nova/src/commit"),"please select a BUG ID")</f>
        <v>https://opendev.org/openstack/nova/src/commit/f3f1a53f</v>
      </c>
      <c r="D480" s="189" t="s">
        <v>4758</v>
      </c>
      <c r="E480" s="190" t="s">
        <v>4759</v>
      </c>
      <c r="F480" s="189" t="s">
        <v>4682</v>
      </c>
      <c r="G480" s="189" t="s">
        <v>4802</v>
      </c>
      <c r="H480" s="191" t="s">
        <v>4756</v>
      </c>
      <c r="I480" s="194" t="s">
        <v>4761</v>
      </c>
      <c r="J480" s="195" t="str">
        <f>IFERROR(VLOOKUP(A480,Internal_lists_bugs!$A$2:$I2031,9,FALSE()),"please select a BUG ID")</f>
        <v>https://review.opendev.org/c/openstack/nova/+/145007</v>
      </c>
      <c r="K480" s="193"/>
      <c r="L480" s="193"/>
    </row>
    <row r="481">
      <c r="A481" s="16" t="s">
        <v>39</v>
      </c>
      <c r="B481" s="50" t="str">
        <f>IFERROR(HYPERLINK(VLOOKUP(A481,Internal_lists_bugs!$A$2:$C$73,3,FALSE()), VLOOKUP(A481,Internal_lists_bugs!$A$2:$C$73,3,FALSE())&amp;Char(10) &amp; Char(10) &amp; VLOOKUP(A481,Internal_lists_bugs!$A$2:$Z$73,26,FALSE())),"please select a BUG ID")</f>
        <v>https://bugs.launchpad.net/nova/+bug/1443697
/vmwareapi/vmops.py</v>
      </c>
      <c r="C481" s="81" t="str">
        <f>IFERROR(SUBSTITUTE(VLOOKUP(A481,Internal_lists_bugs!$A$2:$G2031,7,FALSE()),"nova/commit","nova/src/commit"),"please select a BUG ID")</f>
        <v>https://opendev.org/openstack/nova/src/commit/f3f1a53f</v>
      </c>
      <c r="D481" s="16" t="s">
        <v>4765</v>
      </c>
      <c r="E481" s="14" t="s">
        <v>4933</v>
      </c>
      <c r="F481" s="54"/>
      <c r="H481" s="112" t="s">
        <v>4763</v>
      </c>
      <c r="I481" s="16" t="s">
        <v>4797</v>
      </c>
      <c r="J481" s="196" t="str">
        <f>IFERROR(VLOOKUP(A481,Internal_lists_bugs!$A$2:$I2031,9,FALSE()),"please select a BUG ID")</f>
        <v>https://review.opendev.org/c/openstack/nova/+/145007</v>
      </c>
    </row>
    <row r="482">
      <c r="A482" s="16" t="s">
        <v>39</v>
      </c>
      <c r="B482" s="50" t="str">
        <f>IFERROR(HYPERLINK(VLOOKUP(A482,Internal_lists_bugs!$A$2:$C$73,3,FALSE()), VLOOKUP(A482,Internal_lists_bugs!$A$2:$C$73,3,FALSE())&amp;Char(10) &amp; Char(10) &amp; VLOOKUP(A482,Internal_lists_bugs!$A$2:$Z$73,26,FALSE())),"please select a BUG ID")</f>
        <v>https://bugs.launchpad.net/nova/+bug/1443697
/vmwareapi/vmops.py</v>
      </c>
      <c r="C482" s="81" t="str">
        <f>IFERROR(SUBSTITUTE(VLOOKUP(A482,Internal_lists_bugs!$A$2:$G2031,7,FALSE()),"nova/commit","nova/src/commit"),"please select a BUG ID")</f>
        <v>https://opendev.org/openstack/nova/src/commit/f3f1a53f</v>
      </c>
      <c r="D482" s="16" t="s">
        <v>4686</v>
      </c>
      <c r="E482" s="63" t="s">
        <v>4768</v>
      </c>
      <c r="F482" s="54"/>
      <c r="H482" s="112" t="s">
        <v>4708</v>
      </c>
      <c r="I482" s="16" t="s">
        <v>4767</v>
      </c>
      <c r="J482" s="196" t="str">
        <f>IFERROR(VLOOKUP(A482,Internal_lists_bugs!$A$2:$I2031,9,FALSE()),"please select a BUG ID")</f>
        <v>https://review.opendev.org/c/openstack/nova/+/145007</v>
      </c>
    </row>
    <row r="483">
      <c r="A483" s="16" t="s">
        <v>39</v>
      </c>
      <c r="B483" s="50" t="str">
        <f>IFERROR(HYPERLINK(VLOOKUP(A483,Internal_lists_bugs!$A$2:$C$73,3,FALSE()), VLOOKUP(A483,Internal_lists_bugs!$A$2:$C$73,3,FALSE())&amp;Char(10) &amp; Char(10) &amp; VLOOKUP(A483,Internal_lists_bugs!$A$2:$Z$73,26,FALSE())),"please select a BUG ID")</f>
        <v>https://bugs.launchpad.net/nova/+bug/1443697
/vmwareapi/vmops.py</v>
      </c>
      <c r="C483" s="81" t="str">
        <f>IFERROR(SUBSTITUTE(VLOOKUP(A483,Internal_lists_bugs!$A$2:$G2031,7,FALSE()),"nova/commit","nova/src/commit"),"please select a BUG ID")</f>
        <v>https://opendev.org/openstack/nova/src/commit/f3f1a53f</v>
      </c>
      <c r="D483" s="16" t="s">
        <v>4702</v>
      </c>
      <c r="E483" s="16" t="s">
        <v>4770</v>
      </c>
      <c r="F483" s="54"/>
      <c r="H483" s="112" t="s">
        <v>4696</v>
      </c>
      <c r="I483" s="16" t="s">
        <v>4731</v>
      </c>
      <c r="J483" s="196" t="str">
        <f>IFERROR(VLOOKUP(A483,Internal_lists_bugs!$A$2:$I2031,9,FALSE()),"please select a BUG ID")</f>
        <v>https://review.opendev.org/c/openstack/nova/+/145007</v>
      </c>
    </row>
    <row r="484">
      <c r="A484" s="16" t="s">
        <v>39</v>
      </c>
      <c r="B484" s="50" t="str">
        <f>IFERROR(HYPERLINK(VLOOKUP(A484,Internal_lists_bugs!$A$2:$C$73,3,FALSE()), VLOOKUP(A484,Internal_lists_bugs!$A$2:$C$73,3,FALSE())&amp;Char(10) &amp; Char(10) &amp; VLOOKUP(A484,Internal_lists_bugs!$A$2:$Z$73,26,FALSE())),"please select a BUG ID")</f>
        <v>https://bugs.launchpad.net/nova/+bug/1443697
/vmwareapi/vmops.py</v>
      </c>
      <c r="C484" s="81" t="str">
        <f>IFERROR(SUBSTITUTE(VLOOKUP(A484,Internal_lists_bugs!$A$2:$G2031,7,FALSE()),"nova/commit","nova/src/commit"),"please select a BUG ID")</f>
        <v>https://opendev.org/openstack/nova/src/commit/f3f1a53f</v>
      </c>
      <c r="D484" s="16" t="s">
        <v>4772</v>
      </c>
      <c r="E484" s="14" t="s">
        <v>4934</v>
      </c>
      <c r="F484" s="54"/>
      <c r="H484" s="112" t="s">
        <v>4716</v>
      </c>
      <c r="I484" s="16" t="s">
        <v>4769</v>
      </c>
      <c r="J484" s="196" t="str">
        <f>IFERROR(VLOOKUP(A484,Internal_lists_bugs!$A$2:$I2031,9,FALSE()),"please select a BUG ID")</f>
        <v>https://review.opendev.org/c/openstack/nova/+/145007</v>
      </c>
    </row>
    <row r="485">
      <c r="A485" s="16" t="s">
        <v>39</v>
      </c>
      <c r="B485" s="50" t="str">
        <f>IFERROR(HYPERLINK(VLOOKUP(A485,Internal_lists_bugs!$A$2:$C$73,3,FALSE()), VLOOKUP(A485,Internal_lists_bugs!$A$2:$C$73,3,FALSE())&amp;Char(10) &amp; Char(10) &amp; VLOOKUP(A485,Internal_lists_bugs!$A$2:$Z$73,26,FALSE())),"please select a BUG ID")</f>
        <v>https://bugs.launchpad.net/nova/+bug/1443697
/vmwareapi/vmops.py</v>
      </c>
      <c r="C485" s="81" t="str">
        <f>IFERROR(SUBSTITUTE(VLOOKUP(A485,Internal_lists_bugs!$A$2:$G2031,7,FALSE()),"nova/commit","nova/src/commit"),"please select a BUG ID")</f>
        <v>https://opendev.org/openstack/nova/src/commit/f3f1a53f</v>
      </c>
      <c r="D485" s="16" t="s">
        <v>4706</v>
      </c>
      <c r="E485" s="16" t="s">
        <v>4775</v>
      </c>
      <c r="F485" s="54"/>
      <c r="H485" s="112" t="s">
        <v>4708</v>
      </c>
      <c r="I485" s="16" t="s">
        <v>4771</v>
      </c>
      <c r="J485" s="196" t="str">
        <f>IFERROR(VLOOKUP(A485,Internal_lists_bugs!$A$2:$I2031,9,FALSE()),"please select a BUG ID")</f>
        <v>https://review.opendev.org/c/openstack/nova/+/145007</v>
      </c>
    </row>
    <row r="486">
      <c r="A486" s="16" t="s">
        <v>39</v>
      </c>
      <c r="B486" s="50" t="str">
        <f>IFERROR(HYPERLINK(VLOOKUP(A486,Internal_lists_bugs!$A$2:$C$73,3,FALSE()), VLOOKUP(A486,Internal_lists_bugs!$A$2:$C$73,3,FALSE())&amp;Char(10) &amp; Char(10) &amp; VLOOKUP(A486,Internal_lists_bugs!$A$2:$Z$73,26,FALSE())),"please select a BUG ID")</f>
        <v>https://bugs.launchpad.net/nova/+bug/1443697
/vmwareapi/vmops.py</v>
      </c>
      <c r="C486" s="81" t="str">
        <f>IFERROR(SUBSTITUTE(VLOOKUP(A486,Internal_lists_bugs!$A$2:$G2031,7,FALSE()),"nova/commit","nova/src/commit"),"please select a BUG ID")</f>
        <v>https://opendev.org/openstack/nova/src/commit/f3f1a53f</v>
      </c>
      <c r="D486" s="16" t="s">
        <v>4710</v>
      </c>
      <c r="E486" s="16" t="s">
        <v>4775</v>
      </c>
      <c r="F486" s="54"/>
      <c r="H486" s="112" t="s">
        <v>4684</v>
      </c>
      <c r="I486" s="16" t="s">
        <v>4774</v>
      </c>
      <c r="J486" s="196" t="str">
        <f>IFERROR(VLOOKUP(A486,Internal_lists_bugs!$A$2:$I2031,9,FALSE()),"please select a BUG ID")</f>
        <v>https://review.opendev.org/c/openstack/nova/+/145007</v>
      </c>
    </row>
    <row r="487">
      <c r="A487" s="16" t="s">
        <v>39</v>
      </c>
      <c r="B487" s="50" t="str">
        <f>IFERROR(HYPERLINK(VLOOKUP(A487,Internal_lists_bugs!$A$2:$C$73,3,FALSE()), VLOOKUP(A487,Internal_lists_bugs!$A$2:$C$73,3,FALSE())&amp;Char(10) &amp; Char(10) &amp; VLOOKUP(A487,Internal_lists_bugs!$A$2:$Z$73,26,FALSE())),"please select a BUG ID")</f>
        <v>https://bugs.launchpad.net/nova/+bug/1443697
/vmwareapi/vmops.py</v>
      </c>
      <c r="C487" s="81" t="str">
        <f>IFERROR(SUBSTITUTE(VLOOKUP(A487,Internal_lists_bugs!$A$2:$G2031,7,FALSE()),"nova/commit","nova/src/commit"),"please select a BUG ID")</f>
        <v>https://opendev.org/openstack/nova/src/commit/f3f1a53f</v>
      </c>
      <c r="D487" s="16" t="s">
        <v>1325</v>
      </c>
      <c r="E487" s="16" t="s">
        <v>4751</v>
      </c>
      <c r="F487" s="54"/>
      <c r="H487" s="112" t="s">
        <v>4712</v>
      </c>
      <c r="I487" s="16" t="s">
        <v>4776</v>
      </c>
      <c r="J487" s="196" t="str">
        <f>IFERROR(VLOOKUP(A487,Internal_lists_bugs!$A$2:$I2031,9,FALSE()),"please select a BUG ID")</f>
        <v>https://review.opendev.org/c/openstack/nova/+/145007</v>
      </c>
    </row>
    <row r="488">
      <c r="A488" s="16" t="s">
        <v>39</v>
      </c>
      <c r="B488" s="50" t="str">
        <f>IFERROR(HYPERLINK(VLOOKUP(A488,Internal_lists_bugs!$A$2:$C$73,3,FALSE()), VLOOKUP(A488,Internal_lists_bugs!$A$2:$C$73,3,FALSE())&amp;Char(10) &amp; Char(10) &amp; VLOOKUP(A488,Internal_lists_bugs!$A$2:$Z$73,26,FALSE())),"please select a BUG ID")</f>
        <v>https://bugs.launchpad.net/nova/+bug/1443697
/vmwareapi/vmops.py</v>
      </c>
      <c r="C488" s="81" t="str">
        <f>IFERROR(SUBSTITUTE(VLOOKUP(A488,Internal_lists_bugs!$A$2:$G2031,7,FALSE()),"nova/commit","nova/src/commit"),"please select a BUG ID")</f>
        <v>https://opendev.org/openstack/nova/src/commit/f3f1a53f</v>
      </c>
      <c r="D488" s="16" t="s">
        <v>4680</v>
      </c>
      <c r="E488" s="16" t="s">
        <v>4886</v>
      </c>
      <c r="F488" s="54"/>
      <c r="H488" s="112" t="s">
        <v>4777</v>
      </c>
      <c r="I488" s="16" t="s">
        <v>4778</v>
      </c>
      <c r="J488" s="196" t="str">
        <f>IFERROR(VLOOKUP(A488,Internal_lists_bugs!$A$2:$I2031,9,FALSE()),"please select a BUG ID")</f>
        <v>https://review.opendev.org/c/openstack/nova/+/145007</v>
      </c>
    </row>
    <row r="489">
      <c r="A489" s="16" t="s">
        <v>39</v>
      </c>
      <c r="B489" s="50" t="str">
        <f>IFERROR(HYPERLINK(VLOOKUP(A489,Internal_lists_bugs!$A$2:$C$73,3,FALSE()), VLOOKUP(A489,Internal_lists_bugs!$A$2:$C$73,3,FALSE())&amp;Char(10) &amp; Char(10) &amp; VLOOKUP(A489,Internal_lists_bugs!$A$2:$Z$73,26,FALSE())),"please select a BUG ID")</f>
        <v>https://bugs.launchpad.net/nova/+bug/1443697
/vmwareapi/vmops.py</v>
      </c>
      <c r="C489" s="81" t="str">
        <f>IFERROR(SUBSTITUTE(VLOOKUP(A489,Internal_lists_bugs!$A$2:$G2031,7,FALSE()),"nova/commit","nova/src/commit"),"please select a BUG ID")</f>
        <v>https://opendev.org/openstack/nova/src/commit/f3f1a53f</v>
      </c>
      <c r="D489" s="16" t="s">
        <v>4754</v>
      </c>
      <c r="E489" s="16" t="s">
        <v>4755</v>
      </c>
      <c r="F489" s="54"/>
      <c r="H489" s="112" t="s">
        <v>4704</v>
      </c>
      <c r="I489" s="16" t="s">
        <v>4752</v>
      </c>
      <c r="J489" s="196" t="str">
        <f>IFERROR(VLOOKUP(A489,Internal_lists_bugs!$A$2:$I2031,9,FALSE()),"please select a BUG ID")</f>
        <v>https://review.opendev.org/c/openstack/nova/+/145007</v>
      </c>
    </row>
    <row r="490">
      <c r="A490" s="16" t="s">
        <v>39</v>
      </c>
      <c r="B490" s="50" t="str">
        <f>IFERROR(HYPERLINK(VLOOKUP(A490,Internal_lists_bugs!$A$2:$C$73,3,FALSE()), VLOOKUP(A490,Internal_lists_bugs!$A$2:$C$73,3,FALSE())&amp;Char(10) &amp; Char(10) &amp; VLOOKUP(A490,Internal_lists_bugs!$A$2:$Z$73,26,FALSE())),"please select a BUG ID")</f>
        <v>https://bugs.launchpad.net/nova/+bug/1443697
/vmwareapi/vmops.py</v>
      </c>
      <c r="C490" s="81" t="str">
        <f>IFERROR(SUBSTITUTE(VLOOKUP(A490,Internal_lists_bugs!$A$2:$G2031,7,FALSE()),"nova/commit","nova/src/commit"),"please select a BUG ID")</f>
        <v>https://opendev.org/openstack/nova/src/commit/f3f1a53f</v>
      </c>
      <c r="D490" s="16" t="s">
        <v>4714</v>
      </c>
      <c r="E490" s="16" t="s">
        <v>4738</v>
      </c>
      <c r="F490" s="54"/>
      <c r="H490" s="112" t="s">
        <v>4749</v>
      </c>
      <c r="I490" s="16" t="s">
        <v>4779</v>
      </c>
      <c r="J490" s="196" t="str">
        <f>IFERROR(VLOOKUP(A490,Internal_lists_bugs!$A$2:$I2031,9,FALSE()),"please select a BUG ID")</f>
        <v>https://review.opendev.org/c/openstack/nova/+/145007</v>
      </c>
    </row>
    <row r="491">
      <c r="A491" s="16" t="s">
        <v>39</v>
      </c>
      <c r="B491" s="50" t="str">
        <f>IFERROR(HYPERLINK(VLOOKUP(A491,Internal_lists_bugs!$A$2:$C$73,3,FALSE()), VLOOKUP(A491,Internal_lists_bugs!$A$2:$C$73,3,FALSE())&amp;Char(10) &amp; Char(10) &amp; VLOOKUP(A491,Internal_lists_bugs!$A$2:$Z$73,26,FALSE())),"please select a BUG ID")</f>
        <v>https://bugs.launchpad.net/nova/+bug/1443697
/vmwareapi/vmops.py</v>
      </c>
      <c r="C491" s="81" t="str">
        <f>IFERROR(SUBSTITUTE(VLOOKUP(A491,Internal_lists_bugs!$A$2:$G2031,7,FALSE()),"nova/commit","nova/src/commit"),"please select a BUG ID")</f>
        <v>https://opendev.org/openstack/nova/src/commit/f3f1a53f</v>
      </c>
      <c r="D491" s="16" t="s">
        <v>4807</v>
      </c>
      <c r="E491" s="16" t="s">
        <v>4822</v>
      </c>
      <c r="F491" s="54"/>
      <c r="H491" s="112" t="s">
        <v>4782</v>
      </c>
      <c r="I491" s="16" t="s">
        <v>4783</v>
      </c>
      <c r="J491" s="196" t="str">
        <f>IFERROR(VLOOKUP(A491,Internal_lists_bugs!$A$2:$I2031,9,FALSE()),"please select a BUG ID")</f>
        <v>https://review.opendev.org/c/openstack/nova/+/145007</v>
      </c>
    </row>
    <row r="492">
      <c r="A492" s="16" t="s">
        <v>39</v>
      </c>
      <c r="B492" s="50" t="str">
        <f>IFERROR(HYPERLINK(VLOOKUP(A492,Internal_lists_bugs!$A$2:$C$73,3,FALSE()), VLOOKUP(A492,Internal_lists_bugs!$A$2:$C$73,3,FALSE())&amp;Char(10) &amp; Char(10) &amp; VLOOKUP(A492,Internal_lists_bugs!$A$2:$Z$73,26,FALSE())),"please select a BUG ID")</f>
        <v>https://bugs.launchpad.net/nova/+bug/1443697
/vmwareapi/vmops.py</v>
      </c>
      <c r="C492" s="81" t="str">
        <f>IFERROR(SUBSTITUTE(VLOOKUP(A492,Internal_lists_bugs!$A$2:$G2031,7,FALSE()),"nova/commit","nova/src/commit"),"please select a BUG ID")</f>
        <v>https://opendev.org/openstack/nova/src/commit/f3f1a53f</v>
      </c>
      <c r="D492" s="16" t="s">
        <v>4812</v>
      </c>
      <c r="E492" s="16" t="s">
        <v>4813</v>
      </c>
      <c r="F492" s="54"/>
      <c r="H492" s="112" t="s">
        <v>4801</v>
      </c>
      <c r="I492" s="16" t="s">
        <v>4806</v>
      </c>
      <c r="J492" s="196" t="str">
        <f>IFERROR(VLOOKUP(A492,Internal_lists_bugs!$A$2:$I2031,9,FALSE()),"please select a BUG ID")</f>
        <v>https://review.opendev.org/c/openstack/nova/+/145007</v>
      </c>
    </row>
    <row r="493">
      <c r="A493" s="16" t="s">
        <v>39</v>
      </c>
      <c r="B493" s="50" t="str">
        <f>IFERROR(HYPERLINK(VLOOKUP(A493,Internal_lists_bugs!$A$2:$C$73,3,FALSE()), VLOOKUP(A493,Internal_lists_bugs!$A$2:$C$73,3,FALSE())&amp;Char(10) &amp; Char(10) &amp; VLOOKUP(A493,Internal_lists_bugs!$A$2:$Z$73,26,FALSE())),"please select a BUG ID")</f>
        <v>https://bugs.launchpad.net/nova/+bug/1443697
/vmwareapi/vmops.py</v>
      </c>
      <c r="C493" s="81" t="str">
        <f>IFERROR(SUBSTITUTE(VLOOKUP(A493,Internal_lists_bugs!$A$2:$G2031,7,FALSE()),"nova/commit","nova/src/commit"),"please select a BUG ID")</f>
        <v>https://opendev.org/openstack/nova/src/commit/f3f1a53f</v>
      </c>
      <c r="D493" s="16" t="s">
        <v>4841</v>
      </c>
      <c r="E493" s="16" t="s">
        <v>4842</v>
      </c>
      <c r="F493" s="54"/>
      <c r="H493" s="112" t="s">
        <v>4818</v>
      </c>
      <c r="I493" s="66" t="s">
        <v>4840</v>
      </c>
      <c r="J493" s="196" t="str">
        <f>IFERROR(VLOOKUP(A493,Internal_lists_bugs!$A$2:$I2031,9,FALSE()),"please select a BUG ID")</f>
        <v>https://review.opendev.org/c/openstack/nova/+/145007</v>
      </c>
    </row>
    <row r="494">
      <c r="A494" s="16" t="s">
        <v>39</v>
      </c>
      <c r="B494" s="50" t="str">
        <f>IFERROR(HYPERLINK(VLOOKUP(A494,Internal_lists_bugs!$A$2:$C$73,3,FALSE()), VLOOKUP(A494,Internal_lists_bugs!$A$2:$C$73,3,FALSE())&amp;Char(10) &amp; Char(10) &amp; VLOOKUP(A494,Internal_lists_bugs!$A$2:$Z$73,26,FALSE())),"please select a BUG ID")</f>
        <v>https://bugs.launchpad.net/nova/+bug/1443697
/vmwareapi/vmops.py</v>
      </c>
      <c r="C494" s="81" t="str">
        <f>IFERROR(SUBSTITUTE(VLOOKUP(A494,Internal_lists_bugs!$A$2:$G2031,7,FALSE()),"nova/commit","nova/src/commit"),"please select a BUG ID")</f>
        <v>https://opendev.org/openstack/nova/src/commit/f3f1a53f</v>
      </c>
      <c r="D494" s="16" t="s">
        <v>4847</v>
      </c>
      <c r="E494" s="14" t="s">
        <v>4935</v>
      </c>
      <c r="F494" s="54"/>
      <c r="H494" s="112" t="s">
        <v>4845</v>
      </c>
      <c r="I494" s="66" t="s">
        <v>4846</v>
      </c>
      <c r="J494" s="196" t="str">
        <f>IFERROR(VLOOKUP(A494,Internal_lists_bugs!$A$2:$I2031,9,FALSE()),"please select a BUG ID")</f>
        <v>https://review.opendev.org/c/openstack/nova/+/145007</v>
      </c>
    </row>
    <row r="495">
      <c r="A495" s="16" t="s">
        <v>39</v>
      </c>
      <c r="B495" s="50" t="str">
        <f>IFERROR(HYPERLINK(VLOOKUP(A495,Internal_lists_bugs!$A$2:$C$73,3,FALSE()), VLOOKUP(A495,Internal_lists_bugs!$A$2:$C$73,3,FALSE())&amp;Char(10) &amp; Char(10) &amp; VLOOKUP(A495,Internal_lists_bugs!$A$2:$Z$73,26,FALSE())),"please select a BUG ID")</f>
        <v>https://bugs.launchpad.net/nova/+bug/1443697
/vmwareapi/vmops.py</v>
      </c>
      <c r="C495" s="81" t="str">
        <f>IFERROR(SUBSTITUTE(VLOOKUP(A495,Internal_lists_bugs!$A$2:$G2031,7,FALSE()),"nova/commit","nova/src/commit"),"please select a BUG ID")</f>
        <v>https://opendev.org/openstack/nova/src/commit/f3f1a53f</v>
      </c>
      <c r="D495" s="16" t="s">
        <v>4859</v>
      </c>
      <c r="E495" s="14" t="s">
        <v>4936</v>
      </c>
      <c r="F495" s="54"/>
      <c r="H495" s="112" t="s">
        <v>4831</v>
      </c>
      <c r="J495" s="196" t="str">
        <f>IFERROR(VLOOKUP(A495,Internal_lists_bugs!$A$2:$I2031,9,FALSE()),"please select a BUG ID")</f>
        <v>https://review.opendev.org/c/openstack/nova/+/145007</v>
      </c>
    </row>
    <row r="496">
      <c r="A496" s="16" t="s">
        <v>39</v>
      </c>
      <c r="B496" s="50" t="str">
        <f>IFERROR(HYPERLINK(VLOOKUP(A496,Internal_lists_bugs!$A$2:$C$73,3,FALSE()), VLOOKUP(A496,Internal_lists_bugs!$A$2:$C$73,3,FALSE())&amp;Char(10) &amp; Char(10) &amp; VLOOKUP(A496,Internal_lists_bugs!$A$2:$Z$73,26,FALSE())),"please select a BUG ID")</f>
        <v>https://bugs.launchpad.net/nova/+bug/1443697
/vmwareapi/vmops.py</v>
      </c>
      <c r="C496" s="81" t="str">
        <f>IFERROR(SUBSTITUTE(VLOOKUP(A496,Internal_lists_bugs!$A$2:$G2031,7,FALSE()),"nova/commit","nova/src/commit"),"please select a BUG ID")</f>
        <v>https://opendev.org/openstack/nova/src/commit/f3f1a53f</v>
      </c>
      <c r="D496" s="16" t="s">
        <v>4849</v>
      </c>
      <c r="E496" s="14" t="s">
        <v>4937</v>
      </c>
      <c r="F496" s="54"/>
      <c r="H496" s="114"/>
      <c r="J496" s="196" t="str">
        <f>IFERROR(VLOOKUP(A496,Internal_lists_bugs!$A$2:$I2031,9,FALSE()),"please select a BUG ID")</f>
        <v>https://review.opendev.org/c/openstack/nova/+/145007</v>
      </c>
    </row>
    <row r="497">
      <c r="A497" s="16" t="s">
        <v>39</v>
      </c>
      <c r="B497" s="50" t="str">
        <f>IFERROR(HYPERLINK(VLOOKUP(A497,Internal_lists_bugs!$A$2:$C$73,3,FALSE()), VLOOKUP(A497,Internal_lists_bugs!$A$2:$C$73,3,FALSE())&amp;Char(10) &amp; Char(10) &amp; VLOOKUP(A497,Internal_lists_bugs!$A$2:$Z$73,26,FALSE())),"please select a BUG ID")</f>
        <v>https://bugs.launchpad.net/nova/+bug/1443697
/vmwareapi/vmops.py</v>
      </c>
      <c r="C497" s="81" t="str">
        <f>IFERROR(SUBSTITUTE(VLOOKUP(A497,Internal_lists_bugs!$A$2:$G2031,7,FALSE()),"nova/commit","nova/src/commit"),"please select a BUG ID")</f>
        <v>https://opendev.org/openstack/nova/src/commit/f3f1a53f</v>
      </c>
      <c r="D497" s="16" t="s">
        <v>4861</v>
      </c>
      <c r="E497" s="14" t="s">
        <v>4938</v>
      </c>
      <c r="F497" s="54"/>
      <c r="H497" s="114"/>
      <c r="J497" s="196" t="str">
        <f>IFERROR(VLOOKUP(A497,Internal_lists_bugs!$A$2:$I2031,9,FALSE()),"please select a BUG ID")</f>
        <v>https://review.opendev.org/c/openstack/nova/+/145007</v>
      </c>
    </row>
    <row r="498">
      <c r="A498" s="16" t="s">
        <v>39</v>
      </c>
      <c r="B498" s="50" t="str">
        <f>IFERROR(HYPERLINK(VLOOKUP(A498,Internal_lists_bugs!$A$2:$C$73,3,FALSE()), VLOOKUP(A498,Internal_lists_bugs!$A$2:$C$73,3,FALSE())&amp;Char(10) &amp; Char(10) &amp; VLOOKUP(A498,Internal_lists_bugs!$A$2:$Z$73,26,FALSE())),"please select a BUG ID")</f>
        <v>https://bugs.launchpad.net/nova/+bug/1443697
/vmwareapi/vmops.py</v>
      </c>
      <c r="C498" s="81" t="str">
        <f>IFERROR(SUBSTITUTE(VLOOKUP(A498,Internal_lists_bugs!$A$2:$G2031,7,FALSE()),"nova/commit","nova/src/commit"),"please select a BUG ID")</f>
        <v>https://opendev.org/openstack/nova/src/commit/f3f1a53f</v>
      </c>
      <c r="D498" s="16" t="s">
        <v>1356</v>
      </c>
      <c r="E498" s="14" t="s">
        <v>4939</v>
      </c>
      <c r="F498" s="54"/>
      <c r="H498" s="114"/>
      <c r="J498" s="196" t="str">
        <f>IFERROR(VLOOKUP(A498,Internal_lists_bugs!$A$2:$I2031,9,FALSE()),"please select a BUG ID")</f>
        <v>https://review.opendev.org/c/openstack/nova/+/145007</v>
      </c>
    </row>
    <row r="499">
      <c r="A499" s="189" t="s">
        <v>59</v>
      </c>
      <c r="B499" s="198" t="str">
        <f>IFERROR(HYPERLINK(VLOOKUP(A499,Internal_lists_bugs!$A$2:$C$73,3,FALSE()), VLOOKUP(A499,Internal_lists_bugs!$A$2:$C$73,3,FALSE())&amp;Char(10) &amp; Char(10) &amp; VLOOKUP(A499,Internal_lists_bugs!$A$2:$Z$73,26,FALSE())),"please select a BUG ID")</f>
        <v>https://bugs.launchpad.net/nova/+bug/1441000
/libvirt/driver.py</v>
      </c>
      <c r="C499" s="199" t="str">
        <f>IFERROR(SUBSTITUTE(VLOOKUP(A499,Internal_lists_bugs!$A$2:$G2031,7,FALSE()),"nova/commit","nova/src/commit"),"please select a BUG ID")</f>
        <v>https://opendev.org/openstack/nova/src/commit/7dd6a4a</v>
      </c>
      <c r="D499" s="189" t="s">
        <v>4758</v>
      </c>
      <c r="E499" s="190" t="s">
        <v>4759</v>
      </c>
      <c r="F499" s="189" t="s">
        <v>4682</v>
      </c>
      <c r="G499" s="189" t="s">
        <v>4802</v>
      </c>
      <c r="H499" s="191" t="s">
        <v>4756</v>
      </c>
      <c r="I499" s="194" t="s">
        <v>4761</v>
      </c>
      <c r="J499" s="195" t="str">
        <f>IFERROR(VLOOKUP(A499,Internal_lists_bugs!$A$2:$I2031,9,FALSE()),"please select a BUG ID")</f>
        <v>https://review.opendev.org/c/openstack/nova/+/151664</v>
      </c>
      <c r="K499" s="193"/>
      <c r="L499" s="193"/>
    </row>
    <row r="500">
      <c r="A500" s="16" t="s">
        <v>59</v>
      </c>
      <c r="B500" s="50" t="str">
        <f>IFERROR(HYPERLINK(VLOOKUP(A500,Internal_lists_bugs!$A$2:$C$73,3,FALSE()), VLOOKUP(A500,Internal_lists_bugs!$A$2:$C$73,3,FALSE())&amp;Char(10) &amp; Char(10) &amp; VLOOKUP(A500,Internal_lists_bugs!$A$2:$Z$73,26,FALSE())),"please select a BUG ID")</f>
        <v>https://bugs.launchpad.net/nova/+bug/1441000
/libvirt/driver.py</v>
      </c>
      <c r="C500" s="81" t="str">
        <f>IFERROR(SUBSTITUTE(VLOOKUP(A500,Internal_lists_bugs!$A$2:$G2031,7,FALSE()),"nova/commit","nova/src/commit"),"please select a BUG ID")</f>
        <v>https://opendev.org/openstack/nova/src/commit/7dd6a4a</v>
      </c>
      <c r="D500" s="16" t="s">
        <v>4765</v>
      </c>
      <c r="E500" s="14" t="s">
        <v>4940</v>
      </c>
      <c r="F500" s="54"/>
      <c r="H500" s="112" t="s">
        <v>4763</v>
      </c>
      <c r="I500" s="16" t="s">
        <v>4797</v>
      </c>
      <c r="J500" s="196" t="str">
        <f>IFERROR(VLOOKUP(A500,Internal_lists_bugs!$A$2:$I2031,9,FALSE()),"please select a BUG ID")</f>
        <v>https://review.opendev.org/c/openstack/nova/+/151664</v>
      </c>
    </row>
    <row r="501">
      <c r="A501" s="16" t="s">
        <v>59</v>
      </c>
      <c r="B501" s="50" t="str">
        <f>IFERROR(HYPERLINK(VLOOKUP(A501,Internal_lists_bugs!$A$2:$C$73,3,FALSE()), VLOOKUP(A501,Internal_lists_bugs!$A$2:$C$73,3,FALSE())&amp;Char(10) &amp; Char(10) &amp; VLOOKUP(A501,Internal_lists_bugs!$A$2:$Z$73,26,FALSE())),"please select a BUG ID")</f>
        <v>https://bugs.launchpad.net/nova/+bug/1441000
/libvirt/driver.py</v>
      </c>
      <c r="C501" s="81" t="str">
        <f>IFERROR(SUBSTITUTE(VLOOKUP(A501,Internal_lists_bugs!$A$2:$G2031,7,FALSE()),"nova/commit","nova/src/commit"),"please select a BUG ID")</f>
        <v>https://opendev.org/openstack/nova/src/commit/7dd6a4a</v>
      </c>
      <c r="D501" s="16" t="s">
        <v>4686</v>
      </c>
      <c r="E501" s="63" t="s">
        <v>4768</v>
      </c>
      <c r="F501" s="54"/>
      <c r="H501" s="112" t="s">
        <v>4708</v>
      </c>
      <c r="I501" s="16" t="s">
        <v>4767</v>
      </c>
      <c r="J501" s="196" t="str">
        <f>IFERROR(VLOOKUP(A501,Internal_lists_bugs!$A$2:$I2031,9,FALSE()),"please select a BUG ID")</f>
        <v>https://review.opendev.org/c/openstack/nova/+/151664</v>
      </c>
    </row>
    <row r="502">
      <c r="A502" s="16" t="s">
        <v>59</v>
      </c>
      <c r="B502" s="50" t="str">
        <f>IFERROR(HYPERLINK(VLOOKUP(A502,Internal_lists_bugs!$A$2:$C$73,3,FALSE()), VLOOKUP(A502,Internal_lists_bugs!$A$2:$C$73,3,FALSE())&amp;Char(10) &amp; Char(10) &amp; VLOOKUP(A502,Internal_lists_bugs!$A$2:$Z$73,26,FALSE())),"please select a BUG ID")</f>
        <v>https://bugs.launchpad.net/nova/+bug/1441000
/libvirt/driver.py</v>
      </c>
      <c r="C502" s="81" t="str">
        <f>IFERROR(SUBSTITUTE(VLOOKUP(A502,Internal_lists_bugs!$A$2:$G2031,7,FALSE()),"nova/commit","nova/src/commit"),"please select a BUG ID")</f>
        <v>https://opendev.org/openstack/nova/src/commit/7dd6a4a</v>
      </c>
      <c r="D502" s="16" t="s">
        <v>4702</v>
      </c>
      <c r="E502" s="16" t="s">
        <v>4770</v>
      </c>
      <c r="F502" s="54"/>
      <c r="H502" s="112" t="s">
        <v>4696</v>
      </c>
      <c r="I502" s="16" t="s">
        <v>4731</v>
      </c>
      <c r="J502" s="196" t="str">
        <f>IFERROR(VLOOKUP(A502,Internal_lists_bugs!$A$2:$I2031,9,FALSE()),"please select a BUG ID")</f>
        <v>https://review.opendev.org/c/openstack/nova/+/151664</v>
      </c>
    </row>
    <row r="503">
      <c r="A503" s="16" t="s">
        <v>59</v>
      </c>
      <c r="B503" s="50" t="str">
        <f>IFERROR(HYPERLINK(VLOOKUP(A503,Internal_lists_bugs!$A$2:$C$73,3,FALSE()), VLOOKUP(A503,Internal_lists_bugs!$A$2:$C$73,3,FALSE())&amp;Char(10) &amp; Char(10) &amp; VLOOKUP(A503,Internal_lists_bugs!$A$2:$Z$73,26,FALSE())),"please select a BUG ID")</f>
        <v>https://bugs.launchpad.net/nova/+bug/1441000
/libvirt/driver.py</v>
      </c>
      <c r="C503" s="81" t="str">
        <f>IFERROR(SUBSTITUTE(VLOOKUP(A503,Internal_lists_bugs!$A$2:$G2031,7,FALSE()),"nova/commit","nova/src/commit"),"please select a BUG ID")</f>
        <v>https://opendev.org/openstack/nova/src/commit/7dd6a4a</v>
      </c>
      <c r="D503" s="16" t="s">
        <v>4772</v>
      </c>
      <c r="E503" s="14" t="s">
        <v>4941</v>
      </c>
      <c r="F503" s="54"/>
      <c r="H503" s="112" t="s">
        <v>4716</v>
      </c>
      <c r="I503" s="16" t="s">
        <v>4769</v>
      </c>
      <c r="J503" s="196" t="str">
        <f>IFERROR(VLOOKUP(A503,Internal_lists_bugs!$A$2:$I2031,9,FALSE()),"please select a BUG ID")</f>
        <v>https://review.opendev.org/c/openstack/nova/+/151664</v>
      </c>
    </row>
    <row r="504">
      <c r="A504" s="16" t="s">
        <v>59</v>
      </c>
      <c r="B504" s="50" t="str">
        <f>IFERROR(HYPERLINK(VLOOKUP(A504,Internal_lists_bugs!$A$2:$C$73,3,FALSE()), VLOOKUP(A504,Internal_lists_bugs!$A$2:$C$73,3,FALSE())&amp;Char(10) &amp; Char(10) &amp; VLOOKUP(A504,Internal_lists_bugs!$A$2:$Z$73,26,FALSE())),"please select a BUG ID")</f>
        <v>https://bugs.launchpad.net/nova/+bug/1441000
/libvirt/driver.py</v>
      </c>
      <c r="C504" s="81" t="str">
        <f>IFERROR(SUBSTITUTE(VLOOKUP(A504,Internal_lists_bugs!$A$2:$G2031,7,FALSE()),"nova/commit","nova/src/commit"),"please select a BUG ID")</f>
        <v>https://opendev.org/openstack/nova/src/commit/7dd6a4a</v>
      </c>
      <c r="D504" s="16" t="s">
        <v>4706</v>
      </c>
      <c r="E504" s="16" t="s">
        <v>4775</v>
      </c>
      <c r="F504" s="54"/>
      <c r="H504" s="112" t="s">
        <v>4708</v>
      </c>
      <c r="I504" s="16" t="s">
        <v>4771</v>
      </c>
      <c r="J504" s="196" t="str">
        <f>IFERROR(VLOOKUP(A504,Internal_lists_bugs!$A$2:$I2031,9,FALSE()),"please select a BUG ID")</f>
        <v>https://review.opendev.org/c/openstack/nova/+/151664</v>
      </c>
    </row>
    <row r="505">
      <c r="A505" s="16" t="s">
        <v>59</v>
      </c>
      <c r="B505" s="50" t="str">
        <f>IFERROR(HYPERLINK(VLOOKUP(A505,Internal_lists_bugs!$A$2:$C$73,3,FALSE()), VLOOKUP(A505,Internal_lists_bugs!$A$2:$C$73,3,FALSE())&amp;Char(10) &amp; Char(10) &amp; VLOOKUP(A505,Internal_lists_bugs!$A$2:$Z$73,26,FALSE())),"please select a BUG ID")</f>
        <v>https://bugs.launchpad.net/nova/+bug/1441000
/libvirt/driver.py</v>
      </c>
      <c r="C505" s="81" t="str">
        <f>IFERROR(SUBSTITUTE(VLOOKUP(A505,Internal_lists_bugs!$A$2:$G2031,7,FALSE()),"nova/commit","nova/src/commit"),"please select a BUG ID")</f>
        <v>https://opendev.org/openstack/nova/src/commit/7dd6a4a</v>
      </c>
      <c r="D505" s="16" t="s">
        <v>4710</v>
      </c>
      <c r="E505" s="16" t="s">
        <v>4775</v>
      </c>
      <c r="F505" s="54"/>
      <c r="H505" s="112" t="s">
        <v>4684</v>
      </c>
      <c r="I505" s="16" t="s">
        <v>4774</v>
      </c>
      <c r="J505" s="196" t="str">
        <f>IFERROR(VLOOKUP(A505,Internal_lists_bugs!$A$2:$I2031,9,FALSE()),"please select a BUG ID")</f>
        <v>https://review.opendev.org/c/openstack/nova/+/151664</v>
      </c>
    </row>
    <row r="506">
      <c r="A506" s="16" t="s">
        <v>59</v>
      </c>
      <c r="B506" s="50" t="str">
        <f>IFERROR(HYPERLINK(VLOOKUP(A506,Internal_lists_bugs!$A$2:$C$73,3,FALSE()), VLOOKUP(A506,Internal_lists_bugs!$A$2:$C$73,3,FALSE())&amp;Char(10) &amp; Char(10) &amp; VLOOKUP(A506,Internal_lists_bugs!$A$2:$Z$73,26,FALSE())),"please select a BUG ID")</f>
        <v>https://bugs.launchpad.net/nova/+bug/1441000
/libvirt/driver.py</v>
      </c>
      <c r="C506" s="81" t="str">
        <f>IFERROR(SUBSTITUTE(VLOOKUP(A506,Internal_lists_bugs!$A$2:$G2031,7,FALSE()),"nova/commit","nova/src/commit"),"please select a BUG ID")</f>
        <v>https://opendev.org/openstack/nova/src/commit/7dd6a4a</v>
      </c>
      <c r="D506" s="16" t="s">
        <v>1325</v>
      </c>
      <c r="E506" s="16" t="s">
        <v>4751</v>
      </c>
      <c r="F506" s="54"/>
      <c r="H506" s="112" t="s">
        <v>4712</v>
      </c>
      <c r="I506" s="16" t="s">
        <v>4776</v>
      </c>
      <c r="J506" s="196" t="str">
        <f>IFERROR(VLOOKUP(A506,Internal_lists_bugs!$A$2:$I2031,9,FALSE()),"please select a BUG ID")</f>
        <v>https://review.opendev.org/c/openstack/nova/+/151664</v>
      </c>
    </row>
    <row r="507">
      <c r="A507" s="16" t="s">
        <v>59</v>
      </c>
      <c r="B507" s="50" t="str">
        <f>IFERROR(HYPERLINK(VLOOKUP(A507,Internal_lists_bugs!$A$2:$C$73,3,FALSE()), VLOOKUP(A507,Internal_lists_bugs!$A$2:$C$73,3,FALSE())&amp;Char(10) &amp; Char(10) &amp; VLOOKUP(A507,Internal_lists_bugs!$A$2:$Z$73,26,FALSE())),"please select a BUG ID")</f>
        <v>https://bugs.launchpad.net/nova/+bug/1441000
/libvirt/driver.py</v>
      </c>
      <c r="C507" s="81" t="str">
        <f>IFERROR(SUBSTITUTE(VLOOKUP(A507,Internal_lists_bugs!$A$2:$G2031,7,FALSE()),"nova/commit","nova/src/commit"),"please select a BUG ID")</f>
        <v>https://opendev.org/openstack/nova/src/commit/7dd6a4a</v>
      </c>
      <c r="D507" s="16" t="s">
        <v>4680</v>
      </c>
      <c r="E507" s="16" t="s">
        <v>4886</v>
      </c>
      <c r="F507" s="54"/>
      <c r="H507" s="112" t="s">
        <v>4777</v>
      </c>
      <c r="I507" s="16" t="s">
        <v>4778</v>
      </c>
      <c r="J507" s="196" t="str">
        <f>IFERROR(VLOOKUP(A507,Internal_lists_bugs!$A$2:$I2031,9,FALSE()),"please select a BUG ID")</f>
        <v>https://review.opendev.org/c/openstack/nova/+/151664</v>
      </c>
    </row>
    <row r="508">
      <c r="A508" s="16" t="s">
        <v>59</v>
      </c>
      <c r="B508" s="50" t="str">
        <f>IFERROR(HYPERLINK(VLOOKUP(A508,Internal_lists_bugs!$A$2:$C$73,3,FALSE()), VLOOKUP(A508,Internal_lists_bugs!$A$2:$C$73,3,FALSE())&amp;Char(10) &amp; Char(10) &amp; VLOOKUP(A508,Internal_lists_bugs!$A$2:$Z$73,26,FALSE())),"please select a BUG ID")</f>
        <v>https://bugs.launchpad.net/nova/+bug/1441000
/libvirt/driver.py</v>
      </c>
      <c r="C508" s="81" t="str">
        <f>IFERROR(SUBSTITUTE(VLOOKUP(A508,Internal_lists_bugs!$A$2:$G2031,7,FALSE()),"nova/commit","nova/src/commit"),"please select a BUG ID")</f>
        <v>https://opendev.org/openstack/nova/src/commit/7dd6a4a</v>
      </c>
      <c r="D508" s="16" t="s">
        <v>4754</v>
      </c>
      <c r="E508" s="16" t="s">
        <v>4755</v>
      </c>
      <c r="F508" s="54"/>
      <c r="H508" s="112" t="s">
        <v>4704</v>
      </c>
      <c r="I508" s="16" t="s">
        <v>4752</v>
      </c>
      <c r="J508" s="196" t="str">
        <f>IFERROR(VLOOKUP(A508,Internal_lists_bugs!$A$2:$I2031,9,FALSE()),"please select a BUG ID")</f>
        <v>https://review.opendev.org/c/openstack/nova/+/151664</v>
      </c>
    </row>
    <row r="509">
      <c r="A509" s="16" t="s">
        <v>59</v>
      </c>
      <c r="B509" s="50" t="str">
        <f>IFERROR(HYPERLINK(VLOOKUP(A509,Internal_lists_bugs!$A$2:$C$73,3,FALSE()), VLOOKUP(A509,Internal_lists_bugs!$A$2:$C$73,3,FALSE())&amp;Char(10) &amp; Char(10) &amp; VLOOKUP(A509,Internal_lists_bugs!$A$2:$Z$73,26,FALSE())),"please select a BUG ID")</f>
        <v>https://bugs.launchpad.net/nova/+bug/1441000
/libvirt/driver.py</v>
      </c>
      <c r="C509" s="81" t="str">
        <f>IFERROR(SUBSTITUTE(VLOOKUP(A509,Internal_lists_bugs!$A$2:$G2031,7,FALSE()),"nova/commit","nova/src/commit"),"please select a BUG ID")</f>
        <v>https://opendev.org/openstack/nova/src/commit/7dd6a4a</v>
      </c>
      <c r="D509" s="16" t="s">
        <v>4714</v>
      </c>
      <c r="E509" s="16" t="s">
        <v>4738</v>
      </c>
      <c r="F509" s="54"/>
      <c r="H509" s="112" t="s">
        <v>4749</v>
      </c>
      <c r="I509" s="16" t="s">
        <v>4779</v>
      </c>
      <c r="J509" s="196" t="str">
        <f>IFERROR(VLOOKUP(A509,Internal_lists_bugs!$A$2:$I2031,9,FALSE()),"please select a BUG ID")</f>
        <v>https://review.opendev.org/c/openstack/nova/+/151664</v>
      </c>
    </row>
    <row r="510">
      <c r="A510" s="16" t="s">
        <v>59</v>
      </c>
      <c r="B510" s="50" t="str">
        <f>IFERROR(HYPERLINK(VLOOKUP(A510,Internal_lists_bugs!$A$2:$C$73,3,FALSE()), VLOOKUP(A510,Internal_lists_bugs!$A$2:$C$73,3,FALSE())&amp;Char(10) &amp; Char(10) &amp; VLOOKUP(A510,Internal_lists_bugs!$A$2:$Z$73,26,FALSE())),"please select a BUG ID")</f>
        <v>https://bugs.launchpad.net/nova/+bug/1441000
/libvirt/driver.py</v>
      </c>
      <c r="C510" s="81" t="str">
        <f>IFERROR(SUBSTITUTE(VLOOKUP(A510,Internal_lists_bugs!$A$2:$G2031,7,FALSE()),"nova/commit","nova/src/commit"),"please select a BUG ID")</f>
        <v>https://opendev.org/openstack/nova/src/commit/7dd6a4a</v>
      </c>
      <c r="D510" s="16" t="s">
        <v>4807</v>
      </c>
      <c r="E510" s="16" t="s">
        <v>4822</v>
      </c>
      <c r="F510" s="54"/>
      <c r="H510" s="112" t="s">
        <v>4782</v>
      </c>
      <c r="I510" s="16" t="s">
        <v>4783</v>
      </c>
      <c r="J510" s="196" t="str">
        <f>IFERROR(VLOOKUP(A510,Internal_lists_bugs!$A$2:$I2031,9,FALSE()),"please select a BUG ID")</f>
        <v>https://review.opendev.org/c/openstack/nova/+/151664</v>
      </c>
    </row>
    <row r="511">
      <c r="A511" s="16" t="s">
        <v>59</v>
      </c>
      <c r="B511" s="50" t="str">
        <f>IFERROR(HYPERLINK(VLOOKUP(A511,Internal_lists_bugs!$A$2:$C$73,3,FALSE()), VLOOKUP(A511,Internal_lists_bugs!$A$2:$C$73,3,FALSE())&amp;Char(10) &amp; Char(10) &amp; VLOOKUP(A511,Internal_lists_bugs!$A$2:$Z$73,26,FALSE())),"please select a BUG ID")</f>
        <v>https://bugs.launchpad.net/nova/+bug/1441000
/libvirt/driver.py</v>
      </c>
      <c r="C511" s="81" t="str">
        <f>IFERROR(SUBSTITUTE(VLOOKUP(A511,Internal_lists_bugs!$A$2:$G2031,7,FALSE()),"nova/commit","nova/src/commit"),"please select a BUG ID")</f>
        <v>https://opendev.org/openstack/nova/src/commit/7dd6a4a</v>
      </c>
      <c r="D511" s="16" t="s">
        <v>4812</v>
      </c>
      <c r="E511" s="16" t="s">
        <v>4813</v>
      </c>
      <c r="F511" s="54"/>
      <c r="H511" s="112" t="s">
        <v>4801</v>
      </c>
      <c r="I511" s="16" t="s">
        <v>4806</v>
      </c>
      <c r="J511" s="196" t="str">
        <f>IFERROR(VLOOKUP(A511,Internal_lists_bugs!$A$2:$I2031,9,FALSE()),"please select a BUG ID")</f>
        <v>https://review.opendev.org/c/openstack/nova/+/151664</v>
      </c>
    </row>
    <row r="512">
      <c r="A512" s="16" t="s">
        <v>59</v>
      </c>
      <c r="B512" s="50" t="str">
        <f>IFERROR(HYPERLINK(VLOOKUP(A512,Internal_lists_bugs!$A$2:$C$73,3,FALSE()), VLOOKUP(A512,Internal_lists_bugs!$A$2:$C$73,3,FALSE())&amp;Char(10) &amp; Char(10) &amp; VLOOKUP(A512,Internal_lists_bugs!$A$2:$Z$73,26,FALSE())),"please select a BUG ID")</f>
        <v>https://bugs.launchpad.net/nova/+bug/1441000
/libvirt/driver.py</v>
      </c>
      <c r="C512" s="81" t="str">
        <f>IFERROR(SUBSTITUTE(VLOOKUP(A512,Internal_lists_bugs!$A$2:$G2031,7,FALSE()),"nova/commit","nova/src/commit"),"please select a BUG ID")</f>
        <v>https://opendev.org/openstack/nova/src/commit/7dd6a4a</v>
      </c>
      <c r="D512" s="16" t="s">
        <v>4841</v>
      </c>
      <c r="E512" s="16" t="s">
        <v>4842</v>
      </c>
      <c r="F512" s="54"/>
      <c r="H512" s="112" t="s">
        <v>4818</v>
      </c>
      <c r="I512" s="66" t="s">
        <v>4840</v>
      </c>
      <c r="J512" s="196" t="str">
        <f>IFERROR(VLOOKUP(A512,Internal_lists_bugs!$A$2:$I2031,9,FALSE()),"please select a BUG ID")</f>
        <v>https://review.opendev.org/c/openstack/nova/+/151664</v>
      </c>
    </row>
    <row r="513">
      <c r="A513" s="16" t="s">
        <v>59</v>
      </c>
      <c r="B513" s="50" t="str">
        <f>IFERROR(HYPERLINK(VLOOKUP(A513,Internal_lists_bugs!$A$2:$C$73,3,FALSE()), VLOOKUP(A513,Internal_lists_bugs!$A$2:$C$73,3,FALSE())&amp;Char(10) &amp; Char(10) &amp; VLOOKUP(A513,Internal_lists_bugs!$A$2:$Z$73,26,FALSE())),"please select a BUG ID")</f>
        <v>https://bugs.launchpad.net/nova/+bug/1441000
/libvirt/driver.py</v>
      </c>
      <c r="C513" s="81" t="str">
        <f>IFERROR(SUBSTITUTE(VLOOKUP(A513,Internal_lists_bugs!$A$2:$G2031,7,FALSE()),"nova/commit","nova/src/commit"),"please select a BUG ID")</f>
        <v>https://opendev.org/openstack/nova/src/commit/7dd6a4a</v>
      </c>
      <c r="D513" s="16" t="s">
        <v>4847</v>
      </c>
      <c r="E513" s="14" t="s">
        <v>4942</v>
      </c>
      <c r="F513" s="54"/>
      <c r="H513" s="112" t="s">
        <v>4845</v>
      </c>
      <c r="I513" s="66" t="s">
        <v>4846</v>
      </c>
      <c r="J513" s="196" t="str">
        <f>IFERROR(VLOOKUP(A513,Internal_lists_bugs!$A$2:$I2031,9,FALSE()),"please select a BUG ID")</f>
        <v>https://review.opendev.org/c/openstack/nova/+/151664</v>
      </c>
    </row>
    <row r="514">
      <c r="A514" s="16" t="s">
        <v>59</v>
      </c>
      <c r="B514" s="50" t="str">
        <f>IFERROR(HYPERLINK(VLOOKUP(A514,Internal_lists_bugs!$A$2:$C$73,3,FALSE()), VLOOKUP(A514,Internal_lists_bugs!$A$2:$C$73,3,FALSE())&amp;Char(10) &amp; Char(10) &amp; VLOOKUP(A514,Internal_lists_bugs!$A$2:$Z$73,26,FALSE())),"please select a BUG ID")</f>
        <v>https://bugs.launchpad.net/nova/+bug/1441000
/libvirt/driver.py</v>
      </c>
      <c r="C514" s="81" t="str">
        <f>IFERROR(SUBSTITUTE(VLOOKUP(A514,Internal_lists_bugs!$A$2:$G2031,7,FALSE()),"nova/commit","nova/src/commit"),"please select a BUG ID")</f>
        <v>https://opendev.org/openstack/nova/src/commit/7dd6a4a</v>
      </c>
      <c r="D514" s="16" t="s">
        <v>4859</v>
      </c>
      <c r="E514" s="14" t="s">
        <v>4943</v>
      </c>
      <c r="F514" s="54"/>
      <c r="H514" s="112" t="s">
        <v>4831</v>
      </c>
      <c r="J514" s="196" t="str">
        <f>IFERROR(VLOOKUP(A514,Internal_lists_bugs!$A$2:$I2031,9,FALSE()),"please select a BUG ID")</f>
        <v>https://review.opendev.org/c/openstack/nova/+/151664</v>
      </c>
    </row>
    <row r="515">
      <c r="A515" s="16" t="s">
        <v>59</v>
      </c>
      <c r="B515" s="50" t="str">
        <f>IFERROR(HYPERLINK(VLOOKUP(A515,Internal_lists_bugs!$A$2:$C$73,3,FALSE()), VLOOKUP(A515,Internal_lists_bugs!$A$2:$C$73,3,FALSE())&amp;Char(10) &amp; Char(10) &amp; VLOOKUP(A515,Internal_lists_bugs!$A$2:$Z$73,26,FALSE())),"please select a BUG ID")</f>
        <v>https://bugs.launchpad.net/nova/+bug/1441000
/libvirt/driver.py</v>
      </c>
      <c r="C515" s="81" t="str">
        <f>IFERROR(SUBSTITUTE(VLOOKUP(A515,Internal_lists_bugs!$A$2:$G2031,7,FALSE()),"nova/commit","nova/src/commit"),"please select a BUG ID")</f>
        <v>https://opendev.org/openstack/nova/src/commit/7dd6a4a</v>
      </c>
      <c r="D515" s="16" t="s">
        <v>4849</v>
      </c>
      <c r="E515" s="14" t="s">
        <v>4944</v>
      </c>
      <c r="F515" s="54"/>
      <c r="H515" s="114"/>
      <c r="J515" s="196" t="str">
        <f>IFERROR(VLOOKUP(A515,Internal_lists_bugs!$A$2:$I2031,9,FALSE()),"please select a BUG ID")</f>
        <v>https://review.opendev.org/c/openstack/nova/+/151664</v>
      </c>
    </row>
    <row r="516">
      <c r="A516" s="16" t="s">
        <v>59</v>
      </c>
      <c r="B516" s="50" t="str">
        <f>IFERROR(HYPERLINK(VLOOKUP(A516,Internal_lists_bugs!$A$2:$C$73,3,FALSE()), VLOOKUP(A516,Internal_lists_bugs!$A$2:$C$73,3,FALSE())&amp;Char(10) &amp; Char(10) &amp; VLOOKUP(A516,Internal_lists_bugs!$A$2:$Z$73,26,FALSE())),"please select a BUG ID")</f>
        <v>https://bugs.launchpad.net/nova/+bug/1441000
/libvirt/driver.py</v>
      </c>
      <c r="C516" s="81" t="str">
        <f>IFERROR(SUBSTITUTE(VLOOKUP(A516,Internal_lists_bugs!$A$2:$G2031,7,FALSE()),"nova/commit","nova/src/commit"),"please select a BUG ID")</f>
        <v>https://opendev.org/openstack/nova/src/commit/7dd6a4a</v>
      </c>
      <c r="D516" s="16" t="s">
        <v>4861</v>
      </c>
      <c r="E516" s="14" t="s">
        <v>4945</v>
      </c>
      <c r="F516" s="54"/>
      <c r="H516" s="114"/>
      <c r="J516" s="196" t="str">
        <f>IFERROR(VLOOKUP(A516,Internal_lists_bugs!$A$2:$I2031,9,FALSE()),"please select a BUG ID")</f>
        <v>https://review.opendev.org/c/openstack/nova/+/151664</v>
      </c>
    </row>
    <row r="517">
      <c r="A517" s="16" t="s">
        <v>59</v>
      </c>
      <c r="B517" s="50" t="str">
        <f>IFERROR(HYPERLINK(VLOOKUP(A517,Internal_lists_bugs!$A$2:$C$73,3,FALSE()), VLOOKUP(A517,Internal_lists_bugs!$A$2:$C$73,3,FALSE())&amp;Char(10) &amp; Char(10) &amp; VLOOKUP(A517,Internal_lists_bugs!$A$2:$Z$73,26,FALSE())),"please select a BUG ID")</f>
        <v>https://bugs.launchpad.net/nova/+bug/1441000
/libvirt/driver.py</v>
      </c>
      <c r="C517" s="81" t="str">
        <f>IFERROR(SUBSTITUTE(VLOOKUP(A517,Internal_lists_bugs!$A$2:$G2031,7,FALSE()),"nova/commit","nova/src/commit"),"please select a BUG ID")</f>
        <v>https://opendev.org/openstack/nova/src/commit/7dd6a4a</v>
      </c>
      <c r="D517" s="16" t="s">
        <v>1356</v>
      </c>
      <c r="E517" s="14" t="s">
        <v>4946</v>
      </c>
      <c r="F517" s="54"/>
      <c r="H517" s="114"/>
      <c r="J517" s="196" t="str">
        <f>IFERROR(VLOOKUP(A517,Internal_lists_bugs!$A$2:$I2031,9,FALSE()),"please select a BUG ID")</f>
        <v>https://review.opendev.org/c/openstack/nova/+/151664</v>
      </c>
    </row>
    <row r="518">
      <c r="A518" s="189" t="s">
        <v>46</v>
      </c>
      <c r="B518" s="198" t="str">
        <f>IFERROR(HYPERLINK(VLOOKUP(A518,Internal_lists_bugs!$A$2:$C$73,3,FALSE()), VLOOKUP(A518,Internal_lists_bugs!$A$2:$C$73,3,FALSE())&amp;Char(10) &amp; Char(10) &amp; VLOOKUP(A518,Internal_lists_bugs!$A$2:$Z$73,26,FALSE())),"please select a BUG ID")</f>
        <v>https://bugs.launchpad.net/nova/+bug/1434855
/os-extended-volumes/v2.3/server-get-resp.json
/os-extended-volumes/v2.3/servers-detail-resp.json </v>
      </c>
      <c r="C518" s="199" t="str">
        <f>IFERROR(SUBSTITUTE(VLOOKUP(A518,Internal_lists_bugs!$A$2:$G2031,7,FALSE()),"nova/commit","nova/src/commit"),"please select a BUG ID")</f>
        <v>https://opendev.org/openstack/nova/src/commit/abc656d</v>
      </c>
      <c r="D518" s="189" t="s">
        <v>4758</v>
      </c>
      <c r="E518" s="190" t="s">
        <v>4759</v>
      </c>
      <c r="F518" s="189" t="s">
        <v>4682</v>
      </c>
      <c r="G518" s="189" t="s">
        <v>4802</v>
      </c>
      <c r="H518" s="191" t="s">
        <v>4756</v>
      </c>
      <c r="I518" s="194" t="s">
        <v>4761</v>
      </c>
      <c r="J518" s="195" t="str">
        <f>IFERROR(VLOOKUP(A518,Internal_lists_bugs!$A$2:$I2031,9,FALSE()),"please select a BUG ID")</f>
        <v>https://review.opendev.org/c/openstack/nova/+/155853</v>
      </c>
      <c r="K518" s="193"/>
      <c r="L518" s="193"/>
    </row>
    <row r="519">
      <c r="A519" s="16" t="s">
        <v>46</v>
      </c>
      <c r="B519" s="50" t="str">
        <f>IFERROR(HYPERLINK(VLOOKUP(A519,Internal_lists_bugs!$A$2:$C$73,3,FALSE()), VLOOKUP(A519,Internal_lists_bugs!$A$2:$C$73,3,FALSE())&amp;Char(10) &amp; Char(10) &amp; VLOOKUP(A519,Internal_lists_bugs!$A$2:$Z$73,26,FALSE())),"please select a BUG ID")</f>
        <v>https://bugs.launchpad.net/nova/+bug/1434855
/os-extended-volumes/v2.3/server-get-resp.json
/os-extended-volumes/v2.3/servers-detail-resp.json </v>
      </c>
      <c r="C519" s="81" t="str">
        <f>IFERROR(SUBSTITUTE(VLOOKUP(A519,Internal_lists_bugs!$A$2:$G2031,7,FALSE()),"nova/commit","nova/src/commit"),"please select a BUG ID")</f>
        <v>https://opendev.org/openstack/nova/src/commit/abc656d</v>
      </c>
      <c r="D519" s="16" t="s">
        <v>4765</v>
      </c>
      <c r="E519" s="14" t="s">
        <v>4947</v>
      </c>
      <c r="F519" s="54"/>
      <c r="H519" s="112" t="s">
        <v>4763</v>
      </c>
      <c r="I519" s="16" t="s">
        <v>4797</v>
      </c>
      <c r="J519" s="196" t="str">
        <f>IFERROR(VLOOKUP(A519,Internal_lists_bugs!$A$2:$I2031,9,FALSE()),"please select a BUG ID")</f>
        <v>https://review.opendev.org/c/openstack/nova/+/155853</v>
      </c>
    </row>
    <row r="520">
      <c r="A520" s="16" t="s">
        <v>46</v>
      </c>
      <c r="B520" s="50" t="str">
        <f>IFERROR(HYPERLINK(VLOOKUP(A520,Internal_lists_bugs!$A$2:$C$73,3,FALSE()), VLOOKUP(A520,Internal_lists_bugs!$A$2:$C$73,3,FALSE())&amp;Char(10) &amp; Char(10) &amp; VLOOKUP(A520,Internal_lists_bugs!$A$2:$Z$73,26,FALSE())),"please select a BUG ID")</f>
        <v>https://bugs.launchpad.net/nova/+bug/1434855
/os-extended-volumes/v2.3/server-get-resp.json
/os-extended-volumes/v2.3/servers-detail-resp.json </v>
      </c>
      <c r="C520" s="81" t="str">
        <f>IFERROR(SUBSTITUTE(VLOOKUP(A520,Internal_lists_bugs!$A$2:$G2031,7,FALSE()),"nova/commit","nova/src/commit"),"please select a BUG ID")</f>
        <v>https://opendev.org/openstack/nova/src/commit/abc656d</v>
      </c>
      <c r="D520" s="16" t="s">
        <v>4686</v>
      </c>
      <c r="E520" s="63" t="s">
        <v>4768</v>
      </c>
      <c r="F520" s="54"/>
      <c r="H520" s="112" t="s">
        <v>4708</v>
      </c>
      <c r="I520" s="16" t="s">
        <v>4767</v>
      </c>
      <c r="J520" s="196" t="str">
        <f>IFERROR(VLOOKUP(A520,Internal_lists_bugs!$A$2:$I2031,9,FALSE()),"please select a BUG ID")</f>
        <v>https://review.opendev.org/c/openstack/nova/+/155853</v>
      </c>
    </row>
    <row r="521">
      <c r="A521" s="16" t="s">
        <v>46</v>
      </c>
      <c r="B521" s="50" t="str">
        <f>IFERROR(HYPERLINK(VLOOKUP(A521,Internal_lists_bugs!$A$2:$C$73,3,FALSE()), VLOOKUP(A521,Internal_lists_bugs!$A$2:$C$73,3,FALSE())&amp;Char(10) &amp; Char(10) &amp; VLOOKUP(A521,Internal_lists_bugs!$A$2:$Z$73,26,FALSE())),"please select a BUG ID")</f>
        <v>https://bugs.launchpad.net/nova/+bug/1434855
/os-extended-volumes/v2.3/server-get-resp.json
/os-extended-volumes/v2.3/servers-detail-resp.json </v>
      </c>
      <c r="C521" s="81" t="str">
        <f>IFERROR(SUBSTITUTE(VLOOKUP(A521,Internal_lists_bugs!$A$2:$G2031,7,FALSE()),"nova/commit","nova/src/commit"),"please select a BUG ID")</f>
        <v>https://opendev.org/openstack/nova/src/commit/abc656d</v>
      </c>
      <c r="D521" s="16" t="s">
        <v>4702</v>
      </c>
      <c r="E521" s="16" t="s">
        <v>4770</v>
      </c>
      <c r="F521" s="54"/>
      <c r="H521" s="112" t="s">
        <v>4696</v>
      </c>
      <c r="I521" s="16" t="s">
        <v>4731</v>
      </c>
      <c r="J521" s="196" t="str">
        <f>IFERROR(VLOOKUP(A521,Internal_lists_bugs!$A$2:$I2031,9,FALSE()),"please select a BUG ID")</f>
        <v>https://review.opendev.org/c/openstack/nova/+/155853</v>
      </c>
    </row>
    <row r="522">
      <c r="A522" s="16" t="s">
        <v>46</v>
      </c>
      <c r="B522" s="50" t="str">
        <f>IFERROR(HYPERLINK(VLOOKUP(A522,Internal_lists_bugs!$A$2:$C$73,3,FALSE()), VLOOKUP(A522,Internal_lists_bugs!$A$2:$C$73,3,FALSE())&amp;Char(10) &amp; Char(10) &amp; VLOOKUP(A522,Internal_lists_bugs!$A$2:$Z$73,26,FALSE())),"please select a BUG ID")</f>
        <v>https://bugs.launchpad.net/nova/+bug/1434855
/os-extended-volumes/v2.3/server-get-resp.json
/os-extended-volumes/v2.3/servers-detail-resp.json </v>
      </c>
      <c r="C522" s="81" t="str">
        <f>IFERROR(SUBSTITUTE(VLOOKUP(A522,Internal_lists_bugs!$A$2:$G2031,7,FALSE()),"nova/commit","nova/src/commit"),"please select a BUG ID")</f>
        <v>https://opendev.org/openstack/nova/src/commit/abc656d</v>
      </c>
      <c r="D522" s="16" t="s">
        <v>4772</v>
      </c>
      <c r="E522" s="14" t="s">
        <v>4948</v>
      </c>
      <c r="F522" s="54"/>
      <c r="H522" s="112" t="s">
        <v>4716</v>
      </c>
      <c r="I522" s="16" t="s">
        <v>4769</v>
      </c>
      <c r="J522" s="196" t="str">
        <f>IFERROR(VLOOKUP(A522,Internal_lists_bugs!$A$2:$I2031,9,FALSE()),"please select a BUG ID")</f>
        <v>https://review.opendev.org/c/openstack/nova/+/155853</v>
      </c>
    </row>
    <row r="523">
      <c r="A523" s="16" t="s">
        <v>46</v>
      </c>
      <c r="B523" s="50" t="str">
        <f>IFERROR(HYPERLINK(VLOOKUP(A523,Internal_lists_bugs!$A$2:$C$73,3,FALSE()), VLOOKUP(A523,Internal_lists_bugs!$A$2:$C$73,3,FALSE())&amp;Char(10) &amp; Char(10) &amp; VLOOKUP(A523,Internal_lists_bugs!$A$2:$Z$73,26,FALSE())),"please select a BUG ID")</f>
        <v>https://bugs.launchpad.net/nova/+bug/1434855
/os-extended-volumes/v2.3/server-get-resp.json
/os-extended-volumes/v2.3/servers-detail-resp.json </v>
      </c>
      <c r="C523" s="81" t="str">
        <f>IFERROR(SUBSTITUTE(VLOOKUP(A523,Internal_lists_bugs!$A$2:$G2031,7,FALSE()),"nova/commit","nova/src/commit"),"please select a BUG ID")</f>
        <v>https://opendev.org/openstack/nova/src/commit/abc656d</v>
      </c>
      <c r="D523" s="16" t="s">
        <v>4706</v>
      </c>
      <c r="E523" s="16" t="s">
        <v>4775</v>
      </c>
      <c r="F523" s="54"/>
      <c r="H523" s="112" t="s">
        <v>4708</v>
      </c>
      <c r="I523" s="16" t="s">
        <v>4771</v>
      </c>
      <c r="J523" s="196" t="str">
        <f>IFERROR(VLOOKUP(A523,Internal_lists_bugs!$A$2:$I2031,9,FALSE()),"please select a BUG ID")</f>
        <v>https://review.opendev.org/c/openstack/nova/+/155853</v>
      </c>
    </row>
    <row r="524">
      <c r="A524" s="16" t="s">
        <v>46</v>
      </c>
      <c r="B524" s="50" t="str">
        <f>IFERROR(HYPERLINK(VLOOKUP(A524,Internal_lists_bugs!$A$2:$C$73,3,FALSE()), VLOOKUP(A524,Internal_lists_bugs!$A$2:$C$73,3,FALSE())&amp;Char(10) &amp; Char(10) &amp; VLOOKUP(A524,Internal_lists_bugs!$A$2:$Z$73,26,FALSE())),"please select a BUG ID")</f>
        <v>https://bugs.launchpad.net/nova/+bug/1434855
/os-extended-volumes/v2.3/server-get-resp.json
/os-extended-volumes/v2.3/servers-detail-resp.json </v>
      </c>
      <c r="C524" s="81" t="str">
        <f>IFERROR(SUBSTITUTE(VLOOKUP(A524,Internal_lists_bugs!$A$2:$G2031,7,FALSE()),"nova/commit","nova/src/commit"),"please select a BUG ID")</f>
        <v>https://opendev.org/openstack/nova/src/commit/abc656d</v>
      </c>
      <c r="D524" s="16" t="s">
        <v>4710</v>
      </c>
      <c r="E524" s="16" t="s">
        <v>4775</v>
      </c>
      <c r="F524" s="54"/>
      <c r="H524" s="112" t="s">
        <v>4684</v>
      </c>
      <c r="I524" s="16" t="s">
        <v>4774</v>
      </c>
      <c r="J524" s="196" t="str">
        <f>IFERROR(VLOOKUP(A524,Internal_lists_bugs!$A$2:$I2031,9,FALSE()),"please select a BUG ID")</f>
        <v>https://review.opendev.org/c/openstack/nova/+/155853</v>
      </c>
    </row>
    <row r="525">
      <c r="A525" s="16" t="s">
        <v>46</v>
      </c>
      <c r="B525" s="50" t="str">
        <f>IFERROR(HYPERLINK(VLOOKUP(A525,Internal_lists_bugs!$A$2:$C$73,3,FALSE()), VLOOKUP(A525,Internal_lists_bugs!$A$2:$C$73,3,FALSE())&amp;Char(10) &amp; Char(10) &amp; VLOOKUP(A525,Internal_lists_bugs!$A$2:$Z$73,26,FALSE())),"please select a BUG ID")</f>
        <v>https://bugs.launchpad.net/nova/+bug/1434855
/os-extended-volumes/v2.3/server-get-resp.json
/os-extended-volumes/v2.3/servers-detail-resp.json </v>
      </c>
      <c r="C525" s="81" t="str">
        <f>IFERROR(SUBSTITUTE(VLOOKUP(A525,Internal_lists_bugs!$A$2:$G2031,7,FALSE()),"nova/commit","nova/src/commit"),"please select a BUG ID")</f>
        <v>https://opendev.org/openstack/nova/src/commit/abc656d</v>
      </c>
      <c r="D525" s="16" t="s">
        <v>1325</v>
      </c>
      <c r="E525" s="16" t="s">
        <v>4751</v>
      </c>
      <c r="F525" s="54"/>
      <c r="H525" s="112" t="s">
        <v>4712</v>
      </c>
      <c r="I525" s="16" t="s">
        <v>4776</v>
      </c>
      <c r="J525" s="196" t="str">
        <f>IFERROR(VLOOKUP(A525,Internal_lists_bugs!$A$2:$I2031,9,FALSE()),"please select a BUG ID")</f>
        <v>https://review.opendev.org/c/openstack/nova/+/155853</v>
      </c>
    </row>
    <row r="526">
      <c r="A526" s="16" t="s">
        <v>46</v>
      </c>
      <c r="B526" s="50" t="str">
        <f>IFERROR(HYPERLINK(VLOOKUP(A526,Internal_lists_bugs!$A$2:$C$73,3,FALSE()), VLOOKUP(A526,Internal_lists_bugs!$A$2:$C$73,3,FALSE())&amp;Char(10) &amp; Char(10) &amp; VLOOKUP(A526,Internal_lists_bugs!$A$2:$Z$73,26,FALSE())),"please select a BUG ID")</f>
        <v>https://bugs.launchpad.net/nova/+bug/1434855
/os-extended-volumes/v2.3/server-get-resp.json
/os-extended-volumes/v2.3/servers-detail-resp.json </v>
      </c>
      <c r="C526" s="81" t="str">
        <f>IFERROR(SUBSTITUTE(VLOOKUP(A526,Internal_lists_bugs!$A$2:$G2031,7,FALSE()),"nova/commit","nova/src/commit"),"please select a BUG ID")</f>
        <v>https://opendev.org/openstack/nova/src/commit/abc656d</v>
      </c>
      <c r="D526" s="16" t="s">
        <v>4680</v>
      </c>
      <c r="E526" s="16" t="s">
        <v>4886</v>
      </c>
      <c r="F526" s="54"/>
      <c r="H526" s="112" t="s">
        <v>4777</v>
      </c>
      <c r="I526" s="16" t="s">
        <v>4778</v>
      </c>
      <c r="J526" s="196" t="str">
        <f>IFERROR(VLOOKUP(A526,Internal_lists_bugs!$A$2:$I2031,9,FALSE()),"please select a BUG ID")</f>
        <v>https://review.opendev.org/c/openstack/nova/+/155853</v>
      </c>
    </row>
    <row r="527">
      <c r="A527" s="16" t="s">
        <v>46</v>
      </c>
      <c r="B527" s="50" t="str">
        <f>IFERROR(HYPERLINK(VLOOKUP(A527,Internal_lists_bugs!$A$2:$C$73,3,FALSE()), VLOOKUP(A527,Internal_lists_bugs!$A$2:$C$73,3,FALSE())&amp;Char(10) &amp; Char(10) &amp; VLOOKUP(A527,Internal_lists_bugs!$A$2:$Z$73,26,FALSE())),"please select a BUG ID")</f>
        <v>https://bugs.launchpad.net/nova/+bug/1434855
/os-extended-volumes/v2.3/server-get-resp.json
/os-extended-volumes/v2.3/servers-detail-resp.json </v>
      </c>
      <c r="C527" s="81" t="str">
        <f>IFERROR(SUBSTITUTE(VLOOKUP(A527,Internal_lists_bugs!$A$2:$G2031,7,FALSE()),"nova/commit","nova/src/commit"),"please select a BUG ID")</f>
        <v>https://opendev.org/openstack/nova/src/commit/abc656d</v>
      </c>
      <c r="D527" s="16" t="s">
        <v>4754</v>
      </c>
      <c r="E527" s="16" t="s">
        <v>4755</v>
      </c>
      <c r="F527" s="54"/>
      <c r="H527" s="112" t="s">
        <v>4704</v>
      </c>
      <c r="I527" s="16" t="s">
        <v>4752</v>
      </c>
      <c r="J527" s="196" t="str">
        <f>IFERROR(VLOOKUP(A527,Internal_lists_bugs!$A$2:$I2031,9,FALSE()),"please select a BUG ID")</f>
        <v>https://review.opendev.org/c/openstack/nova/+/155853</v>
      </c>
    </row>
    <row r="528">
      <c r="A528" s="16" t="s">
        <v>46</v>
      </c>
      <c r="B528" s="50" t="str">
        <f>IFERROR(HYPERLINK(VLOOKUP(A528,Internal_lists_bugs!$A$2:$C$73,3,FALSE()), VLOOKUP(A528,Internal_lists_bugs!$A$2:$C$73,3,FALSE())&amp;Char(10) &amp; Char(10) &amp; VLOOKUP(A528,Internal_lists_bugs!$A$2:$Z$73,26,FALSE())),"please select a BUG ID")</f>
        <v>https://bugs.launchpad.net/nova/+bug/1434855
/os-extended-volumes/v2.3/server-get-resp.json
/os-extended-volumes/v2.3/servers-detail-resp.json </v>
      </c>
      <c r="C528" s="81" t="str">
        <f>IFERROR(SUBSTITUTE(VLOOKUP(A528,Internal_lists_bugs!$A$2:$G2031,7,FALSE()),"nova/commit","nova/src/commit"),"please select a BUG ID")</f>
        <v>https://opendev.org/openstack/nova/src/commit/abc656d</v>
      </c>
      <c r="D528" s="16" t="s">
        <v>4714</v>
      </c>
      <c r="E528" s="16" t="s">
        <v>4738</v>
      </c>
      <c r="F528" s="54"/>
      <c r="H528" s="112" t="s">
        <v>4749</v>
      </c>
      <c r="I528" s="16" t="s">
        <v>4779</v>
      </c>
      <c r="J528" s="196" t="str">
        <f>IFERROR(VLOOKUP(A528,Internal_lists_bugs!$A$2:$I2031,9,FALSE()),"please select a BUG ID")</f>
        <v>https://review.opendev.org/c/openstack/nova/+/155853</v>
      </c>
    </row>
    <row r="529">
      <c r="A529" s="16" t="s">
        <v>46</v>
      </c>
      <c r="B529" s="50" t="str">
        <f>IFERROR(HYPERLINK(VLOOKUP(A529,Internal_lists_bugs!$A$2:$C$73,3,FALSE()), VLOOKUP(A529,Internal_lists_bugs!$A$2:$C$73,3,FALSE())&amp;Char(10) &amp; Char(10) &amp; VLOOKUP(A529,Internal_lists_bugs!$A$2:$Z$73,26,FALSE())),"please select a BUG ID")</f>
        <v>https://bugs.launchpad.net/nova/+bug/1434855
/os-extended-volumes/v2.3/server-get-resp.json
/os-extended-volumes/v2.3/servers-detail-resp.json </v>
      </c>
      <c r="C529" s="81" t="str">
        <f>IFERROR(SUBSTITUTE(VLOOKUP(A529,Internal_lists_bugs!$A$2:$G2031,7,FALSE()),"nova/commit","nova/src/commit"),"please select a BUG ID")</f>
        <v>https://opendev.org/openstack/nova/src/commit/abc656d</v>
      </c>
      <c r="D529" s="16" t="s">
        <v>4807</v>
      </c>
      <c r="E529" s="16" t="s">
        <v>4822</v>
      </c>
      <c r="F529" s="54"/>
      <c r="H529" s="112" t="s">
        <v>4782</v>
      </c>
      <c r="I529" s="16" t="s">
        <v>4783</v>
      </c>
      <c r="J529" s="196" t="str">
        <f>IFERROR(VLOOKUP(A529,Internal_lists_bugs!$A$2:$I2031,9,FALSE()),"please select a BUG ID")</f>
        <v>https://review.opendev.org/c/openstack/nova/+/155853</v>
      </c>
    </row>
    <row r="530">
      <c r="A530" s="16" t="s">
        <v>46</v>
      </c>
      <c r="B530" s="50" t="str">
        <f>IFERROR(HYPERLINK(VLOOKUP(A530,Internal_lists_bugs!$A$2:$C$73,3,FALSE()), VLOOKUP(A530,Internal_lists_bugs!$A$2:$C$73,3,FALSE())&amp;Char(10) &amp; Char(10) &amp; VLOOKUP(A530,Internal_lists_bugs!$A$2:$Z$73,26,FALSE())),"please select a BUG ID")</f>
        <v>https://bugs.launchpad.net/nova/+bug/1434855
/os-extended-volumes/v2.3/server-get-resp.json
/os-extended-volumes/v2.3/servers-detail-resp.json </v>
      </c>
      <c r="C530" s="81" t="str">
        <f>IFERROR(SUBSTITUTE(VLOOKUP(A530,Internal_lists_bugs!$A$2:$G2031,7,FALSE()),"nova/commit","nova/src/commit"),"please select a BUG ID")</f>
        <v>https://opendev.org/openstack/nova/src/commit/abc656d</v>
      </c>
      <c r="D530" s="16" t="s">
        <v>4812</v>
      </c>
      <c r="E530" s="16" t="s">
        <v>4813</v>
      </c>
      <c r="F530" s="54"/>
      <c r="H530" s="112" t="s">
        <v>4801</v>
      </c>
      <c r="I530" s="16" t="s">
        <v>4806</v>
      </c>
      <c r="J530" s="196" t="str">
        <f>IFERROR(VLOOKUP(A530,Internal_lists_bugs!$A$2:$I2031,9,FALSE()),"please select a BUG ID")</f>
        <v>https://review.opendev.org/c/openstack/nova/+/155853</v>
      </c>
    </row>
    <row r="531">
      <c r="A531" s="16" t="s">
        <v>46</v>
      </c>
      <c r="B531" s="50" t="str">
        <f>IFERROR(HYPERLINK(VLOOKUP(A531,Internal_lists_bugs!$A$2:$C$73,3,FALSE()), VLOOKUP(A531,Internal_lists_bugs!$A$2:$C$73,3,FALSE())&amp;Char(10) &amp; Char(10) &amp; VLOOKUP(A531,Internal_lists_bugs!$A$2:$Z$73,26,FALSE())),"please select a BUG ID")</f>
        <v>https://bugs.launchpad.net/nova/+bug/1434855
/os-extended-volumes/v2.3/server-get-resp.json
/os-extended-volumes/v2.3/servers-detail-resp.json </v>
      </c>
      <c r="C531" s="81" t="str">
        <f>IFERROR(SUBSTITUTE(VLOOKUP(A531,Internal_lists_bugs!$A$2:$G2031,7,FALSE()),"nova/commit","nova/src/commit"),"please select a BUG ID")</f>
        <v>https://opendev.org/openstack/nova/src/commit/abc656d</v>
      </c>
      <c r="D531" s="16" t="s">
        <v>4841</v>
      </c>
      <c r="E531" s="16" t="s">
        <v>4842</v>
      </c>
      <c r="F531" s="54"/>
      <c r="H531" s="112" t="s">
        <v>4818</v>
      </c>
      <c r="I531" s="66" t="s">
        <v>4840</v>
      </c>
      <c r="J531" s="196" t="str">
        <f>IFERROR(VLOOKUP(A531,Internal_lists_bugs!$A$2:$I2031,9,FALSE()),"please select a BUG ID")</f>
        <v>https://review.opendev.org/c/openstack/nova/+/155853</v>
      </c>
    </row>
    <row r="532">
      <c r="A532" s="16" t="s">
        <v>46</v>
      </c>
      <c r="B532" s="50" t="str">
        <f>IFERROR(HYPERLINK(VLOOKUP(A532,Internal_lists_bugs!$A$2:$C$73,3,FALSE()), VLOOKUP(A532,Internal_lists_bugs!$A$2:$C$73,3,FALSE())&amp;Char(10) &amp; Char(10) &amp; VLOOKUP(A532,Internal_lists_bugs!$A$2:$Z$73,26,FALSE())),"please select a BUG ID")</f>
        <v>https://bugs.launchpad.net/nova/+bug/1434855
/os-extended-volumes/v2.3/server-get-resp.json
/os-extended-volumes/v2.3/servers-detail-resp.json </v>
      </c>
      <c r="C532" s="81" t="str">
        <f>IFERROR(SUBSTITUTE(VLOOKUP(A532,Internal_lists_bugs!$A$2:$G2031,7,FALSE()),"nova/commit","nova/src/commit"),"please select a BUG ID")</f>
        <v>https://opendev.org/openstack/nova/src/commit/abc656d</v>
      </c>
      <c r="D532" s="16" t="s">
        <v>4847</v>
      </c>
      <c r="E532" s="14" t="s">
        <v>4949</v>
      </c>
      <c r="F532" s="54"/>
      <c r="H532" s="112" t="s">
        <v>4845</v>
      </c>
      <c r="I532" s="66" t="s">
        <v>4846</v>
      </c>
      <c r="J532" s="196" t="str">
        <f>IFERROR(VLOOKUP(A532,Internal_lists_bugs!$A$2:$I2031,9,FALSE()),"please select a BUG ID")</f>
        <v>https://review.opendev.org/c/openstack/nova/+/155853</v>
      </c>
    </row>
    <row r="533">
      <c r="A533" s="16" t="s">
        <v>46</v>
      </c>
      <c r="B533" s="50" t="str">
        <f>IFERROR(HYPERLINK(VLOOKUP(A533,Internal_lists_bugs!$A$2:$C$73,3,FALSE()), VLOOKUP(A533,Internal_lists_bugs!$A$2:$C$73,3,FALSE())&amp;Char(10) &amp; Char(10) &amp; VLOOKUP(A533,Internal_lists_bugs!$A$2:$Z$73,26,FALSE())),"please select a BUG ID")</f>
        <v>https://bugs.launchpad.net/nova/+bug/1434855
/os-extended-volumes/v2.3/server-get-resp.json
/os-extended-volumes/v2.3/servers-detail-resp.json </v>
      </c>
      <c r="C533" s="81" t="str">
        <f>IFERROR(SUBSTITUTE(VLOOKUP(A533,Internal_lists_bugs!$A$2:$G2031,7,FALSE()),"nova/commit","nova/src/commit"),"please select a BUG ID")</f>
        <v>https://opendev.org/openstack/nova/src/commit/abc656d</v>
      </c>
      <c r="D533" s="16" t="s">
        <v>4859</v>
      </c>
      <c r="E533" s="14" t="s">
        <v>4950</v>
      </c>
      <c r="F533" s="54"/>
      <c r="H533" s="112" t="s">
        <v>4831</v>
      </c>
      <c r="J533" s="196" t="str">
        <f>IFERROR(VLOOKUP(A533,Internal_lists_bugs!$A$2:$I2031,9,FALSE()),"please select a BUG ID")</f>
        <v>https://review.opendev.org/c/openstack/nova/+/155853</v>
      </c>
    </row>
    <row r="534">
      <c r="A534" s="16" t="s">
        <v>46</v>
      </c>
      <c r="B534" s="50" t="str">
        <f>IFERROR(HYPERLINK(VLOOKUP(A534,Internal_lists_bugs!$A$2:$C$73,3,FALSE()), VLOOKUP(A534,Internal_lists_bugs!$A$2:$C$73,3,FALSE())&amp;Char(10) &amp; Char(10) &amp; VLOOKUP(A534,Internal_lists_bugs!$A$2:$Z$73,26,FALSE())),"please select a BUG ID")</f>
        <v>https://bugs.launchpad.net/nova/+bug/1434855
/os-extended-volumes/v2.3/server-get-resp.json
/os-extended-volumes/v2.3/servers-detail-resp.json </v>
      </c>
      <c r="C534" s="81" t="str">
        <f>IFERROR(SUBSTITUTE(VLOOKUP(A534,Internal_lists_bugs!$A$2:$G2031,7,FALSE()),"nova/commit","nova/src/commit"),"please select a BUG ID")</f>
        <v>https://opendev.org/openstack/nova/src/commit/abc656d</v>
      </c>
      <c r="D534" s="16" t="s">
        <v>4849</v>
      </c>
      <c r="E534" s="14" t="s">
        <v>4951</v>
      </c>
      <c r="F534" s="54"/>
      <c r="H534" s="114"/>
      <c r="J534" s="196" t="str">
        <f>IFERROR(VLOOKUP(A534,Internal_lists_bugs!$A$2:$I2031,9,FALSE()),"please select a BUG ID")</f>
        <v>https://review.opendev.org/c/openstack/nova/+/155853</v>
      </c>
    </row>
    <row r="535">
      <c r="A535" s="16" t="s">
        <v>46</v>
      </c>
      <c r="B535" s="50" t="str">
        <f>IFERROR(HYPERLINK(VLOOKUP(A535,Internal_lists_bugs!$A$2:$C$73,3,FALSE()), VLOOKUP(A535,Internal_lists_bugs!$A$2:$C$73,3,FALSE())&amp;Char(10) &amp; Char(10) &amp; VLOOKUP(A535,Internal_lists_bugs!$A$2:$Z$73,26,FALSE())),"please select a BUG ID")</f>
        <v>https://bugs.launchpad.net/nova/+bug/1434855
/os-extended-volumes/v2.3/server-get-resp.json
/os-extended-volumes/v2.3/servers-detail-resp.json </v>
      </c>
      <c r="C535" s="81" t="str">
        <f>IFERROR(SUBSTITUTE(VLOOKUP(A535,Internal_lists_bugs!$A$2:$G2031,7,FALSE()),"nova/commit","nova/src/commit"),"please select a BUG ID")</f>
        <v>https://opendev.org/openstack/nova/src/commit/abc656d</v>
      </c>
      <c r="D535" s="16" t="s">
        <v>4861</v>
      </c>
      <c r="E535" s="14" t="s">
        <v>4952</v>
      </c>
      <c r="F535" s="54"/>
      <c r="H535" s="114"/>
      <c r="J535" s="196" t="str">
        <f>IFERROR(VLOOKUP(A535,Internal_lists_bugs!$A$2:$I2031,9,FALSE()),"please select a BUG ID")</f>
        <v>https://review.opendev.org/c/openstack/nova/+/155853</v>
      </c>
    </row>
    <row r="536">
      <c r="A536" s="16" t="s">
        <v>46</v>
      </c>
      <c r="B536" s="50" t="str">
        <f>IFERROR(HYPERLINK(VLOOKUP(A536,Internal_lists_bugs!$A$2:$C$73,3,FALSE()), VLOOKUP(A536,Internal_lists_bugs!$A$2:$C$73,3,FALSE())&amp;Char(10) &amp; Char(10) &amp; VLOOKUP(A536,Internal_lists_bugs!$A$2:$Z$73,26,FALSE())),"please select a BUG ID")</f>
        <v>https://bugs.launchpad.net/nova/+bug/1434855
/os-extended-volumes/v2.3/server-get-resp.json
/os-extended-volumes/v2.3/servers-detail-resp.json </v>
      </c>
      <c r="C536" s="81" t="str">
        <f>IFERROR(SUBSTITUTE(VLOOKUP(A536,Internal_lists_bugs!$A$2:$G2031,7,FALSE()),"nova/commit","nova/src/commit"),"please select a BUG ID")</f>
        <v>https://opendev.org/openstack/nova/src/commit/abc656d</v>
      </c>
      <c r="D536" s="16" t="s">
        <v>1356</v>
      </c>
      <c r="E536" s="14" t="s">
        <v>4953</v>
      </c>
      <c r="F536" s="54"/>
      <c r="H536" s="114"/>
      <c r="J536" s="196" t="str">
        <f>IFERROR(VLOOKUP(A536,Internal_lists_bugs!$A$2:$I2031,9,FALSE()),"please select a BUG ID")</f>
        <v>https://review.opendev.org/c/openstack/nova/+/155853</v>
      </c>
    </row>
    <row r="537">
      <c r="A537" s="189" t="s">
        <v>57</v>
      </c>
      <c r="B537" s="198" t="str">
        <f>IFERROR(HYPERLINK(VLOOKUP(A537,Internal_lists_bugs!$A$2:$C$73,3,FALSE()), VLOOKUP(A537,Internal_lists_bugs!$A$2:$C$73,3,FALSE())&amp;Char(10) &amp; Char(10) &amp; VLOOKUP(A537,Internal_lists_bugs!$A$2:$Z$73,26,FALSE())),"please select a BUG ID")</f>
        <v>https://bugs.launchpad.net/nova/+bug/1481078
/xenapi/vmops.py</v>
      </c>
      <c r="C537" s="199" t="str">
        <f>IFERROR(SUBSTITUTE(VLOOKUP(A537,Internal_lists_bugs!$A$2:$G2031,7,FALSE()),"nova/commit","nova/src/commit"),"please select a BUG ID")</f>
        <v>https://opendev.org/openstack/nova/src/commit/31f208423405</v>
      </c>
      <c r="D537" s="189" t="s">
        <v>4758</v>
      </c>
      <c r="E537" s="190" t="s">
        <v>4759</v>
      </c>
      <c r="F537" s="189" t="s">
        <v>4682</v>
      </c>
      <c r="G537" s="189" t="s">
        <v>4802</v>
      </c>
      <c r="H537" s="191" t="s">
        <v>4756</v>
      </c>
      <c r="I537" s="194" t="s">
        <v>4761</v>
      </c>
      <c r="J537" s="195" t="str">
        <f>IFERROR(VLOOKUP(A537,Internal_lists_bugs!$A$2:$I2031,9,FALSE()),"please select a BUG ID")</f>
        <v>https://review.opendev.org/c/openstack/nova/+/164940</v>
      </c>
      <c r="K537" s="193"/>
      <c r="L537" s="193"/>
    </row>
    <row r="538">
      <c r="A538" s="16" t="s">
        <v>57</v>
      </c>
      <c r="B538" s="50" t="str">
        <f>IFERROR(HYPERLINK(VLOOKUP(A538,Internal_lists_bugs!$A$2:$C$73,3,FALSE()), VLOOKUP(A538,Internal_lists_bugs!$A$2:$C$73,3,FALSE())&amp;Char(10) &amp; Char(10) &amp; VLOOKUP(A538,Internal_lists_bugs!$A$2:$Z$73,26,FALSE())),"please select a BUG ID")</f>
        <v>https://bugs.launchpad.net/nova/+bug/1481078
/xenapi/vmops.py</v>
      </c>
      <c r="C538" s="81" t="str">
        <f>IFERROR(SUBSTITUTE(VLOOKUP(A538,Internal_lists_bugs!$A$2:$G2031,7,FALSE()),"nova/commit","nova/src/commit"),"please select a BUG ID")</f>
        <v>https://opendev.org/openstack/nova/src/commit/31f208423405</v>
      </c>
      <c r="D538" s="16" t="s">
        <v>4765</v>
      </c>
      <c r="E538" s="14" t="s">
        <v>4954</v>
      </c>
      <c r="F538" s="54"/>
      <c r="H538" s="112" t="s">
        <v>4763</v>
      </c>
      <c r="I538" s="16" t="s">
        <v>4797</v>
      </c>
      <c r="J538" s="196" t="str">
        <f>IFERROR(VLOOKUP(A538,Internal_lists_bugs!$A$2:$I2031,9,FALSE()),"please select a BUG ID")</f>
        <v>https://review.opendev.org/c/openstack/nova/+/164940</v>
      </c>
    </row>
    <row r="539">
      <c r="A539" s="16" t="s">
        <v>57</v>
      </c>
      <c r="B539" s="50" t="str">
        <f>IFERROR(HYPERLINK(VLOOKUP(A539,Internal_lists_bugs!$A$2:$C$73,3,FALSE()), VLOOKUP(A539,Internal_lists_bugs!$A$2:$C$73,3,FALSE())&amp;Char(10) &amp; Char(10) &amp; VLOOKUP(A539,Internal_lists_bugs!$A$2:$Z$73,26,FALSE())),"please select a BUG ID")</f>
        <v>https://bugs.launchpad.net/nova/+bug/1481078
/xenapi/vmops.py</v>
      </c>
      <c r="C539" s="81" t="str">
        <f>IFERROR(SUBSTITUTE(VLOOKUP(A539,Internal_lists_bugs!$A$2:$G2031,7,FALSE()),"nova/commit","nova/src/commit"),"please select a BUG ID")</f>
        <v>https://opendev.org/openstack/nova/src/commit/31f208423405</v>
      </c>
      <c r="D539" s="16" t="s">
        <v>4686</v>
      </c>
      <c r="E539" s="63" t="s">
        <v>4768</v>
      </c>
      <c r="F539" s="54"/>
      <c r="H539" s="112" t="s">
        <v>4708</v>
      </c>
      <c r="I539" s="16" t="s">
        <v>4767</v>
      </c>
      <c r="J539" s="196" t="str">
        <f>IFERROR(VLOOKUP(A539,Internal_lists_bugs!$A$2:$I2031,9,FALSE()),"please select a BUG ID")</f>
        <v>https://review.opendev.org/c/openstack/nova/+/164940</v>
      </c>
    </row>
    <row r="540">
      <c r="A540" s="16" t="s">
        <v>57</v>
      </c>
      <c r="B540" s="50" t="str">
        <f>IFERROR(HYPERLINK(VLOOKUP(A540,Internal_lists_bugs!$A$2:$C$73,3,FALSE()), VLOOKUP(A540,Internal_lists_bugs!$A$2:$C$73,3,FALSE())&amp;Char(10) &amp; Char(10) &amp; VLOOKUP(A540,Internal_lists_bugs!$A$2:$Z$73,26,FALSE())),"please select a BUG ID")</f>
        <v>https://bugs.launchpad.net/nova/+bug/1481078
/xenapi/vmops.py</v>
      </c>
      <c r="C540" s="81" t="str">
        <f>IFERROR(SUBSTITUTE(VLOOKUP(A540,Internal_lists_bugs!$A$2:$G2031,7,FALSE()),"nova/commit","nova/src/commit"),"please select a BUG ID")</f>
        <v>https://opendev.org/openstack/nova/src/commit/31f208423405</v>
      </c>
      <c r="D540" s="16" t="s">
        <v>4702</v>
      </c>
      <c r="E540" s="16" t="s">
        <v>4770</v>
      </c>
      <c r="F540" s="54"/>
      <c r="H540" s="112" t="s">
        <v>4696</v>
      </c>
      <c r="I540" s="16" t="s">
        <v>4731</v>
      </c>
      <c r="J540" s="196" t="str">
        <f>IFERROR(VLOOKUP(A540,Internal_lists_bugs!$A$2:$I2031,9,FALSE()),"please select a BUG ID")</f>
        <v>https://review.opendev.org/c/openstack/nova/+/164940</v>
      </c>
    </row>
    <row r="541">
      <c r="A541" s="16" t="s">
        <v>57</v>
      </c>
      <c r="B541" s="50" t="str">
        <f>IFERROR(HYPERLINK(VLOOKUP(A541,Internal_lists_bugs!$A$2:$C$73,3,FALSE()), VLOOKUP(A541,Internal_lists_bugs!$A$2:$C$73,3,FALSE())&amp;Char(10) &amp; Char(10) &amp; VLOOKUP(A541,Internal_lists_bugs!$A$2:$Z$73,26,FALSE())),"please select a BUG ID")</f>
        <v>https://bugs.launchpad.net/nova/+bug/1481078
/xenapi/vmops.py</v>
      </c>
      <c r="C541" s="81" t="str">
        <f>IFERROR(SUBSTITUTE(VLOOKUP(A541,Internal_lists_bugs!$A$2:$G2031,7,FALSE()),"nova/commit","nova/src/commit"),"please select a BUG ID")</f>
        <v>https://opendev.org/openstack/nova/src/commit/31f208423405</v>
      </c>
      <c r="D541" s="16" t="s">
        <v>4772</v>
      </c>
      <c r="E541" s="14" t="s">
        <v>4955</v>
      </c>
      <c r="F541" s="54"/>
      <c r="H541" s="112" t="s">
        <v>4716</v>
      </c>
      <c r="I541" s="16" t="s">
        <v>4769</v>
      </c>
      <c r="J541" s="196" t="str">
        <f>IFERROR(VLOOKUP(A541,Internal_lists_bugs!$A$2:$I2031,9,FALSE()),"please select a BUG ID")</f>
        <v>https://review.opendev.org/c/openstack/nova/+/164940</v>
      </c>
    </row>
    <row r="542">
      <c r="A542" s="16" t="s">
        <v>57</v>
      </c>
      <c r="B542" s="50" t="str">
        <f>IFERROR(HYPERLINK(VLOOKUP(A542,Internal_lists_bugs!$A$2:$C$73,3,FALSE()), VLOOKUP(A542,Internal_lists_bugs!$A$2:$C$73,3,FALSE())&amp;Char(10) &amp; Char(10) &amp; VLOOKUP(A542,Internal_lists_bugs!$A$2:$Z$73,26,FALSE())),"please select a BUG ID")</f>
        <v>https://bugs.launchpad.net/nova/+bug/1481078
/xenapi/vmops.py</v>
      </c>
      <c r="C542" s="81" t="str">
        <f>IFERROR(SUBSTITUTE(VLOOKUP(A542,Internal_lists_bugs!$A$2:$G2031,7,FALSE()),"nova/commit","nova/src/commit"),"please select a BUG ID")</f>
        <v>https://opendev.org/openstack/nova/src/commit/31f208423405</v>
      </c>
      <c r="D542" s="16" t="s">
        <v>4706</v>
      </c>
      <c r="E542" s="16" t="s">
        <v>4775</v>
      </c>
      <c r="F542" s="54"/>
      <c r="H542" s="112" t="s">
        <v>4708</v>
      </c>
      <c r="I542" s="16" t="s">
        <v>4771</v>
      </c>
      <c r="J542" s="196" t="str">
        <f>IFERROR(VLOOKUP(A542,Internal_lists_bugs!$A$2:$I2031,9,FALSE()),"please select a BUG ID")</f>
        <v>https://review.opendev.org/c/openstack/nova/+/164940</v>
      </c>
    </row>
    <row r="543">
      <c r="A543" s="16" t="s">
        <v>57</v>
      </c>
      <c r="B543" s="50" t="str">
        <f>IFERROR(HYPERLINK(VLOOKUP(A543,Internal_lists_bugs!$A$2:$C$73,3,FALSE()), VLOOKUP(A543,Internal_lists_bugs!$A$2:$C$73,3,FALSE())&amp;Char(10) &amp; Char(10) &amp; VLOOKUP(A543,Internal_lists_bugs!$A$2:$Z$73,26,FALSE())),"please select a BUG ID")</f>
        <v>https://bugs.launchpad.net/nova/+bug/1481078
/xenapi/vmops.py</v>
      </c>
      <c r="C543" s="81" t="str">
        <f>IFERROR(SUBSTITUTE(VLOOKUP(A543,Internal_lists_bugs!$A$2:$G2031,7,FALSE()),"nova/commit","nova/src/commit"),"please select a BUG ID")</f>
        <v>https://opendev.org/openstack/nova/src/commit/31f208423405</v>
      </c>
      <c r="D543" s="16" t="s">
        <v>4710</v>
      </c>
      <c r="E543" s="16" t="s">
        <v>4775</v>
      </c>
      <c r="F543" s="54"/>
      <c r="H543" s="112" t="s">
        <v>4684</v>
      </c>
      <c r="I543" s="16" t="s">
        <v>4774</v>
      </c>
      <c r="J543" s="196" t="str">
        <f>IFERROR(VLOOKUP(A543,Internal_lists_bugs!$A$2:$I2031,9,FALSE()),"please select a BUG ID")</f>
        <v>https://review.opendev.org/c/openstack/nova/+/164940</v>
      </c>
    </row>
    <row r="544">
      <c r="A544" s="16" t="s">
        <v>57</v>
      </c>
      <c r="B544" s="50" t="str">
        <f>IFERROR(HYPERLINK(VLOOKUP(A544,Internal_lists_bugs!$A$2:$C$73,3,FALSE()), VLOOKUP(A544,Internal_lists_bugs!$A$2:$C$73,3,FALSE())&amp;Char(10) &amp; Char(10) &amp; VLOOKUP(A544,Internal_lists_bugs!$A$2:$Z$73,26,FALSE())),"please select a BUG ID")</f>
        <v>https://bugs.launchpad.net/nova/+bug/1481078
/xenapi/vmops.py</v>
      </c>
      <c r="C544" s="81" t="str">
        <f>IFERROR(SUBSTITUTE(VLOOKUP(A544,Internal_lists_bugs!$A$2:$G2031,7,FALSE()),"nova/commit","nova/src/commit"),"please select a BUG ID")</f>
        <v>https://opendev.org/openstack/nova/src/commit/31f208423405</v>
      </c>
      <c r="D544" s="16" t="s">
        <v>1325</v>
      </c>
      <c r="E544" s="16" t="s">
        <v>4751</v>
      </c>
      <c r="F544" s="54"/>
      <c r="H544" s="112" t="s">
        <v>4712</v>
      </c>
      <c r="I544" s="16" t="s">
        <v>4776</v>
      </c>
      <c r="J544" s="196" t="str">
        <f>IFERROR(VLOOKUP(A544,Internal_lists_bugs!$A$2:$I2031,9,FALSE()),"please select a BUG ID")</f>
        <v>https://review.opendev.org/c/openstack/nova/+/164940</v>
      </c>
    </row>
    <row r="545">
      <c r="A545" s="16" t="s">
        <v>57</v>
      </c>
      <c r="B545" s="50" t="str">
        <f>IFERROR(HYPERLINK(VLOOKUP(A545,Internal_lists_bugs!$A$2:$C$73,3,FALSE()), VLOOKUP(A545,Internal_lists_bugs!$A$2:$C$73,3,FALSE())&amp;Char(10) &amp; Char(10) &amp; VLOOKUP(A545,Internal_lists_bugs!$A$2:$Z$73,26,FALSE())),"please select a BUG ID")</f>
        <v>https://bugs.launchpad.net/nova/+bug/1481078
/xenapi/vmops.py</v>
      </c>
      <c r="C545" s="81" t="str">
        <f>IFERROR(SUBSTITUTE(VLOOKUP(A545,Internal_lists_bugs!$A$2:$G2031,7,FALSE()),"nova/commit","nova/src/commit"),"please select a BUG ID")</f>
        <v>https://opendev.org/openstack/nova/src/commit/31f208423405</v>
      </c>
      <c r="D545" s="16" t="s">
        <v>4680</v>
      </c>
      <c r="E545" s="16" t="s">
        <v>4886</v>
      </c>
      <c r="F545" s="54"/>
      <c r="H545" s="112" t="s">
        <v>4777</v>
      </c>
      <c r="I545" s="16" t="s">
        <v>4778</v>
      </c>
      <c r="J545" s="196" t="str">
        <f>IFERROR(VLOOKUP(A545,Internal_lists_bugs!$A$2:$I2031,9,FALSE()),"please select a BUG ID")</f>
        <v>https://review.opendev.org/c/openstack/nova/+/164940</v>
      </c>
    </row>
    <row r="546">
      <c r="A546" s="16" t="s">
        <v>57</v>
      </c>
      <c r="B546" s="50" t="str">
        <f>IFERROR(HYPERLINK(VLOOKUP(A546,Internal_lists_bugs!$A$2:$C$73,3,FALSE()), VLOOKUP(A546,Internal_lists_bugs!$A$2:$C$73,3,FALSE())&amp;Char(10) &amp; Char(10) &amp; VLOOKUP(A546,Internal_lists_bugs!$A$2:$Z$73,26,FALSE())),"please select a BUG ID")</f>
        <v>https://bugs.launchpad.net/nova/+bug/1481078
/xenapi/vmops.py</v>
      </c>
      <c r="C546" s="81" t="str">
        <f>IFERROR(SUBSTITUTE(VLOOKUP(A546,Internal_lists_bugs!$A$2:$G2031,7,FALSE()),"nova/commit","nova/src/commit"),"please select a BUG ID")</f>
        <v>https://opendev.org/openstack/nova/src/commit/31f208423405</v>
      </c>
      <c r="D546" s="16" t="s">
        <v>4754</v>
      </c>
      <c r="E546" s="16" t="s">
        <v>4755</v>
      </c>
      <c r="F546" s="54"/>
      <c r="H546" s="112" t="s">
        <v>4704</v>
      </c>
      <c r="I546" s="16" t="s">
        <v>4752</v>
      </c>
      <c r="J546" s="196" t="str">
        <f>IFERROR(VLOOKUP(A546,Internal_lists_bugs!$A$2:$I2031,9,FALSE()),"please select a BUG ID")</f>
        <v>https://review.opendev.org/c/openstack/nova/+/164940</v>
      </c>
    </row>
    <row r="547">
      <c r="A547" s="16" t="s">
        <v>57</v>
      </c>
      <c r="B547" s="50" t="str">
        <f>IFERROR(HYPERLINK(VLOOKUP(A547,Internal_lists_bugs!$A$2:$C$73,3,FALSE()), VLOOKUP(A547,Internal_lists_bugs!$A$2:$C$73,3,FALSE())&amp;Char(10) &amp; Char(10) &amp; VLOOKUP(A547,Internal_lists_bugs!$A$2:$Z$73,26,FALSE())),"please select a BUG ID")</f>
        <v>https://bugs.launchpad.net/nova/+bug/1481078
/xenapi/vmops.py</v>
      </c>
      <c r="C547" s="81" t="str">
        <f>IFERROR(SUBSTITUTE(VLOOKUP(A547,Internal_lists_bugs!$A$2:$G2031,7,FALSE()),"nova/commit","nova/src/commit"),"please select a BUG ID")</f>
        <v>https://opendev.org/openstack/nova/src/commit/31f208423405</v>
      </c>
      <c r="D547" s="16" t="s">
        <v>4714</v>
      </c>
      <c r="E547" s="16" t="s">
        <v>4738</v>
      </c>
      <c r="F547" s="54"/>
      <c r="H547" s="112" t="s">
        <v>4749</v>
      </c>
      <c r="I547" s="16" t="s">
        <v>4779</v>
      </c>
      <c r="J547" s="196" t="str">
        <f>IFERROR(VLOOKUP(A547,Internal_lists_bugs!$A$2:$I2031,9,FALSE()),"please select a BUG ID")</f>
        <v>https://review.opendev.org/c/openstack/nova/+/164940</v>
      </c>
    </row>
    <row r="548">
      <c r="A548" s="16" t="s">
        <v>57</v>
      </c>
      <c r="B548" s="50" t="str">
        <f>IFERROR(HYPERLINK(VLOOKUP(A548,Internal_lists_bugs!$A$2:$C$73,3,FALSE()), VLOOKUP(A548,Internal_lists_bugs!$A$2:$C$73,3,FALSE())&amp;Char(10) &amp; Char(10) &amp; VLOOKUP(A548,Internal_lists_bugs!$A$2:$Z$73,26,FALSE())),"please select a BUG ID")</f>
        <v>https://bugs.launchpad.net/nova/+bug/1481078
/xenapi/vmops.py</v>
      </c>
      <c r="C548" s="81" t="str">
        <f>IFERROR(SUBSTITUTE(VLOOKUP(A548,Internal_lists_bugs!$A$2:$G2031,7,FALSE()),"nova/commit","nova/src/commit"),"please select a BUG ID")</f>
        <v>https://opendev.org/openstack/nova/src/commit/31f208423405</v>
      </c>
      <c r="D548" s="16" t="s">
        <v>4807</v>
      </c>
      <c r="E548" s="16" t="s">
        <v>4822</v>
      </c>
      <c r="F548" s="54"/>
      <c r="H548" s="112" t="s">
        <v>4782</v>
      </c>
      <c r="I548" s="16" t="s">
        <v>4783</v>
      </c>
      <c r="J548" s="196" t="str">
        <f>IFERROR(VLOOKUP(A548,Internal_lists_bugs!$A$2:$I2031,9,FALSE()),"please select a BUG ID")</f>
        <v>https://review.opendev.org/c/openstack/nova/+/164940</v>
      </c>
    </row>
    <row r="549">
      <c r="A549" s="16" t="s">
        <v>57</v>
      </c>
      <c r="B549" s="50" t="str">
        <f>IFERROR(HYPERLINK(VLOOKUP(A549,Internal_lists_bugs!$A$2:$C$73,3,FALSE()), VLOOKUP(A549,Internal_lists_bugs!$A$2:$C$73,3,FALSE())&amp;Char(10) &amp; Char(10) &amp; VLOOKUP(A549,Internal_lists_bugs!$A$2:$Z$73,26,FALSE())),"please select a BUG ID")</f>
        <v>https://bugs.launchpad.net/nova/+bug/1481078
/xenapi/vmops.py</v>
      </c>
      <c r="C549" s="81" t="str">
        <f>IFERROR(SUBSTITUTE(VLOOKUP(A549,Internal_lists_bugs!$A$2:$G2031,7,FALSE()),"nova/commit","nova/src/commit"),"please select a BUG ID")</f>
        <v>https://opendev.org/openstack/nova/src/commit/31f208423405</v>
      </c>
      <c r="D549" s="16" t="s">
        <v>4812</v>
      </c>
      <c r="E549" s="16" t="s">
        <v>4813</v>
      </c>
      <c r="F549" s="54"/>
      <c r="H549" s="112" t="s">
        <v>4801</v>
      </c>
      <c r="I549" s="16" t="s">
        <v>4806</v>
      </c>
      <c r="J549" s="196" t="str">
        <f>IFERROR(VLOOKUP(A549,Internal_lists_bugs!$A$2:$I2031,9,FALSE()),"please select a BUG ID")</f>
        <v>https://review.opendev.org/c/openstack/nova/+/164940</v>
      </c>
    </row>
    <row r="550">
      <c r="A550" s="16" t="s">
        <v>57</v>
      </c>
      <c r="B550" s="50" t="str">
        <f>IFERROR(HYPERLINK(VLOOKUP(A550,Internal_lists_bugs!$A$2:$C$73,3,FALSE()), VLOOKUP(A550,Internal_lists_bugs!$A$2:$C$73,3,FALSE())&amp;Char(10) &amp; Char(10) &amp; VLOOKUP(A550,Internal_lists_bugs!$A$2:$Z$73,26,FALSE())),"please select a BUG ID")</f>
        <v>https://bugs.launchpad.net/nova/+bug/1481078
/xenapi/vmops.py</v>
      </c>
      <c r="C550" s="81" t="str">
        <f>IFERROR(SUBSTITUTE(VLOOKUP(A550,Internal_lists_bugs!$A$2:$G2031,7,FALSE()),"nova/commit","nova/src/commit"),"please select a BUG ID")</f>
        <v>https://opendev.org/openstack/nova/src/commit/31f208423405</v>
      </c>
      <c r="D550" s="16" t="s">
        <v>4841</v>
      </c>
      <c r="E550" s="16" t="s">
        <v>4842</v>
      </c>
      <c r="F550" s="54"/>
      <c r="H550" s="112" t="s">
        <v>4818</v>
      </c>
      <c r="I550" s="66" t="s">
        <v>4840</v>
      </c>
      <c r="J550" s="196" t="str">
        <f>IFERROR(VLOOKUP(A550,Internal_lists_bugs!$A$2:$I2031,9,FALSE()),"please select a BUG ID")</f>
        <v>https://review.opendev.org/c/openstack/nova/+/164940</v>
      </c>
    </row>
    <row r="551">
      <c r="A551" s="16" t="s">
        <v>57</v>
      </c>
      <c r="B551" s="50" t="str">
        <f>IFERROR(HYPERLINK(VLOOKUP(A551,Internal_lists_bugs!$A$2:$C$73,3,FALSE()), VLOOKUP(A551,Internal_lists_bugs!$A$2:$C$73,3,FALSE())&amp;Char(10) &amp; Char(10) &amp; VLOOKUP(A551,Internal_lists_bugs!$A$2:$Z$73,26,FALSE())),"please select a BUG ID")</f>
        <v>https://bugs.launchpad.net/nova/+bug/1481078
/xenapi/vmops.py</v>
      </c>
      <c r="C551" s="81" t="str">
        <f>IFERROR(SUBSTITUTE(VLOOKUP(A551,Internal_lists_bugs!$A$2:$G2031,7,FALSE()),"nova/commit","nova/src/commit"),"please select a BUG ID")</f>
        <v>https://opendev.org/openstack/nova/src/commit/31f208423405</v>
      </c>
      <c r="D551" s="16" t="s">
        <v>4847</v>
      </c>
      <c r="E551" s="14" t="s">
        <v>4956</v>
      </c>
      <c r="F551" s="54"/>
      <c r="H551" s="112" t="s">
        <v>4845</v>
      </c>
      <c r="I551" s="66" t="s">
        <v>4846</v>
      </c>
      <c r="J551" s="196" t="str">
        <f>IFERROR(VLOOKUP(A551,Internal_lists_bugs!$A$2:$I2031,9,FALSE()),"please select a BUG ID")</f>
        <v>https://review.opendev.org/c/openstack/nova/+/164940</v>
      </c>
    </row>
    <row r="552">
      <c r="A552" s="16" t="s">
        <v>57</v>
      </c>
      <c r="B552" s="50" t="str">
        <f>IFERROR(HYPERLINK(VLOOKUP(A552,Internal_lists_bugs!$A$2:$C$73,3,FALSE()), VLOOKUP(A552,Internal_lists_bugs!$A$2:$C$73,3,FALSE())&amp;Char(10) &amp; Char(10) &amp; VLOOKUP(A552,Internal_lists_bugs!$A$2:$Z$73,26,FALSE())),"please select a BUG ID")</f>
        <v>https://bugs.launchpad.net/nova/+bug/1481078
/xenapi/vmops.py</v>
      </c>
      <c r="C552" s="81" t="str">
        <f>IFERROR(SUBSTITUTE(VLOOKUP(A552,Internal_lists_bugs!$A$2:$G2031,7,FALSE()),"nova/commit","nova/src/commit"),"please select a BUG ID")</f>
        <v>https://opendev.org/openstack/nova/src/commit/31f208423405</v>
      </c>
      <c r="D552" s="16" t="s">
        <v>4859</v>
      </c>
      <c r="E552" s="14" t="s">
        <v>4957</v>
      </c>
      <c r="F552" s="54"/>
      <c r="H552" s="112" t="s">
        <v>4831</v>
      </c>
      <c r="I552" s="16" t="s">
        <v>4958</v>
      </c>
      <c r="J552" s="196" t="str">
        <f>IFERROR(VLOOKUP(A552,Internal_lists_bugs!$A$2:$I2031,9,FALSE()),"please select a BUG ID")</f>
        <v>https://review.opendev.org/c/openstack/nova/+/164940</v>
      </c>
    </row>
    <row r="553">
      <c r="A553" s="16" t="s">
        <v>57</v>
      </c>
      <c r="B553" s="50" t="str">
        <f>IFERROR(HYPERLINK(VLOOKUP(A553,Internal_lists_bugs!$A$2:$C$73,3,FALSE()), VLOOKUP(A553,Internal_lists_bugs!$A$2:$C$73,3,FALSE())&amp;Char(10) &amp; Char(10) &amp; VLOOKUP(A553,Internal_lists_bugs!$A$2:$Z$73,26,FALSE())),"please select a BUG ID")</f>
        <v>https://bugs.launchpad.net/nova/+bug/1481078
/xenapi/vmops.py</v>
      </c>
      <c r="C553" s="81" t="str">
        <f>IFERROR(SUBSTITUTE(VLOOKUP(A553,Internal_lists_bugs!$A$2:$G2031,7,FALSE()),"nova/commit","nova/src/commit"),"please select a BUG ID")</f>
        <v>https://opendev.org/openstack/nova/src/commit/31f208423405</v>
      </c>
      <c r="D553" s="16" t="s">
        <v>4849</v>
      </c>
      <c r="E553" s="14" t="s">
        <v>4959</v>
      </c>
      <c r="F553" s="54"/>
      <c r="H553" s="114"/>
      <c r="J553" s="196" t="str">
        <f>IFERROR(VLOOKUP(A553,Internal_lists_bugs!$A$2:$I2031,9,FALSE()),"please select a BUG ID")</f>
        <v>https://review.opendev.org/c/openstack/nova/+/164940</v>
      </c>
    </row>
    <row r="554">
      <c r="A554" s="16" t="s">
        <v>57</v>
      </c>
      <c r="B554" s="50" t="str">
        <f>IFERROR(HYPERLINK(VLOOKUP(A554,Internal_lists_bugs!$A$2:$C$73,3,FALSE()), VLOOKUP(A554,Internal_lists_bugs!$A$2:$C$73,3,FALSE())&amp;Char(10) &amp; Char(10) &amp; VLOOKUP(A554,Internal_lists_bugs!$A$2:$Z$73,26,FALSE())),"please select a BUG ID")</f>
        <v>https://bugs.launchpad.net/nova/+bug/1481078
/xenapi/vmops.py</v>
      </c>
      <c r="C554" s="81" t="str">
        <f>IFERROR(SUBSTITUTE(VLOOKUP(A554,Internal_lists_bugs!$A$2:$G2031,7,FALSE()),"nova/commit","nova/src/commit"),"please select a BUG ID")</f>
        <v>https://opendev.org/openstack/nova/src/commit/31f208423405</v>
      </c>
      <c r="D554" s="16" t="s">
        <v>4861</v>
      </c>
      <c r="E554" s="14" t="s">
        <v>4960</v>
      </c>
      <c r="F554" s="54"/>
      <c r="H554" s="114"/>
      <c r="J554" s="196" t="str">
        <f>IFERROR(VLOOKUP(A554,Internal_lists_bugs!$A$2:$I2031,9,FALSE()),"please select a BUG ID")</f>
        <v>https://review.opendev.org/c/openstack/nova/+/164940</v>
      </c>
    </row>
    <row r="555">
      <c r="A555" s="16" t="s">
        <v>57</v>
      </c>
      <c r="B555" s="50" t="str">
        <f>IFERROR(HYPERLINK(VLOOKUP(A555,Internal_lists_bugs!$A$2:$C$73,3,FALSE()), VLOOKUP(A555,Internal_lists_bugs!$A$2:$C$73,3,FALSE())&amp;Char(10) &amp; Char(10) &amp; VLOOKUP(A555,Internal_lists_bugs!$A$2:$Z$73,26,FALSE())),"please select a BUG ID")</f>
        <v>https://bugs.launchpad.net/nova/+bug/1481078
/xenapi/vmops.py</v>
      </c>
      <c r="C555" s="81" t="str">
        <f>IFERROR(SUBSTITUTE(VLOOKUP(A555,Internal_lists_bugs!$A$2:$G2031,7,FALSE()),"nova/commit","nova/src/commit"),"please select a BUG ID")</f>
        <v>https://opendev.org/openstack/nova/src/commit/31f208423405</v>
      </c>
      <c r="D555" s="16" t="s">
        <v>1356</v>
      </c>
      <c r="E555" s="14" t="s">
        <v>4961</v>
      </c>
      <c r="F555" s="54"/>
      <c r="H555" s="114"/>
      <c r="J555" s="196" t="str">
        <f>IFERROR(VLOOKUP(A555,Internal_lists_bugs!$A$2:$I2031,9,FALSE()),"please select a BUG ID")</f>
        <v>https://review.opendev.org/c/openstack/nova/+/164940</v>
      </c>
    </row>
    <row r="556">
      <c r="A556" s="1" t="s">
        <v>78</v>
      </c>
      <c r="B556" s="50" t="str">
        <f>IFERROR(HYPERLINK(VLOOKUP(A556,Internal_lists_bugs!$A$2:$C$73,3,FALSE()), VLOOKUP(A556,Internal_lists_bugs!$A$2:$C$73,3,FALSE())&amp;Char(10) &amp; Char(10) &amp; VLOOKUP(A556,Internal_lists_bugs!$A$2:$Z$73,26,FALSE())),"please select a BUG ID")</f>
        <v>https://github.com/elastic/elasticsearch/issues/200
/zen/ZenDiscovery.java
/MasterFaultDetection.java
/zen/fd/NodesFaultDetection.java </v>
      </c>
      <c r="C556" s="81" t="str">
        <f>IFERROR(SUBSTITUTE(VLOOKUP(A556,Internal_lists_bugs!$A$2:$G2031,7,FALSE()),"/commit/","/tree/"),"please select a BUG ID")</f>
        <v>https://github.com/elastic/elasticsearch/tree/cb0d7d4</v>
      </c>
      <c r="D556" s="16" t="s">
        <v>4962</v>
      </c>
      <c r="E556" s="16" t="s">
        <v>4963</v>
      </c>
      <c r="F556" s="16" t="s">
        <v>4682</v>
      </c>
      <c r="G556" s="16" t="s">
        <v>4964</v>
      </c>
      <c r="H556" s="112" t="s">
        <v>4965</v>
      </c>
      <c r="J556" s="183" t="str">
        <f>IFERROR(VLOOKUP(A556,Internal_lists_bugs!$A$2:$I2031,9,FALSE()),"please select a BUG ID")</f>
        <v>No information available</v>
      </c>
    </row>
    <row r="557">
      <c r="A557" s="1" t="s">
        <v>78</v>
      </c>
      <c r="B557" s="50" t="str">
        <f>IFERROR(HYPERLINK(VLOOKUP(A557,Internal_lists_bugs!$A$2:$C$73,3,FALSE()), VLOOKUP(A557,Internal_lists_bugs!$A$2:$C$73,3,FALSE())&amp;Char(10) &amp; Char(10) &amp; VLOOKUP(A557,Internal_lists_bugs!$A$2:$Z$73,26,FALSE())),"please select a BUG ID")</f>
        <v>https://github.com/elastic/elasticsearch/issues/200
/zen/ZenDiscovery.java
/MasterFaultDetection.java
/zen/fd/NodesFaultDetection.java </v>
      </c>
      <c r="C557" s="81" t="str">
        <f>IFERROR(SUBSTITUTE(VLOOKUP(A557,Internal_lists_bugs!$A$2:$G2031,7,FALSE()),"/commit/","/tree/"),"please select a BUG ID")</f>
        <v>https://github.com/elastic/elasticsearch/tree/cb0d7d4</v>
      </c>
      <c r="D557" s="16" t="s">
        <v>4966</v>
      </c>
      <c r="E557" s="16" t="s">
        <v>4967</v>
      </c>
      <c r="F557" s="54"/>
      <c r="H557" s="112" t="s">
        <v>4818</v>
      </c>
      <c r="J557" s="183" t="str">
        <f>IFERROR(VLOOKUP(A557,Internal_lists_bugs!$A$2:$I2031,9,FALSE()),"please select a BUG ID")</f>
        <v>No information available</v>
      </c>
    </row>
    <row r="558">
      <c r="A558" s="1" t="s">
        <v>78</v>
      </c>
      <c r="B558" s="50" t="str">
        <f>IFERROR(HYPERLINK(VLOOKUP(A558,Internal_lists_bugs!$A$2:$C$73,3,FALSE()), VLOOKUP(A558,Internal_lists_bugs!$A$2:$C$73,3,FALSE())&amp;Char(10) &amp; Char(10) &amp; VLOOKUP(A558,Internal_lists_bugs!$A$2:$Z$73,26,FALSE())),"please select a BUG ID")</f>
        <v>https://github.com/elastic/elasticsearch/issues/200
/zen/ZenDiscovery.java
/MasterFaultDetection.java
/zen/fd/NodesFaultDetection.java </v>
      </c>
      <c r="C558" s="81" t="str">
        <f>IFERROR(SUBSTITUTE(VLOOKUP(A558,Internal_lists_bugs!$A$2:$G2031,7,FALSE()),"/commit/","/tree/"),"please select a BUG ID")</f>
        <v>https://github.com/elastic/elasticsearch/tree/cb0d7d4</v>
      </c>
      <c r="D558" s="16" t="s">
        <v>4968</v>
      </c>
      <c r="E558" s="16" t="s">
        <v>4969</v>
      </c>
      <c r="F558" s="54"/>
      <c r="H558" s="112" t="s">
        <v>4708</v>
      </c>
      <c r="J558" s="183" t="str">
        <f>IFERROR(VLOOKUP(A558,Internal_lists_bugs!$A$2:$I2031,9,FALSE()),"please select a BUG ID")</f>
        <v>No information available</v>
      </c>
    </row>
    <row r="559">
      <c r="A559" s="1" t="s">
        <v>78</v>
      </c>
      <c r="B559" s="50" t="str">
        <f>IFERROR(HYPERLINK(VLOOKUP(A559,Internal_lists_bugs!$A$2:$C$73,3,FALSE()), VLOOKUP(A559,Internal_lists_bugs!$A$2:$C$73,3,FALSE())&amp;Char(10) &amp; Char(10) &amp; VLOOKUP(A559,Internal_lists_bugs!$A$2:$Z$73,26,FALSE())),"please select a BUG ID")</f>
        <v>https://github.com/elastic/elasticsearch/issues/200
/zen/ZenDiscovery.java
/MasterFaultDetection.java
/zen/fd/NodesFaultDetection.java </v>
      </c>
      <c r="C559" s="81" t="str">
        <f>IFERROR(SUBSTITUTE(VLOOKUP(A559,Internal_lists_bugs!$A$2:$G2031,7,FALSE()),"/commit/","/tree/"),"please select a BUG ID")</f>
        <v>https://github.com/elastic/elasticsearch/tree/cb0d7d4</v>
      </c>
      <c r="D559" s="16" t="s">
        <v>4970</v>
      </c>
      <c r="E559" s="16" t="s">
        <v>4969</v>
      </c>
      <c r="F559" s="54"/>
      <c r="H559" s="112" t="s">
        <v>4971</v>
      </c>
      <c r="I559" s="16" t="s">
        <v>4972</v>
      </c>
      <c r="J559" s="183" t="str">
        <f>IFERROR(VLOOKUP(A559,Internal_lists_bugs!$A$2:$I2031,9,FALSE()),"please select a BUG ID")</f>
        <v>No information available</v>
      </c>
    </row>
    <row r="560">
      <c r="A560" s="1" t="s">
        <v>78</v>
      </c>
      <c r="B560" s="50" t="str">
        <f>IFERROR(HYPERLINK(VLOOKUP(A560,Internal_lists_bugs!$A$2:$C$73,3,FALSE()), VLOOKUP(A560,Internal_lists_bugs!$A$2:$C$73,3,FALSE())&amp;Char(10) &amp; Char(10) &amp; VLOOKUP(A560,Internal_lists_bugs!$A$2:$Z$73,26,FALSE())),"please select a BUG ID")</f>
        <v>https://github.com/elastic/elasticsearch/issues/200
/zen/ZenDiscovery.java
/MasterFaultDetection.java
/zen/fd/NodesFaultDetection.java </v>
      </c>
      <c r="C560" s="81" t="str">
        <f>IFERROR(SUBSTITUTE(VLOOKUP(A560,Internal_lists_bugs!$A$2:$G2031,7,FALSE()),"/commit/","/tree/"),"please select a BUG ID")</f>
        <v>https://github.com/elastic/elasticsearch/tree/cb0d7d4</v>
      </c>
      <c r="D560" s="16" t="s">
        <v>4973</v>
      </c>
      <c r="E560" s="16" t="s">
        <v>4974</v>
      </c>
      <c r="F560" s="54"/>
      <c r="H560" s="112" t="s">
        <v>4975</v>
      </c>
      <c r="J560" s="183" t="str">
        <f>IFERROR(VLOOKUP(A560,Internal_lists_bugs!$A$2:$I2031,9,FALSE()),"please select a BUG ID")</f>
        <v>No information available</v>
      </c>
    </row>
    <row r="561">
      <c r="A561" s="1" t="s">
        <v>78</v>
      </c>
      <c r="B561" s="50" t="str">
        <f>IFERROR(HYPERLINK(VLOOKUP(A561,Internal_lists_bugs!$A$2:$C$73,3,FALSE()), VLOOKUP(A561,Internal_lists_bugs!$A$2:$C$73,3,FALSE())&amp;Char(10) &amp; Char(10) &amp; VLOOKUP(A561,Internal_lists_bugs!$A$2:$Z$73,26,FALSE())),"please select a BUG ID")</f>
        <v>https://github.com/elastic/elasticsearch/issues/200
/zen/ZenDiscovery.java
/MasterFaultDetection.java
/zen/fd/NodesFaultDetection.java </v>
      </c>
      <c r="C561" s="81" t="str">
        <f>IFERROR(SUBSTITUTE(VLOOKUP(A561,Internal_lists_bugs!$A$2:$G2031,7,FALSE()),"/commit/","/tree/"),"please select a BUG ID")</f>
        <v>https://github.com/elastic/elasticsearch/tree/cb0d7d4</v>
      </c>
      <c r="D561" s="16" t="s">
        <v>4976</v>
      </c>
      <c r="E561" s="16" t="s">
        <v>4977</v>
      </c>
      <c r="F561" s="54"/>
      <c r="H561" s="112" t="s">
        <v>4684</v>
      </c>
      <c r="J561" s="183" t="str">
        <f>IFERROR(VLOOKUP(A561,Internal_lists_bugs!$A$2:$I2031,9,FALSE()),"please select a BUG ID")</f>
        <v>No information available</v>
      </c>
    </row>
    <row r="562">
      <c r="A562" s="1" t="s">
        <v>78</v>
      </c>
      <c r="B562" s="50" t="str">
        <f>IFERROR(HYPERLINK(VLOOKUP(A562,Internal_lists_bugs!$A$2:$C$73,3,FALSE()), VLOOKUP(A562,Internal_lists_bugs!$A$2:$C$73,3,FALSE())&amp;Char(10) &amp; Char(10) &amp; VLOOKUP(A562,Internal_lists_bugs!$A$2:$Z$73,26,FALSE())),"please select a BUG ID")</f>
        <v>https://github.com/elastic/elasticsearch/issues/200
/zen/ZenDiscovery.java
/MasterFaultDetection.java
/zen/fd/NodesFaultDetection.java </v>
      </c>
      <c r="C562" s="81" t="str">
        <f>IFERROR(SUBSTITUTE(VLOOKUP(A562,Internal_lists_bugs!$A$2:$G2031,7,FALSE()),"/commit/","/tree/"),"please select a BUG ID")</f>
        <v>https://github.com/elastic/elasticsearch/tree/cb0d7d4</v>
      </c>
      <c r="D562" s="16" t="s">
        <v>4978</v>
      </c>
      <c r="E562" s="16" t="s">
        <v>4979</v>
      </c>
      <c r="F562" s="54"/>
      <c r="H562" s="112" t="s">
        <v>4980</v>
      </c>
      <c r="I562" s="16" t="s">
        <v>4981</v>
      </c>
      <c r="J562" s="183" t="str">
        <f>IFERROR(VLOOKUP(A562,Internal_lists_bugs!$A$2:$I2031,9,FALSE()),"please select a BUG ID")</f>
        <v>No information available</v>
      </c>
    </row>
    <row r="563">
      <c r="A563" s="1" t="s">
        <v>78</v>
      </c>
      <c r="B563" s="50" t="str">
        <f>IFERROR(HYPERLINK(VLOOKUP(A563,Internal_lists_bugs!$A$2:$C$73,3,FALSE()), VLOOKUP(A563,Internal_lists_bugs!$A$2:$C$73,3,FALSE())&amp;Char(10) &amp; Char(10) &amp; VLOOKUP(A563,Internal_lists_bugs!$A$2:$Z$73,26,FALSE())),"please select a BUG ID")</f>
        <v>https://github.com/elastic/elasticsearch/issues/200
/zen/ZenDiscovery.java
/MasterFaultDetection.java
/zen/fd/NodesFaultDetection.java </v>
      </c>
      <c r="C563" s="81" t="str">
        <f>IFERROR(SUBSTITUTE(VLOOKUP(A563,Internal_lists_bugs!$A$2:$G2031,7,FALSE()),"/commit/","/tree/"),"please select a BUG ID")</f>
        <v>https://github.com/elastic/elasticsearch/tree/cb0d7d4</v>
      </c>
      <c r="D563" s="16" t="s">
        <v>4982</v>
      </c>
      <c r="E563" s="16" t="s">
        <v>4979</v>
      </c>
      <c r="F563" s="54"/>
      <c r="H563" s="112"/>
      <c r="J563" s="183" t="str">
        <f>IFERROR(VLOOKUP(A563,Internal_lists_bugs!$A$2:$I2031,9,FALSE()),"please select a BUG ID")</f>
        <v>No information available</v>
      </c>
    </row>
    <row r="564">
      <c r="A564" s="1" t="s">
        <v>78</v>
      </c>
      <c r="B564" s="50" t="str">
        <f>IFERROR(HYPERLINK(VLOOKUP(A564,Internal_lists_bugs!$A$2:$C$73,3,FALSE()), VLOOKUP(A564,Internal_lists_bugs!$A$2:$C$73,3,FALSE())&amp;Char(10) &amp; Char(10) &amp; VLOOKUP(A564,Internal_lists_bugs!$A$2:$Z$73,26,FALSE())),"please select a BUG ID")</f>
        <v>https://github.com/elastic/elasticsearch/issues/200
/zen/ZenDiscovery.java
/MasterFaultDetection.java
/zen/fd/NodesFaultDetection.java </v>
      </c>
      <c r="C564" s="81" t="str">
        <f>IFERROR(SUBSTITUTE(VLOOKUP(A564,Internal_lists_bugs!$A$2:$G2031,7,FALSE()),"/commit/","/tree/"),"please select a BUG ID")</f>
        <v>https://github.com/elastic/elasticsearch/tree/cb0d7d4</v>
      </c>
      <c r="D564" s="16" t="s">
        <v>4983</v>
      </c>
      <c r="E564" s="16" t="s">
        <v>4984</v>
      </c>
      <c r="F564" s="54"/>
      <c r="H564" s="114"/>
      <c r="J564" s="183" t="str">
        <f>IFERROR(VLOOKUP(A564,Internal_lists_bugs!$A$2:$I2031,9,FALSE()),"please select a BUG ID")</f>
        <v>No information available</v>
      </c>
    </row>
    <row r="565">
      <c r="A565" s="1" t="s">
        <v>78</v>
      </c>
      <c r="B565" s="50" t="str">
        <f>IFERROR(HYPERLINK(VLOOKUP(A565,Internal_lists_bugs!$A$2:$C$73,3,FALSE()), VLOOKUP(A565,Internal_lists_bugs!$A$2:$C$73,3,FALSE())&amp;Char(10) &amp; Char(10) &amp; VLOOKUP(A565,Internal_lists_bugs!$A$2:$Z$73,26,FALSE())),"please select a BUG ID")</f>
        <v>https://github.com/elastic/elasticsearch/issues/200
/zen/ZenDiscovery.java
/MasterFaultDetection.java
/zen/fd/NodesFaultDetection.java </v>
      </c>
      <c r="C565" s="81" t="str">
        <f>IFERROR(SUBSTITUTE(VLOOKUP(A565,Internal_lists_bugs!$A$2:$G2031,7,FALSE()),"/commit/","/tree/"),"please select a BUG ID")</f>
        <v>https://github.com/elastic/elasticsearch/tree/cb0d7d4</v>
      </c>
      <c r="D565" s="16" t="s">
        <v>4985</v>
      </c>
      <c r="E565" s="16" t="s">
        <v>4986</v>
      </c>
      <c r="F565" s="54"/>
      <c r="H565" s="114"/>
      <c r="J565" s="183" t="str">
        <f>IFERROR(VLOOKUP(A565,Internal_lists_bugs!$A$2:$I2031,9,FALSE()),"please select a BUG ID")</f>
        <v>No information available</v>
      </c>
    </row>
    <row r="566">
      <c r="A566" s="1" t="s">
        <v>78</v>
      </c>
      <c r="B566" s="50" t="str">
        <f>IFERROR(HYPERLINK(VLOOKUP(A566,Internal_lists_bugs!$A$2:$C$73,3,FALSE()), VLOOKUP(A566,Internal_lists_bugs!$A$2:$C$73,3,FALSE())&amp;Char(10) &amp; Char(10) &amp; VLOOKUP(A566,Internal_lists_bugs!$A$2:$Z$73,26,FALSE())),"please select a BUG ID")</f>
        <v>https://github.com/elastic/elasticsearch/issues/200
/zen/ZenDiscovery.java
/MasterFaultDetection.java
/zen/fd/NodesFaultDetection.java </v>
      </c>
      <c r="C566" s="81" t="str">
        <f>IFERROR(SUBSTITUTE(VLOOKUP(A566,Internal_lists_bugs!$A$2:$G2031,7,FALSE()),"/commit/","/tree/"),"please select a BUG ID")</f>
        <v>https://github.com/elastic/elasticsearch/tree/cb0d7d4</v>
      </c>
      <c r="D566" s="16" t="s">
        <v>4987</v>
      </c>
      <c r="E566" s="16" t="s">
        <v>4988</v>
      </c>
      <c r="F566" s="54"/>
      <c r="H566" s="114"/>
      <c r="J566" s="183" t="str">
        <f>IFERROR(VLOOKUP(A566,Internal_lists_bugs!$A$2:$I2031,9,FALSE()),"please select a BUG ID")</f>
        <v>No information available</v>
      </c>
    </row>
    <row r="567">
      <c r="A567" s="1" t="s">
        <v>78</v>
      </c>
      <c r="B567" s="50" t="str">
        <f>IFERROR(HYPERLINK(VLOOKUP(A567,Internal_lists_bugs!$A$2:$C$73,3,FALSE()), VLOOKUP(A567,Internal_lists_bugs!$A$2:$C$73,3,FALSE())&amp;Char(10) &amp; Char(10) &amp; VLOOKUP(A567,Internal_lists_bugs!$A$2:$Z$73,26,FALSE())),"please select a BUG ID")</f>
        <v>https://github.com/elastic/elasticsearch/issues/200
/zen/ZenDiscovery.java
/MasterFaultDetection.java
/zen/fd/NodesFaultDetection.java </v>
      </c>
      <c r="C567" s="81" t="str">
        <f>IFERROR(SUBSTITUTE(VLOOKUP(A567,Internal_lists_bugs!$A$2:$G2031,7,FALSE()),"/commit/","/tree/"),"please select a BUG ID")</f>
        <v>https://github.com/elastic/elasticsearch/tree/cb0d7d4</v>
      </c>
      <c r="D567" s="16" t="s">
        <v>4989</v>
      </c>
      <c r="E567" s="16" t="s">
        <v>4988</v>
      </c>
      <c r="F567" s="54"/>
      <c r="H567" s="114"/>
      <c r="J567" s="183" t="str">
        <f>IFERROR(VLOOKUP(A567,Internal_lists_bugs!$A$2:$I2031,9,FALSE()),"please select a BUG ID")</f>
        <v>No information available</v>
      </c>
    </row>
    <row r="568">
      <c r="A568" s="1" t="s">
        <v>78</v>
      </c>
      <c r="B568" s="50" t="str">
        <f>IFERROR(HYPERLINK(VLOOKUP(A568,Internal_lists_bugs!$A$2:$C$73,3,FALSE()), VLOOKUP(A568,Internal_lists_bugs!$A$2:$C$73,3,FALSE())&amp;Char(10) &amp; Char(10) &amp; VLOOKUP(A568,Internal_lists_bugs!$A$2:$Z$73,26,FALSE())),"please select a BUG ID")</f>
        <v>https://github.com/elastic/elasticsearch/issues/200
/zen/ZenDiscovery.java
/MasterFaultDetection.java
/zen/fd/NodesFaultDetection.java </v>
      </c>
      <c r="C568" s="81" t="str">
        <f>IFERROR(SUBSTITUTE(VLOOKUP(A568,Internal_lists_bugs!$A$2:$G2031,7,FALSE()),"/commit/","/tree/"),"please select a BUG ID")</f>
        <v>https://github.com/elastic/elasticsearch/tree/cb0d7d4</v>
      </c>
      <c r="D568" s="16" t="s">
        <v>4990</v>
      </c>
      <c r="E568" s="16" t="s">
        <v>4991</v>
      </c>
      <c r="F568" s="54"/>
      <c r="H568" s="114"/>
      <c r="J568" s="183" t="str">
        <f>IFERROR(VLOOKUP(A568,Internal_lists_bugs!$A$2:$I2031,9,FALSE()),"please select a BUG ID")</f>
        <v>No information available</v>
      </c>
    </row>
    <row r="569">
      <c r="A569" s="1" t="s">
        <v>71</v>
      </c>
      <c r="B569" s="50" t="str">
        <f>IFERROR(HYPERLINK(VLOOKUP(A569,Internal_lists_bugs!$A$2:$C$73,3,FALSE()), VLOOKUP(A569,Internal_lists_bugs!$A$2:$C$73,3,FALSE())&amp;Char(10) &amp; Char(10) &amp; VLOOKUP(A569,Internal_lists_bugs!$A$2:$Z$73,26,FALSE())),"please select a BUG ID")</f>
        <v>https://github.com/elastic/elasticsearch/issues/764
/xcontent/DynamicTemplate.java</v>
      </c>
      <c r="C569" s="81" t="str">
        <f>IFERROR(SUBSTITUTE(VLOOKUP(A569,Internal_lists_bugs!$A$2:$G2031,7,FALSE()),"/commit/","/tree/"),"please select a BUG ID")</f>
        <v>https://github.com/elastic/elasticsearch/tree/4c34840</v>
      </c>
      <c r="D569" s="16" t="s">
        <v>4962</v>
      </c>
      <c r="E569" s="16" t="s">
        <v>4963</v>
      </c>
      <c r="F569" s="16" t="s">
        <v>4724</v>
      </c>
      <c r="G569" s="202" t="s">
        <v>4992</v>
      </c>
      <c r="H569" s="112" t="s">
        <v>4965</v>
      </c>
      <c r="J569" s="183" t="str">
        <f>IFERROR(VLOOKUP(A569,Internal_lists_bugs!$A$2:$I2031,9,FALSE()),"please select a BUG ID")</f>
        <v>No information available</v>
      </c>
    </row>
    <row r="570">
      <c r="A570" s="1" t="s">
        <v>71</v>
      </c>
      <c r="B570" s="50" t="str">
        <f>IFERROR(HYPERLINK(VLOOKUP(A570,Internal_lists_bugs!$A$2:$C$73,3,FALSE()), VLOOKUP(A570,Internal_lists_bugs!$A$2:$C$73,3,FALSE())&amp;Char(10) &amp; Char(10) &amp; VLOOKUP(A570,Internal_lists_bugs!$A$2:$Z$73,26,FALSE())),"please select a BUG ID")</f>
        <v>https://github.com/elastic/elasticsearch/issues/764
/xcontent/DynamicTemplate.java</v>
      </c>
      <c r="C570" s="81" t="str">
        <f>IFERROR(SUBSTITUTE(VLOOKUP(A570,Internal_lists_bugs!$A$2:$G2031,7,FALSE()),"/commit/","/tree/"),"please select a BUG ID")</f>
        <v>https://github.com/elastic/elasticsearch/tree/4c34840</v>
      </c>
      <c r="D570" s="16" t="s">
        <v>4966</v>
      </c>
      <c r="E570" s="16" t="s">
        <v>4967</v>
      </c>
      <c r="F570" s="54"/>
      <c r="H570" s="112" t="s">
        <v>4818</v>
      </c>
      <c r="J570" s="183" t="str">
        <f>IFERROR(VLOOKUP(A570,Internal_lists_bugs!$A$2:$I2031,9,FALSE()),"please select a BUG ID")</f>
        <v>No information available</v>
      </c>
    </row>
    <row r="571">
      <c r="A571" s="1" t="s">
        <v>71</v>
      </c>
      <c r="B571" s="50" t="str">
        <f>IFERROR(HYPERLINK(VLOOKUP(A571,Internal_lists_bugs!$A$2:$C$73,3,FALSE()), VLOOKUP(A571,Internal_lists_bugs!$A$2:$C$73,3,FALSE())&amp;Char(10) &amp; Char(10) &amp; VLOOKUP(A571,Internal_lists_bugs!$A$2:$Z$73,26,FALSE())),"please select a BUG ID")</f>
        <v>https://github.com/elastic/elasticsearch/issues/764
/xcontent/DynamicTemplate.java</v>
      </c>
      <c r="C571" s="81" t="str">
        <f>IFERROR(SUBSTITUTE(VLOOKUP(A571,Internal_lists_bugs!$A$2:$G2031,7,FALSE()),"/commit/","/tree/"),"please select a BUG ID")</f>
        <v>https://github.com/elastic/elasticsearch/tree/4c34840</v>
      </c>
      <c r="D571" s="16" t="s">
        <v>4968</v>
      </c>
      <c r="E571" s="16" t="s">
        <v>4969</v>
      </c>
      <c r="F571" s="54"/>
      <c r="H571" s="112" t="s">
        <v>4708</v>
      </c>
      <c r="J571" s="183" t="str">
        <f>IFERROR(VLOOKUP(A571,Internal_lists_bugs!$A$2:$I2031,9,FALSE()),"please select a BUG ID")</f>
        <v>No information available</v>
      </c>
    </row>
    <row r="572">
      <c r="A572" s="1" t="s">
        <v>71</v>
      </c>
      <c r="B572" s="50" t="str">
        <f>IFERROR(HYPERLINK(VLOOKUP(A572,Internal_lists_bugs!$A$2:$C$73,3,FALSE()), VLOOKUP(A572,Internal_lists_bugs!$A$2:$C$73,3,FALSE())&amp;Char(10) &amp; Char(10) &amp; VLOOKUP(A572,Internal_lists_bugs!$A$2:$Z$73,26,FALSE())),"please select a BUG ID")</f>
        <v>https://github.com/elastic/elasticsearch/issues/764
/xcontent/DynamicTemplate.java</v>
      </c>
      <c r="C572" s="81" t="str">
        <f>IFERROR(SUBSTITUTE(VLOOKUP(A572,Internal_lists_bugs!$A$2:$G2031,7,FALSE()),"/commit/","/tree/"),"please select a BUG ID")</f>
        <v>https://github.com/elastic/elasticsearch/tree/4c34840</v>
      </c>
      <c r="D572" s="16" t="s">
        <v>4970</v>
      </c>
      <c r="E572" s="16" t="s">
        <v>4969</v>
      </c>
      <c r="F572" s="54"/>
      <c r="H572" s="112" t="s">
        <v>4971</v>
      </c>
      <c r="I572" s="16" t="s">
        <v>4972</v>
      </c>
      <c r="J572" s="183" t="str">
        <f>IFERROR(VLOOKUP(A572,Internal_lists_bugs!$A$2:$I2031,9,FALSE()),"please select a BUG ID")</f>
        <v>No information available</v>
      </c>
    </row>
    <row r="573">
      <c r="A573" s="1" t="s">
        <v>71</v>
      </c>
      <c r="B573" s="50" t="str">
        <f>IFERROR(HYPERLINK(VLOOKUP(A573,Internal_lists_bugs!$A$2:$C$73,3,FALSE()), VLOOKUP(A573,Internal_lists_bugs!$A$2:$C$73,3,FALSE())&amp;Char(10) &amp; Char(10) &amp; VLOOKUP(A573,Internal_lists_bugs!$A$2:$Z$73,26,FALSE())),"please select a BUG ID")</f>
        <v>https://github.com/elastic/elasticsearch/issues/764
/xcontent/DynamicTemplate.java</v>
      </c>
      <c r="C573" s="81" t="str">
        <f>IFERROR(SUBSTITUTE(VLOOKUP(A573,Internal_lists_bugs!$A$2:$G2031,7,FALSE()),"/commit/","/tree/"),"please select a BUG ID")</f>
        <v>https://github.com/elastic/elasticsearch/tree/4c34840</v>
      </c>
      <c r="D573" s="16" t="s">
        <v>4973</v>
      </c>
      <c r="E573" s="16" t="s">
        <v>4974</v>
      </c>
      <c r="F573" s="54"/>
      <c r="H573" s="112" t="s">
        <v>4993</v>
      </c>
      <c r="J573" s="183" t="str">
        <f>IFERROR(VLOOKUP(A573,Internal_lists_bugs!$A$2:$I2031,9,FALSE()),"please select a BUG ID")</f>
        <v>No information available</v>
      </c>
    </row>
    <row r="574">
      <c r="A574" s="1" t="s">
        <v>71</v>
      </c>
      <c r="B574" s="50" t="str">
        <f>IFERROR(HYPERLINK(VLOOKUP(A574,Internal_lists_bugs!$A$2:$C$73,3,FALSE()), VLOOKUP(A574,Internal_lists_bugs!$A$2:$C$73,3,FALSE())&amp;Char(10) &amp; Char(10) &amp; VLOOKUP(A574,Internal_lists_bugs!$A$2:$Z$73,26,FALSE())),"please select a BUG ID")</f>
        <v>https://github.com/elastic/elasticsearch/issues/764
/xcontent/DynamicTemplate.java</v>
      </c>
      <c r="C574" s="81" t="str">
        <f>IFERROR(SUBSTITUTE(VLOOKUP(A574,Internal_lists_bugs!$A$2:$G2031,7,FALSE()),"/commit/","/tree/"),"please select a BUG ID")</f>
        <v>https://github.com/elastic/elasticsearch/tree/4c34840</v>
      </c>
      <c r="D574" s="16" t="s">
        <v>4976</v>
      </c>
      <c r="E574" s="16" t="s">
        <v>4977</v>
      </c>
      <c r="F574" s="54"/>
      <c r="H574" s="112" t="s">
        <v>4975</v>
      </c>
      <c r="J574" s="183" t="str">
        <f>IFERROR(VLOOKUP(A574,Internal_lists_bugs!$A$2:$I2031,9,FALSE()),"please select a BUG ID")</f>
        <v>No information available</v>
      </c>
    </row>
    <row r="575">
      <c r="A575" s="1" t="s">
        <v>71</v>
      </c>
      <c r="B575" s="50" t="str">
        <f>IFERROR(HYPERLINK(VLOOKUP(A575,Internal_lists_bugs!$A$2:$C$73,3,FALSE()), VLOOKUP(A575,Internal_lists_bugs!$A$2:$C$73,3,FALSE())&amp;Char(10) &amp; Char(10) &amp; VLOOKUP(A575,Internal_lists_bugs!$A$2:$Z$73,26,FALSE())),"please select a BUG ID")</f>
        <v>https://github.com/elastic/elasticsearch/issues/764
/xcontent/DynamicTemplate.java</v>
      </c>
      <c r="C575" s="81" t="str">
        <f>IFERROR(SUBSTITUTE(VLOOKUP(A575,Internal_lists_bugs!$A$2:$G2031,7,FALSE()),"/commit/","/tree/"),"please select a BUG ID")</f>
        <v>https://github.com/elastic/elasticsearch/tree/4c34840</v>
      </c>
      <c r="D575" s="16" t="s">
        <v>4978</v>
      </c>
      <c r="E575" s="16" t="s">
        <v>4979</v>
      </c>
      <c r="F575" s="54"/>
      <c r="H575" s="112" t="s">
        <v>4684</v>
      </c>
      <c r="J575" s="183" t="str">
        <f>IFERROR(VLOOKUP(A575,Internal_lists_bugs!$A$2:$I2031,9,FALSE()),"please select a BUG ID")</f>
        <v>No information available</v>
      </c>
    </row>
    <row r="576">
      <c r="A576" s="1" t="s">
        <v>71</v>
      </c>
      <c r="B576" s="50" t="str">
        <f>IFERROR(HYPERLINK(VLOOKUP(A576,Internal_lists_bugs!$A$2:$C$73,3,FALSE()), VLOOKUP(A576,Internal_lists_bugs!$A$2:$C$73,3,FALSE())&amp;Char(10) &amp; Char(10) &amp; VLOOKUP(A576,Internal_lists_bugs!$A$2:$Z$73,26,FALSE())),"please select a BUG ID")</f>
        <v>https://github.com/elastic/elasticsearch/issues/764
/xcontent/DynamicTemplate.java</v>
      </c>
      <c r="C576" s="81" t="str">
        <f>IFERROR(SUBSTITUTE(VLOOKUP(A576,Internal_lists_bugs!$A$2:$G2031,7,FALSE()),"/commit/","/tree/"),"please select a BUG ID")</f>
        <v>https://github.com/elastic/elasticsearch/tree/4c34840</v>
      </c>
      <c r="D576" s="16" t="s">
        <v>4982</v>
      </c>
      <c r="E576" s="16" t="s">
        <v>4979</v>
      </c>
      <c r="F576" s="54"/>
      <c r="H576" s="112" t="s">
        <v>4994</v>
      </c>
      <c r="I576" s="16" t="s">
        <v>4995</v>
      </c>
      <c r="J576" s="183" t="str">
        <f>IFERROR(VLOOKUP(A576,Internal_lists_bugs!$A$2:$I2031,9,FALSE()),"please select a BUG ID")</f>
        <v>No information available</v>
      </c>
    </row>
    <row r="577">
      <c r="A577" s="1" t="s">
        <v>71</v>
      </c>
      <c r="B577" s="50" t="str">
        <f>IFERROR(HYPERLINK(VLOOKUP(A577,Internal_lists_bugs!$A$2:$C$73,3,FALSE()), VLOOKUP(A577,Internal_lists_bugs!$A$2:$C$73,3,FALSE())&amp;Char(10) &amp; Char(10) &amp; VLOOKUP(A577,Internal_lists_bugs!$A$2:$Z$73,26,FALSE())),"please select a BUG ID")</f>
        <v>https://github.com/elastic/elasticsearch/issues/764
/xcontent/DynamicTemplate.java</v>
      </c>
      <c r="C577" s="81" t="str">
        <f>IFERROR(SUBSTITUTE(VLOOKUP(A577,Internal_lists_bugs!$A$2:$G2031,7,FALSE()),"/commit/","/tree/"),"please select a BUG ID")</f>
        <v>https://github.com/elastic/elasticsearch/tree/4c34840</v>
      </c>
      <c r="D577" s="16" t="s">
        <v>4983</v>
      </c>
      <c r="E577" s="16" t="s">
        <v>4984</v>
      </c>
      <c r="F577" s="54"/>
      <c r="H577" s="112" t="s">
        <v>4980</v>
      </c>
      <c r="I577" s="16" t="s">
        <v>4981</v>
      </c>
      <c r="J577" s="183" t="str">
        <f>IFERROR(VLOOKUP(A577,Internal_lists_bugs!$A$2:$I2031,9,FALSE()),"please select a BUG ID")</f>
        <v>No information available</v>
      </c>
    </row>
    <row r="578">
      <c r="A578" s="1" t="s">
        <v>71</v>
      </c>
      <c r="B578" s="50" t="str">
        <f>IFERROR(HYPERLINK(VLOOKUP(A578,Internal_lists_bugs!$A$2:$C$73,3,FALSE()), VLOOKUP(A578,Internal_lists_bugs!$A$2:$C$73,3,FALSE())&amp;Char(10) &amp; Char(10) &amp; VLOOKUP(A578,Internal_lists_bugs!$A$2:$Z$73,26,FALSE())),"please select a BUG ID")</f>
        <v>https://github.com/elastic/elasticsearch/issues/764
/xcontent/DynamicTemplate.java</v>
      </c>
      <c r="C578" s="81" t="str">
        <f>IFERROR(SUBSTITUTE(VLOOKUP(A578,Internal_lists_bugs!$A$2:$G2031,7,FALSE()),"/commit/","/tree/"),"please select a BUG ID")</f>
        <v>https://github.com/elastic/elasticsearch/tree/4c34840</v>
      </c>
      <c r="D578" s="16" t="s">
        <v>4985</v>
      </c>
      <c r="E578" s="16" t="s">
        <v>4996</v>
      </c>
      <c r="F578" s="54"/>
      <c r="H578" s="114"/>
      <c r="J578" s="183" t="str">
        <f>IFERROR(VLOOKUP(A578,Internal_lists_bugs!$A$2:$I2031,9,FALSE()),"please select a BUG ID")</f>
        <v>No information available</v>
      </c>
    </row>
    <row r="579">
      <c r="A579" s="1" t="s">
        <v>71</v>
      </c>
      <c r="B579" s="50" t="str">
        <f>IFERROR(HYPERLINK(VLOOKUP(A579,Internal_lists_bugs!$A$2:$C$73,3,FALSE()), VLOOKUP(A579,Internal_lists_bugs!$A$2:$C$73,3,FALSE())&amp;Char(10) &amp; Char(10) &amp; VLOOKUP(A579,Internal_lists_bugs!$A$2:$Z$73,26,FALSE())),"please select a BUG ID")</f>
        <v>https://github.com/elastic/elasticsearch/issues/764
/xcontent/DynamicTemplate.java</v>
      </c>
      <c r="C579" s="81" t="str">
        <f>IFERROR(SUBSTITUTE(VLOOKUP(A579,Internal_lists_bugs!$A$2:$G2031,7,FALSE()),"/commit/","/tree/"),"please select a BUG ID")</f>
        <v>https://github.com/elastic/elasticsearch/tree/4c34840</v>
      </c>
      <c r="D579" s="16" t="s">
        <v>4990</v>
      </c>
      <c r="E579" s="16" t="s">
        <v>4997</v>
      </c>
      <c r="F579" s="54"/>
      <c r="H579" s="114"/>
      <c r="J579" s="183" t="str">
        <f>IFERROR(VLOOKUP(A579,Internal_lists_bugs!$A$2:$I2031,9,FALSE()),"please select a BUG ID")</f>
        <v>No information available</v>
      </c>
    </row>
    <row r="580">
      <c r="A580" s="1" t="s">
        <v>71</v>
      </c>
      <c r="B580" s="50" t="str">
        <f>IFERROR(HYPERLINK(VLOOKUP(A580,Internal_lists_bugs!$A$2:$C$73,3,FALSE()), VLOOKUP(A580,Internal_lists_bugs!$A$2:$C$73,3,FALSE())&amp;Char(10) &amp; Char(10) &amp; VLOOKUP(A580,Internal_lists_bugs!$A$2:$Z$73,26,FALSE())),"please select a BUG ID")</f>
        <v>https://github.com/elastic/elasticsearch/issues/764
/xcontent/DynamicTemplate.java</v>
      </c>
      <c r="C580" s="81" t="str">
        <f>IFERROR(SUBSTITUTE(VLOOKUP(A580,Internal_lists_bugs!$A$2:$G2031,7,FALSE()),"/commit/","/tree/"),"please select a BUG ID")</f>
        <v>https://github.com/elastic/elasticsearch/tree/4c34840</v>
      </c>
      <c r="D580" s="16" t="s">
        <v>4998</v>
      </c>
      <c r="E580" s="16" t="s">
        <v>4999</v>
      </c>
      <c r="F580" s="54"/>
      <c r="H580" s="114"/>
      <c r="J580" s="183" t="str">
        <f>IFERROR(VLOOKUP(A580,Internal_lists_bugs!$A$2:$I2031,9,FALSE()),"please select a BUG ID")</f>
        <v>No information available</v>
      </c>
    </row>
    <row r="581">
      <c r="A581" s="1" t="s">
        <v>71</v>
      </c>
      <c r="B581" s="50" t="str">
        <f>IFERROR(HYPERLINK(VLOOKUP(A581,Internal_lists_bugs!$A$2:$C$73,3,FALSE()), VLOOKUP(A581,Internal_lists_bugs!$A$2:$C$73,3,FALSE())&amp;Char(10) &amp; Char(10) &amp; VLOOKUP(A581,Internal_lists_bugs!$A$2:$Z$73,26,FALSE())),"please select a BUG ID")</f>
        <v>https://github.com/elastic/elasticsearch/issues/764
/xcontent/DynamicTemplate.java</v>
      </c>
      <c r="C581" s="81" t="str">
        <f>IFERROR(SUBSTITUTE(VLOOKUP(A581,Internal_lists_bugs!$A$2:$G2031,7,FALSE()),"/commit/","/tree/"),"please select a BUG ID")</f>
        <v>https://github.com/elastic/elasticsearch/tree/4c34840</v>
      </c>
      <c r="D581" s="16" t="s">
        <v>5000</v>
      </c>
      <c r="E581" s="16" t="s">
        <v>4969</v>
      </c>
      <c r="F581" s="54"/>
      <c r="H581" s="114"/>
      <c r="J581" s="183" t="str">
        <f>IFERROR(VLOOKUP(A581,Internal_lists_bugs!$A$2:$I2031,9,FALSE()),"please select a BUG ID")</f>
        <v>No information available</v>
      </c>
    </row>
    <row r="582">
      <c r="A582" s="1" t="s">
        <v>71</v>
      </c>
      <c r="B582" s="50" t="str">
        <f>IFERROR(HYPERLINK(VLOOKUP(A582,Internal_lists_bugs!$A$2:$C$73,3,FALSE()), VLOOKUP(A582,Internal_lists_bugs!$A$2:$C$73,3,FALSE())&amp;Char(10) &amp; Char(10) &amp; VLOOKUP(A582,Internal_lists_bugs!$A$2:$Z$73,26,FALSE())),"please select a BUG ID")</f>
        <v>https://github.com/elastic/elasticsearch/issues/764
/xcontent/DynamicTemplate.java</v>
      </c>
      <c r="C582" s="81" t="str">
        <f>IFERROR(SUBSTITUTE(VLOOKUP(A582,Internal_lists_bugs!$A$2:$G2031,7,FALSE()),"/commit/","/tree/"),"please select a BUG ID")</f>
        <v>https://github.com/elastic/elasticsearch/tree/4c34840</v>
      </c>
      <c r="D582" s="16" t="s">
        <v>4987</v>
      </c>
      <c r="E582" s="16" t="s">
        <v>4997</v>
      </c>
      <c r="F582" s="54"/>
      <c r="H582" s="114"/>
      <c r="J582" s="183" t="str">
        <f>IFERROR(VLOOKUP(A582,Internal_lists_bugs!$A$2:$I2031,9,FALSE()),"please select a BUG ID")</f>
        <v>No information available</v>
      </c>
    </row>
    <row r="583">
      <c r="A583" s="1" t="s">
        <v>71</v>
      </c>
      <c r="B583" s="50" t="str">
        <f>IFERROR(HYPERLINK(VLOOKUP(A583,Internal_lists_bugs!$A$2:$C$73,3,FALSE()), VLOOKUP(A583,Internal_lists_bugs!$A$2:$C$73,3,FALSE())&amp;Char(10) &amp; Char(10) &amp; VLOOKUP(A583,Internal_lists_bugs!$A$2:$Z$73,26,FALSE())),"please select a BUG ID")</f>
        <v>https://github.com/elastic/elasticsearch/issues/764
/xcontent/DynamicTemplate.java</v>
      </c>
      <c r="C583" s="81" t="str">
        <f>IFERROR(SUBSTITUTE(VLOOKUP(A583,Internal_lists_bugs!$A$2:$G2031,7,FALSE()),"/commit/","/tree/"),"please select a BUG ID")</f>
        <v>https://github.com/elastic/elasticsearch/tree/4c34840</v>
      </c>
      <c r="D583" s="16" t="s">
        <v>5001</v>
      </c>
      <c r="E583" s="16" t="s">
        <v>5002</v>
      </c>
      <c r="F583" s="16"/>
      <c r="H583" s="112"/>
      <c r="J583" s="183"/>
    </row>
    <row r="584">
      <c r="A584" s="1" t="s">
        <v>71</v>
      </c>
      <c r="B584" s="50" t="str">
        <f>IFERROR(HYPERLINK(VLOOKUP(A584,Internal_lists_bugs!$A$2:$C$73,3,FALSE()), VLOOKUP(A584,Internal_lists_bugs!$A$2:$C$73,3,FALSE())&amp;Char(10) &amp; Char(10) &amp; VLOOKUP(A584,Internal_lists_bugs!$A$2:$Z$73,26,FALSE())),"please select a BUG ID")</f>
        <v>https://github.com/elastic/elasticsearch/issues/764
/xcontent/DynamicTemplate.java</v>
      </c>
      <c r="C584" s="81" t="str">
        <f>IFERROR(SUBSTITUTE(VLOOKUP(A584,Internal_lists_bugs!$A$2:$G2031,7,FALSE()),"/commit/","/tree/"),"please select a BUG ID")</f>
        <v>https://github.com/elastic/elasticsearch/tree/4c34840</v>
      </c>
      <c r="D584" s="16" t="s">
        <v>5003</v>
      </c>
      <c r="E584" s="16" t="s">
        <v>5004</v>
      </c>
      <c r="F584" s="16"/>
      <c r="H584" s="112"/>
      <c r="J584" s="183"/>
    </row>
    <row r="585">
      <c r="A585" s="1" t="s">
        <v>71</v>
      </c>
      <c r="B585" s="50" t="str">
        <f>IFERROR(HYPERLINK(VLOOKUP(A585,Internal_lists_bugs!$A$2:$C$73,3,FALSE()), VLOOKUP(A585,Internal_lists_bugs!$A$2:$C$73,3,FALSE())&amp;Char(10) &amp; Char(10) &amp; VLOOKUP(A585,Internal_lists_bugs!$A$2:$Z$73,26,FALSE())),"please select a BUG ID")</f>
        <v>https://github.com/elastic/elasticsearch/issues/764
/xcontent/DynamicTemplate.java</v>
      </c>
      <c r="C585" s="81" t="str">
        <f>IFERROR(SUBSTITUTE(VLOOKUP(A585,Internal_lists_bugs!$A$2:$G2031,7,FALSE()),"/commit/","/tree/"),"please select a BUG ID")</f>
        <v>https://github.com/elastic/elasticsearch/tree/4c34840</v>
      </c>
      <c r="D585" s="16" t="s">
        <v>5000</v>
      </c>
      <c r="E585" s="16" t="s">
        <v>5002</v>
      </c>
      <c r="F585" s="16"/>
      <c r="H585" s="112"/>
      <c r="J585" s="183"/>
    </row>
    <row r="586">
      <c r="A586" s="1" t="s">
        <v>71</v>
      </c>
      <c r="B586" s="50" t="str">
        <f>IFERROR(HYPERLINK(VLOOKUP(A586,Internal_lists_bugs!$A$2:$C$73,3,FALSE()), VLOOKUP(A586,Internal_lists_bugs!$A$2:$C$73,3,FALSE())&amp;Char(10) &amp; Char(10) &amp; VLOOKUP(A586,Internal_lists_bugs!$A$2:$Z$73,26,FALSE())),"please select a BUG ID")</f>
        <v>https://github.com/elastic/elasticsearch/issues/764
/xcontent/DynamicTemplate.java</v>
      </c>
      <c r="C586" s="81" t="str">
        <f>IFERROR(SUBSTITUTE(VLOOKUP(A586,Internal_lists_bugs!$A$2:$G2031,7,FALSE()),"/commit/","/tree/"),"please select a BUG ID")</f>
        <v>https://github.com/elastic/elasticsearch/tree/4c34840</v>
      </c>
      <c r="D586" s="16" t="s">
        <v>4989</v>
      </c>
      <c r="F586" s="16"/>
      <c r="H586" s="112"/>
      <c r="J586" s="183"/>
    </row>
    <row r="587">
      <c r="A587" s="1" t="s">
        <v>66</v>
      </c>
      <c r="B587" s="50" t="str">
        <f>IFERROR(HYPERLINK(VLOOKUP(A587,Internal_lists_bugs!$A$2:$C$73,3,FALSE()), VLOOKUP(A587,Internal_lists_bugs!$A$2:$C$73,3,FALSE())&amp;Char(10) &amp; Char(10) &amp; VLOOKUP(A587,Internal_lists_bugs!$A$2:$Z$73,26,FALSE())),"please select a BUG ID")</f>
        <v>https://github.com/elastic/elasticsearch/issues/864
/ElasticSearchIllegalArgumentException.java
/alias/RestIndicesAliasesAction.java</v>
      </c>
      <c r="C587" s="81" t="str">
        <f>IFERROR(SUBSTITUTE(VLOOKUP(A587,Internal_lists_bugs!$A$2:$G2031,7,FALSE()),"/commit/","/tree/"),"please select a BUG ID")</f>
        <v>https://github.com/elastic/elasticsearch/tree/8f32467</v>
      </c>
      <c r="D587" s="16" t="s">
        <v>4962</v>
      </c>
      <c r="E587" s="16" t="s">
        <v>4963</v>
      </c>
      <c r="F587" s="16" t="s">
        <v>4682</v>
      </c>
      <c r="H587" s="112" t="s">
        <v>4965</v>
      </c>
      <c r="J587" s="183" t="str">
        <f>IFERROR(VLOOKUP(A587,Internal_lists_bugs!$A$2:$I2031,9,FALSE()),"please select a BUG ID")</f>
        <v>No information available</v>
      </c>
    </row>
    <row r="588">
      <c r="A588" s="1" t="s">
        <v>66</v>
      </c>
      <c r="B588" s="50" t="str">
        <f>IFERROR(HYPERLINK(VLOOKUP(A588,Internal_lists_bugs!$A$2:$C$73,3,FALSE()), VLOOKUP(A588,Internal_lists_bugs!$A$2:$C$73,3,FALSE())&amp;Char(10) &amp; Char(10) &amp; VLOOKUP(A588,Internal_lists_bugs!$A$2:$Z$73,26,FALSE())),"please select a BUG ID")</f>
        <v>https://github.com/elastic/elasticsearch/issues/864
/ElasticSearchIllegalArgumentException.java
/alias/RestIndicesAliasesAction.java</v>
      </c>
      <c r="C588" s="81" t="str">
        <f>IFERROR(SUBSTITUTE(VLOOKUP(A588,Internal_lists_bugs!$A$2:$G2031,7,FALSE()),"/commit/","/tree/"),"please select a BUG ID")</f>
        <v>https://github.com/elastic/elasticsearch/tree/8f32467</v>
      </c>
      <c r="D588" s="16" t="s">
        <v>4966</v>
      </c>
      <c r="E588" s="16" t="s">
        <v>4967</v>
      </c>
      <c r="F588" s="54"/>
      <c r="H588" s="112" t="s">
        <v>4818</v>
      </c>
      <c r="J588" s="183" t="str">
        <f>IFERROR(VLOOKUP(A588,Internal_lists_bugs!$A$2:$I2031,9,FALSE()),"please select a BUG ID")</f>
        <v>No information available</v>
      </c>
    </row>
    <row r="589">
      <c r="A589" s="1" t="s">
        <v>66</v>
      </c>
      <c r="B589" s="50" t="str">
        <f>IFERROR(HYPERLINK(VLOOKUP(A589,Internal_lists_bugs!$A$2:$C$73,3,FALSE()), VLOOKUP(A589,Internal_lists_bugs!$A$2:$C$73,3,FALSE())&amp;Char(10) &amp; Char(10) &amp; VLOOKUP(A589,Internal_lists_bugs!$A$2:$Z$73,26,FALSE())),"please select a BUG ID")</f>
        <v>https://github.com/elastic/elasticsearch/issues/864
/ElasticSearchIllegalArgumentException.java
/alias/RestIndicesAliasesAction.java</v>
      </c>
      <c r="C589" s="81" t="str">
        <f>IFERROR(SUBSTITUTE(VLOOKUP(A589,Internal_lists_bugs!$A$2:$G2031,7,FALSE()),"/commit/","/tree/"),"please select a BUG ID")</f>
        <v>https://github.com/elastic/elasticsearch/tree/8f32467</v>
      </c>
      <c r="D589" s="16" t="s">
        <v>4970</v>
      </c>
      <c r="E589" s="16" t="s">
        <v>4969</v>
      </c>
      <c r="F589" s="54"/>
      <c r="H589" s="112" t="s">
        <v>4971</v>
      </c>
      <c r="I589" s="16" t="s">
        <v>4972</v>
      </c>
      <c r="J589" s="183" t="str">
        <f>IFERROR(VLOOKUP(A589,Internal_lists_bugs!$A$2:$I2031,9,FALSE()),"please select a BUG ID")</f>
        <v>No information available</v>
      </c>
    </row>
    <row r="590">
      <c r="A590" s="1" t="s">
        <v>66</v>
      </c>
      <c r="B590" s="50" t="str">
        <f>IFERROR(HYPERLINK(VLOOKUP(A590,Internal_lists_bugs!$A$2:$C$73,3,FALSE()), VLOOKUP(A590,Internal_lists_bugs!$A$2:$C$73,3,FALSE())&amp;Char(10) &amp; Char(10) &amp; VLOOKUP(A590,Internal_lists_bugs!$A$2:$Z$73,26,FALSE())),"please select a BUG ID")</f>
        <v>https://github.com/elastic/elasticsearch/issues/864
/ElasticSearchIllegalArgumentException.java
/alias/RestIndicesAliasesAction.java</v>
      </c>
      <c r="C590" s="81" t="str">
        <f>IFERROR(SUBSTITUTE(VLOOKUP(A590,Internal_lists_bugs!$A$2:$G2031,7,FALSE()),"/commit/","/tree/"),"please select a BUG ID")</f>
        <v>https://github.com/elastic/elasticsearch/tree/8f32467</v>
      </c>
      <c r="D590" s="16" t="s">
        <v>4973</v>
      </c>
      <c r="E590" s="16" t="s">
        <v>5005</v>
      </c>
      <c r="F590" s="54"/>
      <c r="H590" s="112" t="s">
        <v>4975</v>
      </c>
      <c r="J590" s="183" t="str">
        <f>IFERROR(VLOOKUP(A590,Internal_lists_bugs!$A$2:$I2031,9,FALSE()),"please select a BUG ID")</f>
        <v>No information available</v>
      </c>
    </row>
    <row r="591">
      <c r="A591" s="1" t="s">
        <v>66</v>
      </c>
      <c r="B591" s="50" t="str">
        <f>IFERROR(HYPERLINK(VLOOKUP(A591,Internal_lists_bugs!$A$2:$C$73,3,FALSE()), VLOOKUP(A591,Internal_lists_bugs!$A$2:$C$73,3,FALSE())&amp;Char(10) &amp; Char(10) &amp; VLOOKUP(A591,Internal_lists_bugs!$A$2:$Z$73,26,FALSE())),"please select a BUG ID")</f>
        <v>https://github.com/elastic/elasticsearch/issues/864
/ElasticSearchIllegalArgumentException.java
/alias/RestIndicesAliasesAction.java</v>
      </c>
      <c r="C591" s="81" t="str">
        <f>IFERROR(SUBSTITUTE(VLOOKUP(A591,Internal_lists_bugs!$A$2:$G2031,7,FALSE()),"/commit/","/tree/"),"please select a BUG ID")</f>
        <v>https://github.com/elastic/elasticsearch/tree/8f32467</v>
      </c>
      <c r="D591" s="16" t="s">
        <v>4976</v>
      </c>
      <c r="E591" s="16" t="s">
        <v>4977</v>
      </c>
      <c r="F591" s="54"/>
      <c r="H591" s="112" t="s">
        <v>4708</v>
      </c>
      <c r="J591" s="183" t="str">
        <f>IFERROR(VLOOKUP(A591,Internal_lists_bugs!$A$2:$I2031,9,FALSE()),"please select a BUG ID")</f>
        <v>No information available</v>
      </c>
    </row>
    <row r="592">
      <c r="A592" s="1" t="s">
        <v>66</v>
      </c>
      <c r="B592" s="50" t="str">
        <f>IFERROR(HYPERLINK(VLOOKUP(A592,Internal_lists_bugs!$A$2:$C$73,3,FALSE()), VLOOKUP(A592,Internal_lists_bugs!$A$2:$C$73,3,FALSE())&amp;Char(10) &amp; Char(10) &amp; VLOOKUP(A592,Internal_lists_bugs!$A$2:$Z$73,26,FALSE())),"please select a BUG ID")</f>
        <v>https://github.com/elastic/elasticsearch/issues/864
/ElasticSearchIllegalArgumentException.java
/alias/RestIndicesAliasesAction.java</v>
      </c>
      <c r="C592" s="81" t="str">
        <f>IFERROR(SUBSTITUTE(VLOOKUP(A592,Internal_lists_bugs!$A$2:$G2031,7,FALSE()),"/commit/","/tree/"),"please select a BUG ID")</f>
        <v>https://github.com/elastic/elasticsearch/tree/8f32467</v>
      </c>
      <c r="D592" s="16" t="s">
        <v>4978</v>
      </c>
      <c r="E592" s="16" t="s">
        <v>4979</v>
      </c>
      <c r="F592" s="54"/>
      <c r="H592" s="112" t="s">
        <v>4684</v>
      </c>
      <c r="J592" s="183" t="str">
        <f>IFERROR(VLOOKUP(A592,Internal_lists_bugs!$A$2:$I2031,9,FALSE()),"please select a BUG ID")</f>
        <v>No information available</v>
      </c>
    </row>
    <row r="593">
      <c r="A593" s="1" t="s">
        <v>66</v>
      </c>
      <c r="B593" s="50" t="str">
        <f>IFERROR(HYPERLINK(VLOOKUP(A593,Internal_lists_bugs!$A$2:$C$73,3,FALSE()), VLOOKUP(A593,Internal_lists_bugs!$A$2:$C$73,3,FALSE())&amp;Char(10) &amp; Char(10) &amp; VLOOKUP(A593,Internal_lists_bugs!$A$2:$Z$73,26,FALSE())),"please select a BUG ID")</f>
        <v>https://github.com/elastic/elasticsearch/issues/864
/ElasticSearchIllegalArgumentException.java
/alias/RestIndicesAliasesAction.java</v>
      </c>
      <c r="C593" s="81" t="str">
        <f>IFERROR(SUBSTITUTE(VLOOKUP(A593,Internal_lists_bugs!$A$2:$G2031,7,FALSE()),"/commit/","/tree/"),"please select a BUG ID")</f>
        <v>https://github.com/elastic/elasticsearch/tree/8f32467</v>
      </c>
      <c r="D593" s="16" t="s">
        <v>4982</v>
      </c>
      <c r="E593" s="16" t="s">
        <v>4979</v>
      </c>
      <c r="F593" s="54"/>
      <c r="J593" s="183" t="str">
        <f>IFERROR(VLOOKUP(A593,Internal_lists_bugs!$A$2:$I2031,9,FALSE()),"please select a BUG ID")</f>
        <v>No information available</v>
      </c>
    </row>
    <row r="594">
      <c r="A594" s="1" t="s">
        <v>66</v>
      </c>
      <c r="B594" s="50" t="str">
        <f>IFERROR(HYPERLINK(VLOOKUP(A594,Internal_lists_bugs!$A$2:$C$73,3,FALSE()), VLOOKUP(A594,Internal_lists_bugs!$A$2:$C$73,3,FALSE())&amp;Char(10) &amp; Char(10) &amp; VLOOKUP(A594,Internal_lists_bugs!$A$2:$Z$73,26,FALSE())),"please select a BUG ID")</f>
        <v>https://github.com/elastic/elasticsearch/issues/864
/ElasticSearchIllegalArgumentException.java
/alias/RestIndicesAliasesAction.java</v>
      </c>
      <c r="C594" s="81" t="str">
        <f>IFERROR(SUBSTITUTE(VLOOKUP(A594,Internal_lists_bugs!$A$2:$G2031,7,FALSE()),"/commit/","/tree/"),"please select a BUG ID")</f>
        <v>https://github.com/elastic/elasticsearch/tree/8f32467</v>
      </c>
      <c r="D594" s="16" t="s">
        <v>4983</v>
      </c>
      <c r="E594" s="16" t="s">
        <v>4984</v>
      </c>
      <c r="F594" s="54"/>
      <c r="J594" s="183" t="str">
        <f>IFERROR(VLOOKUP(A594,Internal_lists_bugs!$A$2:$I2031,9,FALSE()),"please select a BUG ID")</f>
        <v>No information available</v>
      </c>
    </row>
    <row r="595">
      <c r="A595" s="1" t="s">
        <v>66</v>
      </c>
      <c r="B595" s="50" t="str">
        <f>IFERROR(HYPERLINK(VLOOKUP(A595,Internal_lists_bugs!$A$2:$C$73,3,FALSE()), VLOOKUP(A595,Internal_lists_bugs!$A$2:$C$73,3,FALSE())&amp;Char(10) &amp; Char(10) &amp; VLOOKUP(A595,Internal_lists_bugs!$A$2:$Z$73,26,FALSE())),"please select a BUG ID")</f>
        <v>https://github.com/elastic/elasticsearch/issues/864
/ElasticSearchIllegalArgumentException.java
/alias/RestIndicesAliasesAction.java</v>
      </c>
      <c r="C595" s="81" t="str">
        <f>IFERROR(SUBSTITUTE(VLOOKUP(A595,Internal_lists_bugs!$A$2:$G2031,7,FALSE()),"/commit/","/tree/"),"please select a BUG ID")</f>
        <v>https://github.com/elastic/elasticsearch/tree/8f32467</v>
      </c>
      <c r="D595" s="16" t="s">
        <v>4985</v>
      </c>
      <c r="E595" s="16" t="s">
        <v>4996</v>
      </c>
      <c r="F595" s="54"/>
      <c r="H595" s="114"/>
      <c r="J595" s="183" t="str">
        <f>IFERROR(VLOOKUP(A595,Internal_lists_bugs!$A$2:$I2031,9,FALSE()),"please select a BUG ID")</f>
        <v>No information available</v>
      </c>
    </row>
    <row r="596">
      <c r="A596" s="1" t="s">
        <v>66</v>
      </c>
      <c r="B596" s="50" t="str">
        <f>IFERROR(HYPERLINK(VLOOKUP(A596,Internal_lists_bugs!$A$2:$C$73,3,FALSE()), VLOOKUP(A596,Internal_lists_bugs!$A$2:$C$73,3,FALSE())&amp;Char(10) &amp; Char(10) &amp; VLOOKUP(A596,Internal_lists_bugs!$A$2:$Z$73,26,FALSE())),"please select a BUG ID")</f>
        <v>https://github.com/elastic/elasticsearch/issues/864
/ElasticSearchIllegalArgumentException.java
/alias/RestIndicesAliasesAction.java</v>
      </c>
      <c r="C596" s="81" t="str">
        <f>IFERROR(SUBSTITUTE(VLOOKUP(A596,Internal_lists_bugs!$A$2:$G2031,7,FALSE()),"/commit/","/tree/"),"please select a BUG ID")</f>
        <v>https://github.com/elastic/elasticsearch/tree/8f32467</v>
      </c>
      <c r="D596" s="16" t="s">
        <v>4987</v>
      </c>
      <c r="E596" s="16" t="s">
        <v>4997</v>
      </c>
      <c r="F596" s="54"/>
      <c r="H596" s="114"/>
      <c r="J596" s="183" t="str">
        <f>IFERROR(VLOOKUP(A596,Internal_lists_bugs!$A$2:$I2031,9,FALSE()),"please select a BUG ID")</f>
        <v>No information available</v>
      </c>
    </row>
    <row r="597">
      <c r="A597" s="1" t="s">
        <v>66</v>
      </c>
      <c r="B597" s="50" t="str">
        <f>IFERROR(HYPERLINK(VLOOKUP(A597,Internal_lists_bugs!$A$2:$C$73,3,FALSE()), VLOOKUP(A597,Internal_lists_bugs!$A$2:$C$73,3,FALSE())&amp;Char(10) &amp; Char(10) &amp; VLOOKUP(A597,Internal_lists_bugs!$A$2:$Z$73,26,FALSE())),"please select a BUG ID")</f>
        <v>https://github.com/elastic/elasticsearch/issues/864
/ElasticSearchIllegalArgumentException.java
/alias/RestIndicesAliasesAction.java</v>
      </c>
      <c r="C597" s="81" t="str">
        <f>IFERROR(SUBSTITUTE(VLOOKUP(A597,Internal_lists_bugs!$A$2:$G2031,7,FALSE()),"/commit/","/tree/"),"please select a BUG ID")</f>
        <v>https://github.com/elastic/elasticsearch/tree/8f32467</v>
      </c>
      <c r="D597" s="16" t="s">
        <v>4989</v>
      </c>
      <c r="F597" s="54"/>
      <c r="H597" s="114"/>
      <c r="J597" s="183" t="str">
        <f>IFERROR(VLOOKUP(A597,Internal_lists_bugs!$A$2:$I2031,9,FALSE()),"please select a BUG ID")</f>
        <v>No information available</v>
      </c>
    </row>
    <row r="598">
      <c r="A598" s="1" t="s">
        <v>72</v>
      </c>
      <c r="B598" s="50" t="str">
        <f>IFERROR(HYPERLINK(VLOOKUP(A598,Internal_lists_bugs!$A$2:$C$73,3,FALSE()), VLOOKUP(A598,Internal_lists_bugs!$A$2:$C$73,3,FALSE())&amp;Char(10) &amp; Char(10) &amp; VLOOKUP(A598,Internal_lists_bugs!$A$2:$Z$73,26,FALSE())),"please select a BUG ID")</f>
        <v>https://github.com/elastic/elasticsearch/issues/1134
/network/NetworkService.java</v>
      </c>
      <c r="C598" s="81" t="str">
        <f>IFERROR(SUBSTITUTE(VLOOKUP(A598,Internal_lists_bugs!$A$2:$G2031,7,FALSE()),"/commit/","/tree/"),"please select a BUG ID")</f>
        <v>https://github.com/elastic/elasticsearch/tree/61ad8b6</v>
      </c>
      <c r="D598" s="16" t="s">
        <v>4962</v>
      </c>
      <c r="E598" s="16" t="s">
        <v>4963</v>
      </c>
      <c r="F598" s="16" t="s">
        <v>4724</v>
      </c>
      <c r="G598" s="202" t="s">
        <v>4992</v>
      </c>
      <c r="H598" s="112" t="s">
        <v>4965</v>
      </c>
      <c r="J598" s="183" t="str">
        <f>IFERROR(VLOOKUP(A598,Internal_lists_bugs!$A$2:$I2031,9,FALSE()),"please select a BUG ID")</f>
        <v>No information available</v>
      </c>
    </row>
    <row r="599">
      <c r="A599" s="1" t="s">
        <v>72</v>
      </c>
      <c r="B599" s="50" t="str">
        <f>IFERROR(HYPERLINK(VLOOKUP(A599,Internal_lists_bugs!$A$2:$C$73,3,FALSE()), VLOOKUP(A599,Internal_lists_bugs!$A$2:$C$73,3,FALSE())&amp;Char(10) &amp; Char(10) &amp; VLOOKUP(A599,Internal_lists_bugs!$A$2:$Z$73,26,FALSE())),"please select a BUG ID")</f>
        <v>https://github.com/elastic/elasticsearch/issues/1134
/network/NetworkService.java</v>
      </c>
      <c r="C599" s="81" t="str">
        <f>IFERROR(SUBSTITUTE(VLOOKUP(A599,Internal_lists_bugs!$A$2:$G2031,7,FALSE()),"/commit/","/tree/"),"please select a BUG ID")</f>
        <v>https://github.com/elastic/elasticsearch/tree/61ad8b6</v>
      </c>
      <c r="D599" s="16" t="s">
        <v>4966</v>
      </c>
      <c r="E599" s="16" t="s">
        <v>4967</v>
      </c>
      <c r="F599" s="54"/>
      <c r="H599" s="112" t="s">
        <v>4818</v>
      </c>
      <c r="J599" s="183" t="str">
        <f>IFERROR(VLOOKUP(A599,Internal_lists_bugs!$A$2:$I2031,9,FALSE()),"please select a BUG ID")</f>
        <v>No information available</v>
      </c>
    </row>
    <row r="600">
      <c r="A600" s="1" t="s">
        <v>72</v>
      </c>
      <c r="B600" s="50" t="str">
        <f>IFERROR(HYPERLINK(VLOOKUP(A600,Internal_lists_bugs!$A$2:$C$73,3,FALSE()), VLOOKUP(A600,Internal_lists_bugs!$A$2:$C$73,3,FALSE())&amp;Char(10) &amp; Char(10) &amp; VLOOKUP(A600,Internal_lists_bugs!$A$2:$Z$73,26,FALSE())),"please select a BUG ID")</f>
        <v>https://github.com/elastic/elasticsearch/issues/1134
/network/NetworkService.java</v>
      </c>
      <c r="C600" s="81" t="str">
        <f>IFERROR(SUBSTITUTE(VLOOKUP(A600,Internal_lists_bugs!$A$2:$G2031,7,FALSE()),"/commit/","/tree/"),"please select a BUG ID")</f>
        <v>https://github.com/elastic/elasticsearch/tree/61ad8b6</v>
      </c>
      <c r="D600" s="16" t="s">
        <v>4970</v>
      </c>
      <c r="E600" s="16" t="s">
        <v>4969</v>
      </c>
      <c r="F600" s="54"/>
      <c r="H600" s="112" t="s">
        <v>4708</v>
      </c>
      <c r="I600" s="16" t="s">
        <v>4972</v>
      </c>
      <c r="J600" s="183" t="str">
        <f>IFERROR(VLOOKUP(A600,Internal_lists_bugs!$A$2:$I2031,9,FALSE()),"please select a BUG ID")</f>
        <v>No information available</v>
      </c>
    </row>
    <row r="601">
      <c r="A601" s="1" t="s">
        <v>72</v>
      </c>
      <c r="B601" s="50" t="str">
        <f>IFERROR(HYPERLINK(VLOOKUP(A601,Internal_lists_bugs!$A$2:$C$73,3,FALSE()), VLOOKUP(A601,Internal_lists_bugs!$A$2:$C$73,3,FALSE())&amp;Char(10) &amp; Char(10) &amp; VLOOKUP(A601,Internal_lists_bugs!$A$2:$Z$73,26,FALSE())),"please select a BUG ID")</f>
        <v>https://github.com/elastic/elasticsearch/issues/1134
/network/NetworkService.java</v>
      </c>
      <c r="C601" s="81" t="str">
        <f>IFERROR(SUBSTITUTE(VLOOKUP(A601,Internal_lists_bugs!$A$2:$G2031,7,FALSE()),"/commit/","/tree/"),"please select a BUG ID")</f>
        <v>https://github.com/elastic/elasticsearch/tree/61ad8b6</v>
      </c>
      <c r="D601" s="16" t="s">
        <v>4973</v>
      </c>
      <c r="E601" s="16" t="s">
        <v>5005</v>
      </c>
      <c r="F601" s="54"/>
      <c r="H601" s="112" t="s">
        <v>4971</v>
      </c>
      <c r="J601" s="183" t="str">
        <f>IFERROR(VLOOKUP(A601,Internal_lists_bugs!$A$2:$I2031,9,FALSE()),"please select a BUG ID")</f>
        <v>No information available</v>
      </c>
    </row>
    <row r="602">
      <c r="A602" s="1" t="s">
        <v>72</v>
      </c>
      <c r="B602" s="50" t="str">
        <f>IFERROR(HYPERLINK(VLOOKUP(A602,Internal_lists_bugs!$A$2:$C$73,3,FALSE()), VLOOKUP(A602,Internal_lists_bugs!$A$2:$C$73,3,FALSE())&amp;Char(10) &amp; Char(10) &amp; VLOOKUP(A602,Internal_lists_bugs!$A$2:$Z$73,26,FALSE())),"please select a BUG ID")</f>
        <v>https://github.com/elastic/elasticsearch/issues/1134
/network/NetworkService.java</v>
      </c>
      <c r="C602" s="81" t="str">
        <f>IFERROR(SUBSTITUTE(VLOOKUP(A602,Internal_lists_bugs!$A$2:$G2031,7,FALSE()),"/commit/","/tree/"),"please select a BUG ID")</f>
        <v>https://github.com/elastic/elasticsearch/tree/61ad8b6</v>
      </c>
      <c r="D602" s="16" t="s">
        <v>4976</v>
      </c>
      <c r="E602" s="16" t="s">
        <v>4977</v>
      </c>
      <c r="F602" s="54"/>
      <c r="H602" s="112" t="s">
        <v>4975</v>
      </c>
      <c r="J602" s="183" t="str">
        <f>IFERROR(VLOOKUP(A602,Internal_lists_bugs!$A$2:$I2031,9,FALSE()),"please select a BUG ID")</f>
        <v>No information available</v>
      </c>
    </row>
    <row r="603">
      <c r="A603" s="1" t="s">
        <v>72</v>
      </c>
      <c r="B603" s="50" t="str">
        <f>IFERROR(HYPERLINK(VLOOKUP(A603,Internal_lists_bugs!$A$2:$C$73,3,FALSE()), VLOOKUP(A603,Internal_lists_bugs!$A$2:$C$73,3,FALSE())&amp;Char(10) &amp; Char(10) &amp; VLOOKUP(A603,Internal_lists_bugs!$A$2:$Z$73,26,FALSE())),"please select a BUG ID")</f>
        <v>https://github.com/elastic/elasticsearch/issues/1134
/network/NetworkService.java</v>
      </c>
      <c r="C603" s="81" t="str">
        <f>IFERROR(SUBSTITUTE(VLOOKUP(A603,Internal_lists_bugs!$A$2:$G2031,7,FALSE()),"/commit/","/tree/"),"please select a BUG ID")</f>
        <v>https://github.com/elastic/elasticsearch/tree/61ad8b6</v>
      </c>
      <c r="D603" s="16" t="s">
        <v>4978</v>
      </c>
      <c r="E603" s="16" t="s">
        <v>4979</v>
      </c>
      <c r="F603" s="54"/>
      <c r="H603" s="112" t="s">
        <v>4993</v>
      </c>
      <c r="J603" s="183" t="str">
        <f>IFERROR(VLOOKUP(A603,Internal_lists_bugs!$A$2:$I2031,9,FALSE()),"please select a BUG ID")</f>
        <v>No information available</v>
      </c>
    </row>
    <row r="604">
      <c r="A604" s="1" t="s">
        <v>72</v>
      </c>
      <c r="B604" s="50" t="str">
        <f>IFERROR(HYPERLINK(VLOOKUP(A604,Internal_lists_bugs!$A$2:$C$73,3,FALSE()), VLOOKUP(A604,Internal_lists_bugs!$A$2:$C$73,3,FALSE())&amp;Char(10) &amp; Char(10) &amp; VLOOKUP(A604,Internal_lists_bugs!$A$2:$Z$73,26,FALSE())),"please select a BUG ID")</f>
        <v>https://github.com/elastic/elasticsearch/issues/1134
/network/NetworkService.java</v>
      </c>
      <c r="C604" s="81" t="str">
        <f>IFERROR(SUBSTITUTE(VLOOKUP(A604,Internal_lists_bugs!$A$2:$G2031,7,FALSE()),"/commit/","/tree/"),"please select a BUG ID")</f>
        <v>https://github.com/elastic/elasticsearch/tree/61ad8b6</v>
      </c>
      <c r="D604" s="16" t="s">
        <v>4982</v>
      </c>
      <c r="E604" s="16" t="s">
        <v>4979</v>
      </c>
      <c r="F604" s="54"/>
      <c r="H604" s="112" t="s">
        <v>4684</v>
      </c>
      <c r="J604" s="183" t="str">
        <f>IFERROR(VLOOKUP(A604,Internal_lists_bugs!$A$2:$I2031,9,FALSE()),"please select a BUG ID")</f>
        <v>No information available</v>
      </c>
    </row>
    <row r="605">
      <c r="A605" s="1" t="s">
        <v>72</v>
      </c>
      <c r="B605" s="50" t="str">
        <f>IFERROR(HYPERLINK(VLOOKUP(A605,Internal_lists_bugs!$A$2:$C$73,3,FALSE()), VLOOKUP(A605,Internal_lists_bugs!$A$2:$C$73,3,FALSE())&amp;Char(10) &amp; Char(10) &amp; VLOOKUP(A605,Internal_lists_bugs!$A$2:$Z$73,26,FALSE())),"please select a BUG ID")</f>
        <v>https://github.com/elastic/elasticsearch/issues/1134
/network/NetworkService.java</v>
      </c>
      <c r="C605" s="81" t="str">
        <f>IFERROR(SUBSTITUTE(VLOOKUP(A605,Internal_lists_bugs!$A$2:$G2031,7,FALSE()),"/commit/","/tree/"),"please select a BUG ID")</f>
        <v>https://github.com/elastic/elasticsearch/tree/61ad8b6</v>
      </c>
      <c r="D605" s="16" t="s">
        <v>4983</v>
      </c>
      <c r="E605" s="16" t="s">
        <v>4984</v>
      </c>
      <c r="F605" s="54"/>
      <c r="H605" s="112" t="s">
        <v>4994</v>
      </c>
      <c r="I605" s="16" t="s">
        <v>4995</v>
      </c>
      <c r="J605" s="183" t="str">
        <f>IFERROR(VLOOKUP(A605,Internal_lists_bugs!$A$2:$I2031,9,FALSE()),"please select a BUG ID")</f>
        <v>No information available</v>
      </c>
    </row>
    <row r="606">
      <c r="A606" s="1" t="s">
        <v>72</v>
      </c>
      <c r="B606" s="50" t="str">
        <f>IFERROR(HYPERLINK(VLOOKUP(A606,Internal_lists_bugs!$A$2:$C$73,3,FALSE()), VLOOKUP(A606,Internal_lists_bugs!$A$2:$C$73,3,FALSE())&amp;Char(10) &amp; Char(10) &amp; VLOOKUP(A606,Internal_lists_bugs!$A$2:$Z$73,26,FALSE())),"please select a BUG ID")</f>
        <v>https://github.com/elastic/elasticsearch/issues/1134
/network/NetworkService.java</v>
      </c>
      <c r="C606" s="81" t="str">
        <f>IFERROR(SUBSTITUTE(VLOOKUP(A606,Internal_lists_bugs!$A$2:$G2031,7,FALSE()),"/commit/","/tree/"),"please select a BUG ID")</f>
        <v>https://github.com/elastic/elasticsearch/tree/61ad8b6</v>
      </c>
      <c r="D606" s="16" t="s">
        <v>4985</v>
      </c>
      <c r="E606" s="16" t="s">
        <v>4996</v>
      </c>
      <c r="F606" s="54"/>
      <c r="H606" s="112" t="s">
        <v>4980</v>
      </c>
      <c r="I606" s="16" t="s">
        <v>4981</v>
      </c>
      <c r="J606" s="183" t="str">
        <f>IFERROR(VLOOKUP(A606,Internal_lists_bugs!$A$2:$I2031,9,FALSE()),"please select a BUG ID")</f>
        <v>No information available</v>
      </c>
    </row>
    <row r="607">
      <c r="A607" s="1" t="s">
        <v>72</v>
      </c>
      <c r="B607" s="50" t="str">
        <f>IFERROR(HYPERLINK(VLOOKUP(A607,Internal_lists_bugs!$A$2:$C$73,3,FALSE()), VLOOKUP(A607,Internal_lists_bugs!$A$2:$C$73,3,FALSE())&amp;Char(10) &amp; Char(10) &amp; VLOOKUP(A607,Internal_lists_bugs!$A$2:$Z$73,26,FALSE())),"please select a BUG ID")</f>
        <v>https://github.com/elastic/elasticsearch/issues/1134
/network/NetworkService.java</v>
      </c>
      <c r="C607" s="81" t="str">
        <f>IFERROR(SUBSTITUTE(VLOOKUP(A607,Internal_lists_bugs!$A$2:$G2031,7,FALSE()),"/commit/","/tree/"),"please select a BUG ID")</f>
        <v>https://github.com/elastic/elasticsearch/tree/61ad8b6</v>
      </c>
      <c r="D607" s="16" t="s">
        <v>4998</v>
      </c>
      <c r="E607" s="16" t="s">
        <v>4977</v>
      </c>
      <c r="F607" s="54"/>
      <c r="H607" s="114"/>
      <c r="J607" s="183" t="str">
        <f>IFERROR(VLOOKUP(A607,Internal_lists_bugs!$A$2:$I2031,9,FALSE()),"please select a BUG ID")</f>
        <v>No information available</v>
      </c>
    </row>
    <row r="608">
      <c r="A608" s="1" t="s">
        <v>72</v>
      </c>
      <c r="B608" s="50" t="str">
        <f>IFERROR(HYPERLINK(VLOOKUP(A608,Internal_lists_bugs!$A$2:$C$73,3,FALSE()), VLOOKUP(A608,Internal_lists_bugs!$A$2:$C$73,3,FALSE())&amp;Char(10) &amp; Char(10) &amp; VLOOKUP(A608,Internal_lists_bugs!$A$2:$Z$73,26,FALSE())),"please select a BUG ID")</f>
        <v>https://github.com/elastic/elasticsearch/issues/1134
/network/NetworkService.java</v>
      </c>
      <c r="C608" s="81" t="str">
        <f>IFERROR(SUBSTITUTE(VLOOKUP(A608,Internal_lists_bugs!$A$2:$G2031,7,FALSE()),"/commit/","/tree/"),"please select a BUG ID")</f>
        <v>https://github.com/elastic/elasticsearch/tree/61ad8b6</v>
      </c>
      <c r="D608" s="16" t="s">
        <v>4968</v>
      </c>
      <c r="E608" s="16" t="s">
        <v>5006</v>
      </c>
      <c r="F608" s="54"/>
      <c r="H608" s="114"/>
      <c r="J608" s="183" t="str">
        <f>IFERROR(VLOOKUP(A608,Internal_lists_bugs!$A$2:$I2031,9,FALSE()),"please select a BUG ID")</f>
        <v>No information available</v>
      </c>
    </row>
    <row r="609">
      <c r="A609" s="1" t="s">
        <v>72</v>
      </c>
      <c r="B609" s="50" t="str">
        <f>IFERROR(HYPERLINK(VLOOKUP(A609,Internal_lists_bugs!$A$2:$C$73,3,FALSE()), VLOOKUP(A609,Internal_lists_bugs!$A$2:$C$73,3,FALSE())&amp;Char(10) &amp; Char(10) &amp; VLOOKUP(A609,Internal_lists_bugs!$A$2:$Z$73,26,FALSE())),"please select a BUG ID")</f>
        <v>https://github.com/elastic/elasticsearch/issues/1134
/network/NetworkService.java</v>
      </c>
      <c r="C609" s="81" t="str">
        <f>IFERROR(SUBSTITUTE(VLOOKUP(A609,Internal_lists_bugs!$A$2:$G2031,7,FALSE()),"/commit/","/tree/"),"please select a BUG ID")</f>
        <v>https://github.com/elastic/elasticsearch/tree/61ad8b6</v>
      </c>
      <c r="D609" s="16" t="s">
        <v>5007</v>
      </c>
      <c r="E609" s="16" t="s">
        <v>5006</v>
      </c>
      <c r="F609" s="54"/>
      <c r="H609" s="114"/>
      <c r="J609" s="183" t="str">
        <f>IFERROR(VLOOKUP(A609,Internal_lists_bugs!$A$2:$I2031,9,FALSE()),"please select a BUG ID")</f>
        <v>No information available</v>
      </c>
    </row>
    <row r="610">
      <c r="A610" s="1" t="s">
        <v>72</v>
      </c>
      <c r="B610" s="50" t="str">
        <f>IFERROR(HYPERLINK(VLOOKUP(A610,Internal_lists_bugs!$A$2:$C$73,3,FALSE()), VLOOKUP(A610,Internal_lists_bugs!$A$2:$C$73,3,FALSE())&amp;Char(10) &amp; Char(10) &amp; VLOOKUP(A610,Internal_lists_bugs!$A$2:$Z$73,26,FALSE())),"please select a BUG ID")</f>
        <v>https://github.com/elastic/elasticsearch/issues/1134
/network/NetworkService.java</v>
      </c>
      <c r="C610" s="81" t="str">
        <f>IFERROR(SUBSTITUTE(VLOOKUP(A610,Internal_lists_bugs!$A$2:$G2031,7,FALSE()),"/commit/","/tree/"),"please select a BUG ID")</f>
        <v>https://github.com/elastic/elasticsearch/tree/61ad8b6</v>
      </c>
      <c r="D610" s="16" t="s">
        <v>5008</v>
      </c>
      <c r="E610" s="16" t="s">
        <v>5006</v>
      </c>
      <c r="F610" s="54"/>
      <c r="H610" s="114"/>
      <c r="J610" s="183" t="str">
        <f>IFERROR(VLOOKUP(A610,Internal_lists_bugs!$A$2:$I2031,9,FALSE()),"please select a BUG ID")</f>
        <v>No information available</v>
      </c>
    </row>
    <row r="611">
      <c r="A611" s="1" t="s">
        <v>72</v>
      </c>
      <c r="B611" s="50" t="str">
        <f>IFERROR(HYPERLINK(VLOOKUP(A611,Internal_lists_bugs!$A$2:$C$73,3,FALSE()), VLOOKUP(A611,Internal_lists_bugs!$A$2:$C$73,3,FALSE())&amp;Char(10) &amp; Char(10) &amp; VLOOKUP(A611,Internal_lists_bugs!$A$2:$Z$73,26,FALSE())),"please select a BUG ID")</f>
        <v>https://github.com/elastic/elasticsearch/issues/1134
/network/NetworkService.java</v>
      </c>
      <c r="C611" s="81" t="str">
        <f>IFERROR(SUBSTITUTE(VLOOKUP(A611,Internal_lists_bugs!$A$2:$G2031,7,FALSE()),"/commit/","/tree/"),"please select a BUG ID")</f>
        <v>https://github.com/elastic/elasticsearch/tree/61ad8b6</v>
      </c>
      <c r="D611" s="16" t="s">
        <v>5000</v>
      </c>
      <c r="E611" s="16" t="s">
        <v>5006</v>
      </c>
      <c r="F611" s="54"/>
      <c r="H611" s="114"/>
      <c r="J611" s="183" t="str">
        <f>IFERROR(VLOOKUP(A611,Internal_lists_bugs!$A$2:$I2031,9,FALSE()),"please select a BUG ID")</f>
        <v>No information available</v>
      </c>
    </row>
    <row r="612">
      <c r="A612" s="1" t="s">
        <v>72</v>
      </c>
      <c r="B612" s="50" t="str">
        <f>IFERROR(HYPERLINK(VLOOKUP(A612,Internal_lists_bugs!$A$2:$C$73,3,FALSE()), VLOOKUP(A612,Internal_lists_bugs!$A$2:$C$73,3,FALSE())&amp;Char(10) &amp; Char(10) &amp; VLOOKUP(A612,Internal_lists_bugs!$A$2:$Z$73,26,FALSE())),"please select a BUG ID")</f>
        <v>https://github.com/elastic/elasticsearch/issues/1134
/network/NetworkService.java</v>
      </c>
      <c r="C612" s="81" t="str">
        <f>IFERROR(SUBSTITUTE(VLOOKUP(A612,Internal_lists_bugs!$A$2:$G2031,7,FALSE()),"/commit/","/tree/"),"please select a BUG ID")</f>
        <v>https://github.com/elastic/elasticsearch/tree/61ad8b6</v>
      </c>
      <c r="D612" s="16" t="s">
        <v>5001</v>
      </c>
      <c r="E612" s="16" t="s">
        <v>5006</v>
      </c>
      <c r="F612" s="54"/>
      <c r="H612" s="114"/>
      <c r="J612" s="183" t="str">
        <f>IFERROR(VLOOKUP(A612,Internal_lists_bugs!$A$2:$I2031,9,FALSE()),"please select a BUG ID")</f>
        <v>No information available</v>
      </c>
    </row>
    <row r="613">
      <c r="A613" s="1" t="s">
        <v>72</v>
      </c>
      <c r="B613" s="50" t="str">
        <f>IFERROR(HYPERLINK(VLOOKUP(A613,Internal_lists_bugs!$A$2:$C$73,3,FALSE()), VLOOKUP(A613,Internal_lists_bugs!$A$2:$C$73,3,FALSE())&amp;Char(10) &amp; Char(10) &amp; VLOOKUP(A613,Internal_lists_bugs!$A$2:$Z$73,26,FALSE())),"please select a BUG ID")</f>
        <v>https://github.com/elastic/elasticsearch/issues/1134
/network/NetworkService.java</v>
      </c>
      <c r="C613" s="81" t="str">
        <f>IFERROR(SUBSTITUTE(VLOOKUP(A613,Internal_lists_bugs!$A$2:$G2031,7,FALSE()),"/commit/","/tree/"),"please select a BUG ID")</f>
        <v>https://github.com/elastic/elasticsearch/tree/61ad8b6</v>
      </c>
      <c r="D613" s="16" t="s">
        <v>4989</v>
      </c>
      <c r="F613" s="54"/>
      <c r="H613" s="114"/>
      <c r="J613" s="183" t="str">
        <f>IFERROR(VLOOKUP(A613,Internal_lists_bugs!$A$2:$I2031,9,FALSE()),"please select a BUG ID")</f>
        <v>No information available</v>
      </c>
    </row>
    <row r="614">
      <c r="A614" s="1" t="s">
        <v>97</v>
      </c>
      <c r="B614" s="50" t="str">
        <f>IFERROR(HYPERLINK(VLOOKUP(A614,Internal_lists_bugs!$A$2:$C$73,3,FALSE()), VLOOKUP(A614,Internal_lists_bugs!$A$2:$C$73,3,FALSE())&amp;Char(10) &amp; Char(10) &amp; VLOOKUP(A614,Internal_lists_bugs!$A$2:$Z$73,26,FALSE())),"please select a BUG ID")</f>
        <v>https://github.com/elastic/elasticsearch/issues/1154
/RestSearchScrollAction.java 
/search/SearchOperationThreading.java
/search/RestSearchAction.java</v>
      </c>
      <c r="C614" s="81" t="str">
        <f>IFERROR(SUBSTITUTE(VLOOKUP(A614,Internal_lists_bugs!$A$2:$G2031,7,FALSE()),"/commit/","/tree/"),"please select a BUG ID")</f>
        <v>https://github.com/elastic/elasticsearch/tree/b3337c3</v>
      </c>
      <c r="D614" s="16" t="s">
        <v>4962</v>
      </c>
      <c r="E614" s="16" t="s">
        <v>4963</v>
      </c>
      <c r="F614" s="16" t="s">
        <v>4682</v>
      </c>
      <c r="H614" s="112" t="s">
        <v>4965</v>
      </c>
      <c r="J614" s="183" t="str">
        <f>IFERROR(VLOOKUP(A614,Internal_lists_bugs!$A$2:$I2031,9,FALSE()),"please select a BUG ID")</f>
        <v>No information available</v>
      </c>
    </row>
    <row r="615">
      <c r="A615" s="1" t="s">
        <v>97</v>
      </c>
      <c r="B615" s="50" t="str">
        <f>IFERROR(HYPERLINK(VLOOKUP(A615,Internal_lists_bugs!$A$2:$C$73,3,FALSE()), VLOOKUP(A615,Internal_lists_bugs!$A$2:$C$73,3,FALSE())&amp;Char(10) &amp; Char(10) &amp; VLOOKUP(A615,Internal_lists_bugs!$A$2:$Z$73,26,FALSE())),"please select a BUG ID")</f>
        <v>https://github.com/elastic/elasticsearch/issues/1154
/RestSearchScrollAction.java 
/search/SearchOperationThreading.java
/search/RestSearchAction.java</v>
      </c>
      <c r="C615" s="81" t="str">
        <f>IFERROR(SUBSTITUTE(VLOOKUP(A615,Internal_lists_bugs!$A$2:$G2031,7,FALSE()),"/commit/","/tree/"),"please select a BUG ID")</f>
        <v>https://github.com/elastic/elasticsearch/tree/b3337c3</v>
      </c>
      <c r="D615" s="16" t="s">
        <v>4966</v>
      </c>
      <c r="E615" s="16" t="s">
        <v>4967</v>
      </c>
      <c r="F615" s="54"/>
      <c r="H615" s="112" t="s">
        <v>4818</v>
      </c>
      <c r="J615" s="183" t="str">
        <f>IFERROR(VLOOKUP(A615,Internal_lists_bugs!$A$2:$I2031,9,FALSE()),"please select a BUG ID")</f>
        <v>No information available</v>
      </c>
    </row>
    <row r="616">
      <c r="A616" s="1" t="s">
        <v>97</v>
      </c>
      <c r="B616" s="50" t="str">
        <f>IFERROR(HYPERLINK(VLOOKUP(A616,Internal_lists_bugs!$A$2:$C$73,3,FALSE()), VLOOKUP(A616,Internal_lists_bugs!$A$2:$C$73,3,FALSE())&amp;Char(10) &amp; Char(10) &amp; VLOOKUP(A616,Internal_lists_bugs!$A$2:$Z$73,26,FALSE())),"please select a BUG ID")</f>
        <v>https://github.com/elastic/elasticsearch/issues/1154
/RestSearchScrollAction.java 
/search/SearchOperationThreading.java
/search/RestSearchAction.java</v>
      </c>
      <c r="C616" s="81" t="str">
        <f>IFERROR(SUBSTITUTE(VLOOKUP(A616,Internal_lists_bugs!$A$2:$G2031,7,FALSE()),"/commit/","/tree/"),"please select a BUG ID")</f>
        <v>https://github.com/elastic/elasticsearch/tree/b3337c3</v>
      </c>
      <c r="D616" s="16" t="s">
        <v>4970</v>
      </c>
      <c r="E616" s="16" t="s">
        <v>4969</v>
      </c>
      <c r="F616" s="54"/>
      <c r="H616" s="112" t="s">
        <v>4708</v>
      </c>
      <c r="I616" s="16" t="s">
        <v>4972</v>
      </c>
      <c r="J616" s="183" t="str">
        <f>IFERROR(VLOOKUP(A616,Internal_lists_bugs!$A$2:$I2031,9,FALSE()),"please select a BUG ID")</f>
        <v>No information available</v>
      </c>
    </row>
    <row r="617">
      <c r="A617" s="1" t="s">
        <v>97</v>
      </c>
      <c r="B617" s="50" t="str">
        <f>IFERROR(HYPERLINK(VLOOKUP(A617,Internal_lists_bugs!$A$2:$C$73,3,FALSE()), VLOOKUP(A617,Internal_lists_bugs!$A$2:$C$73,3,FALSE())&amp;Char(10) &amp; Char(10) &amp; VLOOKUP(A617,Internal_lists_bugs!$A$2:$Z$73,26,FALSE())),"please select a BUG ID")</f>
        <v>https://github.com/elastic/elasticsearch/issues/1154
/RestSearchScrollAction.java 
/search/SearchOperationThreading.java
/search/RestSearchAction.java</v>
      </c>
      <c r="C617" s="81" t="str">
        <f>IFERROR(SUBSTITUTE(VLOOKUP(A617,Internal_lists_bugs!$A$2:$G2031,7,FALSE()),"/commit/","/tree/"),"please select a BUG ID")</f>
        <v>https://github.com/elastic/elasticsearch/tree/b3337c3</v>
      </c>
      <c r="D617" s="16" t="s">
        <v>4973</v>
      </c>
      <c r="E617" s="16" t="s">
        <v>5005</v>
      </c>
      <c r="F617" s="54"/>
      <c r="H617" s="112" t="s">
        <v>4971</v>
      </c>
      <c r="J617" s="183" t="str">
        <f>IFERROR(VLOOKUP(A617,Internal_lists_bugs!$A$2:$I2031,9,FALSE()),"please select a BUG ID")</f>
        <v>No information available</v>
      </c>
    </row>
    <row r="618">
      <c r="A618" s="1" t="s">
        <v>97</v>
      </c>
      <c r="B618" s="50" t="str">
        <f>IFERROR(HYPERLINK(VLOOKUP(A618,Internal_lists_bugs!$A$2:$C$73,3,FALSE()), VLOOKUP(A618,Internal_lists_bugs!$A$2:$C$73,3,FALSE())&amp;Char(10) &amp; Char(10) &amp; VLOOKUP(A618,Internal_lists_bugs!$A$2:$Z$73,26,FALSE())),"please select a BUG ID")</f>
        <v>https://github.com/elastic/elasticsearch/issues/1154
/RestSearchScrollAction.java 
/search/SearchOperationThreading.java
/search/RestSearchAction.java</v>
      </c>
      <c r="C618" s="81" t="str">
        <f>IFERROR(SUBSTITUTE(VLOOKUP(A618,Internal_lists_bugs!$A$2:$G2031,7,FALSE()),"/commit/","/tree/"),"please select a BUG ID")</f>
        <v>https://github.com/elastic/elasticsearch/tree/b3337c3</v>
      </c>
      <c r="D618" s="16" t="s">
        <v>4976</v>
      </c>
      <c r="E618" s="16" t="s">
        <v>4977</v>
      </c>
      <c r="F618" s="54"/>
      <c r="H618" s="112" t="s">
        <v>4975</v>
      </c>
      <c r="J618" s="183" t="str">
        <f>IFERROR(VLOOKUP(A618,Internal_lists_bugs!$A$2:$I2031,9,FALSE()),"please select a BUG ID")</f>
        <v>No information available</v>
      </c>
    </row>
    <row r="619">
      <c r="A619" s="1" t="s">
        <v>97</v>
      </c>
      <c r="B619" s="50" t="str">
        <f>IFERROR(HYPERLINK(VLOOKUP(A619,Internal_lists_bugs!$A$2:$C$73,3,FALSE()), VLOOKUP(A619,Internal_lists_bugs!$A$2:$C$73,3,FALSE())&amp;Char(10) &amp; Char(10) &amp; VLOOKUP(A619,Internal_lists_bugs!$A$2:$Z$73,26,FALSE())),"please select a BUG ID")</f>
        <v>https://github.com/elastic/elasticsearch/issues/1154
/RestSearchScrollAction.java 
/search/SearchOperationThreading.java
/search/RestSearchAction.java</v>
      </c>
      <c r="C619" s="81" t="str">
        <f>IFERROR(SUBSTITUTE(VLOOKUP(A619,Internal_lists_bugs!$A$2:$G2031,7,FALSE()),"/commit/","/tree/"),"please select a BUG ID")</f>
        <v>https://github.com/elastic/elasticsearch/tree/b3337c3</v>
      </c>
      <c r="D619" s="16" t="s">
        <v>4978</v>
      </c>
      <c r="E619" s="16" t="s">
        <v>4979</v>
      </c>
      <c r="F619" s="54"/>
      <c r="H619" s="112" t="s">
        <v>4684</v>
      </c>
      <c r="J619" s="183" t="str">
        <f>IFERROR(VLOOKUP(A619,Internal_lists_bugs!$A$2:$I2031,9,FALSE()),"please select a BUG ID")</f>
        <v>No information available</v>
      </c>
    </row>
    <row r="620">
      <c r="A620" s="1" t="s">
        <v>97</v>
      </c>
      <c r="B620" s="50" t="str">
        <f>IFERROR(HYPERLINK(VLOOKUP(A620,Internal_lists_bugs!$A$2:$C$73,3,FALSE()), VLOOKUP(A620,Internal_lists_bugs!$A$2:$C$73,3,FALSE())&amp;Char(10) &amp; Char(10) &amp; VLOOKUP(A620,Internal_lists_bugs!$A$2:$Z$73,26,FALSE())),"please select a BUG ID")</f>
        <v>https://github.com/elastic/elasticsearch/issues/1154
/RestSearchScrollAction.java 
/search/SearchOperationThreading.java
/search/RestSearchAction.java</v>
      </c>
      <c r="C620" s="81" t="str">
        <f>IFERROR(SUBSTITUTE(VLOOKUP(A620,Internal_lists_bugs!$A$2:$G2031,7,FALSE()),"/commit/","/tree/"),"please select a BUG ID")</f>
        <v>https://github.com/elastic/elasticsearch/tree/b3337c3</v>
      </c>
      <c r="D620" s="16" t="s">
        <v>4982</v>
      </c>
      <c r="E620" s="16" t="s">
        <v>4979</v>
      </c>
      <c r="F620" s="54"/>
      <c r="J620" s="183" t="str">
        <f>IFERROR(VLOOKUP(A620,Internal_lists_bugs!$A$2:$I2031,9,FALSE()),"please select a BUG ID")</f>
        <v>No information available</v>
      </c>
    </row>
    <row r="621">
      <c r="A621" s="1" t="s">
        <v>97</v>
      </c>
      <c r="B621" s="50" t="str">
        <f>IFERROR(HYPERLINK(VLOOKUP(A621,Internal_lists_bugs!$A$2:$C$73,3,FALSE()), VLOOKUP(A621,Internal_lists_bugs!$A$2:$C$73,3,FALSE())&amp;Char(10) &amp; Char(10) &amp; VLOOKUP(A621,Internal_lists_bugs!$A$2:$Z$73,26,FALSE())),"please select a BUG ID")</f>
        <v>https://github.com/elastic/elasticsearch/issues/1154
/RestSearchScrollAction.java 
/search/SearchOperationThreading.java
/search/RestSearchAction.java</v>
      </c>
      <c r="C621" s="81" t="str">
        <f>IFERROR(SUBSTITUTE(VLOOKUP(A621,Internal_lists_bugs!$A$2:$G2031,7,FALSE()),"/commit/","/tree/"),"please select a BUG ID")</f>
        <v>https://github.com/elastic/elasticsearch/tree/b3337c3</v>
      </c>
      <c r="D621" s="16" t="s">
        <v>4983</v>
      </c>
      <c r="E621" s="16" t="s">
        <v>4984</v>
      </c>
      <c r="F621" s="54"/>
      <c r="J621" s="183" t="str">
        <f>IFERROR(VLOOKUP(A621,Internal_lists_bugs!$A$2:$I2031,9,FALSE()),"please select a BUG ID")</f>
        <v>No information available</v>
      </c>
    </row>
    <row r="622">
      <c r="A622" s="1" t="s">
        <v>97</v>
      </c>
      <c r="B622" s="50" t="str">
        <f>IFERROR(HYPERLINK(VLOOKUP(A622,Internal_lists_bugs!$A$2:$C$73,3,FALSE()), VLOOKUP(A622,Internal_lists_bugs!$A$2:$C$73,3,FALSE())&amp;Char(10) &amp; Char(10) &amp; VLOOKUP(A622,Internal_lists_bugs!$A$2:$Z$73,26,FALSE())),"please select a BUG ID")</f>
        <v>https://github.com/elastic/elasticsearch/issues/1154
/RestSearchScrollAction.java 
/search/SearchOperationThreading.java
/search/RestSearchAction.java</v>
      </c>
      <c r="C622" s="81" t="str">
        <f>IFERROR(SUBSTITUTE(VLOOKUP(A622,Internal_lists_bugs!$A$2:$G2031,7,FALSE()),"/commit/","/tree/"),"please select a BUG ID")</f>
        <v>https://github.com/elastic/elasticsearch/tree/b3337c3</v>
      </c>
      <c r="D622" s="16" t="s">
        <v>4985</v>
      </c>
      <c r="E622" s="16" t="s">
        <v>4996</v>
      </c>
      <c r="F622" s="54"/>
      <c r="H622" s="114"/>
      <c r="J622" s="183" t="str">
        <f>IFERROR(VLOOKUP(A622,Internal_lists_bugs!$A$2:$I2031,9,FALSE()),"please select a BUG ID")</f>
        <v>No information available</v>
      </c>
    </row>
    <row r="623">
      <c r="A623" s="1" t="s">
        <v>97</v>
      </c>
      <c r="B623" s="50" t="str">
        <f>IFERROR(HYPERLINK(VLOOKUP(A623,Internal_lists_bugs!$A$2:$C$73,3,FALSE()), VLOOKUP(A623,Internal_lists_bugs!$A$2:$C$73,3,FALSE())&amp;Char(10) &amp; Char(10) &amp; VLOOKUP(A623,Internal_lists_bugs!$A$2:$Z$73,26,FALSE())),"please select a BUG ID")</f>
        <v>https://github.com/elastic/elasticsearch/issues/1154
/RestSearchScrollAction.java 
/search/SearchOperationThreading.java
/search/RestSearchAction.java</v>
      </c>
      <c r="C623" s="81" t="str">
        <f>IFERROR(SUBSTITUTE(VLOOKUP(A623,Internal_lists_bugs!$A$2:$G2031,7,FALSE()),"/commit/","/tree/"),"please select a BUG ID")</f>
        <v>https://github.com/elastic/elasticsearch/tree/b3337c3</v>
      </c>
      <c r="D623" s="16" t="s">
        <v>5009</v>
      </c>
      <c r="E623" s="16" t="s">
        <v>5006</v>
      </c>
      <c r="F623" s="54"/>
      <c r="H623" s="114"/>
      <c r="J623" s="183" t="str">
        <f>IFERROR(VLOOKUP(A623,Internal_lists_bugs!$A$2:$I2031,9,FALSE()),"please select a BUG ID")</f>
        <v>No information available</v>
      </c>
    </row>
    <row r="624">
      <c r="A624" s="1" t="s">
        <v>97</v>
      </c>
      <c r="B624" s="50" t="str">
        <f>IFERROR(HYPERLINK(VLOOKUP(A624,Internal_lists_bugs!$A$2:$C$73,3,FALSE()), VLOOKUP(A624,Internal_lists_bugs!$A$2:$C$73,3,FALSE())&amp;Char(10) &amp; Char(10) &amp; VLOOKUP(A624,Internal_lists_bugs!$A$2:$Z$73,26,FALSE())),"please select a BUG ID")</f>
        <v>https://github.com/elastic/elasticsearch/issues/1154
/RestSearchScrollAction.java 
/search/SearchOperationThreading.java
/search/RestSearchAction.java</v>
      </c>
      <c r="C624" s="81" t="str">
        <f>IFERROR(SUBSTITUTE(VLOOKUP(A624,Internal_lists_bugs!$A$2:$G2031,7,FALSE()),"/commit/","/tree/"),"please select a BUG ID")</f>
        <v>https://github.com/elastic/elasticsearch/tree/b3337c3</v>
      </c>
      <c r="D624" s="16" t="s">
        <v>4989</v>
      </c>
      <c r="F624" s="54"/>
      <c r="H624" s="114"/>
      <c r="J624" s="183" t="str">
        <f>IFERROR(VLOOKUP(A624,Internal_lists_bugs!$A$2:$I2031,9,FALSE()),"please select a BUG ID")</f>
        <v>No information available</v>
      </c>
    </row>
    <row r="625">
      <c r="A625" s="1" t="s">
        <v>95</v>
      </c>
      <c r="B625" s="50" t="str">
        <f>IFERROR(HYPERLINK(VLOOKUP(A625,Internal_lists_bugs!$A$2:$C$73,3,FALSE()), VLOOKUP(A625,Internal_lists_bugs!$A$2:$C$73,3,FALSE())&amp;Char(10) &amp; Char(10) &amp; VLOOKUP(A625,Internal_lists_bugs!$A$2:$Z$73,26,FALSE())),"please select a BUG ID")</f>
        <v>https://github.com/elastic/elasticsearch/issues/1162
/MetaDataUpdateSettingsService.java</v>
      </c>
      <c r="C625" s="81" t="str">
        <f>IFERROR(SUBSTITUTE(VLOOKUP(A625,Internal_lists_bugs!$A$2:$G2031,7,FALSE()),"/commit/","/tree/"),"please select a BUG ID")</f>
        <v>https://github.com/elastic/elasticsearch/tree/d4547c629</v>
      </c>
      <c r="D625" s="16" t="s">
        <v>4962</v>
      </c>
      <c r="E625" s="16" t="s">
        <v>4963</v>
      </c>
      <c r="F625" s="16" t="s">
        <v>4724</v>
      </c>
      <c r="G625" s="63" t="s">
        <v>4992</v>
      </c>
      <c r="H625" s="112" t="s">
        <v>4965</v>
      </c>
      <c r="J625" s="183" t="str">
        <f>IFERROR(VLOOKUP(A625,Internal_lists_bugs!$A$2:$I2031,9,FALSE()),"please select a BUG ID")</f>
        <v>No information available</v>
      </c>
    </row>
    <row r="626">
      <c r="A626" s="1" t="s">
        <v>95</v>
      </c>
      <c r="B626" s="50" t="str">
        <f>IFERROR(HYPERLINK(VLOOKUP(A626,Internal_lists_bugs!$A$2:$C$73,3,FALSE()), VLOOKUP(A626,Internal_lists_bugs!$A$2:$C$73,3,FALSE())&amp;Char(10) &amp; Char(10) &amp; VLOOKUP(A626,Internal_lists_bugs!$A$2:$Z$73,26,FALSE())),"please select a BUG ID")</f>
        <v>https://github.com/elastic/elasticsearch/issues/1162
/MetaDataUpdateSettingsService.java</v>
      </c>
      <c r="C626" s="81" t="str">
        <f>IFERROR(SUBSTITUTE(VLOOKUP(A626,Internal_lists_bugs!$A$2:$G2031,7,FALSE()),"/commit/","/tree/"),"please select a BUG ID")</f>
        <v>https://github.com/elastic/elasticsearch/tree/d4547c629</v>
      </c>
      <c r="D626" s="16" t="s">
        <v>4966</v>
      </c>
      <c r="E626" s="16" t="s">
        <v>4967</v>
      </c>
      <c r="F626" s="54"/>
      <c r="H626" s="112" t="s">
        <v>4818</v>
      </c>
      <c r="J626" s="183" t="str">
        <f>IFERROR(VLOOKUP(A626,Internal_lists_bugs!$A$2:$I2031,9,FALSE()),"please select a BUG ID")</f>
        <v>No information available</v>
      </c>
    </row>
    <row r="627">
      <c r="A627" s="1" t="s">
        <v>95</v>
      </c>
      <c r="B627" s="50" t="str">
        <f>IFERROR(HYPERLINK(VLOOKUP(A627,Internal_lists_bugs!$A$2:$C$73,3,FALSE()), VLOOKUP(A627,Internal_lists_bugs!$A$2:$C$73,3,FALSE())&amp;Char(10) &amp; Char(10) &amp; VLOOKUP(A627,Internal_lists_bugs!$A$2:$Z$73,26,FALSE())),"please select a BUG ID")</f>
        <v>https://github.com/elastic/elasticsearch/issues/1162
/MetaDataUpdateSettingsService.java</v>
      </c>
      <c r="C627" s="81" t="str">
        <f>IFERROR(SUBSTITUTE(VLOOKUP(A627,Internal_lists_bugs!$A$2:$G2031,7,FALSE()),"/commit/","/tree/"),"please select a BUG ID")</f>
        <v>https://github.com/elastic/elasticsearch/tree/d4547c629</v>
      </c>
      <c r="D627" s="16" t="s">
        <v>4970</v>
      </c>
      <c r="E627" s="16" t="s">
        <v>4969</v>
      </c>
      <c r="F627" s="54"/>
      <c r="H627" s="112" t="s">
        <v>4708</v>
      </c>
      <c r="I627" s="16" t="s">
        <v>4972</v>
      </c>
      <c r="J627" s="183" t="str">
        <f>IFERROR(VLOOKUP(A627,Internal_lists_bugs!$A$2:$I2031,9,FALSE()),"please select a BUG ID")</f>
        <v>No information available</v>
      </c>
    </row>
    <row r="628">
      <c r="A628" s="1" t="s">
        <v>95</v>
      </c>
      <c r="B628" s="50" t="str">
        <f>IFERROR(HYPERLINK(VLOOKUP(A628,Internal_lists_bugs!$A$2:$C$73,3,FALSE()), VLOOKUP(A628,Internal_lists_bugs!$A$2:$C$73,3,FALSE())&amp;Char(10) &amp; Char(10) &amp; VLOOKUP(A628,Internal_lists_bugs!$A$2:$Z$73,26,FALSE())),"please select a BUG ID")</f>
        <v>https://github.com/elastic/elasticsearch/issues/1162
/MetaDataUpdateSettingsService.java</v>
      </c>
      <c r="C628" s="81" t="str">
        <f>IFERROR(SUBSTITUTE(VLOOKUP(A628,Internal_lists_bugs!$A$2:$G2031,7,FALSE()),"/commit/","/tree/"),"please select a BUG ID")</f>
        <v>https://github.com/elastic/elasticsearch/tree/d4547c629</v>
      </c>
      <c r="D628" s="16" t="s">
        <v>4973</v>
      </c>
      <c r="E628" s="16" t="s">
        <v>5005</v>
      </c>
      <c r="F628" s="54"/>
      <c r="H628" s="112" t="s">
        <v>4971</v>
      </c>
      <c r="J628" s="183" t="str">
        <f>IFERROR(VLOOKUP(A628,Internal_lists_bugs!$A$2:$I2031,9,FALSE()),"please select a BUG ID")</f>
        <v>No information available</v>
      </c>
    </row>
    <row r="629">
      <c r="A629" s="1" t="s">
        <v>95</v>
      </c>
      <c r="B629" s="50" t="str">
        <f>IFERROR(HYPERLINK(VLOOKUP(A629,Internal_lists_bugs!$A$2:$C$73,3,FALSE()), VLOOKUP(A629,Internal_lists_bugs!$A$2:$C$73,3,FALSE())&amp;Char(10) &amp; Char(10) &amp; VLOOKUP(A629,Internal_lists_bugs!$A$2:$Z$73,26,FALSE())),"please select a BUG ID")</f>
        <v>https://github.com/elastic/elasticsearch/issues/1162
/MetaDataUpdateSettingsService.java</v>
      </c>
      <c r="C629" s="81" t="str">
        <f>IFERROR(SUBSTITUTE(VLOOKUP(A629,Internal_lists_bugs!$A$2:$G2031,7,FALSE()),"/commit/","/tree/"),"please select a BUG ID")</f>
        <v>https://github.com/elastic/elasticsearch/tree/d4547c629</v>
      </c>
      <c r="D629" s="16" t="s">
        <v>4976</v>
      </c>
      <c r="E629" s="16" t="s">
        <v>4977</v>
      </c>
      <c r="F629" s="54"/>
      <c r="H629" s="112" t="s">
        <v>4975</v>
      </c>
      <c r="J629" s="183" t="str">
        <f>IFERROR(VLOOKUP(A629,Internal_lists_bugs!$A$2:$I2031,9,FALSE()),"please select a BUG ID")</f>
        <v>No information available</v>
      </c>
    </row>
    <row r="630">
      <c r="A630" s="1" t="s">
        <v>95</v>
      </c>
      <c r="B630" s="50" t="str">
        <f>IFERROR(HYPERLINK(VLOOKUP(A630,Internal_lists_bugs!$A$2:$C$73,3,FALSE()), VLOOKUP(A630,Internal_lists_bugs!$A$2:$C$73,3,FALSE())&amp;Char(10) &amp; Char(10) &amp; VLOOKUP(A630,Internal_lists_bugs!$A$2:$Z$73,26,FALSE())),"please select a BUG ID")</f>
        <v>https://github.com/elastic/elasticsearch/issues/1162
/MetaDataUpdateSettingsService.java</v>
      </c>
      <c r="C630" s="81" t="str">
        <f>IFERROR(SUBSTITUTE(VLOOKUP(A630,Internal_lists_bugs!$A$2:$G2031,7,FALSE()),"/commit/","/tree/"),"please select a BUG ID")</f>
        <v>https://github.com/elastic/elasticsearch/tree/d4547c629</v>
      </c>
      <c r="D630" s="16" t="s">
        <v>4978</v>
      </c>
      <c r="E630" s="16" t="s">
        <v>4979</v>
      </c>
      <c r="F630" s="54"/>
      <c r="H630" s="112" t="s">
        <v>4993</v>
      </c>
      <c r="J630" s="183" t="str">
        <f>IFERROR(VLOOKUP(A630,Internal_lists_bugs!$A$2:$I2031,9,FALSE()),"please select a BUG ID")</f>
        <v>No information available</v>
      </c>
    </row>
    <row r="631">
      <c r="A631" s="1" t="s">
        <v>95</v>
      </c>
      <c r="B631" s="50" t="str">
        <f>IFERROR(HYPERLINK(VLOOKUP(A631,Internal_lists_bugs!$A$2:$C$73,3,FALSE()), VLOOKUP(A631,Internal_lists_bugs!$A$2:$C$73,3,FALSE())&amp;Char(10) &amp; Char(10) &amp; VLOOKUP(A631,Internal_lists_bugs!$A$2:$Z$73,26,FALSE())),"please select a BUG ID")</f>
        <v>https://github.com/elastic/elasticsearch/issues/1162
/MetaDataUpdateSettingsService.java</v>
      </c>
      <c r="C631" s="81" t="str">
        <f>IFERROR(SUBSTITUTE(VLOOKUP(A631,Internal_lists_bugs!$A$2:$G2031,7,FALSE()),"/commit/","/tree/"),"please select a BUG ID")</f>
        <v>https://github.com/elastic/elasticsearch/tree/d4547c629</v>
      </c>
      <c r="D631" s="16" t="s">
        <v>4982</v>
      </c>
      <c r="E631" s="16" t="s">
        <v>4979</v>
      </c>
      <c r="F631" s="54"/>
      <c r="H631" s="112" t="s">
        <v>4684</v>
      </c>
      <c r="J631" s="183" t="str">
        <f>IFERROR(VLOOKUP(A631,Internal_lists_bugs!$A$2:$I2031,9,FALSE()),"please select a BUG ID")</f>
        <v>No information available</v>
      </c>
    </row>
    <row r="632">
      <c r="A632" s="1" t="s">
        <v>95</v>
      </c>
      <c r="B632" s="50" t="str">
        <f>IFERROR(HYPERLINK(VLOOKUP(A632,Internal_lists_bugs!$A$2:$C$73,3,FALSE()), VLOOKUP(A632,Internal_lists_bugs!$A$2:$C$73,3,FALSE())&amp;Char(10) &amp; Char(10) &amp; VLOOKUP(A632,Internal_lists_bugs!$A$2:$Z$73,26,FALSE())),"please select a BUG ID")</f>
        <v>https://github.com/elastic/elasticsearch/issues/1162
/MetaDataUpdateSettingsService.java</v>
      </c>
      <c r="C632" s="81" t="str">
        <f>IFERROR(SUBSTITUTE(VLOOKUP(A632,Internal_lists_bugs!$A$2:$G2031,7,FALSE()),"/commit/","/tree/"),"please select a BUG ID")</f>
        <v>https://github.com/elastic/elasticsearch/tree/d4547c629</v>
      </c>
      <c r="D632" s="16" t="s">
        <v>4983</v>
      </c>
      <c r="E632" s="16" t="s">
        <v>4984</v>
      </c>
      <c r="F632" s="54"/>
      <c r="H632" s="112" t="s">
        <v>4994</v>
      </c>
      <c r="I632" s="16" t="s">
        <v>4995</v>
      </c>
      <c r="J632" s="183" t="str">
        <f>IFERROR(VLOOKUP(A632,Internal_lists_bugs!$A$2:$I2031,9,FALSE()),"please select a BUG ID")</f>
        <v>No information available</v>
      </c>
    </row>
    <row r="633">
      <c r="A633" s="1" t="s">
        <v>95</v>
      </c>
      <c r="B633" s="50" t="str">
        <f>IFERROR(HYPERLINK(VLOOKUP(A633,Internal_lists_bugs!$A$2:$C$73,3,FALSE()), VLOOKUP(A633,Internal_lists_bugs!$A$2:$C$73,3,FALSE())&amp;Char(10) &amp; Char(10) &amp; VLOOKUP(A633,Internal_lists_bugs!$A$2:$Z$73,26,FALSE())),"please select a BUG ID")</f>
        <v>https://github.com/elastic/elasticsearch/issues/1162
/MetaDataUpdateSettingsService.java</v>
      </c>
      <c r="C633" s="81" t="str">
        <f>IFERROR(SUBSTITUTE(VLOOKUP(A633,Internal_lists_bugs!$A$2:$G2031,7,FALSE()),"/commit/","/tree/"),"please select a BUG ID")</f>
        <v>https://github.com/elastic/elasticsearch/tree/d4547c629</v>
      </c>
      <c r="D633" s="16" t="s">
        <v>4985</v>
      </c>
      <c r="E633" s="16" t="s">
        <v>4996</v>
      </c>
      <c r="F633" s="54"/>
      <c r="H633" s="112" t="s">
        <v>4980</v>
      </c>
      <c r="I633" s="16" t="s">
        <v>4981</v>
      </c>
      <c r="J633" s="183" t="str">
        <f>IFERROR(VLOOKUP(A633,Internal_lists_bugs!$A$2:$I2031,9,FALSE()),"please select a BUG ID")</f>
        <v>No information available</v>
      </c>
    </row>
    <row r="634">
      <c r="A634" s="1" t="s">
        <v>95</v>
      </c>
      <c r="B634" s="50" t="str">
        <f>IFERROR(HYPERLINK(VLOOKUP(A634,Internal_lists_bugs!$A$2:$C$73,3,FALSE()), VLOOKUP(A634,Internal_lists_bugs!$A$2:$C$73,3,FALSE())&amp;Char(10) &amp; Char(10) &amp; VLOOKUP(A634,Internal_lists_bugs!$A$2:$Z$73,26,FALSE())),"please select a BUG ID")</f>
        <v>https://github.com/elastic/elasticsearch/issues/1162
/MetaDataUpdateSettingsService.java</v>
      </c>
      <c r="C634" s="81" t="str">
        <f>IFERROR(SUBSTITUTE(VLOOKUP(A634,Internal_lists_bugs!$A$2:$G2031,7,FALSE()),"/commit/","/tree/"),"please select a BUG ID")</f>
        <v>https://github.com/elastic/elasticsearch/tree/d4547c629</v>
      </c>
      <c r="D634" s="16" t="s">
        <v>5001</v>
      </c>
      <c r="E634" s="16" t="s">
        <v>5010</v>
      </c>
      <c r="F634" s="54"/>
      <c r="H634" s="114"/>
      <c r="J634" s="183" t="str">
        <f>IFERROR(VLOOKUP(A634,Internal_lists_bugs!$A$2:$I2031,9,FALSE()),"please select a BUG ID")</f>
        <v>No information available</v>
      </c>
    </row>
    <row r="635">
      <c r="A635" s="1" t="s">
        <v>95</v>
      </c>
      <c r="B635" s="50" t="str">
        <f>IFERROR(HYPERLINK(VLOOKUP(A635,Internal_lists_bugs!$A$2:$C$73,3,FALSE()), VLOOKUP(A635,Internal_lists_bugs!$A$2:$C$73,3,FALSE())&amp;Char(10) &amp; Char(10) &amp; VLOOKUP(A635,Internal_lists_bugs!$A$2:$Z$73,26,FALSE())),"please select a BUG ID")</f>
        <v>https://github.com/elastic/elasticsearch/issues/1162
/MetaDataUpdateSettingsService.java</v>
      </c>
      <c r="C635" s="81" t="str">
        <f>IFERROR(SUBSTITUTE(VLOOKUP(A635,Internal_lists_bugs!$A$2:$G2031,7,FALSE()),"/commit/","/tree/"),"please select a BUG ID")</f>
        <v>https://github.com/elastic/elasticsearch/tree/d4547c629</v>
      </c>
      <c r="D635" s="16" t="s">
        <v>4998</v>
      </c>
      <c r="E635" s="16" t="s">
        <v>4977</v>
      </c>
      <c r="F635" s="54"/>
      <c r="H635" s="114"/>
      <c r="J635" s="183" t="str">
        <f>IFERROR(VLOOKUP(A635,Internal_lists_bugs!$A$2:$I2031,9,FALSE()),"please select a BUG ID")</f>
        <v>No information available</v>
      </c>
    </row>
    <row r="636">
      <c r="A636" s="1" t="s">
        <v>95</v>
      </c>
      <c r="B636" s="50" t="str">
        <f>IFERROR(HYPERLINK(VLOOKUP(A636,Internal_lists_bugs!$A$2:$C$73,3,FALSE()), VLOOKUP(A636,Internal_lists_bugs!$A$2:$C$73,3,FALSE())&amp;Char(10) &amp; Char(10) &amp; VLOOKUP(A636,Internal_lists_bugs!$A$2:$Z$73,26,FALSE())),"please select a BUG ID")</f>
        <v>https://github.com/elastic/elasticsearch/issues/1162
/MetaDataUpdateSettingsService.java</v>
      </c>
      <c r="C636" s="81" t="str">
        <f>IFERROR(SUBSTITUTE(VLOOKUP(A636,Internal_lists_bugs!$A$2:$G2031,7,FALSE()),"/commit/","/tree/"),"please select a BUG ID")</f>
        <v>https://github.com/elastic/elasticsearch/tree/d4547c629</v>
      </c>
      <c r="D636" s="16" t="s">
        <v>5000</v>
      </c>
      <c r="E636" s="16" t="s">
        <v>5010</v>
      </c>
      <c r="F636" s="54"/>
      <c r="H636" s="114"/>
      <c r="J636" s="183" t="str">
        <f>IFERROR(VLOOKUP(A636,Internal_lists_bugs!$A$2:$I2031,9,FALSE()),"please select a BUG ID")</f>
        <v>No information available</v>
      </c>
    </row>
    <row r="637">
      <c r="A637" s="1" t="s">
        <v>95</v>
      </c>
      <c r="B637" s="50" t="str">
        <f>IFERROR(HYPERLINK(VLOOKUP(A637,Internal_lists_bugs!$A$2:$C$73,3,FALSE()), VLOOKUP(A637,Internal_lists_bugs!$A$2:$C$73,3,FALSE())&amp;Char(10) &amp; Char(10) &amp; VLOOKUP(A637,Internal_lists_bugs!$A$2:$Z$73,26,FALSE())),"please select a BUG ID")</f>
        <v>https://github.com/elastic/elasticsearch/issues/1162
/MetaDataUpdateSettingsService.java</v>
      </c>
      <c r="C637" s="81" t="str">
        <f>IFERROR(SUBSTITUTE(VLOOKUP(A637,Internal_lists_bugs!$A$2:$G2031,7,FALSE()),"/commit/","/tree/"),"please select a BUG ID")</f>
        <v>https://github.com/elastic/elasticsearch/tree/d4547c629</v>
      </c>
      <c r="D637" s="16" t="s">
        <v>4968</v>
      </c>
      <c r="E637" s="16" t="s">
        <v>5010</v>
      </c>
      <c r="F637" s="54"/>
      <c r="H637" s="114"/>
      <c r="J637" s="183" t="str">
        <f>IFERROR(VLOOKUP(A637,Internal_lists_bugs!$A$2:$I2031,9,FALSE()),"please select a BUG ID")</f>
        <v>No information available</v>
      </c>
    </row>
    <row r="638">
      <c r="A638" s="1" t="s">
        <v>95</v>
      </c>
      <c r="B638" s="50" t="str">
        <f>IFERROR(HYPERLINK(VLOOKUP(A638,Internal_lists_bugs!$A$2:$C$73,3,FALSE()), VLOOKUP(A638,Internal_lists_bugs!$A$2:$C$73,3,FALSE())&amp;Char(10) &amp; Char(10) &amp; VLOOKUP(A638,Internal_lists_bugs!$A$2:$Z$73,26,FALSE())),"please select a BUG ID")</f>
        <v>https://github.com/elastic/elasticsearch/issues/1162
/MetaDataUpdateSettingsService.java</v>
      </c>
      <c r="C638" s="81" t="str">
        <f>IFERROR(SUBSTITUTE(VLOOKUP(A638,Internal_lists_bugs!$A$2:$G2031,7,FALSE()),"/commit/","/tree/"),"please select a BUG ID")</f>
        <v>https://github.com/elastic/elasticsearch/tree/d4547c629</v>
      </c>
      <c r="D638" s="16" t="s">
        <v>5003</v>
      </c>
      <c r="E638" s="16" t="s">
        <v>5011</v>
      </c>
      <c r="F638" s="54"/>
      <c r="H638" s="114"/>
      <c r="J638" s="183" t="str">
        <f>IFERROR(VLOOKUP(A638,Internal_lists_bugs!$A$2:$I2031,9,FALSE()),"please select a BUG ID")</f>
        <v>No information available</v>
      </c>
    </row>
    <row r="639">
      <c r="A639" s="1" t="s">
        <v>95</v>
      </c>
      <c r="B639" s="50" t="str">
        <f>IFERROR(HYPERLINK(VLOOKUP(A639,Internal_lists_bugs!$A$2:$C$73,3,FALSE()), VLOOKUP(A639,Internal_lists_bugs!$A$2:$C$73,3,FALSE())&amp;Char(10) &amp; Char(10) &amp; VLOOKUP(A639,Internal_lists_bugs!$A$2:$Z$73,26,FALSE())),"please select a BUG ID")</f>
        <v>https://github.com/elastic/elasticsearch/issues/1162
/MetaDataUpdateSettingsService.java</v>
      </c>
      <c r="C639" s="81" t="str">
        <f>IFERROR(SUBSTITUTE(VLOOKUP(A639,Internal_lists_bugs!$A$2:$G2031,7,FALSE()),"/commit/","/tree/"),"please select a BUG ID")</f>
        <v>https://github.com/elastic/elasticsearch/tree/d4547c629</v>
      </c>
      <c r="D639" s="16" t="s">
        <v>4989</v>
      </c>
      <c r="F639" s="54"/>
      <c r="H639" s="114"/>
      <c r="J639" s="183" t="str">
        <f>IFERROR(VLOOKUP(A639,Internal_lists_bugs!$A$2:$I2031,9,FALSE()),"please select a BUG ID")</f>
        <v>No information available</v>
      </c>
    </row>
    <row r="640">
      <c r="A640" s="1" t="s">
        <v>81</v>
      </c>
      <c r="B640" s="50" t="str">
        <f>IFERROR(HYPERLINK(VLOOKUP(A640,Internal_lists_bugs!$A$2:$C$73,3,FALSE()), VLOOKUP(A640,Internal_lists_bugs!$A$2:$C$73,3,FALSE())&amp;Char(10) &amp; Char(10) &amp; VLOOKUP(A640,Internal_lists_bugs!$A$2:$Z$73,26,FALSE())),"please select a BUG ID")</f>
        <v>https://github.com/elastic/elasticsearch/issues/1380
/highlight/HighlightPhase.java</v>
      </c>
      <c r="C640" s="81" t="str">
        <f>IFERROR(SUBSTITUTE(VLOOKUP(A640,Internal_lists_bugs!$A$2:$G2031,7,FALSE()),"/commit/","/tree/"),"please select a BUG ID")</f>
        <v>https://github.com/elastic/elasticsearch/tree/adc3dc0</v>
      </c>
      <c r="D640" s="16" t="s">
        <v>4962</v>
      </c>
      <c r="E640" s="16" t="s">
        <v>4963</v>
      </c>
      <c r="F640" s="16" t="s">
        <v>4724</v>
      </c>
      <c r="G640" s="63" t="s">
        <v>4992</v>
      </c>
      <c r="H640" s="112" t="s">
        <v>4965</v>
      </c>
      <c r="J640" s="183" t="str">
        <f>IFERROR(VLOOKUP(A640,Internal_lists_bugs!$A$2:$I2031,9,FALSE()),"please select a BUG ID")</f>
        <v>No information available</v>
      </c>
    </row>
    <row r="641">
      <c r="A641" s="1" t="s">
        <v>81</v>
      </c>
      <c r="B641" s="50" t="str">
        <f>IFERROR(HYPERLINK(VLOOKUP(A641,Internal_lists_bugs!$A$2:$C$73,3,FALSE()), VLOOKUP(A641,Internal_lists_bugs!$A$2:$C$73,3,FALSE())&amp;Char(10) &amp; Char(10) &amp; VLOOKUP(A641,Internal_lists_bugs!$A$2:$Z$73,26,FALSE())),"please select a BUG ID")</f>
        <v>https://github.com/elastic/elasticsearch/issues/1380
/highlight/HighlightPhase.java</v>
      </c>
      <c r="C641" s="81" t="str">
        <f>IFERROR(SUBSTITUTE(VLOOKUP(A641,Internal_lists_bugs!$A$2:$G2031,7,FALSE()),"/commit/","/tree/"),"please select a BUG ID")</f>
        <v>https://github.com/elastic/elasticsearch/tree/adc3dc0</v>
      </c>
      <c r="D641" s="16" t="s">
        <v>4966</v>
      </c>
      <c r="E641" s="16" t="s">
        <v>4967</v>
      </c>
      <c r="F641" s="54"/>
      <c r="H641" s="112" t="s">
        <v>4818</v>
      </c>
      <c r="J641" s="183" t="str">
        <f>IFERROR(VLOOKUP(A641,Internal_lists_bugs!$A$2:$I2031,9,FALSE()),"please select a BUG ID")</f>
        <v>No information available</v>
      </c>
    </row>
    <row r="642">
      <c r="A642" s="1" t="s">
        <v>81</v>
      </c>
      <c r="B642" s="50" t="str">
        <f>IFERROR(HYPERLINK(VLOOKUP(A642,Internal_lists_bugs!$A$2:$C$73,3,FALSE()), VLOOKUP(A642,Internal_lists_bugs!$A$2:$C$73,3,FALSE())&amp;Char(10) &amp; Char(10) &amp; VLOOKUP(A642,Internal_lists_bugs!$A$2:$Z$73,26,FALSE())),"please select a BUG ID")</f>
        <v>https://github.com/elastic/elasticsearch/issues/1380
/highlight/HighlightPhase.java</v>
      </c>
      <c r="C642" s="81" t="str">
        <f>IFERROR(SUBSTITUTE(VLOOKUP(A642,Internal_lists_bugs!$A$2:$G2031,7,FALSE()),"/commit/","/tree/"),"please select a BUG ID")</f>
        <v>https://github.com/elastic/elasticsearch/tree/adc3dc0</v>
      </c>
      <c r="D642" s="16" t="s">
        <v>4970</v>
      </c>
      <c r="E642" s="16" t="s">
        <v>4969</v>
      </c>
      <c r="F642" s="54"/>
      <c r="H642" s="112" t="s">
        <v>4708</v>
      </c>
      <c r="I642" s="16" t="s">
        <v>4972</v>
      </c>
      <c r="J642" s="183" t="str">
        <f>IFERROR(VLOOKUP(A642,Internal_lists_bugs!$A$2:$I2031,9,FALSE()),"please select a BUG ID")</f>
        <v>No information available</v>
      </c>
    </row>
    <row r="643">
      <c r="A643" s="1" t="s">
        <v>81</v>
      </c>
      <c r="B643" s="50" t="str">
        <f>IFERROR(HYPERLINK(VLOOKUP(A643,Internal_lists_bugs!$A$2:$C$73,3,FALSE()), VLOOKUP(A643,Internal_lists_bugs!$A$2:$C$73,3,FALSE())&amp;Char(10) &amp; Char(10) &amp; VLOOKUP(A643,Internal_lists_bugs!$A$2:$Z$73,26,FALSE())),"please select a BUG ID")</f>
        <v>https://github.com/elastic/elasticsearch/issues/1380
/highlight/HighlightPhase.java</v>
      </c>
      <c r="C643" s="81" t="str">
        <f>IFERROR(SUBSTITUTE(VLOOKUP(A643,Internal_lists_bugs!$A$2:$G2031,7,FALSE()),"/commit/","/tree/"),"please select a BUG ID")</f>
        <v>https://github.com/elastic/elasticsearch/tree/adc3dc0</v>
      </c>
      <c r="D643" s="16" t="s">
        <v>4973</v>
      </c>
      <c r="E643" s="16" t="s">
        <v>5005</v>
      </c>
      <c r="F643" s="54"/>
      <c r="H643" s="112" t="s">
        <v>4971</v>
      </c>
      <c r="J643" s="183" t="str">
        <f>IFERROR(VLOOKUP(A643,Internal_lists_bugs!$A$2:$I2031,9,FALSE()),"please select a BUG ID")</f>
        <v>No information available</v>
      </c>
    </row>
    <row r="644">
      <c r="A644" s="1" t="s">
        <v>81</v>
      </c>
      <c r="B644" s="50" t="str">
        <f>IFERROR(HYPERLINK(VLOOKUP(A644,Internal_lists_bugs!$A$2:$C$73,3,FALSE()), VLOOKUP(A644,Internal_lists_bugs!$A$2:$C$73,3,FALSE())&amp;Char(10) &amp; Char(10) &amp; VLOOKUP(A644,Internal_lists_bugs!$A$2:$Z$73,26,FALSE())),"please select a BUG ID")</f>
        <v>https://github.com/elastic/elasticsearch/issues/1380
/highlight/HighlightPhase.java</v>
      </c>
      <c r="C644" s="81" t="str">
        <f>IFERROR(SUBSTITUTE(VLOOKUP(A644,Internal_lists_bugs!$A$2:$G2031,7,FALSE()),"/commit/","/tree/"),"please select a BUG ID")</f>
        <v>https://github.com/elastic/elasticsearch/tree/adc3dc0</v>
      </c>
      <c r="D644" s="16" t="s">
        <v>4976</v>
      </c>
      <c r="E644" s="16" t="s">
        <v>4977</v>
      </c>
      <c r="F644" s="54"/>
      <c r="H644" s="112" t="s">
        <v>4975</v>
      </c>
      <c r="J644" s="183" t="str">
        <f>IFERROR(VLOOKUP(A644,Internal_lists_bugs!$A$2:$I2031,9,FALSE()),"please select a BUG ID")</f>
        <v>No information available</v>
      </c>
    </row>
    <row r="645">
      <c r="A645" s="1" t="s">
        <v>81</v>
      </c>
      <c r="B645" s="50" t="str">
        <f>IFERROR(HYPERLINK(VLOOKUP(A645,Internal_lists_bugs!$A$2:$C$73,3,FALSE()), VLOOKUP(A645,Internal_lists_bugs!$A$2:$C$73,3,FALSE())&amp;Char(10) &amp; Char(10) &amp; VLOOKUP(A645,Internal_lists_bugs!$A$2:$Z$73,26,FALSE())),"please select a BUG ID")</f>
        <v>https://github.com/elastic/elasticsearch/issues/1380
/highlight/HighlightPhase.java</v>
      </c>
      <c r="C645" s="81" t="str">
        <f>IFERROR(SUBSTITUTE(VLOOKUP(A645,Internal_lists_bugs!$A$2:$G2031,7,FALSE()),"/commit/","/tree/"),"please select a BUG ID")</f>
        <v>https://github.com/elastic/elasticsearch/tree/adc3dc0</v>
      </c>
      <c r="D645" s="16" t="s">
        <v>4978</v>
      </c>
      <c r="E645" s="16" t="s">
        <v>4979</v>
      </c>
      <c r="F645" s="54"/>
      <c r="H645" s="112" t="s">
        <v>4993</v>
      </c>
      <c r="J645" s="183" t="str">
        <f>IFERROR(VLOOKUP(A645,Internal_lists_bugs!$A$2:$I2031,9,FALSE()),"please select a BUG ID")</f>
        <v>No information available</v>
      </c>
    </row>
    <row r="646">
      <c r="A646" s="1" t="s">
        <v>81</v>
      </c>
      <c r="B646" s="50" t="str">
        <f>IFERROR(HYPERLINK(VLOOKUP(A646,Internal_lists_bugs!$A$2:$C$73,3,FALSE()), VLOOKUP(A646,Internal_lists_bugs!$A$2:$C$73,3,FALSE())&amp;Char(10) &amp; Char(10) &amp; VLOOKUP(A646,Internal_lists_bugs!$A$2:$Z$73,26,FALSE())),"please select a BUG ID")</f>
        <v>https://github.com/elastic/elasticsearch/issues/1380
/highlight/HighlightPhase.java</v>
      </c>
      <c r="C646" s="81" t="str">
        <f>IFERROR(SUBSTITUTE(VLOOKUP(A646,Internal_lists_bugs!$A$2:$G2031,7,FALSE()),"/commit/","/tree/"),"please select a BUG ID")</f>
        <v>https://github.com/elastic/elasticsearch/tree/adc3dc0</v>
      </c>
      <c r="D646" s="16" t="s">
        <v>4982</v>
      </c>
      <c r="E646" s="16" t="s">
        <v>4979</v>
      </c>
      <c r="F646" s="54"/>
      <c r="H646" s="112" t="s">
        <v>4684</v>
      </c>
      <c r="J646" s="183" t="str">
        <f>IFERROR(VLOOKUP(A646,Internal_lists_bugs!$A$2:$I2031,9,FALSE()),"please select a BUG ID")</f>
        <v>No information available</v>
      </c>
    </row>
    <row r="647">
      <c r="A647" s="1" t="s">
        <v>81</v>
      </c>
      <c r="B647" s="50" t="str">
        <f>IFERROR(HYPERLINK(VLOOKUP(A647,Internal_lists_bugs!$A$2:$C$73,3,FALSE()), VLOOKUP(A647,Internal_lists_bugs!$A$2:$C$73,3,FALSE())&amp;Char(10) &amp; Char(10) &amp; VLOOKUP(A647,Internal_lists_bugs!$A$2:$Z$73,26,FALSE())),"please select a BUG ID")</f>
        <v>https://github.com/elastic/elasticsearch/issues/1380
/highlight/HighlightPhase.java</v>
      </c>
      <c r="C647" s="81" t="str">
        <f>IFERROR(SUBSTITUTE(VLOOKUP(A647,Internal_lists_bugs!$A$2:$G2031,7,FALSE()),"/commit/","/tree/"),"please select a BUG ID")</f>
        <v>https://github.com/elastic/elasticsearch/tree/adc3dc0</v>
      </c>
      <c r="D647" s="16" t="s">
        <v>4983</v>
      </c>
      <c r="E647" s="16" t="s">
        <v>4984</v>
      </c>
      <c r="F647" s="54"/>
      <c r="H647" s="112" t="s">
        <v>4994</v>
      </c>
      <c r="I647" s="16" t="s">
        <v>4995</v>
      </c>
      <c r="J647" s="183" t="str">
        <f>IFERROR(VLOOKUP(A647,Internal_lists_bugs!$A$2:$I2031,9,FALSE()),"please select a BUG ID")</f>
        <v>No information available</v>
      </c>
    </row>
    <row r="648">
      <c r="A648" s="1" t="s">
        <v>81</v>
      </c>
      <c r="B648" s="50" t="str">
        <f>IFERROR(HYPERLINK(VLOOKUP(A648,Internal_lists_bugs!$A$2:$C$73,3,FALSE()), VLOOKUP(A648,Internal_lists_bugs!$A$2:$C$73,3,FALSE())&amp;Char(10) &amp; Char(10) &amp; VLOOKUP(A648,Internal_lists_bugs!$A$2:$Z$73,26,FALSE())),"please select a BUG ID")</f>
        <v>https://github.com/elastic/elasticsearch/issues/1380
/highlight/HighlightPhase.java</v>
      </c>
      <c r="C648" s="81" t="str">
        <f>IFERROR(SUBSTITUTE(VLOOKUP(A648,Internal_lists_bugs!$A$2:$G2031,7,FALSE()),"/commit/","/tree/"),"please select a BUG ID")</f>
        <v>https://github.com/elastic/elasticsearch/tree/adc3dc0</v>
      </c>
      <c r="D648" s="16" t="s">
        <v>4985</v>
      </c>
      <c r="E648" s="16" t="s">
        <v>4996</v>
      </c>
      <c r="F648" s="54"/>
      <c r="H648" s="112" t="s">
        <v>4980</v>
      </c>
      <c r="I648" s="16" t="s">
        <v>4981</v>
      </c>
      <c r="J648" s="183" t="str">
        <f>IFERROR(VLOOKUP(A648,Internal_lists_bugs!$A$2:$I2031,9,FALSE()),"please select a BUG ID")</f>
        <v>No information available</v>
      </c>
    </row>
    <row r="649">
      <c r="A649" s="1" t="s">
        <v>81</v>
      </c>
      <c r="B649" s="50" t="str">
        <f>IFERROR(HYPERLINK(VLOOKUP(A649,Internal_lists_bugs!$A$2:$C$73,3,FALSE()), VLOOKUP(A649,Internal_lists_bugs!$A$2:$C$73,3,FALSE())&amp;Char(10) &amp; Char(10) &amp; VLOOKUP(A649,Internal_lists_bugs!$A$2:$Z$73,26,FALSE())),"please select a BUG ID")</f>
        <v>https://github.com/elastic/elasticsearch/issues/1380
/highlight/HighlightPhase.java</v>
      </c>
      <c r="C649" s="81" t="str">
        <f>IFERROR(SUBSTITUTE(VLOOKUP(A649,Internal_lists_bugs!$A$2:$G2031,7,FALSE()),"/commit/","/tree/"),"please select a BUG ID")</f>
        <v>https://github.com/elastic/elasticsearch/tree/adc3dc0</v>
      </c>
      <c r="D649" s="16" t="s">
        <v>5001</v>
      </c>
      <c r="E649" s="16" t="s">
        <v>5010</v>
      </c>
      <c r="F649" s="54"/>
      <c r="H649" s="114"/>
      <c r="J649" s="183" t="str">
        <f>IFERROR(VLOOKUP(A649,Internal_lists_bugs!$A$2:$I2031,9,FALSE()),"please select a BUG ID")</f>
        <v>No information available</v>
      </c>
    </row>
    <row r="650">
      <c r="A650" s="1" t="s">
        <v>81</v>
      </c>
      <c r="B650" s="50" t="str">
        <f>IFERROR(HYPERLINK(VLOOKUP(A650,Internal_lists_bugs!$A$2:$C$73,3,FALSE()), VLOOKUP(A650,Internal_lists_bugs!$A$2:$C$73,3,FALSE())&amp;Char(10) &amp; Char(10) &amp; VLOOKUP(A650,Internal_lists_bugs!$A$2:$Z$73,26,FALSE())),"please select a BUG ID")</f>
        <v>https://github.com/elastic/elasticsearch/issues/1380
/highlight/HighlightPhase.java</v>
      </c>
      <c r="C650" s="81" t="str">
        <f>IFERROR(SUBSTITUTE(VLOOKUP(A650,Internal_lists_bugs!$A$2:$G2031,7,FALSE()),"/commit/","/tree/"),"please select a BUG ID")</f>
        <v>https://github.com/elastic/elasticsearch/tree/adc3dc0</v>
      </c>
      <c r="D650" s="16" t="s">
        <v>4998</v>
      </c>
      <c r="E650" s="16" t="s">
        <v>4977</v>
      </c>
      <c r="F650" s="54"/>
      <c r="H650" s="114"/>
      <c r="J650" s="183" t="str">
        <f>IFERROR(VLOOKUP(A650,Internal_lists_bugs!$A$2:$I2031,9,FALSE()),"please select a BUG ID")</f>
        <v>No information available</v>
      </c>
    </row>
    <row r="651">
      <c r="A651" s="1" t="s">
        <v>81</v>
      </c>
      <c r="B651" s="50" t="str">
        <f>IFERROR(HYPERLINK(VLOOKUP(A651,Internal_lists_bugs!$A$2:$C$73,3,FALSE()), VLOOKUP(A651,Internal_lists_bugs!$A$2:$C$73,3,FALSE())&amp;Char(10) &amp; Char(10) &amp; VLOOKUP(A651,Internal_lists_bugs!$A$2:$Z$73,26,FALSE())),"please select a BUG ID")</f>
        <v>https://github.com/elastic/elasticsearch/issues/1380
/highlight/HighlightPhase.java</v>
      </c>
      <c r="C651" s="81" t="str">
        <f>IFERROR(SUBSTITUTE(VLOOKUP(A651,Internal_lists_bugs!$A$2:$G2031,7,FALSE()),"/commit/","/tree/"),"please select a BUG ID")</f>
        <v>https://github.com/elastic/elasticsearch/tree/adc3dc0</v>
      </c>
      <c r="D651" s="16" t="s">
        <v>5000</v>
      </c>
      <c r="E651" s="16" t="s">
        <v>5010</v>
      </c>
      <c r="F651" s="54"/>
      <c r="H651" s="114"/>
      <c r="J651" s="183" t="str">
        <f>IFERROR(VLOOKUP(A651,Internal_lists_bugs!$A$2:$I2031,9,FALSE()),"please select a BUG ID")</f>
        <v>No information available</v>
      </c>
    </row>
    <row r="652">
      <c r="A652" s="1" t="s">
        <v>81</v>
      </c>
      <c r="B652" s="50" t="str">
        <f>IFERROR(HYPERLINK(VLOOKUP(A652,Internal_lists_bugs!$A$2:$C$73,3,FALSE()), VLOOKUP(A652,Internal_lists_bugs!$A$2:$C$73,3,FALSE())&amp;Char(10) &amp; Char(10) &amp; VLOOKUP(A652,Internal_lists_bugs!$A$2:$Z$73,26,FALSE())),"please select a BUG ID")</f>
        <v>https://github.com/elastic/elasticsearch/issues/1380
/highlight/HighlightPhase.java</v>
      </c>
      <c r="C652" s="81" t="str">
        <f>IFERROR(SUBSTITUTE(VLOOKUP(A652,Internal_lists_bugs!$A$2:$G2031,7,FALSE()),"/commit/","/tree/"),"please select a BUG ID")</f>
        <v>https://github.com/elastic/elasticsearch/tree/adc3dc0</v>
      </c>
      <c r="D652" s="16" t="s">
        <v>4968</v>
      </c>
      <c r="E652" s="16" t="s">
        <v>5010</v>
      </c>
      <c r="F652" s="54"/>
      <c r="H652" s="114"/>
      <c r="J652" s="183" t="str">
        <f>IFERROR(VLOOKUP(A652,Internal_lists_bugs!$A$2:$I2031,9,FALSE()),"please select a BUG ID")</f>
        <v>No information available</v>
      </c>
    </row>
    <row r="653">
      <c r="A653" s="1" t="s">
        <v>81</v>
      </c>
      <c r="B653" s="50" t="str">
        <f>IFERROR(HYPERLINK(VLOOKUP(A653,Internal_lists_bugs!$A$2:$C$73,3,FALSE()), VLOOKUP(A653,Internal_lists_bugs!$A$2:$C$73,3,FALSE())&amp;Char(10) &amp; Char(10) &amp; VLOOKUP(A653,Internal_lists_bugs!$A$2:$Z$73,26,FALSE())),"please select a BUG ID")</f>
        <v>https://github.com/elastic/elasticsearch/issues/1380
/highlight/HighlightPhase.java</v>
      </c>
      <c r="C653" s="81" t="str">
        <f>IFERROR(SUBSTITUTE(VLOOKUP(A653,Internal_lists_bugs!$A$2:$G2031,7,FALSE()),"/commit/","/tree/"),"please select a BUG ID")</f>
        <v>https://github.com/elastic/elasticsearch/tree/adc3dc0</v>
      </c>
      <c r="D653" s="16" t="s">
        <v>5008</v>
      </c>
      <c r="E653" s="16" t="s">
        <v>5010</v>
      </c>
      <c r="F653" s="54"/>
      <c r="H653" s="114"/>
      <c r="J653" s="183" t="str">
        <f>IFERROR(VLOOKUP(A653,Internal_lists_bugs!$A$2:$I2031,9,FALSE()),"please select a BUG ID")</f>
        <v>No information available</v>
      </c>
    </row>
    <row r="654">
      <c r="A654" s="1" t="s">
        <v>81</v>
      </c>
      <c r="B654" s="50" t="str">
        <f>IFERROR(HYPERLINK(VLOOKUP(A654,Internal_lists_bugs!$A$2:$C$73,3,FALSE()), VLOOKUP(A654,Internal_lists_bugs!$A$2:$C$73,3,FALSE())&amp;Char(10) &amp; Char(10) &amp; VLOOKUP(A654,Internal_lists_bugs!$A$2:$Z$73,26,FALSE())),"please select a BUG ID")</f>
        <v>https://github.com/elastic/elasticsearch/issues/1380
/highlight/HighlightPhase.java</v>
      </c>
      <c r="C654" s="81" t="str">
        <f>IFERROR(SUBSTITUTE(VLOOKUP(A654,Internal_lists_bugs!$A$2:$G2031,7,FALSE()),"/commit/","/tree/"),"please select a BUG ID")</f>
        <v>https://github.com/elastic/elasticsearch/tree/adc3dc0</v>
      </c>
      <c r="D654" s="16" t="s">
        <v>5003</v>
      </c>
      <c r="E654" s="16" t="s">
        <v>5012</v>
      </c>
      <c r="F654" s="54"/>
      <c r="H654" s="114"/>
      <c r="J654" s="183" t="str">
        <f>IFERROR(VLOOKUP(A654,Internal_lists_bugs!$A$2:$I2031,9,FALSE()),"please select a BUG ID")</f>
        <v>No information available</v>
      </c>
    </row>
    <row r="655">
      <c r="A655" s="1" t="s">
        <v>81</v>
      </c>
      <c r="B655" s="50" t="str">
        <f>IFERROR(HYPERLINK(VLOOKUP(A655,Internal_lists_bugs!$A$2:$C$73,3,FALSE()), VLOOKUP(A655,Internal_lists_bugs!$A$2:$C$73,3,FALSE())&amp;Char(10) &amp; Char(10) &amp; VLOOKUP(A655,Internal_lists_bugs!$A$2:$Z$73,26,FALSE())),"please select a BUG ID")</f>
        <v>https://github.com/elastic/elasticsearch/issues/1380
/highlight/HighlightPhase.java</v>
      </c>
      <c r="C655" s="81" t="str">
        <f>IFERROR(SUBSTITUTE(VLOOKUP(A655,Internal_lists_bugs!$A$2:$G2031,7,FALSE()),"/commit/","/tree/"),"please select a BUG ID")</f>
        <v>https://github.com/elastic/elasticsearch/tree/adc3dc0</v>
      </c>
      <c r="D655" s="16" t="s">
        <v>4989</v>
      </c>
      <c r="F655" s="54"/>
      <c r="H655" s="114"/>
      <c r="J655" s="183" t="str">
        <f>IFERROR(VLOOKUP(A655,Internal_lists_bugs!$A$2:$I2031,9,FALSE()),"please select a BUG ID")</f>
        <v>No information available</v>
      </c>
    </row>
    <row r="656">
      <c r="A656" s="1" t="s">
        <v>88</v>
      </c>
      <c r="B656" s="50" t="str">
        <f>IFERROR(HYPERLINK(VLOOKUP(A656,Internal_lists_bugs!$A$2:$C$73,3,FALSE()), VLOOKUP(A656,Internal_lists_bugs!$A$2:$C$73,3,FALSE())&amp;Char(10) &amp; Char(10) &amp; VLOOKUP(A656,Internal_lists_bugs!$A$2:$Z$73,26,FALSE())),"please select a BUG ID")</f>
        <v>https://github.com/elastic/elasticsearch/issues/1626
/routing/RoutingNode.java
/routing/RoutingNodes.java
/routing/allocation/AllocationService.java </v>
      </c>
      <c r="C656" s="81" t="str">
        <f>IFERROR(SUBSTITUTE(VLOOKUP(A656,Internal_lists_bugs!$A$2:$G2031,7,FALSE()),"/commit/","/tree/"),"please select a BUG ID")</f>
        <v>https://github.com/elastic/elasticsearch/tree/4180a7f7</v>
      </c>
      <c r="D656" s="16" t="s">
        <v>4962</v>
      </c>
      <c r="E656" s="16" t="s">
        <v>4963</v>
      </c>
      <c r="F656" s="16" t="s">
        <v>4724</v>
      </c>
      <c r="G656" s="63" t="s">
        <v>4992</v>
      </c>
      <c r="H656" s="112" t="s">
        <v>4965</v>
      </c>
      <c r="J656" s="183" t="str">
        <f>IFERROR(VLOOKUP(A656,Internal_lists_bugs!$A$2:$I2031,9,FALSE()),"please select a BUG ID")</f>
        <v>No information available</v>
      </c>
    </row>
    <row r="657">
      <c r="A657" s="1" t="s">
        <v>88</v>
      </c>
      <c r="B657" s="50" t="str">
        <f>IFERROR(HYPERLINK(VLOOKUP(A657,Internal_lists_bugs!$A$2:$C$73,3,FALSE()), VLOOKUP(A657,Internal_lists_bugs!$A$2:$C$73,3,FALSE())&amp;Char(10) &amp; Char(10) &amp; VLOOKUP(A657,Internal_lists_bugs!$A$2:$Z$73,26,FALSE())),"please select a BUG ID")</f>
        <v>https://github.com/elastic/elasticsearch/issues/1626
/routing/RoutingNode.java
/routing/RoutingNodes.java
/routing/allocation/AllocationService.java </v>
      </c>
      <c r="C657" s="81" t="str">
        <f>IFERROR(SUBSTITUTE(VLOOKUP(A657,Internal_lists_bugs!$A$2:$G2031,7,FALSE()),"/commit/","/tree/"),"please select a BUG ID")</f>
        <v>https://github.com/elastic/elasticsearch/tree/4180a7f7</v>
      </c>
      <c r="D657" s="16" t="s">
        <v>4966</v>
      </c>
      <c r="E657" s="16" t="s">
        <v>4967</v>
      </c>
      <c r="F657" s="54"/>
      <c r="H657" s="112" t="s">
        <v>4818</v>
      </c>
      <c r="J657" s="183" t="str">
        <f>IFERROR(VLOOKUP(A657,Internal_lists_bugs!$A$2:$I2031,9,FALSE()),"please select a BUG ID")</f>
        <v>No information available</v>
      </c>
    </row>
    <row r="658">
      <c r="A658" s="1" t="s">
        <v>88</v>
      </c>
      <c r="B658" s="50" t="str">
        <f>IFERROR(HYPERLINK(VLOOKUP(A658,Internal_lists_bugs!$A$2:$C$73,3,FALSE()), VLOOKUP(A658,Internal_lists_bugs!$A$2:$C$73,3,FALSE())&amp;Char(10) &amp; Char(10) &amp; VLOOKUP(A658,Internal_lists_bugs!$A$2:$Z$73,26,FALSE())),"please select a BUG ID")</f>
        <v>https://github.com/elastic/elasticsearch/issues/1626
/routing/RoutingNode.java
/routing/RoutingNodes.java
/routing/allocation/AllocationService.java </v>
      </c>
      <c r="C658" s="81" t="str">
        <f>IFERROR(SUBSTITUTE(VLOOKUP(A658,Internal_lists_bugs!$A$2:$G2031,7,FALSE()),"/commit/","/tree/"),"please select a BUG ID")</f>
        <v>https://github.com/elastic/elasticsearch/tree/4180a7f7</v>
      </c>
      <c r="D658" s="16" t="s">
        <v>4970</v>
      </c>
      <c r="E658" s="16" t="s">
        <v>4969</v>
      </c>
      <c r="F658" s="54"/>
      <c r="H658" s="112" t="s">
        <v>4708</v>
      </c>
      <c r="I658" s="16" t="s">
        <v>4972</v>
      </c>
      <c r="J658" s="183" t="str">
        <f>IFERROR(VLOOKUP(A658,Internal_lists_bugs!$A$2:$I2031,9,FALSE()),"please select a BUG ID")</f>
        <v>No information available</v>
      </c>
    </row>
    <row r="659">
      <c r="A659" s="1" t="s">
        <v>88</v>
      </c>
      <c r="B659" s="50" t="str">
        <f>IFERROR(HYPERLINK(VLOOKUP(A659,Internal_lists_bugs!$A$2:$C$73,3,FALSE()), VLOOKUP(A659,Internal_lists_bugs!$A$2:$C$73,3,FALSE())&amp;Char(10) &amp; Char(10) &amp; VLOOKUP(A659,Internal_lists_bugs!$A$2:$Z$73,26,FALSE())),"please select a BUG ID")</f>
        <v>https://github.com/elastic/elasticsearch/issues/1626
/routing/RoutingNode.java
/routing/RoutingNodes.java
/routing/allocation/AllocationService.java </v>
      </c>
      <c r="C659" s="81" t="str">
        <f>IFERROR(SUBSTITUTE(VLOOKUP(A659,Internal_lists_bugs!$A$2:$G2031,7,FALSE()),"/commit/","/tree/"),"please select a BUG ID")</f>
        <v>https://github.com/elastic/elasticsearch/tree/4180a7f7</v>
      </c>
      <c r="D659" s="16" t="s">
        <v>4973</v>
      </c>
      <c r="E659" s="16" t="s">
        <v>5005</v>
      </c>
      <c r="F659" s="54"/>
      <c r="H659" s="112" t="s">
        <v>4971</v>
      </c>
      <c r="J659" s="183" t="str">
        <f>IFERROR(VLOOKUP(A659,Internal_lists_bugs!$A$2:$I2031,9,FALSE()),"please select a BUG ID")</f>
        <v>No information available</v>
      </c>
    </row>
    <row r="660">
      <c r="A660" s="1" t="s">
        <v>88</v>
      </c>
      <c r="B660" s="50" t="str">
        <f>IFERROR(HYPERLINK(VLOOKUP(A660,Internal_lists_bugs!$A$2:$C$73,3,FALSE()), VLOOKUP(A660,Internal_lists_bugs!$A$2:$C$73,3,FALSE())&amp;Char(10) &amp; Char(10) &amp; VLOOKUP(A660,Internal_lists_bugs!$A$2:$Z$73,26,FALSE())),"please select a BUG ID")</f>
        <v>https://github.com/elastic/elasticsearch/issues/1626
/routing/RoutingNode.java
/routing/RoutingNodes.java
/routing/allocation/AllocationService.java </v>
      </c>
      <c r="C660" s="81" t="str">
        <f>IFERROR(SUBSTITUTE(VLOOKUP(A660,Internal_lists_bugs!$A$2:$G2031,7,FALSE()),"/commit/","/tree/"),"please select a BUG ID")</f>
        <v>https://github.com/elastic/elasticsearch/tree/4180a7f7</v>
      </c>
      <c r="D660" s="16" t="s">
        <v>4976</v>
      </c>
      <c r="E660" s="16" t="s">
        <v>4977</v>
      </c>
      <c r="F660" s="54"/>
      <c r="H660" s="112" t="s">
        <v>4975</v>
      </c>
      <c r="J660" s="183" t="str">
        <f>IFERROR(VLOOKUP(A660,Internal_lists_bugs!$A$2:$I2031,9,FALSE()),"please select a BUG ID")</f>
        <v>No information available</v>
      </c>
    </row>
    <row r="661">
      <c r="A661" s="1" t="s">
        <v>88</v>
      </c>
      <c r="B661" s="50" t="str">
        <f>IFERROR(HYPERLINK(VLOOKUP(A661,Internal_lists_bugs!$A$2:$C$73,3,FALSE()), VLOOKUP(A661,Internal_lists_bugs!$A$2:$C$73,3,FALSE())&amp;Char(10) &amp; Char(10) &amp; VLOOKUP(A661,Internal_lists_bugs!$A$2:$Z$73,26,FALSE())),"please select a BUG ID")</f>
        <v>https://github.com/elastic/elasticsearch/issues/1626
/routing/RoutingNode.java
/routing/RoutingNodes.java
/routing/allocation/AllocationService.java </v>
      </c>
      <c r="C661" s="81" t="str">
        <f>IFERROR(SUBSTITUTE(VLOOKUP(A661,Internal_lists_bugs!$A$2:$G2031,7,FALSE()),"/commit/","/tree/"),"please select a BUG ID")</f>
        <v>https://github.com/elastic/elasticsearch/tree/4180a7f7</v>
      </c>
      <c r="D661" s="16" t="s">
        <v>4978</v>
      </c>
      <c r="E661" s="16" t="s">
        <v>4979</v>
      </c>
      <c r="F661" s="54"/>
      <c r="H661" s="112" t="s">
        <v>4993</v>
      </c>
      <c r="J661" s="183" t="str">
        <f>IFERROR(VLOOKUP(A661,Internal_lists_bugs!$A$2:$I2031,9,FALSE()),"please select a BUG ID")</f>
        <v>No information available</v>
      </c>
    </row>
    <row r="662">
      <c r="A662" s="1" t="s">
        <v>88</v>
      </c>
      <c r="B662" s="50" t="str">
        <f>IFERROR(HYPERLINK(VLOOKUP(A662,Internal_lists_bugs!$A$2:$C$73,3,FALSE()), VLOOKUP(A662,Internal_lists_bugs!$A$2:$C$73,3,FALSE())&amp;Char(10) &amp; Char(10) &amp; VLOOKUP(A662,Internal_lists_bugs!$A$2:$Z$73,26,FALSE())),"please select a BUG ID")</f>
        <v>https://github.com/elastic/elasticsearch/issues/1626
/routing/RoutingNode.java
/routing/RoutingNodes.java
/routing/allocation/AllocationService.java </v>
      </c>
      <c r="C662" s="81" t="str">
        <f>IFERROR(SUBSTITUTE(VLOOKUP(A662,Internal_lists_bugs!$A$2:$G2031,7,FALSE()),"/commit/","/tree/"),"please select a BUG ID")</f>
        <v>https://github.com/elastic/elasticsearch/tree/4180a7f7</v>
      </c>
      <c r="D662" s="16" t="s">
        <v>4982</v>
      </c>
      <c r="E662" s="16" t="s">
        <v>4979</v>
      </c>
      <c r="F662" s="54"/>
      <c r="H662" s="112" t="s">
        <v>4684</v>
      </c>
      <c r="J662" s="183" t="str">
        <f>IFERROR(VLOOKUP(A662,Internal_lists_bugs!$A$2:$I2031,9,FALSE()),"please select a BUG ID")</f>
        <v>No information available</v>
      </c>
    </row>
    <row r="663">
      <c r="A663" s="1" t="s">
        <v>88</v>
      </c>
      <c r="B663" s="50" t="str">
        <f>IFERROR(HYPERLINK(VLOOKUP(A663,Internal_lists_bugs!$A$2:$C$73,3,FALSE()), VLOOKUP(A663,Internal_lists_bugs!$A$2:$C$73,3,FALSE())&amp;Char(10) &amp; Char(10) &amp; VLOOKUP(A663,Internal_lists_bugs!$A$2:$Z$73,26,FALSE())),"please select a BUG ID")</f>
        <v>https://github.com/elastic/elasticsearch/issues/1626
/routing/RoutingNode.java
/routing/RoutingNodes.java
/routing/allocation/AllocationService.java </v>
      </c>
      <c r="C663" s="81" t="str">
        <f>IFERROR(SUBSTITUTE(VLOOKUP(A663,Internal_lists_bugs!$A$2:$G2031,7,FALSE()),"/commit/","/tree/"),"please select a BUG ID")</f>
        <v>https://github.com/elastic/elasticsearch/tree/4180a7f7</v>
      </c>
      <c r="D663" s="16" t="s">
        <v>4983</v>
      </c>
      <c r="E663" s="16" t="s">
        <v>4984</v>
      </c>
      <c r="F663" s="54"/>
      <c r="H663" s="112" t="s">
        <v>4994</v>
      </c>
      <c r="I663" s="16" t="s">
        <v>4995</v>
      </c>
      <c r="J663" s="183" t="str">
        <f>IFERROR(VLOOKUP(A663,Internal_lists_bugs!$A$2:$I2031,9,FALSE()),"please select a BUG ID")</f>
        <v>No information available</v>
      </c>
    </row>
    <row r="664">
      <c r="A664" s="1" t="s">
        <v>88</v>
      </c>
      <c r="B664" s="50" t="str">
        <f>IFERROR(HYPERLINK(VLOOKUP(A664,Internal_lists_bugs!$A$2:$C$73,3,FALSE()), VLOOKUP(A664,Internal_lists_bugs!$A$2:$C$73,3,FALSE())&amp;Char(10) &amp; Char(10) &amp; VLOOKUP(A664,Internal_lists_bugs!$A$2:$Z$73,26,FALSE())),"please select a BUG ID")</f>
        <v>https://github.com/elastic/elasticsearch/issues/1626
/routing/RoutingNode.java
/routing/RoutingNodes.java
/routing/allocation/AllocationService.java </v>
      </c>
      <c r="C664" s="81" t="str">
        <f>IFERROR(SUBSTITUTE(VLOOKUP(A664,Internal_lists_bugs!$A$2:$G2031,7,FALSE()),"/commit/","/tree/"),"please select a BUG ID")</f>
        <v>https://github.com/elastic/elasticsearch/tree/4180a7f7</v>
      </c>
      <c r="D664" s="16" t="s">
        <v>4985</v>
      </c>
      <c r="E664" s="16" t="s">
        <v>4996</v>
      </c>
      <c r="F664" s="54"/>
      <c r="H664" s="112" t="s">
        <v>4980</v>
      </c>
      <c r="I664" s="16" t="s">
        <v>4981</v>
      </c>
      <c r="J664" s="183" t="str">
        <f>IFERROR(VLOOKUP(A664,Internal_lists_bugs!$A$2:$I2031,9,FALSE()),"please select a BUG ID")</f>
        <v>No information available</v>
      </c>
    </row>
    <row r="665">
      <c r="A665" s="1" t="s">
        <v>88</v>
      </c>
      <c r="B665" s="50" t="str">
        <f>IFERROR(HYPERLINK(VLOOKUP(A665,Internal_lists_bugs!$A$2:$C$73,3,FALSE()), VLOOKUP(A665,Internal_lists_bugs!$A$2:$C$73,3,FALSE())&amp;Char(10) &amp; Char(10) &amp; VLOOKUP(A665,Internal_lists_bugs!$A$2:$Z$73,26,FALSE())),"please select a BUG ID")</f>
        <v>https://github.com/elastic/elasticsearch/issues/1626
/routing/RoutingNode.java
/routing/RoutingNodes.java
/routing/allocation/AllocationService.java </v>
      </c>
      <c r="C665" s="81" t="str">
        <f>IFERROR(SUBSTITUTE(VLOOKUP(A665,Internal_lists_bugs!$A$2:$G2031,7,FALSE()),"/commit/","/tree/"),"please select a BUG ID")</f>
        <v>https://github.com/elastic/elasticsearch/tree/4180a7f7</v>
      </c>
      <c r="D665" s="16" t="s">
        <v>5001</v>
      </c>
      <c r="E665" s="16" t="s">
        <v>5010</v>
      </c>
      <c r="F665" s="54"/>
      <c r="H665" s="114"/>
      <c r="J665" s="183" t="str">
        <f>IFERROR(VLOOKUP(A665,Internal_lists_bugs!$A$2:$I2031,9,FALSE()),"please select a BUG ID")</f>
        <v>No information available</v>
      </c>
    </row>
    <row r="666">
      <c r="A666" s="1" t="s">
        <v>88</v>
      </c>
      <c r="B666" s="50" t="str">
        <f>IFERROR(HYPERLINK(VLOOKUP(A666,Internal_lists_bugs!$A$2:$C$73,3,FALSE()), VLOOKUP(A666,Internal_lists_bugs!$A$2:$C$73,3,FALSE())&amp;Char(10) &amp; Char(10) &amp; VLOOKUP(A666,Internal_lists_bugs!$A$2:$Z$73,26,FALSE())),"please select a BUG ID")</f>
        <v>https://github.com/elastic/elasticsearch/issues/1626
/routing/RoutingNode.java
/routing/RoutingNodes.java
/routing/allocation/AllocationService.java </v>
      </c>
      <c r="C666" s="81" t="str">
        <f>IFERROR(SUBSTITUTE(VLOOKUP(A666,Internal_lists_bugs!$A$2:$G2031,7,FALSE()),"/commit/","/tree/"),"please select a BUG ID")</f>
        <v>https://github.com/elastic/elasticsearch/tree/4180a7f7</v>
      </c>
      <c r="D666" s="16" t="s">
        <v>4998</v>
      </c>
      <c r="E666" s="16" t="s">
        <v>4977</v>
      </c>
      <c r="F666" s="54"/>
      <c r="H666" s="114"/>
      <c r="J666" s="183" t="str">
        <f>IFERROR(VLOOKUP(A666,Internal_lists_bugs!$A$2:$I2031,9,FALSE()),"please select a BUG ID")</f>
        <v>No information available</v>
      </c>
    </row>
    <row r="667">
      <c r="A667" s="1" t="s">
        <v>88</v>
      </c>
      <c r="B667" s="50" t="str">
        <f>IFERROR(HYPERLINK(VLOOKUP(A667,Internal_lists_bugs!$A$2:$C$73,3,FALSE()), VLOOKUP(A667,Internal_lists_bugs!$A$2:$C$73,3,FALSE())&amp;Char(10) &amp; Char(10) &amp; VLOOKUP(A667,Internal_lists_bugs!$A$2:$Z$73,26,FALSE())),"please select a BUG ID")</f>
        <v>https://github.com/elastic/elasticsearch/issues/1626
/routing/RoutingNode.java
/routing/RoutingNodes.java
/routing/allocation/AllocationService.java </v>
      </c>
      <c r="C667" s="81" t="str">
        <f>IFERROR(SUBSTITUTE(VLOOKUP(A667,Internal_lists_bugs!$A$2:$G2031,7,FALSE()),"/commit/","/tree/"),"please select a BUG ID")</f>
        <v>https://github.com/elastic/elasticsearch/tree/4180a7f7</v>
      </c>
      <c r="D667" s="16" t="s">
        <v>5000</v>
      </c>
      <c r="E667" s="16" t="s">
        <v>5010</v>
      </c>
      <c r="F667" s="54"/>
      <c r="H667" s="114"/>
      <c r="J667" s="183" t="str">
        <f>IFERROR(VLOOKUP(A667,Internal_lists_bugs!$A$2:$I2031,9,FALSE()),"please select a BUG ID")</f>
        <v>No information available</v>
      </c>
    </row>
    <row r="668">
      <c r="A668" s="1" t="s">
        <v>88</v>
      </c>
      <c r="B668" s="50" t="str">
        <f>IFERROR(HYPERLINK(VLOOKUP(A668,Internal_lists_bugs!$A$2:$C$73,3,FALSE()), VLOOKUP(A668,Internal_lists_bugs!$A$2:$C$73,3,FALSE())&amp;Char(10) &amp; Char(10) &amp; VLOOKUP(A668,Internal_lists_bugs!$A$2:$Z$73,26,FALSE())),"please select a BUG ID")</f>
        <v>https://github.com/elastic/elasticsearch/issues/1626
/routing/RoutingNode.java
/routing/RoutingNodes.java
/routing/allocation/AllocationService.java </v>
      </c>
      <c r="C668" s="81" t="str">
        <f>IFERROR(SUBSTITUTE(VLOOKUP(A668,Internal_lists_bugs!$A$2:$G2031,7,FALSE()),"/commit/","/tree/"),"please select a BUG ID")</f>
        <v>https://github.com/elastic/elasticsearch/tree/4180a7f7</v>
      </c>
      <c r="D668" s="16" t="s">
        <v>4968</v>
      </c>
      <c r="E668" s="16" t="s">
        <v>5010</v>
      </c>
      <c r="F668" s="54"/>
      <c r="H668" s="114"/>
      <c r="J668" s="183" t="str">
        <f>IFERROR(VLOOKUP(A668,Internal_lists_bugs!$A$2:$I2031,9,FALSE()),"please select a BUG ID")</f>
        <v>No information available</v>
      </c>
    </row>
    <row r="669">
      <c r="A669" s="1" t="s">
        <v>88</v>
      </c>
      <c r="B669" s="50" t="str">
        <f>IFERROR(HYPERLINK(VLOOKUP(A669,Internal_lists_bugs!$A$2:$C$73,3,FALSE()), VLOOKUP(A669,Internal_lists_bugs!$A$2:$C$73,3,FALSE())&amp;Char(10) &amp; Char(10) &amp; VLOOKUP(A669,Internal_lists_bugs!$A$2:$Z$73,26,FALSE())),"please select a BUG ID")</f>
        <v>https://github.com/elastic/elasticsearch/issues/1626
/routing/RoutingNode.java
/routing/RoutingNodes.java
/routing/allocation/AllocationService.java </v>
      </c>
      <c r="C669" s="81" t="str">
        <f>IFERROR(SUBSTITUTE(VLOOKUP(A669,Internal_lists_bugs!$A$2:$G2031,7,FALSE()),"/commit/","/tree/"),"please select a BUG ID")</f>
        <v>https://github.com/elastic/elasticsearch/tree/4180a7f7</v>
      </c>
      <c r="D669" s="16" t="s">
        <v>5008</v>
      </c>
      <c r="E669" s="16" t="s">
        <v>5010</v>
      </c>
      <c r="F669" s="54"/>
      <c r="H669" s="114"/>
      <c r="J669" s="183" t="str">
        <f>IFERROR(VLOOKUP(A669,Internal_lists_bugs!$A$2:$I2031,9,FALSE()),"please select a BUG ID")</f>
        <v>No information available</v>
      </c>
    </row>
    <row r="670">
      <c r="A670" s="1" t="s">
        <v>88</v>
      </c>
      <c r="B670" s="50" t="str">
        <f>IFERROR(HYPERLINK(VLOOKUP(A670,Internal_lists_bugs!$A$2:$C$73,3,FALSE()), VLOOKUP(A670,Internal_lists_bugs!$A$2:$C$73,3,FALSE())&amp;Char(10) &amp; Char(10) &amp; VLOOKUP(A670,Internal_lists_bugs!$A$2:$Z$73,26,FALSE())),"please select a BUG ID")</f>
        <v>https://github.com/elastic/elasticsearch/issues/1626
/routing/RoutingNode.java
/routing/RoutingNodes.java
/routing/allocation/AllocationService.java </v>
      </c>
      <c r="C670" s="81" t="str">
        <f>IFERROR(SUBSTITUTE(VLOOKUP(A670,Internal_lists_bugs!$A$2:$G2031,7,FALSE()),"/commit/","/tree/"),"please select a BUG ID")</f>
        <v>https://github.com/elastic/elasticsearch/tree/4180a7f7</v>
      </c>
      <c r="D670" s="16" t="s">
        <v>5003</v>
      </c>
      <c r="E670" s="16" t="s">
        <v>5012</v>
      </c>
      <c r="F670" s="54"/>
      <c r="H670" s="114"/>
      <c r="J670" s="183" t="str">
        <f>IFERROR(VLOOKUP(A670,Internal_lists_bugs!$A$2:$I2031,9,FALSE()),"please select a BUG ID")</f>
        <v>No information available</v>
      </c>
    </row>
    <row r="671">
      <c r="A671" s="1" t="s">
        <v>88</v>
      </c>
      <c r="B671" s="50" t="str">
        <f>IFERROR(HYPERLINK(VLOOKUP(A671,Internal_lists_bugs!$A$2:$C$73,3,FALSE()), VLOOKUP(A671,Internal_lists_bugs!$A$2:$C$73,3,FALSE())&amp;Char(10) &amp; Char(10) &amp; VLOOKUP(A671,Internal_lists_bugs!$A$2:$Z$73,26,FALSE())),"please select a BUG ID")</f>
        <v>https://github.com/elastic/elasticsearch/issues/1626
/routing/RoutingNode.java
/routing/RoutingNodes.java
/routing/allocation/AllocationService.java </v>
      </c>
      <c r="C671" s="81" t="str">
        <f>IFERROR(SUBSTITUTE(VLOOKUP(A671,Internal_lists_bugs!$A$2:$G2031,7,FALSE()),"/commit/","/tree/"),"please select a BUG ID")</f>
        <v>https://github.com/elastic/elasticsearch/tree/4180a7f7</v>
      </c>
      <c r="D671" s="16" t="s">
        <v>4989</v>
      </c>
      <c r="F671" s="54"/>
      <c r="H671" s="114"/>
      <c r="J671" s="183" t="str">
        <f>IFERROR(VLOOKUP(A671,Internal_lists_bugs!$A$2:$I2031,9,FALSE()),"please select a BUG ID")</f>
        <v>No information available</v>
      </c>
    </row>
    <row r="672">
      <c r="A672" s="1" t="s">
        <v>74</v>
      </c>
      <c r="B672" s="50" t="str">
        <f>IFERROR(HYPERLINK(VLOOKUP(A672,Internal_lists_bugs!$A$2:$C$73,3,FALSE()), VLOOKUP(A672,Internal_lists_bugs!$A$2:$C$73,3,FALSE())&amp;Char(10) &amp; Char(10) &amp; VLOOKUP(A672,Internal_lists_bugs!$A$2:$Z$73,26,FALSE())),"please select a BUG ID")</f>
        <v>https://github.com/elastic/elasticsearch/issues/1725
/search/DeletionAwareConstantScoreQuery.java
/search/NotDeletedFilter.java </v>
      </c>
      <c r="C672" s="81" t="str">
        <f>IFERROR(SUBSTITUTE(VLOOKUP(A672,Internal_lists_bugs!$A$2:$G2031,7,FALSE()),"/commit/","/tree/"),"please select a BUG ID")</f>
        <v>https://github.com/elastic/elasticsearch/tree/bd6b89f7cab39a</v>
      </c>
      <c r="D672" s="16" t="s">
        <v>4962</v>
      </c>
      <c r="E672" s="16" t="s">
        <v>4963</v>
      </c>
      <c r="F672" s="16" t="s">
        <v>4682</v>
      </c>
      <c r="H672" s="112" t="s">
        <v>4965</v>
      </c>
      <c r="J672" s="183" t="str">
        <f>IFERROR(VLOOKUP(A672,Internal_lists_bugs!$A$2:$I2031,9,FALSE()),"please select a BUG ID")</f>
        <v>No information available</v>
      </c>
    </row>
    <row r="673">
      <c r="A673" s="1" t="s">
        <v>74</v>
      </c>
      <c r="B673" s="50" t="str">
        <f>IFERROR(HYPERLINK(VLOOKUP(A673,Internal_lists_bugs!$A$2:$C$73,3,FALSE()), VLOOKUP(A673,Internal_lists_bugs!$A$2:$C$73,3,FALSE())&amp;Char(10) &amp; Char(10) &amp; VLOOKUP(A673,Internal_lists_bugs!$A$2:$Z$73,26,FALSE())),"please select a BUG ID")</f>
        <v>https://github.com/elastic/elasticsearch/issues/1725
/search/DeletionAwareConstantScoreQuery.java
/search/NotDeletedFilter.java </v>
      </c>
      <c r="C673" s="81" t="str">
        <f>IFERROR(SUBSTITUTE(VLOOKUP(A673,Internal_lists_bugs!$A$2:$G2031,7,FALSE()),"/commit/","/tree/"),"please select a BUG ID")</f>
        <v>https://github.com/elastic/elasticsearch/tree/bd6b89f7cab39a</v>
      </c>
      <c r="D673" s="16" t="s">
        <v>4966</v>
      </c>
      <c r="E673" s="16" t="s">
        <v>4967</v>
      </c>
      <c r="F673" s="54"/>
      <c r="H673" s="112" t="s">
        <v>4818</v>
      </c>
      <c r="J673" s="183" t="str">
        <f>IFERROR(VLOOKUP(A673,Internal_lists_bugs!$A$2:$I2031,9,FALSE()),"please select a BUG ID")</f>
        <v>No information available</v>
      </c>
    </row>
    <row r="674">
      <c r="A674" s="1" t="s">
        <v>74</v>
      </c>
      <c r="B674" s="50" t="str">
        <f>IFERROR(HYPERLINK(VLOOKUP(A674,Internal_lists_bugs!$A$2:$C$73,3,FALSE()), VLOOKUP(A674,Internal_lists_bugs!$A$2:$C$73,3,FALSE())&amp;Char(10) &amp; Char(10) &amp; VLOOKUP(A674,Internal_lists_bugs!$A$2:$Z$73,26,FALSE())),"please select a BUG ID")</f>
        <v>https://github.com/elastic/elasticsearch/issues/1725
/search/DeletionAwareConstantScoreQuery.java
/search/NotDeletedFilter.java </v>
      </c>
      <c r="C674" s="81" t="str">
        <f>IFERROR(SUBSTITUTE(VLOOKUP(A674,Internal_lists_bugs!$A$2:$G2031,7,FALSE()),"/commit/","/tree/"),"please select a BUG ID")</f>
        <v>https://github.com/elastic/elasticsearch/tree/bd6b89f7cab39a</v>
      </c>
      <c r="D674" s="16" t="s">
        <v>4970</v>
      </c>
      <c r="E674" s="16" t="s">
        <v>4969</v>
      </c>
      <c r="F674" s="54"/>
      <c r="H674" s="112" t="s">
        <v>4708</v>
      </c>
      <c r="I674" s="16" t="s">
        <v>4972</v>
      </c>
      <c r="J674" s="183" t="str">
        <f>IFERROR(VLOOKUP(A674,Internal_lists_bugs!$A$2:$I2031,9,FALSE()),"please select a BUG ID")</f>
        <v>No information available</v>
      </c>
    </row>
    <row r="675">
      <c r="A675" s="1" t="s">
        <v>74</v>
      </c>
      <c r="B675" s="50" t="str">
        <f>IFERROR(HYPERLINK(VLOOKUP(A675,Internal_lists_bugs!$A$2:$C$73,3,FALSE()), VLOOKUP(A675,Internal_lists_bugs!$A$2:$C$73,3,FALSE())&amp;Char(10) &amp; Char(10) &amp; VLOOKUP(A675,Internal_lists_bugs!$A$2:$Z$73,26,FALSE())),"please select a BUG ID")</f>
        <v>https://github.com/elastic/elasticsearch/issues/1725
/search/DeletionAwareConstantScoreQuery.java
/search/NotDeletedFilter.java </v>
      </c>
      <c r="C675" s="81" t="str">
        <f>IFERROR(SUBSTITUTE(VLOOKUP(A675,Internal_lists_bugs!$A$2:$G2031,7,FALSE()),"/commit/","/tree/"),"please select a BUG ID")</f>
        <v>https://github.com/elastic/elasticsearch/tree/bd6b89f7cab39a</v>
      </c>
      <c r="D675" s="16" t="s">
        <v>4973</v>
      </c>
      <c r="E675" s="16" t="s">
        <v>5005</v>
      </c>
      <c r="F675" s="54"/>
      <c r="H675" s="112" t="s">
        <v>4971</v>
      </c>
      <c r="J675" s="183" t="str">
        <f>IFERROR(VLOOKUP(A675,Internal_lists_bugs!$A$2:$I2031,9,FALSE()),"please select a BUG ID")</f>
        <v>No information available</v>
      </c>
    </row>
    <row r="676">
      <c r="A676" s="1" t="s">
        <v>74</v>
      </c>
      <c r="B676" s="50" t="str">
        <f>IFERROR(HYPERLINK(VLOOKUP(A676,Internal_lists_bugs!$A$2:$C$73,3,FALSE()), VLOOKUP(A676,Internal_lists_bugs!$A$2:$C$73,3,FALSE())&amp;Char(10) &amp; Char(10) &amp; VLOOKUP(A676,Internal_lists_bugs!$A$2:$Z$73,26,FALSE())),"please select a BUG ID")</f>
        <v>https://github.com/elastic/elasticsearch/issues/1725
/search/DeletionAwareConstantScoreQuery.java
/search/NotDeletedFilter.java </v>
      </c>
      <c r="C676" s="81" t="str">
        <f>IFERROR(SUBSTITUTE(VLOOKUP(A676,Internal_lists_bugs!$A$2:$G2031,7,FALSE()),"/commit/","/tree/"),"please select a BUG ID")</f>
        <v>https://github.com/elastic/elasticsearch/tree/bd6b89f7cab39a</v>
      </c>
      <c r="D676" s="16" t="s">
        <v>4976</v>
      </c>
      <c r="E676" s="16" t="s">
        <v>4977</v>
      </c>
      <c r="F676" s="54"/>
      <c r="H676" s="112" t="s">
        <v>4975</v>
      </c>
      <c r="J676" s="183" t="str">
        <f>IFERROR(VLOOKUP(A676,Internal_lists_bugs!$A$2:$I2031,9,FALSE()),"please select a BUG ID")</f>
        <v>No information available</v>
      </c>
    </row>
    <row r="677">
      <c r="A677" s="1" t="s">
        <v>74</v>
      </c>
      <c r="B677" s="50" t="str">
        <f>IFERROR(HYPERLINK(VLOOKUP(A677,Internal_lists_bugs!$A$2:$C$73,3,FALSE()), VLOOKUP(A677,Internal_lists_bugs!$A$2:$C$73,3,FALSE())&amp;Char(10) &amp; Char(10) &amp; VLOOKUP(A677,Internal_lists_bugs!$A$2:$Z$73,26,FALSE())),"please select a BUG ID")</f>
        <v>https://github.com/elastic/elasticsearch/issues/1725
/search/DeletionAwareConstantScoreQuery.java
/search/NotDeletedFilter.java </v>
      </c>
      <c r="C677" s="81" t="str">
        <f>IFERROR(SUBSTITUTE(VLOOKUP(A677,Internal_lists_bugs!$A$2:$G2031,7,FALSE()),"/commit/","/tree/"),"please select a BUG ID")</f>
        <v>https://github.com/elastic/elasticsearch/tree/bd6b89f7cab39a</v>
      </c>
      <c r="D677" s="16" t="s">
        <v>4978</v>
      </c>
      <c r="E677" s="16" t="s">
        <v>4979</v>
      </c>
      <c r="F677" s="54"/>
      <c r="H677" s="112" t="s">
        <v>4684</v>
      </c>
      <c r="J677" s="183" t="str">
        <f>IFERROR(VLOOKUP(A677,Internal_lists_bugs!$A$2:$I2031,9,FALSE()),"please select a BUG ID")</f>
        <v>No information available</v>
      </c>
    </row>
    <row r="678">
      <c r="A678" s="1" t="s">
        <v>74</v>
      </c>
      <c r="B678" s="50" t="str">
        <f>IFERROR(HYPERLINK(VLOOKUP(A678,Internal_lists_bugs!$A$2:$C$73,3,FALSE()), VLOOKUP(A678,Internal_lists_bugs!$A$2:$C$73,3,FALSE())&amp;Char(10) &amp; Char(10) &amp; VLOOKUP(A678,Internal_lists_bugs!$A$2:$Z$73,26,FALSE())),"please select a BUG ID")</f>
        <v>https://github.com/elastic/elasticsearch/issues/1725
/search/DeletionAwareConstantScoreQuery.java
/search/NotDeletedFilter.java </v>
      </c>
      <c r="C678" s="81" t="str">
        <f>IFERROR(SUBSTITUTE(VLOOKUP(A678,Internal_lists_bugs!$A$2:$G2031,7,FALSE()),"/commit/","/tree/"),"please select a BUG ID")</f>
        <v>https://github.com/elastic/elasticsearch/tree/bd6b89f7cab39a</v>
      </c>
      <c r="D678" s="16" t="s">
        <v>4982</v>
      </c>
      <c r="E678" s="16" t="s">
        <v>4979</v>
      </c>
      <c r="F678" s="54"/>
      <c r="H678" s="112" t="s">
        <v>4994</v>
      </c>
      <c r="I678" s="16" t="s">
        <v>5013</v>
      </c>
      <c r="J678" s="183" t="str">
        <f>IFERROR(VLOOKUP(A678,Internal_lists_bugs!$A$2:$I2031,9,FALSE()),"please select a BUG ID")</f>
        <v>No information available</v>
      </c>
    </row>
    <row r="679">
      <c r="A679" s="1" t="s">
        <v>74</v>
      </c>
      <c r="B679" s="50" t="str">
        <f>IFERROR(HYPERLINK(VLOOKUP(A679,Internal_lists_bugs!$A$2:$C$73,3,FALSE()), VLOOKUP(A679,Internal_lists_bugs!$A$2:$C$73,3,FALSE())&amp;Char(10) &amp; Char(10) &amp; VLOOKUP(A679,Internal_lists_bugs!$A$2:$Z$73,26,FALSE())),"please select a BUG ID")</f>
        <v>https://github.com/elastic/elasticsearch/issues/1725
/search/DeletionAwareConstantScoreQuery.java
/search/NotDeletedFilter.java </v>
      </c>
      <c r="C679" s="81" t="str">
        <f>IFERROR(SUBSTITUTE(VLOOKUP(A679,Internal_lists_bugs!$A$2:$G2031,7,FALSE()),"/commit/","/tree/"),"please select a BUG ID")</f>
        <v>https://github.com/elastic/elasticsearch/tree/bd6b89f7cab39a</v>
      </c>
      <c r="D679" s="16" t="s">
        <v>4983</v>
      </c>
      <c r="E679" s="16" t="s">
        <v>4984</v>
      </c>
      <c r="F679" s="54"/>
      <c r="H679" s="112" t="s">
        <v>4980</v>
      </c>
      <c r="I679" s="16" t="s">
        <v>4981</v>
      </c>
      <c r="J679" s="183" t="str">
        <f>IFERROR(VLOOKUP(A679,Internal_lists_bugs!$A$2:$I2031,9,FALSE()),"please select a BUG ID")</f>
        <v>No information available</v>
      </c>
    </row>
    <row r="680">
      <c r="A680" s="1" t="s">
        <v>74</v>
      </c>
      <c r="B680" s="50" t="str">
        <f>IFERROR(HYPERLINK(VLOOKUP(A680,Internal_lists_bugs!$A$2:$C$73,3,FALSE()), VLOOKUP(A680,Internal_lists_bugs!$A$2:$C$73,3,FALSE())&amp;Char(10) &amp; Char(10) &amp; VLOOKUP(A680,Internal_lists_bugs!$A$2:$Z$73,26,FALSE())),"please select a BUG ID")</f>
        <v>https://github.com/elastic/elasticsearch/issues/1725
/search/DeletionAwareConstantScoreQuery.java
/search/NotDeletedFilter.java </v>
      </c>
      <c r="C680" s="81" t="str">
        <f>IFERROR(SUBSTITUTE(VLOOKUP(A680,Internal_lists_bugs!$A$2:$G2031,7,FALSE()),"/commit/","/tree/"),"please select a BUG ID")</f>
        <v>https://github.com/elastic/elasticsearch/tree/bd6b89f7cab39a</v>
      </c>
      <c r="D680" s="16" t="s">
        <v>4985</v>
      </c>
      <c r="E680" s="16" t="s">
        <v>4996</v>
      </c>
      <c r="F680" s="54"/>
      <c r="H680" s="114"/>
      <c r="J680" s="183" t="str">
        <f>IFERROR(VLOOKUP(A680,Internal_lists_bugs!$A$2:$I2031,9,FALSE()),"please select a BUG ID")</f>
        <v>No information available</v>
      </c>
    </row>
    <row r="681">
      <c r="A681" s="1" t="s">
        <v>74</v>
      </c>
      <c r="B681" s="50" t="str">
        <f>IFERROR(HYPERLINK(VLOOKUP(A681,Internal_lists_bugs!$A$2:$C$73,3,FALSE()), VLOOKUP(A681,Internal_lists_bugs!$A$2:$C$73,3,FALSE())&amp;Char(10) &amp; Char(10) &amp; VLOOKUP(A681,Internal_lists_bugs!$A$2:$Z$73,26,FALSE())),"please select a BUG ID")</f>
        <v>https://github.com/elastic/elasticsearch/issues/1725
/search/DeletionAwareConstantScoreQuery.java
/search/NotDeletedFilter.java </v>
      </c>
      <c r="C681" s="81" t="str">
        <f>IFERROR(SUBSTITUTE(VLOOKUP(A681,Internal_lists_bugs!$A$2:$G2031,7,FALSE()),"/commit/","/tree/"),"please select a BUG ID")</f>
        <v>https://github.com/elastic/elasticsearch/tree/bd6b89f7cab39a</v>
      </c>
      <c r="D681" s="16" t="s">
        <v>5003</v>
      </c>
      <c r="E681" s="16" t="s">
        <v>5012</v>
      </c>
      <c r="F681" s="54"/>
      <c r="H681" s="114"/>
      <c r="J681" s="183" t="str">
        <f>IFERROR(VLOOKUP(A681,Internal_lists_bugs!$A$2:$I2031,9,FALSE()),"please select a BUG ID")</f>
        <v>No information available</v>
      </c>
    </row>
    <row r="682">
      <c r="A682" s="1" t="s">
        <v>74</v>
      </c>
      <c r="B682" s="50" t="str">
        <f>IFERROR(HYPERLINK(VLOOKUP(A682,Internal_lists_bugs!$A$2:$C$73,3,FALSE()), VLOOKUP(A682,Internal_lists_bugs!$A$2:$C$73,3,FALSE())&amp;Char(10) &amp; Char(10) &amp; VLOOKUP(A682,Internal_lists_bugs!$A$2:$Z$73,26,FALSE())),"please select a BUG ID")</f>
        <v>https://github.com/elastic/elasticsearch/issues/1725
/search/DeletionAwareConstantScoreQuery.java
/search/NotDeletedFilter.java </v>
      </c>
      <c r="C682" s="81" t="str">
        <f>IFERROR(SUBSTITUTE(VLOOKUP(A682,Internal_lists_bugs!$A$2:$G2031,7,FALSE()),"/commit/","/tree/"),"please select a BUG ID")</f>
        <v>https://github.com/elastic/elasticsearch/tree/bd6b89f7cab39a</v>
      </c>
      <c r="D682" s="16" t="s">
        <v>4989</v>
      </c>
      <c r="E682" s="16" t="s">
        <v>5014</v>
      </c>
      <c r="F682" s="54"/>
      <c r="H682" s="114"/>
      <c r="J682" s="183" t="str">
        <f>IFERROR(VLOOKUP(A682,Internal_lists_bugs!$A$2:$I2031,9,FALSE()),"please select a BUG ID")</f>
        <v>No information available</v>
      </c>
    </row>
    <row r="683">
      <c r="A683" s="1" t="s">
        <v>74</v>
      </c>
      <c r="B683" s="50" t="str">
        <f>IFERROR(HYPERLINK(VLOOKUP(A683,Internal_lists_bugs!$A$2:$C$73,3,FALSE()), VLOOKUP(A683,Internal_lists_bugs!$A$2:$C$73,3,FALSE())&amp;Char(10) &amp; Char(10) &amp; VLOOKUP(A683,Internal_lists_bugs!$A$2:$Z$73,26,FALSE())),"please select a BUG ID")</f>
        <v>https://github.com/elastic/elasticsearch/issues/1725
/search/DeletionAwareConstantScoreQuery.java
/search/NotDeletedFilter.java </v>
      </c>
      <c r="C683" s="81" t="str">
        <f>IFERROR(SUBSTITUTE(VLOOKUP(A683,Internal_lists_bugs!$A$2:$G2031,7,FALSE()),"/commit/","/tree/"),"please select a BUG ID")</f>
        <v>https://github.com/elastic/elasticsearch/tree/bd6b89f7cab39a</v>
      </c>
      <c r="D683" s="16" t="s">
        <v>4987</v>
      </c>
      <c r="E683" s="16" t="s">
        <v>5015</v>
      </c>
      <c r="F683" s="54"/>
      <c r="H683" s="114"/>
      <c r="J683" s="183" t="str">
        <f>IFERROR(VLOOKUP(A683,Internal_lists_bugs!$A$2:$I2031,9,FALSE()),"please select a BUG ID")</f>
        <v>No information available</v>
      </c>
    </row>
    <row r="684">
      <c r="A684" s="1" t="s">
        <v>74</v>
      </c>
      <c r="B684" s="50" t="str">
        <f>IFERROR(HYPERLINK(VLOOKUP(A684,Internal_lists_bugs!$A$2:$C$73,3,FALSE()), VLOOKUP(A684,Internal_lists_bugs!$A$2:$C$73,3,FALSE())&amp;Char(10) &amp; Char(10) &amp; VLOOKUP(A684,Internal_lists_bugs!$A$2:$Z$73,26,FALSE())),"please select a BUG ID")</f>
        <v>https://github.com/elastic/elasticsearch/issues/1725
/search/DeletionAwareConstantScoreQuery.java
/search/NotDeletedFilter.java </v>
      </c>
      <c r="C684" s="81" t="str">
        <f>IFERROR(SUBSTITUTE(VLOOKUP(A684,Internal_lists_bugs!$A$2:$G2031,7,FALSE()),"/commit/","/tree/"),"please select a BUG ID")</f>
        <v>https://github.com/elastic/elasticsearch/tree/bd6b89f7cab39a</v>
      </c>
      <c r="D684" s="16" t="s">
        <v>4989</v>
      </c>
      <c r="F684" s="54"/>
      <c r="H684" s="114"/>
      <c r="J684" s="183" t="str">
        <f>IFERROR(VLOOKUP(A684,Internal_lists_bugs!$A$2:$I2031,9,FALSE()),"please select a BUG ID")</f>
        <v>No information available</v>
      </c>
    </row>
    <row r="685">
      <c r="A685" s="1" t="s">
        <v>69</v>
      </c>
      <c r="B685" s="50" t="str">
        <f>IFERROR(HYPERLINK(VLOOKUP(A685,Internal_lists_bugs!$A$2:$C$73,3,FALSE()), VLOOKUP(A685,Internal_lists_bugs!$A$2:$C$73,3,FALSE())&amp;Char(10) &amp; Char(10) &amp; VLOOKUP(A685,Internal_lists_bugs!$A$2:$Z$73,26,FALSE())),"please select a BUG ID")</f>
        <v>https://github.com/elastic/elasticsearch/issues/1814
/internal/InternalSearchHit.java</v>
      </c>
      <c r="C685" s="81" t="str">
        <f>IFERROR(SUBSTITUTE(VLOOKUP(A685,Internal_lists_bugs!$A$2:$G2031,7,FALSE()),"/commit/","/tree/"),"please select a BUG ID")</f>
        <v>https://github.com/elastic/elasticsearch/tree/14237317fce</v>
      </c>
      <c r="D685" s="16" t="s">
        <v>4962</v>
      </c>
      <c r="E685" s="16" t="s">
        <v>4963</v>
      </c>
      <c r="F685" s="16" t="s">
        <v>4724</v>
      </c>
      <c r="G685" s="63" t="s">
        <v>4992</v>
      </c>
      <c r="H685" s="112" t="s">
        <v>4965</v>
      </c>
      <c r="J685" s="183" t="str">
        <f>IFERROR(VLOOKUP(A685,Internal_lists_bugs!$A$2:$I2031,9,FALSE()),"please select a BUG ID")</f>
        <v>No information available</v>
      </c>
    </row>
    <row r="686">
      <c r="A686" s="1" t="s">
        <v>69</v>
      </c>
      <c r="B686" s="50" t="str">
        <f>IFERROR(HYPERLINK(VLOOKUP(A686,Internal_lists_bugs!$A$2:$C$73,3,FALSE()), VLOOKUP(A686,Internal_lists_bugs!$A$2:$C$73,3,FALSE())&amp;Char(10) &amp; Char(10) &amp; VLOOKUP(A686,Internal_lists_bugs!$A$2:$Z$73,26,FALSE())),"please select a BUG ID")</f>
        <v>https://github.com/elastic/elasticsearch/issues/1814
/internal/InternalSearchHit.java</v>
      </c>
      <c r="C686" s="81" t="str">
        <f>IFERROR(SUBSTITUTE(VLOOKUP(A686,Internal_lists_bugs!$A$2:$G2031,7,FALSE()),"/commit/","/tree/"),"please select a BUG ID")</f>
        <v>https://github.com/elastic/elasticsearch/tree/14237317fce</v>
      </c>
      <c r="D686" s="16" t="s">
        <v>4966</v>
      </c>
      <c r="E686" s="16" t="s">
        <v>4967</v>
      </c>
      <c r="F686" s="54"/>
      <c r="H686" s="112" t="s">
        <v>4818</v>
      </c>
      <c r="J686" s="183" t="str">
        <f>IFERROR(VLOOKUP(A686,Internal_lists_bugs!$A$2:$I2031,9,FALSE()),"please select a BUG ID")</f>
        <v>No information available</v>
      </c>
    </row>
    <row r="687">
      <c r="A687" s="1" t="s">
        <v>69</v>
      </c>
      <c r="B687" s="50" t="str">
        <f>IFERROR(HYPERLINK(VLOOKUP(A687,Internal_lists_bugs!$A$2:$C$73,3,FALSE()), VLOOKUP(A687,Internal_lists_bugs!$A$2:$C$73,3,FALSE())&amp;Char(10) &amp; Char(10) &amp; VLOOKUP(A687,Internal_lists_bugs!$A$2:$Z$73,26,FALSE())),"please select a BUG ID")</f>
        <v>https://github.com/elastic/elasticsearch/issues/1814
/internal/InternalSearchHit.java</v>
      </c>
      <c r="C687" s="81" t="str">
        <f>IFERROR(SUBSTITUTE(VLOOKUP(A687,Internal_lists_bugs!$A$2:$G2031,7,FALSE()),"/commit/","/tree/"),"please select a BUG ID")</f>
        <v>https://github.com/elastic/elasticsearch/tree/14237317fce</v>
      </c>
      <c r="D687" s="16" t="s">
        <v>4970</v>
      </c>
      <c r="E687" s="16" t="s">
        <v>4969</v>
      </c>
      <c r="F687" s="54"/>
      <c r="H687" s="112" t="s">
        <v>4708</v>
      </c>
      <c r="I687" s="16" t="s">
        <v>4972</v>
      </c>
      <c r="J687" s="183" t="str">
        <f>IFERROR(VLOOKUP(A687,Internal_lists_bugs!$A$2:$I2031,9,FALSE()),"please select a BUG ID")</f>
        <v>No information available</v>
      </c>
    </row>
    <row r="688">
      <c r="A688" s="1" t="s">
        <v>69</v>
      </c>
      <c r="B688" s="50" t="str">
        <f>IFERROR(HYPERLINK(VLOOKUP(A688,Internal_lists_bugs!$A$2:$C$73,3,FALSE()), VLOOKUP(A688,Internal_lists_bugs!$A$2:$C$73,3,FALSE())&amp;Char(10) &amp; Char(10) &amp; VLOOKUP(A688,Internal_lists_bugs!$A$2:$Z$73,26,FALSE())),"please select a BUG ID")</f>
        <v>https://github.com/elastic/elasticsearch/issues/1814
/internal/InternalSearchHit.java</v>
      </c>
      <c r="C688" s="81" t="str">
        <f>IFERROR(SUBSTITUTE(VLOOKUP(A688,Internal_lists_bugs!$A$2:$G2031,7,FALSE()),"/commit/","/tree/"),"please select a BUG ID")</f>
        <v>https://github.com/elastic/elasticsearch/tree/14237317fce</v>
      </c>
      <c r="D688" s="16" t="s">
        <v>4973</v>
      </c>
      <c r="E688" s="16" t="s">
        <v>5005</v>
      </c>
      <c r="F688" s="54"/>
      <c r="H688" s="112" t="s">
        <v>4971</v>
      </c>
      <c r="J688" s="183" t="str">
        <f>IFERROR(VLOOKUP(A688,Internal_lists_bugs!$A$2:$I2031,9,FALSE()),"please select a BUG ID")</f>
        <v>No information available</v>
      </c>
    </row>
    <row r="689">
      <c r="A689" s="1" t="s">
        <v>69</v>
      </c>
      <c r="B689" s="50" t="str">
        <f>IFERROR(HYPERLINK(VLOOKUP(A689,Internal_lists_bugs!$A$2:$C$73,3,FALSE()), VLOOKUP(A689,Internal_lists_bugs!$A$2:$C$73,3,FALSE())&amp;Char(10) &amp; Char(10) &amp; VLOOKUP(A689,Internal_lists_bugs!$A$2:$Z$73,26,FALSE())),"please select a BUG ID")</f>
        <v>https://github.com/elastic/elasticsearch/issues/1814
/internal/InternalSearchHit.java</v>
      </c>
      <c r="C689" s="81" t="str">
        <f>IFERROR(SUBSTITUTE(VLOOKUP(A689,Internal_lists_bugs!$A$2:$G2031,7,FALSE()),"/commit/","/tree/"),"please select a BUG ID")</f>
        <v>https://github.com/elastic/elasticsearch/tree/14237317fce</v>
      </c>
      <c r="D689" s="16" t="s">
        <v>4976</v>
      </c>
      <c r="E689" s="16" t="s">
        <v>4977</v>
      </c>
      <c r="F689" s="54"/>
      <c r="H689" s="112" t="s">
        <v>4975</v>
      </c>
      <c r="J689" s="183" t="str">
        <f>IFERROR(VLOOKUP(A689,Internal_lists_bugs!$A$2:$I2031,9,FALSE()),"please select a BUG ID")</f>
        <v>No information available</v>
      </c>
    </row>
    <row r="690">
      <c r="A690" s="1" t="s">
        <v>69</v>
      </c>
      <c r="B690" s="50" t="str">
        <f>IFERROR(HYPERLINK(VLOOKUP(A690,Internal_lists_bugs!$A$2:$C$73,3,FALSE()), VLOOKUP(A690,Internal_lists_bugs!$A$2:$C$73,3,FALSE())&amp;Char(10) &amp; Char(10) &amp; VLOOKUP(A690,Internal_lists_bugs!$A$2:$Z$73,26,FALSE())),"please select a BUG ID")</f>
        <v>https://github.com/elastic/elasticsearch/issues/1814
/internal/InternalSearchHit.java</v>
      </c>
      <c r="C690" s="81" t="str">
        <f>IFERROR(SUBSTITUTE(VLOOKUP(A690,Internal_lists_bugs!$A$2:$G2031,7,FALSE()),"/commit/","/tree/"),"please select a BUG ID")</f>
        <v>https://github.com/elastic/elasticsearch/tree/14237317fce</v>
      </c>
      <c r="D690" s="16" t="s">
        <v>4978</v>
      </c>
      <c r="E690" s="16" t="s">
        <v>4979</v>
      </c>
      <c r="F690" s="54"/>
      <c r="H690" s="112" t="s">
        <v>4993</v>
      </c>
      <c r="J690" s="183" t="str">
        <f>IFERROR(VLOOKUP(A690,Internal_lists_bugs!$A$2:$I2031,9,FALSE()),"please select a BUG ID")</f>
        <v>No information available</v>
      </c>
    </row>
    <row r="691">
      <c r="A691" s="1" t="s">
        <v>69</v>
      </c>
      <c r="B691" s="50" t="str">
        <f>IFERROR(HYPERLINK(VLOOKUP(A691,Internal_lists_bugs!$A$2:$C$73,3,FALSE()), VLOOKUP(A691,Internal_lists_bugs!$A$2:$C$73,3,FALSE())&amp;Char(10) &amp; Char(10) &amp; VLOOKUP(A691,Internal_lists_bugs!$A$2:$Z$73,26,FALSE())),"please select a BUG ID")</f>
        <v>https://github.com/elastic/elasticsearch/issues/1814
/internal/InternalSearchHit.java</v>
      </c>
      <c r="C691" s="81" t="str">
        <f>IFERROR(SUBSTITUTE(VLOOKUP(A691,Internal_lists_bugs!$A$2:$G2031,7,FALSE()),"/commit/","/tree/"),"please select a BUG ID")</f>
        <v>https://github.com/elastic/elasticsearch/tree/14237317fce</v>
      </c>
      <c r="D691" s="16" t="s">
        <v>4982</v>
      </c>
      <c r="E691" s="16" t="s">
        <v>4979</v>
      </c>
      <c r="F691" s="54"/>
      <c r="H691" s="112" t="s">
        <v>4684</v>
      </c>
      <c r="J691" s="183" t="str">
        <f>IFERROR(VLOOKUP(A691,Internal_lists_bugs!$A$2:$I2031,9,FALSE()),"please select a BUG ID")</f>
        <v>No information available</v>
      </c>
    </row>
    <row r="692">
      <c r="A692" s="1" t="s">
        <v>69</v>
      </c>
      <c r="B692" s="50" t="str">
        <f>IFERROR(HYPERLINK(VLOOKUP(A692,Internal_lists_bugs!$A$2:$C$73,3,FALSE()), VLOOKUP(A692,Internal_lists_bugs!$A$2:$C$73,3,FALSE())&amp;Char(10) &amp; Char(10) &amp; VLOOKUP(A692,Internal_lists_bugs!$A$2:$Z$73,26,FALSE())),"please select a BUG ID")</f>
        <v>https://github.com/elastic/elasticsearch/issues/1814
/internal/InternalSearchHit.java</v>
      </c>
      <c r="C692" s="81" t="str">
        <f>IFERROR(SUBSTITUTE(VLOOKUP(A692,Internal_lists_bugs!$A$2:$G2031,7,FALSE()),"/commit/","/tree/"),"please select a BUG ID")</f>
        <v>https://github.com/elastic/elasticsearch/tree/14237317fce</v>
      </c>
      <c r="D692" s="16" t="s">
        <v>4983</v>
      </c>
      <c r="E692" s="16" t="s">
        <v>4984</v>
      </c>
      <c r="F692" s="54"/>
      <c r="H692" s="112" t="s">
        <v>4994</v>
      </c>
      <c r="I692" s="16" t="s">
        <v>5016</v>
      </c>
      <c r="J692" s="183" t="str">
        <f>IFERROR(VLOOKUP(A692,Internal_lists_bugs!$A$2:$I2031,9,FALSE()),"please select a BUG ID")</f>
        <v>No information available</v>
      </c>
    </row>
    <row r="693">
      <c r="A693" s="1" t="s">
        <v>69</v>
      </c>
      <c r="B693" s="50" t="str">
        <f>IFERROR(HYPERLINK(VLOOKUP(A693,Internal_lists_bugs!$A$2:$C$73,3,FALSE()), VLOOKUP(A693,Internal_lists_bugs!$A$2:$C$73,3,FALSE())&amp;Char(10) &amp; Char(10) &amp; VLOOKUP(A693,Internal_lists_bugs!$A$2:$Z$73,26,FALSE())),"please select a BUG ID")</f>
        <v>https://github.com/elastic/elasticsearch/issues/1814
/internal/InternalSearchHit.java</v>
      </c>
      <c r="C693" s="81" t="str">
        <f>IFERROR(SUBSTITUTE(VLOOKUP(A693,Internal_lists_bugs!$A$2:$G2031,7,FALSE()),"/commit/","/tree/"),"please select a BUG ID")</f>
        <v>https://github.com/elastic/elasticsearch/tree/14237317fce</v>
      </c>
      <c r="D693" s="16" t="s">
        <v>4985</v>
      </c>
      <c r="E693" s="16" t="s">
        <v>4996</v>
      </c>
      <c r="F693" s="54"/>
      <c r="H693" s="112" t="s">
        <v>4980</v>
      </c>
      <c r="I693" s="16" t="s">
        <v>4981</v>
      </c>
      <c r="J693" s="183" t="str">
        <f>IFERROR(VLOOKUP(A693,Internal_lists_bugs!$A$2:$I2031,9,FALSE()),"please select a BUG ID")</f>
        <v>No information available</v>
      </c>
    </row>
    <row r="694">
      <c r="A694" s="1" t="s">
        <v>69</v>
      </c>
      <c r="B694" s="50" t="str">
        <f>IFERROR(HYPERLINK(VLOOKUP(A694,Internal_lists_bugs!$A$2:$C$73,3,FALSE()), VLOOKUP(A694,Internal_lists_bugs!$A$2:$C$73,3,FALSE())&amp;Char(10) &amp; Char(10) &amp; VLOOKUP(A694,Internal_lists_bugs!$A$2:$Z$73,26,FALSE())),"please select a BUG ID")</f>
        <v>https://github.com/elastic/elasticsearch/issues/1814
/internal/InternalSearchHit.java</v>
      </c>
      <c r="C694" s="81" t="str">
        <f>IFERROR(SUBSTITUTE(VLOOKUP(A694,Internal_lists_bugs!$A$2:$G2031,7,FALSE()),"/commit/","/tree/"),"please select a BUG ID")</f>
        <v>https://github.com/elastic/elasticsearch/tree/14237317fce</v>
      </c>
      <c r="D694" s="16" t="s">
        <v>5003</v>
      </c>
      <c r="E694" s="16" t="s">
        <v>5012</v>
      </c>
      <c r="F694" s="54"/>
      <c r="H694" s="114"/>
      <c r="J694" s="183" t="str">
        <f>IFERROR(VLOOKUP(A694,Internal_lists_bugs!$A$2:$I2031,9,FALSE()),"please select a BUG ID")</f>
        <v>No information available</v>
      </c>
    </row>
    <row r="695">
      <c r="A695" s="1" t="s">
        <v>69</v>
      </c>
      <c r="B695" s="50" t="str">
        <f>IFERROR(HYPERLINK(VLOOKUP(A695,Internal_lists_bugs!$A$2:$C$73,3,FALSE()), VLOOKUP(A695,Internal_lists_bugs!$A$2:$C$73,3,FALSE())&amp;Char(10) &amp; Char(10) &amp; VLOOKUP(A695,Internal_lists_bugs!$A$2:$Z$73,26,FALSE())),"please select a BUG ID")</f>
        <v>https://github.com/elastic/elasticsearch/issues/1814
/internal/InternalSearchHit.java</v>
      </c>
      <c r="C695" s="81" t="str">
        <f>IFERROR(SUBSTITUTE(VLOOKUP(A695,Internal_lists_bugs!$A$2:$G2031,7,FALSE()),"/commit/","/tree/"),"please select a BUG ID")</f>
        <v>https://github.com/elastic/elasticsearch/tree/14237317fce</v>
      </c>
      <c r="D695" s="16" t="s">
        <v>4989</v>
      </c>
      <c r="E695" s="16" t="s">
        <v>5014</v>
      </c>
      <c r="F695" s="54"/>
      <c r="H695" s="114"/>
      <c r="J695" s="183" t="str">
        <f>IFERROR(VLOOKUP(A695,Internal_lists_bugs!$A$2:$I2031,9,FALSE()),"please select a BUG ID")</f>
        <v>No information available</v>
      </c>
    </row>
    <row r="696">
      <c r="A696" s="1" t="s">
        <v>69</v>
      </c>
      <c r="B696" s="50" t="str">
        <f>IFERROR(HYPERLINK(VLOOKUP(A696,Internal_lists_bugs!$A$2:$C$73,3,FALSE()), VLOOKUP(A696,Internal_lists_bugs!$A$2:$C$73,3,FALSE())&amp;Char(10) &amp; Char(10) &amp; VLOOKUP(A696,Internal_lists_bugs!$A$2:$Z$73,26,FALSE())),"please select a BUG ID")</f>
        <v>https://github.com/elastic/elasticsearch/issues/1814
/internal/InternalSearchHit.java</v>
      </c>
      <c r="C696" s="81" t="str">
        <f>IFERROR(SUBSTITUTE(VLOOKUP(A696,Internal_lists_bugs!$A$2:$G2031,7,FALSE()),"/commit/","/tree/"),"please select a BUG ID")</f>
        <v>https://github.com/elastic/elasticsearch/tree/14237317fce</v>
      </c>
      <c r="D696" s="16" t="s">
        <v>4968</v>
      </c>
      <c r="E696" s="16" t="s">
        <v>5017</v>
      </c>
      <c r="F696" s="54"/>
      <c r="H696" s="114"/>
      <c r="J696" s="183" t="str">
        <f>IFERROR(VLOOKUP(A696,Internal_lists_bugs!$A$2:$I2031,9,FALSE()),"please select a BUG ID")</f>
        <v>No information available</v>
      </c>
    </row>
    <row r="697">
      <c r="A697" s="1" t="s">
        <v>69</v>
      </c>
      <c r="B697" s="50" t="str">
        <f>IFERROR(HYPERLINK(VLOOKUP(A697,Internal_lists_bugs!$A$2:$C$73,3,FALSE()), VLOOKUP(A697,Internal_lists_bugs!$A$2:$C$73,3,FALSE())&amp;Char(10) &amp; Char(10) &amp; VLOOKUP(A697,Internal_lists_bugs!$A$2:$Z$73,26,FALSE())),"please select a BUG ID")</f>
        <v>https://github.com/elastic/elasticsearch/issues/1814
/internal/InternalSearchHit.java</v>
      </c>
      <c r="C697" s="81" t="str">
        <f>IFERROR(SUBSTITUTE(VLOOKUP(A697,Internal_lists_bugs!$A$2:$G2031,7,FALSE()),"/commit/","/tree/"),"please select a BUG ID")</f>
        <v>https://github.com/elastic/elasticsearch/tree/14237317fce</v>
      </c>
      <c r="D697" s="16" t="s">
        <v>5001</v>
      </c>
      <c r="E697" s="16" t="s">
        <v>5017</v>
      </c>
      <c r="F697" s="54"/>
      <c r="H697" s="114"/>
      <c r="J697" s="183" t="str">
        <f>IFERROR(VLOOKUP(A697,Internal_lists_bugs!$A$2:$I2031,9,FALSE()),"please select a BUG ID")</f>
        <v>No information available</v>
      </c>
    </row>
    <row r="698">
      <c r="A698" s="1" t="s">
        <v>69</v>
      </c>
      <c r="B698" s="50" t="str">
        <f>IFERROR(HYPERLINK(VLOOKUP(A698,Internal_lists_bugs!$A$2:$C$73,3,FALSE()), VLOOKUP(A698,Internal_lists_bugs!$A$2:$C$73,3,FALSE())&amp;Char(10) &amp; Char(10) &amp; VLOOKUP(A698,Internal_lists_bugs!$A$2:$Z$73,26,FALSE())),"please select a BUG ID")</f>
        <v>https://github.com/elastic/elasticsearch/issues/1814
/internal/InternalSearchHit.java</v>
      </c>
      <c r="C698" s="81" t="str">
        <f>IFERROR(SUBSTITUTE(VLOOKUP(A698,Internal_lists_bugs!$A$2:$G2031,7,FALSE()),"/commit/","/tree/"),"please select a BUG ID")</f>
        <v>https://github.com/elastic/elasticsearch/tree/14237317fce</v>
      </c>
      <c r="D698" s="16" t="s">
        <v>5000</v>
      </c>
      <c r="E698" s="16" t="s">
        <v>5017</v>
      </c>
      <c r="F698" s="54"/>
      <c r="H698" s="114"/>
      <c r="J698" s="183" t="str">
        <f>IFERROR(VLOOKUP(A698,Internal_lists_bugs!$A$2:$I2031,9,FALSE()),"please select a BUG ID")</f>
        <v>No information available</v>
      </c>
    </row>
    <row r="699">
      <c r="A699" s="1" t="s">
        <v>69</v>
      </c>
      <c r="B699" s="50" t="str">
        <f>IFERROR(HYPERLINK(VLOOKUP(A699,Internal_lists_bugs!$A$2:$C$73,3,FALSE()), VLOOKUP(A699,Internal_lists_bugs!$A$2:$C$73,3,FALSE())&amp;Char(10) &amp; Char(10) &amp; VLOOKUP(A699,Internal_lists_bugs!$A$2:$Z$73,26,FALSE())),"please select a BUG ID")</f>
        <v>https://github.com/elastic/elasticsearch/issues/1814
/internal/InternalSearchHit.java</v>
      </c>
      <c r="C699" s="81" t="str">
        <f>IFERROR(SUBSTITUTE(VLOOKUP(A699,Internal_lists_bugs!$A$2:$G2031,7,FALSE()),"/commit/","/tree/"),"please select a BUG ID")</f>
        <v>https://github.com/elastic/elasticsearch/tree/14237317fce</v>
      </c>
      <c r="D699" s="16" t="s">
        <v>4998</v>
      </c>
      <c r="E699" s="16" t="s">
        <v>4977</v>
      </c>
      <c r="F699" s="54"/>
      <c r="H699" s="114"/>
      <c r="J699" s="183" t="str">
        <f>IFERROR(VLOOKUP(A699,Internal_lists_bugs!$A$2:$I2031,9,FALSE()),"please select a BUG ID")</f>
        <v>No information available</v>
      </c>
    </row>
    <row r="700">
      <c r="A700" s="1" t="s">
        <v>69</v>
      </c>
      <c r="B700" s="50" t="str">
        <f>IFERROR(HYPERLINK(VLOOKUP(A700,Internal_lists_bugs!$A$2:$C$73,3,FALSE()), VLOOKUP(A700,Internal_lists_bugs!$A$2:$C$73,3,FALSE())&amp;Char(10) &amp; Char(10) &amp; VLOOKUP(A700,Internal_lists_bugs!$A$2:$Z$73,26,FALSE())),"please select a BUG ID")</f>
        <v>https://github.com/elastic/elasticsearch/issues/1814
/internal/InternalSearchHit.java</v>
      </c>
      <c r="C700" s="81" t="str">
        <f>IFERROR(SUBSTITUTE(VLOOKUP(A700,Internal_lists_bugs!$A$2:$G2031,7,FALSE()),"/commit/","/tree/"),"please select a BUG ID")</f>
        <v>https://github.com/elastic/elasticsearch/tree/14237317fce</v>
      </c>
      <c r="D700" s="16" t="s">
        <v>5018</v>
      </c>
      <c r="E700" s="16" t="s">
        <v>5019</v>
      </c>
      <c r="F700" s="54"/>
      <c r="H700" s="114"/>
      <c r="J700" s="183" t="str">
        <f>IFERROR(VLOOKUP(A700,Internal_lists_bugs!$A$2:$I2031,9,FALSE()),"please select a BUG ID")</f>
        <v>No information available</v>
      </c>
    </row>
    <row r="701">
      <c r="A701" s="1" t="s">
        <v>82</v>
      </c>
      <c r="B701" s="50" t="str">
        <f>IFERROR(HYPERLINK(VLOOKUP(A701,Internal_lists_bugs!$A$2:$C$73,3,FALSE()), VLOOKUP(A701,Internal_lists_bugs!$A$2:$C$73,3,FALSE())&amp;Char(10) &amp; Char(10) &amp; VLOOKUP(A701,Internal_lists_bugs!$A$2:$Z$73,26,FALSE())),"please select a BUG ID")</f>
        <v>https://github.com/elastic/elasticsearch/issues/1948
/percolator/PercolatorExecutor.java</v>
      </c>
      <c r="C701" s="81" t="str">
        <f>IFERROR(SUBSTITUTE(VLOOKUP(A701,Internal_lists_bugs!$A$2:$G2031,7,FALSE()),"/commit/","/tree/"),"please select a BUG ID")</f>
        <v>https://github.com/elastic/elasticsearch/tree/3b967040da2</v>
      </c>
      <c r="D701" s="16" t="s">
        <v>4962</v>
      </c>
      <c r="E701" s="16" t="s">
        <v>4963</v>
      </c>
      <c r="F701" s="16" t="s">
        <v>4724</v>
      </c>
      <c r="G701" s="63" t="s">
        <v>4992</v>
      </c>
      <c r="H701" s="112" t="s">
        <v>4965</v>
      </c>
      <c r="J701" s="183" t="str">
        <f>IFERROR(VLOOKUP(A701,Internal_lists_bugs!$A$2:$I2031,9,FALSE()),"please select a BUG ID")</f>
        <v>No information available</v>
      </c>
    </row>
    <row r="702">
      <c r="A702" s="1" t="s">
        <v>82</v>
      </c>
      <c r="B702" s="50" t="str">
        <f>IFERROR(HYPERLINK(VLOOKUP(A702,Internal_lists_bugs!$A$2:$C$73,3,FALSE()), VLOOKUP(A702,Internal_lists_bugs!$A$2:$C$73,3,FALSE())&amp;Char(10) &amp; Char(10) &amp; VLOOKUP(A702,Internal_lists_bugs!$A$2:$Z$73,26,FALSE())),"please select a BUG ID")</f>
        <v>https://github.com/elastic/elasticsearch/issues/1948
/percolator/PercolatorExecutor.java</v>
      </c>
      <c r="C702" s="81" t="str">
        <f>IFERROR(SUBSTITUTE(VLOOKUP(A702,Internal_lists_bugs!$A$2:$G2031,7,FALSE()),"/commit/","/tree/"),"please select a BUG ID")</f>
        <v>https://github.com/elastic/elasticsearch/tree/3b967040da2</v>
      </c>
      <c r="D702" s="16" t="s">
        <v>4966</v>
      </c>
      <c r="E702" s="16" t="s">
        <v>4967</v>
      </c>
      <c r="F702" s="54"/>
      <c r="H702" s="112" t="s">
        <v>4818</v>
      </c>
      <c r="J702" s="183" t="str">
        <f>IFERROR(VLOOKUP(A702,Internal_lists_bugs!$A$2:$I2031,9,FALSE()),"please select a BUG ID")</f>
        <v>No information available</v>
      </c>
    </row>
    <row r="703">
      <c r="A703" s="1" t="s">
        <v>82</v>
      </c>
      <c r="B703" s="50" t="str">
        <f>IFERROR(HYPERLINK(VLOOKUP(A703,Internal_lists_bugs!$A$2:$C$73,3,FALSE()), VLOOKUP(A703,Internal_lists_bugs!$A$2:$C$73,3,FALSE())&amp;Char(10) &amp; Char(10) &amp; VLOOKUP(A703,Internal_lists_bugs!$A$2:$Z$73,26,FALSE())),"please select a BUG ID")</f>
        <v>https://github.com/elastic/elasticsearch/issues/1948
/percolator/PercolatorExecutor.java</v>
      </c>
      <c r="C703" s="81" t="str">
        <f>IFERROR(SUBSTITUTE(VLOOKUP(A703,Internal_lists_bugs!$A$2:$G2031,7,FALSE()),"/commit/","/tree/"),"please select a BUG ID")</f>
        <v>https://github.com/elastic/elasticsearch/tree/3b967040da2</v>
      </c>
      <c r="D703" s="16" t="s">
        <v>4970</v>
      </c>
      <c r="E703" s="16" t="s">
        <v>4969</v>
      </c>
      <c r="F703" s="54"/>
      <c r="H703" s="112" t="s">
        <v>4708</v>
      </c>
      <c r="I703" s="16" t="s">
        <v>4972</v>
      </c>
      <c r="J703" s="183" t="str">
        <f>IFERROR(VLOOKUP(A703,Internal_lists_bugs!$A$2:$I2031,9,FALSE()),"please select a BUG ID")</f>
        <v>No information available</v>
      </c>
    </row>
    <row r="704">
      <c r="A704" s="1" t="s">
        <v>82</v>
      </c>
      <c r="B704" s="50" t="str">
        <f>IFERROR(HYPERLINK(VLOOKUP(A704,Internal_lists_bugs!$A$2:$C$73,3,FALSE()), VLOOKUP(A704,Internal_lists_bugs!$A$2:$C$73,3,FALSE())&amp;Char(10) &amp; Char(10) &amp; VLOOKUP(A704,Internal_lists_bugs!$A$2:$Z$73,26,FALSE())),"please select a BUG ID")</f>
        <v>https://github.com/elastic/elasticsearch/issues/1948
/percolator/PercolatorExecutor.java</v>
      </c>
      <c r="C704" s="81" t="str">
        <f>IFERROR(SUBSTITUTE(VLOOKUP(A704,Internal_lists_bugs!$A$2:$G2031,7,FALSE()),"/commit/","/tree/"),"please select a BUG ID")</f>
        <v>https://github.com/elastic/elasticsearch/tree/3b967040da2</v>
      </c>
      <c r="D704" s="16" t="s">
        <v>4973</v>
      </c>
      <c r="E704" s="16" t="s">
        <v>5005</v>
      </c>
      <c r="F704" s="54"/>
      <c r="H704" s="112" t="s">
        <v>4971</v>
      </c>
      <c r="J704" s="183" t="str">
        <f>IFERROR(VLOOKUP(A704,Internal_lists_bugs!$A$2:$I2031,9,FALSE()),"please select a BUG ID")</f>
        <v>No information available</v>
      </c>
    </row>
    <row r="705">
      <c r="A705" s="1" t="s">
        <v>82</v>
      </c>
      <c r="B705" s="50" t="str">
        <f>IFERROR(HYPERLINK(VLOOKUP(A705,Internal_lists_bugs!$A$2:$C$73,3,FALSE()), VLOOKUP(A705,Internal_lists_bugs!$A$2:$C$73,3,FALSE())&amp;Char(10) &amp; Char(10) &amp; VLOOKUP(A705,Internal_lists_bugs!$A$2:$Z$73,26,FALSE())),"please select a BUG ID")</f>
        <v>https://github.com/elastic/elasticsearch/issues/1948
/percolator/PercolatorExecutor.java</v>
      </c>
      <c r="C705" s="81" t="str">
        <f>IFERROR(SUBSTITUTE(VLOOKUP(A705,Internal_lists_bugs!$A$2:$G2031,7,FALSE()),"/commit/","/tree/"),"please select a BUG ID")</f>
        <v>https://github.com/elastic/elasticsearch/tree/3b967040da2</v>
      </c>
      <c r="D705" s="16" t="s">
        <v>4976</v>
      </c>
      <c r="E705" s="16" t="s">
        <v>4977</v>
      </c>
      <c r="F705" s="54"/>
      <c r="H705" s="112" t="s">
        <v>4975</v>
      </c>
      <c r="J705" s="183" t="str">
        <f>IFERROR(VLOOKUP(A705,Internal_lists_bugs!$A$2:$I2031,9,FALSE()),"please select a BUG ID")</f>
        <v>No information available</v>
      </c>
    </row>
    <row r="706">
      <c r="A706" s="1" t="s">
        <v>82</v>
      </c>
      <c r="B706" s="50" t="str">
        <f>IFERROR(HYPERLINK(VLOOKUP(A706,Internal_lists_bugs!$A$2:$C$73,3,FALSE()), VLOOKUP(A706,Internal_lists_bugs!$A$2:$C$73,3,FALSE())&amp;Char(10) &amp; Char(10) &amp; VLOOKUP(A706,Internal_lists_bugs!$A$2:$Z$73,26,FALSE())),"please select a BUG ID")</f>
        <v>https://github.com/elastic/elasticsearch/issues/1948
/percolator/PercolatorExecutor.java</v>
      </c>
      <c r="C706" s="81" t="str">
        <f>IFERROR(SUBSTITUTE(VLOOKUP(A706,Internal_lists_bugs!$A$2:$G2031,7,FALSE()),"/commit/","/tree/"),"please select a BUG ID")</f>
        <v>https://github.com/elastic/elasticsearch/tree/3b967040da2</v>
      </c>
      <c r="D706" s="16" t="s">
        <v>4978</v>
      </c>
      <c r="E706" s="16" t="s">
        <v>4979</v>
      </c>
      <c r="F706" s="54"/>
      <c r="H706" s="112" t="s">
        <v>4993</v>
      </c>
      <c r="J706" s="183" t="str">
        <f>IFERROR(VLOOKUP(A706,Internal_lists_bugs!$A$2:$I2031,9,FALSE()),"please select a BUG ID")</f>
        <v>No information available</v>
      </c>
    </row>
    <row r="707">
      <c r="A707" s="1" t="s">
        <v>82</v>
      </c>
      <c r="B707" s="50" t="str">
        <f>IFERROR(HYPERLINK(VLOOKUP(A707,Internal_lists_bugs!$A$2:$C$73,3,FALSE()), VLOOKUP(A707,Internal_lists_bugs!$A$2:$C$73,3,FALSE())&amp;Char(10) &amp; Char(10) &amp; VLOOKUP(A707,Internal_lists_bugs!$A$2:$Z$73,26,FALSE())),"please select a BUG ID")</f>
        <v>https://github.com/elastic/elasticsearch/issues/1948
/percolator/PercolatorExecutor.java</v>
      </c>
      <c r="C707" s="81" t="str">
        <f>IFERROR(SUBSTITUTE(VLOOKUP(A707,Internal_lists_bugs!$A$2:$G2031,7,FALSE()),"/commit/","/tree/"),"please select a BUG ID")</f>
        <v>https://github.com/elastic/elasticsearch/tree/3b967040da2</v>
      </c>
      <c r="D707" s="16" t="s">
        <v>4982</v>
      </c>
      <c r="E707" s="16" t="s">
        <v>4979</v>
      </c>
      <c r="F707" s="54"/>
      <c r="H707" s="112" t="s">
        <v>4684</v>
      </c>
      <c r="J707" s="183" t="str">
        <f>IFERROR(VLOOKUP(A707,Internal_lists_bugs!$A$2:$I2031,9,FALSE()),"please select a BUG ID")</f>
        <v>No information available</v>
      </c>
    </row>
    <row r="708">
      <c r="A708" s="1" t="s">
        <v>82</v>
      </c>
      <c r="B708" s="50" t="str">
        <f>IFERROR(HYPERLINK(VLOOKUP(A708,Internal_lists_bugs!$A$2:$C$73,3,FALSE()), VLOOKUP(A708,Internal_lists_bugs!$A$2:$C$73,3,FALSE())&amp;Char(10) &amp; Char(10) &amp; VLOOKUP(A708,Internal_lists_bugs!$A$2:$Z$73,26,FALSE())),"please select a BUG ID")</f>
        <v>https://github.com/elastic/elasticsearch/issues/1948
/percolator/PercolatorExecutor.java</v>
      </c>
      <c r="C708" s="81" t="str">
        <f>IFERROR(SUBSTITUTE(VLOOKUP(A708,Internal_lists_bugs!$A$2:$G2031,7,FALSE()),"/commit/","/tree/"),"please select a BUG ID")</f>
        <v>https://github.com/elastic/elasticsearch/tree/3b967040da2</v>
      </c>
      <c r="D708" s="16" t="s">
        <v>4983</v>
      </c>
      <c r="E708" s="16" t="s">
        <v>4984</v>
      </c>
      <c r="F708" s="54"/>
      <c r="H708" s="112" t="s">
        <v>4994</v>
      </c>
      <c r="I708" s="16" t="s">
        <v>5016</v>
      </c>
      <c r="J708" s="183" t="str">
        <f>IFERROR(VLOOKUP(A708,Internal_lists_bugs!$A$2:$I2031,9,FALSE()),"please select a BUG ID")</f>
        <v>No information available</v>
      </c>
    </row>
    <row r="709">
      <c r="A709" s="1" t="s">
        <v>82</v>
      </c>
      <c r="B709" s="50" t="str">
        <f>IFERROR(HYPERLINK(VLOOKUP(A709,Internal_lists_bugs!$A$2:$C$73,3,FALSE()), VLOOKUP(A709,Internal_lists_bugs!$A$2:$C$73,3,FALSE())&amp;Char(10) &amp; Char(10) &amp; VLOOKUP(A709,Internal_lists_bugs!$A$2:$Z$73,26,FALSE())),"please select a BUG ID")</f>
        <v>https://github.com/elastic/elasticsearch/issues/1948
/percolator/PercolatorExecutor.java</v>
      </c>
      <c r="C709" s="81" t="str">
        <f>IFERROR(SUBSTITUTE(VLOOKUP(A709,Internal_lists_bugs!$A$2:$G2031,7,FALSE()),"/commit/","/tree/"),"please select a BUG ID")</f>
        <v>https://github.com/elastic/elasticsearch/tree/3b967040da2</v>
      </c>
      <c r="D709" s="16" t="s">
        <v>4985</v>
      </c>
      <c r="E709" s="16" t="s">
        <v>4996</v>
      </c>
      <c r="F709" s="54"/>
      <c r="H709" s="112" t="s">
        <v>4980</v>
      </c>
      <c r="I709" s="16" t="s">
        <v>4981</v>
      </c>
      <c r="J709" s="183" t="str">
        <f>IFERROR(VLOOKUP(A709,Internal_lists_bugs!$A$2:$I2031,9,FALSE()),"please select a BUG ID")</f>
        <v>No information available</v>
      </c>
    </row>
    <row r="710">
      <c r="A710" s="1" t="s">
        <v>82</v>
      </c>
      <c r="B710" s="50" t="str">
        <f>IFERROR(HYPERLINK(VLOOKUP(A710,Internal_lists_bugs!$A$2:$C$73,3,FALSE()), VLOOKUP(A710,Internal_lists_bugs!$A$2:$C$73,3,FALSE())&amp;Char(10) &amp; Char(10) &amp; VLOOKUP(A710,Internal_lists_bugs!$A$2:$Z$73,26,FALSE())),"please select a BUG ID")</f>
        <v>https://github.com/elastic/elasticsearch/issues/1948
/percolator/PercolatorExecutor.java</v>
      </c>
      <c r="C710" s="81" t="str">
        <f>IFERROR(SUBSTITUTE(VLOOKUP(A710,Internal_lists_bugs!$A$2:$G2031,7,FALSE()),"/commit/","/tree/"),"please select a BUG ID")</f>
        <v>https://github.com/elastic/elasticsearch/tree/3b967040da2</v>
      </c>
      <c r="D710" s="16" t="s">
        <v>5003</v>
      </c>
      <c r="E710" s="16" t="s">
        <v>5012</v>
      </c>
      <c r="F710" s="54"/>
      <c r="H710" s="114"/>
      <c r="J710" s="183" t="str">
        <f>IFERROR(VLOOKUP(A710,Internal_lists_bugs!$A$2:$I2031,9,FALSE()),"please select a BUG ID")</f>
        <v>No information available</v>
      </c>
    </row>
    <row r="711">
      <c r="A711" s="1" t="s">
        <v>82</v>
      </c>
      <c r="B711" s="50" t="str">
        <f>IFERROR(HYPERLINK(VLOOKUP(A711,Internal_lists_bugs!$A$2:$C$73,3,FALSE()), VLOOKUP(A711,Internal_lists_bugs!$A$2:$C$73,3,FALSE())&amp;Char(10) &amp; Char(10) &amp; VLOOKUP(A711,Internal_lists_bugs!$A$2:$Z$73,26,FALSE())),"please select a BUG ID")</f>
        <v>https://github.com/elastic/elasticsearch/issues/1948
/percolator/PercolatorExecutor.java</v>
      </c>
      <c r="C711" s="81" t="str">
        <f>IFERROR(SUBSTITUTE(VLOOKUP(A711,Internal_lists_bugs!$A$2:$G2031,7,FALSE()),"/commit/","/tree/"),"please select a BUG ID")</f>
        <v>https://github.com/elastic/elasticsearch/tree/3b967040da2</v>
      </c>
      <c r="D711" s="16" t="s">
        <v>4989</v>
      </c>
      <c r="E711" s="16" t="s">
        <v>5014</v>
      </c>
      <c r="F711" s="54"/>
      <c r="H711" s="114"/>
      <c r="J711" s="183" t="str">
        <f>IFERROR(VLOOKUP(A711,Internal_lists_bugs!$A$2:$I2031,9,FALSE()),"please select a BUG ID")</f>
        <v>No information available</v>
      </c>
    </row>
    <row r="712">
      <c r="A712" s="1" t="s">
        <v>82</v>
      </c>
      <c r="B712" s="50" t="str">
        <f>IFERROR(HYPERLINK(VLOOKUP(A712,Internal_lists_bugs!$A$2:$C$73,3,FALSE()), VLOOKUP(A712,Internal_lists_bugs!$A$2:$C$73,3,FALSE())&amp;Char(10) &amp; Char(10) &amp; VLOOKUP(A712,Internal_lists_bugs!$A$2:$Z$73,26,FALSE())),"please select a BUG ID")</f>
        <v>https://github.com/elastic/elasticsearch/issues/1948
/percolator/PercolatorExecutor.java</v>
      </c>
      <c r="C712" s="81" t="str">
        <f>IFERROR(SUBSTITUTE(VLOOKUP(A712,Internal_lists_bugs!$A$2:$G2031,7,FALSE()),"/commit/","/tree/"),"please select a BUG ID")</f>
        <v>https://github.com/elastic/elasticsearch/tree/3b967040da2</v>
      </c>
      <c r="D712" s="16" t="s">
        <v>4968</v>
      </c>
      <c r="E712" s="16" t="s">
        <v>5017</v>
      </c>
      <c r="F712" s="54"/>
      <c r="H712" s="114"/>
      <c r="J712" s="183" t="str">
        <f>IFERROR(VLOOKUP(A712,Internal_lists_bugs!$A$2:$I2031,9,FALSE()),"please select a BUG ID")</f>
        <v>No information available</v>
      </c>
    </row>
    <row r="713">
      <c r="A713" s="1" t="s">
        <v>82</v>
      </c>
      <c r="B713" s="50" t="str">
        <f>IFERROR(HYPERLINK(VLOOKUP(A713,Internal_lists_bugs!$A$2:$C$73,3,FALSE()), VLOOKUP(A713,Internal_lists_bugs!$A$2:$C$73,3,FALSE())&amp;Char(10) &amp; Char(10) &amp; VLOOKUP(A713,Internal_lists_bugs!$A$2:$Z$73,26,FALSE())),"please select a BUG ID")</f>
        <v>https://github.com/elastic/elasticsearch/issues/1948
/percolator/PercolatorExecutor.java</v>
      </c>
      <c r="C713" s="81" t="str">
        <f>IFERROR(SUBSTITUTE(VLOOKUP(A713,Internal_lists_bugs!$A$2:$G2031,7,FALSE()),"/commit/","/tree/"),"please select a BUG ID")</f>
        <v>https://github.com/elastic/elasticsearch/tree/3b967040da2</v>
      </c>
      <c r="D713" s="16" t="s">
        <v>5001</v>
      </c>
      <c r="E713" s="16" t="s">
        <v>5017</v>
      </c>
      <c r="F713" s="54"/>
      <c r="H713" s="114"/>
      <c r="J713" s="183" t="str">
        <f>IFERROR(VLOOKUP(A713,Internal_lists_bugs!$A$2:$I2031,9,FALSE()),"please select a BUG ID")</f>
        <v>No information available</v>
      </c>
    </row>
    <row r="714">
      <c r="A714" s="1" t="s">
        <v>82</v>
      </c>
      <c r="B714" s="50" t="str">
        <f>IFERROR(HYPERLINK(VLOOKUP(A714,Internal_lists_bugs!$A$2:$C$73,3,FALSE()), VLOOKUP(A714,Internal_lists_bugs!$A$2:$C$73,3,FALSE())&amp;Char(10) &amp; Char(10) &amp; VLOOKUP(A714,Internal_lists_bugs!$A$2:$Z$73,26,FALSE())),"please select a BUG ID")</f>
        <v>https://github.com/elastic/elasticsearch/issues/1948
/percolator/PercolatorExecutor.java</v>
      </c>
      <c r="C714" s="81" t="str">
        <f>IFERROR(SUBSTITUTE(VLOOKUP(A714,Internal_lists_bugs!$A$2:$G2031,7,FALSE()),"/commit/","/tree/"),"please select a BUG ID")</f>
        <v>https://github.com/elastic/elasticsearch/tree/3b967040da2</v>
      </c>
      <c r="D714" s="16" t="s">
        <v>5000</v>
      </c>
      <c r="E714" s="16" t="s">
        <v>5017</v>
      </c>
      <c r="F714" s="54"/>
      <c r="H714" s="114"/>
      <c r="J714" s="183" t="str">
        <f>IFERROR(VLOOKUP(A714,Internal_lists_bugs!$A$2:$I2031,9,FALSE()),"please select a BUG ID")</f>
        <v>No information available</v>
      </c>
    </row>
    <row r="715">
      <c r="A715" s="1" t="s">
        <v>82</v>
      </c>
      <c r="B715" s="50" t="str">
        <f>IFERROR(HYPERLINK(VLOOKUP(A715,Internal_lists_bugs!$A$2:$C$73,3,FALSE()), VLOOKUP(A715,Internal_lists_bugs!$A$2:$C$73,3,FALSE())&amp;Char(10) &amp; Char(10) &amp; VLOOKUP(A715,Internal_lists_bugs!$A$2:$Z$73,26,FALSE())),"please select a BUG ID")</f>
        <v>https://github.com/elastic/elasticsearch/issues/1948
/percolator/PercolatorExecutor.java</v>
      </c>
      <c r="C715" s="81" t="str">
        <f>IFERROR(SUBSTITUTE(VLOOKUP(A715,Internal_lists_bugs!$A$2:$G2031,7,FALSE()),"/commit/","/tree/"),"please select a BUG ID")</f>
        <v>https://github.com/elastic/elasticsearch/tree/3b967040da2</v>
      </c>
      <c r="D715" s="16" t="s">
        <v>4998</v>
      </c>
      <c r="E715" s="16" t="s">
        <v>4977</v>
      </c>
      <c r="F715" s="54"/>
      <c r="H715" s="114"/>
      <c r="J715" s="183" t="str">
        <f>IFERROR(VLOOKUP(A715,Internal_lists_bugs!$A$2:$I2031,9,FALSE()),"please select a BUG ID")</f>
        <v>No information available</v>
      </c>
    </row>
    <row r="716">
      <c r="A716" s="1" t="s">
        <v>82</v>
      </c>
      <c r="B716" s="50" t="str">
        <f>IFERROR(HYPERLINK(VLOOKUP(A716,Internal_lists_bugs!$A$2:$C$73,3,FALSE()), VLOOKUP(A716,Internal_lists_bugs!$A$2:$C$73,3,FALSE())&amp;Char(10) &amp; Char(10) &amp; VLOOKUP(A716,Internal_lists_bugs!$A$2:$Z$73,26,FALSE())),"please select a BUG ID")</f>
        <v>https://github.com/elastic/elasticsearch/issues/1948
/percolator/PercolatorExecutor.java</v>
      </c>
      <c r="C716" s="81" t="str">
        <f>IFERROR(SUBSTITUTE(VLOOKUP(A716,Internal_lists_bugs!$A$2:$G2031,7,FALSE()),"/commit/","/tree/"),"please select a BUG ID")</f>
        <v>https://github.com/elastic/elasticsearch/tree/3b967040da2</v>
      </c>
      <c r="D716" s="16" t="s">
        <v>5018</v>
      </c>
      <c r="E716" s="16" t="s">
        <v>5019</v>
      </c>
      <c r="F716" s="54"/>
      <c r="H716" s="114"/>
      <c r="J716" s="183" t="str">
        <f>IFERROR(VLOOKUP(A716,Internal_lists_bugs!$A$2:$I2031,9,FALSE()),"please select a BUG ID")</f>
        <v>No information available</v>
      </c>
    </row>
    <row r="717">
      <c r="A717" s="1" t="s">
        <v>82</v>
      </c>
      <c r="B717" s="50" t="str">
        <f>IFERROR(HYPERLINK(VLOOKUP(A717,Internal_lists_bugs!$A$2:$C$73,3,FALSE()), VLOOKUP(A717,Internal_lists_bugs!$A$2:$C$73,3,FALSE())&amp;Char(10) &amp; Char(10) &amp; VLOOKUP(A717,Internal_lists_bugs!$A$2:$Z$73,26,FALSE())),"please select a BUG ID")</f>
        <v>https://github.com/elastic/elasticsearch/issues/1948
/percolator/PercolatorExecutor.java</v>
      </c>
      <c r="C717" s="81" t="str">
        <f>IFERROR(SUBSTITUTE(VLOOKUP(A717,Internal_lists_bugs!$A$2:$G2031,7,FALSE()),"/commit/","/tree/"),"please select a BUG ID")</f>
        <v>https://github.com/elastic/elasticsearch/tree/3b967040da2</v>
      </c>
      <c r="D717" s="16" t="s">
        <v>5008</v>
      </c>
      <c r="E717" s="16" t="s">
        <v>5017</v>
      </c>
      <c r="F717" s="54"/>
      <c r="H717" s="114"/>
      <c r="J717" s="183" t="str">
        <f>IFERROR(VLOOKUP(A717,Internal_lists_bugs!$A$2:$I2031,9,FALSE()),"please select a BUG ID")</f>
        <v>No information available</v>
      </c>
    </row>
    <row r="718">
      <c r="A718" s="1" t="s">
        <v>79</v>
      </c>
      <c r="B718" s="50" t="str">
        <f>IFERROR(HYPERLINK(VLOOKUP(A718,Internal_lists_bugs!$A$2:$C$73,3,FALSE()), VLOOKUP(A718,Internal_lists_bugs!$A$2:$C$73,3,FALSE())&amp;Char(10) &amp; Char(10) &amp; VLOOKUP(A718,Internal_lists_bugs!$A$2:$Z$73,26,FALSE())),"please select a BUG ID")</f>
        <v>https://github.com/elastic/elasticsearch/issues/1960
/metadata/IndexMetaData.java
/metadata/IndexTemplateMetaData.java
/metadata/MetaData.java
/loader/SettingsLoader.java
/loader/YamlSettingsLoader.java</v>
      </c>
      <c r="C718" s="81" t="str">
        <f>IFERROR(SUBSTITUTE(VLOOKUP(A718,Internal_lists_bugs!$A$2:$G2031,7,FALSE()),"/commit/","/tree/"),"please select a BUG ID")</f>
        <v>https://github.com/elastic/elasticsearch/tree/ebd6316</v>
      </c>
      <c r="D718" s="16" t="s">
        <v>4962</v>
      </c>
      <c r="E718" s="16" t="s">
        <v>4963</v>
      </c>
      <c r="F718" s="16" t="s">
        <v>4724</v>
      </c>
      <c r="G718" s="63" t="s">
        <v>4992</v>
      </c>
      <c r="H718" s="112" t="s">
        <v>4965</v>
      </c>
      <c r="J718" s="183" t="str">
        <f>IFERROR(VLOOKUP(A718,Internal_lists_bugs!$A$2:$I2031,9,FALSE()),"please select a BUG ID")</f>
        <v>No information available</v>
      </c>
    </row>
    <row r="719">
      <c r="A719" s="1" t="s">
        <v>79</v>
      </c>
      <c r="B719" s="50" t="str">
        <f>IFERROR(HYPERLINK(VLOOKUP(A719,Internal_lists_bugs!$A$2:$C$73,3,FALSE()), VLOOKUP(A719,Internal_lists_bugs!$A$2:$C$73,3,FALSE())&amp;Char(10) &amp; Char(10) &amp; VLOOKUP(A719,Internal_lists_bugs!$A$2:$Z$73,26,FALSE())),"please select a BUG ID")</f>
        <v>https://github.com/elastic/elasticsearch/issues/1960
/metadata/IndexMetaData.java
/metadata/IndexTemplateMetaData.java
/metadata/MetaData.java
/loader/SettingsLoader.java
/loader/YamlSettingsLoader.java</v>
      </c>
      <c r="C719" s="81" t="str">
        <f>IFERROR(SUBSTITUTE(VLOOKUP(A719,Internal_lists_bugs!$A$2:$G2031,7,FALSE()),"/commit/","/tree/"),"please select a BUG ID")</f>
        <v>https://github.com/elastic/elasticsearch/tree/ebd6316</v>
      </c>
      <c r="D719" s="16" t="s">
        <v>4966</v>
      </c>
      <c r="E719" s="16" t="s">
        <v>4967</v>
      </c>
      <c r="F719" s="54"/>
      <c r="H719" s="112" t="s">
        <v>4818</v>
      </c>
      <c r="J719" s="183" t="str">
        <f>IFERROR(VLOOKUP(A719,Internal_lists_bugs!$A$2:$I2031,9,FALSE()),"please select a BUG ID")</f>
        <v>No information available</v>
      </c>
    </row>
    <row r="720">
      <c r="A720" s="1" t="s">
        <v>79</v>
      </c>
      <c r="B720" s="50" t="str">
        <f>IFERROR(HYPERLINK(VLOOKUP(A720,Internal_lists_bugs!$A$2:$C$73,3,FALSE()), VLOOKUP(A720,Internal_lists_bugs!$A$2:$C$73,3,FALSE())&amp;Char(10) &amp; Char(10) &amp; VLOOKUP(A720,Internal_lists_bugs!$A$2:$Z$73,26,FALSE())),"please select a BUG ID")</f>
        <v>https://github.com/elastic/elasticsearch/issues/1960
/metadata/IndexMetaData.java
/metadata/IndexTemplateMetaData.java
/metadata/MetaData.java
/loader/SettingsLoader.java
/loader/YamlSettingsLoader.java</v>
      </c>
      <c r="C720" s="81" t="str">
        <f>IFERROR(SUBSTITUTE(VLOOKUP(A720,Internal_lists_bugs!$A$2:$G2031,7,FALSE()),"/commit/","/tree/"),"please select a BUG ID")</f>
        <v>https://github.com/elastic/elasticsearch/tree/ebd6316</v>
      </c>
      <c r="D720" s="16" t="s">
        <v>4970</v>
      </c>
      <c r="E720" s="16" t="s">
        <v>4969</v>
      </c>
      <c r="F720" s="54"/>
      <c r="H720" s="112" t="s">
        <v>4708</v>
      </c>
      <c r="I720" s="16" t="s">
        <v>4972</v>
      </c>
      <c r="J720" s="183" t="str">
        <f>IFERROR(VLOOKUP(A720,Internal_lists_bugs!$A$2:$I2031,9,FALSE()),"please select a BUG ID")</f>
        <v>No information available</v>
      </c>
    </row>
    <row r="721">
      <c r="A721" s="1" t="s">
        <v>79</v>
      </c>
      <c r="B721" s="50" t="str">
        <f>IFERROR(HYPERLINK(VLOOKUP(A721,Internal_lists_bugs!$A$2:$C$73,3,FALSE()), VLOOKUP(A721,Internal_lists_bugs!$A$2:$C$73,3,FALSE())&amp;Char(10) &amp; Char(10) &amp; VLOOKUP(A721,Internal_lists_bugs!$A$2:$Z$73,26,FALSE())),"please select a BUG ID")</f>
        <v>https://github.com/elastic/elasticsearch/issues/1960
/metadata/IndexMetaData.java
/metadata/IndexTemplateMetaData.java
/metadata/MetaData.java
/loader/SettingsLoader.java
/loader/YamlSettingsLoader.java</v>
      </c>
      <c r="C721" s="81" t="str">
        <f>IFERROR(SUBSTITUTE(VLOOKUP(A721,Internal_lists_bugs!$A$2:$G2031,7,FALSE()),"/commit/","/tree/"),"please select a BUG ID")</f>
        <v>https://github.com/elastic/elasticsearch/tree/ebd6316</v>
      </c>
      <c r="D721" s="16" t="s">
        <v>4973</v>
      </c>
      <c r="E721" s="16" t="s">
        <v>5005</v>
      </c>
      <c r="F721" s="54"/>
      <c r="H721" s="112" t="s">
        <v>4971</v>
      </c>
      <c r="J721" s="183" t="str">
        <f>IFERROR(VLOOKUP(A721,Internal_lists_bugs!$A$2:$I2031,9,FALSE()),"please select a BUG ID")</f>
        <v>No information available</v>
      </c>
    </row>
    <row r="722">
      <c r="A722" s="1" t="s">
        <v>79</v>
      </c>
      <c r="B722" s="50" t="str">
        <f>IFERROR(HYPERLINK(VLOOKUP(A722,Internal_lists_bugs!$A$2:$C$73,3,FALSE()), VLOOKUP(A722,Internal_lists_bugs!$A$2:$C$73,3,FALSE())&amp;Char(10) &amp; Char(10) &amp; VLOOKUP(A722,Internal_lists_bugs!$A$2:$Z$73,26,FALSE())),"please select a BUG ID")</f>
        <v>https://github.com/elastic/elasticsearch/issues/1960
/metadata/IndexMetaData.java
/metadata/IndexTemplateMetaData.java
/metadata/MetaData.java
/loader/SettingsLoader.java
/loader/YamlSettingsLoader.java</v>
      </c>
      <c r="C722" s="81" t="str">
        <f>IFERROR(SUBSTITUTE(VLOOKUP(A722,Internal_lists_bugs!$A$2:$G2031,7,FALSE()),"/commit/","/tree/"),"please select a BUG ID")</f>
        <v>https://github.com/elastic/elasticsearch/tree/ebd6316</v>
      </c>
      <c r="D722" s="16" t="s">
        <v>4976</v>
      </c>
      <c r="E722" s="16" t="s">
        <v>4977</v>
      </c>
      <c r="F722" s="54"/>
      <c r="H722" s="112" t="s">
        <v>4975</v>
      </c>
      <c r="J722" s="183" t="str">
        <f>IFERROR(VLOOKUP(A722,Internal_lists_bugs!$A$2:$I2031,9,FALSE()),"please select a BUG ID")</f>
        <v>No information available</v>
      </c>
    </row>
    <row r="723">
      <c r="A723" s="1" t="s">
        <v>79</v>
      </c>
      <c r="B723" s="50" t="str">
        <f>IFERROR(HYPERLINK(VLOOKUP(A723,Internal_lists_bugs!$A$2:$C$73,3,FALSE()), VLOOKUP(A723,Internal_lists_bugs!$A$2:$C$73,3,FALSE())&amp;Char(10) &amp; Char(10) &amp; VLOOKUP(A723,Internal_lists_bugs!$A$2:$Z$73,26,FALSE())),"please select a BUG ID")</f>
        <v>https://github.com/elastic/elasticsearch/issues/1960
/metadata/IndexMetaData.java
/metadata/IndexTemplateMetaData.java
/metadata/MetaData.java
/loader/SettingsLoader.java
/loader/YamlSettingsLoader.java</v>
      </c>
      <c r="C723" s="81" t="str">
        <f>IFERROR(SUBSTITUTE(VLOOKUP(A723,Internal_lists_bugs!$A$2:$G2031,7,FALSE()),"/commit/","/tree/"),"please select a BUG ID")</f>
        <v>https://github.com/elastic/elasticsearch/tree/ebd6316</v>
      </c>
      <c r="D723" s="16" t="s">
        <v>4978</v>
      </c>
      <c r="E723" s="16" t="s">
        <v>4979</v>
      </c>
      <c r="F723" s="54"/>
      <c r="H723" s="112" t="s">
        <v>4993</v>
      </c>
      <c r="J723" s="183" t="str">
        <f>IFERROR(VLOOKUP(A723,Internal_lists_bugs!$A$2:$I2031,9,FALSE()),"please select a BUG ID")</f>
        <v>No information available</v>
      </c>
    </row>
    <row r="724">
      <c r="A724" s="1" t="s">
        <v>79</v>
      </c>
      <c r="B724" s="50" t="str">
        <f>IFERROR(HYPERLINK(VLOOKUP(A724,Internal_lists_bugs!$A$2:$C$73,3,FALSE()), VLOOKUP(A724,Internal_lists_bugs!$A$2:$C$73,3,FALSE())&amp;Char(10) &amp; Char(10) &amp; VLOOKUP(A724,Internal_lists_bugs!$A$2:$Z$73,26,FALSE())),"please select a BUG ID")</f>
        <v>https://github.com/elastic/elasticsearch/issues/1960
/metadata/IndexMetaData.java
/metadata/IndexTemplateMetaData.java
/metadata/MetaData.java
/loader/SettingsLoader.java
/loader/YamlSettingsLoader.java</v>
      </c>
      <c r="C724" s="81" t="str">
        <f>IFERROR(SUBSTITUTE(VLOOKUP(A724,Internal_lists_bugs!$A$2:$G2031,7,FALSE()),"/commit/","/tree/"),"please select a BUG ID")</f>
        <v>https://github.com/elastic/elasticsearch/tree/ebd6316</v>
      </c>
      <c r="D724" s="16" t="s">
        <v>4982</v>
      </c>
      <c r="E724" s="16" t="s">
        <v>4979</v>
      </c>
      <c r="F724" s="54"/>
      <c r="H724" s="112" t="s">
        <v>4684</v>
      </c>
      <c r="J724" s="183" t="str">
        <f>IFERROR(VLOOKUP(A724,Internal_lists_bugs!$A$2:$I2031,9,FALSE()),"please select a BUG ID")</f>
        <v>No information available</v>
      </c>
    </row>
    <row r="725">
      <c r="A725" s="1" t="s">
        <v>79</v>
      </c>
      <c r="B725" s="50" t="str">
        <f>IFERROR(HYPERLINK(VLOOKUP(A725,Internal_lists_bugs!$A$2:$C$73,3,FALSE()), VLOOKUP(A725,Internal_lists_bugs!$A$2:$C$73,3,FALSE())&amp;Char(10) &amp; Char(10) &amp; VLOOKUP(A725,Internal_lists_bugs!$A$2:$Z$73,26,FALSE())),"please select a BUG ID")</f>
        <v>https://github.com/elastic/elasticsearch/issues/1960
/metadata/IndexMetaData.java
/metadata/IndexTemplateMetaData.java
/metadata/MetaData.java
/loader/SettingsLoader.java
/loader/YamlSettingsLoader.java</v>
      </c>
      <c r="C725" s="81" t="str">
        <f>IFERROR(SUBSTITUTE(VLOOKUP(A725,Internal_lists_bugs!$A$2:$G2031,7,FALSE()),"/commit/","/tree/"),"please select a BUG ID")</f>
        <v>https://github.com/elastic/elasticsearch/tree/ebd6316</v>
      </c>
      <c r="D725" s="16" t="s">
        <v>4983</v>
      </c>
      <c r="E725" s="16" t="s">
        <v>4984</v>
      </c>
      <c r="F725" s="54"/>
      <c r="H725" s="112" t="s">
        <v>4994</v>
      </c>
      <c r="I725" s="16" t="s">
        <v>5016</v>
      </c>
      <c r="J725" s="183" t="str">
        <f>IFERROR(VLOOKUP(A725,Internal_lists_bugs!$A$2:$I2031,9,FALSE()),"please select a BUG ID")</f>
        <v>No information available</v>
      </c>
    </row>
    <row r="726">
      <c r="A726" s="1" t="s">
        <v>79</v>
      </c>
      <c r="B726" s="50" t="str">
        <f>IFERROR(HYPERLINK(VLOOKUP(A726,Internal_lists_bugs!$A$2:$C$73,3,FALSE()), VLOOKUP(A726,Internal_lists_bugs!$A$2:$C$73,3,FALSE())&amp;Char(10) &amp; Char(10) &amp; VLOOKUP(A726,Internal_lists_bugs!$A$2:$Z$73,26,FALSE())),"please select a BUG ID")</f>
        <v>https://github.com/elastic/elasticsearch/issues/1960
/metadata/IndexMetaData.java
/metadata/IndexTemplateMetaData.java
/metadata/MetaData.java
/loader/SettingsLoader.java
/loader/YamlSettingsLoader.java</v>
      </c>
      <c r="C726" s="81" t="str">
        <f>IFERROR(SUBSTITUTE(VLOOKUP(A726,Internal_lists_bugs!$A$2:$G2031,7,FALSE()),"/commit/","/tree/"),"please select a BUG ID")</f>
        <v>https://github.com/elastic/elasticsearch/tree/ebd6316</v>
      </c>
      <c r="D726" s="30" t="s">
        <v>4985</v>
      </c>
      <c r="E726" s="16" t="s">
        <v>4996</v>
      </c>
      <c r="F726" s="54"/>
      <c r="H726" s="112" t="s">
        <v>4980</v>
      </c>
      <c r="I726" s="16" t="s">
        <v>4981</v>
      </c>
      <c r="J726" s="183" t="str">
        <f>IFERROR(VLOOKUP(A726,Internal_lists_bugs!$A$2:$I2031,9,FALSE()),"please select a BUG ID")</f>
        <v>No information available</v>
      </c>
    </row>
    <row r="727">
      <c r="A727" s="1" t="s">
        <v>79</v>
      </c>
      <c r="B727" s="50" t="str">
        <f>IFERROR(HYPERLINK(VLOOKUP(A727,Internal_lists_bugs!$A$2:$C$73,3,FALSE()), VLOOKUP(A727,Internal_lists_bugs!$A$2:$C$73,3,FALSE())&amp;Char(10) &amp; Char(10) &amp; VLOOKUP(A727,Internal_lists_bugs!$A$2:$Z$73,26,FALSE())),"please select a BUG ID")</f>
        <v>https://github.com/elastic/elasticsearch/issues/1960
/metadata/IndexMetaData.java
/metadata/IndexTemplateMetaData.java
/metadata/MetaData.java
/loader/SettingsLoader.java
/loader/YamlSettingsLoader.java</v>
      </c>
      <c r="C727" s="81" t="str">
        <f>IFERROR(SUBSTITUTE(VLOOKUP(A727,Internal_lists_bugs!$A$2:$G2031,7,FALSE()),"/commit/","/tree/"),"please select a BUG ID")</f>
        <v>https://github.com/elastic/elasticsearch/tree/ebd6316</v>
      </c>
      <c r="D727" s="16" t="s">
        <v>5003</v>
      </c>
      <c r="E727" s="16" t="s">
        <v>5012</v>
      </c>
      <c r="F727" s="54"/>
      <c r="H727" s="112"/>
      <c r="J727" s="183" t="str">
        <f>IFERROR(VLOOKUP(A727,Internal_lists_bugs!$A$2:$I2031,9,FALSE()),"please select a BUG ID")</f>
        <v>No information available</v>
      </c>
    </row>
    <row r="728">
      <c r="A728" s="1" t="s">
        <v>79</v>
      </c>
      <c r="B728" s="50" t="str">
        <f>IFERROR(HYPERLINK(VLOOKUP(A728,Internal_lists_bugs!$A$2:$C$73,3,FALSE()), VLOOKUP(A728,Internal_lists_bugs!$A$2:$C$73,3,FALSE())&amp;Char(10) &amp; Char(10) &amp; VLOOKUP(A728,Internal_lists_bugs!$A$2:$Z$73,26,FALSE())),"please select a BUG ID")</f>
        <v>https://github.com/elastic/elasticsearch/issues/1960
/metadata/IndexMetaData.java
/metadata/IndexTemplateMetaData.java
/metadata/MetaData.java
/loader/SettingsLoader.java
/loader/YamlSettingsLoader.java</v>
      </c>
      <c r="C728" s="81" t="str">
        <f>IFERROR(SUBSTITUTE(VLOOKUP(A728,Internal_lists_bugs!$A$2:$G2031,7,FALSE()),"/commit/","/tree/"),"please select a BUG ID")</f>
        <v>https://github.com/elastic/elasticsearch/tree/ebd6316</v>
      </c>
      <c r="D728" s="16" t="s">
        <v>4989</v>
      </c>
      <c r="E728" s="16" t="s">
        <v>5014</v>
      </c>
      <c r="F728" s="54"/>
      <c r="H728" s="114"/>
      <c r="J728" s="183" t="str">
        <f>IFERROR(VLOOKUP(A728,Internal_lists_bugs!$A$2:$I2031,9,FALSE()),"please select a BUG ID")</f>
        <v>No information available</v>
      </c>
    </row>
    <row r="729">
      <c r="A729" s="1" t="s">
        <v>79</v>
      </c>
      <c r="B729" s="50" t="str">
        <f>IFERROR(HYPERLINK(VLOOKUP(A729,Internal_lists_bugs!$A$2:$C$73,3,FALSE()), VLOOKUP(A729,Internal_lists_bugs!$A$2:$C$73,3,FALSE())&amp;Char(10) &amp; Char(10) &amp; VLOOKUP(A729,Internal_lists_bugs!$A$2:$Z$73,26,FALSE())),"please select a BUG ID")</f>
        <v>https://github.com/elastic/elasticsearch/issues/1960
/metadata/IndexMetaData.java
/metadata/IndexTemplateMetaData.java
/metadata/MetaData.java
/loader/SettingsLoader.java
/loader/YamlSettingsLoader.java</v>
      </c>
      <c r="C729" s="81" t="str">
        <f>IFERROR(SUBSTITUTE(VLOOKUP(A729,Internal_lists_bugs!$A$2:$G2031,7,FALSE()),"/commit/","/tree/"),"please select a BUG ID")</f>
        <v>https://github.com/elastic/elasticsearch/tree/ebd6316</v>
      </c>
      <c r="D729" s="16" t="s">
        <v>4968</v>
      </c>
      <c r="E729" s="16" t="s">
        <v>5017</v>
      </c>
      <c r="F729" s="54"/>
      <c r="H729" s="114"/>
      <c r="J729" s="183" t="str">
        <f>IFERROR(VLOOKUP(A729,Internal_lists_bugs!$A$2:$I2031,9,FALSE()),"please select a BUG ID")</f>
        <v>No information available</v>
      </c>
    </row>
    <row r="730">
      <c r="A730" s="1" t="s">
        <v>79</v>
      </c>
      <c r="B730" s="50" t="str">
        <f>IFERROR(HYPERLINK(VLOOKUP(A730,Internal_lists_bugs!$A$2:$C$73,3,FALSE()), VLOOKUP(A730,Internal_lists_bugs!$A$2:$C$73,3,FALSE())&amp;Char(10) &amp; Char(10) &amp; VLOOKUP(A730,Internal_lists_bugs!$A$2:$Z$73,26,FALSE())),"please select a BUG ID")</f>
        <v>https://github.com/elastic/elasticsearch/issues/1960
/metadata/IndexMetaData.java
/metadata/IndexTemplateMetaData.java
/metadata/MetaData.java
/loader/SettingsLoader.java
/loader/YamlSettingsLoader.java</v>
      </c>
      <c r="C730" s="81" t="str">
        <f>IFERROR(SUBSTITUTE(VLOOKUP(A730,Internal_lists_bugs!$A$2:$G2031,7,FALSE()),"/commit/","/tree/"),"please select a BUG ID")</f>
        <v>https://github.com/elastic/elasticsearch/tree/ebd6316</v>
      </c>
      <c r="D730" s="16" t="s">
        <v>5001</v>
      </c>
      <c r="E730" s="16" t="s">
        <v>5017</v>
      </c>
      <c r="F730" s="54"/>
      <c r="H730" s="114"/>
      <c r="J730" s="183" t="str">
        <f>IFERROR(VLOOKUP(A730,Internal_lists_bugs!$A$2:$I2031,9,FALSE()),"please select a BUG ID")</f>
        <v>No information available</v>
      </c>
    </row>
    <row r="731">
      <c r="A731" s="1" t="s">
        <v>79</v>
      </c>
      <c r="B731" s="50" t="str">
        <f>IFERROR(HYPERLINK(VLOOKUP(A731,Internal_lists_bugs!$A$2:$C$73,3,FALSE()), VLOOKUP(A731,Internal_lists_bugs!$A$2:$C$73,3,FALSE())&amp;Char(10) &amp; Char(10) &amp; VLOOKUP(A731,Internal_lists_bugs!$A$2:$Z$73,26,FALSE())),"please select a BUG ID")</f>
        <v>https://github.com/elastic/elasticsearch/issues/1960
/metadata/IndexMetaData.java
/metadata/IndexTemplateMetaData.java
/metadata/MetaData.java
/loader/SettingsLoader.java
/loader/YamlSettingsLoader.java</v>
      </c>
      <c r="C731" s="81" t="str">
        <f>IFERROR(SUBSTITUTE(VLOOKUP(A731,Internal_lists_bugs!$A$2:$G2031,7,FALSE()),"/commit/","/tree/"),"please select a BUG ID")</f>
        <v>https://github.com/elastic/elasticsearch/tree/ebd6316</v>
      </c>
      <c r="D731" s="16" t="s">
        <v>5000</v>
      </c>
      <c r="E731" s="16" t="s">
        <v>5017</v>
      </c>
      <c r="F731" s="54"/>
      <c r="H731" s="114"/>
      <c r="J731" s="183" t="str">
        <f>IFERROR(VLOOKUP(A731,Internal_lists_bugs!$A$2:$I2031,9,FALSE()),"please select a BUG ID")</f>
        <v>No information available</v>
      </c>
    </row>
    <row r="732">
      <c r="A732" s="1" t="s">
        <v>79</v>
      </c>
      <c r="B732" s="50" t="str">
        <f>IFERROR(HYPERLINK(VLOOKUP(A732,Internal_lists_bugs!$A$2:$C$73,3,FALSE()), VLOOKUP(A732,Internal_lists_bugs!$A$2:$C$73,3,FALSE())&amp;Char(10) &amp; Char(10) &amp; VLOOKUP(A732,Internal_lists_bugs!$A$2:$Z$73,26,FALSE())),"please select a BUG ID")</f>
        <v>https://github.com/elastic/elasticsearch/issues/1960
/metadata/IndexMetaData.java
/metadata/IndexTemplateMetaData.java
/metadata/MetaData.java
/loader/SettingsLoader.java
/loader/YamlSettingsLoader.java</v>
      </c>
      <c r="C732" s="81" t="str">
        <f>IFERROR(SUBSTITUTE(VLOOKUP(A732,Internal_lists_bugs!$A$2:$G2031,7,FALSE()),"/commit/","/tree/"),"please select a BUG ID")</f>
        <v>https://github.com/elastic/elasticsearch/tree/ebd6316</v>
      </c>
      <c r="D732" s="16" t="s">
        <v>4998</v>
      </c>
      <c r="E732" s="16" t="s">
        <v>4977</v>
      </c>
      <c r="F732" s="54"/>
      <c r="H732" s="114"/>
      <c r="J732" s="183" t="str">
        <f>IFERROR(VLOOKUP(A732,Internal_lists_bugs!$A$2:$I2031,9,FALSE()),"please select a BUG ID")</f>
        <v>No information available</v>
      </c>
    </row>
    <row r="733">
      <c r="A733" s="1" t="s">
        <v>79</v>
      </c>
      <c r="B733" s="50" t="str">
        <f>IFERROR(HYPERLINK(VLOOKUP(A733,Internal_lists_bugs!$A$2:$C$73,3,FALSE()), VLOOKUP(A733,Internal_lists_bugs!$A$2:$C$73,3,FALSE())&amp;Char(10) &amp; Char(10) &amp; VLOOKUP(A733,Internal_lists_bugs!$A$2:$Z$73,26,FALSE())),"please select a BUG ID")</f>
        <v>https://github.com/elastic/elasticsearch/issues/1960
/metadata/IndexMetaData.java
/metadata/IndexTemplateMetaData.java
/metadata/MetaData.java
/loader/SettingsLoader.java
/loader/YamlSettingsLoader.java</v>
      </c>
      <c r="C733" s="81" t="str">
        <f>IFERROR(SUBSTITUTE(VLOOKUP(A733,Internal_lists_bugs!$A$2:$G2031,7,FALSE()),"/commit/","/tree/"),"please select a BUG ID")</f>
        <v>https://github.com/elastic/elasticsearch/tree/ebd6316</v>
      </c>
      <c r="D733" s="16" t="s">
        <v>5018</v>
      </c>
      <c r="E733" s="16" t="s">
        <v>5019</v>
      </c>
      <c r="F733" s="54"/>
      <c r="H733" s="114"/>
      <c r="J733" s="183" t="str">
        <f>IFERROR(VLOOKUP(A733,Internal_lists_bugs!$A$2:$I2031,9,FALSE()),"please select a BUG ID")</f>
        <v>No information available</v>
      </c>
    </row>
    <row r="734">
      <c r="A734" s="1" t="s">
        <v>79</v>
      </c>
      <c r="B734" s="50" t="str">
        <f>IFERROR(HYPERLINK(VLOOKUP(A734,Internal_lists_bugs!$A$2:$C$73,3,FALSE()), VLOOKUP(A734,Internal_lists_bugs!$A$2:$C$73,3,FALSE())&amp;Char(10) &amp; Char(10) &amp; VLOOKUP(A734,Internal_lists_bugs!$A$2:$Z$73,26,FALSE())),"please select a BUG ID")</f>
        <v>https://github.com/elastic/elasticsearch/issues/1960
/metadata/IndexMetaData.java
/metadata/IndexTemplateMetaData.java
/metadata/MetaData.java
/loader/SettingsLoader.java
/loader/YamlSettingsLoader.java</v>
      </c>
      <c r="C734" s="81" t="str">
        <f>IFERROR(SUBSTITUTE(VLOOKUP(A734,Internal_lists_bugs!$A$2:$G2031,7,FALSE()),"/commit/","/tree/"),"please select a BUG ID")</f>
        <v>https://github.com/elastic/elasticsearch/tree/ebd6316</v>
      </c>
      <c r="D734" s="16" t="s">
        <v>5008</v>
      </c>
      <c r="E734" s="16" t="s">
        <v>5017</v>
      </c>
      <c r="F734" s="54"/>
      <c r="H734" s="114"/>
      <c r="J734" s="183" t="str">
        <f>IFERROR(VLOOKUP(A734,Internal_lists_bugs!$A$2:$I2031,9,FALSE()),"please select a BUG ID")</f>
        <v>No information available</v>
      </c>
    </row>
    <row r="735">
      <c r="A735" s="1" t="s">
        <v>79</v>
      </c>
      <c r="B735" s="50" t="str">
        <f>IFERROR(HYPERLINK(VLOOKUP(A735,Internal_lists_bugs!$A$2:$C$73,3,FALSE()), VLOOKUP(A735,Internal_lists_bugs!$A$2:$C$73,3,FALSE())&amp;Char(10) &amp; Char(10) &amp; VLOOKUP(A735,Internal_lists_bugs!$A$2:$Z$73,26,FALSE())),"please select a BUG ID")</f>
        <v>https://github.com/elastic/elasticsearch/issues/1960
/metadata/IndexMetaData.java
/metadata/IndexTemplateMetaData.java
/metadata/MetaData.java
/loader/SettingsLoader.java
/loader/YamlSettingsLoader.java</v>
      </c>
      <c r="C735" s="81" t="str">
        <f>IFERROR(SUBSTITUTE(VLOOKUP(A735,Internal_lists_bugs!$A$2:$G2031,7,FALSE()),"/commit/","/tree/"),"please select a BUG ID")</f>
        <v>https://github.com/elastic/elasticsearch/tree/ebd6316</v>
      </c>
      <c r="D735" s="16" t="s">
        <v>4990</v>
      </c>
      <c r="E735" s="16" t="s">
        <v>4997</v>
      </c>
      <c r="F735" s="54"/>
      <c r="H735" s="114"/>
      <c r="J735" s="183" t="str">
        <f>IFERROR(VLOOKUP(A735,Internal_lists_bugs!$A$2:$I2031,9,FALSE()),"please select a BUG ID")</f>
        <v>No information available</v>
      </c>
    </row>
    <row r="736">
      <c r="A736" s="1" t="s">
        <v>79</v>
      </c>
      <c r="B736" s="50" t="str">
        <f>IFERROR(HYPERLINK(VLOOKUP(A736,Internal_lists_bugs!$A$2:$C$73,3,FALSE()), VLOOKUP(A736,Internal_lists_bugs!$A$2:$C$73,3,FALSE())&amp;Char(10) &amp; Char(10) &amp; VLOOKUP(A736,Internal_lists_bugs!$A$2:$Z$73,26,FALSE())),"please select a BUG ID")</f>
        <v>https://github.com/elastic/elasticsearch/issues/1960
/metadata/IndexMetaData.java
/metadata/IndexTemplateMetaData.java
/metadata/MetaData.java
/loader/SettingsLoader.java
/loader/YamlSettingsLoader.java</v>
      </c>
      <c r="C736" s="81" t="str">
        <f>IFERROR(SUBSTITUTE(VLOOKUP(A736,Internal_lists_bugs!$A$2:$G2031,7,FALSE()),"/commit/","/tree/"),"please select a BUG ID")</f>
        <v>https://github.com/elastic/elasticsearch/tree/ebd6316</v>
      </c>
      <c r="D736" s="16" t="s">
        <v>4987</v>
      </c>
      <c r="E736" s="16" t="s">
        <v>4997</v>
      </c>
      <c r="F736" s="54"/>
      <c r="H736" s="114"/>
      <c r="J736" s="183" t="str">
        <f>IFERROR(VLOOKUP(A736,Internal_lists_bugs!$A$2:$I2031,9,FALSE()),"please select a BUG ID")</f>
        <v>No information available</v>
      </c>
    </row>
    <row r="737">
      <c r="A737" s="1" t="s">
        <v>65</v>
      </c>
      <c r="B737" s="50" t="str">
        <f>IFERROR(HYPERLINK(VLOOKUP(A737,Internal_lists_bugs!$A$2:$C$73,3,FALSE()), VLOOKUP(A737,Internal_lists_bugs!$A$2:$C$73,3,FALSE())&amp;Char(10) &amp; Char(10) &amp; VLOOKUP(A737,Internal_lists_bugs!$A$2:$Z$73,26,FALSE())),"please select a BUG ID")</f>
        <v>https://github.com/elastic/elasticsearch/issues/2566
/classic/MapperQueryParser.java</v>
      </c>
      <c r="C737" s="81" t="str">
        <f>IFERROR(SUBSTITUTE(VLOOKUP(A737,Internal_lists_bugs!$A$2:$G2031,7,FALSE()),"/commit/","/tree/"),"please select a BUG ID")</f>
        <v>https://github.com/elastic/elasticsearch/tree/2442e1fb</v>
      </c>
      <c r="D737" s="16" t="s">
        <v>4962</v>
      </c>
      <c r="E737" s="16" t="s">
        <v>4963</v>
      </c>
      <c r="F737" s="16" t="s">
        <v>4724</v>
      </c>
      <c r="G737" s="63" t="s">
        <v>4992</v>
      </c>
      <c r="H737" s="112" t="s">
        <v>4965</v>
      </c>
      <c r="J737" s="183" t="str">
        <f>IFERROR(VLOOKUP(A737,Internal_lists_bugs!$A$2:$I2031,9,FALSE()),"please select a BUG ID")</f>
        <v>No information available</v>
      </c>
    </row>
    <row r="738">
      <c r="A738" s="1" t="s">
        <v>65</v>
      </c>
      <c r="B738" s="50" t="str">
        <f>IFERROR(HYPERLINK(VLOOKUP(A738,Internal_lists_bugs!$A$2:$C$73,3,FALSE()), VLOOKUP(A738,Internal_lists_bugs!$A$2:$C$73,3,FALSE())&amp;Char(10) &amp; Char(10) &amp; VLOOKUP(A738,Internal_lists_bugs!$A$2:$Z$73,26,FALSE())),"please select a BUG ID")</f>
        <v>https://github.com/elastic/elasticsearch/issues/2566
/classic/MapperQueryParser.java</v>
      </c>
      <c r="C738" s="81" t="str">
        <f>IFERROR(SUBSTITUTE(VLOOKUP(A738,Internal_lists_bugs!$A$2:$G2031,7,FALSE()),"/commit/","/tree/"),"please select a BUG ID")</f>
        <v>https://github.com/elastic/elasticsearch/tree/2442e1fb</v>
      </c>
      <c r="D738" s="16" t="s">
        <v>4966</v>
      </c>
      <c r="E738" s="16" t="s">
        <v>4967</v>
      </c>
      <c r="F738" s="54"/>
      <c r="H738" s="112" t="s">
        <v>4818</v>
      </c>
      <c r="J738" s="183" t="str">
        <f>IFERROR(VLOOKUP(A738,Internal_lists_bugs!$A$2:$I2031,9,FALSE()),"please select a BUG ID")</f>
        <v>No information available</v>
      </c>
    </row>
    <row r="739">
      <c r="A739" s="1" t="s">
        <v>65</v>
      </c>
      <c r="B739" s="50" t="str">
        <f>IFERROR(HYPERLINK(VLOOKUP(A739,Internal_lists_bugs!$A$2:$C$73,3,FALSE()), VLOOKUP(A739,Internal_lists_bugs!$A$2:$C$73,3,FALSE())&amp;Char(10) &amp; Char(10) &amp; VLOOKUP(A739,Internal_lists_bugs!$A$2:$Z$73,26,FALSE())),"please select a BUG ID")</f>
        <v>https://github.com/elastic/elasticsearch/issues/2566
/classic/MapperQueryParser.java</v>
      </c>
      <c r="C739" s="81" t="str">
        <f>IFERROR(SUBSTITUTE(VLOOKUP(A739,Internal_lists_bugs!$A$2:$G2031,7,FALSE()),"/commit/","/tree/"),"please select a BUG ID")</f>
        <v>https://github.com/elastic/elasticsearch/tree/2442e1fb</v>
      </c>
      <c r="D739" s="16" t="s">
        <v>4970</v>
      </c>
      <c r="E739" s="16" t="s">
        <v>4969</v>
      </c>
      <c r="F739" s="54"/>
      <c r="H739" s="112" t="s">
        <v>4708</v>
      </c>
      <c r="I739" s="16" t="s">
        <v>4972</v>
      </c>
      <c r="J739" s="183" t="str">
        <f>IFERROR(VLOOKUP(A739,Internal_lists_bugs!$A$2:$I2031,9,FALSE()),"please select a BUG ID")</f>
        <v>No information available</v>
      </c>
    </row>
    <row r="740">
      <c r="A740" s="1" t="s">
        <v>65</v>
      </c>
      <c r="B740" s="50" t="str">
        <f>IFERROR(HYPERLINK(VLOOKUP(A740,Internal_lists_bugs!$A$2:$C$73,3,FALSE()), VLOOKUP(A740,Internal_lists_bugs!$A$2:$C$73,3,FALSE())&amp;Char(10) &amp; Char(10) &amp; VLOOKUP(A740,Internal_lists_bugs!$A$2:$Z$73,26,FALSE())),"please select a BUG ID")</f>
        <v>https://github.com/elastic/elasticsearch/issues/2566
/classic/MapperQueryParser.java</v>
      </c>
      <c r="C740" s="81" t="str">
        <f>IFERROR(SUBSTITUTE(VLOOKUP(A740,Internal_lists_bugs!$A$2:$G2031,7,FALSE()),"/commit/","/tree/"),"please select a BUG ID")</f>
        <v>https://github.com/elastic/elasticsearch/tree/2442e1fb</v>
      </c>
      <c r="D740" s="16" t="s">
        <v>4973</v>
      </c>
      <c r="E740" s="16" t="s">
        <v>5005</v>
      </c>
      <c r="F740" s="54"/>
      <c r="H740" s="112" t="s">
        <v>4971</v>
      </c>
      <c r="J740" s="183" t="str">
        <f>IFERROR(VLOOKUP(A740,Internal_lists_bugs!$A$2:$I2031,9,FALSE()),"please select a BUG ID")</f>
        <v>No information available</v>
      </c>
    </row>
    <row r="741">
      <c r="A741" s="1" t="s">
        <v>65</v>
      </c>
      <c r="B741" s="50" t="str">
        <f>IFERROR(HYPERLINK(VLOOKUP(A741,Internal_lists_bugs!$A$2:$C$73,3,FALSE()), VLOOKUP(A741,Internal_lists_bugs!$A$2:$C$73,3,FALSE())&amp;Char(10) &amp; Char(10) &amp; VLOOKUP(A741,Internal_lists_bugs!$A$2:$Z$73,26,FALSE())),"please select a BUG ID")</f>
        <v>https://github.com/elastic/elasticsearch/issues/2566
/classic/MapperQueryParser.java</v>
      </c>
      <c r="C741" s="81" t="str">
        <f>IFERROR(SUBSTITUTE(VLOOKUP(A741,Internal_lists_bugs!$A$2:$G2031,7,FALSE()),"/commit/","/tree/"),"please select a BUG ID")</f>
        <v>https://github.com/elastic/elasticsearch/tree/2442e1fb</v>
      </c>
      <c r="D741" s="16" t="s">
        <v>4976</v>
      </c>
      <c r="E741" s="16" t="s">
        <v>4977</v>
      </c>
      <c r="F741" s="54"/>
      <c r="H741" s="112" t="s">
        <v>4975</v>
      </c>
      <c r="J741" s="183" t="str">
        <f>IFERROR(VLOOKUP(A741,Internal_lists_bugs!$A$2:$I2031,9,FALSE()),"please select a BUG ID")</f>
        <v>No information available</v>
      </c>
    </row>
    <row r="742">
      <c r="A742" s="1" t="s">
        <v>65</v>
      </c>
      <c r="B742" s="50" t="str">
        <f>IFERROR(HYPERLINK(VLOOKUP(A742,Internal_lists_bugs!$A$2:$C$73,3,FALSE()), VLOOKUP(A742,Internal_lists_bugs!$A$2:$C$73,3,FALSE())&amp;Char(10) &amp; Char(10) &amp; VLOOKUP(A742,Internal_lists_bugs!$A$2:$Z$73,26,FALSE())),"please select a BUG ID")</f>
        <v>https://github.com/elastic/elasticsearch/issues/2566
/classic/MapperQueryParser.java</v>
      </c>
      <c r="C742" s="81" t="str">
        <f>IFERROR(SUBSTITUTE(VLOOKUP(A742,Internal_lists_bugs!$A$2:$G2031,7,FALSE()),"/commit/","/tree/"),"please select a BUG ID")</f>
        <v>https://github.com/elastic/elasticsearch/tree/2442e1fb</v>
      </c>
      <c r="D742" s="16" t="s">
        <v>4978</v>
      </c>
      <c r="E742" s="16" t="s">
        <v>4979</v>
      </c>
      <c r="F742" s="54"/>
      <c r="H742" s="112" t="s">
        <v>4993</v>
      </c>
      <c r="J742" s="183" t="str">
        <f>IFERROR(VLOOKUP(A742,Internal_lists_bugs!$A$2:$I2031,9,FALSE()),"please select a BUG ID")</f>
        <v>No information available</v>
      </c>
    </row>
    <row r="743">
      <c r="A743" s="1" t="s">
        <v>65</v>
      </c>
      <c r="B743" s="50" t="str">
        <f>IFERROR(HYPERLINK(VLOOKUP(A743,Internal_lists_bugs!$A$2:$C$73,3,FALSE()), VLOOKUP(A743,Internal_lists_bugs!$A$2:$C$73,3,FALSE())&amp;Char(10) &amp; Char(10) &amp; VLOOKUP(A743,Internal_lists_bugs!$A$2:$Z$73,26,FALSE())),"please select a BUG ID")</f>
        <v>https://github.com/elastic/elasticsearch/issues/2566
/classic/MapperQueryParser.java</v>
      </c>
      <c r="C743" s="81" t="str">
        <f>IFERROR(SUBSTITUTE(VLOOKUP(A743,Internal_lists_bugs!$A$2:$G2031,7,FALSE()),"/commit/","/tree/"),"please select a BUG ID")</f>
        <v>https://github.com/elastic/elasticsearch/tree/2442e1fb</v>
      </c>
      <c r="D743" s="16" t="s">
        <v>4982</v>
      </c>
      <c r="E743" s="16" t="s">
        <v>4979</v>
      </c>
      <c r="F743" s="54"/>
      <c r="H743" s="112" t="s">
        <v>4684</v>
      </c>
      <c r="J743" s="183" t="str">
        <f>IFERROR(VLOOKUP(A743,Internal_lists_bugs!$A$2:$I2031,9,FALSE()),"please select a BUG ID")</f>
        <v>No information available</v>
      </c>
    </row>
    <row r="744">
      <c r="A744" s="1" t="s">
        <v>65</v>
      </c>
      <c r="B744" s="50" t="str">
        <f>IFERROR(HYPERLINK(VLOOKUP(A744,Internal_lists_bugs!$A$2:$C$73,3,FALSE()), VLOOKUP(A744,Internal_lists_bugs!$A$2:$C$73,3,FALSE())&amp;Char(10) &amp; Char(10) &amp; VLOOKUP(A744,Internal_lists_bugs!$A$2:$Z$73,26,FALSE())),"please select a BUG ID")</f>
        <v>https://github.com/elastic/elasticsearch/issues/2566
/classic/MapperQueryParser.java</v>
      </c>
      <c r="C744" s="81" t="str">
        <f>IFERROR(SUBSTITUTE(VLOOKUP(A744,Internal_lists_bugs!$A$2:$G2031,7,FALSE()),"/commit/","/tree/"),"please select a BUG ID")</f>
        <v>https://github.com/elastic/elasticsearch/tree/2442e1fb</v>
      </c>
      <c r="D744" s="16" t="s">
        <v>4983</v>
      </c>
      <c r="E744" s="16" t="s">
        <v>4984</v>
      </c>
      <c r="F744" s="54"/>
      <c r="H744" s="112" t="s">
        <v>4994</v>
      </c>
      <c r="I744" s="16" t="s">
        <v>5016</v>
      </c>
      <c r="J744" s="183" t="str">
        <f>IFERROR(VLOOKUP(A744,Internal_lists_bugs!$A$2:$I2031,9,FALSE()),"please select a BUG ID")</f>
        <v>No information available</v>
      </c>
    </row>
    <row r="745">
      <c r="A745" s="1" t="s">
        <v>65</v>
      </c>
      <c r="B745" s="50" t="str">
        <f>IFERROR(HYPERLINK(VLOOKUP(A745,Internal_lists_bugs!$A$2:$C$73,3,FALSE()), VLOOKUP(A745,Internal_lists_bugs!$A$2:$C$73,3,FALSE())&amp;Char(10) &amp; Char(10) &amp; VLOOKUP(A745,Internal_lists_bugs!$A$2:$Z$73,26,FALSE())),"please select a BUG ID")</f>
        <v>https://github.com/elastic/elasticsearch/issues/2566
/classic/MapperQueryParser.java</v>
      </c>
      <c r="C745" s="81" t="str">
        <f>IFERROR(SUBSTITUTE(VLOOKUP(A745,Internal_lists_bugs!$A$2:$G2031,7,FALSE()),"/commit/","/tree/"),"please select a BUG ID")</f>
        <v>https://github.com/elastic/elasticsearch/tree/2442e1fb</v>
      </c>
      <c r="D745" s="16" t="s">
        <v>4985</v>
      </c>
      <c r="E745" s="16" t="s">
        <v>4996</v>
      </c>
      <c r="F745" s="54"/>
      <c r="H745" s="112" t="s">
        <v>4980</v>
      </c>
      <c r="I745" s="16" t="s">
        <v>4981</v>
      </c>
      <c r="J745" s="183" t="str">
        <f>IFERROR(VLOOKUP(A745,Internal_lists_bugs!$A$2:$I2031,9,FALSE()),"please select a BUG ID")</f>
        <v>No information available</v>
      </c>
    </row>
    <row r="746">
      <c r="A746" s="1" t="s">
        <v>65</v>
      </c>
      <c r="B746" s="50" t="str">
        <f>IFERROR(HYPERLINK(VLOOKUP(A746,Internal_lists_bugs!$A$2:$C$73,3,FALSE()), VLOOKUP(A746,Internal_lists_bugs!$A$2:$C$73,3,FALSE())&amp;Char(10) &amp; Char(10) &amp; VLOOKUP(A746,Internal_lists_bugs!$A$2:$Z$73,26,FALSE())),"please select a BUG ID")</f>
        <v>https://github.com/elastic/elasticsearch/issues/2566
/classic/MapperQueryParser.java</v>
      </c>
      <c r="C746" s="81" t="str">
        <f>IFERROR(SUBSTITUTE(VLOOKUP(A746,Internal_lists_bugs!$A$2:$G2031,7,FALSE()),"/commit/","/tree/"),"please select a BUG ID")</f>
        <v>https://github.com/elastic/elasticsearch/tree/2442e1fb</v>
      </c>
      <c r="D746" s="16" t="s">
        <v>5003</v>
      </c>
      <c r="E746" s="16" t="s">
        <v>5012</v>
      </c>
      <c r="F746" s="54"/>
      <c r="H746" s="112"/>
      <c r="J746" s="183" t="str">
        <f>IFERROR(VLOOKUP(A746,Internal_lists_bugs!$A$2:$I2031,9,FALSE()),"please select a BUG ID")</f>
        <v>No information available</v>
      </c>
    </row>
    <row r="747">
      <c r="A747" s="1" t="s">
        <v>65</v>
      </c>
      <c r="B747" s="50" t="str">
        <f>IFERROR(HYPERLINK(VLOOKUP(A747,Internal_lists_bugs!$A$2:$C$73,3,FALSE()), VLOOKUP(A747,Internal_lists_bugs!$A$2:$C$73,3,FALSE())&amp;Char(10) &amp; Char(10) &amp; VLOOKUP(A747,Internal_lists_bugs!$A$2:$Z$73,26,FALSE())),"please select a BUG ID")</f>
        <v>https://github.com/elastic/elasticsearch/issues/2566
/classic/MapperQueryParser.java</v>
      </c>
      <c r="C747" s="81" t="str">
        <f>IFERROR(SUBSTITUTE(VLOOKUP(A747,Internal_lists_bugs!$A$2:$G2031,7,FALSE()),"/commit/","/tree/"),"please select a BUG ID")</f>
        <v>https://github.com/elastic/elasticsearch/tree/2442e1fb</v>
      </c>
      <c r="D747" s="16" t="s">
        <v>4989</v>
      </c>
      <c r="E747" s="16" t="s">
        <v>5014</v>
      </c>
      <c r="F747" s="54"/>
      <c r="H747" s="114"/>
      <c r="J747" s="183" t="str">
        <f>IFERROR(VLOOKUP(A747,Internal_lists_bugs!$A$2:$I2031,9,FALSE()),"please select a BUG ID")</f>
        <v>No information available</v>
      </c>
    </row>
    <row r="748">
      <c r="A748" s="1" t="s">
        <v>65</v>
      </c>
      <c r="B748" s="50" t="str">
        <f>IFERROR(HYPERLINK(VLOOKUP(A748,Internal_lists_bugs!$A$2:$C$73,3,FALSE()), VLOOKUP(A748,Internal_lists_bugs!$A$2:$C$73,3,FALSE())&amp;Char(10) &amp; Char(10) &amp; VLOOKUP(A748,Internal_lists_bugs!$A$2:$Z$73,26,FALSE())),"please select a BUG ID")</f>
        <v>https://github.com/elastic/elasticsearch/issues/2566
/classic/MapperQueryParser.java</v>
      </c>
      <c r="C748" s="81" t="str">
        <f>IFERROR(SUBSTITUTE(VLOOKUP(A748,Internal_lists_bugs!$A$2:$G2031,7,FALSE()),"/commit/","/tree/"),"please select a BUG ID")</f>
        <v>https://github.com/elastic/elasticsearch/tree/2442e1fb</v>
      </c>
      <c r="D748" s="16" t="s">
        <v>4968</v>
      </c>
      <c r="E748" s="16" t="s">
        <v>5017</v>
      </c>
      <c r="F748" s="54"/>
      <c r="H748" s="114"/>
      <c r="J748" s="183" t="str">
        <f>IFERROR(VLOOKUP(A748,Internal_lists_bugs!$A$2:$I2031,9,FALSE()),"please select a BUG ID")</f>
        <v>No information available</v>
      </c>
    </row>
    <row r="749">
      <c r="A749" s="1" t="s">
        <v>65</v>
      </c>
      <c r="B749" s="50" t="str">
        <f>IFERROR(HYPERLINK(VLOOKUP(A749,Internal_lists_bugs!$A$2:$C$73,3,FALSE()), VLOOKUP(A749,Internal_lists_bugs!$A$2:$C$73,3,FALSE())&amp;Char(10) &amp; Char(10) &amp; VLOOKUP(A749,Internal_lists_bugs!$A$2:$Z$73,26,FALSE())),"please select a BUG ID")</f>
        <v>https://github.com/elastic/elasticsearch/issues/2566
/classic/MapperQueryParser.java</v>
      </c>
      <c r="C749" s="81" t="str">
        <f>IFERROR(SUBSTITUTE(VLOOKUP(A749,Internal_lists_bugs!$A$2:$G2031,7,FALSE()),"/commit/","/tree/"),"please select a BUG ID")</f>
        <v>https://github.com/elastic/elasticsearch/tree/2442e1fb</v>
      </c>
      <c r="D749" s="16" t="s">
        <v>5001</v>
      </c>
      <c r="E749" s="16" t="s">
        <v>5017</v>
      </c>
      <c r="F749" s="54"/>
      <c r="H749" s="114"/>
      <c r="J749" s="183" t="str">
        <f>IFERROR(VLOOKUP(A749,Internal_lists_bugs!$A$2:$I2031,9,FALSE()),"please select a BUG ID")</f>
        <v>No information available</v>
      </c>
    </row>
    <row r="750">
      <c r="A750" s="1" t="s">
        <v>65</v>
      </c>
      <c r="B750" s="50" t="str">
        <f>IFERROR(HYPERLINK(VLOOKUP(A750,Internal_lists_bugs!$A$2:$C$73,3,FALSE()), VLOOKUP(A750,Internal_lists_bugs!$A$2:$C$73,3,FALSE())&amp;Char(10) &amp; Char(10) &amp; VLOOKUP(A750,Internal_lists_bugs!$A$2:$Z$73,26,FALSE())),"please select a BUG ID")</f>
        <v>https://github.com/elastic/elasticsearch/issues/2566
/classic/MapperQueryParser.java</v>
      </c>
      <c r="C750" s="81" t="str">
        <f>IFERROR(SUBSTITUTE(VLOOKUP(A750,Internal_lists_bugs!$A$2:$G2031,7,FALSE()),"/commit/","/tree/"),"please select a BUG ID")</f>
        <v>https://github.com/elastic/elasticsearch/tree/2442e1fb</v>
      </c>
      <c r="D750" s="16" t="s">
        <v>5000</v>
      </c>
      <c r="E750" s="16" t="s">
        <v>5017</v>
      </c>
      <c r="F750" s="54"/>
      <c r="H750" s="114"/>
      <c r="J750" s="183" t="str">
        <f>IFERROR(VLOOKUP(A750,Internal_lists_bugs!$A$2:$I2031,9,FALSE()),"please select a BUG ID")</f>
        <v>No information available</v>
      </c>
    </row>
    <row r="751">
      <c r="A751" s="1" t="s">
        <v>65</v>
      </c>
      <c r="B751" s="50" t="str">
        <f>IFERROR(HYPERLINK(VLOOKUP(A751,Internal_lists_bugs!$A$2:$C$73,3,FALSE()), VLOOKUP(A751,Internal_lists_bugs!$A$2:$C$73,3,FALSE())&amp;Char(10) &amp; Char(10) &amp; VLOOKUP(A751,Internal_lists_bugs!$A$2:$Z$73,26,FALSE())),"please select a BUG ID")</f>
        <v>https://github.com/elastic/elasticsearch/issues/2566
/classic/MapperQueryParser.java</v>
      </c>
      <c r="C751" s="81" t="str">
        <f>IFERROR(SUBSTITUTE(VLOOKUP(A751,Internal_lists_bugs!$A$2:$G2031,7,FALSE()),"/commit/","/tree/"),"please select a BUG ID")</f>
        <v>https://github.com/elastic/elasticsearch/tree/2442e1fb</v>
      </c>
      <c r="D751" s="16" t="s">
        <v>4998</v>
      </c>
      <c r="E751" s="16" t="s">
        <v>4977</v>
      </c>
      <c r="F751" s="54"/>
      <c r="H751" s="114"/>
      <c r="J751" s="183" t="str">
        <f>IFERROR(VLOOKUP(A751,Internal_lists_bugs!$A$2:$I2031,9,FALSE()),"please select a BUG ID")</f>
        <v>No information available</v>
      </c>
    </row>
    <row r="752">
      <c r="A752" s="1" t="s">
        <v>65</v>
      </c>
      <c r="B752" s="50" t="str">
        <f>IFERROR(HYPERLINK(VLOOKUP(A752,Internal_lists_bugs!$A$2:$C$73,3,FALSE()), VLOOKUP(A752,Internal_lists_bugs!$A$2:$C$73,3,FALSE())&amp;Char(10) &amp; Char(10) &amp; VLOOKUP(A752,Internal_lists_bugs!$A$2:$Z$73,26,FALSE())),"please select a BUG ID")</f>
        <v>https://github.com/elastic/elasticsearch/issues/2566
/classic/MapperQueryParser.java</v>
      </c>
      <c r="C752" s="81" t="str">
        <f>IFERROR(SUBSTITUTE(VLOOKUP(A752,Internal_lists_bugs!$A$2:$G2031,7,FALSE()),"/commit/","/tree/"),"please select a BUG ID")</f>
        <v>https://github.com/elastic/elasticsearch/tree/2442e1fb</v>
      </c>
      <c r="D752" s="16" t="s">
        <v>5018</v>
      </c>
      <c r="E752" s="16" t="s">
        <v>5019</v>
      </c>
      <c r="F752" s="54"/>
      <c r="H752" s="114"/>
      <c r="J752" s="183" t="str">
        <f>IFERROR(VLOOKUP(A752,Internal_lists_bugs!$A$2:$I2031,9,FALSE()),"please select a BUG ID")</f>
        <v>No information available</v>
      </c>
    </row>
    <row r="753">
      <c r="A753" s="1" t="s">
        <v>65</v>
      </c>
      <c r="B753" s="50" t="str">
        <f>IFERROR(HYPERLINK(VLOOKUP(A753,Internal_lists_bugs!$A$2:$C$73,3,FALSE()), VLOOKUP(A753,Internal_lists_bugs!$A$2:$C$73,3,FALSE())&amp;Char(10) &amp; Char(10) &amp; VLOOKUP(A753,Internal_lists_bugs!$A$2:$Z$73,26,FALSE())),"please select a BUG ID")</f>
        <v>https://github.com/elastic/elasticsearch/issues/2566
/classic/MapperQueryParser.java</v>
      </c>
      <c r="C753" s="81" t="str">
        <f>IFERROR(SUBSTITUTE(VLOOKUP(A753,Internal_lists_bugs!$A$2:$G2031,7,FALSE()),"/commit/","/tree/"),"please select a BUG ID")</f>
        <v>https://github.com/elastic/elasticsearch/tree/2442e1fb</v>
      </c>
      <c r="D753" s="16" t="s">
        <v>4990</v>
      </c>
      <c r="E753" s="16" t="s">
        <v>4997</v>
      </c>
      <c r="F753" s="54"/>
      <c r="H753" s="114"/>
      <c r="J753" s="183" t="str">
        <f>IFERROR(VLOOKUP(A753,Internal_lists_bugs!$A$2:$I2031,9,FALSE()),"please select a BUG ID")</f>
        <v>No information available</v>
      </c>
    </row>
    <row r="754">
      <c r="A754" s="1" t="s">
        <v>65</v>
      </c>
      <c r="B754" s="50" t="str">
        <f>IFERROR(HYPERLINK(VLOOKUP(A754,Internal_lists_bugs!$A$2:$C$73,3,FALSE()), VLOOKUP(A754,Internal_lists_bugs!$A$2:$C$73,3,FALSE())&amp;Char(10) &amp; Char(10) &amp; VLOOKUP(A754,Internal_lists_bugs!$A$2:$Z$73,26,FALSE())),"please select a BUG ID")</f>
        <v>https://github.com/elastic/elasticsearch/issues/2566
/classic/MapperQueryParser.java</v>
      </c>
      <c r="C754" s="81" t="str">
        <f>IFERROR(SUBSTITUTE(VLOOKUP(A754,Internal_lists_bugs!$A$2:$G2031,7,FALSE()),"/commit/","/tree/"),"please select a BUG ID")</f>
        <v>https://github.com/elastic/elasticsearch/tree/2442e1fb</v>
      </c>
      <c r="D754" s="16" t="s">
        <v>4987</v>
      </c>
      <c r="E754" s="16" t="s">
        <v>4997</v>
      </c>
      <c r="F754" s="54"/>
      <c r="H754" s="114"/>
      <c r="J754" s="183" t="str">
        <f>IFERROR(VLOOKUP(A754,Internal_lists_bugs!$A$2:$I2031,9,FALSE()),"please select a BUG ID")</f>
        <v>No information available</v>
      </c>
    </row>
    <row r="755">
      <c r="A755" s="1" t="s">
        <v>91</v>
      </c>
      <c r="B755" s="50" t="str">
        <f>IFERROR(HYPERLINK(VLOOKUP(A755,Internal_lists_bugs!$A$2:$C$73,3,FALSE()), VLOOKUP(A755,Internal_lists_bugs!$A$2:$C$73,3,FALSE())&amp;Char(10) &amp; Char(10) &amp; VLOOKUP(A755,Internal_lists_bugs!$A$2:$Z$73,26,FALSE())),"please select a BUG ID")</f>
        <v>https://github.com/elastic/elasticsearch/issues/2608
/query/TermsQueryParser.java</v>
      </c>
      <c r="C755" s="81" t="str">
        <f>IFERROR(SUBSTITUTE(VLOOKUP(A755,Internal_lists_bugs!$A$2:$G2031,7,FALSE()),"/commit/","/tree/"),"please select a BUG ID")</f>
        <v>https://github.com/elastic/elasticsearch/tree/167d358</v>
      </c>
      <c r="D755" s="16" t="s">
        <v>4962</v>
      </c>
      <c r="E755" s="16" t="s">
        <v>4967</v>
      </c>
      <c r="F755" s="16" t="s">
        <v>4724</v>
      </c>
      <c r="G755" s="63" t="s">
        <v>4992</v>
      </c>
      <c r="H755" s="112" t="s">
        <v>4818</v>
      </c>
      <c r="J755" s="183" t="str">
        <f>IFERROR(VLOOKUP(A755,Internal_lists_bugs!$A$2:$I2031,9,FALSE()),"please select a BUG ID")</f>
        <v>No information available</v>
      </c>
    </row>
    <row r="756">
      <c r="A756" s="1" t="s">
        <v>91</v>
      </c>
      <c r="B756" s="50" t="str">
        <f>IFERROR(HYPERLINK(VLOOKUP(A756,Internal_lists_bugs!$A$2:$C$73,3,FALSE()), VLOOKUP(A756,Internal_lists_bugs!$A$2:$C$73,3,FALSE())&amp;Char(10) &amp; Char(10) &amp; VLOOKUP(A756,Internal_lists_bugs!$A$2:$Z$73,26,FALSE())),"please select a BUG ID")</f>
        <v>https://github.com/elastic/elasticsearch/issues/2608
/query/TermsQueryParser.java</v>
      </c>
      <c r="C756" s="81" t="str">
        <f>IFERROR(SUBSTITUTE(VLOOKUP(A756,Internal_lists_bugs!$A$2:$G2031,7,FALSE()),"/commit/","/tree/"),"please select a BUG ID")</f>
        <v>https://github.com/elastic/elasticsearch/tree/167d358</v>
      </c>
      <c r="D756" s="16" t="s">
        <v>4966</v>
      </c>
      <c r="E756" s="16" t="s">
        <v>4967</v>
      </c>
      <c r="F756" s="54"/>
      <c r="H756" s="112" t="s">
        <v>4965</v>
      </c>
      <c r="J756" s="183" t="str">
        <f>IFERROR(VLOOKUP(A756,Internal_lists_bugs!$A$2:$I2031,9,FALSE()),"please select a BUG ID")</f>
        <v>No information available</v>
      </c>
    </row>
    <row r="757">
      <c r="A757" s="1" t="s">
        <v>91</v>
      </c>
      <c r="B757" s="50" t="str">
        <f>IFERROR(HYPERLINK(VLOOKUP(A757,Internal_lists_bugs!$A$2:$C$73,3,FALSE()), VLOOKUP(A757,Internal_lists_bugs!$A$2:$C$73,3,FALSE())&amp;Char(10) &amp; Char(10) &amp; VLOOKUP(A757,Internal_lists_bugs!$A$2:$Z$73,26,FALSE())),"please select a BUG ID")</f>
        <v>https://github.com/elastic/elasticsearch/issues/2608
/query/TermsQueryParser.java</v>
      </c>
      <c r="C757" s="81" t="str">
        <f>IFERROR(SUBSTITUTE(VLOOKUP(A757,Internal_lists_bugs!$A$2:$G2031,7,FALSE()),"/commit/","/tree/"),"please select a BUG ID")</f>
        <v>https://github.com/elastic/elasticsearch/tree/167d358</v>
      </c>
      <c r="D757" s="16" t="s">
        <v>4970</v>
      </c>
      <c r="E757" s="16" t="s">
        <v>4969</v>
      </c>
      <c r="F757" s="54"/>
      <c r="H757" s="112" t="s">
        <v>4708</v>
      </c>
      <c r="I757" s="16" t="s">
        <v>4972</v>
      </c>
      <c r="J757" s="183" t="str">
        <f>IFERROR(VLOOKUP(A757,Internal_lists_bugs!$A$2:$I2031,9,FALSE()),"please select a BUG ID")</f>
        <v>No information available</v>
      </c>
    </row>
    <row r="758">
      <c r="A758" s="1" t="s">
        <v>91</v>
      </c>
      <c r="B758" s="50" t="str">
        <f>IFERROR(HYPERLINK(VLOOKUP(A758,Internal_lists_bugs!$A$2:$C$73,3,FALSE()), VLOOKUP(A758,Internal_lists_bugs!$A$2:$C$73,3,FALSE())&amp;Char(10) &amp; Char(10) &amp; VLOOKUP(A758,Internal_lists_bugs!$A$2:$Z$73,26,FALSE())),"please select a BUG ID")</f>
        <v>https://github.com/elastic/elasticsearch/issues/2608
/query/TermsQueryParser.java</v>
      </c>
      <c r="C758" s="81" t="str">
        <f>IFERROR(SUBSTITUTE(VLOOKUP(A758,Internal_lists_bugs!$A$2:$G2031,7,FALSE()),"/commit/","/tree/"),"please select a BUG ID")</f>
        <v>https://github.com/elastic/elasticsearch/tree/167d358</v>
      </c>
      <c r="D758" s="16" t="s">
        <v>4973</v>
      </c>
      <c r="E758" s="16" t="s">
        <v>5005</v>
      </c>
      <c r="F758" s="54"/>
      <c r="H758" s="112" t="s">
        <v>4971</v>
      </c>
      <c r="J758" s="183" t="str">
        <f>IFERROR(VLOOKUP(A758,Internal_lists_bugs!$A$2:$I2031,9,FALSE()),"please select a BUG ID")</f>
        <v>No information available</v>
      </c>
    </row>
    <row r="759">
      <c r="A759" s="1" t="s">
        <v>91</v>
      </c>
      <c r="B759" s="50" t="str">
        <f>IFERROR(HYPERLINK(VLOOKUP(A759,Internal_lists_bugs!$A$2:$C$73,3,FALSE()), VLOOKUP(A759,Internal_lists_bugs!$A$2:$C$73,3,FALSE())&amp;Char(10) &amp; Char(10) &amp; VLOOKUP(A759,Internal_lists_bugs!$A$2:$Z$73,26,FALSE())),"please select a BUG ID")</f>
        <v>https://github.com/elastic/elasticsearch/issues/2608
/query/TermsQueryParser.java</v>
      </c>
      <c r="C759" s="81" t="str">
        <f>IFERROR(SUBSTITUTE(VLOOKUP(A759,Internal_lists_bugs!$A$2:$G2031,7,FALSE()),"/commit/","/tree/"),"please select a BUG ID")</f>
        <v>https://github.com/elastic/elasticsearch/tree/167d358</v>
      </c>
      <c r="D759" s="16" t="s">
        <v>4976</v>
      </c>
      <c r="E759" s="16" t="s">
        <v>4977</v>
      </c>
      <c r="F759" s="54"/>
      <c r="H759" s="112" t="s">
        <v>4975</v>
      </c>
      <c r="J759" s="183" t="str">
        <f>IFERROR(VLOOKUP(A759,Internal_lists_bugs!$A$2:$I2031,9,FALSE()),"please select a BUG ID")</f>
        <v>No information available</v>
      </c>
    </row>
    <row r="760">
      <c r="A760" s="1" t="s">
        <v>91</v>
      </c>
      <c r="B760" s="50" t="str">
        <f>IFERROR(HYPERLINK(VLOOKUP(A760,Internal_lists_bugs!$A$2:$C$73,3,FALSE()), VLOOKUP(A760,Internal_lists_bugs!$A$2:$C$73,3,FALSE())&amp;Char(10) &amp; Char(10) &amp; VLOOKUP(A760,Internal_lists_bugs!$A$2:$Z$73,26,FALSE())),"please select a BUG ID")</f>
        <v>https://github.com/elastic/elasticsearch/issues/2608
/query/TermsQueryParser.java</v>
      </c>
      <c r="C760" s="81" t="str">
        <f>IFERROR(SUBSTITUTE(VLOOKUP(A760,Internal_lists_bugs!$A$2:$G2031,7,FALSE()),"/commit/","/tree/"),"please select a BUG ID")</f>
        <v>https://github.com/elastic/elasticsearch/tree/167d358</v>
      </c>
      <c r="D760" s="16" t="s">
        <v>4978</v>
      </c>
      <c r="E760" s="16" t="s">
        <v>4979</v>
      </c>
      <c r="F760" s="54"/>
      <c r="H760" s="112" t="s">
        <v>4993</v>
      </c>
      <c r="J760" s="183" t="str">
        <f>IFERROR(VLOOKUP(A760,Internal_lists_bugs!$A$2:$I2031,9,FALSE()),"please select a BUG ID")</f>
        <v>No information available</v>
      </c>
    </row>
    <row r="761">
      <c r="A761" s="1" t="s">
        <v>91</v>
      </c>
      <c r="B761" s="50" t="str">
        <f>IFERROR(HYPERLINK(VLOOKUP(A761,Internal_lists_bugs!$A$2:$C$73,3,FALSE()), VLOOKUP(A761,Internal_lists_bugs!$A$2:$C$73,3,FALSE())&amp;Char(10) &amp; Char(10) &amp; VLOOKUP(A761,Internal_lists_bugs!$A$2:$Z$73,26,FALSE())),"please select a BUG ID")</f>
        <v>https://github.com/elastic/elasticsearch/issues/2608
/query/TermsQueryParser.java</v>
      </c>
      <c r="C761" s="81" t="str">
        <f>IFERROR(SUBSTITUTE(VLOOKUP(A761,Internal_lists_bugs!$A$2:$G2031,7,FALSE()),"/commit/","/tree/"),"please select a BUG ID")</f>
        <v>https://github.com/elastic/elasticsearch/tree/167d358</v>
      </c>
      <c r="D761" s="16" t="s">
        <v>4982</v>
      </c>
      <c r="E761" s="16" t="s">
        <v>4979</v>
      </c>
      <c r="F761" s="54"/>
      <c r="H761" s="112" t="s">
        <v>4684</v>
      </c>
      <c r="J761" s="183" t="str">
        <f>IFERROR(VLOOKUP(A761,Internal_lists_bugs!$A$2:$I2031,9,FALSE()),"please select a BUG ID")</f>
        <v>No information available</v>
      </c>
    </row>
    <row r="762">
      <c r="A762" s="1" t="s">
        <v>91</v>
      </c>
      <c r="B762" s="50" t="str">
        <f>IFERROR(HYPERLINK(VLOOKUP(A762,Internal_lists_bugs!$A$2:$C$73,3,FALSE()), VLOOKUP(A762,Internal_lists_bugs!$A$2:$C$73,3,FALSE())&amp;Char(10) &amp; Char(10) &amp; VLOOKUP(A762,Internal_lists_bugs!$A$2:$Z$73,26,FALSE())),"please select a BUG ID")</f>
        <v>https://github.com/elastic/elasticsearch/issues/2608
/query/TermsQueryParser.java</v>
      </c>
      <c r="C762" s="81" t="str">
        <f>IFERROR(SUBSTITUTE(VLOOKUP(A762,Internal_lists_bugs!$A$2:$G2031,7,FALSE()),"/commit/","/tree/"),"please select a BUG ID")</f>
        <v>https://github.com/elastic/elasticsearch/tree/167d358</v>
      </c>
      <c r="D762" s="16" t="s">
        <v>4983</v>
      </c>
      <c r="E762" s="16" t="s">
        <v>4984</v>
      </c>
      <c r="F762" s="54"/>
      <c r="H762" s="112" t="s">
        <v>4994</v>
      </c>
      <c r="I762" s="16" t="s">
        <v>5016</v>
      </c>
      <c r="J762" s="183" t="str">
        <f>IFERROR(VLOOKUP(A762,Internal_lists_bugs!$A$2:$I2031,9,FALSE()),"please select a BUG ID")</f>
        <v>No information available</v>
      </c>
    </row>
    <row r="763">
      <c r="A763" s="1" t="s">
        <v>91</v>
      </c>
      <c r="B763" s="50" t="str">
        <f>IFERROR(HYPERLINK(VLOOKUP(A763,Internal_lists_bugs!$A$2:$C$73,3,FALSE()), VLOOKUP(A763,Internal_lists_bugs!$A$2:$C$73,3,FALSE())&amp;Char(10) &amp; Char(10) &amp; VLOOKUP(A763,Internal_lists_bugs!$A$2:$Z$73,26,FALSE())),"please select a BUG ID")</f>
        <v>https://github.com/elastic/elasticsearch/issues/2608
/query/TermsQueryParser.java</v>
      </c>
      <c r="C763" s="81" t="str">
        <f>IFERROR(SUBSTITUTE(VLOOKUP(A763,Internal_lists_bugs!$A$2:$G2031,7,FALSE()),"/commit/","/tree/"),"please select a BUG ID")</f>
        <v>https://github.com/elastic/elasticsearch/tree/167d358</v>
      </c>
      <c r="D763" s="16" t="s">
        <v>4985</v>
      </c>
      <c r="E763" s="16" t="s">
        <v>4996</v>
      </c>
      <c r="F763" s="54"/>
      <c r="H763" s="112" t="s">
        <v>4980</v>
      </c>
      <c r="I763" s="16" t="s">
        <v>4981</v>
      </c>
      <c r="J763" s="183" t="str">
        <f>IFERROR(VLOOKUP(A763,Internal_lists_bugs!$A$2:$I2031,9,FALSE()),"please select a BUG ID")</f>
        <v>No information available</v>
      </c>
    </row>
    <row r="764">
      <c r="A764" s="1" t="s">
        <v>91</v>
      </c>
      <c r="B764" s="50" t="str">
        <f>IFERROR(HYPERLINK(VLOOKUP(A764,Internal_lists_bugs!$A$2:$C$73,3,FALSE()), VLOOKUP(A764,Internal_lists_bugs!$A$2:$C$73,3,FALSE())&amp;Char(10) &amp; Char(10) &amp; VLOOKUP(A764,Internal_lists_bugs!$A$2:$Z$73,26,FALSE())),"please select a BUG ID")</f>
        <v>https://github.com/elastic/elasticsearch/issues/2608
/query/TermsQueryParser.java</v>
      </c>
      <c r="C764" s="81" t="str">
        <f>IFERROR(SUBSTITUTE(VLOOKUP(A764,Internal_lists_bugs!$A$2:$G2031,7,FALSE()),"/commit/","/tree/"),"please select a BUG ID")</f>
        <v>https://github.com/elastic/elasticsearch/tree/167d358</v>
      </c>
      <c r="D764" s="16" t="s">
        <v>5003</v>
      </c>
      <c r="E764" s="16" t="s">
        <v>5012</v>
      </c>
      <c r="F764" s="54"/>
      <c r="H764" s="112"/>
      <c r="J764" s="183" t="str">
        <f>IFERROR(VLOOKUP(A764,Internal_lists_bugs!$A$2:$I2031,9,FALSE()),"please select a BUG ID")</f>
        <v>No information available</v>
      </c>
    </row>
    <row r="765">
      <c r="A765" s="1" t="s">
        <v>91</v>
      </c>
      <c r="B765" s="50" t="str">
        <f>IFERROR(HYPERLINK(VLOOKUP(A765,Internal_lists_bugs!$A$2:$C$73,3,FALSE()), VLOOKUP(A765,Internal_lists_bugs!$A$2:$C$73,3,FALSE())&amp;Char(10) &amp; Char(10) &amp; VLOOKUP(A765,Internal_lists_bugs!$A$2:$Z$73,26,FALSE())),"please select a BUG ID")</f>
        <v>https://github.com/elastic/elasticsearch/issues/2608
/query/TermsQueryParser.java</v>
      </c>
      <c r="C765" s="81" t="str">
        <f>IFERROR(SUBSTITUTE(VLOOKUP(A765,Internal_lists_bugs!$A$2:$G2031,7,FALSE()),"/commit/","/tree/"),"please select a BUG ID")</f>
        <v>https://github.com/elastic/elasticsearch/tree/167d358</v>
      </c>
      <c r="D765" s="16" t="s">
        <v>4989</v>
      </c>
      <c r="E765" s="16" t="s">
        <v>5014</v>
      </c>
      <c r="F765" s="54"/>
      <c r="H765" s="114"/>
      <c r="J765" s="183" t="str">
        <f>IFERROR(VLOOKUP(A765,Internal_lists_bugs!$A$2:$I2031,9,FALSE()),"please select a BUG ID")</f>
        <v>No information available</v>
      </c>
    </row>
    <row r="766">
      <c r="A766" s="1" t="s">
        <v>91</v>
      </c>
      <c r="B766" s="50" t="str">
        <f>IFERROR(HYPERLINK(VLOOKUP(A766,Internal_lists_bugs!$A$2:$C$73,3,FALSE()), VLOOKUP(A766,Internal_lists_bugs!$A$2:$C$73,3,FALSE())&amp;Char(10) &amp; Char(10) &amp; VLOOKUP(A766,Internal_lists_bugs!$A$2:$Z$73,26,FALSE())),"please select a BUG ID")</f>
        <v>https://github.com/elastic/elasticsearch/issues/2608
/query/TermsQueryParser.java</v>
      </c>
      <c r="C766" s="81" t="str">
        <f>IFERROR(SUBSTITUTE(VLOOKUP(A766,Internal_lists_bugs!$A$2:$G2031,7,FALSE()),"/commit/","/tree/"),"please select a BUG ID")</f>
        <v>https://github.com/elastic/elasticsearch/tree/167d358</v>
      </c>
      <c r="D766" s="16" t="s">
        <v>4968</v>
      </c>
      <c r="E766" s="16" t="s">
        <v>5017</v>
      </c>
      <c r="F766" s="54"/>
      <c r="H766" s="114"/>
      <c r="J766" s="183" t="str">
        <f>IFERROR(VLOOKUP(A766,Internal_lists_bugs!$A$2:$I2031,9,FALSE()),"please select a BUG ID")</f>
        <v>No information available</v>
      </c>
    </row>
    <row r="767">
      <c r="A767" s="1" t="s">
        <v>91</v>
      </c>
      <c r="B767" s="50" t="str">
        <f>IFERROR(HYPERLINK(VLOOKUP(A767,Internal_lists_bugs!$A$2:$C$73,3,FALSE()), VLOOKUP(A767,Internal_lists_bugs!$A$2:$C$73,3,FALSE())&amp;Char(10) &amp; Char(10) &amp; VLOOKUP(A767,Internal_lists_bugs!$A$2:$Z$73,26,FALSE())),"please select a BUG ID")</f>
        <v>https://github.com/elastic/elasticsearch/issues/2608
/query/TermsQueryParser.java</v>
      </c>
      <c r="C767" s="81" t="str">
        <f>IFERROR(SUBSTITUTE(VLOOKUP(A767,Internal_lists_bugs!$A$2:$G2031,7,FALSE()),"/commit/","/tree/"),"please select a BUG ID")</f>
        <v>https://github.com/elastic/elasticsearch/tree/167d358</v>
      </c>
      <c r="D767" s="16" t="s">
        <v>5001</v>
      </c>
      <c r="E767" s="16" t="s">
        <v>5017</v>
      </c>
      <c r="F767" s="54"/>
      <c r="H767" s="114"/>
      <c r="J767" s="183" t="str">
        <f>IFERROR(VLOOKUP(A767,Internal_lists_bugs!$A$2:$I2031,9,FALSE()),"please select a BUG ID")</f>
        <v>No information available</v>
      </c>
    </row>
    <row r="768">
      <c r="A768" s="1" t="s">
        <v>91</v>
      </c>
      <c r="B768" s="50" t="str">
        <f>IFERROR(HYPERLINK(VLOOKUP(A768,Internal_lists_bugs!$A$2:$C$73,3,FALSE()), VLOOKUP(A768,Internal_lists_bugs!$A$2:$C$73,3,FALSE())&amp;Char(10) &amp; Char(10) &amp; VLOOKUP(A768,Internal_lists_bugs!$A$2:$Z$73,26,FALSE())),"please select a BUG ID")</f>
        <v>https://github.com/elastic/elasticsearch/issues/2608
/query/TermsQueryParser.java</v>
      </c>
      <c r="C768" s="81" t="str">
        <f>IFERROR(SUBSTITUTE(VLOOKUP(A768,Internal_lists_bugs!$A$2:$G2031,7,FALSE()),"/commit/","/tree/"),"please select a BUG ID")</f>
        <v>https://github.com/elastic/elasticsearch/tree/167d358</v>
      </c>
      <c r="D768" s="16" t="s">
        <v>5000</v>
      </c>
      <c r="E768" s="16" t="s">
        <v>5017</v>
      </c>
      <c r="F768" s="54"/>
      <c r="H768" s="114"/>
      <c r="J768" s="183" t="str">
        <f>IFERROR(VLOOKUP(A768,Internal_lists_bugs!$A$2:$I2031,9,FALSE()),"please select a BUG ID")</f>
        <v>No information available</v>
      </c>
    </row>
    <row r="769">
      <c r="A769" s="1" t="s">
        <v>91</v>
      </c>
      <c r="B769" s="50" t="str">
        <f>IFERROR(HYPERLINK(VLOOKUP(A769,Internal_lists_bugs!$A$2:$C$73,3,FALSE()), VLOOKUP(A769,Internal_lists_bugs!$A$2:$C$73,3,FALSE())&amp;Char(10) &amp; Char(10) &amp; VLOOKUP(A769,Internal_lists_bugs!$A$2:$Z$73,26,FALSE())),"please select a BUG ID")</f>
        <v>https://github.com/elastic/elasticsearch/issues/2608
/query/TermsQueryParser.java</v>
      </c>
      <c r="C769" s="81" t="str">
        <f>IFERROR(SUBSTITUTE(VLOOKUP(A769,Internal_lists_bugs!$A$2:$G2031,7,FALSE()),"/commit/","/tree/"),"please select a BUG ID")</f>
        <v>https://github.com/elastic/elasticsearch/tree/167d358</v>
      </c>
      <c r="D769" s="16" t="s">
        <v>4998</v>
      </c>
      <c r="E769" s="16" t="s">
        <v>4977</v>
      </c>
      <c r="F769" s="54"/>
      <c r="H769" s="114"/>
      <c r="J769" s="183" t="str">
        <f>IFERROR(VLOOKUP(A769,Internal_lists_bugs!$A$2:$I2031,9,FALSE()),"please select a BUG ID")</f>
        <v>No information available</v>
      </c>
    </row>
    <row r="770">
      <c r="A770" s="1" t="s">
        <v>91</v>
      </c>
      <c r="B770" s="50" t="str">
        <f>IFERROR(HYPERLINK(VLOOKUP(A770,Internal_lists_bugs!$A$2:$C$73,3,FALSE()), VLOOKUP(A770,Internal_lists_bugs!$A$2:$C$73,3,FALSE())&amp;Char(10) &amp; Char(10) &amp; VLOOKUP(A770,Internal_lists_bugs!$A$2:$Z$73,26,FALSE())),"please select a BUG ID")</f>
        <v>https://github.com/elastic/elasticsearch/issues/2608
/query/TermsQueryParser.java</v>
      </c>
      <c r="C770" s="81" t="str">
        <f>IFERROR(SUBSTITUTE(VLOOKUP(A770,Internal_lists_bugs!$A$2:$G2031,7,FALSE()),"/commit/","/tree/"),"please select a BUG ID")</f>
        <v>https://github.com/elastic/elasticsearch/tree/167d358</v>
      </c>
      <c r="D770" s="16" t="s">
        <v>5018</v>
      </c>
      <c r="E770" s="16" t="s">
        <v>5019</v>
      </c>
      <c r="F770" s="54"/>
      <c r="H770" s="114"/>
      <c r="J770" s="183" t="str">
        <f>IFERROR(VLOOKUP(A770,Internal_lists_bugs!$A$2:$I2031,9,FALSE()),"please select a BUG ID")</f>
        <v>No information available</v>
      </c>
    </row>
    <row r="771">
      <c r="A771" s="1" t="s">
        <v>91</v>
      </c>
      <c r="B771" s="50" t="str">
        <f>IFERROR(HYPERLINK(VLOOKUP(A771,Internal_lists_bugs!$A$2:$C$73,3,FALSE()), VLOOKUP(A771,Internal_lists_bugs!$A$2:$C$73,3,FALSE())&amp;Char(10) &amp; Char(10) &amp; VLOOKUP(A771,Internal_lists_bugs!$A$2:$Z$73,26,FALSE())),"please select a BUG ID")</f>
        <v>https://github.com/elastic/elasticsearch/issues/2608
/query/TermsQueryParser.java</v>
      </c>
      <c r="C771" s="81" t="str">
        <f>IFERROR(SUBSTITUTE(VLOOKUP(A771,Internal_lists_bugs!$A$2:$G2031,7,FALSE()),"/commit/","/tree/"),"please select a BUG ID")</f>
        <v>https://github.com/elastic/elasticsearch/tree/167d358</v>
      </c>
      <c r="D771" s="16" t="s">
        <v>4990</v>
      </c>
      <c r="E771" s="16" t="s">
        <v>4997</v>
      </c>
      <c r="F771" s="54"/>
      <c r="H771" s="114"/>
      <c r="J771" s="183" t="str">
        <f>IFERROR(VLOOKUP(A771,Internal_lists_bugs!$A$2:$I2031,9,FALSE()),"please select a BUG ID")</f>
        <v>No information available</v>
      </c>
    </row>
    <row r="772">
      <c r="A772" s="1" t="s">
        <v>91</v>
      </c>
      <c r="B772" s="50" t="str">
        <f>IFERROR(HYPERLINK(VLOOKUP(A772,Internal_lists_bugs!$A$2:$C$73,3,FALSE()), VLOOKUP(A772,Internal_lists_bugs!$A$2:$C$73,3,FALSE())&amp;Char(10) &amp; Char(10) &amp; VLOOKUP(A772,Internal_lists_bugs!$A$2:$Z$73,26,FALSE())),"please select a BUG ID")</f>
        <v>https://github.com/elastic/elasticsearch/issues/2608
/query/TermsQueryParser.java</v>
      </c>
      <c r="C772" s="81" t="str">
        <f>IFERROR(SUBSTITUTE(VLOOKUP(A772,Internal_lists_bugs!$A$2:$G2031,7,FALSE()),"/commit/","/tree/"),"please select a BUG ID")</f>
        <v>https://github.com/elastic/elasticsearch/tree/167d358</v>
      </c>
      <c r="D772" s="16" t="s">
        <v>4987</v>
      </c>
      <c r="E772" s="16" t="s">
        <v>4997</v>
      </c>
      <c r="F772" s="54"/>
      <c r="H772" s="114"/>
      <c r="J772" s="183" t="str">
        <f>IFERROR(VLOOKUP(A772,Internal_lists_bugs!$A$2:$I2031,9,FALSE()),"please select a BUG ID")</f>
        <v>No information available</v>
      </c>
    </row>
    <row r="773">
      <c r="A773" s="1" t="s">
        <v>91</v>
      </c>
      <c r="B773" s="50" t="str">
        <f>IFERROR(HYPERLINK(VLOOKUP(A773,Internal_lists_bugs!$A$2:$C$73,3,FALSE()), VLOOKUP(A773,Internal_lists_bugs!$A$2:$C$73,3,FALSE())&amp;Char(10) &amp; Char(10) &amp; VLOOKUP(A773,Internal_lists_bugs!$A$2:$Z$73,26,FALSE())),"please select a BUG ID")</f>
        <v>https://github.com/elastic/elasticsearch/issues/2608
/query/TermsQueryParser.java</v>
      </c>
      <c r="C773" s="81" t="str">
        <f>IFERROR(SUBSTITUTE(VLOOKUP(A773,Internal_lists_bugs!$A$2:$G2031,7,FALSE()),"/commit/","/tree/"),"please select a BUG ID")</f>
        <v>https://github.com/elastic/elasticsearch/tree/167d358</v>
      </c>
      <c r="D773" s="16" t="s">
        <v>5008</v>
      </c>
      <c r="E773" s="16" t="s">
        <v>5017</v>
      </c>
      <c r="F773" s="54"/>
      <c r="H773" s="114"/>
      <c r="J773" s="183" t="str">
        <f>IFERROR(VLOOKUP(A773,Internal_lists_bugs!$A$2:$I2031,9,FALSE()),"please select a BUG ID")</f>
        <v>No information available</v>
      </c>
    </row>
    <row r="774">
      <c r="A774" s="1" t="s">
        <v>101</v>
      </c>
      <c r="B774" s="50" t="str">
        <f>IFERROR(HYPERLINK(VLOOKUP(A774,Internal_lists_bugs!$A$2:$C$73,3,FALSE()), VLOOKUP(A774,Internal_lists_bugs!$A$2:$C$73,3,FALSE())&amp;Char(10) &amp; Char(10) &amp; VLOOKUP(A774,Internal_lists_bugs!$A$2:$Z$73,26,FALSE())),"please select a BUG ID")</f>
        <v>https://github.com/elastic/elasticsearch/issues/2991
/BytesRefOrdValComparator.java </v>
      </c>
      <c r="C774" s="81" t="str">
        <f>IFERROR(SUBSTITUTE(VLOOKUP(A774,Internal_lists_bugs!$A$2:$G2031,7,FALSE()),"/commit/","/tree/"),"please select a BUG ID")</f>
        <v>https://github.com/elastic/elasticsearch/tree/7397007</v>
      </c>
      <c r="D774" s="16" t="s">
        <v>4964</v>
      </c>
      <c r="E774" s="16" t="s">
        <v>5020</v>
      </c>
      <c r="F774" s="16" t="s">
        <v>4724</v>
      </c>
      <c r="G774" s="63" t="s">
        <v>4992</v>
      </c>
      <c r="H774" s="112" t="s">
        <v>4818</v>
      </c>
      <c r="J774" s="183" t="str">
        <f>IFERROR(VLOOKUP(A774,Internal_lists_bugs!$A$2:$I2031,9,FALSE()),"please select a BUG ID")</f>
        <v>No information available</v>
      </c>
    </row>
    <row r="775">
      <c r="A775" s="1" t="s">
        <v>101</v>
      </c>
      <c r="B775" s="50" t="str">
        <f>IFERROR(HYPERLINK(VLOOKUP(A775,Internal_lists_bugs!$A$2:$C$73,3,FALSE()), VLOOKUP(A775,Internal_lists_bugs!$A$2:$C$73,3,FALSE())&amp;Char(10) &amp; Char(10) &amp; VLOOKUP(A775,Internal_lists_bugs!$A$2:$Z$73,26,FALSE())),"please select a BUG ID")</f>
        <v>https://github.com/elastic/elasticsearch/issues/2991
/BytesRefOrdValComparator.java </v>
      </c>
      <c r="C775" s="81" t="str">
        <f>IFERROR(SUBSTITUTE(VLOOKUP(A775,Internal_lists_bugs!$A$2:$G2031,7,FALSE()),"/commit/","/tree/"),"please select a BUG ID")</f>
        <v>https://github.com/elastic/elasticsearch/tree/7397007</v>
      </c>
      <c r="D775" s="16" t="s">
        <v>5001</v>
      </c>
      <c r="E775" s="16" t="s">
        <v>5021</v>
      </c>
      <c r="F775" s="54"/>
      <c r="H775" s="112" t="s">
        <v>4708</v>
      </c>
      <c r="I775" s="16" t="s">
        <v>4972</v>
      </c>
      <c r="J775" s="183" t="str">
        <f>IFERROR(VLOOKUP(A775,Internal_lists_bugs!$A$2:$I2031,9,FALSE()),"please select a BUG ID")</f>
        <v>No information available</v>
      </c>
    </row>
    <row r="776">
      <c r="A776" s="1" t="s">
        <v>101</v>
      </c>
      <c r="B776" s="50" t="str">
        <f>IFERROR(HYPERLINK(VLOOKUP(A776,Internal_lists_bugs!$A$2:$C$73,3,FALSE()), VLOOKUP(A776,Internal_lists_bugs!$A$2:$C$73,3,FALSE())&amp;Char(10) &amp; Char(10) &amp; VLOOKUP(A776,Internal_lists_bugs!$A$2:$Z$73,26,FALSE())),"please select a BUG ID")</f>
        <v>https://github.com/elastic/elasticsearch/issues/2991
/BytesRefOrdValComparator.java </v>
      </c>
      <c r="C776" s="81" t="str">
        <f>IFERROR(SUBSTITUTE(VLOOKUP(A776,Internal_lists_bugs!$A$2:$G2031,7,FALSE()),"/commit/","/tree/"),"please select a BUG ID")</f>
        <v>https://github.com/elastic/elasticsearch/tree/7397007</v>
      </c>
      <c r="D776" s="16" t="s">
        <v>4968</v>
      </c>
      <c r="E776" s="16" t="s">
        <v>5022</v>
      </c>
      <c r="F776" s="54"/>
      <c r="H776" s="112" t="s">
        <v>4975</v>
      </c>
      <c r="J776" s="183" t="str">
        <f>IFERROR(VLOOKUP(A776,Internal_lists_bugs!$A$2:$I2031,9,FALSE()),"please select a BUG ID")</f>
        <v>No information available</v>
      </c>
    </row>
    <row r="777">
      <c r="A777" s="1" t="s">
        <v>101</v>
      </c>
      <c r="B777" s="50" t="str">
        <f>IFERROR(HYPERLINK(VLOOKUP(A777,Internal_lists_bugs!$A$2:$C$73,3,FALSE()), VLOOKUP(A777,Internal_lists_bugs!$A$2:$C$73,3,FALSE())&amp;Char(10) &amp; Char(10) &amp; VLOOKUP(A777,Internal_lists_bugs!$A$2:$Z$73,26,FALSE())),"please select a BUG ID")</f>
        <v>https://github.com/elastic/elasticsearch/issues/2991
/BytesRefOrdValComparator.java </v>
      </c>
      <c r="C777" s="81" t="str">
        <f>IFERROR(SUBSTITUTE(VLOOKUP(A777,Internal_lists_bugs!$A$2:$G2031,7,FALSE()),"/commit/","/tree/"),"please select a BUG ID")</f>
        <v>https://github.com/elastic/elasticsearch/tree/7397007</v>
      </c>
      <c r="D777" s="16" t="s">
        <v>4973</v>
      </c>
      <c r="E777" s="16" t="s">
        <v>5023</v>
      </c>
      <c r="F777" s="54"/>
      <c r="H777" s="112" t="s">
        <v>5024</v>
      </c>
      <c r="I777" s="16" t="s">
        <v>5025</v>
      </c>
      <c r="J777" s="183" t="str">
        <f>IFERROR(VLOOKUP(A777,Internal_lists_bugs!$A$2:$I2031,9,FALSE()),"please select a BUG ID")</f>
        <v>No information available</v>
      </c>
    </row>
    <row r="778">
      <c r="A778" s="1" t="s">
        <v>101</v>
      </c>
      <c r="B778" s="50" t="str">
        <f>IFERROR(HYPERLINK(VLOOKUP(A778,Internal_lists_bugs!$A$2:$C$73,3,FALSE()), VLOOKUP(A778,Internal_lists_bugs!$A$2:$C$73,3,FALSE())&amp;Char(10) &amp; Char(10) &amp; VLOOKUP(A778,Internal_lists_bugs!$A$2:$Z$73,26,FALSE())),"please select a BUG ID")</f>
        <v>https://github.com/elastic/elasticsearch/issues/2991
/BytesRefOrdValComparator.java </v>
      </c>
      <c r="C778" s="81" t="str">
        <f>IFERROR(SUBSTITUTE(VLOOKUP(A778,Internal_lists_bugs!$A$2:$G2031,7,FALSE()),"/commit/","/tree/"),"please select a BUG ID")</f>
        <v>https://github.com/elastic/elasticsearch/tree/7397007</v>
      </c>
      <c r="D778" s="16" t="s">
        <v>4978</v>
      </c>
      <c r="E778" s="16" t="s">
        <v>5026</v>
      </c>
      <c r="F778" s="54"/>
      <c r="H778" s="112" t="s">
        <v>4965</v>
      </c>
      <c r="J778" s="183" t="str">
        <f>IFERROR(VLOOKUP(A778,Internal_lists_bugs!$A$2:$I2031,9,FALSE()),"please select a BUG ID")</f>
        <v>No information available</v>
      </c>
    </row>
    <row r="779">
      <c r="A779" s="1" t="s">
        <v>101</v>
      </c>
      <c r="B779" s="50" t="str">
        <f>IFERROR(HYPERLINK(VLOOKUP(A779,Internal_lists_bugs!$A$2:$C$73,3,FALSE()), VLOOKUP(A779,Internal_lists_bugs!$A$2:$C$73,3,FALSE())&amp;Char(10) &amp; Char(10) &amp; VLOOKUP(A779,Internal_lists_bugs!$A$2:$Z$73,26,FALSE())),"please select a BUG ID")</f>
        <v>https://github.com/elastic/elasticsearch/issues/2991
/BytesRefOrdValComparator.java </v>
      </c>
      <c r="C779" s="81" t="str">
        <f>IFERROR(SUBSTITUTE(VLOOKUP(A779,Internal_lists_bugs!$A$2:$G2031,7,FALSE()),"/commit/","/tree/"),"please select a BUG ID")</f>
        <v>https://github.com/elastic/elasticsearch/tree/7397007</v>
      </c>
      <c r="D779" s="16" t="s">
        <v>4982</v>
      </c>
      <c r="E779" s="16" t="s">
        <v>5027</v>
      </c>
      <c r="F779" s="54"/>
      <c r="H779" s="112" t="s">
        <v>5028</v>
      </c>
      <c r="I779" s="16" t="s">
        <v>5029</v>
      </c>
      <c r="J779" s="183" t="str">
        <f>IFERROR(VLOOKUP(A779,Internal_lists_bugs!$A$2:$I2031,9,FALSE()),"please select a BUG ID")</f>
        <v>No information available</v>
      </c>
    </row>
    <row r="780">
      <c r="A780" s="1" t="s">
        <v>101</v>
      </c>
      <c r="B780" s="50" t="str">
        <f>IFERROR(HYPERLINK(VLOOKUP(A780,Internal_lists_bugs!$A$2:$C$73,3,FALSE()), VLOOKUP(A780,Internal_lists_bugs!$A$2:$C$73,3,FALSE())&amp;Char(10) &amp; Char(10) &amp; VLOOKUP(A780,Internal_lists_bugs!$A$2:$Z$73,26,FALSE())),"please select a BUG ID")</f>
        <v>https://github.com/elastic/elasticsearch/issues/2991
/BytesRefOrdValComparator.java </v>
      </c>
      <c r="C780" s="81" t="str">
        <f>IFERROR(SUBSTITUTE(VLOOKUP(A780,Internal_lists_bugs!$A$2:$G2031,7,FALSE()),"/commit/","/tree/"),"please select a BUG ID")</f>
        <v>https://github.com/elastic/elasticsearch/tree/7397007</v>
      </c>
      <c r="D780" s="16" t="s">
        <v>4983</v>
      </c>
      <c r="E780" s="16" t="s">
        <v>5030</v>
      </c>
      <c r="F780" s="54"/>
      <c r="H780" s="9"/>
      <c r="J780" s="183" t="str">
        <f>IFERROR(VLOOKUP(A780,Internal_lists_bugs!$A$2:$I2031,9,FALSE()),"please select a BUG ID")</f>
        <v>No information available</v>
      </c>
    </row>
    <row r="781">
      <c r="A781" s="1" t="s">
        <v>101</v>
      </c>
      <c r="B781" s="50" t="str">
        <f>IFERROR(HYPERLINK(VLOOKUP(A781,Internal_lists_bugs!$A$2:$C$73,3,FALSE()), VLOOKUP(A781,Internal_lists_bugs!$A$2:$C$73,3,FALSE())&amp;Char(10) &amp; Char(10) &amp; VLOOKUP(A781,Internal_lists_bugs!$A$2:$Z$73,26,FALSE())),"please select a BUG ID")</f>
        <v>https://github.com/elastic/elasticsearch/issues/2991
/BytesRefOrdValComparator.java </v>
      </c>
      <c r="C781" s="81" t="str">
        <f>IFERROR(SUBSTITUTE(VLOOKUP(A781,Internal_lists_bugs!$A$2:$G2031,7,FALSE()),"/commit/","/tree/"),"please select a BUG ID")</f>
        <v>https://github.com/elastic/elasticsearch/tree/7397007</v>
      </c>
      <c r="D781" s="16" t="s">
        <v>4985</v>
      </c>
      <c r="E781" s="16" t="s">
        <v>5031</v>
      </c>
      <c r="F781" s="54"/>
      <c r="H781" s="9"/>
      <c r="J781" s="183" t="str">
        <f>IFERROR(VLOOKUP(A781,Internal_lists_bugs!$A$2:$I2031,9,FALSE()),"please select a BUG ID")</f>
        <v>No information available</v>
      </c>
    </row>
    <row r="782">
      <c r="A782" s="1" t="s">
        <v>101</v>
      </c>
      <c r="B782" s="50" t="str">
        <f>IFERROR(HYPERLINK(VLOOKUP(A782,Internal_lists_bugs!$A$2:$C$73,3,FALSE()), VLOOKUP(A782,Internal_lists_bugs!$A$2:$C$73,3,FALSE())&amp;Char(10) &amp; Char(10) &amp; VLOOKUP(A782,Internal_lists_bugs!$A$2:$Z$73,26,FALSE())),"please select a BUG ID")</f>
        <v>https://github.com/elastic/elasticsearch/issues/2991
/BytesRefOrdValComparator.java </v>
      </c>
      <c r="C782" s="81" t="str">
        <f>IFERROR(SUBSTITUTE(VLOOKUP(A782,Internal_lists_bugs!$A$2:$G2031,7,FALSE()),"/commit/","/tree/"),"please select a BUG ID")</f>
        <v>https://github.com/elastic/elasticsearch/tree/7397007</v>
      </c>
      <c r="D782" s="16" t="s">
        <v>5003</v>
      </c>
      <c r="E782" s="16" t="s">
        <v>5032</v>
      </c>
      <c r="F782" s="54"/>
      <c r="H782" s="112"/>
      <c r="J782" s="183" t="str">
        <f>IFERROR(VLOOKUP(A782,Internal_lists_bugs!$A$2:$I2031,9,FALSE()),"please select a BUG ID")</f>
        <v>No information available</v>
      </c>
    </row>
    <row r="783">
      <c r="A783" s="1" t="s">
        <v>101</v>
      </c>
      <c r="B783" s="50" t="str">
        <f>IFERROR(HYPERLINK(VLOOKUP(A783,Internal_lists_bugs!$A$2:$C$73,3,FALSE()), VLOOKUP(A783,Internal_lists_bugs!$A$2:$C$73,3,FALSE())&amp;Char(10) &amp; Char(10) &amp; VLOOKUP(A783,Internal_lists_bugs!$A$2:$Z$73,26,FALSE())),"please select a BUG ID")</f>
        <v>https://github.com/elastic/elasticsearch/issues/2991
/BytesRefOrdValComparator.java </v>
      </c>
      <c r="C783" s="81" t="str">
        <f>IFERROR(SUBSTITUTE(VLOOKUP(A783,Internal_lists_bugs!$A$2:$G2031,7,FALSE()),"/commit/","/tree/"),"please select a BUG ID")</f>
        <v>https://github.com/elastic/elasticsearch/tree/7397007</v>
      </c>
      <c r="D783" s="16" t="s">
        <v>5033</v>
      </c>
      <c r="E783" s="16" t="s">
        <v>5034</v>
      </c>
      <c r="F783" s="54"/>
      <c r="H783" s="112"/>
      <c r="J783" s="183" t="str">
        <f>IFERROR(VLOOKUP(A783,Internal_lists_bugs!$A$2:$I2031,9,FALSE()),"please select a BUG ID")</f>
        <v>No information available</v>
      </c>
    </row>
    <row r="784">
      <c r="A784" s="1" t="s">
        <v>83</v>
      </c>
      <c r="B784" s="50" t="str">
        <f>IFERROR(HYPERLINK(VLOOKUP(A784,Internal_lists_bugs!$A$2:$C$73,3,FALSE()), VLOOKUP(A784,Internal_lists_bugs!$A$2:$C$73,3,FALSE())&amp;Char(10) &amp; Char(10) &amp; VLOOKUP(A784,Internal_lists_bugs!$A$2:$Z$73,26,FALSE())),"please select a BUG ID")</f>
        <v>https://github.com/elastic/elasticsearch/issues/3242
/shape/ShapeFetchService.java</v>
      </c>
      <c r="C784" s="81" t="str">
        <f>IFERROR(SUBSTITUTE(VLOOKUP(A784,Internal_lists_bugs!$A$2:$G2031,7,FALSE()),"/commit/","/tree/"),"please select a BUG ID")</f>
        <v>https://github.com/elastic/elasticsearch/tree/05e0b4d4e</v>
      </c>
      <c r="D784" s="38" t="s">
        <v>4964</v>
      </c>
      <c r="E784" s="1" t="s">
        <v>5020</v>
      </c>
      <c r="F784" s="1" t="s">
        <v>4724</v>
      </c>
      <c r="G784" s="5" t="s">
        <v>4992</v>
      </c>
      <c r="H784" s="203" t="s">
        <v>4818</v>
      </c>
      <c r="I784" s="1"/>
      <c r="J784" s="196" t="str">
        <f>IFERROR(VLOOKUP(A784,Internal_lists_bugs!$A$2:$I2031,9,FALSE()),"please select a BUG ID")</f>
        <v>https://github.com/elastic/elasticsearch/pull/1065</v>
      </c>
    </row>
    <row r="785">
      <c r="A785" s="1" t="s">
        <v>83</v>
      </c>
      <c r="B785" s="50" t="str">
        <f>IFERROR(HYPERLINK(VLOOKUP(A785,Internal_lists_bugs!$A$2:$C$73,3,FALSE()), VLOOKUP(A785,Internal_lists_bugs!$A$2:$C$73,3,FALSE())&amp;Char(10) &amp; Char(10) &amp; VLOOKUP(A785,Internal_lists_bugs!$A$2:$Z$73,26,FALSE())),"please select a BUG ID")</f>
        <v>https://github.com/elastic/elasticsearch/issues/3242
/shape/ShapeFetchService.java</v>
      </c>
      <c r="C785" s="81" t="str">
        <f>IFERROR(SUBSTITUTE(VLOOKUP(A785,Internal_lists_bugs!$A$2:$G2031,7,FALSE()),"/commit/","/tree/"),"please select a BUG ID")</f>
        <v>https://github.com/elastic/elasticsearch/tree/05e0b4d4e</v>
      </c>
      <c r="D785" s="38" t="s">
        <v>5001</v>
      </c>
      <c r="E785" s="1" t="s">
        <v>5021</v>
      </c>
      <c r="F785" s="1"/>
      <c r="G785" s="1"/>
      <c r="H785" s="203" t="s">
        <v>4708</v>
      </c>
      <c r="I785" s="1" t="s">
        <v>4972</v>
      </c>
      <c r="J785" s="196" t="str">
        <f>IFERROR(VLOOKUP(A785,Internal_lists_bugs!$A$2:$I2031,9,FALSE()),"please select a BUG ID")</f>
        <v>https://github.com/elastic/elasticsearch/pull/1065</v>
      </c>
    </row>
    <row r="786">
      <c r="A786" s="1" t="s">
        <v>83</v>
      </c>
      <c r="B786" s="50" t="str">
        <f>IFERROR(HYPERLINK(VLOOKUP(A786,Internal_lists_bugs!$A$2:$C$73,3,FALSE()), VLOOKUP(A786,Internal_lists_bugs!$A$2:$C$73,3,FALSE())&amp;Char(10) &amp; Char(10) &amp; VLOOKUP(A786,Internal_lists_bugs!$A$2:$Z$73,26,FALSE())),"please select a BUG ID")</f>
        <v>https://github.com/elastic/elasticsearch/issues/3242
/shape/ShapeFetchService.java</v>
      </c>
      <c r="C786" s="81" t="str">
        <f>IFERROR(SUBSTITUTE(VLOOKUP(A786,Internal_lists_bugs!$A$2:$G2031,7,FALSE()),"/commit/","/tree/"),"please select a BUG ID")</f>
        <v>https://github.com/elastic/elasticsearch/tree/05e0b4d4e</v>
      </c>
      <c r="D786" s="38" t="s">
        <v>4968</v>
      </c>
      <c r="E786" s="1" t="s">
        <v>5022</v>
      </c>
      <c r="F786" s="1"/>
      <c r="G786" s="1"/>
      <c r="H786" s="203" t="s">
        <v>4975</v>
      </c>
      <c r="I786" s="1"/>
      <c r="J786" s="196" t="str">
        <f>IFERROR(VLOOKUP(A786,Internal_lists_bugs!$A$2:$I2031,9,FALSE()),"please select a BUG ID")</f>
        <v>https://github.com/elastic/elasticsearch/pull/1065</v>
      </c>
    </row>
    <row r="787">
      <c r="A787" s="1" t="s">
        <v>83</v>
      </c>
      <c r="B787" s="50" t="str">
        <f>IFERROR(HYPERLINK(VLOOKUP(A787,Internal_lists_bugs!$A$2:$C$73,3,FALSE()), VLOOKUP(A787,Internal_lists_bugs!$A$2:$C$73,3,FALSE())&amp;Char(10) &amp; Char(10) &amp; VLOOKUP(A787,Internal_lists_bugs!$A$2:$Z$73,26,FALSE())),"please select a BUG ID")</f>
        <v>https://github.com/elastic/elasticsearch/issues/3242
/shape/ShapeFetchService.java</v>
      </c>
      <c r="C787" s="81" t="str">
        <f>IFERROR(SUBSTITUTE(VLOOKUP(A787,Internal_lists_bugs!$A$2:$G2031,7,FALSE()),"/commit/","/tree/"),"please select a BUG ID")</f>
        <v>https://github.com/elastic/elasticsearch/tree/05e0b4d4e</v>
      </c>
      <c r="D787" s="38" t="s">
        <v>4973</v>
      </c>
      <c r="E787" s="1" t="s">
        <v>5023</v>
      </c>
      <c r="F787" s="1"/>
      <c r="G787" s="1"/>
      <c r="H787" s="203" t="s">
        <v>5024</v>
      </c>
      <c r="I787" s="1" t="s">
        <v>5025</v>
      </c>
      <c r="J787" s="196" t="str">
        <f>IFERROR(VLOOKUP(A787,Internal_lists_bugs!$A$2:$I2031,9,FALSE()),"please select a BUG ID")</f>
        <v>https://github.com/elastic/elasticsearch/pull/1065</v>
      </c>
    </row>
    <row r="788">
      <c r="A788" s="1" t="s">
        <v>83</v>
      </c>
      <c r="B788" s="50" t="str">
        <f>IFERROR(HYPERLINK(VLOOKUP(A788,Internal_lists_bugs!$A$2:$C$73,3,FALSE()), VLOOKUP(A788,Internal_lists_bugs!$A$2:$C$73,3,FALSE())&amp;Char(10) &amp; Char(10) &amp; VLOOKUP(A788,Internal_lists_bugs!$A$2:$Z$73,26,FALSE())),"please select a BUG ID")</f>
        <v>https://github.com/elastic/elasticsearch/issues/3242
/shape/ShapeFetchService.java</v>
      </c>
      <c r="C788" s="81" t="str">
        <f>IFERROR(SUBSTITUTE(VLOOKUP(A788,Internal_lists_bugs!$A$2:$G2031,7,FALSE()),"/commit/","/tree/"),"please select a BUG ID")</f>
        <v>https://github.com/elastic/elasticsearch/tree/05e0b4d4e</v>
      </c>
      <c r="D788" s="38" t="s">
        <v>4978</v>
      </c>
      <c r="E788" s="1" t="s">
        <v>5026</v>
      </c>
      <c r="F788" s="1"/>
      <c r="G788" s="1"/>
      <c r="H788" s="203" t="s">
        <v>4965</v>
      </c>
      <c r="I788" s="1"/>
      <c r="J788" s="196" t="str">
        <f>IFERROR(VLOOKUP(A788,Internal_lists_bugs!$A$2:$I2031,9,FALSE()),"please select a BUG ID")</f>
        <v>https://github.com/elastic/elasticsearch/pull/1065</v>
      </c>
    </row>
    <row r="789">
      <c r="A789" s="1" t="s">
        <v>83</v>
      </c>
      <c r="B789" s="50" t="str">
        <f>IFERROR(HYPERLINK(VLOOKUP(A789,Internal_lists_bugs!$A$2:$C$73,3,FALSE()), VLOOKUP(A789,Internal_lists_bugs!$A$2:$C$73,3,FALSE())&amp;Char(10) &amp; Char(10) &amp; VLOOKUP(A789,Internal_lists_bugs!$A$2:$Z$73,26,FALSE())),"please select a BUG ID")</f>
        <v>https://github.com/elastic/elasticsearch/issues/3242
/shape/ShapeFetchService.java</v>
      </c>
      <c r="C789" s="81" t="str">
        <f>IFERROR(SUBSTITUTE(VLOOKUP(A789,Internal_lists_bugs!$A$2:$G2031,7,FALSE()),"/commit/","/tree/"),"please select a BUG ID")</f>
        <v>https://github.com/elastic/elasticsearch/tree/05e0b4d4e</v>
      </c>
      <c r="D789" s="38" t="s">
        <v>4982</v>
      </c>
      <c r="E789" s="1" t="s">
        <v>5027</v>
      </c>
      <c r="F789" s="1"/>
      <c r="G789" s="1"/>
      <c r="H789" s="203" t="s">
        <v>5028</v>
      </c>
      <c r="I789" s="1" t="s">
        <v>5029</v>
      </c>
      <c r="J789" s="196" t="str">
        <f>IFERROR(VLOOKUP(A789,Internal_lists_bugs!$A$2:$I2031,9,FALSE()),"please select a BUG ID")</f>
        <v>https://github.com/elastic/elasticsearch/pull/1065</v>
      </c>
    </row>
    <row r="790">
      <c r="A790" s="1" t="s">
        <v>83</v>
      </c>
      <c r="B790" s="50" t="str">
        <f>IFERROR(HYPERLINK(VLOOKUP(A790,Internal_lists_bugs!$A$2:$C$73,3,FALSE()), VLOOKUP(A790,Internal_lists_bugs!$A$2:$C$73,3,FALSE())&amp;Char(10) &amp; Char(10) &amp; VLOOKUP(A790,Internal_lists_bugs!$A$2:$Z$73,26,FALSE())),"please select a BUG ID")</f>
        <v>https://github.com/elastic/elasticsearch/issues/3242
/shape/ShapeFetchService.java</v>
      </c>
      <c r="C790" s="81" t="str">
        <f>IFERROR(SUBSTITUTE(VLOOKUP(A790,Internal_lists_bugs!$A$2:$G2031,7,FALSE()),"/commit/","/tree/"),"please select a BUG ID")</f>
        <v>https://github.com/elastic/elasticsearch/tree/05e0b4d4e</v>
      </c>
      <c r="D790" s="38" t="s">
        <v>4983</v>
      </c>
      <c r="E790" s="1" t="s">
        <v>5030</v>
      </c>
      <c r="F790" s="1"/>
      <c r="G790" s="1"/>
      <c r="J790" s="196" t="str">
        <f>IFERROR(VLOOKUP(A790,Internal_lists_bugs!$A$2:$I2031,9,FALSE()),"please select a BUG ID")</f>
        <v>https://github.com/elastic/elasticsearch/pull/1065</v>
      </c>
    </row>
    <row r="791">
      <c r="A791" s="1" t="s">
        <v>83</v>
      </c>
      <c r="B791" s="50" t="str">
        <f>IFERROR(HYPERLINK(VLOOKUP(A791,Internal_lists_bugs!$A$2:$C$73,3,FALSE()), VLOOKUP(A791,Internal_lists_bugs!$A$2:$C$73,3,FALSE())&amp;Char(10) &amp; Char(10) &amp; VLOOKUP(A791,Internal_lists_bugs!$A$2:$Z$73,26,FALSE())),"please select a BUG ID")</f>
        <v>https://github.com/elastic/elasticsearch/issues/3242
/shape/ShapeFetchService.java</v>
      </c>
      <c r="C791" s="81" t="str">
        <f>IFERROR(SUBSTITUTE(VLOOKUP(A791,Internal_lists_bugs!$A$2:$G2031,7,FALSE()),"/commit/","/tree/"),"please select a BUG ID")</f>
        <v>https://github.com/elastic/elasticsearch/tree/05e0b4d4e</v>
      </c>
      <c r="D791" s="38" t="s">
        <v>4985</v>
      </c>
      <c r="E791" s="1" t="s">
        <v>4996</v>
      </c>
      <c r="F791" s="1"/>
      <c r="G791" s="1"/>
      <c r="J791" s="196" t="str">
        <f>IFERROR(VLOOKUP(A791,Internal_lists_bugs!$A$2:$I2031,9,FALSE()),"please select a BUG ID")</f>
        <v>https://github.com/elastic/elasticsearch/pull/1065</v>
      </c>
    </row>
    <row r="792">
      <c r="A792" s="1" t="s">
        <v>83</v>
      </c>
      <c r="B792" s="50" t="str">
        <f>IFERROR(HYPERLINK(VLOOKUP(A792,Internal_lists_bugs!$A$2:$C$73,3,FALSE()), VLOOKUP(A792,Internal_lists_bugs!$A$2:$C$73,3,FALSE())&amp;Char(10) &amp; Char(10) &amp; VLOOKUP(A792,Internal_lists_bugs!$A$2:$Z$73,26,FALSE())),"please select a BUG ID")</f>
        <v>https://github.com/elastic/elasticsearch/issues/3242
/shape/ShapeFetchService.java</v>
      </c>
      <c r="C792" s="81" t="str">
        <f>IFERROR(SUBSTITUTE(VLOOKUP(A792,Internal_lists_bugs!$A$2:$G2031,7,FALSE()),"/commit/","/tree/"),"please select a BUG ID")</f>
        <v>https://github.com/elastic/elasticsearch/tree/05e0b4d4e</v>
      </c>
      <c r="D792" s="38" t="s">
        <v>5003</v>
      </c>
      <c r="E792" s="1" t="s">
        <v>5032</v>
      </c>
      <c r="F792" s="1"/>
      <c r="G792" s="1"/>
      <c r="H792" s="1"/>
      <c r="I792" s="1"/>
      <c r="J792" s="196" t="str">
        <f>IFERROR(VLOOKUP(A792,Internal_lists_bugs!$A$2:$I2031,9,FALSE()),"please select a BUG ID")</f>
        <v>https://github.com/elastic/elasticsearch/pull/1065</v>
      </c>
    </row>
    <row r="793">
      <c r="A793" s="1" t="s">
        <v>83</v>
      </c>
      <c r="B793" s="50" t="str">
        <f>IFERROR(HYPERLINK(VLOOKUP(A793,Internal_lists_bugs!$A$2:$C$73,3,FALSE()), VLOOKUP(A793,Internal_lists_bugs!$A$2:$C$73,3,FALSE())&amp;Char(10) &amp; Char(10) &amp; VLOOKUP(A793,Internal_lists_bugs!$A$2:$Z$73,26,FALSE())),"please select a BUG ID")</f>
        <v>https://github.com/elastic/elasticsearch/issues/3242
/shape/ShapeFetchService.java</v>
      </c>
      <c r="C793" s="81" t="str">
        <f>IFERROR(SUBSTITUTE(VLOOKUP(A793,Internal_lists_bugs!$A$2:$G2031,7,FALSE()),"/commit/","/tree/"),"please select a BUG ID")</f>
        <v>https://github.com/elastic/elasticsearch/tree/05e0b4d4e</v>
      </c>
      <c r="D793" s="1" t="s">
        <v>5033</v>
      </c>
      <c r="E793" s="1" t="s">
        <v>5034</v>
      </c>
      <c r="F793" s="1"/>
      <c r="G793" s="1"/>
      <c r="H793" s="1"/>
      <c r="I793" s="1"/>
      <c r="J793" s="196" t="str">
        <f>IFERROR(VLOOKUP(A793,Internal_lists_bugs!$A$2:$I2031,9,FALSE()),"please select a BUG ID")</f>
        <v>https://github.com/elastic/elasticsearch/pull/1065</v>
      </c>
    </row>
    <row r="794">
      <c r="A794" s="1" t="s">
        <v>102</v>
      </c>
      <c r="B794" s="50" t="str">
        <f>IFERROR(HYPERLINK(VLOOKUP(A794,Internal_lists_bugs!$A$2:$C$73,3,FALSE()), VLOOKUP(A794,Internal_lists_bugs!$A$2:$C$73,3,FALSE())&amp;Char(10) &amp; Char(10) &amp; VLOOKUP(A794,Internal_lists_bugs!$A$2:$Z$73,26,FALSE())),"please select a BUG ID")</f>
        <v>https://github.com/elastic/elasticsearch/issues/3267
/get/TransportMultiGetAction.java</v>
      </c>
      <c r="C794" s="81" t="str">
        <f>IFERROR(SUBSTITUTE(VLOOKUP(A794,Internal_lists_bugs!$A$2:$G2031,7,FALSE()),"/commit/","/tree/"),"please select a BUG ID")</f>
        <v>https://github.com/elastic/elasticsearch/tree/9bf686e</v>
      </c>
      <c r="D794" s="16" t="s">
        <v>4962</v>
      </c>
      <c r="E794" s="16" t="s">
        <v>4967</v>
      </c>
      <c r="F794" s="16" t="s">
        <v>4724</v>
      </c>
      <c r="G794" s="63" t="s">
        <v>4992</v>
      </c>
      <c r="H794" s="112" t="s">
        <v>4818</v>
      </c>
      <c r="I794" s="1"/>
      <c r="J794" s="183" t="str">
        <f>IFERROR(VLOOKUP(A794,Internal_lists_bugs!$A$2:$I2031,9,FALSE()),"please select a BUG ID")</f>
        <v>No information available</v>
      </c>
    </row>
    <row r="795">
      <c r="A795" s="1" t="s">
        <v>102</v>
      </c>
      <c r="B795" s="50" t="str">
        <f>IFERROR(HYPERLINK(VLOOKUP(A795,Internal_lists_bugs!$A$2:$C$73,3,FALSE()), VLOOKUP(A795,Internal_lists_bugs!$A$2:$C$73,3,FALSE())&amp;Char(10) &amp; Char(10) &amp; VLOOKUP(A795,Internal_lists_bugs!$A$2:$Z$73,26,FALSE())),"please select a BUG ID")</f>
        <v>https://github.com/elastic/elasticsearch/issues/3267
/get/TransportMultiGetAction.java</v>
      </c>
      <c r="C795" s="81" t="str">
        <f>IFERROR(SUBSTITUTE(VLOOKUP(A795,Internal_lists_bugs!$A$2:$G2031,7,FALSE()),"/commit/","/tree/"),"please select a BUG ID")</f>
        <v>https://github.com/elastic/elasticsearch/tree/9bf686e</v>
      </c>
      <c r="D795" s="16" t="s">
        <v>4966</v>
      </c>
      <c r="E795" s="16" t="s">
        <v>4967</v>
      </c>
      <c r="F795" s="54"/>
      <c r="H795" s="112" t="s">
        <v>4965</v>
      </c>
      <c r="I795" s="1" t="s">
        <v>4972</v>
      </c>
      <c r="J795" s="183" t="str">
        <f>IFERROR(VLOOKUP(A795,Internal_lists_bugs!$A$2:$I2031,9,FALSE()),"please select a BUG ID")</f>
        <v>No information available</v>
      </c>
    </row>
    <row r="796">
      <c r="A796" s="1" t="s">
        <v>102</v>
      </c>
      <c r="B796" s="50" t="str">
        <f>IFERROR(HYPERLINK(VLOOKUP(A796,Internal_lists_bugs!$A$2:$C$73,3,FALSE()), VLOOKUP(A796,Internal_lists_bugs!$A$2:$C$73,3,FALSE())&amp;Char(10) &amp; Char(10) &amp; VLOOKUP(A796,Internal_lists_bugs!$A$2:$Z$73,26,FALSE())),"please select a BUG ID")</f>
        <v>https://github.com/elastic/elasticsearch/issues/3267
/get/TransportMultiGetAction.java</v>
      </c>
      <c r="C796" s="81" t="str">
        <f>IFERROR(SUBSTITUTE(VLOOKUP(A796,Internal_lists_bugs!$A$2:$G2031,7,FALSE()),"/commit/","/tree/"),"please select a BUG ID")</f>
        <v>https://github.com/elastic/elasticsearch/tree/9bf686e</v>
      </c>
      <c r="D796" s="16" t="s">
        <v>4970</v>
      </c>
      <c r="E796" s="16" t="s">
        <v>4969</v>
      </c>
      <c r="F796" s="54"/>
      <c r="H796" s="112" t="s">
        <v>4708</v>
      </c>
      <c r="I796" s="1"/>
      <c r="J796" s="183" t="str">
        <f>IFERROR(VLOOKUP(A796,Internal_lists_bugs!$A$2:$I2031,9,FALSE()),"please select a BUG ID")</f>
        <v>No information available</v>
      </c>
    </row>
    <row r="797">
      <c r="A797" s="1" t="s">
        <v>102</v>
      </c>
      <c r="B797" s="50" t="str">
        <f>IFERROR(HYPERLINK(VLOOKUP(A797,Internal_lists_bugs!$A$2:$C$73,3,FALSE()), VLOOKUP(A797,Internal_lists_bugs!$A$2:$C$73,3,FALSE())&amp;Char(10) &amp; Char(10) &amp; VLOOKUP(A797,Internal_lists_bugs!$A$2:$Z$73,26,FALSE())),"please select a BUG ID")</f>
        <v>https://github.com/elastic/elasticsearch/issues/3267
/get/TransportMultiGetAction.java</v>
      </c>
      <c r="C797" s="81" t="str">
        <f>IFERROR(SUBSTITUTE(VLOOKUP(A797,Internal_lists_bugs!$A$2:$G2031,7,FALSE()),"/commit/","/tree/"),"please select a BUG ID")</f>
        <v>https://github.com/elastic/elasticsearch/tree/9bf686e</v>
      </c>
      <c r="D797" s="16" t="s">
        <v>4973</v>
      </c>
      <c r="E797" s="16" t="s">
        <v>5005</v>
      </c>
      <c r="F797" s="54"/>
      <c r="H797" s="112" t="s">
        <v>4971</v>
      </c>
      <c r="I797" s="1" t="s">
        <v>5025</v>
      </c>
      <c r="J797" s="183" t="str">
        <f>IFERROR(VLOOKUP(A797,Internal_lists_bugs!$A$2:$I2031,9,FALSE()),"please select a BUG ID")</f>
        <v>No information available</v>
      </c>
    </row>
    <row r="798">
      <c r="A798" s="1" t="s">
        <v>102</v>
      </c>
      <c r="B798" s="50" t="str">
        <f>IFERROR(HYPERLINK(VLOOKUP(A798,Internal_lists_bugs!$A$2:$C$73,3,FALSE()), VLOOKUP(A798,Internal_lists_bugs!$A$2:$C$73,3,FALSE())&amp;Char(10) &amp; Char(10) &amp; VLOOKUP(A798,Internal_lists_bugs!$A$2:$Z$73,26,FALSE())),"please select a BUG ID")</f>
        <v>https://github.com/elastic/elasticsearch/issues/3267
/get/TransportMultiGetAction.java</v>
      </c>
      <c r="C798" s="81" t="str">
        <f>IFERROR(SUBSTITUTE(VLOOKUP(A798,Internal_lists_bugs!$A$2:$G2031,7,FALSE()),"/commit/","/tree/"),"please select a BUG ID")</f>
        <v>https://github.com/elastic/elasticsearch/tree/9bf686e</v>
      </c>
      <c r="D798" s="16" t="s">
        <v>4976</v>
      </c>
      <c r="E798" s="16" t="s">
        <v>4977</v>
      </c>
      <c r="F798" s="54"/>
      <c r="H798" s="112" t="s">
        <v>4975</v>
      </c>
      <c r="I798" s="1"/>
      <c r="J798" s="183" t="str">
        <f>IFERROR(VLOOKUP(A798,Internal_lists_bugs!$A$2:$I2031,9,FALSE()),"please select a BUG ID")</f>
        <v>No information available</v>
      </c>
    </row>
    <row r="799">
      <c r="A799" s="1" t="s">
        <v>102</v>
      </c>
      <c r="B799" s="50" t="str">
        <f>IFERROR(HYPERLINK(VLOOKUP(A799,Internal_lists_bugs!$A$2:$C$73,3,FALSE()), VLOOKUP(A799,Internal_lists_bugs!$A$2:$C$73,3,FALSE())&amp;Char(10) &amp; Char(10) &amp; VLOOKUP(A799,Internal_lists_bugs!$A$2:$Z$73,26,FALSE())),"please select a BUG ID")</f>
        <v>https://github.com/elastic/elasticsearch/issues/3267
/get/TransportMultiGetAction.java</v>
      </c>
      <c r="C799" s="81" t="str">
        <f>IFERROR(SUBSTITUTE(VLOOKUP(A799,Internal_lists_bugs!$A$2:$G2031,7,FALSE()),"/commit/","/tree/"),"please select a BUG ID")</f>
        <v>https://github.com/elastic/elasticsearch/tree/9bf686e</v>
      </c>
      <c r="D799" s="16" t="s">
        <v>4982</v>
      </c>
      <c r="E799" s="16" t="s">
        <v>4979</v>
      </c>
      <c r="F799" s="54"/>
      <c r="H799" s="112" t="s">
        <v>4993</v>
      </c>
      <c r="I799" s="1" t="s">
        <v>5029</v>
      </c>
      <c r="J799" s="183" t="str">
        <f>IFERROR(VLOOKUP(A799,Internal_lists_bugs!$A$2:$I2031,9,FALSE()),"please select a BUG ID")</f>
        <v>No information available</v>
      </c>
    </row>
    <row r="800">
      <c r="A800" s="1" t="s">
        <v>102</v>
      </c>
      <c r="B800" s="50" t="str">
        <f>IFERROR(HYPERLINK(VLOOKUP(A800,Internal_lists_bugs!$A$2:$C$73,3,FALSE()), VLOOKUP(A800,Internal_lists_bugs!$A$2:$C$73,3,FALSE())&amp;Char(10) &amp; Char(10) &amp; VLOOKUP(A800,Internal_lists_bugs!$A$2:$Z$73,26,FALSE())),"please select a BUG ID")</f>
        <v>https://github.com/elastic/elasticsearch/issues/3267
/get/TransportMultiGetAction.java</v>
      </c>
      <c r="C800" s="81" t="str">
        <f>IFERROR(SUBSTITUTE(VLOOKUP(A800,Internal_lists_bugs!$A$2:$G2031,7,FALSE()),"/commit/","/tree/"),"please select a BUG ID")</f>
        <v>https://github.com/elastic/elasticsearch/tree/9bf686e</v>
      </c>
      <c r="D800" s="16" t="s">
        <v>4983</v>
      </c>
      <c r="E800" s="16" t="s">
        <v>4984</v>
      </c>
      <c r="F800" s="54"/>
      <c r="H800" s="112" t="s">
        <v>4684</v>
      </c>
      <c r="I800" s="1"/>
      <c r="J800" s="183" t="str">
        <f>IFERROR(VLOOKUP(A800,Internal_lists_bugs!$A$2:$I2031,9,FALSE()),"please select a BUG ID")</f>
        <v>No information available</v>
      </c>
    </row>
    <row r="801">
      <c r="A801" s="1" t="s">
        <v>102</v>
      </c>
      <c r="B801" s="50" t="str">
        <f>IFERROR(HYPERLINK(VLOOKUP(A801,Internal_lists_bugs!$A$2:$C$73,3,FALSE()), VLOOKUP(A801,Internal_lists_bugs!$A$2:$C$73,3,FALSE())&amp;Char(10) &amp; Char(10) &amp; VLOOKUP(A801,Internal_lists_bugs!$A$2:$Z$73,26,FALSE())),"please select a BUG ID")</f>
        <v>https://github.com/elastic/elasticsearch/issues/3267
/get/TransportMultiGetAction.java</v>
      </c>
      <c r="C801" s="81" t="str">
        <f>IFERROR(SUBSTITUTE(VLOOKUP(A801,Internal_lists_bugs!$A$2:$G2031,7,FALSE()),"/commit/","/tree/"),"please select a BUG ID")</f>
        <v>https://github.com/elastic/elasticsearch/tree/9bf686e</v>
      </c>
      <c r="D801" s="16" t="s">
        <v>4985</v>
      </c>
      <c r="E801" s="16" t="s">
        <v>4996</v>
      </c>
      <c r="F801" s="54"/>
      <c r="H801" s="112" t="s">
        <v>4994</v>
      </c>
      <c r="I801" s="1"/>
      <c r="J801" s="183" t="str">
        <f>IFERROR(VLOOKUP(A801,Internal_lists_bugs!$A$2:$I2031,9,FALSE()),"please select a BUG ID")</f>
        <v>No information available</v>
      </c>
    </row>
    <row r="802">
      <c r="A802" s="1" t="s">
        <v>102</v>
      </c>
      <c r="B802" s="50" t="str">
        <f>IFERROR(HYPERLINK(VLOOKUP(A802,Internal_lists_bugs!$A$2:$C$73,3,FALSE()), VLOOKUP(A802,Internal_lists_bugs!$A$2:$C$73,3,FALSE())&amp;Char(10) &amp; Char(10) &amp; VLOOKUP(A802,Internal_lists_bugs!$A$2:$Z$73,26,FALSE())),"please select a BUG ID")</f>
        <v>https://github.com/elastic/elasticsearch/issues/3267
/get/TransportMultiGetAction.java</v>
      </c>
      <c r="C802" s="81" t="str">
        <f>IFERROR(SUBSTITUTE(VLOOKUP(A802,Internal_lists_bugs!$A$2:$G2031,7,FALSE()),"/commit/","/tree/"),"please select a BUG ID")</f>
        <v>https://github.com/elastic/elasticsearch/tree/9bf686e</v>
      </c>
      <c r="D802" s="16" t="s">
        <v>5003</v>
      </c>
      <c r="E802" s="16" t="s">
        <v>5012</v>
      </c>
      <c r="F802" s="54"/>
      <c r="H802" s="112" t="s">
        <v>4980</v>
      </c>
      <c r="I802" s="1"/>
      <c r="J802" s="183" t="str">
        <f>IFERROR(VLOOKUP(A802,Internal_lists_bugs!$A$2:$I2031,9,FALSE()),"please select a BUG ID")</f>
        <v>No information available</v>
      </c>
    </row>
    <row r="803">
      <c r="A803" s="1" t="s">
        <v>102</v>
      </c>
      <c r="B803" s="50" t="str">
        <f>IFERROR(HYPERLINK(VLOOKUP(A803,Internal_lists_bugs!$A$2:$C$73,3,FALSE()), VLOOKUP(A803,Internal_lists_bugs!$A$2:$C$73,3,FALSE())&amp;Char(10) &amp; Char(10) &amp; VLOOKUP(A803,Internal_lists_bugs!$A$2:$Z$73,26,FALSE())),"please select a BUG ID")</f>
        <v>https://github.com/elastic/elasticsearch/issues/3267
/get/TransportMultiGetAction.java</v>
      </c>
      <c r="C803" s="81" t="str">
        <f>IFERROR(SUBSTITUTE(VLOOKUP(A803,Internal_lists_bugs!$A$2:$G2031,7,FALSE()),"/commit/","/tree/"),"please select a BUG ID")</f>
        <v>https://github.com/elastic/elasticsearch/tree/9bf686e</v>
      </c>
      <c r="D803" s="16" t="s">
        <v>4989</v>
      </c>
      <c r="E803" s="16" t="s">
        <v>5014</v>
      </c>
      <c r="F803" s="54"/>
      <c r="J803" s="183" t="str">
        <f>IFERROR(VLOOKUP(A803,Internal_lists_bugs!$A$2:$I2031,9,FALSE()),"please select a BUG ID")</f>
        <v>No information available</v>
      </c>
    </row>
    <row r="804">
      <c r="A804" s="1" t="s">
        <v>102</v>
      </c>
      <c r="B804" s="50" t="str">
        <f>IFERROR(HYPERLINK(VLOOKUP(A804,Internal_lists_bugs!$A$2:$C$73,3,FALSE()), VLOOKUP(A804,Internal_lists_bugs!$A$2:$C$73,3,FALSE())&amp;Char(10) &amp; Char(10) &amp; VLOOKUP(A804,Internal_lists_bugs!$A$2:$Z$73,26,FALSE())),"please select a BUG ID")</f>
        <v>https://github.com/elastic/elasticsearch/issues/3267
/get/TransportMultiGetAction.java</v>
      </c>
      <c r="C804" s="81" t="str">
        <f>IFERROR(SUBSTITUTE(VLOOKUP(A804,Internal_lists_bugs!$A$2:$G2031,7,FALSE()),"/commit/","/tree/"),"please select a BUG ID")</f>
        <v>https://github.com/elastic/elasticsearch/tree/9bf686e</v>
      </c>
      <c r="D804" s="16" t="s">
        <v>4968</v>
      </c>
      <c r="E804" s="16" t="s">
        <v>5017</v>
      </c>
      <c r="F804" s="54"/>
      <c r="J804" s="183" t="str">
        <f>IFERROR(VLOOKUP(A804,Internal_lists_bugs!$A$2:$I2031,9,FALSE()),"please select a BUG ID")</f>
        <v>No information available</v>
      </c>
    </row>
    <row r="805">
      <c r="A805" s="1" t="s">
        <v>102</v>
      </c>
      <c r="B805" s="50" t="str">
        <f>IFERROR(HYPERLINK(VLOOKUP(A805,Internal_lists_bugs!$A$2:$C$73,3,FALSE()), VLOOKUP(A805,Internal_lists_bugs!$A$2:$C$73,3,FALSE())&amp;Char(10) &amp; Char(10) &amp; VLOOKUP(A805,Internal_lists_bugs!$A$2:$Z$73,26,FALSE())),"please select a BUG ID")</f>
        <v>https://github.com/elastic/elasticsearch/issues/3267
/get/TransportMultiGetAction.java</v>
      </c>
      <c r="C805" s="81" t="str">
        <f>IFERROR(SUBSTITUTE(VLOOKUP(A805,Internal_lists_bugs!$A$2:$G2031,7,FALSE()),"/commit/","/tree/"),"please select a BUG ID")</f>
        <v>https://github.com/elastic/elasticsearch/tree/9bf686e</v>
      </c>
      <c r="D805" s="16" t="s">
        <v>5001</v>
      </c>
      <c r="E805" s="16" t="s">
        <v>5017</v>
      </c>
      <c r="F805" s="54"/>
      <c r="H805" s="114"/>
      <c r="J805" s="183" t="str">
        <f>IFERROR(VLOOKUP(A805,Internal_lists_bugs!$A$2:$I2031,9,FALSE()),"please select a BUG ID")</f>
        <v>No information available</v>
      </c>
    </row>
    <row r="806">
      <c r="A806" s="1" t="s">
        <v>102</v>
      </c>
      <c r="B806" s="50" t="str">
        <f>IFERROR(HYPERLINK(VLOOKUP(A806,Internal_lists_bugs!$A$2:$C$73,3,FALSE()), VLOOKUP(A806,Internal_lists_bugs!$A$2:$C$73,3,FALSE())&amp;Char(10) &amp; Char(10) &amp; VLOOKUP(A806,Internal_lists_bugs!$A$2:$Z$73,26,FALSE())),"please select a BUG ID")</f>
        <v>https://github.com/elastic/elasticsearch/issues/3267
/get/TransportMultiGetAction.java</v>
      </c>
      <c r="C806" s="81" t="str">
        <f>IFERROR(SUBSTITUTE(VLOOKUP(A806,Internal_lists_bugs!$A$2:$G2031,7,FALSE()),"/commit/","/tree/"),"please select a BUG ID")</f>
        <v>https://github.com/elastic/elasticsearch/tree/9bf686e</v>
      </c>
      <c r="D806" s="16" t="s">
        <v>5000</v>
      </c>
      <c r="E806" s="16" t="s">
        <v>5017</v>
      </c>
      <c r="F806" s="54"/>
      <c r="H806" s="114"/>
      <c r="J806" s="183" t="str">
        <f>IFERROR(VLOOKUP(A806,Internal_lists_bugs!$A$2:$I2031,9,FALSE()),"please select a BUG ID")</f>
        <v>No information available</v>
      </c>
    </row>
    <row r="807">
      <c r="A807" s="1" t="s">
        <v>102</v>
      </c>
      <c r="B807" s="50" t="str">
        <f>IFERROR(HYPERLINK(VLOOKUP(A807,Internal_lists_bugs!$A$2:$C$73,3,FALSE()), VLOOKUP(A807,Internal_lists_bugs!$A$2:$C$73,3,FALSE())&amp;Char(10) &amp; Char(10) &amp; VLOOKUP(A807,Internal_lists_bugs!$A$2:$Z$73,26,FALSE())),"please select a BUG ID")</f>
        <v>https://github.com/elastic/elasticsearch/issues/3267
/get/TransportMultiGetAction.java</v>
      </c>
      <c r="C807" s="81" t="str">
        <f>IFERROR(SUBSTITUTE(VLOOKUP(A807,Internal_lists_bugs!$A$2:$G2031,7,FALSE()),"/commit/","/tree/"),"please select a BUG ID")</f>
        <v>https://github.com/elastic/elasticsearch/tree/9bf686e</v>
      </c>
      <c r="D807" s="16" t="s">
        <v>4998</v>
      </c>
      <c r="E807" s="16" t="s">
        <v>4977</v>
      </c>
      <c r="F807" s="54"/>
      <c r="H807" s="114"/>
      <c r="J807" s="183" t="str">
        <f>IFERROR(VLOOKUP(A807,Internal_lists_bugs!$A$2:$I2031,9,FALSE()),"please select a BUG ID")</f>
        <v>No information available</v>
      </c>
    </row>
    <row r="808">
      <c r="A808" s="1" t="s">
        <v>102</v>
      </c>
      <c r="B808" s="50" t="str">
        <f>IFERROR(HYPERLINK(VLOOKUP(A808,Internal_lists_bugs!$A$2:$C$73,3,FALSE()), VLOOKUP(A808,Internal_lists_bugs!$A$2:$C$73,3,FALSE())&amp;Char(10) &amp; Char(10) &amp; VLOOKUP(A808,Internal_lists_bugs!$A$2:$Z$73,26,FALSE())),"please select a BUG ID")</f>
        <v>https://github.com/elastic/elasticsearch/issues/3267
/get/TransportMultiGetAction.java</v>
      </c>
      <c r="C808" s="81" t="str">
        <f>IFERROR(SUBSTITUTE(VLOOKUP(A808,Internal_lists_bugs!$A$2:$G2031,7,FALSE()),"/commit/","/tree/"),"please select a BUG ID")</f>
        <v>https://github.com/elastic/elasticsearch/tree/9bf686e</v>
      </c>
      <c r="D808" s="16" t="s">
        <v>4990</v>
      </c>
      <c r="E808" s="16" t="s">
        <v>4997</v>
      </c>
      <c r="F808" s="54"/>
      <c r="H808" s="114"/>
      <c r="J808" s="183" t="str">
        <f>IFERROR(VLOOKUP(A808,Internal_lists_bugs!$A$2:$I2031,9,FALSE()),"please select a BUG ID")</f>
        <v>No information available</v>
      </c>
    </row>
    <row r="809">
      <c r="A809" s="1" t="s">
        <v>102</v>
      </c>
      <c r="B809" s="50" t="str">
        <f>IFERROR(HYPERLINK(VLOOKUP(A809,Internal_lists_bugs!$A$2:$C$73,3,FALSE()), VLOOKUP(A809,Internal_lists_bugs!$A$2:$C$73,3,FALSE())&amp;Char(10) &amp; Char(10) &amp; VLOOKUP(A809,Internal_lists_bugs!$A$2:$Z$73,26,FALSE())),"please select a BUG ID")</f>
        <v>https://github.com/elastic/elasticsearch/issues/3267
/get/TransportMultiGetAction.java</v>
      </c>
      <c r="C809" s="81" t="str">
        <f>IFERROR(SUBSTITUTE(VLOOKUP(A809,Internal_lists_bugs!$A$2:$G2031,7,FALSE()),"/commit/","/tree/"),"please select a BUG ID")</f>
        <v>https://github.com/elastic/elasticsearch/tree/9bf686e</v>
      </c>
      <c r="D809" s="16" t="s">
        <v>4987</v>
      </c>
      <c r="E809" s="16" t="s">
        <v>4997</v>
      </c>
      <c r="F809" s="54"/>
      <c r="H809" s="114"/>
      <c r="J809" s="183" t="str">
        <f>IFERROR(VLOOKUP(A809,Internal_lists_bugs!$A$2:$I2031,9,FALSE()),"please select a BUG ID")</f>
        <v>No information available</v>
      </c>
    </row>
    <row r="810">
      <c r="A810" s="1" t="s">
        <v>102</v>
      </c>
      <c r="B810" s="50" t="str">
        <f>IFERROR(HYPERLINK(VLOOKUP(A810,Internal_lists_bugs!$A$2:$C$73,3,FALSE()), VLOOKUP(A810,Internal_lists_bugs!$A$2:$C$73,3,FALSE())&amp;Char(10) &amp; Char(10) &amp; VLOOKUP(A810,Internal_lists_bugs!$A$2:$Z$73,26,FALSE())),"please select a BUG ID")</f>
        <v>https://github.com/elastic/elasticsearch/issues/3267
/get/TransportMultiGetAction.java</v>
      </c>
      <c r="C810" s="81" t="str">
        <f>IFERROR(SUBSTITUTE(VLOOKUP(A810,Internal_lists_bugs!$A$2:$G2031,7,FALSE()),"/commit/","/tree/"),"please select a BUG ID")</f>
        <v>https://github.com/elastic/elasticsearch/tree/9bf686e</v>
      </c>
      <c r="D810" s="16" t="s">
        <v>5008</v>
      </c>
      <c r="E810" s="16" t="s">
        <v>5017</v>
      </c>
      <c r="F810" s="54"/>
      <c r="H810" s="114"/>
      <c r="J810" s="183" t="str">
        <f>IFERROR(VLOOKUP(A810,Internal_lists_bugs!$A$2:$I2031,9,FALSE()),"please select a BUG ID")</f>
        <v>No information available</v>
      </c>
    </row>
    <row r="811">
      <c r="A811" s="1" t="s">
        <v>99</v>
      </c>
      <c r="B811" s="50" t="str">
        <f>IFERROR(HYPERLINK(VLOOKUP(A811,Internal_lists_bugs!$A$2:$C$73,3,FALSE()), VLOOKUP(A811,Internal_lists_bugs!$A$2:$C$73,3,FALSE())&amp;Char(10) &amp; Char(10) &amp; VLOOKUP(A811,Internal_lists_bugs!$A$2:$Z$73,26,FALSE())),"please select a BUG ID")</f>
        <v>https://github.com/elastic/elasticsearch/issues/3560
/settings/TransportClusterUpdateSettingsAction.java</v>
      </c>
      <c r="C811" s="81" t="str">
        <f>IFERROR(SUBSTITUTE(VLOOKUP(A811,Internal_lists_bugs!$A$2:$G2031,7,FALSE()),"/commit/","/tree/"),"please select a BUG ID")</f>
        <v>https://github.com/elastic/elasticsearch/tree/4930b93</v>
      </c>
      <c r="D811" s="38" t="s">
        <v>4964</v>
      </c>
      <c r="E811" s="1" t="s">
        <v>5020</v>
      </c>
      <c r="F811" s="1" t="s">
        <v>4724</v>
      </c>
      <c r="G811" s="5" t="s">
        <v>4992</v>
      </c>
      <c r="H811" s="203" t="s">
        <v>4818</v>
      </c>
      <c r="I811" s="1"/>
      <c r="J811" s="183" t="str">
        <f>IFERROR(VLOOKUP(A811,Internal_lists_bugs!$A$2:$I2031,9,FALSE()),"please select a BUG ID")</f>
        <v>No information available</v>
      </c>
    </row>
    <row r="812">
      <c r="A812" s="1" t="s">
        <v>99</v>
      </c>
      <c r="B812" s="50" t="str">
        <f>IFERROR(HYPERLINK(VLOOKUP(A812,Internal_lists_bugs!$A$2:$C$73,3,FALSE()), VLOOKUP(A812,Internal_lists_bugs!$A$2:$C$73,3,FALSE())&amp;Char(10) &amp; Char(10) &amp; VLOOKUP(A812,Internal_lists_bugs!$A$2:$Z$73,26,FALSE())),"please select a BUG ID")</f>
        <v>https://github.com/elastic/elasticsearch/issues/3560
/settings/TransportClusterUpdateSettingsAction.java</v>
      </c>
      <c r="C812" s="81" t="str">
        <f>IFERROR(SUBSTITUTE(VLOOKUP(A812,Internal_lists_bugs!$A$2:$G2031,7,FALSE()),"/commit/","/tree/"),"please select a BUG ID")</f>
        <v>https://github.com/elastic/elasticsearch/tree/4930b93</v>
      </c>
      <c r="D812" s="38" t="s">
        <v>5001</v>
      </c>
      <c r="E812" s="1" t="s">
        <v>5021</v>
      </c>
      <c r="F812" s="1"/>
      <c r="G812" s="1"/>
      <c r="H812" s="203" t="s">
        <v>4708</v>
      </c>
      <c r="I812" s="1" t="s">
        <v>4972</v>
      </c>
      <c r="J812" s="183" t="str">
        <f>IFERROR(VLOOKUP(A812,Internal_lists_bugs!$A$2:$I2031,9,FALSE()),"please select a BUG ID")</f>
        <v>No information available</v>
      </c>
    </row>
    <row r="813">
      <c r="A813" s="1" t="s">
        <v>99</v>
      </c>
      <c r="B813" s="50" t="str">
        <f>IFERROR(HYPERLINK(VLOOKUP(A813,Internal_lists_bugs!$A$2:$C$73,3,FALSE()), VLOOKUP(A813,Internal_lists_bugs!$A$2:$C$73,3,FALSE())&amp;Char(10) &amp; Char(10) &amp; VLOOKUP(A813,Internal_lists_bugs!$A$2:$Z$73,26,FALSE())),"please select a BUG ID")</f>
        <v>https://github.com/elastic/elasticsearch/issues/3560
/settings/TransportClusterUpdateSettingsAction.java</v>
      </c>
      <c r="C813" s="81" t="str">
        <f>IFERROR(SUBSTITUTE(VLOOKUP(A813,Internal_lists_bugs!$A$2:$G2031,7,FALSE()),"/commit/","/tree/"),"please select a BUG ID")</f>
        <v>https://github.com/elastic/elasticsearch/tree/4930b93</v>
      </c>
      <c r="D813" s="38" t="s">
        <v>4968</v>
      </c>
      <c r="E813" s="1" t="s">
        <v>5022</v>
      </c>
      <c r="F813" s="1"/>
      <c r="G813" s="1"/>
      <c r="H813" s="203" t="s">
        <v>4975</v>
      </c>
      <c r="I813" s="1"/>
      <c r="J813" s="183" t="str">
        <f>IFERROR(VLOOKUP(A813,Internal_lists_bugs!$A$2:$I2031,9,FALSE()),"please select a BUG ID")</f>
        <v>No information available</v>
      </c>
    </row>
    <row r="814">
      <c r="A814" s="1" t="s">
        <v>99</v>
      </c>
      <c r="B814" s="50" t="str">
        <f>IFERROR(HYPERLINK(VLOOKUP(A814,Internal_lists_bugs!$A$2:$C$73,3,FALSE()), VLOOKUP(A814,Internal_lists_bugs!$A$2:$C$73,3,FALSE())&amp;Char(10) &amp; Char(10) &amp; VLOOKUP(A814,Internal_lists_bugs!$A$2:$Z$73,26,FALSE())),"please select a BUG ID")</f>
        <v>https://github.com/elastic/elasticsearch/issues/3560
/settings/TransportClusterUpdateSettingsAction.java</v>
      </c>
      <c r="C814" s="81" t="str">
        <f>IFERROR(SUBSTITUTE(VLOOKUP(A814,Internal_lists_bugs!$A$2:$G2031,7,FALSE()),"/commit/","/tree/"),"please select a BUG ID")</f>
        <v>https://github.com/elastic/elasticsearch/tree/4930b93</v>
      </c>
      <c r="D814" s="38" t="s">
        <v>4973</v>
      </c>
      <c r="E814" s="1" t="s">
        <v>5023</v>
      </c>
      <c r="F814" s="1"/>
      <c r="G814" s="1"/>
      <c r="H814" s="203" t="s">
        <v>5024</v>
      </c>
      <c r="I814" s="1" t="s">
        <v>5025</v>
      </c>
      <c r="J814" s="183" t="str">
        <f>IFERROR(VLOOKUP(A814,Internal_lists_bugs!$A$2:$I2031,9,FALSE()),"please select a BUG ID")</f>
        <v>No information available</v>
      </c>
    </row>
    <row r="815">
      <c r="A815" s="1" t="s">
        <v>99</v>
      </c>
      <c r="B815" s="50" t="str">
        <f>IFERROR(HYPERLINK(VLOOKUP(A815,Internal_lists_bugs!$A$2:$C$73,3,FALSE()), VLOOKUP(A815,Internal_lists_bugs!$A$2:$C$73,3,FALSE())&amp;Char(10) &amp; Char(10) &amp; VLOOKUP(A815,Internal_lists_bugs!$A$2:$Z$73,26,FALSE())),"please select a BUG ID")</f>
        <v>https://github.com/elastic/elasticsearch/issues/3560
/settings/TransportClusterUpdateSettingsAction.java</v>
      </c>
      <c r="C815" s="81" t="str">
        <f>IFERROR(SUBSTITUTE(VLOOKUP(A815,Internal_lists_bugs!$A$2:$G2031,7,FALSE()),"/commit/","/tree/"),"please select a BUG ID")</f>
        <v>https://github.com/elastic/elasticsearch/tree/4930b93</v>
      </c>
      <c r="D815" s="38" t="s">
        <v>4978</v>
      </c>
      <c r="E815" s="1" t="s">
        <v>5026</v>
      </c>
      <c r="F815" s="1"/>
      <c r="G815" s="1"/>
      <c r="H815" s="203" t="s">
        <v>4965</v>
      </c>
      <c r="I815" s="1"/>
      <c r="J815" s="183" t="str">
        <f>IFERROR(VLOOKUP(A815,Internal_lists_bugs!$A$2:$I2031,9,FALSE()),"please select a BUG ID")</f>
        <v>No information available</v>
      </c>
    </row>
    <row r="816">
      <c r="A816" s="1" t="s">
        <v>99</v>
      </c>
      <c r="B816" s="50" t="str">
        <f>IFERROR(HYPERLINK(VLOOKUP(A816,Internal_lists_bugs!$A$2:$C$73,3,FALSE()), VLOOKUP(A816,Internal_lists_bugs!$A$2:$C$73,3,FALSE())&amp;Char(10) &amp; Char(10) &amp; VLOOKUP(A816,Internal_lists_bugs!$A$2:$Z$73,26,FALSE())),"please select a BUG ID")</f>
        <v>https://github.com/elastic/elasticsearch/issues/3560
/settings/TransportClusterUpdateSettingsAction.java</v>
      </c>
      <c r="C816" s="81" t="str">
        <f>IFERROR(SUBSTITUTE(VLOOKUP(A816,Internal_lists_bugs!$A$2:$G2031,7,FALSE()),"/commit/","/tree/"),"please select a BUG ID")</f>
        <v>https://github.com/elastic/elasticsearch/tree/4930b93</v>
      </c>
      <c r="D816" s="38" t="s">
        <v>4982</v>
      </c>
      <c r="E816" s="1" t="s">
        <v>5027</v>
      </c>
      <c r="F816" s="1"/>
      <c r="G816" s="1"/>
      <c r="H816" s="203" t="s">
        <v>5028</v>
      </c>
      <c r="I816" s="1" t="s">
        <v>5029</v>
      </c>
      <c r="J816" s="183" t="str">
        <f>IFERROR(VLOOKUP(A816,Internal_lists_bugs!$A$2:$I2031,9,FALSE()),"please select a BUG ID")</f>
        <v>No information available</v>
      </c>
    </row>
    <row r="817">
      <c r="A817" s="1" t="s">
        <v>99</v>
      </c>
      <c r="B817" s="50" t="str">
        <f>IFERROR(HYPERLINK(VLOOKUP(A817,Internal_lists_bugs!$A$2:$C$73,3,FALSE()), VLOOKUP(A817,Internal_lists_bugs!$A$2:$C$73,3,FALSE())&amp;Char(10) &amp; Char(10) &amp; VLOOKUP(A817,Internal_lists_bugs!$A$2:$Z$73,26,FALSE())),"please select a BUG ID")</f>
        <v>https://github.com/elastic/elasticsearch/issues/3560
/settings/TransportClusterUpdateSettingsAction.java</v>
      </c>
      <c r="C817" s="81" t="str">
        <f>IFERROR(SUBSTITUTE(VLOOKUP(A817,Internal_lists_bugs!$A$2:$G2031,7,FALSE()),"/commit/","/tree/"),"please select a BUG ID")</f>
        <v>https://github.com/elastic/elasticsearch/tree/4930b93</v>
      </c>
      <c r="D817" s="38" t="s">
        <v>4983</v>
      </c>
      <c r="E817" s="1" t="s">
        <v>5030</v>
      </c>
      <c r="F817" s="1"/>
      <c r="G817" s="1"/>
      <c r="H817" s="9" t="s">
        <v>5035</v>
      </c>
      <c r="I817" s="1"/>
      <c r="J817" s="183" t="str">
        <f>IFERROR(VLOOKUP(A817,Internal_lists_bugs!$A$2:$I2031,9,FALSE()),"please select a BUG ID")</f>
        <v>No information available</v>
      </c>
    </row>
    <row r="818">
      <c r="A818" s="1" t="s">
        <v>99</v>
      </c>
      <c r="B818" s="50" t="str">
        <f>IFERROR(HYPERLINK(VLOOKUP(A818,Internal_lists_bugs!$A$2:$C$73,3,FALSE()), VLOOKUP(A818,Internal_lists_bugs!$A$2:$C$73,3,FALSE())&amp;Char(10) &amp; Char(10) &amp; VLOOKUP(A818,Internal_lists_bugs!$A$2:$Z$73,26,FALSE())),"please select a BUG ID")</f>
        <v>https://github.com/elastic/elasticsearch/issues/3560
/settings/TransportClusterUpdateSettingsAction.java</v>
      </c>
      <c r="C818" s="81" t="str">
        <f>IFERROR(SUBSTITUTE(VLOOKUP(A818,Internal_lists_bugs!$A$2:$G2031,7,FALSE()),"/commit/","/tree/"),"please select a BUG ID")</f>
        <v>https://github.com/elastic/elasticsearch/tree/4930b93</v>
      </c>
      <c r="D818" s="38" t="s">
        <v>4985</v>
      </c>
      <c r="E818" s="1" t="s">
        <v>4996</v>
      </c>
      <c r="F818" s="1"/>
      <c r="G818" s="1"/>
      <c r="H818" s="9" t="s">
        <v>4692</v>
      </c>
      <c r="I818" s="16" t="s">
        <v>5036</v>
      </c>
      <c r="J818" s="183" t="str">
        <f>IFERROR(VLOOKUP(A818,Internal_lists_bugs!$A$2:$I2031,9,FALSE()),"please select a BUG ID")</f>
        <v>No information available</v>
      </c>
    </row>
    <row r="819">
      <c r="A819" s="1" t="s">
        <v>99</v>
      </c>
      <c r="B819" s="50" t="str">
        <f>IFERROR(HYPERLINK(VLOOKUP(A819,Internal_lists_bugs!$A$2:$C$73,3,FALSE()), VLOOKUP(A819,Internal_lists_bugs!$A$2:$C$73,3,FALSE())&amp;Char(10) &amp; Char(10) &amp; VLOOKUP(A819,Internal_lists_bugs!$A$2:$Z$73,26,FALSE())),"please select a BUG ID")</f>
        <v>https://github.com/elastic/elasticsearch/issues/3560
/settings/TransportClusterUpdateSettingsAction.java</v>
      </c>
      <c r="C819" s="81" t="str">
        <f>IFERROR(SUBSTITUTE(VLOOKUP(A819,Internal_lists_bugs!$A$2:$G2031,7,FALSE()),"/commit/","/tree/"),"please select a BUG ID")</f>
        <v>https://github.com/elastic/elasticsearch/tree/4930b93</v>
      </c>
      <c r="D819" s="38" t="s">
        <v>5003</v>
      </c>
      <c r="E819" s="1" t="s">
        <v>5032</v>
      </c>
      <c r="F819" s="1"/>
      <c r="G819" s="1"/>
      <c r="H819" s="9" t="s">
        <v>4696</v>
      </c>
      <c r="I819" s="16" t="s">
        <v>5036</v>
      </c>
      <c r="J819" s="183" t="str">
        <f>IFERROR(VLOOKUP(A819,Internal_lists_bugs!$A$2:$I2031,9,FALSE()),"please select a BUG ID")</f>
        <v>No information available</v>
      </c>
    </row>
    <row r="820">
      <c r="A820" s="1" t="s">
        <v>99</v>
      </c>
      <c r="B820" s="50" t="str">
        <f>IFERROR(HYPERLINK(VLOOKUP(A820,Internal_lists_bugs!$A$2:$C$73,3,FALSE()), VLOOKUP(A820,Internal_lists_bugs!$A$2:$C$73,3,FALSE())&amp;Char(10) &amp; Char(10) &amp; VLOOKUP(A820,Internal_lists_bugs!$A$2:$Z$73,26,FALSE())),"please select a BUG ID")</f>
        <v>https://github.com/elastic/elasticsearch/issues/3560
/settings/TransportClusterUpdateSettingsAction.java</v>
      </c>
      <c r="C820" s="81" t="str">
        <f>IFERROR(SUBSTITUTE(VLOOKUP(A820,Internal_lists_bugs!$A$2:$G2031,7,FALSE()),"/commit/","/tree/"),"please select a BUG ID")</f>
        <v>https://github.com/elastic/elasticsearch/tree/4930b93</v>
      </c>
      <c r="D820" s="1" t="s">
        <v>5033</v>
      </c>
      <c r="E820" s="1" t="s">
        <v>5034</v>
      </c>
      <c r="F820" s="1"/>
      <c r="G820" s="1"/>
      <c r="H820" s="1"/>
      <c r="I820" s="1"/>
      <c r="J820" s="183" t="str">
        <f>IFERROR(VLOOKUP(A820,Internal_lists_bugs!$A$2:$I2031,9,FALSE()),"please select a BUG ID")</f>
        <v>No information available</v>
      </c>
    </row>
    <row r="821">
      <c r="A821" s="1" t="s">
        <v>99</v>
      </c>
      <c r="B821" s="50" t="str">
        <f>IFERROR(HYPERLINK(VLOOKUP(A821,Internal_lists_bugs!$A$2:$C$73,3,FALSE()), VLOOKUP(A821,Internal_lists_bugs!$A$2:$C$73,3,FALSE())&amp;Char(10) &amp; Char(10) &amp; VLOOKUP(A821,Internal_lists_bugs!$A$2:$Z$73,26,FALSE())),"please select a BUG ID")</f>
        <v>https://github.com/elastic/elasticsearch/issues/3560
/settings/TransportClusterUpdateSettingsAction.java</v>
      </c>
      <c r="C821" s="81" t="str">
        <f>IFERROR(SUBSTITUTE(VLOOKUP(A821,Internal_lists_bugs!$A$2:$G2031,7,FALSE()),"/commit/","/tree/"),"please select a BUG ID")</f>
        <v>https://github.com/elastic/elasticsearch/tree/4930b93</v>
      </c>
      <c r="D821" s="16" t="s">
        <v>5037</v>
      </c>
      <c r="E821" s="16" t="s">
        <v>5038</v>
      </c>
      <c r="F821" s="54"/>
      <c r="H821" s="114"/>
      <c r="J821" s="183" t="str">
        <f>IFERROR(VLOOKUP(A821,Internal_lists_bugs!$A$2:$I2031,9,FALSE()),"please select a BUG ID")</f>
        <v>No information available</v>
      </c>
    </row>
    <row r="822">
      <c r="A822" s="1" t="s">
        <v>86</v>
      </c>
      <c r="B822" s="50" t="str">
        <f>IFERROR(HYPERLINK(VLOOKUP(A822,Internal_lists_bugs!$A$2:$C$73,3,FALSE()), VLOOKUP(A822,Internal_lists_bugs!$A$2:$C$73,3,FALSE())&amp;Char(10) &amp; Char(10) &amp; VLOOKUP(A822,Internal_lists_bugs!$A$2:$Z$73,26,FALSE())),"please select a BUG ID")</f>
        <v>https://github.com/elastic/elasticsearch/issues/4581
/internal/AllFieldMapper.java</v>
      </c>
      <c r="C822" s="81" t="str">
        <f>IFERROR(SUBSTITUTE(VLOOKUP(A822,Internal_lists_bugs!$A$2:$G2031,7,FALSE()),"/commit/","/tree/"),"please select a BUG ID")</f>
        <v>https://github.com/elastic/elasticsearch/tree/f444ed4</v>
      </c>
      <c r="D822" s="38" t="s">
        <v>4964</v>
      </c>
      <c r="E822" s="1" t="s">
        <v>5020</v>
      </c>
      <c r="F822" s="1" t="s">
        <v>4724</v>
      </c>
      <c r="G822" s="5" t="s">
        <v>4992</v>
      </c>
      <c r="H822" s="203" t="s">
        <v>4818</v>
      </c>
      <c r="I822" s="1"/>
      <c r="J822" s="183" t="str">
        <f>IFERROR(VLOOKUP(A822,Internal_lists_bugs!$A$2:$I2031,9,FALSE()),"please select a BUG ID")</f>
        <v>No information available</v>
      </c>
    </row>
    <row r="823">
      <c r="A823" s="1" t="s">
        <v>86</v>
      </c>
      <c r="B823" s="50" t="str">
        <f>IFERROR(HYPERLINK(VLOOKUP(A823,Internal_lists_bugs!$A$2:$C$73,3,FALSE()), VLOOKUP(A823,Internal_lists_bugs!$A$2:$C$73,3,FALSE())&amp;Char(10) &amp; Char(10) &amp; VLOOKUP(A823,Internal_lists_bugs!$A$2:$Z$73,26,FALSE())),"please select a BUG ID")</f>
        <v>https://github.com/elastic/elasticsearch/issues/4581
/internal/AllFieldMapper.java</v>
      </c>
      <c r="C823" s="81" t="str">
        <f>IFERROR(SUBSTITUTE(VLOOKUP(A823,Internal_lists_bugs!$A$2:$G2031,7,FALSE()),"/commit/","/tree/"),"please select a BUG ID")</f>
        <v>https://github.com/elastic/elasticsearch/tree/f444ed4</v>
      </c>
      <c r="D823" s="38" t="s">
        <v>5001</v>
      </c>
      <c r="E823" s="1" t="s">
        <v>5021</v>
      </c>
      <c r="F823" s="1"/>
      <c r="G823" s="1"/>
      <c r="H823" s="203" t="s">
        <v>4708</v>
      </c>
      <c r="I823" s="1" t="s">
        <v>4972</v>
      </c>
      <c r="J823" s="183" t="str">
        <f>IFERROR(VLOOKUP(A823,Internal_lists_bugs!$A$2:$I2031,9,FALSE()),"please select a BUG ID")</f>
        <v>No information available</v>
      </c>
    </row>
    <row r="824">
      <c r="A824" s="1" t="s">
        <v>86</v>
      </c>
      <c r="B824" s="50" t="str">
        <f>IFERROR(HYPERLINK(VLOOKUP(A824,Internal_lists_bugs!$A$2:$C$73,3,FALSE()), VLOOKUP(A824,Internal_lists_bugs!$A$2:$C$73,3,FALSE())&amp;Char(10) &amp; Char(10) &amp; VLOOKUP(A824,Internal_lists_bugs!$A$2:$Z$73,26,FALSE())),"please select a BUG ID")</f>
        <v>https://github.com/elastic/elasticsearch/issues/4581
/internal/AllFieldMapper.java</v>
      </c>
      <c r="C824" s="81" t="str">
        <f>IFERROR(SUBSTITUTE(VLOOKUP(A824,Internal_lists_bugs!$A$2:$G2031,7,FALSE()),"/commit/","/tree/"),"please select a BUG ID")</f>
        <v>https://github.com/elastic/elasticsearch/tree/f444ed4</v>
      </c>
      <c r="D824" s="38" t="s">
        <v>4968</v>
      </c>
      <c r="E824" s="1" t="s">
        <v>5022</v>
      </c>
      <c r="F824" s="1"/>
      <c r="G824" s="1"/>
      <c r="H824" s="203" t="s">
        <v>4975</v>
      </c>
      <c r="I824" s="1"/>
      <c r="J824" s="183" t="str">
        <f>IFERROR(VLOOKUP(A824,Internal_lists_bugs!$A$2:$I2031,9,FALSE()),"please select a BUG ID")</f>
        <v>No information available</v>
      </c>
    </row>
    <row r="825">
      <c r="A825" s="1" t="s">
        <v>86</v>
      </c>
      <c r="B825" s="50" t="str">
        <f>IFERROR(HYPERLINK(VLOOKUP(A825,Internal_lists_bugs!$A$2:$C$73,3,FALSE()), VLOOKUP(A825,Internal_lists_bugs!$A$2:$C$73,3,FALSE())&amp;Char(10) &amp; Char(10) &amp; VLOOKUP(A825,Internal_lists_bugs!$A$2:$Z$73,26,FALSE())),"please select a BUG ID")</f>
        <v>https://github.com/elastic/elasticsearch/issues/4581
/internal/AllFieldMapper.java</v>
      </c>
      <c r="C825" s="81" t="str">
        <f>IFERROR(SUBSTITUTE(VLOOKUP(A825,Internal_lists_bugs!$A$2:$G2031,7,FALSE()),"/commit/","/tree/"),"please select a BUG ID")</f>
        <v>https://github.com/elastic/elasticsearch/tree/f444ed4</v>
      </c>
      <c r="D825" s="38" t="s">
        <v>4973</v>
      </c>
      <c r="E825" s="1" t="s">
        <v>5023</v>
      </c>
      <c r="F825" s="1"/>
      <c r="G825" s="1"/>
      <c r="H825" s="203" t="s">
        <v>5024</v>
      </c>
      <c r="I825" s="1" t="s">
        <v>5025</v>
      </c>
      <c r="J825" s="183" t="str">
        <f>IFERROR(VLOOKUP(A825,Internal_lists_bugs!$A$2:$I2031,9,FALSE()),"please select a BUG ID")</f>
        <v>No information available</v>
      </c>
    </row>
    <row r="826">
      <c r="A826" s="1" t="s">
        <v>86</v>
      </c>
      <c r="B826" s="50" t="str">
        <f>IFERROR(HYPERLINK(VLOOKUP(A826,Internal_lists_bugs!$A$2:$C$73,3,FALSE()), VLOOKUP(A826,Internal_lists_bugs!$A$2:$C$73,3,FALSE())&amp;Char(10) &amp; Char(10) &amp; VLOOKUP(A826,Internal_lists_bugs!$A$2:$Z$73,26,FALSE())),"please select a BUG ID")</f>
        <v>https://github.com/elastic/elasticsearch/issues/4581
/internal/AllFieldMapper.java</v>
      </c>
      <c r="C826" s="81" t="str">
        <f>IFERROR(SUBSTITUTE(VLOOKUP(A826,Internal_lists_bugs!$A$2:$G2031,7,FALSE()),"/commit/","/tree/"),"please select a BUG ID")</f>
        <v>https://github.com/elastic/elasticsearch/tree/f444ed4</v>
      </c>
      <c r="D826" s="38" t="s">
        <v>4978</v>
      </c>
      <c r="E826" s="1" t="s">
        <v>5026</v>
      </c>
      <c r="F826" s="1"/>
      <c r="G826" s="1"/>
      <c r="H826" s="203" t="s">
        <v>4965</v>
      </c>
      <c r="I826" s="1"/>
      <c r="J826" s="183" t="str">
        <f>IFERROR(VLOOKUP(A826,Internal_lists_bugs!$A$2:$I2031,9,FALSE()),"please select a BUG ID")</f>
        <v>No information available</v>
      </c>
    </row>
    <row r="827">
      <c r="A827" s="1" t="s">
        <v>86</v>
      </c>
      <c r="B827" s="50" t="str">
        <f>IFERROR(HYPERLINK(VLOOKUP(A827,Internal_lists_bugs!$A$2:$C$73,3,FALSE()), VLOOKUP(A827,Internal_lists_bugs!$A$2:$C$73,3,FALSE())&amp;Char(10) &amp; Char(10) &amp; VLOOKUP(A827,Internal_lists_bugs!$A$2:$Z$73,26,FALSE())),"please select a BUG ID")</f>
        <v>https://github.com/elastic/elasticsearch/issues/4581
/internal/AllFieldMapper.java</v>
      </c>
      <c r="C827" s="81" t="str">
        <f>IFERROR(SUBSTITUTE(VLOOKUP(A827,Internal_lists_bugs!$A$2:$G2031,7,FALSE()),"/commit/","/tree/"),"please select a BUG ID")</f>
        <v>https://github.com/elastic/elasticsearch/tree/f444ed4</v>
      </c>
      <c r="D827" s="38" t="s">
        <v>4982</v>
      </c>
      <c r="E827" s="1" t="s">
        <v>5027</v>
      </c>
      <c r="F827" s="1"/>
      <c r="G827" s="1"/>
      <c r="H827" s="203" t="s">
        <v>5028</v>
      </c>
      <c r="I827" s="1" t="s">
        <v>5029</v>
      </c>
      <c r="J827" s="183" t="str">
        <f>IFERROR(VLOOKUP(A827,Internal_lists_bugs!$A$2:$I2031,9,FALSE()),"please select a BUG ID")</f>
        <v>No information available</v>
      </c>
    </row>
    <row r="828">
      <c r="A828" s="1" t="s">
        <v>86</v>
      </c>
      <c r="B828" s="50" t="str">
        <f>IFERROR(HYPERLINK(VLOOKUP(A828,Internal_lists_bugs!$A$2:$C$73,3,FALSE()), VLOOKUP(A828,Internal_lists_bugs!$A$2:$C$73,3,FALSE())&amp;Char(10) &amp; Char(10) &amp; VLOOKUP(A828,Internal_lists_bugs!$A$2:$Z$73,26,FALSE())),"please select a BUG ID")</f>
        <v>https://github.com/elastic/elasticsearch/issues/4581
/internal/AllFieldMapper.java</v>
      </c>
      <c r="C828" s="81" t="str">
        <f>IFERROR(SUBSTITUTE(VLOOKUP(A828,Internal_lists_bugs!$A$2:$G2031,7,FALSE()),"/commit/","/tree/"),"please select a BUG ID")</f>
        <v>https://github.com/elastic/elasticsearch/tree/f444ed4</v>
      </c>
      <c r="D828" s="38" t="s">
        <v>4983</v>
      </c>
      <c r="E828" s="1" t="s">
        <v>5030</v>
      </c>
      <c r="F828" s="1"/>
      <c r="G828" s="1"/>
      <c r="J828" s="183" t="str">
        <f>IFERROR(VLOOKUP(A828,Internal_lists_bugs!$A$2:$I2031,9,FALSE()),"please select a BUG ID")</f>
        <v>No information available</v>
      </c>
    </row>
    <row r="829">
      <c r="A829" s="1" t="s">
        <v>86</v>
      </c>
      <c r="B829" s="50" t="str">
        <f>IFERROR(HYPERLINK(VLOOKUP(A829,Internal_lists_bugs!$A$2:$C$73,3,FALSE()), VLOOKUP(A829,Internal_lists_bugs!$A$2:$C$73,3,FALSE())&amp;Char(10) &amp; Char(10) &amp; VLOOKUP(A829,Internal_lists_bugs!$A$2:$Z$73,26,FALSE())),"please select a BUG ID")</f>
        <v>https://github.com/elastic/elasticsearch/issues/4581
/internal/AllFieldMapper.java</v>
      </c>
      <c r="C829" s="81" t="str">
        <f>IFERROR(SUBSTITUTE(VLOOKUP(A829,Internal_lists_bugs!$A$2:$G2031,7,FALSE()),"/commit/","/tree/"),"please select a BUG ID")</f>
        <v>https://github.com/elastic/elasticsearch/tree/f444ed4</v>
      </c>
      <c r="D829" s="38" t="s">
        <v>4985</v>
      </c>
      <c r="E829" s="1" t="s">
        <v>4996</v>
      </c>
      <c r="F829" s="1"/>
      <c r="G829" s="1"/>
      <c r="J829" s="183" t="str">
        <f>IFERROR(VLOOKUP(A829,Internal_lists_bugs!$A$2:$I2031,9,FALSE()),"please select a BUG ID")</f>
        <v>No information available</v>
      </c>
    </row>
    <row r="830">
      <c r="A830" s="1" t="s">
        <v>86</v>
      </c>
      <c r="B830" s="50" t="str">
        <f>IFERROR(HYPERLINK(VLOOKUP(A830,Internal_lists_bugs!$A$2:$C$73,3,FALSE()), VLOOKUP(A830,Internal_lists_bugs!$A$2:$C$73,3,FALSE())&amp;Char(10) &amp; Char(10) &amp; VLOOKUP(A830,Internal_lists_bugs!$A$2:$Z$73,26,FALSE())),"please select a BUG ID")</f>
        <v>https://github.com/elastic/elasticsearch/issues/4581
/internal/AllFieldMapper.java</v>
      </c>
      <c r="C830" s="81" t="str">
        <f>IFERROR(SUBSTITUTE(VLOOKUP(A830,Internal_lists_bugs!$A$2:$G2031,7,FALSE()),"/commit/","/tree/"),"please select a BUG ID")</f>
        <v>https://github.com/elastic/elasticsearch/tree/f444ed4</v>
      </c>
      <c r="D830" s="38" t="s">
        <v>5003</v>
      </c>
      <c r="E830" s="1" t="s">
        <v>5032</v>
      </c>
      <c r="F830" s="1"/>
      <c r="G830" s="1"/>
      <c r="H830" s="1"/>
      <c r="I830" s="1"/>
      <c r="J830" s="183" t="str">
        <f>IFERROR(VLOOKUP(A830,Internal_lists_bugs!$A$2:$I2031,9,FALSE()),"please select a BUG ID")</f>
        <v>No information available</v>
      </c>
    </row>
    <row r="831">
      <c r="A831" s="1" t="s">
        <v>86</v>
      </c>
      <c r="B831" s="50" t="str">
        <f>IFERROR(HYPERLINK(VLOOKUP(A831,Internal_lists_bugs!$A$2:$C$73,3,FALSE()), VLOOKUP(A831,Internal_lists_bugs!$A$2:$C$73,3,FALSE())&amp;Char(10) &amp; Char(10) &amp; VLOOKUP(A831,Internal_lists_bugs!$A$2:$Z$73,26,FALSE())),"please select a BUG ID")</f>
        <v>https://github.com/elastic/elasticsearch/issues/4581
/internal/AllFieldMapper.java</v>
      </c>
      <c r="C831" s="81" t="str">
        <f>IFERROR(SUBSTITUTE(VLOOKUP(A831,Internal_lists_bugs!$A$2:$G2031,7,FALSE()),"/commit/","/tree/"),"please select a BUG ID")</f>
        <v>https://github.com/elastic/elasticsearch/tree/f444ed4</v>
      </c>
      <c r="D831" s="1" t="s">
        <v>5033</v>
      </c>
      <c r="E831" s="1" t="s">
        <v>5034</v>
      </c>
      <c r="F831" s="1"/>
      <c r="G831" s="1"/>
      <c r="H831" s="1"/>
      <c r="I831" s="1"/>
      <c r="J831" s="183" t="str">
        <f>IFERROR(VLOOKUP(A831,Internal_lists_bugs!$A$2:$I2031,9,FALSE()),"please select a BUG ID")</f>
        <v>No information available</v>
      </c>
    </row>
    <row r="832">
      <c r="A832" s="1" t="s">
        <v>100</v>
      </c>
      <c r="B832" s="50" t="str">
        <f>IFERROR(HYPERLINK(VLOOKUP(A832,Internal_lists_bugs!$A$2:$C$73,3,FALSE()), VLOOKUP(A832,Internal_lists_bugs!$A$2:$C$73,3,FALSE())&amp;Char(10) &amp; Char(10) &amp; VLOOKUP(A832,Internal_lists_bugs!$A$2:$Z$73,26,FALSE())),"please select a BUG ID")</f>
        <v>https://github.com/elastic/elasticsearch/issues/4814
/bucket/BytesRefHash.java</v>
      </c>
      <c r="C832" s="81" t="str">
        <f>IFERROR(SUBSTITUTE(VLOOKUP(A832,Internal_lists_bugs!$A$2:$G2031,7,FALSE()),"/commit/","/tree/"),"please select a BUG ID")</f>
        <v>https://github.com/elastic/elasticsearch/tree/4271d57</v>
      </c>
      <c r="D832" s="38" t="s">
        <v>4964</v>
      </c>
      <c r="E832" s="1" t="s">
        <v>5020</v>
      </c>
      <c r="F832" s="1" t="s">
        <v>4724</v>
      </c>
      <c r="G832" s="5" t="s">
        <v>4992</v>
      </c>
      <c r="H832" s="203" t="s">
        <v>4818</v>
      </c>
      <c r="I832" s="1"/>
      <c r="J832" s="183" t="str">
        <f>IFERROR(VLOOKUP(A832,Internal_lists_bugs!$A$2:$I2031,9,FALSE()),"please select a BUG ID")</f>
        <v>No information available</v>
      </c>
    </row>
    <row r="833">
      <c r="A833" s="1" t="s">
        <v>100</v>
      </c>
      <c r="B833" s="50" t="str">
        <f>IFERROR(HYPERLINK(VLOOKUP(A833,Internal_lists_bugs!$A$2:$C$73,3,FALSE()), VLOOKUP(A833,Internal_lists_bugs!$A$2:$C$73,3,FALSE())&amp;Char(10) &amp; Char(10) &amp; VLOOKUP(A833,Internal_lists_bugs!$A$2:$Z$73,26,FALSE())),"please select a BUG ID")</f>
        <v>https://github.com/elastic/elasticsearch/issues/4814
/bucket/BytesRefHash.java</v>
      </c>
      <c r="C833" s="81" t="str">
        <f>IFERROR(SUBSTITUTE(VLOOKUP(A833,Internal_lists_bugs!$A$2:$G2031,7,FALSE()),"/commit/","/tree/"),"please select a BUG ID")</f>
        <v>https://github.com/elastic/elasticsearch/tree/4271d57</v>
      </c>
      <c r="D833" s="38" t="s">
        <v>5001</v>
      </c>
      <c r="E833" s="1" t="s">
        <v>5021</v>
      </c>
      <c r="F833" s="1"/>
      <c r="G833" s="1"/>
      <c r="H833" s="203" t="s">
        <v>4708</v>
      </c>
      <c r="I833" s="1" t="s">
        <v>4972</v>
      </c>
      <c r="J833" s="183" t="str">
        <f>IFERROR(VLOOKUP(A833,Internal_lists_bugs!$A$2:$I2031,9,FALSE()),"please select a BUG ID")</f>
        <v>No information available</v>
      </c>
    </row>
    <row r="834">
      <c r="A834" s="1" t="s">
        <v>100</v>
      </c>
      <c r="B834" s="50" t="str">
        <f>IFERROR(HYPERLINK(VLOOKUP(A834,Internal_lists_bugs!$A$2:$C$73,3,FALSE()), VLOOKUP(A834,Internal_lists_bugs!$A$2:$C$73,3,FALSE())&amp;Char(10) &amp; Char(10) &amp; VLOOKUP(A834,Internal_lists_bugs!$A$2:$Z$73,26,FALSE())),"please select a BUG ID")</f>
        <v>https://github.com/elastic/elasticsearch/issues/4814
/bucket/BytesRefHash.java</v>
      </c>
      <c r="C834" s="81" t="str">
        <f>IFERROR(SUBSTITUTE(VLOOKUP(A834,Internal_lists_bugs!$A$2:$G2031,7,FALSE()),"/commit/","/tree/"),"please select a BUG ID")</f>
        <v>https://github.com/elastic/elasticsearch/tree/4271d57</v>
      </c>
      <c r="D834" s="38" t="s">
        <v>4968</v>
      </c>
      <c r="E834" s="1" t="s">
        <v>5022</v>
      </c>
      <c r="F834" s="1"/>
      <c r="G834" s="1"/>
      <c r="H834" s="203" t="s">
        <v>4975</v>
      </c>
      <c r="I834" s="1"/>
      <c r="J834" s="183" t="str">
        <f>IFERROR(VLOOKUP(A834,Internal_lists_bugs!$A$2:$I2031,9,FALSE()),"please select a BUG ID")</f>
        <v>No information available</v>
      </c>
    </row>
    <row r="835">
      <c r="A835" s="1" t="s">
        <v>100</v>
      </c>
      <c r="B835" s="50" t="str">
        <f>IFERROR(HYPERLINK(VLOOKUP(A835,Internal_lists_bugs!$A$2:$C$73,3,FALSE()), VLOOKUP(A835,Internal_lists_bugs!$A$2:$C$73,3,FALSE())&amp;Char(10) &amp; Char(10) &amp; VLOOKUP(A835,Internal_lists_bugs!$A$2:$Z$73,26,FALSE())),"please select a BUG ID")</f>
        <v>https://github.com/elastic/elasticsearch/issues/4814
/bucket/BytesRefHash.java</v>
      </c>
      <c r="C835" s="81" t="str">
        <f>IFERROR(SUBSTITUTE(VLOOKUP(A835,Internal_lists_bugs!$A$2:$G2031,7,FALSE()),"/commit/","/tree/"),"please select a BUG ID")</f>
        <v>https://github.com/elastic/elasticsearch/tree/4271d57</v>
      </c>
      <c r="D835" s="38" t="s">
        <v>4973</v>
      </c>
      <c r="E835" s="1" t="s">
        <v>5023</v>
      </c>
      <c r="F835" s="1"/>
      <c r="G835" s="1"/>
      <c r="H835" s="203" t="s">
        <v>5024</v>
      </c>
      <c r="I835" s="1" t="s">
        <v>5025</v>
      </c>
      <c r="J835" s="183" t="str">
        <f>IFERROR(VLOOKUP(A835,Internal_lists_bugs!$A$2:$I2031,9,FALSE()),"please select a BUG ID")</f>
        <v>No information available</v>
      </c>
    </row>
    <row r="836">
      <c r="A836" s="1" t="s">
        <v>100</v>
      </c>
      <c r="B836" s="50" t="str">
        <f>IFERROR(HYPERLINK(VLOOKUP(A836,Internal_lists_bugs!$A$2:$C$73,3,FALSE()), VLOOKUP(A836,Internal_lists_bugs!$A$2:$C$73,3,FALSE())&amp;Char(10) &amp; Char(10) &amp; VLOOKUP(A836,Internal_lists_bugs!$A$2:$Z$73,26,FALSE())),"please select a BUG ID")</f>
        <v>https://github.com/elastic/elasticsearch/issues/4814
/bucket/BytesRefHash.java</v>
      </c>
      <c r="C836" s="81" t="str">
        <f>IFERROR(SUBSTITUTE(VLOOKUP(A836,Internal_lists_bugs!$A$2:$G2031,7,FALSE()),"/commit/","/tree/"),"please select a BUG ID")</f>
        <v>https://github.com/elastic/elasticsearch/tree/4271d57</v>
      </c>
      <c r="D836" s="38" t="s">
        <v>4978</v>
      </c>
      <c r="E836" s="1" t="s">
        <v>5026</v>
      </c>
      <c r="F836" s="1"/>
      <c r="G836" s="1"/>
      <c r="H836" s="203" t="s">
        <v>4965</v>
      </c>
      <c r="I836" s="1"/>
      <c r="J836" s="183" t="str">
        <f>IFERROR(VLOOKUP(A836,Internal_lists_bugs!$A$2:$I2031,9,FALSE()),"please select a BUG ID")</f>
        <v>No information available</v>
      </c>
    </row>
    <row r="837">
      <c r="A837" s="1" t="s">
        <v>100</v>
      </c>
      <c r="B837" s="50" t="str">
        <f>IFERROR(HYPERLINK(VLOOKUP(A837,Internal_lists_bugs!$A$2:$C$73,3,FALSE()), VLOOKUP(A837,Internal_lists_bugs!$A$2:$C$73,3,FALSE())&amp;Char(10) &amp; Char(10) &amp; VLOOKUP(A837,Internal_lists_bugs!$A$2:$Z$73,26,FALSE())),"please select a BUG ID")</f>
        <v>https://github.com/elastic/elasticsearch/issues/4814
/bucket/BytesRefHash.java</v>
      </c>
      <c r="C837" s="81" t="str">
        <f>IFERROR(SUBSTITUTE(VLOOKUP(A837,Internal_lists_bugs!$A$2:$G2031,7,FALSE()),"/commit/","/tree/"),"please select a BUG ID")</f>
        <v>https://github.com/elastic/elasticsearch/tree/4271d57</v>
      </c>
      <c r="D837" s="38" t="s">
        <v>4983</v>
      </c>
      <c r="E837" s="1" t="s">
        <v>5030</v>
      </c>
      <c r="F837" s="1"/>
      <c r="G837" s="1"/>
      <c r="H837" s="203" t="s">
        <v>5028</v>
      </c>
      <c r="I837" s="1" t="s">
        <v>5029</v>
      </c>
      <c r="J837" s="183" t="str">
        <f>IFERROR(VLOOKUP(A837,Internal_lists_bugs!$A$2:$I2031,9,FALSE()),"please select a BUG ID")</f>
        <v>No information available</v>
      </c>
    </row>
    <row r="838">
      <c r="A838" s="1" t="s">
        <v>100</v>
      </c>
      <c r="B838" s="50" t="str">
        <f>IFERROR(HYPERLINK(VLOOKUP(A838,Internal_lists_bugs!$A$2:$C$73,3,FALSE()), VLOOKUP(A838,Internal_lists_bugs!$A$2:$C$73,3,FALSE())&amp;Char(10) &amp; Char(10) &amp; VLOOKUP(A838,Internal_lists_bugs!$A$2:$Z$73,26,FALSE())),"please select a BUG ID")</f>
        <v>https://github.com/elastic/elasticsearch/issues/4814
/bucket/BytesRefHash.java</v>
      </c>
      <c r="C838" s="81" t="str">
        <f>IFERROR(SUBSTITUTE(VLOOKUP(A838,Internal_lists_bugs!$A$2:$G2031,7,FALSE()),"/commit/","/tree/"),"please select a BUG ID")</f>
        <v>https://github.com/elastic/elasticsearch/tree/4271d57</v>
      </c>
      <c r="D838" s="38" t="s">
        <v>4985</v>
      </c>
      <c r="E838" s="1" t="s">
        <v>4996</v>
      </c>
      <c r="F838" s="1"/>
      <c r="G838" s="1"/>
      <c r="H838" s="9" t="s">
        <v>5039</v>
      </c>
      <c r="I838" s="9" t="s">
        <v>5040</v>
      </c>
      <c r="J838" s="183" t="str">
        <f>IFERROR(VLOOKUP(A838,Internal_lists_bugs!$A$2:$I2031,9,FALSE()),"please select a BUG ID")</f>
        <v>No information available</v>
      </c>
    </row>
    <row r="839">
      <c r="A839" s="1" t="s">
        <v>100</v>
      </c>
      <c r="B839" s="50" t="str">
        <f>IFERROR(HYPERLINK(VLOOKUP(A839,Internal_lists_bugs!$A$2:$C$73,3,FALSE()), VLOOKUP(A839,Internal_lists_bugs!$A$2:$C$73,3,FALSE())&amp;Char(10) &amp; Char(10) &amp; VLOOKUP(A839,Internal_lists_bugs!$A$2:$Z$73,26,FALSE())),"please select a BUG ID")</f>
        <v>https://github.com/elastic/elasticsearch/issues/4814
/bucket/BytesRefHash.java</v>
      </c>
      <c r="C839" s="81" t="str">
        <f>IFERROR(SUBSTITUTE(VLOOKUP(A839,Internal_lists_bugs!$A$2:$G2031,7,FALSE()),"/commit/","/tree/"),"please select a BUG ID")</f>
        <v>https://github.com/elastic/elasticsearch/tree/4271d57</v>
      </c>
      <c r="D839" s="38" t="s">
        <v>5003</v>
      </c>
      <c r="E839" s="1" t="s">
        <v>5032</v>
      </c>
      <c r="F839" s="1"/>
      <c r="G839" s="1"/>
      <c r="H839" s="9" t="s">
        <v>5035</v>
      </c>
      <c r="I839" s="9" t="s">
        <v>5041</v>
      </c>
      <c r="J839" s="183" t="str">
        <f>IFERROR(VLOOKUP(A839,Internal_lists_bugs!$A$2:$I2031,9,FALSE()),"please select a BUG ID")</f>
        <v>No information available</v>
      </c>
    </row>
    <row r="840">
      <c r="A840" s="1" t="s">
        <v>100</v>
      </c>
      <c r="B840" s="50" t="str">
        <f>IFERROR(HYPERLINK(VLOOKUP(A840,Internal_lists_bugs!$A$2:$C$73,3,FALSE()), VLOOKUP(A840,Internal_lists_bugs!$A$2:$C$73,3,FALSE())&amp;Char(10) &amp; Char(10) &amp; VLOOKUP(A840,Internal_lists_bugs!$A$2:$Z$73,26,FALSE())),"please select a BUG ID")</f>
        <v>https://github.com/elastic/elasticsearch/issues/4814
/bucket/BytesRefHash.java</v>
      </c>
      <c r="C840" s="81" t="str">
        <f>IFERROR(SUBSTITUTE(VLOOKUP(A840,Internal_lists_bugs!$A$2:$G2031,7,FALSE()),"/commit/","/tree/"),"please select a BUG ID")</f>
        <v>https://github.com/elastic/elasticsearch/tree/4271d57</v>
      </c>
      <c r="D840" s="1" t="s">
        <v>5033</v>
      </c>
      <c r="E840" s="1" t="s">
        <v>5034</v>
      </c>
      <c r="F840" s="1"/>
      <c r="G840" s="1"/>
      <c r="H840" s="9" t="s">
        <v>5042</v>
      </c>
      <c r="I840" s="9" t="s">
        <v>5043</v>
      </c>
      <c r="J840" s="183" t="str">
        <f>IFERROR(VLOOKUP(A840,Internal_lists_bugs!$A$2:$I2031,9,FALSE()),"please select a BUG ID")</f>
        <v>No information available</v>
      </c>
    </row>
    <row r="841">
      <c r="A841" s="1" t="s">
        <v>100</v>
      </c>
      <c r="B841" s="50" t="str">
        <f>IFERROR(HYPERLINK(VLOOKUP(A841,Internal_lists_bugs!$A$2:$C$73,3,FALSE()), VLOOKUP(A841,Internal_lists_bugs!$A$2:$C$73,3,FALSE())&amp;Char(10) &amp; Char(10) &amp; VLOOKUP(A841,Internal_lists_bugs!$A$2:$Z$73,26,FALSE())),"please select a BUG ID")</f>
        <v>https://github.com/elastic/elasticsearch/issues/4814
/bucket/BytesRefHash.java</v>
      </c>
      <c r="C841" s="81" t="str">
        <f>IFERROR(SUBSTITUTE(VLOOKUP(A841,Internal_lists_bugs!$A$2:$G2031,7,FALSE()),"/commit/","/tree/"),"please select a BUG ID")</f>
        <v>https://github.com/elastic/elasticsearch/tree/4271d57</v>
      </c>
      <c r="D841" s="16" t="s">
        <v>5044</v>
      </c>
      <c r="E841" s="14" t="s">
        <v>5045</v>
      </c>
      <c r="F841" s="1"/>
      <c r="G841" s="1"/>
      <c r="H841" s="9" t="s">
        <v>4684</v>
      </c>
      <c r="I841" s="9" t="s">
        <v>5046</v>
      </c>
      <c r="J841" s="183" t="str">
        <f>IFERROR(VLOOKUP(A841,Internal_lists_bugs!$A$2:$I2031,9,FALSE()),"please select a BUG ID")</f>
        <v>No information available</v>
      </c>
    </row>
    <row r="842">
      <c r="A842" s="1" t="s">
        <v>100</v>
      </c>
      <c r="B842" s="50" t="str">
        <f>IFERROR(HYPERLINK(VLOOKUP(A842,Internal_lists_bugs!$A$2:$C$73,3,FALSE()), VLOOKUP(A842,Internal_lists_bugs!$A$2:$C$73,3,FALSE())&amp;Char(10) &amp; Char(10) &amp; VLOOKUP(A842,Internal_lists_bugs!$A$2:$Z$73,26,FALSE())),"please select a BUG ID")</f>
        <v>https://github.com/elastic/elasticsearch/issues/4814
/bucket/BytesRefHash.java</v>
      </c>
      <c r="C842" s="81" t="str">
        <f>IFERROR(SUBSTITUTE(VLOOKUP(A842,Internal_lists_bugs!$A$2:$G2031,7,FALSE()),"/commit/","/tree/"),"please select a BUG ID")</f>
        <v>https://github.com/elastic/elasticsearch/tree/4271d57</v>
      </c>
      <c r="D842" s="16" t="s">
        <v>5037</v>
      </c>
      <c r="E842" s="16" t="s">
        <v>5047</v>
      </c>
      <c r="F842" s="54"/>
      <c r="H842" s="9" t="s">
        <v>4692</v>
      </c>
      <c r="I842" s="16" t="s">
        <v>5036</v>
      </c>
      <c r="J842" s="183" t="str">
        <f>IFERROR(VLOOKUP(A842,Internal_lists_bugs!$A$2:$I2031,9,FALSE()),"please select a BUG ID")</f>
        <v>No information available</v>
      </c>
    </row>
    <row r="843">
      <c r="A843" s="1" t="s">
        <v>100</v>
      </c>
      <c r="B843" s="50" t="str">
        <f>IFERROR(HYPERLINK(VLOOKUP(A843,Internal_lists_bugs!$A$2:$C$73,3,FALSE()), VLOOKUP(A843,Internal_lists_bugs!$A$2:$C$73,3,FALSE())&amp;Char(10) &amp; Char(10) &amp; VLOOKUP(A843,Internal_lists_bugs!$A$2:$Z$73,26,FALSE())),"please select a BUG ID")</f>
        <v>https://github.com/elastic/elasticsearch/issues/4814
/bucket/BytesRefHash.java</v>
      </c>
      <c r="C843" s="81" t="str">
        <f>IFERROR(SUBSTITUTE(VLOOKUP(A843,Internal_lists_bugs!$A$2:$G2031,7,FALSE()),"/commit/","/tree/"),"please select a BUG ID")</f>
        <v>https://github.com/elastic/elasticsearch/tree/4271d57</v>
      </c>
      <c r="D843" s="54"/>
      <c r="F843" s="54"/>
      <c r="H843" s="9" t="s">
        <v>4696</v>
      </c>
      <c r="I843" s="16" t="s">
        <v>5036</v>
      </c>
      <c r="J843" s="183" t="str">
        <f>IFERROR(VLOOKUP(A843,Internal_lists_bugs!$A$2:$I2031,9,FALSE()),"please select a BUG ID")</f>
        <v>No information available</v>
      </c>
    </row>
    <row r="844">
      <c r="A844" s="1" t="s">
        <v>85</v>
      </c>
      <c r="B844" s="50" t="str">
        <f>IFERROR(HYPERLINK(VLOOKUP(A844,Internal_lists_bugs!$A$2:$C$73,3,FALSE()), VLOOKUP(A844,Internal_lists_bugs!$A$2:$C$73,3,FALSE())&amp;Char(10) &amp; Char(10) &amp; VLOOKUP(A844,Internal_lists_bugs!$A$2:$Z$73,26,FALSE())),"please select a BUG ID")</f>
        <v>https://github.com/elastic/elasticsearch/issues/5021
/terms/StringTerms.java
/terms/StringTerms.java
/terms/StringTermsAggregator.java </v>
      </c>
      <c r="C844" s="81" t="str">
        <f>IFERROR(SUBSTITUTE(VLOOKUP(A844,Internal_lists_bugs!$A$2:$G2031,7,FALSE()),"/commit/","/tree/"),"please select a BUG ID")</f>
        <v>https://github.com/elastic/elasticsearch/tree/c7f6c5266</v>
      </c>
      <c r="D844" s="38" t="s">
        <v>4964</v>
      </c>
      <c r="E844" s="1" t="s">
        <v>5020</v>
      </c>
      <c r="F844" s="1" t="s">
        <v>4724</v>
      </c>
      <c r="G844" s="5" t="s">
        <v>4992</v>
      </c>
      <c r="H844" s="203" t="s">
        <v>4818</v>
      </c>
      <c r="I844" s="1"/>
      <c r="J844" s="183" t="str">
        <f>IFERROR(VLOOKUP(A844,Internal_lists_bugs!$A$2:$I2031,9,FALSE()),"please select a BUG ID")</f>
        <v>No information available</v>
      </c>
    </row>
    <row r="845">
      <c r="A845" s="1" t="s">
        <v>85</v>
      </c>
      <c r="B845" s="50" t="str">
        <f>IFERROR(HYPERLINK(VLOOKUP(A845,Internal_lists_bugs!$A$2:$C$73,3,FALSE()), VLOOKUP(A845,Internal_lists_bugs!$A$2:$C$73,3,FALSE())&amp;Char(10) &amp; Char(10) &amp; VLOOKUP(A845,Internal_lists_bugs!$A$2:$Z$73,26,FALSE())),"please select a BUG ID")</f>
        <v>https://github.com/elastic/elasticsearch/issues/5021
/terms/StringTerms.java
/terms/StringTerms.java
/terms/StringTermsAggregator.java </v>
      </c>
      <c r="C845" s="81" t="str">
        <f>IFERROR(SUBSTITUTE(VLOOKUP(A845,Internal_lists_bugs!$A$2:$G2031,7,FALSE()),"/commit/","/tree/"),"please select a BUG ID")</f>
        <v>https://github.com/elastic/elasticsearch/tree/c7f6c5266</v>
      </c>
      <c r="D845" s="38" t="s">
        <v>5001</v>
      </c>
      <c r="E845" s="1" t="s">
        <v>5021</v>
      </c>
      <c r="F845" s="1"/>
      <c r="G845" s="1"/>
      <c r="H845" s="203" t="s">
        <v>4708</v>
      </c>
      <c r="I845" s="1" t="s">
        <v>4972</v>
      </c>
      <c r="J845" s="183" t="str">
        <f>IFERROR(VLOOKUP(A845,Internal_lists_bugs!$A$2:$I2031,9,FALSE()),"please select a BUG ID")</f>
        <v>No information available</v>
      </c>
    </row>
    <row r="846">
      <c r="A846" s="1" t="s">
        <v>85</v>
      </c>
      <c r="B846" s="50" t="str">
        <f>IFERROR(HYPERLINK(VLOOKUP(A846,Internal_lists_bugs!$A$2:$C$73,3,FALSE()), VLOOKUP(A846,Internal_lists_bugs!$A$2:$C$73,3,FALSE())&amp;Char(10) &amp; Char(10) &amp; VLOOKUP(A846,Internal_lists_bugs!$A$2:$Z$73,26,FALSE())),"please select a BUG ID")</f>
        <v>https://github.com/elastic/elasticsearch/issues/5021
/terms/StringTerms.java
/terms/StringTerms.java
/terms/StringTermsAggregator.java </v>
      </c>
      <c r="C846" s="81" t="str">
        <f>IFERROR(SUBSTITUTE(VLOOKUP(A846,Internal_lists_bugs!$A$2:$G2031,7,FALSE()),"/commit/","/tree/"),"please select a BUG ID")</f>
        <v>https://github.com/elastic/elasticsearch/tree/c7f6c5266</v>
      </c>
      <c r="D846" s="38" t="s">
        <v>4968</v>
      </c>
      <c r="E846" s="1" t="s">
        <v>5022</v>
      </c>
      <c r="F846" s="1"/>
      <c r="G846" s="1"/>
      <c r="H846" s="203" t="s">
        <v>4975</v>
      </c>
      <c r="I846" s="1"/>
      <c r="J846" s="183" t="str">
        <f>IFERROR(VLOOKUP(A846,Internal_lists_bugs!$A$2:$I2031,9,FALSE()),"please select a BUG ID")</f>
        <v>No information available</v>
      </c>
    </row>
    <row r="847">
      <c r="A847" s="1" t="s">
        <v>85</v>
      </c>
      <c r="B847" s="50" t="str">
        <f>IFERROR(HYPERLINK(VLOOKUP(A847,Internal_lists_bugs!$A$2:$C$73,3,FALSE()), VLOOKUP(A847,Internal_lists_bugs!$A$2:$C$73,3,FALSE())&amp;Char(10) &amp; Char(10) &amp; VLOOKUP(A847,Internal_lists_bugs!$A$2:$Z$73,26,FALSE())),"please select a BUG ID")</f>
        <v>https://github.com/elastic/elasticsearch/issues/5021
/terms/StringTerms.java
/terms/StringTerms.java
/terms/StringTermsAggregator.java </v>
      </c>
      <c r="C847" s="81" t="str">
        <f>IFERROR(SUBSTITUTE(VLOOKUP(A847,Internal_lists_bugs!$A$2:$G2031,7,FALSE()),"/commit/","/tree/"),"please select a BUG ID")</f>
        <v>https://github.com/elastic/elasticsearch/tree/c7f6c5266</v>
      </c>
      <c r="D847" s="38" t="s">
        <v>4973</v>
      </c>
      <c r="E847" s="1" t="s">
        <v>5023</v>
      </c>
      <c r="F847" s="1"/>
      <c r="G847" s="1"/>
      <c r="H847" s="203" t="s">
        <v>5024</v>
      </c>
      <c r="I847" s="1" t="s">
        <v>5025</v>
      </c>
      <c r="J847" s="183" t="str">
        <f>IFERROR(VLOOKUP(A847,Internal_lists_bugs!$A$2:$I2031,9,FALSE()),"please select a BUG ID")</f>
        <v>No information available</v>
      </c>
    </row>
    <row r="848">
      <c r="A848" s="1" t="s">
        <v>85</v>
      </c>
      <c r="B848" s="50" t="str">
        <f>IFERROR(HYPERLINK(VLOOKUP(A848,Internal_lists_bugs!$A$2:$C$73,3,FALSE()), VLOOKUP(A848,Internal_lists_bugs!$A$2:$C$73,3,FALSE())&amp;Char(10) &amp; Char(10) &amp; VLOOKUP(A848,Internal_lists_bugs!$A$2:$Z$73,26,FALSE())),"please select a BUG ID")</f>
        <v>https://github.com/elastic/elasticsearch/issues/5021
/terms/StringTerms.java
/terms/StringTerms.java
/terms/StringTermsAggregator.java </v>
      </c>
      <c r="C848" s="81" t="str">
        <f>IFERROR(SUBSTITUTE(VLOOKUP(A848,Internal_lists_bugs!$A$2:$G2031,7,FALSE()),"/commit/","/tree/"),"please select a BUG ID")</f>
        <v>https://github.com/elastic/elasticsearch/tree/c7f6c5266</v>
      </c>
      <c r="D848" s="38" t="s">
        <v>4978</v>
      </c>
      <c r="E848" s="1" t="s">
        <v>5026</v>
      </c>
      <c r="F848" s="1"/>
      <c r="G848" s="1"/>
      <c r="H848" s="203" t="s">
        <v>4965</v>
      </c>
      <c r="I848" s="1"/>
      <c r="J848" s="183" t="str">
        <f>IFERROR(VLOOKUP(A848,Internal_lists_bugs!$A$2:$I2031,9,FALSE()),"please select a BUG ID")</f>
        <v>No information available</v>
      </c>
    </row>
    <row r="849">
      <c r="A849" s="1" t="s">
        <v>85</v>
      </c>
      <c r="B849" s="50" t="str">
        <f>IFERROR(HYPERLINK(VLOOKUP(A849,Internal_lists_bugs!$A$2:$C$73,3,FALSE()), VLOOKUP(A849,Internal_lists_bugs!$A$2:$C$73,3,FALSE())&amp;Char(10) &amp; Char(10) &amp; VLOOKUP(A849,Internal_lists_bugs!$A$2:$Z$73,26,FALSE())),"please select a BUG ID")</f>
        <v>https://github.com/elastic/elasticsearch/issues/5021
/terms/StringTerms.java
/terms/StringTerms.java
/terms/StringTermsAggregator.java </v>
      </c>
      <c r="C849" s="81" t="str">
        <f>IFERROR(SUBSTITUTE(VLOOKUP(A849,Internal_lists_bugs!$A$2:$G2031,7,FALSE()),"/commit/","/tree/"),"please select a BUG ID")</f>
        <v>https://github.com/elastic/elasticsearch/tree/c7f6c5266</v>
      </c>
      <c r="D849" s="38" t="s">
        <v>4983</v>
      </c>
      <c r="E849" s="1" t="s">
        <v>5030</v>
      </c>
      <c r="F849" s="1"/>
      <c r="G849" s="1"/>
      <c r="H849" s="203" t="s">
        <v>5028</v>
      </c>
      <c r="I849" s="1" t="s">
        <v>5029</v>
      </c>
      <c r="J849" s="183" t="str">
        <f>IFERROR(VLOOKUP(A849,Internal_lists_bugs!$A$2:$I2031,9,FALSE()),"please select a BUG ID")</f>
        <v>No information available</v>
      </c>
    </row>
    <row r="850">
      <c r="A850" s="1" t="s">
        <v>85</v>
      </c>
      <c r="B850" s="50" t="str">
        <f>IFERROR(HYPERLINK(VLOOKUP(A850,Internal_lists_bugs!$A$2:$C$73,3,FALSE()), VLOOKUP(A850,Internal_lists_bugs!$A$2:$C$73,3,FALSE())&amp;Char(10) &amp; Char(10) &amp; VLOOKUP(A850,Internal_lists_bugs!$A$2:$Z$73,26,FALSE())),"please select a BUG ID")</f>
        <v>https://github.com/elastic/elasticsearch/issues/5021
/terms/StringTerms.java
/terms/StringTerms.java
/terms/StringTermsAggregator.java </v>
      </c>
      <c r="C850" s="81" t="str">
        <f>IFERROR(SUBSTITUTE(VLOOKUP(A850,Internal_lists_bugs!$A$2:$G2031,7,FALSE()),"/commit/","/tree/"),"please select a BUG ID")</f>
        <v>https://github.com/elastic/elasticsearch/tree/c7f6c5266</v>
      </c>
      <c r="D850" s="38" t="s">
        <v>4985</v>
      </c>
      <c r="E850" s="1" t="s">
        <v>4996</v>
      </c>
      <c r="F850" s="1"/>
      <c r="G850" s="1"/>
      <c r="H850" s="9" t="s">
        <v>5039</v>
      </c>
      <c r="I850" s="9" t="s">
        <v>5040</v>
      </c>
      <c r="J850" s="183" t="str">
        <f>IFERROR(VLOOKUP(A850,Internal_lists_bugs!$A$2:$I2031,9,FALSE()),"please select a BUG ID")</f>
        <v>No information available</v>
      </c>
    </row>
    <row r="851">
      <c r="A851" s="1" t="s">
        <v>85</v>
      </c>
      <c r="B851" s="50" t="str">
        <f>IFERROR(HYPERLINK(VLOOKUP(A851,Internal_lists_bugs!$A$2:$C$73,3,FALSE()), VLOOKUP(A851,Internal_lists_bugs!$A$2:$C$73,3,FALSE())&amp;Char(10) &amp; Char(10) &amp; VLOOKUP(A851,Internal_lists_bugs!$A$2:$Z$73,26,FALSE())),"please select a BUG ID")</f>
        <v>https://github.com/elastic/elasticsearch/issues/5021
/terms/StringTerms.java
/terms/StringTerms.java
/terms/StringTermsAggregator.java </v>
      </c>
      <c r="C851" s="81" t="str">
        <f>IFERROR(SUBSTITUTE(VLOOKUP(A851,Internal_lists_bugs!$A$2:$G2031,7,FALSE()),"/commit/","/tree/"),"please select a BUG ID")</f>
        <v>https://github.com/elastic/elasticsearch/tree/c7f6c5266</v>
      </c>
      <c r="D851" s="38" t="s">
        <v>5003</v>
      </c>
      <c r="E851" s="1" t="s">
        <v>5032</v>
      </c>
      <c r="F851" s="1"/>
      <c r="G851" s="1"/>
      <c r="H851" s="9" t="s">
        <v>5035</v>
      </c>
      <c r="I851" s="9" t="s">
        <v>5041</v>
      </c>
      <c r="J851" s="183" t="str">
        <f>IFERROR(VLOOKUP(A851,Internal_lists_bugs!$A$2:$I2031,9,FALSE()),"please select a BUG ID")</f>
        <v>No information available</v>
      </c>
    </row>
    <row r="852">
      <c r="A852" s="1" t="s">
        <v>85</v>
      </c>
      <c r="B852" s="50" t="str">
        <f>IFERROR(HYPERLINK(VLOOKUP(A852,Internal_lists_bugs!$A$2:$C$73,3,FALSE()), VLOOKUP(A852,Internal_lists_bugs!$A$2:$C$73,3,FALSE())&amp;Char(10) &amp; Char(10) &amp; VLOOKUP(A852,Internal_lists_bugs!$A$2:$Z$73,26,FALSE())),"please select a BUG ID")</f>
        <v>https://github.com/elastic/elasticsearch/issues/5021
/terms/StringTerms.java
/terms/StringTerms.java
/terms/StringTermsAggregator.java </v>
      </c>
      <c r="C852" s="81" t="str">
        <f>IFERROR(SUBSTITUTE(VLOOKUP(A852,Internal_lists_bugs!$A$2:$G2031,7,FALSE()),"/commit/","/tree/"),"please select a BUG ID")</f>
        <v>https://github.com/elastic/elasticsearch/tree/c7f6c5266</v>
      </c>
      <c r="D852" s="1" t="s">
        <v>5033</v>
      </c>
      <c r="E852" s="1" t="s">
        <v>5034</v>
      </c>
      <c r="F852" s="1"/>
      <c r="G852" s="1"/>
      <c r="H852" s="9" t="s">
        <v>5042</v>
      </c>
      <c r="I852" s="9" t="s">
        <v>5043</v>
      </c>
      <c r="J852" s="183" t="str">
        <f>IFERROR(VLOOKUP(A852,Internal_lists_bugs!$A$2:$I2031,9,FALSE()),"please select a BUG ID")</f>
        <v>No information available</v>
      </c>
    </row>
    <row r="853">
      <c r="A853" s="1" t="s">
        <v>85</v>
      </c>
      <c r="B853" s="50" t="str">
        <f>IFERROR(HYPERLINK(VLOOKUP(A853,Internal_lists_bugs!$A$2:$C$73,3,FALSE()), VLOOKUP(A853,Internal_lists_bugs!$A$2:$C$73,3,FALSE())&amp;Char(10) &amp; Char(10) &amp; VLOOKUP(A853,Internal_lists_bugs!$A$2:$Z$73,26,FALSE())),"please select a BUG ID")</f>
        <v>https://github.com/elastic/elasticsearch/issues/5021
/terms/StringTerms.java
/terms/StringTerms.java
/terms/StringTermsAggregator.java </v>
      </c>
      <c r="C853" s="81" t="str">
        <f>IFERROR(SUBSTITUTE(VLOOKUP(A853,Internal_lists_bugs!$A$2:$G2031,7,FALSE()),"/commit/","/tree/"),"please select a BUG ID")</f>
        <v>https://github.com/elastic/elasticsearch/tree/c7f6c5266</v>
      </c>
      <c r="D853" s="16" t="s">
        <v>5048</v>
      </c>
      <c r="E853" s="14" t="s">
        <v>5049</v>
      </c>
      <c r="F853" s="1"/>
      <c r="G853" s="1"/>
      <c r="H853" s="9" t="s">
        <v>4684</v>
      </c>
      <c r="I853" s="9" t="s">
        <v>5046</v>
      </c>
      <c r="J853" s="183" t="str">
        <f>IFERROR(VLOOKUP(A853,Internal_lists_bugs!$A$2:$I2031,9,FALSE()),"please select a BUG ID")</f>
        <v>No information available</v>
      </c>
    </row>
    <row r="854">
      <c r="A854" s="1" t="s">
        <v>85</v>
      </c>
      <c r="B854" s="50" t="str">
        <f>IFERROR(HYPERLINK(VLOOKUP(A854,Internal_lists_bugs!$A$2:$C$73,3,FALSE()), VLOOKUP(A854,Internal_lists_bugs!$A$2:$C$73,3,FALSE())&amp;Char(10) &amp; Char(10) &amp; VLOOKUP(A854,Internal_lists_bugs!$A$2:$Z$73,26,FALSE())),"please select a BUG ID")</f>
        <v>https://github.com/elastic/elasticsearch/issues/5021
/terms/StringTerms.java
/terms/StringTerms.java
/terms/StringTermsAggregator.java </v>
      </c>
      <c r="C854" s="81" t="str">
        <f>IFERROR(SUBSTITUTE(VLOOKUP(A854,Internal_lists_bugs!$A$2:$G2031,7,FALSE()),"/commit/","/tree/"),"please select a BUG ID")</f>
        <v>https://github.com/elastic/elasticsearch/tree/c7f6c5266</v>
      </c>
      <c r="D854" s="16" t="s">
        <v>5037</v>
      </c>
      <c r="E854" s="16" t="s">
        <v>5047</v>
      </c>
      <c r="F854" s="54"/>
      <c r="H854" s="9" t="s">
        <v>4692</v>
      </c>
      <c r="I854" s="16" t="s">
        <v>5036</v>
      </c>
      <c r="J854" s="183" t="str">
        <f>IFERROR(VLOOKUP(A854,Internal_lists_bugs!$A$2:$I2031,9,FALSE()),"please select a BUG ID")</f>
        <v>No information available</v>
      </c>
    </row>
    <row r="855">
      <c r="A855" s="1" t="s">
        <v>85</v>
      </c>
      <c r="B855" s="50" t="str">
        <f>IFERROR(HYPERLINK(VLOOKUP(A855,Internal_lists_bugs!$A$2:$C$73,3,FALSE()), VLOOKUP(A855,Internal_lists_bugs!$A$2:$C$73,3,FALSE())&amp;Char(10) &amp; Char(10) &amp; VLOOKUP(A855,Internal_lists_bugs!$A$2:$Z$73,26,FALSE())),"please select a BUG ID")</f>
        <v>https://github.com/elastic/elasticsearch/issues/5021
/terms/StringTerms.java
/terms/StringTerms.java
/terms/StringTermsAggregator.java </v>
      </c>
      <c r="C855" s="81" t="str">
        <f>IFERROR(SUBSTITUTE(VLOOKUP(A855,Internal_lists_bugs!$A$2:$G2031,7,FALSE()),"/commit/","/tree/"),"please select a BUG ID")</f>
        <v>https://github.com/elastic/elasticsearch/tree/c7f6c5266</v>
      </c>
      <c r="D855" s="16" t="s">
        <v>1325</v>
      </c>
      <c r="E855" s="16" t="s">
        <v>5050</v>
      </c>
      <c r="F855" s="54"/>
      <c r="H855" s="9" t="s">
        <v>4696</v>
      </c>
      <c r="I855" s="16" t="s">
        <v>5036</v>
      </c>
      <c r="J855" s="183" t="str">
        <f>IFERROR(VLOOKUP(A855,Internal_lists_bugs!$A$2:$I2031,9,FALSE()),"please select a BUG ID")</f>
        <v>No information available</v>
      </c>
    </row>
    <row r="856">
      <c r="A856" s="1" t="s">
        <v>85</v>
      </c>
      <c r="B856" s="50" t="str">
        <f>IFERROR(HYPERLINK(VLOOKUP(A856,Internal_lists_bugs!$A$2:$C$73,3,FALSE()), VLOOKUP(A856,Internal_lists_bugs!$A$2:$C$73,3,FALSE())&amp;Char(10) &amp; Char(10) &amp; VLOOKUP(A856,Internal_lists_bugs!$A$2:$Z$73,26,FALSE())),"please select a BUG ID")</f>
        <v>https://github.com/elastic/elasticsearch/issues/5021
/terms/StringTerms.java
/terms/StringTerms.java
/terms/StringTermsAggregator.java </v>
      </c>
      <c r="C856" s="81" t="str">
        <f>IFERROR(SUBSTITUTE(VLOOKUP(A856,Internal_lists_bugs!$A$2:$G2031,7,FALSE()),"/commit/","/tree/"),"please select a BUG ID")</f>
        <v>https://github.com/elastic/elasticsearch/tree/c7f6c5266</v>
      </c>
      <c r="D856" s="16" t="s">
        <v>5051</v>
      </c>
      <c r="F856" s="54"/>
      <c r="H856" s="114"/>
      <c r="J856" s="183" t="str">
        <f>IFERROR(VLOOKUP(A856,Internal_lists_bugs!$A$2:$I2031,9,FALSE()),"please select a BUG ID")</f>
        <v>No information available</v>
      </c>
    </row>
    <row r="857">
      <c r="A857" s="1" t="s">
        <v>68</v>
      </c>
      <c r="B857" s="50" t="str">
        <f>IFERROR(HYPERLINK(VLOOKUP(A857,Internal_lists_bugs!$A$2:$C$73,3,FALSE()), VLOOKUP(A857,Internal_lists_bugs!$A$2:$C$73,3,FALSE())&amp;Char(10) &amp; Char(10) &amp; VLOOKUP(A857,Internal_lists_bugs!$A$2:$Z$73,26,FALSE())),"please select a BUG ID")</f>
        <v>https://github.com/elastic/elasticsearch/issues/5048
/aggregations/AggregatorFactories.java</v>
      </c>
      <c r="C857" s="81" t="str">
        <f>IFERROR(SUBSTITUTE(VLOOKUP(A857,Internal_lists_bugs!$A$2:$G2031,7,FALSE()),"/commit/","/tree/"),"please select a BUG ID")</f>
        <v>https://github.com/elastic/elasticsearch/tree/c7f6c52</v>
      </c>
      <c r="D857" s="38" t="s">
        <v>4964</v>
      </c>
      <c r="E857" s="1" t="s">
        <v>5020</v>
      </c>
      <c r="F857" s="1" t="s">
        <v>4724</v>
      </c>
      <c r="G857" s="5" t="s">
        <v>4992</v>
      </c>
      <c r="H857" s="203" t="s">
        <v>4818</v>
      </c>
      <c r="I857" s="1"/>
      <c r="J857" s="183" t="str">
        <f>IFERROR(VLOOKUP(A857,Internal_lists_bugs!$A$2:$I2031,9,FALSE()),"please select a BUG ID")</f>
        <v>No information available</v>
      </c>
    </row>
    <row r="858">
      <c r="A858" s="1" t="s">
        <v>68</v>
      </c>
      <c r="B858" s="50" t="str">
        <f>IFERROR(HYPERLINK(VLOOKUP(A858,Internal_lists_bugs!$A$2:$C$73,3,FALSE()), VLOOKUP(A858,Internal_lists_bugs!$A$2:$C$73,3,FALSE())&amp;Char(10) &amp; Char(10) &amp; VLOOKUP(A858,Internal_lists_bugs!$A$2:$Z$73,26,FALSE())),"please select a BUG ID")</f>
        <v>https://github.com/elastic/elasticsearch/issues/5048
/aggregations/AggregatorFactories.java</v>
      </c>
      <c r="C858" s="81" t="str">
        <f>IFERROR(SUBSTITUTE(VLOOKUP(A858,Internal_lists_bugs!$A$2:$G2031,7,FALSE()),"/commit/","/tree/"),"please select a BUG ID")</f>
        <v>https://github.com/elastic/elasticsearch/tree/c7f6c52</v>
      </c>
      <c r="D858" s="38" t="s">
        <v>5001</v>
      </c>
      <c r="E858" s="1" t="s">
        <v>5021</v>
      </c>
      <c r="F858" s="1"/>
      <c r="G858" s="1"/>
      <c r="H858" s="203" t="s">
        <v>4708</v>
      </c>
      <c r="I858" s="1" t="s">
        <v>4972</v>
      </c>
      <c r="J858" s="183" t="str">
        <f>IFERROR(VLOOKUP(A858,Internal_lists_bugs!$A$2:$I2031,9,FALSE()),"please select a BUG ID")</f>
        <v>No information available</v>
      </c>
    </row>
    <row r="859">
      <c r="A859" s="1" t="s">
        <v>68</v>
      </c>
      <c r="B859" s="50" t="str">
        <f>IFERROR(HYPERLINK(VLOOKUP(A859,Internal_lists_bugs!$A$2:$C$73,3,FALSE()), VLOOKUP(A859,Internal_lists_bugs!$A$2:$C$73,3,FALSE())&amp;Char(10) &amp; Char(10) &amp; VLOOKUP(A859,Internal_lists_bugs!$A$2:$Z$73,26,FALSE())),"please select a BUG ID")</f>
        <v>https://github.com/elastic/elasticsearch/issues/5048
/aggregations/AggregatorFactories.java</v>
      </c>
      <c r="C859" s="81" t="str">
        <f>IFERROR(SUBSTITUTE(VLOOKUP(A859,Internal_lists_bugs!$A$2:$G2031,7,FALSE()),"/commit/","/tree/"),"please select a BUG ID")</f>
        <v>https://github.com/elastic/elasticsearch/tree/c7f6c52</v>
      </c>
      <c r="D859" s="38" t="s">
        <v>4968</v>
      </c>
      <c r="E859" s="1" t="s">
        <v>5022</v>
      </c>
      <c r="F859" s="1"/>
      <c r="G859" s="1"/>
      <c r="H859" s="203" t="s">
        <v>4975</v>
      </c>
      <c r="I859" s="1"/>
      <c r="J859" s="183" t="str">
        <f>IFERROR(VLOOKUP(A859,Internal_lists_bugs!$A$2:$I2031,9,FALSE()),"please select a BUG ID")</f>
        <v>No information available</v>
      </c>
    </row>
    <row r="860">
      <c r="A860" s="1" t="s">
        <v>68</v>
      </c>
      <c r="B860" s="50" t="str">
        <f>IFERROR(HYPERLINK(VLOOKUP(A860,Internal_lists_bugs!$A$2:$C$73,3,FALSE()), VLOOKUP(A860,Internal_lists_bugs!$A$2:$C$73,3,FALSE())&amp;Char(10) &amp; Char(10) &amp; VLOOKUP(A860,Internal_lists_bugs!$A$2:$Z$73,26,FALSE())),"please select a BUG ID")</f>
        <v>https://github.com/elastic/elasticsearch/issues/5048
/aggregations/AggregatorFactories.java</v>
      </c>
      <c r="C860" s="81" t="str">
        <f>IFERROR(SUBSTITUTE(VLOOKUP(A860,Internal_lists_bugs!$A$2:$G2031,7,FALSE()),"/commit/","/tree/"),"please select a BUG ID")</f>
        <v>https://github.com/elastic/elasticsearch/tree/c7f6c52</v>
      </c>
      <c r="D860" s="38" t="s">
        <v>4973</v>
      </c>
      <c r="E860" s="1" t="s">
        <v>5023</v>
      </c>
      <c r="F860" s="1"/>
      <c r="G860" s="1"/>
      <c r="H860" s="203" t="s">
        <v>5024</v>
      </c>
      <c r="I860" s="1" t="s">
        <v>5025</v>
      </c>
      <c r="J860" s="183" t="str">
        <f>IFERROR(VLOOKUP(A860,Internal_lists_bugs!$A$2:$I2031,9,FALSE()),"please select a BUG ID")</f>
        <v>No information available</v>
      </c>
    </row>
    <row r="861">
      <c r="A861" s="1" t="s">
        <v>68</v>
      </c>
      <c r="B861" s="50" t="str">
        <f>IFERROR(HYPERLINK(VLOOKUP(A861,Internal_lists_bugs!$A$2:$C$73,3,FALSE()), VLOOKUP(A861,Internal_lists_bugs!$A$2:$C$73,3,FALSE())&amp;Char(10) &amp; Char(10) &amp; VLOOKUP(A861,Internal_lists_bugs!$A$2:$Z$73,26,FALSE())),"please select a BUG ID")</f>
        <v>https://github.com/elastic/elasticsearch/issues/5048
/aggregations/AggregatorFactories.java</v>
      </c>
      <c r="C861" s="81" t="str">
        <f>IFERROR(SUBSTITUTE(VLOOKUP(A861,Internal_lists_bugs!$A$2:$G2031,7,FALSE()),"/commit/","/tree/"),"please select a BUG ID")</f>
        <v>https://github.com/elastic/elasticsearch/tree/c7f6c52</v>
      </c>
      <c r="D861" s="38" t="s">
        <v>4978</v>
      </c>
      <c r="E861" s="1" t="s">
        <v>5026</v>
      </c>
      <c r="F861" s="1"/>
      <c r="G861" s="1"/>
      <c r="H861" s="204" t="s">
        <v>4965</v>
      </c>
      <c r="I861" s="38"/>
      <c r="J861" s="183" t="str">
        <f>IFERROR(VLOOKUP(A861,Internal_lists_bugs!$A$2:$I2031,9,FALSE()),"please select a BUG ID")</f>
        <v>No information available</v>
      </c>
    </row>
    <row r="862">
      <c r="A862" s="1" t="s">
        <v>68</v>
      </c>
      <c r="B862" s="50" t="str">
        <f>IFERROR(HYPERLINK(VLOOKUP(A862,Internal_lists_bugs!$A$2:$C$73,3,FALSE()), VLOOKUP(A862,Internal_lists_bugs!$A$2:$C$73,3,FALSE())&amp;Char(10) &amp; Char(10) &amp; VLOOKUP(A862,Internal_lists_bugs!$A$2:$Z$73,26,FALSE())),"please select a BUG ID")</f>
        <v>https://github.com/elastic/elasticsearch/issues/5048
/aggregations/AggregatorFactories.java</v>
      </c>
      <c r="C862" s="81" t="str">
        <f>IFERROR(SUBSTITUTE(VLOOKUP(A862,Internal_lists_bugs!$A$2:$G2031,7,FALSE()),"/commit/","/tree/"),"please select a BUG ID")</f>
        <v>https://github.com/elastic/elasticsearch/tree/c7f6c52</v>
      </c>
      <c r="D862" s="38" t="s">
        <v>4983</v>
      </c>
      <c r="E862" s="1" t="s">
        <v>5030</v>
      </c>
      <c r="F862" s="1"/>
      <c r="G862" s="1"/>
      <c r="H862" s="204" t="s">
        <v>5028</v>
      </c>
      <c r="I862" s="38" t="s">
        <v>5029</v>
      </c>
      <c r="J862" s="183" t="str">
        <f>IFERROR(VLOOKUP(A862,Internal_lists_bugs!$A$2:$I2031,9,FALSE()),"please select a BUG ID")</f>
        <v>No information available</v>
      </c>
    </row>
    <row r="863">
      <c r="A863" s="1" t="s">
        <v>68</v>
      </c>
      <c r="B863" s="50" t="str">
        <f>IFERROR(HYPERLINK(VLOOKUP(A863,Internal_lists_bugs!$A$2:$C$73,3,FALSE()), VLOOKUP(A863,Internal_lists_bugs!$A$2:$C$73,3,FALSE())&amp;Char(10) &amp; Char(10) &amp; VLOOKUP(A863,Internal_lists_bugs!$A$2:$Z$73,26,FALSE())),"please select a BUG ID")</f>
        <v>https://github.com/elastic/elasticsearch/issues/5048
/aggregations/AggregatorFactories.java</v>
      </c>
      <c r="C863" s="81" t="str">
        <f>IFERROR(SUBSTITUTE(VLOOKUP(A863,Internal_lists_bugs!$A$2:$G2031,7,FALSE()),"/commit/","/tree/"),"please select a BUG ID")</f>
        <v>https://github.com/elastic/elasticsearch/tree/c7f6c52</v>
      </c>
      <c r="D863" s="1" t="s">
        <v>4985</v>
      </c>
      <c r="E863" s="1" t="s">
        <v>4996</v>
      </c>
      <c r="F863" s="1"/>
      <c r="G863" s="1"/>
      <c r="H863" s="38" t="s">
        <v>5039</v>
      </c>
      <c r="I863" s="38" t="s">
        <v>5040</v>
      </c>
      <c r="J863" s="183" t="str">
        <f>IFERROR(VLOOKUP(A863,Internal_lists_bugs!$A$2:$I2031,9,FALSE()),"please select a BUG ID")</f>
        <v>No information available</v>
      </c>
    </row>
    <row r="864">
      <c r="A864" s="1" t="s">
        <v>68</v>
      </c>
      <c r="B864" s="50" t="str">
        <f>IFERROR(HYPERLINK(VLOOKUP(A864,Internal_lists_bugs!$A$2:$C$73,3,FALSE()), VLOOKUP(A864,Internal_lists_bugs!$A$2:$C$73,3,FALSE())&amp;Char(10) &amp; Char(10) &amp; VLOOKUP(A864,Internal_lists_bugs!$A$2:$Z$73,26,FALSE())),"please select a BUG ID")</f>
        <v>https://github.com/elastic/elasticsearch/issues/5048
/aggregations/AggregatorFactories.java</v>
      </c>
      <c r="C864" s="81" t="str">
        <f>IFERROR(SUBSTITUTE(VLOOKUP(A864,Internal_lists_bugs!$A$2:$G2031,7,FALSE()),"/commit/","/tree/"),"please select a BUG ID")</f>
        <v>https://github.com/elastic/elasticsearch/tree/c7f6c52</v>
      </c>
      <c r="D864" s="38" t="s">
        <v>5003</v>
      </c>
      <c r="E864" s="205" t="s">
        <v>5032</v>
      </c>
      <c r="F864" s="1"/>
      <c r="G864" s="1"/>
      <c r="H864" s="38" t="s">
        <v>5035</v>
      </c>
      <c r="I864" s="38" t="s">
        <v>5041</v>
      </c>
      <c r="J864" s="183" t="str">
        <f>IFERROR(VLOOKUP(A864,Internal_lists_bugs!$A$2:$I2031,9,FALSE()),"please select a BUG ID")</f>
        <v>No information available</v>
      </c>
    </row>
    <row r="865">
      <c r="A865" s="1" t="s">
        <v>68</v>
      </c>
      <c r="B865" s="50" t="str">
        <f>IFERROR(HYPERLINK(VLOOKUP(A865,Internal_lists_bugs!$A$2:$C$73,3,FALSE()), VLOOKUP(A865,Internal_lists_bugs!$A$2:$C$73,3,FALSE())&amp;Char(10) &amp; Char(10) &amp; VLOOKUP(A865,Internal_lists_bugs!$A$2:$Z$73,26,FALSE())),"please select a BUG ID")</f>
        <v>https://github.com/elastic/elasticsearch/issues/5048
/aggregations/AggregatorFactories.java</v>
      </c>
      <c r="C865" s="81" t="str">
        <f>IFERROR(SUBSTITUTE(VLOOKUP(A865,Internal_lists_bugs!$A$2:$G2031,7,FALSE()),"/commit/","/tree/"),"please select a BUG ID")</f>
        <v>https://github.com/elastic/elasticsearch/tree/c7f6c52</v>
      </c>
      <c r="D865" s="38" t="s">
        <v>5033</v>
      </c>
      <c r="E865" s="38" t="s">
        <v>5034</v>
      </c>
      <c r="F865" s="1"/>
      <c r="G865" s="1"/>
      <c r="H865" s="1" t="s">
        <v>5042</v>
      </c>
      <c r="I865" s="1" t="s">
        <v>5043</v>
      </c>
      <c r="J865" s="183" t="str">
        <f>IFERROR(VLOOKUP(A865,Internal_lists_bugs!$A$2:$I2031,9,FALSE()),"please select a BUG ID")</f>
        <v>No information available</v>
      </c>
    </row>
    <row r="866">
      <c r="A866" s="1" t="s">
        <v>68</v>
      </c>
      <c r="B866" s="50" t="str">
        <f>IFERROR(HYPERLINK(VLOOKUP(A866,Internal_lists_bugs!$A$2:$C$73,3,FALSE()), VLOOKUP(A866,Internal_lists_bugs!$A$2:$C$73,3,FALSE())&amp;Char(10) &amp; Char(10) &amp; VLOOKUP(A866,Internal_lists_bugs!$A$2:$Z$73,26,FALSE())),"please select a BUG ID")</f>
        <v>https://github.com/elastic/elasticsearch/issues/5048
/aggregations/AggregatorFactories.java</v>
      </c>
      <c r="C866" s="81" t="str">
        <f>IFERROR(SUBSTITUTE(VLOOKUP(A866,Internal_lists_bugs!$A$2:$G2031,7,FALSE()),"/commit/","/tree/"),"please select a BUG ID")</f>
        <v>https://github.com/elastic/elasticsearch/tree/c7f6c52</v>
      </c>
      <c r="D866" s="38" t="s">
        <v>5048</v>
      </c>
      <c r="E866" s="205" t="s">
        <v>5052</v>
      </c>
      <c r="F866" s="1"/>
      <c r="G866" s="1"/>
      <c r="H866" s="1" t="s">
        <v>4684</v>
      </c>
      <c r="I866" s="1" t="s">
        <v>5046</v>
      </c>
      <c r="J866" s="183" t="str">
        <f>IFERROR(VLOOKUP(A866,Internal_lists_bugs!$A$2:$I2031,9,FALSE()),"please select a BUG ID")</f>
        <v>No information available</v>
      </c>
    </row>
    <row r="867">
      <c r="A867" s="1" t="s">
        <v>68</v>
      </c>
      <c r="B867" s="50" t="str">
        <f>IFERROR(HYPERLINK(VLOOKUP(A867,Internal_lists_bugs!$A$2:$C$73,3,FALSE()), VLOOKUP(A867,Internal_lists_bugs!$A$2:$C$73,3,FALSE())&amp;Char(10) &amp; Char(10) &amp; VLOOKUP(A867,Internal_lists_bugs!$A$2:$Z$73,26,FALSE())),"please select a BUG ID")</f>
        <v>https://github.com/elastic/elasticsearch/issues/5048
/aggregations/AggregatorFactories.java</v>
      </c>
      <c r="C867" s="81" t="str">
        <f>IFERROR(SUBSTITUTE(VLOOKUP(A867,Internal_lists_bugs!$A$2:$G2031,7,FALSE()),"/commit/","/tree/"),"please select a BUG ID")</f>
        <v>https://github.com/elastic/elasticsearch/tree/c7f6c52</v>
      </c>
      <c r="D867" s="38" t="s">
        <v>5037</v>
      </c>
      <c r="E867" s="1" t="s">
        <v>5047</v>
      </c>
      <c r="F867" s="1"/>
      <c r="G867" s="1"/>
      <c r="H867" s="9" t="s">
        <v>4692</v>
      </c>
      <c r="I867" s="16" t="s">
        <v>5036</v>
      </c>
      <c r="J867" s="183" t="str">
        <f>IFERROR(VLOOKUP(A867,Internal_lists_bugs!$A$2:$I2031,9,FALSE()),"please select a BUG ID")</f>
        <v>No information available</v>
      </c>
    </row>
    <row r="868">
      <c r="A868" s="1" t="s">
        <v>68</v>
      </c>
      <c r="B868" s="50" t="str">
        <f>IFERROR(HYPERLINK(VLOOKUP(A868,Internal_lists_bugs!$A$2:$C$73,3,FALSE()), VLOOKUP(A868,Internal_lists_bugs!$A$2:$C$73,3,FALSE())&amp;Char(10) &amp; Char(10) &amp; VLOOKUP(A868,Internal_lists_bugs!$A$2:$Z$73,26,FALSE())),"please select a BUG ID")</f>
        <v>https://github.com/elastic/elasticsearch/issues/5048
/aggregations/AggregatorFactories.java</v>
      </c>
      <c r="C868" s="81" t="str">
        <f>IFERROR(SUBSTITUTE(VLOOKUP(A868,Internal_lists_bugs!$A$2:$G2031,7,FALSE()),"/commit/","/tree/"),"please select a BUG ID")</f>
        <v>https://github.com/elastic/elasticsearch/tree/c7f6c52</v>
      </c>
      <c r="D868" s="1" t="s">
        <v>1325</v>
      </c>
      <c r="E868" s="1" t="s">
        <v>5050</v>
      </c>
      <c r="F868" s="1"/>
      <c r="G868" s="1"/>
      <c r="H868" s="9" t="s">
        <v>4696</v>
      </c>
      <c r="I868" s="16" t="s">
        <v>5036</v>
      </c>
      <c r="J868" s="183" t="str">
        <f>IFERROR(VLOOKUP(A868,Internal_lists_bugs!$A$2:$I2031,9,FALSE()),"please select a BUG ID")</f>
        <v>No information available</v>
      </c>
    </row>
    <row r="869">
      <c r="A869" s="1" t="s">
        <v>68</v>
      </c>
      <c r="B869" s="50" t="str">
        <f>IFERROR(HYPERLINK(VLOOKUP(A869,Internal_lists_bugs!$A$2:$C$73,3,FALSE()), VLOOKUP(A869,Internal_lists_bugs!$A$2:$C$73,3,FALSE())&amp;Char(10) &amp; Char(10) &amp; VLOOKUP(A869,Internal_lists_bugs!$A$2:$Z$73,26,FALSE())),"please select a BUG ID")</f>
        <v>https://github.com/elastic/elasticsearch/issues/5048
/aggregations/AggregatorFactories.java</v>
      </c>
      <c r="C869" s="81" t="str">
        <f>IFERROR(SUBSTITUTE(VLOOKUP(A869,Internal_lists_bugs!$A$2:$G2031,7,FALSE()),"/commit/","/tree/"),"please select a BUG ID")</f>
        <v>https://github.com/elastic/elasticsearch/tree/c7f6c52</v>
      </c>
      <c r="D869" s="1" t="s">
        <v>5051</v>
      </c>
      <c r="E869" s="1"/>
      <c r="F869" s="1"/>
      <c r="G869" s="1"/>
      <c r="H869" s="1"/>
      <c r="I869" s="1"/>
      <c r="J869" s="183" t="str">
        <f>IFERROR(VLOOKUP(A869,Internal_lists_bugs!$A$2:$I2031,9,FALSE()),"please select a BUG ID")</f>
        <v>No information available</v>
      </c>
    </row>
    <row r="870">
      <c r="A870" s="1" t="s">
        <v>94</v>
      </c>
      <c r="B870" s="50" t="str">
        <f>IFERROR(HYPERLINK(VLOOKUP(A870,Internal_lists_bugs!$A$2:$C$73,3,FALSE()), VLOOKUP(A870,Internal_lists_bugs!$A$2:$C$73,3,FALSE())&amp;Char(10) &amp; Char(10) &amp; VLOOKUP(A870,Internal_lists_bugs!$A$2:$Z$73,26,FALSE())),"please select a BUG ID")</f>
        <v>https://github.com/elastic/elasticsearch/issues/5165
/search/SearchService.java
/internal/DefaultSearchContext.java</v>
      </c>
      <c r="C870" s="81" t="str">
        <f>IFERROR(SUBSTITUTE(VLOOKUP(A870,Internal_lists_bugs!$A$2:$G2031,7,FALSE()),"/commit/","/tree/"),"please select a BUG ID")</f>
        <v>https://github.com/elastic/elasticsearch/tree/3ca0239</v>
      </c>
      <c r="D870" s="38" t="s">
        <v>4964</v>
      </c>
      <c r="E870" s="1" t="s">
        <v>5020</v>
      </c>
      <c r="F870" s="1" t="s">
        <v>4724</v>
      </c>
      <c r="G870" s="5" t="s">
        <v>4992</v>
      </c>
      <c r="H870" s="203" t="s">
        <v>4818</v>
      </c>
      <c r="I870" s="1"/>
      <c r="J870" s="183" t="str">
        <f>IFERROR(VLOOKUP(A870,Internal_lists_bugs!$A$2:$I2031,9,FALSE()),"please select a BUG ID")</f>
        <v>No information available</v>
      </c>
    </row>
    <row r="871">
      <c r="A871" s="1" t="s">
        <v>94</v>
      </c>
      <c r="B871" s="50" t="str">
        <f>IFERROR(HYPERLINK(VLOOKUP(A871,Internal_lists_bugs!$A$2:$C$73,3,FALSE()), VLOOKUP(A871,Internal_lists_bugs!$A$2:$C$73,3,FALSE())&amp;Char(10) &amp; Char(10) &amp; VLOOKUP(A871,Internal_lists_bugs!$A$2:$Z$73,26,FALSE())),"please select a BUG ID")</f>
        <v>https://github.com/elastic/elasticsearch/issues/5165
/search/SearchService.java
/internal/DefaultSearchContext.java</v>
      </c>
      <c r="C871" s="81" t="str">
        <f>IFERROR(SUBSTITUTE(VLOOKUP(A871,Internal_lists_bugs!$A$2:$G2031,7,FALSE()),"/commit/","/tree/"),"please select a BUG ID")</f>
        <v>https://github.com/elastic/elasticsearch/tree/3ca0239</v>
      </c>
      <c r="D871" s="38" t="s">
        <v>5001</v>
      </c>
      <c r="E871" s="1" t="s">
        <v>5021</v>
      </c>
      <c r="F871" s="1"/>
      <c r="G871" s="1"/>
      <c r="H871" s="203" t="s">
        <v>4708</v>
      </c>
      <c r="I871" s="1" t="s">
        <v>4972</v>
      </c>
      <c r="J871" s="183" t="str">
        <f>IFERROR(VLOOKUP(A871,Internal_lists_bugs!$A$2:$I2031,9,FALSE()),"please select a BUG ID")</f>
        <v>No information available</v>
      </c>
    </row>
    <row r="872">
      <c r="A872" s="1" t="s">
        <v>94</v>
      </c>
      <c r="B872" s="50" t="str">
        <f>IFERROR(HYPERLINK(VLOOKUP(A872,Internal_lists_bugs!$A$2:$C$73,3,FALSE()), VLOOKUP(A872,Internal_lists_bugs!$A$2:$C$73,3,FALSE())&amp;Char(10) &amp; Char(10) &amp; VLOOKUP(A872,Internal_lists_bugs!$A$2:$Z$73,26,FALSE())),"please select a BUG ID")</f>
        <v>https://github.com/elastic/elasticsearch/issues/5165
/search/SearchService.java
/internal/DefaultSearchContext.java</v>
      </c>
      <c r="C872" s="81" t="str">
        <f>IFERROR(SUBSTITUTE(VLOOKUP(A872,Internal_lists_bugs!$A$2:$G2031,7,FALSE()),"/commit/","/tree/"),"please select a BUG ID")</f>
        <v>https://github.com/elastic/elasticsearch/tree/3ca0239</v>
      </c>
      <c r="D872" s="38" t="s">
        <v>4968</v>
      </c>
      <c r="E872" s="1" t="s">
        <v>5022</v>
      </c>
      <c r="F872" s="1"/>
      <c r="G872" s="1"/>
      <c r="H872" s="203" t="s">
        <v>4975</v>
      </c>
      <c r="I872" s="1"/>
      <c r="J872" s="183" t="str">
        <f>IFERROR(VLOOKUP(A872,Internal_lists_bugs!$A$2:$I2031,9,FALSE()),"please select a BUG ID")</f>
        <v>No information available</v>
      </c>
    </row>
    <row r="873">
      <c r="A873" s="1" t="s">
        <v>94</v>
      </c>
      <c r="B873" s="50" t="str">
        <f>IFERROR(HYPERLINK(VLOOKUP(A873,Internal_lists_bugs!$A$2:$C$73,3,FALSE()), VLOOKUP(A873,Internal_lists_bugs!$A$2:$C$73,3,FALSE())&amp;Char(10) &amp; Char(10) &amp; VLOOKUP(A873,Internal_lists_bugs!$A$2:$Z$73,26,FALSE())),"please select a BUG ID")</f>
        <v>https://github.com/elastic/elasticsearch/issues/5165
/search/SearchService.java
/internal/DefaultSearchContext.java</v>
      </c>
      <c r="C873" s="81" t="str">
        <f>IFERROR(SUBSTITUTE(VLOOKUP(A873,Internal_lists_bugs!$A$2:$G2031,7,FALSE()),"/commit/","/tree/"),"please select a BUG ID")</f>
        <v>https://github.com/elastic/elasticsearch/tree/3ca0239</v>
      </c>
      <c r="D873" s="38" t="s">
        <v>4973</v>
      </c>
      <c r="E873" s="1" t="s">
        <v>5023</v>
      </c>
      <c r="F873" s="1"/>
      <c r="G873" s="1"/>
      <c r="H873" s="203" t="s">
        <v>5024</v>
      </c>
      <c r="I873" s="1" t="s">
        <v>5025</v>
      </c>
      <c r="J873" s="183" t="str">
        <f>IFERROR(VLOOKUP(A873,Internal_lists_bugs!$A$2:$I2031,9,FALSE()),"please select a BUG ID")</f>
        <v>No information available</v>
      </c>
    </row>
    <row r="874">
      <c r="A874" s="1" t="s">
        <v>94</v>
      </c>
      <c r="B874" s="50" t="str">
        <f>IFERROR(HYPERLINK(VLOOKUP(A874,Internal_lists_bugs!$A$2:$C$73,3,FALSE()), VLOOKUP(A874,Internal_lists_bugs!$A$2:$C$73,3,FALSE())&amp;Char(10) &amp; Char(10) &amp; VLOOKUP(A874,Internal_lists_bugs!$A$2:$Z$73,26,FALSE())),"please select a BUG ID")</f>
        <v>https://github.com/elastic/elasticsearch/issues/5165
/search/SearchService.java
/internal/DefaultSearchContext.java</v>
      </c>
      <c r="C874" s="81" t="str">
        <f>IFERROR(SUBSTITUTE(VLOOKUP(A874,Internal_lists_bugs!$A$2:$G2031,7,FALSE()),"/commit/","/tree/"),"please select a BUG ID")</f>
        <v>https://github.com/elastic/elasticsearch/tree/3ca0239</v>
      </c>
      <c r="D874" s="38" t="s">
        <v>4978</v>
      </c>
      <c r="E874" s="1" t="s">
        <v>5026</v>
      </c>
      <c r="F874" s="1"/>
      <c r="G874" s="1"/>
      <c r="H874" s="204" t="s">
        <v>4965</v>
      </c>
      <c r="I874" s="38"/>
      <c r="J874" s="183" t="str">
        <f>IFERROR(VLOOKUP(A874,Internal_lists_bugs!$A$2:$I2031,9,FALSE()),"please select a BUG ID")</f>
        <v>No information available</v>
      </c>
    </row>
    <row r="875">
      <c r="A875" s="1" t="s">
        <v>94</v>
      </c>
      <c r="B875" s="50" t="str">
        <f>IFERROR(HYPERLINK(VLOOKUP(A875,Internal_lists_bugs!$A$2:$C$73,3,FALSE()), VLOOKUP(A875,Internal_lists_bugs!$A$2:$C$73,3,FALSE())&amp;Char(10) &amp; Char(10) &amp; VLOOKUP(A875,Internal_lists_bugs!$A$2:$Z$73,26,FALSE())),"please select a BUG ID")</f>
        <v>https://github.com/elastic/elasticsearch/issues/5165
/search/SearchService.java
/internal/DefaultSearchContext.java</v>
      </c>
      <c r="C875" s="81" t="str">
        <f>IFERROR(SUBSTITUTE(VLOOKUP(A875,Internal_lists_bugs!$A$2:$G2031,7,FALSE()),"/commit/","/tree/"),"please select a BUG ID")</f>
        <v>https://github.com/elastic/elasticsearch/tree/3ca0239</v>
      </c>
      <c r="D875" s="38" t="s">
        <v>4983</v>
      </c>
      <c r="E875" s="1" t="s">
        <v>5030</v>
      </c>
      <c r="F875" s="1"/>
      <c r="G875" s="1"/>
      <c r="H875" s="204" t="s">
        <v>5028</v>
      </c>
      <c r="I875" s="38" t="s">
        <v>5029</v>
      </c>
      <c r="J875" s="183" t="str">
        <f>IFERROR(VLOOKUP(A875,Internal_lists_bugs!$A$2:$I2031,9,FALSE()),"please select a BUG ID")</f>
        <v>No information available</v>
      </c>
    </row>
    <row r="876">
      <c r="A876" s="1" t="s">
        <v>94</v>
      </c>
      <c r="B876" s="50" t="str">
        <f>IFERROR(HYPERLINK(VLOOKUP(A876,Internal_lists_bugs!$A$2:$C$73,3,FALSE()), VLOOKUP(A876,Internal_lists_bugs!$A$2:$C$73,3,FALSE())&amp;Char(10) &amp; Char(10) &amp; VLOOKUP(A876,Internal_lists_bugs!$A$2:$Z$73,26,FALSE())),"please select a BUG ID")</f>
        <v>https://github.com/elastic/elasticsearch/issues/5165
/search/SearchService.java
/internal/DefaultSearchContext.java</v>
      </c>
      <c r="C876" s="81" t="str">
        <f>IFERROR(SUBSTITUTE(VLOOKUP(A876,Internal_lists_bugs!$A$2:$G2031,7,FALSE()),"/commit/","/tree/"),"please select a BUG ID")</f>
        <v>https://github.com/elastic/elasticsearch/tree/3ca0239</v>
      </c>
      <c r="D876" s="1" t="s">
        <v>4985</v>
      </c>
      <c r="E876" s="1" t="s">
        <v>4996</v>
      </c>
      <c r="F876" s="1"/>
      <c r="G876" s="1"/>
      <c r="H876" s="38" t="s">
        <v>5039</v>
      </c>
      <c r="I876" s="38" t="s">
        <v>5040</v>
      </c>
      <c r="J876" s="183" t="str">
        <f>IFERROR(VLOOKUP(A876,Internal_lists_bugs!$A$2:$I2031,9,FALSE()),"please select a BUG ID")</f>
        <v>No information available</v>
      </c>
    </row>
    <row r="877">
      <c r="A877" s="1" t="s">
        <v>94</v>
      </c>
      <c r="B877" s="50" t="str">
        <f>IFERROR(HYPERLINK(VLOOKUP(A877,Internal_lists_bugs!$A$2:$C$73,3,FALSE()), VLOOKUP(A877,Internal_lists_bugs!$A$2:$C$73,3,FALSE())&amp;Char(10) &amp; Char(10) &amp; VLOOKUP(A877,Internal_lists_bugs!$A$2:$Z$73,26,FALSE())),"please select a BUG ID")</f>
        <v>https://github.com/elastic/elasticsearch/issues/5165
/search/SearchService.java
/internal/DefaultSearchContext.java</v>
      </c>
      <c r="C877" s="81" t="str">
        <f>IFERROR(SUBSTITUTE(VLOOKUP(A877,Internal_lists_bugs!$A$2:$G2031,7,FALSE()),"/commit/","/tree/"),"please select a BUG ID")</f>
        <v>https://github.com/elastic/elasticsearch/tree/3ca0239</v>
      </c>
      <c r="D877" s="38" t="s">
        <v>5003</v>
      </c>
      <c r="E877" s="205" t="s">
        <v>5032</v>
      </c>
      <c r="F877" s="1"/>
      <c r="G877" s="1"/>
      <c r="H877" s="38" t="s">
        <v>5035</v>
      </c>
      <c r="I877" s="38" t="s">
        <v>5041</v>
      </c>
      <c r="J877" s="183" t="str">
        <f>IFERROR(VLOOKUP(A877,Internal_lists_bugs!$A$2:$I2031,9,FALSE()),"please select a BUG ID")</f>
        <v>No information available</v>
      </c>
    </row>
    <row r="878">
      <c r="A878" s="1" t="s">
        <v>94</v>
      </c>
      <c r="B878" s="50" t="str">
        <f>IFERROR(HYPERLINK(VLOOKUP(A878,Internal_lists_bugs!$A$2:$C$73,3,FALSE()), VLOOKUP(A878,Internal_lists_bugs!$A$2:$C$73,3,FALSE())&amp;Char(10) &amp; Char(10) &amp; VLOOKUP(A878,Internal_lists_bugs!$A$2:$Z$73,26,FALSE())),"please select a BUG ID")</f>
        <v>https://github.com/elastic/elasticsearch/issues/5165
/search/SearchService.java
/internal/DefaultSearchContext.java</v>
      </c>
      <c r="C878" s="81" t="str">
        <f>IFERROR(SUBSTITUTE(VLOOKUP(A878,Internal_lists_bugs!$A$2:$G2031,7,FALSE()),"/commit/","/tree/"),"please select a BUG ID")</f>
        <v>https://github.com/elastic/elasticsearch/tree/3ca0239</v>
      </c>
      <c r="D878" s="38" t="s">
        <v>5033</v>
      </c>
      <c r="E878" s="38" t="s">
        <v>5034</v>
      </c>
      <c r="F878" s="1"/>
      <c r="G878" s="1"/>
      <c r="H878" s="1" t="s">
        <v>5042</v>
      </c>
      <c r="I878" s="1" t="s">
        <v>5043</v>
      </c>
      <c r="J878" s="183" t="str">
        <f>IFERROR(VLOOKUP(A878,Internal_lists_bugs!$A$2:$I2031,9,FALSE()),"please select a BUG ID")</f>
        <v>No information available</v>
      </c>
    </row>
    <row r="879">
      <c r="A879" s="1" t="s">
        <v>94</v>
      </c>
      <c r="B879" s="50" t="str">
        <f>IFERROR(HYPERLINK(VLOOKUP(A879,Internal_lists_bugs!$A$2:$C$73,3,FALSE()), VLOOKUP(A879,Internal_lists_bugs!$A$2:$C$73,3,FALSE())&amp;Char(10) &amp; Char(10) &amp; VLOOKUP(A879,Internal_lists_bugs!$A$2:$Z$73,26,FALSE())),"please select a BUG ID")</f>
        <v>https://github.com/elastic/elasticsearch/issues/5165
/search/SearchService.java
/internal/DefaultSearchContext.java</v>
      </c>
      <c r="C879" s="81" t="str">
        <f>IFERROR(SUBSTITUTE(VLOOKUP(A879,Internal_lists_bugs!$A$2:$G2031,7,FALSE()),"/commit/","/tree/"),"please select a BUG ID")</f>
        <v>https://github.com/elastic/elasticsearch/tree/3ca0239</v>
      </c>
      <c r="D879" s="38" t="s">
        <v>5048</v>
      </c>
      <c r="E879" s="205" t="s">
        <v>5053</v>
      </c>
      <c r="F879" s="1"/>
      <c r="G879" s="1"/>
      <c r="H879" s="9" t="s">
        <v>4692</v>
      </c>
      <c r="I879" s="16" t="s">
        <v>5036</v>
      </c>
      <c r="J879" s="183" t="str">
        <f>IFERROR(VLOOKUP(A879,Internal_lists_bugs!$A$2:$I2031,9,FALSE()),"please select a BUG ID")</f>
        <v>No information available</v>
      </c>
    </row>
    <row r="880">
      <c r="A880" s="1" t="s">
        <v>94</v>
      </c>
      <c r="B880" s="50" t="str">
        <f>IFERROR(HYPERLINK(VLOOKUP(A880,Internal_lists_bugs!$A$2:$C$73,3,FALSE()), VLOOKUP(A880,Internal_lists_bugs!$A$2:$C$73,3,FALSE())&amp;Char(10) &amp; Char(10) &amp; VLOOKUP(A880,Internal_lists_bugs!$A$2:$Z$73,26,FALSE())),"please select a BUG ID")</f>
        <v>https://github.com/elastic/elasticsearch/issues/5165
/search/SearchService.java
/internal/DefaultSearchContext.java</v>
      </c>
      <c r="C880" s="81" t="str">
        <f>IFERROR(SUBSTITUTE(VLOOKUP(A880,Internal_lists_bugs!$A$2:$G2031,7,FALSE()),"/commit/","/tree/"),"please select a BUG ID")</f>
        <v>https://github.com/elastic/elasticsearch/tree/3ca0239</v>
      </c>
      <c r="D880" s="38" t="s">
        <v>5037</v>
      </c>
      <c r="E880" s="1" t="s">
        <v>5047</v>
      </c>
      <c r="F880" s="1"/>
      <c r="G880" s="1"/>
      <c r="H880" s="9" t="s">
        <v>4696</v>
      </c>
      <c r="I880" s="16" t="s">
        <v>5036</v>
      </c>
      <c r="J880" s="183" t="str">
        <f>IFERROR(VLOOKUP(A880,Internal_lists_bugs!$A$2:$I2031,9,FALSE()),"please select a BUG ID")</f>
        <v>No information available</v>
      </c>
    </row>
    <row r="881">
      <c r="A881" s="1" t="s">
        <v>94</v>
      </c>
      <c r="B881" s="50" t="str">
        <f>IFERROR(HYPERLINK(VLOOKUP(A881,Internal_lists_bugs!$A$2:$C$73,3,FALSE()), VLOOKUP(A881,Internal_lists_bugs!$A$2:$C$73,3,FALSE())&amp;Char(10) &amp; Char(10) &amp; VLOOKUP(A881,Internal_lists_bugs!$A$2:$Z$73,26,FALSE())),"please select a BUG ID")</f>
        <v>https://github.com/elastic/elasticsearch/issues/5165
/search/SearchService.java
/internal/DefaultSearchContext.java</v>
      </c>
      <c r="C881" s="81" t="str">
        <f>IFERROR(SUBSTITUTE(VLOOKUP(A881,Internal_lists_bugs!$A$2:$G2031,7,FALSE()),"/commit/","/tree/"),"please select a BUG ID")</f>
        <v>https://github.com/elastic/elasticsearch/tree/3ca0239</v>
      </c>
      <c r="D881" s="1" t="s">
        <v>5051</v>
      </c>
      <c r="E881" s="9" t="s">
        <v>5054</v>
      </c>
      <c r="F881" s="1"/>
      <c r="G881" s="1"/>
      <c r="H881" s="1"/>
      <c r="I881" s="1"/>
      <c r="J881" s="183" t="str">
        <f>IFERROR(VLOOKUP(A881,Internal_lists_bugs!$A$2:$I2031,9,FALSE()),"please select a BUG ID")</f>
        <v>No information available</v>
      </c>
    </row>
    <row r="882">
      <c r="A882" s="1" t="s">
        <v>98</v>
      </c>
      <c r="B882" s="50" t="str">
        <f>IFERROR(HYPERLINK(VLOOKUP(A882,Internal_lists_bugs!$A$2:$C$73,3,FALSE()), VLOOKUP(A882,Internal_lists_bugs!$A$2:$C$73,3,FALSE())&amp;Char(10) &amp; Char(10) &amp; VLOOKUP(A882,Internal_lists_bugs!$A$2:$Z$73,26,FALSE())),"please select a BUG ID")</f>
        <v>https://github.com/elastic/elasticsearch/issues/5948
/cat/RestAllocationAction.java</v>
      </c>
      <c r="C882" s="81" t="str">
        <f>IFERROR(SUBSTITUTE(VLOOKUP(A882,Internal_lists_bugs!$A$2:$G2031,7,FALSE()),"/commit/","/tree/"),"please select a BUG ID")</f>
        <v>https://github.com/elastic/elasticsearch/tree/b35ca1a</v>
      </c>
      <c r="D882" s="38" t="s">
        <v>4964</v>
      </c>
      <c r="E882" s="1" t="s">
        <v>5020</v>
      </c>
      <c r="F882" s="1" t="s">
        <v>4724</v>
      </c>
      <c r="G882" s="5" t="s">
        <v>4992</v>
      </c>
      <c r="H882" s="203" t="s">
        <v>4818</v>
      </c>
      <c r="I882" s="1"/>
      <c r="J882" s="183" t="str">
        <f>IFERROR(VLOOKUP(A882,Internal_lists_bugs!$A$2:$I2031,9,FALSE()),"please select a BUG ID")</f>
        <v>No information available</v>
      </c>
    </row>
    <row r="883">
      <c r="A883" s="1" t="s">
        <v>98</v>
      </c>
      <c r="B883" s="50" t="str">
        <f>IFERROR(HYPERLINK(VLOOKUP(A883,Internal_lists_bugs!$A$2:$C$73,3,FALSE()), VLOOKUP(A883,Internal_lists_bugs!$A$2:$C$73,3,FALSE())&amp;Char(10) &amp; Char(10) &amp; VLOOKUP(A883,Internal_lists_bugs!$A$2:$Z$73,26,FALSE())),"please select a BUG ID")</f>
        <v>https://github.com/elastic/elasticsearch/issues/5948
/cat/RestAllocationAction.java</v>
      </c>
      <c r="C883" s="81" t="str">
        <f>IFERROR(SUBSTITUTE(VLOOKUP(A883,Internal_lists_bugs!$A$2:$G2031,7,FALSE()),"/commit/","/tree/"),"please select a BUG ID")</f>
        <v>https://github.com/elastic/elasticsearch/tree/b35ca1a</v>
      </c>
      <c r="D883" s="38" t="s">
        <v>5001</v>
      </c>
      <c r="E883" s="1" t="s">
        <v>5021</v>
      </c>
      <c r="F883" s="1"/>
      <c r="G883" s="1"/>
      <c r="H883" s="203" t="s">
        <v>4708</v>
      </c>
      <c r="I883" s="1" t="s">
        <v>4972</v>
      </c>
      <c r="J883" s="183" t="str">
        <f>IFERROR(VLOOKUP(A883,Internal_lists_bugs!$A$2:$I2031,9,FALSE()),"please select a BUG ID")</f>
        <v>No information available</v>
      </c>
    </row>
    <row r="884">
      <c r="A884" s="1" t="s">
        <v>98</v>
      </c>
      <c r="B884" s="50" t="str">
        <f>IFERROR(HYPERLINK(VLOOKUP(A884,Internal_lists_bugs!$A$2:$C$73,3,FALSE()), VLOOKUP(A884,Internal_lists_bugs!$A$2:$C$73,3,FALSE())&amp;Char(10) &amp; Char(10) &amp; VLOOKUP(A884,Internal_lists_bugs!$A$2:$Z$73,26,FALSE())),"please select a BUG ID")</f>
        <v>https://github.com/elastic/elasticsearch/issues/5948
/cat/RestAllocationAction.java</v>
      </c>
      <c r="C884" s="81" t="str">
        <f>IFERROR(SUBSTITUTE(VLOOKUP(A884,Internal_lists_bugs!$A$2:$G2031,7,FALSE()),"/commit/","/tree/"),"please select a BUG ID")</f>
        <v>https://github.com/elastic/elasticsearch/tree/b35ca1a</v>
      </c>
      <c r="D884" s="38" t="s">
        <v>4968</v>
      </c>
      <c r="E884" s="1" t="s">
        <v>5022</v>
      </c>
      <c r="F884" s="1"/>
      <c r="G884" s="1"/>
      <c r="H884" s="203" t="s">
        <v>4975</v>
      </c>
      <c r="I884" s="1"/>
      <c r="J884" s="183" t="str">
        <f>IFERROR(VLOOKUP(A884,Internal_lists_bugs!$A$2:$I2031,9,FALSE()),"please select a BUG ID")</f>
        <v>No information available</v>
      </c>
    </row>
    <row r="885">
      <c r="A885" s="1" t="s">
        <v>98</v>
      </c>
      <c r="B885" s="50" t="str">
        <f>IFERROR(HYPERLINK(VLOOKUP(A885,Internal_lists_bugs!$A$2:$C$73,3,FALSE()), VLOOKUP(A885,Internal_lists_bugs!$A$2:$C$73,3,FALSE())&amp;Char(10) &amp; Char(10) &amp; VLOOKUP(A885,Internal_lists_bugs!$A$2:$Z$73,26,FALSE())),"please select a BUG ID")</f>
        <v>https://github.com/elastic/elasticsearch/issues/5948
/cat/RestAllocationAction.java</v>
      </c>
      <c r="C885" s="81" t="str">
        <f>IFERROR(SUBSTITUTE(VLOOKUP(A885,Internal_lists_bugs!$A$2:$G2031,7,FALSE()),"/commit/","/tree/"),"please select a BUG ID")</f>
        <v>https://github.com/elastic/elasticsearch/tree/b35ca1a</v>
      </c>
      <c r="D885" s="38" t="s">
        <v>4973</v>
      </c>
      <c r="E885" s="1" t="s">
        <v>5023</v>
      </c>
      <c r="F885" s="1"/>
      <c r="G885" s="1"/>
      <c r="H885" s="203" t="s">
        <v>5024</v>
      </c>
      <c r="I885" s="1" t="s">
        <v>5025</v>
      </c>
      <c r="J885" s="183" t="str">
        <f>IFERROR(VLOOKUP(A885,Internal_lists_bugs!$A$2:$I2031,9,FALSE()),"please select a BUG ID")</f>
        <v>No information available</v>
      </c>
    </row>
    <row r="886">
      <c r="A886" s="1" t="s">
        <v>98</v>
      </c>
      <c r="B886" s="50" t="str">
        <f>IFERROR(HYPERLINK(VLOOKUP(A886,Internal_lists_bugs!$A$2:$C$73,3,FALSE()), VLOOKUP(A886,Internal_lists_bugs!$A$2:$C$73,3,FALSE())&amp;Char(10) &amp; Char(10) &amp; VLOOKUP(A886,Internal_lists_bugs!$A$2:$Z$73,26,FALSE())),"please select a BUG ID")</f>
        <v>https://github.com/elastic/elasticsearch/issues/5948
/cat/RestAllocationAction.java</v>
      </c>
      <c r="C886" s="81" t="str">
        <f>IFERROR(SUBSTITUTE(VLOOKUP(A886,Internal_lists_bugs!$A$2:$G2031,7,FALSE()),"/commit/","/tree/"),"please select a BUG ID")</f>
        <v>https://github.com/elastic/elasticsearch/tree/b35ca1a</v>
      </c>
      <c r="D886" s="38" t="s">
        <v>4978</v>
      </c>
      <c r="E886" s="1" t="s">
        <v>5026</v>
      </c>
      <c r="F886" s="1"/>
      <c r="G886" s="1"/>
      <c r="H886" s="204" t="s">
        <v>4965</v>
      </c>
      <c r="I886" s="38"/>
      <c r="J886" s="183" t="str">
        <f>IFERROR(VLOOKUP(A886,Internal_lists_bugs!$A$2:$I2031,9,FALSE()),"please select a BUG ID")</f>
        <v>No information available</v>
      </c>
    </row>
    <row r="887">
      <c r="A887" s="1" t="s">
        <v>98</v>
      </c>
      <c r="B887" s="50" t="str">
        <f>IFERROR(HYPERLINK(VLOOKUP(A887,Internal_lists_bugs!$A$2:$C$73,3,FALSE()), VLOOKUP(A887,Internal_lists_bugs!$A$2:$C$73,3,FALSE())&amp;Char(10) &amp; Char(10) &amp; VLOOKUP(A887,Internal_lists_bugs!$A$2:$Z$73,26,FALSE())),"please select a BUG ID")</f>
        <v>https://github.com/elastic/elasticsearch/issues/5948
/cat/RestAllocationAction.java</v>
      </c>
      <c r="C887" s="81" t="str">
        <f>IFERROR(SUBSTITUTE(VLOOKUP(A887,Internal_lists_bugs!$A$2:$G2031,7,FALSE()),"/commit/","/tree/"),"please select a BUG ID")</f>
        <v>https://github.com/elastic/elasticsearch/tree/b35ca1a</v>
      </c>
      <c r="D887" s="38" t="s">
        <v>4983</v>
      </c>
      <c r="E887" s="1" t="s">
        <v>5030</v>
      </c>
      <c r="F887" s="1"/>
      <c r="G887" s="1"/>
      <c r="H887" s="204" t="s">
        <v>5028</v>
      </c>
      <c r="I887" s="38" t="s">
        <v>5029</v>
      </c>
      <c r="J887" s="183" t="str">
        <f>IFERROR(VLOOKUP(A887,Internal_lists_bugs!$A$2:$I2031,9,FALSE()),"please select a BUG ID")</f>
        <v>No information available</v>
      </c>
    </row>
    <row r="888">
      <c r="A888" s="1" t="s">
        <v>98</v>
      </c>
      <c r="B888" s="50" t="str">
        <f>IFERROR(HYPERLINK(VLOOKUP(A888,Internal_lists_bugs!$A$2:$C$73,3,FALSE()), VLOOKUP(A888,Internal_lists_bugs!$A$2:$C$73,3,FALSE())&amp;Char(10) &amp; Char(10) &amp; VLOOKUP(A888,Internal_lists_bugs!$A$2:$Z$73,26,FALSE())),"please select a BUG ID")</f>
        <v>https://github.com/elastic/elasticsearch/issues/5948
/cat/RestAllocationAction.java</v>
      </c>
      <c r="C888" s="81" t="str">
        <f>IFERROR(SUBSTITUTE(VLOOKUP(A888,Internal_lists_bugs!$A$2:$G2031,7,FALSE()),"/commit/","/tree/"),"please select a BUG ID")</f>
        <v>https://github.com/elastic/elasticsearch/tree/b35ca1a</v>
      </c>
      <c r="D888" s="1" t="s">
        <v>4985</v>
      </c>
      <c r="E888" s="1" t="s">
        <v>4996</v>
      </c>
      <c r="F888" s="1"/>
      <c r="G888" s="1"/>
      <c r="H888" s="38" t="s">
        <v>5039</v>
      </c>
      <c r="I888" s="38" t="s">
        <v>5040</v>
      </c>
      <c r="J888" s="183" t="str">
        <f>IFERROR(VLOOKUP(A888,Internal_lists_bugs!$A$2:$I2031,9,FALSE()),"please select a BUG ID")</f>
        <v>No information available</v>
      </c>
    </row>
    <row r="889">
      <c r="A889" s="1" t="s">
        <v>98</v>
      </c>
      <c r="B889" s="50" t="str">
        <f>IFERROR(HYPERLINK(VLOOKUP(A889,Internal_lists_bugs!$A$2:$C$73,3,FALSE()), VLOOKUP(A889,Internal_lists_bugs!$A$2:$C$73,3,FALSE())&amp;Char(10) &amp; Char(10) &amp; VLOOKUP(A889,Internal_lists_bugs!$A$2:$Z$73,26,FALSE())),"please select a BUG ID")</f>
        <v>https://github.com/elastic/elasticsearch/issues/5948
/cat/RestAllocationAction.java</v>
      </c>
      <c r="C889" s="81" t="str">
        <f>IFERROR(SUBSTITUTE(VLOOKUP(A889,Internal_lists_bugs!$A$2:$G2031,7,FALSE()),"/commit/","/tree/"),"please select a BUG ID")</f>
        <v>https://github.com/elastic/elasticsearch/tree/b35ca1a</v>
      </c>
      <c r="D889" s="38" t="s">
        <v>5003</v>
      </c>
      <c r="E889" s="205" t="s">
        <v>5032</v>
      </c>
      <c r="F889" s="1"/>
      <c r="G889" s="1"/>
      <c r="H889" s="38" t="s">
        <v>5035</v>
      </c>
      <c r="I889" s="38" t="s">
        <v>5041</v>
      </c>
      <c r="J889" s="183" t="str">
        <f>IFERROR(VLOOKUP(A889,Internal_lists_bugs!$A$2:$I2031,9,FALSE()),"please select a BUG ID")</f>
        <v>No information available</v>
      </c>
    </row>
    <row r="890">
      <c r="A890" s="1" t="s">
        <v>98</v>
      </c>
      <c r="B890" s="50" t="str">
        <f>IFERROR(HYPERLINK(VLOOKUP(A890,Internal_lists_bugs!$A$2:$C$73,3,FALSE()), VLOOKUP(A890,Internal_lists_bugs!$A$2:$C$73,3,FALSE())&amp;Char(10) &amp; Char(10) &amp; VLOOKUP(A890,Internal_lists_bugs!$A$2:$Z$73,26,FALSE())),"please select a BUG ID")</f>
        <v>https://github.com/elastic/elasticsearch/issues/5948
/cat/RestAllocationAction.java</v>
      </c>
      <c r="C890" s="81" t="str">
        <f>IFERROR(SUBSTITUTE(VLOOKUP(A890,Internal_lists_bugs!$A$2:$G2031,7,FALSE()),"/commit/","/tree/"),"please select a BUG ID")</f>
        <v>https://github.com/elastic/elasticsearch/tree/b35ca1a</v>
      </c>
      <c r="D890" s="38" t="s">
        <v>5033</v>
      </c>
      <c r="E890" s="38" t="s">
        <v>5034</v>
      </c>
      <c r="F890" s="1"/>
      <c r="G890" s="1"/>
      <c r="H890" s="1" t="s">
        <v>5042</v>
      </c>
      <c r="I890" s="1" t="s">
        <v>5043</v>
      </c>
      <c r="J890" s="183" t="str">
        <f>IFERROR(VLOOKUP(A890,Internal_lists_bugs!$A$2:$I2031,9,FALSE()),"please select a BUG ID")</f>
        <v>No information available</v>
      </c>
    </row>
    <row r="891">
      <c r="A891" s="1" t="s">
        <v>98</v>
      </c>
      <c r="B891" s="50" t="str">
        <f>IFERROR(HYPERLINK(VLOOKUP(A891,Internal_lists_bugs!$A$2:$C$73,3,FALSE()), VLOOKUP(A891,Internal_lists_bugs!$A$2:$C$73,3,FALSE())&amp;Char(10) &amp; Char(10) &amp; VLOOKUP(A891,Internal_lists_bugs!$A$2:$Z$73,26,FALSE())),"please select a BUG ID")</f>
        <v>https://github.com/elastic/elasticsearch/issues/5948
/cat/RestAllocationAction.java</v>
      </c>
      <c r="C891" s="81" t="str">
        <f>IFERROR(SUBSTITUTE(VLOOKUP(A891,Internal_lists_bugs!$A$2:$G2031,7,FALSE()),"/commit/","/tree/"),"please select a BUG ID")</f>
        <v>https://github.com/elastic/elasticsearch/tree/b35ca1a</v>
      </c>
      <c r="D891" s="38" t="s">
        <v>5048</v>
      </c>
      <c r="E891" s="205" t="s">
        <v>5055</v>
      </c>
      <c r="F891" s="1"/>
      <c r="G891" s="1"/>
      <c r="H891" s="9" t="s">
        <v>4692</v>
      </c>
      <c r="I891" s="16" t="s">
        <v>5036</v>
      </c>
      <c r="J891" s="183" t="str">
        <f>IFERROR(VLOOKUP(A891,Internal_lists_bugs!$A$2:$I2031,9,FALSE()),"please select a BUG ID")</f>
        <v>No information available</v>
      </c>
    </row>
    <row r="892">
      <c r="A892" s="1" t="s">
        <v>98</v>
      </c>
      <c r="B892" s="50" t="str">
        <f>IFERROR(HYPERLINK(VLOOKUP(A892,Internal_lists_bugs!$A$2:$C$73,3,FALSE()), VLOOKUP(A892,Internal_lists_bugs!$A$2:$C$73,3,FALSE())&amp;Char(10) &amp; Char(10) &amp; VLOOKUP(A892,Internal_lists_bugs!$A$2:$Z$73,26,FALSE())),"please select a BUG ID")</f>
        <v>https://github.com/elastic/elasticsearch/issues/5948
/cat/RestAllocationAction.java</v>
      </c>
      <c r="C892" s="81" t="str">
        <f>IFERROR(SUBSTITUTE(VLOOKUP(A892,Internal_lists_bugs!$A$2:$G2031,7,FALSE()),"/commit/","/tree/"),"please select a BUG ID")</f>
        <v>https://github.com/elastic/elasticsearch/tree/b35ca1a</v>
      </c>
      <c r="D892" s="38" t="s">
        <v>5037</v>
      </c>
      <c r="E892" s="1" t="s">
        <v>5047</v>
      </c>
      <c r="F892" s="1"/>
      <c r="G892" s="1"/>
      <c r="H892" s="9" t="s">
        <v>4696</v>
      </c>
      <c r="I892" s="16" t="s">
        <v>5036</v>
      </c>
      <c r="J892" s="183" t="str">
        <f>IFERROR(VLOOKUP(A892,Internal_lists_bugs!$A$2:$I2031,9,FALSE()),"please select a BUG ID")</f>
        <v>No information available</v>
      </c>
    </row>
    <row r="893">
      <c r="A893" s="1" t="s">
        <v>98</v>
      </c>
      <c r="B893" s="50" t="str">
        <f>IFERROR(HYPERLINK(VLOOKUP(A893,Internal_lists_bugs!$A$2:$C$73,3,FALSE()), VLOOKUP(A893,Internal_lists_bugs!$A$2:$C$73,3,FALSE())&amp;Char(10) &amp; Char(10) &amp; VLOOKUP(A893,Internal_lists_bugs!$A$2:$Z$73,26,FALSE())),"please select a BUG ID")</f>
        <v>https://github.com/elastic/elasticsearch/issues/5948
/cat/RestAllocationAction.java</v>
      </c>
      <c r="C893" s="81" t="str">
        <f>IFERROR(SUBSTITUTE(VLOOKUP(A893,Internal_lists_bugs!$A$2:$G2031,7,FALSE()),"/commit/","/tree/"),"please select a BUG ID")</f>
        <v>https://github.com/elastic/elasticsearch/tree/b35ca1a</v>
      </c>
      <c r="D893" s="1" t="s">
        <v>5051</v>
      </c>
      <c r="E893" s="1"/>
      <c r="F893" s="1"/>
      <c r="G893" s="1"/>
      <c r="H893" s="1"/>
      <c r="I893" s="1"/>
      <c r="J893" s="183" t="str">
        <f>IFERROR(VLOOKUP(A893,Internal_lists_bugs!$A$2:$I2031,9,FALSE()),"please select a BUG ID")</f>
        <v>No information available</v>
      </c>
    </row>
    <row r="894">
      <c r="A894" s="9" t="s">
        <v>89</v>
      </c>
      <c r="B894" s="50" t="str">
        <f>IFERROR(HYPERLINK(VLOOKUP(A894,Internal_lists_bugs!$A$2:$C$73,3,FALSE()), VLOOKUP(A894,Internal_lists_bugs!$A$2:$C$73,3,FALSE())&amp;Char(10) &amp; Char(10) &amp; VLOOKUP(A894,Internal_lists_bugs!$A$2:$Z$73,26,FALSE())),"please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894" s="81" t="str">
        <f>IFERROR(SUBSTITUTE(VLOOKUP(A894,Internal_lists_bugs!$A$2:$G2031,7,FALSE()),"/commit/","/tree/"),"please select a BUG ID")</f>
        <v>https://github.com/elastic/elasticsearch/tree/575250e</v>
      </c>
      <c r="D894" s="38" t="s">
        <v>4964</v>
      </c>
      <c r="E894" s="1" t="s">
        <v>5020</v>
      </c>
      <c r="F894" s="9" t="s">
        <v>4682</v>
      </c>
      <c r="G894" s="5"/>
      <c r="H894" s="203" t="s">
        <v>4818</v>
      </c>
      <c r="I894" s="1"/>
      <c r="J894" s="183" t="str">
        <f>IFERROR(VLOOKUP(A894,Internal_lists_bugs!$A$2:$I2031,9,FALSE()),"please select a BUG ID")</f>
        <v>No information available</v>
      </c>
    </row>
    <row r="895">
      <c r="A895" s="1" t="s">
        <v>89</v>
      </c>
      <c r="B895" s="50" t="str">
        <f>IFERROR(HYPERLINK(VLOOKUP(A895,Internal_lists_bugs!$A$2:$C$73,3,FALSE()), VLOOKUP(A895,Internal_lists_bugs!$A$2:$C$73,3,FALSE())&amp;Char(10) &amp; Char(10) &amp; VLOOKUP(A895,Internal_lists_bugs!$A$2:$Z$73,26,FALSE())),"please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895" s="81" t="str">
        <f>IFERROR(SUBSTITUTE(VLOOKUP(A895,Internal_lists_bugs!$A$2:$G2031,7,FALSE()),"/commit/","/tree/"),"please select a BUG ID")</f>
        <v>https://github.com/elastic/elasticsearch/tree/575250e</v>
      </c>
      <c r="D895" s="38" t="s">
        <v>4968</v>
      </c>
      <c r="E895" s="1" t="s">
        <v>5022</v>
      </c>
      <c r="F895" s="1"/>
      <c r="G895" s="1"/>
      <c r="H895" s="203" t="s">
        <v>4708</v>
      </c>
      <c r="I895" s="1" t="s">
        <v>4972</v>
      </c>
      <c r="J895" s="183" t="str">
        <f>IFERROR(VLOOKUP(A895,Internal_lists_bugs!$A$2:$I2031,9,FALSE()),"please select a BUG ID")</f>
        <v>No information available</v>
      </c>
    </row>
    <row r="896">
      <c r="A896" s="1" t="s">
        <v>89</v>
      </c>
      <c r="B896" s="50" t="str">
        <f>IFERROR(HYPERLINK(VLOOKUP(A896,Internal_lists_bugs!$A$2:$C$73,3,FALSE()), VLOOKUP(A896,Internal_lists_bugs!$A$2:$C$73,3,FALSE())&amp;Char(10) &amp; Char(10) &amp; VLOOKUP(A896,Internal_lists_bugs!$A$2:$Z$73,26,FALSE())),"please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896" s="81" t="str">
        <f>IFERROR(SUBSTITUTE(VLOOKUP(A896,Internal_lists_bugs!$A$2:$G2031,7,FALSE()),"/commit/","/tree/"),"please select a BUG ID")</f>
        <v>https://github.com/elastic/elasticsearch/tree/575250e</v>
      </c>
      <c r="D896" s="38" t="s">
        <v>4973</v>
      </c>
      <c r="E896" s="1" t="s">
        <v>5023</v>
      </c>
      <c r="F896" s="1"/>
      <c r="G896" s="1"/>
      <c r="H896" s="203" t="s">
        <v>4975</v>
      </c>
      <c r="I896" s="1"/>
      <c r="J896" s="183" t="str">
        <f>IFERROR(VLOOKUP(A896,Internal_lists_bugs!$A$2:$I2031,9,FALSE()),"please select a BUG ID")</f>
        <v>No information available</v>
      </c>
    </row>
    <row r="897">
      <c r="A897" s="1" t="s">
        <v>89</v>
      </c>
      <c r="B897" s="50" t="str">
        <f>IFERROR(HYPERLINK(VLOOKUP(A897,Internal_lists_bugs!$A$2:$C$73,3,FALSE()), VLOOKUP(A897,Internal_lists_bugs!$A$2:$C$73,3,FALSE())&amp;Char(10) &amp; Char(10) &amp; VLOOKUP(A897,Internal_lists_bugs!$A$2:$Z$73,26,FALSE())),"please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897" s="81" t="str">
        <f>IFERROR(SUBSTITUTE(VLOOKUP(A897,Internal_lists_bugs!$A$2:$G2031,7,FALSE()),"/commit/","/tree/"),"please select a BUG ID")</f>
        <v>https://github.com/elastic/elasticsearch/tree/575250e</v>
      </c>
      <c r="D897" s="38" t="s">
        <v>4978</v>
      </c>
      <c r="E897" s="1" t="s">
        <v>5026</v>
      </c>
      <c r="F897" s="1"/>
      <c r="G897" s="1"/>
      <c r="H897" s="203" t="s">
        <v>5024</v>
      </c>
      <c r="I897" s="1" t="s">
        <v>5025</v>
      </c>
      <c r="J897" s="183" t="str">
        <f>IFERROR(VLOOKUP(A897,Internal_lists_bugs!$A$2:$I2031,9,FALSE()),"please select a BUG ID")</f>
        <v>No information available</v>
      </c>
    </row>
    <row r="898">
      <c r="A898" s="1" t="s">
        <v>89</v>
      </c>
      <c r="B898" s="50" t="str">
        <f>IFERROR(HYPERLINK(VLOOKUP(A898,Internal_lists_bugs!$A$2:$C$73,3,FALSE()), VLOOKUP(A898,Internal_lists_bugs!$A$2:$C$73,3,FALSE())&amp;Char(10) &amp; Char(10) &amp; VLOOKUP(A898,Internal_lists_bugs!$A$2:$Z$73,26,FALSE())),"please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898" s="81" t="str">
        <f>IFERROR(SUBSTITUTE(VLOOKUP(A898,Internal_lists_bugs!$A$2:$G2031,7,FALSE()),"/commit/","/tree/"),"please select a BUG ID")</f>
        <v>https://github.com/elastic/elasticsearch/tree/575250e</v>
      </c>
      <c r="D898" s="38" t="s">
        <v>4983</v>
      </c>
      <c r="E898" s="1" t="s">
        <v>5030</v>
      </c>
      <c r="F898" s="1"/>
      <c r="G898" s="1"/>
      <c r="H898" s="204" t="s">
        <v>4965</v>
      </c>
      <c r="I898" s="38"/>
      <c r="J898" s="183" t="str">
        <f>IFERROR(VLOOKUP(A898,Internal_lists_bugs!$A$2:$I2031,9,FALSE()),"please select a BUG ID")</f>
        <v>No information available</v>
      </c>
    </row>
    <row r="899">
      <c r="A899" s="1" t="s">
        <v>89</v>
      </c>
      <c r="B899" s="50" t="str">
        <f>IFERROR(HYPERLINK(VLOOKUP(A899,Internal_lists_bugs!$A$2:$C$73,3,FALSE()), VLOOKUP(A899,Internal_lists_bugs!$A$2:$C$73,3,FALSE())&amp;Char(10) &amp; Char(10) &amp; VLOOKUP(A899,Internal_lists_bugs!$A$2:$Z$73,26,FALSE())),"please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899" s="81" t="str">
        <f>IFERROR(SUBSTITUTE(VLOOKUP(A899,Internal_lists_bugs!$A$2:$G2031,7,FALSE()),"/commit/","/tree/"),"please select a BUG ID")</f>
        <v>https://github.com/elastic/elasticsearch/tree/575250e</v>
      </c>
      <c r="D899" s="1" t="s">
        <v>4985</v>
      </c>
      <c r="E899" s="1" t="s">
        <v>4996</v>
      </c>
      <c r="F899" s="1"/>
      <c r="G899" s="1"/>
      <c r="H899" s="204" t="s">
        <v>5028</v>
      </c>
      <c r="I899" s="38" t="s">
        <v>5029</v>
      </c>
      <c r="J899" s="183" t="str">
        <f>IFERROR(VLOOKUP(A899,Internal_lists_bugs!$A$2:$I2031,9,FALSE()),"please select a BUG ID")</f>
        <v>No information available</v>
      </c>
    </row>
    <row r="900">
      <c r="A900" s="1" t="s">
        <v>89</v>
      </c>
      <c r="B900" s="50" t="str">
        <f>IFERROR(HYPERLINK(VLOOKUP(A900,Internal_lists_bugs!$A$2:$C$73,3,FALSE()), VLOOKUP(A900,Internal_lists_bugs!$A$2:$C$73,3,FALSE())&amp;Char(10) &amp; Char(10) &amp; VLOOKUP(A900,Internal_lists_bugs!$A$2:$Z$73,26,FALSE())),"please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900" s="81" t="str">
        <f>IFERROR(SUBSTITUTE(VLOOKUP(A900,Internal_lists_bugs!$A$2:$G2031,7,FALSE()),"/commit/","/tree/"),"please select a BUG ID")</f>
        <v>https://github.com/elastic/elasticsearch/tree/575250e</v>
      </c>
      <c r="D900" s="38" t="s">
        <v>5003</v>
      </c>
      <c r="E900" s="38" t="s">
        <v>5032</v>
      </c>
      <c r="F900" s="1"/>
      <c r="G900" s="1"/>
      <c r="H900" s="38" t="s">
        <v>5039</v>
      </c>
      <c r="I900" s="38" t="s">
        <v>5040</v>
      </c>
      <c r="J900" s="183" t="str">
        <f>IFERROR(VLOOKUP(A900,Internal_lists_bugs!$A$2:$I2031,9,FALSE()),"please select a BUG ID")</f>
        <v>No information available</v>
      </c>
    </row>
    <row r="901">
      <c r="A901" s="1" t="s">
        <v>89</v>
      </c>
      <c r="B901" s="50" t="str">
        <f>IFERROR(HYPERLINK(VLOOKUP(A901,Internal_lists_bugs!$A$2:$C$73,3,FALSE()), VLOOKUP(A901,Internal_lists_bugs!$A$2:$C$73,3,FALSE())&amp;Char(10) &amp; Char(10) &amp; VLOOKUP(A901,Internal_lists_bugs!$A$2:$Z$73,26,FALSE())),"please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901" s="81" t="str">
        <f>IFERROR(SUBSTITUTE(VLOOKUP(A901,Internal_lists_bugs!$A$2:$G2031,7,FALSE()),"/commit/","/tree/"),"please select a BUG ID")</f>
        <v>https://github.com/elastic/elasticsearch/tree/575250e</v>
      </c>
      <c r="D901" s="38" t="s">
        <v>5033</v>
      </c>
      <c r="E901" s="205" t="s">
        <v>5034</v>
      </c>
      <c r="F901" s="1"/>
      <c r="G901" s="1"/>
      <c r="H901" s="38" t="s">
        <v>5035</v>
      </c>
      <c r="I901" s="38" t="s">
        <v>5041</v>
      </c>
      <c r="J901" s="183" t="str">
        <f>IFERROR(VLOOKUP(A901,Internal_lists_bugs!$A$2:$I2031,9,FALSE()),"please select a BUG ID")</f>
        <v>No information available</v>
      </c>
    </row>
    <row r="902">
      <c r="A902" s="1" t="s">
        <v>89</v>
      </c>
      <c r="B902" s="50" t="str">
        <f>IFERROR(HYPERLINK(VLOOKUP(A902,Internal_lists_bugs!$A$2:$C$73,3,FALSE()), VLOOKUP(A902,Internal_lists_bugs!$A$2:$C$73,3,FALSE())&amp;Char(10) &amp; Char(10) &amp; VLOOKUP(A902,Internal_lists_bugs!$A$2:$Z$73,26,FALSE())),"please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902" s="81" t="str">
        <f>IFERROR(SUBSTITUTE(VLOOKUP(A902,Internal_lists_bugs!$A$2:$G2031,7,FALSE()),"/commit/","/tree/"),"please select a BUG ID")</f>
        <v>https://github.com/elastic/elasticsearch/tree/575250e</v>
      </c>
      <c r="D902" s="9" t="s">
        <v>5044</v>
      </c>
      <c r="E902" s="205" t="s">
        <v>5056</v>
      </c>
      <c r="F902" s="1"/>
      <c r="G902" s="1"/>
      <c r="H902" s="1" t="s">
        <v>5042</v>
      </c>
      <c r="I902" s="1" t="s">
        <v>5043</v>
      </c>
      <c r="J902" s="183" t="str">
        <f>IFERROR(VLOOKUP(A902,Internal_lists_bugs!$A$2:$I2031,9,FALSE()),"please select a BUG ID")</f>
        <v>No information available</v>
      </c>
    </row>
    <row r="903">
      <c r="A903" s="1" t="s">
        <v>89</v>
      </c>
      <c r="B903" s="50" t="str">
        <f>IFERROR(HYPERLINK(VLOOKUP(A903,Internal_lists_bugs!$A$2:$C$73,3,FALSE()), VLOOKUP(A903,Internal_lists_bugs!$A$2:$C$73,3,FALSE())&amp;Char(10) &amp; Char(10) &amp; VLOOKUP(A903,Internal_lists_bugs!$A$2:$Z$73,26,FALSE())),"please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903" s="81" t="str">
        <f>IFERROR(SUBSTITUTE(VLOOKUP(A903,Internal_lists_bugs!$A$2:$G2031,7,FALSE()),"/commit/","/tree/"),"please select a BUG ID")</f>
        <v>https://github.com/elastic/elasticsearch/tree/575250e</v>
      </c>
      <c r="D903" s="38" t="s">
        <v>5037</v>
      </c>
      <c r="E903" s="206" t="s">
        <v>5047</v>
      </c>
      <c r="F903" s="1"/>
      <c r="G903" s="1"/>
      <c r="H903" s="1" t="s">
        <v>4684</v>
      </c>
      <c r="I903" s="1" t="s">
        <v>5046</v>
      </c>
      <c r="J903" s="183" t="str">
        <f>IFERROR(VLOOKUP(A903,Internal_lists_bugs!$A$2:$I2031,9,FALSE()),"please select a BUG ID")</f>
        <v>No information available</v>
      </c>
    </row>
    <row r="904">
      <c r="A904" s="1" t="s">
        <v>89</v>
      </c>
      <c r="B904" s="50" t="str">
        <f>IFERROR(HYPERLINK(VLOOKUP(A904,Internal_lists_bugs!$A$2:$C$73,3,FALSE()), VLOOKUP(A904,Internal_lists_bugs!$A$2:$C$73,3,FALSE())&amp;Char(10) &amp; Char(10) &amp; VLOOKUP(A904,Internal_lists_bugs!$A$2:$Z$73,26,FALSE())),"please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904" s="81" t="str">
        <f>IFERROR(SUBSTITUTE(VLOOKUP(A904,Internal_lists_bugs!$A$2:$G2031,7,FALSE()),"/commit/","/tree/"),"please select a BUG ID")</f>
        <v>https://github.com/elastic/elasticsearch/tree/575250e</v>
      </c>
      <c r="D904" s="1" t="s">
        <v>1325</v>
      </c>
      <c r="E904" s="1" t="s">
        <v>5050</v>
      </c>
      <c r="F904" s="1"/>
      <c r="G904" s="1"/>
      <c r="J904" s="183" t="str">
        <f>IFERROR(VLOOKUP(A904,Internal_lists_bugs!$A$2:$I2031,9,FALSE()),"please select a BUG ID")</f>
        <v>No information available</v>
      </c>
    </row>
    <row r="905">
      <c r="A905" s="1" t="s">
        <v>89</v>
      </c>
      <c r="B905" s="50" t="str">
        <f>IFERROR(HYPERLINK(VLOOKUP(A905,Internal_lists_bugs!$A$2:$C$73,3,FALSE()), VLOOKUP(A905,Internal_lists_bugs!$A$2:$C$73,3,FALSE())&amp;Char(10) &amp; Char(10) &amp; VLOOKUP(A905,Internal_lists_bugs!$A$2:$Z$73,26,FALSE())),"please select a BUG ID")</f>
        <v>https://github.com/elastic/elasticsearch/issues/7623
/type/TransportSearchDfsQueryAndFetchAction.java
/type/TransportSearchDfsQueryThenFetchAction.java
/type/TransportSearchQueryAndFetchAction.java
/type/TransportSearchQueryThenFetchAction.java
/threadpool/ThreadPool.java</v>
      </c>
      <c r="C905" s="81" t="str">
        <f>IFERROR(SUBSTITUTE(VLOOKUP(A905,Internal_lists_bugs!$A$2:$G2031,7,FALSE()),"/commit/","/tree/"),"please select a BUG ID")</f>
        <v>https://github.com/elastic/elasticsearch/tree/575250e</v>
      </c>
      <c r="D905" s="1" t="s">
        <v>5051</v>
      </c>
      <c r="E905" s="1"/>
      <c r="F905" s="1"/>
      <c r="G905" s="1"/>
      <c r="J905" s="183" t="str">
        <f>IFERROR(VLOOKUP(A905,Internal_lists_bugs!$A$2:$I2031,9,FALSE()),"please select a BUG ID")</f>
        <v>No information available</v>
      </c>
    </row>
    <row r="906">
      <c r="A906" s="1" t="s">
        <v>73</v>
      </c>
      <c r="B906" s="50" t="str">
        <f>IFERROR(HYPERLINK(VLOOKUP(A906,Internal_lists_bugs!$A$2:$C$73,3,FALSE()), VLOOKUP(A906,Internal_lists_bugs!$A$2:$C$73,3,FALSE())&amp;Char(10) &amp; Char(10) &amp; VLOOKUP(A906,Internal_lists_bugs!$A$2:$Z$73,26,FALSE())),"please select a BUG ID")</f>
        <v>https://github.com/elastic/elasticsearch/issues/7686
/query/IdsQueryParser.java</v>
      </c>
      <c r="C906" s="81" t="str">
        <f>IFERROR(SUBSTITUTE(VLOOKUP(A906,Internal_lists_bugs!$A$2:$G2031,7,FALSE()),"/commit/","/tree/"),"please select a BUG ID")</f>
        <v>https://github.com/elastic/elasticsearch/tree/c3f3c26</v>
      </c>
      <c r="D906" s="16" t="s">
        <v>4962</v>
      </c>
      <c r="E906" s="16" t="s">
        <v>4967</v>
      </c>
      <c r="F906" s="16" t="s">
        <v>4724</v>
      </c>
      <c r="G906" s="63" t="s">
        <v>4992</v>
      </c>
      <c r="H906" s="112" t="s">
        <v>4818</v>
      </c>
      <c r="I906" s="1"/>
      <c r="J906" s="183" t="str">
        <f>IFERROR(VLOOKUP(A906,Internal_lists_bugs!$A$2:$I2031,9,FALSE()),"please select a BUG ID")</f>
        <v>No information available</v>
      </c>
    </row>
    <row r="907">
      <c r="A907" s="1" t="s">
        <v>73</v>
      </c>
      <c r="B907" s="50" t="str">
        <f>IFERROR(HYPERLINK(VLOOKUP(A907,Internal_lists_bugs!$A$2:$C$73,3,FALSE()), VLOOKUP(A907,Internal_lists_bugs!$A$2:$C$73,3,FALSE())&amp;Char(10) &amp; Char(10) &amp; VLOOKUP(A907,Internal_lists_bugs!$A$2:$Z$73,26,FALSE())),"please select a BUG ID")</f>
        <v>https://github.com/elastic/elasticsearch/issues/7686
/query/IdsQueryParser.java</v>
      </c>
      <c r="C907" s="81" t="str">
        <f>IFERROR(SUBSTITUTE(VLOOKUP(A907,Internal_lists_bugs!$A$2:$G2031,7,FALSE()),"/commit/","/tree/"),"please select a BUG ID")</f>
        <v>https://github.com/elastic/elasticsearch/tree/c3f3c26</v>
      </c>
      <c r="D907" s="16" t="s">
        <v>4966</v>
      </c>
      <c r="E907" s="16" t="s">
        <v>4967</v>
      </c>
      <c r="F907" s="54"/>
      <c r="H907" s="112" t="s">
        <v>4965</v>
      </c>
      <c r="I907" s="1" t="s">
        <v>4972</v>
      </c>
      <c r="J907" s="183" t="str">
        <f>IFERROR(VLOOKUP(A907,Internal_lists_bugs!$A$2:$I2031,9,FALSE()),"please select a BUG ID")</f>
        <v>No information available</v>
      </c>
    </row>
    <row r="908">
      <c r="A908" s="1" t="s">
        <v>73</v>
      </c>
      <c r="B908" s="50" t="str">
        <f>IFERROR(HYPERLINK(VLOOKUP(A908,Internal_lists_bugs!$A$2:$C$73,3,FALSE()), VLOOKUP(A908,Internal_lists_bugs!$A$2:$C$73,3,FALSE())&amp;Char(10) &amp; Char(10) &amp; VLOOKUP(A908,Internal_lists_bugs!$A$2:$Z$73,26,FALSE())),"please select a BUG ID")</f>
        <v>https://github.com/elastic/elasticsearch/issues/7686
/query/IdsQueryParser.java</v>
      </c>
      <c r="C908" s="81" t="str">
        <f>IFERROR(SUBSTITUTE(VLOOKUP(A908,Internal_lists_bugs!$A$2:$G2031,7,FALSE()),"/commit/","/tree/"),"please select a BUG ID")</f>
        <v>https://github.com/elastic/elasticsearch/tree/c3f3c26</v>
      </c>
      <c r="D908" s="16" t="s">
        <v>4970</v>
      </c>
      <c r="E908" s="16" t="s">
        <v>4969</v>
      </c>
      <c r="F908" s="54"/>
      <c r="H908" s="112" t="s">
        <v>4708</v>
      </c>
      <c r="I908" s="1"/>
      <c r="J908" s="183" t="str">
        <f>IFERROR(VLOOKUP(A908,Internal_lists_bugs!$A$2:$I2031,9,FALSE()),"please select a BUG ID")</f>
        <v>No information available</v>
      </c>
    </row>
    <row r="909">
      <c r="A909" s="1" t="s">
        <v>73</v>
      </c>
      <c r="B909" s="50" t="str">
        <f>IFERROR(HYPERLINK(VLOOKUP(A909,Internal_lists_bugs!$A$2:$C$73,3,FALSE()), VLOOKUP(A909,Internal_lists_bugs!$A$2:$C$73,3,FALSE())&amp;Char(10) &amp; Char(10) &amp; VLOOKUP(A909,Internal_lists_bugs!$A$2:$Z$73,26,FALSE())),"please select a BUG ID")</f>
        <v>https://github.com/elastic/elasticsearch/issues/7686
/query/IdsQueryParser.java</v>
      </c>
      <c r="C909" s="81" t="str">
        <f>IFERROR(SUBSTITUTE(VLOOKUP(A909,Internal_lists_bugs!$A$2:$G2031,7,FALSE()),"/commit/","/tree/"),"please select a BUG ID")</f>
        <v>https://github.com/elastic/elasticsearch/tree/c3f3c26</v>
      </c>
      <c r="D909" s="16" t="s">
        <v>4973</v>
      </c>
      <c r="E909" s="16" t="s">
        <v>5005</v>
      </c>
      <c r="F909" s="54"/>
      <c r="H909" s="112" t="s">
        <v>4971</v>
      </c>
      <c r="I909" s="1" t="s">
        <v>5025</v>
      </c>
      <c r="J909" s="183" t="str">
        <f>IFERROR(VLOOKUP(A909,Internal_lists_bugs!$A$2:$I2031,9,FALSE()),"please select a BUG ID")</f>
        <v>No information available</v>
      </c>
    </row>
    <row r="910">
      <c r="A910" s="1" t="s">
        <v>73</v>
      </c>
      <c r="B910" s="50" t="str">
        <f>IFERROR(HYPERLINK(VLOOKUP(A910,Internal_lists_bugs!$A$2:$C$73,3,FALSE()), VLOOKUP(A910,Internal_lists_bugs!$A$2:$C$73,3,FALSE())&amp;Char(10) &amp; Char(10) &amp; VLOOKUP(A910,Internal_lists_bugs!$A$2:$Z$73,26,FALSE())),"please select a BUG ID")</f>
        <v>https://github.com/elastic/elasticsearch/issues/7686
/query/IdsQueryParser.java</v>
      </c>
      <c r="C910" s="81" t="str">
        <f>IFERROR(SUBSTITUTE(VLOOKUP(A910,Internal_lists_bugs!$A$2:$G2031,7,FALSE()),"/commit/","/tree/"),"please select a BUG ID")</f>
        <v>https://github.com/elastic/elasticsearch/tree/c3f3c26</v>
      </c>
      <c r="D910" s="16" t="s">
        <v>4976</v>
      </c>
      <c r="E910" s="16" t="s">
        <v>4977</v>
      </c>
      <c r="F910" s="54"/>
      <c r="H910" s="112" t="s">
        <v>4975</v>
      </c>
      <c r="I910" s="1"/>
      <c r="J910" s="183" t="str">
        <f>IFERROR(VLOOKUP(A910,Internal_lists_bugs!$A$2:$I2031,9,FALSE()),"please select a BUG ID")</f>
        <v>No information available</v>
      </c>
    </row>
    <row r="911">
      <c r="A911" s="1" t="s">
        <v>73</v>
      </c>
      <c r="B911" s="50" t="str">
        <f>IFERROR(HYPERLINK(VLOOKUP(A911,Internal_lists_bugs!$A$2:$C$73,3,FALSE()), VLOOKUP(A911,Internal_lists_bugs!$A$2:$C$73,3,FALSE())&amp;Char(10) &amp; Char(10) &amp; VLOOKUP(A911,Internal_lists_bugs!$A$2:$Z$73,26,FALSE())),"please select a BUG ID")</f>
        <v>https://github.com/elastic/elasticsearch/issues/7686
/query/IdsQueryParser.java</v>
      </c>
      <c r="C911" s="81" t="str">
        <f>IFERROR(SUBSTITUTE(VLOOKUP(A911,Internal_lists_bugs!$A$2:$G2031,7,FALSE()),"/commit/","/tree/"),"please select a BUG ID")</f>
        <v>https://github.com/elastic/elasticsearch/tree/c3f3c26</v>
      </c>
      <c r="D911" s="16" t="s">
        <v>4982</v>
      </c>
      <c r="E911" s="16" t="s">
        <v>4979</v>
      </c>
      <c r="F911" s="54"/>
      <c r="H911" s="112" t="s">
        <v>4993</v>
      </c>
      <c r="I911" s="1" t="s">
        <v>5029</v>
      </c>
      <c r="J911" s="183" t="str">
        <f>IFERROR(VLOOKUP(A911,Internal_lists_bugs!$A$2:$I2031,9,FALSE()),"please select a BUG ID")</f>
        <v>No information available</v>
      </c>
    </row>
    <row r="912">
      <c r="A912" s="1" t="s">
        <v>73</v>
      </c>
      <c r="B912" s="50" t="str">
        <f>IFERROR(HYPERLINK(VLOOKUP(A912,Internal_lists_bugs!$A$2:$C$73,3,FALSE()), VLOOKUP(A912,Internal_lists_bugs!$A$2:$C$73,3,FALSE())&amp;Char(10) &amp; Char(10) &amp; VLOOKUP(A912,Internal_lists_bugs!$A$2:$Z$73,26,FALSE())),"please select a BUG ID")</f>
        <v>https://github.com/elastic/elasticsearch/issues/7686
/query/IdsQueryParser.java</v>
      </c>
      <c r="C912" s="81" t="str">
        <f>IFERROR(SUBSTITUTE(VLOOKUP(A912,Internal_lists_bugs!$A$2:$G2031,7,FALSE()),"/commit/","/tree/"),"please select a BUG ID")</f>
        <v>https://github.com/elastic/elasticsearch/tree/c3f3c26</v>
      </c>
      <c r="D912" s="16" t="s">
        <v>4983</v>
      </c>
      <c r="E912" s="16" t="s">
        <v>4984</v>
      </c>
      <c r="F912" s="54"/>
      <c r="H912" s="112" t="s">
        <v>4684</v>
      </c>
      <c r="I912" s="1"/>
      <c r="J912" s="183" t="str">
        <f>IFERROR(VLOOKUP(A912,Internal_lists_bugs!$A$2:$I2031,9,FALSE()),"please select a BUG ID")</f>
        <v>No information available</v>
      </c>
    </row>
    <row r="913">
      <c r="A913" s="1" t="s">
        <v>73</v>
      </c>
      <c r="B913" s="50" t="str">
        <f>IFERROR(HYPERLINK(VLOOKUP(A913,Internal_lists_bugs!$A$2:$C$73,3,FALSE()), VLOOKUP(A913,Internal_lists_bugs!$A$2:$C$73,3,FALSE())&amp;Char(10) &amp; Char(10) &amp; VLOOKUP(A913,Internal_lists_bugs!$A$2:$Z$73,26,FALSE())),"please select a BUG ID")</f>
        <v>https://github.com/elastic/elasticsearch/issues/7686
/query/IdsQueryParser.java</v>
      </c>
      <c r="C913" s="81" t="str">
        <f>IFERROR(SUBSTITUTE(VLOOKUP(A913,Internal_lists_bugs!$A$2:$G2031,7,FALSE()),"/commit/","/tree/"),"please select a BUG ID")</f>
        <v>https://github.com/elastic/elasticsearch/tree/c3f3c26</v>
      </c>
      <c r="D913" s="16" t="s">
        <v>4985</v>
      </c>
      <c r="E913" s="16" t="s">
        <v>4996</v>
      </c>
      <c r="F913" s="54"/>
      <c r="H913" s="112" t="s">
        <v>4994</v>
      </c>
      <c r="I913" s="1"/>
      <c r="J913" s="183" t="str">
        <f>IFERROR(VLOOKUP(A913,Internal_lists_bugs!$A$2:$I2031,9,FALSE()),"please select a BUG ID")</f>
        <v>No information available</v>
      </c>
    </row>
    <row r="914">
      <c r="A914" s="1" t="s">
        <v>73</v>
      </c>
      <c r="B914" s="50" t="str">
        <f>IFERROR(HYPERLINK(VLOOKUP(A914,Internal_lists_bugs!$A$2:$C$73,3,FALSE()), VLOOKUP(A914,Internal_lists_bugs!$A$2:$C$73,3,FALSE())&amp;Char(10) &amp; Char(10) &amp; VLOOKUP(A914,Internal_lists_bugs!$A$2:$Z$73,26,FALSE())),"please select a BUG ID")</f>
        <v>https://github.com/elastic/elasticsearch/issues/7686
/query/IdsQueryParser.java</v>
      </c>
      <c r="C914" s="81" t="str">
        <f>IFERROR(SUBSTITUTE(VLOOKUP(A914,Internal_lists_bugs!$A$2:$G2031,7,FALSE()),"/commit/","/tree/"),"please select a BUG ID")</f>
        <v>https://github.com/elastic/elasticsearch/tree/c3f3c26</v>
      </c>
      <c r="D914" s="16" t="s">
        <v>5003</v>
      </c>
      <c r="E914" s="16" t="s">
        <v>5012</v>
      </c>
      <c r="F914" s="54"/>
      <c r="H914" s="112" t="s">
        <v>4980</v>
      </c>
      <c r="I914" s="1"/>
      <c r="J914" s="183" t="str">
        <f>IFERROR(VLOOKUP(A914,Internal_lists_bugs!$A$2:$I2031,9,FALSE()),"please select a BUG ID")</f>
        <v>No information available</v>
      </c>
    </row>
    <row r="915">
      <c r="A915" s="1" t="s">
        <v>73</v>
      </c>
      <c r="B915" s="50" t="str">
        <f>IFERROR(HYPERLINK(VLOOKUP(A915,Internal_lists_bugs!$A$2:$C$73,3,FALSE()), VLOOKUP(A915,Internal_lists_bugs!$A$2:$C$73,3,FALSE())&amp;Char(10) &amp; Char(10) &amp; VLOOKUP(A915,Internal_lists_bugs!$A$2:$Z$73,26,FALSE())),"please select a BUG ID")</f>
        <v>https://github.com/elastic/elasticsearch/issues/7686
/query/IdsQueryParser.java</v>
      </c>
      <c r="C915" s="81" t="str">
        <f>IFERROR(SUBSTITUTE(VLOOKUP(A915,Internal_lists_bugs!$A$2:$G2031,7,FALSE()),"/commit/","/tree/"),"please select a BUG ID")</f>
        <v>https://github.com/elastic/elasticsearch/tree/c3f3c26</v>
      </c>
      <c r="D915" s="16" t="s">
        <v>4989</v>
      </c>
      <c r="E915" s="16" t="s">
        <v>5014</v>
      </c>
      <c r="F915" s="54"/>
      <c r="H915" s="112"/>
      <c r="I915" s="1"/>
      <c r="J915" s="183" t="str">
        <f>IFERROR(VLOOKUP(A915,Internal_lists_bugs!$A$2:$I2031,9,FALSE()),"please select a BUG ID")</f>
        <v>No information available</v>
      </c>
    </row>
    <row r="916">
      <c r="A916" s="1" t="s">
        <v>73</v>
      </c>
      <c r="B916" s="50" t="str">
        <f>IFERROR(HYPERLINK(VLOOKUP(A916,Internal_lists_bugs!$A$2:$C$73,3,FALSE()), VLOOKUP(A916,Internal_lists_bugs!$A$2:$C$73,3,FALSE())&amp;Char(10) &amp; Char(10) &amp; VLOOKUP(A916,Internal_lists_bugs!$A$2:$Z$73,26,FALSE())),"please select a BUG ID")</f>
        <v>https://github.com/elastic/elasticsearch/issues/7686
/query/IdsQueryParser.java</v>
      </c>
      <c r="C916" s="81" t="str">
        <f>IFERROR(SUBSTITUTE(VLOOKUP(A916,Internal_lists_bugs!$A$2:$G2031,7,FALSE()),"/commit/","/tree/"),"please select a BUG ID")</f>
        <v>https://github.com/elastic/elasticsearch/tree/c3f3c26</v>
      </c>
      <c r="D916" s="16" t="s">
        <v>4968</v>
      </c>
      <c r="E916" s="16" t="s">
        <v>5017</v>
      </c>
      <c r="F916" s="54"/>
      <c r="H916" s="114"/>
      <c r="J916" s="183" t="str">
        <f>IFERROR(VLOOKUP(A916,Internal_lists_bugs!$A$2:$I2031,9,FALSE()),"please select a BUG ID")</f>
        <v>No information available</v>
      </c>
    </row>
    <row r="917">
      <c r="A917" s="1" t="s">
        <v>73</v>
      </c>
      <c r="B917" s="50" t="str">
        <f>IFERROR(HYPERLINK(VLOOKUP(A917,Internal_lists_bugs!$A$2:$C$73,3,FALSE()), VLOOKUP(A917,Internal_lists_bugs!$A$2:$C$73,3,FALSE())&amp;Char(10) &amp; Char(10) &amp; VLOOKUP(A917,Internal_lists_bugs!$A$2:$Z$73,26,FALSE())),"please select a BUG ID")</f>
        <v>https://github.com/elastic/elasticsearch/issues/7686
/query/IdsQueryParser.java</v>
      </c>
      <c r="C917" s="81" t="str">
        <f>IFERROR(SUBSTITUTE(VLOOKUP(A917,Internal_lists_bugs!$A$2:$G2031,7,FALSE()),"/commit/","/tree/"),"please select a BUG ID")</f>
        <v>https://github.com/elastic/elasticsearch/tree/c3f3c26</v>
      </c>
      <c r="D917" s="16" t="s">
        <v>5001</v>
      </c>
      <c r="E917" s="16" t="s">
        <v>5017</v>
      </c>
      <c r="F917" s="54"/>
      <c r="H917" s="114"/>
      <c r="J917" s="183" t="str">
        <f>IFERROR(VLOOKUP(A917,Internal_lists_bugs!$A$2:$I2031,9,FALSE()),"please select a BUG ID")</f>
        <v>No information available</v>
      </c>
    </row>
    <row r="918">
      <c r="A918" s="1" t="s">
        <v>73</v>
      </c>
      <c r="B918" s="50" t="str">
        <f>IFERROR(HYPERLINK(VLOOKUP(A918,Internal_lists_bugs!$A$2:$C$73,3,FALSE()), VLOOKUP(A918,Internal_lists_bugs!$A$2:$C$73,3,FALSE())&amp;Char(10) &amp; Char(10) &amp; VLOOKUP(A918,Internal_lists_bugs!$A$2:$Z$73,26,FALSE())),"please select a BUG ID")</f>
        <v>https://github.com/elastic/elasticsearch/issues/7686
/query/IdsQueryParser.java</v>
      </c>
      <c r="C918" s="81" t="str">
        <f>IFERROR(SUBSTITUTE(VLOOKUP(A918,Internal_lists_bugs!$A$2:$G2031,7,FALSE()),"/commit/","/tree/"),"please select a BUG ID")</f>
        <v>https://github.com/elastic/elasticsearch/tree/c3f3c26</v>
      </c>
      <c r="D918" s="16" t="s">
        <v>5000</v>
      </c>
      <c r="E918" s="16" t="s">
        <v>5017</v>
      </c>
      <c r="F918" s="54"/>
      <c r="H918" s="114"/>
      <c r="J918" s="183" t="str">
        <f>IFERROR(VLOOKUP(A918,Internal_lists_bugs!$A$2:$I2031,9,FALSE()),"please select a BUG ID")</f>
        <v>No information available</v>
      </c>
    </row>
    <row r="919">
      <c r="A919" s="1" t="s">
        <v>73</v>
      </c>
      <c r="B919" s="50" t="str">
        <f>IFERROR(HYPERLINK(VLOOKUP(A919,Internal_lists_bugs!$A$2:$C$73,3,FALSE()), VLOOKUP(A919,Internal_lists_bugs!$A$2:$C$73,3,FALSE())&amp;Char(10) &amp; Char(10) &amp; VLOOKUP(A919,Internal_lists_bugs!$A$2:$Z$73,26,FALSE())),"please select a BUG ID")</f>
        <v>https://github.com/elastic/elasticsearch/issues/7686
/query/IdsQueryParser.java</v>
      </c>
      <c r="C919" s="81" t="str">
        <f>IFERROR(SUBSTITUTE(VLOOKUP(A919,Internal_lists_bugs!$A$2:$G2031,7,FALSE()),"/commit/","/tree/"),"please select a BUG ID")</f>
        <v>https://github.com/elastic/elasticsearch/tree/c3f3c26</v>
      </c>
      <c r="D919" s="16" t="s">
        <v>4998</v>
      </c>
      <c r="E919" s="16" t="s">
        <v>4977</v>
      </c>
      <c r="F919" s="54"/>
      <c r="H919" s="114"/>
      <c r="J919" s="183" t="str">
        <f>IFERROR(VLOOKUP(A919,Internal_lists_bugs!$A$2:$I2031,9,FALSE()),"please select a BUG ID")</f>
        <v>No information available</v>
      </c>
    </row>
    <row r="920">
      <c r="A920" s="1" t="s">
        <v>73</v>
      </c>
      <c r="B920" s="50" t="str">
        <f>IFERROR(HYPERLINK(VLOOKUP(A920,Internal_lists_bugs!$A$2:$C$73,3,FALSE()), VLOOKUP(A920,Internal_lists_bugs!$A$2:$C$73,3,FALSE())&amp;Char(10) &amp; Char(10) &amp; VLOOKUP(A920,Internal_lists_bugs!$A$2:$Z$73,26,FALSE())),"please select a BUG ID")</f>
        <v>https://github.com/elastic/elasticsearch/issues/7686
/query/IdsQueryParser.java</v>
      </c>
      <c r="C920" s="81" t="str">
        <f>IFERROR(SUBSTITUTE(VLOOKUP(A920,Internal_lists_bugs!$A$2:$G2031,7,FALSE()),"/commit/","/tree/"),"please select a BUG ID")</f>
        <v>https://github.com/elastic/elasticsearch/tree/c3f3c26</v>
      </c>
      <c r="D920" s="16" t="s">
        <v>4990</v>
      </c>
      <c r="E920" s="16" t="s">
        <v>4997</v>
      </c>
      <c r="F920" s="54"/>
      <c r="H920" s="114"/>
      <c r="J920" s="183" t="str">
        <f>IFERROR(VLOOKUP(A920,Internal_lists_bugs!$A$2:$I2031,9,FALSE()),"please select a BUG ID")</f>
        <v>No information available</v>
      </c>
    </row>
    <row r="921">
      <c r="A921" s="1" t="s">
        <v>73</v>
      </c>
      <c r="B921" s="50" t="str">
        <f>IFERROR(HYPERLINK(VLOOKUP(A921,Internal_lists_bugs!$A$2:$C$73,3,FALSE()), VLOOKUP(A921,Internal_lists_bugs!$A$2:$C$73,3,FALSE())&amp;Char(10) &amp; Char(10) &amp; VLOOKUP(A921,Internal_lists_bugs!$A$2:$Z$73,26,FALSE())),"please select a BUG ID")</f>
        <v>https://github.com/elastic/elasticsearch/issues/7686
/query/IdsQueryParser.java</v>
      </c>
      <c r="C921" s="81" t="str">
        <f>IFERROR(SUBSTITUTE(VLOOKUP(A921,Internal_lists_bugs!$A$2:$G2031,7,FALSE()),"/commit/","/tree/"),"please select a BUG ID")</f>
        <v>https://github.com/elastic/elasticsearch/tree/c3f3c26</v>
      </c>
      <c r="D921" s="16" t="s">
        <v>4987</v>
      </c>
      <c r="E921" s="16" t="s">
        <v>4997</v>
      </c>
      <c r="F921" s="54"/>
      <c r="H921" s="114"/>
      <c r="J921" s="183" t="str">
        <f>IFERROR(VLOOKUP(A921,Internal_lists_bugs!$A$2:$I2031,9,FALSE()),"please select a BUG ID")</f>
        <v>No information available</v>
      </c>
    </row>
    <row r="922">
      <c r="A922" s="1" t="s">
        <v>73</v>
      </c>
      <c r="B922" s="50" t="str">
        <f>IFERROR(HYPERLINK(VLOOKUP(A922,Internal_lists_bugs!$A$2:$C$73,3,FALSE()), VLOOKUP(A922,Internal_lists_bugs!$A$2:$C$73,3,FALSE())&amp;Char(10) &amp; Char(10) &amp; VLOOKUP(A922,Internal_lists_bugs!$A$2:$Z$73,26,FALSE())),"please select a BUG ID")</f>
        <v>https://github.com/elastic/elasticsearch/issues/7686
/query/IdsQueryParser.java</v>
      </c>
      <c r="C922" s="81" t="str">
        <f>IFERROR(SUBSTITUTE(VLOOKUP(A922,Internal_lists_bugs!$A$2:$G2031,7,FALSE()),"/commit/","/tree/"),"please select a BUG ID")</f>
        <v>https://github.com/elastic/elasticsearch/tree/c3f3c26</v>
      </c>
      <c r="D922" s="16" t="s">
        <v>5008</v>
      </c>
      <c r="E922" s="16" t="s">
        <v>5017</v>
      </c>
      <c r="F922" s="54"/>
      <c r="H922" s="114"/>
      <c r="J922" s="183" t="str">
        <f>IFERROR(VLOOKUP(A922,Internal_lists_bugs!$A$2:$I2031,9,FALSE()),"please select a BUG ID")</f>
        <v>No information available</v>
      </c>
    </row>
    <row r="923">
      <c r="A923" s="1" t="s">
        <v>73</v>
      </c>
      <c r="B923" s="50" t="str">
        <f>IFERROR(HYPERLINK(VLOOKUP(A923,Internal_lists_bugs!$A$2:$C$73,3,FALSE()), VLOOKUP(A923,Internal_lists_bugs!$A$2:$C$73,3,FALSE())&amp;Char(10) &amp; Char(10) &amp; VLOOKUP(A923,Internal_lists_bugs!$A$2:$Z$73,26,FALSE())),"please select a BUG ID")</f>
        <v>https://github.com/elastic/elasticsearch/issues/7686
/query/IdsQueryParser.java</v>
      </c>
      <c r="C923" s="81" t="str">
        <f>IFERROR(SUBSTITUTE(VLOOKUP(A923,Internal_lists_bugs!$A$2:$G2031,7,FALSE()),"/commit/","/tree/"),"please select a BUG ID")</f>
        <v>https://github.com/elastic/elasticsearch/tree/c3f3c26</v>
      </c>
      <c r="D923" s="16" t="s">
        <v>4978</v>
      </c>
      <c r="F923" s="54"/>
      <c r="H923" s="114"/>
      <c r="J923" s="183" t="str">
        <f>IFERROR(VLOOKUP(A923,Internal_lists_bugs!$A$2:$I2031,9,FALSE()),"please select a BUG ID")</f>
        <v>No information available</v>
      </c>
    </row>
    <row r="924">
      <c r="A924" s="1" t="s">
        <v>90</v>
      </c>
      <c r="B924" s="50" t="str">
        <f>IFERROR(HYPERLINK(VLOOKUP(A924,Internal_lists_bugs!$A$2:$C$73,3,FALSE()), VLOOKUP(A924,Internal_lists_bugs!$A$2:$C$73,3,FALSE())&amp;Char(10) &amp; Char(10) &amp; VLOOKUP(A924,Internal_lists_bugs!$A$2:$Z$73,26,FALSE())),"please select a BUG ID")</f>
        <v>https://github.com/elastic/elasticsearch/issues/8125
/bulk/TransportBulkAction.java</v>
      </c>
      <c r="C924" s="81" t="str">
        <f>IFERROR(SUBSTITUTE(VLOOKUP(A924,Internal_lists_bugs!$A$2:$G2031,7,FALSE()),"/commit/","/tree/"),"please select a BUG ID")</f>
        <v>https://github.com/elastic/elasticsearch/tree/61c21f9</v>
      </c>
      <c r="D924" s="38" t="s">
        <v>4964</v>
      </c>
      <c r="E924" s="1" t="s">
        <v>5020</v>
      </c>
      <c r="F924" s="9" t="s">
        <v>4682</v>
      </c>
      <c r="G924" s="5"/>
      <c r="H924" s="203" t="s">
        <v>4818</v>
      </c>
      <c r="J924" s="196" t="str">
        <f>IFERROR(VLOOKUP(A924,Internal_lists_bugs!$A$2:$I2031,9,FALSE()),"please select a BUG ID")</f>
        <v>https://github.com/elastic/elasticsearch/pull/9005</v>
      </c>
    </row>
    <row r="925">
      <c r="A925" s="1" t="s">
        <v>90</v>
      </c>
      <c r="B925" s="50" t="str">
        <f>IFERROR(HYPERLINK(VLOOKUP(A925,Internal_lists_bugs!$A$2:$C$73,3,FALSE()), VLOOKUP(A925,Internal_lists_bugs!$A$2:$C$73,3,FALSE())&amp;Char(10) &amp; Char(10) &amp; VLOOKUP(A925,Internal_lists_bugs!$A$2:$Z$73,26,FALSE())),"please select a BUG ID")</f>
        <v>https://github.com/elastic/elasticsearch/issues/8125
/bulk/TransportBulkAction.java</v>
      </c>
      <c r="C925" s="81" t="str">
        <f>IFERROR(SUBSTITUTE(VLOOKUP(A925,Internal_lists_bugs!$A$2:$G2031,7,FALSE()),"/commit/","/tree/"),"please select a BUG ID")</f>
        <v>https://github.com/elastic/elasticsearch/tree/61c21f9</v>
      </c>
      <c r="D925" s="9" t="s">
        <v>5000</v>
      </c>
      <c r="E925" s="9" t="s">
        <v>5057</v>
      </c>
      <c r="F925" s="1"/>
      <c r="G925" s="1"/>
      <c r="H925" s="203" t="s">
        <v>4708</v>
      </c>
      <c r="J925" s="196" t="str">
        <f>IFERROR(VLOOKUP(A925,Internal_lists_bugs!$A$2:$I2031,9,FALSE()),"please select a BUG ID")</f>
        <v>https://github.com/elastic/elasticsearch/pull/9005</v>
      </c>
    </row>
    <row r="926">
      <c r="A926" s="1" t="s">
        <v>90</v>
      </c>
      <c r="B926" s="50" t="str">
        <f>IFERROR(HYPERLINK(VLOOKUP(A926,Internal_lists_bugs!$A$2:$C$73,3,FALSE()), VLOOKUP(A926,Internal_lists_bugs!$A$2:$C$73,3,FALSE())&amp;Char(10) &amp; Char(10) &amp; VLOOKUP(A926,Internal_lists_bugs!$A$2:$Z$73,26,FALSE())),"please select a BUG ID")</f>
        <v>https://github.com/elastic/elasticsearch/issues/8125
/bulk/TransportBulkAction.java</v>
      </c>
      <c r="C926" s="81" t="str">
        <f>IFERROR(SUBSTITUTE(VLOOKUP(A926,Internal_lists_bugs!$A$2:$G2031,7,FALSE()),"/commit/","/tree/"),"please select a BUG ID")</f>
        <v>https://github.com/elastic/elasticsearch/tree/61c21f9</v>
      </c>
      <c r="D926" s="38" t="s">
        <v>4973</v>
      </c>
      <c r="E926" s="1" t="s">
        <v>5023</v>
      </c>
      <c r="F926" s="1"/>
      <c r="G926" s="1"/>
      <c r="H926" s="203" t="s">
        <v>4975</v>
      </c>
      <c r="J926" s="196" t="str">
        <f>IFERROR(VLOOKUP(A926,Internal_lists_bugs!$A$2:$I2031,9,FALSE()),"please select a BUG ID")</f>
        <v>https://github.com/elastic/elasticsearch/pull/9005</v>
      </c>
    </row>
    <row r="927">
      <c r="A927" s="1" t="s">
        <v>90</v>
      </c>
      <c r="B927" s="50" t="str">
        <f>IFERROR(HYPERLINK(VLOOKUP(A927,Internal_lists_bugs!$A$2:$C$73,3,FALSE()), VLOOKUP(A927,Internal_lists_bugs!$A$2:$C$73,3,FALSE())&amp;Char(10) &amp; Char(10) &amp; VLOOKUP(A927,Internal_lists_bugs!$A$2:$Z$73,26,FALSE())),"please select a BUG ID")</f>
        <v>https://github.com/elastic/elasticsearch/issues/8125
/bulk/TransportBulkAction.java</v>
      </c>
      <c r="C927" s="81" t="str">
        <f>IFERROR(SUBSTITUTE(VLOOKUP(A927,Internal_lists_bugs!$A$2:$G2031,7,FALSE()),"/commit/","/tree/"),"please select a BUG ID")</f>
        <v>https://github.com/elastic/elasticsearch/tree/61c21f9</v>
      </c>
      <c r="D927" s="38" t="s">
        <v>4978</v>
      </c>
      <c r="E927" s="1" t="s">
        <v>5026</v>
      </c>
      <c r="F927" s="1"/>
      <c r="G927" s="1"/>
      <c r="H927" s="203" t="s">
        <v>5024</v>
      </c>
      <c r="J927" s="196" t="str">
        <f>IFERROR(VLOOKUP(A927,Internal_lists_bugs!$A$2:$I2031,9,FALSE()),"please select a BUG ID")</f>
        <v>https://github.com/elastic/elasticsearch/pull/9005</v>
      </c>
    </row>
    <row r="928">
      <c r="A928" s="1" t="s">
        <v>90</v>
      </c>
      <c r="B928" s="50" t="str">
        <f>IFERROR(HYPERLINK(VLOOKUP(A928,Internal_lists_bugs!$A$2:$C$73,3,FALSE()), VLOOKUP(A928,Internal_lists_bugs!$A$2:$C$73,3,FALSE())&amp;Char(10) &amp; Char(10) &amp; VLOOKUP(A928,Internal_lists_bugs!$A$2:$Z$73,26,FALSE())),"please select a BUG ID")</f>
        <v>https://github.com/elastic/elasticsearch/issues/8125
/bulk/TransportBulkAction.java</v>
      </c>
      <c r="C928" s="81" t="str">
        <f>IFERROR(SUBSTITUTE(VLOOKUP(A928,Internal_lists_bugs!$A$2:$G2031,7,FALSE()),"/commit/","/tree/"),"please select a BUG ID")</f>
        <v>https://github.com/elastic/elasticsearch/tree/61c21f9</v>
      </c>
      <c r="D928" s="38" t="s">
        <v>4983</v>
      </c>
      <c r="E928" s="1" t="s">
        <v>5030</v>
      </c>
      <c r="F928" s="1"/>
      <c r="G928" s="1"/>
      <c r="H928" s="204" t="s">
        <v>4965</v>
      </c>
      <c r="J928" s="196" t="str">
        <f>IFERROR(VLOOKUP(A928,Internal_lists_bugs!$A$2:$I2031,9,FALSE()),"please select a BUG ID")</f>
        <v>https://github.com/elastic/elasticsearch/pull/9005</v>
      </c>
    </row>
    <row r="929">
      <c r="A929" s="1" t="s">
        <v>90</v>
      </c>
      <c r="B929" s="50" t="str">
        <f>IFERROR(HYPERLINK(VLOOKUP(A929,Internal_lists_bugs!$A$2:$C$73,3,FALSE()), VLOOKUP(A929,Internal_lists_bugs!$A$2:$C$73,3,FALSE())&amp;Char(10) &amp; Char(10) &amp; VLOOKUP(A929,Internal_lists_bugs!$A$2:$Z$73,26,FALSE())),"please select a BUG ID")</f>
        <v>https://github.com/elastic/elasticsearch/issues/8125
/bulk/TransportBulkAction.java</v>
      </c>
      <c r="C929" s="81" t="str">
        <f>IFERROR(SUBSTITUTE(VLOOKUP(A929,Internal_lists_bugs!$A$2:$G2031,7,FALSE()),"/commit/","/tree/"),"please select a BUG ID")</f>
        <v>https://github.com/elastic/elasticsearch/tree/61c21f9</v>
      </c>
      <c r="D929" s="1" t="s">
        <v>4985</v>
      </c>
      <c r="E929" s="1" t="s">
        <v>4996</v>
      </c>
      <c r="F929" s="1"/>
      <c r="G929" s="1"/>
      <c r="H929" s="204" t="s">
        <v>5028</v>
      </c>
      <c r="J929" s="196" t="str">
        <f>IFERROR(VLOOKUP(A929,Internal_lists_bugs!$A$2:$I2031,9,FALSE()),"please select a BUG ID")</f>
        <v>https://github.com/elastic/elasticsearch/pull/9005</v>
      </c>
    </row>
    <row r="930">
      <c r="A930" s="1" t="s">
        <v>90</v>
      </c>
      <c r="B930" s="50" t="str">
        <f>IFERROR(HYPERLINK(VLOOKUP(A930,Internal_lists_bugs!$A$2:$C$73,3,FALSE()), VLOOKUP(A930,Internal_lists_bugs!$A$2:$C$73,3,FALSE())&amp;Char(10) &amp; Char(10) &amp; VLOOKUP(A930,Internal_lists_bugs!$A$2:$Z$73,26,FALSE())),"please select a BUG ID")</f>
        <v>https://github.com/elastic/elasticsearch/issues/8125
/bulk/TransportBulkAction.java</v>
      </c>
      <c r="C930" s="81" t="str">
        <f>IFERROR(SUBSTITUTE(VLOOKUP(A930,Internal_lists_bugs!$A$2:$G2031,7,FALSE()),"/commit/","/tree/"),"please select a BUG ID")</f>
        <v>https://github.com/elastic/elasticsearch/tree/61c21f9</v>
      </c>
      <c r="D930" s="38" t="s">
        <v>5003</v>
      </c>
      <c r="E930" s="38" t="s">
        <v>5032</v>
      </c>
      <c r="F930" s="1"/>
      <c r="G930" s="1"/>
      <c r="H930" s="38" t="s">
        <v>5039</v>
      </c>
      <c r="J930" s="196" t="str">
        <f>IFERROR(VLOOKUP(A930,Internal_lists_bugs!$A$2:$I2031,9,FALSE()),"please select a BUG ID")</f>
        <v>https://github.com/elastic/elasticsearch/pull/9005</v>
      </c>
    </row>
    <row r="931">
      <c r="A931" s="1" t="s">
        <v>90</v>
      </c>
      <c r="B931" s="50" t="str">
        <f>IFERROR(HYPERLINK(VLOOKUP(A931,Internal_lists_bugs!$A$2:$C$73,3,FALSE()), VLOOKUP(A931,Internal_lists_bugs!$A$2:$C$73,3,FALSE())&amp;Char(10) &amp; Char(10) &amp; VLOOKUP(A931,Internal_lists_bugs!$A$2:$Z$73,26,FALSE())),"please select a BUG ID")</f>
        <v>https://github.com/elastic/elasticsearch/issues/8125
/bulk/TransportBulkAction.java</v>
      </c>
      <c r="C931" s="81" t="str">
        <f>IFERROR(SUBSTITUTE(VLOOKUP(A931,Internal_lists_bugs!$A$2:$G2031,7,FALSE()),"/commit/","/tree/"),"please select a BUG ID")</f>
        <v>https://github.com/elastic/elasticsearch/tree/61c21f9</v>
      </c>
      <c r="D931" s="38" t="s">
        <v>5033</v>
      </c>
      <c r="E931" s="205" t="s">
        <v>5034</v>
      </c>
      <c r="F931" s="1"/>
      <c r="G931" s="1"/>
      <c r="H931" s="38" t="s">
        <v>5035</v>
      </c>
      <c r="J931" s="196" t="str">
        <f>IFERROR(VLOOKUP(A931,Internal_lists_bugs!$A$2:$I2031,9,FALSE()),"please select a BUG ID")</f>
        <v>https://github.com/elastic/elasticsearch/pull/9005</v>
      </c>
    </row>
    <row r="932">
      <c r="A932" s="1" t="s">
        <v>90</v>
      </c>
      <c r="B932" s="50" t="str">
        <f>IFERROR(HYPERLINK(VLOOKUP(A932,Internal_lists_bugs!$A$2:$C$73,3,FALSE()), VLOOKUP(A932,Internal_lists_bugs!$A$2:$C$73,3,FALSE())&amp;Char(10) &amp; Char(10) &amp; VLOOKUP(A932,Internal_lists_bugs!$A$2:$Z$73,26,FALSE())),"please select a BUG ID")</f>
        <v>https://github.com/elastic/elasticsearch/issues/8125
/bulk/TransportBulkAction.java</v>
      </c>
      <c r="C932" s="81" t="str">
        <f>IFERROR(SUBSTITUTE(VLOOKUP(A932,Internal_lists_bugs!$A$2:$G2031,7,FALSE()),"/commit/","/tree/"),"please select a BUG ID")</f>
        <v>https://github.com/elastic/elasticsearch/tree/61c21f9</v>
      </c>
      <c r="D932" s="9" t="s">
        <v>5044</v>
      </c>
      <c r="E932" s="205" t="s">
        <v>5058</v>
      </c>
      <c r="F932" s="1"/>
      <c r="G932" s="1"/>
      <c r="H932" s="1" t="s">
        <v>5042</v>
      </c>
      <c r="J932" s="196" t="str">
        <f>IFERROR(VLOOKUP(A932,Internal_lists_bugs!$A$2:$I2031,9,FALSE()),"please select a BUG ID")</f>
        <v>https://github.com/elastic/elasticsearch/pull/9005</v>
      </c>
    </row>
    <row r="933">
      <c r="A933" s="1" t="s">
        <v>90</v>
      </c>
      <c r="B933" s="50" t="str">
        <f>IFERROR(HYPERLINK(VLOOKUP(A933,Internal_lists_bugs!$A$2:$C$73,3,FALSE()), VLOOKUP(A933,Internal_lists_bugs!$A$2:$C$73,3,FALSE())&amp;Char(10) &amp; Char(10) &amp; VLOOKUP(A933,Internal_lists_bugs!$A$2:$Z$73,26,FALSE())),"please select a BUG ID")</f>
        <v>https://github.com/elastic/elasticsearch/issues/8125
/bulk/TransportBulkAction.java</v>
      </c>
      <c r="C933" s="81" t="str">
        <f>IFERROR(SUBSTITUTE(VLOOKUP(A933,Internal_lists_bugs!$A$2:$G2031,7,FALSE()),"/commit/","/tree/"),"please select a BUG ID")</f>
        <v>https://github.com/elastic/elasticsearch/tree/61c21f9</v>
      </c>
      <c r="D933" s="38" t="s">
        <v>5037</v>
      </c>
      <c r="E933" s="206" t="s">
        <v>5047</v>
      </c>
      <c r="F933" s="1"/>
      <c r="G933" s="1"/>
      <c r="H933" s="1" t="s">
        <v>4684</v>
      </c>
      <c r="J933" s="196" t="str">
        <f>IFERROR(VLOOKUP(A933,Internal_lists_bugs!$A$2:$I2031,9,FALSE()),"please select a BUG ID")</f>
        <v>https://github.com/elastic/elasticsearch/pull/9005</v>
      </c>
    </row>
    <row r="934">
      <c r="A934" s="1" t="s">
        <v>90</v>
      </c>
      <c r="B934" s="50" t="str">
        <f>IFERROR(HYPERLINK(VLOOKUP(A934,Internal_lists_bugs!$A$2:$C$73,3,FALSE()), VLOOKUP(A934,Internal_lists_bugs!$A$2:$C$73,3,FALSE())&amp;Char(10) &amp; Char(10) &amp; VLOOKUP(A934,Internal_lists_bugs!$A$2:$Z$73,26,FALSE())),"please select a BUG ID")</f>
        <v>https://github.com/elastic/elasticsearch/issues/8125
/bulk/TransportBulkAction.java</v>
      </c>
      <c r="C934" s="81" t="str">
        <f>IFERROR(SUBSTITUTE(VLOOKUP(A934,Internal_lists_bugs!$A$2:$G2031,7,FALSE()),"/commit/","/tree/"),"please select a BUG ID")</f>
        <v>https://github.com/elastic/elasticsearch/tree/61c21f9</v>
      </c>
      <c r="D934" s="1" t="s">
        <v>1325</v>
      </c>
      <c r="E934" s="1" t="s">
        <v>5050</v>
      </c>
      <c r="F934" s="1"/>
      <c r="G934" s="1"/>
      <c r="H934" s="9" t="s">
        <v>4692</v>
      </c>
      <c r="I934" s="16" t="s">
        <v>5036</v>
      </c>
      <c r="J934" s="196" t="str">
        <f>IFERROR(VLOOKUP(A934,Internal_lists_bugs!$A$2:$I2031,9,FALSE()),"please select a BUG ID")</f>
        <v>https://github.com/elastic/elasticsearch/pull/9005</v>
      </c>
    </row>
    <row r="935">
      <c r="A935" s="1" t="s">
        <v>90</v>
      </c>
      <c r="B935" s="50" t="str">
        <f>IFERROR(HYPERLINK(VLOOKUP(A935,Internal_lists_bugs!$A$2:$C$73,3,FALSE()), VLOOKUP(A935,Internal_lists_bugs!$A$2:$C$73,3,FALSE())&amp;Char(10) &amp; Char(10) &amp; VLOOKUP(A935,Internal_lists_bugs!$A$2:$Z$73,26,FALSE())),"please select a BUG ID")</f>
        <v>https://github.com/elastic/elasticsearch/issues/8125
/bulk/TransportBulkAction.java</v>
      </c>
      <c r="C935" s="81" t="str">
        <f>IFERROR(SUBSTITUTE(VLOOKUP(A935,Internal_lists_bugs!$A$2:$G2031,7,FALSE()),"/commit/","/tree/"),"please select a BUG ID")</f>
        <v>https://github.com/elastic/elasticsearch/tree/61c21f9</v>
      </c>
      <c r="D935" s="1" t="s">
        <v>5051</v>
      </c>
      <c r="E935" s="1"/>
      <c r="F935" s="1"/>
      <c r="G935" s="1"/>
      <c r="H935" s="9" t="s">
        <v>4696</v>
      </c>
      <c r="I935" s="16" t="s">
        <v>5036</v>
      </c>
      <c r="J935" s="196" t="str">
        <f>IFERROR(VLOOKUP(A935,Internal_lists_bugs!$A$2:$I2031,9,FALSE()),"please select a BUG ID")</f>
        <v>https://github.com/elastic/elasticsearch/pull/9005</v>
      </c>
    </row>
    <row r="936">
      <c r="A936" s="1" t="s">
        <v>90</v>
      </c>
      <c r="B936" s="50" t="str">
        <f>IFERROR(HYPERLINK(VLOOKUP(A936,Internal_lists_bugs!$A$2:$C$73,3,FALSE()), VLOOKUP(A936,Internal_lists_bugs!$A$2:$C$73,3,FALSE())&amp;Char(10) &amp; Char(10) &amp; VLOOKUP(A936,Internal_lists_bugs!$A$2:$Z$73,26,FALSE())),"please select a BUG ID")</f>
        <v>https://github.com/elastic/elasticsearch/issues/8125
/bulk/TransportBulkAction.java</v>
      </c>
      <c r="C936" s="81" t="str">
        <f>IFERROR(SUBSTITUTE(VLOOKUP(A936,Internal_lists_bugs!$A$2:$G2031,7,FALSE()),"/commit/","/tree/"),"please select a BUG ID")</f>
        <v>https://github.com/elastic/elasticsearch/tree/61c21f9</v>
      </c>
      <c r="D936" s="16" t="s">
        <v>4968</v>
      </c>
      <c r="E936" s="16" t="s">
        <v>5059</v>
      </c>
      <c r="F936" s="54"/>
      <c r="H936" s="114"/>
      <c r="J936" s="196" t="str">
        <f>IFERROR(VLOOKUP(A936,Internal_lists_bugs!$A$2:$I2031,9,FALSE()),"please select a BUG ID")</f>
        <v>https://github.com/elastic/elasticsearch/pull/9005</v>
      </c>
    </row>
    <row r="937">
      <c r="A937" s="1" t="s">
        <v>75</v>
      </c>
      <c r="B937" s="50" t="str">
        <f>IFERROR(HYPERLINK(VLOOKUP(A937,Internal_lists_bugs!$A$2:$C$73,3,FALSE()), VLOOKUP(A937,Internal_lists_bugs!$A$2:$C$73,3,FALSE())&amp;Char(10) &amp; Char(10) &amp; VLOOKUP(A937,Internal_lists_bugs!$A$2:$Z$73,26,FALSE())),"please select a BUG ID")</f>
        <v>https://github.com/elastic/elasticsearch/issues/8438
/filter/FilterParser.java
/filters/FiltersParser.java</v>
      </c>
      <c r="C937" s="81" t="str">
        <f>IFERROR(SUBSTITUTE(VLOOKUP(A937,Internal_lists_bugs!$A$2:$G2031,7,FALSE()),"/commit/","/tree/"),"please select a BUG ID")</f>
        <v>https://github.com/elastic/elasticsearch/tree/3c9c9f33</v>
      </c>
      <c r="D937" s="38" t="s">
        <v>4964</v>
      </c>
      <c r="E937" s="1" t="s">
        <v>5020</v>
      </c>
      <c r="F937" s="9" t="s">
        <v>4682</v>
      </c>
      <c r="G937" s="5"/>
      <c r="H937" s="203" t="s">
        <v>4818</v>
      </c>
      <c r="J937" s="196" t="str">
        <f>IFERROR(VLOOKUP(A937,Internal_lists_bugs!$A$2:$I2031,9,FALSE()),"please select a BUG ID")</f>
        <v>https://github.com/elastic/elasticsearch/pull/6974</v>
      </c>
    </row>
    <row r="938">
      <c r="A938" s="1" t="s">
        <v>75</v>
      </c>
      <c r="B938" s="50" t="str">
        <f>IFERROR(HYPERLINK(VLOOKUP(A938,Internal_lists_bugs!$A$2:$C$73,3,FALSE()), VLOOKUP(A938,Internal_lists_bugs!$A$2:$C$73,3,FALSE())&amp;Char(10) &amp; Char(10) &amp; VLOOKUP(A938,Internal_lists_bugs!$A$2:$Z$73,26,FALSE())),"please select a BUG ID")</f>
        <v>https://github.com/elastic/elasticsearch/issues/8438
/filter/FilterParser.java
/filters/FiltersParser.java</v>
      </c>
      <c r="C938" s="81" t="str">
        <f>IFERROR(SUBSTITUTE(VLOOKUP(A938,Internal_lists_bugs!$A$2:$G2031,7,FALSE()),"/commit/","/tree/"),"please select a BUG ID")</f>
        <v>https://github.com/elastic/elasticsearch/tree/3c9c9f33</v>
      </c>
      <c r="D938" s="9" t="s">
        <v>5000</v>
      </c>
      <c r="E938" s="9" t="s">
        <v>5057</v>
      </c>
      <c r="F938" s="1"/>
      <c r="G938" s="1"/>
      <c r="H938" s="203" t="s">
        <v>4708</v>
      </c>
      <c r="J938" s="196" t="str">
        <f>IFERROR(VLOOKUP(A938,Internal_lists_bugs!$A$2:$I2031,9,FALSE()),"please select a BUG ID")</f>
        <v>https://github.com/elastic/elasticsearch/pull/6974</v>
      </c>
    </row>
    <row r="939">
      <c r="A939" s="1" t="s">
        <v>75</v>
      </c>
      <c r="B939" s="50" t="str">
        <f>IFERROR(HYPERLINK(VLOOKUP(A939,Internal_lists_bugs!$A$2:$C$73,3,FALSE()), VLOOKUP(A939,Internal_lists_bugs!$A$2:$C$73,3,FALSE())&amp;Char(10) &amp; Char(10) &amp; VLOOKUP(A939,Internal_lists_bugs!$A$2:$Z$73,26,FALSE())),"please select a BUG ID")</f>
        <v>https://github.com/elastic/elasticsearch/issues/8438
/filter/FilterParser.java
/filters/FiltersParser.java</v>
      </c>
      <c r="C939" s="81" t="str">
        <f>IFERROR(SUBSTITUTE(VLOOKUP(A939,Internal_lists_bugs!$A$2:$G2031,7,FALSE()),"/commit/","/tree/"),"please select a BUG ID")</f>
        <v>https://github.com/elastic/elasticsearch/tree/3c9c9f33</v>
      </c>
      <c r="D939" s="38" t="s">
        <v>4973</v>
      </c>
      <c r="E939" s="1" t="s">
        <v>5023</v>
      </c>
      <c r="F939" s="1"/>
      <c r="G939" s="1"/>
      <c r="H939" s="203" t="s">
        <v>4975</v>
      </c>
      <c r="J939" s="196" t="str">
        <f>IFERROR(VLOOKUP(A939,Internal_lists_bugs!$A$2:$I2031,9,FALSE()),"please select a BUG ID")</f>
        <v>https://github.com/elastic/elasticsearch/pull/6974</v>
      </c>
    </row>
    <row r="940">
      <c r="A940" s="1" t="s">
        <v>75</v>
      </c>
      <c r="B940" s="50" t="str">
        <f>IFERROR(HYPERLINK(VLOOKUP(A940,Internal_lists_bugs!$A$2:$C$73,3,FALSE()), VLOOKUP(A940,Internal_lists_bugs!$A$2:$C$73,3,FALSE())&amp;Char(10) &amp; Char(10) &amp; VLOOKUP(A940,Internal_lists_bugs!$A$2:$Z$73,26,FALSE())),"please select a BUG ID")</f>
        <v>https://github.com/elastic/elasticsearch/issues/8438
/filter/FilterParser.java
/filters/FiltersParser.java</v>
      </c>
      <c r="C940" s="81" t="str">
        <f>IFERROR(SUBSTITUTE(VLOOKUP(A940,Internal_lists_bugs!$A$2:$G2031,7,FALSE()),"/commit/","/tree/"),"please select a BUG ID")</f>
        <v>https://github.com/elastic/elasticsearch/tree/3c9c9f33</v>
      </c>
      <c r="D940" s="38" t="s">
        <v>4978</v>
      </c>
      <c r="E940" s="1" t="s">
        <v>5026</v>
      </c>
      <c r="F940" s="1"/>
      <c r="G940" s="1"/>
      <c r="H940" s="203" t="s">
        <v>5024</v>
      </c>
      <c r="J940" s="196" t="str">
        <f>IFERROR(VLOOKUP(A940,Internal_lists_bugs!$A$2:$I2031,9,FALSE()),"please select a BUG ID")</f>
        <v>https://github.com/elastic/elasticsearch/pull/6974</v>
      </c>
    </row>
    <row r="941">
      <c r="A941" s="1" t="s">
        <v>75</v>
      </c>
      <c r="B941" s="50" t="str">
        <f>IFERROR(HYPERLINK(VLOOKUP(A941,Internal_lists_bugs!$A$2:$C$73,3,FALSE()), VLOOKUP(A941,Internal_lists_bugs!$A$2:$C$73,3,FALSE())&amp;Char(10) &amp; Char(10) &amp; VLOOKUP(A941,Internal_lists_bugs!$A$2:$Z$73,26,FALSE())),"please select a BUG ID")</f>
        <v>https://github.com/elastic/elasticsearch/issues/8438
/filter/FilterParser.java
/filters/FiltersParser.java</v>
      </c>
      <c r="C941" s="81" t="str">
        <f>IFERROR(SUBSTITUTE(VLOOKUP(A941,Internal_lists_bugs!$A$2:$G2031,7,FALSE()),"/commit/","/tree/"),"please select a BUG ID")</f>
        <v>https://github.com/elastic/elasticsearch/tree/3c9c9f33</v>
      </c>
      <c r="D941" s="38" t="s">
        <v>4983</v>
      </c>
      <c r="E941" s="1" t="s">
        <v>5030</v>
      </c>
      <c r="F941" s="1"/>
      <c r="G941" s="1"/>
      <c r="H941" s="204" t="s">
        <v>4965</v>
      </c>
      <c r="J941" s="196" t="str">
        <f>IFERROR(VLOOKUP(A941,Internal_lists_bugs!$A$2:$I2031,9,FALSE()),"please select a BUG ID")</f>
        <v>https://github.com/elastic/elasticsearch/pull/6974</v>
      </c>
    </row>
    <row r="942">
      <c r="A942" s="1" t="s">
        <v>75</v>
      </c>
      <c r="B942" s="50" t="str">
        <f>IFERROR(HYPERLINK(VLOOKUP(A942,Internal_lists_bugs!$A$2:$C$73,3,FALSE()), VLOOKUP(A942,Internal_lists_bugs!$A$2:$C$73,3,FALSE())&amp;Char(10) &amp; Char(10) &amp; VLOOKUP(A942,Internal_lists_bugs!$A$2:$Z$73,26,FALSE())),"please select a BUG ID")</f>
        <v>https://github.com/elastic/elasticsearch/issues/8438
/filter/FilterParser.java
/filters/FiltersParser.java</v>
      </c>
      <c r="C942" s="81" t="str">
        <f>IFERROR(SUBSTITUTE(VLOOKUP(A942,Internal_lists_bugs!$A$2:$G2031,7,FALSE()),"/commit/","/tree/"),"please select a BUG ID")</f>
        <v>https://github.com/elastic/elasticsearch/tree/3c9c9f33</v>
      </c>
      <c r="D942" s="1" t="s">
        <v>4985</v>
      </c>
      <c r="E942" s="1" t="s">
        <v>4996</v>
      </c>
      <c r="F942" s="1"/>
      <c r="G942" s="1"/>
      <c r="H942" s="204" t="s">
        <v>5028</v>
      </c>
      <c r="J942" s="196" t="str">
        <f>IFERROR(VLOOKUP(A942,Internal_lists_bugs!$A$2:$I2031,9,FALSE()),"please select a BUG ID")</f>
        <v>https://github.com/elastic/elasticsearch/pull/6974</v>
      </c>
    </row>
    <row r="943">
      <c r="A943" s="1" t="s">
        <v>75</v>
      </c>
      <c r="B943" s="50" t="str">
        <f>IFERROR(HYPERLINK(VLOOKUP(A943,Internal_lists_bugs!$A$2:$C$73,3,FALSE()), VLOOKUP(A943,Internal_lists_bugs!$A$2:$C$73,3,FALSE())&amp;Char(10) &amp; Char(10) &amp; VLOOKUP(A943,Internal_lists_bugs!$A$2:$Z$73,26,FALSE())),"please select a BUG ID")</f>
        <v>https://github.com/elastic/elasticsearch/issues/8438
/filter/FilterParser.java
/filters/FiltersParser.java</v>
      </c>
      <c r="C943" s="81" t="str">
        <f>IFERROR(SUBSTITUTE(VLOOKUP(A943,Internal_lists_bugs!$A$2:$G2031,7,FALSE()),"/commit/","/tree/"),"please select a BUG ID")</f>
        <v>https://github.com/elastic/elasticsearch/tree/3c9c9f33</v>
      </c>
      <c r="D943" s="38" t="s">
        <v>5003</v>
      </c>
      <c r="E943" s="38" t="s">
        <v>5032</v>
      </c>
      <c r="F943" s="1"/>
      <c r="G943" s="1"/>
      <c r="H943" s="38" t="s">
        <v>5039</v>
      </c>
      <c r="J943" s="196" t="str">
        <f>IFERROR(VLOOKUP(A943,Internal_lists_bugs!$A$2:$I2031,9,FALSE()),"please select a BUG ID")</f>
        <v>https://github.com/elastic/elasticsearch/pull/6974</v>
      </c>
    </row>
    <row r="944">
      <c r="A944" s="1" t="s">
        <v>75</v>
      </c>
      <c r="B944" s="50" t="str">
        <f>IFERROR(HYPERLINK(VLOOKUP(A944,Internal_lists_bugs!$A$2:$C$73,3,FALSE()), VLOOKUP(A944,Internal_lists_bugs!$A$2:$C$73,3,FALSE())&amp;Char(10) &amp; Char(10) &amp; VLOOKUP(A944,Internal_lists_bugs!$A$2:$Z$73,26,FALSE())),"please select a BUG ID")</f>
        <v>https://github.com/elastic/elasticsearch/issues/8438
/filter/FilterParser.java
/filters/FiltersParser.java</v>
      </c>
      <c r="C944" s="81" t="str">
        <f>IFERROR(SUBSTITUTE(VLOOKUP(A944,Internal_lists_bugs!$A$2:$G2031,7,FALSE()),"/commit/","/tree/"),"please select a BUG ID")</f>
        <v>https://github.com/elastic/elasticsearch/tree/3c9c9f33</v>
      </c>
      <c r="D944" s="38" t="s">
        <v>5033</v>
      </c>
      <c r="E944" s="205" t="s">
        <v>5034</v>
      </c>
      <c r="F944" s="1"/>
      <c r="G944" s="1"/>
      <c r="H944" s="38" t="s">
        <v>5035</v>
      </c>
      <c r="J944" s="196" t="str">
        <f>IFERROR(VLOOKUP(A944,Internal_lists_bugs!$A$2:$I2031,9,FALSE()),"please select a BUG ID")</f>
        <v>https://github.com/elastic/elasticsearch/pull/6974</v>
      </c>
    </row>
    <row r="945">
      <c r="A945" s="1" t="s">
        <v>75</v>
      </c>
      <c r="B945" s="50" t="str">
        <f>IFERROR(HYPERLINK(VLOOKUP(A945,Internal_lists_bugs!$A$2:$C$73,3,FALSE()), VLOOKUP(A945,Internal_lists_bugs!$A$2:$C$73,3,FALSE())&amp;Char(10) &amp; Char(10) &amp; VLOOKUP(A945,Internal_lists_bugs!$A$2:$Z$73,26,FALSE())),"please select a BUG ID")</f>
        <v>https://github.com/elastic/elasticsearch/issues/8438
/filter/FilterParser.java
/filters/FiltersParser.java</v>
      </c>
      <c r="C945" s="81" t="str">
        <f>IFERROR(SUBSTITUTE(VLOOKUP(A945,Internal_lists_bugs!$A$2:$G2031,7,FALSE()),"/commit/","/tree/"),"please select a BUG ID")</f>
        <v>https://github.com/elastic/elasticsearch/tree/3c9c9f33</v>
      </c>
      <c r="D945" s="9" t="s">
        <v>5044</v>
      </c>
      <c r="E945" s="205" t="s">
        <v>5060</v>
      </c>
      <c r="F945" s="1"/>
      <c r="G945" s="1"/>
      <c r="H945" s="1" t="s">
        <v>5042</v>
      </c>
      <c r="J945" s="196" t="str">
        <f>IFERROR(VLOOKUP(A945,Internal_lists_bugs!$A$2:$I2031,9,FALSE()),"please select a BUG ID")</f>
        <v>https://github.com/elastic/elasticsearch/pull/6974</v>
      </c>
    </row>
    <row r="946">
      <c r="A946" s="1" t="s">
        <v>75</v>
      </c>
      <c r="B946" s="50" t="str">
        <f>IFERROR(HYPERLINK(VLOOKUP(A946,Internal_lists_bugs!$A$2:$C$73,3,FALSE()), VLOOKUP(A946,Internal_lists_bugs!$A$2:$C$73,3,FALSE())&amp;Char(10) &amp; Char(10) &amp; VLOOKUP(A946,Internal_lists_bugs!$A$2:$Z$73,26,FALSE())),"please select a BUG ID")</f>
        <v>https://github.com/elastic/elasticsearch/issues/8438
/filter/FilterParser.java
/filters/FiltersParser.java</v>
      </c>
      <c r="C946" s="81" t="str">
        <f>IFERROR(SUBSTITUTE(VLOOKUP(A946,Internal_lists_bugs!$A$2:$G2031,7,FALSE()),"/commit/","/tree/"),"please select a BUG ID")</f>
        <v>https://github.com/elastic/elasticsearch/tree/3c9c9f33</v>
      </c>
      <c r="D946" s="38" t="s">
        <v>5037</v>
      </c>
      <c r="E946" s="206" t="s">
        <v>5047</v>
      </c>
      <c r="F946" s="1"/>
      <c r="G946" s="1"/>
      <c r="H946" s="1" t="s">
        <v>4684</v>
      </c>
      <c r="J946" s="196" t="str">
        <f>IFERROR(VLOOKUP(A946,Internal_lists_bugs!$A$2:$I2031,9,FALSE()),"please select a BUG ID")</f>
        <v>https://github.com/elastic/elasticsearch/pull/6974</v>
      </c>
    </row>
    <row r="947">
      <c r="A947" s="1" t="s">
        <v>75</v>
      </c>
      <c r="B947" s="50" t="str">
        <f>IFERROR(HYPERLINK(VLOOKUP(A947,Internal_lists_bugs!$A$2:$C$73,3,FALSE()), VLOOKUP(A947,Internal_lists_bugs!$A$2:$C$73,3,FALSE())&amp;Char(10) &amp; Char(10) &amp; VLOOKUP(A947,Internal_lists_bugs!$A$2:$Z$73,26,FALSE())),"please select a BUG ID")</f>
        <v>https://github.com/elastic/elasticsearch/issues/8438
/filter/FilterParser.java
/filters/FiltersParser.java</v>
      </c>
      <c r="C947" s="81" t="str">
        <f>IFERROR(SUBSTITUTE(VLOOKUP(A947,Internal_lists_bugs!$A$2:$G2031,7,FALSE()),"/commit/","/tree/"),"please select a BUG ID")</f>
        <v>https://github.com/elastic/elasticsearch/tree/3c9c9f33</v>
      </c>
      <c r="D947" s="1" t="s">
        <v>1325</v>
      </c>
      <c r="E947" s="1" t="s">
        <v>5050</v>
      </c>
      <c r="F947" s="1"/>
      <c r="G947" s="1"/>
      <c r="H947" s="9" t="s">
        <v>4692</v>
      </c>
      <c r="I947" s="16" t="s">
        <v>5036</v>
      </c>
      <c r="J947" s="196" t="str">
        <f>IFERROR(VLOOKUP(A947,Internal_lists_bugs!$A$2:$I2031,9,FALSE()),"please select a BUG ID")</f>
        <v>https://github.com/elastic/elasticsearch/pull/6974</v>
      </c>
    </row>
    <row r="948">
      <c r="A948" s="1" t="s">
        <v>75</v>
      </c>
      <c r="B948" s="50" t="str">
        <f>IFERROR(HYPERLINK(VLOOKUP(A948,Internal_lists_bugs!$A$2:$C$73,3,FALSE()), VLOOKUP(A948,Internal_lists_bugs!$A$2:$C$73,3,FALSE())&amp;Char(10) &amp; Char(10) &amp; VLOOKUP(A948,Internal_lists_bugs!$A$2:$Z$73,26,FALSE())),"please select a BUG ID")</f>
        <v>https://github.com/elastic/elasticsearch/issues/8438
/filter/FilterParser.java
/filters/FiltersParser.java</v>
      </c>
      <c r="C948" s="81" t="str">
        <f>IFERROR(SUBSTITUTE(VLOOKUP(A948,Internal_lists_bugs!$A$2:$G2031,7,FALSE()),"/commit/","/tree/"),"please select a BUG ID")</f>
        <v>https://github.com/elastic/elasticsearch/tree/3c9c9f33</v>
      </c>
      <c r="D948" s="1" t="s">
        <v>5051</v>
      </c>
      <c r="E948" s="1"/>
      <c r="F948" s="1"/>
      <c r="G948" s="1"/>
      <c r="H948" s="9" t="s">
        <v>4696</v>
      </c>
      <c r="I948" s="16" t="s">
        <v>5036</v>
      </c>
      <c r="J948" s="196" t="str">
        <f>IFERROR(VLOOKUP(A948,Internal_lists_bugs!$A$2:$I2031,9,FALSE()),"please select a BUG ID")</f>
        <v>https://github.com/elastic/elasticsearch/pull/6974</v>
      </c>
    </row>
    <row r="949">
      <c r="A949" s="1" t="s">
        <v>75</v>
      </c>
      <c r="B949" s="50" t="str">
        <f>IFERROR(HYPERLINK(VLOOKUP(A949,Internal_lists_bugs!$A$2:$C$73,3,FALSE()), VLOOKUP(A949,Internal_lists_bugs!$A$2:$C$73,3,FALSE())&amp;Char(10) &amp; Char(10) &amp; VLOOKUP(A949,Internal_lists_bugs!$A$2:$Z$73,26,FALSE())),"please select a BUG ID")</f>
        <v>https://github.com/elastic/elasticsearch/issues/8438
/filter/FilterParser.java
/filters/FiltersParser.java</v>
      </c>
      <c r="C949" s="81" t="str">
        <f>IFERROR(SUBSTITUTE(VLOOKUP(A949,Internal_lists_bugs!$A$2:$G2031,7,FALSE()),"/commit/","/tree/"),"please select a BUG ID")</f>
        <v>https://github.com/elastic/elasticsearch/tree/3c9c9f33</v>
      </c>
      <c r="D949" s="16" t="s">
        <v>4968</v>
      </c>
      <c r="E949" s="16" t="s">
        <v>5059</v>
      </c>
      <c r="F949" s="54"/>
      <c r="H949" s="114"/>
      <c r="J949" s="196" t="str">
        <f>IFERROR(VLOOKUP(A949,Internal_lists_bugs!$A$2:$I2031,9,FALSE()),"please select a BUG ID")</f>
        <v>https://github.com/elastic/elasticsearch/pull/6974</v>
      </c>
    </row>
    <row r="950">
      <c r="A950" s="1" t="s">
        <v>84</v>
      </c>
      <c r="B950" s="50" t="str">
        <f>IFERROR(HYPERLINK(VLOOKUP(A950,Internal_lists_bugs!$A$2:$C$73,3,FALSE()), VLOOKUP(A950,Internal_lists_bugs!$A$2:$C$73,3,FALSE())&amp;Char(10) &amp; Char(10) &amp; VLOOKUP(A950,Internal_lists_bugs!$A$2:$Z$73,26,FALSE())),"please select a BUG ID")</f>
        <v>https://github.com/elastic/elasticsearch/issues/8507
/fielddata/SortingNumericDocValues.java
/geogrid/GeoHashGridParser.java
/support/ValuesSource.java
/values/ScriptLongValues.java</v>
      </c>
      <c r="C950" s="81" t="str">
        <f>IFERROR(SUBSTITUTE(VLOOKUP(A950,Internal_lists_bugs!$A$2:$G2031,7,FALSE()),"/commit/","/tree/"),"please select a BUG ID")</f>
        <v>https://github.com/elastic/elasticsearch/tree/3c142e5</v>
      </c>
      <c r="D950" s="38" t="s">
        <v>4964</v>
      </c>
      <c r="E950" s="1" t="s">
        <v>5020</v>
      </c>
      <c r="F950" s="9" t="s">
        <v>4682</v>
      </c>
      <c r="G950" s="5"/>
      <c r="H950" s="203" t="s">
        <v>4818</v>
      </c>
      <c r="J950" s="183" t="str">
        <f>IFERROR(VLOOKUP(A950,Internal_lists_bugs!$A$2:$I2031,9,FALSE()),"please select a BUG ID")</f>
        <v>II is PR (6908)</v>
      </c>
    </row>
    <row r="951">
      <c r="A951" s="1" t="s">
        <v>84</v>
      </c>
      <c r="B951" s="50" t="str">
        <f>IFERROR(HYPERLINK(VLOOKUP(A951,Internal_lists_bugs!$A$2:$C$73,3,FALSE()), VLOOKUP(A951,Internal_lists_bugs!$A$2:$C$73,3,FALSE())&amp;Char(10) &amp; Char(10) &amp; VLOOKUP(A951,Internal_lists_bugs!$A$2:$Z$73,26,FALSE())),"please select a BUG ID")</f>
        <v>https://github.com/elastic/elasticsearch/issues/8507
/fielddata/SortingNumericDocValues.java
/geogrid/GeoHashGridParser.java
/support/ValuesSource.java
/values/ScriptLongValues.java</v>
      </c>
      <c r="C951" s="81" t="str">
        <f>IFERROR(SUBSTITUTE(VLOOKUP(A951,Internal_lists_bugs!$A$2:$G2031,7,FALSE()),"/commit/","/tree/"),"please select a BUG ID")</f>
        <v>https://github.com/elastic/elasticsearch/tree/3c142e5</v>
      </c>
      <c r="D951" s="9" t="s">
        <v>5000</v>
      </c>
      <c r="E951" s="9" t="s">
        <v>5057</v>
      </c>
      <c r="F951" s="1"/>
      <c r="G951" s="1"/>
      <c r="H951" s="203" t="s">
        <v>4708</v>
      </c>
      <c r="J951" s="183" t="str">
        <f>IFERROR(VLOOKUP(A951,Internal_lists_bugs!$A$2:$I2031,9,FALSE()),"please select a BUG ID")</f>
        <v>II is PR (6908)</v>
      </c>
    </row>
    <row r="952">
      <c r="A952" s="1" t="s">
        <v>84</v>
      </c>
      <c r="B952" s="50" t="str">
        <f>IFERROR(HYPERLINK(VLOOKUP(A952,Internal_lists_bugs!$A$2:$C$73,3,FALSE()), VLOOKUP(A952,Internal_lists_bugs!$A$2:$C$73,3,FALSE())&amp;Char(10) &amp; Char(10) &amp; VLOOKUP(A952,Internal_lists_bugs!$A$2:$Z$73,26,FALSE())),"please select a BUG ID")</f>
        <v>https://github.com/elastic/elasticsearch/issues/8507
/fielddata/SortingNumericDocValues.java
/geogrid/GeoHashGridParser.java
/support/ValuesSource.java
/values/ScriptLongValues.java</v>
      </c>
      <c r="C952" s="81" t="str">
        <f>IFERROR(SUBSTITUTE(VLOOKUP(A952,Internal_lists_bugs!$A$2:$G2031,7,FALSE()),"/commit/","/tree/"),"please select a BUG ID")</f>
        <v>https://github.com/elastic/elasticsearch/tree/3c142e5</v>
      </c>
      <c r="D952" s="38" t="s">
        <v>4973</v>
      </c>
      <c r="E952" s="1" t="s">
        <v>5023</v>
      </c>
      <c r="F952" s="1"/>
      <c r="G952" s="1"/>
      <c r="H952" s="203" t="s">
        <v>4975</v>
      </c>
      <c r="J952" s="183" t="str">
        <f>IFERROR(VLOOKUP(A952,Internal_lists_bugs!$A$2:$I2031,9,FALSE()),"please select a BUG ID")</f>
        <v>II is PR (6908)</v>
      </c>
    </row>
    <row r="953">
      <c r="A953" s="1" t="s">
        <v>84</v>
      </c>
      <c r="B953" s="50" t="str">
        <f>IFERROR(HYPERLINK(VLOOKUP(A953,Internal_lists_bugs!$A$2:$C$73,3,FALSE()), VLOOKUP(A953,Internal_lists_bugs!$A$2:$C$73,3,FALSE())&amp;Char(10) &amp; Char(10) &amp; VLOOKUP(A953,Internal_lists_bugs!$A$2:$Z$73,26,FALSE())),"please select a BUG ID")</f>
        <v>https://github.com/elastic/elasticsearch/issues/8507
/fielddata/SortingNumericDocValues.java
/geogrid/GeoHashGridParser.java
/support/ValuesSource.java
/values/ScriptLongValues.java</v>
      </c>
      <c r="C953" s="81" t="str">
        <f>IFERROR(SUBSTITUTE(VLOOKUP(A953,Internal_lists_bugs!$A$2:$G2031,7,FALSE()),"/commit/","/tree/"),"please select a BUG ID")</f>
        <v>https://github.com/elastic/elasticsearch/tree/3c142e5</v>
      </c>
      <c r="D953" s="38" t="s">
        <v>4978</v>
      </c>
      <c r="E953" s="1" t="s">
        <v>5026</v>
      </c>
      <c r="F953" s="1"/>
      <c r="G953" s="1"/>
      <c r="H953" s="203" t="s">
        <v>5024</v>
      </c>
      <c r="J953" s="183" t="str">
        <f>IFERROR(VLOOKUP(A953,Internal_lists_bugs!$A$2:$I2031,9,FALSE()),"please select a BUG ID")</f>
        <v>II is PR (6908)</v>
      </c>
    </row>
    <row r="954">
      <c r="A954" s="1" t="s">
        <v>84</v>
      </c>
      <c r="B954" s="50" t="str">
        <f>IFERROR(HYPERLINK(VLOOKUP(A954,Internal_lists_bugs!$A$2:$C$73,3,FALSE()), VLOOKUP(A954,Internal_lists_bugs!$A$2:$C$73,3,FALSE())&amp;Char(10) &amp; Char(10) &amp; VLOOKUP(A954,Internal_lists_bugs!$A$2:$Z$73,26,FALSE())),"please select a BUG ID")</f>
        <v>https://github.com/elastic/elasticsearch/issues/8507
/fielddata/SortingNumericDocValues.java
/geogrid/GeoHashGridParser.java
/support/ValuesSource.java
/values/ScriptLongValues.java</v>
      </c>
      <c r="C954" s="81" t="str">
        <f>IFERROR(SUBSTITUTE(VLOOKUP(A954,Internal_lists_bugs!$A$2:$G2031,7,FALSE()),"/commit/","/tree/"),"please select a BUG ID")</f>
        <v>https://github.com/elastic/elasticsearch/tree/3c142e5</v>
      </c>
      <c r="D954" s="38" t="s">
        <v>4983</v>
      </c>
      <c r="E954" s="1" t="s">
        <v>5030</v>
      </c>
      <c r="F954" s="1"/>
      <c r="G954" s="1"/>
      <c r="H954" s="204" t="s">
        <v>4965</v>
      </c>
      <c r="J954" s="183" t="str">
        <f>IFERROR(VLOOKUP(A954,Internal_lists_bugs!$A$2:$I2031,9,FALSE()),"please select a BUG ID")</f>
        <v>II is PR (6908)</v>
      </c>
    </row>
    <row r="955">
      <c r="A955" s="1" t="s">
        <v>84</v>
      </c>
      <c r="B955" s="50" t="str">
        <f>IFERROR(HYPERLINK(VLOOKUP(A955,Internal_lists_bugs!$A$2:$C$73,3,FALSE()), VLOOKUP(A955,Internal_lists_bugs!$A$2:$C$73,3,FALSE())&amp;Char(10) &amp; Char(10) &amp; VLOOKUP(A955,Internal_lists_bugs!$A$2:$Z$73,26,FALSE())),"please select a BUG ID")</f>
        <v>https://github.com/elastic/elasticsearch/issues/8507
/fielddata/SortingNumericDocValues.java
/geogrid/GeoHashGridParser.java
/support/ValuesSource.java
/values/ScriptLongValues.java</v>
      </c>
      <c r="C955" s="81" t="str">
        <f>IFERROR(SUBSTITUTE(VLOOKUP(A955,Internal_lists_bugs!$A$2:$G2031,7,FALSE()),"/commit/","/tree/"),"please select a BUG ID")</f>
        <v>https://github.com/elastic/elasticsearch/tree/3c142e5</v>
      </c>
      <c r="D955" s="1" t="s">
        <v>4985</v>
      </c>
      <c r="E955" s="1" t="s">
        <v>4996</v>
      </c>
      <c r="F955" s="1"/>
      <c r="G955" s="1"/>
      <c r="H955" s="204" t="s">
        <v>5028</v>
      </c>
      <c r="J955" s="183" t="str">
        <f>IFERROR(VLOOKUP(A955,Internal_lists_bugs!$A$2:$I2031,9,FALSE()),"please select a BUG ID")</f>
        <v>II is PR (6908)</v>
      </c>
    </row>
    <row r="956">
      <c r="A956" s="1" t="s">
        <v>84</v>
      </c>
      <c r="B956" s="50" t="str">
        <f>IFERROR(HYPERLINK(VLOOKUP(A956,Internal_lists_bugs!$A$2:$C$73,3,FALSE()), VLOOKUP(A956,Internal_lists_bugs!$A$2:$C$73,3,FALSE())&amp;Char(10) &amp; Char(10) &amp; VLOOKUP(A956,Internal_lists_bugs!$A$2:$Z$73,26,FALSE())),"please select a BUG ID")</f>
        <v>https://github.com/elastic/elasticsearch/issues/8507
/fielddata/SortingNumericDocValues.java
/geogrid/GeoHashGridParser.java
/support/ValuesSource.java
/values/ScriptLongValues.java</v>
      </c>
      <c r="C956" s="81" t="str">
        <f>IFERROR(SUBSTITUTE(VLOOKUP(A956,Internal_lists_bugs!$A$2:$G2031,7,FALSE()),"/commit/","/tree/"),"please select a BUG ID")</f>
        <v>https://github.com/elastic/elasticsearch/tree/3c142e5</v>
      </c>
      <c r="D956" s="38" t="s">
        <v>5003</v>
      </c>
      <c r="E956" s="38" t="s">
        <v>5032</v>
      </c>
      <c r="F956" s="1"/>
      <c r="G956" s="1"/>
      <c r="H956" s="38" t="s">
        <v>5039</v>
      </c>
      <c r="J956" s="183" t="str">
        <f>IFERROR(VLOOKUP(A956,Internal_lists_bugs!$A$2:$I2031,9,FALSE()),"please select a BUG ID")</f>
        <v>II is PR (6908)</v>
      </c>
    </row>
    <row r="957">
      <c r="A957" s="1" t="s">
        <v>84</v>
      </c>
      <c r="B957" s="50" t="str">
        <f>IFERROR(HYPERLINK(VLOOKUP(A957,Internal_lists_bugs!$A$2:$C$73,3,FALSE()), VLOOKUP(A957,Internal_lists_bugs!$A$2:$C$73,3,FALSE())&amp;Char(10) &amp; Char(10) &amp; VLOOKUP(A957,Internal_lists_bugs!$A$2:$Z$73,26,FALSE())),"please select a BUG ID")</f>
        <v>https://github.com/elastic/elasticsearch/issues/8507
/fielddata/SortingNumericDocValues.java
/geogrid/GeoHashGridParser.java
/support/ValuesSource.java
/values/ScriptLongValues.java</v>
      </c>
      <c r="C957" s="81" t="str">
        <f>IFERROR(SUBSTITUTE(VLOOKUP(A957,Internal_lists_bugs!$A$2:$G2031,7,FALSE()),"/commit/","/tree/"),"please select a BUG ID")</f>
        <v>https://github.com/elastic/elasticsearch/tree/3c142e5</v>
      </c>
      <c r="D957" s="38" t="s">
        <v>5033</v>
      </c>
      <c r="E957" s="205" t="s">
        <v>5034</v>
      </c>
      <c r="F957" s="1"/>
      <c r="G957" s="1"/>
      <c r="H957" s="38" t="s">
        <v>5035</v>
      </c>
      <c r="J957" s="183" t="str">
        <f>IFERROR(VLOOKUP(A957,Internal_lists_bugs!$A$2:$I2031,9,FALSE()),"please select a BUG ID")</f>
        <v>II is PR (6908)</v>
      </c>
    </row>
    <row r="958">
      <c r="A958" s="1" t="s">
        <v>84</v>
      </c>
      <c r="B958" s="50" t="str">
        <f>IFERROR(HYPERLINK(VLOOKUP(A958,Internal_lists_bugs!$A$2:$C$73,3,FALSE()), VLOOKUP(A958,Internal_lists_bugs!$A$2:$C$73,3,FALSE())&amp;Char(10) &amp; Char(10) &amp; VLOOKUP(A958,Internal_lists_bugs!$A$2:$Z$73,26,FALSE())),"please select a BUG ID")</f>
        <v>https://github.com/elastic/elasticsearch/issues/8507
/fielddata/SortingNumericDocValues.java
/geogrid/GeoHashGridParser.java
/support/ValuesSource.java
/values/ScriptLongValues.java</v>
      </c>
      <c r="C958" s="81" t="str">
        <f>IFERROR(SUBSTITUTE(VLOOKUP(A958,Internal_lists_bugs!$A$2:$G2031,7,FALSE()),"/commit/","/tree/"),"please select a BUG ID")</f>
        <v>https://github.com/elastic/elasticsearch/tree/3c142e5</v>
      </c>
      <c r="D958" s="9" t="s">
        <v>5044</v>
      </c>
      <c r="E958" s="205" t="s">
        <v>5061</v>
      </c>
      <c r="F958" s="1"/>
      <c r="G958" s="1"/>
      <c r="H958" s="1" t="s">
        <v>5042</v>
      </c>
      <c r="J958" s="183" t="str">
        <f>IFERROR(VLOOKUP(A958,Internal_lists_bugs!$A$2:$I2031,9,FALSE()),"please select a BUG ID")</f>
        <v>II is PR (6908)</v>
      </c>
    </row>
    <row r="959">
      <c r="A959" s="1" t="s">
        <v>84</v>
      </c>
      <c r="B959" s="50" t="str">
        <f>IFERROR(HYPERLINK(VLOOKUP(A959,Internal_lists_bugs!$A$2:$C$73,3,FALSE()), VLOOKUP(A959,Internal_lists_bugs!$A$2:$C$73,3,FALSE())&amp;Char(10) &amp; Char(10) &amp; VLOOKUP(A959,Internal_lists_bugs!$A$2:$Z$73,26,FALSE())),"please select a BUG ID")</f>
        <v>https://github.com/elastic/elasticsearch/issues/8507
/fielddata/SortingNumericDocValues.java
/geogrid/GeoHashGridParser.java
/support/ValuesSource.java
/values/ScriptLongValues.java</v>
      </c>
      <c r="C959" s="81" t="str">
        <f>IFERROR(SUBSTITUTE(VLOOKUP(A959,Internal_lists_bugs!$A$2:$G2031,7,FALSE()),"/commit/","/tree/"),"please select a BUG ID")</f>
        <v>https://github.com/elastic/elasticsearch/tree/3c142e5</v>
      </c>
      <c r="D959" s="38" t="s">
        <v>5037</v>
      </c>
      <c r="E959" s="206" t="s">
        <v>5047</v>
      </c>
      <c r="F959" s="1"/>
      <c r="G959" s="1"/>
      <c r="H959" s="1" t="s">
        <v>4684</v>
      </c>
      <c r="J959" s="183" t="str">
        <f>IFERROR(VLOOKUP(A959,Internal_lists_bugs!$A$2:$I2031,9,FALSE()),"please select a BUG ID")</f>
        <v>II is PR (6908)</v>
      </c>
    </row>
    <row r="960">
      <c r="A960" s="1" t="s">
        <v>84</v>
      </c>
      <c r="B960" s="50" t="str">
        <f>IFERROR(HYPERLINK(VLOOKUP(A960,Internal_lists_bugs!$A$2:$C$73,3,FALSE()), VLOOKUP(A960,Internal_lists_bugs!$A$2:$C$73,3,FALSE())&amp;Char(10) &amp; Char(10) &amp; VLOOKUP(A960,Internal_lists_bugs!$A$2:$Z$73,26,FALSE())),"please select a BUG ID")</f>
        <v>https://github.com/elastic/elasticsearch/issues/8507
/fielddata/SortingNumericDocValues.java
/geogrid/GeoHashGridParser.java
/support/ValuesSource.java
/values/ScriptLongValues.java</v>
      </c>
      <c r="C960" s="81" t="str">
        <f>IFERROR(SUBSTITUTE(VLOOKUP(A960,Internal_lists_bugs!$A$2:$G2031,7,FALSE()),"/commit/","/tree/"),"please select a BUG ID")</f>
        <v>https://github.com/elastic/elasticsearch/tree/3c142e5</v>
      </c>
      <c r="D960" s="1" t="s">
        <v>1325</v>
      </c>
      <c r="E960" s="1" t="s">
        <v>5050</v>
      </c>
      <c r="F960" s="1"/>
      <c r="G960" s="1"/>
      <c r="H960" s="9" t="s">
        <v>4692</v>
      </c>
      <c r="I960" s="16" t="s">
        <v>5036</v>
      </c>
      <c r="J960" s="183" t="str">
        <f>IFERROR(VLOOKUP(A960,Internal_lists_bugs!$A$2:$I2031,9,FALSE()),"please select a BUG ID")</f>
        <v>II is PR (6908)</v>
      </c>
    </row>
    <row r="961">
      <c r="A961" s="1" t="s">
        <v>84</v>
      </c>
      <c r="B961" s="50" t="str">
        <f>IFERROR(HYPERLINK(VLOOKUP(A961,Internal_lists_bugs!$A$2:$C$73,3,FALSE()), VLOOKUP(A961,Internal_lists_bugs!$A$2:$C$73,3,FALSE())&amp;Char(10) &amp; Char(10) &amp; VLOOKUP(A961,Internal_lists_bugs!$A$2:$Z$73,26,FALSE())),"please select a BUG ID")</f>
        <v>https://github.com/elastic/elasticsearch/issues/8507
/fielddata/SortingNumericDocValues.java
/geogrid/GeoHashGridParser.java
/support/ValuesSource.java
/values/ScriptLongValues.java</v>
      </c>
      <c r="C961" s="81" t="str">
        <f>IFERROR(SUBSTITUTE(VLOOKUP(A961,Internal_lists_bugs!$A$2:$G2031,7,FALSE()),"/commit/","/tree/"),"please select a BUG ID")</f>
        <v>https://github.com/elastic/elasticsearch/tree/3c142e5</v>
      </c>
      <c r="D961" s="1" t="s">
        <v>5051</v>
      </c>
      <c r="E961" s="1"/>
      <c r="F961" s="1"/>
      <c r="G961" s="1"/>
      <c r="H961" s="9" t="s">
        <v>4696</v>
      </c>
      <c r="I961" s="16" t="s">
        <v>5036</v>
      </c>
      <c r="J961" s="183" t="str">
        <f>IFERROR(VLOOKUP(A961,Internal_lists_bugs!$A$2:$I2031,9,FALSE()),"please select a BUG ID")</f>
        <v>II is PR (6908)</v>
      </c>
    </row>
    <row r="962">
      <c r="A962" s="1" t="s">
        <v>67</v>
      </c>
      <c r="B962" s="50" t="str">
        <f>IFERROR(HYPERLINK(VLOOKUP(A962,Internal_lists_bugs!$A$2:$C$73,3,FALSE()), VLOOKUP(A962,Internal_lists_bugs!$A$2:$C$73,3,FALSE())&amp;Char(10) &amp; Char(10) &amp; VLOOKUP(A962,Internal_lists_bugs!$A$2:$Z$73,26,FALSE())),"please select a BUG ID")</f>
        <v>https://github.com/elastic/elasticsearch/issues/8526
/geo/GeoHashUtils.java</v>
      </c>
      <c r="C962" s="81" t="str">
        <f>IFERROR(SUBSTITUTE(VLOOKUP(A962,Internal_lists_bugs!$A$2:$G2031,7,FALSE()),"/commit/","/tree/"),"please select a BUG ID")</f>
        <v>https://github.com/elastic/elasticsearch/tree/5aa0a8438f</v>
      </c>
      <c r="D962" s="16" t="s">
        <v>4968</v>
      </c>
      <c r="E962" s="16" t="s">
        <v>5059</v>
      </c>
      <c r="F962" s="54"/>
      <c r="H962" s="114"/>
      <c r="J962" s="183" t="str">
        <f>IFERROR(VLOOKUP(A962,Internal_lists_bugs!$A$2:$I2031,9,FALSE()),"please select a BUG ID")</f>
        <v>No information available</v>
      </c>
    </row>
    <row r="963">
      <c r="A963" s="1" t="s">
        <v>96</v>
      </c>
      <c r="B963" s="50" t="str">
        <f>IFERROR(HYPERLINK(VLOOKUP(A963,Internal_lists_bugs!$A$2:$C$73,3,FALSE()), VLOOKUP(A963,Internal_lists_bugs!$A$2:$C$73,3,FALSE())&amp;Char(10) &amp; Char(10) &amp; VLOOKUP(A963,Internal_lists_bugs!$A$2:$Z$73,26,FALSE())),"please select a BUG ID")</f>
        <v>https://github.com/elastic/elasticsearch/issues/8580
/index/fielddata/AbstractRandomAccessOrds.java</v>
      </c>
      <c r="C963" s="81" t="str">
        <f>IFERROR(SUBSTITUTE(VLOOKUP(A963,Internal_lists_bugs!$A$2:$G2031,7,FALSE()),"/commit/","/tree/"),"please select a BUG ID")</f>
        <v>https://github.com/elastic/elasticsearch/tree/3c142e5</v>
      </c>
      <c r="D963" s="38" t="s">
        <v>4964</v>
      </c>
      <c r="E963" s="1" t="s">
        <v>5020</v>
      </c>
      <c r="F963" s="9" t="s">
        <v>4682</v>
      </c>
      <c r="G963" s="5"/>
      <c r="H963" s="203" t="s">
        <v>4818</v>
      </c>
      <c r="J963" s="183" t="str">
        <f>IFERROR(VLOOKUP(A963,Internal_lists_bugs!$A$2:$I2031,9,FALSE()),"please select a BUG ID")</f>
        <v>II is PR (6908)</v>
      </c>
    </row>
    <row r="964">
      <c r="A964" s="1" t="s">
        <v>96</v>
      </c>
      <c r="B964" s="50" t="str">
        <f>IFERROR(HYPERLINK(VLOOKUP(A964,Internal_lists_bugs!$A$2:$C$73,3,FALSE()), VLOOKUP(A964,Internal_lists_bugs!$A$2:$C$73,3,FALSE())&amp;Char(10) &amp; Char(10) &amp; VLOOKUP(A964,Internal_lists_bugs!$A$2:$Z$73,26,FALSE())),"please select a BUG ID")</f>
        <v>https://github.com/elastic/elasticsearch/issues/8580
/index/fielddata/AbstractRandomAccessOrds.java</v>
      </c>
      <c r="C964" s="81" t="str">
        <f>IFERROR(SUBSTITUTE(VLOOKUP(A964,Internal_lists_bugs!$A$2:$G2031,7,FALSE()),"/commit/","/tree/"),"please select a BUG ID")</f>
        <v>https://github.com/elastic/elasticsearch/tree/3c142e5</v>
      </c>
      <c r="D964" s="9" t="s">
        <v>5000</v>
      </c>
      <c r="E964" s="9" t="s">
        <v>5057</v>
      </c>
      <c r="F964" s="1"/>
      <c r="G964" s="1"/>
      <c r="H964" s="203" t="s">
        <v>4708</v>
      </c>
      <c r="J964" s="183" t="str">
        <f>IFERROR(VLOOKUP(A964,Internal_lists_bugs!$A$2:$I2031,9,FALSE()),"please select a BUG ID")</f>
        <v>II is PR (6908)</v>
      </c>
    </row>
    <row r="965">
      <c r="A965" s="1" t="s">
        <v>96</v>
      </c>
      <c r="B965" s="50" t="str">
        <f>IFERROR(HYPERLINK(VLOOKUP(A965,Internal_lists_bugs!$A$2:$C$73,3,FALSE()), VLOOKUP(A965,Internal_lists_bugs!$A$2:$C$73,3,FALSE())&amp;Char(10) &amp; Char(10) &amp; VLOOKUP(A965,Internal_lists_bugs!$A$2:$Z$73,26,FALSE())),"please select a BUG ID")</f>
        <v>https://github.com/elastic/elasticsearch/issues/8580
/index/fielddata/AbstractRandomAccessOrds.java</v>
      </c>
      <c r="C965" s="81" t="str">
        <f>IFERROR(SUBSTITUTE(VLOOKUP(A965,Internal_lists_bugs!$A$2:$G2031,7,FALSE()),"/commit/","/tree/"),"please select a BUG ID")</f>
        <v>https://github.com/elastic/elasticsearch/tree/3c142e5</v>
      </c>
      <c r="D965" s="38" t="s">
        <v>4973</v>
      </c>
      <c r="E965" s="1" t="s">
        <v>5023</v>
      </c>
      <c r="F965" s="1"/>
      <c r="G965" s="1"/>
      <c r="H965" s="203" t="s">
        <v>4975</v>
      </c>
      <c r="J965" s="183" t="str">
        <f>IFERROR(VLOOKUP(A965,Internal_lists_bugs!$A$2:$I2031,9,FALSE()),"please select a BUG ID")</f>
        <v>II is PR (6908)</v>
      </c>
    </row>
    <row r="966">
      <c r="A966" s="1" t="s">
        <v>96</v>
      </c>
      <c r="B966" s="50" t="str">
        <f>IFERROR(HYPERLINK(VLOOKUP(A966,Internal_lists_bugs!$A$2:$C$73,3,FALSE()), VLOOKUP(A966,Internal_lists_bugs!$A$2:$C$73,3,FALSE())&amp;Char(10) &amp; Char(10) &amp; VLOOKUP(A966,Internal_lists_bugs!$A$2:$Z$73,26,FALSE())),"please select a BUG ID")</f>
        <v>https://github.com/elastic/elasticsearch/issues/8580
/index/fielddata/AbstractRandomAccessOrds.java</v>
      </c>
      <c r="C966" s="81" t="str">
        <f>IFERROR(SUBSTITUTE(VLOOKUP(A966,Internal_lists_bugs!$A$2:$G2031,7,FALSE()),"/commit/","/tree/"),"please select a BUG ID")</f>
        <v>https://github.com/elastic/elasticsearch/tree/3c142e5</v>
      </c>
      <c r="D966" s="38" t="s">
        <v>4978</v>
      </c>
      <c r="E966" s="1" t="s">
        <v>5026</v>
      </c>
      <c r="F966" s="1"/>
      <c r="G966" s="1"/>
      <c r="H966" s="203" t="s">
        <v>5024</v>
      </c>
      <c r="J966" s="183" t="str">
        <f>IFERROR(VLOOKUP(A966,Internal_lists_bugs!$A$2:$I2031,9,FALSE()),"please select a BUG ID")</f>
        <v>II is PR (6908)</v>
      </c>
    </row>
    <row r="967">
      <c r="A967" s="1" t="s">
        <v>96</v>
      </c>
      <c r="B967" s="50" t="str">
        <f>IFERROR(HYPERLINK(VLOOKUP(A967,Internal_lists_bugs!$A$2:$C$73,3,FALSE()), VLOOKUP(A967,Internal_lists_bugs!$A$2:$C$73,3,FALSE())&amp;Char(10) &amp; Char(10) &amp; VLOOKUP(A967,Internal_lists_bugs!$A$2:$Z$73,26,FALSE())),"please select a BUG ID")</f>
        <v>https://github.com/elastic/elasticsearch/issues/8580
/index/fielddata/AbstractRandomAccessOrds.java</v>
      </c>
      <c r="C967" s="81" t="str">
        <f>IFERROR(SUBSTITUTE(VLOOKUP(A967,Internal_lists_bugs!$A$2:$G2031,7,FALSE()),"/commit/","/tree/"),"please select a BUG ID")</f>
        <v>https://github.com/elastic/elasticsearch/tree/3c142e5</v>
      </c>
      <c r="D967" s="38" t="s">
        <v>4983</v>
      </c>
      <c r="E967" s="1" t="s">
        <v>5030</v>
      </c>
      <c r="F967" s="1"/>
      <c r="G967" s="1"/>
      <c r="H967" s="204" t="s">
        <v>4965</v>
      </c>
      <c r="J967" s="183" t="str">
        <f>IFERROR(VLOOKUP(A967,Internal_lists_bugs!$A$2:$I2031,9,FALSE()),"please select a BUG ID")</f>
        <v>II is PR (6908)</v>
      </c>
    </row>
    <row r="968">
      <c r="A968" s="1" t="s">
        <v>96</v>
      </c>
      <c r="B968" s="50" t="str">
        <f>IFERROR(HYPERLINK(VLOOKUP(A968,Internal_lists_bugs!$A$2:$C$73,3,FALSE()), VLOOKUP(A968,Internal_lists_bugs!$A$2:$C$73,3,FALSE())&amp;Char(10) &amp; Char(10) &amp; VLOOKUP(A968,Internal_lists_bugs!$A$2:$Z$73,26,FALSE())),"please select a BUG ID")</f>
        <v>https://github.com/elastic/elasticsearch/issues/8580
/index/fielddata/AbstractRandomAccessOrds.java</v>
      </c>
      <c r="C968" s="81" t="str">
        <f>IFERROR(SUBSTITUTE(VLOOKUP(A968,Internal_lists_bugs!$A$2:$G2031,7,FALSE()),"/commit/","/tree/"),"please select a BUG ID")</f>
        <v>https://github.com/elastic/elasticsearch/tree/3c142e5</v>
      </c>
      <c r="D968" s="1" t="s">
        <v>4985</v>
      </c>
      <c r="E968" s="1" t="s">
        <v>4996</v>
      </c>
      <c r="F968" s="1"/>
      <c r="G968" s="1"/>
      <c r="H968" s="204" t="s">
        <v>5028</v>
      </c>
      <c r="J968" s="183" t="str">
        <f>IFERROR(VLOOKUP(A968,Internal_lists_bugs!$A$2:$I2031,9,FALSE()),"please select a BUG ID")</f>
        <v>II is PR (6908)</v>
      </c>
    </row>
    <row r="969">
      <c r="A969" s="1" t="s">
        <v>96</v>
      </c>
      <c r="B969" s="50" t="str">
        <f>IFERROR(HYPERLINK(VLOOKUP(A969,Internal_lists_bugs!$A$2:$C$73,3,FALSE()), VLOOKUP(A969,Internal_lists_bugs!$A$2:$C$73,3,FALSE())&amp;Char(10) &amp; Char(10) &amp; VLOOKUP(A969,Internal_lists_bugs!$A$2:$Z$73,26,FALSE())),"please select a BUG ID")</f>
        <v>https://github.com/elastic/elasticsearch/issues/8580
/index/fielddata/AbstractRandomAccessOrds.java</v>
      </c>
      <c r="C969" s="81" t="str">
        <f>IFERROR(SUBSTITUTE(VLOOKUP(A969,Internal_lists_bugs!$A$2:$G2031,7,FALSE()),"/commit/","/tree/"),"please select a BUG ID")</f>
        <v>https://github.com/elastic/elasticsearch/tree/3c142e5</v>
      </c>
      <c r="D969" s="38" t="s">
        <v>5003</v>
      </c>
      <c r="E969" s="38" t="s">
        <v>5032</v>
      </c>
      <c r="F969" s="1"/>
      <c r="G969" s="1"/>
      <c r="H969" s="38" t="s">
        <v>5039</v>
      </c>
      <c r="J969" s="183" t="str">
        <f>IFERROR(VLOOKUP(A969,Internal_lists_bugs!$A$2:$I2031,9,FALSE()),"please select a BUG ID")</f>
        <v>II is PR (6908)</v>
      </c>
    </row>
    <row r="970">
      <c r="A970" s="1" t="s">
        <v>96</v>
      </c>
      <c r="B970" s="50" t="str">
        <f>IFERROR(HYPERLINK(VLOOKUP(A970,Internal_lists_bugs!$A$2:$C$73,3,FALSE()), VLOOKUP(A970,Internal_lists_bugs!$A$2:$C$73,3,FALSE())&amp;Char(10) &amp; Char(10) &amp; VLOOKUP(A970,Internal_lists_bugs!$A$2:$Z$73,26,FALSE())),"please select a BUG ID")</f>
        <v>https://github.com/elastic/elasticsearch/issues/8580
/index/fielddata/AbstractRandomAccessOrds.java</v>
      </c>
      <c r="C970" s="81" t="str">
        <f>IFERROR(SUBSTITUTE(VLOOKUP(A970,Internal_lists_bugs!$A$2:$G2031,7,FALSE()),"/commit/","/tree/"),"please select a BUG ID")</f>
        <v>https://github.com/elastic/elasticsearch/tree/3c142e5</v>
      </c>
      <c r="D970" s="38" t="s">
        <v>5033</v>
      </c>
      <c r="E970" s="205" t="s">
        <v>5034</v>
      </c>
      <c r="F970" s="1"/>
      <c r="G970" s="1"/>
      <c r="H970" s="38" t="s">
        <v>5035</v>
      </c>
      <c r="J970" s="183" t="str">
        <f>IFERROR(VLOOKUP(A970,Internal_lists_bugs!$A$2:$I2031,9,FALSE()),"please select a BUG ID")</f>
        <v>II is PR (6908)</v>
      </c>
    </row>
    <row r="971">
      <c r="A971" s="1" t="s">
        <v>96</v>
      </c>
      <c r="B971" s="50" t="str">
        <f>IFERROR(HYPERLINK(VLOOKUP(A971,Internal_lists_bugs!$A$2:$C$73,3,FALSE()), VLOOKUP(A971,Internal_lists_bugs!$A$2:$C$73,3,FALSE())&amp;Char(10) &amp; Char(10) &amp; VLOOKUP(A971,Internal_lists_bugs!$A$2:$Z$73,26,FALSE())),"please select a BUG ID")</f>
        <v>https://github.com/elastic/elasticsearch/issues/8580
/index/fielddata/AbstractRandomAccessOrds.java</v>
      </c>
      <c r="C971" s="81" t="str">
        <f>IFERROR(SUBSTITUTE(VLOOKUP(A971,Internal_lists_bugs!$A$2:$G2031,7,FALSE()),"/commit/","/tree/"),"please select a BUG ID")</f>
        <v>https://github.com/elastic/elasticsearch/tree/3c142e5</v>
      </c>
      <c r="D971" s="9" t="s">
        <v>5044</v>
      </c>
      <c r="E971" s="205" t="s">
        <v>5062</v>
      </c>
      <c r="F971" s="1"/>
      <c r="G971" s="1"/>
      <c r="H971" s="1" t="s">
        <v>5042</v>
      </c>
      <c r="J971" s="183" t="str">
        <f>IFERROR(VLOOKUP(A971,Internal_lists_bugs!$A$2:$I2031,9,FALSE()),"please select a BUG ID")</f>
        <v>II is PR (6908)</v>
      </c>
    </row>
    <row r="972">
      <c r="A972" s="1" t="s">
        <v>96</v>
      </c>
      <c r="B972" s="50" t="str">
        <f>IFERROR(HYPERLINK(VLOOKUP(A972,Internal_lists_bugs!$A$2:$C$73,3,FALSE()), VLOOKUP(A972,Internal_lists_bugs!$A$2:$C$73,3,FALSE())&amp;Char(10) &amp; Char(10) &amp; VLOOKUP(A972,Internal_lists_bugs!$A$2:$Z$73,26,FALSE())),"please select a BUG ID")</f>
        <v>https://github.com/elastic/elasticsearch/issues/8580
/index/fielddata/AbstractRandomAccessOrds.java</v>
      </c>
      <c r="C972" s="81" t="str">
        <f>IFERROR(SUBSTITUTE(VLOOKUP(A972,Internal_lists_bugs!$A$2:$G2031,7,FALSE()),"/commit/","/tree/"),"please select a BUG ID")</f>
        <v>https://github.com/elastic/elasticsearch/tree/3c142e5</v>
      </c>
      <c r="D972" s="38" t="s">
        <v>5037</v>
      </c>
      <c r="E972" s="206" t="s">
        <v>5047</v>
      </c>
      <c r="F972" s="1"/>
      <c r="G972" s="1"/>
      <c r="H972" s="1" t="s">
        <v>4684</v>
      </c>
      <c r="J972" s="183" t="str">
        <f>IFERROR(VLOOKUP(A972,Internal_lists_bugs!$A$2:$I2031,9,FALSE()),"please select a BUG ID")</f>
        <v>II is PR (6908)</v>
      </c>
    </row>
    <row r="973">
      <c r="A973" s="1" t="s">
        <v>96</v>
      </c>
      <c r="B973" s="50" t="str">
        <f>IFERROR(HYPERLINK(VLOOKUP(A973,Internal_lists_bugs!$A$2:$C$73,3,FALSE()), VLOOKUP(A973,Internal_lists_bugs!$A$2:$C$73,3,FALSE())&amp;Char(10) &amp; Char(10) &amp; VLOOKUP(A973,Internal_lists_bugs!$A$2:$Z$73,26,FALSE())),"please select a BUG ID")</f>
        <v>https://github.com/elastic/elasticsearch/issues/8580
/index/fielddata/AbstractRandomAccessOrds.java</v>
      </c>
      <c r="C973" s="81" t="str">
        <f>IFERROR(SUBSTITUTE(VLOOKUP(A973,Internal_lists_bugs!$A$2:$G2031,7,FALSE()),"/commit/","/tree/"),"please select a BUG ID")</f>
        <v>https://github.com/elastic/elasticsearch/tree/3c142e5</v>
      </c>
      <c r="D973" s="1" t="s">
        <v>1325</v>
      </c>
      <c r="E973" s="1" t="s">
        <v>5050</v>
      </c>
      <c r="F973" s="1"/>
      <c r="G973" s="1"/>
      <c r="H973" s="9" t="s">
        <v>4692</v>
      </c>
      <c r="I973" s="16" t="s">
        <v>5036</v>
      </c>
      <c r="J973" s="183" t="str">
        <f>IFERROR(VLOOKUP(A973,Internal_lists_bugs!$A$2:$I2031,9,FALSE()),"please select a BUG ID")</f>
        <v>II is PR (6908)</v>
      </c>
    </row>
    <row r="974">
      <c r="A974" s="1" t="s">
        <v>96</v>
      </c>
      <c r="B974" s="50" t="str">
        <f>IFERROR(HYPERLINK(VLOOKUP(A974,Internal_lists_bugs!$A$2:$C$73,3,FALSE()), VLOOKUP(A974,Internal_lists_bugs!$A$2:$C$73,3,FALSE())&amp;Char(10) &amp; Char(10) &amp; VLOOKUP(A974,Internal_lists_bugs!$A$2:$Z$73,26,FALSE())),"please select a BUG ID")</f>
        <v>https://github.com/elastic/elasticsearch/issues/8580
/index/fielddata/AbstractRandomAccessOrds.java</v>
      </c>
      <c r="C974" s="81" t="str">
        <f>IFERROR(SUBSTITUTE(VLOOKUP(A974,Internal_lists_bugs!$A$2:$G2031,7,FALSE()),"/commit/","/tree/"),"please select a BUG ID")</f>
        <v>https://github.com/elastic/elasticsearch/tree/3c142e5</v>
      </c>
      <c r="D974" s="1" t="s">
        <v>5051</v>
      </c>
      <c r="E974" s="1"/>
      <c r="F974" s="1"/>
      <c r="G974" s="1"/>
      <c r="H974" s="9" t="s">
        <v>4696</v>
      </c>
      <c r="I974" s="16" t="s">
        <v>5036</v>
      </c>
      <c r="J974" s="183" t="str">
        <f>IFERROR(VLOOKUP(A974,Internal_lists_bugs!$A$2:$I2031,9,FALSE()),"please select a BUG ID")</f>
        <v>II is PR (6908)</v>
      </c>
    </row>
    <row r="975">
      <c r="A975" s="1" t="s">
        <v>96</v>
      </c>
      <c r="B975" s="50" t="str">
        <f>IFERROR(HYPERLINK(VLOOKUP(A975,Internal_lists_bugs!$A$2:$C$73,3,FALSE()), VLOOKUP(A975,Internal_lists_bugs!$A$2:$C$73,3,FALSE())&amp;Char(10) &amp; Char(10) &amp; VLOOKUP(A975,Internal_lists_bugs!$A$2:$Z$73,26,FALSE())),"please select a BUG ID")</f>
        <v>https://github.com/elastic/elasticsearch/issues/8580
/index/fielddata/AbstractRandomAccessOrds.java</v>
      </c>
      <c r="C975" s="81" t="str">
        <f>IFERROR(SUBSTITUTE(VLOOKUP(A975,Internal_lists_bugs!$A$2:$G2031,7,FALSE()),"/commit/","/tree/"),"please select a BUG ID")</f>
        <v>https://github.com/elastic/elasticsearch/tree/3c142e5</v>
      </c>
      <c r="D975" s="16" t="s">
        <v>4968</v>
      </c>
      <c r="E975" s="16" t="s">
        <v>5059</v>
      </c>
      <c r="F975" s="54"/>
      <c r="H975" s="114"/>
      <c r="J975" s="183" t="str">
        <f>IFERROR(VLOOKUP(A975,Internal_lists_bugs!$A$2:$I2031,9,FALSE()),"please select a BUG ID")</f>
        <v>II is PR (6908)</v>
      </c>
    </row>
    <row r="976">
      <c r="A976" s="1" t="s">
        <v>67</v>
      </c>
      <c r="B976" s="50" t="str">
        <f>IFERROR(HYPERLINK(VLOOKUP(A976,Internal_lists_bugs!$A$2:$C$73,3,FALSE()), VLOOKUP(A976,Internal_lists_bugs!$A$2:$C$73,3,FALSE())&amp;Char(10) &amp; Char(10) &amp; VLOOKUP(A976,Internal_lists_bugs!$A$2:$Z$73,26,FALSE())),"please select a BUG ID")</f>
        <v>https://github.com/elastic/elasticsearch/issues/8526
/geo/GeoHashUtils.java</v>
      </c>
      <c r="C976" s="81" t="str">
        <f>IFERROR(SUBSTITUTE(VLOOKUP(A976,Internal_lists_bugs!$A$2:$G2031,7,FALSE()),"/commit/","/tree/"),"please select a BUG ID")</f>
        <v>https://github.com/elastic/elasticsearch/tree/5aa0a8438f</v>
      </c>
      <c r="D976" s="38" t="s">
        <v>4964</v>
      </c>
      <c r="E976" s="1" t="s">
        <v>5020</v>
      </c>
      <c r="F976" s="9" t="s">
        <v>4724</v>
      </c>
      <c r="G976" s="9" t="s">
        <v>5063</v>
      </c>
      <c r="H976" s="203" t="s">
        <v>4818</v>
      </c>
      <c r="J976" s="183" t="str">
        <f>IFERROR(VLOOKUP(A976,Internal_lists_bugs!$A$2:$I2031,9,FALSE()),"please select a BUG ID")</f>
        <v>No information available</v>
      </c>
    </row>
    <row r="977">
      <c r="A977" s="1" t="s">
        <v>67</v>
      </c>
      <c r="B977" s="50" t="str">
        <f>IFERROR(HYPERLINK(VLOOKUP(A977,Internal_lists_bugs!$A$2:$C$73,3,FALSE()), VLOOKUP(A977,Internal_lists_bugs!$A$2:$C$73,3,FALSE())&amp;Char(10) &amp; Char(10) &amp; VLOOKUP(A977,Internal_lists_bugs!$A$2:$Z$73,26,FALSE())),"please select a BUG ID")</f>
        <v>https://github.com/elastic/elasticsearch/issues/8526
/geo/GeoHashUtils.java</v>
      </c>
      <c r="C977" s="81" t="str">
        <f>IFERROR(SUBSTITUTE(VLOOKUP(A977,Internal_lists_bugs!$A$2:$G2031,7,FALSE()),"/commit/","/tree/"),"please select a BUG ID")</f>
        <v>https://github.com/elastic/elasticsearch/tree/5aa0a8438f</v>
      </c>
      <c r="D977" s="9" t="s">
        <v>5001</v>
      </c>
      <c r="E977" s="9" t="s">
        <v>5063</v>
      </c>
      <c r="F977" s="1"/>
      <c r="G977" s="1"/>
      <c r="H977" s="203" t="s">
        <v>4708</v>
      </c>
      <c r="J977" s="183" t="str">
        <f>IFERROR(VLOOKUP(A977,Internal_lists_bugs!$A$2:$I2031,9,FALSE()),"please select a BUG ID")</f>
        <v>No information available</v>
      </c>
    </row>
    <row r="978">
      <c r="A978" s="1" t="s">
        <v>67</v>
      </c>
      <c r="B978" s="50" t="str">
        <f>IFERROR(HYPERLINK(VLOOKUP(A978,Internal_lists_bugs!$A$2:$C$73,3,FALSE()), VLOOKUP(A978,Internal_lists_bugs!$A$2:$C$73,3,FALSE())&amp;Char(10) &amp; Char(10) &amp; VLOOKUP(A978,Internal_lists_bugs!$A$2:$Z$73,26,FALSE())),"please select a BUG ID")</f>
        <v>https://github.com/elastic/elasticsearch/issues/8526
/geo/GeoHashUtils.java</v>
      </c>
      <c r="C978" s="81" t="str">
        <f>IFERROR(SUBSTITUTE(VLOOKUP(A978,Internal_lists_bugs!$A$2:$G2031,7,FALSE()),"/commit/","/tree/"),"please select a BUG ID")</f>
        <v>https://github.com/elastic/elasticsearch/tree/5aa0a8438f</v>
      </c>
      <c r="D978" s="38" t="s">
        <v>4973</v>
      </c>
      <c r="E978" s="1" t="s">
        <v>5023</v>
      </c>
      <c r="F978" s="1"/>
      <c r="G978" s="1"/>
      <c r="H978" s="203" t="s">
        <v>4975</v>
      </c>
      <c r="J978" s="183" t="str">
        <f>IFERROR(VLOOKUP(A978,Internal_lists_bugs!$A$2:$I2031,9,FALSE()),"please select a BUG ID")</f>
        <v>No information available</v>
      </c>
    </row>
    <row r="979">
      <c r="A979" s="1" t="s">
        <v>67</v>
      </c>
      <c r="B979" s="50" t="str">
        <f>IFERROR(HYPERLINK(VLOOKUP(A979,Internal_lists_bugs!$A$2:$C$73,3,FALSE()), VLOOKUP(A979,Internal_lists_bugs!$A$2:$C$73,3,FALSE())&amp;Char(10) &amp; Char(10) &amp; VLOOKUP(A979,Internal_lists_bugs!$A$2:$Z$73,26,FALSE())),"please select a BUG ID")</f>
        <v>https://github.com/elastic/elasticsearch/issues/8526
/geo/GeoHashUtils.java</v>
      </c>
      <c r="C979" s="81" t="str">
        <f>IFERROR(SUBSTITUTE(VLOOKUP(A979,Internal_lists_bugs!$A$2:$G2031,7,FALSE()),"/commit/","/tree/"),"please select a BUG ID")</f>
        <v>https://github.com/elastic/elasticsearch/tree/5aa0a8438f</v>
      </c>
      <c r="D979" s="38" t="s">
        <v>4978</v>
      </c>
      <c r="E979" s="1" t="s">
        <v>5026</v>
      </c>
      <c r="F979" s="1"/>
      <c r="G979" s="1"/>
      <c r="H979" s="203" t="s">
        <v>5024</v>
      </c>
      <c r="J979" s="183" t="str">
        <f>IFERROR(VLOOKUP(A979,Internal_lists_bugs!$A$2:$I2031,9,FALSE()),"please select a BUG ID")</f>
        <v>No information available</v>
      </c>
    </row>
    <row r="980">
      <c r="A980" s="1" t="s">
        <v>67</v>
      </c>
      <c r="B980" s="50" t="str">
        <f>IFERROR(HYPERLINK(VLOOKUP(A980,Internal_lists_bugs!$A$2:$C$73,3,FALSE()), VLOOKUP(A980,Internal_lists_bugs!$A$2:$C$73,3,FALSE())&amp;Char(10) &amp; Char(10) &amp; VLOOKUP(A980,Internal_lists_bugs!$A$2:$Z$73,26,FALSE())),"please select a BUG ID")</f>
        <v>https://github.com/elastic/elasticsearch/issues/8526
/geo/GeoHashUtils.java</v>
      </c>
      <c r="C980" s="81" t="str">
        <f>IFERROR(SUBSTITUTE(VLOOKUP(A980,Internal_lists_bugs!$A$2:$G2031,7,FALSE()),"/commit/","/tree/"),"please select a BUG ID")</f>
        <v>https://github.com/elastic/elasticsearch/tree/5aa0a8438f</v>
      </c>
      <c r="D980" s="38" t="s">
        <v>4983</v>
      </c>
      <c r="E980" s="1" t="s">
        <v>5030</v>
      </c>
      <c r="F980" s="1"/>
      <c r="G980" s="1"/>
      <c r="H980" s="204" t="s">
        <v>4965</v>
      </c>
      <c r="J980" s="183" t="str">
        <f>IFERROR(VLOOKUP(A980,Internal_lists_bugs!$A$2:$I2031,9,FALSE()),"please select a BUG ID")</f>
        <v>No information available</v>
      </c>
    </row>
    <row r="981">
      <c r="A981" s="1" t="s">
        <v>67</v>
      </c>
      <c r="B981" s="50" t="str">
        <f>IFERROR(HYPERLINK(VLOOKUP(A981,Internal_lists_bugs!$A$2:$C$73,3,FALSE()), VLOOKUP(A981,Internal_lists_bugs!$A$2:$C$73,3,FALSE())&amp;Char(10) &amp; Char(10) &amp; VLOOKUP(A981,Internal_lists_bugs!$A$2:$Z$73,26,FALSE())),"please select a BUG ID")</f>
        <v>https://github.com/elastic/elasticsearch/issues/8526
/geo/GeoHashUtils.java</v>
      </c>
      <c r="C981" s="81" t="str">
        <f>IFERROR(SUBSTITUTE(VLOOKUP(A981,Internal_lists_bugs!$A$2:$G2031,7,FALSE()),"/commit/","/tree/"),"please select a BUG ID")</f>
        <v>https://github.com/elastic/elasticsearch/tree/5aa0a8438f</v>
      </c>
      <c r="D981" s="1" t="s">
        <v>4985</v>
      </c>
      <c r="E981" s="1" t="s">
        <v>4996</v>
      </c>
      <c r="F981" s="1"/>
      <c r="G981" s="1"/>
      <c r="H981" s="204" t="s">
        <v>5028</v>
      </c>
      <c r="J981" s="183" t="str">
        <f>IFERROR(VLOOKUP(A981,Internal_lists_bugs!$A$2:$I2031,9,FALSE()),"please select a BUG ID")</f>
        <v>No information available</v>
      </c>
    </row>
    <row r="982">
      <c r="A982" s="1" t="s">
        <v>67</v>
      </c>
      <c r="B982" s="50" t="str">
        <f>IFERROR(HYPERLINK(VLOOKUP(A982,Internal_lists_bugs!$A$2:$C$73,3,FALSE()), VLOOKUP(A982,Internal_lists_bugs!$A$2:$C$73,3,FALSE())&amp;Char(10) &amp; Char(10) &amp; VLOOKUP(A982,Internal_lists_bugs!$A$2:$Z$73,26,FALSE())),"please select a BUG ID")</f>
        <v>https://github.com/elastic/elasticsearch/issues/8526
/geo/GeoHashUtils.java</v>
      </c>
      <c r="C982" s="81" t="str">
        <f>IFERROR(SUBSTITUTE(VLOOKUP(A982,Internal_lists_bugs!$A$2:$G2031,7,FALSE()),"/commit/","/tree/"),"please select a BUG ID")</f>
        <v>https://github.com/elastic/elasticsearch/tree/5aa0a8438f</v>
      </c>
      <c r="D982" s="38" t="s">
        <v>5003</v>
      </c>
      <c r="E982" s="38" t="s">
        <v>5032</v>
      </c>
      <c r="F982" s="1"/>
      <c r="G982" s="1"/>
      <c r="H982" s="38" t="s">
        <v>5035</v>
      </c>
      <c r="J982" s="183" t="str">
        <f>IFERROR(VLOOKUP(A982,Internal_lists_bugs!$A$2:$I2031,9,FALSE()),"please select a BUG ID")</f>
        <v>No information available</v>
      </c>
    </row>
    <row r="983">
      <c r="A983" s="1" t="s">
        <v>67</v>
      </c>
      <c r="B983" s="50" t="str">
        <f>IFERROR(HYPERLINK(VLOOKUP(A983,Internal_lists_bugs!$A$2:$C$73,3,FALSE()), VLOOKUP(A983,Internal_lists_bugs!$A$2:$C$73,3,FALSE())&amp;Char(10) &amp; Char(10) &amp; VLOOKUP(A983,Internal_lists_bugs!$A$2:$Z$73,26,FALSE())),"please select a BUG ID")</f>
        <v>https://github.com/elastic/elasticsearch/issues/8526
/geo/GeoHashUtils.java</v>
      </c>
      <c r="C983" s="81" t="str">
        <f>IFERROR(SUBSTITUTE(VLOOKUP(A983,Internal_lists_bugs!$A$2:$G2031,7,FALSE()),"/commit/","/tree/"),"please select a BUG ID")</f>
        <v>https://github.com/elastic/elasticsearch/tree/5aa0a8438f</v>
      </c>
      <c r="D983" s="38" t="s">
        <v>5033</v>
      </c>
      <c r="E983" s="205" t="s">
        <v>5034</v>
      </c>
      <c r="F983" s="1"/>
      <c r="G983" s="1"/>
      <c r="H983" s="1" t="s">
        <v>5042</v>
      </c>
      <c r="J983" s="183" t="str">
        <f>IFERROR(VLOOKUP(A983,Internal_lists_bugs!$A$2:$I2031,9,FALSE()),"please select a BUG ID")</f>
        <v>No information available</v>
      </c>
    </row>
    <row r="984">
      <c r="A984" s="1" t="s">
        <v>67</v>
      </c>
      <c r="B984" s="50" t="str">
        <f>IFERROR(HYPERLINK(VLOOKUP(A984,Internal_lists_bugs!$A$2:$C$73,3,FALSE()), VLOOKUP(A984,Internal_lists_bugs!$A$2:$C$73,3,FALSE())&amp;Char(10) &amp; Char(10) &amp; VLOOKUP(A984,Internal_lists_bugs!$A$2:$Z$73,26,FALSE())),"please select a BUG ID")</f>
        <v>https://github.com/elastic/elasticsearch/issues/8526
/geo/GeoHashUtils.java</v>
      </c>
      <c r="C984" s="81" t="str">
        <f>IFERROR(SUBSTITUTE(VLOOKUP(A984,Internal_lists_bugs!$A$2:$G2031,7,FALSE()),"/commit/","/tree/"),"please select a BUG ID")</f>
        <v>https://github.com/elastic/elasticsearch/tree/5aa0a8438f</v>
      </c>
      <c r="D984" s="38" t="s">
        <v>5037</v>
      </c>
      <c r="E984" s="1" t="s">
        <v>5047</v>
      </c>
      <c r="F984" s="1"/>
      <c r="G984" s="1"/>
      <c r="H984" s="9" t="s">
        <v>4692</v>
      </c>
      <c r="I984" s="16" t="s">
        <v>5036</v>
      </c>
      <c r="J984" s="183" t="str">
        <f>IFERROR(VLOOKUP(A984,Internal_lists_bugs!$A$2:$I2031,9,FALSE()),"please select a BUG ID")</f>
        <v>No information available</v>
      </c>
    </row>
    <row r="985">
      <c r="A985" s="1" t="s">
        <v>67</v>
      </c>
      <c r="B985" s="50" t="str">
        <f>IFERROR(HYPERLINK(VLOOKUP(A985,Internal_lists_bugs!$A$2:$C$73,3,FALSE()), VLOOKUP(A985,Internal_lists_bugs!$A$2:$C$73,3,FALSE())&amp;Char(10) &amp; Char(10) &amp; VLOOKUP(A985,Internal_lists_bugs!$A$2:$Z$73,26,FALSE())),"please select a BUG ID")</f>
        <v>https://github.com/elastic/elasticsearch/issues/8526
/geo/GeoHashUtils.java</v>
      </c>
      <c r="C985" s="81" t="str">
        <f>IFERROR(SUBSTITUTE(VLOOKUP(A985,Internal_lists_bugs!$A$2:$G2031,7,FALSE()),"/commit/","/tree/"),"please select a BUG ID")</f>
        <v>https://github.com/elastic/elasticsearch/tree/5aa0a8438f</v>
      </c>
      <c r="D985" s="16" t="s">
        <v>4968</v>
      </c>
      <c r="E985" s="16" t="s">
        <v>5059</v>
      </c>
      <c r="F985" s="1"/>
      <c r="G985" s="1"/>
      <c r="H985" s="9" t="s">
        <v>4696</v>
      </c>
      <c r="I985" s="16" t="s">
        <v>5036</v>
      </c>
      <c r="J985" s="183" t="str">
        <f>IFERROR(VLOOKUP(A985,Internal_lists_bugs!$A$2:$I2031,9,FALSE()),"please select a BUG ID")</f>
        <v>No information available</v>
      </c>
    </row>
    <row r="986">
      <c r="A986" s="1" t="s">
        <v>67</v>
      </c>
      <c r="B986" s="50" t="str">
        <f>IFERROR(HYPERLINK(VLOOKUP(A986,Internal_lists_bugs!$A$2:$C$73,3,FALSE()), VLOOKUP(A986,Internal_lists_bugs!$A$2:$C$73,3,FALSE())&amp;Char(10) &amp; Char(10) &amp; VLOOKUP(A986,Internal_lists_bugs!$A$2:$Z$73,26,FALSE())),"please select a BUG ID")</f>
        <v>https://github.com/elastic/elasticsearch/issues/8526
/geo/GeoHashUtils.java</v>
      </c>
      <c r="C986" s="81" t="str">
        <f>IFERROR(SUBSTITUTE(VLOOKUP(A986,Internal_lists_bugs!$A$2:$G2031,7,FALSE()),"/commit/","/tree/"),"please select a BUG ID")</f>
        <v>https://github.com/elastic/elasticsearch/tree/5aa0a8438f</v>
      </c>
      <c r="D986" s="16" t="s">
        <v>4982</v>
      </c>
      <c r="E986" s="16" t="s">
        <v>5064</v>
      </c>
      <c r="F986" s="1"/>
      <c r="G986" s="1"/>
      <c r="H986" s="1"/>
      <c r="J986" s="183" t="str">
        <f>IFERROR(VLOOKUP(A986,Internal_lists_bugs!$A$2:$I2031,9,FALSE()),"please select a BUG ID")</f>
        <v>No information available</v>
      </c>
    </row>
    <row r="987">
      <c r="A987" s="1" t="s">
        <v>77</v>
      </c>
      <c r="B987" s="50" t="str">
        <f>IFERROR(HYPERLINK(VLOOKUP(A987,Internal_lists_bugs!$A$2:$C$73,3,FALSE()), VLOOKUP(A987,Internal_lists_bugs!$A$2:$C$73,3,FALSE())&amp;Char(10) &amp; Char(10) &amp; VLOOKUP(A987,Internal_lists_bugs!$A$2:$Z$73,26,FALSE())),"please select a BUG ID")</f>
        <v>https://github.com/elastic/elasticsearch/issues/8893
/core/AbstractFieldMapper.java
/internal/TimestampFieldMapper.java</v>
      </c>
      <c r="C987" s="81" t="str">
        <f>IFERROR(SUBSTITUTE(VLOOKUP(A987,Internal_lists_bugs!$A$2:$G2031,7,FALSE()),"/commit/","/tree/"),"please select a BUG ID")</f>
        <v>https://github.com/elastic/elasticsearch/tree/85eb0ea</v>
      </c>
      <c r="D987" s="38" t="s">
        <v>4964</v>
      </c>
      <c r="E987" s="1" t="s">
        <v>5020</v>
      </c>
      <c r="F987" s="9" t="s">
        <v>4682</v>
      </c>
      <c r="G987" s="5"/>
      <c r="H987" s="203" t="s">
        <v>4818</v>
      </c>
      <c r="J987" s="196" t="str">
        <f>IFERROR(VLOOKUP(A987,Internal_lists_bugs!$A$2:$I2031,9,FALSE()),"please select a BUG ID")</f>
        <v>https://github.com/elastic/elasticsearch/pull/7036</v>
      </c>
    </row>
    <row r="988">
      <c r="A988" s="1" t="s">
        <v>77</v>
      </c>
      <c r="B988" s="50" t="str">
        <f>IFERROR(HYPERLINK(VLOOKUP(A988,Internal_lists_bugs!$A$2:$C$73,3,FALSE()), VLOOKUP(A988,Internal_lists_bugs!$A$2:$C$73,3,FALSE())&amp;Char(10) &amp; Char(10) &amp; VLOOKUP(A988,Internal_lists_bugs!$A$2:$Z$73,26,FALSE())),"please select a BUG ID")</f>
        <v>https://github.com/elastic/elasticsearch/issues/8893
/core/AbstractFieldMapper.java
/internal/TimestampFieldMapper.java</v>
      </c>
      <c r="C988" s="81" t="str">
        <f>IFERROR(SUBSTITUTE(VLOOKUP(A988,Internal_lists_bugs!$A$2:$G2031,7,FALSE()),"/commit/","/tree/"),"please select a BUG ID")</f>
        <v>https://github.com/elastic/elasticsearch/tree/85eb0ea</v>
      </c>
      <c r="D988" s="9" t="s">
        <v>5000</v>
      </c>
      <c r="E988" s="9" t="s">
        <v>5057</v>
      </c>
      <c r="F988" s="1"/>
      <c r="G988" s="1"/>
      <c r="H988" s="203" t="s">
        <v>4708</v>
      </c>
      <c r="J988" s="196" t="str">
        <f>IFERROR(VLOOKUP(A988,Internal_lists_bugs!$A$2:$I2031,9,FALSE()),"please select a BUG ID")</f>
        <v>https://github.com/elastic/elasticsearch/pull/7036</v>
      </c>
    </row>
    <row r="989">
      <c r="A989" s="1" t="s">
        <v>77</v>
      </c>
      <c r="B989" s="50" t="str">
        <f>IFERROR(HYPERLINK(VLOOKUP(A989,Internal_lists_bugs!$A$2:$C$73,3,FALSE()), VLOOKUP(A989,Internal_lists_bugs!$A$2:$C$73,3,FALSE())&amp;Char(10) &amp; Char(10) &amp; VLOOKUP(A989,Internal_lists_bugs!$A$2:$Z$73,26,FALSE())),"please select a BUG ID")</f>
        <v>https://github.com/elastic/elasticsearch/issues/8893
/core/AbstractFieldMapper.java
/internal/TimestampFieldMapper.java</v>
      </c>
      <c r="C989" s="81" t="str">
        <f>IFERROR(SUBSTITUTE(VLOOKUP(A989,Internal_lists_bugs!$A$2:$G2031,7,FALSE()),"/commit/","/tree/"),"please select a BUG ID")</f>
        <v>https://github.com/elastic/elasticsearch/tree/85eb0ea</v>
      </c>
      <c r="D989" s="38" t="s">
        <v>4973</v>
      </c>
      <c r="E989" s="1" t="s">
        <v>5023</v>
      </c>
      <c r="F989" s="1"/>
      <c r="G989" s="1"/>
      <c r="H989" s="203" t="s">
        <v>4975</v>
      </c>
      <c r="J989" s="196" t="str">
        <f>IFERROR(VLOOKUP(A989,Internal_lists_bugs!$A$2:$I2031,9,FALSE()),"please select a BUG ID")</f>
        <v>https://github.com/elastic/elasticsearch/pull/7036</v>
      </c>
    </row>
    <row r="990">
      <c r="A990" s="1" t="s">
        <v>77</v>
      </c>
      <c r="B990" s="50" t="str">
        <f>IFERROR(HYPERLINK(VLOOKUP(A990,Internal_lists_bugs!$A$2:$C$73,3,FALSE()), VLOOKUP(A990,Internal_lists_bugs!$A$2:$C$73,3,FALSE())&amp;Char(10) &amp; Char(10) &amp; VLOOKUP(A990,Internal_lists_bugs!$A$2:$Z$73,26,FALSE())),"please select a BUG ID")</f>
        <v>https://github.com/elastic/elasticsearch/issues/8893
/core/AbstractFieldMapper.java
/internal/TimestampFieldMapper.java</v>
      </c>
      <c r="C990" s="81" t="str">
        <f>IFERROR(SUBSTITUTE(VLOOKUP(A990,Internal_lists_bugs!$A$2:$G2031,7,FALSE()),"/commit/","/tree/"),"please select a BUG ID")</f>
        <v>https://github.com/elastic/elasticsearch/tree/85eb0ea</v>
      </c>
      <c r="D990" s="38" t="s">
        <v>4978</v>
      </c>
      <c r="E990" s="1" t="s">
        <v>5026</v>
      </c>
      <c r="F990" s="1"/>
      <c r="G990" s="1"/>
      <c r="H990" s="203" t="s">
        <v>5024</v>
      </c>
      <c r="J990" s="196" t="str">
        <f>IFERROR(VLOOKUP(A990,Internal_lists_bugs!$A$2:$I2031,9,FALSE()),"please select a BUG ID")</f>
        <v>https://github.com/elastic/elasticsearch/pull/7036</v>
      </c>
    </row>
    <row r="991">
      <c r="A991" s="1" t="s">
        <v>77</v>
      </c>
      <c r="B991" s="50" t="str">
        <f>IFERROR(HYPERLINK(VLOOKUP(A991,Internal_lists_bugs!$A$2:$C$73,3,FALSE()), VLOOKUP(A991,Internal_lists_bugs!$A$2:$C$73,3,FALSE())&amp;Char(10) &amp; Char(10) &amp; VLOOKUP(A991,Internal_lists_bugs!$A$2:$Z$73,26,FALSE())),"please select a BUG ID")</f>
        <v>https://github.com/elastic/elasticsearch/issues/8893
/core/AbstractFieldMapper.java
/internal/TimestampFieldMapper.java</v>
      </c>
      <c r="C991" s="81" t="str">
        <f>IFERROR(SUBSTITUTE(VLOOKUP(A991,Internal_lists_bugs!$A$2:$G2031,7,FALSE()),"/commit/","/tree/"),"please select a BUG ID")</f>
        <v>https://github.com/elastic/elasticsearch/tree/85eb0ea</v>
      </c>
      <c r="D991" s="38" t="s">
        <v>4983</v>
      </c>
      <c r="E991" s="1" t="s">
        <v>5030</v>
      </c>
      <c r="F991" s="1"/>
      <c r="G991" s="1"/>
      <c r="H991" s="204" t="s">
        <v>4965</v>
      </c>
      <c r="J991" s="196" t="str">
        <f>IFERROR(VLOOKUP(A991,Internal_lists_bugs!$A$2:$I2031,9,FALSE()),"please select a BUG ID")</f>
        <v>https://github.com/elastic/elasticsearch/pull/7036</v>
      </c>
    </row>
    <row r="992">
      <c r="A992" s="1" t="s">
        <v>77</v>
      </c>
      <c r="B992" s="50" t="str">
        <f>IFERROR(HYPERLINK(VLOOKUP(A992,Internal_lists_bugs!$A$2:$C$73,3,FALSE()), VLOOKUP(A992,Internal_lists_bugs!$A$2:$C$73,3,FALSE())&amp;Char(10) &amp; Char(10) &amp; VLOOKUP(A992,Internal_lists_bugs!$A$2:$Z$73,26,FALSE())),"please select a BUG ID")</f>
        <v>https://github.com/elastic/elasticsearch/issues/8893
/core/AbstractFieldMapper.java
/internal/TimestampFieldMapper.java</v>
      </c>
      <c r="C992" s="81" t="str">
        <f>IFERROR(SUBSTITUTE(VLOOKUP(A992,Internal_lists_bugs!$A$2:$G2031,7,FALSE()),"/commit/","/tree/"),"please select a BUG ID")</f>
        <v>https://github.com/elastic/elasticsearch/tree/85eb0ea</v>
      </c>
      <c r="D992" s="1" t="s">
        <v>4985</v>
      </c>
      <c r="E992" s="1" t="s">
        <v>4996</v>
      </c>
      <c r="F992" s="1"/>
      <c r="G992" s="1"/>
      <c r="H992" s="204" t="s">
        <v>5028</v>
      </c>
      <c r="J992" s="196" t="str">
        <f>IFERROR(VLOOKUP(A992,Internal_lists_bugs!$A$2:$I2031,9,FALSE()),"please select a BUG ID")</f>
        <v>https://github.com/elastic/elasticsearch/pull/7036</v>
      </c>
    </row>
    <row r="993">
      <c r="A993" s="1" t="s">
        <v>77</v>
      </c>
      <c r="B993" s="50" t="str">
        <f>IFERROR(HYPERLINK(VLOOKUP(A993,Internal_lists_bugs!$A$2:$C$73,3,FALSE()), VLOOKUP(A993,Internal_lists_bugs!$A$2:$C$73,3,FALSE())&amp;Char(10) &amp; Char(10) &amp; VLOOKUP(A993,Internal_lists_bugs!$A$2:$Z$73,26,FALSE())),"please select a BUG ID")</f>
        <v>https://github.com/elastic/elasticsearch/issues/8893
/core/AbstractFieldMapper.java
/internal/TimestampFieldMapper.java</v>
      </c>
      <c r="C993" s="81" t="str">
        <f>IFERROR(SUBSTITUTE(VLOOKUP(A993,Internal_lists_bugs!$A$2:$G2031,7,FALSE()),"/commit/","/tree/"),"please select a BUG ID")</f>
        <v>https://github.com/elastic/elasticsearch/tree/85eb0ea</v>
      </c>
      <c r="D993" s="38" t="s">
        <v>5003</v>
      </c>
      <c r="E993" s="38" t="s">
        <v>5032</v>
      </c>
      <c r="F993" s="1"/>
      <c r="G993" s="1"/>
      <c r="H993" s="38" t="s">
        <v>5039</v>
      </c>
      <c r="J993" s="196" t="str">
        <f>IFERROR(VLOOKUP(A993,Internal_lists_bugs!$A$2:$I2031,9,FALSE()),"please select a BUG ID")</f>
        <v>https://github.com/elastic/elasticsearch/pull/7036</v>
      </c>
    </row>
    <row r="994">
      <c r="A994" s="1" t="s">
        <v>77</v>
      </c>
      <c r="B994" s="50" t="str">
        <f>IFERROR(HYPERLINK(VLOOKUP(A994,Internal_lists_bugs!$A$2:$C$73,3,FALSE()), VLOOKUP(A994,Internal_lists_bugs!$A$2:$C$73,3,FALSE())&amp;Char(10) &amp; Char(10) &amp; VLOOKUP(A994,Internal_lists_bugs!$A$2:$Z$73,26,FALSE())),"please select a BUG ID")</f>
        <v>https://github.com/elastic/elasticsearch/issues/8893
/core/AbstractFieldMapper.java
/internal/TimestampFieldMapper.java</v>
      </c>
      <c r="C994" s="81" t="str">
        <f>IFERROR(SUBSTITUTE(VLOOKUP(A994,Internal_lists_bugs!$A$2:$G2031,7,FALSE()),"/commit/","/tree/"),"please select a BUG ID")</f>
        <v>https://github.com/elastic/elasticsearch/tree/85eb0ea</v>
      </c>
      <c r="D994" s="38" t="s">
        <v>5033</v>
      </c>
      <c r="E994" s="205" t="s">
        <v>5034</v>
      </c>
      <c r="F994" s="1"/>
      <c r="G994" s="1"/>
      <c r="H994" s="38" t="s">
        <v>5035</v>
      </c>
      <c r="J994" s="196" t="str">
        <f>IFERROR(VLOOKUP(A994,Internal_lists_bugs!$A$2:$I2031,9,FALSE()),"please select a BUG ID")</f>
        <v>https://github.com/elastic/elasticsearch/pull/7036</v>
      </c>
    </row>
    <row r="995">
      <c r="A995" s="1" t="s">
        <v>77</v>
      </c>
      <c r="B995" s="50" t="str">
        <f>IFERROR(HYPERLINK(VLOOKUP(A995,Internal_lists_bugs!$A$2:$C$73,3,FALSE()), VLOOKUP(A995,Internal_lists_bugs!$A$2:$C$73,3,FALSE())&amp;Char(10) &amp; Char(10) &amp; VLOOKUP(A995,Internal_lists_bugs!$A$2:$Z$73,26,FALSE())),"please select a BUG ID")</f>
        <v>https://github.com/elastic/elasticsearch/issues/8893
/core/AbstractFieldMapper.java
/internal/TimestampFieldMapper.java</v>
      </c>
      <c r="C995" s="81" t="str">
        <f>IFERROR(SUBSTITUTE(VLOOKUP(A995,Internal_lists_bugs!$A$2:$G2031,7,FALSE()),"/commit/","/tree/"),"please select a BUG ID")</f>
        <v>https://github.com/elastic/elasticsearch/tree/85eb0ea</v>
      </c>
      <c r="D995" s="9" t="s">
        <v>5044</v>
      </c>
      <c r="E995" s="205" t="s">
        <v>5065</v>
      </c>
      <c r="F995" s="1"/>
      <c r="G995" s="1"/>
      <c r="H995" s="1" t="s">
        <v>5042</v>
      </c>
      <c r="J995" s="196" t="str">
        <f>IFERROR(VLOOKUP(A995,Internal_lists_bugs!$A$2:$I2031,9,FALSE()),"please select a BUG ID")</f>
        <v>https://github.com/elastic/elasticsearch/pull/7036</v>
      </c>
    </row>
    <row r="996">
      <c r="A996" s="1" t="s">
        <v>77</v>
      </c>
      <c r="B996" s="50" t="str">
        <f>IFERROR(HYPERLINK(VLOOKUP(A996,Internal_lists_bugs!$A$2:$C$73,3,FALSE()), VLOOKUP(A996,Internal_lists_bugs!$A$2:$C$73,3,FALSE())&amp;Char(10) &amp; Char(10) &amp; VLOOKUP(A996,Internal_lists_bugs!$A$2:$Z$73,26,FALSE())),"please select a BUG ID")</f>
        <v>https://github.com/elastic/elasticsearch/issues/8893
/core/AbstractFieldMapper.java
/internal/TimestampFieldMapper.java</v>
      </c>
      <c r="C996" s="81" t="str">
        <f>IFERROR(SUBSTITUTE(VLOOKUP(A996,Internal_lists_bugs!$A$2:$G2031,7,FALSE()),"/commit/","/tree/"),"please select a BUG ID")</f>
        <v>https://github.com/elastic/elasticsearch/tree/85eb0ea</v>
      </c>
      <c r="D996" s="38" t="s">
        <v>5037</v>
      </c>
      <c r="E996" s="206" t="s">
        <v>5047</v>
      </c>
      <c r="F996" s="1"/>
      <c r="G996" s="1"/>
      <c r="H996" s="1" t="s">
        <v>4684</v>
      </c>
      <c r="J996" s="196" t="str">
        <f>IFERROR(VLOOKUP(A996,Internal_lists_bugs!$A$2:$I2031,9,FALSE()),"please select a BUG ID")</f>
        <v>https://github.com/elastic/elasticsearch/pull/7036</v>
      </c>
    </row>
    <row r="997">
      <c r="A997" s="1" t="s">
        <v>77</v>
      </c>
      <c r="B997" s="50" t="str">
        <f>IFERROR(HYPERLINK(VLOOKUP(A997,Internal_lists_bugs!$A$2:$C$73,3,FALSE()), VLOOKUP(A997,Internal_lists_bugs!$A$2:$C$73,3,FALSE())&amp;Char(10) &amp; Char(10) &amp; VLOOKUP(A997,Internal_lists_bugs!$A$2:$Z$73,26,FALSE())),"please select a BUG ID")</f>
        <v>https://github.com/elastic/elasticsearch/issues/8893
/core/AbstractFieldMapper.java
/internal/TimestampFieldMapper.java</v>
      </c>
      <c r="C997" s="81" t="str">
        <f>IFERROR(SUBSTITUTE(VLOOKUP(A997,Internal_lists_bugs!$A$2:$G2031,7,FALSE()),"/commit/","/tree/"),"please select a BUG ID")</f>
        <v>https://github.com/elastic/elasticsearch/tree/85eb0ea</v>
      </c>
      <c r="D997" s="1" t="s">
        <v>1325</v>
      </c>
      <c r="E997" s="1" t="s">
        <v>5050</v>
      </c>
      <c r="F997" s="1"/>
      <c r="G997" s="1"/>
      <c r="H997" s="9" t="s">
        <v>4692</v>
      </c>
      <c r="J997" s="196" t="str">
        <f>IFERROR(VLOOKUP(A997,Internal_lists_bugs!$A$2:$I2031,9,FALSE()),"please select a BUG ID")</f>
        <v>https://github.com/elastic/elasticsearch/pull/7036</v>
      </c>
    </row>
    <row r="998">
      <c r="A998" s="1" t="s">
        <v>77</v>
      </c>
      <c r="B998" s="50" t="str">
        <f>IFERROR(HYPERLINK(VLOOKUP(A998,Internal_lists_bugs!$A$2:$C$73,3,FALSE()), VLOOKUP(A998,Internal_lists_bugs!$A$2:$C$73,3,FALSE())&amp;Char(10) &amp; Char(10) &amp; VLOOKUP(A998,Internal_lists_bugs!$A$2:$Z$73,26,FALSE())),"please select a BUG ID")</f>
        <v>https://github.com/elastic/elasticsearch/issues/8893
/core/AbstractFieldMapper.java
/internal/TimestampFieldMapper.java</v>
      </c>
      <c r="C998" s="81" t="str">
        <f>IFERROR(SUBSTITUTE(VLOOKUP(A998,Internal_lists_bugs!$A$2:$G2031,7,FALSE()),"/commit/","/tree/"),"please select a BUG ID")</f>
        <v>https://github.com/elastic/elasticsearch/tree/85eb0ea</v>
      </c>
      <c r="D998" s="1" t="s">
        <v>5051</v>
      </c>
      <c r="E998" s="1"/>
      <c r="F998" s="1"/>
      <c r="G998" s="1"/>
      <c r="H998" s="9" t="s">
        <v>4696</v>
      </c>
      <c r="J998" s="196" t="str">
        <f>IFERROR(VLOOKUP(A998,Internal_lists_bugs!$A$2:$I2031,9,FALSE()),"please select a BUG ID")</f>
        <v>https://github.com/elastic/elasticsearch/pull/7036</v>
      </c>
    </row>
    <row r="999">
      <c r="A999" s="1" t="s">
        <v>77</v>
      </c>
      <c r="B999" s="50" t="str">
        <f>IFERROR(HYPERLINK(VLOOKUP(A999,Internal_lists_bugs!$A$2:$C$73,3,FALSE()), VLOOKUP(A999,Internal_lists_bugs!$A$2:$C$73,3,FALSE())&amp;Char(10) &amp; Char(10) &amp; VLOOKUP(A999,Internal_lists_bugs!$A$2:$Z$73,26,FALSE())),"please select a BUG ID")</f>
        <v>https://github.com/elastic/elasticsearch/issues/8893
/core/AbstractFieldMapper.java
/internal/TimestampFieldMapper.java</v>
      </c>
      <c r="C999" s="81" t="str">
        <f>IFERROR(SUBSTITUTE(VLOOKUP(A999,Internal_lists_bugs!$A$2:$G2031,7,FALSE()),"/commit/","/tree/"),"please select a BUG ID")</f>
        <v>https://github.com/elastic/elasticsearch/tree/85eb0ea</v>
      </c>
      <c r="D999" s="16" t="s">
        <v>4968</v>
      </c>
      <c r="E999" s="16" t="s">
        <v>5059</v>
      </c>
      <c r="F999" s="54"/>
      <c r="H999" s="114"/>
      <c r="J999" s="196" t="str">
        <f>IFERROR(VLOOKUP(A999,Internal_lists_bugs!$A$2:$I2031,9,FALSE()),"please select a BUG ID")</f>
        <v>https://github.com/elastic/elasticsearch/pull/7036</v>
      </c>
    </row>
    <row r="1000">
      <c r="A1000" s="1" t="s">
        <v>76</v>
      </c>
      <c r="B1000" s="50" t="str">
        <f>IFERROR(HYPERLINK(VLOOKUP(A1000,Internal_lists_bugs!$A$2:$C$73,3,FALSE()), VLOOKUP(A1000,Internal_lists_bugs!$A$2:$C$73,3,FALSE())&amp;Char(10) &amp; Char(10) &amp; VLOOKUP(A1000,Internal_lists_bugs!$A$2:$Z$73,26,FALSE())),"please select a BUG ID")</f>
        <v>https://github.com/elastic/elasticsearch/issues/9317
/nested/NestedAggregator.java</v>
      </c>
      <c r="C1000" s="81" t="str">
        <f>IFERROR(SUBSTITUTE(VLOOKUP(A1000,Internal_lists_bugs!$A$2:$G2031,7,FALSE()),"/commit/","/tree/"),"please select a BUG ID")</f>
        <v>https://github.com/elastic/elasticsearch/tree/5714b0a</v>
      </c>
      <c r="D1000" s="38" t="s">
        <v>4964</v>
      </c>
      <c r="E1000" s="1" t="s">
        <v>5020</v>
      </c>
      <c r="F1000" s="9" t="s">
        <v>4724</v>
      </c>
      <c r="G1000" s="207" t="s">
        <v>5066</v>
      </c>
      <c r="H1000" s="203" t="s">
        <v>4818</v>
      </c>
      <c r="J1000" s="183" t="str">
        <f>IFERROR(VLOOKUP(A1000,Internal_lists_bugs!$A$2:$I2031,9,FALSE()),"please select a BUG ID")</f>
        <v/>
      </c>
    </row>
    <row r="1001">
      <c r="A1001" s="1" t="s">
        <v>76</v>
      </c>
      <c r="B1001" s="50" t="str">
        <f>IFERROR(HYPERLINK(VLOOKUP(A1001,Internal_lists_bugs!$A$2:$C$73,3,FALSE()), VLOOKUP(A1001,Internal_lists_bugs!$A$2:$C$73,3,FALSE())&amp;Char(10) &amp; Char(10) &amp; VLOOKUP(A1001,Internal_lists_bugs!$A$2:$Z$73,26,FALSE())),"please select a BUG ID")</f>
        <v>https://github.com/elastic/elasticsearch/issues/9317
/nested/NestedAggregator.java</v>
      </c>
      <c r="C1001" s="81" t="str">
        <f>IFERROR(SUBSTITUTE(VLOOKUP(A1001,Internal_lists_bugs!$A$2:$G2031,7,FALSE()),"/commit/","/tree/"),"please select a BUG ID")</f>
        <v>https://github.com/elastic/elasticsearch/tree/5714b0a</v>
      </c>
      <c r="D1001" s="9" t="s">
        <v>5000</v>
      </c>
      <c r="E1001" s="9" t="s">
        <v>5057</v>
      </c>
      <c r="F1001" s="1"/>
      <c r="G1001" s="1"/>
      <c r="H1001" s="203" t="s">
        <v>4708</v>
      </c>
      <c r="J1001" s="183" t="str">
        <f>IFERROR(VLOOKUP(A1001,Internal_lists_bugs!$A$2:$I2031,9,FALSE()),"please select a BUG ID")</f>
        <v/>
      </c>
    </row>
    <row r="1002">
      <c r="A1002" s="1" t="s">
        <v>76</v>
      </c>
      <c r="B1002" s="50" t="str">
        <f>IFERROR(HYPERLINK(VLOOKUP(A1002,Internal_lists_bugs!$A$2:$C$73,3,FALSE()), VLOOKUP(A1002,Internal_lists_bugs!$A$2:$C$73,3,FALSE())&amp;Char(10) &amp; Char(10) &amp; VLOOKUP(A1002,Internal_lists_bugs!$A$2:$Z$73,26,FALSE())),"please select a BUG ID")</f>
        <v>https://github.com/elastic/elasticsearch/issues/9317
/nested/NestedAggregator.java</v>
      </c>
      <c r="C1002" s="81" t="str">
        <f>IFERROR(SUBSTITUTE(VLOOKUP(A1002,Internal_lists_bugs!$A$2:$G2031,7,FALSE()),"/commit/","/tree/"),"please select a BUG ID")</f>
        <v>https://github.com/elastic/elasticsearch/tree/5714b0a</v>
      </c>
      <c r="D1002" s="38" t="s">
        <v>4973</v>
      </c>
      <c r="E1002" s="1" t="s">
        <v>5023</v>
      </c>
      <c r="F1002" s="1"/>
      <c r="G1002" s="1"/>
      <c r="H1002" s="203" t="s">
        <v>4975</v>
      </c>
      <c r="J1002" s="183" t="str">
        <f>IFERROR(VLOOKUP(A1002,Internal_lists_bugs!$A$2:$I2031,9,FALSE()),"please select a BUG ID")</f>
        <v/>
      </c>
    </row>
    <row r="1003">
      <c r="A1003" s="1" t="s">
        <v>76</v>
      </c>
      <c r="B1003" s="50" t="str">
        <f>IFERROR(HYPERLINK(VLOOKUP(A1003,Internal_lists_bugs!$A$2:$C$73,3,FALSE()), VLOOKUP(A1003,Internal_lists_bugs!$A$2:$C$73,3,FALSE())&amp;Char(10) &amp; Char(10) &amp; VLOOKUP(A1003,Internal_lists_bugs!$A$2:$Z$73,26,FALSE())),"please select a BUG ID")</f>
        <v>https://github.com/elastic/elasticsearch/issues/9317
/nested/NestedAggregator.java</v>
      </c>
      <c r="C1003" s="81" t="str">
        <f>IFERROR(SUBSTITUTE(VLOOKUP(A1003,Internal_lists_bugs!$A$2:$G2031,7,FALSE()),"/commit/","/tree/"),"please select a BUG ID")</f>
        <v>https://github.com/elastic/elasticsearch/tree/5714b0a</v>
      </c>
      <c r="D1003" s="38" t="s">
        <v>4978</v>
      </c>
      <c r="E1003" s="1" t="s">
        <v>5026</v>
      </c>
      <c r="F1003" s="1"/>
      <c r="G1003" s="1"/>
      <c r="H1003" s="203" t="s">
        <v>5024</v>
      </c>
      <c r="J1003" s="183" t="str">
        <f>IFERROR(VLOOKUP(A1003,Internal_lists_bugs!$A$2:$I2031,9,FALSE()),"please select a BUG ID")</f>
        <v/>
      </c>
    </row>
    <row r="1004">
      <c r="A1004" s="1" t="s">
        <v>76</v>
      </c>
      <c r="B1004" s="50" t="str">
        <f>IFERROR(HYPERLINK(VLOOKUP(A1004,Internal_lists_bugs!$A$2:$C$73,3,FALSE()), VLOOKUP(A1004,Internal_lists_bugs!$A$2:$C$73,3,FALSE())&amp;Char(10) &amp; Char(10) &amp; VLOOKUP(A1004,Internal_lists_bugs!$A$2:$Z$73,26,FALSE())),"please select a BUG ID")</f>
        <v>https://github.com/elastic/elasticsearch/issues/9317
/nested/NestedAggregator.java</v>
      </c>
      <c r="C1004" s="81" t="str">
        <f>IFERROR(SUBSTITUTE(VLOOKUP(A1004,Internal_lists_bugs!$A$2:$G2031,7,FALSE()),"/commit/","/tree/"),"please select a BUG ID")</f>
        <v>https://github.com/elastic/elasticsearch/tree/5714b0a</v>
      </c>
      <c r="D1004" s="38" t="s">
        <v>4983</v>
      </c>
      <c r="E1004" s="1" t="s">
        <v>5030</v>
      </c>
      <c r="F1004" s="1"/>
      <c r="G1004" s="1"/>
      <c r="H1004" s="204" t="s">
        <v>4965</v>
      </c>
      <c r="J1004" s="183" t="str">
        <f>IFERROR(VLOOKUP(A1004,Internal_lists_bugs!$A$2:$I2031,9,FALSE()),"please select a BUG ID")</f>
        <v/>
      </c>
    </row>
    <row r="1005">
      <c r="A1005" s="1" t="s">
        <v>76</v>
      </c>
      <c r="B1005" s="50" t="str">
        <f>IFERROR(HYPERLINK(VLOOKUP(A1005,Internal_lists_bugs!$A$2:$C$73,3,FALSE()), VLOOKUP(A1005,Internal_lists_bugs!$A$2:$C$73,3,FALSE())&amp;Char(10) &amp; Char(10) &amp; VLOOKUP(A1005,Internal_lists_bugs!$A$2:$Z$73,26,FALSE())),"please select a BUG ID")</f>
        <v>https://github.com/elastic/elasticsearch/issues/9317
/nested/NestedAggregator.java</v>
      </c>
      <c r="C1005" s="81" t="str">
        <f>IFERROR(SUBSTITUTE(VLOOKUP(A1005,Internal_lists_bugs!$A$2:$G2031,7,FALSE()),"/commit/","/tree/"),"please select a BUG ID")</f>
        <v>https://github.com/elastic/elasticsearch/tree/5714b0a</v>
      </c>
      <c r="D1005" s="1" t="s">
        <v>4985</v>
      </c>
      <c r="E1005" s="1" t="s">
        <v>4996</v>
      </c>
      <c r="F1005" s="1"/>
      <c r="G1005" s="1"/>
      <c r="H1005" s="204" t="s">
        <v>5028</v>
      </c>
      <c r="J1005" s="183" t="str">
        <f>IFERROR(VLOOKUP(A1005,Internal_lists_bugs!$A$2:$I2031,9,FALSE()),"please select a BUG ID")</f>
        <v/>
      </c>
    </row>
    <row r="1006">
      <c r="A1006" s="1" t="s">
        <v>76</v>
      </c>
      <c r="B1006" s="50" t="str">
        <f>IFERROR(HYPERLINK(VLOOKUP(A1006,Internal_lists_bugs!$A$2:$C$73,3,FALSE()), VLOOKUP(A1006,Internal_lists_bugs!$A$2:$C$73,3,FALSE())&amp;Char(10) &amp; Char(10) &amp; VLOOKUP(A1006,Internal_lists_bugs!$A$2:$Z$73,26,FALSE())),"please select a BUG ID")</f>
        <v>https://github.com/elastic/elasticsearch/issues/9317
/nested/NestedAggregator.java</v>
      </c>
      <c r="C1006" s="81" t="str">
        <f>IFERROR(SUBSTITUTE(VLOOKUP(A1006,Internal_lists_bugs!$A$2:$G2031,7,FALSE()),"/commit/","/tree/"),"please select a BUG ID")</f>
        <v>https://github.com/elastic/elasticsearch/tree/5714b0a</v>
      </c>
      <c r="D1006" s="38" t="s">
        <v>5003</v>
      </c>
      <c r="E1006" s="38" t="s">
        <v>5032</v>
      </c>
      <c r="F1006" s="1"/>
      <c r="G1006" s="1"/>
      <c r="H1006" s="38" t="s">
        <v>5039</v>
      </c>
      <c r="J1006" s="183" t="str">
        <f>IFERROR(VLOOKUP(A1006,Internal_lists_bugs!$A$2:$I2031,9,FALSE()),"please select a BUG ID")</f>
        <v/>
      </c>
    </row>
    <row r="1007">
      <c r="A1007" s="1" t="s">
        <v>76</v>
      </c>
      <c r="B1007" s="50" t="str">
        <f>IFERROR(HYPERLINK(VLOOKUP(A1007,Internal_lists_bugs!$A$2:$C$73,3,FALSE()), VLOOKUP(A1007,Internal_lists_bugs!$A$2:$C$73,3,FALSE())&amp;Char(10) &amp; Char(10) &amp; VLOOKUP(A1007,Internal_lists_bugs!$A$2:$Z$73,26,FALSE())),"please select a BUG ID")</f>
        <v>https://github.com/elastic/elasticsearch/issues/9317
/nested/NestedAggregator.java</v>
      </c>
      <c r="C1007" s="81" t="str">
        <f>IFERROR(SUBSTITUTE(VLOOKUP(A1007,Internal_lists_bugs!$A$2:$G2031,7,FALSE()),"/commit/","/tree/"),"please select a BUG ID")</f>
        <v>https://github.com/elastic/elasticsearch/tree/5714b0a</v>
      </c>
      <c r="D1007" s="38" t="s">
        <v>5033</v>
      </c>
      <c r="E1007" s="205" t="s">
        <v>5034</v>
      </c>
      <c r="F1007" s="1"/>
      <c r="G1007" s="1"/>
      <c r="H1007" s="38" t="s">
        <v>5035</v>
      </c>
      <c r="J1007" s="183" t="str">
        <f>IFERROR(VLOOKUP(A1007,Internal_lists_bugs!$A$2:$I2031,9,FALSE()),"please select a BUG ID")</f>
        <v/>
      </c>
    </row>
    <row r="1008">
      <c r="A1008" s="1" t="s">
        <v>76</v>
      </c>
      <c r="B1008" s="50" t="str">
        <f>IFERROR(HYPERLINK(VLOOKUP(A1008,Internal_lists_bugs!$A$2:$C$73,3,FALSE()), VLOOKUP(A1008,Internal_lists_bugs!$A$2:$C$73,3,FALSE())&amp;Char(10) &amp; Char(10) &amp; VLOOKUP(A1008,Internal_lists_bugs!$A$2:$Z$73,26,FALSE())),"please select a BUG ID")</f>
        <v>https://github.com/elastic/elasticsearch/issues/9317
/nested/NestedAggregator.java</v>
      </c>
      <c r="C1008" s="81" t="str">
        <f>IFERROR(SUBSTITUTE(VLOOKUP(A1008,Internal_lists_bugs!$A$2:$G2031,7,FALSE()),"/commit/","/tree/"),"please select a BUG ID")</f>
        <v>https://github.com/elastic/elasticsearch/tree/5714b0a</v>
      </c>
      <c r="D1008" s="9" t="s">
        <v>5044</v>
      </c>
      <c r="E1008" s="205" t="s">
        <v>5067</v>
      </c>
      <c r="F1008" s="1"/>
      <c r="G1008" s="1"/>
      <c r="H1008" s="1" t="s">
        <v>5042</v>
      </c>
      <c r="I1008" s="16" t="s">
        <v>5036</v>
      </c>
      <c r="J1008" s="183" t="str">
        <f>IFERROR(VLOOKUP(A1008,Internal_lists_bugs!$A$2:$I2031,9,FALSE()),"please select a BUG ID")</f>
        <v/>
      </c>
    </row>
    <row r="1009">
      <c r="A1009" s="1" t="s">
        <v>76</v>
      </c>
      <c r="B1009" s="50" t="str">
        <f>IFERROR(HYPERLINK(VLOOKUP(A1009,Internal_lists_bugs!$A$2:$C$73,3,FALSE()), VLOOKUP(A1009,Internal_lists_bugs!$A$2:$C$73,3,FALSE())&amp;Char(10) &amp; Char(10) &amp; VLOOKUP(A1009,Internal_lists_bugs!$A$2:$Z$73,26,FALSE())),"please select a BUG ID")</f>
        <v>https://github.com/elastic/elasticsearch/issues/9317
/nested/NestedAggregator.java</v>
      </c>
      <c r="C1009" s="81" t="str">
        <f>IFERROR(SUBSTITUTE(VLOOKUP(A1009,Internal_lists_bugs!$A$2:$G2031,7,FALSE()),"/commit/","/tree/"),"please select a BUG ID")</f>
        <v>https://github.com/elastic/elasticsearch/tree/5714b0a</v>
      </c>
      <c r="D1009" s="38" t="s">
        <v>5037</v>
      </c>
      <c r="E1009" s="206" t="s">
        <v>5047</v>
      </c>
      <c r="F1009" s="1"/>
      <c r="G1009" s="1"/>
      <c r="H1009" s="1" t="s">
        <v>4684</v>
      </c>
      <c r="I1009" s="16" t="s">
        <v>5036</v>
      </c>
      <c r="J1009" s="183" t="str">
        <f>IFERROR(VLOOKUP(A1009,Internal_lists_bugs!$A$2:$I2031,9,FALSE()),"please select a BUG ID")</f>
        <v/>
      </c>
    </row>
    <row r="1010">
      <c r="A1010" s="1" t="s">
        <v>76</v>
      </c>
      <c r="B1010" s="50" t="str">
        <f>IFERROR(HYPERLINK(VLOOKUP(A1010,Internal_lists_bugs!$A$2:$C$73,3,FALSE()), VLOOKUP(A1010,Internal_lists_bugs!$A$2:$C$73,3,FALSE())&amp;Char(10) &amp; Char(10) &amp; VLOOKUP(A1010,Internal_lists_bugs!$A$2:$Z$73,26,FALSE())),"please select a BUG ID")</f>
        <v>https://github.com/elastic/elasticsearch/issues/9317
/nested/NestedAggregator.java</v>
      </c>
      <c r="C1010" s="81" t="str">
        <f>IFERROR(SUBSTITUTE(VLOOKUP(A1010,Internal_lists_bugs!$A$2:$G2031,7,FALSE()),"/commit/","/tree/"),"please select a BUG ID")</f>
        <v>https://github.com/elastic/elasticsearch/tree/5714b0a</v>
      </c>
      <c r="D1010" s="1" t="s">
        <v>1325</v>
      </c>
      <c r="E1010" s="1" t="s">
        <v>5050</v>
      </c>
      <c r="F1010" s="1"/>
      <c r="G1010" s="1"/>
      <c r="H1010" s="9"/>
      <c r="J1010" s="183" t="str">
        <f>IFERROR(VLOOKUP(A1010,Internal_lists_bugs!$A$2:$I2031,9,FALSE()),"please select a BUG ID")</f>
        <v/>
      </c>
    </row>
    <row r="1011">
      <c r="A1011" s="1" t="s">
        <v>76</v>
      </c>
      <c r="B1011" s="50" t="str">
        <f>IFERROR(HYPERLINK(VLOOKUP(A1011,Internal_lists_bugs!$A$2:$C$73,3,FALSE()), VLOOKUP(A1011,Internal_lists_bugs!$A$2:$C$73,3,FALSE())&amp;Char(10) &amp; Char(10) &amp; VLOOKUP(A1011,Internal_lists_bugs!$A$2:$Z$73,26,FALSE())),"please select a BUG ID")</f>
        <v>https://github.com/elastic/elasticsearch/issues/9317
/nested/NestedAggregator.java</v>
      </c>
      <c r="C1011" s="81" t="str">
        <f>IFERROR(SUBSTITUTE(VLOOKUP(A1011,Internal_lists_bugs!$A$2:$G2031,7,FALSE()),"/commit/","/tree/"),"please select a BUG ID")</f>
        <v>https://github.com/elastic/elasticsearch/tree/5714b0a</v>
      </c>
      <c r="D1011" s="1" t="s">
        <v>5051</v>
      </c>
      <c r="E1011" s="1"/>
      <c r="F1011" s="1"/>
      <c r="G1011" s="1"/>
      <c r="H1011" s="114"/>
      <c r="J1011" s="183" t="str">
        <f>IFERROR(VLOOKUP(A1011,Internal_lists_bugs!$A$2:$I2031,9,FALSE()),"please select a BUG ID")</f>
        <v/>
      </c>
    </row>
    <row r="1012">
      <c r="A1012" s="1" t="s">
        <v>76</v>
      </c>
      <c r="B1012" s="50" t="str">
        <f>IFERROR(HYPERLINK(VLOOKUP(A1012,Internal_lists_bugs!$A$2:$C$73,3,FALSE()), VLOOKUP(A1012,Internal_lists_bugs!$A$2:$C$73,3,FALSE())&amp;Char(10) &amp; Char(10) &amp; VLOOKUP(A1012,Internal_lists_bugs!$A$2:$Z$73,26,FALSE())),"please select a BUG ID")</f>
        <v>https://github.com/elastic/elasticsearch/issues/9317
/nested/NestedAggregator.java</v>
      </c>
      <c r="C1012" s="81" t="str">
        <f>IFERROR(SUBSTITUTE(VLOOKUP(A1012,Internal_lists_bugs!$A$2:$G2031,7,FALSE()),"/commit/","/tree/"),"please select a BUG ID")</f>
        <v>https://github.com/elastic/elasticsearch/tree/5714b0a</v>
      </c>
      <c r="D1012" s="16" t="s">
        <v>4968</v>
      </c>
      <c r="E1012" s="16" t="s">
        <v>5059</v>
      </c>
      <c r="F1012" s="54"/>
      <c r="H1012" s="114"/>
      <c r="J1012" s="183" t="str">
        <f>IFERROR(VLOOKUP(A1012,Internal_lists_bugs!$A$2:$I2031,9,FALSE()),"please select a BUG ID")</f>
        <v/>
      </c>
    </row>
    <row r="1013">
      <c r="A1013" s="1" t="s">
        <v>76</v>
      </c>
      <c r="B1013" s="50" t="str">
        <f>IFERROR(HYPERLINK(VLOOKUP(A1013,Internal_lists_bugs!$A$2:$C$73,3,FALSE()), VLOOKUP(A1013,Internal_lists_bugs!$A$2:$C$73,3,FALSE())&amp;Char(10) &amp; Char(10) &amp; VLOOKUP(A1013,Internal_lists_bugs!$A$2:$Z$73,26,FALSE())),"please select a BUG ID")</f>
        <v>https://github.com/elastic/elasticsearch/issues/9317
/nested/NestedAggregator.java</v>
      </c>
      <c r="C1013" s="81" t="str">
        <f>IFERROR(SUBSTITUTE(VLOOKUP(A1013,Internal_lists_bugs!$A$2:$G2031,7,FALSE()),"/commit/","/tree/"),"please select a BUG ID")</f>
        <v>https://github.com/elastic/elasticsearch/tree/5714b0a</v>
      </c>
      <c r="D1013" s="16" t="s">
        <v>5001</v>
      </c>
      <c r="E1013" s="16" t="s">
        <v>5066</v>
      </c>
      <c r="F1013" s="54"/>
      <c r="H1013" s="114"/>
      <c r="J1013" s="183" t="str">
        <f>IFERROR(VLOOKUP(A1013,Internal_lists_bugs!$A$2:$I2031,9,FALSE()),"please select a BUG ID")</f>
        <v/>
      </c>
    </row>
    <row r="1014">
      <c r="A1014" s="1" t="s">
        <v>92</v>
      </c>
      <c r="B1014" s="50" t="str">
        <f>IFERROR(HYPERLINK(VLOOKUP(A1014,Internal_lists_bugs!$A$2:$C$73,3,FALSE()), VLOOKUP(A1014,Internal_lists_bugs!$A$2:$C$73,3,FALSE())&amp;Char(10) &amp; Char(10) &amp; VLOOKUP(A1014,Internal_lists_bugs!$A$2:$Z$73,26,FALSE())),"please select a BUG ID")</f>
        <v>https://github.com/elastic/elasticsearch/issues/12193
core/pom.xml</v>
      </c>
      <c r="C1014" s="81" t="str">
        <f>IFERROR(SUBSTITUTE(VLOOKUP(A1014,Internal_lists_bugs!$A$2:$G2031,7,FALSE()),"/commit/","/tree/"),"please select a BUG ID")</f>
        <v>https://github.com/elastic/elasticsearch/tree/15a62448</v>
      </c>
      <c r="D1014" s="38" t="s">
        <v>4964</v>
      </c>
      <c r="E1014" s="1" t="s">
        <v>5020</v>
      </c>
      <c r="F1014" s="9" t="s">
        <v>4682</v>
      </c>
      <c r="G1014" s="207" t="s">
        <v>5066</v>
      </c>
      <c r="H1014" s="203" t="s">
        <v>4818</v>
      </c>
      <c r="J1014" s="183" t="str">
        <f>IFERROR(VLOOKUP(A1014,Internal_lists_bugs!$A$2:$I2031,9,FALSE()),"please select a BUG ID")</f>
        <v>No information available</v>
      </c>
    </row>
    <row r="1015">
      <c r="A1015" s="1" t="s">
        <v>92</v>
      </c>
      <c r="B1015" s="50" t="str">
        <f>IFERROR(HYPERLINK(VLOOKUP(A1015,Internal_lists_bugs!$A$2:$C$73,3,FALSE()), VLOOKUP(A1015,Internal_lists_bugs!$A$2:$C$73,3,FALSE())&amp;Char(10) &amp; Char(10) &amp; VLOOKUP(A1015,Internal_lists_bugs!$A$2:$Z$73,26,FALSE())),"please select a BUG ID")</f>
        <v>https://github.com/elastic/elasticsearch/issues/12193
core/pom.xml</v>
      </c>
      <c r="C1015" s="81" t="str">
        <f>IFERROR(SUBSTITUTE(VLOOKUP(A1015,Internal_lists_bugs!$A$2:$G2031,7,FALSE()),"/commit/","/tree/"),"please select a BUG ID")</f>
        <v>https://github.com/elastic/elasticsearch/tree/15a62448</v>
      </c>
      <c r="D1015" s="16" t="s">
        <v>4968</v>
      </c>
      <c r="E1015" s="9" t="s">
        <v>5068</v>
      </c>
      <c r="F1015" s="1"/>
      <c r="G1015" s="1"/>
      <c r="H1015" s="203" t="s">
        <v>4708</v>
      </c>
      <c r="J1015" s="183" t="str">
        <f>IFERROR(VLOOKUP(A1015,Internal_lists_bugs!$A$2:$I2031,9,FALSE()),"please select a BUG ID")</f>
        <v>No information available</v>
      </c>
    </row>
    <row r="1016">
      <c r="A1016" s="1" t="s">
        <v>92</v>
      </c>
      <c r="B1016" s="50" t="str">
        <f>IFERROR(HYPERLINK(VLOOKUP(A1016,Internal_lists_bugs!$A$2:$C$73,3,FALSE()), VLOOKUP(A1016,Internal_lists_bugs!$A$2:$C$73,3,FALSE())&amp;Char(10) &amp; Char(10) &amp; VLOOKUP(A1016,Internal_lists_bugs!$A$2:$Z$73,26,FALSE())),"please select a BUG ID")</f>
        <v>https://github.com/elastic/elasticsearch/issues/12193
core/pom.xml</v>
      </c>
      <c r="C1016" s="81" t="str">
        <f>IFERROR(SUBSTITUTE(VLOOKUP(A1016,Internal_lists_bugs!$A$2:$G2031,7,FALSE()),"/commit/","/tree/"),"please select a BUG ID")</f>
        <v>https://github.com/elastic/elasticsearch/tree/15a62448</v>
      </c>
      <c r="D1016" s="38" t="s">
        <v>4973</v>
      </c>
      <c r="E1016" s="1" t="s">
        <v>5023</v>
      </c>
      <c r="F1016" s="1"/>
      <c r="G1016" s="1"/>
      <c r="H1016" s="203" t="s">
        <v>4975</v>
      </c>
      <c r="J1016" s="183" t="str">
        <f>IFERROR(VLOOKUP(A1016,Internal_lists_bugs!$A$2:$I2031,9,FALSE()),"please select a BUG ID")</f>
        <v>No information available</v>
      </c>
    </row>
    <row r="1017">
      <c r="A1017" s="1" t="s">
        <v>92</v>
      </c>
      <c r="B1017" s="50" t="str">
        <f>IFERROR(HYPERLINK(VLOOKUP(A1017,Internal_lists_bugs!$A$2:$C$73,3,FALSE()), VLOOKUP(A1017,Internal_lists_bugs!$A$2:$C$73,3,FALSE())&amp;Char(10) &amp; Char(10) &amp; VLOOKUP(A1017,Internal_lists_bugs!$A$2:$Z$73,26,FALSE())),"please select a BUG ID")</f>
        <v>https://github.com/elastic/elasticsearch/issues/12193
core/pom.xml</v>
      </c>
      <c r="C1017" s="81" t="str">
        <f>IFERROR(SUBSTITUTE(VLOOKUP(A1017,Internal_lists_bugs!$A$2:$G2031,7,FALSE()),"/commit/","/tree/"),"please select a BUG ID")</f>
        <v>https://github.com/elastic/elasticsearch/tree/15a62448</v>
      </c>
      <c r="D1017" s="38" t="s">
        <v>4978</v>
      </c>
      <c r="E1017" s="1" t="s">
        <v>5026</v>
      </c>
      <c r="F1017" s="1"/>
      <c r="G1017" s="1"/>
      <c r="H1017" s="203" t="s">
        <v>5024</v>
      </c>
      <c r="J1017" s="183" t="str">
        <f>IFERROR(VLOOKUP(A1017,Internal_lists_bugs!$A$2:$I2031,9,FALSE()),"please select a BUG ID")</f>
        <v>No information available</v>
      </c>
    </row>
    <row r="1018">
      <c r="A1018" s="1" t="s">
        <v>92</v>
      </c>
      <c r="B1018" s="50" t="str">
        <f>IFERROR(HYPERLINK(VLOOKUP(A1018,Internal_lists_bugs!$A$2:$C$73,3,FALSE()), VLOOKUP(A1018,Internal_lists_bugs!$A$2:$C$73,3,FALSE())&amp;Char(10) &amp; Char(10) &amp; VLOOKUP(A1018,Internal_lists_bugs!$A$2:$Z$73,26,FALSE())),"please select a BUG ID")</f>
        <v>https://github.com/elastic/elasticsearch/issues/12193
core/pom.xml</v>
      </c>
      <c r="C1018" s="81" t="str">
        <f>IFERROR(SUBSTITUTE(VLOOKUP(A1018,Internal_lists_bugs!$A$2:$G2031,7,FALSE()),"/commit/","/tree/"),"please select a BUG ID")</f>
        <v>https://github.com/elastic/elasticsearch/tree/15a62448</v>
      </c>
      <c r="D1018" s="38" t="s">
        <v>4983</v>
      </c>
      <c r="E1018" s="1" t="s">
        <v>5030</v>
      </c>
      <c r="F1018" s="1"/>
      <c r="G1018" s="1"/>
      <c r="H1018" s="204" t="s">
        <v>4965</v>
      </c>
      <c r="I1018" s="16" t="s">
        <v>5069</v>
      </c>
      <c r="J1018" s="183" t="str">
        <f>IFERROR(VLOOKUP(A1018,Internal_lists_bugs!$A$2:$I2031,9,FALSE()),"please select a BUG ID")</f>
        <v>No information available</v>
      </c>
    </row>
    <row r="1019">
      <c r="A1019" s="1" t="s">
        <v>92</v>
      </c>
      <c r="B1019" s="50" t="str">
        <f>IFERROR(HYPERLINK(VLOOKUP(A1019,Internal_lists_bugs!$A$2:$C$73,3,FALSE()), VLOOKUP(A1019,Internal_lists_bugs!$A$2:$C$73,3,FALSE())&amp;Char(10) &amp; Char(10) &amp; VLOOKUP(A1019,Internal_lists_bugs!$A$2:$Z$73,26,FALSE())),"please select a BUG ID")</f>
        <v>https://github.com/elastic/elasticsearch/issues/12193
core/pom.xml</v>
      </c>
      <c r="C1019" s="81" t="str">
        <f>IFERROR(SUBSTITUTE(VLOOKUP(A1019,Internal_lists_bugs!$A$2:$G2031,7,FALSE()),"/commit/","/tree/"),"please select a BUG ID")</f>
        <v>https://github.com/elastic/elasticsearch/tree/15a62448</v>
      </c>
      <c r="D1019" s="1" t="s">
        <v>4985</v>
      </c>
      <c r="E1019" s="1" t="s">
        <v>4996</v>
      </c>
      <c r="F1019" s="1"/>
      <c r="G1019" s="1"/>
      <c r="H1019" s="204" t="s">
        <v>5028</v>
      </c>
      <c r="J1019" s="183" t="str">
        <f>IFERROR(VLOOKUP(A1019,Internal_lists_bugs!$A$2:$I2031,9,FALSE()),"please select a BUG ID")</f>
        <v>No information available</v>
      </c>
    </row>
    <row r="1020">
      <c r="A1020" s="1" t="s">
        <v>92</v>
      </c>
      <c r="B1020" s="50" t="str">
        <f>IFERROR(HYPERLINK(VLOOKUP(A1020,Internal_lists_bugs!$A$2:$C$73,3,FALSE()), VLOOKUP(A1020,Internal_lists_bugs!$A$2:$C$73,3,FALSE())&amp;Char(10) &amp; Char(10) &amp; VLOOKUP(A1020,Internal_lists_bugs!$A$2:$Z$73,26,FALSE())),"please select a BUG ID")</f>
        <v>https://github.com/elastic/elasticsearch/issues/12193
core/pom.xml</v>
      </c>
      <c r="C1020" s="81" t="str">
        <f>IFERROR(SUBSTITUTE(VLOOKUP(A1020,Internal_lists_bugs!$A$2:$G2031,7,FALSE()),"/commit/","/tree/"),"please select a BUG ID")</f>
        <v>https://github.com/elastic/elasticsearch/tree/15a62448</v>
      </c>
      <c r="D1020" s="38" t="s">
        <v>5003</v>
      </c>
      <c r="E1020" s="38" t="s">
        <v>5032</v>
      </c>
      <c r="F1020" s="1"/>
      <c r="G1020" s="1"/>
      <c r="H1020" s="38" t="s">
        <v>5039</v>
      </c>
      <c r="J1020" s="183" t="str">
        <f>IFERROR(VLOOKUP(A1020,Internal_lists_bugs!$A$2:$I2031,9,FALSE()),"please select a BUG ID")</f>
        <v>No information available</v>
      </c>
    </row>
    <row r="1021">
      <c r="A1021" s="1" t="s">
        <v>92</v>
      </c>
      <c r="B1021" s="50" t="str">
        <f>IFERROR(HYPERLINK(VLOOKUP(A1021,Internal_lists_bugs!$A$2:$C$73,3,FALSE()), VLOOKUP(A1021,Internal_lists_bugs!$A$2:$C$73,3,FALSE())&amp;Char(10) &amp; Char(10) &amp; VLOOKUP(A1021,Internal_lists_bugs!$A$2:$Z$73,26,FALSE())),"please select a BUG ID")</f>
        <v>https://github.com/elastic/elasticsearch/issues/12193
core/pom.xml</v>
      </c>
      <c r="C1021" s="81" t="str">
        <f>IFERROR(SUBSTITUTE(VLOOKUP(A1021,Internal_lists_bugs!$A$2:$G2031,7,FALSE()),"/commit/","/tree/"),"please select a BUG ID")</f>
        <v>https://github.com/elastic/elasticsearch/tree/15a62448</v>
      </c>
      <c r="D1021" s="38" t="s">
        <v>5033</v>
      </c>
      <c r="E1021" s="205" t="s">
        <v>5034</v>
      </c>
      <c r="F1021" s="1"/>
      <c r="G1021" s="1"/>
      <c r="H1021" s="38"/>
      <c r="J1021" s="183" t="str">
        <f>IFERROR(VLOOKUP(A1021,Internal_lists_bugs!$A$2:$I2031,9,FALSE()),"please select a BUG ID")</f>
        <v>No information available</v>
      </c>
    </row>
    <row r="1022">
      <c r="A1022" s="1" t="s">
        <v>92</v>
      </c>
      <c r="B1022" s="50" t="str">
        <f>IFERROR(HYPERLINK(VLOOKUP(A1022,Internal_lists_bugs!$A$2:$C$73,3,FALSE()), VLOOKUP(A1022,Internal_lists_bugs!$A$2:$C$73,3,FALSE())&amp;Char(10) &amp; Char(10) &amp; VLOOKUP(A1022,Internal_lists_bugs!$A$2:$Z$73,26,FALSE())),"please select a BUG ID")</f>
        <v>https://github.com/elastic/elasticsearch/issues/12193
core/pom.xml</v>
      </c>
      <c r="C1022" s="81" t="str">
        <f>IFERROR(SUBSTITUTE(VLOOKUP(A1022,Internal_lists_bugs!$A$2:$G2031,7,FALSE()),"/commit/","/tree/"),"please select a BUG ID")</f>
        <v>https://github.com/elastic/elasticsearch/tree/15a62448</v>
      </c>
      <c r="D1022" s="9" t="s">
        <v>5044</v>
      </c>
      <c r="E1022" s="205" t="s">
        <v>5070</v>
      </c>
      <c r="F1022" s="1"/>
      <c r="G1022" s="1"/>
      <c r="H1022" s="1" t="s">
        <v>5042</v>
      </c>
      <c r="I1022" s="16" t="s">
        <v>5071</v>
      </c>
      <c r="J1022" s="183" t="str">
        <f>IFERROR(VLOOKUP(A1022,Internal_lists_bugs!$A$2:$I2031,9,FALSE()),"please select a BUG ID")</f>
        <v>No information available</v>
      </c>
    </row>
    <row r="1023">
      <c r="A1023" s="1" t="s">
        <v>92</v>
      </c>
      <c r="B1023" s="50" t="str">
        <f>IFERROR(HYPERLINK(VLOOKUP(A1023,Internal_lists_bugs!$A$2:$C$73,3,FALSE()), VLOOKUP(A1023,Internal_lists_bugs!$A$2:$C$73,3,FALSE())&amp;Char(10) &amp; Char(10) &amp; VLOOKUP(A1023,Internal_lists_bugs!$A$2:$Z$73,26,FALSE())),"please select a BUG ID")</f>
        <v>https://github.com/elastic/elasticsearch/issues/12193
core/pom.xml</v>
      </c>
      <c r="C1023" s="81" t="str">
        <f>IFERROR(SUBSTITUTE(VLOOKUP(A1023,Internal_lists_bugs!$A$2:$G2031,7,FALSE()),"/commit/","/tree/"),"please select a BUG ID")</f>
        <v>https://github.com/elastic/elasticsearch/tree/15a62448</v>
      </c>
      <c r="D1023" s="1" t="s">
        <v>1325</v>
      </c>
      <c r="E1023" s="1" t="s">
        <v>5050</v>
      </c>
      <c r="F1023" s="1"/>
      <c r="G1023" s="1"/>
      <c r="H1023" s="1" t="s">
        <v>4684</v>
      </c>
      <c r="J1023" s="183" t="str">
        <f>IFERROR(VLOOKUP(A1023,Internal_lists_bugs!$A$2:$I2031,9,FALSE()),"please select a BUG ID")</f>
        <v>No information available</v>
      </c>
    </row>
    <row r="1024">
      <c r="A1024" s="1" t="s">
        <v>92</v>
      </c>
      <c r="B1024" s="50" t="str">
        <f>IFERROR(HYPERLINK(VLOOKUP(A1024,Internal_lists_bugs!$A$2:$C$73,3,FALSE()), VLOOKUP(A1024,Internal_lists_bugs!$A$2:$C$73,3,FALSE())&amp;Char(10) &amp; Char(10) &amp; VLOOKUP(A1024,Internal_lists_bugs!$A$2:$Z$73,26,FALSE())),"please select a BUG ID")</f>
        <v>https://github.com/elastic/elasticsearch/issues/12193
core/pom.xml</v>
      </c>
      <c r="C1024" s="81" t="str">
        <f>IFERROR(SUBSTITUTE(VLOOKUP(A1024,Internal_lists_bugs!$A$2:$G2031,7,FALSE()),"/commit/","/tree/"),"please select a BUG ID")</f>
        <v>https://github.com/elastic/elasticsearch/tree/15a62448</v>
      </c>
      <c r="D1024" s="1" t="s">
        <v>5051</v>
      </c>
      <c r="E1024" s="1"/>
      <c r="F1024" s="1"/>
      <c r="G1024" s="1"/>
      <c r="H1024" s="9"/>
      <c r="J1024" s="183" t="str">
        <f>IFERROR(VLOOKUP(A1024,Internal_lists_bugs!$A$2:$I2031,9,FALSE()),"please select a BUG ID")</f>
        <v>No information available</v>
      </c>
    </row>
    <row r="1025">
      <c r="A1025" s="1" t="s">
        <v>92</v>
      </c>
      <c r="B1025" s="50" t="str">
        <f>IFERROR(HYPERLINK(VLOOKUP(A1025,Internal_lists_bugs!$A$2:$C$73,3,FALSE()), VLOOKUP(A1025,Internal_lists_bugs!$A$2:$C$73,3,FALSE())&amp;Char(10) &amp; Char(10) &amp; VLOOKUP(A1025,Internal_lists_bugs!$A$2:$Z$73,26,FALSE())),"please select a BUG ID")</f>
        <v>https://github.com/elastic/elasticsearch/issues/12193
core/pom.xml</v>
      </c>
      <c r="C1025" s="81" t="str">
        <f>IFERROR(SUBSTITUTE(VLOOKUP(A1025,Internal_lists_bugs!$A$2:$G2031,7,FALSE()),"/commit/","/tree/"),"please select a BUG ID")</f>
        <v>https://github.com/elastic/elasticsearch/tree/15a62448</v>
      </c>
      <c r="D1025" s="16" t="s">
        <v>4968</v>
      </c>
      <c r="E1025" s="16" t="s">
        <v>5059</v>
      </c>
      <c r="F1025" s="1"/>
      <c r="G1025" s="1"/>
      <c r="H1025" s="114"/>
      <c r="J1025" s="183" t="str">
        <f>IFERROR(VLOOKUP(A1025,Internal_lists_bugs!$A$2:$I2031,9,FALSE()),"please select a BUG ID")</f>
        <v>No information available</v>
      </c>
    </row>
    <row r="1026">
      <c r="A1026" s="1" t="s">
        <v>80</v>
      </c>
      <c r="B1026" s="50" t="str">
        <f>IFERROR(HYPERLINK(VLOOKUP(A1026,Internal_lists_bugs!$A$2:$C$73,3,FALSE()), VLOOKUP(A1026,Internal_lists_bugs!$A$2:$C$73,3,FALSE())&amp;Char(10) &amp; Char(10) &amp; VLOOKUP(A1026,Internal_lists_bugs!$A$2:$Z$73,26,FALSE())),"please select a BUG ID")</f>
        <v>https://github.com/elastic/elasticsearch/issues/14782
/mapper/MappedFieldType.java</v>
      </c>
      <c r="C1026" s="81" t="str">
        <f>IFERROR(SUBSTITUTE(VLOOKUP(A1026,Internal_lists_bugs!$A$2:$G2031,7,FALSE()),"/commit/","/tree/"),"please select a BUG ID")</f>
        <v>https://github.com/elastic/elasticsearch/tree/904cbf534</v>
      </c>
      <c r="D1026" s="38" t="s">
        <v>4964</v>
      </c>
      <c r="E1026" s="1" t="s">
        <v>5020</v>
      </c>
      <c r="F1026" s="9" t="s">
        <v>4724</v>
      </c>
      <c r="G1026" s="207" t="s">
        <v>5072</v>
      </c>
      <c r="H1026" s="203" t="s">
        <v>4818</v>
      </c>
      <c r="I1026" s="16" t="s">
        <v>4985</v>
      </c>
      <c r="J1026" s="196" t="str">
        <f>IFERROR(VLOOKUP(A1026,Internal_lists_bugs!$A$2:$I2031,9,FALSE()),"please select a BUG ID")</f>
        <v>https://github.com/elastic/elasticsearch/pull/13788, https://github.com/elastic/elasticsearch/pull/12943, https://github.com/elastic/elasticsearch/pull/12694, https://github.com/elastic/elasticsearch/pull/12527 (II)</v>
      </c>
    </row>
    <row r="1027">
      <c r="A1027" s="1" t="s">
        <v>80</v>
      </c>
      <c r="B1027" s="50" t="str">
        <f>IFERROR(HYPERLINK(VLOOKUP(A1027,Internal_lists_bugs!$A$2:$C$73,3,FALSE()), VLOOKUP(A1027,Internal_lists_bugs!$A$2:$C$73,3,FALSE())&amp;Char(10) &amp; Char(10) &amp; VLOOKUP(A1027,Internal_lists_bugs!$A$2:$Z$73,26,FALSE())),"please select a BUG ID")</f>
        <v>https://github.com/elastic/elasticsearch/issues/14782
/mapper/MappedFieldType.java</v>
      </c>
      <c r="C1027" s="81" t="str">
        <f>IFERROR(SUBSTITUTE(VLOOKUP(A1027,Internal_lists_bugs!$A$2:$G2031,7,FALSE()),"/commit/","/tree/"),"please select a BUG ID")</f>
        <v>https://github.com/elastic/elasticsearch/tree/904cbf534</v>
      </c>
      <c r="D1027" s="16" t="s">
        <v>4968</v>
      </c>
      <c r="E1027" s="9" t="s">
        <v>5068</v>
      </c>
      <c r="F1027" s="1"/>
      <c r="G1027" s="1"/>
      <c r="H1027" s="203" t="s">
        <v>4708</v>
      </c>
      <c r="I1027" s="16" t="s">
        <v>5073</v>
      </c>
      <c r="J1027" s="196" t="str">
        <f>IFERROR(VLOOKUP(A1027,Internal_lists_bugs!$A$2:$I2031,9,FALSE()),"please select a BUG ID")</f>
        <v>https://github.com/elastic/elasticsearch/pull/13788, https://github.com/elastic/elasticsearch/pull/12943, https://github.com/elastic/elasticsearch/pull/12694, https://github.com/elastic/elasticsearch/pull/12527 (II)</v>
      </c>
    </row>
    <row r="1028">
      <c r="A1028" s="1" t="s">
        <v>80</v>
      </c>
      <c r="B1028" s="50" t="str">
        <f>IFERROR(HYPERLINK(VLOOKUP(A1028,Internal_lists_bugs!$A$2:$C$73,3,FALSE()), VLOOKUP(A1028,Internal_lists_bugs!$A$2:$C$73,3,FALSE())&amp;Char(10) &amp; Char(10) &amp; VLOOKUP(A1028,Internal_lists_bugs!$A$2:$Z$73,26,FALSE())),"please select a BUG ID")</f>
        <v>https://github.com/elastic/elasticsearch/issues/14782
/mapper/MappedFieldType.java</v>
      </c>
      <c r="C1028" s="81" t="str">
        <f>IFERROR(SUBSTITUTE(VLOOKUP(A1028,Internal_lists_bugs!$A$2:$G2031,7,FALSE()),"/commit/","/tree/"),"please select a BUG ID")</f>
        <v>https://github.com/elastic/elasticsearch/tree/904cbf534</v>
      </c>
      <c r="D1028" s="38" t="s">
        <v>4973</v>
      </c>
      <c r="E1028" s="1" t="s">
        <v>5023</v>
      </c>
      <c r="F1028" s="1"/>
      <c r="G1028" s="1"/>
      <c r="H1028" s="203" t="s">
        <v>4975</v>
      </c>
      <c r="I1028" s="16" t="s">
        <v>5074</v>
      </c>
      <c r="J1028" s="196" t="str">
        <f>IFERROR(VLOOKUP(A1028,Internal_lists_bugs!$A$2:$I2031,9,FALSE()),"please select a BUG ID")</f>
        <v>https://github.com/elastic/elasticsearch/pull/13788, https://github.com/elastic/elasticsearch/pull/12943, https://github.com/elastic/elasticsearch/pull/12694, https://github.com/elastic/elasticsearch/pull/12527 (II)</v>
      </c>
    </row>
    <row r="1029">
      <c r="A1029" s="1" t="s">
        <v>80</v>
      </c>
      <c r="B1029" s="50" t="str">
        <f>IFERROR(HYPERLINK(VLOOKUP(A1029,Internal_lists_bugs!$A$2:$C$73,3,FALSE()), VLOOKUP(A1029,Internal_lists_bugs!$A$2:$C$73,3,FALSE())&amp;Char(10) &amp; Char(10) &amp; VLOOKUP(A1029,Internal_lists_bugs!$A$2:$Z$73,26,FALSE())),"please select a BUG ID")</f>
        <v>https://github.com/elastic/elasticsearch/issues/14782
/mapper/MappedFieldType.java</v>
      </c>
      <c r="C1029" s="81" t="str">
        <f>IFERROR(SUBSTITUTE(VLOOKUP(A1029,Internal_lists_bugs!$A$2:$G2031,7,FALSE()),"/commit/","/tree/"),"please select a BUG ID")</f>
        <v>https://github.com/elastic/elasticsearch/tree/904cbf534</v>
      </c>
      <c r="D1029" s="38" t="s">
        <v>4978</v>
      </c>
      <c r="E1029" s="1" t="s">
        <v>5026</v>
      </c>
      <c r="F1029" s="1"/>
      <c r="G1029" s="1"/>
      <c r="H1029" s="203"/>
      <c r="J1029" s="196" t="str">
        <f>IFERROR(VLOOKUP(A1029,Internal_lists_bugs!$A$2:$I2031,9,FALSE()),"please select a BUG ID")</f>
        <v>https://github.com/elastic/elasticsearch/pull/13788, https://github.com/elastic/elasticsearch/pull/12943, https://github.com/elastic/elasticsearch/pull/12694, https://github.com/elastic/elasticsearch/pull/12527 (II)</v>
      </c>
    </row>
    <row r="1030">
      <c r="A1030" s="1" t="s">
        <v>80</v>
      </c>
      <c r="B1030" s="50" t="str">
        <f>IFERROR(HYPERLINK(VLOOKUP(A1030,Internal_lists_bugs!$A$2:$C$73,3,FALSE()), VLOOKUP(A1030,Internal_lists_bugs!$A$2:$C$73,3,FALSE())&amp;Char(10) &amp; Char(10) &amp; VLOOKUP(A1030,Internal_lists_bugs!$A$2:$Z$73,26,FALSE())),"please select a BUG ID")</f>
        <v>https://github.com/elastic/elasticsearch/issues/14782
/mapper/MappedFieldType.java</v>
      </c>
      <c r="C1030" s="81" t="str">
        <f>IFERROR(SUBSTITUTE(VLOOKUP(A1030,Internal_lists_bugs!$A$2:$G2031,7,FALSE()),"/commit/","/tree/"),"please select a BUG ID")</f>
        <v>https://github.com/elastic/elasticsearch/tree/904cbf534</v>
      </c>
      <c r="D1030" s="38" t="s">
        <v>4983</v>
      </c>
      <c r="E1030" s="1" t="s">
        <v>5030</v>
      </c>
      <c r="F1030" s="1"/>
      <c r="G1030" s="1"/>
      <c r="H1030" s="204" t="s">
        <v>4965</v>
      </c>
      <c r="I1030" s="16" t="s">
        <v>4964</v>
      </c>
      <c r="J1030" s="196" t="str">
        <f>IFERROR(VLOOKUP(A1030,Internal_lists_bugs!$A$2:$I2031,9,FALSE()),"please select a BUG ID")</f>
        <v>https://github.com/elastic/elasticsearch/pull/13788, https://github.com/elastic/elasticsearch/pull/12943, https://github.com/elastic/elasticsearch/pull/12694, https://github.com/elastic/elasticsearch/pull/12527 (II)</v>
      </c>
    </row>
    <row r="1031">
      <c r="A1031" s="1" t="s">
        <v>80</v>
      </c>
      <c r="B1031" s="50" t="str">
        <f>IFERROR(HYPERLINK(VLOOKUP(A1031,Internal_lists_bugs!$A$2:$C$73,3,FALSE()), VLOOKUP(A1031,Internal_lists_bugs!$A$2:$C$73,3,FALSE())&amp;Char(10) &amp; Char(10) &amp; VLOOKUP(A1031,Internal_lists_bugs!$A$2:$Z$73,26,FALSE())),"please select a BUG ID")</f>
        <v>https://github.com/elastic/elasticsearch/issues/14782
/mapper/MappedFieldType.java</v>
      </c>
      <c r="C1031" s="81" t="str">
        <f>IFERROR(SUBSTITUTE(VLOOKUP(A1031,Internal_lists_bugs!$A$2:$G2031,7,FALSE()),"/commit/","/tree/"),"please select a BUG ID")</f>
        <v>https://github.com/elastic/elasticsearch/tree/904cbf534</v>
      </c>
      <c r="D1031" s="1" t="s">
        <v>4985</v>
      </c>
      <c r="E1031" s="1" t="s">
        <v>4996</v>
      </c>
      <c r="F1031" s="1"/>
      <c r="G1031" s="1"/>
      <c r="H1031" s="204" t="s">
        <v>5028</v>
      </c>
      <c r="I1031" s="16" t="s">
        <v>5075</v>
      </c>
      <c r="J1031" s="196" t="str">
        <f>IFERROR(VLOOKUP(A1031,Internal_lists_bugs!$A$2:$I2031,9,FALSE()),"please select a BUG ID")</f>
        <v>https://github.com/elastic/elasticsearch/pull/13788, https://github.com/elastic/elasticsearch/pull/12943, https://github.com/elastic/elasticsearch/pull/12694, https://github.com/elastic/elasticsearch/pull/12527 (II)</v>
      </c>
    </row>
    <row r="1032">
      <c r="A1032" s="1" t="s">
        <v>80</v>
      </c>
      <c r="B1032" s="50" t="str">
        <f>IFERROR(HYPERLINK(VLOOKUP(A1032,Internal_lists_bugs!$A$2:$C$73,3,FALSE()), VLOOKUP(A1032,Internal_lists_bugs!$A$2:$C$73,3,FALSE())&amp;Char(10) &amp; Char(10) &amp; VLOOKUP(A1032,Internal_lists_bugs!$A$2:$Z$73,26,FALSE())),"please select a BUG ID")</f>
        <v>https://github.com/elastic/elasticsearch/issues/14782
/mapper/MappedFieldType.java</v>
      </c>
      <c r="C1032" s="81" t="str">
        <f>IFERROR(SUBSTITUTE(VLOOKUP(A1032,Internal_lists_bugs!$A$2:$G2031,7,FALSE()),"/commit/","/tree/"),"please select a BUG ID")</f>
        <v>https://github.com/elastic/elasticsearch/tree/904cbf534</v>
      </c>
      <c r="D1032" s="9" t="s">
        <v>5037</v>
      </c>
      <c r="E1032" s="9" t="s">
        <v>5076</v>
      </c>
      <c r="F1032" s="1"/>
      <c r="G1032" s="1"/>
      <c r="H1032" s="38" t="s">
        <v>5039</v>
      </c>
      <c r="I1032" s="16" t="s">
        <v>5077</v>
      </c>
      <c r="J1032" s="196" t="str">
        <f>IFERROR(VLOOKUP(A1032,Internal_lists_bugs!$A$2:$I2031,9,FALSE()),"please select a BUG ID")</f>
        <v>https://github.com/elastic/elasticsearch/pull/13788, https://github.com/elastic/elasticsearch/pull/12943, https://github.com/elastic/elasticsearch/pull/12694, https://github.com/elastic/elasticsearch/pull/12527 (II)</v>
      </c>
    </row>
    <row r="1033">
      <c r="A1033" s="1" t="s">
        <v>80</v>
      </c>
      <c r="B1033" s="50" t="str">
        <f>IFERROR(HYPERLINK(VLOOKUP(A1033,Internal_lists_bugs!$A$2:$C$73,3,FALSE()), VLOOKUP(A1033,Internal_lists_bugs!$A$2:$C$73,3,FALSE())&amp;Char(10) &amp; Char(10) &amp; VLOOKUP(A1033,Internal_lists_bugs!$A$2:$Z$73,26,FALSE())),"please select a BUG ID")</f>
        <v>https://github.com/elastic/elasticsearch/issues/14782
/mapper/MappedFieldType.java</v>
      </c>
      <c r="C1033" s="81" t="str">
        <f>IFERROR(SUBSTITUTE(VLOOKUP(A1033,Internal_lists_bugs!$A$2:$G2031,7,FALSE()),"/commit/","/tree/"),"please select a BUG ID")</f>
        <v>https://github.com/elastic/elasticsearch/tree/904cbf534</v>
      </c>
      <c r="D1033" s="38" t="s">
        <v>5033</v>
      </c>
      <c r="E1033" s="205" t="s">
        <v>5034</v>
      </c>
      <c r="F1033" s="1"/>
      <c r="G1033" s="1"/>
      <c r="H1033" s="9" t="s">
        <v>5035</v>
      </c>
      <c r="I1033" s="16" t="s">
        <v>5078</v>
      </c>
      <c r="J1033" s="196" t="str">
        <f>IFERROR(VLOOKUP(A1033,Internal_lists_bugs!$A$2:$I2031,9,FALSE()),"please select a BUG ID")</f>
        <v>https://github.com/elastic/elasticsearch/pull/13788, https://github.com/elastic/elasticsearch/pull/12943, https://github.com/elastic/elasticsearch/pull/12694, https://github.com/elastic/elasticsearch/pull/12527 (II)</v>
      </c>
    </row>
    <row r="1034">
      <c r="A1034" s="1" t="s">
        <v>80</v>
      </c>
      <c r="B1034" s="50" t="str">
        <f>IFERROR(HYPERLINK(VLOOKUP(A1034,Internal_lists_bugs!$A$2:$C$73,3,FALSE()), VLOOKUP(A1034,Internal_lists_bugs!$A$2:$C$73,3,FALSE())&amp;Char(10) &amp; Char(10) &amp; VLOOKUP(A1034,Internal_lists_bugs!$A$2:$Z$73,26,FALSE())),"please select a BUG ID")</f>
        <v>https://github.com/elastic/elasticsearch/issues/14782
/mapper/MappedFieldType.java</v>
      </c>
      <c r="C1034" s="81" t="str">
        <f>IFERROR(SUBSTITUTE(VLOOKUP(A1034,Internal_lists_bugs!$A$2:$G2031,7,FALSE()),"/commit/","/tree/"),"please select a BUG ID")</f>
        <v>https://github.com/elastic/elasticsearch/tree/904cbf534</v>
      </c>
      <c r="D1034" s="9" t="s">
        <v>5044</v>
      </c>
      <c r="E1034" s="205" t="s">
        <v>5079</v>
      </c>
      <c r="F1034" s="1"/>
      <c r="G1034" s="1"/>
      <c r="H1034" s="1" t="s">
        <v>5042</v>
      </c>
      <c r="I1034" s="16" t="s">
        <v>5071</v>
      </c>
      <c r="J1034" s="196" t="str">
        <f>IFERROR(VLOOKUP(A1034,Internal_lists_bugs!$A$2:$I2031,9,FALSE()),"please select a BUG ID")</f>
        <v>https://github.com/elastic/elasticsearch/pull/13788, https://github.com/elastic/elasticsearch/pull/12943, https://github.com/elastic/elasticsearch/pull/12694, https://github.com/elastic/elasticsearch/pull/12527 (II)</v>
      </c>
    </row>
    <row r="1035">
      <c r="A1035" s="1" t="s">
        <v>80</v>
      </c>
      <c r="B1035" s="50" t="str">
        <f>IFERROR(HYPERLINK(VLOOKUP(A1035,Internal_lists_bugs!$A$2:$C$73,3,FALSE()), VLOOKUP(A1035,Internal_lists_bugs!$A$2:$C$73,3,FALSE())&amp;Char(10) &amp; Char(10) &amp; VLOOKUP(A1035,Internal_lists_bugs!$A$2:$Z$73,26,FALSE())),"please select a BUG ID")</f>
        <v>https://github.com/elastic/elasticsearch/issues/14782
/mapper/MappedFieldType.java</v>
      </c>
      <c r="C1035" s="81" t="str">
        <f>IFERROR(SUBSTITUTE(VLOOKUP(A1035,Internal_lists_bugs!$A$2:$G2031,7,FALSE()),"/commit/","/tree/"),"please select a BUG ID")</f>
        <v>https://github.com/elastic/elasticsearch/tree/904cbf534</v>
      </c>
      <c r="D1035" s="1" t="s">
        <v>1325</v>
      </c>
      <c r="E1035" s="1" t="s">
        <v>5050</v>
      </c>
      <c r="F1035" s="1"/>
      <c r="G1035" s="1"/>
      <c r="H1035" s="1" t="s">
        <v>4684</v>
      </c>
      <c r="I1035" s="16" t="s">
        <v>5080</v>
      </c>
      <c r="J1035" s="196" t="str">
        <f>IFERROR(VLOOKUP(A1035,Internal_lists_bugs!$A$2:$I2031,9,FALSE()),"please select a BUG ID")</f>
        <v>https://github.com/elastic/elasticsearch/pull/13788, https://github.com/elastic/elasticsearch/pull/12943, https://github.com/elastic/elasticsearch/pull/12694, https://github.com/elastic/elasticsearch/pull/12527 (II)</v>
      </c>
    </row>
    <row r="1036">
      <c r="A1036" s="1" t="s">
        <v>80</v>
      </c>
      <c r="B1036" s="50" t="str">
        <f>IFERROR(HYPERLINK(VLOOKUP(A1036,Internal_lists_bugs!$A$2:$C$73,3,FALSE()), VLOOKUP(A1036,Internal_lists_bugs!$A$2:$C$73,3,FALSE())&amp;Char(10) &amp; Char(10) &amp; VLOOKUP(A1036,Internal_lists_bugs!$A$2:$Z$73,26,FALSE())),"please select a BUG ID")</f>
        <v>https://github.com/elastic/elasticsearch/issues/14782
/mapper/MappedFieldType.java</v>
      </c>
      <c r="C1036" s="81" t="str">
        <f>IFERROR(SUBSTITUTE(VLOOKUP(A1036,Internal_lists_bugs!$A$2:$G2031,7,FALSE()),"/commit/","/tree/"),"please select a BUG ID")</f>
        <v>https://github.com/elastic/elasticsearch/tree/904cbf534</v>
      </c>
      <c r="D1036" s="1" t="s">
        <v>5051</v>
      </c>
      <c r="E1036" s="9" t="s">
        <v>5074</v>
      </c>
      <c r="F1036" s="1"/>
      <c r="G1036" s="1"/>
      <c r="H1036" s="9"/>
      <c r="J1036" s="196" t="str">
        <f>IFERROR(VLOOKUP(A1036,Internal_lists_bugs!$A$2:$I2031,9,FALSE()),"please select a BUG ID")</f>
        <v>https://github.com/elastic/elasticsearch/pull/13788, https://github.com/elastic/elasticsearch/pull/12943, https://github.com/elastic/elasticsearch/pull/12694, https://github.com/elastic/elasticsearch/pull/12527 (II)</v>
      </c>
    </row>
    <row r="1037">
      <c r="A1037" s="1" t="s">
        <v>80</v>
      </c>
      <c r="B1037" s="50" t="str">
        <f>IFERROR(HYPERLINK(VLOOKUP(A1037,Internal_lists_bugs!$A$2:$C$73,3,FALSE()), VLOOKUP(A1037,Internal_lists_bugs!$A$2:$C$73,3,FALSE())&amp;Char(10) &amp; Char(10) &amp; VLOOKUP(A1037,Internal_lists_bugs!$A$2:$Z$73,26,FALSE())),"please select a BUG ID")</f>
        <v>https://github.com/elastic/elasticsearch/issues/14782
/mapper/MappedFieldType.java</v>
      </c>
      <c r="C1037" s="81" t="str">
        <f>IFERROR(SUBSTITUTE(VLOOKUP(A1037,Internal_lists_bugs!$A$2:$G2031,7,FALSE()),"/commit/","/tree/"),"please select a BUG ID")</f>
        <v>https://github.com/elastic/elasticsearch/tree/904cbf534</v>
      </c>
      <c r="D1037" s="16" t="s">
        <v>5001</v>
      </c>
      <c r="E1037" s="16" t="s">
        <v>5072</v>
      </c>
      <c r="F1037" s="1"/>
      <c r="G1037" s="1"/>
      <c r="H1037" s="114"/>
      <c r="J1037" s="196" t="str">
        <f>IFERROR(VLOOKUP(A1037,Internal_lists_bugs!$A$2:$I2031,9,FALSE()),"please select a BUG ID")</f>
        <v>https://github.com/elastic/elasticsearch/pull/13788, https://github.com/elastic/elasticsearch/pull/12943, https://github.com/elastic/elasticsearch/pull/12694, https://github.com/elastic/elasticsearch/pull/12527 (II)</v>
      </c>
    </row>
    <row r="1038">
      <c r="A1038" s="1" t="s">
        <v>93</v>
      </c>
      <c r="B1038" s="50" t="str">
        <f>IFERROR(HYPERLINK(VLOOKUP(A1038,Internal_lists_bugs!$A$2:$C$73,3,FALSE()), VLOOKUP(A1038,Internal_lists_bugs!$A$2:$C$73,3,FALSE())&amp;Char(10) &amp; Char(10) &amp; VLOOKUP(A1038,Internal_lists_bugs!$A$2:$Z$73,26,FALSE())),"please select a BUG ID")</f>
        <v>https://github.com/elastic/elasticsearch/issues/15858
/lucene/search/Queries.java</v>
      </c>
      <c r="C1038" s="81" t="str">
        <f>IFERROR(SUBSTITUTE(VLOOKUP(A1038,Internal_lists_bugs!$A$2:$G2031,7,FALSE()),"/commit/","/tree/"),"please select a BUG ID")</f>
        <v>https://github.com/elastic/elasticsearch/tree/0cde90fcb10c9</v>
      </c>
      <c r="D1038" s="16" t="s">
        <v>4962</v>
      </c>
      <c r="E1038" s="16" t="s">
        <v>4967</v>
      </c>
      <c r="F1038" s="16" t="s">
        <v>4724</v>
      </c>
      <c r="G1038" s="63" t="s">
        <v>4992</v>
      </c>
      <c r="H1038" s="112" t="s">
        <v>4818</v>
      </c>
      <c r="I1038" s="1"/>
      <c r="J1038" s="183" t="str">
        <f>IFERROR(VLOOKUP(A1038,Internal_lists_bugs!$A$2:$I2031,9,FALSE()),"please select a BUG ID")</f>
        <v>No information available</v>
      </c>
    </row>
    <row r="1039">
      <c r="A1039" s="1" t="s">
        <v>93</v>
      </c>
      <c r="B1039" s="50" t="str">
        <f>IFERROR(HYPERLINK(VLOOKUP(A1039,Internal_lists_bugs!$A$2:$C$73,3,FALSE()), VLOOKUP(A1039,Internal_lists_bugs!$A$2:$C$73,3,FALSE())&amp;Char(10) &amp; Char(10) &amp; VLOOKUP(A1039,Internal_lists_bugs!$A$2:$Z$73,26,FALSE())),"please select a BUG ID")</f>
        <v>https://github.com/elastic/elasticsearch/issues/15858
/lucene/search/Queries.java</v>
      </c>
      <c r="C1039" s="81" t="str">
        <f>IFERROR(SUBSTITUTE(VLOOKUP(A1039,Internal_lists_bugs!$A$2:$G2031,7,FALSE()),"/commit/","/tree/"),"please select a BUG ID")</f>
        <v>https://github.com/elastic/elasticsearch/tree/0cde90fcb10c9</v>
      </c>
      <c r="D1039" s="16" t="s">
        <v>4966</v>
      </c>
      <c r="E1039" s="16" t="s">
        <v>4967</v>
      </c>
      <c r="F1039" s="54"/>
      <c r="H1039" s="112" t="s">
        <v>4965</v>
      </c>
      <c r="I1039" s="1" t="s">
        <v>4972</v>
      </c>
      <c r="J1039" s="183" t="str">
        <f>IFERROR(VLOOKUP(A1039,Internal_lists_bugs!$A$2:$I2031,9,FALSE()),"please select a BUG ID")</f>
        <v>No information available</v>
      </c>
    </row>
    <row r="1040">
      <c r="A1040" s="1" t="s">
        <v>93</v>
      </c>
      <c r="B1040" s="50" t="str">
        <f>IFERROR(HYPERLINK(VLOOKUP(A1040,Internal_lists_bugs!$A$2:$C$73,3,FALSE()), VLOOKUP(A1040,Internal_lists_bugs!$A$2:$C$73,3,FALSE())&amp;Char(10) &amp; Char(10) &amp; VLOOKUP(A1040,Internal_lists_bugs!$A$2:$Z$73,26,FALSE())),"please select a BUG ID")</f>
        <v>https://github.com/elastic/elasticsearch/issues/15858
/lucene/search/Queries.java</v>
      </c>
      <c r="C1040" s="81" t="str">
        <f>IFERROR(SUBSTITUTE(VLOOKUP(A1040,Internal_lists_bugs!$A$2:$G2031,7,FALSE()),"/commit/","/tree/"),"please select a BUG ID")</f>
        <v>https://github.com/elastic/elasticsearch/tree/0cde90fcb10c9</v>
      </c>
      <c r="D1040" s="16" t="s">
        <v>4970</v>
      </c>
      <c r="E1040" s="16" t="s">
        <v>4969</v>
      </c>
      <c r="F1040" s="54"/>
      <c r="H1040" s="112" t="s">
        <v>4708</v>
      </c>
      <c r="I1040" s="1"/>
      <c r="J1040" s="183" t="str">
        <f>IFERROR(VLOOKUP(A1040,Internal_lists_bugs!$A$2:$I2031,9,FALSE()),"please select a BUG ID")</f>
        <v>No information available</v>
      </c>
    </row>
    <row r="1041">
      <c r="A1041" s="1" t="s">
        <v>93</v>
      </c>
      <c r="B1041" s="50" t="str">
        <f>IFERROR(HYPERLINK(VLOOKUP(A1041,Internal_lists_bugs!$A$2:$C$73,3,FALSE()), VLOOKUP(A1041,Internal_lists_bugs!$A$2:$C$73,3,FALSE())&amp;Char(10) &amp; Char(10) &amp; VLOOKUP(A1041,Internal_lists_bugs!$A$2:$Z$73,26,FALSE())),"please select a BUG ID")</f>
        <v>https://github.com/elastic/elasticsearch/issues/15858
/lucene/search/Queries.java</v>
      </c>
      <c r="C1041" s="81" t="str">
        <f>IFERROR(SUBSTITUTE(VLOOKUP(A1041,Internal_lists_bugs!$A$2:$G2031,7,FALSE()),"/commit/","/tree/"),"please select a BUG ID")</f>
        <v>https://github.com/elastic/elasticsearch/tree/0cde90fcb10c9</v>
      </c>
      <c r="D1041" s="16" t="s">
        <v>4973</v>
      </c>
      <c r="E1041" s="16" t="s">
        <v>5005</v>
      </c>
      <c r="F1041" s="54"/>
      <c r="H1041" s="112" t="s">
        <v>4971</v>
      </c>
      <c r="I1041" s="1" t="s">
        <v>5025</v>
      </c>
      <c r="J1041" s="183" t="str">
        <f>IFERROR(VLOOKUP(A1041,Internal_lists_bugs!$A$2:$I2031,9,FALSE()),"please select a BUG ID")</f>
        <v>No information available</v>
      </c>
    </row>
    <row r="1042">
      <c r="A1042" s="1" t="s">
        <v>93</v>
      </c>
      <c r="B1042" s="50" t="str">
        <f>IFERROR(HYPERLINK(VLOOKUP(A1042,Internal_lists_bugs!$A$2:$C$73,3,FALSE()), VLOOKUP(A1042,Internal_lists_bugs!$A$2:$C$73,3,FALSE())&amp;Char(10) &amp; Char(10) &amp; VLOOKUP(A1042,Internal_lists_bugs!$A$2:$Z$73,26,FALSE())),"please select a BUG ID")</f>
        <v>https://github.com/elastic/elasticsearch/issues/15858
/lucene/search/Queries.java</v>
      </c>
      <c r="C1042" s="81" t="str">
        <f>IFERROR(SUBSTITUTE(VLOOKUP(A1042,Internal_lists_bugs!$A$2:$G2031,7,FALSE()),"/commit/","/tree/"),"please select a BUG ID")</f>
        <v>https://github.com/elastic/elasticsearch/tree/0cde90fcb10c9</v>
      </c>
      <c r="D1042" s="16" t="s">
        <v>4976</v>
      </c>
      <c r="E1042" s="16" t="s">
        <v>4977</v>
      </c>
      <c r="F1042" s="54"/>
      <c r="H1042" s="112" t="s">
        <v>4975</v>
      </c>
      <c r="I1042" s="1"/>
      <c r="J1042" s="183" t="str">
        <f>IFERROR(VLOOKUP(A1042,Internal_lists_bugs!$A$2:$I2031,9,FALSE()),"please select a BUG ID")</f>
        <v>No information available</v>
      </c>
    </row>
    <row r="1043">
      <c r="A1043" s="1" t="s">
        <v>93</v>
      </c>
      <c r="B1043" s="50" t="str">
        <f>IFERROR(HYPERLINK(VLOOKUP(A1043,Internal_lists_bugs!$A$2:$C$73,3,FALSE()), VLOOKUP(A1043,Internal_lists_bugs!$A$2:$C$73,3,FALSE())&amp;Char(10) &amp; Char(10) &amp; VLOOKUP(A1043,Internal_lists_bugs!$A$2:$Z$73,26,FALSE())),"please select a BUG ID")</f>
        <v>https://github.com/elastic/elasticsearch/issues/15858
/lucene/search/Queries.java</v>
      </c>
      <c r="C1043" s="81" t="str">
        <f>IFERROR(SUBSTITUTE(VLOOKUP(A1043,Internal_lists_bugs!$A$2:$G2031,7,FALSE()),"/commit/","/tree/"),"please select a BUG ID")</f>
        <v>https://github.com/elastic/elasticsearch/tree/0cde90fcb10c9</v>
      </c>
      <c r="D1043" s="16" t="s">
        <v>4982</v>
      </c>
      <c r="E1043" s="16" t="s">
        <v>4979</v>
      </c>
      <c r="F1043" s="54"/>
      <c r="H1043" s="112" t="s">
        <v>4993</v>
      </c>
      <c r="I1043" s="1" t="s">
        <v>5029</v>
      </c>
      <c r="J1043" s="183" t="str">
        <f>IFERROR(VLOOKUP(A1043,Internal_lists_bugs!$A$2:$I2031,9,FALSE()),"please select a BUG ID")</f>
        <v>No information available</v>
      </c>
    </row>
    <row r="1044">
      <c r="A1044" s="1" t="s">
        <v>93</v>
      </c>
      <c r="B1044" s="50" t="str">
        <f>IFERROR(HYPERLINK(VLOOKUP(A1044,Internal_lists_bugs!$A$2:$C$73,3,FALSE()), VLOOKUP(A1044,Internal_lists_bugs!$A$2:$C$73,3,FALSE())&amp;Char(10) &amp; Char(10) &amp; VLOOKUP(A1044,Internal_lists_bugs!$A$2:$Z$73,26,FALSE())),"please select a BUG ID")</f>
        <v>https://github.com/elastic/elasticsearch/issues/15858
/lucene/search/Queries.java</v>
      </c>
      <c r="C1044" s="81" t="str">
        <f>IFERROR(SUBSTITUTE(VLOOKUP(A1044,Internal_lists_bugs!$A$2:$G2031,7,FALSE()),"/commit/","/tree/"),"please select a BUG ID")</f>
        <v>https://github.com/elastic/elasticsearch/tree/0cde90fcb10c9</v>
      </c>
      <c r="D1044" s="16" t="s">
        <v>4983</v>
      </c>
      <c r="E1044" s="16" t="s">
        <v>4984</v>
      </c>
      <c r="F1044" s="54"/>
      <c r="H1044" s="112" t="s">
        <v>4684</v>
      </c>
      <c r="I1044" s="1"/>
      <c r="J1044" s="183" t="str">
        <f>IFERROR(VLOOKUP(A1044,Internal_lists_bugs!$A$2:$I2031,9,FALSE()),"please select a BUG ID")</f>
        <v>No information available</v>
      </c>
    </row>
    <row r="1045">
      <c r="A1045" s="1" t="s">
        <v>93</v>
      </c>
      <c r="B1045" s="50" t="str">
        <f>IFERROR(HYPERLINK(VLOOKUP(A1045,Internal_lists_bugs!$A$2:$C$73,3,FALSE()), VLOOKUP(A1045,Internal_lists_bugs!$A$2:$C$73,3,FALSE())&amp;Char(10) &amp; Char(10) &amp; VLOOKUP(A1045,Internal_lists_bugs!$A$2:$Z$73,26,FALSE())),"please select a BUG ID")</f>
        <v>https://github.com/elastic/elasticsearch/issues/15858
/lucene/search/Queries.java</v>
      </c>
      <c r="C1045" s="81" t="str">
        <f>IFERROR(SUBSTITUTE(VLOOKUP(A1045,Internal_lists_bugs!$A$2:$G2031,7,FALSE()),"/commit/","/tree/"),"please select a BUG ID")</f>
        <v>https://github.com/elastic/elasticsearch/tree/0cde90fcb10c9</v>
      </c>
      <c r="D1045" s="16" t="s">
        <v>4985</v>
      </c>
      <c r="E1045" s="16" t="s">
        <v>4996</v>
      </c>
      <c r="F1045" s="54"/>
      <c r="H1045" s="112" t="s">
        <v>4994</v>
      </c>
      <c r="I1045" s="1"/>
      <c r="J1045" s="183" t="str">
        <f>IFERROR(VLOOKUP(A1045,Internal_lists_bugs!$A$2:$I2031,9,FALSE()),"please select a BUG ID")</f>
        <v>No information available</v>
      </c>
    </row>
    <row r="1046">
      <c r="A1046" s="1" t="s">
        <v>93</v>
      </c>
      <c r="B1046" s="50" t="str">
        <f>IFERROR(HYPERLINK(VLOOKUP(A1046,Internal_lists_bugs!$A$2:$C$73,3,FALSE()), VLOOKUP(A1046,Internal_lists_bugs!$A$2:$C$73,3,FALSE())&amp;Char(10) &amp; Char(10) &amp; VLOOKUP(A1046,Internal_lists_bugs!$A$2:$Z$73,26,FALSE())),"please select a BUG ID")</f>
        <v>https://github.com/elastic/elasticsearch/issues/15858
/lucene/search/Queries.java</v>
      </c>
      <c r="C1046" s="81" t="str">
        <f>IFERROR(SUBSTITUTE(VLOOKUP(A1046,Internal_lists_bugs!$A$2:$G2031,7,FALSE()),"/commit/","/tree/"),"please select a BUG ID")</f>
        <v>https://github.com/elastic/elasticsearch/tree/0cde90fcb10c9</v>
      </c>
      <c r="D1046" s="16" t="s">
        <v>5003</v>
      </c>
      <c r="E1046" s="16" t="s">
        <v>5012</v>
      </c>
      <c r="F1046" s="54"/>
      <c r="H1046" s="112" t="s">
        <v>4980</v>
      </c>
      <c r="I1046" s="1"/>
      <c r="J1046" s="183" t="str">
        <f>IFERROR(VLOOKUP(A1046,Internal_lists_bugs!$A$2:$I2031,9,FALSE()),"please select a BUG ID")</f>
        <v>No information available</v>
      </c>
    </row>
    <row r="1047">
      <c r="A1047" s="1" t="s">
        <v>93</v>
      </c>
      <c r="B1047" s="50" t="str">
        <f>IFERROR(HYPERLINK(VLOOKUP(A1047,Internal_lists_bugs!$A$2:$C$73,3,FALSE()), VLOOKUP(A1047,Internal_lists_bugs!$A$2:$C$73,3,FALSE())&amp;Char(10) &amp; Char(10) &amp; VLOOKUP(A1047,Internal_lists_bugs!$A$2:$Z$73,26,FALSE())),"please select a BUG ID")</f>
        <v>https://github.com/elastic/elasticsearch/issues/15858
/lucene/search/Queries.java</v>
      </c>
      <c r="C1047" s="81" t="str">
        <f>IFERROR(SUBSTITUTE(VLOOKUP(A1047,Internal_lists_bugs!$A$2:$G2031,7,FALSE()),"/commit/","/tree/"),"please select a BUG ID")</f>
        <v>https://github.com/elastic/elasticsearch/tree/0cde90fcb10c9</v>
      </c>
      <c r="D1047" s="16" t="s">
        <v>4989</v>
      </c>
      <c r="E1047" s="16" t="s">
        <v>5014</v>
      </c>
      <c r="F1047" s="54"/>
      <c r="H1047" s="112"/>
      <c r="I1047" s="1"/>
      <c r="J1047" s="183" t="str">
        <f>IFERROR(VLOOKUP(A1047,Internal_lists_bugs!$A$2:$I2031,9,FALSE()),"please select a BUG ID")</f>
        <v>No information available</v>
      </c>
    </row>
    <row r="1048">
      <c r="A1048" s="1" t="s">
        <v>93</v>
      </c>
      <c r="B1048" s="50" t="str">
        <f>IFERROR(HYPERLINK(VLOOKUP(A1048,Internal_lists_bugs!$A$2:$C$73,3,FALSE()), VLOOKUP(A1048,Internal_lists_bugs!$A$2:$C$73,3,FALSE())&amp;Char(10) &amp; Char(10) &amp; VLOOKUP(A1048,Internal_lists_bugs!$A$2:$Z$73,26,FALSE())),"please select a BUG ID")</f>
        <v>https://github.com/elastic/elasticsearch/issues/15858
/lucene/search/Queries.java</v>
      </c>
      <c r="C1048" s="81" t="str">
        <f>IFERROR(SUBSTITUTE(VLOOKUP(A1048,Internal_lists_bugs!$A$2:$G2031,7,FALSE()),"/commit/","/tree/"),"please select a BUG ID")</f>
        <v>https://github.com/elastic/elasticsearch/tree/0cde90fcb10c9</v>
      </c>
      <c r="D1048" s="16" t="s">
        <v>4968</v>
      </c>
      <c r="E1048" s="16" t="s">
        <v>5017</v>
      </c>
      <c r="F1048" s="54"/>
      <c r="H1048" s="114"/>
      <c r="J1048" s="183" t="str">
        <f>IFERROR(VLOOKUP(A1048,Internal_lists_bugs!$A$2:$I2031,9,FALSE()),"please select a BUG ID")</f>
        <v>No information available</v>
      </c>
    </row>
    <row r="1049">
      <c r="A1049" s="1" t="s">
        <v>93</v>
      </c>
      <c r="B1049" s="50" t="str">
        <f>IFERROR(HYPERLINK(VLOOKUP(A1049,Internal_lists_bugs!$A$2:$C$73,3,FALSE()), VLOOKUP(A1049,Internal_lists_bugs!$A$2:$C$73,3,FALSE())&amp;Char(10) &amp; Char(10) &amp; VLOOKUP(A1049,Internal_lists_bugs!$A$2:$Z$73,26,FALSE())),"please select a BUG ID")</f>
        <v>https://github.com/elastic/elasticsearch/issues/15858
/lucene/search/Queries.java</v>
      </c>
      <c r="C1049" s="81" t="str">
        <f>IFERROR(SUBSTITUTE(VLOOKUP(A1049,Internal_lists_bugs!$A$2:$G2031,7,FALSE()),"/commit/","/tree/"),"please select a BUG ID")</f>
        <v>https://github.com/elastic/elasticsearch/tree/0cde90fcb10c9</v>
      </c>
      <c r="D1049" s="16" t="s">
        <v>5001</v>
      </c>
      <c r="E1049" s="16" t="s">
        <v>5017</v>
      </c>
      <c r="F1049" s="54"/>
      <c r="H1049" s="114"/>
      <c r="J1049" s="183" t="str">
        <f>IFERROR(VLOOKUP(A1049,Internal_lists_bugs!$A$2:$I2031,9,FALSE()),"please select a BUG ID")</f>
        <v>No information available</v>
      </c>
    </row>
    <row r="1050">
      <c r="A1050" s="1" t="s">
        <v>93</v>
      </c>
      <c r="B1050" s="50" t="str">
        <f>IFERROR(HYPERLINK(VLOOKUP(A1050,Internal_lists_bugs!$A$2:$C$73,3,FALSE()), VLOOKUP(A1050,Internal_lists_bugs!$A$2:$C$73,3,FALSE())&amp;Char(10) &amp; Char(10) &amp; VLOOKUP(A1050,Internal_lists_bugs!$A$2:$Z$73,26,FALSE())),"please select a BUG ID")</f>
        <v>https://github.com/elastic/elasticsearch/issues/15858
/lucene/search/Queries.java</v>
      </c>
      <c r="C1050" s="81" t="str">
        <f>IFERROR(SUBSTITUTE(VLOOKUP(A1050,Internal_lists_bugs!$A$2:$G2031,7,FALSE()),"/commit/","/tree/"),"please select a BUG ID")</f>
        <v>https://github.com/elastic/elasticsearch/tree/0cde90fcb10c9</v>
      </c>
      <c r="D1050" s="16" t="s">
        <v>5000</v>
      </c>
      <c r="E1050" s="16" t="s">
        <v>5017</v>
      </c>
      <c r="F1050" s="54"/>
      <c r="H1050" s="114"/>
      <c r="J1050" s="183" t="str">
        <f>IFERROR(VLOOKUP(A1050,Internal_lists_bugs!$A$2:$I2031,9,FALSE()),"please select a BUG ID")</f>
        <v>No information available</v>
      </c>
    </row>
    <row r="1051">
      <c r="A1051" s="1" t="s">
        <v>93</v>
      </c>
      <c r="B1051" s="50" t="str">
        <f>IFERROR(HYPERLINK(VLOOKUP(A1051,Internal_lists_bugs!$A$2:$C$73,3,FALSE()), VLOOKUP(A1051,Internal_lists_bugs!$A$2:$C$73,3,FALSE())&amp;Char(10) &amp; Char(10) &amp; VLOOKUP(A1051,Internal_lists_bugs!$A$2:$Z$73,26,FALSE())),"please select a BUG ID")</f>
        <v>https://github.com/elastic/elasticsearch/issues/15858
/lucene/search/Queries.java</v>
      </c>
      <c r="C1051" s="81" t="str">
        <f>IFERROR(SUBSTITUTE(VLOOKUP(A1051,Internal_lists_bugs!$A$2:$G2031,7,FALSE()),"/commit/","/tree/"),"please select a BUG ID")</f>
        <v>https://github.com/elastic/elasticsearch/tree/0cde90fcb10c9</v>
      </c>
      <c r="D1051" s="16" t="s">
        <v>4998</v>
      </c>
      <c r="E1051" s="16" t="s">
        <v>4977</v>
      </c>
      <c r="F1051" s="54"/>
      <c r="H1051" s="114"/>
      <c r="J1051" s="183" t="str">
        <f>IFERROR(VLOOKUP(A1051,Internal_lists_bugs!$A$2:$I2031,9,FALSE()),"please select a BUG ID")</f>
        <v>No information available</v>
      </c>
    </row>
    <row r="1052">
      <c r="A1052" s="1" t="s">
        <v>93</v>
      </c>
      <c r="B1052" s="50" t="str">
        <f>IFERROR(HYPERLINK(VLOOKUP(A1052,Internal_lists_bugs!$A$2:$C$73,3,FALSE()), VLOOKUP(A1052,Internal_lists_bugs!$A$2:$C$73,3,FALSE())&amp;Char(10) &amp; Char(10) &amp; VLOOKUP(A1052,Internal_lists_bugs!$A$2:$Z$73,26,FALSE())),"please select a BUG ID")</f>
        <v>https://github.com/elastic/elasticsearch/issues/15858
/lucene/search/Queries.java</v>
      </c>
      <c r="C1052" s="81" t="str">
        <f>IFERROR(SUBSTITUTE(VLOOKUP(A1052,Internal_lists_bugs!$A$2:$G2031,7,FALSE()),"/commit/","/tree/"),"please select a BUG ID")</f>
        <v>https://github.com/elastic/elasticsearch/tree/0cde90fcb10c9</v>
      </c>
      <c r="D1052" s="16" t="s">
        <v>4990</v>
      </c>
      <c r="E1052" s="16" t="s">
        <v>4997</v>
      </c>
      <c r="F1052" s="54"/>
      <c r="H1052" s="114"/>
      <c r="J1052" s="183" t="str">
        <f>IFERROR(VLOOKUP(A1052,Internal_lists_bugs!$A$2:$I2031,9,FALSE()),"please select a BUG ID")</f>
        <v>No information available</v>
      </c>
    </row>
    <row r="1053">
      <c r="A1053" s="1" t="s">
        <v>93</v>
      </c>
      <c r="B1053" s="50" t="str">
        <f>IFERROR(HYPERLINK(VLOOKUP(A1053,Internal_lists_bugs!$A$2:$C$73,3,FALSE()), VLOOKUP(A1053,Internal_lists_bugs!$A$2:$C$73,3,FALSE())&amp;Char(10) &amp; Char(10) &amp; VLOOKUP(A1053,Internal_lists_bugs!$A$2:$Z$73,26,FALSE())),"please select a BUG ID")</f>
        <v>https://github.com/elastic/elasticsearch/issues/15858
/lucene/search/Queries.java</v>
      </c>
      <c r="C1053" s="81" t="str">
        <f>IFERROR(SUBSTITUTE(VLOOKUP(A1053,Internal_lists_bugs!$A$2:$G2031,7,FALSE()),"/commit/","/tree/"),"please select a BUG ID")</f>
        <v>https://github.com/elastic/elasticsearch/tree/0cde90fcb10c9</v>
      </c>
      <c r="D1053" s="16" t="s">
        <v>4987</v>
      </c>
      <c r="E1053" s="16" t="s">
        <v>4997</v>
      </c>
      <c r="F1053" s="54"/>
      <c r="H1053" s="114"/>
      <c r="J1053" s="183" t="str">
        <f>IFERROR(VLOOKUP(A1053,Internal_lists_bugs!$A$2:$I2031,9,FALSE()),"please select a BUG ID")</f>
        <v>No information available</v>
      </c>
    </row>
    <row r="1054">
      <c r="A1054" s="1" t="s">
        <v>93</v>
      </c>
      <c r="B1054" s="50" t="str">
        <f>IFERROR(HYPERLINK(VLOOKUP(A1054,Internal_lists_bugs!$A$2:$C$73,3,FALSE()), VLOOKUP(A1054,Internal_lists_bugs!$A$2:$C$73,3,FALSE())&amp;Char(10) &amp; Char(10) &amp; VLOOKUP(A1054,Internal_lists_bugs!$A$2:$Z$73,26,FALSE())),"please select a BUG ID")</f>
        <v>https://github.com/elastic/elasticsearch/issues/15858
/lucene/search/Queries.java</v>
      </c>
      <c r="C1054" s="81" t="str">
        <f>IFERROR(SUBSTITUTE(VLOOKUP(A1054,Internal_lists_bugs!$A$2:$G2031,7,FALSE()),"/commit/","/tree/"),"please select a BUG ID")</f>
        <v>https://github.com/elastic/elasticsearch/tree/0cde90fcb10c9</v>
      </c>
      <c r="D1054" s="16" t="s">
        <v>5008</v>
      </c>
      <c r="E1054" s="16" t="s">
        <v>5017</v>
      </c>
      <c r="F1054" s="54"/>
      <c r="H1054" s="114"/>
      <c r="J1054" s="183" t="str">
        <f>IFERROR(VLOOKUP(A1054,Internal_lists_bugs!$A$2:$I2031,9,FALSE()),"please select a BUG ID")</f>
        <v>No information available</v>
      </c>
    </row>
    <row r="1055">
      <c r="A1055" s="1" t="s">
        <v>93</v>
      </c>
      <c r="B1055" s="50" t="str">
        <f>IFERROR(HYPERLINK(VLOOKUP(A1055,Internal_lists_bugs!$A$2:$C$73,3,FALSE()), VLOOKUP(A1055,Internal_lists_bugs!$A$2:$C$73,3,FALSE())&amp;Char(10) &amp; Char(10) &amp; VLOOKUP(A1055,Internal_lists_bugs!$A$2:$Z$73,26,FALSE())),"please select a BUG ID")</f>
        <v>https://github.com/elastic/elasticsearch/issues/15858
/lucene/search/Queries.java</v>
      </c>
      <c r="C1055" s="81" t="str">
        <f>IFERROR(SUBSTITUTE(VLOOKUP(A1055,Internal_lists_bugs!$A$2:$G2031,7,FALSE()),"/commit/","/tree/"),"please select a BUG ID")</f>
        <v>https://github.com/elastic/elasticsearch/tree/0cde90fcb10c9</v>
      </c>
      <c r="D1055" s="16" t="s">
        <v>4978</v>
      </c>
      <c r="F1055" s="54"/>
      <c r="H1055" s="114"/>
      <c r="J1055" s="183" t="str">
        <f>IFERROR(VLOOKUP(A1055,Internal_lists_bugs!$A$2:$I2031,9,FALSE()),"please select a BUG ID")</f>
        <v>No information available</v>
      </c>
    </row>
    <row r="1056">
      <c r="A1056" s="1" t="s">
        <v>70</v>
      </c>
      <c r="B1056" s="50" t="str">
        <f>IFERROR(HYPERLINK(VLOOKUP(A1056,Internal_lists_bugs!$A$2:$C$73,3,FALSE()), VLOOKUP(A1056,Internal_lists_bugs!$A$2:$C$73,3,FALSE())&amp;Char(10) &amp; Char(10) &amp; VLOOKUP(A1056,Internal_lists_bugs!$A$2:$Z$73,26,FALSE())),"please select a BUG ID")</f>
        <v>https://github.com/elastic/elasticsearch/issues/16246
/core/IngestDocument.java</v>
      </c>
      <c r="C1056" s="81" t="str">
        <f>IFERROR(SUBSTITUTE(VLOOKUP(A1056,Internal_lists_bugs!$A$2:$G2031,7,FALSE()),"/commit/","/tree/"),"please select a BUG ID")</f>
        <v>https://github.com/elastic/elasticsearch/tree/57d6971</v>
      </c>
      <c r="D1056" s="16" t="s">
        <v>4962</v>
      </c>
      <c r="E1056" s="16" t="s">
        <v>4967</v>
      </c>
      <c r="F1056" s="16" t="s">
        <v>4724</v>
      </c>
      <c r="G1056" s="63" t="s">
        <v>4992</v>
      </c>
      <c r="H1056" s="112" t="s">
        <v>4818</v>
      </c>
      <c r="I1056" s="1"/>
      <c r="J1056" s="196" t="str">
        <f>IFERROR(VLOOKUP(A1056,Internal_lists_bugs!$A$2:$I2031,9,FALSE()),"please select a BUG ID")</f>
        <v>https://github.com/elastic/elasticsearch/pull/15283, https://github.com/elastic/elasticsearch/pull/15564, https://github.com/elastic/elasticsearch/pull/16049</v>
      </c>
    </row>
    <row r="1057">
      <c r="A1057" s="1" t="s">
        <v>70</v>
      </c>
      <c r="B1057" s="50" t="str">
        <f>IFERROR(HYPERLINK(VLOOKUP(A1057,Internal_lists_bugs!$A$2:$C$73,3,FALSE()), VLOOKUP(A1057,Internal_lists_bugs!$A$2:$C$73,3,FALSE())&amp;Char(10) &amp; Char(10) &amp; VLOOKUP(A1057,Internal_lists_bugs!$A$2:$Z$73,26,FALSE())),"please select a BUG ID")</f>
        <v>https://github.com/elastic/elasticsearch/issues/16246
/core/IngestDocument.java</v>
      </c>
      <c r="C1057" s="81" t="str">
        <f>IFERROR(SUBSTITUTE(VLOOKUP(A1057,Internal_lists_bugs!$A$2:$G2031,7,FALSE()),"/commit/","/tree/"),"please select a BUG ID")</f>
        <v>https://github.com/elastic/elasticsearch/tree/57d6971</v>
      </c>
      <c r="D1057" s="16" t="s">
        <v>4966</v>
      </c>
      <c r="E1057" s="16" t="s">
        <v>4967</v>
      </c>
      <c r="F1057" s="54"/>
      <c r="H1057" s="112" t="s">
        <v>4965</v>
      </c>
      <c r="I1057" s="1" t="s">
        <v>4972</v>
      </c>
      <c r="J1057" s="196" t="str">
        <f>IFERROR(VLOOKUP(A1057,Internal_lists_bugs!$A$2:$I2031,9,FALSE()),"please select a BUG ID")</f>
        <v>https://github.com/elastic/elasticsearch/pull/15283, https://github.com/elastic/elasticsearch/pull/15564, https://github.com/elastic/elasticsearch/pull/16049</v>
      </c>
    </row>
    <row r="1058">
      <c r="A1058" s="1" t="s">
        <v>70</v>
      </c>
      <c r="B1058" s="50" t="str">
        <f>IFERROR(HYPERLINK(VLOOKUP(A1058,Internal_lists_bugs!$A$2:$C$73,3,FALSE()), VLOOKUP(A1058,Internal_lists_bugs!$A$2:$C$73,3,FALSE())&amp;Char(10) &amp; Char(10) &amp; VLOOKUP(A1058,Internal_lists_bugs!$A$2:$Z$73,26,FALSE())),"please select a BUG ID")</f>
        <v>https://github.com/elastic/elasticsearch/issues/16246
/core/IngestDocument.java</v>
      </c>
      <c r="C1058" s="81" t="str">
        <f>IFERROR(SUBSTITUTE(VLOOKUP(A1058,Internal_lists_bugs!$A$2:$G2031,7,FALSE()),"/commit/","/tree/"),"please select a BUG ID")</f>
        <v>https://github.com/elastic/elasticsearch/tree/57d6971</v>
      </c>
      <c r="D1058" s="16" t="s">
        <v>4973</v>
      </c>
      <c r="E1058" s="16" t="s">
        <v>5081</v>
      </c>
      <c r="F1058" s="54"/>
      <c r="H1058" s="112" t="s">
        <v>4708</v>
      </c>
      <c r="I1058" s="1"/>
      <c r="J1058" s="196" t="str">
        <f>IFERROR(VLOOKUP(A1058,Internal_lists_bugs!$A$2:$I2031,9,FALSE()),"please select a BUG ID")</f>
        <v>https://github.com/elastic/elasticsearch/pull/15283, https://github.com/elastic/elasticsearch/pull/15564, https://github.com/elastic/elasticsearch/pull/16049</v>
      </c>
    </row>
    <row r="1059">
      <c r="A1059" s="1" t="s">
        <v>70</v>
      </c>
      <c r="B1059" s="50" t="str">
        <f>IFERROR(HYPERLINK(VLOOKUP(A1059,Internal_lists_bugs!$A$2:$C$73,3,FALSE()), VLOOKUP(A1059,Internal_lists_bugs!$A$2:$C$73,3,FALSE())&amp;Char(10) &amp; Char(10) &amp; VLOOKUP(A1059,Internal_lists_bugs!$A$2:$Z$73,26,FALSE())),"please select a BUG ID")</f>
        <v>https://github.com/elastic/elasticsearch/issues/16246
/core/IngestDocument.java</v>
      </c>
      <c r="C1059" s="81" t="str">
        <f>IFERROR(SUBSTITUTE(VLOOKUP(A1059,Internal_lists_bugs!$A$2:$G2031,7,FALSE()),"/commit/","/tree/"),"please select a BUG ID")</f>
        <v>https://github.com/elastic/elasticsearch/tree/57d6971</v>
      </c>
      <c r="D1059" s="16" t="s">
        <v>4983</v>
      </c>
      <c r="E1059" s="16" t="s">
        <v>5081</v>
      </c>
      <c r="F1059" s="54"/>
      <c r="H1059" s="112" t="s">
        <v>4971</v>
      </c>
      <c r="I1059" s="9" t="s">
        <v>5082</v>
      </c>
      <c r="J1059" s="196" t="str">
        <f>IFERROR(VLOOKUP(A1059,Internal_lists_bugs!$A$2:$I2031,9,FALSE()),"please select a BUG ID")</f>
        <v>https://github.com/elastic/elasticsearch/pull/15283, https://github.com/elastic/elasticsearch/pull/15564, https://github.com/elastic/elasticsearch/pull/16049</v>
      </c>
    </row>
    <row r="1060">
      <c r="A1060" s="1" t="s">
        <v>70</v>
      </c>
      <c r="B1060" s="50" t="str">
        <f>IFERROR(HYPERLINK(VLOOKUP(A1060,Internal_lists_bugs!$A$2:$C$73,3,FALSE()), VLOOKUP(A1060,Internal_lists_bugs!$A$2:$C$73,3,FALSE())&amp;Char(10) &amp; Char(10) &amp; VLOOKUP(A1060,Internal_lists_bugs!$A$2:$Z$73,26,FALSE())),"please select a BUG ID")</f>
        <v>https://github.com/elastic/elasticsearch/issues/16246
/core/IngestDocument.java</v>
      </c>
      <c r="C1060" s="81" t="str">
        <f>IFERROR(SUBSTITUTE(VLOOKUP(A1060,Internal_lists_bugs!$A$2:$G2031,7,FALSE()),"/commit/","/tree/"),"please select a BUG ID")</f>
        <v>https://github.com/elastic/elasticsearch/tree/57d6971</v>
      </c>
      <c r="D1060" s="16" t="s">
        <v>4978</v>
      </c>
      <c r="E1060" s="16" t="s">
        <v>5083</v>
      </c>
      <c r="F1060" s="54"/>
      <c r="H1060" s="112" t="s">
        <v>4975</v>
      </c>
      <c r="I1060" s="1"/>
      <c r="J1060" s="196" t="str">
        <f>IFERROR(VLOOKUP(A1060,Internal_lists_bugs!$A$2:$I2031,9,FALSE()),"please select a BUG ID")</f>
        <v>https://github.com/elastic/elasticsearch/pull/15283, https://github.com/elastic/elasticsearch/pull/15564, https://github.com/elastic/elasticsearch/pull/16049</v>
      </c>
    </row>
    <row r="1061">
      <c r="A1061" s="1" t="s">
        <v>70</v>
      </c>
      <c r="B1061" s="50" t="str">
        <f>IFERROR(HYPERLINK(VLOOKUP(A1061,Internal_lists_bugs!$A$2:$C$73,3,FALSE()), VLOOKUP(A1061,Internal_lists_bugs!$A$2:$C$73,3,FALSE())&amp;Char(10) &amp; Char(10) &amp; VLOOKUP(A1061,Internal_lists_bugs!$A$2:$Z$73,26,FALSE())),"please select a BUG ID")</f>
        <v>https://github.com/elastic/elasticsearch/issues/16246
/core/IngestDocument.java</v>
      </c>
      <c r="C1061" s="81" t="str">
        <f>IFERROR(SUBSTITUTE(VLOOKUP(A1061,Internal_lists_bugs!$A$2:$G2031,7,FALSE()),"/commit/","/tree/"),"please select a BUG ID")</f>
        <v>https://github.com/elastic/elasticsearch/tree/57d6971</v>
      </c>
      <c r="D1061" s="16" t="s">
        <v>5033</v>
      </c>
      <c r="E1061" s="16" t="s">
        <v>5084</v>
      </c>
      <c r="F1061" s="54"/>
      <c r="H1061" s="112" t="s">
        <v>4684</v>
      </c>
      <c r="I1061" s="1"/>
      <c r="J1061" s="196" t="str">
        <f>IFERROR(VLOOKUP(A1061,Internal_lists_bugs!$A$2:$I2031,9,FALSE()),"please select a BUG ID")</f>
        <v>https://github.com/elastic/elasticsearch/pull/15283, https://github.com/elastic/elasticsearch/pull/15564, https://github.com/elastic/elasticsearch/pull/16049</v>
      </c>
    </row>
    <row r="1062">
      <c r="A1062" s="1" t="s">
        <v>70</v>
      </c>
      <c r="B1062" s="50" t="str">
        <f>IFERROR(HYPERLINK(VLOOKUP(A1062,Internal_lists_bugs!$A$2:$C$73,3,FALSE()), VLOOKUP(A1062,Internal_lists_bugs!$A$2:$C$73,3,FALSE())&amp;Char(10) &amp; Char(10) &amp; VLOOKUP(A1062,Internal_lists_bugs!$A$2:$Z$73,26,FALSE())),"please select a BUG ID")</f>
        <v>https://github.com/elastic/elasticsearch/issues/16246
/core/IngestDocument.java</v>
      </c>
      <c r="C1062" s="81" t="str">
        <f>IFERROR(SUBSTITUTE(VLOOKUP(A1062,Internal_lists_bugs!$A$2:$G2031,7,FALSE()),"/commit/","/tree/"),"please select a BUG ID")</f>
        <v>https://github.com/elastic/elasticsearch/tree/57d6971</v>
      </c>
      <c r="D1062" s="16" t="s">
        <v>1325</v>
      </c>
      <c r="E1062" s="16" t="s">
        <v>5085</v>
      </c>
      <c r="F1062" s="54"/>
      <c r="H1062" s="112" t="s">
        <v>4994</v>
      </c>
      <c r="I1062" s="9" t="s">
        <v>5086</v>
      </c>
      <c r="J1062" s="196" t="str">
        <f>IFERROR(VLOOKUP(A1062,Internal_lists_bugs!$A$2:$I2031,9,FALSE()),"please select a BUG ID")</f>
        <v>https://github.com/elastic/elasticsearch/pull/15283, https://github.com/elastic/elasticsearch/pull/15564, https://github.com/elastic/elasticsearch/pull/16049</v>
      </c>
    </row>
    <row r="1063">
      <c r="A1063" s="1" t="s">
        <v>70</v>
      </c>
      <c r="B1063" s="50" t="str">
        <f>IFERROR(HYPERLINK(VLOOKUP(A1063,Internal_lists_bugs!$A$2:$C$73,3,FALSE()), VLOOKUP(A1063,Internal_lists_bugs!$A$2:$C$73,3,FALSE())&amp;Char(10) &amp; Char(10) &amp; VLOOKUP(A1063,Internal_lists_bugs!$A$2:$Z$73,26,FALSE())),"please select a BUG ID")</f>
        <v>https://github.com/elastic/elasticsearch/issues/16246
/core/IngestDocument.java</v>
      </c>
      <c r="C1063" s="81" t="str">
        <f>IFERROR(SUBSTITUTE(VLOOKUP(A1063,Internal_lists_bugs!$A$2:$G2031,7,FALSE()),"/commit/","/tree/"),"please select a BUG ID")</f>
        <v>https://github.com/elastic/elasticsearch/tree/57d6971</v>
      </c>
      <c r="D1063" s="16" t="s">
        <v>5051</v>
      </c>
      <c r="E1063" s="16" t="s">
        <v>5083</v>
      </c>
      <c r="F1063" s="54"/>
      <c r="H1063" s="112" t="s">
        <v>4980</v>
      </c>
      <c r="I1063" s="9" t="s">
        <v>4962</v>
      </c>
      <c r="J1063" s="196" t="str">
        <f>IFERROR(VLOOKUP(A1063,Internal_lists_bugs!$A$2:$I2031,9,FALSE()),"please select a BUG ID")</f>
        <v>https://github.com/elastic/elasticsearch/pull/15283, https://github.com/elastic/elasticsearch/pull/15564, https://github.com/elastic/elasticsearch/pull/16049</v>
      </c>
    </row>
    <row r="1064">
      <c r="A1064" s="1" t="s">
        <v>70</v>
      </c>
      <c r="B1064" s="50" t="str">
        <f>IFERROR(HYPERLINK(VLOOKUP(A1064,Internal_lists_bugs!$A$2:$C$73,3,FALSE()), VLOOKUP(A1064,Internal_lists_bugs!$A$2:$C$73,3,FALSE())&amp;Char(10) &amp; Char(10) &amp; VLOOKUP(A1064,Internal_lists_bugs!$A$2:$Z$73,26,FALSE())),"please select a BUG ID")</f>
        <v>https://github.com/elastic/elasticsearch/issues/16246
/core/IngestDocument.java</v>
      </c>
      <c r="C1064" s="81" t="str">
        <f>IFERROR(SUBSTITUTE(VLOOKUP(A1064,Internal_lists_bugs!$A$2:$G2031,7,FALSE()),"/commit/","/tree/"),"please select a BUG ID")</f>
        <v>https://github.com/elastic/elasticsearch/tree/57d6971</v>
      </c>
      <c r="D1064" s="16" t="s">
        <v>5044</v>
      </c>
      <c r="E1064" s="16" t="s">
        <v>5083</v>
      </c>
      <c r="F1064" s="54"/>
      <c r="H1064" s="112" t="s">
        <v>5028</v>
      </c>
      <c r="I1064" s="1" t="s">
        <v>5029</v>
      </c>
      <c r="J1064" s="196" t="str">
        <f>IFERROR(VLOOKUP(A1064,Internal_lists_bugs!$A$2:$I2031,9,FALSE()),"please select a BUG ID")</f>
        <v>https://github.com/elastic/elasticsearch/pull/15283, https://github.com/elastic/elasticsearch/pull/15564, https://github.com/elastic/elasticsearch/pull/16049</v>
      </c>
    </row>
    <row r="1065">
      <c r="A1065" s="1" t="s">
        <v>70</v>
      </c>
      <c r="B1065" s="50" t="str">
        <f>IFERROR(HYPERLINK(VLOOKUP(A1065,Internal_lists_bugs!$A$2:$C$73,3,FALSE()), VLOOKUP(A1065,Internal_lists_bugs!$A$2:$C$73,3,FALSE())&amp;Char(10) &amp; Char(10) &amp; VLOOKUP(A1065,Internal_lists_bugs!$A$2:$Z$73,26,FALSE())),"please select a BUG ID")</f>
        <v>https://github.com/elastic/elasticsearch/issues/16246
/core/IngestDocument.java</v>
      </c>
      <c r="C1065" s="81" t="str">
        <f>IFERROR(SUBSTITUTE(VLOOKUP(A1065,Internal_lists_bugs!$A$2:$G2031,7,FALSE()),"/commit/","/tree/"),"please select a BUG ID")</f>
        <v>https://github.com/elastic/elasticsearch/tree/57d6971</v>
      </c>
      <c r="D1065" s="30"/>
      <c r="F1065" s="54"/>
      <c r="H1065" s="112" t="s">
        <v>4700</v>
      </c>
      <c r="I1065" s="16" t="s">
        <v>5087</v>
      </c>
      <c r="J1065" s="196" t="str">
        <f>IFERROR(VLOOKUP(A1065,Internal_lists_bugs!$A$2:$I2031,9,FALSE()),"please select a BUG ID")</f>
        <v>https://github.com/elastic/elasticsearch/pull/15283, https://github.com/elastic/elasticsearch/pull/15564, https://github.com/elastic/elasticsearch/pull/16049</v>
      </c>
    </row>
    <row r="1066">
      <c r="A1066" s="1" t="s">
        <v>70</v>
      </c>
      <c r="B1066" s="50" t="str">
        <f>IFERROR(HYPERLINK(VLOOKUP(A1066,Internal_lists_bugs!$A$2:$C$73,3,FALSE()), VLOOKUP(A1066,Internal_lists_bugs!$A$2:$C$73,3,FALSE())&amp;Char(10) &amp; Char(10) &amp; VLOOKUP(A1066,Internal_lists_bugs!$A$2:$Z$73,26,FALSE())),"please select a BUG ID")</f>
        <v>https://github.com/elastic/elasticsearch/issues/16246
/core/IngestDocument.java</v>
      </c>
      <c r="C1066" s="81" t="str">
        <f>IFERROR(SUBSTITUTE(VLOOKUP(A1066,Internal_lists_bugs!$A$2:$G2031,7,FALSE()),"/commit/","/tree/"),"please select a BUG ID")</f>
        <v>https://github.com/elastic/elasticsearch/tree/57d6971</v>
      </c>
      <c r="D1066" s="30"/>
      <c r="F1066" s="54"/>
      <c r="H1066" s="112" t="s">
        <v>5042</v>
      </c>
      <c r="I1066" s="16" t="s">
        <v>5088</v>
      </c>
      <c r="J1066" s="196" t="str">
        <f>IFERROR(VLOOKUP(A1066,Internal_lists_bugs!$A$2:$I2031,9,FALSE()),"please select a BUG ID")</f>
        <v>https://github.com/elastic/elasticsearch/pull/15283, https://github.com/elastic/elasticsearch/pull/15564, https://github.com/elastic/elasticsearch/pull/16049</v>
      </c>
    </row>
    <row r="1067">
      <c r="A1067" s="1" t="s">
        <v>87</v>
      </c>
      <c r="B1067" s="50" t="str">
        <f>IFERROR(HYPERLINK(VLOOKUP(A1067,Internal_lists_bugs!$A$2:$C$73,3,FALSE()), VLOOKUP(A1067,Internal_lists_bugs!$A$2:$C$73,3,FALSE())&amp;Char(10) &amp; Char(10) &amp; VLOOKUP(A1067,Internal_lists_bugs!$A$2:$Z$73,26,FALSE())),"please select a BUG ID")</f>
        <v>https://github.com/elastic/elasticsearch/issues/16790
/bin/elasticsearch-plugin
/bin/elasticsearch-plugin.bat </v>
      </c>
      <c r="C1067" s="81" t="str">
        <f>IFERROR(SUBSTITUTE(VLOOKUP(A1067,Internal_lists_bugs!$A$2:$G2031,7,FALSE()),"/commit/","/tree/"),"please select a BUG ID")</f>
        <v>https://github.com/elastic/elasticsearch/tree/1e209e3802</v>
      </c>
      <c r="D1067" s="38" t="s">
        <v>4964</v>
      </c>
      <c r="E1067" s="1" t="s">
        <v>5020</v>
      </c>
      <c r="F1067" s="9" t="s">
        <v>4724</v>
      </c>
      <c r="G1067" s="207" t="s">
        <v>5072</v>
      </c>
      <c r="H1067" s="203" t="s">
        <v>4818</v>
      </c>
      <c r="I1067" s="16" t="s">
        <v>4985</v>
      </c>
      <c r="J1067" s="196" t="str">
        <f>IFERROR(VLOOKUP(A1067,Internal_lists_bugs!$A$2:$I2031,9,FALSE()),"please select a BUG ID")</f>
        <v>https://github.com/elastic/elasticsearch/pull/12801</v>
      </c>
    </row>
    <row r="1068">
      <c r="A1068" s="1" t="s">
        <v>87</v>
      </c>
      <c r="B1068" s="50" t="str">
        <f>IFERROR(HYPERLINK(VLOOKUP(A1068,Internal_lists_bugs!$A$2:$C$73,3,FALSE()), VLOOKUP(A1068,Internal_lists_bugs!$A$2:$C$73,3,FALSE())&amp;Char(10) &amp; Char(10) &amp; VLOOKUP(A1068,Internal_lists_bugs!$A$2:$Z$73,26,FALSE())),"please select a BUG ID")</f>
        <v>https://github.com/elastic/elasticsearch/issues/16790
/bin/elasticsearch-plugin
/bin/elasticsearch-plugin.bat </v>
      </c>
      <c r="C1068" s="81" t="str">
        <f>IFERROR(SUBSTITUTE(VLOOKUP(A1068,Internal_lists_bugs!$A$2:$G2031,7,FALSE()),"/commit/","/tree/"),"please select a BUG ID")</f>
        <v>https://github.com/elastic/elasticsearch/tree/1e209e3802</v>
      </c>
      <c r="D1068" s="16" t="s">
        <v>4968</v>
      </c>
      <c r="E1068" s="9" t="s">
        <v>5068</v>
      </c>
      <c r="F1068" s="1"/>
      <c r="G1068" s="1"/>
      <c r="H1068" s="203" t="s">
        <v>4708</v>
      </c>
      <c r="I1068" s="16" t="s">
        <v>5073</v>
      </c>
      <c r="J1068" s="196" t="str">
        <f>IFERROR(VLOOKUP(A1068,Internal_lists_bugs!$A$2:$I2031,9,FALSE()),"please select a BUG ID")</f>
        <v>https://github.com/elastic/elasticsearch/pull/12801</v>
      </c>
    </row>
    <row r="1069">
      <c r="A1069" s="1" t="s">
        <v>87</v>
      </c>
      <c r="B1069" s="50" t="str">
        <f>IFERROR(HYPERLINK(VLOOKUP(A1069,Internal_lists_bugs!$A$2:$C$73,3,FALSE()), VLOOKUP(A1069,Internal_lists_bugs!$A$2:$C$73,3,FALSE())&amp;Char(10) &amp; Char(10) &amp; VLOOKUP(A1069,Internal_lists_bugs!$A$2:$Z$73,26,FALSE())),"please select a BUG ID")</f>
        <v>https://github.com/elastic/elasticsearch/issues/16790
/bin/elasticsearch-plugin
/bin/elasticsearch-plugin.bat </v>
      </c>
      <c r="C1069" s="81" t="str">
        <f>IFERROR(SUBSTITUTE(VLOOKUP(A1069,Internal_lists_bugs!$A$2:$G2031,7,FALSE()),"/commit/","/tree/"),"please select a BUG ID")</f>
        <v>https://github.com/elastic/elasticsearch/tree/1e209e3802</v>
      </c>
      <c r="D1069" s="38" t="s">
        <v>4973</v>
      </c>
      <c r="E1069" s="1" t="s">
        <v>5023</v>
      </c>
      <c r="F1069" s="1"/>
      <c r="G1069" s="1"/>
      <c r="H1069" s="203" t="s">
        <v>4975</v>
      </c>
      <c r="I1069" s="16" t="s">
        <v>5074</v>
      </c>
      <c r="J1069" s="196" t="str">
        <f>IFERROR(VLOOKUP(A1069,Internal_lists_bugs!$A$2:$I2031,9,FALSE()),"please select a BUG ID")</f>
        <v>https://github.com/elastic/elasticsearch/pull/12801</v>
      </c>
    </row>
    <row r="1070">
      <c r="A1070" s="1" t="s">
        <v>87</v>
      </c>
      <c r="B1070" s="50" t="str">
        <f>IFERROR(HYPERLINK(VLOOKUP(A1070,Internal_lists_bugs!$A$2:$C$73,3,FALSE()), VLOOKUP(A1070,Internal_lists_bugs!$A$2:$C$73,3,FALSE())&amp;Char(10) &amp; Char(10) &amp; VLOOKUP(A1070,Internal_lists_bugs!$A$2:$Z$73,26,FALSE())),"please select a BUG ID")</f>
        <v>https://github.com/elastic/elasticsearch/issues/16790
/bin/elasticsearch-plugin
/bin/elasticsearch-plugin.bat </v>
      </c>
      <c r="C1070" s="81" t="str">
        <f>IFERROR(SUBSTITUTE(VLOOKUP(A1070,Internal_lists_bugs!$A$2:$G2031,7,FALSE()),"/commit/","/tree/"),"please select a BUG ID")</f>
        <v>https://github.com/elastic/elasticsearch/tree/1e209e3802</v>
      </c>
      <c r="D1070" s="38" t="s">
        <v>4978</v>
      </c>
      <c r="E1070" s="1" t="s">
        <v>5026</v>
      </c>
      <c r="F1070" s="1"/>
      <c r="G1070" s="1"/>
      <c r="H1070" s="204" t="s">
        <v>4965</v>
      </c>
      <c r="I1070" s="16" t="s">
        <v>4964</v>
      </c>
      <c r="J1070" s="196" t="str">
        <f>IFERROR(VLOOKUP(A1070,Internal_lists_bugs!$A$2:$I2031,9,FALSE()),"please select a BUG ID")</f>
        <v>https://github.com/elastic/elasticsearch/pull/12801</v>
      </c>
    </row>
    <row r="1071">
      <c r="A1071" s="1" t="s">
        <v>87</v>
      </c>
      <c r="B1071" s="50" t="str">
        <f>IFERROR(HYPERLINK(VLOOKUP(A1071,Internal_lists_bugs!$A$2:$C$73,3,FALSE()), VLOOKUP(A1071,Internal_lists_bugs!$A$2:$C$73,3,FALSE())&amp;Char(10) &amp; Char(10) &amp; VLOOKUP(A1071,Internal_lists_bugs!$A$2:$Z$73,26,FALSE())),"please select a BUG ID")</f>
        <v>https://github.com/elastic/elasticsearch/issues/16790
/bin/elasticsearch-plugin
/bin/elasticsearch-plugin.bat </v>
      </c>
      <c r="C1071" s="81" t="str">
        <f>IFERROR(SUBSTITUTE(VLOOKUP(A1071,Internal_lists_bugs!$A$2:$G2031,7,FALSE()),"/commit/","/tree/"),"please select a BUG ID")</f>
        <v>https://github.com/elastic/elasticsearch/tree/1e209e3802</v>
      </c>
      <c r="D1071" s="38" t="s">
        <v>4983</v>
      </c>
      <c r="E1071" s="1" t="s">
        <v>5030</v>
      </c>
      <c r="F1071" s="1"/>
      <c r="G1071" s="1"/>
      <c r="H1071" s="204" t="s">
        <v>5028</v>
      </c>
      <c r="I1071" s="16" t="s">
        <v>5075</v>
      </c>
      <c r="J1071" s="196" t="str">
        <f>IFERROR(VLOOKUP(A1071,Internal_lists_bugs!$A$2:$I2031,9,FALSE()),"please select a BUG ID")</f>
        <v>https://github.com/elastic/elasticsearch/pull/12801</v>
      </c>
    </row>
    <row r="1072">
      <c r="A1072" s="1" t="s">
        <v>87</v>
      </c>
      <c r="B1072" s="50" t="str">
        <f>IFERROR(HYPERLINK(VLOOKUP(A1072,Internal_lists_bugs!$A$2:$C$73,3,FALSE()), VLOOKUP(A1072,Internal_lists_bugs!$A$2:$C$73,3,FALSE())&amp;Char(10) &amp; Char(10) &amp; VLOOKUP(A1072,Internal_lists_bugs!$A$2:$Z$73,26,FALSE())),"please select a BUG ID")</f>
        <v>https://github.com/elastic/elasticsearch/issues/16790
/bin/elasticsearch-plugin
/bin/elasticsearch-plugin.bat </v>
      </c>
      <c r="C1072" s="81" t="str">
        <f>IFERROR(SUBSTITUTE(VLOOKUP(A1072,Internal_lists_bugs!$A$2:$G2031,7,FALSE()),"/commit/","/tree/"),"please select a BUG ID")</f>
        <v>https://github.com/elastic/elasticsearch/tree/1e209e3802</v>
      </c>
      <c r="D1072" s="9" t="s">
        <v>5037</v>
      </c>
      <c r="E1072" s="9" t="s">
        <v>5076</v>
      </c>
      <c r="F1072" s="1"/>
      <c r="G1072" s="1"/>
      <c r="H1072" s="38" t="s">
        <v>5039</v>
      </c>
      <c r="I1072" s="16" t="s">
        <v>5077</v>
      </c>
      <c r="J1072" s="196" t="str">
        <f>IFERROR(VLOOKUP(A1072,Internal_lists_bugs!$A$2:$I2031,9,FALSE()),"please select a BUG ID")</f>
        <v>https://github.com/elastic/elasticsearch/pull/12801</v>
      </c>
    </row>
    <row r="1073">
      <c r="A1073" s="1" t="s">
        <v>87</v>
      </c>
      <c r="B1073" s="50" t="str">
        <f>IFERROR(HYPERLINK(VLOOKUP(A1073,Internal_lists_bugs!$A$2:$C$73,3,FALSE()), VLOOKUP(A1073,Internal_lists_bugs!$A$2:$C$73,3,FALSE())&amp;Char(10) &amp; Char(10) &amp; VLOOKUP(A1073,Internal_lists_bugs!$A$2:$Z$73,26,FALSE())),"please select a BUG ID")</f>
        <v>https://github.com/elastic/elasticsearch/issues/16790
/bin/elasticsearch-plugin
/bin/elasticsearch-plugin.bat </v>
      </c>
      <c r="C1073" s="81" t="str">
        <f>IFERROR(SUBSTITUTE(VLOOKUP(A1073,Internal_lists_bugs!$A$2:$G2031,7,FALSE()),"/commit/","/tree/"),"please select a BUG ID")</f>
        <v>https://github.com/elastic/elasticsearch/tree/1e209e3802</v>
      </c>
      <c r="D1073" s="38" t="s">
        <v>5033</v>
      </c>
      <c r="E1073" s="205" t="s">
        <v>5034</v>
      </c>
      <c r="F1073" s="1"/>
      <c r="G1073" s="1"/>
      <c r="H1073" s="9" t="s">
        <v>5035</v>
      </c>
      <c r="I1073" s="16" t="s">
        <v>5078</v>
      </c>
      <c r="J1073" s="196" t="str">
        <f>IFERROR(VLOOKUP(A1073,Internal_lists_bugs!$A$2:$I2031,9,FALSE()),"please select a BUG ID")</f>
        <v>https://github.com/elastic/elasticsearch/pull/12801</v>
      </c>
    </row>
    <row r="1074">
      <c r="A1074" s="1" t="s">
        <v>87</v>
      </c>
      <c r="B1074" s="50" t="str">
        <f>IFERROR(HYPERLINK(VLOOKUP(A1074,Internal_lists_bugs!$A$2:$C$73,3,FALSE()), VLOOKUP(A1074,Internal_lists_bugs!$A$2:$C$73,3,FALSE())&amp;Char(10) &amp; Char(10) &amp; VLOOKUP(A1074,Internal_lists_bugs!$A$2:$Z$73,26,FALSE())),"please select a BUG ID")</f>
        <v>https://github.com/elastic/elasticsearch/issues/16790
/bin/elasticsearch-plugin
/bin/elasticsearch-plugin.bat </v>
      </c>
      <c r="C1074" s="81" t="str">
        <f>IFERROR(SUBSTITUTE(VLOOKUP(A1074,Internal_lists_bugs!$A$2:$G2031,7,FALSE()),"/commit/","/tree/"),"please select a BUG ID")</f>
        <v>https://github.com/elastic/elasticsearch/tree/1e209e3802</v>
      </c>
      <c r="D1074" s="9" t="s">
        <v>5044</v>
      </c>
      <c r="E1074" s="9" t="s">
        <v>5089</v>
      </c>
      <c r="F1074" s="1"/>
      <c r="G1074" s="1"/>
      <c r="H1074" s="1" t="s">
        <v>5042</v>
      </c>
      <c r="I1074" s="16" t="s">
        <v>5071</v>
      </c>
      <c r="J1074" s="196" t="str">
        <f>IFERROR(VLOOKUP(A1074,Internal_lists_bugs!$A$2:$I2031,9,FALSE()),"please select a BUG ID")</f>
        <v>https://github.com/elastic/elasticsearch/pull/12801</v>
      </c>
    </row>
    <row r="1075">
      <c r="A1075" s="1" t="s">
        <v>87</v>
      </c>
      <c r="B1075" s="50" t="str">
        <f>IFERROR(HYPERLINK(VLOOKUP(A1075,Internal_lists_bugs!$A$2:$C$73,3,FALSE()), VLOOKUP(A1075,Internal_lists_bugs!$A$2:$C$73,3,FALSE())&amp;Char(10) &amp; Char(10) &amp; VLOOKUP(A1075,Internal_lists_bugs!$A$2:$Z$73,26,FALSE())),"please select a BUG ID")</f>
        <v>https://github.com/elastic/elasticsearch/issues/16790
/bin/elasticsearch-plugin
/bin/elasticsearch-plugin.bat </v>
      </c>
      <c r="C1075" s="81" t="str">
        <f>IFERROR(SUBSTITUTE(VLOOKUP(A1075,Internal_lists_bugs!$A$2:$G2031,7,FALSE()),"/commit/","/tree/"),"please select a BUG ID")</f>
        <v>https://github.com/elastic/elasticsearch/tree/1e209e3802</v>
      </c>
      <c r="D1075" s="1" t="s">
        <v>1325</v>
      </c>
      <c r="E1075" s="1" t="s">
        <v>5050</v>
      </c>
      <c r="F1075" s="1"/>
      <c r="G1075" s="1"/>
      <c r="H1075" s="1" t="s">
        <v>4684</v>
      </c>
      <c r="I1075" s="16" t="s">
        <v>5080</v>
      </c>
      <c r="J1075" s="196" t="str">
        <f>IFERROR(VLOOKUP(A1075,Internal_lists_bugs!$A$2:$I2031,9,FALSE()),"please select a BUG ID")</f>
        <v>https://github.com/elastic/elasticsearch/pull/12801</v>
      </c>
    </row>
    <row r="1076">
      <c r="A1076" s="1" t="s">
        <v>87</v>
      </c>
      <c r="B1076" s="50" t="str">
        <f>IFERROR(HYPERLINK(VLOOKUP(A1076,Internal_lists_bugs!$A$2:$C$73,3,FALSE()), VLOOKUP(A1076,Internal_lists_bugs!$A$2:$C$73,3,FALSE())&amp;Char(10) &amp; Char(10) &amp; VLOOKUP(A1076,Internal_lists_bugs!$A$2:$Z$73,26,FALSE())),"please select a BUG ID")</f>
        <v>https://github.com/elastic/elasticsearch/issues/16790
/bin/elasticsearch-plugin
/bin/elasticsearch-plugin.bat </v>
      </c>
      <c r="C1076" s="81" t="str">
        <f>IFERROR(SUBSTITUTE(VLOOKUP(A1076,Internal_lists_bugs!$A$2:$G2031,7,FALSE()),"/commit/","/tree/"),"please select a BUG ID")</f>
        <v>https://github.com/elastic/elasticsearch/tree/1e209e3802</v>
      </c>
      <c r="D1076" s="1" t="s">
        <v>5051</v>
      </c>
      <c r="E1076" s="9" t="s">
        <v>5074</v>
      </c>
      <c r="F1076" s="1"/>
      <c r="G1076" s="1"/>
      <c r="J1076" s="196" t="str">
        <f>IFERROR(VLOOKUP(A1076,Internal_lists_bugs!$A$2:$I2031,9,FALSE()),"please select a BUG ID")</f>
        <v>https://github.com/elastic/elasticsearch/pull/12801</v>
      </c>
    </row>
    <row r="1077">
      <c r="A1077" s="1" t="s">
        <v>87</v>
      </c>
      <c r="B1077" s="50" t="str">
        <f>IFERROR(HYPERLINK(VLOOKUP(A1077,Internal_lists_bugs!$A$2:$C$73,3,FALSE()), VLOOKUP(A1077,Internal_lists_bugs!$A$2:$C$73,3,FALSE())&amp;Char(10) &amp; Char(10) &amp; VLOOKUP(A1077,Internal_lists_bugs!$A$2:$Z$73,26,FALSE())),"please select a BUG ID")</f>
        <v>https://github.com/elastic/elasticsearch/issues/16790
/bin/elasticsearch-plugin
/bin/elasticsearch-plugin.bat </v>
      </c>
      <c r="C1077" s="81" t="str">
        <f>IFERROR(SUBSTITUTE(VLOOKUP(A1077,Internal_lists_bugs!$A$2:$G2031,7,FALSE()),"/commit/","/tree/"),"please select a BUG ID")</f>
        <v>https://github.com/elastic/elasticsearch/tree/1e209e3802</v>
      </c>
      <c r="D1077" s="16" t="s">
        <v>5001</v>
      </c>
      <c r="E1077" s="16" t="s">
        <v>5090</v>
      </c>
      <c r="F1077" s="1"/>
      <c r="G1077" s="1"/>
      <c r="H1077" s="9"/>
      <c r="J1077" s="196" t="str">
        <f>IFERROR(VLOOKUP(A1077,Internal_lists_bugs!$A$2:$I2031,9,FALSE()),"please select a BUG ID")</f>
        <v>https://github.com/elastic/elasticsearch/pull/12801</v>
      </c>
    </row>
    <row r="1078">
      <c r="A1078" s="54"/>
      <c r="B1078" s="71" t="str">
        <f>IFERROR(HYPERLINK(VLOOKUP(A1078,Internal_lists_bugs!$A$2:$C$73,3,FALSE()), VLOOKUP(A1078,Internal_lists_bugs!$A$2:$C$73,3,FALSE())&amp;Char(10) &amp; Char(10) &amp; VLOOKUP(A1078,Internal_lists_bugs!$A$2:$Z$73,26,FALSE())),"please select a BUG ID")</f>
        <v>please select a BUG ID</v>
      </c>
      <c r="C1078" s="51" t="str">
        <f>IFERROR(SUBSTITUTE(VLOOKUP(A1078,Internal_lists_bugs!$A$2:$G2031,7,FALSE()),"/commit/","/tree/"),"please select a BUG ID")</f>
        <v>please select a BUG ID</v>
      </c>
      <c r="D1078" s="30"/>
      <c r="F1078" s="1"/>
      <c r="G1078" s="1"/>
      <c r="H1078" s="114"/>
      <c r="J1078" s="183" t="str">
        <f>IFERROR(VLOOKUP(A1078,Internal_lists_bugs!$A$2:$I2031,9,FALSE()),"please select a BUG ID")</f>
        <v>please select a BUG ID</v>
      </c>
    </row>
    <row r="1079">
      <c r="A1079" s="54"/>
      <c r="B1079" s="71" t="str">
        <f>IFERROR(HYPERLINK(VLOOKUP(A1079,Internal_lists_bugs!$A$2:$C$73,3,FALSE()), VLOOKUP(A1079,Internal_lists_bugs!$A$2:$C$73,3,FALSE())&amp;Char(10) &amp; Char(10) &amp; VLOOKUP(A1079,Internal_lists_bugs!$A$2:$Z$73,26,FALSE())),"please select a BUG ID")</f>
        <v>please select a BUG ID</v>
      </c>
      <c r="C1079" s="51" t="str">
        <f>IFERROR(SUBSTITUTE(VLOOKUP(A1079,Internal_lists_bugs!$A$2:$G2031,7,FALSE()),"/commit/","/tree/"),"please select a BUG ID")</f>
        <v>please select a BUG ID</v>
      </c>
      <c r="D1079" s="30"/>
      <c r="F1079" s="54"/>
      <c r="H1079" s="114"/>
      <c r="J1079" s="183" t="str">
        <f>IFERROR(VLOOKUP(A1079,Internal_lists_bugs!$A$2:$I2031,9,FALSE()),"please select a BUG ID")</f>
        <v>please select a BUG ID</v>
      </c>
    </row>
    <row r="1080">
      <c r="A1080" s="54"/>
      <c r="B1080" s="71" t="str">
        <f>IFERROR(HYPERLINK(VLOOKUP(A1080,Internal_lists_bugs!$A$2:$C$73,3,FALSE()), VLOOKUP(A1080,Internal_lists_bugs!$A$2:$C$73,3,FALSE())&amp;Char(10) &amp; Char(10) &amp; VLOOKUP(A1080,Internal_lists_bugs!$A$2:$Z$73,26,FALSE())),"please select a BUG ID")</f>
        <v>please select a BUG ID</v>
      </c>
      <c r="C1080" s="51" t="str">
        <f>IFERROR(SUBSTITUTE(VLOOKUP(A1080,Internal_lists_bugs!$A$2:$G2031,7,FALSE()),"/commit/","/tree/"),"please select a BUG ID")</f>
        <v>please select a BUG ID</v>
      </c>
      <c r="D1080" s="30"/>
      <c r="F1080" s="54"/>
      <c r="H1080" s="114"/>
      <c r="J1080" s="183" t="str">
        <f>IFERROR(VLOOKUP(A1080,Internal_lists_bugs!$A$2:$I2031,9,FALSE()),"please select a BUG ID")</f>
        <v>please select a BUG ID</v>
      </c>
    </row>
    <row r="1081">
      <c r="A1081" s="54"/>
      <c r="B1081" s="71" t="str">
        <f>IFERROR(HYPERLINK(VLOOKUP(A1081,Internal_lists_bugs!$A$2:$C$73,3,FALSE()), VLOOKUP(A1081,Internal_lists_bugs!$A$2:$C$73,3,FALSE())&amp;Char(10) &amp; Char(10) &amp; VLOOKUP(A1081,Internal_lists_bugs!$A$2:$Z$73,26,FALSE())),"please select a BUG ID")</f>
        <v>please select a BUG ID</v>
      </c>
      <c r="C1081" s="51" t="str">
        <f>IFERROR(SUBSTITUTE(VLOOKUP(A1081,Internal_lists_bugs!$A$2:$G2031,7,FALSE()),"/commit/","/tree/"),"please select a BUG ID")</f>
        <v>please select a BUG ID</v>
      </c>
      <c r="D1081" s="30"/>
      <c r="F1081" s="54"/>
      <c r="H1081" s="114"/>
      <c r="J1081" s="183" t="str">
        <f>IFERROR(VLOOKUP(A1081,Internal_lists_bugs!$A$2:$I2031,9,FALSE()),"please select a BUG ID")</f>
        <v>please select a BUG ID</v>
      </c>
    </row>
    <row r="1082">
      <c r="A1082" s="54"/>
      <c r="B1082" s="71" t="str">
        <f>IFERROR(HYPERLINK(VLOOKUP(A1082,Internal_lists_bugs!$A$2:$C$73,3,FALSE()), VLOOKUP(A1082,Internal_lists_bugs!$A$2:$C$73,3,FALSE())&amp;Char(10) &amp; Char(10) &amp; VLOOKUP(A1082,Internal_lists_bugs!$A$2:$Z$73,26,FALSE())),"please select a BUG ID")</f>
        <v>please select a BUG ID</v>
      </c>
      <c r="C1082" s="51" t="str">
        <f>IFERROR(SUBSTITUTE(VLOOKUP(A1082,Internal_lists_bugs!$A$2:$G2031,7,FALSE()),"/commit/","/tree/"),"please select a BUG ID")</f>
        <v>please select a BUG ID</v>
      </c>
      <c r="D1082" s="30"/>
      <c r="F1082" s="54"/>
      <c r="H1082" s="114"/>
      <c r="J1082" s="183" t="str">
        <f>IFERROR(VLOOKUP(A1082,Internal_lists_bugs!$A$2:$I2031,9,FALSE()),"please select a BUG ID")</f>
        <v>please select a BUG ID</v>
      </c>
    </row>
    <row r="1083">
      <c r="A1083" s="54"/>
      <c r="B1083" s="71" t="str">
        <f>IFERROR(HYPERLINK(VLOOKUP(A1083,Internal_lists_bugs!$A$2:$C$73,3,FALSE()), VLOOKUP(A1083,Internal_lists_bugs!$A$2:$C$73,3,FALSE())&amp;Char(10) &amp; Char(10) &amp; VLOOKUP(A1083,Internal_lists_bugs!$A$2:$Z$73,26,FALSE())),"please select a BUG ID")</f>
        <v>please select a BUG ID</v>
      </c>
      <c r="C1083" s="51" t="str">
        <f>IFERROR(SUBSTITUTE(VLOOKUP(A1083,Internal_lists_bugs!$A$2:$G2031,7,FALSE()),"/commit/","/tree/"),"please select a BUG ID")</f>
        <v>please select a BUG ID</v>
      </c>
      <c r="D1083" s="54"/>
      <c r="F1083" s="54"/>
      <c r="H1083" s="114"/>
      <c r="J1083" s="183" t="str">
        <f>IFERROR(VLOOKUP(A1083,Internal_lists_bugs!$A$2:$I2031,9,FALSE()),"please select a BUG ID")</f>
        <v>please select a BUG ID</v>
      </c>
    </row>
    <row r="1084">
      <c r="A1084" s="54"/>
      <c r="B1084" s="71" t="str">
        <f>IFERROR(HYPERLINK(VLOOKUP(A1084,Internal_lists_bugs!$A$2:$C$73,3,FALSE()), VLOOKUP(A1084,Internal_lists_bugs!$A$2:$C$73,3,FALSE())&amp;Char(10) &amp; Char(10) &amp; VLOOKUP(A1084,Internal_lists_bugs!$A$2:$Z$73,26,FALSE())),"please select a BUG ID")</f>
        <v>please select a BUG ID</v>
      </c>
      <c r="C1084" s="51" t="str">
        <f>IFERROR(SUBSTITUTE(VLOOKUP(A1084,Internal_lists_bugs!$A$2:$G2031,7,FALSE()),"/commit/","/tree/"),"please select a BUG ID")</f>
        <v>please select a BUG ID</v>
      </c>
      <c r="D1084" s="54"/>
      <c r="F1084" s="54"/>
      <c r="H1084" s="114"/>
      <c r="J1084" s="183" t="str">
        <f>IFERROR(VLOOKUP(A1084,Internal_lists_bugs!$A$2:$I2031,9,FALSE()),"please select a BUG ID")</f>
        <v>please select a BUG ID</v>
      </c>
    </row>
    <row r="1085">
      <c r="A1085" s="54"/>
      <c r="B1085" s="71" t="str">
        <f>IFERROR(HYPERLINK(VLOOKUP(A1085,Internal_lists_bugs!$A$2:$C$73,3,FALSE()), VLOOKUP(A1085,Internal_lists_bugs!$A$2:$C$73,3,FALSE())&amp;Char(10) &amp; Char(10) &amp; VLOOKUP(A1085,Internal_lists_bugs!$A$2:$Z$73,26,FALSE())),"please select a BUG ID")</f>
        <v>please select a BUG ID</v>
      </c>
      <c r="C1085" s="51" t="str">
        <f>IFERROR(SUBSTITUTE(VLOOKUP(A1085,Internal_lists_bugs!$A$2:$G2031,7,FALSE()),"/commit/","/tree/"),"please select a BUG ID")</f>
        <v>please select a BUG ID</v>
      </c>
      <c r="D1085" s="54"/>
      <c r="F1085" s="54"/>
      <c r="H1085" s="114"/>
      <c r="J1085" s="183" t="str">
        <f>IFERROR(VLOOKUP(A1085,Internal_lists_bugs!$A$2:$I2031,9,FALSE()),"please select a BUG ID")</f>
        <v>please select a BUG ID</v>
      </c>
    </row>
    <row r="1086">
      <c r="A1086" s="54"/>
      <c r="B1086" s="71" t="str">
        <f>IFERROR(HYPERLINK(VLOOKUP(A1086,Internal_lists_bugs!$A$2:$C$73,3,FALSE()), VLOOKUP(A1086,Internal_lists_bugs!$A$2:$C$73,3,FALSE())&amp;Char(10) &amp; Char(10) &amp; VLOOKUP(A1086,Internal_lists_bugs!$A$2:$Z$73,26,FALSE())),"please select a BUG ID")</f>
        <v>please select a BUG ID</v>
      </c>
      <c r="C1086" s="51" t="str">
        <f>IFERROR(SUBSTITUTE(VLOOKUP(A1086,Internal_lists_bugs!$A$2:$G2031,7,FALSE()),"/commit/","/tree/"),"please select a BUG ID")</f>
        <v>please select a BUG ID</v>
      </c>
      <c r="D1086" s="54"/>
      <c r="F1086" s="54"/>
      <c r="H1086" s="114"/>
      <c r="J1086" s="183" t="str">
        <f>IFERROR(VLOOKUP(A1086,Internal_lists_bugs!$A$2:$I2031,9,FALSE()),"please select a BUG ID")</f>
        <v>please select a BUG ID</v>
      </c>
    </row>
    <row r="1087">
      <c r="A1087" s="54"/>
      <c r="B1087" s="71" t="str">
        <f>IFERROR(HYPERLINK(VLOOKUP(A1087,Internal_lists_bugs!$A$2:$C$73,3,FALSE()), VLOOKUP(A1087,Internal_lists_bugs!$A$2:$C$73,3,FALSE())&amp;Char(10) &amp; Char(10) &amp; VLOOKUP(A1087,Internal_lists_bugs!$A$2:$Z$73,26,FALSE())),"please select a BUG ID")</f>
        <v>please select a BUG ID</v>
      </c>
      <c r="C1087" s="51" t="str">
        <f>IFERROR(SUBSTITUTE(VLOOKUP(A1087,Internal_lists_bugs!$A$2:$G2031,7,FALSE()),"/commit/","/tree/"),"please select a BUG ID")</f>
        <v>please select a BUG ID</v>
      </c>
      <c r="D1087" s="54"/>
      <c r="F1087" s="54"/>
      <c r="H1087" s="114"/>
      <c r="J1087" s="183" t="str">
        <f>IFERROR(VLOOKUP(A1087,Internal_lists_bugs!$A$2:$I2031,9,FALSE()),"please select a BUG ID")</f>
        <v>please select a BUG ID</v>
      </c>
    </row>
    <row r="1088">
      <c r="A1088" s="54"/>
      <c r="B1088" s="71" t="str">
        <f>IFERROR(HYPERLINK(VLOOKUP(A1088,Internal_lists_bugs!$A$2:$C$73,3,FALSE()), VLOOKUP(A1088,Internal_lists_bugs!$A$2:$C$73,3,FALSE())&amp;Char(10) &amp; Char(10) &amp; VLOOKUP(A1088,Internal_lists_bugs!$A$2:$Z$73,26,FALSE())),"please select a BUG ID")</f>
        <v>please select a BUG ID</v>
      </c>
      <c r="C1088" s="51" t="str">
        <f>IFERROR(SUBSTITUTE(VLOOKUP(A1088,Internal_lists_bugs!$A$2:$G2031,7,FALSE()),"/commit/","/tree/"),"please select a BUG ID")</f>
        <v>please select a BUG ID</v>
      </c>
      <c r="D1088" s="54"/>
      <c r="F1088" s="54"/>
      <c r="H1088" s="114"/>
      <c r="J1088" s="183" t="str">
        <f>IFERROR(VLOOKUP(A1088,Internal_lists_bugs!$A$2:$I2031,9,FALSE()),"please select a BUG ID")</f>
        <v>please select a BUG ID</v>
      </c>
    </row>
    <row r="1089">
      <c r="A1089" s="54"/>
      <c r="B1089" s="71" t="str">
        <f>IFERROR(HYPERLINK(VLOOKUP(A1089,Internal_lists_bugs!$A$2:$C$73,3,FALSE()), VLOOKUP(A1089,Internal_lists_bugs!$A$2:$C$73,3,FALSE())&amp;Char(10) &amp; Char(10) &amp; VLOOKUP(A1089,Internal_lists_bugs!$A$2:$Z$73,26,FALSE())),"please select a BUG ID")</f>
        <v>please select a BUG ID</v>
      </c>
      <c r="C1089" s="51" t="str">
        <f>IFERROR(SUBSTITUTE(VLOOKUP(A1089,Internal_lists_bugs!$A$2:$G2031,7,FALSE()),"/commit/","/tree/"),"please select a BUG ID")</f>
        <v>please select a BUG ID</v>
      </c>
      <c r="D1089" s="54"/>
      <c r="F1089" s="54"/>
      <c r="H1089" s="114"/>
      <c r="J1089" s="183" t="str">
        <f>IFERROR(VLOOKUP(A1089,Internal_lists_bugs!$A$2:$I2031,9,FALSE()),"please select a BUG ID")</f>
        <v>please select a BUG ID</v>
      </c>
    </row>
    <row r="1090">
      <c r="A1090" s="54"/>
      <c r="B1090" s="71" t="str">
        <f>IFERROR(HYPERLINK(VLOOKUP(A1090,Internal_lists_bugs!$A$2:$C$73,3,FALSE()), VLOOKUP(A1090,Internal_lists_bugs!$A$2:$C$73,3,FALSE())&amp;Char(10) &amp; Char(10) &amp; VLOOKUP(A1090,Internal_lists_bugs!$A$2:$Z$73,26,FALSE())),"please select a BUG ID")</f>
        <v>please select a BUG ID</v>
      </c>
      <c r="C1090" s="51" t="str">
        <f>IFERROR(SUBSTITUTE(VLOOKUP(A1090,Internal_lists_bugs!$A$2:$G2031,7,FALSE()),"/commit/","/tree/"),"please select a BUG ID")</f>
        <v>please select a BUG ID</v>
      </c>
      <c r="D1090" s="54"/>
      <c r="F1090" s="54"/>
      <c r="H1090" s="114"/>
      <c r="J1090" s="183" t="str">
        <f>IFERROR(VLOOKUP(A1090,Internal_lists_bugs!$A$2:$I2031,9,FALSE()),"please select a BUG ID")</f>
        <v>please select a BUG ID</v>
      </c>
    </row>
    <row r="1091">
      <c r="A1091" s="54"/>
      <c r="B1091" s="71" t="str">
        <f>IFERROR(HYPERLINK(VLOOKUP(A1091,Internal_lists_bugs!$A$2:$C$73,3,FALSE()), VLOOKUP(A1091,Internal_lists_bugs!$A$2:$C$73,3,FALSE())&amp;Char(10) &amp; Char(10) &amp; VLOOKUP(A1091,Internal_lists_bugs!$A$2:$Z$73,26,FALSE())),"please select a BUG ID")</f>
        <v>please select a BUG ID</v>
      </c>
      <c r="C1091" s="51" t="str">
        <f>IFERROR(SUBSTITUTE(VLOOKUP(A1091,Internal_lists_bugs!$A$2:$G2031,7,FALSE()),"/commit/","/tree/"),"please select a BUG ID")</f>
        <v>please select a BUG ID</v>
      </c>
      <c r="D1091" s="54"/>
      <c r="F1091" s="54"/>
      <c r="H1091" s="114"/>
      <c r="J1091" s="183" t="str">
        <f>IFERROR(VLOOKUP(A1091,Internal_lists_bugs!$A$2:$I2031,9,FALSE()),"please select a BUG ID")</f>
        <v>please select a BUG ID</v>
      </c>
    </row>
    <row r="1092">
      <c r="A1092" s="54"/>
      <c r="B1092" s="71" t="str">
        <f>IFERROR(HYPERLINK(VLOOKUP(A1092,Internal_lists_bugs!$A$2:$C$73,3,FALSE()), VLOOKUP(A1092,Internal_lists_bugs!$A$2:$C$73,3,FALSE())&amp;Char(10) &amp; Char(10) &amp; VLOOKUP(A1092,Internal_lists_bugs!$A$2:$Z$73,26,FALSE())),"please select a BUG ID")</f>
        <v>please select a BUG ID</v>
      </c>
      <c r="C1092" s="51" t="str">
        <f>IFERROR(SUBSTITUTE(VLOOKUP(A1092,Internal_lists_bugs!$A$2:$G2031,7,FALSE()),"/commit/","/tree/"),"please select a BUG ID")</f>
        <v>please select a BUG ID</v>
      </c>
      <c r="D1092" s="54"/>
      <c r="F1092" s="54"/>
      <c r="H1092" s="114"/>
      <c r="J1092" s="183" t="str">
        <f>IFERROR(VLOOKUP(A1092,Internal_lists_bugs!$A$2:$I2031,9,FALSE()),"please select a BUG ID")</f>
        <v>please select a BUG ID</v>
      </c>
    </row>
    <row r="1093">
      <c r="A1093" s="54"/>
      <c r="B1093" s="71" t="str">
        <f>IFERROR(HYPERLINK(VLOOKUP(A1093,Internal_lists_bugs!$A$2:$C$73,3,FALSE()), VLOOKUP(A1093,Internal_lists_bugs!$A$2:$C$73,3,FALSE())&amp;Char(10) &amp; Char(10) &amp; VLOOKUP(A1093,Internal_lists_bugs!$A$2:$Z$73,26,FALSE())),"please select a BUG ID")</f>
        <v>please select a BUG ID</v>
      </c>
      <c r="C1093" s="51" t="str">
        <f>IFERROR(SUBSTITUTE(VLOOKUP(A1093,Internal_lists_bugs!$A$2:$G2031,7,FALSE()),"/commit/","/tree/"),"please select a BUG ID")</f>
        <v>please select a BUG ID</v>
      </c>
      <c r="D1093" s="54"/>
      <c r="F1093" s="54"/>
      <c r="H1093" s="114"/>
      <c r="J1093" s="183" t="str">
        <f>IFERROR(VLOOKUP(A1093,Internal_lists_bugs!$A$2:$I2031,9,FALSE()),"please select a BUG ID")</f>
        <v>please select a BUG ID</v>
      </c>
    </row>
    <row r="1094">
      <c r="A1094" s="54"/>
      <c r="B1094" s="71" t="str">
        <f>IFERROR(HYPERLINK(VLOOKUP(A1094,Internal_lists_bugs!$A$2:$C$73,3,FALSE()), VLOOKUP(A1094,Internal_lists_bugs!$A$2:$C$73,3,FALSE())&amp;Char(10) &amp; Char(10) &amp; VLOOKUP(A1094,Internal_lists_bugs!$A$2:$Z$73,26,FALSE())),"please select a BUG ID")</f>
        <v>please select a BUG ID</v>
      </c>
      <c r="C1094" s="51" t="str">
        <f>IFERROR(SUBSTITUTE(VLOOKUP(A1094,Internal_lists_bugs!$A$2:$G2031,7,FALSE()),"/commit/","/tree/"),"please select a BUG ID")</f>
        <v>please select a BUG ID</v>
      </c>
      <c r="D1094" s="54"/>
      <c r="F1094" s="54"/>
      <c r="H1094" s="114"/>
      <c r="J1094" s="183" t="str">
        <f>IFERROR(VLOOKUP(A1094,Internal_lists_bugs!$A$2:$I2031,9,FALSE()),"please select a BUG ID")</f>
        <v>please select a BUG ID</v>
      </c>
    </row>
    <row r="1095">
      <c r="A1095" s="54"/>
      <c r="B1095" s="71" t="str">
        <f>IFERROR(HYPERLINK(VLOOKUP(A1095,Internal_lists_bugs!$A$2:$C$73,3,FALSE()), VLOOKUP(A1095,Internal_lists_bugs!$A$2:$C$73,3,FALSE())&amp;Char(10) &amp; Char(10) &amp; VLOOKUP(A1095,Internal_lists_bugs!$A$2:$Z$73,26,FALSE())),"please select a BUG ID")</f>
        <v>please select a BUG ID</v>
      </c>
      <c r="C1095" s="51" t="str">
        <f>IFERROR(SUBSTITUTE(VLOOKUP(A1095,Internal_lists_bugs!$A$2:$G2031,7,FALSE()),"/commit/","/tree/"),"please select a BUG ID")</f>
        <v>please select a BUG ID</v>
      </c>
      <c r="D1095" s="54"/>
      <c r="F1095" s="54"/>
      <c r="H1095" s="114"/>
      <c r="J1095" s="183" t="str">
        <f>IFERROR(VLOOKUP(A1095,Internal_lists_bugs!$A$2:$I2031,9,FALSE()),"please select a BUG ID")</f>
        <v>please select a BUG ID</v>
      </c>
    </row>
    <row r="1096">
      <c r="A1096" s="54"/>
      <c r="B1096" s="71" t="str">
        <f>IFERROR(HYPERLINK(VLOOKUP(A1096,Internal_lists_bugs!$A$2:$C$73,3,FALSE()), VLOOKUP(A1096,Internal_lists_bugs!$A$2:$C$73,3,FALSE())&amp;Char(10) &amp; Char(10) &amp; VLOOKUP(A1096,Internal_lists_bugs!$A$2:$Z$73,26,FALSE())),"please select a BUG ID")</f>
        <v>please select a BUG ID</v>
      </c>
      <c r="C1096" s="51" t="str">
        <f>IFERROR(SUBSTITUTE(VLOOKUP(A1096,Internal_lists_bugs!$A$2:$G2031,7,FALSE()),"/commit/","/tree/"),"please select a BUG ID")</f>
        <v>please select a BUG ID</v>
      </c>
      <c r="D1096" s="54"/>
      <c r="F1096" s="54"/>
      <c r="H1096" s="114"/>
      <c r="J1096" s="183" t="str">
        <f>IFERROR(VLOOKUP(A1096,Internal_lists_bugs!$A$2:$I2031,9,FALSE()),"please select a BUG ID")</f>
        <v>please select a BUG ID</v>
      </c>
    </row>
    <row r="1097">
      <c r="A1097" s="54"/>
      <c r="B1097" s="71" t="str">
        <f>IFERROR(HYPERLINK(VLOOKUP(A1097,Internal_lists_bugs!$A$2:$C$73,3,FALSE()), VLOOKUP(A1097,Internal_lists_bugs!$A$2:$C$73,3,FALSE())&amp;Char(10) &amp; Char(10) &amp; VLOOKUP(A1097,Internal_lists_bugs!$A$2:$Z$73,26,FALSE())),"please select a BUG ID")</f>
        <v>please select a BUG ID</v>
      </c>
      <c r="C1097" s="51" t="str">
        <f>IFERROR(SUBSTITUTE(VLOOKUP(A1097,Internal_lists_bugs!$A$2:$G2031,7,FALSE()),"/commit/","/tree/"),"please select a BUG ID")</f>
        <v>please select a BUG ID</v>
      </c>
      <c r="D1097" s="54"/>
      <c r="F1097" s="54"/>
      <c r="H1097" s="114"/>
      <c r="J1097" s="183" t="str">
        <f>IFERROR(VLOOKUP(A1097,Internal_lists_bugs!$A$2:$I2031,9,FALSE()),"please select a BUG ID")</f>
        <v>please select a BUG ID</v>
      </c>
    </row>
    <row r="1098">
      <c r="A1098" s="54"/>
      <c r="B1098" s="71" t="str">
        <f>IFERROR(HYPERLINK(VLOOKUP(A1098,Internal_lists_bugs!$A$2:$C$73,3,FALSE()), VLOOKUP(A1098,Internal_lists_bugs!$A$2:$C$73,3,FALSE())&amp;Char(10) &amp; Char(10) &amp; VLOOKUP(A1098,Internal_lists_bugs!$A$2:$Z$73,26,FALSE())),"please select a BUG ID")</f>
        <v>please select a BUG ID</v>
      </c>
      <c r="C1098" s="51" t="str">
        <f>IFERROR(SUBSTITUTE(VLOOKUP(A1098,Internal_lists_bugs!$A$2:$G2031,7,FALSE()),"/commit/","/tree/"),"please select a BUG ID")</f>
        <v>please select a BUG ID</v>
      </c>
      <c r="D1098" s="54"/>
      <c r="F1098" s="54"/>
      <c r="H1098" s="114"/>
      <c r="J1098" s="183" t="str">
        <f>IFERROR(VLOOKUP(A1098,Internal_lists_bugs!$A$2:$I2031,9,FALSE()),"please select a BUG ID")</f>
        <v>please select a BUG ID</v>
      </c>
    </row>
    <row r="1099">
      <c r="A1099" s="54"/>
      <c r="B1099" s="71" t="str">
        <f>IFERROR(HYPERLINK(VLOOKUP(A1099,Internal_lists_bugs!$A$2:$C$73,3,FALSE()), VLOOKUP(A1099,Internal_lists_bugs!$A$2:$C$73,3,FALSE())&amp;Char(10) &amp; Char(10) &amp; VLOOKUP(A1099,Internal_lists_bugs!$A$2:$Z$73,26,FALSE())),"please select a BUG ID")</f>
        <v>please select a BUG ID</v>
      </c>
      <c r="C1099" s="51" t="str">
        <f>IFERROR(SUBSTITUTE(VLOOKUP(A1099,Internal_lists_bugs!$A$2:$G2031,7,FALSE()),"/commit/","/tree/"),"please select a BUG ID")</f>
        <v>please select a BUG ID</v>
      </c>
      <c r="D1099" s="54"/>
      <c r="F1099" s="54"/>
      <c r="H1099" s="114"/>
      <c r="J1099" s="183" t="str">
        <f>IFERROR(VLOOKUP(A1099,Internal_lists_bugs!$A$2:$I2031,9,FALSE()),"please select a BUG ID")</f>
        <v>please select a BUG ID</v>
      </c>
    </row>
    <row r="1100">
      <c r="A1100" s="54"/>
      <c r="B1100" s="71" t="str">
        <f>IFERROR(HYPERLINK(VLOOKUP(A1100,Internal_lists_bugs!$A$2:$C$73,3,FALSE()), VLOOKUP(A1100,Internal_lists_bugs!$A$2:$C$73,3,FALSE())&amp;Char(10) &amp; Char(10) &amp; VLOOKUP(A1100,Internal_lists_bugs!$A$2:$Z$73,26,FALSE())),"please select a BUG ID")</f>
        <v>please select a BUG ID</v>
      </c>
      <c r="C1100" s="51" t="str">
        <f>IFERROR(SUBSTITUTE(VLOOKUP(A1100,Internal_lists_bugs!$A$2:$G2031,7,FALSE()),"nova/commit","nova/src/commit"),"please select a BUG ID")</f>
        <v>please select a BUG ID</v>
      </c>
      <c r="D1100" s="54"/>
      <c r="F1100" s="54"/>
      <c r="H1100" s="114"/>
      <c r="J1100" s="183" t="str">
        <f>IFERROR(VLOOKUP(A1100,Internal_lists_bugs!$A$2:$I2031,9,FALSE()),"please select a BUG ID")</f>
        <v>please select a BUG ID</v>
      </c>
    </row>
    <row r="1101">
      <c r="A1101" s="54"/>
      <c r="B1101" s="71" t="str">
        <f>IFERROR(HYPERLINK(VLOOKUP(A1101,Internal_lists_bugs!$A$2:$C$73,3,FALSE()), VLOOKUP(A1101,Internal_lists_bugs!$A$2:$C$73,3,FALSE())&amp;Char(10) &amp; Char(10) &amp; VLOOKUP(A1101,Internal_lists_bugs!$A$2:$Z$73,26,FALSE())),"please select a BUG ID")</f>
        <v>please select a BUG ID</v>
      </c>
      <c r="C1101" s="51" t="str">
        <f>IFERROR(SUBSTITUTE(VLOOKUP(A1101,Internal_lists_bugs!$A$2:$G2031,7,FALSE()),"nova/commit","nova/src/commit"),"please select a BUG ID")</f>
        <v>please select a BUG ID</v>
      </c>
      <c r="D1101" s="54"/>
      <c r="F1101" s="54"/>
      <c r="H1101" s="114"/>
      <c r="J1101" s="183" t="str">
        <f>IFERROR(VLOOKUP(A1101,Internal_lists_bugs!$A$2:$I2031,9,FALSE()),"please select a BUG ID")</f>
        <v>please select a BUG ID</v>
      </c>
    </row>
    <row r="1102">
      <c r="A1102" s="54"/>
      <c r="B1102" s="71" t="str">
        <f>IFERROR(HYPERLINK(VLOOKUP(A1102,Internal_lists_bugs!$A$2:$C$73,3,FALSE()), VLOOKUP(A1102,Internal_lists_bugs!$A$2:$C$73,3,FALSE())&amp;Char(10) &amp; Char(10) &amp; VLOOKUP(A1102,Internal_lists_bugs!$A$2:$Z$73,26,FALSE())),"please select a BUG ID")</f>
        <v>please select a BUG ID</v>
      </c>
      <c r="C1102" s="51" t="str">
        <f>IFERROR(SUBSTITUTE(VLOOKUP(A1102,Internal_lists_bugs!$A$2:$G2031,7,FALSE()),"nova/commit","nova/src/commit"),"please select a BUG ID")</f>
        <v>please select a BUG ID</v>
      </c>
      <c r="D1102" s="54"/>
      <c r="F1102" s="54"/>
      <c r="H1102" s="114"/>
      <c r="J1102" s="183" t="str">
        <f>IFERROR(VLOOKUP(A1102,Internal_lists_bugs!$A$2:$I2031,9,FALSE()),"please select a BUG ID")</f>
        <v>please select a BUG ID</v>
      </c>
    </row>
    <row r="1103">
      <c r="A1103" s="54"/>
      <c r="B1103" s="71" t="str">
        <f>IFERROR(HYPERLINK(VLOOKUP(A1103,Internal_lists_bugs!$A$2:$C$73,3,FALSE()), VLOOKUP(A1103,Internal_lists_bugs!$A$2:$C$73,3,FALSE())&amp;Char(10) &amp; Char(10) &amp; VLOOKUP(A1103,Internal_lists_bugs!$A$2:$Z$73,26,FALSE())),"please select a BUG ID")</f>
        <v>please select a BUG ID</v>
      </c>
      <c r="C1103" s="51" t="str">
        <f>IFERROR(SUBSTITUTE(VLOOKUP(A1103,Internal_lists_bugs!$A$2:$G2031,7,FALSE()),"nova/commit","nova/src/commit"),"please select a BUG ID")</f>
        <v>please select a BUG ID</v>
      </c>
      <c r="D1103" s="54"/>
      <c r="F1103" s="54"/>
      <c r="H1103" s="114"/>
      <c r="J1103" s="183" t="str">
        <f>IFERROR(VLOOKUP(A1103,Internal_lists_bugs!$A$2:$I2031,9,FALSE()),"please select a BUG ID")</f>
        <v>please select a BUG ID</v>
      </c>
    </row>
    <row r="1104">
      <c r="A1104" s="54"/>
      <c r="B1104" s="71" t="str">
        <f>IFERROR(HYPERLINK(VLOOKUP(A1104,Internal_lists_bugs!$A$2:$C$73,3,FALSE()), VLOOKUP(A1104,Internal_lists_bugs!$A$2:$C$73,3,FALSE())&amp;Char(10) &amp; Char(10) &amp; VLOOKUP(A1104,Internal_lists_bugs!$A$2:$Z$73,26,FALSE())),"please select a BUG ID")</f>
        <v>please select a BUG ID</v>
      </c>
      <c r="C1104" s="51" t="str">
        <f>IFERROR(SUBSTITUTE(VLOOKUP(A1104,Internal_lists_bugs!$A$2:$G2031,7,FALSE()),"nova/commit","nova/src/commit"),"please select a BUG ID")</f>
        <v>please select a BUG ID</v>
      </c>
      <c r="D1104" s="54"/>
      <c r="F1104" s="54"/>
      <c r="H1104" s="114"/>
      <c r="J1104" s="183" t="str">
        <f>IFERROR(VLOOKUP(A1104,Internal_lists_bugs!$A$2:$I2031,9,FALSE()),"please select a BUG ID")</f>
        <v>please select a BUG ID</v>
      </c>
    </row>
    <row r="1105">
      <c r="A1105" s="54"/>
      <c r="B1105" s="71" t="str">
        <f>IFERROR(HYPERLINK(VLOOKUP(A1105,Internal_lists_bugs!$A$2:$C$73,3,FALSE()), VLOOKUP(A1105,Internal_lists_bugs!$A$2:$C$73,3,FALSE())&amp;Char(10) &amp; Char(10) &amp; VLOOKUP(A1105,Internal_lists_bugs!$A$2:$Z$73,26,FALSE())),"please select a BUG ID")</f>
        <v>please select a BUG ID</v>
      </c>
      <c r="C1105" s="51" t="str">
        <f>IFERROR(SUBSTITUTE(VLOOKUP(A1105,Internal_lists_bugs!$A$2:$G2031,7,FALSE()),"nova/commit","nova/src/commit"),"please select a BUG ID")</f>
        <v>please select a BUG ID</v>
      </c>
      <c r="D1105" s="54"/>
      <c r="F1105" s="54"/>
      <c r="H1105" s="114"/>
      <c r="J1105" s="183" t="str">
        <f>IFERROR(VLOOKUP(A1105,Internal_lists_bugs!$A$2:$I2031,9,FALSE()),"please select a BUG ID")</f>
        <v>please select a BUG ID</v>
      </c>
    </row>
    <row r="1106">
      <c r="A1106" s="54"/>
      <c r="B1106" s="71" t="str">
        <f>IFERROR(HYPERLINK(VLOOKUP(A1106,Internal_lists_bugs!$A$2:$C$73,3,FALSE()), VLOOKUP(A1106,Internal_lists_bugs!$A$2:$C$73,3,FALSE())&amp;Char(10) &amp; Char(10) &amp; VLOOKUP(A1106,Internal_lists_bugs!$A$2:$Z$73,26,FALSE())),"please select a BUG ID")</f>
        <v>please select a BUG ID</v>
      </c>
      <c r="C1106" s="51" t="str">
        <f>IFERROR(SUBSTITUTE(VLOOKUP(A1106,Internal_lists_bugs!$A$2:$G2031,7,FALSE()),"nova/commit","nova/src/commit"),"please select a BUG ID")</f>
        <v>please select a BUG ID</v>
      </c>
      <c r="D1106" s="54"/>
      <c r="F1106" s="54"/>
      <c r="H1106" s="114"/>
      <c r="J1106" s="183" t="str">
        <f>IFERROR(VLOOKUP(A1106,Internal_lists_bugs!$A$2:$I2031,9,FALSE()),"please select a BUG ID")</f>
        <v>please select a BUG ID</v>
      </c>
    </row>
    <row r="1107">
      <c r="A1107" s="54"/>
      <c r="B1107" s="71" t="str">
        <f>IFERROR(HYPERLINK(VLOOKUP(A1107,Internal_lists_bugs!$A$2:$C$73,3,FALSE()), VLOOKUP(A1107,Internal_lists_bugs!$A$2:$C$73,3,FALSE())&amp;Char(10) &amp; Char(10) &amp; VLOOKUP(A1107,Internal_lists_bugs!$A$2:$Z$73,26,FALSE())),"please select a BUG ID")</f>
        <v>please select a BUG ID</v>
      </c>
      <c r="C1107" s="51" t="str">
        <f>IFERROR(SUBSTITUTE(VLOOKUP(A1107,Internal_lists_bugs!$A$2:$G2031,7,FALSE()),"nova/commit","nova/src/commit"),"please select a BUG ID")</f>
        <v>please select a BUG ID</v>
      </c>
      <c r="D1107" s="54"/>
      <c r="F1107" s="54"/>
      <c r="H1107" s="114"/>
      <c r="J1107" s="183" t="str">
        <f>IFERROR(VLOOKUP(A1107,Internal_lists_bugs!$A$2:$I2031,9,FALSE()),"please select a BUG ID")</f>
        <v>please select a BUG ID</v>
      </c>
    </row>
    <row r="1108">
      <c r="A1108" s="54"/>
      <c r="B1108" s="71" t="str">
        <f>IFERROR(HYPERLINK(VLOOKUP(A1108,Internal_lists_bugs!$A$2:$C$73,3,FALSE()), VLOOKUP(A1108,Internal_lists_bugs!$A$2:$C$73,3,FALSE())&amp;Char(10) &amp; Char(10) &amp; VLOOKUP(A1108,Internal_lists_bugs!$A$2:$Z$73,26,FALSE())),"please select a BUG ID")</f>
        <v>please select a BUG ID</v>
      </c>
      <c r="C1108" s="51" t="str">
        <f>IFERROR(SUBSTITUTE(VLOOKUP(A1108,Internal_lists_bugs!$A$2:$G2031,7,FALSE()),"nova/commit","nova/src/commit"),"please select a BUG ID")</f>
        <v>please select a BUG ID</v>
      </c>
      <c r="D1108" s="54"/>
      <c r="F1108" s="54"/>
      <c r="H1108" s="114"/>
      <c r="J1108" s="183" t="str">
        <f>IFERROR(VLOOKUP(A1108,Internal_lists_bugs!$A$2:$I2031,9,FALSE()),"please select a BUG ID")</f>
        <v>please select a BUG ID</v>
      </c>
    </row>
    <row r="1109">
      <c r="A1109" s="54"/>
      <c r="B1109" s="71" t="str">
        <f>IFERROR(HYPERLINK(VLOOKUP(A1109,Internal_lists_bugs!$A$2:$C$73,3,FALSE()), VLOOKUP(A1109,Internal_lists_bugs!$A$2:$C$73,3,FALSE())&amp;Char(10) &amp; Char(10) &amp; VLOOKUP(A1109,Internal_lists_bugs!$A$2:$Z$73,26,FALSE())),"please select a BUG ID")</f>
        <v>please select a BUG ID</v>
      </c>
      <c r="C1109" s="51" t="str">
        <f>IFERROR(SUBSTITUTE(VLOOKUP(A1109,Internal_lists_bugs!$A$2:$G2031,7,FALSE()),"nova/commit","nova/src/commit"),"please select a BUG ID")</f>
        <v>please select a BUG ID</v>
      </c>
      <c r="D1109" s="54"/>
      <c r="F1109" s="54"/>
      <c r="H1109" s="114"/>
      <c r="J1109" s="183" t="str">
        <f>IFERROR(VLOOKUP(A1109,Internal_lists_bugs!$A$2:$I2031,9,FALSE()),"please select a BUG ID")</f>
        <v>please select a BUG ID</v>
      </c>
    </row>
    <row r="1110">
      <c r="A1110" s="54"/>
      <c r="B1110" s="71" t="str">
        <f>IFERROR(HYPERLINK(VLOOKUP(A1110,Internal_lists_bugs!$A$2:$C$73,3,FALSE()), VLOOKUP(A1110,Internal_lists_bugs!$A$2:$C$73,3,FALSE())&amp;Char(10) &amp; Char(10) &amp; VLOOKUP(A1110,Internal_lists_bugs!$A$2:$Z$73,26,FALSE())),"please select a BUG ID")</f>
        <v>please select a BUG ID</v>
      </c>
      <c r="C1110" s="51" t="str">
        <f>IFERROR(SUBSTITUTE(VLOOKUP(A1110,Internal_lists_bugs!$A$2:$G2031,7,FALSE()),"nova/commit","nova/src/commit"),"please select a BUG ID")</f>
        <v>please select a BUG ID</v>
      </c>
      <c r="D1110" s="54"/>
      <c r="F1110" s="54"/>
      <c r="H1110" s="114"/>
      <c r="J1110" s="183" t="str">
        <f>IFERROR(VLOOKUP(A1110,Internal_lists_bugs!$A$2:$I2031,9,FALSE()),"please select a BUG ID")</f>
        <v>please select a BUG ID</v>
      </c>
    </row>
    <row r="1111">
      <c r="A1111" s="54"/>
      <c r="B1111" s="71" t="str">
        <f>IFERROR(HYPERLINK(VLOOKUP(A1111,Internal_lists_bugs!$A$2:$C$73,3,FALSE()), VLOOKUP(A1111,Internal_lists_bugs!$A$2:$C$73,3,FALSE())&amp;Char(10) &amp; Char(10) &amp; VLOOKUP(A1111,Internal_lists_bugs!$A$2:$Z$73,26,FALSE())),"please select a BUG ID")</f>
        <v>please select a BUG ID</v>
      </c>
      <c r="C1111" s="51" t="str">
        <f>IFERROR(SUBSTITUTE(VLOOKUP(A1111,Internal_lists_bugs!$A$2:$G2031,7,FALSE()),"nova/commit","nova/src/commit"),"please select a BUG ID")</f>
        <v>please select a BUG ID</v>
      </c>
      <c r="D1111" s="54"/>
      <c r="F1111" s="54"/>
      <c r="H1111" s="114"/>
      <c r="J1111" s="183" t="str">
        <f>IFERROR(VLOOKUP(A1111,Internal_lists_bugs!$A$2:$I2031,9,FALSE()),"please select a BUG ID")</f>
        <v>please select a BUG ID</v>
      </c>
    </row>
    <row r="1112">
      <c r="A1112" s="54"/>
      <c r="B1112" s="71" t="str">
        <f>IFERROR(HYPERLINK(VLOOKUP(A1112,Internal_lists_bugs!$A$2:$C$73,3,FALSE()), VLOOKUP(A1112,Internal_lists_bugs!$A$2:$C$73,3,FALSE())&amp;Char(10) &amp; Char(10) &amp; VLOOKUP(A1112,Internal_lists_bugs!$A$2:$Z$73,26,FALSE())),"please select a BUG ID")</f>
        <v>please select a BUG ID</v>
      </c>
      <c r="C1112" s="51" t="str">
        <f>IFERROR(SUBSTITUTE(VLOOKUP(A1112,Internal_lists_bugs!$A$2:$G2031,7,FALSE()),"nova/commit","nova/src/commit"),"please select a BUG ID")</f>
        <v>please select a BUG ID</v>
      </c>
      <c r="D1112" s="54"/>
      <c r="F1112" s="54"/>
      <c r="H1112" s="114"/>
      <c r="J1112" s="183" t="str">
        <f>IFERROR(VLOOKUP(A1112,Internal_lists_bugs!$A$2:$I2031,9,FALSE()),"please select a BUG ID")</f>
        <v>please select a BUG ID</v>
      </c>
    </row>
    <row r="1113">
      <c r="A1113" s="54"/>
      <c r="B1113" s="71" t="str">
        <f>IFERROR(HYPERLINK(VLOOKUP(A1113,Internal_lists_bugs!$A$2:$C$73,3,FALSE()), VLOOKUP(A1113,Internal_lists_bugs!$A$2:$C$73,3,FALSE())&amp;Char(10) &amp; Char(10) &amp; VLOOKUP(A1113,Internal_lists_bugs!$A$2:$Z$73,26,FALSE())),"please select a BUG ID")</f>
        <v>please select a BUG ID</v>
      </c>
      <c r="C1113" s="51" t="str">
        <f>IFERROR(SUBSTITUTE(VLOOKUP(A1113,Internal_lists_bugs!$A$2:$G2031,7,FALSE()),"nova/commit","nova/src/commit"),"please select a BUG ID")</f>
        <v>please select a BUG ID</v>
      </c>
      <c r="D1113" s="54"/>
      <c r="F1113" s="54"/>
      <c r="H1113" s="114"/>
      <c r="J1113" s="183" t="str">
        <f>IFERROR(VLOOKUP(A1113,Internal_lists_bugs!$A$2:$I2031,9,FALSE()),"please select a BUG ID")</f>
        <v>please select a BUG ID</v>
      </c>
    </row>
    <row r="1114">
      <c r="A1114" s="54"/>
      <c r="B1114" s="71" t="str">
        <f>IFERROR(HYPERLINK(VLOOKUP(A1114,Internal_lists_bugs!$A$2:$C$73,3,FALSE()), VLOOKUP(A1114,Internal_lists_bugs!$A$2:$C$73,3,FALSE())&amp;Char(10) &amp; Char(10) &amp; VLOOKUP(A1114,Internal_lists_bugs!$A$2:$Z$73,26,FALSE())),"please select a BUG ID")</f>
        <v>please select a BUG ID</v>
      </c>
      <c r="C1114" s="51" t="str">
        <f>IFERROR(SUBSTITUTE(VLOOKUP(A1114,Internal_lists_bugs!$A$2:$G2031,7,FALSE()),"nova/commit","nova/src/commit"),"please select a BUG ID")</f>
        <v>please select a BUG ID</v>
      </c>
      <c r="D1114" s="54"/>
      <c r="F1114" s="54"/>
      <c r="H1114" s="114"/>
      <c r="J1114" s="183" t="str">
        <f>IFERROR(VLOOKUP(A1114,Internal_lists_bugs!$A$2:$I2031,9,FALSE()),"please select a BUG ID")</f>
        <v>please select a BUG ID</v>
      </c>
    </row>
    <row r="1115">
      <c r="A1115" s="54"/>
      <c r="B1115" s="71" t="str">
        <f>IFERROR(HYPERLINK(VLOOKUP(A1115,Internal_lists_bugs!$A$2:$C$73,3,FALSE()), VLOOKUP(A1115,Internal_lists_bugs!$A$2:$C$73,3,FALSE())&amp;Char(10) &amp; Char(10) &amp; VLOOKUP(A1115,Internal_lists_bugs!$A$2:$Z$73,26,FALSE())),"please select a BUG ID")</f>
        <v>please select a BUG ID</v>
      </c>
      <c r="C1115" s="51" t="str">
        <f>IFERROR(SUBSTITUTE(VLOOKUP(A1115,Internal_lists_bugs!$A$2:$G2031,7,FALSE()),"nova/commit","nova/src/commit"),"please select a BUG ID")</f>
        <v>please select a BUG ID</v>
      </c>
      <c r="D1115" s="54"/>
      <c r="F1115" s="54"/>
      <c r="H1115" s="114"/>
      <c r="J1115" s="183" t="str">
        <f>IFERROR(VLOOKUP(A1115,Internal_lists_bugs!$A$2:$I2031,9,FALSE()),"please select a BUG ID")</f>
        <v>please select a BUG ID</v>
      </c>
    </row>
    <row r="1116">
      <c r="A1116" s="54"/>
      <c r="B1116" s="71" t="str">
        <f>IFERROR(HYPERLINK(VLOOKUP(A1116,Internal_lists_bugs!$A$2:$C$73,3,FALSE()), VLOOKUP(A1116,Internal_lists_bugs!$A$2:$C$73,3,FALSE())&amp;Char(10) &amp; Char(10) &amp; VLOOKUP(A1116,Internal_lists_bugs!$A$2:$Z$73,26,FALSE())),"please select a BUG ID")</f>
        <v>please select a BUG ID</v>
      </c>
      <c r="C1116" s="51" t="str">
        <f>IFERROR(SUBSTITUTE(VLOOKUP(A1116,Internal_lists_bugs!$A$2:$G2031,7,FALSE()),"nova/commit","nova/src/commit"),"please select a BUG ID")</f>
        <v>please select a BUG ID</v>
      </c>
      <c r="D1116" s="54"/>
      <c r="F1116" s="54"/>
      <c r="H1116" s="114"/>
      <c r="J1116" s="183" t="str">
        <f>IFERROR(VLOOKUP(A1116,Internal_lists_bugs!$A$2:$I2031,9,FALSE()),"please select a BUG ID")</f>
        <v>please select a BUG ID</v>
      </c>
    </row>
    <row r="1117">
      <c r="A1117" s="54"/>
      <c r="B1117" s="71" t="str">
        <f>IFERROR(HYPERLINK(VLOOKUP(A1117,Internal_lists_bugs!$A$2:$C$73,3,FALSE()), VLOOKUP(A1117,Internal_lists_bugs!$A$2:$C$73,3,FALSE())&amp;Char(10) &amp; Char(10) &amp; VLOOKUP(A1117,Internal_lists_bugs!$A$2:$Z$73,26,FALSE())),"please select a BUG ID")</f>
        <v>please select a BUG ID</v>
      </c>
      <c r="C1117" s="51" t="str">
        <f>IFERROR(SUBSTITUTE(VLOOKUP(A1117,Internal_lists_bugs!$A$2:$G2031,7,FALSE()),"nova/commit","nova/src/commit"),"please select a BUG ID")</f>
        <v>please select a BUG ID</v>
      </c>
      <c r="D1117" s="54"/>
      <c r="F1117" s="54"/>
      <c r="H1117" s="114"/>
      <c r="J1117" s="183" t="str">
        <f>IFERROR(VLOOKUP(A1117,Internal_lists_bugs!$A$2:$I2031,9,FALSE()),"please select a BUG ID")</f>
        <v>please select a BUG ID</v>
      </c>
    </row>
    <row r="1118">
      <c r="A1118" s="54"/>
      <c r="B1118" s="71" t="str">
        <f>IFERROR(HYPERLINK(VLOOKUP(A1118,Internal_lists_bugs!$A$2:$C$73,3,FALSE()), VLOOKUP(A1118,Internal_lists_bugs!$A$2:$C$73,3,FALSE())&amp;Char(10) &amp; Char(10) &amp; VLOOKUP(A1118,Internal_lists_bugs!$A$2:$Z$73,26,FALSE())),"please select a BUG ID")</f>
        <v>please select a BUG ID</v>
      </c>
      <c r="C1118" s="51" t="str">
        <f>IFERROR(SUBSTITUTE(VLOOKUP(A1118,Internal_lists_bugs!$A$2:$G2031,7,FALSE()),"nova/commit","nova/src/commit"),"please select a BUG ID")</f>
        <v>please select a BUG ID</v>
      </c>
      <c r="D1118" s="54"/>
      <c r="F1118" s="54"/>
      <c r="H1118" s="114"/>
      <c r="J1118" s="183" t="str">
        <f>IFERROR(VLOOKUP(A1118,Internal_lists_bugs!$A$2:$I2031,9,FALSE()),"please select a BUG ID")</f>
        <v>please select a BUG ID</v>
      </c>
    </row>
    <row r="1119">
      <c r="A1119" s="54"/>
      <c r="B1119" s="71" t="str">
        <f>IFERROR(HYPERLINK(VLOOKUP(A1119,Internal_lists_bugs!$A$2:$C$73,3,FALSE()), VLOOKUP(A1119,Internal_lists_bugs!$A$2:$C$73,3,FALSE())&amp;Char(10) &amp; Char(10) &amp; VLOOKUP(A1119,Internal_lists_bugs!$A$2:$Z$73,26,FALSE())),"please select a BUG ID")</f>
        <v>please select a BUG ID</v>
      </c>
      <c r="C1119" s="51" t="str">
        <f>IFERROR(SUBSTITUTE(VLOOKUP(A1119,Internal_lists_bugs!$A$2:$G2031,7,FALSE()),"nova/commit","nova/src/commit"),"please select a BUG ID")</f>
        <v>please select a BUG ID</v>
      </c>
      <c r="D1119" s="54"/>
      <c r="F1119" s="54"/>
      <c r="H1119" s="114"/>
      <c r="J1119" s="183" t="str">
        <f>IFERROR(VLOOKUP(A1119,Internal_lists_bugs!$A$2:$I2031,9,FALSE()),"please select a BUG ID")</f>
        <v>please select a BUG ID</v>
      </c>
    </row>
    <row r="1120">
      <c r="A1120" s="54"/>
      <c r="B1120" s="71" t="str">
        <f>IFERROR(HYPERLINK(VLOOKUP(A1120,Internal_lists_bugs!$A$2:$C$73,3,FALSE()), VLOOKUP(A1120,Internal_lists_bugs!$A$2:$C$73,3,FALSE())&amp;Char(10) &amp; Char(10) &amp; VLOOKUP(A1120,Internal_lists_bugs!$A$2:$Z$73,26,FALSE())),"please select a BUG ID")</f>
        <v>please select a BUG ID</v>
      </c>
      <c r="C1120" s="51" t="str">
        <f>IFERROR(SUBSTITUTE(VLOOKUP(A1120,Internal_lists_bugs!$A$2:$G2031,7,FALSE()),"nova/commit","nova/src/commit"),"please select a BUG ID")</f>
        <v>please select a BUG ID</v>
      </c>
      <c r="D1120" s="54"/>
      <c r="F1120" s="54"/>
      <c r="H1120" s="114"/>
      <c r="J1120" s="183" t="str">
        <f>IFERROR(VLOOKUP(A1120,Internal_lists_bugs!$A$2:$I2031,9,FALSE()),"please select a BUG ID")</f>
        <v>please select a BUG ID</v>
      </c>
    </row>
    <row r="1121">
      <c r="A1121" s="54"/>
      <c r="B1121" s="71" t="str">
        <f>IFERROR(HYPERLINK(VLOOKUP(A1121,Internal_lists_bugs!$A$2:$C$73,3,FALSE()), VLOOKUP(A1121,Internal_lists_bugs!$A$2:$C$73,3,FALSE())&amp;Char(10) &amp; Char(10) &amp; VLOOKUP(A1121,Internal_lists_bugs!$A$2:$Z$73,26,FALSE())),"please select a BUG ID")</f>
        <v>please select a BUG ID</v>
      </c>
      <c r="C1121" s="51" t="str">
        <f>IFERROR(SUBSTITUTE(VLOOKUP(A1121,Internal_lists_bugs!$A$2:$G2031,7,FALSE()),"nova/commit","nova/src/commit"),"please select a BUG ID")</f>
        <v>please select a BUG ID</v>
      </c>
      <c r="D1121" s="54"/>
      <c r="F1121" s="54"/>
      <c r="H1121" s="114"/>
      <c r="J1121" s="183" t="str">
        <f>IFERROR(VLOOKUP(A1121,Internal_lists_bugs!$A$2:$I2031,9,FALSE()),"please select a BUG ID")</f>
        <v>please select a BUG ID</v>
      </c>
    </row>
    <row r="1122">
      <c r="A1122" s="54"/>
      <c r="B1122" s="71" t="str">
        <f>IFERROR(HYPERLINK(VLOOKUP(A1122,Internal_lists_bugs!$A$2:$C$73,3,FALSE()), VLOOKUP(A1122,Internal_lists_bugs!$A$2:$C$73,3,FALSE())&amp;Char(10) &amp; Char(10) &amp; VLOOKUP(A1122,Internal_lists_bugs!$A$2:$Z$73,26,FALSE())),"please select a BUG ID")</f>
        <v>please select a BUG ID</v>
      </c>
      <c r="C1122" s="51" t="str">
        <f>IFERROR(SUBSTITUTE(VLOOKUP(A1122,Internal_lists_bugs!$A$2:$G2031,7,FALSE()),"nova/commit","nova/src/commit"),"please select a BUG ID")</f>
        <v>please select a BUG ID</v>
      </c>
      <c r="D1122" s="54"/>
      <c r="F1122" s="54"/>
      <c r="H1122" s="114"/>
      <c r="J1122" s="183" t="str">
        <f>IFERROR(VLOOKUP(A1122,Internal_lists_bugs!$A$2:$I2031,9,FALSE()),"please select a BUG ID")</f>
        <v>please select a BUG ID</v>
      </c>
    </row>
    <row r="1123">
      <c r="A1123" s="54"/>
      <c r="B1123" s="71" t="str">
        <f>IFERROR(HYPERLINK(VLOOKUP(A1123,Internal_lists_bugs!$A$2:$C$73,3,FALSE()), VLOOKUP(A1123,Internal_lists_bugs!$A$2:$C$73,3,FALSE())&amp;Char(10) &amp; Char(10) &amp; VLOOKUP(A1123,Internal_lists_bugs!$A$2:$Z$73,26,FALSE())),"please select a BUG ID")</f>
        <v>please select a BUG ID</v>
      </c>
      <c r="C1123" s="51" t="str">
        <f>IFERROR(SUBSTITUTE(VLOOKUP(A1123,Internal_lists_bugs!$A$2:$G2031,7,FALSE()),"nova/commit","nova/src/commit"),"please select a BUG ID")</f>
        <v>please select a BUG ID</v>
      </c>
      <c r="D1123" s="54"/>
      <c r="F1123" s="54"/>
      <c r="H1123" s="114"/>
      <c r="J1123" s="183" t="str">
        <f>IFERROR(VLOOKUP(A1123,Internal_lists_bugs!$A$2:$I2031,9,FALSE()),"please select a BUG ID")</f>
        <v>please select a BUG ID</v>
      </c>
    </row>
    <row r="1124">
      <c r="A1124" s="54"/>
      <c r="B1124" s="71" t="str">
        <f>IFERROR(HYPERLINK(VLOOKUP(A1124,Internal_lists_bugs!$A$2:$C$73,3,FALSE()), VLOOKUP(A1124,Internal_lists_bugs!$A$2:$C$73,3,FALSE())&amp;Char(10) &amp; Char(10) &amp; VLOOKUP(A1124,Internal_lists_bugs!$A$2:$Z$73,26,FALSE())),"please select a BUG ID")</f>
        <v>please select a BUG ID</v>
      </c>
      <c r="C1124" s="51" t="str">
        <f>IFERROR(SUBSTITUTE(VLOOKUP(A1124,Internal_lists_bugs!$A$2:$G2031,7,FALSE()),"nova/commit","nova/src/commit"),"please select a BUG ID")</f>
        <v>please select a BUG ID</v>
      </c>
      <c r="D1124" s="54"/>
      <c r="F1124" s="54"/>
      <c r="H1124" s="114"/>
      <c r="J1124" s="183" t="str">
        <f>IFERROR(VLOOKUP(A1124,Internal_lists_bugs!$A$2:$I2031,9,FALSE()),"please select a BUG ID")</f>
        <v>please select a BUG ID</v>
      </c>
    </row>
    <row r="1125">
      <c r="A1125" s="54"/>
      <c r="B1125" s="71" t="str">
        <f>IFERROR(HYPERLINK(VLOOKUP(A1125,Internal_lists_bugs!$A$2:$C$73,3,FALSE()), VLOOKUP(A1125,Internal_lists_bugs!$A$2:$C$73,3,FALSE())&amp;Char(10) &amp; Char(10) &amp; VLOOKUP(A1125,Internal_lists_bugs!$A$2:$Z$73,26,FALSE())),"please select a BUG ID")</f>
        <v>please select a BUG ID</v>
      </c>
      <c r="C1125" s="51" t="str">
        <f>IFERROR(SUBSTITUTE(VLOOKUP(A1125,Internal_lists_bugs!$A$2:$G2031,7,FALSE()),"nova/commit","nova/src/commit"),"please select a BUG ID")</f>
        <v>please select a BUG ID</v>
      </c>
      <c r="D1125" s="54"/>
      <c r="F1125" s="54"/>
      <c r="H1125" s="114"/>
      <c r="J1125" s="183" t="str">
        <f>IFERROR(VLOOKUP(A1125,Internal_lists_bugs!$A$2:$I2031,9,FALSE()),"please select a BUG ID")</f>
        <v>please select a BUG ID</v>
      </c>
    </row>
    <row r="1126">
      <c r="A1126" s="54"/>
      <c r="B1126" s="71" t="str">
        <f>IFERROR(HYPERLINK(VLOOKUP(A1126,Internal_lists_bugs!$A$2:$C$73,3,FALSE()), VLOOKUP(A1126,Internal_lists_bugs!$A$2:$C$73,3,FALSE())&amp;Char(10) &amp; Char(10) &amp; VLOOKUP(A1126,Internal_lists_bugs!$A$2:$Z$73,26,FALSE())),"please select a BUG ID")</f>
        <v>please select a BUG ID</v>
      </c>
      <c r="C1126" s="51" t="str">
        <f>IFERROR(SUBSTITUTE(VLOOKUP(A1126,Internal_lists_bugs!$A$2:$G2031,7,FALSE()),"nova/commit","nova/src/commit"),"please select a BUG ID")</f>
        <v>please select a BUG ID</v>
      </c>
      <c r="D1126" s="54"/>
      <c r="F1126" s="54"/>
      <c r="H1126" s="114"/>
      <c r="J1126" s="183" t="str">
        <f>IFERROR(VLOOKUP(A1126,Internal_lists_bugs!$A$2:$I2031,9,FALSE()),"please select a BUG ID")</f>
        <v>please select a BUG ID</v>
      </c>
    </row>
    <row r="1127">
      <c r="A1127" s="54"/>
      <c r="B1127" s="71" t="str">
        <f>IFERROR(HYPERLINK(VLOOKUP(A1127,Internal_lists_bugs!$A$2:$C$73,3,FALSE()), VLOOKUP(A1127,Internal_lists_bugs!$A$2:$C$73,3,FALSE())&amp;Char(10) &amp; Char(10) &amp; VLOOKUP(A1127,Internal_lists_bugs!$A$2:$Z$73,26,FALSE())),"please select a BUG ID")</f>
        <v>please select a BUG ID</v>
      </c>
      <c r="C1127" s="51" t="str">
        <f>IFERROR(SUBSTITUTE(VLOOKUP(A1127,Internal_lists_bugs!$A$2:$G2031,7,FALSE()),"nova/commit","nova/src/commit"),"please select a BUG ID")</f>
        <v>please select a BUG ID</v>
      </c>
      <c r="D1127" s="54"/>
      <c r="F1127" s="54"/>
      <c r="H1127" s="114"/>
      <c r="J1127" s="183" t="str">
        <f>IFERROR(VLOOKUP(A1127,Internal_lists_bugs!$A$2:$I2031,9,FALSE()),"please select a BUG ID")</f>
        <v>please select a BUG ID</v>
      </c>
    </row>
    <row r="1128">
      <c r="A1128" s="54"/>
      <c r="B1128" s="71" t="str">
        <f>IFERROR(HYPERLINK(VLOOKUP(A1128,Internal_lists_bugs!$A$2:$C$73,3,FALSE()), VLOOKUP(A1128,Internal_lists_bugs!$A$2:$C$73,3,FALSE())&amp;Char(10) &amp; Char(10) &amp; VLOOKUP(A1128,Internal_lists_bugs!$A$2:$Z$73,26,FALSE())),"please select a BUG ID")</f>
        <v>please select a BUG ID</v>
      </c>
      <c r="C1128" s="51" t="str">
        <f>IFERROR(SUBSTITUTE(VLOOKUP(A1128,Internal_lists_bugs!$A$2:$G2031,7,FALSE()),"nova/commit","nova/src/commit"),"please select a BUG ID")</f>
        <v>please select a BUG ID</v>
      </c>
      <c r="D1128" s="54"/>
      <c r="F1128" s="54"/>
      <c r="H1128" s="114"/>
      <c r="J1128" s="183" t="str">
        <f>IFERROR(VLOOKUP(A1128,Internal_lists_bugs!$A$2:$I2031,9,FALSE()),"please select a BUG ID")</f>
        <v>please select a BUG ID</v>
      </c>
    </row>
    <row r="1129">
      <c r="A1129" s="54"/>
      <c r="B1129" s="71" t="str">
        <f>IFERROR(HYPERLINK(VLOOKUP(A1129,Internal_lists_bugs!$A$2:$C$73,3,FALSE()), VLOOKUP(A1129,Internal_lists_bugs!$A$2:$C$73,3,FALSE())&amp;Char(10) &amp; Char(10) &amp; VLOOKUP(A1129,Internal_lists_bugs!$A$2:$Z$73,26,FALSE())),"please select a BUG ID")</f>
        <v>please select a BUG ID</v>
      </c>
      <c r="C1129" s="51" t="str">
        <f>IFERROR(SUBSTITUTE(VLOOKUP(A1129,Internal_lists_bugs!$A$2:$G2031,7,FALSE()),"nova/commit","nova/src/commit"),"please select a BUG ID")</f>
        <v>please select a BUG ID</v>
      </c>
      <c r="D1129" s="54"/>
      <c r="F1129" s="54"/>
      <c r="H1129" s="114"/>
      <c r="J1129" s="183" t="str">
        <f>IFERROR(VLOOKUP(A1129,Internal_lists_bugs!$A$2:$I2031,9,FALSE()),"please select a BUG ID")</f>
        <v>please select a BUG ID</v>
      </c>
    </row>
    <row r="1130">
      <c r="A1130" s="54"/>
      <c r="B1130" s="71" t="str">
        <f>IFERROR(HYPERLINK(VLOOKUP(A1130,Internal_lists_bugs!$A$2:$C$73,3,FALSE()), VLOOKUP(A1130,Internal_lists_bugs!$A$2:$C$73,3,FALSE())&amp;Char(10) &amp; Char(10) &amp; VLOOKUP(A1130,Internal_lists_bugs!$A$2:$Z$73,26,FALSE())),"please select a BUG ID")</f>
        <v>please select a BUG ID</v>
      </c>
      <c r="C1130" s="51" t="str">
        <f>IFERROR(SUBSTITUTE(VLOOKUP(A1130,Internal_lists_bugs!$A$2:$G2031,7,FALSE()),"nova/commit","nova/src/commit"),"please select a BUG ID")</f>
        <v>please select a BUG ID</v>
      </c>
      <c r="D1130" s="54"/>
      <c r="F1130" s="54"/>
      <c r="H1130" s="114"/>
      <c r="J1130" s="183" t="str">
        <f>IFERROR(VLOOKUP(A1130,Internal_lists_bugs!$A$2:$I2031,9,FALSE()),"please select a BUG ID")</f>
        <v>please select a BUG ID</v>
      </c>
    </row>
    <row r="1131">
      <c r="A1131" s="54"/>
      <c r="B1131" s="71" t="str">
        <f>IFERROR(HYPERLINK(VLOOKUP(A1131,Internal_lists_bugs!$A$2:$C$73,3,FALSE()), VLOOKUP(A1131,Internal_lists_bugs!$A$2:$C$73,3,FALSE())&amp;Char(10) &amp; Char(10) &amp; VLOOKUP(A1131,Internal_lists_bugs!$A$2:$Z$73,26,FALSE())),"please select a BUG ID")</f>
        <v>please select a BUG ID</v>
      </c>
      <c r="C1131" s="51" t="str">
        <f>IFERROR(SUBSTITUTE(VLOOKUP(A1131,Internal_lists_bugs!$A$2:$G2031,7,FALSE()),"nova/commit","nova/src/commit"),"please select a BUG ID")</f>
        <v>please select a BUG ID</v>
      </c>
      <c r="D1131" s="54"/>
      <c r="F1131" s="54"/>
      <c r="H1131" s="114"/>
      <c r="J1131" s="183" t="str">
        <f>IFERROR(VLOOKUP(A1131,Internal_lists_bugs!$A$2:$I2031,9,FALSE()),"please select a BUG ID")</f>
        <v>please select a BUG ID</v>
      </c>
    </row>
    <row r="1132">
      <c r="A1132" s="54"/>
      <c r="B1132" s="71" t="str">
        <f>IFERROR(HYPERLINK(VLOOKUP(A1132,Internal_lists_bugs!$A$2:$C$73,3,FALSE()), VLOOKUP(A1132,Internal_lists_bugs!$A$2:$C$73,3,FALSE())&amp;Char(10) &amp; Char(10) &amp; VLOOKUP(A1132,Internal_lists_bugs!$A$2:$Z$73,26,FALSE())),"please select a BUG ID")</f>
        <v>please select a BUG ID</v>
      </c>
      <c r="C1132" s="51" t="str">
        <f>IFERROR(SUBSTITUTE(VLOOKUP(A1132,Internal_lists_bugs!$A$2:$G2031,7,FALSE()),"nova/commit","nova/src/commit"),"please select a BUG ID")</f>
        <v>please select a BUG ID</v>
      </c>
      <c r="D1132" s="54"/>
      <c r="F1132" s="54"/>
      <c r="H1132" s="114"/>
      <c r="J1132" s="183" t="str">
        <f>IFERROR(VLOOKUP(A1132,Internal_lists_bugs!$A$2:$I2031,9,FALSE()),"please select a BUG ID")</f>
        <v>please select a BUG ID</v>
      </c>
    </row>
    <row r="1133">
      <c r="A1133" s="54"/>
      <c r="B1133" s="71" t="str">
        <f>IFERROR(HYPERLINK(VLOOKUP(A1133,Internal_lists_bugs!$A$2:$C$73,3,FALSE()), VLOOKUP(A1133,Internal_lists_bugs!$A$2:$C$73,3,FALSE())&amp;Char(10) &amp; Char(10) &amp; VLOOKUP(A1133,Internal_lists_bugs!$A$2:$Z$73,26,FALSE())),"please select a BUG ID")</f>
        <v>please select a BUG ID</v>
      </c>
      <c r="C1133" s="51" t="str">
        <f>IFERROR(SUBSTITUTE(VLOOKUP(A1133,Internal_lists_bugs!$A$2:$G2031,7,FALSE()),"nova/commit","nova/src/commit"),"please select a BUG ID")</f>
        <v>please select a BUG ID</v>
      </c>
      <c r="D1133" s="54"/>
      <c r="F1133" s="54"/>
      <c r="H1133" s="114"/>
      <c r="J1133" s="183" t="str">
        <f>IFERROR(VLOOKUP(A1133,Internal_lists_bugs!$A$2:$I2031,9,FALSE()),"please select a BUG ID")</f>
        <v>please select a BUG ID</v>
      </c>
    </row>
    <row r="1134">
      <c r="A1134" s="54"/>
      <c r="B1134" s="71" t="str">
        <f>IFERROR(HYPERLINK(VLOOKUP(A1134,Internal_lists_bugs!$A$2:$C$73,3,FALSE()), VLOOKUP(A1134,Internal_lists_bugs!$A$2:$C$73,3,FALSE())&amp;Char(10) &amp; Char(10) &amp; VLOOKUP(A1134,Internal_lists_bugs!$A$2:$Z$73,26,FALSE())),"please select a BUG ID")</f>
        <v>please select a BUG ID</v>
      </c>
      <c r="C1134" s="51" t="str">
        <f>IFERROR(SUBSTITUTE(VLOOKUP(A1134,Internal_lists_bugs!$A$2:$G2031,7,FALSE()),"nova/commit","nova/src/commit"),"please select a BUG ID")</f>
        <v>please select a BUG ID</v>
      </c>
      <c r="D1134" s="54"/>
      <c r="F1134" s="54"/>
      <c r="H1134" s="114"/>
      <c r="J1134" s="183" t="str">
        <f>IFERROR(VLOOKUP(A1134,Internal_lists_bugs!$A$2:$I2031,9,FALSE()),"please select a BUG ID")</f>
        <v>please select a BUG ID</v>
      </c>
    </row>
    <row r="1135">
      <c r="A1135" s="54"/>
      <c r="B1135" s="71" t="str">
        <f>IFERROR(HYPERLINK(VLOOKUP(A1135,Internal_lists_bugs!$A$2:$C$73,3,FALSE()), VLOOKUP(A1135,Internal_lists_bugs!$A$2:$C$73,3,FALSE())&amp;Char(10) &amp; Char(10) &amp; VLOOKUP(A1135,Internal_lists_bugs!$A$2:$Z$73,26,FALSE())),"please select a BUG ID")</f>
        <v>please select a BUG ID</v>
      </c>
      <c r="C1135" s="51" t="str">
        <f>IFERROR(SUBSTITUTE(VLOOKUP(A1135,Internal_lists_bugs!$A$2:$G2031,7,FALSE()),"nova/commit","nova/src/commit"),"please select a BUG ID")</f>
        <v>please select a BUG ID</v>
      </c>
      <c r="D1135" s="54"/>
      <c r="F1135" s="54"/>
      <c r="H1135" s="114"/>
      <c r="J1135" s="183" t="str">
        <f>IFERROR(VLOOKUP(A1135,Internal_lists_bugs!$A$2:$I2031,9,FALSE()),"please select a BUG ID")</f>
        <v>please select a BUG ID</v>
      </c>
    </row>
    <row r="1136">
      <c r="A1136" s="54"/>
      <c r="B1136" s="71" t="str">
        <f>IFERROR(HYPERLINK(VLOOKUP(A1136,Internal_lists_bugs!$A$2:$C$73,3,FALSE()), VLOOKUP(A1136,Internal_lists_bugs!$A$2:$C$73,3,FALSE())&amp;Char(10) &amp; Char(10) &amp; VLOOKUP(A1136,Internal_lists_bugs!$A$2:$Z$73,26,FALSE())),"please select a BUG ID")</f>
        <v>please select a BUG ID</v>
      </c>
      <c r="C1136" s="51" t="str">
        <f>IFERROR(SUBSTITUTE(VLOOKUP(A1136,Internal_lists_bugs!$A$2:$G2031,7,FALSE()),"nova/commit","nova/src/commit"),"please select a BUG ID")</f>
        <v>please select a BUG ID</v>
      </c>
      <c r="D1136" s="54"/>
      <c r="F1136" s="54"/>
      <c r="H1136" s="114"/>
      <c r="J1136" s="183" t="str">
        <f>IFERROR(VLOOKUP(A1136,Internal_lists_bugs!$A$2:$I2031,9,FALSE()),"please select a BUG ID")</f>
        <v>please select a BUG ID</v>
      </c>
    </row>
    <row r="1137">
      <c r="A1137" s="54"/>
      <c r="B1137" s="71" t="str">
        <f>IFERROR(HYPERLINK(VLOOKUP(A1137,Internal_lists_bugs!$A$2:$C$73,3,FALSE()), VLOOKUP(A1137,Internal_lists_bugs!$A$2:$C$73,3,FALSE())&amp;Char(10) &amp; Char(10) &amp; VLOOKUP(A1137,Internal_lists_bugs!$A$2:$Z$73,26,FALSE())),"please select a BUG ID")</f>
        <v>please select a BUG ID</v>
      </c>
      <c r="C1137" s="51" t="str">
        <f>IFERROR(SUBSTITUTE(VLOOKUP(A1137,Internal_lists_bugs!$A$2:$G2031,7,FALSE()),"nova/commit","nova/src/commit"),"please select a BUG ID")</f>
        <v>please select a BUG ID</v>
      </c>
      <c r="D1137" s="54"/>
      <c r="F1137" s="54"/>
      <c r="H1137" s="114"/>
      <c r="J1137" s="183" t="str">
        <f>IFERROR(VLOOKUP(A1137,Internal_lists_bugs!$A$2:$I2031,9,FALSE()),"please select a BUG ID")</f>
        <v>please select a BUG ID</v>
      </c>
    </row>
    <row r="1138">
      <c r="A1138" s="54"/>
      <c r="B1138" s="71" t="str">
        <f>IFERROR(HYPERLINK(VLOOKUP(A1138,Internal_lists_bugs!$A$2:$C$73,3,FALSE()), VLOOKUP(A1138,Internal_lists_bugs!$A$2:$C$73,3,FALSE())&amp;Char(10) &amp; Char(10) &amp; VLOOKUP(A1138,Internal_lists_bugs!$A$2:$Z$73,26,FALSE())),"please select a BUG ID")</f>
        <v>please select a BUG ID</v>
      </c>
      <c r="C1138" s="51" t="str">
        <f>IFERROR(SUBSTITUTE(VLOOKUP(A1138,Internal_lists_bugs!$A$2:$G2031,7,FALSE()),"nova/commit","nova/src/commit"),"please select a BUG ID")</f>
        <v>please select a BUG ID</v>
      </c>
      <c r="D1138" s="54"/>
      <c r="F1138" s="54"/>
      <c r="H1138" s="114"/>
      <c r="J1138" s="183" t="str">
        <f>IFERROR(VLOOKUP(A1138,Internal_lists_bugs!$A$2:$I2031,9,FALSE()),"please select a BUG ID")</f>
        <v>please select a BUG ID</v>
      </c>
    </row>
    <row r="1139">
      <c r="A1139" s="54"/>
      <c r="B1139" s="71" t="str">
        <f>IFERROR(HYPERLINK(VLOOKUP(A1139,Internal_lists_bugs!$A$2:$C$73,3,FALSE()), VLOOKUP(A1139,Internal_lists_bugs!$A$2:$C$73,3,FALSE())&amp;Char(10) &amp; Char(10) &amp; VLOOKUP(A1139,Internal_lists_bugs!$A$2:$Z$73,26,FALSE())),"please select a BUG ID")</f>
        <v>please select a BUG ID</v>
      </c>
      <c r="C1139" s="51" t="str">
        <f>IFERROR(SUBSTITUTE(VLOOKUP(A1139,Internal_lists_bugs!$A$2:$G2031,7,FALSE()),"nova/commit","nova/src/commit"),"please select a BUG ID")</f>
        <v>please select a BUG ID</v>
      </c>
      <c r="D1139" s="54"/>
      <c r="F1139" s="54"/>
      <c r="H1139" s="114"/>
      <c r="J1139" s="183" t="str">
        <f>IFERROR(VLOOKUP(A1139,Internal_lists_bugs!$A$2:$I2031,9,FALSE()),"please select a BUG ID")</f>
        <v>please select a BUG ID</v>
      </c>
    </row>
    <row r="1140">
      <c r="A1140" s="54"/>
      <c r="B1140" s="71" t="str">
        <f>IFERROR(HYPERLINK(VLOOKUP(A1140,Internal_lists_bugs!$A$2:$C$73,3,FALSE()), VLOOKUP(A1140,Internal_lists_bugs!$A$2:$C$73,3,FALSE())&amp;Char(10) &amp; Char(10) &amp; VLOOKUP(A1140,Internal_lists_bugs!$A$2:$Z$73,26,FALSE())),"please select a BUG ID")</f>
        <v>please select a BUG ID</v>
      </c>
      <c r="C1140" s="51" t="str">
        <f>IFERROR(SUBSTITUTE(VLOOKUP(A1140,Internal_lists_bugs!$A$2:$G2031,7,FALSE()),"nova/commit","nova/src/commit"),"please select a BUG ID")</f>
        <v>please select a BUG ID</v>
      </c>
      <c r="D1140" s="54"/>
      <c r="F1140" s="54"/>
      <c r="H1140" s="114"/>
      <c r="J1140" s="183" t="str">
        <f>IFERROR(VLOOKUP(A1140,Internal_lists_bugs!$A$2:$I2031,9,FALSE()),"please select a BUG ID")</f>
        <v>please select a BUG ID</v>
      </c>
    </row>
    <row r="1141">
      <c r="A1141" s="54"/>
      <c r="B1141" s="71" t="str">
        <f>IFERROR(HYPERLINK(VLOOKUP(A1141,Internal_lists_bugs!$A$2:$C$73,3,FALSE()), VLOOKUP(A1141,Internal_lists_bugs!$A$2:$C$73,3,FALSE())&amp;Char(10) &amp; Char(10) &amp; VLOOKUP(A1141,Internal_lists_bugs!$A$2:$Z$73,26,FALSE())),"please select a BUG ID")</f>
        <v>please select a BUG ID</v>
      </c>
      <c r="C1141" s="51" t="str">
        <f>IFERROR(SUBSTITUTE(VLOOKUP(A1141,Internal_lists_bugs!$A$2:$G2031,7,FALSE()),"nova/commit","nova/src/commit"),"please select a BUG ID")</f>
        <v>please select a BUG ID</v>
      </c>
      <c r="D1141" s="54"/>
      <c r="F1141" s="54"/>
      <c r="H1141" s="114"/>
      <c r="J1141" s="183" t="str">
        <f>IFERROR(VLOOKUP(A1141,Internal_lists_bugs!$A$2:$I2031,9,FALSE()),"please select a BUG ID")</f>
        <v>please select a BUG ID</v>
      </c>
    </row>
    <row r="1142">
      <c r="A1142" s="54"/>
      <c r="B1142" s="71" t="str">
        <f>IFERROR(HYPERLINK(VLOOKUP(A1142,Internal_lists_bugs!$A$2:$C$73,3,FALSE()), VLOOKUP(A1142,Internal_lists_bugs!$A$2:$C$73,3,FALSE())&amp;Char(10) &amp; Char(10) &amp; VLOOKUP(A1142,Internal_lists_bugs!$A$2:$Z$73,26,FALSE())),"please select a BUG ID")</f>
        <v>please select a BUG ID</v>
      </c>
      <c r="C1142" s="51" t="str">
        <f>IFERROR(SUBSTITUTE(VLOOKUP(A1142,Internal_lists_bugs!$A$2:$G2031,7,FALSE()),"nova/commit","nova/src/commit"),"please select a BUG ID")</f>
        <v>please select a BUG ID</v>
      </c>
      <c r="D1142" s="54"/>
      <c r="F1142" s="54"/>
      <c r="H1142" s="114"/>
      <c r="J1142" s="183" t="str">
        <f>IFERROR(VLOOKUP(A1142,Internal_lists_bugs!$A$2:$I2031,9,FALSE()),"please select a BUG ID")</f>
        <v>please select a BUG ID</v>
      </c>
    </row>
    <row r="1143">
      <c r="A1143" s="54"/>
      <c r="B1143" s="71" t="str">
        <f>IFERROR(HYPERLINK(VLOOKUP(A1143,Internal_lists_bugs!$A$2:$C$73,3,FALSE()), VLOOKUP(A1143,Internal_lists_bugs!$A$2:$C$73,3,FALSE())&amp;Char(10) &amp; Char(10) &amp; VLOOKUP(A1143,Internal_lists_bugs!$A$2:$Z$73,26,FALSE())),"please select a BUG ID")</f>
        <v>please select a BUG ID</v>
      </c>
      <c r="C1143" s="51" t="str">
        <f>IFERROR(SUBSTITUTE(VLOOKUP(A1143,Internal_lists_bugs!$A$2:$G2031,7,FALSE()),"nova/commit","nova/src/commit"),"please select a BUG ID")</f>
        <v>please select a BUG ID</v>
      </c>
      <c r="D1143" s="54"/>
      <c r="F1143" s="54"/>
      <c r="H1143" s="114"/>
      <c r="J1143" s="183" t="str">
        <f>IFERROR(VLOOKUP(A1143,Internal_lists_bugs!$A$2:$I2031,9,FALSE()),"please select a BUG ID")</f>
        <v>please select a BUG ID</v>
      </c>
    </row>
    <row r="1144">
      <c r="A1144" s="54"/>
      <c r="B1144" s="71" t="str">
        <f>IFERROR(HYPERLINK(VLOOKUP(A1144,Internal_lists_bugs!$A$2:$C$73,3,FALSE()), VLOOKUP(A1144,Internal_lists_bugs!$A$2:$C$73,3,FALSE())&amp;Char(10) &amp; Char(10) &amp; VLOOKUP(A1144,Internal_lists_bugs!$A$2:$Z$73,26,FALSE())),"please select a BUG ID")</f>
        <v>please select a BUG ID</v>
      </c>
      <c r="C1144" s="51" t="str">
        <f>IFERROR(SUBSTITUTE(VLOOKUP(A1144,Internal_lists_bugs!$A$2:$G2031,7,FALSE()),"nova/commit","nova/src/commit"),"please select a BUG ID")</f>
        <v>please select a BUG ID</v>
      </c>
      <c r="D1144" s="54"/>
      <c r="F1144" s="54"/>
      <c r="H1144" s="114"/>
      <c r="J1144" s="183" t="str">
        <f>IFERROR(VLOOKUP(A1144,Internal_lists_bugs!$A$2:$I2031,9,FALSE()),"please select a BUG ID")</f>
        <v>please select a BUG ID</v>
      </c>
    </row>
    <row r="1145">
      <c r="A1145" s="54"/>
      <c r="B1145" s="71" t="str">
        <f>IFERROR(HYPERLINK(VLOOKUP(A1145,Internal_lists_bugs!$A$2:$C$73,3,FALSE()), VLOOKUP(A1145,Internal_lists_bugs!$A$2:$C$73,3,FALSE())&amp;Char(10) &amp; Char(10) &amp; VLOOKUP(A1145,Internal_lists_bugs!$A$2:$Z$73,26,FALSE())),"please select a BUG ID")</f>
        <v>please select a BUG ID</v>
      </c>
      <c r="C1145" s="51" t="str">
        <f>IFERROR(SUBSTITUTE(VLOOKUP(A1145,Internal_lists_bugs!$A$2:$G2031,7,FALSE()),"nova/commit","nova/src/commit"),"please select a BUG ID")</f>
        <v>please select a BUG ID</v>
      </c>
      <c r="D1145" s="54"/>
      <c r="F1145" s="54"/>
      <c r="H1145" s="114"/>
      <c r="J1145" s="183" t="str">
        <f>IFERROR(VLOOKUP(A1145,Internal_lists_bugs!$A$2:$I2031,9,FALSE()),"please select a BUG ID")</f>
        <v>please select a BUG ID</v>
      </c>
    </row>
    <row r="1146">
      <c r="A1146" s="54"/>
      <c r="B1146" s="71" t="str">
        <f>IFERROR(HYPERLINK(VLOOKUP(A1146,Internal_lists_bugs!$A$2:$C$73,3,FALSE()), VLOOKUP(A1146,Internal_lists_bugs!$A$2:$C$73,3,FALSE())&amp;Char(10) &amp; Char(10) &amp; VLOOKUP(A1146,Internal_lists_bugs!$A$2:$Z$73,26,FALSE())),"please select a BUG ID")</f>
        <v>please select a BUG ID</v>
      </c>
      <c r="C1146" s="51" t="str">
        <f>IFERROR(SUBSTITUTE(VLOOKUP(A1146,Internal_lists_bugs!$A$2:$G2031,7,FALSE()),"nova/commit","nova/src/commit"),"please select a BUG ID")</f>
        <v>please select a BUG ID</v>
      </c>
      <c r="D1146" s="54"/>
      <c r="F1146" s="54"/>
      <c r="H1146" s="114"/>
      <c r="J1146" s="183" t="str">
        <f>IFERROR(VLOOKUP(A1146,Internal_lists_bugs!$A$2:$I2031,9,FALSE()),"please select a BUG ID")</f>
        <v>please select a BUG ID</v>
      </c>
    </row>
    <row r="1147">
      <c r="A1147" s="54"/>
      <c r="B1147" s="71" t="str">
        <f>IFERROR(HYPERLINK(VLOOKUP(A1147,Internal_lists_bugs!$A$2:$C$73,3,FALSE()), VLOOKUP(A1147,Internal_lists_bugs!$A$2:$C$73,3,FALSE())&amp;Char(10) &amp; Char(10) &amp; VLOOKUP(A1147,Internal_lists_bugs!$A$2:$Z$73,26,FALSE())),"please select a BUG ID")</f>
        <v>please select a BUG ID</v>
      </c>
      <c r="C1147" s="51" t="str">
        <f>IFERROR(SUBSTITUTE(VLOOKUP(A1147,Internal_lists_bugs!$A$2:$G2031,7,FALSE()),"nova/commit","nova/src/commit"),"please select a BUG ID")</f>
        <v>please select a BUG ID</v>
      </c>
      <c r="D1147" s="54"/>
      <c r="F1147" s="54"/>
      <c r="H1147" s="114"/>
      <c r="J1147" s="183" t="str">
        <f>IFERROR(VLOOKUP(A1147,Internal_lists_bugs!$A$2:$I2031,9,FALSE()),"please select a BUG ID")</f>
        <v>please select a BUG ID</v>
      </c>
    </row>
    <row r="1148">
      <c r="A1148" s="54"/>
      <c r="B1148" s="71" t="str">
        <f>IFERROR(HYPERLINK(VLOOKUP(A1148,Internal_lists_bugs!$A$2:$C$73,3,FALSE()), VLOOKUP(A1148,Internal_lists_bugs!$A$2:$C$73,3,FALSE())&amp;Char(10) &amp; Char(10) &amp; VLOOKUP(A1148,Internal_lists_bugs!$A$2:$Z$73,26,FALSE())),"please select a BUG ID")</f>
        <v>please select a BUG ID</v>
      </c>
      <c r="C1148" s="51" t="str">
        <f>IFERROR(SUBSTITUTE(VLOOKUP(A1148,Internal_lists_bugs!$A$2:$G2031,7,FALSE()),"nova/commit","nova/src/commit"),"please select a BUG ID")</f>
        <v>please select a BUG ID</v>
      </c>
      <c r="D1148" s="54"/>
      <c r="F1148" s="54"/>
      <c r="H1148" s="114"/>
      <c r="J1148" s="183" t="str">
        <f>IFERROR(VLOOKUP(A1148,Internal_lists_bugs!$A$2:$I2031,9,FALSE()),"please select a BUG ID")</f>
        <v>please select a BUG ID</v>
      </c>
    </row>
    <row r="1149">
      <c r="A1149" s="54"/>
      <c r="B1149" s="71" t="str">
        <f>IFERROR(HYPERLINK(VLOOKUP(A1149,Internal_lists_bugs!$A$2:$C$73,3,FALSE()), VLOOKUP(A1149,Internal_lists_bugs!$A$2:$C$73,3,FALSE())&amp;Char(10) &amp; Char(10) &amp; VLOOKUP(A1149,Internal_lists_bugs!$A$2:$Z$73,26,FALSE())),"please select a BUG ID")</f>
        <v>please select a BUG ID</v>
      </c>
      <c r="C1149" s="51" t="str">
        <f>IFERROR(SUBSTITUTE(VLOOKUP(A1149,Internal_lists_bugs!$A$2:$G2031,7,FALSE()),"nova/commit","nova/src/commit"),"please select a BUG ID")</f>
        <v>please select a BUG ID</v>
      </c>
      <c r="D1149" s="54"/>
      <c r="F1149" s="54"/>
      <c r="H1149" s="114"/>
      <c r="J1149" s="183" t="str">
        <f>IFERROR(VLOOKUP(A1149,Internal_lists_bugs!$A$2:$I2031,9,FALSE()),"please select a BUG ID")</f>
        <v>please select a BUG ID</v>
      </c>
    </row>
    <row r="1150">
      <c r="A1150" s="54"/>
      <c r="B1150" s="71" t="str">
        <f>IFERROR(HYPERLINK(VLOOKUP(A1150,Internal_lists_bugs!$A$2:$C$73,3,FALSE()), VLOOKUP(A1150,Internal_lists_bugs!$A$2:$C$73,3,FALSE())&amp;Char(10) &amp; Char(10) &amp; VLOOKUP(A1150,Internal_lists_bugs!$A$2:$Z$73,26,FALSE())),"please select a BUG ID")</f>
        <v>please select a BUG ID</v>
      </c>
      <c r="C1150" s="51" t="str">
        <f>IFERROR(SUBSTITUTE(VLOOKUP(A1150,Internal_lists_bugs!$A$2:$G2031,7,FALSE()),"nova/commit","nova/src/commit"),"please select a BUG ID")</f>
        <v>please select a BUG ID</v>
      </c>
      <c r="D1150" s="54"/>
      <c r="F1150" s="54"/>
      <c r="H1150" s="114"/>
      <c r="J1150" s="183" t="str">
        <f>IFERROR(VLOOKUP(A1150,Internal_lists_bugs!$A$2:$I2031,9,FALSE()),"please select a BUG ID")</f>
        <v>please select a BUG ID</v>
      </c>
    </row>
    <row r="1151">
      <c r="A1151" s="54"/>
      <c r="B1151" s="71" t="str">
        <f>IFERROR(HYPERLINK(VLOOKUP(A1151,Internal_lists_bugs!$A$2:$C$73,3,FALSE()), VLOOKUP(A1151,Internal_lists_bugs!$A$2:$C$73,3,FALSE())&amp;Char(10) &amp; Char(10) &amp; VLOOKUP(A1151,Internal_lists_bugs!$A$2:$Z$73,26,FALSE())),"please select a BUG ID")</f>
        <v>please select a BUG ID</v>
      </c>
      <c r="C1151" s="51" t="str">
        <f>IFERROR(SUBSTITUTE(VLOOKUP(A1151,Internal_lists_bugs!$A$2:$G2031,7,FALSE()),"nova/commit","nova/src/commit"),"please select a BUG ID")</f>
        <v>please select a BUG ID</v>
      </c>
      <c r="D1151" s="54"/>
      <c r="F1151" s="54"/>
      <c r="H1151" s="114"/>
      <c r="J1151" s="183" t="str">
        <f>IFERROR(VLOOKUP(A1151,Internal_lists_bugs!$A$2:$I2031,9,FALSE()),"please select a BUG ID")</f>
        <v>please select a BUG ID</v>
      </c>
    </row>
    <row r="1152">
      <c r="A1152" s="54"/>
      <c r="B1152" s="71" t="str">
        <f>IFERROR(HYPERLINK(VLOOKUP(A1152,Internal_lists_bugs!$A$2:$C$73,3,FALSE()), VLOOKUP(A1152,Internal_lists_bugs!$A$2:$C$73,3,FALSE())&amp;Char(10) &amp; Char(10) &amp; VLOOKUP(A1152,Internal_lists_bugs!$A$2:$Z$73,26,FALSE())),"please select a BUG ID")</f>
        <v>please select a BUG ID</v>
      </c>
      <c r="C1152" s="51" t="str">
        <f>IFERROR(SUBSTITUTE(VLOOKUP(A1152,Internal_lists_bugs!$A$2:$G2031,7,FALSE()),"nova/commit","nova/src/commit"),"please select a BUG ID")</f>
        <v>please select a BUG ID</v>
      </c>
      <c r="D1152" s="54"/>
      <c r="F1152" s="54"/>
      <c r="H1152" s="114"/>
      <c r="J1152" s="183" t="str">
        <f>IFERROR(VLOOKUP(A1152,Internal_lists_bugs!$A$2:$I2031,9,FALSE()),"please select a BUG ID")</f>
        <v>please select a BUG ID</v>
      </c>
    </row>
    <row r="1153">
      <c r="A1153" s="54"/>
      <c r="B1153" s="71" t="str">
        <f>IFERROR(HYPERLINK(VLOOKUP(A1153,Internal_lists_bugs!$A$2:$C$73,3,FALSE()), VLOOKUP(A1153,Internal_lists_bugs!$A$2:$C$73,3,FALSE())&amp;Char(10) &amp; Char(10) &amp; VLOOKUP(A1153,Internal_lists_bugs!$A$2:$Z$73,26,FALSE())),"please select a BUG ID")</f>
        <v>please select a BUG ID</v>
      </c>
      <c r="C1153" s="51" t="str">
        <f>IFERROR(SUBSTITUTE(VLOOKUP(A1153,Internal_lists_bugs!$A$2:$G2031,7,FALSE()),"nova/commit","nova/src/commit"),"please select a BUG ID")</f>
        <v>please select a BUG ID</v>
      </c>
      <c r="D1153" s="54"/>
      <c r="F1153" s="54"/>
      <c r="H1153" s="114"/>
      <c r="J1153" s="183" t="str">
        <f>IFERROR(VLOOKUP(A1153,Internal_lists_bugs!$A$2:$I2031,9,FALSE()),"please select a BUG ID")</f>
        <v>please select a BUG ID</v>
      </c>
    </row>
    <row r="1154">
      <c r="A1154" s="54"/>
      <c r="B1154" s="71" t="str">
        <f>IFERROR(HYPERLINK(VLOOKUP(A1154,Internal_lists_bugs!$A$2:$C$73,3,FALSE()), VLOOKUP(A1154,Internal_lists_bugs!$A$2:$C$73,3,FALSE())&amp;Char(10) &amp; Char(10) &amp; VLOOKUP(A1154,Internal_lists_bugs!$A$2:$Z$73,26,FALSE())),"please select a BUG ID")</f>
        <v>please select a BUG ID</v>
      </c>
      <c r="C1154" s="51" t="str">
        <f>IFERROR(SUBSTITUTE(VLOOKUP(A1154,Internal_lists_bugs!$A$2:$G2031,7,FALSE()),"nova/commit","nova/src/commit"),"please select a BUG ID")</f>
        <v>please select a BUG ID</v>
      </c>
      <c r="D1154" s="54"/>
      <c r="F1154" s="54"/>
      <c r="H1154" s="114"/>
      <c r="J1154" s="183" t="str">
        <f>IFERROR(VLOOKUP(A1154,Internal_lists_bugs!$A$2:$I2031,9,FALSE()),"please select a BUG ID")</f>
        <v>please select a BUG ID</v>
      </c>
    </row>
    <row r="1155">
      <c r="A1155" s="54"/>
      <c r="B1155" s="71" t="str">
        <f>IFERROR(HYPERLINK(VLOOKUP(A1155,Internal_lists_bugs!$A$2:$C$73,3,FALSE()), VLOOKUP(A1155,Internal_lists_bugs!$A$2:$C$73,3,FALSE())&amp;Char(10) &amp; Char(10) &amp; VLOOKUP(A1155,Internal_lists_bugs!$A$2:$Z$73,26,FALSE())),"please select a BUG ID")</f>
        <v>please select a BUG ID</v>
      </c>
      <c r="C1155" s="51" t="str">
        <f>IFERROR(SUBSTITUTE(VLOOKUP(A1155,Internal_lists_bugs!$A$2:$G2031,7,FALSE()),"nova/commit","nova/src/commit"),"please select a BUG ID")</f>
        <v>please select a BUG ID</v>
      </c>
      <c r="D1155" s="54"/>
      <c r="F1155" s="54"/>
      <c r="H1155" s="114"/>
      <c r="J1155" s="183" t="str">
        <f>IFERROR(VLOOKUP(A1155,Internal_lists_bugs!$A$2:$I2031,9,FALSE()),"please select a BUG ID")</f>
        <v>please select a BUG ID</v>
      </c>
    </row>
    <row r="1156">
      <c r="A1156" s="54"/>
      <c r="B1156" s="71" t="str">
        <f>IFERROR(HYPERLINK(VLOOKUP(A1156,Internal_lists_bugs!$A$2:$C$73,3,FALSE()), VLOOKUP(A1156,Internal_lists_bugs!$A$2:$C$73,3,FALSE())&amp;Char(10) &amp; Char(10) &amp; VLOOKUP(A1156,Internal_lists_bugs!$A$2:$Z$73,26,FALSE())),"please select a BUG ID")</f>
        <v>please select a BUG ID</v>
      </c>
      <c r="C1156" s="51" t="str">
        <f>IFERROR(SUBSTITUTE(VLOOKUP(A1156,Internal_lists_bugs!$A$2:$G2031,7,FALSE()),"nova/commit","nova/src/commit"),"please select a BUG ID")</f>
        <v>please select a BUG ID</v>
      </c>
      <c r="D1156" s="54"/>
      <c r="F1156" s="54"/>
      <c r="H1156" s="114"/>
      <c r="J1156" s="183" t="str">
        <f>IFERROR(VLOOKUP(A1156,Internal_lists_bugs!$A$2:$I2031,9,FALSE()),"please select a BUG ID")</f>
        <v>please select a BUG ID</v>
      </c>
    </row>
    <row r="1157">
      <c r="A1157" s="54"/>
      <c r="B1157" s="71" t="str">
        <f>IFERROR(HYPERLINK(VLOOKUP(A1157,Internal_lists_bugs!$A$2:$C$73,3,FALSE()), VLOOKUP(A1157,Internal_lists_bugs!$A$2:$C$73,3,FALSE())&amp;Char(10) &amp; Char(10) &amp; VLOOKUP(A1157,Internal_lists_bugs!$A$2:$Z$73,26,FALSE())),"please select a BUG ID")</f>
        <v>please select a BUG ID</v>
      </c>
      <c r="C1157" s="51" t="str">
        <f>IFERROR(SUBSTITUTE(VLOOKUP(A1157,Internal_lists_bugs!$A$2:$G2031,7,FALSE()),"nova/commit","nova/src/commit"),"please select a BUG ID")</f>
        <v>please select a BUG ID</v>
      </c>
      <c r="D1157" s="54"/>
      <c r="F1157" s="54"/>
      <c r="H1157" s="114"/>
      <c r="J1157" s="183" t="str">
        <f>IFERROR(VLOOKUP(A1157,Internal_lists_bugs!$A$2:$I2031,9,FALSE()),"please select a BUG ID")</f>
        <v>please select a BUG ID</v>
      </c>
    </row>
    <row r="1158">
      <c r="A1158" s="54"/>
      <c r="B1158" s="71" t="str">
        <f>IFERROR(HYPERLINK(VLOOKUP(A1158,Internal_lists_bugs!$A$2:$C$73,3,FALSE()), VLOOKUP(A1158,Internal_lists_bugs!$A$2:$C$73,3,FALSE())&amp;Char(10) &amp; Char(10) &amp; VLOOKUP(A1158,Internal_lists_bugs!$A$2:$Z$73,26,FALSE())),"please select a BUG ID")</f>
        <v>please select a BUG ID</v>
      </c>
      <c r="C1158" s="51" t="str">
        <f>IFERROR(SUBSTITUTE(VLOOKUP(A1158,Internal_lists_bugs!$A$2:$G2031,7,FALSE()),"nova/commit","nova/src/commit"),"please select a BUG ID")</f>
        <v>please select a BUG ID</v>
      </c>
      <c r="D1158" s="54"/>
      <c r="F1158" s="54"/>
      <c r="H1158" s="114"/>
      <c r="J1158" s="183" t="str">
        <f>IFERROR(VLOOKUP(A1158,Internal_lists_bugs!$A$2:$I2031,9,FALSE()),"please select a BUG ID")</f>
        <v>please select a BUG ID</v>
      </c>
    </row>
    <row r="1159">
      <c r="A1159" s="54"/>
      <c r="B1159" s="71" t="str">
        <f>IFERROR(HYPERLINK(VLOOKUP(A1159,Internal_lists_bugs!$A$2:$C$73,3,FALSE()), VLOOKUP(A1159,Internal_lists_bugs!$A$2:$C$73,3,FALSE())&amp;Char(10) &amp; Char(10) &amp; VLOOKUP(A1159,Internal_lists_bugs!$A$2:$Z$73,26,FALSE())),"please select a BUG ID")</f>
        <v>please select a BUG ID</v>
      </c>
      <c r="C1159" s="51" t="str">
        <f>IFERROR(SUBSTITUTE(VLOOKUP(A1159,Internal_lists_bugs!$A$2:$G2031,7,FALSE()),"nova/commit","nova/src/commit"),"please select a BUG ID")</f>
        <v>please select a BUG ID</v>
      </c>
      <c r="D1159" s="54"/>
      <c r="F1159" s="54"/>
      <c r="H1159" s="114"/>
      <c r="J1159" s="183" t="str">
        <f>IFERROR(VLOOKUP(A1159,Internal_lists_bugs!$A$2:$I2031,9,FALSE()),"please select a BUG ID")</f>
        <v>please select a BUG ID</v>
      </c>
    </row>
    <row r="1160">
      <c r="A1160" s="54"/>
      <c r="B1160" s="71" t="str">
        <f>IFERROR(HYPERLINK(VLOOKUP(A1160,Internal_lists_bugs!$A$2:$C$73,3,FALSE()), VLOOKUP(A1160,Internal_lists_bugs!$A$2:$C$73,3,FALSE())&amp;Char(10) &amp; Char(10) &amp; VLOOKUP(A1160,Internal_lists_bugs!$A$2:$Z$73,26,FALSE())),"please select a BUG ID")</f>
        <v>please select a BUG ID</v>
      </c>
      <c r="C1160" s="51" t="str">
        <f>IFERROR(SUBSTITUTE(VLOOKUP(A1160,Internal_lists_bugs!$A$2:$G2031,7,FALSE()),"nova/commit","nova/src/commit"),"please select a BUG ID")</f>
        <v>please select a BUG ID</v>
      </c>
      <c r="D1160" s="54"/>
      <c r="F1160" s="54"/>
      <c r="H1160" s="114"/>
      <c r="J1160" s="183" t="str">
        <f>IFERROR(VLOOKUP(A1160,Internal_lists_bugs!$A$2:$I2031,9,FALSE()),"please select a BUG ID")</f>
        <v>please select a BUG ID</v>
      </c>
    </row>
    <row r="1161">
      <c r="A1161" s="54"/>
      <c r="B1161" s="71" t="str">
        <f>IFERROR(HYPERLINK(VLOOKUP(A1161,Internal_lists_bugs!$A$2:$C$73,3,FALSE()), VLOOKUP(A1161,Internal_lists_bugs!$A$2:$C$73,3,FALSE())&amp;Char(10) &amp; Char(10) &amp; VLOOKUP(A1161,Internal_lists_bugs!$A$2:$Z$73,26,FALSE())),"please select a BUG ID")</f>
        <v>please select a BUG ID</v>
      </c>
      <c r="C1161" s="51" t="str">
        <f>IFERROR(SUBSTITUTE(VLOOKUP(A1161,Internal_lists_bugs!$A$2:$G2031,7,FALSE()),"nova/commit","nova/src/commit"),"please select a BUG ID")</f>
        <v>please select a BUG ID</v>
      </c>
      <c r="D1161" s="54"/>
      <c r="F1161" s="54"/>
      <c r="H1161" s="114"/>
      <c r="J1161" s="183" t="str">
        <f>IFERROR(VLOOKUP(A1161,Internal_lists_bugs!$A$2:$I2031,9,FALSE()),"please select a BUG ID")</f>
        <v>please select a BUG ID</v>
      </c>
    </row>
    <row r="1162">
      <c r="A1162" s="54"/>
      <c r="B1162" s="71" t="str">
        <f>IFERROR(HYPERLINK(VLOOKUP(A1162,Internal_lists_bugs!$A$2:$C$73,3,FALSE()), VLOOKUP(A1162,Internal_lists_bugs!$A$2:$C$73,3,FALSE())&amp;Char(10) &amp; Char(10) &amp; VLOOKUP(A1162,Internal_lists_bugs!$A$2:$Z$73,26,FALSE())),"please select a BUG ID")</f>
        <v>please select a BUG ID</v>
      </c>
      <c r="C1162" s="51" t="str">
        <f>IFERROR(SUBSTITUTE(VLOOKUP(A1162,Internal_lists_bugs!$A$2:$G2031,7,FALSE()),"nova/commit","nova/src/commit"),"please select a BUG ID")</f>
        <v>please select a BUG ID</v>
      </c>
      <c r="D1162" s="54"/>
      <c r="F1162" s="54"/>
      <c r="H1162" s="114"/>
      <c r="J1162" s="183" t="str">
        <f>IFERROR(VLOOKUP(A1162,Internal_lists_bugs!$A$2:$I2031,9,FALSE()),"please select a BUG ID")</f>
        <v>please select a BUG ID</v>
      </c>
    </row>
    <row r="1163">
      <c r="A1163" s="54"/>
      <c r="B1163" s="71" t="str">
        <f>IFERROR(HYPERLINK(VLOOKUP(A1163,Internal_lists_bugs!$A$2:$C$73,3,FALSE()), VLOOKUP(A1163,Internal_lists_bugs!$A$2:$C$73,3,FALSE())&amp;Char(10) &amp; Char(10) &amp; VLOOKUP(A1163,Internal_lists_bugs!$A$2:$Z$73,26,FALSE())),"please select a BUG ID")</f>
        <v>please select a BUG ID</v>
      </c>
      <c r="C1163" s="51" t="str">
        <f>IFERROR(SUBSTITUTE(VLOOKUP(A1163,Internal_lists_bugs!$A$2:$G2031,7,FALSE()),"nova/commit","nova/src/commit"),"please select a BUG ID")</f>
        <v>please select a BUG ID</v>
      </c>
      <c r="D1163" s="54"/>
      <c r="F1163" s="54"/>
      <c r="H1163" s="114"/>
      <c r="J1163" s="183" t="str">
        <f>IFERROR(VLOOKUP(A1163,Internal_lists_bugs!$A$2:$I2031,9,FALSE()),"please select a BUG ID")</f>
        <v>please select a BUG ID</v>
      </c>
    </row>
    <row r="1164">
      <c r="A1164" s="54"/>
      <c r="B1164" s="71" t="str">
        <f>IFERROR(HYPERLINK(VLOOKUP(A1164,Internal_lists_bugs!$A$2:$C$73,3,FALSE()), VLOOKUP(A1164,Internal_lists_bugs!$A$2:$C$73,3,FALSE())&amp;Char(10) &amp; Char(10) &amp; VLOOKUP(A1164,Internal_lists_bugs!$A$2:$Z$73,26,FALSE())),"please select a BUG ID")</f>
        <v>please select a BUG ID</v>
      </c>
      <c r="C1164" s="51" t="str">
        <f>IFERROR(SUBSTITUTE(VLOOKUP(A1164,Internal_lists_bugs!$A$2:$G2031,7,FALSE()),"nova/commit","nova/src/commit"),"please select a BUG ID")</f>
        <v>please select a BUG ID</v>
      </c>
      <c r="D1164" s="54"/>
      <c r="F1164" s="54"/>
      <c r="H1164" s="114"/>
      <c r="J1164" s="183" t="str">
        <f>IFERROR(VLOOKUP(A1164,Internal_lists_bugs!$A$2:$I2031,9,FALSE()),"please select a BUG ID")</f>
        <v>please select a BUG ID</v>
      </c>
    </row>
    <row r="1165">
      <c r="A1165" s="54"/>
      <c r="B1165" s="71" t="str">
        <f>IFERROR(HYPERLINK(VLOOKUP(A1165,Internal_lists_bugs!$A$2:$C$73,3,FALSE()), VLOOKUP(A1165,Internal_lists_bugs!$A$2:$C$73,3,FALSE())&amp;Char(10) &amp; Char(10) &amp; VLOOKUP(A1165,Internal_lists_bugs!$A$2:$Z$73,26,FALSE())),"please select a BUG ID")</f>
        <v>please select a BUG ID</v>
      </c>
      <c r="C1165" s="51" t="str">
        <f>IFERROR(SUBSTITUTE(VLOOKUP(A1165,Internal_lists_bugs!$A$2:$G2031,7,FALSE()),"nova/commit","nova/src/commit"),"please select a BUG ID")</f>
        <v>please select a BUG ID</v>
      </c>
      <c r="D1165" s="54"/>
      <c r="F1165" s="54"/>
      <c r="H1165" s="114"/>
      <c r="J1165" s="183" t="str">
        <f>IFERROR(VLOOKUP(A1165,Internal_lists_bugs!$A$2:$I2031,9,FALSE()),"please select a BUG ID")</f>
        <v>please select a BUG ID</v>
      </c>
    </row>
    <row r="1166">
      <c r="A1166" s="54"/>
      <c r="B1166" s="71" t="str">
        <f>IFERROR(HYPERLINK(VLOOKUP(A1166,Internal_lists_bugs!$A$2:$C$73,3,FALSE()), VLOOKUP(A1166,Internal_lists_bugs!$A$2:$C$73,3,FALSE())&amp;Char(10) &amp; Char(10) &amp; VLOOKUP(A1166,Internal_lists_bugs!$A$2:$Z$73,26,FALSE())),"please select a BUG ID")</f>
        <v>please select a BUG ID</v>
      </c>
      <c r="C1166" s="51" t="str">
        <f>IFERROR(SUBSTITUTE(VLOOKUP(A1166,Internal_lists_bugs!$A$2:$G2031,7,FALSE()),"nova/commit","nova/src/commit"),"please select a BUG ID")</f>
        <v>please select a BUG ID</v>
      </c>
      <c r="D1166" s="54"/>
      <c r="F1166" s="54"/>
      <c r="H1166" s="114"/>
      <c r="J1166" s="183" t="str">
        <f>IFERROR(VLOOKUP(A1166,Internal_lists_bugs!$A$2:$I2031,9,FALSE()),"please select a BUG ID")</f>
        <v>please select a BUG ID</v>
      </c>
    </row>
    <row r="1167">
      <c r="A1167" s="54"/>
      <c r="B1167" s="71" t="str">
        <f>IFERROR(HYPERLINK(VLOOKUP(A1167,Internal_lists_bugs!$A$2:$C$73,3,FALSE()), VLOOKUP(A1167,Internal_lists_bugs!$A$2:$C$73,3,FALSE())&amp;Char(10) &amp; Char(10) &amp; VLOOKUP(A1167,Internal_lists_bugs!$A$2:$Z$73,26,FALSE())),"please select a BUG ID")</f>
        <v>please select a BUG ID</v>
      </c>
      <c r="C1167" s="51" t="str">
        <f>IFERROR(SUBSTITUTE(VLOOKUP(A1167,Internal_lists_bugs!$A$2:$G2031,7,FALSE()),"nova/commit","nova/src/commit"),"please select a BUG ID")</f>
        <v>please select a BUG ID</v>
      </c>
      <c r="D1167" s="54"/>
      <c r="F1167" s="54"/>
      <c r="H1167" s="114"/>
      <c r="J1167" s="183" t="str">
        <f>IFERROR(VLOOKUP(A1167,Internal_lists_bugs!$A$2:$I2031,9,FALSE()),"please select a BUG ID")</f>
        <v>please select a BUG ID</v>
      </c>
    </row>
    <row r="1168">
      <c r="A1168" s="54"/>
      <c r="B1168" s="71" t="str">
        <f>IFERROR(HYPERLINK(VLOOKUP(A1168,Internal_lists_bugs!$A$2:$C$73,3,FALSE()), VLOOKUP(A1168,Internal_lists_bugs!$A$2:$C$73,3,FALSE())&amp;Char(10) &amp; Char(10) &amp; VLOOKUP(A1168,Internal_lists_bugs!$A$2:$Z$73,26,FALSE())),"please select a BUG ID")</f>
        <v>please select a BUG ID</v>
      </c>
      <c r="C1168" s="51" t="str">
        <f>IFERROR(SUBSTITUTE(VLOOKUP(A1168,Internal_lists_bugs!$A$2:$G2031,7,FALSE()),"nova/commit","nova/src/commit"),"please select a BUG ID")</f>
        <v>please select a BUG ID</v>
      </c>
      <c r="D1168" s="54"/>
      <c r="F1168" s="54"/>
      <c r="H1168" s="114"/>
      <c r="J1168" s="183" t="str">
        <f>IFERROR(VLOOKUP(A1168,Internal_lists_bugs!$A$2:$I2031,9,FALSE()),"please select a BUG ID")</f>
        <v>please select a BUG ID</v>
      </c>
    </row>
    <row r="1169">
      <c r="A1169" s="54"/>
      <c r="B1169" s="71" t="str">
        <f>IFERROR(HYPERLINK(VLOOKUP(A1169,Internal_lists_bugs!$A$2:$C$73,3,FALSE()), VLOOKUP(A1169,Internal_lists_bugs!$A$2:$C$73,3,FALSE())&amp;Char(10) &amp; Char(10) &amp; VLOOKUP(A1169,Internal_lists_bugs!$A$2:$Z$73,26,FALSE())),"please select a BUG ID")</f>
        <v>please select a BUG ID</v>
      </c>
      <c r="C1169" s="51" t="str">
        <f>IFERROR(SUBSTITUTE(VLOOKUP(A1169,Internal_lists_bugs!$A$2:$G2031,7,FALSE()),"nova/commit","nova/src/commit"),"please select a BUG ID")</f>
        <v>please select a BUG ID</v>
      </c>
      <c r="D1169" s="54"/>
      <c r="F1169" s="54"/>
      <c r="H1169" s="114"/>
      <c r="J1169" s="183" t="str">
        <f>IFERROR(VLOOKUP(A1169,Internal_lists_bugs!$A$2:$I2031,9,FALSE()),"please select a BUG ID")</f>
        <v>please select a BUG ID</v>
      </c>
    </row>
    <row r="1170">
      <c r="A1170" s="54"/>
      <c r="B1170" s="71" t="str">
        <f>IFERROR(HYPERLINK(VLOOKUP(A1170,Internal_lists_bugs!$A$2:$C$73,3,FALSE()), VLOOKUP(A1170,Internal_lists_bugs!$A$2:$C$73,3,FALSE())&amp;Char(10) &amp; Char(10) &amp; VLOOKUP(A1170,Internal_lists_bugs!$A$2:$Z$73,26,FALSE())),"please select a BUG ID")</f>
        <v>please select a BUG ID</v>
      </c>
      <c r="C1170" s="51" t="str">
        <f>IFERROR(SUBSTITUTE(VLOOKUP(A1170,Internal_lists_bugs!$A$2:$G2031,7,FALSE()),"nova/commit","nova/src/commit"),"please select a BUG ID")</f>
        <v>please select a BUG ID</v>
      </c>
      <c r="D1170" s="54"/>
      <c r="F1170" s="54"/>
      <c r="H1170" s="114"/>
      <c r="J1170" s="183" t="str">
        <f>IFERROR(VLOOKUP(A1170,Internal_lists_bugs!$A$2:$I2031,9,FALSE()),"please select a BUG ID")</f>
        <v>please select a BUG ID</v>
      </c>
    </row>
    <row r="1171">
      <c r="A1171" s="54"/>
      <c r="B1171" s="71" t="str">
        <f>IFERROR(HYPERLINK(VLOOKUP(A1171,Internal_lists_bugs!$A$2:$C$73,3,FALSE()), VLOOKUP(A1171,Internal_lists_bugs!$A$2:$C$73,3,FALSE())&amp;Char(10) &amp; Char(10) &amp; VLOOKUP(A1171,Internal_lists_bugs!$A$2:$Z$73,26,FALSE())),"please select a BUG ID")</f>
        <v>please select a BUG ID</v>
      </c>
      <c r="C1171" s="51" t="str">
        <f>IFERROR(SUBSTITUTE(VLOOKUP(A1171,Internal_lists_bugs!$A$2:$G2031,7,FALSE()),"nova/commit","nova/src/commit"),"please select a BUG ID")</f>
        <v>please select a BUG ID</v>
      </c>
      <c r="D1171" s="54"/>
      <c r="F1171" s="54"/>
      <c r="H1171" s="114"/>
      <c r="J1171" s="183" t="str">
        <f>IFERROR(VLOOKUP(A1171,Internal_lists_bugs!$A$2:$I2031,9,FALSE()),"please select a BUG ID")</f>
        <v>please select a BUG ID</v>
      </c>
    </row>
    <row r="1172">
      <c r="A1172" s="54"/>
      <c r="B1172" s="71" t="str">
        <f>IFERROR(HYPERLINK(VLOOKUP(A1172,Internal_lists_bugs!$A$2:$C$73,3,FALSE()), VLOOKUP(A1172,Internal_lists_bugs!$A$2:$C$73,3,FALSE())&amp;Char(10) &amp; Char(10) &amp; VLOOKUP(A1172,Internal_lists_bugs!$A$2:$Z$73,26,FALSE())),"please select a BUG ID")</f>
        <v>please select a BUG ID</v>
      </c>
      <c r="C1172" s="51" t="str">
        <f>IFERROR(SUBSTITUTE(VLOOKUP(A1172,Internal_lists_bugs!$A$2:$G2031,7,FALSE()),"nova/commit","nova/src/commit"),"please select a BUG ID")</f>
        <v>please select a BUG ID</v>
      </c>
      <c r="D1172" s="54"/>
      <c r="F1172" s="54"/>
      <c r="H1172" s="114"/>
      <c r="J1172" s="183" t="str">
        <f>IFERROR(VLOOKUP(A1172,Internal_lists_bugs!$A$2:$I2031,9,FALSE()),"please select a BUG ID")</f>
        <v>please select a BUG ID</v>
      </c>
    </row>
    <row r="1173">
      <c r="A1173" s="54"/>
      <c r="B1173" s="71" t="str">
        <f>IFERROR(HYPERLINK(VLOOKUP(A1173,Internal_lists_bugs!$A$2:$C$73,3,FALSE()), VLOOKUP(A1173,Internal_lists_bugs!$A$2:$C$73,3,FALSE())&amp;Char(10) &amp; Char(10) &amp; VLOOKUP(A1173,Internal_lists_bugs!$A$2:$Z$73,26,FALSE())),"please select a BUG ID")</f>
        <v>please select a BUG ID</v>
      </c>
      <c r="C1173" s="51" t="str">
        <f>IFERROR(SUBSTITUTE(VLOOKUP(A1173,Internal_lists_bugs!$A$2:$G2031,7,FALSE()),"nova/commit","nova/src/commit"),"please select a BUG ID")</f>
        <v>please select a BUG ID</v>
      </c>
      <c r="D1173" s="54"/>
      <c r="F1173" s="54"/>
      <c r="H1173" s="114"/>
      <c r="J1173" s="183" t="str">
        <f>IFERROR(VLOOKUP(A1173,Internal_lists_bugs!$A$2:$I2031,9,FALSE()),"please select a BUG ID")</f>
        <v>please select a BUG ID</v>
      </c>
    </row>
    <row r="1174">
      <c r="A1174" s="54"/>
      <c r="B1174" s="71" t="str">
        <f>IFERROR(HYPERLINK(VLOOKUP(A1174,Internal_lists_bugs!$A$2:$C$73,3,FALSE()), VLOOKUP(A1174,Internal_lists_bugs!$A$2:$C$73,3,FALSE())&amp;Char(10) &amp; Char(10) &amp; VLOOKUP(A1174,Internal_lists_bugs!$A$2:$Z$73,26,FALSE())),"please select a BUG ID")</f>
        <v>please select a BUG ID</v>
      </c>
      <c r="C1174" s="51" t="str">
        <f>IFERROR(SUBSTITUTE(VLOOKUP(A1174,Internal_lists_bugs!$A$2:$G2031,7,FALSE()),"nova/commit","nova/src/commit"),"please select a BUG ID")</f>
        <v>please select a BUG ID</v>
      </c>
      <c r="D1174" s="54"/>
      <c r="F1174" s="54"/>
      <c r="H1174" s="114"/>
      <c r="J1174" s="183" t="str">
        <f>IFERROR(VLOOKUP(A1174,Internal_lists_bugs!$A$2:$I2031,9,FALSE()),"please select a BUG ID")</f>
        <v>please select a BUG ID</v>
      </c>
    </row>
    <row r="1175">
      <c r="A1175" s="54"/>
      <c r="B1175" s="71" t="str">
        <f>IFERROR(HYPERLINK(VLOOKUP(A1175,Internal_lists_bugs!$A$2:$C$73,3,FALSE()), VLOOKUP(A1175,Internal_lists_bugs!$A$2:$C$73,3,FALSE())&amp;Char(10) &amp; Char(10) &amp; VLOOKUP(A1175,Internal_lists_bugs!$A$2:$Z$73,26,FALSE())),"please select a BUG ID")</f>
        <v>please select a BUG ID</v>
      </c>
      <c r="C1175" s="51" t="str">
        <f>IFERROR(SUBSTITUTE(VLOOKUP(A1175,Internal_lists_bugs!$A$2:$G2031,7,FALSE()),"nova/commit","nova/src/commit"),"please select a BUG ID")</f>
        <v>please select a BUG ID</v>
      </c>
      <c r="D1175" s="54"/>
      <c r="F1175" s="54"/>
      <c r="H1175" s="114"/>
      <c r="J1175" s="183" t="str">
        <f>IFERROR(VLOOKUP(A1175,Internal_lists_bugs!$A$2:$I2031,9,FALSE()),"please select a BUG ID")</f>
        <v>please select a BUG ID</v>
      </c>
    </row>
    <row r="1176">
      <c r="A1176" s="54"/>
      <c r="B1176" s="71" t="str">
        <f>IFERROR(HYPERLINK(VLOOKUP(A1176,Internal_lists_bugs!$A$2:$C$73,3,FALSE()), VLOOKUP(A1176,Internal_lists_bugs!$A$2:$C$73,3,FALSE())&amp;Char(10) &amp; Char(10) &amp; VLOOKUP(A1176,Internal_lists_bugs!$A$2:$Z$73,26,FALSE())),"please select a BUG ID")</f>
        <v>please select a BUG ID</v>
      </c>
      <c r="C1176" s="51" t="str">
        <f>IFERROR(SUBSTITUTE(VLOOKUP(A1176,Internal_lists_bugs!$A$2:$G2031,7,FALSE()),"nova/commit","nova/src/commit"),"please select a BUG ID")</f>
        <v>please select a BUG ID</v>
      </c>
      <c r="D1176" s="54"/>
      <c r="F1176" s="54"/>
      <c r="H1176" s="114"/>
      <c r="J1176" s="183" t="str">
        <f>IFERROR(VLOOKUP(A1176,Internal_lists_bugs!$A$2:$I2031,9,FALSE()),"please select a BUG ID")</f>
        <v>please select a BUG ID</v>
      </c>
    </row>
    <row r="1177">
      <c r="A1177" s="54"/>
      <c r="B1177" s="71" t="str">
        <f>IFERROR(HYPERLINK(VLOOKUP(A1177,Internal_lists_bugs!$A$2:$C$73,3,FALSE()), VLOOKUP(A1177,Internal_lists_bugs!$A$2:$C$73,3,FALSE())&amp;Char(10) &amp; Char(10) &amp; VLOOKUP(A1177,Internal_lists_bugs!$A$2:$Z$73,26,FALSE())),"please select a BUG ID")</f>
        <v>please select a BUG ID</v>
      </c>
      <c r="C1177" s="51" t="str">
        <f>IFERROR(SUBSTITUTE(VLOOKUP(A1177,Internal_lists_bugs!$A$2:$G2031,7,FALSE()),"nova/commit","nova/src/commit"),"please select a BUG ID")</f>
        <v>please select a BUG ID</v>
      </c>
      <c r="D1177" s="54"/>
      <c r="F1177" s="54"/>
      <c r="H1177" s="114"/>
      <c r="J1177" s="183" t="str">
        <f>IFERROR(VLOOKUP(A1177,Internal_lists_bugs!$A$2:$I2031,9,FALSE()),"please select a BUG ID")</f>
        <v>please select a BUG ID</v>
      </c>
    </row>
    <row r="1178">
      <c r="A1178" s="54"/>
      <c r="B1178" s="71" t="str">
        <f>IFERROR(HYPERLINK(VLOOKUP(A1178,Internal_lists_bugs!$A$2:$C$73,3,FALSE()), VLOOKUP(A1178,Internal_lists_bugs!$A$2:$C$73,3,FALSE())&amp;Char(10) &amp; Char(10) &amp; VLOOKUP(A1178,Internal_lists_bugs!$A$2:$Z$73,26,FALSE())),"please select a BUG ID")</f>
        <v>please select a BUG ID</v>
      </c>
      <c r="C1178" s="51" t="str">
        <f>IFERROR(SUBSTITUTE(VLOOKUP(A1178,Internal_lists_bugs!$A$2:$G2031,7,FALSE()),"nova/commit","nova/src/commit"),"please select a BUG ID")</f>
        <v>please select a BUG ID</v>
      </c>
      <c r="D1178" s="54"/>
      <c r="F1178" s="54"/>
      <c r="H1178" s="114"/>
      <c r="J1178" s="183" t="str">
        <f>IFERROR(VLOOKUP(A1178,Internal_lists_bugs!$A$2:$I2031,9,FALSE()),"please select a BUG ID")</f>
        <v>please select a BUG ID</v>
      </c>
    </row>
    <row r="1179">
      <c r="A1179" s="54"/>
      <c r="B1179" s="71" t="str">
        <f>IFERROR(HYPERLINK(VLOOKUP(A1179,Internal_lists_bugs!$A$2:$C$73,3,FALSE()), VLOOKUP(A1179,Internal_lists_bugs!$A$2:$C$73,3,FALSE())&amp;Char(10) &amp; Char(10) &amp; VLOOKUP(A1179,Internal_lists_bugs!$A$2:$Z$73,26,FALSE())),"please select a BUG ID")</f>
        <v>please select a BUG ID</v>
      </c>
      <c r="C1179" s="51" t="str">
        <f>IFERROR(SUBSTITUTE(VLOOKUP(A1179,Internal_lists_bugs!$A$2:$G2031,7,FALSE()),"nova/commit","nova/src/commit"),"please select a BUG ID")</f>
        <v>please select a BUG ID</v>
      </c>
      <c r="D1179" s="54"/>
      <c r="F1179" s="54"/>
      <c r="H1179" s="114"/>
      <c r="J1179" s="183" t="str">
        <f>IFERROR(VLOOKUP(A1179,Internal_lists_bugs!$A$2:$I2031,9,FALSE()),"please select a BUG ID")</f>
        <v>please select a BUG ID</v>
      </c>
    </row>
    <row r="1180">
      <c r="A1180" s="54"/>
      <c r="B1180" s="71" t="str">
        <f>IFERROR(HYPERLINK(VLOOKUP(A1180,Internal_lists_bugs!$A$2:$C$73,3,FALSE()), VLOOKUP(A1180,Internal_lists_bugs!$A$2:$C$73,3,FALSE())&amp;Char(10) &amp; Char(10) &amp; VLOOKUP(A1180,Internal_lists_bugs!$A$2:$Z$73,26,FALSE())),"please select a BUG ID")</f>
        <v>please select a BUG ID</v>
      </c>
      <c r="C1180" s="51" t="str">
        <f>IFERROR(SUBSTITUTE(VLOOKUP(A1180,Internal_lists_bugs!$A$2:$G2031,7,FALSE()),"nova/commit","nova/src/commit"),"please select a BUG ID")</f>
        <v>please select a BUG ID</v>
      </c>
      <c r="D1180" s="54"/>
      <c r="F1180" s="54"/>
      <c r="H1180" s="114"/>
      <c r="J1180" s="183" t="str">
        <f>IFERROR(VLOOKUP(A1180,Internal_lists_bugs!$A$2:$I2031,9,FALSE()),"please select a BUG ID")</f>
        <v>please select a BUG ID</v>
      </c>
    </row>
    <row r="1181">
      <c r="A1181" s="54"/>
      <c r="B1181" s="71" t="str">
        <f>IFERROR(HYPERLINK(VLOOKUP(A1181,Internal_lists_bugs!$A$2:$C$73,3,FALSE()), VLOOKUP(A1181,Internal_lists_bugs!$A$2:$C$73,3,FALSE())&amp;Char(10) &amp; Char(10) &amp; VLOOKUP(A1181,Internal_lists_bugs!$A$2:$Z$73,26,FALSE())),"please select a BUG ID")</f>
        <v>please select a BUG ID</v>
      </c>
      <c r="C1181" s="51" t="str">
        <f>IFERROR(SUBSTITUTE(VLOOKUP(A1181,Internal_lists_bugs!$A$2:$G2031,7,FALSE()),"nova/commit","nova/src/commit"),"please select a BUG ID")</f>
        <v>please select a BUG ID</v>
      </c>
      <c r="D1181" s="54"/>
      <c r="F1181" s="54"/>
      <c r="H1181" s="114"/>
      <c r="J1181" s="183" t="str">
        <f>IFERROR(VLOOKUP(A1181,Internal_lists_bugs!$A$2:$I2031,9,FALSE()),"please select a BUG ID")</f>
        <v>please select a BUG ID</v>
      </c>
    </row>
    <row r="1182">
      <c r="A1182" s="54"/>
      <c r="B1182" s="71" t="str">
        <f>IFERROR(HYPERLINK(VLOOKUP(A1182,Internal_lists_bugs!$A$2:$C$73,3,FALSE()), VLOOKUP(A1182,Internal_lists_bugs!$A$2:$C$73,3,FALSE())&amp;Char(10) &amp; Char(10) &amp; VLOOKUP(A1182,Internal_lists_bugs!$A$2:$Z$73,26,FALSE())),"please select a BUG ID")</f>
        <v>please select a BUG ID</v>
      </c>
      <c r="C1182" s="51" t="str">
        <f>IFERROR(SUBSTITUTE(VLOOKUP(A1182,Internal_lists_bugs!$A$2:$G2031,7,FALSE()),"nova/commit","nova/src/commit"),"please select a BUG ID")</f>
        <v>please select a BUG ID</v>
      </c>
      <c r="D1182" s="54"/>
      <c r="F1182" s="54"/>
      <c r="H1182" s="114"/>
      <c r="J1182" s="183" t="str">
        <f>IFERROR(VLOOKUP(A1182,Internal_lists_bugs!$A$2:$I2031,9,FALSE()),"please select a BUG ID")</f>
        <v>please select a BUG ID</v>
      </c>
    </row>
    <row r="1183">
      <c r="A1183" s="54"/>
      <c r="B1183" s="71" t="str">
        <f>IFERROR(HYPERLINK(VLOOKUP(A1183,Internal_lists_bugs!$A$2:$C$73,3,FALSE()), VLOOKUP(A1183,Internal_lists_bugs!$A$2:$C$73,3,FALSE())&amp;Char(10) &amp; Char(10) &amp; VLOOKUP(A1183,Internal_lists_bugs!$A$2:$Z$73,26,FALSE())),"please select a BUG ID")</f>
        <v>please select a BUG ID</v>
      </c>
      <c r="C1183" s="51" t="str">
        <f>IFERROR(SUBSTITUTE(VLOOKUP(A1183,Internal_lists_bugs!$A$2:$G2031,7,FALSE()),"nova/commit","nova/src/commit"),"please select a BUG ID")</f>
        <v>please select a BUG ID</v>
      </c>
      <c r="D1183" s="54"/>
      <c r="F1183" s="54"/>
      <c r="H1183" s="114"/>
      <c r="J1183" s="183" t="str">
        <f>IFERROR(VLOOKUP(A1183,Internal_lists_bugs!$A$2:$I2031,9,FALSE()),"please select a BUG ID")</f>
        <v>please select a BUG ID</v>
      </c>
    </row>
    <row r="1184">
      <c r="A1184" s="54"/>
      <c r="B1184" s="71" t="str">
        <f>IFERROR(HYPERLINK(VLOOKUP(A1184,Internal_lists_bugs!$A$2:$C$73,3,FALSE()), VLOOKUP(A1184,Internal_lists_bugs!$A$2:$C$73,3,FALSE())&amp;Char(10) &amp; Char(10) &amp; VLOOKUP(A1184,Internal_lists_bugs!$A$2:$Z$73,26,FALSE())),"please select a BUG ID")</f>
        <v>please select a BUG ID</v>
      </c>
      <c r="C1184" s="51" t="str">
        <f>IFERROR(SUBSTITUTE(VLOOKUP(A1184,Internal_lists_bugs!$A$2:$G2031,7,FALSE()),"nova/commit","nova/src/commit"),"please select a BUG ID")</f>
        <v>please select a BUG ID</v>
      </c>
      <c r="D1184" s="54"/>
      <c r="F1184" s="54"/>
      <c r="H1184" s="114"/>
      <c r="J1184" s="183" t="str">
        <f>IFERROR(VLOOKUP(A1184,Internal_lists_bugs!$A$2:$I2031,9,FALSE()),"please select a BUG ID")</f>
        <v>please select a BUG ID</v>
      </c>
    </row>
    <row r="1185">
      <c r="A1185" s="54"/>
      <c r="B1185" s="71" t="str">
        <f>IFERROR(HYPERLINK(VLOOKUP(A1185,Internal_lists_bugs!$A$2:$C$73,3,FALSE()), VLOOKUP(A1185,Internal_lists_bugs!$A$2:$C$73,3,FALSE())&amp;Char(10) &amp; Char(10) &amp; VLOOKUP(A1185,Internal_lists_bugs!$A$2:$Z$73,26,FALSE())),"please select a BUG ID")</f>
        <v>please select a BUG ID</v>
      </c>
      <c r="C1185" s="51" t="str">
        <f>IFERROR(SUBSTITUTE(VLOOKUP(A1185,Internal_lists_bugs!$A$2:$G2031,7,FALSE()),"nova/commit","nova/src/commit"),"please select a BUG ID")</f>
        <v>please select a BUG ID</v>
      </c>
      <c r="D1185" s="54"/>
      <c r="F1185" s="54"/>
      <c r="H1185" s="114"/>
      <c r="J1185" s="183" t="str">
        <f>IFERROR(VLOOKUP(A1185,Internal_lists_bugs!$A$2:$I2031,9,FALSE()),"please select a BUG ID")</f>
        <v>please select a BUG ID</v>
      </c>
    </row>
    <row r="1186">
      <c r="A1186" s="54"/>
      <c r="B1186" s="71" t="str">
        <f>IFERROR(HYPERLINK(VLOOKUP(A1186,Internal_lists_bugs!$A$2:$C$73,3,FALSE()), VLOOKUP(A1186,Internal_lists_bugs!$A$2:$C$73,3,FALSE())&amp;Char(10) &amp; Char(10) &amp; VLOOKUP(A1186,Internal_lists_bugs!$A$2:$Z$73,26,FALSE())),"please select a BUG ID")</f>
        <v>please select a BUG ID</v>
      </c>
      <c r="C1186" s="51" t="str">
        <f>IFERROR(SUBSTITUTE(VLOOKUP(A1186,Internal_lists_bugs!$A$2:$G2031,7,FALSE()),"nova/commit","nova/src/commit"),"please select a BUG ID")</f>
        <v>please select a BUG ID</v>
      </c>
      <c r="D1186" s="54"/>
      <c r="F1186" s="54"/>
      <c r="H1186" s="114"/>
      <c r="J1186" s="183" t="str">
        <f>IFERROR(VLOOKUP(A1186,Internal_lists_bugs!$A$2:$I2031,9,FALSE()),"please select a BUG ID")</f>
        <v>please select a BUG ID</v>
      </c>
    </row>
    <row r="1187">
      <c r="A1187" s="54"/>
      <c r="B1187" s="71" t="str">
        <f>IFERROR(HYPERLINK(VLOOKUP(A1187,Internal_lists_bugs!$A$2:$C$73,3,FALSE()), VLOOKUP(A1187,Internal_lists_bugs!$A$2:$C$73,3,FALSE())&amp;Char(10) &amp; Char(10) &amp; VLOOKUP(A1187,Internal_lists_bugs!$A$2:$Z$73,26,FALSE())),"please select a BUG ID")</f>
        <v>please select a BUG ID</v>
      </c>
      <c r="C1187" s="51" t="str">
        <f>IFERROR(SUBSTITUTE(VLOOKUP(A1187,Internal_lists_bugs!$A$2:$G2031,7,FALSE()),"nova/commit","nova/src/commit"),"please select a BUG ID")</f>
        <v>please select a BUG ID</v>
      </c>
      <c r="D1187" s="54"/>
      <c r="F1187" s="54"/>
      <c r="H1187" s="114"/>
      <c r="J1187" s="183" t="str">
        <f>IFERROR(VLOOKUP(A1187,Internal_lists_bugs!$A$2:$I2031,9,FALSE()),"please select a BUG ID")</f>
        <v>please select a BUG ID</v>
      </c>
    </row>
    <row r="1188">
      <c r="A1188" s="54"/>
      <c r="B1188" s="71" t="str">
        <f>IFERROR(HYPERLINK(VLOOKUP(A1188,Internal_lists_bugs!$A$2:$C$73,3,FALSE()), VLOOKUP(A1188,Internal_lists_bugs!$A$2:$C$73,3,FALSE())&amp;Char(10) &amp; Char(10) &amp; VLOOKUP(A1188,Internal_lists_bugs!$A$2:$Z$73,26,FALSE())),"please select a BUG ID")</f>
        <v>please select a BUG ID</v>
      </c>
      <c r="C1188" s="51" t="str">
        <f>IFERROR(SUBSTITUTE(VLOOKUP(A1188,Internal_lists_bugs!$A$2:$G2031,7,FALSE()),"nova/commit","nova/src/commit"),"please select a BUG ID")</f>
        <v>please select a BUG ID</v>
      </c>
      <c r="D1188" s="54"/>
      <c r="F1188" s="54"/>
      <c r="H1188" s="114"/>
      <c r="J1188" s="183" t="str">
        <f>IFERROR(VLOOKUP(A1188,Internal_lists_bugs!$A$2:$I2031,9,FALSE()),"please select a BUG ID")</f>
        <v>please select a BUG ID</v>
      </c>
    </row>
    <row r="1189">
      <c r="A1189" s="54"/>
      <c r="B1189" s="71" t="str">
        <f>IFERROR(HYPERLINK(VLOOKUP(A1189,Internal_lists_bugs!$A$2:$C$73,3,FALSE()), VLOOKUP(A1189,Internal_lists_bugs!$A$2:$C$73,3,FALSE())&amp;Char(10) &amp; Char(10) &amp; VLOOKUP(A1189,Internal_lists_bugs!$A$2:$Z$73,26,FALSE())),"please select a BUG ID")</f>
        <v>please select a BUG ID</v>
      </c>
      <c r="C1189" s="51" t="str">
        <f>IFERROR(SUBSTITUTE(VLOOKUP(A1189,Internal_lists_bugs!$A$2:$G2031,7,FALSE()),"nova/commit","nova/src/commit"),"please select a BUG ID")</f>
        <v>please select a BUG ID</v>
      </c>
      <c r="D1189" s="54"/>
      <c r="F1189" s="54"/>
      <c r="H1189" s="114"/>
      <c r="J1189" s="183" t="str">
        <f>IFERROR(VLOOKUP(A1189,Internal_lists_bugs!$A$2:$I2031,9,FALSE()),"please select a BUG ID")</f>
        <v>please select a BUG ID</v>
      </c>
    </row>
    <row r="1190">
      <c r="A1190" s="54"/>
      <c r="B1190" s="71" t="str">
        <f>IFERROR(HYPERLINK(VLOOKUP(A1190,Internal_lists_bugs!$A$2:$C$73,3,FALSE()), VLOOKUP(A1190,Internal_lists_bugs!$A$2:$C$73,3,FALSE())&amp;Char(10) &amp; Char(10) &amp; VLOOKUP(A1190,Internal_lists_bugs!$A$2:$Z$73,26,FALSE())),"please select a BUG ID")</f>
        <v>please select a BUG ID</v>
      </c>
      <c r="C1190" s="51" t="str">
        <f>IFERROR(SUBSTITUTE(VLOOKUP(A1190,Internal_lists_bugs!$A$2:$G2031,7,FALSE()),"nova/commit","nova/src/commit"),"please select a BUG ID")</f>
        <v>please select a BUG ID</v>
      </c>
      <c r="D1190" s="54"/>
      <c r="F1190" s="54"/>
      <c r="H1190" s="114"/>
      <c r="J1190" s="183" t="str">
        <f>IFERROR(VLOOKUP(A1190,Internal_lists_bugs!$A$2:$I2031,9,FALSE()),"please select a BUG ID")</f>
        <v>please select a BUG ID</v>
      </c>
    </row>
    <row r="1191">
      <c r="A1191" s="54"/>
      <c r="B1191" s="71" t="str">
        <f>IFERROR(HYPERLINK(VLOOKUP(A1191,Internal_lists_bugs!$A$2:$C$73,3,FALSE()), VLOOKUP(A1191,Internal_lists_bugs!$A$2:$C$73,3,FALSE())&amp;Char(10) &amp; Char(10) &amp; VLOOKUP(A1191,Internal_lists_bugs!$A$2:$Z$73,26,FALSE())),"please select a BUG ID")</f>
        <v>please select a BUG ID</v>
      </c>
      <c r="C1191" s="51" t="str">
        <f>IFERROR(SUBSTITUTE(VLOOKUP(A1191,Internal_lists_bugs!$A$2:$G2031,7,FALSE()),"nova/commit","nova/src/commit"),"please select a BUG ID")</f>
        <v>please select a BUG ID</v>
      </c>
      <c r="D1191" s="54"/>
      <c r="F1191" s="54"/>
      <c r="H1191" s="114"/>
      <c r="J1191" s="183" t="str">
        <f>IFERROR(VLOOKUP(A1191,Internal_lists_bugs!$A$2:$I2031,9,FALSE()),"please select a BUG ID")</f>
        <v>please select a BUG ID</v>
      </c>
    </row>
    <row r="1192">
      <c r="A1192" s="54"/>
      <c r="B1192" s="71" t="str">
        <f>IFERROR(HYPERLINK(VLOOKUP(A1192,Internal_lists_bugs!$A$2:$C$73,3,FALSE()), VLOOKUP(A1192,Internal_lists_bugs!$A$2:$C$73,3,FALSE())&amp;Char(10) &amp; Char(10) &amp; VLOOKUP(A1192,Internal_lists_bugs!$A$2:$Z$73,26,FALSE())),"please select a BUG ID")</f>
        <v>please select a BUG ID</v>
      </c>
      <c r="C1192" s="51" t="str">
        <f>IFERROR(SUBSTITUTE(VLOOKUP(A1192,Internal_lists_bugs!$A$2:$G2031,7,FALSE()),"nova/commit","nova/src/commit"),"please select a BUG ID")</f>
        <v>please select a BUG ID</v>
      </c>
      <c r="D1192" s="54"/>
      <c r="F1192" s="54"/>
      <c r="H1192" s="114"/>
      <c r="J1192" s="183" t="str">
        <f>IFERROR(VLOOKUP(A1192,Internal_lists_bugs!$A$2:$I2031,9,FALSE()),"please select a BUG ID")</f>
        <v>please select a BUG ID</v>
      </c>
    </row>
    <row r="1193">
      <c r="A1193" s="54"/>
      <c r="B1193" s="71" t="str">
        <f>IFERROR(HYPERLINK(VLOOKUP(A1193,Internal_lists_bugs!$A$2:$C$73,3,FALSE()), VLOOKUP(A1193,Internal_lists_bugs!$A$2:$C$73,3,FALSE())&amp;Char(10) &amp; Char(10) &amp; VLOOKUP(A1193,Internal_lists_bugs!$A$2:$Z$73,26,FALSE())),"please select a BUG ID")</f>
        <v>please select a BUG ID</v>
      </c>
      <c r="C1193" s="51" t="str">
        <f>IFERROR(SUBSTITUTE(VLOOKUP(A1193,Internal_lists_bugs!$A$2:$G2031,7,FALSE()),"nova/commit","nova/src/commit"),"please select a BUG ID")</f>
        <v>please select a BUG ID</v>
      </c>
      <c r="D1193" s="54"/>
      <c r="F1193" s="54"/>
      <c r="H1193" s="114"/>
      <c r="J1193" s="183" t="str">
        <f>IFERROR(VLOOKUP(A1193,Internal_lists_bugs!$A$2:$I2031,9,FALSE()),"please select a BUG ID")</f>
        <v>please select a BUG ID</v>
      </c>
    </row>
    <row r="1194">
      <c r="A1194" s="54"/>
      <c r="B1194" s="71" t="str">
        <f>IFERROR(HYPERLINK(VLOOKUP(A1194,Internal_lists_bugs!$A$2:$C$73,3,FALSE()), VLOOKUP(A1194,Internal_lists_bugs!$A$2:$C$73,3,FALSE())&amp;Char(10) &amp; Char(10) &amp; VLOOKUP(A1194,Internal_lists_bugs!$A$2:$Z$73,26,FALSE())),"please select a BUG ID")</f>
        <v>please select a BUG ID</v>
      </c>
      <c r="C1194" s="51" t="str">
        <f>IFERROR(SUBSTITUTE(VLOOKUP(A1194,Internal_lists_bugs!$A$2:$G2031,7,FALSE()),"nova/commit","nova/src/commit"),"please select a BUG ID")</f>
        <v>please select a BUG ID</v>
      </c>
      <c r="D1194" s="54"/>
      <c r="F1194" s="54"/>
      <c r="H1194" s="114"/>
      <c r="J1194" s="183" t="str">
        <f>IFERROR(VLOOKUP(A1194,Internal_lists_bugs!$A$2:$I2031,9,FALSE()),"please select a BUG ID")</f>
        <v>please select a BUG ID</v>
      </c>
    </row>
    <row r="1195">
      <c r="A1195" s="54"/>
      <c r="B1195" s="71" t="str">
        <f>IFERROR(HYPERLINK(VLOOKUP(A1195,Internal_lists_bugs!$A$2:$C$73,3,FALSE()), VLOOKUP(A1195,Internal_lists_bugs!$A$2:$C$73,3,FALSE())&amp;Char(10) &amp; Char(10) &amp; VLOOKUP(A1195,Internal_lists_bugs!$A$2:$Z$73,26,FALSE())),"please select a BUG ID")</f>
        <v>please select a BUG ID</v>
      </c>
      <c r="C1195" s="51" t="str">
        <f>IFERROR(SUBSTITUTE(VLOOKUP(A1195,Internal_lists_bugs!$A$2:$G2031,7,FALSE()),"nova/commit","nova/src/commit"),"please select a BUG ID")</f>
        <v>please select a BUG ID</v>
      </c>
      <c r="D1195" s="54"/>
      <c r="F1195" s="54"/>
      <c r="H1195" s="114"/>
      <c r="J1195" s="183" t="str">
        <f>IFERROR(VLOOKUP(A1195,Internal_lists_bugs!$A$2:$I2031,9,FALSE()),"please select a BUG ID")</f>
        <v>please select a BUG ID</v>
      </c>
    </row>
    <row r="1196">
      <c r="A1196" s="54"/>
      <c r="B1196" s="71" t="str">
        <f>IFERROR(HYPERLINK(VLOOKUP(A1196,Internal_lists_bugs!$A$2:$C$73,3,FALSE()), VLOOKUP(A1196,Internal_lists_bugs!$A$2:$C$73,3,FALSE())&amp;Char(10) &amp; Char(10) &amp; VLOOKUP(A1196,Internal_lists_bugs!$A$2:$Z$73,26,FALSE())),"please select a BUG ID")</f>
        <v>please select a BUG ID</v>
      </c>
      <c r="C1196" s="51" t="str">
        <f>IFERROR(SUBSTITUTE(VLOOKUP(A1196,Internal_lists_bugs!$A$2:$G2031,7,FALSE()),"nova/commit","nova/src/commit"),"please select a BUG ID")</f>
        <v>please select a BUG ID</v>
      </c>
      <c r="D1196" s="54"/>
      <c r="F1196" s="54"/>
      <c r="H1196" s="114"/>
      <c r="J1196" s="183" t="str">
        <f>IFERROR(VLOOKUP(A1196,Internal_lists_bugs!$A$2:$I2031,9,FALSE()),"please select a BUG ID")</f>
        <v>please select a BUG ID</v>
      </c>
    </row>
    <row r="1197">
      <c r="A1197" s="54"/>
      <c r="B1197" s="71" t="str">
        <f>IFERROR(HYPERLINK(VLOOKUP(A1197,Internal_lists_bugs!$A$2:$C$73,3,FALSE()), VLOOKUP(A1197,Internal_lists_bugs!$A$2:$C$73,3,FALSE())&amp;Char(10) &amp; Char(10) &amp; VLOOKUP(A1197,Internal_lists_bugs!$A$2:$Z$73,26,FALSE())),"please select a BUG ID")</f>
        <v>please select a BUG ID</v>
      </c>
      <c r="C1197" s="51" t="str">
        <f>IFERROR(SUBSTITUTE(VLOOKUP(A1197,Internal_lists_bugs!$A$2:$G2031,7,FALSE()),"nova/commit","nova/src/commit"),"please select a BUG ID")</f>
        <v>please select a BUG ID</v>
      </c>
      <c r="D1197" s="54"/>
      <c r="F1197" s="54"/>
      <c r="H1197" s="114"/>
      <c r="J1197" s="183" t="str">
        <f>IFERROR(VLOOKUP(A1197,Internal_lists_bugs!$A$2:$I2031,9,FALSE()),"please select a BUG ID")</f>
        <v>please select a BUG ID</v>
      </c>
    </row>
    <row r="1198">
      <c r="A1198" s="54"/>
      <c r="B1198" s="71" t="str">
        <f>IFERROR(HYPERLINK(VLOOKUP(A1198,Internal_lists_bugs!$A$2:$C$73,3,FALSE()), VLOOKUP(A1198,Internal_lists_bugs!$A$2:$C$73,3,FALSE())&amp;Char(10) &amp; Char(10) &amp; VLOOKUP(A1198,Internal_lists_bugs!$A$2:$Z$73,26,FALSE())),"please select a BUG ID")</f>
        <v>please select a BUG ID</v>
      </c>
      <c r="C1198" s="51" t="str">
        <f>IFERROR(SUBSTITUTE(VLOOKUP(A1198,Internal_lists_bugs!$A$2:$G2031,7,FALSE()),"nova/commit","nova/src/commit"),"please select a BUG ID")</f>
        <v>please select a BUG ID</v>
      </c>
      <c r="D1198" s="54"/>
      <c r="F1198" s="54"/>
      <c r="H1198" s="114"/>
      <c r="J1198" s="183" t="str">
        <f>IFERROR(VLOOKUP(A1198,Internal_lists_bugs!$A$2:$I2031,9,FALSE()),"please select a BUG ID")</f>
        <v>please select a BUG ID</v>
      </c>
    </row>
    <row r="1199">
      <c r="A1199" s="54"/>
      <c r="B1199" s="71" t="str">
        <f>IFERROR(HYPERLINK(VLOOKUP(A1199,Internal_lists_bugs!$A$2:$C$73,3,FALSE()), VLOOKUP(A1199,Internal_lists_bugs!$A$2:$C$73,3,FALSE())&amp;Char(10) &amp; Char(10) &amp; VLOOKUP(A1199,Internal_lists_bugs!$A$2:$Z$73,26,FALSE())),"please select a BUG ID")</f>
        <v>please select a BUG ID</v>
      </c>
      <c r="C1199" s="51" t="str">
        <f>IFERROR(SUBSTITUTE(VLOOKUP(A1199,Internal_lists_bugs!$A$2:$G2031,7,FALSE()),"nova/commit","nova/src/commit"),"please select a BUG ID")</f>
        <v>please select a BUG ID</v>
      </c>
      <c r="D1199" s="54"/>
      <c r="F1199" s="54"/>
      <c r="H1199" s="114"/>
      <c r="J1199" s="183" t="str">
        <f>IFERROR(VLOOKUP(A1199,Internal_lists_bugs!$A$2:$I2031,9,FALSE()),"please select a BUG ID")</f>
        <v>please select a BUG ID</v>
      </c>
    </row>
    <row r="1200">
      <c r="A1200" s="54"/>
      <c r="B1200" s="71" t="str">
        <f>IFERROR(HYPERLINK(VLOOKUP(A1200,Internal_lists_bugs!$A$2:$C$73,3,FALSE()), VLOOKUP(A1200,Internal_lists_bugs!$A$2:$C$73,3,FALSE())&amp;Char(10) &amp; Char(10) &amp; VLOOKUP(A1200,Internal_lists_bugs!$A$2:$Z$73,26,FALSE())),"please select a BUG ID")</f>
        <v>please select a BUG ID</v>
      </c>
      <c r="C1200" s="51" t="str">
        <f>IFERROR(SUBSTITUTE(VLOOKUP(A1200,Internal_lists_bugs!$A$2:$G2031,7,FALSE()),"nova/commit","nova/src/commit"),"please select a BUG ID")</f>
        <v>please select a BUG ID</v>
      </c>
      <c r="D1200" s="54"/>
      <c r="F1200" s="54"/>
      <c r="H1200" s="114"/>
      <c r="J1200" s="183" t="str">
        <f>IFERROR(VLOOKUP(A1200,Internal_lists_bugs!$A$2:$I2031,9,FALSE()),"please select a BUG ID")</f>
        <v>please select a BUG ID</v>
      </c>
    </row>
    <row r="1201">
      <c r="A1201" s="54"/>
      <c r="B1201" s="71" t="str">
        <f>IFERROR(HYPERLINK(VLOOKUP(A1201,Internal_lists_bugs!$A$2:$C$73,3,FALSE()), VLOOKUP(A1201,Internal_lists_bugs!$A$2:$C$73,3,FALSE())&amp;Char(10) &amp; Char(10) &amp; VLOOKUP(A1201,Internal_lists_bugs!$A$2:$Z$73,26,FALSE())),"please select a BUG ID")</f>
        <v>please select a BUG ID</v>
      </c>
      <c r="C1201" s="51" t="str">
        <f>IFERROR(SUBSTITUTE(VLOOKUP(A1201,Internal_lists_bugs!$A$2:$G2031,7,FALSE()),"nova/commit","nova/src/commit"),"please select a BUG ID")</f>
        <v>please select a BUG ID</v>
      </c>
      <c r="D1201" s="54"/>
      <c r="F1201" s="54"/>
      <c r="H1201" s="114"/>
      <c r="J1201" s="183" t="str">
        <f>IFERROR(VLOOKUP(A1201,Internal_lists_bugs!$A$2:$I2031,9,FALSE()),"please select a BUG ID")</f>
        <v>please select a BUG ID</v>
      </c>
    </row>
    <row r="1202">
      <c r="A1202" s="54"/>
      <c r="B1202" s="71" t="str">
        <f>IFERROR(HYPERLINK(VLOOKUP(A1202,Internal_lists_bugs!$A$2:$C$73,3,FALSE()), VLOOKUP(A1202,Internal_lists_bugs!$A$2:$C$73,3,FALSE())&amp;Char(10) &amp; Char(10) &amp; VLOOKUP(A1202,Internal_lists_bugs!$A$2:$Z$73,26,FALSE())),"please select a BUG ID")</f>
        <v>please select a BUG ID</v>
      </c>
      <c r="C1202" s="51" t="str">
        <f>IFERROR(SUBSTITUTE(VLOOKUP(A1202,Internal_lists_bugs!$A$2:$G2031,7,FALSE()),"nova/commit","nova/src/commit"),"please select a BUG ID")</f>
        <v>please select a BUG ID</v>
      </c>
      <c r="D1202" s="54"/>
      <c r="F1202" s="54"/>
      <c r="H1202" s="114"/>
      <c r="J1202" s="183" t="str">
        <f>IFERROR(VLOOKUP(A1202,Internal_lists_bugs!$A$2:$I2031,9,FALSE()),"please select a BUG ID")</f>
        <v>please select a BUG ID</v>
      </c>
    </row>
    <row r="1203">
      <c r="A1203" s="54"/>
      <c r="B1203" s="71" t="str">
        <f>IFERROR(HYPERLINK(VLOOKUP(A1203,Internal_lists_bugs!$A$2:$C$73,3,FALSE()), VLOOKUP(A1203,Internal_lists_bugs!$A$2:$C$73,3,FALSE())&amp;Char(10) &amp; Char(10) &amp; VLOOKUP(A1203,Internal_lists_bugs!$A$2:$Z$73,26,FALSE())),"please select a BUG ID")</f>
        <v>please select a BUG ID</v>
      </c>
      <c r="C1203" s="51" t="str">
        <f>IFERROR(SUBSTITUTE(VLOOKUP(A1203,Internal_lists_bugs!$A$2:$G2031,7,FALSE()),"nova/commit","nova/src/commit"),"please select a BUG ID")</f>
        <v>please select a BUG ID</v>
      </c>
      <c r="D1203" s="54"/>
      <c r="F1203" s="54"/>
      <c r="H1203" s="114"/>
      <c r="J1203" s="183" t="str">
        <f>IFERROR(VLOOKUP(A1203,Internal_lists_bugs!$A$2:$I2031,9,FALSE()),"please select a BUG ID")</f>
        <v>please select a BUG ID</v>
      </c>
    </row>
    <row r="1204">
      <c r="A1204" s="54"/>
      <c r="B1204" s="71" t="str">
        <f>IFERROR(HYPERLINK(VLOOKUP(A1204,Internal_lists_bugs!$A$2:$C$73,3,FALSE()), VLOOKUP(A1204,Internal_lists_bugs!$A$2:$C$73,3,FALSE())&amp;Char(10) &amp; Char(10) &amp; VLOOKUP(A1204,Internal_lists_bugs!$A$2:$Z$73,26,FALSE())),"please select a BUG ID")</f>
        <v>please select a BUG ID</v>
      </c>
      <c r="C1204" s="51" t="str">
        <f>IFERROR(SUBSTITUTE(VLOOKUP(A1204,Internal_lists_bugs!$A$2:$G2031,7,FALSE()),"nova/commit","nova/src/commit"),"please select a BUG ID")</f>
        <v>please select a BUG ID</v>
      </c>
      <c r="D1204" s="54"/>
      <c r="F1204" s="54"/>
      <c r="H1204" s="114"/>
      <c r="J1204" s="183" t="str">
        <f>IFERROR(VLOOKUP(A1204,Internal_lists_bugs!$A$2:$I2031,9,FALSE()),"please select a BUG ID")</f>
        <v>please select a BUG ID</v>
      </c>
    </row>
    <row r="1205">
      <c r="A1205" s="54"/>
      <c r="B1205" s="71" t="str">
        <f>IFERROR(HYPERLINK(VLOOKUP(A1205,Internal_lists_bugs!$A$2:$C$73,3,FALSE()), VLOOKUP(A1205,Internal_lists_bugs!$A$2:$C$73,3,FALSE())&amp;Char(10) &amp; Char(10) &amp; VLOOKUP(A1205,Internal_lists_bugs!$A$2:$Z$73,26,FALSE())),"please select a BUG ID")</f>
        <v>please select a BUG ID</v>
      </c>
      <c r="C1205" s="51" t="str">
        <f>IFERROR(SUBSTITUTE(VLOOKUP(A1205,Internal_lists_bugs!$A$2:$G2031,7,FALSE()),"nova/commit","nova/src/commit"),"please select a BUG ID")</f>
        <v>please select a BUG ID</v>
      </c>
      <c r="D1205" s="54"/>
      <c r="F1205" s="54"/>
      <c r="H1205" s="114"/>
      <c r="J1205" s="183" t="str">
        <f>IFERROR(VLOOKUP(A1205,Internal_lists_bugs!$A$2:$I2031,9,FALSE()),"please select a BUG ID")</f>
        <v>please select a BUG ID</v>
      </c>
    </row>
    <row r="1206">
      <c r="A1206" s="54"/>
      <c r="B1206" s="71" t="str">
        <f>IFERROR(HYPERLINK(VLOOKUP(A1206,Internal_lists_bugs!$A$2:$C$73,3,FALSE()), VLOOKUP(A1206,Internal_lists_bugs!$A$2:$C$73,3,FALSE())&amp;Char(10) &amp; Char(10) &amp; VLOOKUP(A1206,Internal_lists_bugs!$A$2:$Z$73,26,FALSE())),"please select a BUG ID")</f>
        <v>please select a BUG ID</v>
      </c>
      <c r="C1206" s="51" t="str">
        <f>IFERROR(SUBSTITUTE(VLOOKUP(A1206,Internal_lists_bugs!$A$2:$G2031,7,FALSE()),"nova/commit","nova/src/commit"),"please select a BUG ID")</f>
        <v>please select a BUG ID</v>
      </c>
      <c r="D1206" s="54"/>
      <c r="F1206" s="54"/>
      <c r="H1206" s="114"/>
      <c r="J1206" s="183" t="str">
        <f>IFERROR(VLOOKUP(A1206,Internal_lists_bugs!$A$2:$I2031,9,FALSE()),"please select a BUG ID")</f>
        <v>please select a BUG ID</v>
      </c>
    </row>
    <row r="1207">
      <c r="A1207" s="54"/>
      <c r="B1207" s="71" t="str">
        <f>IFERROR(HYPERLINK(VLOOKUP(A1207,Internal_lists_bugs!$A$2:$C$73,3,FALSE()), VLOOKUP(A1207,Internal_lists_bugs!$A$2:$C$73,3,FALSE())&amp;Char(10) &amp; Char(10) &amp; VLOOKUP(A1207,Internal_lists_bugs!$A$2:$Z$73,26,FALSE())),"please select a BUG ID")</f>
        <v>please select a BUG ID</v>
      </c>
      <c r="C1207" s="51" t="str">
        <f>IFERROR(SUBSTITUTE(VLOOKUP(A1207,Internal_lists_bugs!$A$2:$G2031,7,FALSE()),"nova/commit","nova/src/commit"),"please select a BUG ID")</f>
        <v>please select a BUG ID</v>
      </c>
      <c r="D1207" s="54"/>
      <c r="F1207" s="54"/>
      <c r="H1207" s="114"/>
      <c r="J1207" s="183" t="str">
        <f>IFERROR(VLOOKUP(A1207,Internal_lists_bugs!$A$2:$I2031,9,FALSE()),"please select a BUG ID")</f>
        <v>please select a BUG ID</v>
      </c>
    </row>
    <row r="1208">
      <c r="A1208" s="54"/>
      <c r="B1208" s="71" t="str">
        <f>IFERROR(HYPERLINK(VLOOKUP(A1208,Internal_lists_bugs!$A$2:$C$73,3,FALSE()), VLOOKUP(A1208,Internal_lists_bugs!$A$2:$C$73,3,FALSE())&amp;Char(10) &amp; Char(10) &amp; VLOOKUP(A1208,Internal_lists_bugs!$A$2:$Z$73,26,FALSE())),"please select a BUG ID")</f>
        <v>please select a BUG ID</v>
      </c>
      <c r="C1208" s="51" t="str">
        <f>IFERROR(SUBSTITUTE(VLOOKUP(A1208,Internal_lists_bugs!$A$2:$G2031,7,FALSE()),"nova/commit","nova/src/commit"),"please select a BUG ID")</f>
        <v>please select a BUG ID</v>
      </c>
      <c r="D1208" s="54"/>
      <c r="F1208" s="54"/>
      <c r="H1208" s="114"/>
      <c r="J1208" s="183" t="str">
        <f>IFERROR(VLOOKUP(A1208,Internal_lists_bugs!$A$2:$I2031,9,FALSE()),"please select a BUG ID")</f>
        <v>please select a BUG ID</v>
      </c>
    </row>
    <row r="1209">
      <c r="A1209" s="54"/>
      <c r="B1209" s="71" t="str">
        <f>IFERROR(HYPERLINK(VLOOKUP(A1209,Internal_lists_bugs!$A$2:$C$73,3,FALSE()), VLOOKUP(A1209,Internal_lists_bugs!$A$2:$C$73,3,FALSE())&amp;Char(10) &amp; Char(10) &amp; VLOOKUP(A1209,Internal_lists_bugs!$A$2:$Z$73,26,FALSE())),"please select a BUG ID")</f>
        <v>please select a BUG ID</v>
      </c>
      <c r="C1209" s="51" t="str">
        <f>IFERROR(SUBSTITUTE(VLOOKUP(A1209,Internal_lists_bugs!$A$2:$G2031,7,FALSE()),"nova/commit","nova/src/commit"),"please select a BUG ID")</f>
        <v>please select a BUG ID</v>
      </c>
      <c r="D1209" s="54"/>
      <c r="F1209" s="54"/>
      <c r="H1209" s="114"/>
      <c r="J1209" s="183" t="str">
        <f>IFERROR(VLOOKUP(A1209,Internal_lists_bugs!$A$2:$I2031,9,FALSE()),"please select a BUG ID")</f>
        <v>please select a BUG ID</v>
      </c>
    </row>
    <row r="1210">
      <c r="A1210" s="54"/>
      <c r="B1210" s="71" t="str">
        <f>IFERROR(HYPERLINK(VLOOKUP(A1210,Internal_lists_bugs!$A$2:$C$73,3,FALSE()), VLOOKUP(A1210,Internal_lists_bugs!$A$2:$C$73,3,FALSE())&amp;Char(10) &amp; Char(10) &amp; VLOOKUP(A1210,Internal_lists_bugs!$A$2:$Z$73,26,FALSE())),"please select a BUG ID")</f>
        <v>please select a BUG ID</v>
      </c>
      <c r="C1210" s="51" t="str">
        <f>IFERROR(SUBSTITUTE(VLOOKUP(A1210,Internal_lists_bugs!$A$2:$G2031,7,FALSE()),"nova/commit","nova/src/commit"),"please select a BUG ID")</f>
        <v>please select a BUG ID</v>
      </c>
      <c r="D1210" s="54"/>
      <c r="F1210" s="54"/>
      <c r="H1210" s="114"/>
      <c r="J1210" s="183" t="str">
        <f>IFERROR(VLOOKUP(A1210,Internal_lists_bugs!$A$2:$I2031,9,FALSE()),"please select a BUG ID")</f>
        <v>please select a BUG ID</v>
      </c>
    </row>
    <row r="1211">
      <c r="A1211" s="54"/>
      <c r="B1211" s="71" t="str">
        <f>IFERROR(HYPERLINK(VLOOKUP(A1211,Internal_lists_bugs!$A$2:$C$73,3,FALSE()), VLOOKUP(A1211,Internal_lists_bugs!$A$2:$C$73,3,FALSE())&amp;Char(10) &amp; Char(10) &amp; VLOOKUP(A1211,Internal_lists_bugs!$A$2:$Z$73,26,FALSE())),"please select a BUG ID")</f>
        <v>please select a BUG ID</v>
      </c>
      <c r="C1211" s="51" t="str">
        <f>IFERROR(SUBSTITUTE(VLOOKUP(A1211,Internal_lists_bugs!$A$2:$G2031,7,FALSE()),"nova/commit","nova/src/commit"),"please select a BUG ID")</f>
        <v>please select a BUG ID</v>
      </c>
      <c r="D1211" s="54"/>
      <c r="F1211" s="54"/>
      <c r="H1211" s="114"/>
      <c r="J1211" s="183" t="str">
        <f>IFERROR(VLOOKUP(A1211,Internal_lists_bugs!$A$2:$I2031,9,FALSE()),"please select a BUG ID")</f>
        <v>please select a BUG ID</v>
      </c>
    </row>
    <row r="1212">
      <c r="A1212" s="54"/>
      <c r="B1212" s="71" t="str">
        <f>IFERROR(HYPERLINK(VLOOKUP(A1212,Internal_lists_bugs!$A$2:$C$73,3,FALSE()), VLOOKUP(A1212,Internal_lists_bugs!$A$2:$C$73,3,FALSE())&amp;Char(10) &amp; Char(10) &amp; VLOOKUP(A1212,Internal_lists_bugs!$A$2:$Z$73,26,FALSE())),"please select a BUG ID")</f>
        <v>please select a BUG ID</v>
      </c>
      <c r="C1212" s="51" t="str">
        <f>IFERROR(SUBSTITUTE(VLOOKUP(A1212,Internal_lists_bugs!$A$2:$G2031,7,FALSE()),"nova/commit","nova/src/commit"),"please select a BUG ID")</f>
        <v>please select a BUG ID</v>
      </c>
      <c r="D1212" s="54"/>
      <c r="F1212" s="54"/>
      <c r="H1212" s="114"/>
      <c r="J1212" s="183" t="str">
        <f>IFERROR(VLOOKUP(A1212,Internal_lists_bugs!$A$2:$I2031,9,FALSE()),"please select a BUG ID")</f>
        <v>please select a BUG ID</v>
      </c>
    </row>
    <row r="1213">
      <c r="A1213" s="54"/>
      <c r="B1213" s="71" t="str">
        <f>IFERROR(HYPERLINK(VLOOKUP(A1213,Internal_lists_bugs!$A$2:$C$73,3,FALSE()), VLOOKUP(A1213,Internal_lists_bugs!$A$2:$C$73,3,FALSE())&amp;Char(10) &amp; Char(10) &amp; VLOOKUP(A1213,Internal_lists_bugs!$A$2:$Z$73,26,FALSE())),"please select a BUG ID")</f>
        <v>please select a BUG ID</v>
      </c>
      <c r="C1213" s="51" t="str">
        <f>IFERROR(SUBSTITUTE(VLOOKUP(A1213,Internal_lists_bugs!$A$2:$G2031,7,FALSE()),"nova/commit","nova/src/commit"),"please select a BUG ID")</f>
        <v>please select a BUG ID</v>
      </c>
      <c r="D1213" s="54"/>
      <c r="F1213" s="54"/>
      <c r="H1213" s="114"/>
      <c r="J1213" s="183" t="str">
        <f>IFERROR(VLOOKUP(A1213,Internal_lists_bugs!$A$2:$I2031,9,FALSE()),"please select a BUG ID")</f>
        <v>please select a BUG ID</v>
      </c>
    </row>
    <row r="1214">
      <c r="A1214" s="54"/>
      <c r="B1214" s="71" t="str">
        <f>IFERROR(HYPERLINK(VLOOKUP(A1214,Internal_lists_bugs!$A$2:$C$73,3,FALSE()), VLOOKUP(A1214,Internal_lists_bugs!$A$2:$C$73,3,FALSE())&amp;Char(10) &amp; Char(10) &amp; VLOOKUP(A1214,Internal_lists_bugs!$A$2:$Z$73,26,FALSE())),"please select a BUG ID")</f>
        <v>please select a BUG ID</v>
      </c>
      <c r="C1214" s="51" t="str">
        <f>IFERROR(SUBSTITUTE(VLOOKUP(A1214,Internal_lists_bugs!$A$2:$G2031,7,FALSE()),"nova/commit","nova/src/commit"),"please select a BUG ID")</f>
        <v>please select a BUG ID</v>
      </c>
      <c r="D1214" s="54"/>
      <c r="F1214" s="54"/>
      <c r="H1214" s="114"/>
      <c r="J1214" s="183" t="str">
        <f>IFERROR(VLOOKUP(A1214,Internal_lists_bugs!$A$2:$I2031,9,FALSE()),"please select a BUG ID")</f>
        <v>please select a BUG ID</v>
      </c>
    </row>
    <row r="1215">
      <c r="A1215" s="54"/>
      <c r="B1215" s="71" t="str">
        <f>IFERROR(HYPERLINK(VLOOKUP(A1215,Internal_lists_bugs!$A$2:$C$73,3,FALSE()), VLOOKUP(A1215,Internal_lists_bugs!$A$2:$C$73,3,FALSE())&amp;Char(10) &amp; Char(10) &amp; VLOOKUP(A1215,Internal_lists_bugs!$A$2:$Z$73,26,FALSE())),"please select a BUG ID")</f>
        <v>please select a BUG ID</v>
      </c>
      <c r="C1215" s="51" t="str">
        <f>IFERROR(SUBSTITUTE(VLOOKUP(A1215,Internal_lists_bugs!$A$2:$G2031,7,FALSE()),"nova/commit","nova/src/commit"),"please select a BUG ID")</f>
        <v>please select a BUG ID</v>
      </c>
      <c r="D1215" s="54"/>
      <c r="F1215" s="54"/>
      <c r="H1215" s="114"/>
      <c r="J1215" s="183" t="str">
        <f>IFERROR(VLOOKUP(A1215,Internal_lists_bugs!$A$2:$I2031,9,FALSE()),"please select a BUG ID")</f>
        <v>please select a BUG ID</v>
      </c>
    </row>
    <row r="1216">
      <c r="A1216" s="54"/>
      <c r="B1216" s="71" t="str">
        <f>IFERROR(HYPERLINK(VLOOKUP(A1216,Internal_lists_bugs!$A$2:$C$73,3,FALSE()), VLOOKUP(A1216,Internal_lists_bugs!$A$2:$C$73,3,FALSE())&amp;Char(10) &amp; Char(10) &amp; VLOOKUP(A1216,Internal_lists_bugs!$A$2:$Z$73,26,FALSE())),"please select a BUG ID")</f>
        <v>please select a BUG ID</v>
      </c>
      <c r="C1216" s="51" t="str">
        <f>IFERROR(SUBSTITUTE(VLOOKUP(A1216,Internal_lists_bugs!$A$2:$G2031,7,FALSE()),"nova/commit","nova/src/commit"),"please select a BUG ID")</f>
        <v>please select a BUG ID</v>
      </c>
      <c r="D1216" s="54"/>
      <c r="F1216" s="54"/>
      <c r="H1216" s="114"/>
      <c r="J1216" s="183" t="str">
        <f>IFERROR(VLOOKUP(A1216,Internal_lists_bugs!$A$2:$I2031,9,FALSE()),"please select a BUG ID")</f>
        <v>please select a BUG ID</v>
      </c>
    </row>
    <row r="1217">
      <c r="A1217" s="54"/>
      <c r="B1217" s="71" t="str">
        <f>IFERROR(HYPERLINK(VLOOKUP(A1217,Internal_lists_bugs!$A$2:$C$73,3,FALSE()), VLOOKUP(A1217,Internal_lists_bugs!$A$2:$C$73,3,FALSE())&amp;Char(10) &amp; Char(10) &amp; VLOOKUP(A1217,Internal_lists_bugs!$A$2:$Z$73,26,FALSE())),"please select a BUG ID")</f>
        <v>please select a BUG ID</v>
      </c>
      <c r="C1217" s="51" t="str">
        <f>IFERROR(SUBSTITUTE(VLOOKUP(A1217,Internal_lists_bugs!$A$2:$G2031,7,FALSE()),"nova/commit","nova/src/commit"),"please select a BUG ID")</f>
        <v>please select a BUG ID</v>
      </c>
      <c r="D1217" s="54"/>
      <c r="F1217" s="54"/>
      <c r="H1217" s="114"/>
      <c r="J1217" s="183" t="str">
        <f>IFERROR(VLOOKUP(A1217,Internal_lists_bugs!$A$2:$I2031,9,FALSE()),"please select a BUG ID")</f>
        <v>please select a BUG ID</v>
      </c>
    </row>
    <row r="1218">
      <c r="A1218" s="54"/>
      <c r="B1218" s="71" t="str">
        <f>IFERROR(HYPERLINK(VLOOKUP(A1218,Internal_lists_bugs!$A$2:$C$73,3,FALSE()), VLOOKUP(A1218,Internal_lists_bugs!$A$2:$C$73,3,FALSE())&amp;Char(10) &amp; Char(10) &amp; VLOOKUP(A1218,Internal_lists_bugs!$A$2:$Z$73,26,FALSE())),"please select a BUG ID")</f>
        <v>please select a BUG ID</v>
      </c>
      <c r="C1218" s="51" t="str">
        <f>IFERROR(SUBSTITUTE(VLOOKUP(A1218,Internal_lists_bugs!$A$2:$G2031,7,FALSE()),"nova/commit","nova/src/commit"),"please select a BUG ID")</f>
        <v>please select a BUG ID</v>
      </c>
      <c r="D1218" s="54"/>
      <c r="F1218" s="54"/>
      <c r="H1218" s="114"/>
      <c r="J1218" s="183" t="str">
        <f>IFERROR(VLOOKUP(A1218,Internal_lists_bugs!$A$2:$I2031,9,FALSE()),"please select a BUG ID")</f>
        <v>please select a BUG ID</v>
      </c>
    </row>
    <row r="1219">
      <c r="A1219" s="54"/>
      <c r="B1219" s="71" t="str">
        <f>IFERROR(HYPERLINK(VLOOKUP(A1219,Internal_lists_bugs!$A$2:$C$73,3,FALSE()), VLOOKUP(A1219,Internal_lists_bugs!$A$2:$C$73,3,FALSE())&amp;Char(10) &amp; Char(10) &amp; VLOOKUP(A1219,Internal_lists_bugs!$A$2:$Z$73,26,FALSE())),"please select a BUG ID")</f>
        <v>please select a BUG ID</v>
      </c>
      <c r="C1219" s="51" t="str">
        <f>IFERROR(SUBSTITUTE(VLOOKUP(A1219,Internal_lists_bugs!$A$2:$G2031,7,FALSE()),"nova/commit","nova/src/commit"),"please select a BUG ID")</f>
        <v>please select a BUG ID</v>
      </c>
      <c r="D1219" s="54"/>
      <c r="F1219" s="54"/>
      <c r="H1219" s="114"/>
      <c r="J1219" s="183" t="str">
        <f>IFERROR(VLOOKUP(A1219,Internal_lists_bugs!$A$2:$I2031,9,FALSE()),"please select a BUG ID")</f>
        <v>please select a BUG ID</v>
      </c>
    </row>
    <row r="1220">
      <c r="A1220" s="54"/>
      <c r="B1220" s="71" t="str">
        <f>IFERROR(HYPERLINK(VLOOKUP(A1220,Internal_lists_bugs!$A$2:$C$73,3,FALSE()), VLOOKUP(A1220,Internal_lists_bugs!$A$2:$C$73,3,FALSE())&amp;Char(10) &amp; Char(10) &amp; VLOOKUP(A1220,Internal_lists_bugs!$A$2:$Z$73,26,FALSE())),"please select a BUG ID")</f>
        <v>please select a BUG ID</v>
      </c>
      <c r="C1220" s="51" t="str">
        <f>IFERROR(SUBSTITUTE(VLOOKUP(A1220,Internal_lists_bugs!$A$2:$G2031,7,FALSE()),"nova/commit","nova/src/commit"),"please select a BUG ID")</f>
        <v>please select a BUG ID</v>
      </c>
      <c r="D1220" s="54"/>
      <c r="F1220" s="54"/>
      <c r="H1220" s="114"/>
      <c r="J1220" s="183" t="str">
        <f>IFERROR(VLOOKUP(A1220,Internal_lists_bugs!$A$2:$I2031,9,FALSE()),"please select a BUG ID")</f>
        <v>please select a BUG ID</v>
      </c>
    </row>
    <row r="1221">
      <c r="A1221" s="54"/>
      <c r="B1221" s="71" t="str">
        <f>IFERROR(HYPERLINK(VLOOKUP(A1221,Internal_lists_bugs!$A$2:$C$73,3,FALSE()), VLOOKUP(A1221,Internal_lists_bugs!$A$2:$C$73,3,FALSE())&amp;Char(10) &amp; Char(10) &amp; VLOOKUP(A1221,Internal_lists_bugs!$A$2:$Z$73,26,FALSE())),"please select a BUG ID")</f>
        <v>please select a BUG ID</v>
      </c>
      <c r="C1221" s="51" t="str">
        <f>IFERROR(SUBSTITUTE(VLOOKUP(A1221,Internal_lists_bugs!$A$2:$G2031,7,FALSE()),"nova/commit","nova/src/commit"),"please select a BUG ID")</f>
        <v>please select a BUG ID</v>
      </c>
      <c r="D1221" s="54"/>
      <c r="F1221" s="54"/>
      <c r="H1221" s="114"/>
      <c r="J1221" s="183" t="str">
        <f>IFERROR(VLOOKUP(A1221,Internal_lists_bugs!$A$2:$I2031,9,FALSE()),"please select a BUG ID")</f>
        <v>please select a BUG ID</v>
      </c>
    </row>
    <row r="1222">
      <c r="A1222" s="54"/>
      <c r="B1222" s="71" t="str">
        <f>IFERROR(HYPERLINK(VLOOKUP(A1222,Internal_lists_bugs!$A$2:$C$73,3,FALSE()), VLOOKUP(A1222,Internal_lists_bugs!$A$2:$C$73,3,FALSE())&amp;Char(10) &amp; Char(10) &amp; VLOOKUP(A1222,Internal_lists_bugs!$A$2:$Z$73,26,FALSE())),"please select a BUG ID")</f>
        <v>please select a BUG ID</v>
      </c>
      <c r="C1222" s="51" t="str">
        <f>IFERROR(SUBSTITUTE(VLOOKUP(A1222,Internal_lists_bugs!$A$2:$G2031,7,FALSE()),"nova/commit","nova/src/commit"),"please select a BUG ID")</f>
        <v>please select a BUG ID</v>
      </c>
      <c r="D1222" s="54"/>
      <c r="F1222" s="54"/>
      <c r="H1222" s="114"/>
      <c r="J1222" s="183" t="str">
        <f>IFERROR(VLOOKUP(A1222,Internal_lists_bugs!$A$2:$I2031,9,FALSE()),"please select a BUG ID")</f>
        <v>please select a BUG ID</v>
      </c>
    </row>
    <row r="1223">
      <c r="A1223" s="54"/>
      <c r="B1223" s="71" t="str">
        <f>IFERROR(HYPERLINK(VLOOKUP(A1223,Internal_lists_bugs!$A$2:$C$73,3,FALSE()), VLOOKUP(A1223,Internal_lists_bugs!$A$2:$C$73,3,FALSE())&amp;Char(10) &amp; Char(10) &amp; VLOOKUP(A1223,Internal_lists_bugs!$A$2:$Z$73,26,FALSE())),"please select a BUG ID")</f>
        <v>please select a BUG ID</v>
      </c>
      <c r="C1223" s="51" t="str">
        <f>IFERROR(SUBSTITUTE(VLOOKUP(A1223,Internal_lists_bugs!$A$2:$G2031,7,FALSE()),"nova/commit","nova/src/commit"),"please select a BUG ID")</f>
        <v>please select a BUG ID</v>
      </c>
      <c r="D1223" s="54"/>
      <c r="F1223" s="54"/>
      <c r="H1223" s="114"/>
      <c r="J1223" s="183" t="str">
        <f>IFERROR(VLOOKUP(A1223,Internal_lists_bugs!$A$2:$I2031,9,FALSE()),"please select a BUG ID")</f>
        <v>please select a BUG ID</v>
      </c>
    </row>
    <row r="1224">
      <c r="A1224" s="54"/>
      <c r="B1224" s="71" t="str">
        <f>IFERROR(HYPERLINK(VLOOKUP(A1224,Internal_lists_bugs!$A$2:$C$73,3,FALSE()), VLOOKUP(A1224,Internal_lists_bugs!$A$2:$C$73,3,FALSE())&amp;Char(10) &amp; Char(10) &amp; VLOOKUP(A1224,Internal_lists_bugs!$A$2:$Z$73,26,FALSE())),"please select a BUG ID")</f>
        <v>please select a BUG ID</v>
      </c>
      <c r="C1224" s="51" t="str">
        <f>IFERROR(SUBSTITUTE(VLOOKUP(A1224,Internal_lists_bugs!$A$2:$G2031,7,FALSE()),"nova/commit","nova/src/commit"),"please select a BUG ID")</f>
        <v>please select a BUG ID</v>
      </c>
      <c r="D1224" s="54"/>
      <c r="F1224" s="54"/>
      <c r="H1224" s="114"/>
      <c r="J1224" s="183" t="str">
        <f>IFERROR(VLOOKUP(A1224,Internal_lists_bugs!$A$2:$I2031,9,FALSE()),"please select a BUG ID")</f>
        <v>please select a BUG ID</v>
      </c>
    </row>
    <row r="1225">
      <c r="A1225" s="54"/>
      <c r="B1225" s="71" t="str">
        <f>IFERROR(HYPERLINK(VLOOKUP(A1225,Internal_lists_bugs!$A$2:$C$73,3,FALSE()), VLOOKUP(A1225,Internal_lists_bugs!$A$2:$C$73,3,FALSE())&amp;Char(10) &amp; Char(10) &amp; VLOOKUP(A1225,Internal_lists_bugs!$A$2:$Z$73,26,FALSE())),"please select a BUG ID")</f>
        <v>please select a BUG ID</v>
      </c>
      <c r="C1225" s="51" t="str">
        <f>IFERROR(SUBSTITUTE(VLOOKUP(A1225,Internal_lists_bugs!$A$2:$G2031,7,FALSE()),"nova/commit","nova/src/commit"),"please select a BUG ID")</f>
        <v>please select a BUG ID</v>
      </c>
      <c r="D1225" s="54"/>
      <c r="F1225" s="54"/>
      <c r="H1225" s="114"/>
      <c r="J1225" s="183" t="str">
        <f>IFERROR(VLOOKUP(A1225,Internal_lists_bugs!$A$2:$I2031,9,FALSE()),"please select a BUG ID")</f>
        <v>please select a BUG ID</v>
      </c>
    </row>
    <row r="1226">
      <c r="A1226" s="54"/>
      <c r="B1226" s="71" t="str">
        <f>IFERROR(HYPERLINK(VLOOKUP(A1226,Internal_lists_bugs!$A$2:$C$73,3,FALSE()), VLOOKUP(A1226,Internal_lists_bugs!$A$2:$C$73,3,FALSE())&amp;Char(10) &amp; Char(10) &amp; VLOOKUP(A1226,Internal_lists_bugs!$A$2:$Z$73,26,FALSE())),"please select a BUG ID")</f>
        <v>please select a BUG ID</v>
      </c>
      <c r="C1226" s="51" t="str">
        <f>IFERROR(SUBSTITUTE(VLOOKUP(A1226,Internal_lists_bugs!$A$2:$G2031,7,FALSE()),"nova/commit","nova/src/commit"),"please select a BUG ID")</f>
        <v>please select a BUG ID</v>
      </c>
      <c r="D1226" s="54"/>
      <c r="F1226" s="54"/>
      <c r="H1226" s="114"/>
      <c r="J1226" s="183" t="str">
        <f>IFERROR(VLOOKUP(A1226,Internal_lists_bugs!$A$2:$I2031,9,FALSE()),"please select a BUG ID")</f>
        <v>please select a BUG ID</v>
      </c>
    </row>
    <row r="1227">
      <c r="A1227" s="54"/>
      <c r="B1227" s="71" t="str">
        <f>IFERROR(HYPERLINK(VLOOKUP(A1227,Internal_lists_bugs!$A$2:$C$73,3,FALSE()), VLOOKUP(A1227,Internal_lists_bugs!$A$2:$C$73,3,FALSE())&amp;Char(10) &amp; Char(10) &amp; VLOOKUP(A1227,Internal_lists_bugs!$A$2:$Z$73,26,FALSE())),"please select a BUG ID")</f>
        <v>please select a BUG ID</v>
      </c>
      <c r="C1227" s="51" t="str">
        <f>IFERROR(SUBSTITUTE(VLOOKUP(A1227,Internal_lists_bugs!$A$2:$G2031,7,FALSE()),"nova/commit","nova/src/commit"),"please select a BUG ID")</f>
        <v>please select a BUG ID</v>
      </c>
      <c r="D1227" s="54"/>
      <c r="F1227" s="54"/>
      <c r="H1227" s="114"/>
      <c r="J1227" s="183" t="str">
        <f>IFERROR(VLOOKUP(A1227,Internal_lists_bugs!$A$2:$I2031,9,FALSE()),"please select a BUG ID")</f>
        <v>please select a BUG ID</v>
      </c>
    </row>
    <row r="1228">
      <c r="A1228" s="54"/>
      <c r="B1228" s="71" t="str">
        <f>IFERROR(HYPERLINK(VLOOKUP(A1228,Internal_lists_bugs!$A$2:$C$73,3,FALSE()), VLOOKUP(A1228,Internal_lists_bugs!$A$2:$C$73,3,FALSE())&amp;Char(10) &amp; Char(10) &amp; VLOOKUP(A1228,Internal_lists_bugs!$A$2:$Z$73,26,FALSE())),"please select a BUG ID")</f>
        <v>please select a BUG ID</v>
      </c>
      <c r="C1228" s="51" t="str">
        <f>IFERROR(SUBSTITUTE(VLOOKUP(A1228,Internal_lists_bugs!$A$2:$G2031,7,FALSE()),"nova/commit","nova/src/commit"),"please select a BUG ID")</f>
        <v>please select a BUG ID</v>
      </c>
      <c r="D1228" s="54"/>
      <c r="F1228" s="54"/>
      <c r="H1228" s="114"/>
      <c r="J1228" s="183" t="str">
        <f>IFERROR(VLOOKUP(A1228,Internal_lists_bugs!$A$2:$I2031,9,FALSE()),"please select a BUG ID")</f>
        <v>please select a BUG ID</v>
      </c>
    </row>
    <row r="1229">
      <c r="A1229" s="54"/>
      <c r="B1229" s="71" t="str">
        <f>IFERROR(HYPERLINK(VLOOKUP(A1229,Internal_lists_bugs!$A$2:$C$73,3,FALSE()), VLOOKUP(A1229,Internal_lists_bugs!$A$2:$C$73,3,FALSE())&amp;Char(10) &amp; Char(10) &amp; VLOOKUP(A1229,Internal_lists_bugs!$A$2:$Z$73,26,FALSE())),"please select a BUG ID")</f>
        <v>please select a BUG ID</v>
      </c>
      <c r="C1229" s="51" t="str">
        <f>IFERROR(SUBSTITUTE(VLOOKUP(A1229,Internal_lists_bugs!$A$2:$G2031,7,FALSE()),"nova/commit","nova/src/commit"),"please select a BUG ID")</f>
        <v>please select a BUG ID</v>
      </c>
      <c r="D1229" s="54"/>
      <c r="F1229" s="54"/>
      <c r="H1229" s="114"/>
      <c r="J1229" s="183" t="str">
        <f>IFERROR(VLOOKUP(A1229,Internal_lists_bugs!$A$2:$I2031,9,FALSE()),"please select a BUG ID")</f>
        <v>please select a BUG ID</v>
      </c>
    </row>
    <row r="1230">
      <c r="A1230" s="54"/>
      <c r="B1230" s="71" t="str">
        <f>IFERROR(HYPERLINK(VLOOKUP(A1230,Internal_lists_bugs!$A$2:$C$73,3,FALSE()), VLOOKUP(A1230,Internal_lists_bugs!$A$2:$C$73,3,FALSE())&amp;Char(10) &amp; Char(10) &amp; VLOOKUP(A1230,Internal_lists_bugs!$A$2:$Z$73,26,FALSE())),"please select a BUG ID")</f>
        <v>please select a BUG ID</v>
      </c>
      <c r="C1230" s="51" t="str">
        <f>IFERROR(SUBSTITUTE(VLOOKUP(A1230,Internal_lists_bugs!$A$2:$G2031,7,FALSE()),"nova/commit","nova/src/commit"),"please select a BUG ID")</f>
        <v>please select a BUG ID</v>
      </c>
      <c r="D1230" s="54"/>
      <c r="F1230" s="54"/>
      <c r="H1230" s="114"/>
      <c r="J1230" s="183" t="str">
        <f>IFERROR(VLOOKUP(A1230,Internal_lists_bugs!$A$2:$I2031,9,FALSE()),"please select a BUG ID")</f>
        <v>please select a BUG ID</v>
      </c>
    </row>
    <row r="1231">
      <c r="A1231" s="54"/>
      <c r="B1231" s="71" t="str">
        <f>IFERROR(HYPERLINK(VLOOKUP(A1231,Internal_lists_bugs!$A$2:$C$73,3,FALSE()), VLOOKUP(A1231,Internal_lists_bugs!$A$2:$C$73,3,FALSE())&amp;Char(10) &amp; Char(10) &amp; VLOOKUP(A1231,Internal_lists_bugs!$A$2:$Z$73,26,FALSE())),"please select a BUG ID")</f>
        <v>please select a BUG ID</v>
      </c>
      <c r="C1231" s="51" t="str">
        <f>IFERROR(SUBSTITUTE(VLOOKUP(A1231,Internal_lists_bugs!$A$2:$G2031,7,FALSE()),"nova/commit","nova/src/commit"),"please select a BUG ID")</f>
        <v>please select a BUG ID</v>
      </c>
      <c r="D1231" s="54"/>
      <c r="F1231" s="54"/>
      <c r="H1231" s="114"/>
      <c r="J1231" s="183" t="str">
        <f>IFERROR(VLOOKUP(A1231,Internal_lists_bugs!$A$2:$I2031,9,FALSE()),"please select a BUG ID")</f>
        <v>please select a BUG ID</v>
      </c>
    </row>
    <row r="1232">
      <c r="A1232" s="54"/>
      <c r="B1232" s="71" t="str">
        <f>IFERROR(HYPERLINK(VLOOKUP(A1232,Internal_lists_bugs!$A$2:$C$73,3,FALSE()), VLOOKUP(A1232,Internal_lists_bugs!$A$2:$C$73,3,FALSE())&amp;Char(10) &amp; Char(10) &amp; VLOOKUP(A1232,Internal_lists_bugs!$A$2:$Z$73,26,FALSE())),"please select a BUG ID")</f>
        <v>please select a BUG ID</v>
      </c>
      <c r="C1232" s="51" t="str">
        <f>IFERROR(SUBSTITUTE(VLOOKUP(A1232,Internal_lists_bugs!$A$2:$G2031,7,FALSE()),"nova/commit","nova/src/commit"),"please select a BUG ID")</f>
        <v>please select a BUG ID</v>
      </c>
      <c r="D1232" s="54"/>
      <c r="F1232" s="54"/>
      <c r="H1232" s="114"/>
      <c r="J1232" s="183" t="str">
        <f>IFERROR(VLOOKUP(A1232,Internal_lists_bugs!$A$2:$I2031,9,FALSE()),"please select a BUG ID")</f>
        <v>please select a BUG ID</v>
      </c>
    </row>
    <row r="1233">
      <c r="A1233" s="54"/>
      <c r="B1233" s="71" t="str">
        <f>IFERROR(HYPERLINK(VLOOKUP(A1233,Internal_lists_bugs!$A$2:$C$73,3,FALSE()), VLOOKUP(A1233,Internal_lists_bugs!$A$2:$C$73,3,FALSE())&amp;Char(10) &amp; Char(10) &amp; VLOOKUP(A1233,Internal_lists_bugs!$A$2:$Z$73,26,FALSE())),"please select a BUG ID")</f>
        <v>please select a BUG ID</v>
      </c>
      <c r="C1233" s="51" t="str">
        <f>IFERROR(SUBSTITUTE(VLOOKUP(A1233,Internal_lists_bugs!$A$2:$G2031,7,FALSE()),"nova/commit","nova/src/commit"),"please select a BUG ID")</f>
        <v>please select a BUG ID</v>
      </c>
      <c r="D1233" s="54"/>
      <c r="F1233" s="54"/>
      <c r="H1233" s="114"/>
      <c r="J1233" s="183" t="str">
        <f>IFERROR(VLOOKUP(A1233,Internal_lists_bugs!$A$2:$I2031,9,FALSE()),"please select a BUG ID")</f>
        <v>please select a BUG ID</v>
      </c>
    </row>
    <row r="1234">
      <c r="A1234" s="54"/>
      <c r="B1234" s="71" t="str">
        <f>IFERROR(HYPERLINK(VLOOKUP(A1234,Internal_lists_bugs!$A$2:$C$73,3,FALSE()), VLOOKUP(A1234,Internal_lists_bugs!$A$2:$C$73,3,FALSE())&amp;Char(10) &amp; Char(10) &amp; VLOOKUP(A1234,Internal_lists_bugs!$A$2:$Z$73,26,FALSE())),"please select a BUG ID")</f>
        <v>please select a BUG ID</v>
      </c>
      <c r="C1234" s="51" t="str">
        <f>IFERROR(SUBSTITUTE(VLOOKUP(A1234,Internal_lists_bugs!$A$2:$G2031,7,FALSE()),"nova/commit","nova/src/commit"),"please select a BUG ID")</f>
        <v>please select a BUG ID</v>
      </c>
      <c r="D1234" s="54"/>
      <c r="F1234" s="54"/>
      <c r="H1234" s="114"/>
      <c r="J1234" s="183" t="str">
        <f>IFERROR(VLOOKUP(A1234,Internal_lists_bugs!$A$2:$I2031,9,FALSE()),"please select a BUG ID")</f>
        <v>please select a BUG ID</v>
      </c>
    </row>
    <row r="1235">
      <c r="A1235" s="54"/>
      <c r="B1235" s="71" t="str">
        <f>IFERROR(HYPERLINK(VLOOKUP(A1235,Internal_lists_bugs!$A$2:$C$73,3,FALSE()), VLOOKUP(A1235,Internal_lists_bugs!$A$2:$C$73,3,FALSE())&amp;Char(10) &amp; Char(10) &amp; VLOOKUP(A1235,Internal_lists_bugs!$A$2:$Z$73,26,FALSE())),"please select a BUG ID")</f>
        <v>please select a BUG ID</v>
      </c>
      <c r="C1235" s="51" t="str">
        <f>IFERROR(SUBSTITUTE(VLOOKUP(A1235,Internal_lists_bugs!$A$2:$G2031,7,FALSE()),"nova/commit","nova/src/commit"),"please select a BUG ID")</f>
        <v>please select a BUG ID</v>
      </c>
      <c r="D1235" s="54"/>
      <c r="F1235" s="54"/>
      <c r="H1235" s="114"/>
      <c r="J1235" s="183" t="str">
        <f>IFERROR(VLOOKUP(A1235,Internal_lists_bugs!$A$2:$I2031,9,FALSE()),"please select a BUG ID")</f>
        <v>please select a BUG ID</v>
      </c>
    </row>
    <row r="1236">
      <c r="A1236" s="54"/>
      <c r="B1236" s="71" t="str">
        <f>IFERROR(HYPERLINK(VLOOKUP(A1236,Internal_lists_bugs!$A$2:$C$73,3,FALSE()), VLOOKUP(A1236,Internal_lists_bugs!$A$2:$C$73,3,FALSE())&amp;Char(10) &amp; Char(10) &amp; VLOOKUP(A1236,Internal_lists_bugs!$A$2:$Z$73,26,FALSE())),"please select a BUG ID")</f>
        <v>please select a BUG ID</v>
      </c>
      <c r="C1236" s="51" t="str">
        <f>IFERROR(SUBSTITUTE(VLOOKUP(A1236,Internal_lists_bugs!$A$2:$G2031,7,FALSE()),"nova/commit","nova/src/commit"),"please select a BUG ID")</f>
        <v>please select a BUG ID</v>
      </c>
      <c r="D1236" s="54"/>
      <c r="F1236" s="54"/>
      <c r="H1236" s="114"/>
      <c r="J1236" s="183" t="str">
        <f>IFERROR(VLOOKUP(A1236,Internal_lists_bugs!$A$2:$I2031,9,FALSE()),"please select a BUG ID")</f>
        <v>please select a BUG ID</v>
      </c>
    </row>
    <row r="1237">
      <c r="A1237" s="54"/>
      <c r="B1237" s="71" t="str">
        <f>IFERROR(HYPERLINK(VLOOKUP(A1237,Internal_lists_bugs!$A$2:$C$73,3,FALSE()), VLOOKUP(A1237,Internal_lists_bugs!$A$2:$C$73,3,FALSE())&amp;Char(10) &amp; Char(10) &amp; VLOOKUP(A1237,Internal_lists_bugs!$A$2:$Z$73,26,FALSE())),"please select a BUG ID")</f>
        <v>please select a BUG ID</v>
      </c>
      <c r="C1237" s="51" t="str">
        <f>IFERROR(SUBSTITUTE(VLOOKUP(A1237,Internal_lists_bugs!$A$2:$G2031,7,FALSE()),"nova/commit","nova/src/commit"),"please select a BUG ID")</f>
        <v>please select a BUG ID</v>
      </c>
      <c r="D1237" s="54"/>
      <c r="F1237" s="54"/>
      <c r="H1237" s="114"/>
      <c r="J1237" s="183" t="str">
        <f>IFERROR(VLOOKUP(A1237,Internal_lists_bugs!$A$2:$I2031,9,FALSE()),"please select a BUG ID")</f>
        <v>please select a BUG ID</v>
      </c>
    </row>
    <row r="1238">
      <c r="A1238" s="54"/>
      <c r="B1238" s="71" t="str">
        <f>IFERROR(HYPERLINK(VLOOKUP(A1238,Internal_lists_bugs!$A$2:$C$73,3,FALSE()), VLOOKUP(A1238,Internal_lists_bugs!$A$2:$C$73,3,FALSE())&amp;Char(10) &amp; Char(10) &amp; VLOOKUP(A1238,Internal_lists_bugs!$A$2:$Z$73,26,FALSE())),"please select a BUG ID")</f>
        <v>please select a BUG ID</v>
      </c>
      <c r="C1238" s="51" t="str">
        <f>IFERROR(SUBSTITUTE(VLOOKUP(A1238,Internal_lists_bugs!$A$2:$G2031,7,FALSE()),"nova/commit","nova/src/commit"),"please select a BUG ID")</f>
        <v>please select a BUG ID</v>
      </c>
      <c r="D1238" s="54"/>
      <c r="F1238" s="54"/>
      <c r="H1238" s="114"/>
      <c r="J1238" s="183" t="str">
        <f>IFERROR(VLOOKUP(A1238,Internal_lists_bugs!$A$2:$I2031,9,FALSE()),"please select a BUG ID")</f>
        <v>please select a BUG ID</v>
      </c>
    </row>
    <row r="1239">
      <c r="A1239" s="54"/>
      <c r="B1239" s="71" t="str">
        <f>IFERROR(HYPERLINK(VLOOKUP(A1239,Internal_lists_bugs!$A$2:$C$73,3,FALSE()), VLOOKUP(A1239,Internal_lists_bugs!$A$2:$C$73,3,FALSE())&amp;Char(10) &amp; Char(10) &amp; VLOOKUP(A1239,Internal_lists_bugs!$A$2:$Z$73,26,FALSE())),"please select a BUG ID")</f>
        <v>please select a BUG ID</v>
      </c>
      <c r="C1239" s="51" t="str">
        <f>IFERROR(SUBSTITUTE(VLOOKUP(A1239,Internal_lists_bugs!$A$2:$G2031,7,FALSE()),"nova/commit","nova/src/commit"),"please select a BUG ID")</f>
        <v>please select a BUG ID</v>
      </c>
      <c r="D1239" s="54"/>
      <c r="F1239" s="54"/>
      <c r="H1239" s="114"/>
      <c r="J1239" s="183" t="str">
        <f>IFERROR(VLOOKUP(A1239,Internal_lists_bugs!$A$2:$I2031,9,FALSE()),"please select a BUG ID")</f>
        <v>please select a BUG ID</v>
      </c>
    </row>
    <row r="1240">
      <c r="A1240" s="54"/>
      <c r="B1240" s="71" t="str">
        <f>IFERROR(HYPERLINK(VLOOKUP(A1240,Internal_lists_bugs!$A$2:$C$73,3,FALSE()), VLOOKUP(A1240,Internal_lists_bugs!$A$2:$C$73,3,FALSE())&amp;Char(10) &amp; Char(10) &amp; VLOOKUP(A1240,Internal_lists_bugs!$A$2:$Z$73,26,FALSE())),"please select a BUG ID")</f>
        <v>please select a BUG ID</v>
      </c>
      <c r="C1240" s="51" t="str">
        <f>IFERROR(SUBSTITUTE(VLOOKUP(A1240,Internal_lists_bugs!$A$2:$G2031,7,FALSE()),"nova/commit","nova/src/commit"),"please select a BUG ID")</f>
        <v>please select a BUG ID</v>
      </c>
      <c r="D1240" s="54"/>
      <c r="F1240" s="54"/>
      <c r="H1240" s="114"/>
      <c r="J1240" s="183" t="str">
        <f>IFERROR(VLOOKUP(A1240,Internal_lists_bugs!$A$2:$I2031,9,FALSE()),"please select a BUG ID")</f>
        <v>please select a BUG ID</v>
      </c>
    </row>
    <row r="1241">
      <c r="A1241" s="54"/>
      <c r="B1241" s="71" t="str">
        <f>IFERROR(HYPERLINK(VLOOKUP(A1241,Internal_lists_bugs!$A$2:$C$73,3,FALSE()), VLOOKUP(A1241,Internal_lists_bugs!$A$2:$C$73,3,FALSE())&amp;Char(10) &amp; Char(10) &amp; VLOOKUP(A1241,Internal_lists_bugs!$A$2:$Z$73,26,FALSE())),"please select a BUG ID")</f>
        <v>please select a BUG ID</v>
      </c>
      <c r="C1241" s="51" t="str">
        <f>IFERROR(SUBSTITUTE(VLOOKUP(A1241,Internal_lists_bugs!$A$2:$G2031,7,FALSE()),"nova/commit","nova/src/commit"),"please select a BUG ID")</f>
        <v>please select a BUG ID</v>
      </c>
      <c r="D1241" s="54"/>
      <c r="F1241" s="54"/>
      <c r="H1241" s="114"/>
      <c r="J1241" s="183" t="str">
        <f>IFERROR(VLOOKUP(A1241,Internal_lists_bugs!$A$2:$I2031,9,FALSE()),"please select a BUG ID")</f>
        <v>please select a BUG ID</v>
      </c>
    </row>
    <row r="1242">
      <c r="A1242" s="54"/>
      <c r="B1242" s="71" t="str">
        <f>IFERROR(HYPERLINK(VLOOKUP(A1242,Internal_lists_bugs!$A$2:$C$73,3,FALSE()), VLOOKUP(A1242,Internal_lists_bugs!$A$2:$C$73,3,FALSE())&amp;Char(10) &amp; Char(10) &amp; VLOOKUP(A1242,Internal_lists_bugs!$A$2:$Z$73,26,FALSE())),"please select a BUG ID")</f>
        <v>please select a BUG ID</v>
      </c>
      <c r="C1242" s="51" t="str">
        <f>IFERROR(SUBSTITUTE(VLOOKUP(A1242,Internal_lists_bugs!$A$2:$G2031,7,FALSE()),"nova/commit","nova/src/commit"),"please select a BUG ID")</f>
        <v>please select a BUG ID</v>
      </c>
      <c r="D1242" s="54"/>
      <c r="F1242" s="54"/>
      <c r="H1242" s="114"/>
      <c r="J1242" s="183" t="str">
        <f>IFERROR(VLOOKUP(A1242,Internal_lists_bugs!$A$2:$I2031,9,FALSE()),"please select a BUG ID")</f>
        <v>please select a BUG ID</v>
      </c>
    </row>
    <row r="1243">
      <c r="A1243" s="54"/>
      <c r="B1243" s="71" t="str">
        <f>IFERROR(HYPERLINK(VLOOKUP(A1243,Internal_lists_bugs!$A$2:$C$73,3,FALSE()), VLOOKUP(A1243,Internal_lists_bugs!$A$2:$C$73,3,FALSE())&amp;Char(10) &amp; Char(10) &amp; VLOOKUP(A1243,Internal_lists_bugs!$A$2:$Z$73,26,FALSE())),"please select a BUG ID")</f>
        <v>please select a BUG ID</v>
      </c>
      <c r="C1243" s="51" t="str">
        <f>IFERROR(SUBSTITUTE(VLOOKUP(A1243,Internal_lists_bugs!$A$2:$G2031,7,FALSE()),"nova/commit","nova/src/commit"),"please select a BUG ID")</f>
        <v>please select a BUG ID</v>
      </c>
      <c r="D1243" s="54"/>
      <c r="F1243" s="54"/>
      <c r="H1243" s="114"/>
      <c r="J1243" s="183" t="str">
        <f>IFERROR(VLOOKUP(A1243,Internal_lists_bugs!$A$2:$I2031,9,FALSE()),"please select a BUG ID")</f>
        <v>please select a BUG ID</v>
      </c>
    </row>
    <row r="1244">
      <c r="A1244" s="54"/>
      <c r="B1244" s="71" t="str">
        <f>IFERROR(HYPERLINK(VLOOKUP(A1244,Internal_lists_bugs!$A$2:$C$73,3,FALSE()), VLOOKUP(A1244,Internal_lists_bugs!$A$2:$C$73,3,FALSE())&amp;Char(10) &amp; Char(10) &amp; VLOOKUP(A1244,Internal_lists_bugs!$A$2:$Z$73,26,FALSE())),"please select a BUG ID")</f>
        <v>please select a BUG ID</v>
      </c>
      <c r="C1244" s="51" t="str">
        <f>IFERROR(SUBSTITUTE(VLOOKUP(A1244,Internal_lists_bugs!$A$2:$G2031,7,FALSE()),"nova/commit","nova/src/commit"),"please select a BUG ID")</f>
        <v>please select a BUG ID</v>
      </c>
      <c r="D1244" s="54"/>
      <c r="F1244" s="54"/>
      <c r="H1244" s="114"/>
      <c r="J1244" s="183" t="str">
        <f>IFERROR(VLOOKUP(A1244,Internal_lists_bugs!$A$2:$I2031,9,FALSE()),"please select a BUG ID")</f>
        <v>please select a BUG ID</v>
      </c>
    </row>
    <row r="1245">
      <c r="A1245" s="54"/>
      <c r="B1245" s="71" t="str">
        <f>IFERROR(HYPERLINK(VLOOKUP(A1245,Internal_lists_bugs!$A$2:$C$73,3,FALSE()), VLOOKUP(A1245,Internal_lists_bugs!$A$2:$C$73,3,FALSE())&amp;Char(10) &amp; Char(10) &amp; VLOOKUP(A1245,Internal_lists_bugs!$A$2:$Z$73,26,FALSE())),"please select a BUG ID")</f>
        <v>please select a BUG ID</v>
      </c>
      <c r="C1245" s="51" t="str">
        <f>IFERROR(SUBSTITUTE(VLOOKUP(A1245,Internal_lists_bugs!$A$2:$G2031,7,FALSE()),"nova/commit","nova/src/commit"),"please select a BUG ID")</f>
        <v>please select a BUG ID</v>
      </c>
      <c r="D1245" s="54"/>
      <c r="F1245" s="54"/>
      <c r="H1245" s="114"/>
      <c r="J1245" s="183" t="str">
        <f>IFERROR(VLOOKUP(A1245,Internal_lists_bugs!$A$2:$I2031,9,FALSE()),"please select a BUG ID")</f>
        <v>please select a BUG ID</v>
      </c>
    </row>
    <row r="1246">
      <c r="A1246" s="54"/>
      <c r="B1246" s="71" t="str">
        <f>IFERROR(HYPERLINK(VLOOKUP(A1246,Internal_lists_bugs!$A$2:$C$73,3,FALSE()), VLOOKUP(A1246,Internal_lists_bugs!$A$2:$C$73,3,FALSE())&amp;Char(10) &amp; Char(10) &amp; VLOOKUP(A1246,Internal_lists_bugs!$A$2:$Z$73,26,FALSE())),"please select a BUG ID")</f>
        <v>please select a BUG ID</v>
      </c>
      <c r="C1246" s="51" t="str">
        <f>IFERROR(SUBSTITUTE(VLOOKUP(A1246,Internal_lists_bugs!$A$2:$G2031,7,FALSE()),"nova/commit","nova/src/commit"),"please select a BUG ID")</f>
        <v>please select a BUG ID</v>
      </c>
      <c r="D1246" s="54"/>
      <c r="F1246" s="54"/>
      <c r="H1246" s="114"/>
      <c r="J1246" s="183" t="str">
        <f>IFERROR(VLOOKUP(A1246,Internal_lists_bugs!$A$2:$I2031,9,FALSE()),"please select a BUG ID")</f>
        <v>please select a BUG ID</v>
      </c>
    </row>
    <row r="1247">
      <c r="A1247" s="54"/>
      <c r="B1247" s="71" t="str">
        <f>IFERROR(HYPERLINK(VLOOKUP(A1247,Internal_lists_bugs!$A$2:$C$73,3,FALSE()), VLOOKUP(A1247,Internal_lists_bugs!$A$2:$C$73,3,FALSE())&amp;Char(10) &amp; Char(10) &amp; VLOOKUP(A1247,Internal_lists_bugs!$A$2:$Z$73,26,FALSE())),"please select a BUG ID")</f>
        <v>please select a BUG ID</v>
      </c>
      <c r="C1247" s="51" t="str">
        <f>IFERROR(SUBSTITUTE(VLOOKUP(A1247,Internal_lists_bugs!$A$2:$G2031,7,FALSE()),"nova/commit","nova/src/commit"),"please select a BUG ID")</f>
        <v>please select a BUG ID</v>
      </c>
      <c r="D1247" s="54"/>
      <c r="F1247" s="54"/>
      <c r="H1247" s="114"/>
      <c r="J1247" s="183" t="str">
        <f>IFERROR(VLOOKUP(A1247,Internal_lists_bugs!$A$2:$I2031,9,FALSE()),"please select a BUG ID")</f>
        <v>please select a BUG ID</v>
      </c>
    </row>
    <row r="1248">
      <c r="A1248" s="54"/>
      <c r="B1248" s="71" t="str">
        <f>IFERROR(HYPERLINK(VLOOKUP(A1248,Internal_lists_bugs!$A$2:$C$73,3,FALSE()), VLOOKUP(A1248,Internal_lists_bugs!$A$2:$C$73,3,FALSE())&amp;Char(10) &amp; Char(10) &amp; VLOOKUP(A1248,Internal_lists_bugs!$A$2:$Z$73,26,FALSE())),"please select a BUG ID")</f>
        <v>please select a BUG ID</v>
      </c>
      <c r="C1248" s="51" t="str">
        <f>IFERROR(SUBSTITUTE(VLOOKUP(A1248,Internal_lists_bugs!$A$2:$G2031,7,FALSE()),"nova/commit","nova/src/commit"),"please select a BUG ID")</f>
        <v>please select a BUG ID</v>
      </c>
      <c r="D1248" s="54"/>
      <c r="F1248" s="54"/>
      <c r="H1248" s="114"/>
      <c r="J1248" s="183" t="str">
        <f>IFERROR(VLOOKUP(A1248,Internal_lists_bugs!$A$2:$I2031,9,FALSE()),"please select a BUG ID")</f>
        <v>please select a BUG ID</v>
      </c>
    </row>
    <row r="1249">
      <c r="A1249" s="54"/>
      <c r="B1249" s="71" t="str">
        <f>IFERROR(HYPERLINK(VLOOKUP(A1249,Internal_lists_bugs!$A$2:$C$73,3,FALSE()), VLOOKUP(A1249,Internal_lists_bugs!$A$2:$C$73,3,FALSE())&amp;Char(10) &amp; Char(10) &amp; VLOOKUP(A1249,Internal_lists_bugs!$A$2:$Z$73,26,FALSE())),"please select a BUG ID")</f>
        <v>please select a BUG ID</v>
      </c>
      <c r="C1249" s="51" t="str">
        <f>IFERROR(SUBSTITUTE(VLOOKUP(A1249,Internal_lists_bugs!$A$2:$G2031,7,FALSE()),"nova/commit","nova/src/commit"),"please select a BUG ID")</f>
        <v>please select a BUG ID</v>
      </c>
      <c r="D1249" s="54"/>
      <c r="F1249" s="54"/>
      <c r="H1249" s="114"/>
      <c r="J1249" s="183" t="str">
        <f>IFERROR(VLOOKUP(A1249,Internal_lists_bugs!$A$2:$I2031,9,FALSE()),"please select a BUG ID")</f>
        <v>please select a BUG ID</v>
      </c>
    </row>
    <row r="1250">
      <c r="A1250" s="54"/>
      <c r="B1250" s="71" t="str">
        <f>IFERROR(HYPERLINK(VLOOKUP(A1250,Internal_lists_bugs!$A$2:$C$73,3,FALSE()), VLOOKUP(A1250,Internal_lists_bugs!$A$2:$C$73,3,FALSE())&amp;Char(10) &amp; Char(10) &amp; VLOOKUP(A1250,Internal_lists_bugs!$A$2:$Z$73,26,FALSE())),"please select a BUG ID")</f>
        <v>please select a BUG ID</v>
      </c>
      <c r="C1250" s="51" t="str">
        <f>IFERROR(SUBSTITUTE(VLOOKUP(A1250,Internal_lists_bugs!$A$2:$G2031,7,FALSE()),"nova/commit","nova/src/commit"),"please select a BUG ID")</f>
        <v>please select a BUG ID</v>
      </c>
      <c r="D1250" s="54"/>
      <c r="F1250" s="54"/>
      <c r="H1250" s="114"/>
      <c r="J1250" s="183" t="str">
        <f>IFERROR(VLOOKUP(A1250,Internal_lists_bugs!$A$2:$I2031,9,FALSE()),"please select a BUG ID")</f>
        <v>please select a BUG ID</v>
      </c>
    </row>
    <row r="1251">
      <c r="A1251" s="54"/>
      <c r="B1251" s="71" t="str">
        <f>IFERROR(HYPERLINK(VLOOKUP(A1251,Internal_lists_bugs!$A$2:$C$73,3,FALSE()), VLOOKUP(A1251,Internal_lists_bugs!$A$2:$C$73,3,FALSE())&amp;Char(10) &amp; Char(10) &amp; VLOOKUP(A1251,Internal_lists_bugs!$A$2:$Z$73,26,FALSE())),"please select a BUG ID")</f>
        <v>please select a BUG ID</v>
      </c>
      <c r="C1251" s="51" t="str">
        <f>IFERROR(SUBSTITUTE(VLOOKUP(A1251,Internal_lists_bugs!$A$2:$G2031,7,FALSE()),"nova/commit","nova/src/commit"),"please select a BUG ID")</f>
        <v>please select a BUG ID</v>
      </c>
      <c r="D1251" s="54"/>
      <c r="F1251" s="54"/>
      <c r="H1251" s="114"/>
      <c r="J1251" s="183" t="str">
        <f>IFERROR(VLOOKUP(A1251,Internal_lists_bugs!$A$2:$I2031,9,FALSE()),"please select a BUG ID")</f>
        <v>please select a BUG ID</v>
      </c>
    </row>
    <row r="1252">
      <c r="A1252" s="54"/>
      <c r="B1252" s="71" t="str">
        <f>IFERROR(HYPERLINK(VLOOKUP(A1252,Internal_lists_bugs!$A$2:$C$73,3,FALSE()), VLOOKUP(A1252,Internal_lists_bugs!$A$2:$C$73,3,FALSE())&amp;Char(10) &amp; Char(10) &amp; VLOOKUP(A1252,Internal_lists_bugs!$A$2:$Z$73,26,FALSE())),"please select a BUG ID")</f>
        <v>please select a BUG ID</v>
      </c>
      <c r="C1252" s="51" t="str">
        <f>IFERROR(SUBSTITUTE(VLOOKUP(A1252,Internal_lists_bugs!$A$2:$G2031,7,FALSE()),"nova/commit","nova/src/commit"),"please select a BUG ID")</f>
        <v>please select a BUG ID</v>
      </c>
      <c r="D1252" s="54"/>
      <c r="F1252" s="54"/>
      <c r="H1252" s="114"/>
      <c r="J1252" s="183" t="str">
        <f>IFERROR(VLOOKUP(A1252,Internal_lists_bugs!$A$2:$I2031,9,FALSE()),"please select a BUG ID")</f>
        <v>please select a BUG ID</v>
      </c>
    </row>
    <row r="1253">
      <c r="A1253" s="54"/>
      <c r="B1253" s="71" t="str">
        <f>IFERROR(HYPERLINK(VLOOKUP(A1253,Internal_lists_bugs!$A$2:$C$73,3,FALSE()), VLOOKUP(A1253,Internal_lists_bugs!$A$2:$C$73,3,FALSE())&amp;Char(10) &amp; Char(10) &amp; VLOOKUP(A1253,Internal_lists_bugs!$A$2:$Z$73,26,FALSE())),"please select a BUG ID")</f>
        <v>please select a BUG ID</v>
      </c>
      <c r="C1253" s="51" t="str">
        <f>IFERROR(SUBSTITUTE(VLOOKUP(A1253,Internal_lists_bugs!$A$2:$G2031,7,FALSE()),"nova/commit","nova/src/commit"),"please select a BUG ID")</f>
        <v>please select a BUG ID</v>
      </c>
      <c r="D1253" s="54"/>
      <c r="F1253" s="54"/>
      <c r="H1253" s="114"/>
      <c r="J1253" s="183" t="str">
        <f>IFERROR(VLOOKUP(A1253,Internal_lists_bugs!$A$2:$I2031,9,FALSE()),"please select a BUG ID")</f>
        <v>please select a BUG ID</v>
      </c>
    </row>
    <row r="1254">
      <c r="A1254" s="54"/>
      <c r="B1254" s="71" t="str">
        <f>IFERROR(HYPERLINK(VLOOKUP(A1254,Internal_lists_bugs!$A$2:$C$73,3,FALSE()), VLOOKUP(A1254,Internal_lists_bugs!$A$2:$C$73,3,FALSE())&amp;Char(10) &amp; Char(10) &amp; VLOOKUP(A1254,Internal_lists_bugs!$A$2:$Z$73,26,FALSE())),"please select a BUG ID")</f>
        <v>please select a BUG ID</v>
      </c>
      <c r="C1254" s="51" t="str">
        <f>IFERROR(SUBSTITUTE(VLOOKUP(A1254,Internal_lists_bugs!$A$2:$G2031,7,FALSE()),"nova/commit","nova/src/commit"),"please select a BUG ID")</f>
        <v>please select a BUG ID</v>
      </c>
      <c r="D1254" s="54"/>
      <c r="F1254" s="54"/>
      <c r="H1254" s="114"/>
      <c r="J1254" s="183" t="str">
        <f>IFERROR(VLOOKUP(A1254,Internal_lists_bugs!$A$2:$I2031,9,FALSE()),"please select a BUG ID")</f>
        <v>please select a BUG ID</v>
      </c>
    </row>
    <row r="1255">
      <c r="A1255" s="54"/>
      <c r="B1255" s="71" t="str">
        <f>IFERROR(HYPERLINK(VLOOKUP(A1255,Internal_lists_bugs!$A$2:$C$73,3,FALSE()), VLOOKUP(A1255,Internal_lists_bugs!$A$2:$C$73,3,FALSE())&amp;Char(10) &amp; Char(10) &amp; VLOOKUP(A1255,Internal_lists_bugs!$A$2:$Z$73,26,FALSE())),"please select a BUG ID")</f>
        <v>please select a BUG ID</v>
      </c>
      <c r="C1255" s="51" t="str">
        <f>IFERROR(SUBSTITUTE(VLOOKUP(A1255,Internal_lists_bugs!$A$2:$G2031,7,FALSE()),"nova/commit","nova/src/commit"),"please select a BUG ID")</f>
        <v>please select a BUG ID</v>
      </c>
      <c r="D1255" s="54"/>
      <c r="F1255" s="54"/>
      <c r="H1255" s="114"/>
      <c r="J1255" s="183" t="str">
        <f>IFERROR(VLOOKUP(A1255,Internal_lists_bugs!$A$2:$I2031,9,FALSE()),"please select a BUG ID")</f>
        <v>please select a BUG ID</v>
      </c>
    </row>
    <row r="1256">
      <c r="A1256" s="54"/>
      <c r="B1256" s="71" t="str">
        <f>IFERROR(HYPERLINK(VLOOKUP(A1256,Internal_lists_bugs!$A$2:$C$73,3,FALSE()), VLOOKUP(A1256,Internal_lists_bugs!$A$2:$C$73,3,FALSE())&amp;Char(10) &amp; Char(10) &amp; VLOOKUP(A1256,Internal_lists_bugs!$A$2:$Z$73,26,FALSE())),"please select a BUG ID")</f>
        <v>please select a BUG ID</v>
      </c>
      <c r="C1256" s="51" t="str">
        <f>IFERROR(SUBSTITUTE(VLOOKUP(A1256,Internal_lists_bugs!$A$2:$G2031,7,FALSE()),"nova/commit","nova/src/commit"),"please select a BUG ID")</f>
        <v>please select a BUG ID</v>
      </c>
      <c r="D1256" s="54"/>
      <c r="F1256" s="54"/>
      <c r="H1256" s="114"/>
      <c r="J1256" s="183" t="str">
        <f>IFERROR(VLOOKUP(A1256,Internal_lists_bugs!$A$2:$I2031,9,FALSE()),"please select a BUG ID")</f>
        <v>please select a BUG ID</v>
      </c>
    </row>
    <row r="1257">
      <c r="A1257" s="54"/>
      <c r="B1257" s="71" t="str">
        <f>IFERROR(HYPERLINK(VLOOKUP(A1257,Internal_lists_bugs!$A$2:$C$73,3,FALSE()), VLOOKUP(A1257,Internal_lists_bugs!$A$2:$C$73,3,FALSE())&amp;Char(10) &amp; Char(10) &amp; VLOOKUP(A1257,Internal_lists_bugs!$A$2:$Z$73,26,FALSE())),"please select a BUG ID")</f>
        <v>please select a BUG ID</v>
      </c>
      <c r="C1257" s="51" t="str">
        <f>IFERROR(SUBSTITUTE(VLOOKUP(A1257,Internal_lists_bugs!$A$2:$G2031,7,FALSE()),"nova/commit","nova/src/commit"),"please select a BUG ID")</f>
        <v>please select a BUG ID</v>
      </c>
      <c r="D1257" s="54"/>
      <c r="F1257" s="54"/>
      <c r="H1257" s="114"/>
      <c r="J1257" s="183" t="str">
        <f>IFERROR(VLOOKUP(A1257,Internal_lists_bugs!$A$2:$I2031,9,FALSE()),"please select a BUG ID")</f>
        <v>please select a BUG ID</v>
      </c>
    </row>
    <row r="1258">
      <c r="A1258" s="54"/>
      <c r="B1258" s="71" t="str">
        <f>IFERROR(HYPERLINK(VLOOKUP(A1258,Internal_lists_bugs!$A$2:$C$73,3,FALSE()), VLOOKUP(A1258,Internal_lists_bugs!$A$2:$C$73,3,FALSE())&amp;Char(10) &amp; Char(10) &amp; VLOOKUP(A1258,Internal_lists_bugs!$A$2:$Z$73,26,FALSE())),"please select a BUG ID")</f>
        <v>please select a BUG ID</v>
      </c>
      <c r="C1258" s="51" t="str">
        <f>IFERROR(SUBSTITUTE(VLOOKUP(A1258,Internal_lists_bugs!$A$2:$G2031,7,FALSE()),"nova/commit","nova/src/commit"),"please select a BUG ID")</f>
        <v>please select a BUG ID</v>
      </c>
      <c r="D1258" s="54"/>
      <c r="F1258" s="54"/>
      <c r="H1258" s="114"/>
      <c r="J1258" s="183" t="str">
        <f>IFERROR(VLOOKUP(A1258,Internal_lists_bugs!$A$2:$I2031,9,FALSE()),"please select a BUG ID")</f>
        <v>please select a BUG ID</v>
      </c>
    </row>
    <row r="1259">
      <c r="A1259" s="54"/>
      <c r="B1259" s="71" t="str">
        <f>IFERROR(HYPERLINK(VLOOKUP(A1259,Internal_lists_bugs!$A$2:$C$73,3,FALSE()), VLOOKUP(A1259,Internal_lists_bugs!$A$2:$C$73,3,FALSE())&amp;Char(10) &amp; Char(10) &amp; VLOOKUP(A1259,Internal_lists_bugs!$A$2:$Z$73,26,FALSE())),"please select a BUG ID")</f>
        <v>please select a BUG ID</v>
      </c>
      <c r="C1259" s="51" t="str">
        <f>IFERROR(SUBSTITUTE(VLOOKUP(A1259,Internal_lists_bugs!$A$2:$G2031,7,FALSE()),"nova/commit","nova/src/commit"),"please select a BUG ID")</f>
        <v>please select a BUG ID</v>
      </c>
      <c r="D1259" s="54"/>
      <c r="F1259" s="54"/>
      <c r="H1259" s="114"/>
      <c r="J1259" s="183" t="str">
        <f>IFERROR(VLOOKUP(A1259,Internal_lists_bugs!$A$2:$I2031,9,FALSE()),"please select a BUG ID")</f>
        <v>please select a BUG ID</v>
      </c>
    </row>
    <row r="1260">
      <c r="A1260" s="54"/>
      <c r="B1260" s="71" t="str">
        <f>IFERROR(HYPERLINK(VLOOKUP(A1260,Internal_lists_bugs!$A$2:$C$73,3,FALSE()), VLOOKUP(A1260,Internal_lists_bugs!$A$2:$C$73,3,FALSE())&amp;Char(10) &amp; Char(10) &amp; VLOOKUP(A1260,Internal_lists_bugs!$A$2:$Z$73,26,FALSE())),"please select a BUG ID")</f>
        <v>please select a BUG ID</v>
      </c>
      <c r="C1260" s="51" t="str">
        <f>IFERROR(SUBSTITUTE(VLOOKUP(A1260,Internal_lists_bugs!$A$2:$G2031,7,FALSE()),"nova/commit","nova/src/commit"),"please select a BUG ID")</f>
        <v>please select a BUG ID</v>
      </c>
      <c r="D1260" s="54"/>
      <c r="F1260" s="54"/>
      <c r="H1260" s="114"/>
      <c r="J1260" s="183" t="str">
        <f>IFERROR(VLOOKUP(A1260,Internal_lists_bugs!$A$2:$I2031,9,FALSE()),"please select a BUG ID")</f>
        <v>please select a BUG ID</v>
      </c>
    </row>
    <row r="1261">
      <c r="A1261" s="54"/>
      <c r="B1261" s="71" t="str">
        <f>IFERROR(HYPERLINK(VLOOKUP(A1261,Internal_lists_bugs!$A$2:$C$73,3,FALSE()), VLOOKUP(A1261,Internal_lists_bugs!$A$2:$C$73,3,FALSE())&amp;Char(10) &amp; Char(10) &amp; VLOOKUP(A1261,Internal_lists_bugs!$A$2:$Z$73,26,FALSE())),"please select a BUG ID")</f>
        <v>please select a BUG ID</v>
      </c>
      <c r="C1261" s="51" t="str">
        <f>IFERROR(SUBSTITUTE(VLOOKUP(A1261,Internal_lists_bugs!$A$2:$G2031,7,FALSE()),"nova/commit","nova/src/commit"),"please select a BUG ID")</f>
        <v>please select a BUG ID</v>
      </c>
      <c r="D1261" s="54"/>
      <c r="F1261" s="54"/>
      <c r="H1261" s="114"/>
      <c r="J1261" s="183" t="str">
        <f>IFERROR(VLOOKUP(A1261,Internal_lists_bugs!$A$2:$I2031,9,FALSE()),"please select a BUG ID")</f>
        <v>please select a BUG ID</v>
      </c>
    </row>
    <row r="1262">
      <c r="A1262" s="54"/>
      <c r="B1262" s="71" t="str">
        <f>IFERROR(HYPERLINK(VLOOKUP(A1262,Internal_lists_bugs!$A$2:$C$73,3,FALSE()), VLOOKUP(A1262,Internal_lists_bugs!$A$2:$C$73,3,FALSE())&amp;Char(10) &amp; Char(10) &amp; VLOOKUP(A1262,Internal_lists_bugs!$A$2:$Z$73,26,FALSE())),"please select a BUG ID")</f>
        <v>please select a BUG ID</v>
      </c>
      <c r="C1262" s="51" t="str">
        <f>IFERROR(SUBSTITUTE(VLOOKUP(A1262,Internal_lists_bugs!$A$2:$G2031,7,FALSE()),"nova/commit","nova/src/commit"),"please select a BUG ID")</f>
        <v>please select a BUG ID</v>
      </c>
      <c r="D1262" s="54"/>
      <c r="F1262" s="54"/>
      <c r="H1262" s="114"/>
      <c r="J1262" s="183" t="str">
        <f>IFERROR(VLOOKUP(A1262,Internal_lists_bugs!$A$2:$I2031,9,FALSE()),"please select a BUG ID")</f>
        <v>please select a BUG ID</v>
      </c>
    </row>
    <row r="1263">
      <c r="A1263" s="54"/>
      <c r="B1263" s="71" t="str">
        <f>IFERROR(HYPERLINK(VLOOKUP(A1263,Internal_lists_bugs!$A$2:$C$73,3,FALSE()), VLOOKUP(A1263,Internal_lists_bugs!$A$2:$C$73,3,FALSE())&amp;Char(10) &amp; Char(10) &amp; VLOOKUP(A1263,Internal_lists_bugs!$A$2:$Z$73,26,FALSE())),"please select a BUG ID")</f>
        <v>please select a BUG ID</v>
      </c>
      <c r="C1263" s="51" t="str">
        <f>IFERROR(SUBSTITUTE(VLOOKUP(A1263,Internal_lists_bugs!$A$2:$G2031,7,FALSE()),"nova/commit","nova/src/commit"),"please select a BUG ID")</f>
        <v>please select a BUG ID</v>
      </c>
      <c r="D1263" s="54"/>
      <c r="F1263" s="54"/>
      <c r="H1263" s="114"/>
      <c r="J1263" s="183" t="str">
        <f>IFERROR(VLOOKUP(A1263,Internal_lists_bugs!$A$2:$I2031,9,FALSE()),"please select a BUG ID")</f>
        <v>please select a BUG ID</v>
      </c>
    </row>
    <row r="1264">
      <c r="A1264" s="54"/>
      <c r="B1264" s="71" t="str">
        <f>IFERROR(HYPERLINK(VLOOKUP(A1264,Internal_lists_bugs!$A$2:$C$73,3,FALSE()), VLOOKUP(A1264,Internal_lists_bugs!$A$2:$C$73,3,FALSE())&amp;Char(10) &amp; Char(10) &amp; VLOOKUP(A1264,Internal_lists_bugs!$A$2:$Z$73,26,FALSE())),"please select a BUG ID")</f>
        <v>please select a BUG ID</v>
      </c>
      <c r="C1264" s="51" t="str">
        <f>IFERROR(SUBSTITUTE(VLOOKUP(A1264,Internal_lists_bugs!$A$2:$G2031,7,FALSE()),"nova/commit","nova/src/commit"),"please select a BUG ID")</f>
        <v>please select a BUG ID</v>
      </c>
      <c r="D1264" s="54"/>
      <c r="F1264" s="54"/>
      <c r="H1264" s="114"/>
      <c r="J1264" s="183" t="str">
        <f>IFERROR(VLOOKUP(A1264,Internal_lists_bugs!$A$2:$I2031,9,FALSE()),"please select a BUG ID")</f>
        <v>please select a BUG ID</v>
      </c>
    </row>
    <row r="1265">
      <c r="A1265" s="54"/>
      <c r="B1265" s="71" t="str">
        <f>IFERROR(HYPERLINK(VLOOKUP(A1265,Internal_lists_bugs!$A$2:$C$73,3,FALSE()), VLOOKUP(A1265,Internal_lists_bugs!$A$2:$C$73,3,FALSE())&amp;Char(10) &amp; Char(10) &amp; VLOOKUP(A1265,Internal_lists_bugs!$A$2:$Z$73,26,FALSE())),"please select a BUG ID")</f>
        <v>please select a BUG ID</v>
      </c>
      <c r="C1265" s="51" t="str">
        <f>IFERROR(SUBSTITUTE(VLOOKUP(A1265,Internal_lists_bugs!$A$2:$G2031,7,FALSE()),"nova/commit","nova/src/commit"),"please select a BUG ID")</f>
        <v>please select a BUG ID</v>
      </c>
      <c r="D1265" s="54"/>
      <c r="F1265" s="54"/>
      <c r="H1265" s="114"/>
      <c r="J1265" s="183" t="str">
        <f>IFERROR(VLOOKUP(A1265,Internal_lists_bugs!$A$2:$I2031,9,FALSE()),"please select a BUG ID")</f>
        <v>please select a BUG ID</v>
      </c>
    </row>
    <row r="1266">
      <c r="A1266" s="54"/>
      <c r="B1266" s="71" t="str">
        <f>IFERROR(HYPERLINK(VLOOKUP(A1266,Internal_lists_bugs!$A$2:$C$73,3,FALSE()), VLOOKUP(A1266,Internal_lists_bugs!$A$2:$C$73,3,FALSE())&amp;Char(10) &amp; Char(10) &amp; VLOOKUP(A1266,Internal_lists_bugs!$A$2:$Z$73,26,FALSE())),"please select a BUG ID")</f>
        <v>please select a BUG ID</v>
      </c>
      <c r="C1266" s="51" t="str">
        <f>IFERROR(SUBSTITUTE(VLOOKUP(A1266,Internal_lists_bugs!$A$2:$G2031,7,FALSE()),"nova/commit","nova/src/commit"),"please select a BUG ID")</f>
        <v>please select a BUG ID</v>
      </c>
      <c r="D1266" s="54"/>
      <c r="F1266" s="54"/>
      <c r="H1266" s="114"/>
      <c r="J1266" s="183" t="str">
        <f>IFERROR(VLOOKUP(A1266,Internal_lists_bugs!$A$2:$I2031,9,FALSE()),"please select a BUG ID")</f>
        <v>please select a BUG ID</v>
      </c>
    </row>
    <row r="1267">
      <c r="A1267" s="54"/>
      <c r="B1267" s="71" t="str">
        <f>IFERROR(HYPERLINK(VLOOKUP(A1267,Internal_lists_bugs!$A$2:$C$73,3,FALSE()), VLOOKUP(A1267,Internal_lists_bugs!$A$2:$C$73,3,FALSE())&amp;Char(10) &amp; Char(10) &amp; VLOOKUP(A1267,Internal_lists_bugs!$A$2:$Z$73,26,FALSE())),"please select a BUG ID")</f>
        <v>please select a BUG ID</v>
      </c>
      <c r="C1267" s="51" t="str">
        <f>IFERROR(SUBSTITUTE(VLOOKUP(A1267,Internal_lists_bugs!$A$2:$G2031,7,FALSE()),"nova/commit","nova/src/commit"),"please select a BUG ID")</f>
        <v>please select a BUG ID</v>
      </c>
      <c r="D1267" s="54"/>
      <c r="F1267" s="54"/>
      <c r="H1267" s="114"/>
      <c r="J1267" s="183" t="str">
        <f>IFERROR(VLOOKUP(A1267,Internal_lists_bugs!$A$2:$I2031,9,FALSE()),"please select a BUG ID")</f>
        <v>please select a BUG ID</v>
      </c>
    </row>
    <row r="1268">
      <c r="A1268" s="54"/>
      <c r="B1268" s="71" t="str">
        <f>IFERROR(HYPERLINK(VLOOKUP(A1268,Internal_lists_bugs!$A$2:$C$73,3,FALSE()), VLOOKUP(A1268,Internal_lists_bugs!$A$2:$C$73,3,FALSE())&amp;Char(10) &amp; Char(10) &amp; VLOOKUP(A1268,Internal_lists_bugs!$A$2:$Z$73,26,FALSE())),"please select a BUG ID")</f>
        <v>please select a BUG ID</v>
      </c>
      <c r="C1268" s="51" t="str">
        <f>IFERROR(SUBSTITUTE(VLOOKUP(A1268,Internal_lists_bugs!$A$2:$G2031,7,FALSE()),"nova/commit","nova/src/commit"),"please select a BUG ID")</f>
        <v>please select a BUG ID</v>
      </c>
      <c r="D1268" s="54"/>
      <c r="F1268" s="54"/>
      <c r="H1268" s="114"/>
      <c r="J1268" s="183" t="str">
        <f>IFERROR(VLOOKUP(A1268,Internal_lists_bugs!$A$2:$I2031,9,FALSE()),"please select a BUG ID")</f>
        <v>please select a BUG ID</v>
      </c>
    </row>
    <row r="1269">
      <c r="A1269" s="54"/>
      <c r="B1269" s="71" t="str">
        <f>IFERROR(HYPERLINK(VLOOKUP(A1269,Internal_lists_bugs!$A$2:$C$73,3,FALSE()), VLOOKUP(A1269,Internal_lists_bugs!$A$2:$C$73,3,FALSE())&amp;Char(10) &amp; Char(10) &amp; VLOOKUP(A1269,Internal_lists_bugs!$A$2:$Z$73,26,FALSE())),"please select a BUG ID")</f>
        <v>please select a BUG ID</v>
      </c>
      <c r="C1269" s="51" t="str">
        <f>IFERROR(SUBSTITUTE(VLOOKUP(A1269,Internal_lists_bugs!$A$2:$G2031,7,FALSE()),"nova/commit","nova/src/commit"),"please select a BUG ID")</f>
        <v>please select a BUG ID</v>
      </c>
      <c r="D1269" s="54"/>
      <c r="F1269" s="54"/>
      <c r="H1269" s="114"/>
      <c r="J1269" s="183" t="str">
        <f>IFERROR(VLOOKUP(A1269,Internal_lists_bugs!$A$2:$I2031,9,FALSE()),"please select a BUG ID")</f>
        <v>please select a BUG ID</v>
      </c>
    </row>
    <row r="1270">
      <c r="A1270" s="54"/>
      <c r="B1270" s="71" t="str">
        <f>IFERROR(HYPERLINK(VLOOKUP(A1270,Internal_lists_bugs!$A$2:$C$73,3,FALSE()), VLOOKUP(A1270,Internal_lists_bugs!$A$2:$C$73,3,FALSE())&amp;Char(10) &amp; Char(10) &amp; VLOOKUP(A1270,Internal_lists_bugs!$A$2:$Z$73,26,FALSE())),"please select a BUG ID")</f>
        <v>please select a BUG ID</v>
      </c>
      <c r="C1270" s="51" t="str">
        <f>IFERROR(SUBSTITUTE(VLOOKUP(A1270,Internal_lists_bugs!$A$2:$G2031,7,FALSE()),"nova/commit","nova/src/commit"),"please select a BUG ID")</f>
        <v>please select a BUG ID</v>
      </c>
      <c r="D1270" s="54"/>
      <c r="F1270" s="54"/>
      <c r="H1270" s="114"/>
      <c r="J1270" s="183" t="str">
        <f>IFERROR(VLOOKUP(A1270,Internal_lists_bugs!$A$2:$I2031,9,FALSE()),"please select a BUG ID")</f>
        <v>please select a BUG ID</v>
      </c>
    </row>
    <row r="1271">
      <c r="A1271" s="54"/>
      <c r="B1271" s="71" t="str">
        <f>IFERROR(HYPERLINK(VLOOKUP(A1271,Internal_lists_bugs!$A$2:$C$73,3,FALSE()), VLOOKUP(A1271,Internal_lists_bugs!$A$2:$C$73,3,FALSE())&amp;Char(10) &amp; Char(10) &amp; VLOOKUP(A1271,Internal_lists_bugs!$A$2:$Z$73,26,FALSE())),"please select a BUG ID")</f>
        <v>please select a BUG ID</v>
      </c>
      <c r="C1271" s="51" t="str">
        <f>IFERROR(SUBSTITUTE(VLOOKUP(A1271,Internal_lists_bugs!$A$2:$G2031,7,FALSE()),"nova/commit","nova/src/commit"),"please select a BUG ID")</f>
        <v>please select a BUG ID</v>
      </c>
      <c r="D1271" s="54"/>
      <c r="F1271" s="54"/>
      <c r="H1271" s="114"/>
      <c r="J1271" s="183" t="str">
        <f>IFERROR(VLOOKUP(A1271,Internal_lists_bugs!$A$2:$I2031,9,FALSE()),"please select a BUG ID")</f>
        <v>please select a BUG ID</v>
      </c>
    </row>
    <row r="1272">
      <c r="A1272" s="54"/>
      <c r="B1272" s="71" t="str">
        <f>IFERROR(HYPERLINK(VLOOKUP(A1272,Internal_lists_bugs!$A$2:$C$73,3,FALSE()), VLOOKUP(A1272,Internal_lists_bugs!$A$2:$C$73,3,FALSE())&amp;Char(10) &amp; Char(10) &amp; VLOOKUP(A1272,Internal_lists_bugs!$A$2:$Z$73,26,FALSE())),"please select a BUG ID")</f>
        <v>please select a BUG ID</v>
      </c>
      <c r="C1272" s="51" t="str">
        <f>IFERROR(SUBSTITUTE(VLOOKUP(A1272,Internal_lists_bugs!$A$2:$G2031,7,FALSE()),"nova/commit","nova/src/commit"),"please select a BUG ID")</f>
        <v>please select a BUG ID</v>
      </c>
      <c r="D1272" s="54"/>
      <c r="F1272" s="54"/>
      <c r="H1272" s="114"/>
      <c r="J1272" s="183" t="str">
        <f>IFERROR(VLOOKUP(A1272,Internal_lists_bugs!$A$2:$I2031,9,FALSE()),"please select a BUG ID")</f>
        <v>please select a BUG ID</v>
      </c>
    </row>
    <row r="1273">
      <c r="A1273" s="54"/>
      <c r="B1273" s="71" t="str">
        <f>IFERROR(HYPERLINK(VLOOKUP(A1273,Internal_lists_bugs!$A$2:$C$73,3,FALSE()), VLOOKUP(A1273,Internal_lists_bugs!$A$2:$C$73,3,FALSE())&amp;Char(10) &amp; Char(10) &amp; VLOOKUP(A1273,Internal_lists_bugs!$A$2:$Z$73,26,FALSE())),"please select a BUG ID")</f>
        <v>please select a BUG ID</v>
      </c>
      <c r="C1273" s="51" t="str">
        <f>IFERROR(SUBSTITUTE(VLOOKUP(A1273,Internal_lists_bugs!$A$2:$G2031,7,FALSE()),"nova/commit","nova/src/commit"),"please select a BUG ID")</f>
        <v>please select a BUG ID</v>
      </c>
      <c r="D1273" s="54"/>
      <c r="F1273" s="54"/>
      <c r="H1273" s="114"/>
      <c r="J1273" s="183" t="str">
        <f>IFERROR(VLOOKUP(A1273,Internal_lists_bugs!$A$2:$I2031,9,FALSE()),"please select a BUG ID")</f>
        <v>please select a BUG ID</v>
      </c>
    </row>
    <row r="1274">
      <c r="A1274" s="54"/>
      <c r="B1274" s="71" t="str">
        <f>IFERROR(HYPERLINK(VLOOKUP(A1274,Internal_lists_bugs!$A$2:$C$73,3,FALSE()), VLOOKUP(A1274,Internal_lists_bugs!$A$2:$C$73,3,FALSE())&amp;Char(10) &amp; Char(10) &amp; VLOOKUP(A1274,Internal_lists_bugs!$A$2:$Z$73,26,FALSE())),"please select a BUG ID")</f>
        <v>please select a BUG ID</v>
      </c>
      <c r="C1274" s="51" t="str">
        <f>IFERROR(SUBSTITUTE(VLOOKUP(A1274,Internal_lists_bugs!$A$2:$G2031,7,FALSE()),"nova/commit","nova/src/commit"),"please select a BUG ID")</f>
        <v>please select a BUG ID</v>
      </c>
      <c r="D1274" s="54"/>
      <c r="F1274" s="54"/>
      <c r="H1274" s="114"/>
      <c r="J1274" s="183" t="str">
        <f>IFERROR(VLOOKUP(A1274,Internal_lists_bugs!$A$2:$I2031,9,FALSE()),"please select a BUG ID")</f>
        <v>please select a BUG ID</v>
      </c>
    </row>
    <row r="1275">
      <c r="A1275" s="54"/>
      <c r="B1275" s="71" t="str">
        <f>IFERROR(HYPERLINK(VLOOKUP(A1275,Internal_lists_bugs!$A$2:$C$73,3,FALSE()), VLOOKUP(A1275,Internal_lists_bugs!$A$2:$C$73,3,FALSE())&amp;Char(10) &amp; Char(10) &amp; VLOOKUP(A1275,Internal_lists_bugs!$A$2:$Z$73,26,FALSE())),"please select a BUG ID")</f>
        <v>please select a BUG ID</v>
      </c>
      <c r="C1275" s="51" t="str">
        <f>IFERROR(SUBSTITUTE(VLOOKUP(A1275,Internal_lists_bugs!$A$2:$G2031,7,FALSE()),"nova/commit","nova/src/commit"),"please select a BUG ID")</f>
        <v>please select a BUG ID</v>
      </c>
      <c r="D1275" s="54"/>
      <c r="F1275" s="54"/>
      <c r="H1275" s="114"/>
      <c r="J1275" s="183" t="str">
        <f>IFERROR(VLOOKUP(A1275,Internal_lists_bugs!$A$2:$I2031,9,FALSE()),"please select a BUG ID")</f>
        <v>please select a BUG ID</v>
      </c>
    </row>
    <row r="1276">
      <c r="A1276" s="54"/>
      <c r="B1276" s="71" t="str">
        <f>IFERROR(HYPERLINK(VLOOKUP(A1276,Internal_lists_bugs!$A$2:$C$73,3,FALSE()), VLOOKUP(A1276,Internal_lists_bugs!$A$2:$C$73,3,FALSE())&amp;Char(10) &amp; Char(10) &amp; VLOOKUP(A1276,Internal_lists_bugs!$A$2:$Z$73,26,FALSE())),"please select a BUG ID")</f>
        <v>please select a BUG ID</v>
      </c>
      <c r="C1276" s="51" t="str">
        <f>IFERROR(SUBSTITUTE(VLOOKUP(A1276,Internal_lists_bugs!$A$2:$G2031,7,FALSE()),"nova/commit","nova/src/commit"),"please select a BUG ID")</f>
        <v>please select a BUG ID</v>
      </c>
      <c r="D1276" s="54"/>
      <c r="F1276" s="54"/>
      <c r="H1276" s="114"/>
      <c r="J1276" s="183" t="str">
        <f>IFERROR(VLOOKUP(A1276,Internal_lists_bugs!$A$2:$I2031,9,FALSE()),"please select a BUG ID")</f>
        <v>please select a BUG ID</v>
      </c>
    </row>
    <row r="1277">
      <c r="A1277" s="54"/>
      <c r="B1277" s="71" t="str">
        <f>IFERROR(HYPERLINK(VLOOKUP(A1277,Internal_lists_bugs!$A$2:$C$73,3,FALSE()), VLOOKUP(A1277,Internal_lists_bugs!$A$2:$C$73,3,FALSE())&amp;Char(10) &amp; Char(10) &amp; VLOOKUP(A1277,Internal_lists_bugs!$A$2:$Z$73,26,FALSE())),"please select a BUG ID")</f>
        <v>please select a BUG ID</v>
      </c>
      <c r="C1277" s="51" t="str">
        <f>IFERROR(SUBSTITUTE(VLOOKUP(A1277,Internal_lists_bugs!$A$2:$G2031,7,FALSE()),"nova/commit","nova/src/commit"),"please select a BUG ID")</f>
        <v>please select a BUG ID</v>
      </c>
      <c r="D1277" s="54"/>
      <c r="F1277" s="54"/>
      <c r="H1277" s="114"/>
      <c r="J1277" s="183" t="str">
        <f>IFERROR(VLOOKUP(A1277,Internal_lists_bugs!$A$2:$I2031,9,FALSE()),"please select a BUG ID")</f>
        <v>please select a BUG ID</v>
      </c>
    </row>
    <row r="1278">
      <c r="A1278" s="54"/>
      <c r="B1278" s="71" t="str">
        <f>IFERROR(HYPERLINK(VLOOKUP(A1278,Internal_lists_bugs!$A$2:$C$73,3,FALSE()), VLOOKUP(A1278,Internal_lists_bugs!$A$2:$C$73,3,FALSE())&amp;Char(10) &amp; Char(10) &amp; VLOOKUP(A1278,Internal_lists_bugs!$A$2:$Z$73,26,FALSE())),"please select a BUG ID")</f>
        <v>please select a BUG ID</v>
      </c>
      <c r="C1278" s="51" t="str">
        <f>IFERROR(SUBSTITUTE(VLOOKUP(A1278,Internal_lists_bugs!$A$2:$G2031,7,FALSE()),"nova/commit","nova/src/commit"),"please select a BUG ID")</f>
        <v>please select a BUG ID</v>
      </c>
      <c r="D1278" s="54"/>
      <c r="F1278" s="54"/>
      <c r="H1278" s="114"/>
      <c r="J1278" s="183" t="str">
        <f>IFERROR(VLOOKUP(A1278,Internal_lists_bugs!$A$2:$I2031,9,FALSE()),"please select a BUG ID")</f>
        <v>please select a BUG ID</v>
      </c>
    </row>
    <row r="1279">
      <c r="A1279" s="54"/>
      <c r="B1279" s="71" t="str">
        <f>IFERROR(HYPERLINK(VLOOKUP(A1279,Internal_lists_bugs!$A$2:$C$73,3,FALSE()), VLOOKUP(A1279,Internal_lists_bugs!$A$2:$C$73,3,FALSE())&amp;Char(10) &amp; Char(10) &amp; VLOOKUP(A1279,Internal_lists_bugs!$A$2:$Z$73,26,FALSE())),"please select a BUG ID")</f>
        <v>please select a BUG ID</v>
      </c>
      <c r="C1279" s="51" t="str">
        <f>IFERROR(SUBSTITUTE(VLOOKUP(A1279,Internal_lists_bugs!$A$2:$G2031,7,FALSE()),"nova/commit","nova/src/commit"),"please select a BUG ID")</f>
        <v>please select a BUG ID</v>
      </c>
      <c r="D1279" s="54"/>
      <c r="F1279" s="54"/>
      <c r="H1279" s="114"/>
      <c r="J1279" s="183" t="str">
        <f>IFERROR(VLOOKUP(A1279,Internal_lists_bugs!$A$2:$I2031,9,FALSE()),"please select a BUG ID")</f>
        <v>please select a BUG ID</v>
      </c>
    </row>
    <row r="1280">
      <c r="A1280" s="54"/>
      <c r="B1280" s="71" t="str">
        <f>IFERROR(HYPERLINK(VLOOKUP(A1280,Internal_lists_bugs!$A$2:$C$73,3,FALSE()), VLOOKUP(A1280,Internal_lists_bugs!$A$2:$C$73,3,FALSE())&amp;Char(10) &amp; Char(10) &amp; VLOOKUP(A1280,Internal_lists_bugs!$A$2:$Z$73,26,FALSE())),"please select a BUG ID")</f>
        <v>please select a BUG ID</v>
      </c>
      <c r="C1280" s="51" t="str">
        <f>IFERROR(SUBSTITUTE(VLOOKUP(A1280,Internal_lists_bugs!$A$2:$G2031,7,FALSE()),"nova/commit","nova/src/commit"),"please select a BUG ID")</f>
        <v>please select a BUG ID</v>
      </c>
      <c r="D1280" s="54"/>
      <c r="F1280" s="54"/>
      <c r="H1280" s="114"/>
      <c r="J1280" s="183" t="str">
        <f>IFERROR(VLOOKUP(A1280,Internal_lists_bugs!$A$2:$I2031,9,FALSE()),"please select a BUG ID")</f>
        <v>please select a BUG ID</v>
      </c>
    </row>
    <row r="1281">
      <c r="A1281" s="54"/>
      <c r="B1281" s="71" t="str">
        <f>IFERROR(HYPERLINK(VLOOKUP(A1281,Internal_lists_bugs!$A$2:$C$73,3,FALSE()), VLOOKUP(A1281,Internal_lists_bugs!$A$2:$C$73,3,FALSE())&amp;Char(10) &amp; Char(10) &amp; VLOOKUP(A1281,Internal_lists_bugs!$A$2:$Z$73,26,FALSE())),"please select a BUG ID")</f>
        <v>please select a BUG ID</v>
      </c>
      <c r="C1281" s="51" t="str">
        <f>IFERROR(SUBSTITUTE(VLOOKUP(A1281,Internal_lists_bugs!$A$2:$G2031,7,FALSE()),"nova/commit","nova/src/commit"),"please select a BUG ID")</f>
        <v>please select a BUG ID</v>
      </c>
      <c r="D1281" s="54"/>
      <c r="F1281" s="54"/>
      <c r="H1281" s="114"/>
      <c r="J1281" s="183" t="str">
        <f>IFERROR(VLOOKUP(A1281,Internal_lists_bugs!$A$2:$I2031,9,FALSE()),"please select a BUG ID")</f>
        <v>please select a BUG ID</v>
      </c>
    </row>
    <row r="1282">
      <c r="A1282" s="54"/>
      <c r="B1282" s="71" t="str">
        <f>IFERROR(HYPERLINK(VLOOKUP(A1282,Internal_lists_bugs!$A$2:$C$73,3,FALSE()), VLOOKUP(A1282,Internal_lists_bugs!$A$2:$C$73,3,FALSE())&amp;Char(10) &amp; Char(10) &amp; VLOOKUP(A1282,Internal_lists_bugs!$A$2:$Z$73,26,FALSE())),"please select a BUG ID")</f>
        <v>please select a BUG ID</v>
      </c>
      <c r="C1282" s="51" t="str">
        <f>IFERROR(SUBSTITUTE(VLOOKUP(A1282,Internal_lists_bugs!$A$2:$G2031,7,FALSE()),"nova/commit","nova/src/commit"),"please select a BUG ID")</f>
        <v>please select a BUG ID</v>
      </c>
      <c r="D1282" s="54"/>
      <c r="F1282" s="54"/>
      <c r="H1282" s="114"/>
      <c r="J1282" s="183" t="str">
        <f>IFERROR(VLOOKUP(A1282,Internal_lists_bugs!$A$2:$I2031,9,FALSE()),"please select a BUG ID")</f>
        <v>please select a BUG ID</v>
      </c>
    </row>
    <row r="1283">
      <c r="A1283" s="54"/>
      <c r="B1283" s="71" t="str">
        <f>IFERROR(HYPERLINK(VLOOKUP(A1283,Internal_lists_bugs!$A$2:$C$73,3,FALSE()), VLOOKUP(A1283,Internal_lists_bugs!$A$2:$C$73,3,FALSE())&amp;Char(10) &amp; Char(10) &amp; VLOOKUP(A1283,Internal_lists_bugs!$A$2:$Z$73,26,FALSE())),"please select a BUG ID")</f>
        <v>please select a BUG ID</v>
      </c>
      <c r="C1283" s="51" t="str">
        <f>IFERROR(SUBSTITUTE(VLOOKUP(A1283,Internal_lists_bugs!$A$2:$G2031,7,FALSE()),"nova/commit","nova/src/commit"),"please select a BUG ID")</f>
        <v>please select a BUG ID</v>
      </c>
      <c r="D1283" s="54"/>
      <c r="F1283" s="54"/>
      <c r="H1283" s="114"/>
      <c r="J1283" s="183" t="str">
        <f>IFERROR(VLOOKUP(A1283,Internal_lists_bugs!$A$2:$I2031,9,FALSE()),"please select a BUG ID")</f>
        <v>please select a BUG ID</v>
      </c>
    </row>
    <row r="1284">
      <c r="A1284" s="54"/>
      <c r="B1284" s="71" t="str">
        <f>IFERROR(HYPERLINK(VLOOKUP(A1284,Internal_lists_bugs!$A$2:$C$73,3,FALSE()), VLOOKUP(A1284,Internal_lists_bugs!$A$2:$C$73,3,FALSE())&amp;Char(10) &amp; Char(10) &amp; VLOOKUP(A1284,Internal_lists_bugs!$A$2:$Z$73,26,FALSE())),"please select a BUG ID")</f>
        <v>please select a BUG ID</v>
      </c>
      <c r="C1284" s="51" t="str">
        <f>IFERROR(SUBSTITUTE(VLOOKUP(A1284,Internal_lists_bugs!$A$2:$G2031,7,FALSE()),"nova/commit","nova/src/commit"),"please select a BUG ID")</f>
        <v>please select a BUG ID</v>
      </c>
      <c r="D1284" s="54"/>
      <c r="F1284" s="54"/>
      <c r="H1284" s="114"/>
      <c r="J1284" s="183" t="str">
        <f>IFERROR(VLOOKUP(A1284,Internal_lists_bugs!$A$2:$I2031,9,FALSE()),"please select a BUG ID")</f>
        <v>please select a BUG ID</v>
      </c>
    </row>
    <row r="1285">
      <c r="A1285" s="54"/>
      <c r="B1285" s="71" t="str">
        <f>IFERROR(HYPERLINK(VLOOKUP(A1285,Internal_lists_bugs!$A$2:$C$73,3,FALSE()), VLOOKUP(A1285,Internal_lists_bugs!$A$2:$C$73,3,FALSE())&amp;Char(10) &amp; Char(10) &amp; VLOOKUP(A1285,Internal_lists_bugs!$A$2:$Z$73,26,FALSE())),"please select a BUG ID")</f>
        <v>please select a BUG ID</v>
      </c>
      <c r="C1285" s="51" t="str">
        <f>IFERROR(SUBSTITUTE(VLOOKUP(A1285,Internal_lists_bugs!$A$2:$G2031,7,FALSE()),"nova/commit","nova/src/commit"),"please select a BUG ID")</f>
        <v>please select a BUG ID</v>
      </c>
      <c r="D1285" s="54"/>
      <c r="F1285" s="54"/>
      <c r="H1285" s="114"/>
      <c r="J1285" s="183" t="str">
        <f>IFERROR(VLOOKUP(A1285,Internal_lists_bugs!$A$2:$I2031,9,FALSE()),"please select a BUG ID")</f>
        <v>please select a BUG ID</v>
      </c>
    </row>
    <row r="1286">
      <c r="A1286" s="54"/>
      <c r="B1286" s="71" t="str">
        <f>IFERROR(HYPERLINK(VLOOKUP(A1286,Internal_lists_bugs!$A$2:$C$73,3,FALSE()), VLOOKUP(A1286,Internal_lists_bugs!$A$2:$C$73,3,FALSE())&amp;Char(10) &amp; Char(10) &amp; VLOOKUP(A1286,Internal_lists_bugs!$A$2:$Z$73,26,FALSE())),"please select a BUG ID")</f>
        <v>please select a BUG ID</v>
      </c>
      <c r="C1286" s="51" t="str">
        <f>IFERROR(SUBSTITUTE(VLOOKUP(A1286,Internal_lists_bugs!$A$2:$G2031,7,FALSE()),"nova/commit","nova/src/commit"),"please select a BUG ID")</f>
        <v>please select a BUG ID</v>
      </c>
      <c r="D1286" s="54"/>
      <c r="F1286" s="54"/>
      <c r="H1286" s="114"/>
      <c r="J1286" s="183" t="str">
        <f>IFERROR(VLOOKUP(A1286,Internal_lists_bugs!$A$2:$I2031,9,FALSE()),"please select a BUG ID")</f>
        <v>please select a BUG ID</v>
      </c>
    </row>
    <row r="1287">
      <c r="A1287" s="54"/>
      <c r="B1287" s="71" t="str">
        <f>IFERROR(HYPERLINK(VLOOKUP(A1287,Internal_lists_bugs!$A$2:$C$73,3,FALSE()), VLOOKUP(A1287,Internal_lists_bugs!$A$2:$C$73,3,FALSE())&amp;Char(10) &amp; Char(10) &amp; VLOOKUP(A1287,Internal_lists_bugs!$A$2:$Z$73,26,FALSE())),"please select a BUG ID")</f>
        <v>please select a BUG ID</v>
      </c>
      <c r="C1287" s="51" t="str">
        <f>IFERROR(SUBSTITUTE(VLOOKUP(A1287,Internal_lists_bugs!$A$2:$G2031,7,FALSE()),"nova/commit","nova/src/commit"),"please select a BUG ID")</f>
        <v>please select a BUG ID</v>
      </c>
      <c r="D1287" s="54"/>
      <c r="F1287" s="54"/>
      <c r="H1287" s="114"/>
      <c r="J1287" s="183" t="str">
        <f>IFERROR(VLOOKUP(A1287,Internal_lists_bugs!$A$2:$I2031,9,FALSE()),"please select a BUG ID")</f>
        <v>please select a BUG ID</v>
      </c>
    </row>
    <row r="1288">
      <c r="A1288" s="54"/>
      <c r="B1288" s="71" t="str">
        <f>IFERROR(HYPERLINK(VLOOKUP(A1288,Internal_lists_bugs!$A$2:$C$73,3,FALSE()), VLOOKUP(A1288,Internal_lists_bugs!$A$2:$C$73,3,FALSE())&amp;Char(10) &amp; Char(10) &amp; VLOOKUP(A1288,Internal_lists_bugs!$A$2:$Z$73,26,FALSE())),"please select a BUG ID")</f>
        <v>please select a BUG ID</v>
      </c>
      <c r="C1288" s="51" t="str">
        <f>IFERROR(SUBSTITUTE(VLOOKUP(A1288,Internal_lists_bugs!$A$2:$G2031,7,FALSE()),"nova/commit","nova/src/commit"),"please select a BUG ID")</f>
        <v>please select a BUG ID</v>
      </c>
      <c r="D1288" s="54"/>
      <c r="F1288" s="54"/>
      <c r="H1288" s="114"/>
      <c r="J1288" s="183" t="str">
        <f>IFERROR(VLOOKUP(A1288,Internal_lists_bugs!$A$2:$I2031,9,FALSE()),"please select a BUG ID")</f>
        <v>please select a BUG ID</v>
      </c>
    </row>
    <row r="1289">
      <c r="A1289" s="54"/>
      <c r="B1289" s="71" t="str">
        <f>IFERROR(HYPERLINK(VLOOKUP(A1289,Internal_lists_bugs!$A$2:$C$73,3,FALSE()), VLOOKUP(A1289,Internal_lists_bugs!$A$2:$C$73,3,FALSE())&amp;Char(10) &amp; Char(10) &amp; VLOOKUP(A1289,Internal_lists_bugs!$A$2:$Z$73,26,FALSE())),"please select a BUG ID")</f>
        <v>please select a BUG ID</v>
      </c>
      <c r="C1289" s="51" t="str">
        <f>IFERROR(SUBSTITUTE(VLOOKUP(A1289,Internal_lists_bugs!$A$2:$G2031,7,FALSE()),"nova/commit","nova/src/commit"),"please select a BUG ID")</f>
        <v>please select a BUG ID</v>
      </c>
      <c r="D1289" s="54"/>
      <c r="F1289" s="54"/>
      <c r="H1289" s="114"/>
      <c r="J1289" s="183" t="str">
        <f>IFERROR(VLOOKUP(A1289,Internal_lists_bugs!$A$2:$I2031,9,FALSE()),"please select a BUG ID")</f>
        <v>please select a BUG ID</v>
      </c>
    </row>
    <row r="1290">
      <c r="A1290" s="54"/>
      <c r="B1290" s="71" t="str">
        <f>IFERROR(HYPERLINK(VLOOKUP(A1290,Internal_lists_bugs!$A$2:$C$73,3,FALSE()), VLOOKUP(A1290,Internal_lists_bugs!$A$2:$C$73,3,FALSE())&amp;Char(10) &amp; Char(10) &amp; VLOOKUP(A1290,Internal_lists_bugs!$A$2:$Z$73,26,FALSE())),"please select a BUG ID")</f>
        <v>please select a BUG ID</v>
      </c>
      <c r="C1290" s="51" t="str">
        <f>IFERROR(SUBSTITUTE(VLOOKUP(A1290,Internal_lists_bugs!$A$2:$G2031,7,FALSE()),"nova/commit","nova/src/commit"),"please select a BUG ID")</f>
        <v>please select a BUG ID</v>
      </c>
      <c r="D1290" s="54"/>
      <c r="F1290" s="54"/>
      <c r="H1290" s="114"/>
      <c r="J1290" s="183" t="str">
        <f>IFERROR(VLOOKUP(A1290,Internal_lists_bugs!$A$2:$I2031,9,FALSE()),"please select a BUG ID")</f>
        <v>please select a BUG ID</v>
      </c>
    </row>
    <row r="1291">
      <c r="A1291" s="54"/>
      <c r="B1291" s="71" t="str">
        <f>IFERROR(HYPERLINK(VLOOKUP(A1291,Internal_lists_bugs!$A$2:$C$73,3,FALSE()), VLOOKUP(A1291,Internal_lists_bugs!$A$2:$C$73,3,FALSE())&amp;Char(10) &amp; Char(10) &amp; VLOOKUP(A1291,Internal_lists_bugs!$A$2:$Z$73,26,FALSE())),"please select a BUG ID")</f>
        <v>please select a BUG ID</v>
      </c>
      <c r="C1291" s="51" t="str">
        <f>IFERROR(SUBSTITUTE(VLOOKUP(A1291,Internal_lists_bugs!$A$2:$G2031,7,FALSE()),"nova/commit","nova/src/commit"),"please select a BUG ID")</f>
        <v>please select a BUG ID</v>
      </c>
      <c r="D1291" s="54"/>
      <c r="F1291" s="54"/>
      <c r="H1291" s="114"/>
      <c r="J1291" s="183" t="str">
        <f>IFERROR(VLOOKUP(A1291,Internal_lists_bugs!$A$2:$I2031,9,FALSE()),"please select a BUG ID")</f>
        <v>please select a BUG ID</v>
      </c>
    </row>
    <row r="1292">
      <c r="A1292" s="54"/>
      <c r="B1292" s="71" t="str">
        <f>IFERROR(HYPERLINK(VLOOKUP(A1292,Internal_lists_bugs!$A$2:$C$73,3,FALSE()), VLOOKUP(A1292,Internal_lists_bugs!$A$2:$C$73,3,FALSE())&amp;Char(10) &amp; Char(10) &amp; VLOOKUP(A1292,Internal_lists_bugs!$A$2:$Z$73,26,FALSE())),"please select a BUG ID")</f>
        <v>please select a BUG ID</v>
      </c>
      <c r="C1292" s="51" t="str">
        <f>IFERROR(SUBSTITUTE(VLOOKUP(A1292,Internal_lists_bugs!$A$2:$G2031,7,FALSE()),"nova/commit","nova/src/commit"),"please select a BUG ID")</f>
        <v>please select a BUG ID</v>
      </c>
      <c r="D1292" s="54"/>
      <c r="F1292" s="54"/>
      <c r="H1292" s="114"/>
      <c r="J1292" s="183" t="str">
        <f>IFERROR(VLOOKUP(A1292,Internal_lists_bugs!$A$2:$I2031,9,FALSE()),"please select a BUG ID")</f>
        <v>please select a BUG ID</v>
      </c>
    </row>
    <row r="1293">
      <c r="A1293" s="54"/>
      <c r="B1293" s="71" t="str">
        <f>IFERROR(HYPERLINK(VLOOKUP(A1293,Internal_lists_bugs!$A$2:$C$73,3,FALSE()), VLOOKUP(A1293,Internal_lists_bugs!$A$2:$C$73,3,FALSE())&amp;Char(10) &amp; Char(10) &amp; VLOOKUP(A1293,Internal_lists_bugs!$A$2:$Z$73,26,FALSE())),"please select a BUG ID")</f>
        <v>please select a BUG ID</v>
      </c>
      <c r="C1293" s="51" t="str">
        <f>IFERROR(SUBSTITUTE(VLOOKUP(A1293,Internal_lists_bugs!$A$2:$G2031,7,FALSE()),"nova/commit","nova/src/commit"),"please select a BUG ID")</f>
        <v>please select a BUG ID</v>
      </c>
      <c r="D1293" s="54"/>
      <c r="F1293" s="54"/>
      <c r="H1293" s="114"/>
      <c r="J1293" s="183" t="str">
        <f>IFERROR(VLOOKUP(A1293,Internal_lists_bugs!$A$2:$I2031,9,FALSE()),"please select a BUG ID")</f>
        <v>please select a BUG ID</v>
      </c>
    </row>
    <row r="1294">
      <c r="A1294" s="54"/>
      <c r="B1294" s="71" t="str">
        <f>IFERROR(HYPERLINK(VLOOKUP(A1294,Internal_lists_bugs!$A$2:$C$73,3,FALSE()), VLOOKUP(A1294,Internal_lists_bugs!$A$2:$C$73,3,FALSE())&amp;Char(10) &amp; Char(10) &amp; VLOOKUP(A1294,Internal_lists_bugs!$A$2:$Z$73,26,FALSE())),"please select a BUG ID")</f>
        <v>please select a BUG ID</v>
      </c>
      <c r="C1294" s="51" t="str">
        <f>IFERROR(SUBSTITUTE(VLOOKUP(A1294,Internal_lists_bugs!$A$2:$G2031,7,FALSE()),"nova/commit","nova/src/commit"),"please select a BUG ID")</f>
        <v>please select a BUG ID</v>
      </c>
      <c r="D1294" s="54"/>
      <c r="F1294" s="54"/>
      <c r="H1294" s="114"/>
      <c r="J1294" s="183" t="str">
        <f>IFERROR(VLOOKUP(A1294,Internal_lists_bugs!$A$2:$I2031,9,FALSE()),"please select a BUG ID")</f>
        <v>please select a BUG ID</v>
      </c>
    </row>
    <row r="1295">
      <c r="A1295" s="54"/>
      <c r="B1295" s="71" t="str">
        <f>IFERROR(HYPERLINK(VLOOKUP(A1295,Internal_lists_bugs!$A$2:$C$73,3,FALSE()), VLOOKUP(A1295,Internal_lists_bugs!$A$2:$C$73,3,FALSE())&amp;Char(10) &amp; Char(10) &amp; VLOOKUP(A1295,Internal_lists_bugs!$A$2:$Z$73,26,FALSE())),"please select a BUG ID")</f>
        <v>please select a BUG ID</v>
      </c>
      <c r="C1295" s="51" t="str">
        <f>IFERROR(SUBSTITUTE(VLOOKUP(A1295,Internal_lists_bugs!$A$2:$G2031,7,FALSE()),"nova/commit","nova/src/commit"),"please select a BUG ID")</f>
        <v>please select a BUG ID</v>
      </c>
      <c r="D1295" s="54"/>
      <c r="F1295" s="54"/>
      <c r="H1295" s="114"/>
      <c r="J1295" s="183" t="str">
        <f>IFERROR(VLOOKUP(A1295,Internal_lists_bugs!$A$2:$I2031,9,FALSE()),"please select a BUG ID")</f>
        <v>please select a BUG ID</v>
      </c>
    </row>
    <row r="1296">
      <c r="A1296" s="54"/>
      <c r="B1296" s="71" t="str">
        <f>IFERROR(HYPERLINK(VLOOKUP(A1296,Internal_lists_bugs!$A$2:$C$73,3,FALSE()), VLOOKUP(A1296,Internal_lists_bugs!$A$2:$C$73,3,FALSE())&amp;Char(10) &amp; Char(10) &amp; VLOOKUP(A1296,Internal_lists_bugs!$A$2:$Z$73,26,FALSE())),"please select a BUG ID")</f>
        <v>please select a BUG ID</v>
      </c>
      <c r="C1296" s="51" t="str">
        <f>IFERROR(SUBSTITUTE(VLOOKUP(A1296,Internal_lists_bugs!$A$2:$G2031,7,FALSE()),"nova/commit","nova/src/commit"),"please select a BUG ID")</f>
        <v>please select a BUG ID</v>
      </c>
      <c r="D1296" s="54"/>
      <c r="F1296" s="54"/>
      <c r="H1296" s="114"/>
      <c r="J1296" s="183" t="str">
        <f>IFERROR(VLOOKUP(A1296,Internal_lists_bugs!$A$2:$I2031,9,FALSE()),"please select a BUG ID")</f>
        <v>please select a BUG ID</v>
      </c>
    </row>
    <row r="1297">
      <c r="A1297" s="54"/>
      <c r="B1297" s="71" t="str">
        <f>IFERROR(HYPERLINK(VLOOKUP(A1297,Internal_lists_bugs!$A$2:$C$73,3,FALSE()), VLOOKUP(A1297,Internal_lists_bugs!$A$2:$C$73,3,FALSE())&amp;Char(10) &amp; Char(10) &amp; VLOOKUP(A1297,Internal_lists_bugs!$A$2:$Z$73,26,FALSE())),"please select a BUG ID")</f>
        <v>please select a BUG ID</v>
      </c>
      <c r="C1297" s="51" t="str">
        <f>IFERROR(SUBSTITUTE(VLOOKUP(A1297,Internal_lists_bugs!$A$2:$G2031,7,FALSE()),"nova/commit","nova/src/commit"),"please select a BUG ID")</f>
        <v>please select a BUG ID</v>
      </c>
      <c r="D1297" s="54"/>
      <c r="F1297" s="54"/>
      <c r="H1297" s="114"/>
      <c r="J1297" s="183" t="str">
        <f>IFERROR(VLOOKUP(A1297,Internal_lists_bugs!$A$2:$I2031,9,FALSE()),"please select a BUG ID")</f>
        <v>please select a BUG ID</v>
      </c>
    </row>
    <row r="1298">
      <c r="A1298" s="54"/>
      <c r="B1298" s="71" t="str">
        <f>IFERROR(HYPERLINK(VLOOKUP(A1298,Internal_lists_bugs!$A$2:$C$73,3,FALSE()), VLOOKUP(A1298,Internal_lists_bugs!$A$2:$C$73,3,FALSE())&amp;Char(10) &amp; Char(10) &amp; VLOOKUP(A1298,Internal_lists_bugs!$A$2:$Z$73,26,FALSE())),"please select a BUG ID")</f>
        <v>please select a BUG ID</v>
      </c>
      <c r="C1298" s="51" t="str">
        <f>IFERROR(SUBSTITUTE(VLOOKUP(A1298,Internal_lists_bugs!$A$2:$G2031,7,FALSE()),"nova/commit","nova/src/commit"),"please select a BUG ID")</f>
        <v>please select a BUG ID</v>
      </c>
      <c r="D1298" s="54"/>
      <c r="F1298" s="54"/>
      <c r="H1298" s="114"/>
      <c r="J1298" s="183" t="str">
        <f>IFERROR(VLOOKUP(A1298,Internal_lists_bugs!$A$2:$I2031,9,FALSE()),"please select a BUG ID")</f>
        <v>please select a BUG ID</v>
      </c>
    </row>
    <row r="1299">
      <c r="A1299" s="54"/>
      <c r="B1299" s="71" t="str">
        <f>IFERROR(HYPERLINK(VLOOKUP(A1299,Internal_lists_bugs!$A$2:$C$73,3,FALSE()), VLOOKUP(A1299,Internal_lists_bugs!$A$2:$C$73,3,FALSE())&amp;Char(10) &amp; Char(10) &amp; VLOOKUP(A1299,Internal_lists_bugs!$A$2:$Z$73,26,FALSE())),"please select a BUG ID")</f>
        <v>please select a BUG ID</v>
      </c>
      <c r="C1299" s="51" t="str">
        <f>IFERROR(SUBSTITUTE(VLOOKUP(A1299,Internal_lists_bugs!$A$2:$G2031,7,FALSE()),"nova/commit","nova/src/commit"),"please select a BUG ID")</f>
        <v>please select a BUG ID</v>
      </c>
      <c r="D1299" s="54"/>
      <c r="F1299" s="54"/>
      <c r="H1299" s="114"/>
      <c r="J1299" s="183" t="str">
        <f>IFERROR(VLOOKUP(A1299,Internal_lists_bugs!$A$2:$I2031,9,FALSE()),"please select a BUG ID")</f>
        <v>please select a BUG ID</v>
      </c>
    </row>
    <row r="1300">
      <c r="A1300" s="54"/>
      <c r="B1300" s="71" t="str">
        <f>IFERROR(HYPERLINK(VLOOKUP(A1300,Internal_lists_bugs!$A$2:$C$73,3,FALSE()), VLOOKUP(A1300,Internal_lists_bugs!$A$2:$C$73,3,FALSE())&amp;Char(10) &amp; Char(10) &amp; VLOOKUP(A1300,Internal_lists_bugs!$A$2:$Z$73,26,FALSE())),"please select a BUG ID")</f>
        <v>please select a BUG ID</v>
      </c>
      <c r="C1300" s="51" t="str">
        <f>IFERROR(SUBSTITUTE(VLOOKUP(A1300,Internal_lists_bugs!$A$2:$G2031,7,FALSE()),"nova/commit","nova/src/commit"),"please select a BUG ID")</f>
        <v>please select a BUG ID</v>
      </c>
      <c r="D1300" s="54"/>
      <c r="F1300" s="54"/>
      <c r="H1300" s="114"/>
      <c r="J1300" s="183" t="str">
        <f>IFERROR(VLOOKUP(A1300,Internal_lists_bugs!$A$2:$I2031,9,FALSE()),"please select a BUG ID")</f>
        <v>please select a BUG ID</v>
      </c>
    </row>
    <row r="1301">
      <c r="A1301" s="54"/>
      <c r="B1301" s="71" t="str">
        <f>IFERROR(HYPERLINK(VLOOKUP(A1301,Internal_lists_bugs!$A$2:$C$73,3,FALSE()), VLOOKUP(A1301,Internal_lists_bugs!$A$2:$C$73,3,FALSE())&amp;Char(10) &amp; Char(10) &amp; VLOOKUP(A1301,Internal_lists_bugs!$A$2:$Z$73,26,FALSE())),"please select a BUG ID")</f>
        <v>please select a BUG ID</v>
      </c>
      <c r="C1301" s="51" t="str">
        <f>IFERROR(SUBSTITUTE(VLOOKUP(A1301,Internal_lists_bugs!$A$2:$G2031,7,FALSE()),"nova/commit","nova/src/commit"),"please select a BUG ID")</f>
        <v>please select a BUG ID</v>
      </c>
      <c r="D1301" s="54"/>
      <c r="F1301" s="54"/>
      <c r="H1301" s="114"/>
      <c r="J1301" s="183" t="str">
        <f>IFERROR(VLOOKUP(A1301,Internal_lists_bugs!$A$2:$I2031,9,FALSE()),"please select a BUG ID")</f>
        <v>please select a BUG ID</v>
      </c>
    </row>
    <row r="1302">
      <c r="A1302" s="54"/>
      <c r="B1302" s="71" t="str">
        <f>IFERROR(HYPERLINK(VLOOKUP(A1302,Internal_lists_bugs!$A$2:$C$73,3,FALSE()), VLOOKUP(A1302,Internal_lists_bugs!$A$2:$C$73,3,FALSE())&amp;Char(10) &amp; Char(10) &amp; VLOOKUP(A1302,Internal_lists_bugs!$A$2:$Z$73,26,FALSE())),"please select a BUG ID")</f>
        <v>please select a BUG ID</v>
      </c>
      <c r="C1302" s="51" t="str">
        <f>IFERROR(SUBSTITUTE(VLOOKUP(A1302,Internal_lists_bugs!$A$2:$G2031,7,FALSE()),"nova/commit","nova/src/commit"),"please select a BUG ID")</f>
        <v>please select a BUG ID</v>
      </c>
      <c r="D1302" s="54"/>
      <c r="F1302" s="54"/>
      <c r="H1302" s="114"/>
      <c r="J1302" s="183" t="str">
        <f>IFERROR(VLOOKUP(A1302,Internal_lists_bugs!$A$2:$I2031,9,FALSE()),"please select a BUG ID")</f>
        <v>please select a BUG ID</v>
      </c>
    </row>
    <row r="1303">
      <c r="A1303" s="54"/>
      <c r="B1303" s="71" t="str">
        <f>IFERROR(HYPERLINK(VLOOKUP(A1303,Internal_lists_bugs!$A$2:$C$73,3,FALSE()), VLOOKUP(A1303,Internal_lists_bugs!$A$2:$C$73,3,FALSE())&amp;Char(10) &amp; Char(10) &amp; VLOOKUP(A1303,Internal_lists_bugs!$A$2:$Z$73,26,FALSE())),"please select a BUG ID")</f>
        <v>please select a BUG ID</v>
      </c>
      <c r="C1303" s="51" t="str">
        <f>IFERROR(SUBSTITUTE(VLOOKUP(A1303,Internal_lists_bugs!$A$2:$G2031,7,FALSE()),"nova/commit","nova/src/commit"),"please select a BUG ID")</f>
        <v>please select a BUG ID</v>
      </c>
      <c r="D1303" s="54"/>
      <c r="F1303" s="54"/>
      <c r="H1303" s="114"/>
      <c r="J1303" s="183" t="str">
        <f>IFERROR(VLOOKUP(A1303,Internal_lists_bugs!$A$2:$I2031,9,FALSE()),"please select a BUG ID")</f>
        <v>please select a BUG ID</v>
      </c>
    </row>
    <row r="1304">
      <c r="A1304" s="54"/>
      <c r="B1304" s="71" t="str">
        <f>IFERROR(HYPERLINK(VLOOKUP(A1304,Internal_lists_bugs!$A$2:$C$73,3,FALSE()), VLOOKUP(A1304,Internal_lists_bugs!$A$2:$C$73,3,FALSE())&amp;Char(10) &amp; Char(10) &amp; VLOOKUP(A1304,Internal_lists_bugs!$A$2:$Z$73,26,FALSE())),"please select a BUG ID")</f>
        <v>please select a BUG ID</v>
      </c>
      <c r="C1304" s="51" t="str">
        <f>IFERROR(SUBSTITUTE(VLOOKUP(A1304,Internal_lists_bugs!$A$2:$G2031,7,FALSE()),"nova/commit","nova/src/commit"),"please select a BUG ID")</f>
        <v>please select a BUG ID</v>
      </c>
      <c r="D1304" s="54"/>
      <c r="F1304" s="54"/>
      <c r="H1304" s="114"/>
      <c r="J1304" s="183" t="str">
        <f>IFERROR(VLOOKUP(A1304,Internal_lists_bugs!$A$2:$I2031,9,FALSE()),"please select a BUG ID")</f>
        <v>please select a BUG ID</v>
      </c>
    </row>
    <row r="1305">
      <c r="A1305" s="54"/>
      <c r="B1305" s="71" t="str">
        <f>IFERROR(HYPERLINK(VLOOKUP(A1305,Internal_lists_bugs!$A$2:$C$73,3,FALSE()), VLOOKUP(A1305,Internal_lists_bugs!$A$2:$C$73,3,FALSE())&amp;Char(10) &amp; Char(10) &amp; VLOOKUP(A1305,Internal_lists_bugs!$A$2:$Z$73,26,FALSE())),"please select a BUG ID")</f>
        <v>please select a BUG ID</v>
      </c>
      <c r="C1305" s="51" t="str">
        <f>IFERROR(SUBSTITUTE(VLOOKUP(A1305,Internal_lists_bugs!$A$2:$G2031,7,FALSE()),"nova/commit","nova/src/commit"),"please select a BUG ID")</f>
        <v>please select a BUG ID</v>
      </c>
      <c r="D1305" s="54"/>
      <c r="F1305" s="54"/>
      <c r="H1305" s="114"/>
      <c r="J1305" s="183" t="str">
        <f>IFERROR(VLOOKUP(A1305,Internal_lists_bugs!$A$2:$I2031,9,FALSE()),"please select a BUG ID")</f>
        <v>please select a BUG ID</v>
      </c>
    </row>
    <row r="1306">
      <c r="A1306" s="54"/>
      <c r="B1306" s="71" t="str">
        <f>IFERROR(HYPERLINK(VLOOKUP(A1306,Internal_lists_bugs!$A$2:$C$73,3,FALSE()), VLOOKUP(A1306,Internal_lists_bugs!$A$2:$C$73,3,FALSE())&amp;Char(10) &amp; Char(10) &amp; VLOOKUP(A1306,Internal_lists_bugs!$A$2:$Z$73,26,FALSE())),"please select a BUG ID")</f>
        <v>please select a BUG ID</v>
      </c>
      <c r="C1306" s="51" t="str">
        <f>IFERROR(SUBSTITUTE(VLOOKUP(A1306,Internal_lists_bugs!$A$2:$G2031,7,FALSE()),"nova/commit","nova/src/commit"),"please select a BUG ID")</f>
        <v>please select a BUG ID</v>
      </c>
      <c r="D1306" s="54"/>
      <c r="F1306" s="54"/>
      <c r="H1306" s="114"/>
      <c r="J1306" s="183" t="str">
        <f>IFERROR(VLOOKUP(A1306,Internal_lists_bugs!$A$2:$I2031,9,FALSE()),"please select a BUG ID")</f>
        <v>please select a BUG ID</v>
      </c>
    </row>
    <row r="1307">
      <c r="A1307" s="54"/>
      <c r="B1307" s="71" t="str">
        <f>IFERROR(HYPERLINK(VLOOKUP(A1307,Internal_lists_bugs!$A$2:$C$73,3,FALSE()), VLOOKUP(A1307,Internal_lists_bugs!$A$2:$C$73,3,FALSE())&amp;Char(10) &amp; Char(10) &amp; VLOOKUP(A1307,Internal_lists_bugs!$A$2:$Z$73,26,FALSE())),"please select a BUG ID")</f>
        <v>please select a BUG ID</v>
      </c>
      <c r="C1307" s="51" t="str">
        <f>IFERROR(SUBSTITUTE(VLOOKUP(A1307,Internal_lists_bugs!$A$2:$G2031,7,FALSE()),"nova/commit","nova/src/commit"),"please select a BUG ID")</f>
        <v>please select a BUG ID</v>
      </c>
      <c r="D1307" s="54"/>
      <c r="F1307" s="54"/>
      <c r="H1307" s="114"/>
      <c r="J1307" s="183" t="str">
        <f>IFERROR(VLOOKUP(A1307,Internal_lists_bugs!$A$2:$I2031,9,FALSE()),"please select a BUG ID")</f>
        <v>please select a BUG ID</v>
      </c>
    </row>
    <row r="1308">
      <c r="A1308" s="54"/>
      <c r="B1308" s="71" t="str">
        <f>IFERROR(HYPERLINK(VLOOKUP(A1308,Internal_lists_bugs!$A$2:$C$73,3,FALSE()), VLOOKUP(A1308,Internal_lists_bugs!$A$2:$C$73,3,FALSE())&amp;Char(10) &amp; Char(10) &amp; VLOOKUP(A1308,Internal_lists_bugs!$A$2:$Z$73,26,FALSE())),"please select a BUG ID")</f>
        <v>please select a BUG ID</v>
      </c>
      <c r="C1308" s="51" t="str">
        <f>IFERROR(SUBSTITUTE(VLOOKUP(A1308,Internal_lists_bugs!$A$2:$G2031,7,FALSE()),"nova/commit","nova/src/commit"),"please select a BUG ID")</f>
        <v>please select a BUG ID</v>
      </c>
      <c r="D1308" s="54"/>
      <c r="F1308" s="54"/>
      <c r="H1308" s="114"/>
      <c r="J1308" s="183" t="str">
        <f>IFERROR(VLOOKUP(A1308,Internal_lists_bugs!$A$2:$I2031,9,FALSE()),"please select a BUG ID")</f>
        <v>please select a BUG ID</v>
      </c>
    </row>
    <row r="1309">
      <c r="A1309" s="54"/>
      <c r="B1309" s="71" t="str">
        <f>IFERROR(HYPERLINK(VLOOKUP(A1309,Internal_lists_bugs!$A$2:$C$73,3,FALSE()), VLOOKUP(A1309,Internal_lists_bugs!$A$2:$C$73,3,FALSE())&amp;Char(10) &amp; Char(10) &amp; VLOOKUP(A1309,Internal_lists_bugs!$A$2:$Z$73,26,FALSE())),"please select a BUG ID")</f>
        <v>please select a BUG ID</v>
      </c>
      <c r="C1309" s="51" t="str">
        <f>IFERROR(SUBSTITUTE(VLOOKUP(A1309,Internal_lists_bugs!$A$2:$G2031,7,FALSE()),"nova/commit","nova/src/commit"),"please select a BUG ID")</f>
        <v>please select a BUG ID</v>
      </c>
      <c r="D1309" s="54"/>
      <c r="F1309" s="54"/>
      <c r="H1309" s="114"/>
      <c r="J1309" s="183" t="str">
        <f>IFERROR(VLOOKUP(A1309,Internal_lists_bugs!$A$2:$I2031,9,FALSE()),"please select a BUG ID")</f>
        <v>please select a BUG ID</v>
      </c>
    </row>
    <row r="1310">
      <c r="A1310" s="54"/>
      <c r="B1310" s="71" t="str">
        <f>IFERROR(HYPERLINK(VLOOKUP(A1310,Internal_lists_bugs!$A$2:$C$73,3,FALSE()), VLOOKUP(A1310,Internal_lists_bugs!$A$2:$C$73,3,FALSE())&amp;Char(10) &amp; Char(10) &amp; VLOOKUP(A1310,Internal_lists_bugs!$A$2:$Z$73,26,FALSE())),"please select a BUG ID")</f>
        <v>please select a BUG ID</v>
      </c>
      <c r="C1310" s="51" t="str">
        <f>IFERROR(SUBSTITUTE(VLOOKUP(A1310,Internal_lists_bugs!$A$2:$G2031,7,FALSE()),"nova/commit","nova/src/commit"),"please select a BUG ID")</f>
        <v>please select a BUG ID</v>
      </c>
      <c r="D1310" s="54"/>
      <c r="F1310" s="54"/>
      <c r="H1310" s="114"/>
      <c r="J1310" s="183" t="str">
        <f>IFERROR(VLOOKUP(A1310,Internal_lists_bugs!$A$2:$I2031,9,FALSE()),"please select a BUG ID")</f>
        <v>please select a BUG ID</v>
      </c>
    </row>
    <row r="1311">
      <c r="A1311" s="54"/>
      <c r="B1311" s="71" t="str">
        <f>IFERROR(HYPERLINK(VLOOKUP(A1311,Internal_lists_bugs!$A$2:$C$73,3,FALSE()), VLOOKUP(A1311,Internal_lists_bugs!$A$2:$C$73,3,FALSE())&amp;Char(10) &amp; Char(10) &amp; VLOOKUP(A1311,Internal_lists_bugs!$A$2:$Z$73,26,FALSE())),"please select a BUG ID")</f>
        <v>please select a BUG ID</v>
      </c>
      <c r="C1311" s="51" t="str">
        <f>IFERROR(SUBSTITUTE(VLOOKUP(A1311,Internal_lists_bugs!$A$2:$G2031,7,FALSE()),"nova/commit","nova/src/commit"),"please select a BUG ID")</f>
        <v>please select a BUG ID</v>
      </c>
      <c r="D1311" s="54"/>
      <c r="F1311" s="54"/>
      <c r="H1311" s="114"/>
      <c r="J1311" s="183" t="str">
        <f>IFERROR(VLOOKUP(A1311,Internal_lists_bugs!$A$2:$I2031,9,FALSE()),"please select a BUG ID")</f>
        <v>please select a BUG ID</v>
      </c>
    </row>
    <row r="1312">
      <c r="A1312" s="54"/>
      <c r="B1312" s="71" t="str">
        <f>IFERROR(HYPERLINK(VLOOKUP(A1312,Internal_lists_bugs!$A$2:$C$73,3,FALSE()), VLOOKUP(A1312,Internal_lists_bugs!$A$2:$C$73,3,FALSE())&amp;Char(10) &amp; Char(10) &amp; VLOOKUP(A1312,Internal_lists_bugs!$A$2:$Z$73,26,FALSE())),"please select a BUG ID")</f>
        <v>please select a BUG ID</v>
      </c>
      <c r="C1312" s="51" t="str">
        <f>IFERROR(SUBSTITUTE(VLOOKUP(A1312,Internal_lists_bugs!$A$2:$G2031,7,FALSE()),"nova/commit","nova/src/commit"),"please select a BUG ID")</f>
        <v>please select a BUG ID</v>
      </c>
      <c r="D1312" s="54"/>
      <c r="F1312" s="54"/>
      <c r="H1312" s="114"/>
      <c r="J1312" s="183" t="str">
        <f>IFERROR(VLOOKUP(A1312,Internal_lists_bugs!$A$2:$I2031,9,FALSE()),"please select a BUG ID")</f>
        <v>please select a BUG ID</v>
      </c>
    </row>
    <row r="1313">
      <c r="A1313" s="54"/>
      <c r="B1313" s="71" t="str">
        <f>IFERROR(HYPERLINK(VLOOKUP(A1313,Internal_lists_bugs!$A$2:$C$73,3,FALSE()), VLOOKUP(A1313,Internal_lists_bugs!$A$2:$C$73,3,FALSE())&amp;Char(10) &amp; Char(10) &amp; VLOOKUP(A1313,Internal_lists_bugs!$A$2:$Z$73,26,FALSE())),"please select a BUG ID")</f>
        <v>please select a BUG ID</v>
      </c>
      <c r="C1313" s="51" t="str">
        <f>IFERROR(SUBSTITUTE(VLOOKUP(A1313,Internal_lists_bugs!$A$2:$G2031,7,FALSE()),"nova/commit","nova/src/commit"),"please select a BUG ID")</f>
        <v>please select a BUG ID</v>
      </c>
      <c r="D1313" s="54"/>
      <c r="F1313" s="54"/>
      <c r="H1313" s="114"/>
      <c r="J1313" s="183" t="str">
        <f>IFERROR(VLOOKUP(A1313,Internal_lists_bugs!$A$2:$I2031,9,FALSE()),"please select a BUG ID")</f>
        <v>please select a BUG ID</v>
      </c>
    </row>
    <row r="1314">
      <c r="A1314" s="54"/>
      <c r="B1314" s="71" t="str">
        <f>IFERROR(HYPERLINK(VLOOKUP(A1314,Internal_lists_bugs!$A$2:$C$73,3,FALSE()), VLOOKUP(A1314,Internal_lists_bugs!$A$2:$C$73,3,FALSE())&amp;Char(10) &amp; Char(10) &amp; VLOOKUP(A1314,Internal_lists_bugs!$A$2:$Z$73,26,FALSE())),"please select a BUG ID")</f>
        <v>please select a BUG ID</v>
      </c>
      <c r="C1314" s="51" t="str">
        <f>IFERROR(SUBSTITUTE(VLOOKUP(A1314,Internal_lists_bugs!$A$2:$G2031,7,FALSE()),"nova/commit","nova/src/commit"),"please select a BUG ID")</f>
        <v>please select a BUG ID</v>
      </c>
      <c r="D1314" s="54"/>
      <c r="F1314" s="54"/>
      <c r="H1314" s="114"/>
      <c r="J1314" s="183" t="str">
        <f>IFERROR(VLOOKUP(A1314,Internal_lists_bugs!$A$2:$I2031,9,FALSE()),"please select a BUG ID")</f>
        <v>please select a BUG ID</v>
      </c>
    </row>
    <row r="1315">
      <c r="A1315" s="54"/>
      <c r="B1315" s="71" t="str">
        <f>IFERROR(HYPERLINK(VLOOKUP(A1315,Internal_lists_bugs!$A$2:$C$73,3,FALSE()), VLOOKUP(A1315,Internal_lists_bugs!$A$2:$C$73,3,FALSE())&amp;Char(10) &amp; Char(10) &amp; VLOOKUP(A1315,Internal_lists_bugs!$A$2:$Z$73,26,FALSE())),"please select a BUG ID")</f>
        <v>please select a BUG ID</v>
      </c>
      <c r="C1315" s="51" t="str">
        <f>IFERROR(SUBSTITUTE(VLOOKUP(A1315,Internal_lists_bugs!$A$2:$G2031,7,FALSE()),"nova/commit","nova/src/commit"),"please select a BUG ID")</f>
        <v>please select a BUG ID</v>
      </c>
      <c r="D1315" s="54"/>
      <c r="F1315" s="54"/>
      <c r="H1315" s="114"/>
      <c r="J1315" s="183" t="str">
        <f>IFERROR(VLOOKUP(A1315,Internal_lists_bugs!$A$2:$I2031,9,FALSE()),"please select a BUG ID")</f>
        <v>please select a BUG ID</v>
      </c>
    </row>
    <row r="1316">
      <c r="A1316" s="54"/>
      <c r="B1316" s="71" t="str">
        <f>IFERROR(HYPERLINK(VLOOKUP(A1316,Internal_lists_bugs!$A$2:$C$73,3,FALSE()), VLOOKUP(A1316,Internal_lists_bugs!$A$2:$C$73,3,FALSE())&amp;Char(10) &amp; Char(10) &amp; VLOOKUP(A1316,Internal_lists_bugs!$A$2:$Z$73,26,FALSE())),"please select a BUG ID")</f>
        <v>please select a BUG ID</v>
      </c>
      <c r="C1316" s="51" t="str">
        <f>IFERROR(SUBSTITUTE(VLOOKUP(A1316,Internal_lists_bugs!$A$2:$G2031,7,FALSE()),"nova/commit","nova/src/commit"),"please select a BUG ID")</f>
        <v>please select a BUG ID</v>
      </c>
      <c r="D1316" s="54"/>
      <c r="F1316" s="54"/>
      <c r="H1316" s="114"/>
      <c r="J1316" s="183" t="str">
        <f>IFERROR(VLOOKUP(A1316,Internal_lists_bugs!$A$2:$I2031,9,FALSE()),"please select a BUG ID")</f>
        <v>please select a BUG ID</v>
      </c>
    </row>
    <row r="1317">
      <c r="A1317" s="54"/>
      <c r="B1317" s="71" t="str">
        <f>IFERROR(HYPERLINK(VLOOKUP(A1317,Internal_lists_bugs!$A$2:$C$73,3,FALSE()), VLOOKUP(A1317,Internal_lists_bugs!$A$2:$C$73,3,FALSE())&amp;Char(10) &amp; Char(10) &amp; VLOOKUP(A1317,Internal_lists_bugs!$A$2:$Z$73,26,FALSE())),"please select a BUG ID")</f>
        <v>please select a BUG ID</v>
      </c>
      <c r="C1317" s="51" t="str">
        <f>IFERROR(SUBSTITUTE(VLOOKUP(A1317,Internal_lists_bugs!$A$2:$G2031,7,FALSE()),"nova/commit","nova/src/commit"),"please select a BUG ID")</f>
        <v>please select a BUG ID</v>
      </c>
      <c r="D1317" s="54"/>
      <c r="F1317" s="54"/>
      <c r="H1317" s="114"/>
      <c r="J1317" s="183" t="str">
        <f>IFERROR(VLOOKUP(A1317,Internal_lists_bugs!$A$2:$I2031,9,FALSE()),"please select a BUG ID")</f>
        <v>please select a BUG ID</v>
      </c>
    </row>
    <row r="1318">
      <c r="A1318" s="54"/>
      <c r="B1318" s="71" t="str">
        <f>IFERROR(HYPERLINK(VLOOKUP(A1318,Internal_lists_bugs!$A$2:$C$73,3,FALSE()), VLOOKUP(A1318,Internal_lists_bugs!$A$2:$C$73,3,FALSE())&amp;Char(10) &amp; Char(10) &amp; VLOOKUP(A1318,Internal_lists_bugs!$A$2:$Z$73,26,FALSE())),"please select a BUG ID")</f>
        <v>please select a BUG ID</v>
      </c>
      <c r="C1318" s="51" t="str">
        <f>IFERROR(SUBSTITUTE(VLOOKUP(A1318,Internal_lists_bugs!$A$2:$G2031,7,FALSE()),"nova/commit","nova/src/commit"),"please select a BUG ID")</f>
        <v>please select a BUG ID</v>
      </c>
      <c r="D1318" s="54"/>
      <c r="F1318" s="54"/>
      <c r="H1318" s="114"/>
      <c r="J1318" s="183" t="str">
        <f>IFERROR(VLOOKUP(A1318,Internal_lists_bugs!$A$2:$I2031,9,FALSE()),"please select a BUG ID")</f>
        <v>please select a BUG ID</v>
      </c>
    </row>
    <row r="1319">
      <c r="A1319" s="54"/>
      <c r="B1319" s="71" t="str">
        <f>IFERROR(HYPERLINK(VLOOKUP(A1319,Internal_lists_bugs!$A$2:$C$73,3,FALSE()), VLOOKUP(A1319,Internal_lists_bugs!$A$2:$C$73,3,FALSE())&amp;Char(10) &amp; Char(10) &amp; VLOOKUP(A1319,Internal_lists_bugs!$A$2:$Z$73,26,FALSE())),"please select a BUG ID")</f>
        <v>please select a BUG ID</v>
      </c>
      <c r="C1319" s="51" t="str">
        <f>IFERROR(SUBSTITUTE(VLOOKUP(A1319,Internal_lists_bugs!$A$2:$G2031,7,FALSE()),"nova/commit","nova/src/commit"),"please select a BUG ID")</f>
        <v>please select a BUG ID</v>
      </c>
      <c r="D1319" s="54"/>
      <c r="F1319" s="54"/>
      <c r="H1319" s="114"/>
      <c r="J1319" s="183" t="str">
        <f>IFERROR(VLOOKUP(A1319,Internal_lists_bugs!$A$2:$I2031,9,FALSE()),"please select a BUG ID")</f>
        <v>please select a BUG ID</v>
      </c>
    </row>
    <row r="1320">
      <c r="A1320" s="54"/>
      <c r="B1320" s="71" t="str">
        <f>IFERROR(HYPERLINK(VLOOKUP(A1320,Internal_lists_bugs!$A$2:$C$73,3,FALSE()), VLOOKUP(A1320,Internal_lists_bugs!$A$2:$C$73,3,FALSE())&amp;Char(10) &amp; Char(10) &amp; VLOOKUP(A1320,Internal_lists_bugs!$A$2:$Z$73,26,FALSE())),"please select a BUG ID")</f>
        <v>please select a BUG ID</v>
      </c>
      <c r="C1320" s="51" t="str">
        <f>IFERROR(SUBSTITUTE(VLOOKUP(A1320,Internal_lists_bugs!$A$2:$G2031,7,FALSE()),"nova/commit","nova/src/commit"),"please select a BUG ID")</f>
        <v>please select a BUG ID</v>
      </c>
      <c r="D1320" s="54"/>
      <c r="F1320" s="54"/>
      <c r="H1320" s="114"/>
      <c r="J1320" s="183" t="str">
        <f>IFERROR(VLOOKUP(A1320,Internal_lists_bugs!$A$2:$I2031,9,FALSE()),"please select a BUG ID")</f>
        <v>please select a BUG ID</v>
      </c>
    </row>
    <row r="1321">
      <c r="A1321" s="54"/>
      <c r="B1321" s="71" t="str">
        <f>IFERROR(HYPERLINK(VLOOKUP(A1321,Internal_lists_bugs!$A$2:$C$73,3,FALSE()), VLOOKUP(A1321,Internal_lists_bugs!$A$2:$C$73,3,FALSE())&amp;Char(10) &amp; Char(10) &amp; VLOOKUP(A1321,Internal_lists_bugs!$A$2:$Z$73,26,FALSE())),"please select a BUG ID")</f>
        <v>please select a BUG ID</v>
      </c>
      <c r="C1321" s="51" t="str">
        <f>IFERROR(SUBSTITUTE(VLOOKUP(A1321,Internal_lists_bugs!$A$2:$G2031,7,FALSE()),"nova/commit","nova/src/commit"),"please select a BUG ID")</f>
        <v>please select a BUG ID</v>
      </c>
      <c r="D1321" s="54"/>
      <c r="F1321" s="54"/>
      <c r="H1321" s="114"/>
      <c r="J1321" s="183" t="str">
        <f>IFERROR(VLOOKUP(A1321,Internal_lists_bugs!$A$2:$I2031,9,FALSE()),"please select a BUG ID")</f>
        <v>please select a BUG ID</v>
      </c>
    </row>
    <row r="1322">
      <c r="A1322" s="54"/>
      <c r="B1322" s="71" t="str">
        <f>IFERROR(HYPERLINK(VLOOKUP(A1322,Internal_lists_bugs!$A$2:$C$73,3,FALSE()), VLOOKUP(A1322,Internal_lists_bugs!$A$2:$C$73,3,FALSE())&amp;Char(10) &amp; Char(10) &amp; VLOOKUP(A1322,Internal_lists_bugs!$A$2:$Z$73,26,FALSE())),"please select a BUG ID")</f>
        <v>please select a BUG ID</v>
      </c>
      <c r="C1322" s="51" t="str">
        <f>IFERROR(SUBSTITUTE(VLOOKUP(A1322,Internal_lists_bugs!$A$2:$G2031,7,FALSE()),"nova/commit","nova/src/commit"),"please select a BUG ID")</f>
        <v>please select a BUG ID</v>
      </c>
      <c r="D1322" s="54"/>
      <c r="F1322" s="54"/>
      <c r="H1322" s="114"/>
      <c r="J1322" s="183" t="str">
        <f>IFERROR(VLOOKUP(A1322,Internal_lists_bugs!$A$2:$I2031,9,FALSE()),"please select a BUG ID")</f>
        <v>please select a BUG ID</v>
      </c>
    </row>
    <row r="1323">
      <c r="A1323" s="54"/>
      <c r="B1323" s="71" t="str">
        <f>IFERROR(HYPERLINK(VLOOKUP(A1323,Internal_lists_bugs!$A$2:$C$73,3,FALSE()), VLOOKUP(A1323,Internal_lists_bugs!$A$2:$C$73,3,FALSE())&amp;Char(10) &amp; Char(10) &amp; VLOOKUP(A1323,Internal_lists_bugs!$A$2:$Z$73,26,FALSE())),"please select a BUG ID")</f>
        <v>please select a BUG ID</v>
      </c>
      <c r="C1323" s="51" t="str">
        <f>IFERROR(SUBSTITUTE(VLOOKUP(A1323,Internal_lists_bugs!$A$2:$G2031,7,FALSE()),"nova/commit","nova/src/commit"),"please select a BUG ID")</f>
        <v>please select a BUG ID</v>
      </c>
      <c r="D1323" s="54"/>
      <c r="F1323" s="54"/>
      <c r="H1323" s="114"/>
      <c r="J1323" s="183" t="str">
        <f>IFERROR(VLOOKUP(A1323,Internal_lists_bugs!$A$2:$I2031,9,FALSE()),"please select a BUG ID")</f>
        <v>please select a BUG ID</v>
      </c>
    </row>
    <row r="1324">
      <c r="A1324" s="54"/>
      <c r="B1324" s="71" t="str">
        <f>IFERROR(HYPERLINK(VLOOKUP(A1324,Internal_lists_bugs!$A$2:$C$73,3,FALSE()), VLOOKUP(A1324,Internal_lists_bugs!$A$2:$C$73,3,FALSE())&amp;Char(10) &amp; Char(10) &amp; VLOOKUP(A1324,Internal_lists_bugs!$A$2:$Z$73,26,FALSE())),"please select a BUG ID")</f>
        <v>please select a BUG ID</v>
      </c>
      <c r="C1324" s="51" t="str">
        <f>IFERROR(SUBSTITUTE(VLOOKUP(A1324,Internal_lists_bugs!$A$2:$G2031,7,FALSE()),"nova/commit","nova/src/commit"),"please select a BUG ID")</f>
        <v>please select a BUG ID</v>
      </c>
      <c r="D1324" s="54"/>
      <c r="F1324" s="54"/>
      <c r="H1324" s="114"/>
      <c r="J1324" s="183" t="str">
        <f>IFERROR(VLOOKUP(A1324,Internal_lists_bugs!$A$2:$I2031,9,FALSE()),"please select a BUG ID")</f>
        <v>please select a BUG ID</v>
      </c>
    </row>
    <row r="1325">
      <c r="A1325" s="54"/>
      <c r="B1325" s="71" t="str">
        <f>IFERROR(HYPERLINK(VLOOKUP(A1325,Internal_lists_bugs!$A$2:$C$73,3,FALSE()), VLOOKUP(A1325,Internal_lists_bugs!$A$2:$C$73,3,FALSE())&amp;Char(10) &amp; Char(10) &amp; VLOOKUP(A1325,Internal_lists_bugs!$A$2:$Z$73,26,FALSE())),"please select a BUG ID")</f>
        <v>please select a BUG ID</v>
      </c>
      <c r="C1325" s="51" t="str">
        <f>IFERROR(SUBSTITUTE(VLOOKUP(A1325,Internal_lists_bugs!$A$2:$G2031,7,FALSE()),"nova/commit","nova/src/commit"),"please select a BUG ID")</f>
        <v>please select a BUG ID</v>
      </c>
      <c r="D1325" s="54"/>
      <c r="F1325" s="54"/>
      <c r="H1325" s="114"/>
      <c r="J1325" s="183" t="str">
        <f>IFERROR(VLOOKUP(A1325,Internal_lists_bugs!$A$2:$I2031,9,FALSE()),"please select a BUG ID")</f>
        <v>please select a BUG ID</v>
      </c>
    </row>
    <row r="1326">
      <c r="A1326" s="54"/>
      <c r="B1326" s="71" t="str">
        <f>IFERROR(HYPERLINK(VLOOKUP(A1326,Internal_lists_bugs!$A$2:$C$73,3,FALSE()), VLOOKUP(A1326,Internal_lists_bugs!$A$2:$C$73,3,FALSE())&amp;Char(10) &amp; Char(10) &amp; VLOOKUP(A1326,Internal_lists_bugs!$A$2:$Z$73,26,FALSE())),"please select a BUG ID")</f>
        <v>please select a BUG ID</v>
      </c>
      <c r="C1326" s="51" t="str">
        <f>IFERROR(SUBSTITUTE(VLOOKUP(A1326,Internal_lists_bugs!$A$2:$G2031,7,FALSE()),"nova/commit","nova/src/commit"),"please select a BUG ID")</f>
        <v>please select a BUG ID</v>
      </c>
      <c r="D1326" s="54"/>
      <c r="F1326" s="54"/>
      <c r="H1326" s="114"/>
      <c r="J1326" s="183" t="str">
        <f>IFERROR(VLOOKUP(A1326,Internal_lists_bugs!$A$2:$I2031,9,FALSE()),"please select a BUG ID")</f>
        <v>please select a BUG ID</v>
      </c>
    </row>
    <row r="1327">
      <c r="A1327" s="54"/>
      <c r="B1327" s="71" t="str">
        <f>IFERROR(HYPERLINK(VLOOKUP(A1327,Internal_lists_bugs!$A$2:$C$73,3,FALSE()), VLOOKUP(A1327,Internal_lists_bugs!$A$2:$C$73,3,FALSE())&amp;Char(10) &amp; Char(10) &amp; VLOOKUP(A1327,Internal_lists_bugs!$A$2:$Z$73,26,FALSE())),"please select a BUG ID")</f>
        <v>please select a BUG ID</v>
      </c>
      <c r="C1327" s="51" t="str">
        <f>IFERROR(SUBSTITUTE(VLOOKUP(A1327,Internal_lists_bugs!$A$2:$G2031,7,FALSE()),"nova/commit","nova/src/commit"),"please select a BUG ID")</f>
        <v>please select a BUG ID</v>
      </c>
      <c r="D1327" s="54"/>
      <c r="F1327" s="54"/>
      <c r="H1327" s="114"/>
      <c r="J1327" s="183" t="str">
        <f>IFERROR(VLOOKUP(A1327,Internal_lists_bugs!$A$2:$I2031,9,FALSE()),"please select a BUG ID")</f>
        <v>please select a BUG ID</v>
      </c>
    </row>
    <row r="1328">
      <c r="A1328" s="54"/>
      <c r="B1328" s="71" t="str">
        <f>IFERROR(HYPERLINK(VLOOKUP(A1328,Internal_lists_bugs!$A$2:$C$73,3,FALSE()), VLOOKUP(A1328,Internal_lists_bugs!$A$2:$C$73,3,FALSE())&amp;Char(10) &amp; Char(10) &amp; VLOOKUP(A1328,Internal_lists_bugs!$A$2:$Z$73,26,FALSE())),"please select a BUG ID")</f>
        <v>please select a BUG ID</v>
      </c>
      <c r="C1328" s="51" t="str">
        <f>IFERROR(SUBSTITUTE(VLOOKUP(A1328,Internal_lists_bugs!$A$2:$G2031,7,FALSE()),"nova/commit","nova/src/commit"),"please select a BUG ID")</f>
        <v>please select a BUG ID</v>
      </c>
      <c r="D1328" s="54"/>
      <c r="F1328" s="54"/>
      <c r="H1328" s="114"/>
      <c r="J1328" s="183" t="str">
        <f>IFERROR(VLOOKUP(A1328,Internal_lists_bugs!$A$2:$I2031,9,FALSE()),"please select a BUG ID")</f>
        <v>please select a BUG ID</v>
      </c>
    </row>
    <row r="1329">
      <c r="A1329" s="54"/>
      <c r="B1329" s="71" t="str">
        <f>IFERROR(HYPERLINK(VLOOKUP(A1329,Internal_lists_bugs!$A$2:$C$73,3,FALSE()), VLOOKUP(A1329,Internal_lists_bugs!$A$2:$C$73,3,FALSE())&amp;Char(10) &amp; Char(10) &amp; VLOOKUP(A1329,Internal_lists_bugs!$A$2:$Z$73,26,FALSE())),"please select a BUG ID")</f>
        <v>please select a BUG ID</v>
      </c>
      <c r="C1329" s="51" t="str">
        <f>IFERROR(SUBSTITUTE(VLOOKUP(A1329,Internal_lists_bugs!$A$2:$G2031,7,FALSE()),"nova/commit","nova/src/commit"),"please select a BUG ID")</f>
        <v>please select a BUG ID</v>
      </c>
      <c r="D1329" s="54"/>
      <c r="F1329" s="54"/>
      <c r="H1329" s="114"/>
      <c r="J1329" s="183" t="str">
        <f>IFERROR(VLOOKUP(A1329,Internal_lists_bugs!$A$2:$I2031,9,FALSE()),"please select a BUG ID")</f>
        <v>please select a BUG ID</v>
      </c>
    </row>
    <row r="1330">
      <c r="A1330" s="54"/>
      <c r="B1330" s="71" t="str">
        <f>IFERROR(HYPERLINK(VLOOKUP(A1330,Internal_lists_bugs!$A$2:$C$73,3,FALSE()), VLOOKUP(A1330,Internal_lists_bugs!$A$2:$C$73,3,FALSE())&amp;Char(10) &amp; Char(10) &amp; VLOOKUP(A1330,Internal_lists_bugs!$A$2:$Z$73,26,FALSE())),"please select a BUG ID")</f>
        <v>please select a BUG ID</v>
      </c>
      <c r="C1330" s="51" t="str">
        <f>IFERROR(SUBSTITUTE(VLOOKUP(A1330,Internal_lists_bugs!$A$2:$G2031,7,FALSE()),"nova/commit","nova/src/commit"),"please select a BUG ID")</f>
        <v>please select a BUG ID</v>
      </c>
      <c r="D1330" s="54"/>
      <c r="F1330" s="54"/>
      <c r="H1330" s="114"/>
      <c r="J1330" s="183" t="str">
        <f>IFERROR(VLOOKUP(A1330,Internal_lists_bugs!$A$2:$I2031,9,FALSE()),"please select a BUG ID")</f>
        <v>please select a BUG ID</v>
      </c>
    </row>
    <row r="1331">
      <c r="A1331" s="54"/>
      <c r="B1331" s="71" t="str">
        <f>IFERROR(HYPERLINK(VLOOKUP(A1331,Internal_lists_bugs!$A$2:$C$73,3,FALSE()), VLOOKUP(A1331,Internal_lists_bugs!$A$2:$C$73,3,FALSE())&amp;Char(10) &amp; Char(10) &amp; VLOOKUP(A1331,Internal_lists_bugs!$A$2:$Z$73,26,FALSE())),"please select a BUG ID")</f>
        <v>please select a BUG ID</v>
      </c>
      <c r="C1331" s="51" t="str">
        <f>IFERROR(SUBSTITUTE(VLOOKUP(A1331,Internal_lists_bugs!$A$2:$G2031,7,FALSE()),"nova/commit","nova/src/commit"),"please select a BUG ID")</f>
        <v>please select a BUG ID</v>
      </c>
      <c r="D1331" s="54"/>
      <c r="F1331" s="54"/>
      <c r="H1331" s="114"/>
      <c r="J1331" s="183" t="str">
        <f>IFERROR(VLOOKUP(A1331,Internal_lists_bugs!$A$2:$I2031,9,FALSE()),"please select a BUG ID")</f>
        <v>please select a BUG ID</v>
      </c>
    </row>
    <row r="1332">
      <c r="A1332" s="54"/>
      <c r="B1332" s="71" t="str">
        <f>IFERROR(HYPERLINK(VLOOKUP(A1332,Internal_lists_bugs!$A$2:$C$73,3,FALSE()), VLOOKUP(A1332,Internal_lists_bugs!$A$2:$C$73,3,FALSE())&amp;Char(10) &amp; Char(10) &amp; VLOOKUP(A1332,Internal_lists_bugs!$A$2:$Z$73,26,FALSE())),"please select a BUG ID")</f>
        <v>please select a BUG ID</v>
      </c>
      <c r="C1332" s="51" t="str">
        <f>IFERROR(SUBSTITUTE(VLOOKUP(A1332,Internal_lists_bugs!$A$2:$G2031,7,FALSE()),"nova/commit","nova/src/commit"),"please select a BUG ID")</f>
        <v>please select a BUG ID</v>
      </c>
      <c r="D1332" s="54"/>
      <c r="F1332" s="54"/>
      <c r="H1332" s="114"/>
      <c r="J1332" s="183" t="str">
        <f>IFERROR(VLOOKUP(A1332,Internal_lists_bugs!$A$2:$I2031,9,FALSE()),"please select a BUG ID")</f>
        <v>please select a BUG ID</v>
      </c>
    </row>
    <row r="1333">
      <c r="A1333" s="54"/>
      <c r="B1333" s="71" t="str">
        <f>IFERROR(HYPERLINK(VLOOKUP(A1333,Internal_lists_bugs!$A$2:$C$73,3,FALSE()), VLOOKUP(A1333,Internal_lists_bugs!$A$2:$C$73,3,FALSE())&amp;Char(10) &amp; Char(10) &amp; VLOOKUP(A1333,Internal_lists_bugs!$A$2:$Z$73,26,FALSE())),"please select a BUG ID")</f>
        <v>please select a BUG ID</v>
      </c>
      <c r="C1333" s="51" t="str">
        <f>IFERROR(SUBSTITUTE(VLOOKUP(A1333,Internal_lists_bugs!$A$2:$G2031,7,FALSE()),"nova/commit","nova/src/commit"),"please select a BUG ID")</f>
        <v>please select a BUG ID</v>
      </c>
      <c r="D1333" s="54"/>
      <c r="F1333" s="54"/>
      <c r="H1333" s="114"/>
      <c r="J1333" s="183" t="str">
        <f>IFERROR(VLOOKUP(A1333,Internal_lists_bugs!$A$2:$I2031,9,FALSE()),"please select a BUG ID")</f>
        <v>please select a BUG ID</v>
      </c>
    </row>
    <row r="1334">
      <c r="A1334" s="54"/>
      <c r="B1334" s="71" t="str">
        <f>IFERROR(HYPERLINK(VLOOKUP(A1334,Internal_lists_bugs!$A$2:$C$73,3,FALSE()), VLOOKUP(A1334,Internal_lists_bugs!$A$2:$C$73,3,FALSE())&amp;Char(10) &amp; Char(10) &amp; VLOOKUP(A1334,Internal_lists_bugs!$A$2:$Z$73,26,FALSE())),"please select a BUG ID")</f>
        <v>please select a BUG ID</v>
      </c>
      <c r="C1334" s="51" t="str">
        <f>IFERROR(SUBSTITUTE(VLOOKUP(A1334,Internal_lists_bugs!$A$2:$G2031,7,FALSE()),"nova/commit","nova/src/commit"),"please select a BUG ID")</f>
        <v>please select a BUG ID</v>
      </c>
      <c r="D1334" s="54"/>
      <c r="F1334" s="54"/>
      <c r="H1334" s="114"/>
      <c r="J1334" s="183" t="str">
        <f>IFERROR(VLOOKUP(A1334,Internal_lists_bugs!$A$2:$I2031,9,FALSE()),"please select a BUG ID")</f>
        <v>please select a BUG ID</v>
      </c>
    </row>
    <row r="1335">
      <c r="A1335" s="54"/>
      <c r="B1335" s="71" t="str">
        <f>IFERROR(HYPERLINK(VLOOKUP(A1335,Internal_lists_bugs!$A$2:$C$73,3,FALSE()), VLOOKUP(A1335,Internal_lists_bugs!$A$2:$C$73,3,FALSE())&amp;Char(10) &amp; Char(10) &amp; VLOOKUP(A1335,Internal_lists_bugs!$A$2:$Z$73,26,FALSE())),"please select a BUG ID")</f>
        <v>please select a BUG ID</v>
      </c>
      <c r="C1335" s="51" t="str">
        <f>IFERROR(SUBSTITUTE(VLOOKUP(A1335,Internal_lists_bugs!$A$2:$G2031,7,FALSE()),"nova/commit","nova/src/commit"),"please select a BUG ID")</f>
        <v>please select a BUG ID</v>
      </c>
      <c r="D1335" s="54"/>
      <c r="F1335" s="54"/>
      <c r="H1335" s="114"/>
      <c r="J1335" s="183" t="str">
        <f>IFERROR(VLOOKUP(A1335,Internal_lists_bugs!$A$2:$I2031,9,FALSE()),"please select a BUG ID")</f>
        <v>please select a BUG ID</v>
      </c>
    </row>
    <row r="1336">
      <c r="A1336" s="54"/>
      <c r="B1336" s="71" t="str">
        <f>IFERROR(HYPERLINK(VLOOKUP(A1336,Internal_lists_bugs!$A$2:$C$73,3,FALSE()), VLOOKUP(A1336,Internal_lists_bugs!$A$2:$C$73,3,FALSE())&amp;Char(10) &amp; Char(10) &amp; VLOOKUP(A1336,Internal_lists_bugs!$A$2:$Z$73,26,FALSE())),"please select a BUG ID")</f>
        <v>please select a BUG ID</v>
      </c>
      <c r="C1336" s="51" t="str">
        <f>IFERROR(SUBSTITUTE(VLOOKUP(A1336,Internal_lists_bugs!$A$2:$G2031,7,FALSE()),"nova/commit","nova/src/commit"),"please select a BUG ID")</f>
        <v>please select a BUG ID</v>
      </c>
      <c r="D1336" s="54"/>
      <c r="F1336" s="54"/>
      <c r="H1336" s="114"/>
      <c r="J1336" s="183" t="str">
        <f>IFERROR(VLOOKUP(A1336,Internal_lists_bugs!$A$2:$I2031,9,FALSE()),"please select a BUG ID")</f>
        <v>please select a BUG ID</v>
      </c>
    </row>
    <row r="1337">
      <c r="A1337" s="54"/>
      <c r="B1337" s="71" t="str">
        <f>IFERROR(HYPERLINK(VLOOKUP(A1337,Internal_lists_bugs!$A$2:$C$73,3,FALSE()), VLOOKUP(A1337,Internal_lists_bugs!$A$2:$C$73,3,FALSE())&amp;Char(10) &amp; Char(10) &amp; VLOOKUP(A1337,Internal_lists_bugs!$A$2:$Z$73,26,FALSE())),"please select a BUG ID")</f>
        <v>please select a BUG ID</v>
      </c>
      <c r="C1337" s="51" t="str">
        <f>IFERROR(SUBSTITUTE(VLOOKUP(A1337,Internal_lists_bugs!$A$2:$G2031,7,FALSE()),"nova/commit","nova/src/commit"),"please select a BUG ID")</f>
        <v>please select a BUG ID</v>
      </c>
      <c r="D1337" s="54"/>
      <c r="F1337" s="54"/>
      <c r="H1337" s="114"/>
      <c r="J1337" s="183" t="str">
        <f>IFERROR(VLOOKUP(A1337,Internal_lists_bugs!$A$2:$I2031,9,FALSE()),"please select a BUG ID")</f>
        <v>please select a BUG ID</v>
      </c>
    </row>
    <row r="1338">
      <c r="A1338" s="54"/>
      <c r="B1338" s="71" t="str">
        <f>IFERROR(HYPERLINK(VLOOKUP(A1338,Internal_lists_bugs!$A$2:$C$73,3,FALSE()), VLOOKUP(A1338,Internal_lists_bugs!$A$2:$C$73,3,FALSE())&amp;Char(10) &amp; Char(10) &amp; VLOOKUP(A1338,Internal_lists_bugs!$A$2:$Z$73,26,FALSE())),"please select a BUG ID")</f>
        <v>please select a BUG ID</v>
      </c>
      <c r="C1338" s="51" t="str">
        <f>IFERROR(SUBSTITUTE(VLOOKUP(A1338,Internal_lists_bugs!$A$2:$G2031,7,FALSE()),"nova/commit","nova/src/commit"),"please select a BUG ID")</f>
        <v>please select a BUG ID</v>
      </c>
      <c r="D1338" s="54"/>
      <c r="F1338" s="54"/>
      <c r="H1338" s="114"/>
      <c r="J1338" s="183" t="str">
        <f>IFERROR(VLOOKUP(A1338,Internal_lists_bugs!$A$2:$I2031,9,FALSE()),"please select a BUG ID")</f>
        <v>please select a BUG ID</v>
      </c>
    </row>
    <row r="1339">
      <c r="A1339" s="54"/>
      <c r="B1339" s="71" t="str">
        <f>IFERROR(HYPERLINK(VLOOKUP(A1339,Internal_lists_bugs!$A$2:$C$73,3,FALSE()), VLOOKUP(A1339,Internal_lists_bugs!$A$2:$C$73,3,FALSE())&amp;Char(10) &amp; Char(10) &amp; VLOOKUP(A1339,Internal_lists_bugs!$A$2:$Z$73,26,FALSE())),"please select a BUG ID")</f>
        <v>please select a BUG ID</v>
      </c>
      <c r="C1339" s="51" t="str">
        <f>IFERROR(SUBSTITUTE(VLOOKUP(A1339,Internal_lists_bugs!$A$2:$G2031,7,FALSE()),"nova/commit","nova/src/commit"),"please select a BUG ID")</f>
        <v>please select a BUG ID</v>
      </c>
      <c r="D1339" s="54"/>
      <c r="F1339" s="54"/>
      <c r="H1339" s="114"/>
      <c r="J1339" s="183" t="str">
        <f>IFERROR(VLOOKUP(A1339,Internal_lists_bugs!$A$2:$I2031,9,FALSE()),"please select a BUG ID")</f>
        <v>please select a BUG ID</v>
      </c>
    </row>
    <row r="1340">
      <c r="A1340" s="54"/>
      <c r="B1340" s="71" t="str">
        <f>IFERROR(HYPERLINK(VLOOKUP(A1340,Internal_lists_bugs!$A$2:$C$73,3,FALSE()), VLOOKUP(A1340,Internal_lists_bugs!$A$2:$C$73,3,FALSE())&amp;Char(10) &amp; Char(10) &amp; VLOOKUP(A1340,Internal_lists_bugs!$A$2:$Z$73,26,FALSE())),"please select a BUG ID")</f>
        <v>please select a BUG ID</v>
      </c>
      <c r="C1340" s="51" t="str">
        <f>IFERROR(SUBSTITUTE(VLOOKUP(A1340,Internal_lists_bugs!$A$2:$G2031,7,FALSE()),"nova/commit","nova/src/commit"),"please select a BUG ID")</f>
        <v>please select a BUG ID</v>
      </c>
      <c r="D1340" s="54"/>
      <c r="F1340" s="54"/>
      <c r="H1340" s="114"/>
      <c r="J1340" s="183" t="str">
        <f>IFERROR(VLOOKUP(A1340,Internal_lists_bugs!$A$2:$I2031,9,FALSE()),"please select a BUG ID")</f>
        <v>please select a BUG ID</v>
      </c>
    </row>
    <row r="1341">
      <c r="A1341" s="54"/>
      <c r="B1341" s="71" t="str">
        <f>IFERROR(HYPERLINK(VLOOKUP(A1341,Internal_lists_bugs!$A$2:$C$73,3,FALSE()), VLOOKUP(A1341,Internal_lists_bugs!$A$2:$C$73,3,FALSE())&amp;Char(10) &amp; Char(10) &amp; VLOOKUP(A1341,Internal_lists_bugs!$A$2:$Z$73,26,FALSE())),"please select a BUG ID")</f>
        <v>please select a BUG ID</v>
      </c>
      <c r="C1341" s="51" t="str">
        <f>IFERROR(SUBSTITUTE(VLOOKUP(A1341,Internal_lists_bugs!$A$2:$G2031,7,FALSE()),"nova/commit","nova/src/commit"),"please select a BUG ID")</f>
        <v>please select a BUG ID</v>
      </c>
      <c r="D1341" s="54"/>
      <c r="F1341" s="54"/>
      <c r="H1341" s="114"/>
      <c r="J1341" s="183" t="str">
        <f>IFERROR(VLOOKUP(A1341,Internal_lists_bugs!$A$2:$I2031,9,FALSE()),"please select a BUG ID")</f>
        <v>please select a BUG ID</v>
      </c>
    </row>
    <row r="1342">
      <c r="A1342" s="54"/>
      <c r="B1342" s="71" t="str">
        <f>IFERROR(HYPERLINK(VLOOKUP(A1342,Internal_lists_bugs!$A$2:$C$73,3,FALSE()), VLOOKUP(A1342,Internal_lists_bugs!$A$2:$C$73,3,FALSE())&amp;Char(10) &amp; Char(10) &amp; VLOOKUP(A1342,Internal_lists_bugs!$A$2:$Z$73,26,FALSE())),"please select a BUG ID")</f>
        <v>please select a BUG ID</v>
      </c>
      <c r="C1342" s="51" t="str">
        <f>IFERROR(SUBSTITUTE(VLOOKUP(A1342,Internal_lists_bugs!$A$2:$G2031,7,FALSE()),"nova/commit","nova/src/commit"),"please select a BUG ID")</f>
        <v>please select a BUG ID</v>
      </c>
      <c r="D1342" s="54"/>
      <c r="F1342" s="54"/>
      <c r="H1342" s="114"/>
      <c r="J1342" s="183" t="str">
        <f>IFERROR(VLOOKUP(A1342,Internal_lists_bugs!$A$2:$I2031,9,FALSE()),"please select a BUG ID")</f>
        <v>please select a BUG ID</v>
      </c>
    </row>
    <row r="1343">
      <c r="A1343" s="54"/>
      <c r="B1343" s="71" t="str">
        <f>IFERROR(HYPERLINK(VLOOKUP(A1343,Internal_lists_bugs!$A$2:$C$73,3,FALSE()), VLOOKUP(A1343,Internal_lists_bugs!$A$2:$C$73,3,FALSE())&amp;Char(10) &amp; Char(10) &amp; VLOOKUP(A1343,Internal_lists_bugs!$A$2:$Z$73,26,FALSE())),"please select a BUG ID")</f>
        <v>please select a BUG ID</v>
      </c>
      <c r="C1343" s="51" t="str">
        <f>IFERROR(SUBSTITUTE(VLOOKUP(A1343,Internal_lists_bugs!$A$2:$G2031,7,FALSE()),"nova/commit","nova/src/commit"),"please select a BUG ID")</f>
        <v>please select a BUG ID</v>
      </c>
      <c r="D1343" s="54"/>
      <c r="F1343" s="54"/>
      <c r="H1343" s="114"/>
      <c r="J1343" s="183" t="str">
        <f>IFERROR(VLOOKUP(A1343,Internal_lists_bugs!$A$2:$I2031,9,FALSE()),"please select a BUG ID")</f>
        <v>please select a BUG ID</v>
      </c>
    </row>
    <row r="1344">
      <c r="A1344" s="54"/>
      <c r="B1344" s="71" t="str">
        <f>IFERROR(HYPERLINK(VLOOKUP(A1344,Internal_lists_bugs!$A$2:$C$73,3,FALSE()), VLOOKUP(A1344,Internal_lists_bugs!$A$2:$C$73,3,FALSE())&amp;Char(10) &amp; Char(10) &amp; VLOOKUP(A1344,Internal_lists_bugs!$A$2:$Z$73,26,FALSE())),"please select a BUG ID")</f>
        <v>please select a BUG ID</v>
      </c>
      <c r="C1344" s="51" t="str">
        <f>IFERROR(SUBSTITUTE(VLOOKUP(A1344,Internal_lists_bugs!$A$2:$G2031,7,FALSE()),"nova/commit","nova/src/commit"),"please select a BUG ID")</f>
        <v>please select a BUG ID</v>
      </c>
      <c r="D1344" s="54"/>
      <c r="F1344" s="54"/>
      <c r="H1344" s="114"/>
      <c r="J1344" s="183" t="str">
        <f>IFERROR(VLOOKUP(A1344,Internal_lists_bugs!$A$2:$I2031,9,FALSE()),"please select a BUG ID")</f>
        <v>please select a BUG ID</v>
      </c>
    </row>
    <row r="1345">
      <c r="A1345" s="54"/>
      <c r="B1345" s="71" t="str">
        <f>IFERROR(HYPERLINK(VLOOKUP(A1345,Internal_lists_bugs!$A$2:$C$73,3,FALSE()), VLOOKUP(A1345,Internal_lists_bugs!$A$2:$C$73,3,FALSE())&amp;Char(10) &amp; Char(10) &amp; VLOOKUP(A1345,Internal_lists_bugs!$A$2:$Z$73,26,FALSE())),"please select a BUG ID")</f>
        <v>please select a BUG ID</v>
      </c>
      <c r="C1345" s="51" t="str">
        <f>IFERROR(SUBSTITUTE(VLOOKUP(A1345,Internal_lists_bugs!$A$2:$G2031,7,FALSE()),"nova/commit","nova/src/commit"),"please select a BUG ID")</f>
        <v>please select a BUG ID</v>
      </c>
      <c r="D1345" s="54"/>
      <c r="F1345" s="54"/>
      <c r="H1345" s="114"/>
      <c r="J1345" s="183" t="str">
        <f>IFERROR(VLOOKUP(A1345,Internal_lists_bugs!$A$2:$I2031,9,FALSE()),"please select a BUG ID")</f>
        <v>please select a BUG ID</v>
      </c>
    </row>
    <row r="1346">
      <c r="A1346" s="54"/>
      <c r="B1346" s="71" t="str">
        <f>IFERROR(HYPERLINK(VLOOKUP(A1346,Internal_lists_bugs!$A$2:$C$73,3,FALSE()), VLOOKUP(A1346,Internal_lists_bugs!$A$2:$C$73,3,FALSE())&amp;Char(10) &amp; Char(10) &amp; VLOOKUP(A1346,Internal_lists_bugs!$A$2:$Z$73,26,FALSE())),"please select a BUG ID")</f>
        <v>please select a BUG ID</v>
      </c>
      <c r="C1346" s="51" t="str">
        <f>IFERROR(SUBSTITUTE(VLOOKUP(A1346,Internal_lists_bugs!$A$2:$G2031,7,FALSE()),"nova/commit","nova/src/commit"),"please select a BUG ID")</f>
        <v>please select a BUG ID</v>
      </c>
      <c r="D1346" s="54"/>
      <c r="F1346" s="54"/>
      <c r="H1346" s="114"/>
      <c r="J1346" s="183" t="str">
        <f>IFERROR(VLOOKUP(A1346,Internal_lists_bugs!$A$2:$I2031,9,FALSE()),"please select a BUG ID")</f>
        <v>please select a BUG ID</v>
      </c>
    </row>
    <row r="1347">
      <c r="A1347" s="54"/>
      <c r="B1347" s="71" t="str">
        <f>IFERROR(HYPERLINK(VLOOKUP(A1347,Internal_lists_bugs!$A$2:$C$73,3,FALSE()), VLOOKUP(A1347,Internal_lists_bugs!$A$2:$C$73,3,FALSE())&amp;Char(10) &amp; Char(10) &amp; VLOOKUP(A1347,Internal_lists_bugs!$A$2:$Z$73,26,FALSE())),"please select a BUG ID")</f>
        <v>please select a BUG ID</v>
      </c>
      <c r="C1347" s="51" t="str">
        <f>IFERROR(SUBSTITUTE(VLOOKUP(A1347,Internal_lists_bugs!$A$2:$G2031,7,FALSE()),"nova/commit","nova/src/commit"),"please select a BUG ID")</f>
        <v>please select a BUG ID</v>
      </c>
      <c r="D1347" s="54"/>
      <c r="F1347" s="54"/>
      <c r="H1347" s="114"/>
      <c r="J1347" s="183" t="str">
        <f>IFERROR(VLOOKUP(A1347,Internal_lists_bugs!$A$2:$I2031,9,FALSE()),"please select a BUG ID")</f>
        <v>please select a BUG ID</v>
      </c>
    </row>
    <row r="1348">
      <c r="A1348" s="54"/>
      <c r="B1348" s="71" t="str">
        <f>IFERROR(HYPERLINK(VLOOKUP(A1348,Internal_lists_bugs!$A$2:$C$73,3,FALSE()), VLOOKUP(A1348,Internal_lists_bugs!$A$2:$C$73,3,FALSE())&amp;Char(10) &amp; Char(10) &amp; VLOOKUP(A1348,Internal_lists_bugs!$A$2:$Z$73,26,FALSE())),"please select a BUG ID")</f>
        <v>please select a BUG ID</v>
      </c>
      <c r="C1348" s="51" t="str">
        <f>IFERROR(SUBSTITUTE(VLOOKUP(A1348,Internal_lists_bugs!$A$2:$G2031,7,FALSE()),"nova/commit","nova/src/commit"),"please select a BUG ID")</f>
        <v>please select a BUG ID</v>
      </c>
      <c r="D1348" s="54"/>
      <c r="F1348" s="54"/>
      <c r="H1348" s="114"/>
      <c r="J1348" s="183" t="str">
        <f>IFERROR(VLOOKUP(A1348,Internal_lists_bugs!$A$2:$I2031,9,FALSE()),"please select a BUG ID")</f>
        <v>please select a BUG ID</v>
      </c>
    </row>
    <row r="1349">
      <c r="A1349" s="54"/>
      <c r="B1349" s="71" t="str">
        <f>IFERROR(HYPERLINK(VLOOKUP(A1349,Internal_lists_bugs!$A$2:$C$73,3,FALSE()), VLOOKUP(A1349,Internal_lists_bugs!$A$2:$C$73,3,FALSE())&amp;Char(10) &amp; Char(10) &amp; VLOOKUP(A1349,Internal_lists_bugs!$A$2:$Z$73,26,FALSE())),"please select a BUG ID")</f>
        <v>please select a BUG ID</v>
      </c>
      <c r="C1349" s="51" t="str">
        <f>IFERROR(SUBSTITUTE(VLOOKUP(A1349,Internal_lists_bugs!$A$2:$G2031,7,FALSE()),"nova/commit","nova/src/commit"),"please select a BUG ID")</f>
        <v>please select a BUG ID</v>
      </c>
      <c r="D1349" s="54"/>
      <c r="F1349" s="54"/>
      <c r="H1349" s="114"/>
      <c r="J1349" s="183" t="str">
        <f>IFERROR(VLOOKUP(A1349,Internal_lists_bugs!$A$2:$I2031,9,FALSE()),"please select a BUG ID")</f>
        <v>please select a BUG ID</v>
      </c>
    </row>
    <row r="1350">
      <c r="A1350" s="54"/>
      <c r="B1350" s="71" t="str">
        <f>IFERROR(HYPERLINK(VLOOKUP(A1350,Internal_lists_bugs!$A$2:$C$73,3,FALSE()), VLOOKUP(A1350,Internal_lists_bugs!$A$2:$C$73,3,FALSE())&amp;Char(10) &amp; Char(10) &amp; VLOOKUP(A1350,Internal_lists_bugs!$A$2:$Z$73,26,FALSE())),"please select a BUG ID")</f>
        <v>please select a BUG ID</v>
      </c>
      <c r="C1350" s="51" t="str">
        <f>IFERROR(SUBSTITUTE(VLOOKUP(A1350,Internal_lists_bugs!$A$2:$G2031,7,FALSE()),"nova/commit","nova/src/commit"),"please select a BUG ID")</f>
        <v>please select a BUG ID</v>
      </c>
      <c r="D1350" s="54"/>
      <c r="F1350" s="54"/>
      <c r="H1350" s="114"/>
      <c r="J1350" s="183" t="str">
        <f>IFERROR(VLOOKUP(A1350,Internal_lists_bugs!$A$2:$I2031,9,FALSE()),"please select a BUG ID")</f>
        <v>please select a BUG ID</v>
      </c>
    </row>
    <row r="1351">
      <c r="A1351" s="54"/>
      <c r="B1351" s="71" t="str">
        <f>IFERROR(HYPERLINK(VLOOKUP(A1351,Internal_lists_bugs!$A$2:$C$73,3,FALSE()), VLOOKUP(A1351,Internal_lists_bugs!$A$2:$C$73,3,FALSE())&amp;Char(10) &amp; Char(10) &amp; VLOOKUP(A1351,Internal_lists_bugs!$A$2:$Z$73,26,FALSE())),"please select a BUG ID")</f>
        <v>please select a BUG ID</v>
      </c>
      <c r="C1351" s="51" t="str">
        <f>IFERROR(SUBSTITUTE(VLOOKUP(A1351,Internal_lists_bugs!$A$2:$G2031,7,FALSE()),"nova/commit","nova/src/commit"),"please select a BUG ID")</f>
        <v>please select a BUG ID</v>
      </c>
      <c r="D1351" s="54"/>
      <c r="F1351" s="54"/>
      <c r="H1351" s="114"/>
      <c r="J1351" s="183" t="str">
        <f>IFERROR(VLOOKUP(A1351,Internal_lists_bugs!$A$2:$I2031,9,FALSE()),"please select a BUG ID")</f>
        <v>please select a BUG ID</v>
      </c>
    </row>
    <row r="1352">
      <c r="A1352" s="54"/>
      <c r="B1352" s="71" t="str">
        <f>IFERROR(HYPERLINK(VLOOKUP(A1352,Internal_lists_bugs!$A$2:$C$73,3,FALSE()), VLOOKUP(A1352,Internal_lists_bugs!$A$2:$C$73,3,FALSE())&amp;Char(10) &amp; Char(10) &amp; VLOOKUP(A1352,Internal_lists_bugs!$A$2:$Z$73,26,FALSE())),"please select a BUG ID")</f>
        <v>please select a BUG ID</v>
      </c>
      <c r="C1352" s="51" t="str">
        <f>IFERROR(SUBSTITUTE(VLOOKUP(A1352,Internal_lists_bugs!$A$2:$G2031,7,FALSE()),"nova/commit","nova/src/commit"),"please select a BUG ID")</f>
        <v>please select a BUG ID</v>
      </c>
      <c r="D1352" s="54"/>
      <c r="F1352" s="54"/>
      <c r="H1352" s="114"/>
      <c r="J1352" s="183" t="str">
        <f>IFERROR(VLOOKUP(A1352,Internal_lists_bugs!$A$2:$I2031,9,FALSE()),"please select a BUG ID")</f>
        <v>please select a BUG ID</v>
      </c>
    </row>
    <row r="1353">
      <c r="A1353" s="54"/>
      <c r="B1353" s="71" t="str">
        <f>IFERROR(HYPERLINK(VLOOKUP(A1353,Internal_lists_bugs!$A$2:$C$73,3,FALSE()), VLOOKUP(A1353,Internal_lists_bugs!$A$2:$C$73,3,FALSE())&amp;Char(10) &amp; Char(10) &amp; VLOOKUP(A1353,Internal_lists_bugs!$A$2:$Z$73,26,FALSE())),"please select a BUG ID")</f>
        <v>please select a BUG ID</v>
      </c>
      <c r="C1353" s="51" t="str">
        <f>IFERROR(SUBSTITUTE(VLOOKUP(A1353,Internal_lists_bugs!$A$2:$G2031,7,FALSE()),"nova/commit","nova/src/commit"),"please select a BUG ID")</f>
        <v>please select a BUG ID</v>
      </c>
      <c r="D1353" s="54"/>
      <c r="F1353" s="54"/>
      <c r="H1353" s="114"/>
      <c r="J1353" s="183" t="str">
        <f>IFERROR(VLOOKUP(A1353,Internal_lists_bugs!$A$2:$I2031,9,FALSE()),"please select a BUG ID")</f>
        <v>please select a BUG ID</v>
      </c>
    </row>
    <row r="1354">
      <c r="A1354" s="54"/>
      <c r="B1354" s="71" t="str">
        <f>IFERROR(HYPERLINK(VLOOKUP(A1354,Internal_lists_bugs!$A$2:$C$73,3,FALSE()), VLOOKUP(A1354,Internal_lists_bugs!$A$2:$C$73,3,FALSE())&amp;Char(10) &amp; Char(10) &amp; VLOOKUP(A1354,Internal_lists_bugs!$A$2:$Z$73,26,FALSE())),"please select a BUG ID")</f>
        <v>please select a BUG ID</v>
      </c>
      <c r="C1354" s="51" t="str">
        <f>IFERROR(SUBSTITUTE(VLOOKUP(A1354,Internal_lists_bugs!$A$2:$G2031,7,FALSE()),"nova/commit","nova/src/commit"),"please select a BUG ID")</f>
        <v>please select a BUG ID</v>
      </c>
      <c r="D1354" s="54"/>
      <c r="F1354" s="54"/>
      <c r="H1354" s="114"/>
      <c r="J1354" s="183" t="str">
        <f>IFERROR(VLOOKUP(A1354,Internal_lists_bugs!$A$2:$I2031,9,FALSE()),"please select a BUG ID")</f>
        <v>please select a BUG ID</v>
      </c>
    </row>
    <row r="1355">
      <c r="A1355" s="54"/>
      <c r="B1355" s="71" t="str">
        <f>IFERROR(HYPERLINK(VLOOKUP(A1355,Internal_lists_bugs!$A$2:$C$73,3,FALSE()), VLOOKUP(A1355,Internal_lists_bugs!$A$2:$C$73,3,FALSE())&amp;Char(10) &amp; Char(10) &amp; VLOOKUP(A1355,Internal_lists_bugs!$A$2:$Z$73,26,FALSE())),"please select a BUG ID")</f>
        <v>please select a BUG ID</v>
      </c>
      <c r="C1355" s="51" t="str">
        <f>IFERROR(SUBSTITUTE(VLOOKUP(A1355,Internal_lists_bugs!$A$2:$G2031,7,FALSE()),"nova/commit","nova/src/commit"),"please select a BUG ID")</f>
        <v>please select a BUG ID</v>
      </c>
      <c r="D1355" s="54"/>
      <c r="F1355" s="54"/>
      <c r="H1355" s="114"/>
      <c r="J1355" s="183" t="str">
        <f>IFERROR(VLOOKUP(A1355,Internal_lists_bugs!$A$2:$I2031,9,FALSE()),"please select a BUG ID")</f>
        <v>please select a BUG ID</v>
      </c>
    </row>
    <row r="1356">
      <c r="A1356" s="54"/>
      <c r="B1356" s="71" t="str">
        <f>IFERROR(HYPERLINK(VLOOKUP(A1356,Internal_lists_bugs!$A$2:$C$73,3,FALSE()), VLOOKUP(A1356,Internal_lists_bugs!$A$2:$C$73,3,FALSE())&amp;Char(10) &amp; Char(10) &amp; VLOOKUP(A1356,Internal_lists_bugs!$A$2:$Z$73,26,FALSE())),"please select a BUG ID")</f>
        <v>please select a BUG ID</v>
      </c>
      <c r="C1356" s="51" t="str">
        <f>IFERROR(SUBSTITUTE(VLOOKUP(A1356,Internal_lists_bugs!$A$2:$G2031,7,FALSE()),"nova/commit","nova/src/commit"),"please select a BUG ID")</f>
        <v>please select a BUG ID</v>
      </c>
      <c r="D1356" s="54"/>
      <c r="F1356" s="54"/>
      <c r="H1356" s="114"/>
      <c r="J1356" s="183" t="str">
        <f>IFERROR(VLOOKUP(A1356,Internal_lists_bugs!$A$2:$I2031,9,FALSE()),"please select a BUG ID")</f>
        <v>please select a BUG ID</v>
      </c>
    </row>
    <row r="1357">
      <c r="A1357" s="54"/>
      <c r="B1357" s="71" t="str">
        <f>IFERROR(HYPERLINK(VLOOKUP(A1357,Internal_lists_bugs!$A$2:$C$73,3,FALSE()), VLOOKUP(A1357,Internal_lists_bugs!$A$2:$C$73,3,FALSE())&amp;Char(10) &amp; Char(10) &amp; VLOOKUP(A1357,Internal_lists_bugs!$A$2:$Z$73,26,FALSE())),"please select a BUG ID")</f>
        <v>please select a BUG ID</v>
      </c>
      <c r="C1357" s="51" t="str">
        <f>IFERROR(SUBSTITUTE(VLOOKUP(A1357,Internal_lists_bugs!$A$2:$G2031,7,FALSE()),"nova/commit","nova/src/commit"),"please select a BUG ID")</f>
        <v>please select a BUG ID</v>
      </c>
      <c r="D1357" s="54"/>
      <c r="F1357" s="54"/>
      <c r="H1357" s="114"/>
      <c r="J1357" s="183" t="str">
        <f>IFERROR(VLOOKUP(A1357,Internal_lists_bugs!$A$2:$I2031,9,FALSE()),"please select a BUG ID")</f>
        <v>please select a BUG ID</v>
      </c>
    </row>
    <row r="1358">
      <c r="A1358" s="54"/>
      <c r="B1358" s="71" t="str">
        <f>IFERROR(HYPERLINK(VLOOKUP(A1358,Internal_lists_bugs!$A$2:$C$73,3,FALSE()), VLOOKUP(A1358,Internal_lists_bugs!$A$2:$C$73,3,FALSE())&amp;Char(10) &amp; Char(10) &amp; VLOOKUP(A1358,Internal_lists_bugs!$A$2:$Z$73,26,FALSE())),"please select a BUG ID")</f>
        <v>please select a BUG ID</v>
      </c>
      <c r="C1358" s="51" t="str">
        <f>IFERROR(SUBSTITUTE(VLOOKUP(A1358,Internal_lists_bugs!$A$2:$G2031,7,FALSE()),"nova/commit","nova/src/commit"),"please select a BUG ID")</f>
        <v>please select a BUG ID</v>
      </c>
      <c r="D1358" s="54"/>
      <c r="F1358" s="54"/>
      <c r="H1358" s="114"/>
      <c r="J1358" s="183" t="str">
        <f>IFERROR(VLOOKUP(A1358,Internal_lists_bugs!$A$2:$I2031,9,FALSE()),"please select a BUG ID")</f>
        <v>please select a BUG ID</v>
      </c>
    </row>
    <row r="1359">
      <c r="A1359" s="54"/>
      <c r="B1359" s="71" t="str">
        <f>IFERROR(HYPERLINK(VLOOKUP(A1359,Internal_lists_bugs!$A$2:$C$73,3,FALSE()), VLOOKUP(A1359,Internal_lists_bugs!$A$2:$C$73,3,FALSE())&amp;Char(10) &amp; Char(10) &amp; VLOOKUP(A1359,Internal_lists_bugs!$A$2:$Z$73,26,FALSE())),"please select a BUG ID")</f>
        <v>please select a BUG ID</v>
      </c>
      <c r="C1359" s="51" t="str">
        <f>IFERROR(SUBSTITUTE(VLOOKUP(A1359,Internal_lists_bugs!$A$2:$G2031,7,FALSE()),"nova/commit","nova/src/commit"),"please select a BUG ID")</f>
        <v>please select a BUG ID</v>
      </c>
      <c r="D1359" s="54"/>
      <c r="F1359" s="54"/>
      <c r="H1359" s="114"/>
      <c r="J1359" s="183" t="str">
        <f>IFERROR(VLOOKUP(A1359,Internal_lists_bugs!$A$2:$I2031,9,FALSE()),"please select a BUG ID")</f>
        <v>please select a BUG ID</v>
      </c>
    </row>
    <row r="1360">
      <c r="A1360" s="54"/>
      <c r="B1360" s="71" t="str">
        <f>IFERROR(HYPERLINK(VLOOKUP(A1360,Internal_lists_bugs!$A$2:$C$73,3,FALSE()), VLOOKUP(A1360,Internal_lists_bugs!$A$2:$C$73,3,FALSE())&amp;Char(10) &amp; Char(10) &amp; VLOOKUP(A1360,Internal_lists_bugs!$A$2:$Z$73,26,FALSE())),"please select a BUG ID")</f>
        <v>please select a BUG ID</v>
      </c>
      <c r="C1360" s="51" t="str">
        <f>IFERROR(SUBSTITUTE(VLOOKUP(A1360,Internal_lists_bugs!$A$2:$G2031,7,FALSE()),"nova/commit","nova/src/commit"),"please select a BUG ID")</f>
        <v>please select a BUG ID</v>
      </c>
      <c r="D1360" s="54"/>
      <c r="F1360" s="54"/>
      <c r="H1360" s="114"/>
      <c r="J1360" s="183" t="str">
        <f>IFERROR(VLOOKUP(A1360,Internal_lists_bugs!$A$2:$I2031,9,FALSE()),"please select a BUG ID")</f>
        <v>please select a BUG ID</v>
      </c>
    </row>
    <row r="1361">
      <c r="A1361" s="54"/>
      <c r="B1361" s="71" t="str">
        <f>IFERROR(HYPERLINK(VLOOKUP(A1361,Internal_lists_bugs!$A$2:$C$73,3,FALSE()), VLOOKUP(A1361,Internal_lists_bugs!$A$2:$C$73,3,FALSE())&amp;Char(10) &amp; Char(10) &amp; VLOOKUP(A1361,Internal_lists_bugs!$A$2:$Z$73,26,FALSE())),"please select a BUG ID")</f>
        <v>please select a BUG ID</v>
      </c>
      <c r="C1361" s="51" t="str">
        <f>IFERROR(SUBSTITUTE(VLOOKUP(A1361,Internal_lists_bugs!$A$2:$G2031,7,FALSE()),"nova/commit","nova/src/commit"),"please select a BUG ID")</f>
        <v>please select a BUG ID</v>
      </c>
      <c r="D1361" s="54"/>
      <c r="F1361" s="54"/>
      <c r="H1361" s="114"/>
      <c r="J1361" s="183" t="str">
        <f>IFERROR(VLOOKUP(A1361,Internal_lists_bugs!$A$2:$I2031,9,FALSE()),"please select a BUG ID")</f>
        <v>please select a BUG ID</v>
      </c>
    </row>
    <row r="1362">
      <c r="A1362" s="54"/>
      <c r="B1362" s="71" t="str">
        <f>IFERROR(HYPERLINK(VLOOKUP(A1362,Internal_lists_bugs!$A$2:$C$73,3,FALSE()), VLOOKUP(A1362,Internal_lists_bugs!$A$2:$C$73,3,FALSE())&amp;Char(10) &amp; Char(10) &amp; VLOOKUP(A1362,Internal_lists_bugs!$A$2:$Z$73,26,FALSE())),"please select a BUG ID")</f>
        <v>please select a BUG ID</v>
      </c>
      <c r="C1362" s="51" t="str">
        <f>IFERROR(SUBSTITUTE(VLOOKUP(A1362,Internal_lists_bugs!$A$2:$G2031,7,FALSE()),"nova/commit","nova/src/commit"),"please select a BUG ID")</f>
        <v>please select a BUG ID</v>
      </c>
      <c r="D1362" s="54"/>
      <c r="F1362" s="54"/>
      <c r="H1362" s="114"/>
      <c r="J1362" s="183" t="str">
        <f>IFERROR(VLOOKUP(A1362,Internal_lists_bugs!$A$2:$I2031,9,FALSE()),"please select a BUG ID")</f>
        <v>please select a BUG ID</v>
      </c>
    </row>
    <row r="1363">
      <c r="A1363" s="54"/>
      <c r="B1363" s="71" t="str">
        <f>IFERROR(HYPERLINK(VLOOKUP(A1363,Internal_lists_bugs!$A$2:$C$73,3,FALSE()), VLOOKUP(A1363,Internal_lists_bugs!$A$2:$C$73,3,FALSE())&amp;Char(10) &amp; Char(10) &amp; VLOOKUP(A1363,Internal_lists_bugs!$A$2:$Z$73,26,FALSE())),"please select a BUG ID")</f>
        <v>please select a BUG ID</v>
      </c>
      <c r="C1363" s="51" t="str">
        <f>IFERROR(SUBSTITUTE(VLOOKUP(A1363,Internal_lists_bugs!$A$2:$G2031,7,FALSE()),"nova/commit","nova/src/commit"),"please select a BUG ID")</f>
        <v>please select a BUG ID</v>
      </c>
      <c r="D1363" s="54"/>
      <c r="F1363" s="54"/>
      <c r="H1363" s="114"/>
      <c r="J1363" s="183" t="str">
        <f>IFERROR(VLOOKUP(A1363,Internal_lists_bugs!$A$2:$I2031,9,FALSE()),"please select a BUG ID")</f>
        <v>please select a BUG ID</v>
      </c>
    </row>
    <row r="1364">
      <c r="A1364" s="54"/>
      <c r="B1364" s="71" t="str">
        <f>IFERROR(HYPERLINK(VLOOKUP(A1364,Internal_lists_bugs!$A$2:$C$73,3,FALSE()), VLOOKUP(A1364,Internal_lists_bugs!$A$2:$C$73,3,FALSE())&amp;Char(10) &amp; Char(10) &amp; VLOOKUP(A1364,Internal_lists_bugs!$A$2:$Z$73,26,FALSE())),"please select a BUG ID")</f>
        <v>please select a BUG ID</v>
      </c>
      <c r="C1364" s="51" t="str">
        <f>IFERROR(SUBSTITUTE(VLOOKUP(A1364,Internal_lists_bugs!$A$2:$G2031,7,FALSE()),"nova/commit","nova/src/commit"),"please select a BUG ID")</f>
        <v>please select a BUG ID</v>
      </c>
      <c r="D1364" s="54"/>
      <c r="F1364" s="54"/>
      <c r="H1364" s="114"/>
      <c r="J1364" s="183" t="str">
        <f>IFERROR(VLOOKUP(A1364,Internal_lists_bugs!$A$2:$I2031,9,FALSE()),"please select a BUG ID")</f>
        <v>please select a BUG ID</v>
      </c>
    </row>
    <row r="1365">
      <c r="A1365" s="54"/>
      <c r="B1365" s="71" t="str">
        <f>IFERROR(HYPERLINK(VLOOKUP(A1365,Internal_lists_bugs!$A$2:$C$73,3,FALSE()), VLOOKUP(A1365,Internal_lists_bugs!$A$2:$C$73,3,FALSE())&amp;Char(10) &amp; Char(10) &amp; VLOOKUP(A1365,Internal_lists_bugs!$A$2:$Z$73,26,FALSE())),"please select a BUG ID")</f>
        <v>please select a BUG ID</v>
      </c>
      <c r="C1365" s="51" t="str">
        <f>IFERROR(SUBSTITUTE(VLOOKUP(A1365,Internal_lists_bugs!$A$2:$G2031,7,FALSE()),"nova/commit","nova/src/commit"),"please select a BUG ID")</f>
        <v>please select a BUG ID</v>
      </c>
      <c r="D1365" s="54"/>
      <c r="F1365" s="54"/>
      <c r="H1365" s="114"/>
      <c r="J1365" s="183" t="str">
        <f>IFERROR(VLOOKUP(A1365,Internal_lists_bugs!$A$2:$I2031,9,FALSE()),"please select a BUG ID")</f>
        <v>please select a BUG ID</v>
      </c>
    </row>
    <row r="1366">
      <c r="A1366" s="54"/>
      <c r="B1366" s="71" t="str">
        <f>IFERROR(HYPERLINK(VLOOKUP(A1366,Internal_lists_bugs!$A$2:$C$73,3,FALSE()), VLOOKUP(A1366,Internal_lists_bugs!$A$2:$C$73,3,FALSE())&amp;Char(10) &amp; Char(10) &amp; VLOOKUP(A1366,Internal_lists_bugs!$A$2:$Z$73,26,FALSE())),"please select a BUG ID")</f>
        <v>please select a BUG ID</v>
      </c>
      <c r="C1366" s="51" t="str">
        <f>IFERROR(SUBSTITUTE(VLOOKUP(A1366,Internal_lists_bugs!$A$2:$G2031,7,FALSE()),"nova/commit","nova/src/commit"),"please select a BUG ID")</f>
        <v>please select a BUG ID</v>
      </c>
      <c r="D1366" s="54"/>
      <c r="F1366" s="54"/>
      <c r="H1366" s="114"/>
      <c r="J1366" s="183" t="str">
        <f>IFERROR(VLOOKUP(A1366,Internal_lists_bugs!$A$2:$I2031,9,FALSE()),"please select a BUG ID")</f>
        <v>please select a BUG ID</v>
      </c>
    </row>
    <row r="1367">
      <c r="A1367" s="54"/>
      <c r="B1367" s="71" t="str">
        <f>IFERROR(HYPERLINK(VLOOKUP(A1367,Internal_lists_bugs!$A$2:$C$73,3,FALSE()), VLOOKUP(A1367,Internal_lists_bugs!$A$2:$C$73,3,FALSE())&amp;Char(10) &amp; Char(10) &amp; VLOOKUP(A1367,Internal_lists_bugs!$A$2:$Z$73,26,FALSE())),"please select a BUG ID")</f>
        <v>please select a BUG ID</v>
      </c>
      <c r="C1367" s="51" t="str">
        <f>IFERROR(SUBSTITUTE(VLOOKUP(A1367,Internal_lists_bugs!$A$2:$G2031,7,FALSE()),"nova/commit","nova/src/commit"),"please select a BUG ID")</f>
        <v>please select a BUG ID</v>
      </c>
      <c r="D1367" s="54"/>
      <c r="F1367" s="54"/>
      <c r="H1367" s="114"/>
      <c r="J1367" s="183" t="str">
        <f>IFERROR(VLOOKUP(A1367,Internal_lists_bugs!$A$2:$I2031,9,FALSE()),"please select a BUG ID")</f>
        <v>please select a BUG ID</v>
      </c>
    </row>
    <row r="1368">
      <c r="A1368" s="54"/>
      <c r="B1368" s="71" t="str">
        <f>IFERROR(HYPERLINK(VLOOKUP(A1368,Internal_lists_bugs!$A$2:$C$73,3,FALSE()), VLOOKUP(A1368,Internal_lists_bugs!$A$2:$C$73,3,FALSE())&amp;Char(10) &amp; Char(10) &amp; VLOOKUP(A1368,Internal_lists_bugs!$A$2:$Z$73,26,FALSE())),"please select a BUG ID")</f>
        <v>please select a BUG ID</v>
      </c>
      <c r="C1368" s="51" t="str">
        <f>IFERROR(SUBSTITUTE(VLOOKUP(A1368,Internal_lists_bugs!$A$2:$G2031,7,FALSE()),"nova/commit","nova/src/commit"),"please select a BUG ID")</f>
        <v>please select a BUG ID</v>
      </c>
      <c r="D1368" s="54"/>
      <c r="F1368" s="54"/>
      <c r="H1368" s="114"/>
      <c r="J1368" s="183" t="str">
        <f>IFERROR(VLOOKUP(A1368,Internal_lists_bugs!$A$2:$I2031,9,FALSE()),"please select a BUG ID")</f>
        <v>please select a BUG ID</v>
      </c>
    </row>
    <row r="1369">
      <c r="A1369" s="54"/>
      <c r="B1369" s="71" t="str">
        <f>IFERROR(HYPERLINK(VLOOKUP(A1369,Internal_lists_bugs!$A$2:$C$73,3,FALSE()), VLOOKUP(A1369,Internal_lists_bugs!$A$2:$C$73,3,FALSE())&amp;Char(10) &amp; Char(10) &amp; VLOOKUP(A1369,Internal_lists_bugs!$A$2:$Z$73,26,FALSE())),"please select a BUG ID")</f>
        <v>please select a BUG ID</v>
      </c>
      <c r="C1369" s="51" t="str">
        <f>IFERROR(SUBSTITUTE(VLOOKUP(A1369,Internal_lists_bugs!$A$2:$G2031,7,FALSE()),"nova/commit","nova/src/commit"),"please select a BUG ID")</f>
        <v>please select a BUG ID</v>
      </c>
      <c r="D1369" s="54"/>
      <c r="F1369" s="54"/>
      <c r="H1369" s="114"/>
      <c r="J1369" s="183" t="str">
        <f>IFERROR(VLOOKUP(A1369,Internal_lists_bugs!$A$2:$I2031,9,FALSE()),"please select a BUG ID")</f>
        <v>please select a BUG ID</v>
      </c>
    </row>
    <row r="1370">
      <c r="A1370" s="54"/>
      <c r="B1370" s="71" t="str">
        <f>IFERROR(HYPERLINK(VLOOKUP(A1370,Internal_lists_bugs!$A$2:$C$73,3,FALSE()), VLOOKUP(A1370,Internal_lists_bugs!$A$2:$C$73,3,FALSE())&amp;Char(10) &amp; Char(10) &amp; VLOOKUP(A1370,Internal_lists_bugs!$A$2:$Z$73,26,FALSE())),"please select a BUG ID")</f>
        <v>please select a BUG ID</v>
      </c>
      <c r="C1370" s="51" t="str">
        <f>IFERROR(SUBSTITUTE(VLOOKUP(A1370,Internal_lists_bugs!$A$2:$G2031,7,FALSE()),"nova/commit","nova/src/commit"),"please select a BUG ID")</f>
        <v>please select a BUG ID</v>
      </c>
      <c r="D1370" s="54"/>
      <c r="F1370" s="54"/>
      <c r="H1370" s="114"/>
      <c r="J1370" s="183" t="str">
        <f>IFERROR(VLOOKUP(A1370,Internal_lists_bugs!$A$2:$I2031,9,FALSE()),"please select a BUG ID")</f>
        <v>please select a BUG ID</v>
      </c>
    </row>
    <row r="1371">
      <c r="A1371" s="54"/>
      <c r="B1371" s="71" t="str">
        <f>IFERROR(HYPERLINK(VLOOKUP(A1371,Internal_lists_bugs!$A$2:$C$73,3,FALSE()), VLOOKUP(A1371,Internal_lists_bugs!$A$2:$C$73,3,FALSE())&amp;Char(10) &amp; Char(10) &amp; VLOOKUP(A1371,Internal_lists_bugs!$A$2:$Z$73,26,FALSE())),"please select a BUG ID")</f>
        <v>please select a BUG ID</v>
      </c>
      <c r="C1371" s="51" t="str">
        <f>IFERROR(SUBSTITUTE(VLOOKUP(A1371,Internal_lists_bugs!$A$2:$G2031,7,FALSE()),"nova/commit","nova/src/commit"),"please select a BUG ID")</f>
        <v>please select a BUG ID</v>
      </c>
      <c r="D1371" s="54"/>
      <c r="F1371" s="54"/>
      <c r="H1371" s="114"/>
      <c r="J1371" s="183" t="str">
        <f>IFERROR(VLOOKUP(A1371,Internal_lists_bugs!$A$2:$I2031,9,FALSE()),"please select a BUG ID")</f>
        <v>please select a BUG ID</v>
      </c>
    </row>
    <row r="1372">
      <c r="A1372" s="54"/>
      <c r="B1372" s="71" t="str">
        <f>IFERROR(HYPERLINK(VLOOKUP(A1372,Internal_lists_bugs!$A$2:$C$73,3,FALSE()), VLOOKUP(A1372,Internal_lists_bugs!$A$2:$C$73,3,FALSE())&amp;Char(10) &amp; Char(10) &amp; VLOOKUP(A1372,Internal_lists_bugs!$A$2:$Z$73,26,FALSE())),"please select a BUG ID")</f>
        <v>please select a BUG ID</v>
      </c>
      <c r="C1372" s="51" t="str">
        <f>IFERROR(SUBSTITUTE(VLOOKUP(A1372,Internal_lists_bugs!$A$2:$G2031,7,FALSE()),"nova/commit","nova/src/commit"),"please select a BUG ID")</f>
        <v>please select a BUG ID</v>
      </c>
      <c r="D1372" s="54"/>
      <c r="F1372" s="54"/>
      <c r="H1372" s="114"/>
      <c r="J1372" s="183" t="str">
        <f>IFERROR(VLOOKUP(A1372,Internal_lists_bugs!$A$2:$I2031,9,FALSE()),"please select a BUG ID")</f>
        <v>please select a BUG ID</v>
      </c>
    </row>
    <row r="1373">
      <c r="A1373" s="54"/>
      <c r="B1373" s="71" t="str">
        <f>IFERROR(HYPERLINK(VLOOKUP(A1373,Internal_lists_bugs!$A$2:$C$73,3,FALSE()), VLOOKUP(A1373,Internal_lists_bugs!$A$2:$C$73,3,FALSE())&amp;Char(10) &amp; Char(10) &amp; VLOOKUP(A1373,Internal_lists_bugs!$A$2:$Z$73,26,FALSE())),"please select a BUG ID")</f>
        <v>please select a BUG ID</v>
      </c>
      <c r="C1373" s="51" t="str">
        <f>IFERROR(SUBSTITUTE(VLOOKUP(A1373,Internal_lists_bugs!$A$2:$G2031,7,FALSE()),"nova/commit","nova/src/commit"),"please select a BUG ID")</f>
        <v>please select a BUG ID</v>
      </c>
      <c r="D1373" s="54"/>
      <c r="F1373" s="54"/>
      <c r="H1373" s="114"/>
      <c r="J1373" s="183" t="str">
        <f>IFERROR(VLOOKUP(A1373,Internal_lists_bugs!$A$2:$I2031,9,FALSE()),"please select a BUG ID")</f>
        <v>please select a BUG ID</v>
      </c>
    </row>
    <row r="1374">
      <c r="A1374" s="54"/>
      <c r="B1374" s="71" t="str">
        <f>IFERROR(HYPERLINK(VLOOKUP(A1374,Internal_lists_bugs!$A$2:$C$73,3,FALSE()), VLOOKUP(A1374,Internal_lists_bugs!$A$2:$C$73,3,FALSE())&amp;Char(10) &amp; Char(10) &amp; VLOOKUP(A1374,Internal_lists_bugs!$A$2:$Z$73,26,FALSE())),"please select a BUG ID")</f>
        <v>please select a BUG ID</v>
      </c>
      <c r="C1374" s="51" t="str">
        <f>IFERROR(SUBSTITUTE(VLOOKUP(A1374,Internal_lists_bugs!$A$2:$G2031,7,FALSE()),"nova/commit","nova/src/commit"),"please select a BUG ID")</f>
        <v>please select a BUG ID</v>
      </c>
      <c r="D1374" s="54"/>
      <c r="F1374" s="54"/>
      <c r="H1374" s="114"/>
      <c r="J1374" s="183" t="str">
        <f>IFERROR(VLOOKUP(A1374,Internal_lists_bugs!$A$2:$I2031,9,FALSE()),"please select a BUG ID")</f>
        <v>please select a BUG ID</v>
      </c>
    </row>
    <row r="1375">
      <c r="A1375" s="54"/>
      <c r="B1375" s="71" t="str">
        <f>IFERROR(HYPERLINK(VLOOKUP(A1375,Internal_lists_bugs!$A$2:$C$73,3,FALSE()), VLOOKUP(A1375,Internal_lists_bugs!$A$2:$C$73,3,FALSE())&amp;Char(10) &amp; Char(10) &amp; VLOOKUP(A1375,Internal_lists_bugs!$A$2:$Z$73,26,FALSE())),"please select a BUG ID")</f>
        <v>please select a BUG ID</v>
      </c>
      <c r="C1375" s="51" t="str">
        <f>IFERROR(SUBSTITUTE(VLOOKUP(A1375,Internal_lists_bugs!$A$2:$G2031,7,FALSE()),"nova/commit","nova/src/commit"),"please select a BUG ID")</f>
        <v>please select a BUG ID</v>
      </c>
      <c r="D1375" s="54"/>
      <c r="F1375" s="54"/>
      <c r="H1375" s="114"/>
      <c r="J1375" s="183" t="str">
        <f>IFERROR(VLOOKUP(A1375,Internal_lists_bugs!$A$2:$I2031,9,FALSE()),"please select a BUG ID")</f>
        <v>please select a BUG ID</v>
      </c>
    </row>
    <row r="1376">
      <c r="A1376" s="54"/>
      <c r="B1376" s="71" t="str">
        <f>IFERROR(HYPERLINK(VLOOKUP(A1376,Internal_lists_bugs!$A$2:$C$73,3,FALSE()), VLOOKUP(A1376,Internal_lists_bugs!$A$2:$C$73,3,FALSE())&amp;Char(10) &amp; Char(10) &amp; VLOOKUP(A1376,Internal_lists_bugs!$A$2:$Z$73,26,FALSE())),"please select a BUG ID")</f>
        <v>please select a BUG ID</v>
      </c>
      <c r="C1376" s="51" t="str">
        <f>IFERROR(SUBSTITUTE(VLOOKUP(A1376,Internal_lists_bugs!$A$2:$G2031,7,FALSE()),"nova/commit","nova/src/commit"),"please select a BUG ID")</f>
        <v>please select a BUG ID</v>
      </c>
      <c r="D1376" s="54"/>
      <c r="F1376" s="54"/>
      <c r="H1376" s="114"/>
      <c r="J1376" s="183" t="str">
        <f>IFERROR(VLOOKUP(A1376,Internal_lists_bugs!$A$2:$I2031,9,FALSE()),"please select a BUG ID")</f>
        <v>please select a BUG ID</v>
      </c>
    </row>
    <row r="1377">
      <c r="A1377" s="54"/>
      <c r="B1377" s="71" t="str">
        <f>IFERROR(HYPERLINK(VLOOKUP(A1377,Internal_lists_bugs!$A$2:$C$73,3,FALSE()), VLOOKUP(A1377,Internal_lists_bugs!$A$2:$C$73,3,FALSE())&amp;Char(10) &amp; Char(10) &amp; VLOOKUP(A1377,Internal_lists_bugs!$A$2:$Z$73,26,FALSE())),"please select a BUG ID")</f>
        <v>please select a BUG ID</v>
      </c>
      <c r="C1377" s="51" t="str">
        <f>IFERROR(SUBSTITUTE(VLOOKUP(A1377,Internal_lists_bugs!$A$2:$G2031,7,FALSE()),"nova/commit","nova/src/commit"),"please select a BUG ID")</f>
        <v>please select a BUG ID</v>
      </c>
      <c r="D1377" s="54"/>
      <c r="F1377" s="54"/>
      <c r="H1377" s="114"/>
      <c r="J1377" s="183" t="str">
        <f>IFERROR(VLOOKUP(A1377,Internal_lists_bugs!$A$2:$I2031,9,FALSE()),"please select a BUG ID")</f>
        <v>please select a BUG ID</v>
      </c>
    </row>
    <row r="1378">
      <c r="A1378" s="54"/>
      <c r="B1378" s="71" t="str">
        <f>IFERROR(HYPERLINK(VLOOKUP(A1378,Internal_lists_bugs!$A$2:$C$73,3,FALSE()), VLOOKUP(A1378,Internal_lists_bugs!$A$2:$C$73,3,FALSE())&amp;Char(10) &amp; Char(10) &amp; VLOOKUP(A1378,Internal_lists_bugs!$A$2:$Z$73,26,FALSE())),"please select a BUG ID")</f>
        <v>please select a BUG ID</v>
      </c>
      <c r="C1378" s="51" t="str">
        <f>IFERROR(SUBSTITUTE(VLOOKUP(A1378,Internal_lists_bugs!$A$2:$G2031,7,FALSE()),"nova/commit","nova/src/commit"),"please select a BUG ID")</f>
        <v>please select a BUG ID</v>
      </c>
      <c r="D1378" s="54"/>
      <c r="F1378" s="54"/>
      <c r="H1378" s="114"/>
      <c r="J1378" s="183" t="str">
        <f>IFERROR(VLOOKUP(A1378,Internal_lists_bugs!$A$2:$I2031,9,FALSE()),"please select a BUG ID")</f>
        <v>please select a BUG ID</v>
      </c>
    </row>
    <row r="1379">
      <c r="A1379" s="54"/>
      <c r="B1379" s="71" t="str">
        <f>IFERROR(HYPERLINK(VLOOKUP(A1379,Internal_lists_bugs!$A$2:$C$73,3,FALSE()), VLOOKUP(A1379,Internal_lists_bugs!$A$2:$C$73,3,FALSE())&amp;Char(10) &amp; Char(10) &amp; VLOOKUP(A1379,Internal_lists_bugs!$A$2:$Z$73,26,FALSE())),"please select a BUG ID")</f>
        <v>please select a BUG ID</v>
      </c>
      <c r="C1379" s="51" t="str">
        <f>IFERROR(SUBSTITUTE(VLOOKUP(A1379,Internal_lists_bugs!$A$2:$G2031,7,FALSE()),"nova/commit","nova/src/commit"),"please select a BUG ID")</f>
        <v>please select a BUG ID</v>
      </c>
      <c r="D1379" s="54"/>
      <c r="F1379" s="54"/>
      <c r="H1379" s="114"/>
      <c r="J1379" s="183" t="str">
        <f>IFERROR(VLOOKUP(A1379,Internal_lists_bugs!$A$2:$I2031,9,FALSE()),"please select a BUG ID")</f>
        <v>please select a BUG ID</v>
      </c>
    </row>
    <row r="1380">
      <c r="A1380" s="54"/>
      <c r="B1380" s="71" t="str">
        <f>IFERROR(HYPERLINK(VLOOKUP(A1380,Internal_lists_bugs!$A$2:$C$73,3,FALSE()), VLOOKUP(A1380,Internal_lists_bugs!$A$2:$C$73,3,FALSE())&amp;Char(10) &amp; Char(10) &amp; VLOOKUP(A1380,Internal_lists_bugs!$A$2:$Z$73,26,FALSE())),"please select a BUG ID")</f>
        <v>please select a BUG ID</v>
      </c>
      <c r="C1380" s="51" t="str">
        <f>IFERROR(SUBSTITUTE(VLOOKUP(A1380,Internal_lists_bugs!$A$2:$G2031,7,FALSE()),"nova/commit","nova/src/commit"),"please select a BUG ID")</f>
        <v>please select a BUG ID</v>
      </c>
      <c r="D1380" s="54"/>
      <c r="F1380" s="54"/>
      <c r="H1380" s="114"/>
      <c r="J1380" s="183" t="str">
        <f>IFERROR(VLOOKUP(A1380,Internal_lists_bugs!$A$2:$I2031,9,FALSE()),"please select a BUG ID")</f>
        <v>please select a BUG ID</v>
      </c>
    </row>
    <row r="1381">
      <c r="A1381" s="54"/>
      <c r="B1381" s="71" t="str">
        <f>IFERROR(HYPERLINK(VLOOKUP(A1381,Internal_lists_bugs!$A$2:$C$73,3,FALSE()), VLOOKUP(A1381,Internal_lists_bugs!$A$2:$C$73,3,FALSE())&amp;Char(10) &amp; Char(10) &amp; VLOOKUP(A1381,Internal_lists_bugs!$A$2:$Z$73,26,FALSE())),"please select a BUG ID")</f>
        <v>please select a BUG ID</v>
      </c>
      <c r="C1381" s="51" t="str">
        <f>IFERROR(SUBSTITUTE(VLOOKUP(A1381,Internal_lists_bugs!$A$2:$G2031,7,FALSE()),"nova/commit","nova/src/commit"),"please select a BUG ID")</f>
        <v>please select a BUG ID</v>
      </c>
      <c r="D1381" s="54"/>
      <c r="F1381" s="54"/>
      <c r="H1381" s="114"/>
      <c r="J1381" s="183" t="str">
        <f>IFERROR(VLOOKUP(A1381,Internal_lists_bugs!$A$2:$I2031,9,FALSE()),"please select a BUG ID")</f>
        <v>please select a BUG ID</v>
      </c>
    </row>
    <row r="1382">
      <c r="A1382" s="54"/>
      <c r="B1382" s="71" t="str">
        <f>IFERROR(HYPERLINK(VLOOKUP(A1382,Internal_lists_bugs!$A$2:$C$73,3,FALSE()), VLOOKUP(A1382,Internal_lists_bugs!$A$2:$C$73,3,FALSE())&amp;Char(10) &amp; Char(10) &amp; VLOOKUP(A1382,Internal_lists_bugs!$A$2:$Z$73,26,FALSE())),"please select a BUG ID")</f>
        <v>please select a BUG ID</v>
      </c>
      <c r="C1382" s="51" t="str">
        <f>IFERROR(SUBSTITUTE(VLOOKUP(A1382,Internal_lists_bugs!$A$2:$G2031,7,FALSE()),"nova/commit","nova/src/commit"),"please select a BUG ID")</f>
        <v>please select a BUG ID</v>
      </c>
      <c r="D1382" s="54"/>
      <c r="F1382" s="54"/>
      <c r="H1382" s="114"/>
      <c r="J1382" s="183" t="str">
        <f>IFERROR(VLOOKUP(A1382,Internal_lists_bugs!$A$2:$I2031,9,FALSE()),"please select a BUG ID")</f>
        <v>please select a BUG ID</v>
      </c>
    </row>
    <row r="1383">
      <c r="A1383" s="54"/>
      <c r="B1383" s="71" t="str">
        <f>IFERROR(HYPERLINK(VLOOKUP(A1383,Internal_lists_bugs!$A$2:$C$73,3,FALSE()), VLOOKUP(A1383,Internal_lists_bugs!$A$2:$C$73,3,FALSE())&amp;Char(10) &amp; Char(10) &amp; VLOOKUP(A1383,Internal_lists_bugs!$A$2:$Z$73,26,FALSE())),"please select a BUG ID")</f>
        <v>please select a BUG ID</v>
      </c>
      <c r="C1383" s="51" t="str">
        <f>IFERROR(SUBSTITUTE(VLOOKUP(A1383,Internal_lists_bugs!$A$2:$G2031,7,FALSE()),"nova/commit","nova/src/commit"),"please select a BUG ID")</f>
        <v>please select a BUG ID</v>
      </c>
      <c r="D1383" s="54"/>
      <c r="F1383" s="54"/>
      <c r="H1383" s="114"/>
      <c r="J1383" s="183" t="str">
        <f>IFERROR(VLOOKUP(A1383,Internal_lists_bugs!$A$2:$I2031,9,FALSE()),"please select a BUG ID")</f>
        <v>please select a BUG ID</v>
      </c>
    </row>
    <row r="1384">
      <c r="A1384" s="54"/>
      <c r="B1384" s="71" t="str">
        <f>IFERROR(HYPERLINK(VLOOKUP(A1384,Internal_lists_bugs!$A$2:$C$73,3,FALSE()), VLOOKUP(A1384,Internal_lists_bugs!$A$2:$C$73,3,FALSE())&amp;Char(10) &amp; Char(10) &amp; VLOOKUP(A1384,Internal_lists_bugs!$A$2:$Z$73,26,FALSE())),"please select a BUG ID")</f>
        <v>please select a BUG ID</v>
      </c>
      <c r="C1384" s="51" t="str">
        <f>IFERROR(SUBSTITUTE(VLOOKUP(A1384,Internal_lists_bugs!$A$2:$G2031,7,FALSE()),"nova/commit","nova/src/commit"),"please select a BUG ID")</f>
        <v>please select a BUG ID</v>
      </c>
      <c r="D1384" s="54"/>
      <c r="F1384" s="54"/>
      <c r="H1384" s="114"/>
      <c r="J1384" s="183" t="str">
        <f>IFERROR(VLOOKUP(A1384,Internal_lists_bugs!$A$2:$I2031,9,FALSE()),"please select a BUG ID")</f>
        <v>please select a BUG ID</v>
      </c>
    </row>
    <row r="1385">
      <c r="A1385" s="54"/>
      <c r="B1385" s="71" t="str">
        <f>IFERROR(HYPERLINK(VLOOKUP(A1385,Internal_lists_bugs!$A$2:$C$73,3,FALSE()), VLOOKUP(A1385,Internal_lists_bugs!$A$2:$C$73,3,FALSE())&amp;Char(10) &amp; Char(10) &amp; VLOOKUP(A1385,Internal_lists_bugs!$A$2:$Z$73,26,FALSE())),"please select a BUG ID")</f>
        <v>please select a BUG ID</v>
      </c>
      <c r="C1385" s="51" t="str">
        <f>IFERROR(SUBSTITUTE(VLOOKUP(A1385,Internal_lists_bugs!$A$2:$G2031,7,FALSE()),"nova/commit","nova/src/commit"),"please select a BUG ID")</f>
        <v>please select a BUG ID</v>
      </c>
      <c r="D1385" s="54"/>
      <c r="F1385" s="54"/>
      <c r="H1385" s="114"/>
      <c r="J1385" s="183" t="str">
        <f>IFERROR(VLOOKUP(A1385,Internal_lists_bugs!$A$2:$I2031,9,FALSE()),"please select a BUG ID")</f>
        <v>please select a BUG ID</v>
      </c>
    </row>
    <row r="1386">
      <c r="A1386" s="54"/>
      <c r="B1386" s="71" t="str">
        <f>IFERROR(HYPERLINK(VLOOKUP(A1386,Internal_lists_bugs!$A$2:$C$73,3,FALSE()), VLOOKUP(A1386,Internal_lists_bugs!$A$2:$C$73,3,FALSE())&amp;Char(10) &amp; Char(10) &amp; VLOOKUP(A1386,Internal_lists_bugs!$A$2:$Z$73,26,FALSE())),"please select a BUG ID")</f>
        <v>please select a BUG ID</v>
      </c>
      <c r="C1386" s="51" t="str">
        <f>IFERROR(SUBSTITUTE(VLOOKUP(A1386,Internal_lists_bugs!$A$2:$G2031,7,FALSE()),"nova/commit","nova/src/commit"),"please select a BUG ID")</f>
        <v>please select a BUG ID</v>
      </c>
      <c r="D1386" s="54"/>
      <c r="F1386" s="54"/>
      <c r="H1386" s="114"/>
      <c r="J1386" s="183" t="str">
        <f>IFERROR(VLOOKUP(A1386,Internal_lists_bugs!$A$2:$I2031,9,FALSE()),"please select a BUG ID")</f>
        <v>please select a BUG ID</v>
      </c>
    </row>
    <row r="1387">
      <c r="A1387" s="54"/>
      <c r="B1387" s="71" t="str">
        <f>IFERROR(HYPERLINK(VLOOKUP(A1387,Internal_lists_bugs!$A$2:$C$73,3,FALSE()), VLOOKUP(A1387,Internal_lists_bugs!$A$2:$C$73,3,FALSE())&amp;Char(10) &amp; Char(10) &amp; VLOOKUP(A1387,Internal_lists_bugs!$A$2:$Z$73,26,FALSE())),"please select a BUG ID")</f>
        <v>please select a BUG ID</v>
      </c>
      <c r="C1387" s="51" t="str">
        <f>IFERROR(SUBSTITUTE(VLOOKUP(A1387,Internal_lists_bugs!$A$2:$G2031,7,FALSE()),"nova/commit","nova/src/commit"),"please select a BUG ID")</f>
        <v>please select a BUG ID</v>
      </c>
      <c r="D1387" s="54"/>
      <c r="F1387" s="54"/>
      <c r="H1387" s="114"/>
      <c r="J1387" s="183" t="str">
        <f>IFERROR(VLOOKUP(A1387,Internal_lists_bugs!$A$2:$I2031,9,FALSE()),"please select a BUG ID")</f>
        <v>please select a BUG ID</v>
      </c>
    </row>
    <row r="1388">
      <c r="A1388" s="54"/>
      <c r="B1388" s="71" t="str">
        <f>IFERROR(HYPERLINK(VLOOKUP(A1388,Internal_lists_bugs!$A$2:$C$73,3,FALSE()), VLOOKUP(A1388,Internal_lists_bugs!$A$2:$C$73,3,FALSE())&amp;Char(10) &amp; Char(10) &amp; VLOOKUP(A1388,Internal_lists_bugs!$A$2:$Z$73,26,FALSE())),"please select a BUG ID")</f>
        <v>please select a BUG ID</v>
      </c>
      <c r="C1388" s="51" t="str">
        <f>IFERROR(SUBSTITUTE(VLOOKUP(A1388,Internal_lists_bugs!$A$2:$G2031,7,FALSE()),"nova/commit","nova/src/commit"),"please select a BUG ID")</f>
        <v>please select a BUG ID</v>
      </c>
      <c r="D1388" s="54"/>
      <c r="F1388" s="54"/>
      <c r="H1388" s="114"/>
      <c r="J1388" s="183" t="str">
        <f>IFERROR(VLOOKUP(A1388,Internal_lists_bugs!$A$2:$I2031,9,FALSE()),"please select a BUG ID")</f>
        <v>please select a BUG ID</v>
      </c>
    </row>
    <row r="1389">
      <c r="A1389" s="54"/>
      <c r="B1389" s="71" t="str">
        <f>IFERROR(HYPERLINK(VLOOKUP(A1389,Internal_lists_bugs!$A$2:$C$73,3,FALSE()), VLOOKUP(A1389,Internal_lists_bugs!$A$2:$C$73,3,FALSE())&amp;Char(10) &amp; Char(10) &amp; VLOOKUP(A1389,Internal_lists_bugs!$A$2:$Z$73,26,FALSE())),"please select a BUG ID")</f>
        <v>please select a BUG ID</v>
      </c>
      <c r="C1389" s="51" t="str">
        <f>IFERROR(SUBSTITUTE(VLOOKUP(A1389,Internal_lists_bugs!$A$2:$G2031,7,FALSE()),"nova/commit","nova/src/commit"),"please select a BUG ID")</f>
        <v>please select a BUG ID</v>
      </c>
      <c r="D1389" s="54"/>
      <c r="F1389" s="54"/>
      <c r="H1389" s="114"/>
      <c r="J1389" s="183" t="str">
        <f>IFERROR(VLOOKUP(A1389,Internal_lists_bugs!$A$2:$I2031,9,FALSE()),"please select a BUG ID")</f>
        <v>please select a BUG ID</v>
      </c>
    </row>
    <row r="1390">
      <c r="A1390" s="54"/>
      <c r="B1390" s="71" t="str">
        <f>IFERROR(HYPERLINK(VLOOKUP(A1390,Internal_lists_bugs!$A$2:$C$73,3,FALSE()), VLOOKUP(A1390,Internal_lists_bugs!$A$2:$C$73,3,FALSE())&amp;Char(10) &amp; Char(10) &amp; VLOOKUP(A1390,Internal_lists_bugs!$A$2:$Z$73,26,FALSE())),"please select a BUG ID")</f>
        <v>please select a BUG ID</v>
      </c>
      <c r="C1390" s="51" t="str">
        <f>IFERROR(SUBSTITUTE(VLOOKUP(A1390,Internal_lists_bugs!$A$2:$G2031,7,FALSE()),"nova/commit","nova/src/commit"),"please select a BUG ID")</f>
        <v>please select a BUG ID</v>
      </c>
      <c r="D1390" s="54"/>
      <c r="F1390" s="54"/>
      <c r="H1390" s="114"/>
      <c r="J1390" s="183" t="str">
        <f>IFERROR(VLOOKUP(A1390,Internal_lists_bugs!$A$2:$I2031,9,FALSE()),"please select a BUG ID")</f>
        <v>please select a BUG ID</v>
      </c>
    </row>
    <row r="1391">
      <c r="A1391" s="54"/>
      <c r="B1391" s="71" t="str">
        <f>IFERROR(HYPERLINK(VLOOKUP(A1391,Internal_lists_bugs!$A$2:$C$73,3,FALSE()), VLOOKUP(A1391,Internal_lists_bugs!$A$2:$C$73,3,FALSE())&amp;Char(10) &amp; Char(10) &amp; VLOOKUP(A1391,Internal_lists_bugs!$A$2:$Z$73,26,FALSE())),"please select a BUG ID")</f>
        <v>please select a BUG ID</v>
      </c>
      <c r="C1391" s="51" t="str">
        <f>IFERROR(SUBSTITUTE(VLOOKUP(A1391,Internal_lists_bugs!$A$2:$G2031,7,FALSE()),"nova/commit","nova/src/commit"),"please select a BUG ID")</f>
        <v>please select a BUG ID</v>
      </c>
      <c r="D1391" s="54"/>
      <c r="F1391" s="54"/>
      <c r="H1391" s="114"/>
      <c r="J1391" s="183" t="str">
        <f>IFERROR(VLOOKUP(A1391,Internal_lists_bugs!$A$2:$I2031,9,FALSE()),"please select a BUG ID")</f>
        <v>please select a BUG ID</v>
      </c>
    </row>
    <row r="1392">
      <c r="A1392" s="54"/>
      <c r="B1392" s="71" t="str">
        <f>IFERROR(HYPERLINK(VLOOKUP(A1392,Internal_lists_bugs!$A$2:$C$73,3,FALSE()), VLOOKUP(A1392,Internal_lists_bugs!$A$2:$C$73,3,FALSE())&amp;Char(10) &amp; Char(10) &amp; VLOOKUP(A1392,Internal_lists_bugs!$A$2:$Z$73,26,FALSE())),"please select a BUG ID")</f>
        <v>please select a BUG ID</v>
      </c>
      <c r="C1392" s="51" t="str">
        <f>IFERROR(SUBSTITUTE(VLOOKUP(A1392,Internal_lists_bugs!$A$2:$G2031,7,FALSE()),"nova/commit","nova/src/commit"),"please select a BUG ID")</f>
        <v>please select a BUG ID</v>
      </c>
      <c r="D1392" s="54"/>
      <c r="F1392" s="54"/>
      <c r="H1392" s="114"/>
      <c r="J1392" s="183" t="str">
        <f>IFERROR(VLOOKUP(A1392,Internal_lists_bugs!$A$2:$I2031,9,FALSE()),"please select a BUG ID")</f>
        <v>please select a BUG ID</v>
      </c>
    </row>
    <row r="1393">
      <c r="A1393" s="54"/>
      <c r="B1393" s="71" t="str">
        <f>IFERROR(HYPERLINK(VLOOKUP(A1393,Internal_lists_bugs!$A$2:$C$73,3,FALSE()), VLOOKUP(A1393,Internal_lists_bugs!$A$2:$C$73,3,FALSE())&amp;Char(10) &amp; Char(10) &amp; VLOOKUP(A1393,Internal_lists_bugs!$A$2:$Z$73,26,FALSE())),"please select a BUG ID")</f>
        <v>please select a BUG ID</v>
      </c>
      <c r="C1393" s="51" t="str">
        <f>IFERROR(SUBSTITUTE(VLOOKUP(A1393,Internal_lists_bugs!$A$2:$G2031,7,FALSE()),"nova/commit","nova/src/commit"),"please select a BUG ID")</f>
        <v>please select a BUG ID</v>
      </c>
      <c r="D1393" s="54"/>
      <c r="F1393" s="54"/>
      <c r="H1393" s="114"/>
      <c r="J1393" s="183" t="str">
        <f>IFERROR(VLOOKUP(A1393,Internal_lists_bugs!$A$2:$I2031,9,FALSE()),"please select a BUG ID")</f>
        <v>please select a BUG ID</v>
      </c>
    </row>
    <row r="1394">
      <c r="A1394" s="54"/>
      <c r="B1394" s="71" t="str">
        <f>IFERROR(HYPERLINK(VLOOKUP(A1394,Internal_lists_bugs!$A$2:$C$73,3,FALSE()), VLOOKUP(A1394,Internal_lists_bugs!$A$2:$C$73,3,FALSE())&amp;Char(10) &amp; Char(10) &amp; VLOOKUP(A1394,Internal_lists_bugs!$A$2:$Z$73,26,FALSE())),"please select a BUG ID")</f>
        <v>please select a BUG ID</v>
      </c>
      <c r="C1394" s="51" t="str">
        <f>IFERROR(SUBSTITUTE(VLOOKUP(A1394,Internal_lists_bugs!$A$2:$G2031,7,FALSE()),"nova/commit","nova/src/commit"),"please select a BUG ID")</f>
        <v>please select a BUG ID</v>
      </c>
      <c r="D1394" s="54"/>
      <c r="F1394" s="54"/>
      <c r="H1394" s="114"/>
      <c r="J1394" s="183" t="str">
        <f>IFERROR(VLOOKUP(A1394,Internal_lists_bugs!$A$2:$I2031,9,FALSE()),"please select a BUG ID")</f>
        <v>please select a BUG ID</v>
      </c>
    </row>
    <row r="1395">
      <c r="A1395" s="54"/>
      <c r="B1395" s="71" t="str">
        <f>IFERROR(HYPERLINK(VLOOKUP(A1395,Internal_lists_bugs!$A$2:$C$73,3,FALSE()), VLOOKUP(A1395,Internal_lists_bugs!$A$2:$C$73,3,FALSE())&amp;Char(10) &amp; Char(10) &amp; VLOOKUP(A1395,Internal_lists_bugs!$A$2:$Z$73,26,FALSE())),"please select a BUG ID")</f>
        <v>please select a BUG ID</v>
      </c>
      <c r="C1395" s="51" t="str">
        <f>IFERROR(SUBSTITUTE(VLOOKUP(A1395,Internal_lists_bugs!$A$2:$G2031,7,FALSE()),"nova/commit","nova/src/commit"),"please select a BUG ID")</f>
        <v>please select a BUG ID</v>
      </c>
      <c r="D1395" s="54"/>
      <c r="F1395" s="54"/>
      <c r="H1395" s="114"/>
      <c r="J1395" s="183" t="str">
        <f>IFERROR(VLOOKUP(A1395,Internal_lists_bugs!$A$2:$I2031,9,FALSE()),"please select a BUG ID")</f>
        <v>please select a BUG ID</v>
      </c>
    </row>
    <row r="1396">
      <c r="A1396" s="54"/>
      <c r="B1396" s="71" t="str">
        <f>IFERROR(HYPERLINK(VLOOKUP(A1396,Internal_lists_bugs!$A$2:$C$73,3,FALSE()), VLOOKUP(A1396,Internal_lists_bugs!$A$2:$C$73,3,FALSE())&amp;Char(10) &amp; Char(10) &amp; VLOOKUP(A1396,Internal_lists_bugs!$A$2:$Z$73,26,FALSE())),"please select a BUG ID")</f>
        <v>please select a BUG ID</v>
      </c>
      <c r="C1396" s="51" t="str">
        <f>IFERROR(SUBSTITUTE(VLOOKUP(A1396,Internal_lists_bugs!$A$2:$G2031,7,FALSE()),"nova/commit","nova/src/commit"),"please select a BUG ID")</f>
        <v>please select a BUG ID</v>
      </c>
      <c r="D1396" s="54"/>
      <c r="F1396" s="54"/>
      <c r="H1396" s="114"/>
      <c r="J1396" s="183" t="str">
        <f>IFERROR(VLOOKUP(A1396,Internal_lists_bugs!$A$2:$I2031,9,FALSE()),"please select a BUG ID")</f>
        <v>please select a BUG ID</v>
      </c>
    </row>
    <row r="1397">
      <c r="A1397" s="54"/>
      <c r="B1397" s="71" t="str">
        <f>IFERROR(HYPERLINK(VLOOKUP(A1397,Internal_lists_bugs!$A$2:$C$73,3,FALSE()), VLOOKUP(A1397,Internal_lists_bugs!$A$2:$C$73,3,FALSE())&amp;Char(10) &amp; Char(10) &amp; VLOOKUP(A1397,Internal_lists_bugs!$A$2:$Z$73,26,FALSE())),"please select a BUG ID")</f>
        <v>please select a BUG ID</v>
      </c>
      <c r="C1397" s="51" t="str">
        <f>IFERROR(SUBSTITUTE(VLOOKUP(A1397,Internal_lists_bugs!$A$2:$G2031,7,FALSE()),"nova/commit","nova/src/commit"),"please select a BUG ID")</f>
        <v>please select a BUG ID</v>
      </c>
      <c r="D1397" s="54"/>
      <c r="F1397" s="54"/>
      <c r="H1397" s="114"/>
      <c r="J1397" s="183" t="str">
        <f>IFERROR(VLOOKUP(A1397,Internal_lists_bugs!$A$2:$I2031,9,FALSE()),"please select a BUG ID")</f>
        <v>please select a BUG ID</v>
      </c>
    </row>
    <row r="1398">
      <c r="A1398" s="54"/>
      <c r="B1398" s="71" t="str">
        <f>IFERROR(HYPERLINK(VLOOKUP(A1398,Internal_lists_bugs!$A$2:$C$73,3,FALSE()), VLOOKUP(A1398,Internal_lists_bugs!$A$2:$C$73,3,FALSE())&amp;Char(10) &amp; Char(10) &amp; VLOOKUP(A1398,Internal_lists_bugs!$A$2:$Z$73,26,FALSE())),"please select a BUG ID")</f>
        <v>please select a BUG ID</v>
      </c>
      <c r="C1398" s="51" t="str">
        <f>IFERROR(SUBSTITUTE(VLOOKUP(A1398,Internal_lists_bugs!$A$2:$G2031,7,FALSE()),"nova/commit","nova/src/commit"),"please select a BUG ID")</f>
        <v>please select a BUG ID</v>
      </c>
      <c r="D1398" s="54"/>
      <c r="F1398" s="54"/>
      <c r="H1398" s="114"/>
      <c r="J1398" s="183" t="str">
        <f>IFERROR(VLOOKUP(A1398,Internal_lists_bugs!$A$2:$I2031,9,FALSE()),"please select a BUG ID")</f>
        <v>please select a BUG ID</v>
      </c>
    </row>
    <row r="1399">
      <c r="A1399" s="54"/>
      <c r="B1399" s="71" t="str">
        <f>IFERROR(HYPERLINK(VLOOKUP(A1399,Internal_lists_bugs!$A$2:$C$73,3,FALSE()), VLOOKUP(A1399,Internal_lists_bugs!$A$2:$C$73,3,FALSE())&amp;Char(10) &amp; Char(10) &amp; VLOOKUP(A1399,Internal_lists_bugs!$A$2:$Z$73,26,FALSE())),"please select a BUG ID")</f>
        <v>please select a BUG ID</v>
      </c>
      <c r="C1399" s="51" t="str">
        <f>IFERROR(SUBSTITUTE(VLOOKUP(A1399,Internal_lists_bugs!$A$2:$G2031,7,FALSE()),"nova/commit","nova/src/commit"),"please select a BUG ID")</f>
        <v>please select a BUG ID</v>
      </c>
      <c r="D1399" s="54"/>
      <c r="F1399" s="54"/>
      <c r="H1399" s="114"/>
      <c r="J1399" s="183" t="str">
        <f>IFERROR(VLOOKUP(A1399,Internal_lists_bugs!$A$2:$I2031,9,FALSE()),"please select a BUG ID")</f>
        <v>please select a BUG ID</v>
      </c>
    </row>
    <row r="1400">
      <c r="A1400" s="54"/>
      <c r="B1400" s="71" t="str">
        <f>IFERROR(HYPERLINK(VLOOKUP(A1400,Internal_lists_bugs!$A$2:$C$73,3,FALSE()), VLOOKUP(A1400,Internal_lists_bugs!$A$2:$C$73,3,FALSE())&amp;Char(10) &amp; Char(10) &amp; VLOOKUP(A1400,Internal_lists_bugs!$A$2:$Z$73,26,FALSE())),"please select a BUG ID")</f>
        <v>please select a BUG ID</v>
      </c>
      <c r="C1400" s="51" t="str">
        <f>IFERROR(SUBSTITUTE(VLOOKUP(A1400,Internal_lists_bugs!$A$2:$G2031,7,FALSE()),"nova/commit","nova/src/commit"),"please select a BUG ID")</f>
        <v>please select a BUG ID</v>
      </c>
      <c r="D1400" s="54"/>
      <c r="F1400" s="54"/>
      <c r="H1400" s="114"/>
      <c r="J1400" s="183" t="str">
        <f>IFERROR(VLOOKUP(A1400,Internal_lists_bugs!$A$2:$I2031,9,FALSE()),"please select a BUG ID")</f>
        <v>please select a BUG ID</v>
      </c>
    </row>
    <row r="1401">
      <c r="A1401" s="54"/>
      <c r="B1401" s="71" t="str">
        <f>IFERROR(HYPERLINK(VLOOKUP(A1401,Internal_lists_bugs!$A$2:$C$73,3,FALSE()), VLOOKUP(A1401,Internal_lists_bugs!$A$2:$C$73,3,FALSE())&amp;Char(10) &amp; Char(10) &amp; VLOOKUP(A1401,Internal_lists_bugs!$A$2:$Z$73,26,FALSE())),"please select a BUG ID")</f>
        <v>please select a BUG ID</v>
      </c>
      <c r="C1401" s="51" t="str">
        <f>IFERROR(SUBSTITUTE(VLOOKUP(A1401,Internal_lists_bugs!$A$2:$G2031,7,FALSE()),"nova/commit","nova/src/commit"),"please select a BUG ID")</f>
        <v>please select a BUG ID</v>
      </c>
      <c r="D1401" s="54"/>
      <c r="F1401" s="54"/>
      <c r="H1401" s="114"/>
      <c r="J1401" s="183" t="str">
        <f>IFERROR(VLOOKUP(A1401,Internal_lists_bugs!$A$2:$I2031,9,FALSE()),"please select a BUG ID")</f>
        <v>please select a BUG ID</v>
      </c>
    </row>
    <row r="1402">
      <c r="A1402" s="54"/>
      <c r="B1402" s="71" t="str">
        <f>IFERROR(HYPERLINK(VLOOKUP(A1402,Internal_lists_bugs!$A$2:$C$73,3,FALSE()), VLOOKUP(A1402,Internal_lists_bugs!$A$2:$C$73,3,FALSE())&amp;Char(10) &amp; Char(10) &amp; VLOOKUP(A1402,Internal_lists_bugs!$A$2:$Z$73,26,FALSE())),"please select a BUG ID")</f>
        <v>please select a BUG ID</v>
      </c>
      <c r="C1402" s="51" t="str">
        <f>IFERROR(SUBSTITUTE(VLOOKUP(A1402,Internal_lists_bugs!$A$2:$G2031,7,FALSE()),"nova/commit","nova/src/commit"),"please select a BUG ID")</f>
        <v>please select a BUG ID</v>
      </c>
      <c r="D1402" s="54"/>
      <c r="F1402" s="54"/>
      <c r="H1402" s="114"/>
      <c r="J1402" s="183" t="str">
        <f>IFERROR(VLOOKUP(A1402,Internal_lists_bugs!$A$2:$I2031,9,FALSE()),"please select a BUG ID")</f>
        <v>please select a BUG ID</v>
      </c>
    </row>
    <row r="1403">
      <c r="A1403" s="54"/>
      <c r="B1403" s="71" t="str">
        <f>IFERROR(HYPERLINK(VLOOKUP(A1403,Internal_lists_bugs!$A$2:$C$73,3,FALSE()), VLOOKUP(A1403,Internal_lists_bugs!$A$2:$C$73,3,FALSE())&amp;Char(10) &amp; Char(10) &amp; VLOOKUP(A1403,Internal_lists_bugs!$A$2:$Z$73,26,FALSE())),"please select a BUG ID")</f>
        <v>please select a BUG ID</v>
      </c>
      <c r="C1403" s="51" t="str">
        <f>IFERROR(SUBSTITUTE(VLOOKUP(A1403,Internal_lists_bugs!$A$2:$G2031,7,FALSE()),"nova/commit","nova/src/commit"),"please select a BUG ID")</f>
        <v>please select a BUG ID</v>
      </c>
      <c r="D1403" s="54"/>
      <c r="F1403" s="54"/>
      <c r="H1403" s="114"/>
      <c r="J1403" s="183" t="str">
        <f>IFERROR(VLOOKUP(A1403,Internal_lists_bugs!$A$2:$I2031,9,FALSE()),"please select a BUG ID")</f>
        <v>please select a BUG ID</v>
      </c>
    </row>
    <row r="1404">
      <c r="A1404" s="54"/>
      <c r="B1404" s="71" t="str">
        <f>IFERROR(HYPERLINK(VLOOKUP(A1404,Internal_lists_bugs!$A$2:$C$73,3,FALSE()), VLOOKUP(A1404,Internal_lists_bugs!$A$2:$C$73,3,FALSE())&amp;Char(10) &amp; Char(10) &amp; VLOOKUP(A1404,Internal_lists_bugs!$A$2:$Z$73,26,FALSE())),"please select a BUG ID")</f>
        <v>please select a BUG ID</v>
      </c>
      <c r="C1404" s="51" t="str">
        <f>IFERROR(SUBSTITUTE(VLOOKUP(A1404,Internal_lists_bugs!$A$2:$G2031,7,FALSE()),"nova/commit","nova/src/commit"),"please select a BUG ID")</f>
        <v>please select a BUG ID</v>
      </c>
      <c r="D1404" s="54"/>
      <c r="F1404" s="54"/>
      <c r="H1404" s="114"/>
      <c r="J1404" s="183" t="str">
        <f>IFERROR(VLOOKUP(A1404,Internal_lists_bugs!$A$2:$I2031,9,FALSE()),"please select a BUG ID")</f>
        <v>please select a BUG ID</v>
      </c>
    </row>
    <row r="1405">
      <c r="A1405" s="54"/>
      <c r="B1405" s="71" t="str">
        <f>IFERROR(HYPERLINK(VLOOKUP(A1405,Internal_lists_bugs!$A$2:$C$73,3,FALSE()), VLOOKUP(A1405,Internal_lists_bugs!$A$2:$C$73,3,FALSE())&amp;Char(10) &amp; Char(10) &amp; VLOOKUP(A1405,Internal_lists_bugs!$A$2:$Z$73,26,FALSE())),"please select a BUG ID")</f>
        <v>please select a BUG ID</v>
      </c>
      <c r="C1405" s="51" t="str">
        <f>IFERROR(SUBSTITUTE(VLOOKUP(A1405,Internal_lists_bugs!$A$2:$G2031,7,FALSE()),"nova/commit","nova/src/commit"),"please select a BUG ID")</f>
        <v>please select a BUG ID</v>
      </c>
      <c r="D1405" s="54"/>
      <c r="F1405" s="54"/>
      <c r="H1405" s="114"/>
      <c r="J1405" s="183" t="str">
        <f>IFERROR(VLOOKUP(A1405,Internal_lists_bugs!$A$2:$I2031,9,FALSE()),"please select a BUG ID")</f>
        <v>please select a BUG ID</v>
      </c>
    </row>
    <row r="1406">
      <c r="A1406" s="54"/>
      <c r="B1406" s="71" t="str">
        <f>IFERROR(HYPERLINK(VLOOKUP(A1406,Internal_lists_bugs!$A$2:$C$73,3,FALSE()), VLOOKUP(A1406,Internal_lists_bugs!$A$2:$C$73,3,FALSE())&amp;Char(10) &amp; Char(10) &amp; VLOOKUP(A1406,Internal_lists_bugs!$A$2:$Z$73,26,FALSE())),"please select a BUG ID")</f>
        <v>please select a BUG ID</v>
      </c>
      <c r="C1406" s="51" t="str">
        <f>IFERROR(SUBSTITUTE(VLOOKUP(A1406,Internal_lists_bugs!$A$2:$G2031,7,FALSE()),"nova/commit","nova/src/commit"),"please select a BUG ID")</f>
        <v>please select a BUG ID</v>
      </c>
      <c r="D1406" s="54"/>
      <c r="F1406" s="54"/>
      <c r="H1406" s="114"/>
      <c r="J1406" s="183" t="str">
        <f>IFERROR(VLOOKUP(A1406,Internal_lists_bugs!$A$2:$I2031,9,FALSE()),"please select a BUG ID")</f>
        <v>please select a BUG ID</v>
      </c>
    </row>
    <row r="1407">
      <c r="A1407" s="54"/>
      <c r="B1407" s="71" t="str">
        <f>IFERROR(HYPERLINK(VLOOKUP(A1407,Internal_lists_bugs!$A$2:$C$73,3,FALSE()), VLOOKUP(A1407,Internal_lists_bugs!$A$2:$C$73,3,FALSE())&amp;Char(10) &amp; Char(10) &amp; VLOOKUP(A1407,Internal_lists_bugs!$A$2:$Z$73,26,FALSE())),"please select a BUG ID")</f>
        <v>please select a BUG ID</v>
      </c>
      <c r="C1407" s="51" t="str">
        <f>IFERROR(SUBSTITUTE(VLOOKUP(A1407,Internal_lists_bugs!$A$2:$G2031,7,FALSE()),"nova/commit","nova/src/commit"),"please select a BUG ID")</f>
        <v>please select a BUG ID</v>
      </c>
      <c r="D1407" s="54"/>
      <c r="F1407" s="54"/>
      <c r="H1407" s="114"/>
      <c r="J1407" s="183" t="str">
        <f>IFERROR(VLOOKUP(A1407,Internal_lists_bugs!$A$2:$I2031,9,FALSE()),"please select a BUG ID")</f>
        <v>please select a BUG ID</v>
      </c>
    </row>
    <row r="1408">
      <c r="A1408" s="54"/>
      <c r="B1408" s="71" t="str">
        <f>IFERROR(HYPERLINK(VLOOKUP(A1408,Internal_lists_bugs!$A$2:$C$73,3,FALSE()), VLOOKUP(A1408,Internal_lists_bugs!$A$2:$C$73,3,FALSE())&amp;Char(10) &amp; Char(10) &amp; VLOOKUP(A1408,Internal_lists_bugs!$A$2:$Z$73,26,FALSE())),"please select a BUG ID")</f>
        <v>please select a BUG ID</v>
      </c>
      <c r="C1408" s="51" t="str">
        <f>IFERROR(SUBSTITUTE(VLOOKUP(A1408,Internal_lists_bugs!$A$2:$G2031,7,FALSE()),"nova/commit","nova/src/commit"),"please select a BUG ID")</f>
        <v>please select a BUG ID</v>
      </c>
      <c r="D1408" s="54"/>
      <c r="F1408" s="54"/>
      <c r="H1408" s="114"/>
      <c r="J1408" s="183" t="str">
        <f>IFERROR(VLOOKUP(A1408,Internal_lists_bugs!$A$2:$I2031,9,FALSE()),"please select a BUG ID")</f>
        <v>please select a BUG ID</v>
      </c>
    </row>
    <row r="1409">
      <c r="A1409" s="54"/>
      <c r="B1409" s="71" t="str">
        <f>IFERROR(HYPERLINK(VLOOKUP(A1409,Internal_lists_bugs!$A$2:$C$73,3,FALSE()), VLOOKUP(A1409,Internal_lists_bugs!$A$2:$C$73,3,FALSE())&amp;Char(10) &amp; Char(10) &amp; VLOOKUP(A1409,Internal_lists_bugs!$A$2:$Z$73,26,FALSE())),"please select a BUG ID")</f>
        <v>please select a BUG ID</v>
      </c>
      <c r="C1409" s="51" t="str">
        <f>IFERROR(SUBSTITUTE(VLOOKUP(A1409,Internal_lists_bugs!$A$2:$G2031,7,FALSE()),"nova/commit","nova/src/commit"),"please select a BUG ID")</f>
        <v>please select a BUG ID</v>
      </c>
      <c r="D1409" s="54"/>
      <c r="F1409" s="54"/>
      <c r="H1409" s="114"/>
      <c r="J1409" s="183" t="str">
        <f>IFERROR(VLOOKUP(A1409,Internal_lists_bugs!$A$2:$I2031,9,FALSE()),"please select a BUG ID")</f>
        <v>please select a BUG ID</v>
      </c>
    </row>
    <row r="1410">
      <c r="A1410" s="54"/>
      <c r="B1410" s="71" t="str">
        <f>IFERROR(HYPERLINK(VLOOKUP(A1410,Internal_lists_bugs!$A$2:$C$73,3,FALSE()), VLOOKUP(A1410,Internal_lists_bugs!$A$2:$C$73,3,FALSE())&amp;Char(10) &amp; Char(10) &amp; VLOOKUP(A1410,Internal_lists_bugs!$A$2:$Z$73,26,FALSE())),"please select a BUG ID")</f>
        <v>please select a BUG ID</v>
      </c>
      <c r="C1410" s="51" t="str">
        <f>IFERROR(SUBSTITUTE(VLOOKUP(A1410,Internal_lists_bugs!$A$2:$G2031,7,FALSE()),"nova/commit","nova/src/commit"),"please select a BUG ID")</f>
        <v>please select a BUG ID</v>
      </c>
      <c r="D1410" s="54"/>
      <c r="F1410" s="54"/>
      <c r="H1410" s="114"/>
      <c r="J1410" s="183" t="str">
        <f>IFERROR(VLOOKUP(A1410,Internal_lists_bugs!$A$2:$I2031,9,FALSE()),"please select a BUG ID")</f>
        <v>please select a BUG ID</v>
      </c>
    </row>
    <row r="1411">
      <c r="A1411" s="54"/>
      <c r="B1411" s="71" t="str">
        <f>IFERROR(HYPERLINK(VLOOKUP(A1411,Internal_lists_bugs!$A$2:$C$73,3,FALSE()), VLOOKUP(A1411,Internal_lists_bugs!$A$2:$C$73,3,FALSE())&amp;Char(10) &amp; Char(10) &amp; VLOOKUP(A1411,Internal_lists_bugs!$A$2:$Z$73,26,FALSE())),"please select a BUG ID")</f>
        <v>please select a BUG ID</v>
      </c>
      <c r="C1411" s="51" t="str">
        <f>IFERROR(SUBSTITUTE(VLOOKUP(A1411,Internal_lists_bugs!$A$2:$G2031,7,FALSE()),"nova/commit","nova/src/commit"),"please select a BUG ID")</f>
        <v>please select a BUG ID</v>
      </c>
      <c r="D1411" s="54"/>
      <c r="F1411" s="54"/>
      <c r="H1411" s="114"/>
      <c r="J1411" s="183" t="str">
        <f>IFERROR(VLOOKUP(A1411,Internal_lists_bugs!$A$2:$I2031,9,FALSE()),"please select a BUG ID")</f>
        <v>please select a BUG ID</v>
      </c>
    </row>
    <row r="1412">
      <c r="A1412" s="54"/>
      <c r="B1412" s="71" t="str">
        <f>IFERROR(HYPERLINK(VLOOKUP(A1412,Internal_lists_bugs!$A$2:$C$73,3,FALSE()), VLOOKUP(A1412,Internal_lists_bugs!$A$2:$C$73,3,FALSE())&amp;Char(10) &amp; Char(10) &amp; VLOOKUP(A1412,Internal_lists_bugs!$A$2:$Z$73,26,FALSE())),"please select a BUG ID")</f>
        <v>please select a BUG ID</v>
      </c>
      <c r="C1412" s="51" t="str">
        <f>IFERROR(SUBSTITUTE(VLOOKUP(A1412,Internal_lists_bugs!$A$2:$G2031,7,FALSE()),"nova/commit","nova/src/commit"),"please select a BUG ID")</f>
        <v>please select a BUG ID</v>
      </c>
      <c r="D1412" s="54"/>
      <c r="F1412" s="54"/>
      <c r="H1412" s="114"/>
      <c r="J1412" s="183" t="str">
        <f>IFERROR(VLOOKUP(A1412,Internal_lists_bugs!$A$2:$I2031,9,FALSE()),"please select a BUG ID")</f>
        <v>please select a BUG ID</v>
      </c>
    </row>
    <row r="1413">
      <c r="A1413" s="54"/>
      <c r="B1413" s="71" t="str">
        <f>IFERROR(HYPERLINK(VLOOKUP(A1413,Internal_lists_bugs!$A$2:$C$73,3,FALSE()), VLOOKUP(A1413,Internal_lists_bugs!$A$2:$C$73,3,FALSE())&amp;Char(10) &amp; Char(10) &amp; VLOOKUP(A1413,Internal_lists_bugs!$A$2:$Z$73,26,FALSE())),"please select a BUG ID")</f>
        <v>please select a BUG ID</v>
      </c>
      <c r="C1413" s="51" t="str">
        <f>IFERROR(SUBSTITUTE(VLOOKUP(A1413,Internal_lists_bugs!$A$2:$G2031,7,FALSE()),"nova/commit","nova/src/commit"),"please select a BUG ID")</f>
        <v>please select a BUG ID</v>
      </c>
      <c r="D1413" s="54"/>
      <c r="F1413" s="54"/>
      <c r="H1413" s="114"/>
      <c r="J1413" s="183" t="str">
        <f>IFERROR(VLOOKUP(A1413,Internal_lists_bugs!$A$2:$I2031,9,FALSE()),"please select a BUG ID")</f>
        <v>please select a BUG ID</v>
      </c>
    </row>
    <row r="1414">
      <c r="A1414" s="54"/>
      <c r="B1414" s="71" t="str">
        <f>IFERROR(HYPERLINK(VLOOKUP(A1414,Internal_lists_bugs!$A$2:$C$73,3,FALSE()), VLOOKUP(A1414,Internal_lists_bugs!$A$2:$C$73,3,FALSE())&amp;Char(10) &amp; Char(10) &amp; VLOOKUP(A1414,Internal_lists_bugs!$A$2:$Z$73,26,FALSE())),"please select a BUG ID")</f>
        <v>please select a BUG ID</v>
      </c>
      <c r="C1414" s="51" t="str">
        <f>IFERROR(SUBSTITUTE(VLOOKUP(A1414,Internal_lists_bugs!$A$2:$G2031,7,FALSE()),"nova/commit","nova/src/commit"),"please select a BUG ID")</f>
        <v>please select a BUG ID</v>
      </c>
      <c r="D1414" s="54"/>
      <c r="F1414" s="54"/>
      <c r="H1414" s="114"/>
      <c r="J1414" s="183" t="str">
        <f>IFERROR(VLOOKUP(A1414,Internal_lists_bugs!$A$2:$I2031,9,FALSE()),"please select a BUG ID")</f>
        <v>please select a BUG ID</v>
      </c>
    </row>
    <row r="1415">
      <c r="A1415" s="54"/>
      <c r="B1415" s="71" t="str">
        <f>IFERROR(HYPERLINK(VLOOKUP(A1415,Internal_lists_bugs!$A$2:$C$73,3,FALSE()), VLOOKUP(A1415,Internal_lists_bugs!$A$2:$C$73,3,FALSE())&amp;Char(10) &amp; Char(10) &amp; VLOOKUP(A1415,Internal_lists_bugs!$A$2:$Z$73,26,FALSE())),"please select a BUG ID")</f>
        <v>please select a BUG ID</v>
      </c>
      <c r="C1415" s="51" t="str">
        <f>IFERROR(SUBSTITUTE(VLOOKUP(A1415,Internal_lists_bugs!$A$2:$G2031,7,FALSE()),"nova/commit","nova/src/commit"),"please select a BUG ID")</f>
        <v>please select a BUG ID</v>
      </c>
      <c r="D1415" s="54"/>
      <c r="F1415" s="54"/>
      <c r="H1415" s="114"/>
      <c r="J1415" s="183" t="str">
        <f>IFERROR(VLOOKUP(A1415,Internal_lists_bugs!$A$2:$I2031,9,FALSE()),"please select a BUG ID")</f>
        <v>please select a BUG ID</v>
      </c>
    </row>
    <row r="1416">
      <c r="A1416" s="54"/>
      <c r="B1416" s="71" t="str">
        <f>IFERROR(HYPERLINK(VLOOKUP(A1416,Internal_lists_bugs!$A$2:$C$73,3,FALSE()), VLOOKUP(A1416,Internal_lists_bugs!$A$2:$C$73,3,FALSE())&amp;Char(10) &amp; Char(10) &amp; VLOOKUP(A1416,Internal_lists_bugs!$A$2:$Z$73,26,FALSE())),"please select a BUG ID")</f>
        <v>please select a BUG ID</v>
      </c>
      <c r="C1416" s="51" t="str">
        <f>IFERROR(SUBSTITUTE(VLOOKUP(A1416,Internal_lists_bugs!$A$2:$G2031,7,FALSE()),"nova/commit","nova/src/commit"),"please select a BUG ID")</f>
        <v>please select a BUG ID</v>
      </c>
      <c r="D1416" s="54"/>
      <c r="F1416" s="54"/>
      <c r="H1416" s="114"/>
      <c r="J1416" s="183" t="str">
        <f>IFERROR(VLOOKUP(A1416,Internal_lists_bugs!$A$2:$I2031,9,FALSE()),"please select a BUG ID")</f>
        <v>please select a BUG ID</v>
      </c>
    </row>
    <row r="1417">
      <c r="A1417" s="54"/>
      <c r="B1417" s="71" t="str">
        <f>IFERROR(HYPERLINK(VLOOKUP(A1417,Internal_lists_bugs!$A$2:$C$73,3,FALSE()), VLOOKUP(A1417,Internal_lists_bugs!$A$2:$C$73,3,FALSE())&amp;Char(10) &amp; Char(10) &amp; VLOOKUP(A1417,Internal_lists_bugs!$A$2:$Z$73,26,FALSE())),"please select a BUG ID")</f>
        <v>please select a BUG ID</v>
      </c>
      <c r="C1417" s="51" t="str">
        <f>IFERROR(SUBSTITUTE(VLOOKUP(A1417,Internal_lists_bugs!$A$2:$G2031,7,FALSE()),"nova/commit","nova/src/commit"),"please select a BUG ID")</f>
        <v>please select a BUG ID</v>
      </c>
      <c r="D1417" s="54"/>
      <c r="F1417" s="54"/>
      <c r="H1417" s="114"/>
      <c r="J1417" s="183" t="str">
        <f>IFERROR(VLOOKUP(A1417,Internal_lists_bugs!$A$2:$I2031,9,FALSE()),"please select a BUG ID")</f>
        <v>please select a BUG ID</v>
      </c>
    </row>
    <row r="1418">
      <c r="A1418" s="54"/>
      <c r="B1418" s="71" t="str">
        <f>IFERROR(HYPERLINK(VLOOKUP(A1418,Internal_lists_bugs!$A$2:$C$73,3,FALSE()), VLOOKUP(A1418,Internal_lists_bugs!$A$2:$C$73,3,FALSE())&amp;Char(10) &amp; Char(10) &amp; VLOOKUP(A1418,Internal_lists_bugs!$A$2:$Z$73,26,FALSE())),"please select a BUG ID")</f>
        <v>please select a BUG ID</v>
      </c>
      <c r="C1418" s="51" t="str">
        <f>IFERROR(SUBSTITUTE(VLOOKUP(A1418,Internal_lists_bugs!$A$2:$G2031,7,FALSE()),"nova/commit","nova/src/commit"),"please select a BUG ID")</f>
        <v>please select a BUG ID</v>
      </c>
      <c r="D1418" s="54"/>
      <c r="F1418" s="54"/>
      <c r="H1418" s="114"/>
      <c r="J1418" s="183" t="str">
        <f>IFERROR(VLOOKUP(A1418,Internal_lists_bugs!$A$2:$I2031,9,FALSE()),"please select a BUG ID")</f>
        <v>please select a BUG ID</v>
      </c>
    </row>
    <row r="1419">
      <c r="A1419" s="54"/>
      <c r="B1419" s="71" t="str">
        <f>IFERROR(HYPERLINK(VLOOKUP(A1419,Internal_lists_bugs!$A$2:$C$73,3,FALSE()), VLOOKUP(A1419,Internal_lists_bugs!$A$2:$C$73,3,FALSE())&amp;Char(10) &amp; Char(10) &amp; VLOOKUP(A1419,Internal_lists_bugs!$A$2:$Z$73,26,FALSE())),"please select a BUG ID")</f>
        <v>please select a BUG ID</v>
      </c>
      <c r="C1419" s="51" t="str">
        <f>IFERROR(SUBSTITUTE(VLOOKUP(A1419,Internal_lists_bugs!$A$2:$G2031,7,FALSE()),"nova/commit","nova/src/commit"),"please select a BUG ID")</f>
        <v>please select a BUG ID</v>
      </c>
      <c r="D1419" s="54"/>
      <c r="F1419" s="54"/>
      <c r="H1419" s="114"/>
      <c r="J1419" s="183" t="str">
        <f>IFERROR(VLOOKUP(A1419,Internal_lists_bugs!$A$2:$I2031,9,FALSE()),"please select a BUG ID")</f>
        <v>please select a BUG ID</v>
      </c>
    </row>
    <row r="1420">
      <c r="A1420" s="54"/>
      <c r="B1420" s="71" t="str">
        <f>IFERROR(HYPERLINK(VLOOKUP(A1420,Internal_lists_bugs!$A$2:$C$73,3,FALSE()), VLOOKUP(A1420,Internal_lists_bugs!$A$2:$C$73,3,FALSE())&amp;Char(10) &amp; Char(10) &amp; VLOOKUP(A1420,Internal_lists_bugs!$A$2:$Z$73,26,FALSE())),"please select a BUG ID")</f>
        <v>please select a BUG ID</v>
      </c>
      <c r="C1420" s="51" t="str">
        <f>IFERROR(SUBSTITUTE(VLOOKUP(A1420,Internal_lists_bugs!$A$2:$G2031,7,FALSE()),"nova/commit","nova/src/commit"),"please select a BUG ID")</f>
        <v>please select a BUG ID</v>
      </c>
      <c r="D1420" s="54"/>
      <c r="F1420" s="54"/>
      <c r="H1420" s="114"/>
      <c r="J1420" s="183" t="str">
        <f>IFERROR(VLOOKUP(A1420,Internal_lists_bugs!$A$2:$I2031,9,FALSE()),"please select a BUG ID")</f>
        <v>please select a BUG ID</v>
      </c>
    </row>
    <row r="1421">
      <c r="A1421" s="54"/>
      <c r="B1421" s="71" t="str">
        <f>IFERROR(HYPERLINK(VLOOKUP(A1421,Internal_lists_bugs!$A$2:$C$73,3,FALSE()), VLOOKUP(A1421,Internal_lists_bugs!$A$2:$C$73,3,FALSE())&amp;Char(10) &amp; Char(10) &amp; VLOOKUP(A1421,Internal_lists_bugs!$A$2:$Z$73,26,FALSE())),"please select a BUG ID")</f>
        <v>please select a BUG ID</v>
      </c>
      <c r="C1421" s="51" t="str">
        <f>IFERROR(SUBSTITUTE(VLOOKUP(A1421,Internal_lists_bugs!$A$2:$G2031,7,FALSE()),"nova/commit","nova/src/commit"),"please select a BUG ID")</f>
        <v>please select a BUG ID</v>
      </c>
      <c r="D1421" s="54"/>
      <c r="F1421" s="54"/>
      <c r="H1421" s="114"/>
      <c r="J1421" s="183" t="str">
        <f>IFERROR(VLOOKUP(A1421,Internal_lists_bugs!$A$2:$I2031,9,FALSE()),"please select a BUG ID")</f>
        <v>please select a BUG ID</v>
      </c>
    </row>
    <row r="1422">
      <c r="A1422" s="54"/>
      <c r="B1422" s="71" t="str">
        <f>IFERROR(HYPERLINK(VLOOKUP(A1422,Internal_lists_bugs!$A$2:$C$73,3,FALSE()), VLOOKUP(A1422,Internal_lists_bugs!$A$2:$C$73,3,FALSE())&amp;Char(10) &amp; Char(10) &amp; VLOOKUP(A1422,Internal_lists_bugs!$A$2:$Z$73,26,FALSE())),"please select a BUG ID")</f>
        <v>please select a BUG ID</v>
      </c>
      <c r="C1422" s="51" t="str">
        <f>IFERROR(SUBSTITUTE(VLOOKUP(A1422,Internal_lists_bugs!$A$2:$G2031,7,FALSE()),"nova/commit","nova/src/commit"),"please select a BUG ID")</f>
        <v>please select a BUG ID</v>
      </c>
      <c r="D1422" s="54"/>
      <c r="F1422" s="54"/>
      <c r="H1422" s="114"/>
      <c r="J1422" s="183" t="str">
        <f>IFERROR(VLOOKUP(A1422,Internal_lists_bugs!$A$2:$I2031,9,FALSE()),"please select a BUG ID")</f>
        <v>please select a BUG ID</v>
      </c>
    </row>
    <row r="1423">
      <c r="A1423" s="54"/>
      <c r="B1423" s="71" t="str">
        <f>IFERROR(HYPERLINK(VLOOKUP(A1423,Internal_lists_bugs!$A$2:$C$73,3,FALSE()), VLOOKUP(A1423,Internal_lists_bugs!$A$2:$C$73,3,FALSE())&amp;Char(10) &amp; Char(10) &amp; VLOOKUP(A1423,Internal_lists_bugs!$A$2:$Z$73,26,FALSE())),"please select a BUG ID")</f>
        <v>please select a BUG ID</v>
      </c>
      <c r="C1423" s="51" t="str">
        <f>IFERROR(SUBSTITUTE(VLOOKUP(A1423,Internal_lists_bugs!$A$2:$G2031,7,FALSE()),"nova/commit","nova/src/commit"),"please select a BUG ID")</f>
        <v>please select a BUG ID</v>
      </c>
      <c r="D1423" s="54"/>
      <c r="F1423" s="54"/>
      <c r="H1423" s="114"/>
      <c r="J1423" s="183" t="str">
        <f>IFERROR(VLOOKUP(A1423,Internal_lists_bugs!$A$2:$I2031,9,FALSE()),"please select a BUG ID")</f>
        <v>please select a BUG ID</v>
      </c>
    </row>
    <row r="1424">
      <c r="A1424" s="54"/>
      <c r="B1424" s="71" t="str">
        <f>IFERROR(HYPERLINK(VLOOKUP(A1424,Internal_lists_bugs!$A$2:$C$73,3,FALSE()), VLOOKUP(A1424,Internal_lists_bugs!$A$2:$C$73,3,FALSE())&amp;Char(10) &amp; Char(10) &amp; VLOOKUP(A1424,Internal_lists_bugs!$A$2:$Z$73,26,FALSE())),"please select a BUG ID")</f>
        <v>please select a BUG ID</v>
      </c>
      <c r="C1424" s="51" t="str">
        <f>IFERROR(SUBSTITUTE(VLOOKUP(A1424,Internal_lists_bugs!$A$2:$G2031,7,FALSE()),"nova/commit","nova/src/commit"),"please select a BUG ID")</f>
        <v>please select a BUG ID</v>
      </c>
      <c r="D1424" s="54"/>
      <c r="F1424" s="54"/>
      <c r="H1424" s="114"/>
      <c r="J1424" s="183" t="str">
        <f>IFERROR(VLOOKUP(A1424,Internal_lists_bugs!$A$2:$I2031,9,FALSE()),"please select a BUG ID")</f>
        <v>please select a BUG ID</v>
      </c>
    </row>
    <row r="1425">
      <c r="A1425" s="54"/>
      <c r="B1425" s="71" t="str">
        <f>IFERROR(HYPERLINK(VLOOKUP(A1425,Internal_lists_bugs!$A$2:$C$73,3,FALSE()), VLOOKUP(A1425,Internal_lists_bugs!$A$2:$C$73,3,FALSE())&amp;Char(10) &amp; Char(10) &amp; VLOOKUP(A1425,Internal_lists_bugs!$A$2:$Z$73,26,FALSE())),"please select a BUG ID")</f>
        <v>please select a BUG ID</v>
      </c>
      <c r="C1425" s="51" t="str">
        <f>IFERROR(SUBSTITUTE(VLOOKUP(A1425,Internal_lists_bugs!$A$2:$G2031,7,FALSE()),"nova/commit","nova/src/commit"),"please select a BUG ID")</f>
        <v>please select a BUG ID</v>
      </c>
      <c r="D1425" s="54"/>
      <c r="F1425" s="54"/>
      <c r="H1425" s="114"/>
      <c r="J1425" s="183" t="str">
        <f>IFERROR(VLOOKUP(A1425,Internal_lists_bugs!$A$2:$I2031,9,FALSE()),"please select a BUG ID")</f>
        <v>please select a BUG ID</v>
      </c>
    </row>
    <row r="1426">
      <c r="A1426" s="54"/>
      <c r="B1426" s="71" t="str">
        <f>IFERROR(HYPERLINK(VLOOKUP(A1426,Internal_lists_bugs!$A$2:$C$73,3,FALSE()), VLOOKUP(A1426,Internal_lists_bugs!$A$2:$C$73,3,FALSE())&amp;Char(10) &amp; Char(10) &amp; VLOOKUP(A1426,Internal_lists_bugs!$A$2:$Z$73,26,FALSE())),"please select a BUG ID")</f>
        <v>please select a BUG ID</v>
      </c>
      <c r="C1426" s="51" t="str">
        <f>IFERROR(SUBSTITUTE(VLOOKUP(A1426,Internal_lists_bugs!$A$2:$G2031,7,FALSE()),"nova/commit","nova/src/commit"),"please select a BUG ID")</f>
        <v>please select a BUG ID</v>
      </c>
      <c r="D1426" s="54"/>
      <c r="F1426" s="54"/>
      <c r="H1426" s="114"/>
      <c r="J1426" s="183" t="str">
        <f>IFERROR(VLOOKUP(A1426,Internal_lists_bugs!$A$2:$I2031,9,FALSE()),"please select a BUG ID")</f>
        <v>please select a BUG ID</v>
      </c>
    </row>
    <row r="1427">
      <c r="A1427" s="54"/>
      <c r="B1427" s="71" t="str">
        <f>IFERROR(HYPERLINK(VLOOKUP(A1427,Internal_lists_bugs!$A$2:$C$73,3,FALSE()), VLOOKUP(A1427,Internal_lists_bugs!$A$2:$C$73,3,FALSE())&amp;Char(10) &amp; Char(10) &amp; VLOOKUP(A1427,Internal_lists_bugs!$A$2:$Z$73,26,FALSE())),"please select a BUG ID")</f>
        <v>please select a BUG ID</v>
      </c>
      <c r="C1427" s="51" t="str">
        <f>IFERROR(SUBSTITUTE(VLOOKUP(A1427,Internal_lists_bugs!$A$2:$G2031,7,FALSE()),"nova/commit","nova/src/commit"),"please select a BUG ID")</f>
        <v>please select a BUG ID</v>
      </c>
      <c r="D1427" s="54"/>
      <c r="F1427" s="54"/>
      <c r="H1427" s="114"/>
      <c r="J1427" s="183" t="str">
        <f>IFERROR(VLOOKUP(A1427,Internal_lists_bugs!$A$2:$I2031,9,FALSE()),"please select a BUG ID")</f>
        <v>please select a BUG ID</v>
      </c>
    </row>
    <row r="1428">
      <c r="A1428" s="54"/>
      <c r="B1428" s="71" t="str">
        <f>IFERROR(HYPERLINK(VLOOKUP(A1428,Internal_lists_bugs!$A$2:$C$73,3,FALSE()), VLOOKUP(A1428,Internal_lists_bugs!$A$2:$C$73,3,FALSE())&amp;Char(10) &amp; Char(10) &amp; VLOOKUP(A1428,Internal_lists_bugs!$A$2:$Z$73,26,FALSE())),"please select a BUG ID")</f>
        <v>please select a BUG ID</v>
      </c>
      <c r="C1428" s="51" t="str">
        <f>IFERROR(SUBSTITUTE(VLOOKUP(A1428,Internal_lists_bugs!$A$2:$G2031,7,FALSE()),"nova/commit","nova/src/commit"),"please select a BUG ID")</f>
        <v>please select a BUG ID</v>
      </c>
      <c r="D1428" s="54"/>
      <c r="F1428" s="54"/>
      <c r="H1428" s="114"/>
      <c r="J1428" s="183" t="str">
        <f>IFERROR(VLOOKUP(A1428,Internal_lists_bugs!$A$2:$I2031,9,FALSE()),"please select a BUG ID")</f>
        <v>please select a BUG ID</v>
      </c>
    </row>
    <row r="1429">
      <c r="A1429" s="54"/>
      <c r="B1429" s="71" t="str">
        <f>IFERROR(HYPERLINK(VLOOKUP(A1429,Internal_lists_bugs!$A$2:$C$73,3,FALSE()), VLOOKUP(A1429,Internal_lists_bugs!$A$2:$C$73,3,FALSE())&amp;Char(10) &amp; Char(10) &amp; VLOOKUP(A1429,Internal_lists_bugs!$A$2:$Z$73,26,FALSE())),"please select a BUG ID")</f>
        <v>please select a BUG ID</v>
      </c>
      <c r="C1429" s="51" t="str">
        <f>IFERROR(SUBSTITUTE(VLOOKUP(A1429,Internal_lists_bugs!$A$2:$G2031,7,FALSE()),"nova/commit","nova/src/commit"),"please select a BUG ID")</f>
        <v>please select a BUG ID</v>
      </c>
      <c r="D1429" s="54"/>
      <c r="F1429" s="54"/>
      <c r="H1429" s="114"/>
      <c r="J1429" s="183" t="str">
        <f>IFERROR(VLOOKUP(A1429,Internal_lists_bugs!$A$2:$I2031,9,FALSE()),"please select a BUG ID")</f>
        <v>please select a BUG ID</v>
      </c>
    </row>
    <row r="1430">
      <c r="A1430" s="54"/>
      <c r="B1430" s="71" t="str">
        <f>IFERROR(HYPERLINK(VLOOKUP(A1430,Internal_lists_bugs!$A$2:$C$73,3,FALSE()), VLOOKUP(A1430,Internal_lists_bugs!$A$2:$C$73,3,FALSE())&amp;Char(10) &amp; Char(10) &amp; VLOOKUP(A1430,Internal_lists_bugs!$A$2:$Z$73,26,FALSE())),"please select a BUG ID")</f>
        <v>please select a BUG ID</v>
      </c>
      <c r="C1430" s="51" t="str">
        <f>IFERROR(SUBSTITUTE(VLOOKUP(A1430,Internal_lists_bugs!$A$2:$G2031,7,FALSE()),"nova/commit","nova/src/commit"),"please select a BUG ID")</f>
        <v>please select a BUG ID</v>
      </c>
      <c r="D1430" s="54"/>
      <c r="F1430" s="54"/>
      <c r="H1430" s="114"/>
      <c r="J1430" s="183" t="str">
        <f>IFERROR(VLOOKUP(A1430,Internal_lists_bugs!$A$2:$I2031,9,FALSE()),"please select a BUG ID")</f>
        <v>please select a BUG ID</v>
      </c>
    </row>
    <row r="1431">
      <c r="A1431" s="54"/>
      <c r="B1431" s="71" t="str">
        <f>IFERROR(HYPERLINK(VLOOKUP(A1431,Internal_lists_bugs!$A$2:$C$73,3,FALSE()), VLOOKUP(A1431,Internal_lists_bugs!$A$2:$C$73,3,FALSE())&amp;Char(10) &amp; Char(10) &amp; VLOOKUP(A1431,Internal_lists_bugs!$A$2:$Z$73,26,FALSE())),"please select a BUG ID")</f>
        <v>please select a BUG ID</v>
      </c>
      <c r="C1431" s="51" t="str">
        <f>IFERROR(SUBSTITUTE(VLOOKUP(A1431,Internal_lists_bugs!$A$2:$G2031,7,FALSE()),"nova/commit","nova/src/commit"),"please select a BUG ID")</f>
        <v>please select a BUG ID</v>
      </c>
      <c r="D1431" s="54"/>
      <c r="F1431" s="54"/>
      <c r="H1431" s="114"/>
      <c r="J1431" s="183" t="str">
        <f>IFERROR(VLOOKUP(A1431,Internal_lists_bugs!$A$2:$I2031,9,FALSE()),"please select a BUG ID")</f>
        <v>please select a BUG ID</v>
      </c>
    </row>
    <row r="1432">
      <c r="A1432" s="54"/>
      <c r="B1432" s="71" t="str">
        <f>IFERROR(HYPERLINK(VLOOKUP(A1432,Internal_lists_bugs!$A$2:$C$73,3,FALSE()), VLOOKUP(A1432,Internal_lists_bugs!$A$2:$C$73,3,FALSE())&amp;Char(10) &amp; Char(10) &amp; VLOOKUP(A1432,Internal_lists_bugs!$A$2:$Z$73,26,FALSE())),"please select a BUG ID")</f>
        <v>please select a BUG ID</v>
      </c>
      <c r="C1432" s="51" t="str">
        <f>IFERROR(SUBSTITUTE(VLOOKUP(A1432,Internal_lists_bugs!$A$2:$G2031,7,FALSE()),"nova/commit","nova/src/commit"),"please select a BUG ID")</f>
        <v>please select a BUG ID</v>
      </c>
      <c r="D1432" s="54"/>
      <c r="F1432" s="54"/>
      <c r="H1432" s="114"/>
      <c r="J1432" s="183" t="str">
        <f>IFERROR(VLOOKUP(A1432,Internal_lists_bugs!$A$2:$I2031,9,FALSE()),"please select a BUG ID")</f>
        <v>please select a BUG ID</v>
      </c>
    </row>
    <row r="1433">
      <c r="A1433" s="54"/>
      <c r="B1433" s="71" t="str">
        <f>IFERROR(HYPERLINK(VLOOKUP(A1433,Internal_lists_bugs!$A$2:$C$73,3,FALSE()), VLOOKUP(A1433,Internal_lists_bugs!$A$2:$C$73,3,FALSE())&amp;Char(10) &amp; Char(10) &amp; VLOOKUP(A1433,Internal_lists_bugs!$A$2:$Z$73,26,FALSE())),"please select a BUG ID")</f>
        <v>please select a BUG ID</v>
      </c>
      <c r="C1433" s="51" t="str">
        <f>IFERROR(SUBSTITUTE(VLOOKUP(A1433,Internal_lists_bugs!$A$2:$G2031,7,FALSE()),"nova/commit","nova/src/commit"),"please select a BUG ID")</f>
        <v>please select a BUG ID</v>
      </c>
      <c r="D1433" s="54"/>
      <c r="F1433" s="54"/>
      <c r="H1433" s="114"/>
      <c r="J1433" s="183" t="str">
        <f>IFERROR(VLOOKUP(A1433,Internal_lists_bugs!$A$2:$I2031,9,FALSE()),"please select a BUG ID")</f>
        <v>please select a BUG ID</v>
      </c>
    </row>
    <row r="1434">
      <c r="A1434" s="54"/>
      <c r="B1434" s="71" t="str">
        <f>IFERROR(HYPERLINK(VLOOKUP(A1434,Internal_lists_bugs!$A$2:$C$73,3,FALSE()), VLOOKUP(A1434,Internal_lists_bugs!$A$2:$C$73,3,FALSE())&amp;Char(10) &amp; Char(10) &amp; VLOOKUP(A1434,Internal_lists_bugs!$A$2:$Z$73,26,FALSE())),"please select a BUG ID")</f>
        <v>please select a BUG ID</v>
      </c>
      <c r="C1434" s="51" t="str">
        <f>IFERROR(SUBSTITUTE(VLOOKUP(A1434,Internal_lists_bugs!$A$2:$G2031,7,FALSE()),"nova/commit","nova/src/commit"),"please select a BUG ID")</f>
        <v>please select a BUG ID</v>
      </c>
      <c r="D1434" s="54"/>
      <c r="F1434" s="54"/>
      <c r="H1434" s="114"/>
      <c r="J1434" s="183" t="str">
        <f>IFERROR(VLOOKUP(A1434,Internal_lists_bugs!$A$2:$I2031,9,FALSE()),"please select a BUG ID")</f>
        <v>please select a BUG ID</v>
      </c>
    </row>
    <row r="1435">
      <c r="A1435" s="54"/>
      <c r="B1435" s="71" t="str">
        <f>IFERROR(HYPERLINK(VLOOKUP(A1435,Internal_lists_bugs!$A$2:$C$73,3,FALSE()), VLOOKUP(A1435,Internal_lists_bugs!$A$2:$C$73,3,FALSE())&amp;Char(10) &amp; Char(10) &amp; VLOOKUP(A1435,Internal_lists_bugs!$A$2:$Z$73,26,FALSE())),"please select a BUG ID")</f>
        <v>please select a BUG ID</v>
      </c>
      <c r="C1435" s="51" t="str">
        <f>IFERROR(SUBSTITUTE(VLOOKUP(A1435,Internal_lists_bugs!$A$2:$G2031,7,FALSE()),"nova/commit","nova/src/commit"),"please select a BUG ID")</f>
        <v>please select a BUG ID</v>
      </c>
      <c r="D1435" s="54"/>
      <c r="F1435" s="54"/>
      <c r="H1435" s="114"/>
      <c r="J1435" s="183" t="str">
        <f>IFERROR(VLOOKUP(A1435,Internal_lists_bugs!$A$2:$I2031,9,FALSE()),"please select a BUG ID")</f>
        <v>please select a BUG ID</v>
      </c>
    </row>
    <row r="1436">
      <c r="A1436" s="54"/>
      <c r="B1436" s="71" t="str">
        <f>IFERROR(HYPERLINK(VLOOKUP(A1436,Internal_lists_bugs!$A$2:$C$73,3,FALSE()), VLOOKUP(A1436,Internal_lists_bugs!$A$2:$C$73,3,FALSE())&amp;Char(10) &amp; Char(10) &amp; VLOOKUP(A1436,Internal_lists_bugs!$A$2:$Z$73,26,FALSE())),"please select a BUG ID")</f>
        <v>please select a BUG ID</v>
      </c>
      <c r="C1436" s="51" t="str">
        <f>IFERROR(SUBSTITUTE(VLOOKUP(A1436,Internal_lists_bugs!$A$2:$G2031,7,FALSE()),"nova/commit","nova/src/commit"),"please select a BUG ID")</f>
        <v>please select a BUG ID</v>
      </c>
      <c r="D1436" s="54"/>
      <c r="F1436" s="54"/>
      <c r="H1436" s="114"/>
      <c r="J1436" s="183" t="str">
        <f>IFERROR(VLOOKUP(A1436,Internal_lists_bugs!$A$2:$I2031,9,FALSE()),"please select a BUG ID")</f>
        <v>please select a BUG ID</v>
      </c>
    </row>
    <row r="1437">
      <c r="A1437" s="54"/>
      <c r="B1437" s="71" t="str">
        <f>IFERROR(HYPERLINK(VLOOKUP(A1437,Internal_lists_bugs!$A$2:$C$73,3,FALSE()), VLOOKUP(A1437,Internal_lists_bugs!$A$2:$C$73,3,FALSE())&amp;Char(10) &amp; Char(10) &amp; VLOOKUP(A1437,Internal_lists_bugs!$A$2:$Z$73,26,FALSE())),"please select a BUG ID")</f>
        <v>please select a BUG ID</v>
      </c>
      <c r="C1437" s="51" t="str">
        <f>IFERROR(SUBSTITUTE(VLOOKUP(A1437,Internal_lists_bugs!$A$2:$G2031,7,FALSE()),"nova/commit","nova/src/commit"),"please select a BUG ID")</f>
        <v>please select a BUG ID</v>
      </c>
      <c r="D1437" s="54"/>
      <c r="F1437" s="54"/>
      <c r="H1437" s="114"/>
      <c r="J1437" s="183" t="str">
        <f>IFERROR(VLOOKUP(A1437,Internal_lists_bugs!$A$2:$I2031,9,FALSE()),"please select a BUG ID")</f>
        <v>please select a BUG ID</v>
      </c>
    </row>
    <row r="1438">
      <c r="A1438" s="54"/>
      <c r="B1438" s="71" t="str">
        <f>IFERROR(HYPERLINK(VLOOKUP(A1438,Internal_lists_bugs!$A$2:$C$73,3,FALSE()), VLOOKUP(A1438,Internal_lists_bugs!$A$2:$C$73,3,FALSE())&amp;Char(10) &amp; Char(10) &amp; VLOOKUP(A1438,Internal_lists_bugs!$A$2:$Z$73,26,FALSE())),"please select a BUG ID")</f>
        <v>please select a BUG ID</v>
      </c>
      <c r="C1438" s="51" t="str">
        <f>IFERROR(SUBSTITUTE(VLOOKUP(A1438,Internal_lists_bugs!$A$2:$G2031,7,FALSE()),"nova/commit","nova/src/commit"),"please select a BUG ID")</f>
        <v>please select a BUG ID</v>
      </c>
      <c r="D1438" s="54"/>
      <c r="F1438" s="54"/>
      <c r="H1438" s="114"/>
      <c r="J1438" s="183" t="str">
        <f>IFERROR(VLOOKUP(A1438,Internal_lists_bugs!$A$2:$I2031,9,FALSE()),"please select a BUG ID")</f>
        <v>please select a BUG ID</v>
      </c>
    </row>
    <row r="1439">
      <c r="A1439" s="54"/>
      <c r="B1439" s="71" t="str">
        <f>IFERROR(HYPERLINK(VLOOKUP(A1439,Internal_lists_bugs!$A$2:$C$73,3,FALSE()), VLOOKUP(A1439,Internal_lists_bugs!$A$2:$C$73,3,FALSE())&amp;Char(10) &amp; Char(10) &amp; VLOOKUP(A1439,Internal_lists_bugs!$A$2:$Z$73,26,FALSE())),"please select a BUG ID")</f>
        <v>please select a BUG ID</v>
      </c>
      <c r="C1439" s="51" t="str">
        <f>IFERROR(SUBSTITUTE(VLOOKUP(A1439,Internal_lists_bugs!$A$2:$G2031,7,FALSE()),"nova/commit","nova/src/commit"),"please select a BUG ID")</f>
        <v>please select a BUG ID</v>
      </c>
      <c r="D1439" s="54"/>
      <c r="F1439" s="54"/>
      <c r="H1439" s="114"/>
      <c r="J1439" s="183" t="str">
        <f>IFERROR(VLOOKUP(A1439,Internal_lists_bugs!$A$2:$I2031,9,FALSE()),"please select a BUG ID")</f>
        <v>please select a BUG ID</v>
      </c>
    </row>
    <row r="1440">
      <c r="A1440" s="54"/>
      <c r="B1440" s="71" t="str">
        <f>IFERROR(HYPERLINK(VLOOKUP(A1440,Internal_lists_bugs!$A$2:$C$73,3,FALSE()), VLOOKUP(A1440,Internal_lists_bugs!$A$2:$C$73,3,FALSE())&amp;Char(10) &amp; Char(10) &amp; VLOOKUP(A1440,Internal_lists_bugs!$A$2:$Z$73,26,FALSE())),"please select a BUG ID")</f>
        <v>please select a BUG ID</v>
      </c>
      <c r="C1440" s="51" t="str">
        <f>IFERROR(SUBSTITUTE(VLOOKUP(A1440,Internal_lists_bugs!$A$2:$G2031,7,FALSE()),"nova/commit","nova/src/commit"),"please select a BUG ID")</f>
        <v>please select a BUG ID</v>
      </c>
      <c r="D1440" s="54"/>
      <c r="F1440" s="54"/>
      <c r="H1440" s="114"/>
      <c r="J1440" s="183" t="str">
        <f>IFERROR(VLOOKUP(A1440,Internal_lists_bugs!$A$2:$I2031,9,FALSE()),"please select a BUG ID")</f>
        <v>please select a BUG ID</v>
      </c>
    </row>
    <row r="1441">
      <c r="A1441" s="54"/>
      <c r="B1441" s="71" t="str">
        <f>IFERROR(HYPERLINK(VLOOKUP(A1441,Internal_lists_bugs!$A$2:$C$73,3,FALSE()), VLOOKUP(A1441,Internal_lists_bugs!$A$2:$C$73,3,FALSE())&amp;Char(10) &amp; Char(10) &amp; VLOOKUP(A1441,Internal_lists_bugs!$A$2:$Z$73,26,FALSE())),"please select a BUG ID")</f>
        <v>please select a BUG ID</v>
      </c>
      <c r="C1441" s="51" t="str">
        <f>IFERROR(SUBSTITUTE(VLOOKUP(A1441,Internal_lists_bugs!$A$2:$G2031,7,FALSE()),"nova/commit","nova/src/commit"),"please select a BUG ID")</f>
        <v>please select a BUG ID</v>
      </c>
      <c r="D1441" s="54"/>
      <c r="F1441" s="54"/>
      <c r="H1441" s="114"/>
      <c r="J1441" s="183" t="str">
        <f>IFERROR(VLOOKUP(A1441,Internal_lists_bugs!$A$2:$I2031,9,FALSE()),"please select a BUG ID")</f>
        <v>please select a BUG ID</v>
      </c>
    </row>
    <row r="1442">
      <c r="A1442" s="54"/>
      <c r="B1442" s="71" t="str">
        <f>IFERROR(HYPERLINK(VLOOKUP(A1442,Internal_lists_bugs!$A$2:$C$73,3,FALSE()), VLOOKUP(A1442,Internal_lists_bugs!$A$2:$C$73,3,FALSE())&amp;Char(10) &amp; Char(10) &amp; VLOOKUP(A1442,Internal_lists_bugs!$A$2:$Z$73,26,FALSE())),"please select a BUG ID")</f>
        <v>please select a BUG ID</v>
      </c>
      <c r="C1442" s="51" t="str">
        <f>IFERROR(SUBSTITUTE(VLOOKUP(A1442,Internal_lists_bugs!$A$2:$G2031,7,FALSE()),"nova/commit","nova/src/commit"),"please select a BUG ID")</f>
        <v>please select a BUG ID</v>
      </c>
      <c r="D1442" s="54"/>
      <c r="F1442" s="54"/>
      <c r="H1442" s="114"/>
      <c r="J1442" s="183" t="str">
        <f>IFERROR(VLOOKUP(A1442,Internal_lists_bugs!$A$2:$I2031,9,FALSE()),"please select a BUG ID")</f>
        <v>please select a BUG ID</v>
      </c>
    </row>
    <row r="1443">
      <c r="A1443" s="54"/>
      <c r="B1443" s="71" t="str">
        <f>IFERROR(HYPERLINK(VLOOKUP(A1443,Internal_lists_bugs!$A$2:$C$73,3,FALSE()), VLOOKUP(A1443,Internal_lists_bugs!$A$2:$C$73,3,FALSE())&amp;Char(10) &amp; Char(10) &amp; VLOOKUP(A1443,Internal_lists_bugs!$A$2:$Z$73,26,FALSE())),"please select a BUG ID")</f>
        <v>please select a BUG ID</v>
      </c>
      <c r="C1443" s="51" t="str">
        <f>IFERROR(SUBSTITUTE(VLOOKUP(A1443,Internal_lists_bugs!$A$2:$G2031,7,FALSE()),"nova/commit","nova/src/commit"),"please select a BUG ID")</f>
        <v>please select a BUG ID</v>
      </c>
      <c r="D1443" s="54"/>
      <c r="F1443" s="54"/>
      <c r="H1443" s="114"/>
      <c r="J1443" s="183" t="str">
        <f>IFERROR(VLOOKUP(A1443,Internal_lists_bugs!$A$2:$I2031,9,FALSE()),"please select a BUG ID")</f>
        <v>please select a BUG ID</v>
      </c>
    </row>
    <row r="1444">
      <c r="A1444" s="54"/>
      <c r="B1444" s="71" t="str">
        <f>IFERROR(HYPERLINK(VLOOKUP(A1444,Internal_lists_bugs!$A$2:$C$73,3,FALSE()), VLOOKUP(A1444,Internal_lists_bugs!$A$2:$C$73,3,FALSE())&amp;Char(10) &amp; Char(10) &amp; VLOOKUP(A1444,Internal_lists_bugs!$A$2:$Z$73,26,FALSE())),"please select a BUG ID")</f>
        <v>please select a BUG ID</v>
      </c>
      <c r="C1444" s="51" t="str">
        <f>IFERROR(SUBSTITUTE(VLOOKUP(A1444,Internal_lists_bugs!$A$2:$G2031,7,FALSE()),"nova/commit","nova/src/commit"),"please select a BUG ID")</f>
        <v>please select a BUG ID</v>
      </c>
      <c r="D1444" s="54"/>
      <c r="F1444" s="54"/>
      <c r="H1444" s="114"/>
      <c r="J1444" s="183" t="str">
        <f>IFERROR(VLOOKUP(A1444,Internal_lists_bugs!$A$2:$I2031,9,FALSE()),"please select a BUG ID")</f>
        <v>please select a BUG ID</v>
      </c>
    </row>
    <row r="1445">
      <c r="A1445" s="54"/>
      <c r="B1445" s="71" t="str">
        <f>IFERROR(HYPERLINK(VLOOKUP(A1445,Internal_lists_bugs!$A$2:$C$73,3,FALSE()), VLOOKUP(A1445,Internal_lists_bugs!$A$2:$C$73,3,FALSE())&amp;Char(10) &amp; Char(10) &amp; VLOOKUP(A1445,Internal_lists_bugs!$A$2:$Z$73,26,FALSE())),"please select a BUG ID")</f>
        <v>please select a BUG ID</v>
      </c>
      <c r="C1445" s="51" t="str">
        <f>IFERROR(SUBSTITUTE(VLOOKUP(A1445,Internal_lists_bugs!$A$2:$G2031,7,FALSE()),"nova/commit","nova/src/commit"),"please select a BUG ID")</f>
        <v>please select a BUG ID</v>
      </c>
      <c r="D1445" s="54"/>
      <c r="F1445" s="54"/>
      <c r="H1445" s="114"/>
      <c r="J1445" s="183" t="str">
        <f>IFERROR(VLOOKUP(A1445,Internal_lists_bugs!$A$2:$I2031,9,FALSE()),"please select a BUG ID")</f>
        <v>please select a BUG ID</v>
      </c>
    </row>
    <row r="1446">
      <c r="A1446" s="54"/>
      <c r="B1446" s="71" t="str">
        <f>IFERROR(HYPERLINK(VLOOKUP(A1446,Internal_lists_bugs!$A$2:$C$73,3,FALSE()), VLOOKUP(A1446,Internal_lists_bugs!$A$2:$C$73,3,FALSE())&amp;Char(10) &amp; Char(10) &amp; VLOOKUP(A1446,Internal_lists_bugs!$A$2:$Z$73,26,FALSE())),"please select a BUG ID")</f>
        <v>please select a BUG ID</v>
      </c>
      <c r="C1446" s="51" t="str">
        <f>IFERROR(SUBSTITUTE(VLOOKUP(A1446,Internal_lists_bugs!$A$2:$G2031,7,FALSE()),"nova/commit","nova/src/commit"),"please select a BUG ID")</f>
        <v>please select a BUG ID</v>
      </c>
      <c r="D1446" s="54"/>
      <c r="F1446" s="54"/>
      <c r="H1446" s="114"/>
      <c r="J1446" s="183" t="str">
        <f>IFERROR(VLOOKUP(A1446,Internal_lists_bugs!$A$2:$I2031,9,FALSE()),"please select a BUG ID")</f>
        <v>please select a BUG ID</v>
      </c>
    </row>
    <row r="1447">
      <c r="A1447" s="54"/>
      <c r="B1447" s="71" t="str">
        <f>IFERROR(HYPERLINK(VLOOKUP(A1447,Internal_lists_bugs!$A$2:$C$73,3,FALSE()), VLOOKUP(A1447,Internal_lists_bugs!$A$2:$C$73,3,FALSE())&amp;Char(10) &amp; Char(10) &amp; VLOOKUP(A1447,Internal_lists_bugs!$A$2:$Z$73,26,FALSE())),"please select a BUG ID")</f>
        <v>please select a BUG ID</v>
      </c>
      <c r="C1447" s="51" t="str">
        <f>IFERROR(SUBSTITUTE(VLOOKUP(A1447,Internal_lists_bugs!$A$2:$G2031,7,FALSE()),"nova/commit","nova/src/commit"),"please select a BUG ID")</f>
        <v>please select a BUG ID</v>
      </c>
      <c r="D1447" s="54"/>
      <c r="F1447" s="54"/>
      <c r="H1447" s="114"/>
      <c r="J1447" s="183" t="str">
        <f>IFERROR(VLOOKUP(A1447,Internal_lists_bugs!$A$2:$I2031,9,FALSE()),"please select a BUG ID")</f>
        <v>please select a BUG ID</v>
      </c>
    </row>
    <row r="1448">
      <c r="A1448" s="54"/>
      <c r="B1448" s="71" t="str">
        <f>IFERROR(HYPERLINK(VLOOKUP(A1448,Internal_lists_bugs!$A$2:$C$73,3,FALSE()), VLOOKUP(A1448,Internal_lists_bugs!$A$2:$C$73,3,FALSE())&amp;Char(10) &amp; Char(10) &amp; VLOOKUP(A1448,Internal_lists_bugs!$A$2:$Z$73,26,FALSE())),"please select a BUG ID")</f>
        <v>please select a BUG ID</v>
      </c>
      <c r="C1448" s="51" t="str">
        <f>IFERROR(SUBSTITUTE(VLOOKUP(A1448,Internal_lists_bugs!$A$2:$G2031,7,FALSE()),"nova/commit","nova/src/commit"),"please select a BUG ID")</f>
        <v>please select a BUG ID</v>
      </c>
      <c r="D1448" s="54"/>
      <c r="F1448" s="54"/>
      <c r="H1448" s="114"/>
      <c r="J1448" s="183" t="str">
        <f>IFERROR(VLOOKUP(A1448,Internal_lists_bugs!$A$2:$I2031,9,FALSE()),"please select a BUG ID")</f>
        <v>please select a BUG ID</v>
      </c>
    </row>
    <row r="1449">
      <c r="A1449" s="54"/>
      <c r="B1449" s="71" t="str">
        <f>IFERROR(HYPERLINK(VLOOKUP(A1449,Internal_lists_bugs!$A$2:$C$73,3,FALSE()), VLOOKUP(A1449,Internal_lists_bugs!$A$2:$C$73,3,FALSE())&amp;Char(10) &amp; Char(10) &amp; VLOOKUP(A1449,Internal_lists_bugs!$A$2:$Z$73,26,FALSE())),"please select a BUG ID")</f>
        <v>please select a BUG ID</v>
      </c>
      <c r="C1449" s="51" t="str">
        <f>IFERROR(SUBSTITUTE(VLOOKUP(A1449,Internal_lists_bugs!$A$2:$G2031,7,FALSE()),"nova/commit","nova/src/commit"),"please select a BUG ID")</f>
        <v>please select a BUG ID</v>
      </c>
      <c r="D1449" s="54"/>
      <c r="F1449" s="54"/>
      <c r="H1449" s="114"/>
      <c r="J1449" s="183" t="str">
        <f>IFERROR(VLOOKUP(A1449,Internal_lists_bugs!$A$2:$I2031,9,FALSE()),"please select a BUG ID")</f>
        <v>please select a BUG ID</v>
      </c>
    </row>
    <row r="1450">
      <c r="A1450" s="54"/>
      <c r="B1450" s="71" t="str">
        <f>IFERROR(HYPERLINK(VLOOKUP(A1450,Internal_lists_bugs!$A$2:$C$73,3,FALSE()), VLOOKUP(A1450,Internal_lists_bugs!$A$2:$C$73,3,FALSE())&amp;Char(10) &amp; Char(10) &amp; VLOOKUP(A1450,Internal_lists_bugs!$A$2:$Z$73,26,FALSE())),"please select a BUG ID")</f>
        <v>please select a BUG ID</v>
      </c>
      <c r="C1450" s="51" t="str">
        <f>IFERROR(SUBSTITUTE(VLOOKUP(A1450,Internal_lists_bugs!$A$2:$G2031,7,FALSE()),"nova/commit","nova/src/commit"),"please select a BUG ID")</f>
        <v>please select a BUG ID</v>
      </c>
      <c r="D1450" s="54"/>
      <c r="F1450" s="54"/>
      <c r="H1450" s="114"/>
      <c r="J1450" s="183" t="str">
        <f>IFERROR(VLOOKUP(A1450,Internal_lists_bugs!$A$2:$I2031,9,FALSE()),"please select a BUG ID")</f>
        <v>please select a BUG ID</v>
      </c>
    </row>
    <row r="1451">
      <c r="A1451" s="54"/>
      <c r="B1451" s="71" t="str">
        <f>IFERROR(HYPERLINK(VLOOKUP(A1451,Internal_lists_bugs!$A$2:$C$73,3,FALSE()), VLOOKUP(A1451,Internal_lists_bugs!$A$2:$C$73,3,FALSE())&amp;Char(10) &amp; Char(10) &amp; VLOOKUP(A1451,Internal_lists_bugs!$A$2:$Z$73,26,FALSE())),"please select a BUG ID")</f>
        <v>please select a BUG ID</v>
      </c>
      <c r="C1451" s="51" t="str">
        <f>IFERROR(SUBSTITUTE(VLOOKUP(A1451,Internal_lists_bugs!$A$2:$G2031,7,FALSE()),"nova/commit","nova/src/commit"),"please select a BUG ID")</f>
        <v>please select a BUG ID</v>
      </c>
      <c r="D1451" s="54"/>
      <c r="F1451" s="54"/>
      <c r="H1451" s="114"/>
      <c r="J1451" s="183" t="str">
        <f>IFERROR(VLOOKUP(A1451,Internal_lists_bugs!$A$2:$I2031,9,FALSE()),"please select a BUG ID")</f>
        <v>please select a BUG ID</v>
      </c>
    </row>
    <row r="1452">
      <c r="A1452" s="54"/>
      <c r="B1452" s="71" t="str">
        <f>IFERROR(HYPERLINK(VLOOKUP(A1452,Internal_lists_bugs!$A$2:$C$73,3,FALSE()), VLOOKUP(A1452,Internal_lists_bugs!$A$2:$C$73,3,FALSE())&amp;Char(10) &amp; Char(10) &amp; VLOOKUP(A1452,Internal_lists_bugs!$A$2:$Z$73,26,FALSE())),"please select a BUG ID")</f>
        <v>please select a BUG ID</v>
      </c>
      <c r="C1452" s="51" t="str">
        <f>IFERROR(SUBSTITUTE(VLOOKUP(A1452,Internal_lists_bugs!$A$2:$G2031,7,FALSE()),"nova/commit","nova/src/commit"),"please select a BUG ID")</f>
        <v>please select a BUG ID</v>
      </c>
      <c r="D1452" s="54"/>
      <c r="F1452" s="54"/>
      <c r="H1452" s="114"/>
      <c r="J1452" s="183" t="str">
        <f>IFERROR(VLOOKUP(A1452,Internal_lists_bugs!$A$2:$I2031,9,FALSE()),"please select a BUG ID")</f>
        <v>please select a BUG ID</v>
      </c>
    </row>
    <row r="1453">
      <c r="A1453" s="54"/>
      <c r="B1453" s="71" t="str">
        <f>IFERROR(HYPERLINK(VLOOKUP(A1453,Internal_lists_bugs!$A$2:$C$73,3,FALSE()), VLOOKUP(A1453,Internal_lists_bugs!$A$2:$C$73,3,FALSE())&amp;Char(10) &amp; Char(10) &amp; VLOOKUP(A1453,Internal_lists_bugs!$A$2:$Z$73,26,FALSE())),"please select a BUG ID")</f>
        <v>please select a BUG ID</v>
      </c>
      <c r="C1453" s="51" t="str">
        <f>IFERROR(SUBSTITUTE(VLOOKUP(A1453,Internal_lists_bugs!$A$2:$G2031,7,FALSE()),"nova/commit","nova/src/commit"),"please select a BUG ID")</f>
        <v>please select a BUG ID</v>
      </c>
      <c r="D1453" s="54"/>
      <c r="F1453" s="54"/>
      <c r="H1453" s="114"/>
      <c r="J1453" s="183" t="str">
        <f>IFERROR(VLOOKUP(A1453,Internal_lists_bugs!$A$2:$I2031,9,FALSE()),"please select a BUG ID")</f>
        <v>please select a BUG ID</v>
      </c>
    </row>
    <row r="1454">
      <c r="A1454" s="54"/>
      <c r="B1454" s="71" t="str">
        <f>IFERROR(HYPERLINK(VLOOKUP(A1454,Internal_lists_bugs!$A$2:$C$73,3,FALSE()), VLOOKUP(A1454,Internal_lists_bugs!$A$2:$C$73,3,FALSE())&amp;Char(10) &amp; Char(10) &amp; VLOOKUP(A1454,Internal_lists_bugs!$A$2:$Z$73,26,FALSE())),"please select a BUG ID")</f>
        <v>please select a BUG ID</v>
      </c>
      <c r="C1454" s="51" t="str">
        <f>IFERROR(SUBSTITUTE(VLOOKUP(A1454,Internal_lists_bugs!$A$2:$G2031,7,FALSE()),"nova/commit","nova/src/commit"),"please select a BUG ID")</f>
        <v>please select a BUG ID</v>
      </c>
      <c r="D1454" s="54"/>
      <c r="F1454" s="54"/>
      <c r="H1454" s="114"/>
      <c r="J1454" s="183" t="str">
        <f>IFERROR(VLOOKUP(A1454,Internal_lists_bugs!$A$2:$I2031,9,FALSE()),"please select a BUG ID")</f>
        <v>please select a BUG ID</v>
      </c>
    </row>
    <row r="1455">
      <c r="A1455" s="54"/>
      <c r="B1455" s="71" t="str">
        <f>IFERROR(HYPERLINK(VLOOKUP(A1455,Internal_lists_bugs!$A$2:$C$73,3,FALSE()), VLOOKUP(A1455,Internal_lists_bugs!$A$2:$C$73,3,FALSE())&amp;Char(10) &amp; Char(10) &amp; VLOOKUP(A1455,Internal_lists_bugs!$A$2:$Z$73,26,FALSE())),"please select a BUG ID")</f>
        <v>please select a BUG ID</v>
      </c>
      <c r="C1455" s="51" t="str">
        <f>IFERROR(SUBSTITUTE(VLOOKUP(A1455,Internal_lists_bugs!$A$2:$G2031,7,FALSE()),"nova/commit","nova/src/commit"),"please select a BUG ID")</f>
        <v>please select a BUG ID</v>
      </c>
      <c r="D1455" s="54"/>
      <c r="F1455" s="54"/>
      <c r="H1455" s="114"/>
      <c r="J1455" s="183" t="str">
        <f>IFERROR(VLOOKUP(A1455,Internal_lists_bugs!$A$2:$I2031,9,FALSE()),"please select a BUG ID")</f>
        <v>please select a BUG ID</v>
      </c>
    </row>
    <row r="1456">
      <c r="A1456" s="54"/>
      <c r="B1456" s="71" t="str">
        <f>IFERROR(HYPERLINK(VLOOKUP(A1456,Internal_lists_bugs!$A$2:$C$73,3,FALSE()), VLOOKUP(A1456,Internal_lists_bugs!$A$2:$C$73,3,FALSE())&amp;Char(10) &amp; Char(10) &amp; VLOOKUP(A1456,Internal_lists_bugs!$A$2:$Z$73,26,FALSE())),"please select a BUG ID")</f>
        <v>please select a BUG ID</v>
      </c>
      <c r="C1456" s="51" t="str">
        <f>IFERROR(SUBSTITUTE(VLOOKUP(A1456,Internal_lists_bugs!$A$2:$G2031,7,FALSE()),"nova/commit","nova/src/commit"),"please select a BUG ID")</f>
        <v>please select a BUG ID</v>
      </c>
      <c r="D1456" s="54"/>
      <c r="F1456" s="54"/>
      <c r="H1456" s="114"/>
      <c r="J1456" s="183" t="str">
        <f>IFERROR(VLOOKUP(A1456,Internal_lists_bugs!$A$2:$I2031,9,FALSE()),"please select a BUG ID")</f>
        <v>please select a BUG ID</v>
      </c>
    </row>
    <row r="1457">
      <c r="A1457" s="54"/>
      <c r="B1457" s="71" t="str">
        <f>IFERROR(HYPERLINK(VLOOKUP(A1457,Internal_lists_bugs!$A$2:$C$73,3,FALSE()), VLOOKUP(A1457,Internal_lists_bugs!$A$2:$C$73,3,FALSE())&amp;Char(10) &amp; Char(10) &amp; VLOOKUP(A1457,Internal_lists_bugs!$A$2:$Z$73,26,FALSE())),"please select a BUG ID")</f>
        <v>please select a BUG ID</v>
      </c>
      <c r="C1457" s="51" t="str">
        <f>IFERROR(SUBSTITUTE(VLOOKUP(A1457,Internal_lists_bugs!$A$2:$G2031,7,FALSE()),"nova/commit","nova/src/commit"),"please select a BUG ID")</f>
        <v>please select a BUG ID</v>
      </c>
      <c r="D1457" s="54"/>
      <c r="F1457" s="54"/>
      <c r="H1457" s="114"/>
      <c r="J1457" s="183" t="str">
        <f>IFERROR(VLOOKUP(A1457,Internal_lists_bugs!$A$2:$I2031,9,FALSE()),"please select a BUG ID")</f>
        <v>please select a BUG ID</v>
      </c>
    </row>
    <row r="1458">
      <c r="A1458" s="54"/>
      <c r="B1458" s="71" t="str">
        <f>IFERROR(HYPERLINK(VLOOKUP(A1458,Internal_lists_bugs!$A$2:$C$73,3,FALSE()), VLOOKUP(A1458,Internal_lists_bugs!$A$2:$C$73,3,FALSE())&amp;Char(10) &amp; Char(10) &amp; VLOOKUP(A1458,Internal_lists_bugs!$A$2:$Z$73,26,FALSE())),"please select a BUG ID")</f>
        <v>please select a BUG ID</v>
      </c>
      <c r="C1458" s="51" t="str">
        <f>IFERROR(SUBSTITUTE(VLOOKUP(A1458,Internal_lists_bugs!$A$2:$G2031,7,FALSE()),"nova/commit","nova/src/commit"),"please select a BUG ID")</f>
        <v>please select a BUG ID</v>
      </c>
      <c r="D1458" s="54"/>
      <c r="F1458" s="54"/>
      <c r="H1458" s="114"/>
      <c r="J1458" s="183" t="str">
        <f>IFERROR(VLOOKUP(A1458,Internal_lists_bugs!$A$2:$I2031,9,FALSE()),"please select a BUG ID")</f>
        <v>please select a BUG ID</v>
      </c>
    </row>
    <row r="1459">
      <c r="A1459" s="54"/>
      <c r="B1459" s="71" t="str">
        <f>IFERROR(HYPERLINK(VLOOKUP(A1459,Internal_lists_bugs!$A$2:$C$73,3,FALSE()), VLOOKUP(A1459,Internal_lists_bugs!$A$2:$C$73,3,FALSE())&amp;Char(10) &amp; Char(10) &amp; VLOOKUP(A1459,Internal_lists_bugs!$A$2:$Z$73,26,FALSE())),"please select a BUG ID")</f>
        <v>please select a BUG ID</v>
      </c>
      <c r="C1459" s="51" t="str">
        <f>IFERROR(SUBSTITUTE(VLOOKUP(A1459,Internal_lists_bugs!$A$2:$G2031,7,FALSE()),"nova/commit","nova/src/commit"),"please select a BUG ID")</f>
        <v>please select a BUG ID</v>
      </c>
      <c r="D1459" s="54"/>
      <c r="F1459" s="54"/>
      <c r="H1459" s="114"/>
      <c r="J1459" s="183" t="str">
        <f>IFERROR(VLOOKUP(A1459,Internal_lists_bugs!$A$2:$I2031,9,FALSE()),"please select a BUG ID")</f>
        <v>please select a BUG ID</v>
      </c>
    </row>
    <row r="1460">
      <c r="A1460" s="54"/>
      <c r="B1460" s="71" t="str">
        <f>IFERROR(HYPERLINK(VLOOKUP(A1460,Internal_lists_bugs!$A$2:$C$73,3,FALSE()), VLOOKUP(A1460,Internal_lists_bugs!$A$2:$C$73,3,FALSE())&amp;Char(10) &amp; Char(10) &amp; VLOOKUP(A1460,Internal_lists_bugs!$A$2:$Z$73,26,FALSE())),"please select a BUG ID")</f>
        <v>please select a BUG ID</v>
      </c>
      <c r="C1460" s="51" t="str">
        <f>IFERROR(SUBSTITUTE(VLOOKUP(A1460,Internal_lists_bugs!$A$2:$G2031,7,FALSE()),"nova/commit","nova/src/commit"),"please select a BUG ID")</f>
        <v>please select a BUG ID</v>
      </c>
      <c r="D1460" s="54"/>
      <c r="F1460" s="54"/>
      <c r="H1460" s="114"/>
      <c r="J1460" s="183" t="str">
        <f>IFERROR(VLOOKUP(A1460,Internal_lists_bugs!$A$2:$I2031,9,FALSE()),"please select a BUG ID")</f>
        <v>please select a BUG ID</v>
      </c>
    </row>
    <row r="1461">
      <c r="A1461" s="54"/>
      <c r="B1461" s="71" t="str">
        <f>IFERROR(HYPERLINK(VLOOKUP(A1461,Internal_lists_bugs!$A$2:$C$73,3,FALSE()), VLOOKUP(A1461,Internal_lists_bugs!$A$2:$C$73,3,FALSE())&amp;Char(10) &amp; Char(10) &amp; VLOOKUP(A1461,Internal_lists_bugs!$A$2:$Z$73,26,FALSE())),"please select a BUG ID")</f>
        <v>please select a BUG ID</v>
      </c>
      <c r="C1461" s="51" t="str">
        <f>IFERROR(SUBSTITUTE(VLOOKUP(A1461,Internal_lists_bugs!$A$2:$G2031,7,FALSE()),"nova/commit","nova/src/commit"),"please select a BUG ID")</f>
        <v>please select a BUG ID</v>
      </c>
      <c r="D1461" s="54"/>
      <c r="F1461" s="54"/>
      <c r="H1461" s="114"/>
      <c r="J1461" s="183" t="str">
        <f>IFERROR(VLOOKUP(A1461,Internal_lists_bugs!$A$2:$I2031,9,FALSE()),"please select a BUG ID")</f>
        <v>please select a BUG ID</v>
      </c>
    </row>
    <row r="1462">
      <c r="A1462" s="54"/>
      <c r="B1462" s="71" t="str">
        <f>IFERROR(HYPERLINK(VLOOKUP(A1462,Internal_lists_bugs!$A$2:$C$73,3,FALSE()), VLOOKUP(A1462,Internal_lists_bugs!$A$2:$C$73,3,FALSE())&amp;Char(10) &amp; Char(10) &amp; VLOOKUP(A1462,Internal_lists_bugs!$A$2:$Z$73,26,FALSE())),"please select a BUG ID")</f>
        <v>please select a BUG ID</v>
      </c>
      <c r="C1462" s="51" t="str">
        <f>IFERROR(SUBSTITUTE(VLOOKUP(A1462,Internal_lists_bugs!$A$2:$G2031,7,FALSE()),"nova/commit","nova/src/commit"),"please select a BUG ID")</f>
        <v>please select a BUG ID</v>
      </c>
      <c r="D1462" s="54"/>
      <c r="F1462" s="54"/>
      <c r="H1462" s="114"/>
      <c r="J1462" s="183" t="str">
        <f>IFERROR(VLOOKUP(A1462,Internal_lists_bugs!$A$2:$I2031,9,FALSE()),"please select a BUG ID")</f>
        <v>please select a BUG ID</v>
      </c>
    </row>
    <row r="1463">
      <c r="A1463" s="54"/>
      <c r="B1463" s="71" t="str">
        <f>IFERROR(HYPERLINK(VLOOKUP(A1463,Internal_lists_bugs!$A$2:$C$73,3,FALSE()), VLOOKUP(A1463,Internal_lists_bugs!$A$2:$C$73,3,FALSE())&amp;Char(10) &amp; Char(10) &amp; VLOOKUP(A1463,Internal_lists_bugs!$A$2:$Z$73,26,FALSE())),"please select a BUG ID")</f>
        <v>please select a BUG ID</v>
      </c>
      <c r="C1463" s="51" t="str">
        <f>IFERROR(SUBSTITUTE(VLOOKUP(A1463,Internal_lists_bugs!$A$2:$G2031,7,FALSE()),"nova/commit","nova/src/commit"),"please select a BUG ID")</f>
        <v>please select a BUG ID</v>
      </c>
      <c r="D1463" s="54"/>
      <c r="F1463" s="54"/>
      <c r="H1463" s="114"/>
      <c r="J1463" s="183" t="str">
        <f>IFERROR(VLOOKUP(A1463,Internal_lists_bugs!$A$2:$I2031,9,FALSE()),"please select a BUG ID")</f>
        <v>please select a BUG ID</v>
      </c>
    </row>
    <row r="1464">
      <c r="A1464" s="54"/>
      <c r="B1464" s="71" t="str">
        <f>IFERROR(HYPERLINK(VLOOKUP(A1464,Internal_lists_bugs!$A$2:$C$73,3,FALSE()), VLOOKUP(A1464,Internal_lists_bugs!$A$2:$C$73,3,FALSE())&amp;Char(10) &amp; Char(10) &amp; VLOOKUP(A1464,Internal_lists_bugs!$A$2:$Z$73,26,FALSE())),"please select a BUG ID")</f>
        <v>please select a BUG ID</v>
      </c>
      <c r="C1464" s="51" t="str">
        <f>IFERROR(SUBSTITUTE(VLOOKUP(A1464,Internal_lists_bugs!$A$2:$G2031,7,FALSE()),"nova/commit","nova/src/commit"),"please select a BUG ID")</f>
        <v>please select a BUG ID</v>
      </c>
      <c r="D1464" s="54"/>
      <c r="F1464" s="54"/>
      <c r="H1464" s="114"/>
      <c r="J1464" s="183" t="str">
        <f>IFERROR(VLOOKUP(A1464,Internal_lists_bugs!$A$2:$I2031,9,FALSE()),"please select a BUG ID")</f>
        <v>please select a BUG ID</v>
      </c>
    </row>
    <row r="1465">
      <c r="A1465" s="54"/>
      <c r="B1465" s="71" t="str">
        <f>IFERROR(HYPERLINK(VLOOKUP(A1465,Internal_lists_bugs!$A$2:$C$73,3,FALSE()), VLOOKUP(A1465,Internal_lists_bugs!$A$2:$C$73,3,FALSE())&amp;Char(10) &amp; Char(10) &amp; VLOOKUP(A1465,Internal_lists_bugs!$A$2:$Z$73,26,FALSE())),"please select a BUG ID")</f>
        <v>please select a BUG ID</v>
      </c>
      <c r="C1465" s="51" t="str">
        <f>IFERROR(SUBSTITUTE(VLOOKUP(A1465,Internal_lists_bugs!$A$2:$G2031,7,FALSE()),"nova/commit","nova/src/commit"),"please select a BUG ID")</f>
        <v>please select a BUG ID</v>
      </c>
      <c r="D1465" s="54"/>
      <c r="F1465" s="54"/>
      <c r="H1465" s="114"/>
      <c r="J1465" s="183" t="str">
        <f>IFERROR(VLOOKUP(A1465,Internal_lists_bugs!$A$2:$I2031,9,FALSE()),"please select a BUG ID")</f>
        <v>please select a BUG ID</v>
      </c>
    </row>
    <row r="1466">
      <c r="A1466" s="54"/>
      <c r="B1466" s="71" t="str">
        <f>IFERROR(HYPERLINK(VLOOKUP(A1466,Internal_lists_bugs!$A$2:$C$73,3,FALSE()), VLOOKUP(A1466,Internal_lists_bugs!$A$2:$C$73,3,FALSE())&amp;Char(10) &amp; Char(10) &amp; VLOOKUP(A1466,Internal_lists_bugs!$A$2:$Z$73,26,FALSE())),"please select a BUG ID")</f>
        <v>please select a BUG ID</v>
      </c>
      <c r="C1466" s="51" t="str">
        <f>IFERROR(SUBSTITUTE(VLOOKUP(A1466,Internal_lists_bugs!$A$2:$G2031,7,FALSE()),"nova/commit","nova/src/commit"),"please select a BUG ID")</f>
        <v>please select a BUG ID</v>
      </c>
      <c r="D1466" s="54"/>
      <c r="F1466" s="54"/>
      <c r="H1466" s="114"/>
      <c r="J1466" s="183" t="str">
        <f>IFERROR(VLOOKUP(A1466,Internal_lists_bugs!$A$2:$I2031,9,FALSE()),"please select a BUG ID")</f>
        <v>please select a BUG ID</v>
      </c>
    </row>
    <row r="1467">
      <c r="A1467" s="54"/>
      <c r="B1467" s="71" t="str">
        <f>IFERROR(HYPERLINK(VLOOKUP(A1467,Internal_lists_bugs!$A$2:$C$73,3,FALSE()), VLOOKUP(A1467,Internal_lists_bugs!$A$2:$C$73,3,FALSE())&amp;Char(10) &amp; Char(10) &amp; VLOOKUP(A1467,Internal_lists_bugs!$A$2:$Z$73,26,FALSE())),"please select a BUG ID")</f>
        <v>please select a BUG ID</v>
      </c>
      <c r="C1467" s="51" t="str">
        <f>IFERROR(SUBSTITUTE(VLOOKUP(A1467,Internal_lists_bugs!$A$2:$G2031,7,FALSE()),"nova/commit","nova/src/commit"),"please select a BUG ID")</f>
        <v>please select a BUG ID</v>
      </c>
      <c r="D1467" s="54"/>
      <c r="F1467" s="54"/>
      <c r="H1467" s="114"/>
      <c r="J1467" s="183" t="str">
        <f>IFERROR(VLOOKUP(A1467,Internal_lists_bugs!$A$2:$I2031,9,FALSE()),"please select a BUG ID")</f>
        <v>please select a BUG ID</v>
      </c>
    </row>
    <row r="1468">
      <c r="A1468" s="54"/>
      <c r="B1468" s="71" t="str">
        <f>IFERROR(HYPERLINK(VLOOKUP(A1468,Internal_lists_bugs!$A$2:$C$73,3,FALSE()), VLOOKUP(A1468,Internal_lists_bugs!$A$2:$C$73,3,FALSE())&amp;Char(10) &amp; Char(10) &amp; VLOOKUP(A1468,Internal_lists_bugs!$A$2:$Z$73,26,FALSE())),"please select a BUG ID")</f>
        <v>please select a BUG ID</v>
      </c>
      <c r="C1468" s="51" t="str">
        <f>IFERROR(SUBSTITUTE(VLOOKUP(A1468,Internal_lists_bugs!$A$2:$G2031,7,FALSE()),"nova/commit","nova/src/commit"),"please select a BUG ID")</f>
        <v>please select a BUG ID</v>
      </c>
      <c r="D1468" s="54"/>
      <c r="F1468" s="54"/>
      <c r="H1468" s="114"/>
      <c r="J1468" s="183" t="str">
        <f>IFERROR(VLOOKUP(A1468,Internal_lists_bugs!$A$2:$I2031,9,FALSE()),"please select a BUG ID")</f>
        <v>please select a BUG ID</v>
      </c>
    </row>
    <row r="1469">
      <c r="A1469" s="54"/>
      <c r="B1469" s="71" t="str">
        <f>IFERROR(HYPERLINK(VLOOKUP(A1469,Internal_lists_bugs!$A$2:$C$73,3,FALSE()), VLOOKUP(A1469,Internal_lists_bugs!$A$2:$C$73,3,FALSE())&amp;Char(10) &amp; Char(10) &amp; VLOOKUP(A1469,Internal_lists_bugs!$A$2:$Z$73,26,FALSE())),"please select a BUG ID")</f>
        <v>please select a BUG ID</v>
      </c>
      <c r="C1469" s="51" t="str">
        <f>IFERROR(SUBSTITUTE(VLOOKUP(A1469,Internal_lists_bugs!$A$2:$G2031,7,FALSE()),"nova/commit","nova/src/commit"),"please select a BUG ID")</f>
        <v>please select a BUG ID</v>
      </c>
      <c r="D1469" s="54"/>
      <c r="F1469" s="54"/>
      <c r="H1469" s="114"/>
      <c r="J1469" s="183" t="str">
        <f>IFERROR(VLOOKUP(A1469,Internal_lists_bugs!$A$2:$I2031,9,FALSE()),"please select a BUG ID")</f>
        <v>please select a BUG ID</v>
      </c>
    </row>
    <row r="1470">
      <c r="A1470" s="54"/>
      <c r="B1470" s="71" t="str">
        <f>IFERROR(HYPERLINK(VLOOKUP(A1470,Internal_lists_bugs!$A$2:$C$73,3,FALSE()), VLOOKUP(A1470,Internal_lists_bugs!$A$2:$C$73,3,FALSE())&amp;Char(10) &amp; Char(10) &amp; VLOOKUP(A1470,Internal_lists_bugs!$A$2:$Z$73,26,FALSE())),"please select a BUG ID")</f>
        <v>please select a BUG ID</v>
      </c>
      <c r="C1470" s="51" t="str">
        <f>IFERROR(SUBSTITUTE(VLOOKUP(A1470,Internal_lists_bugs!$A$2:$G2031,7,FALSE()),"nova/commit","nova/src/commit"),"please select a BUG ID")</f>
        <v>please select a BUG ID</v>
      </c>
      <c r="D1470" s="54"/>
      <c r="F1470" s="54"/>
      <c r="H1470" s="114"/>
      <c r="J1470" s="183" t="str">
        <f>IFERROR(VLOOKUP(A1470,Internal_lists_bugs!$A$2:$I2031,9,FALSE()),"please select a BUG ID")</f>
        <v>please select a BUG ID</v>
      </c>
    </row>
    <row r="1471">
      <c r="A1471" s="54"/>
      <c r="B1471" s="71" t="str">
        <f>IFERROR(HYPERLINK(VLOOKUP(A1471,Internal_lists_bugs!$A$2:$C$73,3,FALSE()), VLOOKUP(A1471,Internal_lists_bugs!$A$2:$C$73,3,FALSE())&amp;Char(10) &amp; Char(10) &amp; VLOOKUP(A1471,Internal_lists_bugs!$A$2:$Z$73,26,FALSE())),"please select a BUG ID")</f>
        <v>please select a BUG ID</v>
      </c>
      <c r="C1471" s="51" t="str">
        <f>IFERROR(SUBSTITUTE(VLOOKUP(A1471,Internal_lists_bugs!$A$2:$G2031,7,FALSE()),"nova/commit","nova/src/commit"),"please select a BUG ID")</f>
        <v>please select a BUG ID</v>
      </c>
      <c r="D1471" s="54"/>
      <c r="F1471" s="54"/>
      <c r="H1471" s="114"/>
      <c r="J1471" s="183" t="str">
        <f>IFERROR(VLOOKUP(A1471,Internal_lists_bugs!$A$2:$I2031,9,FALSE()),"please select a BUG ID")</f>
        <v>please select a BUG ID</v>
      </c>
    </row>
    <row r="1472">
      <c r="A1472" s="54"/>
      <c r="B1472" s="71" t="str">
        <f>IFERROR(HYPERLINK(VLOOKUP(A1472,Internal_lists_bugs!$A$2:$C$73,3,FALSE()), VLOOKUP(A1472,Internal_lists_bugs!$A$2:$C$73,3,FALSE())&amp;Char(10) &amp; Char(10) &amp; VLOOKUP(A1472,Internal_lists_bugs!$A$2:$Z$73,26,FALSE())),"please select a BUG ID")</f>
        <v>please select a BUG ID</v>
      </c>
      <c r="C1472" s="51" t="str">
        <f>IFERROR(SUBSTITUTE(VLOOKUP(A1472,Internal_lists_bugs!$A$2:$G2031,7,FALSE()),"nova/commit","nova/src/commit"),"please select a BUG ID")</f>
        <v>please select a BUG ID</v>
      </c>
      <c r="D1472" s="54"/>
      <c r="F1472" s="54"/>
      <c r="H1472" s="114"/>
      <c r="J1472" s="183" t="str">
        <f>IFERROR(VLOOKUP(A1472,Internal_lists_bugs!$A$2:$I2031,9,FALSE()),"please select a BUG ID")</f>
        <v>please select a BUG ID</v>
      </c>
    </row>
    <row r="1473">
      <c r="A1473" s="54"/>
      <c r="B1473" s="71" t="str">
        <f>IFERROR(HYPERLINK(VLOOKUP(A1473,Internal_lists_bugs!$A$2:$C$73,3,FALSE()), VLOOKUP(A1473,Internal_lists_bugs!$A$2:$C$73,3,FALSE())&amp;Char(10) &amp; Char(10) &amp; VLOOKUP(A1473,Internal_lists_bugs!$A$2:$Z$73,26,FALSE())),"please select a BUG ID")</f>
        <v>please select a BUG ID</v>
      </c>
      <c r="C1473" s="51" t="str">
        <f>IFERROR(SUBSTITUTE(VLOOKUP(A1473,Internal_lists_bugs!$A$2:$G2031,7,FALSE()),"nova/commit","nova/src/commit"),"please select a BUG ID")</f>
        <v>please select a BUG ID</v>
      </c>
      <c r="D1473" s="54"/>
      <c r="F1473" s="54"/>
      <c r="H1473" s="114"/>
      <c r="J1473" s="183" t="str">
        <f>IFERROR(VLOOKUP(A1473,Internal_lists_bugs!$A$2:$I2031,9,FALSE()),"please select a BUG ID")</f>
        <v>please select a BUG ID</v>
      </c>
    </row>
    <row r="1474">
      <c r="A1474" s="54"/>
      <c r="B1474" s="71" t="str">
        <f>IFERROR(HYPERLINK(VLOOKUP(A1474,Internal_lists_bugs!$A$2:$C$73,3,FALSE()), VLOOKUP(A1474,Internal_lists_bugs!$A$2:$C$73,3,FALSE())&amp;Char(10) &amp; Char(10) &amp; VLOOKUP(A1474,Internal_lists_bugs!$A$2:$Z$73,26,FALSE())),"please select a BUG ID")</f>
        <v>please select a BUG ID</v>
      </c>
      <c r="C1474" s="51" t="str">
        <f>IFERROR(SUBSTITUTE(VLOOKUP(A1474,Internal_lists_bugs!$A$2:$G2031,7,FALSE()),"nova/commit","nova/src/commit"),"please select a BUG ID")</f>
        <v>please select a BUG ID</v>
      </c>
      <c r="D1474" s="54"/>
      <c r="F1474" s="54"/>
      <c r="H1474" s="114"/>
      <c r="J1474" s="183" t="str">
        <f>IFERROR(VLOOKUP(A1474,Internal_lists_bugs!$A$2:$I2031,9,FALSE()),"please select a BUG ID")</f>
        <v>please select a BUG ID</v>
      </c>
    </row>
    <row r="1475">
      <c r="A1475" s="54"/>
      <c r="B1475" s="71" t="str">
        <f>IFERROR(HYPERLINK(VLOOKUP(A1475,Internal_lists_bugs!$A$2:$C$73,3,FALSE()), VLOOKUP(A1475,Internal_lists_bugs!$A$2:$C$73,3,FALSE())&amp;Char(10) &amp; Char(10) &amp; VLOOKUP(A1475,Internal_lists_bugs!$A$2:$Z$73,26,FALSE())),"please select a BUG ID")</f>
        <v>please select a BUG ID</v>
      </c>
      <c r="C1475" s="51" t="str">
        <f>IFERROR(SUBSTITUTE(VLOOKUP(A1475,Internal_lists_bugs!$A$2:$G2031,7,FALSE()),"nova/commit","nova/src/commit"),"please select a BUG ID")</f>
        <v>please select a BUG ID</v>
      </c>
      <c r="D1475" s="54"/>
      <c r="F1475" s="54"/>
      <c r="H1475" s="114"/>
      <c r="J1475" s="183" t="str">
        <f>IFERROR(VLOOKUP(A1475,Internal_lists_bugs!$A$2:$I2031,9,FALSE()),"please select a BUG ID")</f>
        <v>please select a BUG ID</v>
      </c>
    </row>
    <row r="1476">
      <c r="A1476" s="54"/>
      <c r="B1476" s="71" t="str">
        <f>IFERROR(HYPERLINK(VLOOKUP(A1476,Internal_lists_bugs!$A$2:$C$73,3,FALSE()), VLOOKUP(A1476,Internal_lists_bugs!$A$2:$C$73,3,FALSE())&amp;Char(10) &amp; Char(10) &amp; VLOOKUP(A1476,Internal_lists_bugs!$A$2:$Z$73,26,FALSE())),"please select a BUG ID")</f>
        <v>please select a BUG ID</v>
      </c>
      <c r="C1476" s="51" t="str">
        <f>IFERROR(SUBSTITUTE(VLOOKUP(A1476,Internal_lists_bugs!$A$2:$G2031,7,FALSE()),"nova/commit","nova/src/commit"),"please select a BUG ID")</f>
        <v>please select a BUG ID</v>
      </c>
      <c r="D1476" s="54"/>
      <c r="F1476" s="54"/>
      <c r="H1476" s="114"/>
      <c r="J1476" s="183" t="str">
        <f>IFERROR(VLOOKUP(A1476,Internal_lists_bugs!$A$2:$I2031,9,FALSE()),"please select a BUG ID")</f>
        <v>please select a BUG ID</v>
      </c>
    </row>
    <row r="1477">
      <c r="A1477" s="54"/>
      <c r="B1477" s="71" t="str">
        <f>IFERROR(HYPERLINK(VLOOKUP(A1477,Internal_lists_bugs!$A$2:$C$73,3,FALSE()), VLOOKUP(A1477,Internal_lists_bugs!$A$2:$C$73,3,FALSE())&amp;Char(10) &amp; Char(10) &amp; VLOOKUP(A1477,Internal_lists_bugs!$A$2:$Z$73,26,FALSE())),"please select a BUG ID")</f>
        <v>please select a BUG ID</v>
      </c>
      <c r="C1477" s="51" t="str">
        <f>IFERROR(SUBSTITUTE(VLOOKUP(A1477,Internal_lists_bugs!$A$2:$G2031,7,FALSE()),"nova/commit","nova/src/commit"),"please select a BUG ID")</f>
        <v>please select a BUG ID</v>
      </c>
      <c r="D1477" s="54"/>
      <c r="F1477" s="54"/>
      <c r="H1477" s="114"/>
      <c r="J1477" s="183" t="str">
        <f>IFERROR(VLOOKUP(A1477,Internal_lists_bugs!$A$2:$I2031,9,FALSE()),"please select a BUG ID")</f>
        <v>please select a BUG ID</v>
      </c>
    </row>
    <row r="1478">
      <c r="A1478" s="54"/>
      <c r="B1478" s="71" t="str">
        <f>IFERROR(HYPERLINK(VLOOKUP(A1478,Internal_lists_bugs!$A$2:$C$73,3,FALSE()), VLOOKUP(A1478,Internal_lists_bugs!$A$2:$C$73,3,FALSE())&amp;Char(10) &amp; Char(10) &amp; VLOOKUP(A1478,Internal_lists_bugs!$A$2:$Z$73,26,FALSE())),"please select a BUG ID")</f>
        <v>please select a BUG ID</v>
      </c>
      <c r="C1478" s="51" t="str">
        <f>IFERROR(SUBSTITUTE(VLOOKUP(A1478,Internal_lists_bugs!$A$2:$G2031,7,FALSE()),"nova/commit","nova/src/commit"),"please select a BUG ID")</f>
        <v>please select a BUG ID</v>
      </c>
      <c r="D1478" s="54"/>
      <c r="F1478" s="54"/>
      <c r="H1478" s="114"/>
      <c r="J1478" s="183" t="str">
        <f>IFERROR(VLOOKUP(A1478,Internal_lists_bugs!$A$2:$I2031,9,FALSE()),"please select a BUG ID")</f>
        <v>please select a BUG ID</v>
      </c>
    </row>
    <row r="1479">
      <c r="A1479" s="54"/>
      <c r="B1479" s="71" t="str">
        <f>IFERROR(HYPERLINK(VLOOKUP(A1479,Internal_lists_bugs!$A$2:$C$73,3,FALSE()), VLOOKUP(A1479,Internal_lists_bugs!$A$2:$C$73,3,FALSE())&amp;Char(10) &amp; Char(10) &amp; VLOOKUP(A1479,Internal_lists_bugs!$A$2:$Z$73,26,FALSE())),"please select a BUG ID")</f>
        <v>please select a BUG ID</v>
      </c>
      <c r="C1479" s="51" t="str">
        <f>IFERROR(SUBSTITUTE(VLOOKUP(A1479,Internal_lists_bugs!$A$2:$G2031,7,FALSE()),"nova/commit","nova/src/commit"),"please select a BUG ID")</f>
        <v>please select a BUG ID</v>
      </c>
      <c r="D1479" s="54"/>
      <c r="F1479" s="54"/>
      <c r="H1479" s="114"/>
      <c r="J1479" s="183" t="str">
        <f>IFERROR(VLOOKUP(A1479,Internal_lists_bugs!$A$2:$I2031,9,FALSE()),"please select a BUG ID")</f>
        <v>please select a BUG ID</v>
      </c>
    </row>
    <row r="1480">
      <c r="A1480" s="54"/>
      <c r="B1480" s="71" t="str">
        <f>IFERROR(HYPERLINK(VLOOKUP(A1480,Internal_lists_bugs!$A$2:$C$73,3,FALSE()), VLOOKUP(A1480,Internal_lists_bugs!$A$2:$C$73,3,FALSE())&amp;Char(10) &amp; Char(10) &amp; VLOOKUP(A1480,Internal_lists_bugs!$A$2:$Z$73,26,FALSE())),"please select a BUG ID")</f>
        <v>please select a BUG ID</v>
      </c>
      <c r="C1480" s="51" t="str">
        <f>IFERROR(SUBSTITUTE(VLOOKUP(A1480,Internal_lists_bugs!$A$2:$G2031,7,FALSE()),"nova/commit","nova/src/commit"),"please select a BUG ID")</f>
        <v>please select a BUG ID</v>
      </c>
      <c r="D1480" s="54"/>
      <c r="F1480" s="54"/>
      <c r="H1480" s="114"/>
      <c r="J1480" s="183" t="str">
        <f>IFERROR(VLOOKUP(A1480,Internal_lists_bugs!$A$2:$I2031,9,FALSE()),"please select a BUG ID")</f>
        <v>please select a BUG ID</v>
      </c>
    </row>
    <row r="1481">
      <c r="A1481" s="54"/>
      <c r="B1481" s="71" t="str">
        <f>IFERROR(HYPERLINK(VLOOKUP(A1481,Internal_lists_bugs!$A$2:$C$73,3,FALSE()), VLOOKUP(A1481,Internal_lists_bugs!$A$2:$C$73,3,FALSE())&amp;Char(10) &amp; Char(10) &amp; VLOOKUP(A1481,Internal_lists_bugs!$A$2:$Z$73,26,FALSE())),"please select a BUG ID")</f>
        <v>please select a BUG ID</v>
      </c>
      <c r="C1481" s="51" t="str">
        <f>IFERROR(SUBSTITUTE(VLOOKUP(A1481,Internal_lists_bugs!$A$2:$G2031,7,FALSE()),"nova/commit","nova/src/commit"),"please select a BUG ID")</f>
        <v>please select a BUG ID</v>
      </c>
      <c r="D1481" s="54"/>
      <c r="F1481" s="54"/>
      <c r="H1481" s="114"/>
      <c r="J1481" s="183" t="str">
        <f>IFERROR(VLOOKUP(A1481,Internal_lists_bugs!$A$2:$I2031,9,FALSE()),"please select a BUG ID")</f>
        <v>please select a BUG ID</v>
      </c>
    </row>
    <row r="1482">
      <c r="A1482" s="54"/>
      <c r="B1482" s="71" t="str">
        <f>IFERROR(HYPERLINK(VLOOKUP(A1482,Internal_lists_bugs!$A$2:$C$73,3,FALSE()), VLOOKUP(A1482,Internal_lists_bugs!$A$2:$C$73,3,FALSE())&amp;Char(10) &amp; Char(10) &amp; VLOOKUP(A1482,Internal_lists_bugs!$A$2:$Z$73,26,FALSE())),"please select a BUG ID")</f>
        <v>please select a BUG ID</v>
      </c>
      <c r="C1482" s="51" t="str">
        <f>IFERROR(SUBSTITUTE(VLOOKUP(A1482,Internal_lists_bugs!$A$2:$G2031,7,FALSE()),"nova/commit","nova/src/commit"),"please select a BUG ID")</f>
        <v>please select a BUG ID</v>
      </c>
      <c r="D1482" s="54"/>
      <c r="F1482" s="54"/>
      <c r="H1482" s="114"/>
      <c r="J1482" s="183" t="str">
        <f>IFERROR(VLOOKUP(A1482,Internal_lists_bugs!$A$2:$I2031,9,FALSE()),"please select a BUG ID")</f>
        <v>please select a BUG ID</v>
      </c>
    </row>
    <row r="1483">
      <c r="A1483" s="54"/>
      <c r="B1483" s="71" t="str">
        <f>IFERROR(HYPERLINK(VLOOKUP(A1483,Internal_lists_bugs!$A$2:$C$73,3,FALSE()), VLOOKUP(A1483,Internal_lists_bugs!$A$2:$C$73,3,FALSE())&amp;Char(10) &amp; Char(10) &amp; VLOOKUP(A1483,Internal_lists_bugs!$A$2:$Z$73,26,FALSE())),"please select a BUG ID")</f>
        <v>please select a BUG ID</v>
      </c>
      <c r="C1483" s="51" t="str">
        <f>IFERROR(SUBSTITUTE(VLOOKUP(A1483,Internal_lists_bugs!$A$2:$G2031,7,FALSE()),"nova/commit","nova/src/commit"),"please select a BUG ID")</f>
        <v>please select a BUG ID</v>
      </c>
      <c r="D1483" s="54"/>
      <c r="F1483" s="54"/>
      <c r="H1483" s="114"/>
      <c r="J1483" s="183" t="str">
        <f>IFERROR(VLOOKUP(A1483,Internal_lists_bugs!$A$2:$I2031,9,FALSE()),"please select a BUG ID")</f>
        <v>please select a BUG ID</v>
      </c>
    </row>
    <row r="1484">
      <c r="A1484" s="54"/>
      <c r="B1484" s="71" t="str">
        <f>IFERROR(HYPERLINK(VLOOKUP(A1484,Internal_lists_bugs!$A$2:$C$73,3,FALSE()), VLOOKUP(A1484,Internal_lists_bugs!$A$2:$C$73,3,FALSE())&amp;Char(10) &amp; Char(10) &amp; VLOOKUP(A1484,Internal_lists_bugs!$A$2:$Z$73,26,FALSE())),"please select a BUG ID")</f>
        <v>please select a BUG ID</v>
      </c>
      <c r="C1484" s="51" t="str">
        <f>IFERROR(SUBSTITUTE(VLOOKUP(A1484,Internal_lists_bugs!$A$2:$G2031,7,FALSE()),"nova/commit","nova/src/commit"),"please select a BUG ID")</f>
        <v>please select a BUG ID</v>
      </c>
      <c r="D1484" s="54"/>
      <c r="F1484" s="54"/>
      <c r="H1484" s="114"/>
      <c r="J1484" s="183" t="str">
        <f>IFERROR(VLOOKUP(A1484,Internal_lists_bugs!$A$2:$I2031,9,FALSE()),"please select a BUG ID")</f>
        <v>please select a BUG ID</v>
      </c>
    </row>
    <row r="1485">
      <c r="A1485" s="54"/>
      <c r="B1485" s="71" t="str">
        <f>IFERROR(HYPERLINK(VLOOKUP(A1485,Internal_lists_bugs!$A$2:$C$73,3,FALSE()), VLOOKUP(A1485,Internal_lists_bugs!$A$2:$C$73,3,FALSE())&amp;Char(10) &amp; Char(10) &amp; VLOOKUP(A1485,Internal_lists_bugs!$A$2:$Z$73,26,FALSE())),"please select a BUG ID")</f>
        <v>please select a BUG ID</v>
      </c>
      <c r="C1485" s="51" t="str">
        <f>IFERROR(SUBSTITUTE(VLOOKUP(A1485,Internal_lists_bugs!$A$2:$G2031,7,FALSE()),"nova/commit","nova/src/commit"),"please select a BUG ID")</f>
        <v>please select a BUG ID</v>
      </c>
      <c r="D1485" s="54"/>
      <c r="F1485" s="54"/>
      <c r="H1485" s="114"/>
      <c r="J1485" s="183" t="str">
        <f>IFERROR(VLOOKUP(A1485,Internal_lists_bugs!$A$2:$I2031,9,FALSE()),"please select a BUG ID")</f>
        <v>please select a BUG ID</v>
      </c>
    </row>
    <row r="1486">
      <c r="A1486" s="54"/>
      <c r="B1486" s="71" t="str">
        <f>IFERROR(HYPERLINK(VLOOKUP(A1486,Internal_lists_bugs!$A$2:$C$73,3,FALSE()), VLOOKUP(A1486,Internal_lists_bugs!$A$2:$C$73,3,FALSE())&amp;Char(10) &amp; Char(10) &amp; VLOOKUP(A1486,Internal_lists_bugs!$A$2:$Z$73,26,FALSE())),"please select a BUG ID")</f>
        <v>please select a BUG ID</v>
      </c>
      <c r="C1486" s="51" t="str">
        <f>IFERROR(SUBSTITUTE(VLOOKUP(A1486,Internal_lists_bugs!$A$2:$G2031,7,FALSE()),"nova/commit","nova/src/commit"),"please select a BUG ID")</f>
        <v>please select a BUG ID</v>
      </c>
      <c r="D1486" s="54"/>
      <c r="F1486" s="54"/>
      <c r="H1486" s="114"/>
      <c r="J1486" s="183" t="str">
        <f>IFERROR(VLOOKUP(A1486,Internal_lists_bugs!$A$2:$I2031,9,FALSE()),"please select a BUG ID")</f>
        <v>please select a BUG ID</v>
      </c>
    </row>
    <row r="1487">
      <c r="A1487" s="54"/>
      <c r="B1487" s="71" t="str">
        <f>IFERROR(HYPERLINK(VLOOKUP(A1487,Internal_lists_bugs!$A$2:$C$73,3,FALSE()), VLOOKUP(A1487,Internal_lists_bugs!$A$2:$C$73,3,FALSE())&amp;Char(10) &amp; Char(10) &amp; VLOOKUP(A1487,Internal_lists_bugs!$A$2:$Z$73,26,FALSE())),"please select a BUG ID")</f>
        <v>please select a BUG ID</v>
      </c>
      <c r="C1487" s="51" t="str">
        <f>IFERROR(SUBSTITUTE(VLOOKUP(A1487,Internal_lists_bugs!$A$2:$G2031,7,FALSE()),"nova/commit","nova/src/commit"),"please select a BUG ID")</f>
        <v>please select a BUG ID</v>
      </c>
      <c r="D1487" s="54"/>
      <c r="F1487" s="54"/>
      <c r="H1487" s="114"/>
      <c r="J1487" s="183" t="str">
        <f>IFERROR(VLOOKUP(A1487,Internal_lists_bugs!$A$2:$I2031,9,FALSE()),"please select a BUG ID")</f>
        <v>please select a BUG ID</v>
      </c>
    </row>
    <row r="1488">
      <c r="A1488" s="54"/>
      <c r="B1488" s="71" t="str">
        <f>IFERROR(HYPERLINK(VLOOKUP(A1488,Internal_lists_bugs!$A$2:$C$73,3,FALSE()), VLOOKUP(A1488,Internal_lists_bugs!$A$2:$C$73,3,FALSE())&amp;Char(10) &amp; Char(10) &amp; VLOOKUP(A1488,Internal_lists_bugs!$A$2:$Z$73,26,FALSE())),"please select a BUG ID")</f>
        <v>please select a BUG ID</v>
      </c>
      <c r="C1488" s="51" t="str">
        <f>IFERROR(SUBSTITUTE(VLOOKUP(A1488,Internal_lists_bugs!$A$2:$G2031,7,FALSE()),"nova/commit","nova/src/commit"),"please select a BUG ID")</f>
        <v>please select a BUG ID</v>
      </c>
      <c r="D1488" s="54"/>
      <c r="F1488" s="54"/>
      <c r="H1488" s="114"/>
      <c r="J1488" s="183" t="str">
        <f>IFERROR(VLOOKUP(A1488,Internal_lists_bugs!$A$2:$I2031,9,FALSE()),"please select a BUG ID")</f>
        <v>please select a BUG ID</v>
      </c>
    </row>
    <row r="1489">
      <c r="A1489" s="54"/>
      <c r="B1489" s="71" t="str">
        <f>IFERROR(HYPERLINK(VLOOKUP(A1489,Internal_lists_bugs!$A$2:$C$73,3,FALSE()), VLOOKUP(A1489,Internal_lists_bugs!$A$2:$C$73,3,FALSE())&amp;Char(10) &amp; Char(10) &amp; VLOOKUP(A1489,Internal_lists_bugs!$A$2:$Z$73,26,FALSE())),"please select a BUG ID")</f>
        <v>please select a BUG ID</v>
      </c>
      <c r="C1489" s="51" t="str">
        <f>IFERROR(SUBSTITUTE(VLOOKUP(A1489,Internal_lists_bugs!$A$2:$G2031,7,FALSE()),"nova/commit","nova/src/commit"),"please select a BUG ID")</f>
        <v>please select a BUG ID</v>
      </c>
      <c r="D1489" s="54"/>
      <c r="F1489" s="54"/>
      <c r="H1489" s="114"/>
      <c r="J1489" s="183" t="str">
        <f>IFERROR(VLOOKUP(A1489,Internal_lists_bugs!$A$2:$I2031,9,FALSE()),"please select a BUG ID")</f>
        <v>please select a BUG ID</v>
      </c>
    </row>
    <row r="1490">
      <c r="A1490" s="54"/>
      <c r="B1490" s="71" t="str">
        <f>IFERROR(HYPERLINK(VLOOKUP(A1490,Internal_lists_bugs!$A$2:$C$73,3,FALSE()), VLOOKUP(A1490,Internal_lists_bugs!$A$2:$C$73,3,FALSE())&amp;Char(10) &amp; Char(10) &amp; VLOOKUP(A1490,Internal_lists_bugs!$A$2:$Z$73,26,FALSE())),"please select a BUG ID")</f>
        <v>please select a BUG ID</v>
      </c>
      <c r="C1490" s="51" t="str">
        <f>IFERROR(SUBSTITUTE(VLOOKUP(A1490,Internal_lists_bugs!$A$2:$G2031,7,FALSE()),"nova/commit","nova/src/commit"),"please select a BUG ID")</f>
        <v>please select a BUG ID</v>
      </c>
      <c r="D1490" s="54"/>
      <c r="F1490" s="54"/>
      <c r="H1490" s="114"/>
      <c r="J1490" s="183" t="str">
        <f>IFERROR(VLOOKUP(A1490,Internal_lists_bugs!$A$2:$I2031,9,FALSE()),"please select a BUG ID")</f>
        <v>please select a BUG ID</v>
      </c>
    </row>
    <row r="1491">
      <c r="A1491" s="54"/>
      <c r="B1491" s="71" t="str">
        <f>IFERROR(HYPERLINK(VLOOKUP(A1491,Internal_lists_bugs!$A$2:$C$73,3,FALSE()), VLOOKUP(A1491,Internal_lists_bugs!$A$2:$C$73,3,FALSE())&amp;Char(10) &amp; Char(10) &amp; VLOOKUP(A1491,Internal_lists_bugs!$A$2:$Z$73,26,FALSE())),"please select a BUG ID")</f>
        <v>please select a BUG ID</v>
      </c>
      <c r="C1491" s="51" t="str">
        <f>IFERROR(SUBSTITUTE(VLOOKUP(A1491,Internal_lists_bugs!$A$2:$G2031,7,FALSE()),"nova/commit","nova/src/commit"),"please select a BUG ID")</f>
        <v>please select a BUG ID</v>
      </c>
      <c r="D1491" s="54"/>
      <c r="F1491" s="54"/>
      <c r="H1491" s="114"/>
      <c r="J1491" s="183" t="str">
        <f>IFERROR(VLOOKUP(A1491,Internal_lists_bugs!$A$2:$I2031,9,FALSE()),"please select a BUG ID")</f>
        <v>please select a BUG ID</v>
      </c>
    </row>
    <row r="1492">
      <c r="A1492" s="54"/>
      <c r="B1492" s="71" t="str">
        <f>IFERROR(HYPERLINK(VLOOKUP(A1492,Internal_lists_bugs!$A$2:$C$73,3,FALSE()), VLOOKUP(A1492,Internal_lists_bugs!$A$2:$C$73,3,FALSE())&amp;Char(10) &amp; Char(10) &amp; VLOOKUP(A1492,Internal_lists_bugs!$A$2:$Z$73,26,FALSE())),"please select a BUG ID")</f>
        <v>please select a BUG ID</v>
      </c>
      <c r="C1492" s="51" t="str">
        <f>IFERROR(SUBSTITUTE(VLOOKUP(A1492,Internal_lists_bugs!$A$2:$G2031,7,FALSE()),"nova/commit","nova/src/commit"),"please select a BUG ID")</f>
        <v>please select a BUG ID</v>
      </c>
      <c r="D1492" s="54"/>
      <c r="F1492" s="54"/>
      <c r="H1492" s="114"/>
      <c r="J1492" s="183" t="str">
        <f>IFERROR(VLOOKUP(A1492,Internal_lists_bugs!$A$2:$I2031,9,FALSE()),"please select a BUG ID")</f>
        <v>please select a BUG ID</v>
      </c>
    </row>
    <row r="1493">
      <c r="A1493" s="54"/>
      <c r="B1493" s="71" t="str">
        <f>IFERROR(HYPERLINK(VLOOKUP(A1493,Internal_lists_bugs!$A$2:$C$73,3,FALSE()), VLOOKUP(A1493,Internal_lists_bugs!$A$2:$C$73,3,FALSE())&amp;Char(10) &amp; Char(10) &amp; VLOOKUP(A1493,Internal_lists_bugs!$A$2:$Z$73,26,FALSE())),"please select a BUG ID")</f>
        <v>please select a BUG ID</v>
      </c>
      <c r="C1493" s="51" t="str">
        <f>IFERROR(SUBSTITUTE(VLOOKUP(A1493,Internal_lists_bugs!$A$2:$G2031,7,FALSE()),"nova/commit","nova/src/commit"),"please select a BUG ID")</f>
        <v>please select a BUG ID</v>
      </c>
      <c r="D1493" s="54"/>
      <c r="F1493" s="54"/>
      <c r="H1493" s="114"/>
      <c r="J1493" s="183" t="str">
        <f>IFERROR(VLOOKUP(A1493,Internal_lists_bugs!$A$2:$I2031,9,FALSE()),"please select a BUG ID")</f>
        <v>please select a BUG ID</v>
      </c>
    </row>
    <row r="1494">
      <c r="A1494" s="54"/>
      <c r="B1494" s="71" t="str">
        <f>IFERROR(HYPERLINK(VLOOKUP(A1494,Internal_lists_bugs!$A$2:$C$73,3,FALSE()), VLOOKUP(A1494,Internal_lists_bugs!$A$2:$C$73,3,FALSE())&amp;Char(10) &amp; Char(10) &amp; VLOOKUP(A1494,Internal_lists_bugs!$A$2:$Z$73,26,FALSE())),"please select a BUG ID")</f>
        <v>please select a BUG ID</v>
      </c>
      <c r="C1494" s="51" t="str">
        <f>IFERROR(SUBSTITUTE(VLOOKUP(A1494,Internal_lists_bugs!$A$2:$G2031,7,FALSE()),"nova/commit","nova/src/commit"),"please select a BUG ID")</f>
        <v>please select a BUG ID</v>
      </c>
      <c r="D1494" s="54"/>
      <c r="F1494" s="54"/>
      <c r="H1494" s="114"/>
      <c r="J1494" s="183" t="str">
        <f>IFERROR(VLOOKUP(A1494,Internal_lists_bugs!$A$2:$I2031,9,FALSE()),"please select a BUG ID")</f>
        <v>please select a BUG ID</v>
      </c>
    </row>
    <row r="1495">
      <c r="A1495" s="54"/>
      <c r="B1495" s="71" t="str">
        <f>IFERROR(HYPERLINK(VLOOKUP(A1495,Internal_lists_bugs!$A$2:$C$73,3,FALSE()), VLOOKUP(A1495,Internal_lists_bugs!$A$2:$C$73,3,FALSE())&amp;Char(10) &amp; Char(10) &amp; VLOOKUP(A1495,Internal_lists_bugs!$A$2:$Z$73,26,FALSE())),"please select a BUG ID")</f>
        <v>please select a BUG ID</v>
      </c>
      <c r="C1495" s="51" t="str">
        <f>IFERROR(SUBSTITUTE(VLOOKUP(A1495,Internal_lists_bugs!$A$2:$G2031,7,FALSE()),"nova/commit","nova/src/commit"),"please select a BUG ID")</f>
        <v>please select a BUG ID</v>
      </c>
      <c r="D1495" s="54"/>
      <c r="F1495" s="54"/>
      <c r="H1495" s="114"/>
      <c r="J1495" s="183" t="str">
        <f>IFERROR(VLOOKUP(A1495,Internal_lists_bugs!$A$2:$I2031,9,FALSE()),"please select a BUG ID")</f>
        <v>please select a BUG ID</v>
      </c>
    </row>
    <row r="1496">
      <c r="A1496" s="54"/>
      <c r="B1496" s="71" t="str">
        <f>IFERROR(HYPERLINK(VLOOKUP(A1496,Internal_lists_bugs!$A$2:$C$73,3,FALSE()), VLOOKUP(A1496,Internal_lists_bugs!$A$2:$C$73,3,FALSE())&amp;Char(10) &amp; Char(10) &amp; VLOOKUP(A1496,Internal_lists_bugs!$A$2:$Z$73,26,FALSE())),"please select a BUG ID")</f>
        <v>please select a BUG ID</v>
      </c>
      <c r="C1496" s="51" t="str">
        <f>IFERROR(SUBSTITUTE(VLOOKUP(A1496,Internal_lists_bugs!$A$2:$G2031,7,FALSE()),"nova/commit","nova/src/commit"),"please select a BUG ID")</f>
        <v>please select a BUG ID</v>
      </c>
      <c r="D1496" s="54"/>
      <c r="F1496" s="54"/>
      <c r="H1496" s="114"/>
      <c r="J1496" s="183" t="str">
        <f>IFERROR(VLOOKUP(A1496,Internal_lists_bugs!$A$2:$I2031,9,FALSE()),"please select a BUG ID")</f>
        <v>please select a BUG ID</v>
      </c>
    </row>
    <row r="1497">
      <c r="A1497" s="54"/>
      <c r="B1497" s="71" t="str">
        <f>IFERROR(HYPERLINK(VLOOKUP(A1497,Internal_lists_bugs!$A$2:$C$73,3,FALSE()), VLOOKUP(A1497,Internal_lists_bugs!$A$2:$C$73,3,FALSE())&amp;Char(10) &amp; Char(10) &amp; VLOOKUP(A1497,Internal_lists_bugs!$A$2:$Z$73,26,FALSE())),"please select a BUG ID")</f>
        <v>please select a BUG ID</v>
      </c>
      <c r="C1497" s="51" t="str">
        <f>IFERROR(SUBSTITUTE(VLOOKUP(A1497,Internal_lists_bugs!$A$2:$G2031,7,FALSE()),"nova/commit","nova/src/commit"),"please select a BUG ID")</f>
        <v>please select a BUG ID</v>
      </c>
      <c r="D1497" s="54"/>
      <c r="F1497" s="54"/>
      <c r="H1497" s="114"/>
      <c r="J1497" s="183" t="str">
        <f>IFERROR(VLOOKUP(A1497,Internal_lists_bugs!$A$2:$I2031,9,FALSE()),"please select a BUG ID")</f>
        <v>please select a BUG ID</v>
      </c>
    </row>
    <row r="1498">
      <c r="A1498" s="54"/>
      <c r="B1498" s="71" t="str">
        <f>IFERROR(HYPERLINK(VLOOKUP(A1498,Internal_lists_bugs!$A$2:$C$73,3,FALSE()), VLOOKUP(A1498,Internal_lists_bugs!$A$2:$C$73,3,FALSE())&amp;Char(10) &amp; Char(10) &amp; VLOOKUP(A1498,Internal_lists_bugs!$A$2:$Z$73,26,FALSE())),"please select a BUG ID")</f>
        <v>please select a BUG ID</v>
      </c>
      <c r="C1498" s="51" t="str">
        <f>IFERROR(SUBSTITUTE(VLOOKUP(A1498,Internal_lists_bugs!$A$2:$G2031,7,FALSE()),"nova/commit","nova/src/commit"),"please select a BUG ID")</f>
        <v>please select a BUG ID</v>
      </c>
      <c r="D1498" s="54"/>
      <c r="F1498" s="54"/>
      <c r="H1498" s="114"/>
      <c r="J1498" s="183" t="str">
        <f>IFERROR(VLOOKUP(A1498,Internal_lists_bugs!$A$2:$I2031,9,FALSE()),"please select a BUG ID")</f>
        <v>please select a BUG ID</v>
      </c>
    </row>
    <row r="1499">
      <c r="A1499" s="54"/>
      <c r="B1499" s="71" t="str">
        <f>IFERROR(HYPERLINK(VLOOKUP(A1499,Internal_lists_bugs!$A$2:$C$73,3,FALSE()), VLOOKUP(A1499,Internal_lists_bugs!$A$2:$C$73,3,FALSE())&amp;Char(10) &amp; Char(10) &amp; VLOOKUP(A1499,Internal_lists_bugs!$A$2:$Z$73,26,FALSE())),"please select a BUG ID")</f>
        <v>please select a BUG ID</v>
      </c>
      <c r="C1499" s="51" t="str">
        <f>IFERROR(SUBSTITUTE(VLOOKUP(A1499,Internal_lists_bugs!$A$2:$G2031,7,FALSE()),"nova/commit","nova/src/commit"),"please select a BUG ID")</f>
        <v>please select a BUG ID</v>
      </c>
      <c r="D1499" s="54"/>
      <c r="F1499" s="54"/>
      <c r="H1499" s="114"/>
      <c r="J1499" s="183" t="str">
        <f>IFERROR(VLOOKUP(A1499,Internal_lists_bugs!$A$2:$I2031,9,FALSE()),"please select a BUG ID")</f>
        <v>please select a BUG ID</v>
      </c>
    </row>
    <row r="1500">
      <c r="A1500" s="54"/>
      <c r="B1500" s="71" t="str">
        <f>IFERROR(HYPERLINK(VLOOKUP(A1500,Internal_lists_bugs!$A$2:$C$73,3,FALSE()), VLOOKUP(A1500,Internal_lists_bugs!$A$2:$C$73,3,FALSE())&amp;Char(10) &amp; Char(10) &amp; VLOOKUP(A1500,Internal_lists_bugs!$A$2:$Z$73,26,FALSE())),"please select a BUG ID")</f>
        <v>please select a BUG ID</v>
      </c>
      <c r="C1500" s="51" t="str">
        <f>IFERROR(SUBSTITUTE(VLOOKUP(A1500,Internal_lists_bugs!$A$2:$G2031,7,FALSE()),"nova/commit","nova/src/commit"),"please select a BUG ID")</f>
        <v>please select a BUG ID</v>
      </c>
      <c r="D1500" s="54"/>
      <c r="F1500" s="54"/>
      <c r="H1500" s="114"/>
      <c r="J1500" s="183" t="str">
        <f>IFERROR(VLOOKUP(A1500,Internal_lists_bugs!$A$2:$I2031,9,FALSE()),"please select a BUG ID")</f>
        <v>please select a BUG ID</v>
      </c>
    </row>
    <row r="1501">
      <c r="A1501" s="54"/>
      <c r="B1501" s="71" t="str">
        <f>IFERROR(HYPERLINK(VLOOKUP(A1501,Internal_lists_bugs!$A$2:$C$73,3,FALSE()), VLOOKUP(A1501,Internal_lists_bugs!$A$2:$C$73,3,FALSE())&amp;Char(10) &amp; Char(10) &amp; VLOOKUP(A1501,Internal_lists_bugs!$A$2:$Z$73,26,FALSE())),"please select a BUG ID")</f>
        <v>please select a BUG ID</v>
      </c>
      <c r="C1501" s="51" t="str">
        <f>IFERROR(SUBSTITUTE(VLOOKUP(A1501,Internal_lists_bugs!$A$2:$G2031,7,FALSE()),"nova/commit","nova/src/commit"),"please select a BUG ID")</f>
        <v>please select a BUG ID</v>
      </c>
      <c r="D1501" s="54"/>
      <c r="F1501" s="54"/>
      <c r="H1501" s="114"/>
      <c r="J1501" s="183" t="str">
        <f>IFERROR(VLOOKUP(A1501,Internal_lists_bugs!$A$2:$I2031,9,FALSE()),"please select a BUG ID")</f>
        <v>please select a BUG ID</v>
      </c>
    </row>
    <row r="1502">
      <c r="A1502" s="54"/>
      <c r="B1502" s="71" t="str">
        <f>IFERROR(HYPERLINK(VLOOKUP(A1502,Internal_lists_bugs!$A$2:$C$73,3,FALSE()), VLOOKUP(A1502,Internal_lists_bugs!$A$2:$C$73,3,FALSE())&amp;Char(10) &amp; Char(10) &amp; VLOOKUP(A1502,Internal_lists_bugs!$A$2:$Z$73,26,FALSE())),"please select a BUG ID")</f>
        <v>please select a BUG ID</v>
      </c>
      <c r="C1502" s="51" t="str">
        <f>IFERROR(SUBSTITUTE(VLOOKUP(A1502,Internal_lists_bugs!$A$2:$G2031,7,FALSE()),"nova/commit","nova/src/commit"),"please select a BUG ID")</f>
        <v>please select a BUG ID</v>
      </c>
      <c r="D1502" s="54"/>
      <c r="F1502" s="54"/>
      <c r="H1502" s="114"/>
      <c r="J1502" s="183" t="str">
        <f>IFERROR(VLOOKUP(A1502,Internal_lists_bugs!$A$2:$I2031,9,FALSE()),"please select a BUG ID")</f>
        <v>please select a BUG ID</v>
      </c>
    </row>
    <row r="1503">
      <c r="A1503" s="54"/>
      <c r="B1503" s="71" t="str">
        <f>IFERROR(HYPERLINK(VLOOKUP(A1503,Internal_lists_bugs!$A$2:$C$73,3,FALSE()), VLOOKUP(A1503,Internal_lists_bugs!$A$2:$C$73,3,FALSE())&amp;Char(10) &amp; Char(10) &amp; VLOOKUP(A1503,Internal_lists_bugs!$A$2:$Z$73,26,FALSE())),"please select a BUG ID")</f>
        <v>please select a BUG ID</v>
      </c>
      <c r="C1503" s="51" t="str">
        <f>IFERROR(SUBSTITUTE(VLOOKUP(A1503,Internal_lists_bugs!$A$2:$G2031,7,FALSE()),"nova/commit","nova/src/commit"),"please select a BUG ID")</f>
        <v>please select a BUG ID</v>
      </c>
      <c r="D1503" s="54"/>
      <c r="F1503" s="54"/>
      <c r="H1503" s="114"/>
      <c r="J1503" s="183" t="str">
        <f>IFERROR(VLOOKUP(A1503,Internal_lists_bugs!$A$2:$I2031,9,FALSE()),"please select a BUG ID")</f>
        <v>please select a BUG ID</v>
      </c>
    </row>
    <row r="1504">
      <c r="A1504" s="54"/>
      <c r="B1504" s="71" t="str">
        <f>IFERROR(HYPERLINK(VLOOKUP(A1504,Internal_lists_bugs!$A$2:$C$73,3,FALSE()), VLOOKUP(A1504,Internal_lists_bugs!$A$2:$C$73,3,FALSE())&amp;Char(10) &amp; Char(10) &amp; VLOOKUP(A1504,Internal_lists_bugs!$A$2:$Z$73,26,FALSE())),"please select a BUG ID")</f>
        <v>please select a BUG ID</v>
      </c>
      <c r="C1504" s="51" t="str">
        <f>IFERROR(SUBSTITUTE(VLOOKUP(A1504,Internal_lists_bugs!$A$2:$G2031,7,FALSE()),"nova/commit","nova/src/commit"),"please select a BUG ID")</f>
        <v>please select a BUG ID</v>
      </c>
      <c r="D1504" s="54"/>
      <c r="F1504" s="54"/>
      <c r="H1504" s="114"/>
      <c r="J1504" s="183" t="str">
        <f>IFERROR(VLOOKUP(A1504,Internal_lists_bugs!$A$2:$I2031,9,FALSE()),"please select a BUG ID")</f>
        <v>please select a BUG ID</v>
      </c>
    </row>
    <row r="1505">
      <c r="A1505" s="54"/>
      <c r="B1505" s="71" t="str">
        <f>IFERROR(HYPERLINK(VLOOKUP(A1505,Internal_lists_bugs!$A$2:$C$73,3,FALSE()), VLOOKUP(A1505,Internal_lists_bugs!$A$2:$C$73,3,FALSE())&amp;Char(10) &amp; Char(10) &amp; VLOOKUP(A1505,Internal_lists_bugs!$A$2:$Z$73,26,FALSE())),"please select a BUG ID")</f>
        <v>please select a BUG ID</v>
      </c>
      <c r="C1505" s="51" t="str">
        <f>IFERROR(SUBSTITUTE(VLOOKUP(A1505,Internal_lists_bugs!$A$2:$G2031,7,FALSE()),"nova/commit","nova/src/commit"),"please select a BUG ID")</f>
        <v>please select a BUG ID</v>
      </c>
      <c r="D1505" s="54"/>
      <c r="F1505" s="54"/>
      <c r="H1505" s="114"/>
      <c r="J1505" s="183" t="str">
        <f>IFERROR(VLOOKUP(A1505,Internal_lists_bugs!$A$2:$I2031,9,FALSE()),"please select a BUG ID")</f>
        <v>please select a BUG ID</v>
      </c>
    </row>
    <row r="1506">
      <c r="A1506" s="54"/>
      <c r="B1506" s="71" t="str">
        <f>IFERROR(HYPERLINK(VLOOKUP(A1506,Internal_lists_bugs!$A$2:$C$73,3,FALSE()), VLOOKUP(A1506,Internal_lists_bugs!$A$2:$C$73,3,FALSE())&amp;Char(10) &amp; Char(10) &amp; VLOOKUP(A1506,Internal_lists_bugs!$A$2:$Z$73,26,FALSE())),"please select a BUG ID")</f>
        <v>please select a BUG ID</v>
      </c>
      <c r="C1506" s="51" t="str">
        <f>IFERROR(SUBSTITUTE(VLOOKUP(A1506,Internal_lists_bugs!$A$2:$G2031,7,FALSE()),"nova/commit","nova/src/commit"),"please select a BUG ID")</f>
        <v>please select a BUG ID</v>
      </c>
      <c r="D1506" s="54"/>
      <c r="F1506" s="54"/>
      <c r="H1506" s="114"/>
      <c r="J1506" s="183" t="str">
        <f>IFERROR(VLOOKUP(A1506,Internal_lists_bugs!$A$2:$I2031,9,FALSE()),"please select a BUG ID")</f>
        <v>please select a BUG ID</v>
      </c>
    </row>
    <row r="1507">
      <c r="A1507" s="54"/>
      <c r="B1507" s="71" t="str">
        <f>IFERROR(HYPERLINK(VLOOKUP(A1507,Internal_lists_bugs!$A$2:$C$73,3,FALSE()), VLOOKUP(A1507,Internal_lists_bugs!$A$2:$C$73,3,FALSE())&amp;Char(10) &amp; Char(10) &amp; VLOOKUP(A1507,Internal_lists_bugs!$A$2:$Z$73,26,FALSE())),"please select a BUG ID")</f>
        <v>please select a BUG ID</v>
      </c>
      <c r="C1507" s="51" t="str">
        <f>IFERROR(SUBSTITUTE(VLOOKUP(A1507,Internal_lists_bugs!$A$2:$G2031,7,FALSE()),"nova/commit","nova/src/commit"),"please select a BUG ID")</f>
        <v>please select a BUG ID</v>
      </c>
      <c r="D1507" s="54"/>
      <c r="F1507" s="54"/>
      <c r="H1507" s="114"/>
      <c r="J1507" s="183" t="str">
        <f>IFERROR(VLOOKUP(A1507,Internal_lists_bugs!$A$2:$I2031,9,FALSE()),"please select a BUG ID")</f>
        <v>please select a BUG ID</v>
      </c>
    </row>
    <row r="1508">
      <c r="A1508" s="54"/>
      <c r="B1508" s="71" t="str">
        <f>IFERROR(HYPERLINK(VLOOKUP(A1508,Internal_lists_bugs!$A$2:$C$73,3,FALSE()), VLOOKUP(A1508,Internal_lists_bugs!$A$2:$C$73,3,FALSE())&amp;Char(10) &amp; Char(10) &amp; VLOOKUP(A1508,Internal_lists_bugs!$A$2:$Z$73,26,FALSE())),"please select a BUG ID")</f>
        <v>please select a BUG ID</v>
      </c>
      <c r="C1508" s="51" t="str">
        <f>IFERROR(SUBSTITUTE(VLOOKUP(A1508,Internal_lists_bugs!$A$2:$G2031,7,FALSE()),"nova/commit","nova/src/commit"),"please select a BUG ID")</f>
        <v>please select a BUG ID</v>
      </c>
      <c r="D1508" s="54"/>
      <c r="F1508" s="54"/>
      <c r="H1508" s="114"/>
      <c r="J1508" s="183" t="str">
        <f>IFERROR(VLOOKUP(A1508,Internal_lists_bugs!$A$2:$I2031,9,FALSE()),"please select a BUG ID")</f>
        <v>please select a BUG ID</v>
      </c>
    </row>
    <row r="1509">
      <c r="A1509" s="54"/>
      <c r="B1509" s="71" t="str">
        <f>IFERROR(HYPERLINK(VLOOKUP(A1509,Internal_lists_bugs!$A$2:$C$73,3,FALSE()), VLOOKUP(A1509,Internal_lists_bugs!$A$2:$C$73,3,FALSE())&amp;Char(10) &amp; Char(10) &amp; VLOOKUP(A1509,Internal_lists_bugs!$A$2:$Z$73,26,FALSE())),"please select a BUG ID")</f>
        <v>please select a BUG ID</v>
      </c>
      <c r="C1509" s="51" t="str">
        <f>IFERROR(SUBSTITUTE(VLOOKUP(A1509,Internal_lists_bugs!$A$2:$G2031,7,FALSE()),"nova/commit","nova/src/commit"),"please select a BUG ID")</f>
        <v>please select a BUG ID</v>
      </c>
      <c r="D1509" s="54"/>
      <c r="F1509" s="54"/>
      <c r="H1509" s="114"/>
      <c r="J1509" s="183" t="str">
        <f>IFERROR(VLOOKUP(A1509,Internal_lists_bugs!$A$2:$I2031,9,FALSE()),"please select a BUG ID")</f>
        <v>please select a BUG ID</v>
      </c>
    </row>
    <row r="1510">
      <c r="A1510" s="54"/>
      <c r="B1510" s="71" t="str">
        <f>IFERROR(HYPERLINK(VLOOKUP(A1510,Internal_lists_bugs!$A$2:$C$73,3,FALSE()), VLOOKUP(A1510,Internal_lists_bugs!$A$2:$C$73,3,FALSE())&amp;Char(10) &amp; Char(10) &amp; VLOOKUP(A1510,Internal_lists_bugs!$A$2:$Z$73,26,FALSE())),"please select a BUG ID")</f>
        <v>please select a BUG ID</v>
      </c>
      <c r="C1510" s="51" t="str">
        <f>IFERROR(SUBSTITUTE(VLOOKUP(A1510,Internal_lists_bugs!$A$2:$G2031,7,FALSE()),"nova/commit","nova/src/commit"),"please select a BUG ID")</f>
        <v>please select a BUG ID</v>
      </c>
      <c r="D1510" s="54"/>
      <c r="F1510" s="54"/>
      <c r="H1510" s="114"/>
      <c r="J1510" s="183" t="str">
        <f>IFERROR(VLOOKUP(A1510,Internal_lists_bugs!$A$2:$I2031,9,FALSE()),"please select a BUG ID")</f>
        <v>please select a BUG ID</v>
      </c>
    </row>
    <row r="1511">
      <c r="A1511" s="54"/>
      <c r="B1511" s="71" t="str">
        <f>IFERROR(HYPERLINK(VLOOKUP(A1511,Internal_lists_bugs!$A$2:$C$73,3,FALSE()), VLOOKUP(A1511,Internal_lists_bugs!$A$2:$C$73,3,FALSE())&amp;Char(10) &amp; Char(10) &amp; VLOOKUP(A1511,Internal_lists_bugs!$A$2:$Z$73,26,FALSE())),"please select a BUG ID")</f>
        <v>please select a BUG ID</v>
      </c>
      <c r="C1511" s="51" t="str">
        <f>IFERROR(SUBSTITUTE(VLOOKUP(A1511,Internal_lists_bugs!$A$2:$G2031,7,FALSE()),"nova/commit","nova/src/commit"),"please select a BUG ID")</f>
        <v>please select a BUG ID</v>
      </c>
      <c r="D1511" s="54"/>
      <c r="F1511" s="54"/>
      <c r="H1511" s="114"/>
      <c r="J1511" s="183" t="str">
        <f>IFERROR(VLOOKUP(A1511,Internal_lists_bugs!$A$2:$I2031,9,FALSE()),"please select a BUG ID")</f>
        <v>please select a BUG ID</v>
      </c>
    </row>
    <row r="1512">
      <c r="A1512" s="54"/>
      <c r="B1512" s="71" t="str">
        <f>IFERROR(HYPERLINK(VLOOKUP(A1512,Internal_lists_bugs!$A$2:$C$73,3,FALSE()), VLOOKUP(A1512,Internal_lists_bugs!$A$2:$C$73,3,FALSE())&amp;Char(10) &amp; Char(10) &amp; VLOOKUP(A1512,Internal_lists_bugs!$A$2:$Z$73,26,FALSE())),"please select a BUG ID")</f>
        <v>please select a BUG ID</v>
      </c>
      <c r="C1512" s="51" t="str">
        <f>IFERROR(SUBSTITUTE(VLOOKUP(A1512,Internal_lists_bugs!$A$2:$G2031,7,FALSE()),"nova/commit","nova/src/commit"),"please select a BUG ID")</f>
        <v>please select a BUG ID</v>
      </c>
      <c r="D1512" s="54"/>
      <c r="F1512" s="54"/>
      <c r="H1512" s="114"/>
      <c r="J1512" s="183" t="str">
        <f>IFERROR(VLOOKUP(A1512,Internal_lists_bugs!$A$2:$I2031,9,FALSE()),"please select a BUG ID")</f>
        <v>please select a BUG ID</v>
      </c>
    </row>
    <row r="1513">
      <c r="A1513" s="54"/>
      <c r="B1513" s="71" t="str">
        <f>IFERROR(HYPERLINK(VLOOKUP(A1513,Internal_lists_bugs!$A$2:$C$73,3,FALSE()), VLOOKUP(A1513,Internal_lists_bugs!$A$2:$C$73,3,FALSE())&amp;Char(10) &amp; Char(10) &amp; VLOOKUP(A1513,Internal_lists_bugs!$A$2:$Z$73,26,FALSE())),"please select a BUG ID")</f>
        <v>please select a BUG ID</v>
      </c>
      <c r="C1513" s="51" t="str">
        <f>IFERROR(SUBSTITUTE(VLOOKUP(A1513,Internal_lists_bugs!$A$2:$G2031,7,FALSE()),"nova/commit","nova/src/commit"),"please select a BUG ID")</f>
        <v>please select a BUG ID</v>
      </c>
      <c r="D1513" s="54"/>
      <c r="F1513" s="54"/>
      <c r="H1513" s="114"/>
      <c r="J1513" s="183" t="str">
        <f>IFERROR(VLOOKUP(A1513,Internal_lists_bugs!$A$2:$I2031,9,FALSE()),"please select a BUG ID")</f>
        <v>please select a BUG ID</v>
      </c>
    </row>
    <row r="1514">
      <c r="A1514" s="54"/>
      <c r="B1514" s="71" t="str">
        <f>IFERROR(HYPERLINK(VLOOKUP(A1514,Internal_lists_bugs!$A$2:$C$73,3,FALSE()), VLOOKUP(A1514,Internal_lists_bugs!$A$2:$C$73,3,FALSE())&amp;Char(10) &amp; Char(10) &amp; VLOOKUP(A1514,Internal_lists_bugs!$A$2:$Z$73,26,FALSE())),"please select a BUG ID")</f>
        <v>please select a BUG ID</v>
      </c>
      <c r="C1514" s="51" t="str">
        <f>IFERROR(SUBSTITUTE(VLOOKUP(A1514,Internal_lists_bugs!$A$2:$G2031,7,FALSE()),"nova/commit","nova/src/commit"),"please select a BUG ID")</f>
        <v>please select a BUG ID</v>
      </c>
      <c r="D1514" s="54"/>
      <c r="F1514" s="54"/>
      <c r="H1514" s="114"/>
      <c r="J1514" s="183" t="str">
        <f>IFERROR(VLOOKUP(A1514,Internal_lists_bugs!$A$2:$I2031,9,FALSE()),"please select a BUG ID")</f>
        <v>please select a BUG ID</v>
      </c>
    </row>
    <row r="1515">
      <c r="A1515" s="54"/>
      <c r="B1515" s="71" t="str">
        <f>IFERROR(HYPERLINK(VLOOKUP(A1515,Internal_lists_bugs!$A$2:$C$73,3,FALSE()), VLOOKUP(A1515,Internal_lists_bugs!$A$2:$C$73,3,FALSE())&amp;Char(10) &amp; Char(10) &amp; VLOOKUP(A1515,Internal_lists_bugs!$A$2:$Z$73,26,FALSE())),"please select a BUG ID")</f>
        <v>please select a BUG ID</v>
      </c>
      <c r="C1515" s="51" t="str">
        <f>IFERROR(SUBSTITUTE(VLOOKUP(A1515,Internal_lists_bugs!$A$2:$G2031,7,FALSE()),"nova/commit","nova/src/commit"),"please select a BUG ID")</f>
        <v>please select a BUG ID</v>
      </c>
      <c r="D1515" s="54"/>
      <c r="F1515" s="54"/>
      <c r="H1515" s="114"/>
      <c r="J1515" s="183" t="str">
        <f>IFERROR(VLOOKUP(A1515,Internal_lists_bugs!$A$2:$I2031,9,FALSE()),"please select a BUG ID")</f>
        <v>please select a BUG ID</v>
      </c>
    </row>
    <row r="1516">
      <c r="A1516" s="54"/>
      <c r="B1516" s="71" t="str">
        <f>IFERROR(HYPERLINK(VLOOKUP(A1516,Internal_lists_bugs!$A$2:$C$73,3,FALSE()), VLOOKUP(A1516,Internal_lists_bugs!$A$2:$C$73,3,FALSE())&amp;Char(10) &amp; Char(10) &amp; VLOOKUP(A1516,Internal_lists_bugs!$A$2:$Z$73,26,FALSE())),"please select a BUG ID")</f>
        <v>please select a BUG ID</v>
      </c>
      <c r="C1516" s="51" t="str">
        <f>IFERROR(SUBSTITUTE(VLOOKUP(A1516,Internal_lists_bugs!$A$2:$G2031,7,FALSE()),"nova/commit","nova/src/commit"),"please select a BUG ID")</f>
        <v>please select a BUG ID</v>
      </c>
      <c r="D1516" s="54"/>
      <c r="F1516" s="54"/>
      <c r="H1516" s="114"/>
      <c r="J1516" s="183" t="str">
        <f>IFERROR(VLOOKUP(A1516,Internal_lists_bugs!$A$2:$I2031,9,FALSE()),"please select a BUG ID")</f>
        <v>please select a BUG ID</v>
      </c>
    </row>
    <row r="1517">
      <c r="A1517" s="54"/>
      <c r="B1517" s="71" t="str">
        <f>IFERROR(HYPERLINK(VLOOKUP(A1517,Internal_lists_bugs!$A$2:$C$73,3,FALSE()), VLOOKUP(A1517,Internal_lists_bugs!$A$2:$C$73,3,FALSE())&amp;Char(10) &amp; Char(10) &amp; VLOOKUP(A1517,Internal_lists_bugs!$A$2:$Z$73,26,FALSE())),"please select a BUG ID")</f>
        <v>please select a BUG ID</v>
      </c>
      <c r="C1517" s="51" t="str">
        <f>IFERROR(SUBSTITUTE(VLOOKUP(A1517,Internal_lists_bugs!$A$2:$G2031,7,FALSE()),"nova/commit","nova/src/commit"),"please select a BUG ID")</f>
        <v>please select a BUG ID</v>
      </c>
      <c r="D1517" s="54"/>
      <c r="F1517" s="54"/>
      <c r="H1517" s="114"/>
      <c r="J1517" s="183" t="str">
        <f>IFERROR(VLOOKUP(A1517,Internal_lists_bugs!$A$2:$I2031,9,FALSE()),"please select a BUG ID")</f>
        <v>please select a BUG ID</v>
      </c>
    </row>
    <row r="1518">
      <c r="A1518" s="54"/>
      <c r="B1518" s="71" t="str">
        <f>IFERROR(HYPERLINK(VLOOKUP(A1518,Internal_lists_bugs!$A$2:$C$73,3,FALSE()), VLOOKUP(A1518,Internal_lists_bugs!$A$2:$C$73,3,FALSE())&amp;Char(10) &amp; Char(10) &amp; VLOOKUP(A1518,Internal_lists_bugs!$A$2:$Z$73,26,FALSE())),"please select a BUG ID")</f>
        <v>please select a BUG ID</v>
      </c>
      <c r="C1518" s="51" t="str">
        <f>IFERROR(SUBSTITUTE(VLOOKUP(A1518,Internal_lists_bugs!$A$2:$G2031,7,FALSE()),"nova/commit","nova/src/commit"),"please select a BUG ID")</f>
        <v>please select a BUG ID</v>
      </c>
      <c r="D1518" s="54"/>
      <c r="F1518" s="54"/>
      <c r="H1518" s="114"/>
      <c r="J1518" s="183" t="str">
        <f>IFERROR(VLOOKUP(A1518,Internal_lists_bugs!$A$2:$I2031,9,FALSE()),"please select a BUG ID")</f>
        <v>please select a BUG ID</v>
      </c>
    </row>
    <row r="1519">
      <c r="A1519" s="54"/>
      <c r="B1519" s="71" t="str">
        <f>IFERROR(HYPERLINK(VLOOKUP(A1519,Internal_lists_bugs!$A$2:$C$73,3,FALSE()), VLOOKUP(A1519,Internal_lists_bugs!$A$2:$C$73,3,FALSE())&amp;Char(10) &amp; Char(10) &amp; VLOOKUP(A1519,Internal_lists_bugs!$A$2:$Z$73,26,FALSE())),"please select a BUG ID")</f>
        <v>please select a BUG ID</v>
      </c>
      <c r="C1519" s="51" t="str">
        <f>IFERROR(SUBSTITUTE(VLOOKUP(A1519,Internal_lists_bugs!$A$2:$G2031,7,FALSE()),"nova/commit","nova/src/commit"),"please select a BUG ID")</f>
        <v>please select a BUG ID</v>
      </c>
      <c r="D1519" s="54"/>
      <c r="F1519" s="54"/>
      <c r="H1519" s="114"/>
      <c r="J1519" s="183" t="str">
        <f>IFERROR(VLOOKUP(A1519,Internal_lists_bugs!$A$2:$I2031,9,FALSE()),"please select a BUG ID")</f>
        <v>please select a BUG ID</v>
      </c>
    </row>
    <row r="1520">
      <c r="A1520" s="54"/>
      <c r="B1520" s="71" t="str">
        <f>IFERROR(HYPERLINK(VLOOKUP(A1520,Internal_lists_bugs!$A$2:$C$73,3,FALSE()), VLOOKUP(A1520,Internal_lists_bugs!$A$2:$C$73,3,FALSE())&amp;Char(10) &amp; Char(10) &amp; VLOOKUP(A1520,Internal_lists_bugs!$A$2:$Z$73,26,FALSE())),"please select a BUG ID")</f>
        <v>please select a BUG ID</v>
      </c>
      <c r="C1520" s="51" t="str">
        <f>IFERROR(SUBSTITUTE(VLOOKUP(A1520,Internal_lists_bugs!$A$2:$G2031,7,FALSE()),"nova/commit","nova/src/commit"),"please select a BUG ID")</f>
        <v>please select a BUG ID</v>
      </c>
      <c r="D1520" s="54"/>
      <c r="F1520" s="54"/>
      <c r="H1520" s="114"/>
      <c r="J1520" s="183" t="str">
        <f>IFERROR(VLOOKUP(A1520,Internal_lists_bugs!$A$2:$I2031,9,FALSE()),"please select a BUG ID")</f>
        <v>please select a BUG ID</v>
      </c>
    </row>
    <row r="1521">
      <c r="A1521" s="54"/>
      <c r="B1521" s="71" t="str">
        <f>IFERROR(HYPERLINK(VLOOKUP(A1521,Internal_lists_bugs!$A$2:$C$73,3,FALSE()), VLOOKUP(A1521,Internal_lists_bugs!$A$2:$C$73,3,FALSE())&amp;Char(10) &amp; Char(10) &amp; VLOOKUP(A1521,Internal_lists_bugs!$A$2:$Z$73,26,FALSE())),"please select a BUG ID")</f>
        <v>please select a BUG ID</v>
      </c>
      <c r="C1521" s="51" t="str">
        <f>IFERROR(SUBSTITUTE(VLOOKUP(A1521,Internal_lists_bugs!$A$2:$G2031,7,FALSE()),"nova/commit","nova/src/commit"),"please select a BUG ID")</f>
        <v>please select a BUG ID</v>
      </c>
      <c r="D1521" s="54"/>
      <c r="F1521" s="54"/>
      <c r="H1521" s="114"/>
      <c r="J1521" s="183" t="str">
        <f>IFERROR(VLOOKUP(A1521,Internal_lists_bugs!$A$2:$I2031,9,FALSE()),"please select a BUG ID")</f>
        <v>please select a BUG ID</v>
      </c>
    </row>
    <row r="1522">
      <c r="A1522" s="54"/>
      <c r="B1522" s="71" t="str">
        <f>IFERROR(HYPERLINK(VLOOKUP(A1522,Internal_lists_bugs!$A$2:$C$73,3,FALSE()), VLOOKUP(A1522,Internal_lists_bugs!$A$2:$C$73,3,FALSE())&amp;Char(10) &amp; Char(10) &amp; VLOOKUP(A1522,Internal_lists_bugs!$A$2:$Z$73,26,FALSE())),"please select a BUG ID")</f>
        <v>please select a BUG ID</v>
      </c>
      <c r="C1522" s="51" t="str">
        <f>IFERROR(SUBSTITUTE(VLOOKUP(A1522,Internal_lists_bugs!$A$2:$G2031,7,FALSE()),"nova/commit","nova/src/commit"),"please select a BUG ID")</f>
        <v>please select a BUG ID</v>
      </c>
      <c r="D1522" s="54"/>
      <c r="F1522" s="54"/>
      <c r="H1522" s="114"/>
      <c r="J1522" s="183" t="str">
        <f>IFERROR(VLOOKUP(A1522,Internal_lists_bugs!$A$2:$I2031,9,FALSE()),"please select a BUG ID")</f>
        <v>please select a BUG ID</v>
      </c>
    </row>
    <row r="1523">
      <c r="A1523" s="54"/>
      <c r="B1523" s="71" t="str">
        <f>IFERROR(HYPERLINK(VLOOKUP(A1523,Internal_lists_bugs!$A$2:$C$73,3,FALSE()), VLOOKUP(A1523,Internal_lists_bugs!$A$2:$C$73,3,FALSE())&amp;Char(10) &amp; Char(10) &amp; VLOOKUP(A1523,Internal_lists_bugs!$A$2:$Z$73,26,FALSE())),"please select a BUG ID")</f>
        <v>please select a BUG ID</v>
      </c>
      <c r="C1523" s="51" t="str">
        <f>IFERROR(SUBSTITUTE(VLOOKUP(A1523,Internal_lists_bugs!$A$2:$G2031,7,FALSE()),"nova/commit","nova/src/commit"),"please select a BUG ID")</f>
        <v>please select a BUG ID</v>
      </c>
      <c r="D1523" s="54"/>
      <c r="F1523" s="54"/>
      <c r="H1523" s="114"/>
      <c r="J1523" s="183" t="str">
        <f>IFERROR(VLOOKUP(A1523,Internal_lists_bugs!$A$2:$I2031,9,FALSE()),"please select a BUG ID")</f>
        <v>please select a BUG ID</v>
      </c>
    </row>
    <row r="1524">
      <c r="A1524" s="54"/>
      <c r="B1524" s="71" t="str">
        <f>IFERROR(HYPERLINK(VLOOKUP(A1524,Internal_lists_bugs!$A$2:$C$73,3,FALSE()), VLOOKUP(A1524,Internal_lists_bugs!$A$2:$C$73,3,FALSE())&amp;Char(10) &amp; Char(10) &amp; VLOOKUP(A1524,Internal_lists_bugs!$A$2:$Z$73,26,FALSE())),"please select a BUG ID")</f>
        <v>please select a BUG ID</v>
      </c>
      <c r="C1524" s="51" t="str">
        <f>IFERROR(SUBSTITUTE(VLOOKUP(A1524,Internal_lists_bugs!$A$2:$G2031,7,FALSE()),"nova/commit","nova/src/commit"),"please select a BUG ID")</f>
        <v>please select a BUG ID</v>
      </c>
      <c r="D1524" s="54"/>
      <c r="F1524" s="54"/>
      <c r="H1524" s="114"/>
      <c r="J1524" s="183" t="str">
        <f>IFERROR(VLOOKUP(A1524,Internal_lists_bugs!$A$2:$I2031,9,FALSE()),"please select a BUG ID")</f>
        <v>please select a BUG ID</v>
      </c>
    </row>
    <row r="1525">
      <c r="A1525" s="54"/>
      <c r="B1525" s="71" t="str">
        <f>IFERROR(HYPERLINK(VLOOKUP(A1525,Internal_lists_bugs!$A$2:$C$73,3,FALSE()), VLOOKUP(A1525,Internal_lists_bugs!$A$2:$C$73,3,FALSE())&amp;Char(10) &amp; Char(10) &amp; VLOOKUP(A1525,Internal_lists_bugs!$A$2:$Z$73,26,FALSE())),"please select a BUG ID")</f>
        <v>please select a BUG ID</v>
      </c>
      <c r="C1525" s="51" t="str">
        <f>IFERROR(SUBSTITUTE(VLOOKUP(A1525,Internal_lists_bugs!$A$2:$G2031,7,FALSE()),"nova/commit","nova/src/commit"),"please select a BUG ID")</f>
        <v>please select a BUG ID</v>
      </c>
      <c r="D1525" s="54"/>
      <c r="F1525" s="54"/>
      <c r="H1525" s="114"/>
      <c r="J1525" s="183" t="str">
        <f>IFERROR(VLOOKUP(A1525,Internal_lists_bugs!$A$2:$I2031,9,FALSE()),"please select a BUG ID")</f>
        <v>please select a BUG ID</v>
      </c>
    </row>
    <row r="1526">
      <c r="A1526" s="54"/>
      <c r="B1526" s="71" t="str">
        <f>IFERROR(HYPERLINK(VLOOKUP(A1526,Internal_lists_bugs!$A$2:$C$73,3,FALSE()), VLOOKUP(A1526,Internal_lists_bugs!$A$2:$C$73,3,FALSE())&amp;Char(10) &amp; Char(10) &amp; VLOOKUP(A1526,Internal_lists_bugs!$A$2:$Z$73,26,FALSE())),"please select a BUG ID")</f>
        <v>please select a BUG ID</v>
      </c>
      <c r="C1526" s="51" t="str">
        <f>IFERROR(SUBSTITUTE(VLOOKUP(A1526,Internal_lists_bugs!$A$2:$G2031,7,FALSE()),"nova/commit","nova/src/commit"),"please select a BUG ID")</f>
        <v>please select a BUG ID</v>
      </c>
      <c r="D1526" s="54"/>
      <c r="F1526" s="54"/>
      <c r="H1526" s="114"/>
      <c r="J1526" s="183" t="str">
        <f>IFERROR(VLOOKUP(A1526,Internal_lists_bugs!$A$2:$I2031,9,FALSE()),"please select a BUG ID")</f>
        <v>please select a BUG ID</v>
      </c>
    </row>
    <row r="1527">
      <c r="A1527" s="54"/>
      <c r="B1527" s="71" t="str">
        <f>IFERROR(HYPERLINK(VLOOKUP(A1527,Internal_lists_bugs!$A$2:$C$73,3,FALSE()), VLOOKUP(A1527,Internal_lists_bugs!$A$2:$C$73,3,FALSE())&amp;Char(10) &amp; Char(10) &amp; VLOOKUP(A1527,Internal_lists_bugs!$A$2:$Z$73,26,FALSE())),"please select a BUG ID")</f>
        <v>please select a BUG ID</v>
      </c>
      <c r="C1527" s="51" t="str">
        <f>IFERROR(SUBSTITUTE(VLOOKUP(A1527,Internal_lists_bugs!$A$2:$G2031,7,FALSE()),"nova/commit","nova/src/commit"),"please select a BUG ID")</f>
        <v>please select a BUG ID</v>
      </c>
      <c r="D1527" s="54"/>
      <c r="F1527" s="54"/>
      <c r="H1527" s="114"/>
      <c r="J1527" s="183" t="str">
        <f>IFERROR(VLOOKUP(A1527,Internal_lists_bugs!$A$2:$I2031,9,FALSE()),"please select a BUG ID")</f>
        <v>please select a BUG ID</v>
      </c>
    </row>
    <row r="1528">
      <c r="A1528" s="54"/>
      <c r="B1528" s="71" t="str">
        <f>IFERROR(HYPERLINK(VLOOKUP(A1528,Internal_lists_bugs!$A$2:$C$73,3,FALSE()), VLOOKUP(A1528,Internal_lists_bugs!$A$2:$C$73,3,FALSE())&amp;Char(10) &amp; Char(10) &amp; VLOOKUP(A1528,Internal_lists_bugs!$A$2:$Z$73,26,FALSE())),"please select a BUG ID")</f>
        <v>please select a BUG ID</v>
      </c>
      <c r="C1528" s="51" t="str">
        <f>IFERROR(SUBSTITUTE(VLOOKUP(A1528,Internal_lists_bugs!$A$2:$G2031,7,FALSE()),"nova/commit","nova/src/commit"),"please select a BUG ID")</f>
        <v>please select a BUG ID</v>
      </c>
      <c r="D1528" s="54"/>
      <c r="F1528" s="54"/>
      <c r="H1528" s="114"/>
      <c r="J1528" s="183" t="str">
        <f>IFERROR(VLOOKUP(A1528,Internal_lists_bugs!$A$2:$I2031,9,FALSE()),"please select a BUG ID")</f>
        <v>please select a BUG ID</v>
      </c>
    </row>
    <row r="1529">
      <c r="A1529" s="54"/>
      <c r="B1529" s="71" t="str">
        <f>IFERROR(HYPERLINK(VLOOKUP(A1529,Internal_lists_bugs!$A$2:$C$73,3,FALSE()), VLOOKUP(A1529,Internal_lists_bugs!$A$2:$C$73,3,FALSE())&amp;Char(10) &amp; Char(10) &amp; VLOOKUP(A1529,Internal_lists_bugs!$A$2:$Z$73,26,FALSE())),"please select a BUG ID")</f>
        <v>please select a BUG ID</v>
      </c>
      <c r="C1529" s="51" t="str">
        <f>IFERROR(SUBSTITUTE(VLOOKUP(A1529,Internal_lists_bugs!$A$2:$G2031,7,FALSE()),"nova/commit","nova/src/commit"),"please select a BUG ID")</f>
        <v>please select a BUG ID</v>
      </c>
      <c r="D1529" s="54"/>
      <c r="F1529" s="54"/>
      <c r="H1529" s="114"/>
      <c r="J1529" s="183" t="str">
        <f>IFERROR(VLOOKUP(A1529,Internal_lists_bugs!$A$2:$I2031,9,FALSE()),"please select a BUG ID")</f>
        <v>please select a BUG ID</v>
      </c>
    </row>
    <row r="1530">
      <c r="A1530" s="54"/>
      <c r="B1530" s="71" t="str">
        <f>IFERROR(HYPERLINK(VLOOKUP(A1530,Internal_lists_bugs!$A$2:$C$73,3,FALSE()), VLOOKUP(A1530,Internal_lists_bugs!$A$2:$C$73,3,FALSE())&amp;Char(10) &amp; Char(10) &amp; VLOOKUP(A1530,Internal_lists_bugs!$A$2:$Z$73,26,FALSE())),"please select a BUG ID")</f>
        <v>please select a BUG ID</v>
      </c>
      <c r="C1530" s="51" t="str">
        <f>IFERROR(SUBSTITUTE(VLOOKUP(A1530,Internal_lists_bugs!$A$2:$G2031,7,FALSE()),"nova/commit","nova/src/commit"),"please select a BUG ID")</f>
        <v>please select a BUG ID</v>
      </c>
      <c r="D1530" s="54"/>
      <c r="F1530" s="54"/>
      <c r="H1530" s="114"/>
      <c r="J1530" s="183" t="str">
        <f>IFERROR(VLOOKUP(A1530,Internal_lists_bugs!$A$2:$I2031,9,FALSE()),"please select a BUG ID")</f>
        <v>please select a BUG ID</v>
      </c>
    </row>
    <row r="1531">
      <c r="A1531" s="54"/>
      <c r="B1531" s="71" t="str">
        <f>IFERROR(HYPERLINK(VLOOKUP(A1531,Internal_lists_bugs!$A$2:$C$73,3,FALSE()), VLOOKUP(A1531,Internal_lists_bugs!$A$2:$C$73,3,FALSE())&amp;Char(10) &amp; Char(10) &amp; VLOOKUP(A1531,Internal_lists_bugs!$A$2:$Z$73,26,FALSE())),"please select a BUG ID")</f>
        <v>please select a BUG ID</v>
      </c>
      <c r="C1531" s="51" t="str">
        <f>IFERROR(SUBSTITUTE(VLOOKUP(A1531,Internal_lists_bugs!$A$2:$G2031,7,FALSE()),"nova/commit","nova/src/commit"),"please select a BUG ID")</f>
        <v>please select a BUG ID</v>
      </c>
      <c r="D1531" s="54"/>
      <c r="F1531" s="54"/>
      <c r="H1531" s="114"/>
      <c r="J1531" s="183" t="str">
        <f>IFERROR(VLOOKUP(A1531,Internal_lists_bugs!$A$2:$I2031,9,FALSE()),"please select a BUG ID")</f>
        <v>please select a BUG ID</v>
      </c>
    </row>
    <row r="1532">
      <c r="A1532" s="54"/>
      <c r="B1532" s="71" t="str">
        <f>IFERROR(HYPERLINK(VLOOKUP(A1532,Internal_lists_bugs!$A$2:$C$73,3,FALSE()), VLOOKUP(A1532,Internal_lists_bugs!$A$2:$C$73,3,FALSE())&amp;Char(10) &amp; Char(10) &amp; VLOOKUP(A1532,Internal_lists_bugs!$A$2:$Z$73,26,FALSE())),"please select a BUG ID")</f>
        <v>please select a BUG ID</v>
      </c>
      <c r="C1532" s="51" t="str">
        <f>IFERROR(SUBSTITUTE(VLOOKUP(A1532,Internal_lists_bugs!$A$2:$G2031,7,FALSE()),"nova/commit","nova/src/commit"),"please select a BUG ID")</f>
        <v>please select a BUG ID</v>
      </c>
      <c r="D1532" s="54"/>
      <c r="F1532" s="54"/>
      <c r="H1532" s="114"/>
      <c r="J1532" s="183" t="str">
        <f>IFERROR(VLOOKUP(A1532,Internal_lists_bugs!$A$2:$I2031,9,FALSE()),"please select a BUG ID")</f>
        <v>please select a BUG ID</v>
      </c>
    </row>
    <row r="1533">
      <c r="A1533" s="54"/>
      <c r="B1533" s="71" t="str">
        <f>IFERROR(HYPERLINK(VLOOKUP(A1533,Internal_lists_bugs!$A$2:$C$73,3,FALSE()), VLOOKUP(A1533,Internal_lists_bugs!$A$2:$C$73,3,FALSE())&amp;Char(10) &amp; Char(10) &amp; VLOOKUP(A1533,Internal_lists_bugs!$A$2:$Z$73,26,FALSE())),"please select a BUG ID")</f>
        <v>please select a BUG ID</v>
      </c>
      <c r="C1533" s="51" t="str">
        <f>IFERROR(SUBSTITUTE(VLOOKUP(A1533,Internal_lists_bugs!$A$2:$G2031,7,FALSE()),"nova/commit","nova/src/commit"),"please select a BUG ID")</f>
        <v>please select a BUG ID</v>
      </c>
      <c r="D1533" s="54"/>
      <c r="F1533" s="54"/>
      <c r="H1533" s="114"/>
      <c r="J1533" s="183" t="str">
        <f>IFERROR(VLOOKUP(A1533,Internal_lists_bugs!$A$2:$I2031,9,FALSE()),"please select a BUG ID")</f>
        <v>please select a BUG ID</v>
      </c>
    </row>
    <row r="1534">
      <c r="A1534" s="54"/>
      <c r="B1534" s="71" t="str">
        <f>IFERROR(HYPERLINK(VLOOKUP(A1534,Internal_lists_bugs!$A$2:$C$73,3,FALSE()), VLOOKUP(A1534,Internal_lists_bugs!$A$2:$C$73,3,FALSE())&amp;Char(10) &amp; Char(10) &amp; VLOOKUP(A1534,Internal_lists_bugs!$A$2:$Z$73,26,FALSE())),"please select a BUG ID")</f>
        <v>please select a BUG ID</v>
      </c>
      <c r="C1534" s="51" t="str">
        <f>IFERROR(SUBSTITUTE(VLOOKUP(A1534,Internal_lists_bugs!$A$2:$G2031,7,FALSE()),"nova/commit","nova/src/commit"),"please select a BUG ID")</f>
        <v>please select a BUG ID</v>
      </c>
      <c r="D1534" s="54"/>
      <c r="F1534" s="54"/>
      <c r="H1534" s="114"/>
      <c r="J1534" s="183" t="str">
        <f>IFERROR(VLOOKUP(A1534,Internal_lists_bugs!$A$2:$I2031,9,FALSE()),"please select a BUG ID")</f>
        <v>please select a BUG ID</v>
      </c>
    </row>
    <row r="1535">
      <c r="A1535" s="54"/>
      <c r="B1535" s="71" t="str">
        <f>IFERROR(HYPERLINK(VLOOKUP(A1535,Internal_lists_bugs!$A$2:$C$73,3,FALSE()), VLOOKUP(A1535,Internal_lists_bugs!$A$2:$C$73,3,FALSE())&amp;Char(10) &amp; Char(10) &amp; VLOOKUP(A1535,Internal_lists_bugs!$A$2:$Z$73,26,FALSE())),"please select a BUG ID")</f>
        <v>please select a BUG ID</v>
      </c>
      <c r="C1535" s="51" t="str">
        <f>IFERROR(SUBSTITUTE(VLOOKUP(A1535,Internal_lists_bugs!$A$2:$G2031,7,FALSE()),"nova/commit","nova/src/commit"),"please select a BUG ID")</f>
        <v>please select a BUG ID</v>
      </c>
      <c r="D1535" s="54"/>
      <c r="F1535" s="54"/>
      <c r="H1535" s="114"/>
      <c r="J1535" s="183" t="str">
        <f>IFERROR(VLOOKUP(A1535,Internal_lists_bugs!$A$2:$I2031,9,FALSE()),"please select a BUG ID")</f>
        <v>please select a BUG ID</v>
      </c>
    </row>
    <row r="1536">
      <c r="A1536" s="54"/>
      <c r="B1536" s="71" t="str">
        <f>IFERROR(HYPERLINK(VLOOKUP(A1536,Internal_lists_bugs!$A$2:$C$73,3,FALSE()), VLOOKUP(A1536,Internal_lists_bugs!$A$2:$C$73,3,FALSE())&amp;Char(10) &amp; Char(10) &amp; VLOOKUP(A1536,Internal_lists_bugs!$A$2:$Z$73,26,FALSE())),"please select a BUG ID")</f>
        <v>please select a BUG ID</v>
      </c>
      <c r="C1536" s="51" t="str">
        <f>IFERROR(SUBSTITUTE(VLOOKUP(A1536,Internal_lists_bugs!$A$2:$G2031,7,FALSE()),"nova/commit","nova/src/commit"),"please select a BUG ID")</f>
        <v>please select a BUG ID</v>
      </c>
      <c r="D1536" s="54"/>
      <c r="F1536" s="54"/>
      <c r="H1536" s="114"/>
      <c r="J1536" s="183" t="str">
        <f>IFERROR(VLOOKUP(A1536,Internal_lists_bugs!$A$2:$I2031,9,FALSE()),"please select a BUG ID")</f>
        <v>please select a BUG ID</v>
      </c>
    </row>
    <row r="1537">
      <c r="A1537" s="54"/>
      <c r="B1537" s="71" t="str">
        <f>IFERROR(HYPERLINK(VLOOKUP(A1537,Internal_lists_bugs!$A$2:$C$73,3,FALSE()), VLOOKUP(A1537,Internal_lists_bugs!$A$2:$C$73,3,FALSE())&amp;Char(10) &amp; Char(10) &amp; VLOOKUP(A1537,Internal_lists_bugs!$A$2:$Z$73,26,FALSE())),"please select a BUG ID")</f>
        <v>please select a BUG ID</v>
      </c>
      <c r="C1537" s="51" t="str">
        <f>IFERROR(SUBSTITUTE(VLOOKUP(A1537,Internal_lists_bugs!$A$2:$G2031,7,FALSE()),"nova/commit","nova/src/commit"),"please select a BUG ID")</f>
        <v>please select a BUG ID</v>
      </c>
      <c r="D1537" s="54"/>
      <c r="F1537" s="54"/>
      <c r="H1537" s="114"/>
      <c r="J1537" s="183" t="str">
        <f>IFERROR(VLOOKUP(A1537,Internal_lists_bugs!$A$2:$I2031,9,FALSE()),"please select a BUG ID")</f>
        <v>please select a BUG ID</v>
      </c>
    </row>
    <row r="1538">
      <c r="A1538" s="54"/>
      <c r="B1538" s="71" t="str">
        <f>IFERROR(HYPERLINK(VLOOKUP(A1538,Internal_lists_bugs!$A$2:$C$73,3,FALSE()), VLOOKUP(A1538,Internal_lists_bugs!$A$2:$C$73,3,FALSE())&amp;Char(10) &amp; Char(10) &amp; VLOOKUP(A1538,Internal_lists_bugs!$A$2:$Z$73,26,FALSE())),"please select a BUG ID")</f>
        <v>please select a BUG ID</v>
      </c>
      <c r="C1538" s="51" t="str">
        <f>IFERROR(SUBSTITUTE(VLOOKUP(A1538,Internal_lists_bugs!$A$2:$G2031,7,FALSE()),"nova/commit","nova/src/commit"),"please select a BUG ID")</f>
        <v>please select a BUG ID</v>
      </c>
      <c r="D1538" s="54"/>
      <c r="F1538" s="54"/>
      <c r="H1538" s="114"/>
      <c r="J1538" s="183" t="str">
        <f>IFERROR(VLOOKUP(A1538,Internal_lists_bugs!$A$2:$I2031,9,FALSE()),"please select a BUG ID")</f>
        <v>please select a BUG ID</v>
      </c>
    </row>
    <row r="1539">
      <c r="A1539" s="54"/>
      <c r="B1539" s="71" t="str">
        <f>IFERROR(HYPERLINK(VLOOKUP(A1539,Internal_lists_bugs!$A$2:$C$73,3,FALSE()), VLOOKUP(A1539,Internal_lists_bugs!$A$2:$C$73,3,FALSE())&amp;Char(10) &amp; Char(10) &amp; VLOOKUP(A1539,Internal_lists_bugs!$A$2:$Z$73,26,FALSE())),"please select a BUG ID")</f>
        <v>please select a BUG ID</v>
      </c>
      <c r="C1539" s="51" t="str">
        <f>IFERROR(SUBSTITUTE(VLOOKUP(A1539,Internal_lists_bugs!$A$2:$G2031,7,FALSE()),"nova/commit","nova/src/commit"),"please select a BUG ID")</f>
        <v>please select a BUG ID</v>
      </c>
      <c r="D1539" s="54"/>
      <c r="F1539" s="54"/>
      <c r="H1539" s="114"/>
      <c r="J1539" s="183" t="str">
        <f>IFERROR(VLOOKUP(A1539,Internal_lists_bugs!$A$2:$I2031,9,FALSE()),"please select a BUG ID")</f>
        <v>please select a BUG ID</v>
      </c>
    </row>
    <row r="1540">
      <c r="A1540" s="54"/>
      <c r="B1540" s="71" t="str">
        <f>IFERROR(HYPERLINK(VLOOKUP(A1540,Internal_lists_bugs!$A$2:$C$73,3,FALSE()), VLOOKUP(A1540,Internal_lists_bugs!$A$2:$C$73,3,FALSE())&amp;Char(10) &amp; Char(10) &amp; VLOOKUP(A1540,Internal_lists_bugs!$A$2:$Z$73,26,FALSE())),"please select a BUG ID")</f>
        <v>please select a BUG ID</v>
      </c>
      <c r="C1540" s="51" t="str">
        <f>IFERROR(SUBSTITUTE(VLOOKUP(A1540,Internal_lists_bugs!$A$2:$G2031,7,FALSE()),"nova/commit","nova/src/commit"),"please select a BUG ID")</f>
        <v>please select a BUG ID</v>
      </c>
      <c r="D1540" s="54"/>
      <c r="F1540" s="54"/>
      <c r="H1540" s="114"/>
      <c r="J1540" s="183" t="str">
        <f>IFERROR(VLOOKUP(A1540,Internal_lists_bugs!$A$2:$I2031,9,FALSE()),"please select a BUG ID")</f>
        <v>please select a BUG ID</v>
      </c>
    </row>
    <row r="1541">
      <c r="A1541" s="54"/>
      <c r="B1541" s="71" t="str">
        <f>IFERROR(HYPERLINK(VLOOKUP(A1541,Internal_lists_bugs!$A$2:$C$73,3,FALSE()), VLOOKUP(A1541,Internal_lists_bugs!$A$2:$C$73,3,FALSE())&amp;Char(10) &amp; Char(10) &amp; VLOOKUP(A1541,Internal_lists_bugs!$A$2:$Z$73,26,FALSE())),"please select a BUG ID")</f>
        <v>please select a BUG ID</v>
      </c>
      <c r="C1541" s="51" t="str">
        <f>IFERROR(SUBSTITUTE(VLOOKUP(A1541,Internal_lists_bugs!$A$2:$G2031,7,FALSE()),"nova/commit","nova/src/commit"),"please select a BUG ID")</f>
        <v>please select a BUG ID</v>
      </c>
      <c r="D1541" s="54"/>
      <c r="F1541" s="54"/>
      <c r="H1541" s="114"/>
      <c r="J1541" s="183" t="str">
        <f>IFERROR(VLOOKUP(A1541,Internal_lists_bugs!$A$2:$I2031,9,FALSE()),"please select a BUG ID")</f>
        <v>please select a BUG ID</v>
      </c>
    </row>
    <row r="1542">
      <c r="A1542" s="54"/>
      <c r="B1542" s="71" t="str">
        <f>IFERROR(HYPERLINK(VLOOKUP(A1542,Internal_lists_bugs!$A$2:$C$73,3,FALSE()), VLOOKUP(A1542,Internal_lists_bugs!$A$2:$C$73,3,FALSE())&amp;Char(10) &amp; Char(10) &amp; VLOOKUP(A1542,Internal_lists_bugs!$A$2:$Z$73,26,FALSE())),"please select a BUG ID")</f>
        <v>please select a BUG ID</v>
      </c>
      <c r="C1542" s="51" t="str">
        <f>IFERROR(SUBSTITUTE(VLOOKUP(A1542,Internal_lists_bugs!$A$2:$G2031,7,FALSE()),"nova/commit","nova/src/commit"),"please select a BUG ID")</f>
        <v>please select a BUG ID</v>
      </c>
      <c r="D1542" s="54"/>
      <c r="F1542" s="54"/>
      <c r="H1542" s="114"/>
      <c r="J1542" s="183" t="str">
        <f>IFERROR(VLOOKUP(A1542,Internal_lists_bugs!$A$2:$I2031,9,FALSE()),"please select a BUG ID")</f>
        <v>please select a BUG ID</v>
      </c>
    </row>
    <row r="1543">
      <c r="A1543" s="54"/>
      <c r="B1543" s="71" t="str">
        <f>IFERROR(HYPERLINK(VLOOKUP(A1543,Internal_lists_bugs!$A$2:$C$73,3,FALSE()), VLOOKUP(A1543,Internal_lists_bugs!$A$2:$C$73,3,FALSE())&amp;Char(10) &amp; Char(10) &amp; VLOOKUP(A1543,Internal_lists_bugs!$A$2:$Z$73,26,FALSE())),"please select a BUG ID")</f>
        <v>please select a BUG ID</v>
      </c>
      <c r="C1543" s="51" t="str">
        <f>IFERROR(SUBSTITUTE(VLOOKUP(A1543,Internal_lists_bugs!$A$2:$G2031,7,FALSE()),"nova/commit","nova/src/commit"),"please select a BUG ID")</f>
        <v>please select a BUG ID</v>
      </c>
      <c r="D1543" s="54"/>
      <c r="F1543" s="54"/>
      <c r="H1543" s="114"/>
      <c r="J1543" s="183" t="str">
        <f>IFERROR(VLOOKUP(A1543,Internal_lists_bugs!$A$2:$I2031,9,FALSE()),"please select a BUG ID")</f>
        <v>please select a BUG ID</v>
      </c>
    </row>
    <row r="1544">
      <c r="A1544" s="54"/>
      <c r="B1544" s="71" t="str">
        <f>IFERROR(HYPERLINK(VLOOKUP(A1544,Internal_lists_bugs!$A$2:$C$73,3,FALSE()), VLOOKUP(A1544,Internal_lists_bugs!$A$2:$C$73,3,FALSE())&amp;Char(10) &amp; Char(10) &amp; VLOOKUP(A1544,Internal_lists_bugs!$A$2:$Z$73,26,FALSE())),"please select a BUG ID")</f>
        <v>please select a BUG ID</v>
      </c>
      <c r="C1544" s="51" t="str">
        <f>IFERROR(SUBSTITUTE(VLOOKUP(A1544,Internal_lists_bugs!$A$2:$G2031,7,FALSE()),"nova/commit","nova/src/commit"),"please select a BUG ID")</f>
        <v>please select a BUG ID</v>
      </c>
      <c r="D1544" s="54"/>
      <c r="F1544" s="54"/>
      <c r="H1544" s="114"/>
      <c r="J1544" s="183" t="str">
        <f>IFERROR(VLOOKUP(A1544,Internal_lists_bugs!$A$2:$I2031,9,FALSE()),"please select a BUG ID")</f>
        <v>please select a BUG ID</v>
      </c>
    </row>
    <row r="1545">
      <c r="A1545" s="54"/>
      <c r="B1545" s="71" t="str">
        <f>IFERROR(HYPERLINK(VLOOKUP(A1545,Internal_lists_bugs!$A$2:$C$73,3,FALSE()), VLOOKUP(A1545,Internal_lists_bugs!$A$2:$C$73,3,FALSE())&amp;Char(10) &amp; Char(10) &amp; VLOOKUP(A1545,Internal_lists_bugs!$A$2:$Z$73,26,FALSE())),"please select a BUG ID")</f>
        <v>please select a BUG ID</v>
      </c>
      <c r="C1545" s="51" t="str">
        <f>IFERROR(SUBSTITUTE(VLOOKUP(A1545,Internal_lists_bugs!$A$2:$G2031,7,FALSE()),"nova/commit","nova/src/commit"),"please select a BUG ID")</f>
        <v>please select a BUG ID</v>
      </c>
      <c r="D1545" s="54"/>
      <c r="F1545" s="54"/>
      <c r="H1545" s="114"/>
      <c r="J1545" s="183" t="str">
        <f>IFERROR(VLOOKUP(A1545,Internal_lists_bugs!$A$2:$I2031,9,FALSE()),"please select a BUG ID")</f>
        <v>please select a BUG ID</v>
      </c>
    </row>
    <row r="1546">
      <c r="A1546" s="54"/>
      <c r="B1546" s="71" t="str">
        <f>IFERROR(HYPERLINK(VLOOKUP(A1546,Internal_lists_bugs!$A$2:$C$73,3,FALSE()), VLOOKUP(A1546,Internal_lists_bugs!$A$2:$C$73,3,FALSE())&amp;Char(10) &amp; Char(10) &amp; VLOOKUP(A1546,Internal_lists_bugs!$A$2:$Z$73,26,FALSE())),"please select a BUG ID")</f>
        <v>please select a BUG ID</v>
      </c>
      <c r="C1546" s="51" t="str">
        <f>IFERROR(SUBSTITUTE(VLOOKUP(A1546,Internal_lists_bugs!$A$2:$G2031,7,FALSE()),"nova/commit","nova/src/commit"),"please select a BUG ID")</f>
        <v>please select a BUG ID</v>
      </c>
      <c r="D1546" s="54"/>
      <c r="F1546" s="54"/>
      <c r="H1546" s="114"/>
      <c r="J1546" s="183" t="str">
        <f>IFERROR(VLOOKUP(A1546,Internal_lists_bugs!$A$2:$I2031,9,FALSE()),"please select a BUG ID")</f>
        <v>please select a BUG ID</v>
      </c>
    </row>
    <row r="1547">
      <c r="A1547" s="54"/>
      <c r="B1547" s="71" t="str">
        <f>IFERROR(HYPERLINK(VLOOKUP(A1547,Internal_lists_bugs!$A$2:$C$73,3,FALSE()), VLOOKUP(A1547,Internal_lists_bugs!$A$2:$C$73,3,FALSE())&amp;Char(10) &amp; Char(10) &amp; VLOOKUP(A1547,Internal_lists_bugs!$A$2:$Z$73,26,FALSE())),"please select a BUG ID")</f>
        <v>please select a BUG ID</v>
      </c>
      <c r="C1547" s="51" t="str">
        <f>IFERROR(SUBSTITUTE(VLOOKUP(A1547,Internal_lists_bugs!$A$2:$G2031,7,FALSE()),"nova/commit","nova/src/commit"),"please select a BUG ID")</f>
        <v>please select a BUG ID</v>
      </c>
      <c r="D1547" s="54"/>
      <c r="F1547" s="54"/>
      <c r="H1547" s="114"/>
      <c r="J1547" s="183" t="str">
        <f>IFERROR(VLOOKUP(A1547,Internal_lists_bugs!$A$2:$I2031,9,FALSE()),"please select a BUG ID")</f>
        <v>please select a BUG ID</v>
      </c>
    </row>
    <row r="1548">
      <c r="A1548" s="54"/>
      <c r="B1548" s="71" t="str">
        <f>IFERROR(HYPERLINK(VLOOKUP(A1548,Internal_lists_bugs!$A$2:$C$73,3,FALSE()), VLOOKUP(A1548,Internal_lists_bugs!$A$2:$C$73,3,FALSE())&amp;Char(10) &amp; Char(10) &amp; VLOOKUP(A1548,Internal_lists_bugs!$A$2:$Z$73,26,FALSE())),"please select a BUG ID")</f>
        <v>please select a BUG ID</v>
      </c>
      <c r="C1548" s="51" t="str">
        <f>IFERROR(SUBSTITUTE(VLOOKUP(A1548,Internal_lists_bugs!$A$2:$G2031,7,FALSE()),"nova/commit","nova/src/commit"),"please select a BUG ID")</f>
        <v>please select a BUG ID</v>
      </c>
      <c r="D1548" s="54"/>
      <c r="F1548" s="54"/>
      <c r="H1548" s="114"/>
      <c r="J1548" s="183" t="str">
        <f>IFERROR(VLOOKUP(A1548,Internal_lists_bugs!$A$2:$I2031,9,FALSE()),"please select a BUG ID")</f>
        <v>please select a BUG ID</v>
      </c>
    </row>
    <row r="1549">
      <c r="A1549" s="54"/>
      <c r="B1549" s="71" t="str">
        <f>IFERROR(HYPERLINK(VLOOKUP(A1549,Internal_lists_bugs!$A$2:$C$73,3,FALSE()), VLOOKUP(A1549,Internal_lists_bugs!$A$2:$C$73,3,FALSE())&amp;Char(10) &amp; Char(10) &amp; VLOOKUP(A1549,Internal_lists_bugs!$A$2:$Z$73,26,FALSE())),"please select a BUG ID")</f>
        <v>please select a BUG ID</v>
      </c>
      <c r="C1549" s="51" t="str">
        <f>IFERROR(SUBSTITUTE(VLOOKUP(A1549,Internal_lists_bugs!$A$2:$G2031,7,FALSE()),"nova/commit","nova/src/commit"),"please select a BUG ID")</f>
        <v>please select a BUG ID</v>
      </c>
      <c r="D1549" s="54"/>
      <c r="F1549" s="54"/>
      <c r="H1549" s="114"/>
      <c r="J1549" s="183" t="str">
        <f>IFERROR(VLOOKUP(A1549,Internal_lists_bugs!$A$2:$I2031,9,FALSE()),"please select a BUG ID")</f>
        <v>please select a BUG ID</v>
      </c>
    </row>
    <row r="1550">
      <c r="A1550" s="54"/>
      <c r="B1550" s="71" t="str">
        <f>IFERROR(HYPERLINK(VLOOKUP(A1550,Internal_lists_bugs!$A$2:$C$73,3,FALSE()), VLOOKUP(A1550,Internal_lists_bugs!$A$2:$C$73,3,FALSE())&amp;Char(10) &amp; Char(10) &amp; VLOOKUP(A1550,Internal_lists_bugs!$A$2:$Z$73,26,FALSE())),"please select a BUG ID")</f>
        <v>please select a BUG ID</v>
      </c>
      <c r="C1550" s="51" t="str">
        <f>IFERROR(SUBSTITUTE(VLOOKUP(A1550,Internal_lists_bugs!$A$2:$G2031,7,FALSE()),"nova/commit","nova/src/commit"),"please select a BUG ID")</f>
        <v>please select a BUG ID</v>
      </c>
      <c r="D1550" s="54"/>
      <c r="F1550" s="54"/>
      <c r="H1550" s="114"/>
      <c r="J1550" s="183" t="str">
        <f>IFERROR(VLOOKUP(A1550,Internal_lists_bugs!$A$2:$I2031,9,FALSE()),"please select a BUG ID")</f>
        <v>please select a BUG ID</v>
      </c>
    </row>
    <row r="1551">
      <c r="A1551" s="54"/>
      <c r="B1551" s="71" t="str">
        <f>IFERROR(HYPERLINK(VLOOKUP(A1551,Internal_lists_bugs!$A$2:$C$73,3,FALSE()), VLOOKUP(A1551,Internal_lists_bugs!$A$2:$C$73,3,FALSE())&amp;Char(10) &amp; Char(10) &amp; VLOOKUP(A1551,Internal_lists_bugs!$A$2:$Z$73,26,FALSE())),"please select a BUG ID")</f>
        <v>please select a BUG ID</v>
      </c>
      <c r="C1551" s="51" t="str">
        <f>IFERROR(SUBSTITUTE(VLOOKUP(A1551,Internal_lists_bugs!$A$2:$G2031,7,FALSE()),"nova/commit","nova/src/commit"),"please select a BUG ID")</f>
        <v>please select a BUG ID</v>
      </c>
      <c r="D1551" s="54"/>
      <c r="F1551" s="54"/>
      <c r="H1551" s="114"/>
      <c r="J1551" s="183" t="str">
        <f>IFERROR(VLOOKUP(A1551,Internal_lists_bugs!$A$2:$I2031,9,FALSE()),"please select a BUG ID")</f>
        <v>please select a BUG ID</v>
      </c>
    </row>
    <row r="1552">
      <c r="A1552" s="54"/>
      <c r="B1552" s="71" t="str">
        <f>IFERROR(HYPERLINK(VLOOKUP(A1552,Internal_lists_bugs!$A$2:$C$73,3,FALSE()), VLOOKUP(A1552,Internal_lists_bugs!$A$2:$C$73,3,FALSE())&amp;Char(10) &amp; Char(10) &amp; VLOOKUP(A1552,Internal_lists_bugs!$A$2:$Z$73,26,FALSE())),"please select a BUG ID")</f>
        <v>please select a BUG ID</v>
      </c>
      <c r="C1552" s="51" t="str">
        <f>IFERROR(SUBSTITUTE(VLOOKUP(A1552,Internal_lists_bugs!$A$2:$G2031,7,FALSE()),"nova/commit","nova/src/commit"),"please select a BUG ID")</f>
        <v>please select a BUG ID</v>
      </c>
      <c r="D1552" s="54"/>
      <c r="F1552" s="54"/>
      <c r="H1552" s="114"/>
      <c r="J1552" s="183" t="str">
        <f>IFERROR(VLOOKUP(A1552,Internal_lists_bugs!$A$2:$I2031,9,FALSE()),"please select a BUG ID")</f>
        <v>please select a BUG ID</v>
      </c>
    </row>
    <row r="1553">
      <c r="A1553" s="54"/>
      <c r="B1553" s="71" t="str">
        <f>IFERROR(HYPERLINK(VLOOKUP(A1553,Internal_lists_bugs!$A$2:$C$73,3,FALSE()), VLOOKUP(A1553,Internal_lists_bugs!$A$2:$C$73,3,FALSE())&amp;Char(10) &amp; Char(10) &amp; VLOOKUP(A1553,Internal_lists_bugs!$A$2:$Z$73,26,FALSE())),"please select a BUG ID")</f>
        <v>please select a BUG ID</v>
      </c>
      <c r="C1553" s="51" t="str">
        <f>IFERROR(SUBSTITUTE(VLOOKUP(A1553,Internal_lists_bugs!$A$2:$G2031,7,FALSE()),"nova/commit","nova/src/commit"),"please select a BUG ID")</f>
        <v>please select a BUG ID</v>
      </c>
      <c r="D1553" s="54"/>
      <c r="F1553" s="54"/>
      <c r="H1553" s="114"/>
      <c r="J1553" s="183" t="str">
        <f>IFERROR(VLOOKUP(A1553,Internal_lists_bugs!$A$2:$I2031,9,FALSE()),"please select a BUG ID")</f>
        <v>please select a BUG ID</v>
      </c>
    </row>
    <row r="1554">
      <c r="A1554" s="54"/>
      <c r="B1554" s="71" t="str">
        <f>IFERROR(HYPERLINK(VLOOKUP(A1554,Internal_lists_bugs!$A$2:$C$73,3,FALSE()), VLOOKUP(A1554,Internal_lists_bugs!$A$2:$C$73,3,FALSE())&amp;Char(10) &amp; Char(10) &amp; VLOOKUP(A1554,Internal_lists_bugs!$A$2:$Z$73,26,FALSE())),"please select a BUG ID")</f>
        <v>please select a BUG ID</v>
      </c>
      <c r="C1554" s="51" t="str">
        <f>IFERROR(SUBSTITUTE(VLOOKUP(A1554,Internal_lists_bugs!$A$2:$G2031,7,FALSE()),"nova/commit","nova/src/commit"),"please select a BUG ID")</f>
        <v>please select a BUG ID</v>
      </c>
      <c r="D1554" s="54"/>
      <c r="F1554" s="54"/>
      <c r="H1554" s="114"/>
      <c r="J1554" s="183" t="str">
        <f>IFERROR(VLOOKUP(A1554,Internal_lists_bugs!$A$2:$I2031,9,FALSE()),"please select a BUG ID")</f>
        <v>please select a BUG ID</v>
      </c>
    </row>
    <row r="1555">
      <c r="A1555" s="54"/>
      <c r="B1555" s="71" t="str">
        <f>IFERROR(HYPERLINK(VLOOKUP(A1555,Internal_lists_bugs!$A$2:$C$73,3,FALSE()), VLOOKUP(A1555,Internal_lists_bugs!$A$2:$C$73,3,FALSE())&amp;Char(10) &amp; Char(10) &amp; VLOOKUP(A1555,Internal_lists_bugs!$A$2:$Z$73,26,FALSE())),"please select a BUG ID")</f>
        <v>please select a BUG ID</v>
      </c>
      <c r="C1555" s="51" t="str">
        <f>IFERROR(SUBSTITUTE(VLOOKUP(A1555,Internal_lists_bugs!$A$2:$G2031,7,FALSE()),"nova/commit","nova/src/commit"),"please select a BUG ID")</f>
        <v>please select a BUG ID</v>
      </c>
      <c r="D1555" s="54"/>
      <c r="F1555" s="54"/>
      <c r="H1555" s="114"/>
      <c r="J1555" s="183" t="str">
        <f>IFERROR(VLOOKUP(A1555,Internal_lists_bugs!$A$2:$I2031,9,FALSE()),"please select a BUG ID")</f>
        <v>please select a BUG ID</v>
      </c>
    </row>
    <row r="1556">
      <c r="A1556" s="54"/>
      <c r="B1556" s="71" t="str">
        <f>IFERROR(HYPERLINK(VLOOKUP(A1556,Internal_lists_bugs!$A$2:$C$73,3,FALSE()), VLOOKUP(A1556,Internal_lists_bugs!$A$2:$C$73,3,FALSE())&amp;Char(10) &amp; Char(10) &amp; VLOOKUP(A1556,Internal_lists_bugs!$A$2:$Z$73,26,FALSE())),"please select a BUG ID")</f>
        <v>please select a BUG ID</v>
      </c>
      <c r="C1556" s="51" t="str">
        <f>IFERROR(SUBSTITUTE(VLOOKUP(A1556,Internal_lists_bugs!$A$2:$G2031,7,FALSE()),"nova/commit","nova/src/commit"),"please select a BUG ID")</f>
        <v>please select a BUG ID</v>
      </c>
      <c r="D1556" s="54"/>
      <c r="F1556" s="54"/>
      <c r="H1556" s="114"/>
      <c r="J1556" s="183" t="str">
        <f>IFERROR(VLOOKUP(A1556,Internal_lists_bugs!$A$2:$I2031,9,FALSE()),"please select a BUG ID")</f>
        <v>please select a BUG ID</v>
      </c>
    </row>
    <row r="1557">
      <c r="A1557" s="54"/>
      <c r="B1557" s="71" t="str">
        <f>IFERROR(HYPERLINK(VLOOKUP(A1557,Internal_lists_bugs!$A$2:$C$73,3,FALSE()), VLOOKUP(A1557,Internal_lists_bugs!$A$2:$C$73,3,FALSE())&amp;Char(10) &amp; Char(10) &amp; VLOOKUP(A1557,Internal_lists_bugs!$A$2:$Z$73,26,FALSE())),"please select a BUG ID")</f>
        <v>please select a BUG ID</v>
      </c>
      <c r="C1557" s="51" t="str">
        <f>IFERROR(SUBSTITUTE(VLOOKUP(A1557,Internal_lists_bugs!$A$2:$G2031,7,FALSE()),"nova/commit","nova/src/commit"),"please select a BUG ID")</f>
        <v>please select a BUG ID</v>
      </c>
      <c r="D1557" s="54"/>
      <c r="F1557" s="54"/>
      <c r="H1557" s="114"/>
      <c r="J1557" s="183" t="str">
        <f>IFERROR(VLOOKUP(A1557,Internal_lists_bugs!$A$2:$I2031,9,FALSE()),"please select a BUG ID")</f>
        <v>please select a BUG ID</v>
      </c>
    </row>
    <row r="1558">
      <c r="A1558" s="54"/>
      <c r="B1558" s="71" t="str">
        <f>IFERROR(HYPERLINK(VLOOKUP(A1558,Internal_lists_bugs!$A$2:$C$73,3,FALSE()), VLOOKUP(A1558,Internal_lists_bugs!$A$2:$C$73,3,FALSE())&amp;Char(10) &amp; Char(10) &amp; VLOOKUP(A1558,Internal_lists_bugs!$A$2:$Z$73,26,FALSE())),"please select a BUG ID")</f>
        <v>please select a BUG ID</v>
      </c>
      <c r="C1558" s="51" t="str">
        <f>IFERROR(SUBSTITUTE(VLOOKUP(A1558,Internal_lists_bugs!$A$2:$G2031,7,FALSE()),"nova/commit","nova/src/commit"),"please select a BUG ID")</f>
        <v>please select a BUG ID</v>
      </c>
      <c r="D1558" s="54"/>
      <c r="F1558" s="54"/>
      <c r="H1558" s="114"/>
      <c r="J1558" s="183" t="str">
        <f>IFERROR(VLOOKUP(A1558,Internal_lists_bugs!$A$2:$I2031,9,FALSE()),"please select a BUG ID")</f>
        <v>please select a BUG ID</v>
      </c>
    </row>
    <row r="1559">
      <c r="A1559" s="54"/>
      <c r="B1559" s="71" t="str">
        <f>IFERROR(HYPERLINK(VLOOKUP(A1559,Internal_lists_bugs!$A$2:$C$73,3,FALSE()), VLOOKUP(A1559,Internal_lists_bugs!$A$2:$C$73,3,FALSE())&amp;Char(10) &amp; Char(10) &amp; VLOOKUP(A1559,Internal_lists_bugs!$A$2:$Z$73,26,FALSE())),"please select a BUG ID")</f>
        <v>please select a BUG ID</v>
      </c>
      <c r="C1559" s="51" t="str">
        <f>IFERROR(SUBSTITUTE(VLOOKUP(A1559,Internal_lists_bugs!$A$2:$G2031,7,FALSE()),"nova/commit","nova/src/commit"),"please select a BUG ID")</f>
        <v>please select a BUG ID</v>
      </c>
      <c r="D1559" s="54"/>
      <c r="F1559" s="54"/>
      <c r="H1559" s="114"/>
      <c r="J1559" s="183" t="str">
        <f>IFERROR(VLOOKUP(A1559,Internal_lists_bugs!$A$2:$I2031,9,FALSE()),"please select a BUG ID")</f>
        <v>please select a BUG ID</v>
      </c>
    </row>
    <row r="1560">
      <c r="A1560" s="54"/>
      <c r="B1560" s="71" t="str">
        <f>IFERROR(HYPERLINK(VLOOKUP(A1560,Internal_lists_bugs!$A$2:$C$73,3,FALSE()), VLOOKUP(A1560,Internal_lists_bugs!$A$2:$C$73,3,FALSE())&amp;Char(10) &amp; Char(10) &amp; VLOOKUP(A1560,Internal_lists_bugs!$A$2:$Z$73,26,FALSE())),"please select a BUG ID")</f>
        <v>please select a BUG ID</v>
      </c>
      <c r="C1560" s="51" t="str">
        <f>IFERROR(SUBSTITUTE(VLOOKUP(A1560,Internal_lists_bugs!$A$2:$G2031,7,FALSE()),"nova/commit","nova/src/commit"),"please select a BUG ID")</f>
        <v>please select a BUG ID</v>
      </c>
      <c r="D1560" s="54"/>
      <c r="F1560" s="54"/>
      <c r="H1560" s="114"/>
      <c r="J1560" s="183" t="str">
        <f>IFERROR(VLOOKUP(A1560,Internal_lists_bugs!$A$2:$I2031,9,FALSE()),"please select a BUG ID")</f>
        <v>please select a BUG ID</v>
      </c>
    </row>
    <row r="1561">
      <c r="A1561" s="54"/>
      <c r="B1561" s="71" t="str">
        <f>IFERROR(HYPERLINK(VLOOKUP(A1561,Internal_lists_bugs!$A$2:$C$73,3,FALSE()), VLOOKUP(A1561,Internal_lists_bugs!$A$2:$C$73,3,FALSE())&amp;Char(10) &amp; Char(10) &amp; VLOOKUP(A1561,Internal_lists_bugs!$A$2:$Z$73,26,FALSE())),"please select a BUG ID")</f>
        <v>please select a BUG ID</v>
      </c>
      <c r="C1561" s="51" t="str">
        <f>IFERROR(SUBSTITUTE(VLOOKUP(A1561,Internal_lists_bugs!$A$2:$G2031,7,FALSE()),"nova/commit","nova/src/commit"),"please select a BUG ID")</f>
        <v>please select a BUG ID</v>
      </c>
      <c r="D1561" s="54"/>
      <c r="F1561" s="54"/>
      <c r="H1561" s="114"/>
      <c r="J1561" s="183" t="str">
        <f>IFERROR(VLOOKUP(A1561,Internal_lists_bugs!$A$2:$I2031,9,FALSE()),"please select a BUG ID")</f>
        <v>please select a BUG ID</v>
      </c>
    </row>
    <row r="1562">
      <c r="A1562" s="54"/>
      <c r="B1562" s="71" t="str">
        <f>IFERROR(HYPERLINK(VLOOKUP(A1562,Internal_lists_bugs!$A$2:$C$73,3,FALSE()), VLOOKUP(A1562,Internal_lists_bugs!$A$2:$C$73,3,FALSE())&amp;Char(10) &amp; Char(10) &amp; VLOOKUP(A1562,Internal_lists_bugs!$A$2:$Z$73,26,FALSE())),"please select a BUG ID")</f>
        <v>please select a BUG ID</v>
      </c>
      <c r="C1562" s="51" t="str">
        <f>IFERROR(SUBSTITUTE(VLOOKUP(A1562,Internal_lists_bugs!$A$2:$G2031,7,FALSE()),"nova/commit","nova/src/commit"),"please select a BUG ID")</f>
        <v>please select a BUG ID</v>
      </c>
      <c r="D1562" s="54"/>
      <c r="F1562" s="54"/>
      <c r="H1562" s="114"/>
      <c r="J1562" s="183" t="str">
        <f>IFERROR(VLOOKUP(A1562,Internal_lists_bugs!$A$2:$I2031,9,FALSE()),"please select a BUG ID")</f>
        <v>please select a BUG ID</v>
      </c>
    </row>
    <row r="1563">
      <c r="A1563" s="54"/>
      <c r="B1563" s="71" t="str">
        <f>IFERROR(HYPERLINK(VLOOKUP(A1563,Internal_lists_bugs!$A$2:$C$73,3,FALSE()), VLOOKUP(A1563,Internal_lists_bugs!$A$2:$C$73,3,FALSE())&amp;Char(10) &amp; Char(10) &amp; VLOOKUP(A1563,Internal_lists_bugs!$A$2:$Z$73,26,FALSE())),"please select a BUG ID")</f>
        <v>please select a BUG ID</v>
      </c>
      <c r="C1563" s="51" t="str">
        <f>IFERROR(SUBSTITUTE(VLOOKUP(A1563,Internal_lists_bugs!$A$2:$G2031,7,FALSE()),"nova/commit","nova/src/commit"),"please select a BUG ID")</f>
        <v>please select a BUG ID</v>
      </c>
      <c r="D1563" s="54"/>
      <c r="F1563" s="54"/>
      <c r="H1563" s="114"/>
      <c r="J1563" s="183" t="str">
        <f>IFERROR(VLOOKUP(A1563,Internal_lists_bugs!$A$2:$I2031,9,FALSE()),"please select a BUG ID")</f>
        <v>please select a BUG ID</v>
      </c>
    </row>
    <row r="1564">
      <c r="A1564" s="54"/>
      <c r="B1564" s="71" t="str">
        <f>IFERROR(HYPERLINK(VLOOKUP(A1564,Internal_lists_bugs!$A$2:$C$73,3,FALSE()), VLOOKUP(A1564,Internal_lists_bugs!$A$2:$C$73,3,FALSE())&amp;Char(10) &amp; Char(10) &amp; VLOOKUP(A1564,Internal_lists_bugs!$A$2:$Z$73,26,FALSE())),"please select a BUG ID")</f>
        <v>please select a BUG ID</v>
      </c>
      <c r="C1564" s="51" t="str">
        <f>IFERROR(SUBSTITUTE(VLOOKUP(A1564,Internal_lists_bugs!$A$2:$G2031,7,FALSE()),"nova/commit","nova/src/commit"),"please select a BUG ID")</f>
        <v>please select a BUG ID</v>
      </c>
      <c r="D1564" s="54"/>
      <c r="F1564" s="54"/>
      <c r="H1564" s="114"/>
      <c r="J1564" s="183" t="str">
        <f>IFERROR(VLOOKUP(A1564,Internal_lists_bugs!$A$2:$I2031,9,FALSE()),"please select a BUG ID")</f>
        <v>please select a BUG ID</v>
      </c>
    </row>
    <row r="1565">
      <c r="A1565" s="54"/>
      <c r="B1565" s="71" t="str">
        <f>IFERROR(HYPERLINK(VLOOKUP(A1565,Internal_lists_bugs!$A$2:$C$73,3,FALSE()), VLOOKUP(A1565,Internal_lists_bugs!$A$2:$C$73,3,FALSE())&amp;Char(10) &amp; Char(10) &amp; VLOOKUP(A1565,Internal_lists_bugs!$A$2:$Z$73,26,FALSE())),"please select a BUG ID")</f>
        <v>please select a BUG ID</v>
      </c>
      <c r="C1565" s="51" t="str">
        <f>IFERROR(SUBSTITUTE(VLOOKUP(A1565,Internal_lists_bugs!$A$2:$G2031,7,FALSE()),"nova/commit","nova/src/commit"),"please select a BUG ID")</f>
        <v>please select a BUG ID</v>
      </c>
      <c r="D1565" s="54"/>
      <c r="F1565" s="54"/>
      <c r="H1565" s="114"/>
      <c r="J1565" s="183" t="str">
        <f>IFERROR(VLOOKUP(A1565,Internal_lists_bugs!$A$2:$I2031,9,FALSE()),"please select a BUG ID")</f>
        <v>please select a BUG ID</v>
      </c>
    </row>
    <row r="1566">
      <c r="A1566" s="54"/>
      <c r="B1566" s="71" t="str">
        <f>IFERROR(HYPERLINK(VLOOKUP(A1566,Internal_lists_bugs!$A$2:$C$73,3,FALSE()), VLOOKUP(A1566,Internal_lists_bugs!$A$2:$C$73,3,FALSE())&amp;Char(10) &amp; Char(10) &amp; VLOOKUP(A1566,Internal_lists_bugs!$A$2:$Z$73,26,FALSE())),"please select a BUG ID")</f>
        <v>please select a BUG ID</v>
      </c>
      <c r="C1566" s="51" t="str">
        <f>IFERROR(SUBSTITUTE(VLOOKUP(A1566,Internal_lists_bugs!$A$2:$G2031,7,FALSE()),"nova/commit","nova/src/commit"),"please select a BUG ID")</f>
        <v>please select a BUG ID</v>
      </c>
      <c r="D1566" s="54"/>
      <c r="F1566" s="54"/>
      <c r="H1566" s="114"/>
      <c r="J1566" s="183" t="str">
        <f>IFERROR(VLOOKUP(A1566,Internal_lists_bugs!$A$2:$I2031,9,FALSE()),"please select a BUG ID")</f>
        <v>please select a BUG ID</v>
      </c>
    </row>
    <row r="1567">
      <c r="A1567" s="54"/>
      <c r="B1567" s="71" t="str">
        <f>IFERROR(HYPERLINK(VLOOKUP(A1567,Internal_lists_bugs!$A$2:$C$73,3,FALSE()), VLOOKUP(A1567,Internal_lists_bugs!$A$2:$C$73,3,FALSE())&amp;Char(10) &amp; Char(10) &amp; VLOOKUP(A1567,Internal_lists_bugs!$A$2:$Z$73,26,FALSE())),"please select a BUG ID")</f>
        <v>please select a BUG ID</v>
      </c>
      <c r="C1567" s="51" t="str">
        <f>IFERROR(SUBSTITUTE(VLOOKUP(A1567,Internal_lists_bugs!$A$2:$G2031,7,FALSE()),"nova/commit","nova/src/commit"),"please select a BUG ID")</f>
        <v>please select a BUG ID</v>
      </c>
      <c r="D1567" s="54"/>
      <c r="F1567" s="54"/>
      <c r="H1567" s="114"/>
      <c r="J1567" s="183" t="str">
        <f>IFERROR(VLOOKUP(A1567,Internal_lists_bugs!$A$2:$I2031,9,FALSE()),"please select a BUG ID")</f>
        <v>please select a BUG ID</v>
      </c>
    </row>
    <row r="1568">
      <c r="A1568" s="54"/>
      <c r="B1568" s="71" t="str">
        <f>IFERROR(HYPERLINK(VLOOKUP(A1568,Internal_lists_bugs!$A$2:$C$73,3,FALSE()), VLOOKUP(A1568,Internal_lists_bugs!$A$2:$C$73,3,FALSE())&amp;Char(10) &amp; Char(10) &amp; VLOOKUP(A1568,Internal_lists_bugs!$A$2:$Z$73,26,FALSE())),"please select a BUG ID")</f>
        <v>please select a BUG ID</v>
      </c>
      <c r="C1568" s="51" t="str">
        <f>IFERROR(SUBSTITUTE(VLOOKUP(A1568,Internal_lists_bugs!$A$2:$G2031,7,FALSE()),"nova/commit","nova/src/commit"),"please select a BUG ID")</f>
        <v>please select a BUG ID</v>
      </c>
      <c r="D1568" s="54"/>
      <c r="F1568" s="54"/>
      <c r="H1568" s="114"/>
      <c r="J1568" s="183" t="str">
        <f>IFERROR(VLOOKUP(A1568,Internal_lists_bugs!$A$2:$I2031,9,FALSE()),"please select a BUG ID")</f>
        <v>please select a BUG ID</v>
      </c>
    </row>
    <row r="1569">
      <c r="A1569" s="54"/>
      <c r="B1569" s="71" t="str">
        <f>IFERROR(HYPERLINK(VLOOKUP(A1569,Internal_lists_bugs!$A$2:$C$73,3,FALSE()), VLOOKUP(A1569,Internal_lists_bugs!$A$2:$C$73,3,FALSE())&amp;Char(10) &amp; Char(10) &amp; VLOOKUP(A1569,Internal_lists_bugs!$A$2:$Z$73,26,FALSE())),"please select a BUG ID")</f>
        <v>please select a BUG ID</v>
      </c>
      <c r="C1569" s="51" t="str">
        <f>IFERROR(SUBSTITUTE(VLOOKUP(A1569,Internal_lists_bugs!$A$2:$G2031,7,FALSE()),"nova/commit","nova/src/commit"),"please select a BUG ID")</f>
        <v>please select a BUG ID</v>
      </c>
      <c r="D1569" s="54"/>
      <c r="F1569" s="54"/>
      <c r="H1569" s="114"/>
      <c r="J1569" s="183" t="str">
        <f>IFERROR(VLOOKUP(A1569,Internal_lists_bugs!$A$2:$I2031,9,FALSE()),"please select a BUG ID")</f>
        <v>please select a BUG ID</v>
      </c>
    </row>
    <row r="1570">
      <c r="A1570" s="54"/>
      <c r="B1570" s="71" t="str">
        <f>IFERROR(HYPERLINK(VLOOKUP(A1570,Internal_lists_bugs!$A$2:$C$73,3,FALSE()), VLOOKUP(A1570,Internal_lists_bugs!$A$2:$C$73,3,FALSE())&amp;Char(10) &amp; Char(10) &amp; VLOOKUP(A1570,Internal_lists_bugs!$A$2:$Z$73,26,FALSE())),"please select a BUG ID")</f>
        <v>please select a BUG ID</v>
      </c>
      <c r="C1570" s="51" t="str">
        <f>IFERROR(SUBSTITUTE(VLOOKUP(A1570,Internal_lists_bugs!$A$2:$G2031,7,FALSE()),"nova/commit","nova/src/commit"),"please select a BUG ID")</f>
        <v>please select a BUG ID</v>
      </c>
      <c r="D1570" s="54"/>
      <c r="F1570" s="54"/>
      <c r="H1570" s="114"/>
      <c r="J1570" s="183" t="str">
        <f>IFERROR(VLOOKUP(A1570,Internal_lists_bugs!$A$2:$I2031,9,FALSE()),"please select a BUG ID")</f>
        <v>please select a BUG ID</v>
      </c>
    </row>
    <row r="1571">
      <c r="A1571" s="54"/>
      <c r="B1571" s="71" t="str">
        <f>IFERROR(HYPERLINK(VLOOKUP(A1571,Internal_lists_bugs!$A$2:$C$73,3,FALSE()), VLOOKUP(A1571,Internal_lists_bugs!$A$2:$C$73,3,FALSE())&amp;Char(10) &amp; Char(10) &amp; VLOOKUP(A1571,Internal_lists_bugs!$A$2:$Z$73,26,FALSE())),"please select a BUG ID")</f>
        <v>please select a BUG ID</v>
      </c>
      <c r="C1571" s="51" t="str">
        <f>IFERROR(SUBSTITUTE(VLOOKUP(A1571,Internal_lists_bugs!$A$2:$G2031,7,FALSE()),"nova/commit","nova/src/commit"),"please select a BUG ID")</f>
        <v>please select a BUG ID</v>
      </c>
      <c r="D1571" s="54"/>
      <c r="F1571" s="54"/>
      <c r="H1571" s="114"/>
      <c r="J1571" s="183" t="str">
        <f>IFERROR(VLOOKUP(A1571,Internal_lists_bugs!$A$2:$I2031,9,FALSE()),"please select a BUG ID")</f>
        <v>please select a BUG ID</v>
      </c>
    </row>
    <row r="1572">
      <c r="A1572" s="54"/>
      <c r="B1572" s="71" t="str">
        <f>IFERROR(HYPERLINK(VLOOKUP(A1572,Internal_lists_bugs!$A$2:$C$73,3,FALSE()), VLOOKUP(A1572,Internal_lists_bugs!$A$2:$C$73,3,FALSE())&amp;Char(10) &amp; Char(10) &amp; VLOOKUP(A1572,Internal_lists_bugs!$A$2:$Z$73,26,FALSE())),"please select a BUG ID")</f>
        <v>please select a BUG ID</v>
      </c>
      <c r="C1572" s="51" t="str">
        <f>IFERROR(SUBSTITUTE(VLOOKUP(A1572,Internal_lists_bugs!$A$2:$G2031,7,FALSE()),"nova/commit","nova/src/commit"),"please select a BUG ID")</f>
        <v>please select a BUG ID</v>
      </c>
      <c r="D1572" s="54"/>
      <c r="F1572" s="54"/>
      <c r="H1572" s="114"/>
      <c r="J1572" s="183" t="str">
        <f>IFERROR(VLOOKUP(A1572,Internal_lists_bugs!$A$2:$I2031,9,FALSE()),"please select a BUG ID")</f>
        <v>please select a BUG ID</v>
      </c>
    </row>
    <row r="1573">
      <c r="A1573" s="54"/>
      <c r="B1573" s="71" t="str">
        <f>IFERROR(HYPERLINK(VLOOKUP(A1573,Internal_lists_bugs!$A$2:$C$73,3,FALSE()), VLOOKUP(A1573,Internal_lists_bugs!$A$2:$C$73,3,FALSE())&amp;Char(10) &amp; Char(10) &amp; VLOOKUP(A1573,Internal_lists_bugs!$A$2:$Z$73,26,FALSE())),"please select a BUG ID")</f>
        <v>please select a BUG ID</v>
      </c>
      <c r="C1573" s="51" t="str">
        <f>IFERROR(SUBSTITUTE(VLOOKUP(A1573,Internal_lists_bugs!$A$2:$G2031,7,FALSE()),"nova/commit","nova/src/commit"),"please select a BUG ID")</f>
        <v>please select a BUG ID</v>
      </c>
      <c r="D1573" s="54"/>
      <c r="F1573" s="54"/>
      <c r="H1573" s="114"/>
      <c r="J1573" s="183" t="str">
        <f>IFERROR(VLOOKUP(A1573,Internal_lists_bugs!$A$2:$I2031,9,FALSE()),"please select a BUG ID")</f>
        <v>please select a BUG ID</v>
      </c>
    </row>
    <row r="1574">
      <c r="A1574" s="54"/>
      <c r="B1574" s="71" t="str">
        <f>IFERROR(HYPERLINK(VLOOKUP(A1574,Internal_lists_bugs!$A$2:$C$73,3,FALSE()), VLOOKUP(A1574,Internal_lists_bugs!$A$2:$C$73,3,FALSE())&amp;Char(10) &amp; Char(10) &amp; VLOOKUP(A1574,Internal_lists_bugs!$A$2:$Z$73,26,FALSE())),"please select a BUG ID")</f>
        <v>please select a BUG ID</v>
      </c>
      <c r="C1574" s="51" t="str">
        <f>IFERROR(SUBSTITUTE(VLOOKUP(A1574,Internal_lists_bugs!$A$2:$G2031,7,FALSE()),"nova/commit","nova/src/commit"),"please select a BUG ID")</f>
        <v>please select a BUG ID</v>
      </c>
      <c r="D1574" s="54"/>
      <c r="F1574" s="54"/>
      <c r="H1574" s="114"/>
      <c r="J1574" s="183" t="str">
        <f>IFERROR(VLOOKUP(A1574,Internal_lists_bugs!$A$2:$I2031,9,FALSE()),"please select a BUG ID")</f>
        <v>please select a BUG ID</v>
      </c>
    </row>
    <row r="1575">
      <c r="A1575" s="54"/>
      <c r="B1575" s="71" t="str">
        <f>IFERROR(HYPERLINK(VLOOKUP(A1575,Internal_lists_bugs!$A$2:$C$73,3,FALSE()), VLOOKUP(A1575,Internal_lists_bugs!$A$2:$C$73,3,FALSE())&amp;Char(10) &amp; Char(10) &amp; VLOOKUP(A1575,Internal_lists_bugs!$A$2:$Z$73,26,FALSE())),"please select a BUG ID")</f>
        <v>please select a BUG ID</v>
      </c>
      <c r="C1575" s="51" t="str">
        <f>IFERROR(SUBSTITUTE(VLOOKUP(A1575,Internal_lists_bugs!$A$2:$G2031,7,FALSE()),"nova/commit","nova/src/commit"),"please select a BUG ID")</f>
        <v>please select a BUG ID</v>
      </c>
      <c r="D1575" s="54"/>
      <c r="F1575" s="54"/>
      <c r="H1575" s="114"/>
      <c r="J1575" s="183" t="str">
        <f>IFERROR(VLOOKUP(A1575,Internal_lists_bugs!$A$2:$I2031,9,FALSE()),"please select a BUG ID")</f>
        <v>please select a BUG ID</v>
      </c>
    </row>
    <row r="1576">
      <c r="A1576" s="54"/>
      <c r="B1576" s="71" t="str">
        <f>IFERROR(HYPERLINK(VLOOKUP(A1576,Internal_lists_bugs!$A$2:$C$73,3,FALSE()), VLOOKUP(A1576,Internal_lists_bugs!$A$2:$C$73,3,FALSE())&amp;Char(10) &amp; Char(10) &amp; VLOOKUP(A1576,Internal_lists_bugs!$A$2:$Z$73,26,FALSE())),"please select a BUG ID")</f>
        <v>please select a BUG ID</v>
      </c>
      <c r="C1576" s="51" t="str">
        <f>IFERROR(SUBSTITUTE(VLOOKUP(A1576,Internal_lists_bugs!$A$2:$G2031,7,FALSE()),"nova/commit","nova/src/commit"),"please select a BUG ID")</f>
        <v>please select a BUG ID</v>
      </c>
      <c r="D1576" s="54"/>
      <c r="F1576" s="54"/>
      <c r="H1576" s="114"/>
      <c r="J1576" s="183" t="str">
        <f>IFERROR(VLOOKUP(A1576,Internal_lists_bugs!$A$2:$I2031,9,FALSE()),"please select a BUG ID")</f>
        <v>please select a BUG ID</v>
      </c>
    </row>
    <row r="1577">
      <c r="A1577" s="54"/>
      <c r="B1577" s="71" t="str">
        <f>IFERROR(HYPERLINK(VLOOKUP(A1577,Internal_lists_bugs!$A$2:$C$73,3,FALSE()), VLOOKUP(A1577,Internal_lists_bugs!$A$2:$C$73,3,FALSE())&amp;Char(10) &amp; Char(10) &amp; VLOOKUP(A1577,Internal_lists_bugs!$A$2:$Z$73,26,FALSE())),"please select a BUG ID")</f>
        <v>please select a BUG ID</v>
      </c>
      <c r="C1577" s="51" t="str">
        <f>IFERROR(SUBSTITUTE(VLOOKUP(A1577,Internal_lists_bugs!$A$2:$G2031,7,FALSE()),"nova/commit","nova/src/commit"),"please select a BUG ID")</f>
        <v>please select a BUG ID</v>
      </c>
      <c r="D1577" s="54"/>
      <c r="F1577" s="54"/>
      <c r="H1577" s="114"/>
      <c r="J1577" s="183" t="str">
        <f>IFERROR(VLOOKUP(A1577,Internal_lists_bugs!$A$2:$I2031,9,FALSE()),"please select a BUG ID")</f>
        <v>please select a BUG ID</v>
      </c>
    </row>
    <row r="1578">
      <c r="A1578" s="54"/>
      <c r="B1578" s="71" t="str">
        <f>IFERROR(HYPERLINK(VLOOKUP(A1578,Internal_lists_bugs!$A$2:$C$73,3,FALSE()), VLOOKUP(A1578,Internal_lists_bugs!$A$2:$C$73,3,FALSE())&amp;Char(10) &amp; Char(10) &amp; VLOOKUP(A1578,Internal_lists_bugs!$A$2:$Z$73,26,FALSE())),"please select a BUG ID")</f>
        <v>please select a BUG ID</v>
      </c>
      <c r="C1578" s="51" t="str">
        <f>IFERROR(SUBSTITUTE(VLOOKUP(A1578,Internal_lists_bugs!$A$2:$G2031,7,FALSE()),"nova/commit","nova/src/commit"),"please select a BUG ID")</f>
        <v>please select a BUG ID</v>
      </c>
      <c r="D1578" s="54"/>
      <c r="F1578" s="54"/>
      <c r="H1578" s="114"/>
      <c r="J1578" s="183" t="str">
        <f>IFERROR(VLOOKUP(A1578,Internal_lists_bugs!$A$2:$I2031,9,FALSE()),"please select a BUG ID")</f>
        <v>please select a BUG ID</v>
      </c>
    </row>
    <row r="1579">
      <c r="A1579" s="54"/>
      <c r="B1579" s="71" t="str">
        <f>IFERROR(HYPERLINK(VLOOKUP(A1579,Internal_lists_bugs!$A$2:$C$73,3,FALSE()), VLOOKUP(A1579,Internal_lists_bugs!$A$2:$C$73,3,FALSE())&amp;Char(10) &amp; Char(10) &amp; VLOOKUP(A1579,Internal_lists_bugs!$A$2:$Z$73,26,FALSE())),"please select a BUG ID")</f>
        <v>please select a BUG ID</v>
      </c>
      <c r="C1579" s="51" t="str">
        <f>IFERROR(SUBSTITUTE(VLOOKUP(A1579,Internal_lists_bugs!$A$2:$G2031,7,FALSE()),"nova/commit","nova/src/commit"),"please select a BUG ID")</f>
        <v>please select a BUG ID</v>
      </c>
      <c r="D1579" s="54"/>
      <c r="F1579" s="54"/>
      <c r="H1579" s="114"/>
      <c r="J1579" s="183" t="str">
        <f>IFERROR(VLOOKUP(A1579,Internal_lists_bugs!$A$2:$I2031,9,FALSE()),"please select a BUG ID")</f>
        <v>please select a BUG ID</v>
      </c>
    </row>
    <row r="1580">
      <c r="A1580" s="54"/>
      <c r="B1580" s="71" t="str">
        <f>IFERROR(HYPERLINK(VLOOKUP(A1580,Internal_lists_bugs!$A$2:$C$73,3,FALSE()), VLOOKUP(A1580,Internal_lists_bugs!$A$2:$C$73,3,FALSE())&amp;Char(10) &amp; Char(10) &amp; VLOOKUP(A1580,Internal_lists_bugs!$A$2:$Z$73,26,FALSE())),"please select a BUG ID")</f>
        <v>please select a BUG ID</v>
      </c>
      <c r="C1580" s="51" t="str">
        <f>IFERROR(SUBSTITUTE(VLOOKUP(A1580,Internal_lists_bugs!$A$2:$G2031,7,FALSE()),"nova/commit","nova/src/commit"),"please select a BUG ID")</f>
        <v>please select a BUG ID</v>
      </c>
      <c r="D1580" s="54"/>
      <c r="F1580" s="54"/>
      <c r="H1580" s="114"/>
      <c r="J1580" s="183" t="str">
        <f>IFERROR(VLOOKUP(A1580,Internal_lists_bugs!$A$2:$I2031,9,FALSE()),"please select a BUG ID")</f>
        <v>please select a BUG ID</v>
      </c>
    </row>
    <row r="1581">
      <c r="A1581" s="54"/>
      <c r="B1581" s="71" t="str">
        <f>IFERROR(HYPERLINK(VLOOKUP(A1581,Internal_lists_bugs!$A$2:$C$73,3,FALSE()), VLOOKUP(A1581,Internal_lists_bugs!$A$2:$C$73,3,FALSE())&amp;Char(10) &amp; Char(10) &amp; VLOOKUP(A1581,Internal_lists_bugs!$A$2:$Z$73,26,FALSE())),"please select a BUG ID")</f>
        <v>please select a BUG ID</v>
      </c>
      <c r="C1581" s="51" t="str">
        <f>IFERROR(SUBSTITUTE(VLOOKUP(A1581,Internal_lists_bugs!$A$2:$G2031,7,FALSE()),"nova/commit","nova/src/commit"),"please select a BUG ID")</f>
        <v>please select a BUG ID</v>
      </c>
      <c r="D1581" s="54"/>
      <c r="F1581" s="54"/>
      <c r="H1581" s="114"/>
      <c r="J1581" s="183" t="str">
        <f>IFERROR(VLOOKUP(A1581,Internal_lists_bugs!$A$2:$I2031,9,FALSE()),"please select a BUG ID")</f>
        <v>please select a BUG ID</v>
      </c>
    </row>
    <row r="1582">
      <c r="A1582" s="54"/>
      <c r="B1582" s="71" t="str">
        <f>IFERROR(HYPERLINK(VLOOKUP(A1582,Internal_lists_bugs!$A$2:$C$73,3,FALSE()), VLOOKUP(A1582,Internal_lists_bugs!$A$2:$C$73,3,FALSE())&amp;Char(10) &amp; Char(10) &amp; VLOOKUP(A1582,Internal_lists_bugs!$A$2:$Z$73,26,FALSE())),"please select a BUG ID")</f>
        <v>please select a BUG ID</v>
      </c>
      <c r="C1582" s="51" t="str">
        <f>IFERROR(SUBSTITUTE(VLOOKUP(A1582,Internal_lists_bugs!$A$2:$G2031,7,FALSE()),"nova/commit","nova/src/commit"),"please select a BUG ID")</f>
        <v>please select a BUG ID</v>
      </c>
      <c r="D1582" s="54"/>
      <c r="F1582" s="54"/>
      <c r="H1582" s="114"/>
      <c r="J1582" s="183" t="str">
        <f>IFERROR(VLOOKUP(A1582,Internal_lists_bugs!$A$2:$I2031,9,FALSE()),"please select a BUG ID")</f>
        <v>please select a BUG ID</v>
      </c>
    </row>
    <row r="1583">
      <c r="A1583" s="54"/>
      <c r="B1583" s="71" t="str">
        <f>IFERROR(HYPERLINK(VLOOKUP(A1583,Internal_lists_bugs!$A$2:$C$73,3,FALSE()), VLOOKUP(A1583,Internal_lists_bugs!$A$2:$C$73,3,FALSE())&amp;Char(10) &amp; Char(10) &amp; VLOOKUP(A1583,Internal_lists_bugs!$A$2:$Z$73,26,FALSE())),"please select a BUG ID")</f>
        <v>please select a BUG ID</v>
      </c>
      <c r="C1583" s="51" t="str">
        <f>IFERROR(SUBSTITUTE(VLOOKUP(A1583,Internal_lists_bugs!$A$2:$G2031,7,FALSE()),"nova/commit","nova/src/commit"),"please select a BUG ID")</f>
        <v>please select a BUG ID</v>
      </c>
      <c r="D1583" s="54"/>
      <c r="F1583" s="54"/>
      <c r="H1583" s="114"/>
      <c r="J1583" s="183" t="str">
        <f>IFERROR(VLOOKUP(A1583,Internal_lists_bugs!$A$2:$I2031,9,FALSE()),"please select a BUG ID")</f>
        <v>please select a BUG ID</v>
      </c>
    </row>
    <row r="1584">
      <c r="A1584" s="54"/>
      <c r="B1584" s="71" t="str">
        <f>IFERROR(HYPERLINK(VLOOKUP(A1584,Internal_lists_bugs!$A$2:$C$73,3,FALSE()), VLOOKUP(A1584,Internal_lists_bugs!$A$2:$C$73,3,FALSE())&amp;Char(10) &amp; Char(10) &amp; VLOOKUP(A1584,Internal_lists_bugs!$A$2:$Z$73,26,FALSE())),"please select a BUG ID")</f>
        <v>please select a BUG ID</v>
      </c>
      <c r="C1584" s="51" t="str">
        <f>IFERROR(SUBSTITUTE(VLOOKUP(A1584,Internal_lists_bugs!$A$2:$G2031,7,FALSE()),"nova/commit","nova/src/commit"),"please select a BUG ID")</f>
        <v>please select a BUG ID</v>
      </c>
      <c r="D1584" s="54"/>
      <c r="F1584" s="54"/>
      <c r="H1584" s="114"/>
      <c r="J1584" s="183" t="str">
        <f>IFERROR(VLOOKUP(A1584,Internal_lists_bugs!$A$2:$I2031,9,FALSE()),"please select a BUG ID")</f>
        <v>please select a BUG ID</v>
      </c>
    </row>
    <row r="1585">
      <c r="A1585" s="54"/>
      <c r="B1585" s="71" t="str">
        <f>IFERROR(HYPERLINK(VLOOKUP(A1585,Internal_lists_bugs!$A$2:$C$73,3,FALSE()), VLOOKUP(A1585,Internal_lists_bugs!$A$2:$C$73,3,FALSE())&amp;Char(10) &amp; Char(10) &amp; VLOOKUP(A1585,Internal_lists_bugs!$A$2:$Z$73,26,FALSE())),"please select a BUG ID")</f>
        <v>please select a BUG ID</v>
      </c>
      <c r="C1585" s="51" t="str">
        <f>IFERROR(SUBSTITUTE(VLOOKUP(A1585,Internal_lists_bugs!$A$2:$G2031,7,FALSE()),"nova/commit","nova/src/commit"),"please select a BUG ID")</f>
        <v>please select a BUG ID</v>
      </c>
      <c r="D1585" s="54"/>
      <c r="F1585" s="54"/>
      <c r="H1585" s="114"/>
      <c r="J1585" s="183" t="str">
        <f>IFERROR(VLOOKUP(A1585,Internal_lists_bugs!$A$2:$I2031,9,FALSE()),"please select a BUG ID")</f>
        <v>please select a BUG ID</v>
      </c>
    </row>
    <row r="1586">
      <c r="A1586" s="54"/>
      <c r="B1586" s="71" t="str">
        <f>IFERROR(HYPERLINK(VLOOKUP(A1586,Internal_lists_bugs!$A$2:$C$73,3,FALSE()), VLOOKUP(A1586,Internal_lists_bugs!$A$2:$C$73,3,FALSE())&amp;Char(10) &amp; Char(10) &amp; VLOOKUP(A1586,Internal_lists_bugs!$A$2:$Z$73,26,FALSE())),"please select a BUG ID")</f>
        <v>please select a BUG ID</v>
      </c>
      <c r="C1586" s="51" t="str">
        <f>IFERROR(SUBSTITUTE(VLOOKUP(A1586,Internal_lists_bugs!$A$2:$G2031,7,FALSE()),"nova/commit","nova/src/commit"),"please select a BUG ID")</f>
        <v>please select a BUG ID</v>
      </c>
      <c r="D1586" s="54"/>
      <c r="F1586" s="54"/>
      <c r="H1586" s="114"/>
      <c r="J1586" s="183" t="str">
        <f>IFERROR(VLOOKUP(A1586,Internal_lists_bugs!$A$2:$I2031,9,FALSE()),"please select a BUG ID")</f>
        <v>please select a BUG ID</v>
      </c>
    </row>
    <row r="1587">
      <c r="A1587" s="54"/>
      <c r="B1587" s="71" t="str">
        <f>IFERROR(HYPERLINK(VLOOKUP(A1587,Internal_lists_bugs!$A$2:$C$73,3,FALSE()), VLOOKUP(A1587,Internal_lists_bugs!$A$2:$C$73,3,FALSE())&amp;Char(10) &amp; Char(10) &amp; VLOOKUP(A1587,Internal_lists_bugs!$A$2:$Z$73,26,FALSE())),"please select a BUG ID")</f>
        <v>please select a BUG ID</v>
      </c>
      <c r="C1587" s="51" t="str">
        <f>IFERROR(SUBSTITUTE(VLOOKUP(A1587,Internal_lists_bugs!$A$2:$G2031,7,FALSE()),"nova/commit","nova/src/commit"),"please select a BUG ID")</f>
        <v>please select a BUG ID</v>
      </c>
      <c r="D1587" s="54"/>
      <c r="F1587" s="54"/>
      <c r="H1587" s="114"/>
      <c r="J1587" s="183" t="str">
        <f>IFERROR(VLOOKUP(A1587,Internal_lists_bugs!$A$2:$I2031,9,FALSE()),"please select a BUG ID")</f>
        <v>please select a BUG ID</v>
      </c>
    </row>
    <row r="1588">
      <c r="A1588" s="54"/>
      <c r="B1588" s="71" t="str">
        <f>IFERROR(HYPERLINK(VLOOKUP(A1588,Internal_lists_bugs!$A$2:$C$73,3,FALSE()), VLOOKUP(A1588,Internal_lists_bugs!$A$2:$C$73,3,FALSE())&amp;Char(10) &amp; Char(10) &amp; VLOOKUP(A1588,Internal_lists_bugs!$A$2:$Z$73,26,FALSE())),"please select a BUG ID")</f>
        <v>please select a BUG ID</v>
      </c>
      <c r="C1588" s="51" t="str">
        <f>IFERROR(SUBSTITUTE(VLOOKUP(A1588,Internal_lists_bugs!$A$2:$G2031,7,FALSE()),"nova/commit","nova/src/commit"),"please select a BUG ID")</f>
        <v>please select a BUG ID</v>
      </c>
      <c r="D1588" s="54"/>
      <c r="F1588" s="54"/>
      <c r="H1588" s="114"/>
      <c r="J1588" s="183" t="str">
        <f>IFERROR(VLOOKUP(A1588,Internal_lists_bugs!$A$2:$I2031,9,FALSE()),"please select a BUG ID")</f>
        <v>please select a BUG ID</v>
      </c>
    </row>
    <row r="1589">
      <c r="A1589" s="54"/>
      <c r="B1589" s="71" t="str">
        <f>IFERROR(HYPERLINK(VLOOKUP(A1589,Internal_lists_bugs!$A$2:$C$73,3,FALSE()), VLOOKUP(A1589,Internal_lists_bugs!$A$2:$C$73,3,FALSE())&amp;Char(10) &amp; Char(10) &amp; VLOOKUP(A1589,Internal_lists_bugs!$A$2:$Z$73,26,FALSE())),"please select a BUG ID")</f>
        <v>please select a BUG ID</v>
      </c>
      <c r="C1589" s="51" t="str">
        <f>IFERROR(SUBSTITUTE(VLOOKUP(A1589,Internal_lists_bugs!$A$2:$G2031,7,FALSE()),"nova/commit","nova/src/commit"),"please select a BUG ID")</f>
        <v>please select a BUG ID</v>
      </c>
      <c r="D1589" s="54"/>
      <c r="F1589" s="54"/>
      <c r="H1589" s="114"/>
      <c r="J1589" s="183" t="str">
        <f>IFERROR(VLOOKUP(A1589,Internal_lists_bugs!$A$2:$I2031,9,FALSE()),"please select a BUG ID")</f>
        <v>please select a BUG ID</v>
      </c>
    </row>
    <row r="1590">
      <c r="A1590" s="54"/>
      <c r="B1590" s="71" t="str">
        <f>IFERROR(HYPERLINK(VLOOKUP(A1590,Internal_lists_bugs!$A$2:$C$73,3,FALSE()), VLOOKUP(A1590,Internal_lists_bugs!$A$2:$C$73,3,FALSE())&amp;Char(10) &amp; Char(10) &amp; VLOOKUP(A1590,Internal_lists_bugs!$A$2:$Z$73,26,FALSE())),"please select a BUG ID")</f>
        <v>please select a BUG ID</v>
      </c>
      <c r="C1590" s="51" t="str">
        <f>IFERROR(SUBSTITUTE(VLOOKUP(A1590,Internal_lists_bugs!$A$2:$G2031,7,FALSE()),"nova/commit","nova/src/commit"),"please select a BUG ID")</f>
        <v>please select a BUG ID</v>
      </c>
      <c r="D1590" s="54"/>
      <c r="F1590" s="54"/>
      <c r="H1590" s="114"/>
      <c r="J1590" s="183" t="str">
        <f>IFERROR(VLOOKUP(A1590,Internal_lists_bugs!$A$2:$I2031,9,FALSE()),"please select a BUG ID")</f>
        <v>please select a BUG ID</v>
      </c>
    </row>
    <row r="1591">
      <c r="A1591" s="54"/>
      <c r="B1591" s="71" t="str">
        <f>IFERROR(HYPERLINK(VLOOKUP(A1591,Internal_lists_bugs!$A$2:$C$73,3,FALSE()), VLOOKUP(A1591,Internal_lists_bugs!$A$2:$C$73,3,FALSE())&amp;Char(10) &amp; Char(10) &amp; VLOOKUP(A1591,Internal_lists_bugs!$A$2:$Z$73,26,FALSE())),"please select a BUG ID")</f>
        <v>please select a BUG ID</v>
      </c>
      <c r="C1591" s="51" t="str">
        <f>IFERROR(SUBSTITUTE(VLOOKUP(A1591,Internal_lists_bugs!$A$2:$G2031,7,FALSE()),"nova/commit","nova/src/commit"),"please select a BUG ID")</f>
        <v>please select a BUG ID</v>
      </c>
      <c r="D1591" s="54"/>
      <c r="F1591" s="54"/>
      <c r="H1591" s="114"/>
      <c r="J1591" s="183" t="str">
        <f>IFERROR(VLOOKUP(A1591,Internal_lists_bugs!$A$2:$I2031,9,FALSE()),"please select a BUG ID")</f>
        <v>please select a BUG ID</v>
      </c>
    </row>
    <row r="1592">
      <c r="A1592" s="54"/>
      <c r="B1592" s="71" t="str">
        <f>IFERROR(HYPERLINK(VLOOKUP(A1592,Internal_lists_bugs!$A$2:$C$73,3,FALSE()), VLOOKUP(A1592,Internal_lists_bugs!$A$2:$C$73,3,FALSE())&amp;Char(10) &amp; Char(10) &amp; VLOOKUP(A1592,Internal_lists_bugs!$A$2:$Z$73,26,FALSE())),"please select a BUG ID")</f>
        <v>please select a BUG ID</v>
      </c>
      <c r="C1592" s="51" t="str">
        <f>IFERROR(SUBSTITUTE(VLOOKUP(A1592,Internal_lists_bugs!$A$2:$G2031,7,FALSE()),"nova/commit","nova/src/commit"),"please select a BUG ID")</f>
        <v>please select a BUG ID</v>
      </c>
      <c r="D1592" s="54"/>
      <c r="F1592" s="54"/>
      <c r="H1592" s="114"/>
      <c r="J1592" s="183" t="str">
        <f>IFERROR(VLOOKUP(A1592,Internal_lists_bugs!$A$2:$I2031,9,FALSE()),"please select a BUG ID")</f>
        <v>please select a BUG ID</v>
      </c>
    </row>
    <row r="1593">
      <c r="A1593" s="54"/>
      <c r="B1593" s="71" t="str">
        <f>IFERROR(HYPERLINK(VLOOKUP(A1593,Internal_lists_bugs!$A$2:$C$73,3,FALSE()), VLOOKUP(A1593,Internal_lists_bugs!$A$2:$C$73,3,FALSE())&amp;Char(10) &amp; Char(10) &amp; VLOOKUP(A1593,Internal_lists_bugs!$A$2:$Z$73,26,FALSE())),"please select a BUG ID")</f>
        <v>please select a BUG ID</v>
      </c>
      <c r="C1593" s="51" t="str">
        <f>IFERROR(SUBSTITUTE(VLOOKUP(A1593,Internal_lists_bugs!$A$2:$G2031,7,FALSE()),"nova/commit","nova/src/commit"),"please select a BUG ID")</f>
        <v>please select a BUG ID</v>
      </c>
      <c r="D1593" s="54"/>
      <c r="F1593" s="54"/>
      <c r="H1593" s="114"/>
      <c r="J1593" s="183" t="str">
        <f>IFERROR(VLOOKUP(A1593,Internal_lists_bugs!$A$2:$I2031,9,FALSE()),"please select a BUG ID")</f>
        <v>please select a BUG ID</v>
      </c>
    </row>
    <row r="1594">
      <c r="A1594" s="54"/>
      <c r="B1594" s="71" t="str">
        <f>IFERROR(HYPERLINK(VLOOKUP(A1594,Internal_lists_bugs!$A$2:$C$73,3,FALSE()), VLOOKUP(A1594,Internal_lists_bugs!$A$2:$C$73,3,FALSE())&amp;Char(10) &amp; Char(10) &amp; VLOOKUP(A1594,Internal_lists_bugs!$A$2:$Z$73,26,FALSE())),"please select a BUG ID")</f>
        <v>please select a BUG ID</v>
      </c>
      <c r="C1594" s="51" t="str">
        <f>IFERROR(SUBSTITUTE(VLOOKUP(A1594,Internal_lists_bugs!$A$2:$G2031,7,FALSE()),"nova/commit","nova/src/commit"),"please select a BUG ID")</f>
        <v>please select a BUG ID</v>
      </c>
      <c r="D1594" s="54"/>
      <c r="F1594" s="54"/>
      <c r="H1594" s="114"/>
      <c r="J1594" s="183" t="str">
        <f>IFERROR(VLOOKUP(A1594,Internal_lists_bugs!$A$2:$I2031,9,FALSE()),"please select a BUG ID")</f>
        <v>please select a BUG ID</v>
      </c>
    </row>
    <row r="1595">
      <c r="A1595" s="54"/>
      <c r="B1595" s="71" t="str">
        <f>IFERROR(HYPERLINK(VLOOKUP(A1595,Internal_lists_bugs!$A$2:$C$73,3,FALSE()), VLOOKUP(A1595,Internal_lists_bugs!$A$2:$C$73,3,FALSE())&amp;Char(10) &amp; Char(10) &amp; VLOOKUP(A1595,Internal_lists_bugs!$A$2:$Z$73,26,FALSE())),"please select a BUG ID")</f>
        <v>please select a BUG ID</v>
      </c>
      <c r="C1595" s="51" t="str">
        <f>IFERROR(SUBSTITUTE(VLOOKUP(A1595,Internal_lists_bugs!$A$2:$G2031,7,FALSE()),"nova/commit","nova/src/commit"),"please select a BUG ID")</f>
        <v>please select a BUG ID</v>
      </c>
      <c r="D1595" s="54"/>
      <c r="F1595" s="54"/>
      <c r="H1595" s="114"/>
      <c r="J1595" s="183" t="str">
        <f>IFERROR(VLOOKUP(A1595,Internal_lists_bugs!$A$2:$I2031,9,FALSE()),"please select a BUG ID")</f>
        <v>please select a BUG ID</v>
      </c>
    </row>
    <row r="1596">
      <c r="A1596" s="54"/>
      <c r="B1596" s="71" t="str">
        <f>IFERROR(HYPERLINK(VLOOKUP(A1596,Internal_lists_bugs!$A$2:$C$73,3,FALSE()), VLOOKUP(A1596,Internal_lists_bugs!$A$2:$C$73,3,FALSE())&amp;Char(10) &amp; Char(10) &amp; VLOOKUP(A1596,Internal_lists_bugs!$A$2:$Z$73,26,FALSE())),"please select a BUG ID")</f>
        <v>please select a BUG ID</v>
      </c>
      <c r="C1596" s="51" t="str">
        <f>IFERROR(SUBSTITUTE(VLOOKUP(A1596,Internal_lists_bugs!$A$2:$G2031,7,FALSE()),"nova/commit","nova/src/commit"),"please select a BUG ID")</f>
        <v>please select a BUG ID</v>
      </c>
      <c r="D1596" s="54"/>
      <c r="F1596" s="54"/>
      <c r="H1596" s="114"/>
      <c r="J1596" s="183" t="str">
        <f>IFERROR(VLOOKUP(A1596,Internal_lists_bugs!$A$2:$I2031,9,FALSE()),"please select a BUG ID")</f>
        <v>please select a BUG ID</v>
      </c>
    </row>
    <row r="1597">
      <c r="A1597" s="54"/>
      <c r="B1597" s="71" t="str">
        <f>IFERROR(HYPERLINK(VLOOKUP(A1597,Internal_lists_bugs!$A$2:$C$73,3,FALSE()), VLOOKUP(A1597,Internal_lists_bugs!$A$2:$C$73,3,FALSE())&amp;Char(10) &amp; Char(10) &amp; VLOOKUP(A1597,Internal_lists_bugs!$A$2:$Z$73,26,FALSE())),"please select a BUG ID")</f>
        <v>please select a BUG ID</v>
      </c>
      <c r="C1597" s="51" t="str">
        <f>IFERROR(SUBSTITUTE(VLOOKUP(A1597,Internal_lists_bugs!$A$2:$G2031,7,FALSE()),"nova/commit","nova/src/commit"),"please select a BUG ID")</f>
        <v>please select a BUG ID</v>
      </c>
      <c r="D1597" s="54"/>
      <c r="F1597" s="54"/>
      <c r="H1597" s="114"/>
      <c r="J1597" s="183" t="str">
        <f>IFERROR(VLOOKUP(A1597,Internal_lists_bugs!$A$2:$I2031,9,FALSE()),"please select a BUG ID")</f>
        <v>please select a BUG ID</v>
      </c>
    </row>
    <row r="1598">
      <c r="A1598" s="54"/>
      <c r="B1598" s="71" t="str">
        <f>IFERROR(HYPERLINK(VLOOKUP(A1598,Internal_lists_bugs!$A$2:$C$73,3,FALSE()), VLOOKUP(A1598,Internal_lists_bugs!$A$2:$C$73,3,FALSE())&amp;Char(10) &amp; Char(10) &amp; VLOOKUP(A1598,Internal_lists_bugs!$A$2:$Z$73,26,FALSE())),"please select a BUG ID")</f>
        <v>please select a BUG ID</v>
      </c>
      <c r="C1598" s="51" t="str">
        <f>IFERROR(SUBSTITUTE(VLOOKUP(A1598,Internal_lists_bugs!$A$2:$G2031,7,FALSE()),"nova/commit","nova/src/commit"),"please select a BUG ID")</f>
        <v>please select a BUG ID</v>
      </c>
      <c r="D1598" s="54"/>
      <c r="F1598" s="54"/>
      <c r="H1598" s="114"/>
      <c r="J1598" s="183" t="str">
        <f>IFERROR(VLOOKUP(A1598,Internal_lists_bugs!$A$2:$I2031,9,FALSE()),"please select a BUG ID")</f>
        <v>please select a BUG ID</v>
      </c>
    </row>
    <row r="1599">
      <c r="A1599" s="54"/>
      <c r="B1599" s="71" t="str">
        <f>IFERROR(HYPERLINK(VLOOKUP(A1599,Internal_lists_bugs!$A$2:$C$73,3,FALSE()), VLOOKUP(A1599,Internal_lists_bugs!$A$2:$C$73,3,FALSE())&amp;Char(10) &amp; Char(10) &amp; VLOOKUP(A1599,Internal_lists_bugs!$A$2:$Z$73,26,FALSE())),"please select a BUG ID")</f>
        <v>please select a BUG ID</v>
      </c>
      <c r="C1599" s="51" t="str">
        <f>IFERROR(SUBSTITUTE(VLOOKUP(A1599,Internal_lists_bugs!$A$2:$G2031,7,FALSE()),"nova/commit","nova/src/commit"),"please select a BUG ID")</f>
        <v>please select a BUG ID</v>
      </c>
      <c r="D1599" s="54"/>
      <c r="F1599" s="54"/>
      <c r="H1599" s="114"/>
      <c r="J1599" s="183" t="str">
        <f>IFERROR(VLOOKUP(A1599,Internal_lists_bugs!$A$2:$I2031,9,FALSE()),"please select a BUG ID")</f>
        <v>please select a BUG ID</v>
      </c>
    </row>
    <row r="1600">
      <c r="A1600" s="54"/>
      <c r="B1600" s="71" t="str">
        <f>IFERROR(HYPERLINK(VLOOKUP(A1600,Internal_lists_bugs!$A$2:$C$73,3,FALSE()), VLOOKUP(A1600,Internal_lists_bugs!$A$2:$C$73,3,FALSE())&amp;Char(10) &amp; Char(10) &amp; VLOOKUP(A1600,Internal_lists_bugs!$A$2:$Z$73,26,FALSE())),"please select a BUG ID")</f>
        <v>please select a BUG ID</v>
      </c>
      <c r="C1600" s="51" t="str">
        <f>IFERROR(SUBSTITUTE(VLOOKUP(A1600,Internal_lists_bugs!$A$2:$G2031,7,FALSE()),"nova/commit","nova/src/commit"),"please select a BUG ID")</f>
        <v>please select a BUG ID</v>
      </c>
      <c r="D1600" s="54"/>
      <c r="F1600" s="54"/>
      <c r="H1600" s="114"/>
      <c r="J1600" s="183" t="str">
        <f>IFERROR(VLOOKUP(A1600,Internal_lists_bugs!$A$2:$I2031,9,FALSE()),"please select a BUG ID")</f>
        <v>please select a BUG ID</v>
      </c>
    </row>
    <row r="1601">
      <c r="A1601" s="54"/>
      <c r="B1601" s="71" t="str">
        <f>IFERROR(HYPERLINK(VLOOKUP(A1601,Internal_lists_bugs!$A$2:$C$73,3,FALSE()), VLOOKUP(A1601,Internal_lists_bugs!$A$2:$C$73,3,FALSE())&amp;Char(10) &amp; Char(10) &amp; VLOOKUP(A1601,Internal_lists_bugs!$A$2:$Z$73,26,FALSE())),"please select a BUG ID")</f>
        <v>please select a BUG ID</v>
      </c>
      <c r="C1601" s="51" t="str">
        <f>IFERROR(SUBSTITUTE(VLOOKUP(A1601,Internal_lists_bugs!$A$2:$G2031,7,FALSE()),"nova/commit","nova/src/commit"),"please select a BUG ID")</f>
        <v>please select a BUG ID</v>
      </c>
      <c r="D1601" s="54"/>
      <c r="F1601" s="54"/>
      <c r="H1601" s="114"/>
      <c r="J1601" s="183" t="str">
        <f>IFERROR(VLOOKUP(A1601,Internal_lists_bugs!$A$2:$I2031,9,FALSE()),"please select a BUG ID")</f>
        <v>please select a BUG ID</v>
      </c>
    </row>
    <row r="1602">
      <c r="A1602" s="54"/>
      <c r="B1602" s="71" t="str">
        <f>IFERROR(HYPERLINK(VLOOKUP(A1602,Internal_lists_bugs!$A$2:$C$73,3,FALSE()), VLOOKUP(A1602,Internal_lists_bugs!$A$2:$C$73,3,FALSE())&amp;Char(10) &amp; Char(10) &amp; VLOOKUP(A1602,Internal_lists_bugs!$A$2:$Z$73,26,FALSE())),"please select a BUG ID")</f>
        <v>please select a BUG ID</v>
      </c>
      <c r="C1602" s="51" t="str">
        <f>IFERROR(SUBSTITUTE(VLOOKUP(A1602,Internal_lists_bugs!$A$2:$G2031,7,FALSE()),"nova/commit","nova/src/commit"),"please select a BUG ID")</f>
        <v>please select a BUG ID</v>
      </c>
      <c r="D1602" s="54"/>
      <c r="F1602" s="54"/>
      <c r="H1602" s="114"/>
      <c r="J1602" s="183" t="str">
        <f>IFERROR(VLOOKUP(A1602,Internal_lists_bugs!$A$2:$I2031,9,FALSE()),"please select a BUG ID")</f>
        <v>please select a BUG ID</v>
      </c>
    </row>
    <row r="1603">
      <c r="A1603" s="54"/>
      <c r="B1603" s="71" t="str">
        <f>IFERROR(HYPERLINK(VLOOKUP(A1603,Internal_lists_bugs!$A$2:$C$73,3,FALSE()), VLOOKUP(A1603,Internal_lists_bugs!$A$2:$C$73,3,FALSE())&amp;Char(10) &amp; Char(10) &amp; VLOOKUP(A1603,Internal_lists_bugs!$A$2:$Z$73,26,FALSE())),"please select a BUG ID")</f>
        <v>please select a BUG ID</v>
      </c>
      <c r="C1603" s="51" t="str">
        <f>IFERROR(SUBSTITUTE(VLOOKUP(A1603,Internal_lists_bugs!$A$2:$G2031,7,FALSE()),"nova/commit","nova/src/commit"),"please select a BUG ID")</f>
        <v>please select a BUG ID</v>
      </c>
      <c r="D1603" s="54"/>
      <c r="F1603" s="54"/>
      <c r="H1603" s="114"/>
      <c r="J1603" s="183" t="str">
        <f>IFERROR(VLOOKUP(A1603,Internal_lists_bugs!$A$2:$I2031,9,FALSE()),"please select a BUG ID")</f>
        <v>please select a BUG ID</v>
      </c>
    </row>
    <row r="1604">
      <c r="A1604" s="54"/>
      <c r="B1604" s="71" t="str">
        <f>IFERROR(HYPERLINK(VLOOKUP(A1604,Internal_lists_bugs!$A$2:$C$73,3,FALSE()), VLOOKUP(A1604,Internal_lists_bugs!$A$2:$C$73,3,FALSE())&amp;Char(10) &amp; Char(10) &amp; VLOOKUP(A1604,Internal_lists_bugs!$A$2:$Z$73,26,FALSE())),"please select a BUG ID")</f>
        <v>please select a BUG ID</v>
      </c>
      <c r="C1604" s="51" t="str">
        <f>IFERROR(SUBSTITUTE(VLOOKUP(A1604,Internal_lists_bugs!$A$2:$G2031,7,FALSE()),"nova/commit","nova/src/commit"),"please select a BUG ID")</f>
        <v>please select a BUG ID</v>
      </c>
      <c r="D1604" s="54"/>
      <c r="F1604" s="54"/>
      <c r="H1604" s="114"/>
      <c r="J1604" s="183" t="str">
        <f>IFERROR(VLOOKUP(A1604,Internal_lists_bugs!$A$2:$I2031,9,FALSE()),"please select a BUG ID")</f>
        <v>please select a BUG ID</v>
      </c>
    </row>
    <row r="1605">
      <c r="A1605" s="54"/>
      <c r="B1605" s="71" t="str">
        <f>IFERROR(HYPERLINK(VLOOKUP(A1605,Internal_lists_bugs!$A$2:$C$73,3,FALSE()), VLOOKUP(A1605,Internal_lists_bugs!$A$2:$C$73,3,FALSE())&amp;Char(10) &amp; Char(10) &amp; VLOOKUP(A1605,Internal_lists_bugs!$A$2:$Z$73,26,FALSE())),"please select a BUG ID")</f>
        <v>please select a BUG ID</v>
      </c>
      <c r="C1605" s="51" t="str">
        <f>IFERROR(SUBSTITUTE(VLOOKUP(A1605,Internal_lists_bugs!$A$2:$G2031,7,FALSE()),"nova/commit","nova/src/commit"),"please select a BUG ID")</f>
        <v>please select a BUG ID</v>
      </c>
      <c r="D1605" s="54"/>
      <c r="F1605" s="54"/>
      <c r="H1605" s="114"/>
      <c r="J1605" s="183" t="str">
        <f>IFERROR(VLOOKUP(A1605,Internal_lists_bugs!$A$2:$I2031,9,FALSE()),"please select a BUG ID")</f>
        <v>please select a BUG ID</v>
      </c>
    </row>
    <row r="1606">
      <c r="A1606" s="54"/>
      <c r="B1606" s="71" t="str">
        <f>IFERROR(HYPERLINK(VLOOKUP(A1606,Internal_lists_bugs!$A$2:$C$73,3,FALSE()), VLOOKUP(A1606,Internal_lists_bugs!$A$2:$C$73,3,FALSE())&amp;Char(10) &amp; Char(10) &amp; VLOOKUP(A1606,Internal_lists_bugs!$A$2:$Z$73,26,FALSE())),"please select a BUG ID")</f>
        <v>please select a BUG ID</v>
      </c>
      <c r="C1606" s="51" t="str">
        <f>IFERROR(SUBSTITUTE(VLOOKUP(A1606,Internal_lists_bugs!$A$2:$G2031,7,FALSE()),"nova/commit","nova/src/commit"),"please select a BUG ID")</f>
        <v>please select a BUG ID</v>
      </c>
      <c r="D1606" s="54"/>
      <c r="F1606" s="54"/>
      <c r="H1606" s="114"/>
      <c r="J1606" s="183" t="str">
        <f>IFERROR(VLOOKUP(A1606,Internal_lists_bugs!$A$2:$I2031,9,FALSE()),"please select a BUG ID")</f>
        <v>please select a BUG ID</v>
      </c>
    </row>
    <row r="1607">
      <c r="A1607" s="54"/>
      <c r="B1607" s="71" t="str">
        <f>IFERROR(HYPERLINK(VLOOKUP(A1607,Internal_lists_bugs!$A$2:$C$73,3,FALSE()), VLOOKUP(A1607,Internal_lists_bugs!$A$2:$C$73,3,FALSE())&amp;Char(10) &amp; Char(10) &amp; VLOOKUP(A1607,Internal_lists_bugs!$A$2:$Z$73,26,FALSE())),"please select a BUG ID")</f>
        <v>please select a BUG ID</v>
      </c>
      <c r="C1607" s="51" t="str">
        <f>IFERROR(SUBSTITUTE(VLOOKUP(A1607,Internal_lists_bugs!$A$2:$G2031,7,FALSE()),"nova/commit","nova/src/commit"),"please select a BUG ID")</f>
        <v>please select a BUG ID</v>
      </c>
      <c r="D1607" s="54"/>
      <c r="F1607" s="54"/>
      <c r="H1607" s="114"/>
      <c r="J1607" s="183" t="str">
        <f>IFERROR(VLOOKUP(A1607,Internal_lists_bugs!$A$2:$I2031,9,FALSE()),"please select a BUG ID")</f>
        <v>please select a BUG ID</v>
      </c>
    </row>
    <row r="1608">
      <c r="A1608" s="54"/>
      <c r="B1608" s="71" t="str">
        <f>IFERROR(HYPERLINK(VLOOKUP(A1608,Internal_lists_bugs!$A$2:$C$73,3,FALSE()), VLOOKUP(A1608,Internal_lists_bugs!$A$2:$C$73,3,FALSE())&amp;Char(10) &amp; Char(10) &amp; VLOOKUP(A1608,Internal_lists_bugs!$A$2:$Z$73,26,FALSE())),"please select a BUG ID")</f>
        <v>please select a BUG ID</v>
      </c>
      <c r="C1608" s="51" t="str">
        <f>IFERROR(SUBSTITUTE(VLOOKUP(A1608,Internal_lists_bugs!$A$2:$G2031,7,FALSE()),"nova/commit","nova/src/commit"),"please select a BUG ID")</f>
        <v>please select a BUG ID</v>
      </c>
      <c r="D1608" s="54"/>
      <c r="F1608" s="54"/>
      <c r="H1608" s="114"/>
      <c r="J1608" s="183" t="str">
        <f>IFERROR(VLOOKUP(A1608,Internal_lists_bugs!$A$2:$I2031,9,FALSE()),"please select a BUG ID")</f>
        <v>please select a BUG ID</v>
      </c>
    </row>
    <row r="1609">
      <c r="A1609" s="54"/>
      <c r="B1609" s="71" t="str">
        <f>IFERROR(HYPERLINK(VLOOKUP(A1609,Internal_lists_bugs!$A$2:$C$73,3,FALSE()), VLOOKUP(A1609,Internal_lists_bugs!$A$2:$C$73,3,FALSE())&amp;Char(10) &amp; Char(10) &amp; VLOOKUP(A1609,Internal_lists_bugs!$A$2:$Z$73,26,FALSE())),"please select a BUG ID")</f>
        <v>please select a BUG ID</v>
      </c>
      <c r="C1609" s="51" t="str">
        <f>IFERROR(SUBSTITUTE(VLOOKUP(A1609,Internal_lists_bugs!$A$2:$G2031,7,FALSE()),"nova/commit","nova/src/commit"),"please select a BUG ID")</f>
        <v>please select a BUG ID</v>
      </c>
      <c r="D1609" s="54"/>
      <c r="F1609" s="54"/>
      <c r="H1609" s="114"/>
      <c r="J1609" s="183" t="str">
        <f>IFERROR(VLOOKUP(A1609,Internal_lists_bugs!$A$2:$I2031,9,FALSE()),"please select a BUG ID")</f>
        <v>please select a BUG ID</v>
      </c>
    </row>
    <row r="1610">
      <c r="A1610" s="54"/>
      <c r="B1610" s="71" t="str">
        <f>IFERROR(HYPERLINK(VLOOKUP(A1610,Internal_lists_bugs!$A$2:$C$73,3,FALSE()), VLOOKUP(A1610,Internal_lists_bugs!$A$2:$C$73,3,FALSE())&amp;Char(10) &amp; Char(10) &amp; VLOOKUP(A1610,Internal_lists_bugs!$A$2:$Z$73,26,FALSE())),"please select a BUG ID")</f>
        <v>please select a BUG ID</v>
      </c>
      <c r="C1610" s="51" t="str">
        <f>IFERROR(SUBSTITUTE(VLOOKUP(A1610,Internal_lists_bugs!$A$2:$G2031,7,FALSE()),"nova/commit","nova/src/commit"),"please select a BUG ID")</f>
        <v>please select a BUG ID</v>
      </c>
      <c r="D1610" s="54"/>
      <c r="F1610" s="54"/>
      <c r="H1610" s="114"/>
      <c r="J1610" s="183" t="str">
        <f>IFERROR(VLOOKUP(A1610,Internal_lists_bugs!$A$2:$I2031,9,FALSE()),"please select a BUG ID")</f>
        <v>please select a BUG ID</v>
      </c>
    </row>
    <row r="1611">
      <c r="A1611" s="54"/>
      <c r="B1611" s="71" t="str">
        <f>IFERROR(HYPERLINK(VLOOKUP(A1611,Internal_lists_bugs!$A$2:$C$73,3,FALSE()), VLOOKUP(A1611,Internal_lists_bugs!$A$2:$C$73,3,FALSE())&amp;Char(10) &amp; Char(10) &amp; VLOOKUP(A1611,Internal_lists_bugs!$A$2:$Z$73,26,FALSE())),"please select a BUG ID")</f>
        <v>please select a BUG ID</v>
      </c>
      <c r="C1611" s="51" t="str">
        <f>IFERROR(SUBSTITUTE(VLOOKUP(A1611,Internal_lists_bugs!$A$2:$G2031,7,FALSE()),"nova/commit","nova/src/commit"),"please select a BUG ID")</f>
        <v>please select a BUG ID</v>
      </c>
      <c r="D1611" s="54"/>
      <c r="F1611" s="54"/>
      <c r="H1611" s="114"/>
      <c r="J1611" s="183" t="str">
        <f>IFERROR(VLOOKUP(A1611,Internal_lists_bugs!$A$2:$I2031,9,FALSE()),"please select a BUG ID")</f>
        <v>please select a BUG ID</v>
      </c>
    </row>
    <row r="1612">
      <c r="A1612" s="54"/>
      <c r="B1612" s="71" t="str">
        <f>IFERROR(HYPERLINK(VLOOKUP(A1612,Internal_lists_bugs!$A$2:$C$73,3,FALSE()), VLOOKUP(A1612,Internal_lists_bugs!$A$2:$C$73,3,FALSE())&amp;Char(10) &amp; Char(10) &amp; VLOOKUP(A1612,Internal_lists_bugs!$A$2:$Z$73,26,FALSE())),"please select a BUG ID")</f>
        <v>please select a BUG ID</v>
      </c>
      <c r="C1612" s="51" t="str">
        <f>IFERROR(SUBSTITUTE(VLOOKUP(A1612,Internal_lists_bugs!$A$2:$G2031,7,FALSE()),"nova/commit","nova/src/commit"),"please select a BUG ID")</f>
        <v>please select a BUG ID</v>
      </c>
      <c r="D1612" s="54"/>
      <c r="F1612" s="54"/>
      <c r="H1612" s="114"/>
      <c r="J1612" s="183" t="str">
        <f>IFERROR(VLOOKUP(A1612,Internal_lists_bugs!$A$2:$I2031,9,FALSE()),"please select a BUG ID")</f>
        <v>please select a BUG ID</v>
      </c>
    </row>
    <row r="1613">
      <c r="A1613" s="54"/>
      <c r="B1613" s="71" t="str">
        <f>IFERROR(HYPERLINK(VLOOKUP(A1613,Internal_lists_bugs!$A$2:$C$73,3,FALSE()), VLOOKUP(A1613,Internal_lists_bugs!$A$2:$C$73,3,FALSE())&amp;Char(10) &amp; Char(10) &amp; VLOOKUP(A1613,Internal_lists_bugs!$A$2:$Z$73,26,FALSE())),"please select a BUG ID")</f>
        <v>please select a BUG ID</v>
      </c>
      <c r="C1613" s="51" t="str">
        <f>IFERROR(SUBSTITUTE(VLOOKUP(A1613,Internal_lists_bugs!$A$2:$G2031,7,FALSE()),"nova/commit","nova/src/commit"),"please select a BUG ID")</f>
        <v>please select a BUG ID</v>
      </c>
      <c r="D1613" s="54"/>
      <c r="F1613" s="54"/>
      <c r="H1613" s="114"/>
      <c r="J1613" s="183" t="str">
        <f>IFERROR(VLOOKUP(A1613,Internal_lists_bugs!$A$2:$I2031,9,FALSE()),"please select a BUG ID")</f>
        <v>please select a BUG ID</v>
      </c>
    </row>
    <row r="1614">
      <c r="A1614" s="54"/>
      <c r="B1614" s="71" t="str">
        <f>IFERROR(HYPERLINK(VLOOKUP(A1614,Internal_lists_bugs!$A$2:$C$73,3,FALSE()), VLOOKUP(A1614,Internal_lists_bugs!$A$2:$C$73,3,FALSE())&amp;Char(10) &amp; Char(10) &amp; VLOOKUP(A1614,Internal_lists_bugs!$A$2:$Z$73,26,FALSE())),"please select a BUG ID")</f>
        <v>please select a BUG ID</v>
      </c>
      <c r="C1614" s="51" t="str">
        <f>IFERROR(SUBSTITUTE(VLOOKUP(A1614,Internal_lists_bugs!$A$2:$G2031,7,FALSE()),"nova/commit","nova/src/commit"),"please select a BUG ID")</f>
        <v>please select a BUG ID</v>
      </c>
      <c r="D1614" s="54"/>
      <c r="F1614" s="54"/>
      <c r="H1614" s="114"/>
      <c r="J1614" s="183" t="str">
        <f>IFERROR(VLOOKUP(A1614,Internal_lists_bugs!$A$2:$I2031,9,FALSE()),"please select a BUG ID")</f>
        <v>please select a BUG ID</v>
      </c>
    </row>
    <row r="1615">
      <c r="A1615" s="54"/>
      <c r="B1615" s="71" t="str">
        <f>IFERROR(HYPERLINK(VLOOKUP(A1615,Internal_lists_bugs!$A$2:$C$73,3,FALSE()), VLOOKUP(A1615,Internal_lists_bugs!$A$2:$C$73,3,FALSE())&amp;Char(10) &amp; Char(10) &amp; VLOOKUP(A1615,Internal_lists_bugs!$A$2:$Z$73,26,FALSE())),"please select a BUG ID")</f>
        <v>please select a BUG ID</v>
      </c>
      <c r="C1615" s="51" t="str">
        <f>IFERROR(SUBSTITUTE(VLOOKUP(A1615,Internal_lists_bugs!$A$2:$G2031,7,FALSE()),"nova/commit","nova/src/commit"),"please select a BUG ID")</f>
        <v>please select a BUG ID</v>
      </c>
      <c r="D1615" s="54"/>
      <c r="F1615" s="54"/>
      <c r="H1615" s="114"/>
      <c r="J1615" s="183" t="str">
        <f>IFERROR(VLOOKUP(A1615,Internal_lists_bugs!$A$2:$I2031,9,FALSE()),"please select a BUG ID")</f>
        <v>please select a BUG ID</v>
      </c>
    </row>
    <row r="1616">
      <c r="A1616" s="54"/>
      <c r="B1616" s="71" t="str">
        <f>IFERROR(HYPERLINK(VLOOKUP(A1616,Internal_lists_bugs!$A$2:$C$73,3,FALSE()), VLOOKUP(A1616,Internal_lists_bugs!$A$2:$C$73,3,FALSE())&amp;Char(10) &amp; Char(10) &amp; VLOOKUP(A1616,Internal_lists_bugs!$A$2:$Z$73,26,FALSE())),"please select a BUG ID")</f>
        <v>please select a BUG ID</v>
      </c>
      <c r="C1616" s="51" t="str">
        <f>IFERROR(SUBSTITUTE(VLOOKUP(A1616,Internal_lists_bugs!$A$2:$G2031,7,FALSE()),"nova/commit","nova/src/commit"),"please select a BUG ID")</f>
        <v>please select a BUG ID</v>
      </c>
      <c r="D1616" s="54"/>
      <c r="F1616" s="54"/>
      <c r="H1616" s="114"/>
      <c r="J1616" s="183" t="str">
        <f>IFERROR(VLOOKUP(A1616,Internal_lists_bugs!$A$2:$I2031,9,FALSE()),"please select a BUG ID")</f>
        <v>please select a BUG ID</v>
      </c>
    </row>
    <row r="1617">
      <c r="A1617" s="54"/>
      <c r="B1617" s="71" t="str">
        <f>IFERROR(HYPERLINK(VLOOKUP(A1617,Internal_lists_bugs!$A$2:$C$73,3,FALSE()), VLOOKUP(A1617,Internal_lists_bugs!$A$2:$C$73,3,FALSE())&amp;Char(10) &amp; Char(10) &amp; VLOOKUP(A1617,Internal_lists_bugs!$A$2:$Z$73,26,FALSE())),"please select a BUG ID")</f>
        <v>please select a BUG ID</v>
      </c>
      <c r="C1617" s="51" t="str">
        <f>IFERROR(SUBSTITUTE(VLOOKUP(A1617,Internal_lists_bugs!$A$2:$G2031,7,FALSE()),"nova/commit","nova/src/commit"),"please select a BUG ID")</f>
        <v>please select a BUG ID</v>
      </c>
      <c r="D1617" s="54"/>
      <c r="F1617" s="54"/>
      <c r="H1617" s="114"/>
      <c r="J1617" s="183" t="str">
        <f>IFERROR(VLOOKUP(A1617,Internal_lists_bugs!$A$2:$I2031,9,FALSE()),"please select a BUG ID")</f>
        <v>please select a BUG ID</v>
      </c>
    </row>
    <row r="1618">
      <c r="A1618" s="54"/>
      <c r="B1618" s="71" t="str">
        <f>IFERROR(HYPERLINK(VLOOKUP(A1618,Internal_lists_bugs!$A$2:$C$73,3,FALSE()), VLOOKUP(A1618,Internal_lists_bugs!$A$2:$C$73,3,FALSE())&amp;Char(10) &amp; Char(10) &amp; VLOOKUP(A1618,Internal_lists_bugs!$A$2:$Z$73,26,FALSE())),"please select a BUG ID")</f>
        <v>please select a BUG ID</v>
      </c>
      <c r="C1618" s="51" t="str">
        <f>IFERROR(SUBSTITUTE(VLOOKUP(A1618,Internal_lists_bugs!$A$2:$G2031,7,FALSE()),"nova/commit","nova/src/commit"),"please select a BUG ID")</f>
        <v>please select a BUG ID</v>
      </c>
      <c r="D1618" s="54"/>
      <c r="F1618" s="54"/>
      <c r="H1618" s="114"/>
      <c r="J1618" s="183" t="str">
        <f>IFERROR(VLOOKUP(A1618,Internal_lists_bugs!$A$2:$I2031,9,FALSE()),"please select a BUG ID")</f>
        <v>please select a BUG ID</v>
      </c>
    </row>
    <row r="1619">
      <c r="A1619" s="54"/>
      <c r="B1619" s="71" t="str">
        <f>IFERROR(HYPERLINK(VLOOKUP(A1619,Internal_lists_bugs!$A$2:$C$73,3,FALSE()), VLOOKUP(A1619,Internal_lists_bugs!$A$2:$C$73,3,FALSE())&amp;Char(10) &amp; Char(10) &amp; VLOOKUP(A1619,Internal_lists_bugs!$A$2:$Z$73,26,FALSE())),"please select a BUG ID")</f>
        <v>please select a BUG ID</v>
      </c>
      <c r="C1619" s="51" t="str">
        <f>IFERROR(SUBSTITUTE(VLOOKUP(A1619,Internal_lists_bugs!$A$2:$G2031,7,FALSE()),"nova/commit","nova/src/commit"),"please select a BUG ID")</f>
        <v>please select a BUG ID</v>
      </c>
      <c r="D1619" s="54"/>
      <c r="F1619" s="54"/>
      <c r="H1619" s="114"/>
      <c r="J1619" s="183" t="str">
        <f>IFERROR(VLOOKUP(A1619,Internal_lists_bugs!$A$2:$I2031,9,FALSE()),"please select a BUG ID")</f>
        <v>please select a BUG ID</v>
      </c>
    </row>
    <row r="1620">
      <c r="A1620" s="54"/>
      <c r="B1620" s="71" t="str">
        <f>IFERROR(HYPERLINK(VLOOKUP(A1620,Internal_lists_bugs!$A$2:$C$73,3,FALSE()), VLOOKUP(A1620,Internal_lists_bugs!$A$2:$C$73,3,FALSE())&amp;Char(10) &amp; Char(10) &amp; VLOOKUP(A1620,Internal_lists_bugs!$A$2:$Z$73,26,FALSE())),"please select a BUG ID")</f>
        <v>please select a BUG ID</v>
      </c>
      <c r="C1620" s="51" t="str">
        <f>IFERROR(SUBSTITUTE(VLOOKUP(A1620,Internal_lists_bugs!$A$2:$G2031,7,FALSE()),"nova/commit","nova/src/commit"),"please select a BUG ID")</f>
        <v>please select a BUG ID</v>
      </c>
      <c r="D1620" s="54"/>
      <c r="F1620" s="54"/>
      <c r="H1620" s="114"/>
      <c r="J1620" s="183" t="str">
        <f>IFERROR(VLOOKUP(A1620,Internal_lists_bugs!$A$2:$I2031,9,FALSE()),"please select a BUG ID")</f>
        <v>please select a BUG ID</v>
      </c>
    </row>
    <row r="1621">
      <c r="A1621" s="54"/>
      <c r="B1621" s="71" t="str">
        <f>IFERROR(HYPERLINK(VLOOKUP(A1621,Internal_lists_bugs!$A$2:$C$73,3,FALSE()), VLOOKUP(A1621,Internal_lists_bugs!$A$2:$C$73,3,FALSE())&amp;Char(10) &amp; Char(10) &amp; VLOOKUP(A1621,Internal_lists_bugs!$A$2:$Z$73,26,FALSE())),"please select a BUG ID")</f>
        <v>please select a BUG ID</v>
      </c>
      <c r="C1621" s="51" t="str">
        <f>IFERROR(SUBSTITUTE(VLOOKUP(A1621,Internal_lists_bugs!$A$2:$G2031,7,FALSE()),"nova/commit","nova/src/commit"),"please select a BUG ID")</f>
        <v>please select a BUG ID</v>
      </c>
      <c r="D1621" s="54"/>
      <c r="F1621" s="54"/>
      <c r="H1621" s="114"/>
      <c r="J1621" s="183" t="str">
        <f>IFERROR(VLOOKUP(A1621,Internal_lists_bugs!$A$2:$I2031,9,FALSE()),"please select a BUG ID")</f>
        <v>please select a BUG ID</v>
      </c>
    </row>
    <row r="1622">
      <c r="A1622" s="54"/>
      <c r="B1622" s="71" t="str">
        <f>IFERROR(HYPERLINK(VLOOKUP(A1622,Internal_lists_bugs!$A$2:$C$73,3,FALSE()), VLOOKUP(A1622,Internal_lists_bugs!$A$2:$C$73,3,FALSE())&amp;Char(10) &amp; Char(10) &amp; VLOOKUP(A1622,Internal_lists_bugs!$A$2:$Z$73,26,FALSE())),"please select a BUG ID")</f>
        <v>please select a BUG ID</v>
      </c>
      <c r="C1622" s="51" t="str">
        <f>IFERROR(SUBSTITUTE(VLOOKUP(A1622,Internal_lists_bugs!$A$2:$G2031,7,FALSE()),"nova/commit","nova/src/commit"),"please select a BUG ID")</f>
        <v>please select a BUG ID</v>
      </c>
      <c r="D1622" s="54"/>
      <c r="F1622" s="54"/>
      <c r="H1622" s="114"/>
      <c r="J1622" s="183" t="str">
        <f>IFERROR(VLOOKUP(A1622,Internal_lists_bugs!$A$2:$I2031,9,FALSE()),"please select a BUG ID")</f>
        <v>please select a BUG ID</v>
      </c>
    </row>
    <row r="1623">
      <c r="A1623" s="54"/>
      <c r="B1623" s="71" t="str">
        <f>IFERROR(HYPERLINK(VLOOKUP(A1623,Internal_lists_bugs!$A$2:$C$73,3,FALSE()), VLOOKUP(A1623,Internal_lists_bugs!$A$2:$C$73,3,FALSE())&amp;Char(10) &amp; Char(10) &amp; VLOOKUP(A1623,Internal_lists_bugs!$A$2:$Z$73,26,FALSE())),"please select a BUG ID")</f>
        <v>please select a BUG ID</v>
      </c>
      <c r="C1623" s="51" t="str">
        <f>IFERROR(SUBSTITUTE(VLOOKUP(A1623,Internal_lists_bugs!$A$2:$G2031,7,FALSE()),"nova/commit","nova/src/commit"),"please select a BUG ID")</f>
        <v>please select a BUG ID</v>
      </c>
      <c r="D1623" s="54"/>
      <c r="F1623" s="54"/>
      <c r="H1623" s="114"/>
      <c r="J1623" s="183" t="str">
        <f>IFERROR(VLOOKUP(A1623,Internal_lists_bugs!$A$2:$I2031,9,FALSE()),"please select a BUG ID")</f>
        <v>please select a BUG ID</v>
      </c>
    </row>
    <row r="1624">
      <c r="A1624" s="54"/>
      <c r="B1624" s="71" t="str">
        <f>IFERROR(HYPERLINK(VLOOKUP(A1624,Internal_lists_bugs!$A$2:$C$73,3,FALSE()), VLOOKUP(A1624,Internal_lists_bugs!$A$2:$C$73,3,FALSE())&amp;Char(10) &amp; Char(10) &amp; VLOOKUP(A1624,Internal_lists_bugs!$A$2:$Z$73,26,FALSE())),"please select a BUG ID")</f>
        <v>please select a BUG ID</v>
      </c>
      <c r="C1624" s="51" t="str">
        <f>IFERROR(SUBSTITUTE(VLOOKUP(A1624,Internal_lists_bugs!$A$2:$G2031,7,FALSE()),"nova/commit","nova/src/commit"),"please select a BUG ID")</f>
        <v>please select a BUG ID</v>
      </c>
      <c r="D1624" s="54"/>
      <c r="F1624" s="54"/>
      <c r="H1624" s="114"/>
      <c r="J1624" s="183" t="str">
        <f>IFERROR(VLOOKUP(A1624,Internal_lists_bugs!$A$2:$I2031,9,FALSE()),"please select a BUG ID")</f>
        <v>please select a BUG ID</v>
      </c>
    </row>
    <row r="1625">
      <c r="A1625" s="54"/>
      <c r="B1625" s="71" t="str">
        <f>IFERROR(HYPERLINK(VLOOKUP(A1625,Internal_lists_bugs!$A$2:$C$73,3,FALSE()), VLOOKUP(A1625,Internal_lists_bugs!$A$2:$C$73,3,FALSE())&amp;Char(10) &amp; Char(10) &amp; VLOOKUP(A1625,Internal_lists_bugs!$A$2:$Z$73,26,FALSE())),"please select a BUG ID")</f>
        <v>please select a BUG ID</v>
      </c>
      <c r="C1625" s="51" t="str">
        <f>IFERROR(SUBSTITUTE(VLOOKUP(A1625,Internal_lists_bugs!$A$2:$G2031,7,FALSE()),"nova/commit","nova/src/commit"),"please select a BUG ID")</f>
        <v>please select a BUG ID</v>
      </c>
      <c r="D1625" s="54"/>
      <c r="F1625" s="54"/>
      <c r="H1625" s="114"/>
      <c r="J1625" s="183" t="str">
        <f>IFERROR(VLOOKUP(A1625,Internal_lists_bugs!$A$2:$I2031,9,FALSE()),"please select a BUG ID")</f>
        <v>please select a BUG ID</v>
      </c>
    </row>
    <row r="1626">
      <c r="A1626" s="54"/>
      <c r="B1626" s="71" t="str">
        <f>IFERROR(HYPERLINK(VLOOKUP(A1626,Internal_lists_bugs!$A$2:$C$73,3,FALSE()), VLOOKUP(A1626,Internal_lists_bugs!$A$2:$C$73,3,FALSE())&amp;Char(10) &amp; Char(10) &amp; VLOOKUP(A1626,Internal_lists_bugs!$A$2:$Z$73,26,FALSE())),"please select a BUG ID")</f>
        <v>please select a BUG ID</v>
      </c>
      <c r="C1626" s="51" t="str">
        <f>IFERROR(SUBSTITUTE(VLOOKUP(A1626,Internal_lists_bugs!$A$2:$G2031,7,FALSE()),"nova/commit","nova/src/commit"),"please select a BUG ID")</f>
        <v>please select a BUG ID</v>
      </c>
      <c r="D1626" s="54"/>
      <c r="F1626" s="54"/>
      <c r="H1626" s="114"/>
      <c r="J1626" s="183" t="str">
        <f>IFERROR(VLOOKUP(A1626,Internal_lists_bugs!$A$2:$I2031,9,FALSE()),"please select a BUG ID")</f>
        <v>please select a BUG ID</v>
      </c>
    </row>
    <row r="1627">
      <c r="A1627" s="54"/>
      <c r="B1627" s="71" t="str">
        <f>IFERROR(HYPERLINK(VLOOKUP(A1627,Internal_lists_bugs!$A$2:$C$73,3,FALSE()), VLOOKUP(A1627,Internal_lists_bugs!$A$2:$C$73,3,FALSE())&amp;Char(10) &amp; Char(10) &amp; VLOOKUP(A1627,Internal_lists_bugs!$A$2:$Z$73,26,FALSE())),"please select a BUG ID")</f>
        <v>please select a BUG ID</v>
      </c>
      <c r="C1627" s="51" t="str">
        <f>IFERROR(SUBSTITUTE(VLOOKUP(A1627,Internal_lists_bugs!$A$2:$G2031,7,FALSE()),"nova/commit","nova/src/commit"),"please select a BUG ID")</f>
        <v>please select a BUG ID</v>
      </c>
      <c r="D1627" s="54"/>
      <c r="F1627" s="54"/>
      <c r="H1627" s="114"/>
      <c r="J1627" s="183" t="str">
        <f>IFERROR(VLOOKUP(A1627,Internal_lists_bugs!$A$2:$I2031,9,FALSE()),"please select a BUG ID")</f>
        <v>please select a BUG ID</v>
      </c>
    </row>
    <row r="1628">
      <c r="A1628" s="54"/>
      <c r="B1628" s="71" t="str">
        <f>IFERROR(HYPERLINK(VLOOKUP(A1628,Internal_lists_bugs!$A$2:$C$73,3,FALSE()), VLOOKUP(A1628,Internal_lists_bugs!$A$2:$C$73,3,FALSE())&amp;Char(10) &amp; Char(10) &amp; VLOOKUP(A1628,Internal_lists_bugs!$A$2:$Z$73,26,FALSE())),"please select a BUG ID")</f>
        <v>please select a BUG ID</v>
      </c>
      <c r="C1628" s="51" t="str">
        <f>IFERROR(SUBSTITUTE(VLOOKUP(A1628,Internal_lists_bugs!$A$2:$G2031,7,FALSE()),"nova/commit","nova/src/commit"),"please select a BUG ID")</f>
        <v>please select a BUG ID</v>
      </c>
      <c r="D1628" s="54"/>
      <c r="F1628" s="54"/>
      <c r="H1628" s="114"/>
      <c r="J1628" s="183" t="str">
        <f>IFERROR(VLOOKUP(A1628,Internal_lists_bugs!$A$2:$I2031,9,FALSE()),"please select a BUG ID")</f>
        <v>please select a BUG ID</v>
      </c>
    </row>
    <row r="1629">
      <c r="A1629" s="54"/>
      <c r="B1629" s="71" t="str">
        <f>IFERROR(HYPERLINK(VLOOKUP(A1629,Internal_lists_bugs!$A$2:$C$73,3,FALSE()), VLOOKUP(A1629,Internal_lists_bugs!$A$2:$C$73,3,FALSE())&amp;Char(10) &amp; Char(10) &amp; VLOOKUP(A1629,Internal_lists_bugs!$A$2:$Z$73,26,FALSE())),"please select a BUG ID")</f>
        <v>please select a BUG ID</v>
      </c>
      <c r="C1629" s="51" t="str">
        <f>IFERROR(SUBSTITUTE(VLOOKUP(A1629,Internal_lists_bugs!$A$2:$G2031,7,FALSE()),"nova/commit","nova/src/commit"),"please select a BUG ID")</f>
        <v>please select a BUG ID</v>
      </c>
      <c r="D1629" s="54"/>
      <c r="F1629" s="54"/>
      <c r="H1629" s="114"/>
      <c r="J1629" s="183" t="str">
        <f>IFERROR(VLOOKUP(A1629,Internal_lists_bugs!$A$2:$I2031,9,FALSE()),"please select a BUG ID")</f>
        <v>please select a BUG ID</v>
      </c>
    </row>
    <row r="1630">
      <c r="A1630" s="54"/>
      <c r="B1630" s="71" t="str">
        <f>IFERROR(HYPERLINK(VLOOKUP(A1630,Internal_lists_bugs!$A$2:$C$73,3,FALSE()), VLOOKUP(A1630,Internal_lists_bugs!$A$2:$C$73,3,FALSE())&amp;Char(10) &amp; Char(10) &amp; VLOOKUP(A1630,Internal_lists_bugs!$A$2:$Z$73,26,FALSE())),"please select a BUG ID")</f>
        <v>please select a BUG ID</v>
      </c>
      <c r="C1630" s="51" t="str">
        <f>IFERROR(SUBSTITUTE(VLOOKUP(A1630,Internal_lists_bugs!$A$2:$G2031,7,FALSE()),"nova/commit","nova/src/commit"),"please select a BUG ID")</f>
        <v>please select a BUG ID</v>
      </c>
      <c r="D1630" s="54"/>
      <c r="F1630" s="54"/>
      <c r="H1630" s="114"/>
      <c r="J1630" s="183" t="str">
        <f>IFERROR(VLOOKUP(A1630,Internal_lists_bugs!$A$2:$I2031,9,FALSE()),"please select a BUG ID")</f>
        <v>please select a BUG ID</v>
      </c>
    </row>
    <row r="1631">
      <c r="A1631" s="54"/>
      <c r="B1631" s="71" t="str">
        <f>IFERROR(HYPERLINK(VLOOKUP(A1631,Internal_lists_bugs!$A$2:$C$73,3,FALSE()), VLOOKUP(A1631,Internal_lists_bugs!$A$2:$C$73,3,FALSE())&amp;Char(10) &amp; Char(10) &amp; VLOOKUP(A1631,Internal_lists_bugs!$A$2:$Z$73,26,FALSE())),"please select a BUG ID")</f>
        <v>please select a BUG ID</v>
      </c>
      <c r="C1631" s="51" t="str">
        <f>IFERROR(SUBSTITUTE(VLOOKUP(A1631,Internal_lists_bugs!$A$2:$G2031,7,FALSE()),"nova/commit","nova/src/commit"),"please select a BUG ID")</f>
        <v>please select a BUG ID</v>
      </c>
      <c r="D1631" s="54"/>
      <c r="F1631" s="54"/>
      <c r="H1631" s="114"/>
      <c r="J1631" s="183" t="str">
        <f>IFERROR(VLOOKUP(A1631,Internal_lists_bugs!$A$2:$I2031,9,FALSE()),"please select a BUG ID")</f>
        <v>please select a BUG ID</v>
      </c>
    </row>
    <row r="1632">
      <c r="A1632" s="54"/>
      <c r="B1632" s="71" t="str">
        <f>IFERROR(HYPERLINK(VLOOKUP(A1632,Internal_lists_bugs!$A$2:$C$73,3,FALSE()), VLOOKUP(A1632,Internal_lists_bugs!$A$2:$C$73,3,FALSE())&amp;Char(10) &amp; Char(10) &amp; VLOOKUP(A1632,Internal_lists_bugs!$A$2:$Z$73,26,FALSE())),"please select a BUG ID")</f>
        <v>please select a BUG ID</v>
      </c>
      <c r="C1632" s="51" t="str">
        <f>IFERROR(SUBSTITUTE(VLOOKUP(A1632,Internal_lists_bugs!$A$2:$G2031,7,FALSE()),"nova/commit","nova/src/commit"),"please select a BUG ID")</f>
        <v>please select a BUG ID</v>
      </c>
      <c r="D1632" s="54"/>
      <c r="F1632" s="54"/>
      <c r="H1632" s="114"/>
      <c r="J1632" s="183" t="str">
        <f>IFERROR(VLOOKUP(A1632,Internal_lists_bugs!$A$2:$I2031,9,FALSE()),"please select a BUG ID")</f>
        <v>please select a BUG ID</v>
      </c>
    </row>
    <row r="1633">
      <c r="A1633" s="54"/>
      <c r="B1633" s="71" t="str">
        <f>IFERROR(HYPERLINK(VLOOKUP(A1633,Internal_lists_bugs!$A$2:$C$73,3,FALSE()), VLOOKUP(A1633,Internal_lists_bugs!$A$2:$C$73,3,FALSE())&amp;Char(10) &amp; Char(10) &amp; VLOOKUP(A1633,Internal_lists_bugs!$A$2:$Z$73,26,FALSE())),"please select a BUG ID")</f>
        <v>please select a BUG ID</v>
      </c>
      <c r="C1633" s="51" t="str">
        <f>IFERROR(SUBSTITUTE(VLOOKUP(A1633,Internal_lists_bugs!$A$2:$G2031,7,FALSE()),"nova/commit","nova/src/commit"),"please select a BUG ID")</f>
        <v>please select a BUG ID</v>
      </c>
      <c r="D1633" s="54"/>
      <c r="F1633" s="54"/>
      <c r="H1633" s="114"/>
      <c r="J1633" s="183" t="str">
        <f>IFERROR(VLOOKUP(A1633,Internal_lists_bugs!$A$2:$I2031,9,FALSE()),"please select a BUG ID")</f>
        <v>please select a BUG ID</v>
      </c>
    </row>
    <row r="1634">
      <c r="A1634" s="54"/>
      <c r="B1634" s="71" t="str">
        <f>IFERROR(HYPERLINK(VLOOKUP(A1634,Internal_lists_bugs!$A$2:$C$73,3,FALSE()), VLOOKUP(A1634,Internal_lists_bugs!$A$2:$C$73,3,FALSE())&amp;Char(10) &amp; Char(10) &amp; VLOOKUP(A1634,Internal_lists_bugs!$A$2:$Z$73,26,FALSE())),"please select a BUG ID")</f>
        <v>please select a BUG ID</v>
      </c>
      <c r="C1634" s="51" t="str">
        <f>IFERROR(SUBSTITUTE(VLOOKUP(A1634,Internal_lists_bugs!$A$2:$G2031,7,FALSE()),"nova/commit","nova/src/commit"),"please select a BUG ID")</f>
        <v>please select a BUG ID</v>
      </c>
      <c r="D1634" s="54"/>
      <c r="F1634" s="54"/>
      <c r="H1634" s="114"/>
      <c r="J1634" s="183" t="str">
        <f>IFERROR(VLOOKUP(A1634,Internal_lists_bugs!$A$2:$I2031,9,FALSE()),"please select a BUG ID")</f>
        <v>please select a BUG ID</v>
      </c>
    </row>
    <row r="1635">
      <c r="A1635" s="54"/>
      <c r="B1635" s="71" t="str">
        <f>IFERROR(HYPERLINK(VLOOKUP(A1635,Internal_lists_bugs!$A$2:$C$73,3,FALSE()), VLOOKUP(A1635,Internal_lists_bugs!$A$2:$C$73,3,FALSE())&amp;Char(10) &amp; Char(10) &amp; VLOOKUP(A1635,Internal_lists_bugs!$A$2:$Z$73,26,FALSE())),"please select a BUG ID")</f>
        <v>please select a BUG ID</v>
      </c>
      <c r="C1635" s="51" t="str">
        <f>IFERROR(SUBSTITUTE(VLOOKUP(A1635,Internal_lists_bugs!$A$2:$G2031,7,FALSE()),"nova/commit","nova/src/commit"),"please select a BUG ID")</f>
        <v>please select a BUG ID</v>
      </c>
      <c r="D1635" s="54"/>
      <c r="F1635" s="54"/>
      <c r="H1635" s="114"/>
      <c r="J1635" s="183" t="str">
        <f>IFERROR(VLOOKUP(A1635,Internal_lists_bugs!$A$2:$I2031,9,FALSE()),"please select a BUG ID")</f>
        <v>please select a BUG ID</v>
      </c>
    </row>
    <row r="1636">
      <c r="A1636" s="54"/>
      <c r="B1636" s="71" t="str">
        <f>IFERROR(HYPERLINK(VLOOKUP(A1636,Internal_lists_bugs!$A$2:$C$73,3,FALSE()), VLOOKUP(A1636,Internal_lists_bugs!$A$2:$C$73,3,FALSE())&amp;Char(10) &amp; Char(10) &amp; VLOOKUP(A1636,Internal_lists_bugs!$A$2:$Z$73,26,FALSE())),"please select a BUG ID")</f>
        <v>please select a BUG ID</v>
      </c>
      <c r="C1636" s="51" t="str">
        <f>IFERROR(SUBSTITUTE(VLOOKUP(A1636,Internal_lists_bugs!$A$2:$G2031,7,FALSE()),"nova/commit","nova/src/commit"),"please select a BUG ID")</f>
        <v>please select a BUG ID</v>
      </c>
      <c r="D1636" s="54"/>
      <c r="F1636" s="54"/>
      <c r="H1636" s="114"/>
      <c r="J1636" s="183" t="str">
        <f>IFERROR(VLOOKUP(A1636,Internal_lists_bugs!$A$2:$I2031,9,FALSE()),"please select a BUG ID")</f>
        <v>please select a BUG ID</v>
      </c>
    </row>
    <row r="1637">
      <c r="A1637" s="54"/>
      <c r="B1637" s="71" t="str">
        <f>IFERROR(HYPERLINK(VLOOKUP(A1637,Internal_lists_bugs!$A$2:$C$73,3,FALSE()), VLOOKUP(A1637,Internal_lists_bugs!$A$2:$C$73,3,FALSE())&amp;Char(10) &amp; Char(10) &amp; VLOOKUP(A1637,Internal_lists_bugs!$A$2:$Z$73,26,FALSE())),"please select a BUG ID")</f>
        <v>please select a BUG ID</v>
      </c>
      <c r="C1637" s="51" t="str">
        <f>IFERROR(SUBSTITUTE(VLOOKUP(A1637,Internal_lists_bugs!$A$2:$G2031,7,FALSE()),"nova/commit","nova/src/commit"),"please select a BUG ID")</f>
        <v>please select a BUG ID</v>
      </c>
      <c r="D1637" s="54"/>
      <c r="F1637" s="54"/>
      <c r="H1637" s="114"/>
      <c r="J1637" s="183" t="str">
        <f>IFERROR(VLOOKUP(A1637,Internal_lists_bugs!$A$2:$I2031,9,FALSE()),"please select a BUG ID")</f>
        <v>please select a BUG ID</v>
      </c>
    </row>
    <row r="1638">
      <c r="A1638" s="54"/>
      <c r="B1638" s="71" t="str">
        <f>IFERROR(HYPERLINK(VLOOKUP(A1638,Internal_lists_bugs!$A$2:$C$73,3,FALSE()), VLOOKUP(A1638,Internal_lists_bugs!$A$2:$C$73,3,FALSE())&amp;Char(10) &amp; Char(10) &amp; VLOOKUP(A1638,Internal_lists_bugs!$A$2:$Z$73,26,FALSE())),"please select a BUG ID")</f>
        <v>please select a BUG ID</v>
      </c>
      <c r="C1638" s="51" t="str">
        <f>IFERROR(SUBSTITUTE(VLOOKUP(A1638,Internal_lists_bugs!$A$2:$G2031,7,FALSE()),"nova/commit","nova/src/commit"),"please select a BUG ID")</f>
        <v>please select a BUG ID</v>
      </c>
      <c r="D1638" s="54"/>
      <c r="F1638" s="54"/>
      <c r="H1638" s="114"/>
      <c r="J1638" s="183" t="str">
        <f>IFERROR(VLOOKUP(A1638,Internal_lists_bugs!$A$2:$I2031,9,FALSE()),"please select a BUG ID")</f>
        <v>please select a BUG ID</v>
      </c>
    </row>
    <row r="1639">
      <c r="A1639" s="54"/>
      <c r="B1639" s="71" t="str">
        <f>IFERROR(HYPERLINK(VLOOKUP(A1639,Internal_lists_bugs!$A$2:$C$73,3,FALSE()), VLOOKUP(A1639,Internal_lists_bugs!$A$2:$C$73,3,FALSE())&amp;Char(10) &amp; Char(10) &amp; VLOOKUP(A1639,Internal_lists_bugs!$A$2:$Z$73,26,FALSE())),"please select a BUG ID")</f>
        <v>please select a BUG ID</v>
      </c>
      <c r="C1639" s="51" t="str">
        <f>IFERROR(SUBSTITUTE(VLOOKUP(A1639,Internal_lists_bugs!$A$2:$G2031,7,FALSE()),"nova/commit","nova/src/commit"),"please select a BUG ID")</f>
        <v>please select a BUG ID</v>
      </c>
      <c r="D1639" s="54"/>
      <c r="F1639" s="54"/>
      <c r="H1639" s="114"/>
      <c r="J1639" s="183" t="str">
        <f>IFERROR(VLOOKUP(A1639,Internal_lists_bugs!$A$2:$I2031,9,FALSE()),"please select a BUG ID")</f>
        <v>please select a BUG ID</v>
      </c>
    </row>
    <row r="1640">
      <c r="A1640" s="54"/>
      <c r="B1640" s="71" t="str">
        <f>IFERROR(HYPERLINK(VLOOKUP(A1640,Internal_lists_bugs!$A$2:$C$73,3,FALSE()), VLOOKUP(A1640,Internal_lists_bugs!$A$2:$C$73,3,FALSE())&amp;Char(10) &amp; Char(10) &amp; VLOOKUP(A1640,Internal_lists_bugs!$A$2:$Z$73,26,FALSE())),"please select a BUG ID")</f>
        <v>please select a BUG ID</v>
      </c>
      <c r="C1640" s="51" t="str">
        <f>IFERROR(SUBSTITUTE(VLOOKUP(A1640,Internal_lists_bugs!$A$2:$G2031,7,FALSE()),"nova/commit","nova/src/commit"),"please select a BUG ID")</f>
        <v>please select a BUG ID</v>
      </c>
      <c r="D1640" s="54"/>
      <c r="F1640" s="54"/>
      <c r="H1640" s="114"/>
      <c r="J1640" s="183" t="str">
        <f>IFERROR(VLOOKUP(A1640,Internal_lists_bugs!$A$2:$I2031,9,FALSE()),"please select a BUG ID")</f>
        <v>please select a BUG ID</v>
      </c>
    </row>
    <row r="1641">
      <c r="A1641" s="54"/>
      <c r="B1641" s="71" t="str">
        <f>IFERROR(HYPERLINK(VLOOKUP(A1641,Internal_lists_bugs!$A$2:$C$73,3,FALSE()), VLOOKUP(A1641,Internal_lists_bugs!$A$2:$C$73,3,FALSE())&amp;Char(10) &amp; Char(10) &amp; VLOOKUP(A1641,Internal_lists_bugs!$A$2:$Z$73,26,FALSE())),"please select a BUG ID")</f>
        <v>please select a BUG ID</v>
      </c>
      <c r="C1641" s="51" t="str">
        <f>IFERROR(SUBSTITUTE(VLOOKUP(A1641,Internal_lists_bugs!$A$2:$G2031,7,FALSE()),"nova/commit","nova/src/commit"),"please select a BUG ID")</f>
        <v>please select a BUG ID</v>
      </c>
      <c r="D1641" s="54"/>
      <c r="F1641" s="54"/>
      <c r="H1641" s="114"/>
      <c r="J1641" s="183" t="str">
        <f>IFERROR(VLOOKUP(A1641,Internal_lists_bugs!$A$2:$I2031,9,FALSE()),"please select a BUG ID")</f>
        <v>please select a BUG ID</v>
      </c>
    </row>
    <row r="1642">
      <c r="A1642" s="54"/>
      <c r="B1642" s="71" t="str">
        <f>IFERROR(HYPERLINK(VLOOKUP(A1642,Internal_lists_bugs!$A$2:$C$73,3,FALSE()), VLOOKUP(A1642,Internal_lists_bugs!$A$2:$C$73,3,FALSE())&amp;Char(10) &amp; Char(10) &amp; VLOOKUP(A1642,Internal_lists_bugs!$A$2:$Z$73,26,FALSE())),"please select a BUG ID")</f>
        <v>please select a BUG ID</v>
      </c>
      <c r="C1642" s="51" t="str">
        <f>IFERROR(SUBSTITUTE(VLOOKUP(A1642,Internal_lists_bugs!$A$2:$G2031,7,FALSE()),"nova/commit","nova/src/commit"),"please select a BUG ID")</f>
        <v>please select a BUG ID</v>
      </c>
      <c r="D1642" s="54"/>
      <c r="F1642" s="54"/>
      <c r="H1642" s="114"/>
      <c r="J1642" s="183" t="str">
        <f>IFERROR(VLOOKUP(A1642,Internal_lists_bugs!$A$2:$I2031,9,FALSE()),"please select a BUG ID")</f>
        <v>please select a BUG ID</v>
      </c>
    </row>
    <row r="1643">
      <c r="A1643" s="54"/>
      <c r="B1643" s="71" t="str">
        <f>IFERROR(HYPERLINK(VLOOKUP(A1643,Internal_lists_bugs!$A$2:$C$73,3,FALSE()), VLOOKUP(A1643,Internal_lists_bugs!$A$2:$C$73,3,FALSE())&amp;Char(10) &amp; Char(10) &amp; VLOOKUP(A1643,Internal_lists_bugs!$A$2:$Z$73,26,FALSE())),"please select a BUG ID")</f>
        <v>please select a BUG ID</v>
      </c>
      <c r="C1643" s="51" t="str">
        <f>IFERROR(SUBSTITUTE(VLOOKUP(A1643,Internal_lists_bugs!$A$2:$G2031,7,FALSE()),"nova/commit","nova/src/commit"),"please select a BUG ID")</f>
        <v>please select a BUG ID</v>
      </c>
      <c r="D1643" s="54"/>
      <c r="F1643" s="54"/>
      <c r="H1643" s="114"/>
      <c r="J1643" s="183" t="str">
        <f>IFERROR(VLOOKUP(A1643,Internal_lists_bugs!$A$2:$I2031,9,FALSE()),"please select a BUG ID")</f>
        <v>please select a BUG ID</v>
      </c>
    </row>
    <row r="1644">
      <c r="A1644" s="54"/>
      <c r="B1644" s="71" t="str">
        <f>IFERROR(HYPERLINK(VLOOKUP(A1644,Internal_lists_bugs!$A$2:$C$73,3,FALSE()), VLOOKUP(A1644,Internal_lists_bugs!$A$2:$C$73,3,FALSE())&amp;Char(10) &amp; Char(10) &amp; VLOOKUP(A1644,Internal_lists_bugs!$A$2:$Z$73,26,FALSE())),"please select a BUG ID")</f>
        <v>please select a BUG ID</v>
      </c>
      <c r="C1644" s="51" t="str">
        <f>IFERROR(SUBSTITUTE(VLOOKUP(A1644,Internal_lists_bugs!$A$2:$G2031,7,FALSE()),"nova/commit","nova/src/commit"),"please select a BUG ID")</f>
        <v>please select a BUG ID</v>
      </c>
      <c r="D1644" s="54"/>
      <c r="F1644" s="54"/>
      <c r="H1644" s="114"/>
      <c r="J1644" s="183" t="str">
        <f>IFERROR(VLOOKUP(A1644,Internal_lists_bugs!$A$2:$I2031,9,FALSE()),"please select a BUG ID")</f>
        <v>please select a BUG ID</v>
      </c>
    </row>
    <row r="1645">
      <c r="A1645" s="54"/>
      <c r="B1645" s="71" t="str">
        <f>IFERROR(HYPERLINK(VLOOKUP(A1645,Internal_lists_bugs!$A$2:$C$73,3,FALSE()), VLOOKUP(A1645,Internal_lists_bugs!$A$2:$C$73,3,FALSE())&amp;Char(10) &amp; Char(10) &amp; VLOOKUP(A1645,Internal_lists_bugs!$A$2:$Z$73,26,FALSE())),"please select a BUG ID")</f>
        <v>please select a BUG ID</v>
      </c>
      <c r="C1645" s="51" t="str">
        <f>IFERROR(SUBSTITUTE(VLOOKUP(A1645,Internal_lists_bugs!$A$2:$G2031,7,FALSE()),"nova/commit","nova/src/commit"),"please select a BUG ID")</f>
        <v>please select a BUG ID</v>
      </c>
      <c r="D1645" s="54"/>
      <c r="F1645" s="54"/>
      <c r="H1645" s="114"/>
      <c r="J1645" s="183" t="str">
        <f>IFERROR(VLOOKUP(A1645,Internal_lists_bugs!$A$2:$I2031,9,FALSE()),"please select a BUG ID")</f>
        <v>please select a BUG ID</v>
      </c>
    </row>
    <row r="1646">
      <c r="A1646" s="54"/>
      <c r="B1646" s="71" t="str">
        <f>IFERROR(HYPERLINK(VLOOKUP(A1646,Internal_lists_bugs!$A$2:$C$73,3,FALSE()), VLOOKUP(A1646,Internal_lists_bugs!$A$2:$C$73,3,FALSE())&amp;Char(10) &amp; Char(10) &amp; VLOOKUP(A1646,Internal_lists_bugs!$A$2:$Z$73,26,FALSE())),"please select a BUG ID")</f>
        <v>please select a BUG ID</v>
      </c>
      <c r="C1646" s="51" t="str">
        <f>IFERROR(SUBSTITUTE(VLOOKUP(A1646,Internal_lists_bugs!$A$2:$G2031,7,FALSE()),"nova/commit","nova/src/commit"),"please select a BUG ID")</f>
        <v>please select a BUG ID</v>
      </c>
      <c r="D1646" s="54"/>
      <c r="F1646" s="54"/>
      <c r="H1646" s="114"/>
      <c r="J1646" s="183" t="str">
        <f>IFERROR(VLOOKUP(A1646,Internal_lists_bugs!$A$2:$I2031,9,FALSE()),"please select a BUG ID")</f>
        <v>please select a BUG ID</v>
      </c>
    </row>
    <row r="1647">
      <c r="A1647" s="54"/>
      <c r="B1647" s="71" t="str">
        <f>IFERROR(HYPERLINK(VLOOKUP(A1647,Internal_lists_bugs!$A$2:$C$73,3,FALSE()), VLOOKUP(A1647,Internal_lists_bugs!$A$2:$C$73,3,FALSE())&amp;Char(10) &amp; Char(10) &amp; VLOOKUP(A1647,Internal_lists_bugs!$A$2:$Z$73,26,FALSE())),"please select a BUG ID")</f>
        <v>please select a BUG ID</v>
      </c>
      <c r="C1647" s="51" t="str">
        <f>IFERROR(SUBSTITUTE(VLOOKUP(A1647,Internal_lists_bugs!$A$2:$G2031,7,FALSE()),"nova/commit","nova/src/commit"),"please select a BUG ID")</f>
        <v>please select a BUG ID</v>
      </c>
      <c r="D1647" s="54"/>
      <c r="F1647" s="54"/>
      <c r="H1647" s="114"/>
      <c r="J1647" s="183" t="str">
        <f>IFERROR(VLOOKUP(A1647,Internal_lists_bugs!$A$2:$I2031,9,FALSE()),"please select a BUG ID")</f>
        <v>please select a BUG ID</v>
      </c>
    </row>
    <row r="1648">
      <c r="A1648" s="54"/>
      <c r="B1648" s="71" t="str">
        <f>IFERROR(HYPERLINK(VLOOKUP(A1648,Internal_lists_bugs!$A$2:$C$73,3,FALSE()), VLOOKUP(A1648,Internal_lists_bugs!$A$2:$C$73,3,FALSE())&amp;Char(10) &amp; Char(10) &amp; VLOOKUP(A1648,Internal_lists_bugs!$A$2:$Z$73,26,FALSE())),"please select a BUG ID")</f>
        <v>please select a BUG ID</v>
      </c>
      <c r="C1648" s="51" t="str">
        <f>IFERROR(SUBSTITUTE(VLOOKUP(A1648,Internal_lists_bugs!$A$2:$G2031,7,FALSE()),"nova/commit","nova/src/commit"),"please select a BUG ID")</f>
        <v>please select a BUG ID</v>
      </c>
      <c r="D1648" s="54"/>
      <c r="F1648" s="54"/>
      <c r="H1648" s="114"/>
      <c r="J1648" s="183" t="str">
        <f>IFERROR(VLOOKUP(A1648,Internal_lists_bugs!$A$2:$I2031,9,FALSE()),"please select a BUG ID")</f>
        <v>please select a BUG ID</v>
      </c>
    </row>
    <row r="1649">
      <c r="A1649" s="54"/>
      <c r="B1649" s="71" t="str">
        <f>IFERROR(HYPERLINK(VLOOKUP(A1649,Internal_lists_bugs!$A$2:$C$73,3,FALSE()), VLOOKUP(A1649,Internal_lists_bugs!$A$2:$C$73,3,FALSE())&amp;Char(10) &amp; Char(10) &amp; VLOOKUP(A1649,Internal_lists_bugs!$A$2:$Z$73,26,FALSE())),"please select a BUG ID")</f>
        <v>please select a BUG ID</v>
      </c>
      <c r="C1649" s="51" t="str">
        <f>IFERROR(SUBSTITUTE(VLOOKUP(A1649,Internal_lists_bugs!$A$2:$G2031,7,FALSE()),"nova/commit","nova/src/commit"),"please select a BUG ID")</f>
        <v>please select a BUG ID</v>
      </c>
      <c r="D1649" s="54"/>
      <c r="F1649" s="54"/>
      <c r="H1649" s="114"/>
      <c r="J1649" s="183" t="str">
        <f>IFERROR(VLOOKUP(A1649,Internal_lists_bugs!$A$2:$I2031,9,FALSE()),"please select a BUG ID")</f>
        <v>please select a BUG ID</v>
      </c>
    </row>
    <row r="1650">
      <c r="A1650" s="54"/>
      <c r="B1650" s="71" t="str">
        <f>IFERROR(HYPERLINK(VLOOKUP(A1650,Internal_lists_bugs!$A$2:$C$73,3,FALSE()), VLOOKUP(A1650,Internal_lists_bugs!$A$2:$C$73,3,FALSE())&amp;Char(10) &amp; Char(10) &amp; VLOOKUP(A1650,Internal_lists_bugs!$A$2:$Z$73,26,FALSE())),"please select a BUG ID")</f>
        <v>please select a BUG ID</v>
      </c>
      <c r="C1650" s="51" t="str">
        <f>IFERROR(SUBSTITUTE(VLOOKUP(A1650,Internal_lists_bugs!$A$2:$G2031,7,FALSE()),"nova/commit","nova/src/commit"),"please select a BUG ID")</f>
        <v>please select a BUG ID</v>
      </c>
      <c r="D1650" s="54"/>
      <c r="F1650" s="54"/>
      <c r="H1650" s="114"/>
      <c r="J1650" s="183" t="str">
        <f>IFERROR(VLOOKUP(A1650,Internal_lists_bugs!$A$2:$I2031,9,FALSE()),"please select a BUG ID")</f>
        <v>please select a BUG ID</v>
      </c>
    </row>
    <row r="1651">
      <c r="A1651" s="54"/>
      <c r="B1651" s="71" t="str">
        <f>IFERROR(HYPERLINK(VLOOKUP(A1651,Internal_lists_bugs!$A$2:$C$73,3,FALSE()), VLOOKUP(A1651,Internal_lists_bugs!$A$2:$C$73,3,FALSE())&amp;Char(10) &amp; Char(10) &amp; VLOOKUP(A1651,Internal_lists_bugs!$A$2:$Z$73,26,FALSE())),"please select a BUG ID")</f>
        <v>please select a BUG ID</v>
      </c>
      <c r="C1651" s="51" t="str">
        <f>IFERROR(SUBSTITUTE(VLOOKUP(A1651,Internal_lists_bugs!$A$2:$G2031,7,FALSE()),"nova/commit","nova/src/commit"),"please select a BUG ID")</f>
        <v>please select a BUG ID</v>
      </c>
      <c r="D1651" s="54"/>
      <c r="F1651" s="54"/>
      <c r="H1651" s="114"/>
      <c r="J1651" s="183" t="str">
        <f>IFERROR(VLOOKUP(A1651,Internal_lists_bugs!$A$2:$I2031,9,FALSE()),"please select a BUG ID")</f>
        <v>please select a BUG ID</v>
      </c>
    </row>
    <row r="1652">
      <c r="A1652" s="54"/>
      <c r="B1652" s="71" t="str">
        <f>IFERROR(HYPERLINK(VLOOKUP(A1652,Internal_lists_bugs!$A$2:$C$73,3,FALSE()), VLOOKUP(A1652,Internal_lists_bugs!$A$2:$C$73,3,FALSE())&amp;Char(10) &amp; Char(10) &amp; VLOOKUP(A1652,Internal_lists_bugs!$A$2:$Z$73,26,FALSE())),"please select a BUG ID")</f>
        <v>please select a BUG ID</v>
      </c>
      <c r="C1652" s="51" t="str">
        <f>IFERROR(SUBSTITUTE(VLOOKUP(A1652,Internal_lists_bugs!$A$2:$G2031,7,FALSE()),"nova/commit","nova/src/commit"),"please select a BUG ID")</f>
        <v>please select a BUG ID</v>
      </c>
      <c r="D1652" s="54"/>
      <c r="F1652" s="54"/>
      <c r="H1652" s="114"/>
      <c r="J1652" s="183" t="str">
        <f>IFERROR(VLOOKUP(A1652,Internal_lists_bugs!$A$2:$I2031,9,FALSE()),"please select a BUG ID")</f>
        <v>please select a BUG ID</v>
      </c>
    </row>
    <row r="1653">
      <c r="A1653" s="54"/>
      <c r="B1653" s="71" t="str">
        <f>IFERROR(HYPERLINK(VLOOKUP(A1653,Internal_lists_bugs!$A$2:$C$73,3,FALSE()), VLOOKUP(A1653,Internal_lists_bugs!$A$2:$C$73,3,FALSE())&amp;Char(10) &amp; Char(10) &amp; VLOOKUP(A1653,Internal_lists_bugs!$A$2:$Z$73,26,FALSE())),"please select a BUG ID")</f>
        <v>please select a BUG ID</v>
      </c>
      <c r="C1653" s="51" t="str">
        <f>IFERROR(SUBSTITUTE(VLOOKUP(A1653,Internal_lists_bugs!$A$2:$G2031,7,FALSE()),"nova/commit","nova/src/commit"),"please select a BUG ID")</f>
        <v>please select a BUG ID</v>
      </c>
      <c r="D1653" s="54"/>
      <c r="F1653" s="54"/>
      <c r="H1653" s="114"/>
      <c r="J1653" s="183" t="str">
        <f>IFERROR(VLOOKUP(A1653,Internal_lists_bugs!$A$2:$I2031,9,FALSE()),"please select a BUG ID")</f>
        <v>please select a BUG ID</v>
      </c>
    </row>
    <row r="1654">
      <c r="A1654" s="54"/>
      <c r="B1654" s="71" t="str">
        <f>IFERROR(HYPERLINK(VLOOKUP(A1654,Internal_lists_bugs!$A$2:$C$73,3,FALSE()), VLOOKUP(A1654,Internal_lists_bugs!$A$2:$C$73,3,FALSE())&amp;Char(10) &amp; Char(10) &amp; VLOOKUP(A1654,Internal_lists_bugs!$A$2:$Z$73,26,FALSE())),"please select a BUG ID")</f>
        <v>please select a BUG ID</v>
      </c>
      <c r="C1654" s="51" t="str">
        <f>IFERROR(SUBSTITUTE(VLOOKUP(A1654,Internal_lists_bugs!$A$2:$G2031,7,FALSE()),"nova/commit","nova/src/commit"),"please select a BUG ID")</f>
        <v>please select a BUG ID</v>
      </c>
      <c r="D1654" s="54"/>
      <c r="F1654" s="54"/>
      <c r="H1654" s="114"/>
      <c r="J1654" s="183" t="str">
        <f>IFERROR(VLOOKUP(A1654,Internal_lists_bugs!$A$2:$I2031,9,FALSE()),"please select a BUG ID")</f>
        <v>please select a BUG ID</v>
      </c>
    </row>
    <row r="1655">
      <c r="A1655" s="54"/>
      <c r="B1655" s="71" t="str">
        <f>IFERROR(HYPERLINK(VLOOKUP(A1655,Internal_lists_bugs!$A$2:$C$73,3,FALSE()), VLOOKUP(A1655,Internal_lists_bugs!$A$2:$C$73,3,FALSE())&amp;Char(10) &amp; Char(10) &amp; VLOOKUP(A1655,Internal_lists_bugs!$A$2:$Z$73,26,FALSE())),"please select a BUG ID")</f>
        <v>please select a BUG ID</v>
      </c>
      <c r="C1655" s="51" t="str">
        <f>IFERROR(SUBSTITUTE(VLOOKUP(A1655,Internal_lists_bugs!$A$2:$G2031,7,FALSE()),"nova/commit","nova/src/commit"),"please select a BUG ID")</f>
        <v>please select a BUG ID</v>
      </c>
      <c r="D1655" s="54"/>
      <c r="F1655" s="54"/>
      <c r="H1655" s="114"/>
      <c r="J1655" s="183" t="str">
        <f>IFERROR(VLOOKUP(A1655,Internal_lists_bugs!$A$2:$I2031,9,FALSE()),"please select a BUG ID")</f>
        <v>please select a BUG ID</v>
      </c>
    </row>
    <row r="1656">
      <c r="A1656" s="54"/>
      <c r="B1656" s="71" t="str">
        <f>IFERROR(HYPERLINK(VLOOKUP(A1656,Internal_lists_bugs!$A$2:$C$73,3,FALSE()), VLOOKUP(A1656,Internal_lists_bugs!$A$2:$C$73,3,FALSE())&amp;Char(10) &amp; Char(10) &amp; VLOOKUP(A1656,Internal_lists_bugs!$A$2:$Z$73,26,FALSE())),"please select a BUG ID")</f>
        <v>please select a BUG ID</v>
      </c>
      <c r="C1656" s="51" t="str">
        <f>IFERROR(SUBSTITUTE(VLOOKUP(A1656,Internal_lists_bugs!$A$2:$G2031,7,FALSE()),"nova/commit","nova/src/commit"),"please select a BUG ID")</f>
        <v>please select a BUG ID</v>
      </c>
      <c r="D1656" s="54"/>
      <c r="F1656" s="54"/>
      <c r="H1656" s="114"/>
      <c r="J1656" s="183" t="str">
        <f>IFERROR(VLOOKUP(A1656,Internal_lists_bugs!$A$2:$I2031,9,FALSE()),"please select a BUG ID")</f>
        <v>please select a BUG ID</v>
      </c>
    </row>
    <row r="1657">
      <c r="A1657" s="54"/>
      <c r="B1657" s="71" t="str">
        <f>IFERROR(HYPERLINK(VLOOKUP(A1657,Internal_lists_bugs!$A$2:$C$73,3,FALSE()), VLOOKUP(A1657,Internal_lists_bugs!$A$2:$C$73,3,FALSE())&amp;Char(10) &amp; Char(10) &amp; VLOOKUP(A1657,Internal_lists_bugs!$A$2:$Z$73,26,FALSE())),"please select a BUG ID")</f>
        <v>please select a BUG ID</v>
      </c>
      <c r="C1657" s="51" t="str">
        <f>IFERROR(SUBSTITUTE(VLOOKUP(A1657,Internal_lists_bugs!$A$2:$G2031,7,FALSE()),"nova/commit","nova/src/commit"),"please select a BUG ID")</f>
        <v>please select a BUG ID</v>
      </c>
      <c r="D1657" s="54"/>
      <c r="F1657" s="54"/>
      <c r="H1657" s="114"/>
      <c r="J1657" s="183" t="str">
        <f>IFERROR(VLOOKUP(A1657,Internal_lists_bugs!$A$2:$I2031,9,FALSE()),"please select a BUG ID")</f>
        <v>please select a BUG ID</v>
      </c>
    </row>
    <row r="1658">
      <c r="A1658" s="54"/>
      <c r="B1658" s="71" t="str">
        <f>IFERROR(HYPERLINK(VLOOKUP(A1658,Internal_lists_bugs!$A$2:$C$73,3,FALSE()), VLOOKUP(A1658,Internal_lists_bugs!$A$2:$C$73,3,FALSE())&amp;Char(10) &amp; Char(10) &amp; VLOOKUP(A1658,Internal_lists_bugs!$A$2:$Z$73,26,FALSE())),"please select a BUG ID")</f>
        <v>please select a BUG ID</v>
      </c>
      <c r="C1658" s="51" t="str">
        <f>IFERROR(SUBSTITUTE(VLOOKUP(A1658,Internal_lists_bugs!$A$2:$G2031,7,FALSE()),"nova/commit","nova/src/commit"),"please select a BUG ID")</f>
        <v>please select a BUG ID</v>
      </c>
      <c r="D1658" s="54"/>
      <c r="F1658" s="54"/>
      <c r="H1658" s="114"/>
      <c r="J1658" s="183" t="str">
        <f>IFERROR(VLOOKUP(A1658,Internal_lists_bugs!$A$2:$I2031,9,FALSE()),"please select a BUG ID")</f>
        <v>please select a BUG ID</v>
      </c>
    </row>
    <row r="1659">
      <c r="A1659" s="54"/>
      <c r="B1659" s="71" t="str">
        <f>IFERROR(HYPERLINK(VLOOKUP(A1659,Internal_lists_bugs!$A$2:$C$73,3,FALSE()), VLOOKUP(A1659,Internal_lists_bugs!$A$2:$C$73,3,FALSE())&amp;Char(10) &amp; Char(10) &amp; VLOOKUP(A1659,Internal_lists_bugs!$A$2:$Z$73,26,FALSE())),"please select a BUG ID")</f>
        <v>please select a BUG ID</v>
      </c>
      <c r="C1659" s="51" t="str">
        <f>IFERROR(SUBSTITUTE(VLOOKUP(A1659,Internal_lists_bugs!$A$2:$G2031,7,FALSE()),"nova/commit","nova/src/commit"),"please select a BUG ID")</f>
        <v>please select a BUG ID</v>
      </c>
      <c r="D1659" s="54"/>
      <c r="F1659" s="54"/>
      <c r="H1659" s="114"/>
      <c r="J1659" s="183" t="str">
        <f>IFERROR(VLOOKUP(A1659,Internal_lists_bugs!$A$2:$I2031,9,FALSE()),"please select a BUG ID")</f>
        <v>please select a BUG ID</v>
      </c>
    </row>
    <row r="1660">
      <c r="A1660" s="54"/>
      <c r="B1660" s="71" t="str">
        <f>IFERROR(HYPERLINK(VLOOKUP(A1660,Internal_lists_bugs!$A$2:$C$73,3,FALSE()), VLOOKUP(A1660,Internal_lists_bugs!$A$2:$C$73,3,FALSE())&amp;Char(10) &amp; Char(10) &amp; VLOOKUP(A1660,Internal_lists_bugs!$A$2:$Z$73,26,FALSE())),"please select a BUG ID")</f>
        <v>please select a BUG ID</v>
      </c>
      <c r="C1660" s="51" t="str">
        <f>IFERROR(SUBSTITUTE(VLOOKUP(A1660,Internal_lists_bugs!$A$2:$G2031,7,FALSE()),"nova/commit","nova/src/commit"),"please select a BUG ID")</f>
        <v>please select a BUG ID</v>
      </c>
      <c r="D1660" s="54"/>
      <c r="F1660" s="54"/>
      <c r="H1660" s="114"/>
      <c r="J1660" s="183" t="str">
        <f>IFERROR(VLOOKUP(A1660,Internal_lists_bugs!$A$2:$I2031,9,FALSE()),"please select a BUG ID")</f>
        <v>please select a BUG ID</v>
      </c>
    </row>
    <row r="1661">
      <c r="A1661" s="54"/>
      <c r="B1661" s="71" t="str">
        <f>IFERROR(HYPERLINK(VLOOKUP(A1661,Internal_lists_bugs!$A$2:$C$73,3,FALSE()), VLOOKUP(A1661,Internal_lists_bugs!$A$2:$C$73,3,FALSE())&amp;Char(10) &amp; Char(10) &amp; VLOOKUP(A1661,Internal_lists_bugs!$A$2:$Z$73,26,FALSE())),"please select a BUG ID")</f>
        <v>please select a BUG ID</v>
      </c>
      <c r="C1661" s="51" t="str">
        <f>IFERROR(SUBSTITUTE(VLOOKUP(A1661,Internal_lists_bugs!$A$2:$G2031,7,FALSE()),"nova/commit","nova/src/commit"),"please select a BUG ID")</f>
        <v>please select a BUG ID</v>
      </c>
      <c r="D1661" s="54"/>
      <c r="F1661" s="54"/>
      <c r="H1661" s="114"/>
      <c r="J1661" s="183" t="str">
        <f>IFERROR(VLOOKUP(A1661,Internal_lists_bugs!$A$2:$I2031,9,FALSE()),"please select a BUG ID")</f>
        <v>please select a BUG ID</v>
      </c>
    </row>
    <row r="1662">
      <c r="A1662" s="54"/>
      <c r="B1662" s="71" t="str">
        <f>IFERROR(HYPERLINK(VLOOKUP(A1662,Internal_lists_bugs!$A$2:$C$73,3,FALSE()), VLOOKUP(A1662,Internal_lists_bugs!$A$2:$C$73,3,FALSE())&amp;Char(10) &amp; Char(10) &amp; VLOOKUP(A1662,Internal_lists_bugs!$A$2:$Z$73,26,FALSE())),"please select a BUG ID")</f>
        <v>please select a BUG ID</v>
      </c>
      <c r="C1662" s="51" t="str">
        <f>IFERROR(SUBSTITUTE(VLOOKUP(A1662,Internal_lists_bugs!$A$2:$G2031,7,FALSE()),"nova/commit","nova/src/commit"),"please select a BUG ID")</f>
        <v>please select a BUG ID</v>
      </c>
      <c r="D1662" s="54"/>
      <c r="F1662" s="54"/>
      <c r="H1662" s="114"/>
      <c r="J1662" s="183" t="str">
        <f>IFERROR(VLOOKUP(A1662,Internal_lists_bugs!$A$2:$I2031,9,FALSE()),"please select a BUG ID")</f>
        <v>please select a BUG ID</v>
      </c>
    </row>
    <row r="1663">
      <c r="A1663" s="54"/>
      <c r="B1663" s="71" t="str">
        <f>IFERROR(HYPERLINK(VLOOKUP(A1663,Internal_lists_bugs!$A$2:$C$73,3,FALSE()), VLOOKUP(A1663,Internal_lists_bugs!$A$2:$C$73,3,FALSE())&amp;Char(10) &amp; Char(10) &amp; VLOOKUP(A1663,Internal_lists_bugs!$A$2:$Z$73,26,FALSE())),"please select a BUG ID")</f>
        <v>please select a BUG ID</v>
      </c>
      <c r="C1663" s="51" t="str">
        <f>IFERROR(SUBSTITUTE(VLOOKUP(A1663,Internal_lists_bugs!$A$2:$G2031,7,FALSE()),"nova/commit","nova/src/commit"),"please select a BUG ID")</f>
        <v>please select a BUG ID</v>
      </c>
      <c r="D1663" s="54"/>
      <c r="F1663" s="54"/>
      <c r="H1663" s="114"/>
      <c r="J1663" s="183" t="str">
        <f>IFERROR(VLOOKUP(A1663,Internal_lists_bugs!$A$2:$I2031,9,FALSE()),"please select a BUG ID")</f>
        <v>please select a BUG ID</v>
      </c>
    </row>
    <row r="1664">
      <c r="A1664" s="54"/>
      <c r="B1664" s="71" t="str">
        <f>IFERROR(HYPERLINK(VLOOKUP(A1664,Internal_lists_bugs!$A$2:$C$73,3,FALSE()), VLOOKUP(A1664,Internal_lists_bugs!$A$2:$C$73,3,FALSE())&amp;Char(10) &amp; Char(10) &amp; VLOOKUP(A1664,Internal_lists_bugs!$A$2:$Z$73,26,FALSE())),"please select a BUG ID")</f>
        <v>please select a BUG ID</v>
      </c>
      <c r="C1664" s="51" t="str">
        <f>IFERROR(SUBSTITUTE(VLOOKUP(A1664,Internal_lists_bugs!$A$2:$G2031,7,FALSE()),"nova/commit","nova/src/commit"),"please select a BUG ID")</f>
        <v>please select a BUG ID</v>
      </c>
      <c r="D1664" s="54"/>
      <c r="F1664" s="54"/>
      <c r="H1664" s="114"/>
      <c r="J1664" s="183" t="str">
        <f>IFERROR(VLOOKUP(A1664,Internal_lists_bugs!$A$2:$I2031,9,FALSE()),"please select a BUG ID")</f>
        <v>please select a BUG ID</v>
      </c>
    </row>
    <row r="1665">
      <c r="A1665" s="54"/>
      <c r="B1665" s="71" t="str">
        <f>IFERROR(HYPERLINK(VLOOKUP(A1665,Internal_lists_bugs!$A$2:$C$73,3,FALSE()), VLOOKUP(A1665,Internal_lists_bugs!$A$2:$C$73,3,FALSE())&amp;Char(10) &amp; Char(10) &amp; VLOOKUP(A1665,Internal_lists_bugs!$A$2:$Z$73,26,FALSE())),"please select a BUG ID")</f>
        <v>please select a BUG ID</v>
      </c>
      <c r="C1665" s="51" t="str">
        <f>IFERROR(SUBSTITUTE(VLOOKUP(A1665,Internal_lists_bugs!$A$2:$G2031,7,FALSE()),"nova/commit","nova/src/commit"),"please select a BUG ID")</f>
        <v>please select a BUG ID</v>
      </c>
      <c r="D1665" s="54"/>
      <c r="F1665" s="54"/>
      <c r="H1665" s="114"/>
      <c r="J1665" s="183" t="str">
        <f>IFERROR(VLOOKUP(A1665,Internal_lists_bugs!$A$2:$I2031,9,FALSE()),"please select a BUG ID")</f>
        <v>please select a BUG ID</v>
      </c>
    </row>
    <row r="1666">
      <c r="A1666" s="54"/>
      <c r="B1666" s="71" t="str">
        <f>IFERROR(HYPERLINK(VLOOKUP(A1666,Internal_lists_bugs!$A$2:$C$73,3,FALSE()), VLOOKUP(A1666,Internal_lists_bugs!$A$2:$C$73,3,FALSE())&amp;Char(10) &amp; Char(10) &amp; VLOOKUP(A1666,Internal_lists_bugs!$A$2:$Z$73,26,FALSE())),"please select a BUG ID")</f>
        <v>please select a BUG ID</v>
      </c>
      <c r="C1666" s="51" t="str">
        <f>IFERROR(SUBSTITUTE(VLOOKUP(A1666,Internal_lists_bugs!$A$2:$G2031,7,FALSE()),"nova/commit","nova/src/commit"),"please select a BUG ID")</f>
        <v>please select a BUG ID</v>
      </c>
      <c r="D1666" s="54"/>
      <c r="F1666" s="54"/>
      <c r="H1666" s="114"/>
      <c r="J1666" s="183" t="str">
        <f>IFERROR(VLOOKUP(A1666,Internal_lists_bugs!$A$2:$I2031,9,FALSE()),"please select a BUG ID")</f>
        <v>please select a BUG ID</v>
      </c>
    </row>
    <row r="1667">
      <c r="A1667" s="54"/>
      <c r="B1667" s="71" t="str">
        <f>IFERROR(HYPERLINK(VLOOKUP(A1667,Internal_lists_bugs!$A$2:$C$73,3,FALSE()), VLOOKUP(A1667,Internal_lists_bugs!$A$2:$C$73,3,FALSE())&amp;Char(10) &amp; Char(10) &amp; VLOOKUP(A1667,Internal_lists_bugs!$A$2:$Z$73,26,FALSE())),"please select a BUG ID")</f>
        <v>please select a BUG ID</v>
      </c>
      <c r="C1667" s="51" t="str">
        <f>IFERROR(SUBSTITUTE(VLOOKUP(A1667,Internal_lists_bugs!$A$2:$G2031,7,FALSE()),"nova/commit","nova/src/commit"),"please select a BUG ID")</f>
        <v>please select a BUG ID</v>
      </c>
      <c r="D1667" s="54"/>
      <c r="F1667" s="54"/>
      <c r="H1667" s="114"/>
      <c r="J1667" s="183" t="str">
        <f>IFERROR(VLOOKUP(A1667,Internal_lists_bugs!$A$2:$I2031,9,FALSE()),"please select a BUG ID")</f>
        <v>please select a BUG ID</v>
      </c>
    </row>
    <row r="1668">
      <c r="A1668" s="54"/>
      <c r="B1668" s="71" t="str">
        <f>IFERROR(HYPERLINK(VLOOKUP(A1668,Internal_lists_bugs!$A$2:$C$73,3,FALSE()), VLOOKUP(A1668,Internal_lists_bugs!$A$2:$C$73,3,FALSE())&amp;Char(10) &amp; Char(10) &amp; VLOOKUP(A1668,Internal_lists_bugs!$A$2:$Z$73,26,FALSE())),"please select a BUG ID")</f>
        <v>please select a BUG ID</v>
      </c>
      <c r="C1668" s="51" t="str">
        <f>IFERROR(SUBSTITUTE(VLOOKUP(A1668,Internal_lists_bugs!$A$2:$G2031,7,FALSE()),"nova/commit","nova/src/commit"),"please select a BUG ID")</f>
        <v>please select a BUG ID</v>
      </c>
      <c r="D1668" s="54"/>
      <c r="F1668" s="54"/>
      <c r="H1668" s="114"/>
      <c r="J1668" s="183" t="str">
        <f>IFERROR(VLOOKUP(A1668,Internal_lists_bugs!$A$2:$I2031,9,FALSE()),"please select a BUG ID")</f>
        <v>please select a BUG ID</v>
      </c>
    </row>
    <row r="1669">
      <c r="A1669" s="54"/>
      <c r="B1669" s="71" t="str">
        <f>IFERROR(HYPERLINK(VLOOKUP(A1669,Internal_lists_bugs!$A$2:$C$73,3,FALSE()), VLOOKUP(A1669,Internal_lists_bugs!$A$2:$C$73,3,FALSE())&amp;Char(10) &amp; Char(10) &amp; VLOOKUP(A1669,Internal_lists_bugs!$A$2:$Z$73,26,FALSE())),"please select a BUG ID")</f>
        <v>please select a BUG ID</v>
      </c>
      <c r="C1669" s="51" t="str">
        <f>IFERROR(SUBSTITUTE(VLOOKUP(A1669,Internal_lists_bugs!$A$2:$G2031,7,FALSE()),"nova/commit","nova/src/commit"),"please select a BUG ID")</f>
        <v>please select a BUG ID</v>
      </c>
      <c r="D1669" s="54"/>
      <c r="F1669" s="54"/>
      <c r="H1669" s="114"/>
      <c r="J1669" s="183" t="str">
        <f>IFERROR(VLOOKUP(A1669,Internal_lists_bugs!$A$2:$I2031,9,FALSE()),"please select a BUG ID")</f>
        <v>please select a BUG ID</v>
      </c>
    </row>
    <row r="1670">
      <c r="A1670" s="54"/>
      <c r="B1670" s="71" t="str">
        <f>IFERROR(HYPERLINK(VLOOKUP(A1670,Internal_lists_bugs!$A$2:$C$73,3,FALSE()), VLOOKUP(A1670,Internal_lists_bugs!$A$2:$C$73,3,FALSE())&amp;Char(10) &amp; Char(10) &amp; VLOOKUP(A1670,Internal_lists_bugs!$A$2:$Z$73,26,FALSE())),"please select a BUG ID")</f>
        <v>please select a BUG ID</v>
      </c>
      <c r="C1670" s="51" t="str">
        <f>IFERROR(SUBSTITUTE(VLOOKUP(A1670,Internal_lists_bugs!$A$2:$G2031,7,FALSE()),"nova/commit","nova/src/commit"),"please select a BUG ID")</f>
        <v>please select a BUG ID</v>
      </c>
      <c r="D1670" s="54"/>
      <c r="F1670" s="54"/>
      <c r="H1670" s="114"/>
      <c r="J1670" s="183" t="str">
        <f>IFERROR(VLOOKUP(A1670,Internal_lists_bugs!$A$2:$I2031,9,FALSE()),"please select a BUG ID")</f>
        <v>please select a BUG ID</v>
      </c>
    </row>
    <row r="1671">
      <c r="A1671" s="54"/>
      <c r="B1671" s="71" t="str">
        <f>IFERROR(HYPERLINK(VLOOKUP(A1671,Internal_lists_bugs!$A$2:$C$73,3,FALSE()), VLOOKUP(A1671,Internal_lists_bugs!$A$2:$C$73,3,FALSE())&amp;Char(10) &amp; Char(10) &amp; VLOOKUP(A1671,Internal_lists_bugs!$A$2:$Z$73,26,FALSE())),"please select a BUG ID")</f>
        <v>please select a BUG ID</v>
      </c>
      <c r="C1671" s="51" t="str">
        <f>IFERROR(SUBSTITUTE(VLOOKUP(A1671,Internal_lists_bugs!$A$2:$G2031,7,FALSE()),"nova/commit","nova/src/commit"),"please select a BUG ID")</f>
        <v>please select a BUG ID</v>
      </c>
      <c r="D1671" s="54"/>
      <c r="F1671" s="54"/>
      <c r="H1671" s="114"/>
      <c r="J1671" s="183" t="str">
        <f>IFERROR(VLOOKUP(A1671,Internal_lists_bugs!$A$2:$I2031,9,FALSE()),"please select a BUG ID")</f>
        <v>please select a BUG ID</v>
      </c>
    </row>
    <row r="1672">
      <c r="A1672" s="54"/>
      <c r="B1672" s="71" t="str">
        <f>IFERROR(HYPERLINK(VLOOKUP(A1672,Internal_lists_bugs!$A$2:$C$73,3,FALSE()), VLOOKUP(A1672,Internal_lists_bugs!$A$2:$C$73,3,FALSE())&amp;Char(10) &amp; Char(10) &amp; VLOOKUP(A1672,Internal_lists_bugs!$A$2:$Z$73,26,FALSE())),"please select a BUG ID")</f>
        <v>please select a BUG ID</v>
      </c>
      <c r="C1672" s="51" t="str">
        <f>IFERROR(SUBSTITUTE(VLOOKUP(A1672,Internal_lists_bugs!$A$2:$G2031,7,FALSE()),"nova/commit","nova/src/commit"),"please select a BUG ID")</f>
        <v>please select a BUG ID</v>
      </c>
      <c r="D1672" s="54"/>
      <c r="F1672" s="54"/>
      <c r="H1672" s="114"/>
      <c r="J1672" s="183" t="str">
        <f>IFERROR(VLOOKUP(A1672,Internal_lists_bugs!$A$2:$I2031,9,FALSE()),"please select a BUG ID")</f>
        <v>please select a BUG ID</v>
      </c>
    </row>
    <row r="1673">
      <c r="A1673" s="54"/>
      <c r="B1673" s="71" t="str">
        <f>IFERROR(HYPERLINK(VLOOKUP(A1673,Internal_lists_bugs!$A$2:$C$73,3,FALSE()), VLOOKUP(A1673,Internal_lists_bugs!$A$2:$C$73,3,FALSE())&amp;Char(10) &amp; Char(10) &amp; VLOOKUP(A1673,Internal_lists_bugs!$A$2:$Z$73,26,FALSE())),"please select a BUG ID")</f>
        <v>please select a BUG ID</v>
      </c>
      <c r="C1673" s="51" t="str">
        <f>IFERROR(SUBSTITUTE(VLOOKUP(A1673,Internal_lists_bugs!$A$2:$G2031,7,FALSE()),"nova/commit","nova/src/commit"),"please select a BUG ID")</f>
        <v>please select a BUG ID</v>
      </c>
      <c r="D1673" s="54"/>
      <c r="F1673" s="54"/>
      <c r="H1673" s="114"/>
      <c r="J1673" s="183" t="str">
        <f>IFERROR(VLOOKUP(A1673,Internal_lists_bugs!$A$2:$I2031,9,FALSE()),"please select a BUG ID")</f>
        <v>please select a BUG ID</v>
      </c>
    </row>
    <row r="1674">
      <c r="A1674" s="54"/>
      <c r="B1674" s="71" t="str">
        <f>IFERROR(HYPERLINK(VLOOKUP(A1674,Internal_lists_bugs!$A$2:$C$73,3,FALSE()), VLOOKUP(A1674,Internal_lists_bugs!$A$2:$C$73,3,FALSE())&amp;Char(10) &amp; Char(10) &amp; VLOOKUP(A1674,Internal_lists_bugs!$A$2:$Z$73,26,FALSE())),"please select a BUG ID")</f>
        <v>please select a BUG ID</v>
      </c>
      <c r="C1674" s="51" t="str">
        <f>IFERROR(SUBSTITUTE(VLOOKUP(A1674,Internal_lists_bugs!$A$2:$G2031,7,FALSE()),"nova/commit","nova/src/commit"),"please select a BUG ID")</f>
        <v>please select a BUG ID</v>
      </c>
      <c r="D1674" s="54"/>
      <c r="F1674" s="54"/>
      <c r="H1674" s="114"/>
      <c r="J1674" s="183" t="str">
        <f>IFERROR(VLOOKUP(A1674,Internal_lists_bugs!$A$2:$I2031,9,FALSE()),"please select a BUG ID")</f>
        <v>please select a BUG ID</v>
      </c>
    </row>
    <row r="1675">
      <c r="A1675" s="54"/>
      <c r="B1675" s="71" t="str">
        <f>IFERROR(HYPERLINK(VLOOKUP(A1675,Internal_lists_bugs!$A$2:$C$73,3,FALSE()), VLOOKUP(A1675,Internal_lists_bugs!$A$2:$C$73,3,FALSE())&amp;Char(10) &amp; Char(10) &amp; VLOOKUP(A1675,Internal_lists_bugs!$A$2:$Z$73,26,FALSE())),"please select a BUG ID")</f>
        <v>please select a BUG ID</v>
      </c>
      <c r="C1675" s="51" t="str">
        <f>IFERROR(SUBSTITUTE(VLOOKUP(A1675,Internal_lists_bugs!$A$2:$G2031,7,FALSE()),"nova/commit","nova/src/commit"),"please select a BUG ID")</f>
        <v>please select a BUG ID</v>
      </c>
      <c r="D1675" s="54"/>
      <c r="F1675" s="54"/>
      <c r="H1675" s="114"/>
      <c r="J1675" s="183" t="str">
        <f>IFERROR(VLOOKUP(A1675,Internal_lists_bugs!$A$2:$I2031,9,FALSE()),"please select a BUG ID")</f>
        <v>please select a BUG ID</v>
      </c>
    </row>
    <row r="1676">
      <c r="A1676" s="54"/>
      <c r="B1676" s="71" t="str">
        <f>IFERROR(HYPERLINK(VLOOKUP(A1676,Internal_lists_bugs!$A$2:$C$73,3,FALSE()), VLOOKUP(A1676,Internal_lists_bugs!$A$2:$C$73,3,FALSE())&amp;Char(10) &amp; Char(10) &amp; VLOOKUP(A1676,Internal_lists_bugs!$A$2:$Z$73,26,FALSE())),"please select a BUG ID")</f>
        <v>please select a BUG ID</v>
      </c>
      <c r="C1676" s="51" t="str">
        <f>IFERROR(SUBSTITUTE(VLOOKUP(A1676,Internal_lists_bugs!$A$2:$G2031,7,FALSE()),"nova/commit","nova/src/commit"),"please select a BUG ID")</f>
        <v>please select a BUG ID</v>
      </c>
      <c r="D1676" s="54"/>
      <c r="F1676" s="54"/>
      <c r="H1676" s="114"/>
      <c r="J1676" s="183" t="str">
        <f>IFERROR(VLOOKUP(A1676,Internal_lists_bugs!$A$2:$I2031,9,FALSE()),"please select a BUG ID")</f>
        <v>please select a BUG ID</v>
      </c>
    </row>
    <row r="1677">
      <c r="A1677" s="54"/>
      <c r="B1677" s="71" t="str">
        <f>IFERROR(HYPERLINK(VLOOKUP(A1677,Internal_lists_bugs!$A$2:$C$73,3,FALSE()), VLOOKUP(A1677,Internal_lists_bugs!$A$2:$C$73,3,FALSE())&amp;Char(10) &amp; Char(10) &amp; VLOOKUP(A1677,Internal_lists_bugs!$A$2:$Z$73,26,FALSE())),"please select a BUG ID")</f>
        <v>please select a BUG ID</v>
      </c>
      <c r="C1677" s="51" t="str">
        <f>IFERROR(SUBSTITUTE(VLOOKUP(A1677,Internal_lists_bugs!$A$2:$G2031,7,FALSE()),"nova/commit","nova/src/commit"),"please select a BUG ID")</f>
        <v>please select a BUG ID</v>
      </c>
      <c r="D1677" s="54"/>
      <c r="F1677" s="54"/>
      <c r="H1677" s="114"/>
      <c r="J1677" s="183" t="str">
        <f>IFERROR(VLOOKUP(A1677,Internal_lists_bugs!$A$2:$I2031,9,FALSE()),"please select a BUG ID")</f>
        <v>please select a BUG ID</v>
      </c>
    </row>
    <row r="1678">
      <c r="A1678" s="54"/>
      <c r="B1678" s="71" t="str">
        <f>IFERROR(HYPERLINK(VLOOKUP(A1678,Internal_lists_bugs!$A$2:$C$73,3,FALSE()), VLOOKUP(A1678,Internal_lists_bugs!$A$2:$C$73,3,FALSE())&amp;Char(10) &amp; Char(10) &amp; VLOOKUP(A1678,Internal_lists_bugs!$A$2:$Z$73,26,FALSE())),"please select a BUG ID")</f>
        <v>please select a BUG ID</v>
      </c>
      <c r="C1678" s="51" t="str">
        <f>IFERROR(SUBSTITUTE(VLOOKUP(A1678,Internal_lists_bugs!$A$2:$G2031,7,FALSE()),"nova/commit","nova/src/commit"),"please select a BUG ID")</f>
        <v>please select a BUG ID</v>
      </c>
      <c r="D1678" s="54"/>
      <c r="F1678" s="54"/>
      <c r="H1678" s="114"/>
      <c r="J1678" s="183" t="str">
        <f>IFERROR(VLOOKUP(A1678,Internal_lists_bugs!$A$2:$I2031,9,FALSE()),"please select a BUG ID")</f>
        <v>please select a BUG ID</v>
      </c>
    </row>
    <row r="1679">
      <c r="A1679" s="54"/>
      <c r="B1679" s="71" t="str">
        <f>IFERROR(HYPERLINK(VLOOKUP(A1679,Internal_lists_bugs!$A$2:$C$73,3,FALSE()), VLOOKUP(A1679,Internal_lists_bugs!$A$2:$C$73,3,FALSE())&amp;Char(10) &amp; Char(10) &amp; VLOOKUP(A1679,Internal_lists_bugs!$A$2:$Z$73,26,FALSE())),"please select a BUG ID")</f>
        <v>please select a BUG ID</v>
      </c>
      <c r="C1679" s="51" t="str">
        <f>IFERROR(SUBSTITUTE(VLOOKUP(A1679,Internal_lists_bugs!$A$2:$G2031,7,FALSE()),"nova/commit","nova/src/commit"),"please select a BUG ID")</f>
        <v>please select a BUG ID</v>
      </c>
      <c r="D1679" s="54"/>
      <c r="F1679" s="54"/>
      <c r="H1679" s="114"/>
      <c r="J1679" s="183" t="str">
        <f>IFERROR(VLOOKUP(A1679,Internal_lists_bugs!$A$2:$I2031,9,FALSE()),"please select a BUG ID")</f>
        <v>please select a BUG ID</v>
      </c>
    </row>
    <row r="1680">
      <c r="A1680" s="54"/>
      <c r="B1680" s="71" t="str">
        <f>IFERROR(HYPERLINK(VLOOKUP(A1680,Internal_lists_bugs!$A$2:$C$73,3,FALSE()), VLOOKUP(A1680,Internal_lists_bugs!$A$2:$C$73,3,FALSE())&amp;Char(10) &amp; Char(10) &amp; VLOOKUP(A1680,Internal_lists_bugs!$A$2:$Z$73,26,FALSE())),"please select a BUG ID")</f>
        <v>please select a BUG ID</v>
      </c>
      <c r="C1680" s="51" t="str">
        <f>IFERROR(SUBSTITUTE(VLOOKUP(A1680,Internal_lists_bugs!$A$2:$G2031,7,FALSE()),"nova/commit","nova/src/commit"),"please select a BUG ID")</f>
        <v>please select a BUG ID</v>
      </c>
      <c r="D1680" s="54"/>
      <c r="F1680" s="54"/>
      <c r="H1680" s="114"/>
      <c r="J1680" s="183" t="str">
        <f>IFERROR(VLOOKUP(A1680,Internal_lists_bugs!$A$2:$I2031,9,FALSE()),"please select a BUG ID")</f>
        <v>please select a BUG ID</v>
      </c>
    </row>
    <row r="1681">
      <c r="A1681" s="54"/>
      <c r="B1681" s="71" t="str">
        <f>IFERROR(HYPERLINK(VLOOKUP(A1681,Internal_lists_bugs!$A$2:$C$73,3,FALSE()), VLOOKUP(A1681,Internal_lists_bugs!$A$2:$C$73,3,FALSE())&amp;Char(10) &amp; Char(10) &amp; VLOOKUP(A1681,Internal_lists_bugs!$A$2:$Z$73,26,FALSE())),"please select a BUG ID")</f>
        <v>please select a BUG ID</v>
      </c>
      <c r="C1681" s="51" t="str">
        <f>IFERROR(SUBSTITUTE(VLOOKUP(A1681,Internal_lists_bugs!$A$2:$G2031,7,FALSE()),"nova/commit","nova/src/commit"),"please select a BUG ID")</f>
        <v>please select a BUG ID</v>
      </c>
      <c r="D1681" s="54"/>
      <c r="F1681" s="54"/>
      <c r="H1681" s="114"/>
      <c r="J1681" s="183" t="str">
        <f>IFERROR(VLOOKUP(A1681,Internal_lists_bugs!$A$2:$I2031,9,FALSE()),"please select a BUG ID")</f>
        <v>please select a BUG ID</v>
      </c>
    </row>
    <row r="1682">
      <c r="A1682" s="54"/>
      <c r="B1682" s="71" t="str">
        <f>IFERROR(HYPERLINK(VLOOKUP(A1682,Internal_lists_bugs!$A$2:$C$73,3,FALSE()), VLOOKUP(A1682,Internal_lists_bugs!$A$2:$C$73,3,FALSE())&amp;Char(10) &amp; Char(10) &amp; VLOOKUP(A1682,Internal_lists_bugs!$A$2:$Z$73,26,FALSE())),"please select a BUG ID")</f>
        <v>please select a BUG ID</v>
      </c>
      <c r="C1682" s="51" t="str">
        <f>IFERROR(SUBSTITUTE(VLOOKUP(A1682,Internal_lists_bugs!$A$2:$G2031,7,FALSE()),"nova/commit","nova/src/commit"),"please select a BUG ID")</f>
        <v>please select a BUG ID</v>
      </c>
      <c r="D1682" s="54"/>
      <c r="F1682" s="54"/>
      <c r="H1682" s="114"/>
      <c r="J1682" s="183" t="str">
        <f>IFERROR(VLOOKUP(A1682,Internal_lists_bugs!$A$2:$I2031,9,FALSE()),"please select a BUG ID")</f>
        <v>please select a BUG ID</v>
      </c>
    </row>
    <row r="1683">
      <c r="A1683" s="54"/>
      <c r="B1683" s="71" t="str">
        <f>IFERROR(HYPERLINK(VLOOKUP(A1683,Internal_lists_bugs!$A$2:$C$73,3,FALSE()), VLOOKUP(A1683,Internal_lists_bugs!$A$2:$C$73,3,FALSE())&amp;Char(10) &amp; Char(10) &amp; VLOOKUP(A1683,Internal_lists_bugs!$A$2:$Z$73,26,FALSE())),"please select a BUG ID")</f>
        <v>please select a BUG ID</v>
      </c>
      <c r="C1683" s="51" t="str">
        <f>IFERROR(SUBSTITUTE(VLOOKUP(A1683,Internal_lists_bugs!$A$2:$G2031,7,FALSE()),"nova/commit","nova/src/commit"),"please select a BUG ID")</f>
        <v>please select a BUG ID</v>
      </c>
      <c r="D1683" s="54"/>
      <c r="F1683" s="54"/>
      <c r="H1683" s="114"/>
      <c r="J1683" s="183" t="str">
        <f>IFERROR(VLOOKUP(A1683,Internal_lists_bugs!$A$2:$I2031,9,FALSE()),"please select a BUG ID")</f>
        <v>please select a BUG ID</v>
      </c>
    </row>
    <row r="1684">
      <c r="A1684" s="54"/>
      <c r="B1684" s="71" t="str">
        <f>IFERROR(HYPERLINK(VLOOKUP(A1684,Internal_lists_bugs!$A$2:$C$73,3,FALSE()), VLOOKUP(A1684,Internal_lists_bugs!$A$2:$C$73,3,FALSE())&amp;Char(10) &amp; Char(10) &amp; VLOOKUP(A1684,Internal_lists_bugs!$A$2:$Z$73,26,FALSE())),"please select a BUG ID")</f>
        <v>please select a BUG ID</v>
      </c>
      <c r="C1684" s="51" t="str">
        <f>IFERROR(SUBSTITUTE(VLOOKUP(A1684,Internal_lists_bugs!$A$2:$G2031,7,FALSE()),"nova/commit","nova/src/commit"),"please select a BUG ID")</f>
        <v>please select a BUG ID</v>
      </c>
      <c r="D1684" s="54"/>
      <c r="F1684" s="54"/>
      <c r="H1684" s="114"/>
      <c r="J1684" s="183" t="str">
        <f>IFERROR(VLOOKUP(A1684,Internal_lists_bugs!$A$2:$I2031,9,FALSE()),"please select a BUG ID")</f>
        <v>please select a BUG ID</v>
      </c>
    </row>
    <row r="1685">
      <c r="A1685" s="54"/>
      <c r="B1685" s="71" t="str">
        <f>IFERROR(HYPERLINK(VLOOKUP(A1685,Internal_lists_bugs!$A$2:$C$73,3,FALSE()), VLOOKUP(A1685,Internal_lists_bugs!$A$2:$C$73,3,FALSE())&amp;Char(10) &amp; Char(10) &amp; VLOOKUP(A1685,Internal_lists_bugs!$A$2:$Z$73,26,FALSE())),"please select a BUG ID")</f>
        <v>please select a BUG ID</v>
      </c>
      <c r="C1685" s="51" t="str">
        <f>IFERROR(SUBSTITUTE(VLOOKUP(A1685,Internal_lists_bugs!$A$2:$G2031,7,FALSE()),"nova/commit","nova/src/commit"),"please select a BUG ID")</f>
        <v>please select a BUG ID</v>
      </c>
      <c r="D1685" s="54"/>
      <c r="F1685" s="54"/>
      <c r="H1685" s="114"/>
      <c r="J1685" s="183" t="str">
        <f>IFERROR(VLOOKUP(A1685,Internal_lists_bugs!$A$2:$I2031,9,FALSE()),"please select a BUG ID")</f>
        <v>please select a BUG ID</v>
      </c>
    </row>
    <row r="1686">
      <c r="A1686" s="54"/>
      <c r="B1686" s="71" t="str">
        <f>IFERROR(HYPERLINK(VLOOKUP(A1686,Internal_lists_bugs!$A$2:$C$73,3,FALSE()), VLOOKUP(A1686,Internal_lists_bugs!$A$2:$C$73,3,FALSE())&amp;Char(10) &amp; Char(10) &amp; VLOOKUP(A1686,Internal_lists_bugs!$A$2:$Z$73,26,FALSE())),"please select a BUG ID")</f>
        <v>please select a BUG ID</v>
      </c>
      <c r="C1686" s="51" t="str">
        <f>IFERROR(SUBSTITUTE(VLOOKUP(A1686,Internal_lists_bugs!$A$2:$G2031,7,FALSE()),"nova/commit","nova/src/commit"),"please select a BUG ID")</f>
        <v>please select a BUG ID</v>
      </c>
      <c r="D1686" s="54"/>
      <c r="F1686" s="54"/>
      <c r="H1686" s="114"/>
      <c r="J1686" s="183" t="str">
        <f>IFERROR(VLOOKUP(A1686,Internal_lists_bugs!$A$2:$I2031,9,FALSE()),"please select a BUG ID")</f>
        <v>please select a BUG ID</v>
      </c>
    </row>
    <row r="1687">
      <c r="A1687" s="54"/>
      <c r="B1687" s="71" t="str">
        <f>IFERROR(HYPERLINK(VLOOKUP(A1687,Internal_lists_bugs!$A$2:$C$73,3,FALSE()), VLOOKUP(A1687,Internal_lists_bugs!$A$2:$C$73,3,FALSE())&amp;Char(10) &amp; Char(10) &amp; VLOOKUP(A1687,Internal_lists_bugs!$A$2:$Z$73,26,FALSE())),"please select a BUG ID")</f>
        <v>please select a BUG ID</v>
      </c>
      <c r="C1687" s="51" t="str">
        <f>IFERROR(SUBSTITUTE(VLOOKUP(A1687,Internal_lists_bugs!$A$2:$G2031,7,FALSE()),"nova/commit","nova/src/commit"),"please select a BUG ID")</f>
        <v>please select a BUG ID</v>
      </c>
      <c r="D1687" s="54"/>
      <c r="F1687" s="54"/>
      <c r="H1687" s="114"/>
      <c r="J1687" s="183" t="str">
        <f>IFERROR(VLOOKUP(A1687,Internal_lists_bugs!$A$2:$I2031,9,FALSE()),"please select a BUG ID")</f>
        <v>please select a BUG ID</v>
      </c>
    </row>
    <row r="1688">
      <c r="A1688" s="54"/>
      <c r="B1688" s="71" t="str">
        <f>IFERROR(HYPERLINK(VLOOKUP(A1688,Internal_lists_bugs!$A$2:$C$73,3,FALSE()), VLOOKUP(A1688,Internal_lists_bugs!$A$2:$C$73,3,FALSE())&amp;Char(10) &amp; Char(10) &amp; VLOOKUP(A1688,Internal_lists_bugs!$A$2:$Z$73,26,FALSE())),"please select a BUG ID")</f>
        <v>please select a BUG ID</v>
      </c>
      <c r="C1688" s="51" t="str">
        <f>IFERROR(SUBSTITUTE(VLOOKUP(A1688,Internal_lists_bugs!$A$2:$G2031,7,FALSE()),"nova/commit","nova/src/commit"),"please select a BUG ID")</f>
        <v>please select a BUG ID</v>
      </c>
      <c r="D1688" s="54"/>
      <c r="F1688" s="54"/>
      <c r="H1688" s="114"/>
      <c r="J1688" s="183" t="str">
        <f>IFERROR(VLOOKUP(A1688,Internal_lists_bugs!$A$2:$I2031,9,FALSE()),"please select a BUG ID")</f>
        <v>please select a BUG ID</v>
      </c>
    </row>
    <row r="1689">
      <c r="A1689" s="54"/>
      <c r="B1689" s="71" t="str">
        <f>IFERROR(HYPERLINK(VLOOKUP(A1689,Internal_lists_bugs!$A$2:$C$73,3,FALSE()), VLOOKUP(A1689,Internal_lists_bugs!$A$2:$C$73,3,FALSE())&amp;Char(10) &amp; Char(10) &amp; VLOOKUP(A1689,Internal_lists_bugs!$A$2:$Z$73,26,FALSE())),"please select a BUG ID")</f>
        <v>please select a BUG ID</v>
      </c>
      <c r="C1689" s="51" t="str">
        <f>IFERROR(SUBSTITUTE(VLOOKUP(A1689,Internal_lists_bugs!$A$2:$G2031,7,FALSE()),"nova/commit","nova/src/commit"),"please select a BUG ID")</f>
        <v>please select a BUG ID</v>
      </c>
      <c r="D1689" s="54"/>
      <c r="F1689" s="54"/>
      <c r="H1689" s="114"/>
      <c r="J1689" s="183" t="str">
        <f>IFERROR(VLOOKUP(A1689,Internal_lists_bugs!$A$2:$I2031,9,FALSE()),"please select a BUG ID")</f>
        <v>please select a BUG ID</v>
      </c>
    </row>
    <row r="1690">
      <c r="A1690" s="54"/>
      <c r="B1690" s="71" t="str">
        <f>IFERROR(HYPERLINK(VLOOKUP(A1690,Internal_lists_bugs!$A$2:$C$73,3,FALSE()), VLOOKUP(A1690,Internal_lists_bugs!$A$2:$C$73,3,FALSE())&amp;Char(10) &amp; Char(10) &amp; VLOOKUP(A1690,Internal_lists_bugs!$A$2:$Z$73,26,FALSE())),"please select a BUG ID")</f>
        <v>please select a BUG ID</v>
      </c>
      <c r="C1690" s="51" t="str">
        <f>IFERROR(SUBSTITUTE(VLOOKUP(A1690,Internal_lists_bugs!$A$2:$G2031,7,FALSE()),"nova/commit","nova/src/commit"),"please select a BUG ID")</f>
        <v>please select a BUG ID</v>
      </c>
      <c r="D1690" s="54"/>
      <c r="F1690" s="54"/>
      <c r="H1690" s="114"/>
      <c r="J1690" s="183" t="str">
        <f>IFERROR(VLOOKUP(A1690,Internal_lists_bugs!$A$2:$I2031,9,FALSE()),"please select a BUG ID")</f>
        <v>please select a BUG ID</v>
      </c>
    </row>
    <row r="1691">
      <c r="A1691" s="54"/>
      <c r="B1691" s="71" t="str">
        <f>IFERROR(HYPERLINK(VLOOKUP(A1691,Internal_lists_bugs!$A$2:$C$73,3,FALSE()), VLOOKUP(A1691,Internal_lists_bugs!$A$2:$C$73,3,FALSE())&amp;Char(10) &amp; Char(10) &amp; VLOOKUP(A1691,Internal_lists_bugs!$A$2:$Z$73,26,FALSE())),"please select a BUG ID")</f>
        <v>please select a BUG ID</v>
      </c>
      <c r="C1691" s="51" t="str">
        <f>IFERROR(SUBSTITUTE(VLOOKUP(A1691,Internal_lists_bugs!$A$2:$G2031,7,FALSE()),"nova/commit","nova/src/commit"),"please select a BUG ID")</f>
        <v>please select a BUG ID</v>
      </c>
      <c r="D1691" s="54"/>
      <c r="F1691" s="54"/>
      <c r="H1691" s="114"/>
      <c r="J1691" s="183" t="str">
        <f>IFERROR(VLOOKUP(A1691,Internal_lists_bugs!$A$2:$I2031,9,FALSE()),"please select a BUG ID")</f>
        <v>please select a BUG ID</v>
      </c>
    </row>
    <row r="1692">
      <c r="A1692" s="54"/>
      <c r="B1692" s="71" t="str">
        <f>IFERROR(HYPERLINK(VLOOKUP(A1692,Internal_lists_bugs!$A$2:$C$73,3,FALSE()), VLOOKUP(A1692,Internal_lists_bugs!$A$2:$C$73,3,FALSE())&amp;Char(10) &amp; Char(10) &amp; VLOOKUP(A1692,Internal_lists_bugs!$A$2:$Z$73,26,FALSE())),"please select a BUG ID")</f>
        <v>please select a BUG ID</v>
      </c>
      <c r="C1692" s="51" t="str">
        <f>IFERROR(SUBSTITUTE(VLOOKUP(A1692,Internal_lists_bugs!$A$2:$G2031,7,FALSE()),"nova/commit","nova/src/commit"),"please select a BUG ID")</f>
        <v>please select a BUG ID</v>
      </c>
      <c r="D1692" s="54"/>
      <c r="F1692" s="54"/>
      <c r="H1692" s="114"/>
      <c r="J1692" s="183" t="str">
        <f>IFERROR(VLOOKUP(A1692,Internal_lists_bugs!$A$2:$I2031,9,FALSE()),"please select a BUG ID")</f>
        <v>please select a BUG ID</v>
      </c>
    </row>
    <row r="1693">
      <c r="A1693" s="54"/>
      <c r="B1693" s="71" t="str">
        <f>IFERROR(HYPERLINK(VLOOKUP(A1693,Internal_lists_bugs!$A$2:$C$73,3,FALSE()), VLOOKUP(A1693,Internal_lists_bugs!$A$2:$C$73,3,FALSE())&amp;Char(10) &amp; Char(10) &amp; VLOOKUP(A1693,Internal_lists_bugs!$A$2:$Z$73,26,FALSE())),"please select a BUG ID")</f>
        <v>please select a BUG ID</v>
      </c>
      <c r="C1693" s="51" t="str">
        <f>IFERROR(SUBSTITUTE(VLOOKUP(A1693,Internal_lists_bugs!$A$2:$G2031,7,FALSE()),"nova/commit","nova/src/commit"),"please select a BUG ID")</f>
        <v>please select a BUG ID</v>
      </c>
      <c r="D1693" s="54"/>
      <c r="F1693" s="54"/>
      <c r="H1693" s="114"/>
      <c r="J1693" s="183" t="str">
        <f>IFERROR(VLOOKUP(A1693,Internal_lists_bugs!$A$2:$I2031,9,FALSE()),"please select a BUG ID")</f>
        <v>please select a BUG ID</v>
      </c>
    </row>
    <row r="1694">
      <c r="A1694" s="54"/>
      <c r="B1694" s="71" t="str">
        <f>IFERROR(HYPERLINK(VLOOKUP(A1694,Internal_lists_bugs!$A$2:$C$73,3,FALSE()), VLOOKUP(A1694,Internal_lists_bugs!$A$2:$C$73,3,FALSE())&amp;Char(10) &amp; Char(10) &amp; VLOOKUP(A1694,Internal_lists_bugs!$A$2:$Z$73,26,FALSE())),"please select a BUG ID")</f>
        <v>please select a BUG ID</v>
      </c>
      <c r="C1694" s="51" t="str">
        <f>IFERROR(SUBSTITUTE(VLOOKUP(A1694,Internal_lists_bugs!$A$2:$G2031,7,FALSE()),"nova/commit","nova/src/commit"),"please select a BUG ID")</f>
        <v>please select a BUG ID</v>
      </c>
      <c r="D1694" s="54"/>
      <c r="F1694" s="54"/>
      <c r="H1694" s="114"/>
      <c r="J1694" s="183" t="str">
        <f>IFERROR(VLOOKUP(A1694,Internal_lists_bugs!$A$2:$I2031,9,FALSE()),"please select a BUG ID")</f>
        <v>please select a BUG ID</v>
      </c>
    </row>
    <row r="1695">
      <c r="A1695" s="54"/>
      <c r="B1695" s="71" t="str">
        <f>IFERROR(HYPERLINK(VLOOKUP(A1695,Internal_lists_bugs!$A$2:$C$73,3,FALSE()), VLOOKUP(A1695,Internal_lists_bugs!$A$2:$C$73,3,FALSE())&amp;Char(10) &amp; Char(10) &amp; VLOOKUP(A1695,Internal_lists_bugs!$A$2:$Z$73,26,FALSE())),"please select a BUG ID")</f>
        <v>please select a BUG ID</v>
      </c>
      <c r="C1695" s="51" t="str">
        <f>IFERROR(SUBSTITUTE(VLOOKUP(A1695,Internal_lists_bugs!$A$2:$G2031,7,FALSE()),"nova/commit","nova/src/commit"),"please select a BUG ID")</f>
        <v>please select a BUG ID</v>
      </c>
      <c r="D1695" s="54"/>
      <c r="F1695" s="54"/>
      <c r="H1695" s="114"/>
      <c r="J1695" s="183" t="str">
        <f>IFERROR(VLOOKUP(A1695,Internal_lists_bugs!$A$2:$I2031,9,FALSE()),"please select a BUG ID")</f>
        <v>please select a BUG ID</v>
      </c>
    </row>
    <row r="1696">
      <c r="A1696" s="54"/>
      <c r="B1696" s="71" t="str">
        <f>IFERROR(HYPERLINK(VLOOKUP(A1696,Internal_lists_bugs!$A$2:$C$73,3,FALSE()), VLOOKUP(A1696,Internal_lists_bugs!$A$2:$C$73,3,FALSE())&amp;Char(10) &amp; Char(10) &amp; VLOOKUP(A1696,Internal_lists_bugs!$A$2:$Z$73,26,FALSE())),"please select a BUG ID")</f>
        <v>please select a BUG ID</v>
      </c>
      <c r="C1696" s="51" t="str">
        <f>IFERROR(SUBSTITUTE(VLOOKUP(A1696,Internal_lists_bugs!$A$2:$G2031,7,FALSE()),"nova/commit","nova/src/commit"),"please select a BUG ID")</f>
        <v>please select a BUG ID</v>
      </c>
      <c r="D1696" s="54"/>
      <c r="F1696" s="54"/>
      <c r="H1696" s="114"/>
      <c r="J1696" s="183" t="str">
        <f>IFERROR(VLOOKUP(A1696,Internal_lists_bugs!$A$2:$I2031,9,FALSE()),"please select a BUG ID")</f>
        <v>please select a BUG ID</v>
      </c>
    </row>
    <row r="1697">
      <c r="A1697" s="54"/>
      <c r="B1697" s="71" t="str">
        <f>IFERROR(HYPERLINK(VLOOKUP(A1697,Internal_lists_bugs!$A$2:$C$73,3,FALSE()), VLOOKUP(A1697,Internal_lists_bugs!$A$2:$C$73,3,FALSE())&amp;Char(10) &amp; Char(10) &amp; VLOOKUP(A1697,Internal_lists_bugs!$A$2:$Z$73,26,FALSE())),"please select a BUG ID")</f>
        <v>please select a BUG ID</v>
      </c>
      <c r="C1697" s="51" t="str">
        <f>IFERROR(SUBSTITUTE(VLOOKUP(A1697,Internal_lists_bugs!$A$2:$G2031,7,FALSE()),"nova/commit","nova/src/commit"),"please select a BUG ID")</f>
        <v>please select a BUG ID</v>
      </c>
      <c r="D1697" s="54"/>
      <c r="F1697" s="54"/>
      <c r="H1697" s="114"/>
      <c r="J1697" s="183" t="str">
        <f>IFERROR(VLOOKUP(A1697,Internal_lists_bugs!$A$2:$I2031,9,FALSE()),"please select a BUG ID")</f>
        <v>please select a BUG ID</v>
      </c>
    </row>
    <row r="1698">
      <c r="A1698" s="54"/>
      <c r="B1698" s="71" t="str">
        <f>IFERROR(HYPERLINK(VLOOKUP(A1698,Internal_lists_bugs!$A$2:$C$73,3,FALSE()), VLOOKUP(A1698,Internal_lists_bugs!$A$2:$C$73,3,FALSE())&amp;Char(10) &amp; Char(10) &amp; VLOOKUP(A1698,Internal_lists_bugs!$A$2:$Z$73,26,FALSE())),"please select a BUG ID")</f>
        <v>please select a BUG ID</v>
      </c>
      <c r="C1698" s="51" t="str">
        <f>IFERROR(SUBSTITUTE(VLOOKUP(A1698,Internal_lists_bugs!$A$2:$G2031,7,FALSE()),"nova/commit","nova/src/commit"),"please select a BUG ID")</f>
        <v>please select a BUG ID</v>
      </c>
      <c r="D1698" s="54"/>
      <c r="F1698" s="54"/>
      <c r="H1698" s="114"/>
      <c r="J1698" s="183" t="str">
        <f>IFERROR(VLOOKUP(A1698,Internal_lists_bugs!$A$2:$I2031,9,FALSE()),"please select a BUG ID")</f>
        <v>please select a BUG ID</v>
      </c>
    </row>
    <row r="1699">
      <c r="A1699" s="54"/>
      <c r="B1699" s="71" t="str">
        <f>IFERROR(HYPERLINK(VLOOKUP(A1699,Internal_lists_bugs!$A$2:$C$73,3,FALSE()), VLOOKUP(A1699,Internal_lists_bugs!$A$2:$C$73,3,FALSE())&amp;Char(10) &amp; Char(10) &amp; VLOOKUP(A1699,Internal_lists_bugs!$A$2:$Z$73,26,FALSE())),"please select a BUG ID")</f>
        <v>please select a BUG ID</v>
      </c>
      <c r="C1699" s="51" t="str">
        <f>IFERROR(SUBSTITUTE(VLOOKUP(A1699,Internal_lists_bugs!$A$2:$G2031,7,FALSE()),"nova/commit","nova/src/commit"),"please select a BUG ID")</f>
        <v>please select a BUG ID</v>
      </c>
      <c r="D1699" s="54"/>
      <c r="F1699" s="54"/>
      <c r="H1699" s="114"/>
      <c r="J1699" s="183" t="str">
        <f>IFERROR(VLOOKUP(A1699,Internal_lists_bugs!$A$2:$I2031,9,FALSE()),"please select a BUG ID")</f>
        <v>please select a BUG ID</v>
      </c>
    </row>
    <row r="1700">
      <c r="A1700" s="54"/>
      <c r="B1700" s="71" t="str">
        <f>IFERROR(HYPERLINK(VLOOKUP(A1700,Internal_lists_bugs!$A$2:$C$73,3,FALSE()), VLOOKUP(A1700,Internal_lists_bugs!$A$2:$C$73,3,FALSE())&amp;Char(10) &amp; Char(10) &amp; VLOOKUP(A1700,Internal_lists_bugs!$A$2:$Z$73,26,FALSE())),"please select a BUG ID")</f>
        <v>please select a BUG ID</v>
      </c>
      <c r="C1700" s="51" t="str">
        <f>IFERROR(SUBSTITUTE(VLOOKUP(A1700,Internal_lists_bugs!$A$2:$G2031,7,FALSE()),"nova/commit","nova/src/commit"),"please select a BUG ID")</f>
        <v>please select a BUG ID</v>
      </c>
      <c r="D1700" s="54"/>
      <c r="F1700" s="54"/>
      <c r="H1700" s="114"/>
      <c r="J1700" s="183" t="str">
        <f>IFERROR(VLOOKUP(A1700,Internal_lists_bugs!$A$2:$I2031,9,FALSE()),"please select a BUG ID")</f>
        <v>please select a BUG ID</v>
      </c>
    </row>
    <row r="1701">
      <c r="A1701" s="54"/>
      <c r="B1701" s="71" t="str">
        <f>IFERROR(HYPERLINK(VLOOKUP(A1701,Internal_lists_bugs!$A$2:$C$73,3,FALSE()), VLOOKUP(A1701,Internal_lists_bugs!$A$2:$C$73,3,FALSE())&amp;Char(10) &amp; Char(10) &amp; VLOOKUP(A1701,Internal_lists_bugs!$A$2:$Z$73,26,FALSE())),"please select a BUG ID")</f>
        <v>please select a BUG ID</v>
      </c>
      <c r="C1701" s="51" t="str">
        <f>IFERROR(SUBSTITUTE(VLOOKUP(A1701,Internal_lists_bugs!$A$2:$G2031,7,FALSE()),"nova/commit","nova/src/commit"),"please select a BUG ID")</f>
        <v>please select a BUG ID</v>
      </c>
      <c r="D1701" s="54"/>
      <c r="F1701" s="54"/>
      <c r="H1701" s="114"/>
      <c r="J1701" s="183" t="str">
        <f>IFERROR(VLOOKUP(A1701,Internal_lists_bugs!$A$2:$I2031,9,FALSE()),"please select a BUG ID")</f>
        <v>please select a BUG ID</v>
      </c>
    </row>
    <row r="1702">
      <c r="A1702" s="54"/>
      <c r="B1702" s="71" t="str">
        <f>IFERROR(HYPERLINK(VLOOKUP(A1702,Internal_lists_bugs!$A$2:$C$73,3,FALSE()), VLOOKUP(A1702,Internal_lists_bugs!$A$2:$C$73,3,FALSE())&amp;Char(10) &amp; Char(10) &amp; VLOOKUP(A1702,Internal_lists_bugs!$A$2:$Z$73,26,FALSE())),"please select a BUG ID")</f>
        <v>please select a BUG ID</v>
      </c>
      <c r="C1702" s="51" t="str">
        <f>IFERROR(SUBSTITUTE(VLOOKUP(A1702,Internal_lists_bugs!$A$2:$G2031,7,FALSE()),"nova/commit","nova/src/commit"),"please select a BUG ID")</f>
        <v>please select a BUG ID</v>
      </c>
      <c r="D1702" s="54"/>
      <c r="F1702" s="54"/>
      <c r="H1702" s="114"/>
      <c r="J1702" s="183" t="str">
        <f>IFERROR(VLOOKUP(A1702,Internal_lists_bugs!$A$2:$I2031,9,FALSE()),"please select a BUG ID")</f>
        <v>please select a BUG ID</v>
      </c>
    </row>
    <row r="1703">
      <c r="A1703" s="54"/>
      <c r="B1703" s="71" t="str">
        <f>IFERROR(HYPERLINK(VLOOKUP(A1703,Internal_lists_bugs!$A$2:$C$73,3,FALSE()), VLOOKUP(A1703,Internal_lists_bugs!$A$2:$C$73,3,FALSE())&amp;Char(10) &amp; Char(10) &amp; VLOOKUP(A1703,Internal_lists_bugs!$A$2:$Z$73,26,FALSE())),"please select a BUG ID")</f>
        <v>please select a BUG ID</v>
      </c>
      <c r="C1703" s="51" t="str">
        <f>IFERROR(SUBSTITUTE(VLOOKUP(A1703,Internal_lists_bugs!$A$2:$G2031,7,FALSE()),"nova/commit","nova/src/commit"),"please select a BUG ID")</f>
        <v>please select a BUG ID</v>
      </c>
      <c r="D1703" s="54"/>
      <c r="F1703" s="54"/>
      <c r="H1703" s="114"/>
      <c r="J1703" s="183" t="str">
        <f>IFERROR(VLOOKUP(A1703,Internal_lists_bugs!$A$2:$I2031,9,FALSE()),"please select a BUG ID")</f>
        <v>please select a BUG ID</v>
      </c>
    </row>
    <row r="1704">
      <c r="A1704" s="54"/>
      <c r="B1704" s="71" t="str">
        <f>IFERROR(HYPERLINK(VLOOKUP(A1704,Internal_lists_bugs!$A$2:$C$73,3,FALSE()), VLOOKUP(A1704,Internal_lists_bugs!$A$2:$C$73,3,FALSE())&amp;Char(10) &amp; Char(10) &amp; VLOOKUP(A1704,Internal_lists_bugs!$A$2:$Z$73,26,FALSE())),"please select a BUG ID")</f>
        <v>please select a BUG ID</v>
      </c>
      <c r="C1704" s="51" t="str">
        <f>IFERROR(SUBSTITUTE(VLOOKUP(A1704,Internal_lists_bugs!$A$2:$G2031,7,FALSE()),"nova/commit","nova/src/commit"),"please select a BUG ID")</f>
        <v>please select a BUG ID</v>
      </c>
      <c r="D1704" s="54"/>
      <c r="F1704" s="54"/>
      <c r="H1704" s="114"/>
      <c r="J1704" s="183" t="str">
        <f>IFERROR(VLOOKUP(A1704,Internal_lists_bugs!$A$2:$I2031,9,FALSE()),"please select a BUG ID")</f>
        <v>please select a BUG ID</v>
      </c>
    </row>
    <row r="1705">
      <c r="A1705" s="54"/>
      <c r="B1705" s="71" t="str">
        <f>IFERROR(HYPERLINK(VLOOKUP(A1705,Internal_lists_bugs!$A$2:$C$73,3,FALSE()), VLOOKUP(A1705,Internal_lists_bugs!$A$2:$C$73,3,FALSE())&amp;Char(10) &amp; Char(10) &amp; VLOOKUP(A1705,Internal_lists_bugs!$A$2:$Z$73,26,FALSE())),"please select a BUG ID")</f>
        <v>please select a BUG ID</v>
      </c>
      <c r="C1705" s="51" t="str">
        <f>IFERROR(SUBSTITUTE(VLOOKUP(A1705,Internal_lists_bugs!$A$2:$G2031,7,FALSE()),"nova/commit","nova/src/commit"),"please select a BUG ID")</f>
        <v>please select a BUG ID</v>
      </c>
      <c r="D1705" s="54"/>
      <c r="F1705" s="54"/>
      <c r="H1705" s="114"/>
      <c r="J1705" s="183" t="str">
        <f>IFERROR(VLOOKUP(A1705,Internal_lists_bugs!$A$2:$I2031,9,FALSE()),"please select a BUG ID")</f>
        <v>please select a BUG ID</v>
      </c>
    </row>
    <row r="1706">
      <c r="A1706" s="54"/>
      <c r="B1706" s="71" t="str">
        <f>IFERROR(HYPERLINK(VLOOKUP(A1706,Internal_lists_bugs!$A$2:$C$73,3,FALSE()), VLOOKUP(A1706,Internal_lists_bugs!$A$2:$C$73,3,FALSE())&amp;Char(10) &amp; Char(10) &amp; VLOOKUP(A1706,Internal_lists_bugs!$A$2:$Z$73,26,FALSE())),"please select a BUG ID")</f>
        <v>please select a BUG ID</v>
      </c>
      <c r="C1706" s="51" t="str">
        <f>IFERROR(SUBSTITUTE(VLOOKUP(A1706,Internal_lists_bugs!$A$2:$G2031,7,FALSE()),"nova/commit","nova/src/commit"),"please select a BUG ID")</f>
        <v>please select a BUG ID</v>
      </c>
      <c r="D1706" s="54"/>
      <c r="F1706" s="54"/>
      <c r="H1706" s="114"/>
      <c r="J1706" s="183" t="str">
        <f>IFERROR(VLOOKUP(A1706,Internal_lists_bugs!$A$2:$I2031,9,FALSE()),"please select a BUG ID")</f>
        <v>please select a BUG ID</v>
      </c>
    </row>
    <row r="1707">
      <c r="A1707" s="54"/>
      <c r="B1707" s="71" t="str">
        <f>IFERROR(HYPERLINK(VLOOKUP(A1707,Internal_lists_bugs!$A$2:$C$73,3,FALSE()), VLOOKUP(A1707,Internal_lists_bugs!$A$2:$C$73,3,FALSE())&amp;Char(10) &amp; Char(10) &amp; VLOOKUP(A1707,Internal_lists_bugs!$A$2:$Z$73,26,FALSE())),"please select a BUG ID")</f>
        <v>please select a BUG ID</v>
      </c>
      <c r="C1707" s="51" t="str">
        <f>IFERROR(SUBSTITUTE(VLOOKUP(A1707,Internal_lists_bugs!$A$2:$G2031,7,FALSE()),"nova/commit","nova/src/commit"),"please select a BUG ID")</f>
        <v>please select a BUG ID</v>
      </c>
      <c r="D1707" s="54"/>
      <c r="F1707" s="54"/>
      <c r="H1707" s="114"/>
      <c r="J1707" s="183" t="str">
        <f>IFERROR(VLOOKUP(A1707,Internal_lists_bugs!$A$2:$I2031,9,FALSE()),"please select a BUG ID")</f>
        <v>please select a BUG ID</v>
      </c>
    </row>
    <row r="1708">
      <c r="A1708" s="54"/>
      <c r="B1708" s="71" t="str">
        <f>IFERROR(HYPERLINK(VLOOKUP(A1708,Internal_lists_bugs!$A$2:$C$73,3,FALSE()), VLOOKUP(A1708,Internal_lists_bugs!$A$2:$C$73,3,FALSE())&amp;Char(10) &amp; Char(10) &amp; VLOOKUP(A1708,Internal_lists_bugs!$A$2:$Z$73,26,FALSE())),"please select a BUG ID")</f>
        <v>please select a BUG ID</v>
      </c>
      <c r="C1708" s="51" t="str">
        <f>IFERROR(SUBSTITUTE(VLOOKUP(A1708,Internal_lists_bugs!$A$2:$G2031,7,FALSE()),"nova/commit","nova/src/commit"),"please select a BUG ID")</f>
        <v>please select a BUG ID</v>
      </c>
      <c r="D1708" s="54"/>
      <c r="F1708" s="54"/>
      <c r="H1708" s="114"/>
      <c r="J1708" s="183" t="str">
        <f>IFERROR(VLOOKUP(A1708,Internal_lists_bugs!$A$2:$I2031,9,FALSE()),"please select a BUG ID")</f>
        <v>please select a BUG ID</v>
      </c>
    </row>
    <row r="1709">
      <c r="A1709" s="54"/>
      <c r="B1709" s="71" t="str">
        <f>IFERROR(HYPERLINK(VLOOKUP(A1709,Internal_lists_bugs!$A$2:$C$73,3,FALSE()), VLOOKUP(A1709,Internal_lists_bugs!$A$2:$C$73,3,FALSE())&amp;Char(10) &amp; Char(10) &amp; VLOOKUP(A1709,Internal_lists_bugs!$A$2:$Z$73,26,FALSE())),"please select a BUG ID")</f>
        <v>please select a BUG ID</v>
      </c>
      <c r="C1709" s="51" t="str">
        <f>IFERROR(SUBSTITUTE(VLOOKUP(A1709,Internal_lists_bugs!$A$2:$G2031,7,FALSE()),"nova/commit","nova/src/commit"),"please select a BUG ID")</f>
        <v>please select a BUG ID</v>
      </c>
      <c r="D1709" s="54"/>
      <c r="F1709" s="54"/>
      <c r="H1709" s="114"/>
      <c r="J1709" s="183" t="str">
        <f>IFERROR(VLOOKUP(A1709,Internal_lists_bugs!$A$2:$I2031,9,FALSE()),"please select a BUG ID")</f>
        <v>please select a BUG ID</v>
      </c>
    </row>
    <row r="1710">
      <c r="A1710" s="54"/>
      <c r="B1710" s="71" t="str">
        <f>IFERROR(HYPERLINK(VLOOKUP(A1710,Internal_lists_bugs!$A$2:$C$73,3,FALSE()), VLOOKUP(A1710,Internal_lists_bugs!$A$2:$C$73,3,FALSE())&amp;Char(10) &amp; Char(10) &amp; VLOOKUP(A1710,Internal_lists_bugs!$A$2:$Z$73,26,FALSE())),"please select a BUG ID")</f>
        <v>please select a BUG ID</v>
      </c>
      <c r="C1710" s="51" t="str">
        <f>IFERROR(SUBSTITUTE(VLOOKUP(A1710,Internal_lists_bugs!$A$2:$G2031,7,FALSE()),"nova/commit","nova/src/commit"),"please select a BUG ID")</f>
        <v>please select a BUG ID</v>
      </c>
      <c r="D1710" s="54"/>
      <c r="F1710" s="54"/>
      <c r="H1710" s="114"/>
      <c r="J1710" s="183" t="str">
        <f>IFERROR(VLOOKUP(A1710,Internal_lists_bugs!$A$2:$I2031,9,FALSE()),"please select a BUG ID")</f>
        <v>please select a BUG ID</v>
      </c>
    </row>
    <row r="1711">
      <c r="A1711" s="54"/>
      <c r="B1711" s="71" t="str">
        <f>IFERROR(HYPERLINK(VLOOKUP(A1711,Internal_lists_bugs!$A$2:$C$73,3,FALSE()), VLOOKUP(A1711,Internal_lists_bugs!$A$2:$C$73,3,FALSE())&amp;Char(10) &amp; Char(10) &amp; VLOOKUP(A1711,Internal_lists_bugs!$A$2:$Z$73,26,FALSE())),"please select a BUG ID")</f>
        <v>please select a BUG ID</v>
      </c>
      <c r="C1711" s="51" t="str">
        <f>IFERROR(SUBSTITUTE(VLOOKUP(A1711,Internal_lists_bugs!$A$2:$G2031,7,FALSE()),"nova/commit","nova/src/commit"),"please select a BUG ID")</f>
        <v>please select a BUG ID</v>
      </c>
      <c r="D1711" s="54"/>
      <c r="F1711" s="54"/>
      <c r="H1711" s="114"/>
      <c r="J1711" s="183" t="str">
        <f>IFERROR(VLOOKUP(A1711,Internal_lists_bugs!$A$2:$I2031,9,FALSE()),"please select a BUG ID")</f>
        <v>please select a BUG ID</v>
      </c>
    </row>
    <row r="1712">
      <c r="A1712" s="54"/>
      <c r="B1712" s="71" t="str">
        <f>IFERROR(HYPERLINK(VLOOKUP(A1712,Internal_lists_bugs!$A$2:$C$73,3,FALSE()), VLOOKUP(A1712,Internal_lists_bugs!$A$2:$C$73,3,FALSE())&amp;Char(10) &amp; Char(10) &amp; VLOOKUP(A1712,Internal_lists_bugs!$A$2:$Z$73,26,FALSE())),"please select a BUG ID")</f>
        <v>please select a BUG ID</v>
      </c>
      <c r="C1712" s="51" t="str">
        <f>IFERROR(SUBSTITUTE(VLOOKUP(A1712,Internal_lists_bugs!$A$2:$G2031,7,FALSE()),"nova/commit","nova/src/commit"),"please select a BUG ID")</f>
        <v>please select a BUG ID</v>
      </c>
      <c r="D1712" s="54"/>
      <c r="F1712" s="54"/>
      <c r="H1712" s="114"/>
      <c r="J1712" s="183" t="str">
        <f>IFERROR(VLOOKUP(A1712,Internal_lists_bugs!$A$2:$I2031,9,FALSE()),"please select a BUG ID")</f>
        <v>please select a BUG ID</v>
      </c>
    </row>
    <row r="1713">
      <c r="A1713" s="54"/>
      <c r="B1713" s="71" t="str">
        <f>IFERROR(HYPERLINK(VLOOKUP(A1713,Internal_lists_bugs!$A$2:$C$73,3,FALSE()), VLOOKUP(A1713,Internal_lists_bugs!$A$2:$C$73,3,FALSE())&amp;Char(10) &amp; Char(10) &amp; VLOOKUP(A1713,Internal_lists_bugs!$A$2:$Z$73,26,FALSE())),"please select a BUG ID")</f>
        <v>please select a BUG ID</v>
      </c>
      <c r="C1713" s="51" t="str">
        <f>IFERROR(SUBSTITUTE(VLOOKUP(A1713,Internal_lists_bugs!$A$2:$G2031,7,FALSE()),"nova/commit","nova/src/commit"),"please select a BUG ID")</f>
        <v>please select a BUG ID</v>
      </c>
      <c r="D1713" s="54"/>
      <c r="F1713" s="54"/>
      <c r="H1713" s="114"/>
      <c r="J1713" s="183" t="str">
        <f>IFERROR(VLOOKUP(A1713,Internal_lists_bugs!$A$2:$I2031,9,FALSE()),"please select a BUG ID")</f>
        <v>please select a BUG ID</v>
      </c>
    </row>
    <row r="1714">
      <c r="A1714" s="54"/>
      <c r="B1714" s="71" t="str">
        <f>IFERROR(HYPERLINK(VLOOKUP(A1714,Internal_lists_bugs!$A$2:$C$73,3,FALSE()), VLOOKUP(A1714,Internal_lists_bugs!$A$2:$C$73,3,FALSE())&amp;Char(10) &amp; Char(10) &amp; VLOOKUP(A1714,Internal_lists_bugs!$A$2:$Z$73,26,FALSE())),"please select a BUG ID")</f>
        <v>please select a BUG ID</v>
      </c>
      <c r="C1714" s="51" t="str">
        <f>IFERROR(SUBSTITUTE(VLOOKUP(A1714,Internal_lists_bugs!$A$2:$G2031,7,FALSE()),"nova/commit","nova/src/commit"),"please select a BUG ID")</f>
        <v>please select a BUG ID</v>
      </c>
      <c r="D1714" s="54"/>
      <c r="F1714" s="54"/>
      <c r="H1714" s="114"/>
      <c r="J1714" s="183" t="str">
        <f>IFERROR(VLOOKUP(A1714,Internal_lists_bugs!$A$2:$I2031,9,FALSE()),"please select a BUG ID")</f>
        <v>please select a BUG ID</v>
      </c>
    </row>
    <row r="1715">
      <c r="A1715" s="54"/>
      <c r="B1715" s="71" t="str">
        <f>IFERROR(HYPERLINK(VLOOKUP(A1715,Internal_lists_bugs!$A$2:$C$73,3,FALSE()), VLOOKUP(A1715,Internal_lists_bugs!$A$2:$C$73,3,FALSE())&amp;Char(10) &amp; Char(10) &amp; VLOOKUP(A1715,Internal_lists_bugs!$A$2:$Z$73,26,FALSE())),"please select a BUG ID")</f>
        <v>please select a BUG ID</v>
      </c>
      <c r="C1715" s="51" t="str">
        <f>IFERROR(SUBSTITUTE(VLOOKUP(A1715,Internal_lists_bugs!$A$2:$G2031,7,FALSE()),"nova/commit","nova/src/commit"),"please select a BUG ID")</f>
        <v>please select a BUG ID</v>
      </c>
      <c r="D1715" s="54"/>
      <c r="F1715" s="54"/>
      <c r="H1715" s="114"/>
      <c r="J1715" s="183" t="str">
        <f>IFERROR(VLOOKUP(A1715,Internal_lists_bugs!$A$2:$I2031,9,FALSE()),"please select a BUG ID")</f>
        <v>please select a BUG ID</v>
      </c>
    </row>
    <row r="1716">
      <c r="A1716" s="54"/>
      <c r="B1716" s="71" t="str">
        <f>IFERROR(HYPERLINK(VLOOKUP(A1716,Internal_lists_bugs!$A$2:$C$73,3,FALSE()), VLOOKUP(A1716,Internal_lists_bugs!$A$2:$C$73,3,FALSE())&amp;Char(10) &amp; Char(10) &amp; VLOOKUP(A1716,Internal_lists_bugs!$A$2:$Z$73,26,FALSE())),"please select a BUG ID")</f>
        <v>please select a BUG ID</v>
      </c>
      <c r="C1716" s="51" t="str">
        <f>IFERROR(SUBSTITUTE(VLOOKUP(A1716,Internal_lists_bugs!$A$2:$G2031,7,FALSE()),"nova/commit","nova/src/commit"),"please select a BUG ID")</f>
        <v>please select a BUG ID</v>
      </c>
      <c r="D1716" s="54"/>
      <c r="F1716" s="54"/>
      <c r="H1716" s="114"/>
      <c r="J1716" s="183" t="str">
        <f>IFERROR(VLOOKUP(A1716,Internal_lists_bugs!$A$2:$I2031,9,FALSE()),"please select a BUG ID")</f>
        <v>please select a BUG ID</v>
      </c>
    </row>
    <row r="1717">
      <c r="A1717" s="54"/>
      <c r="B1717" s="71" t="str">
        <f>IFERROR(HYPERLINK(VLOOKUP(A1717,Internal_lists_bugs!$A$2:$C$73,3,FALSE()), VLOOKUP(A1717,Internal_lists_bugs!$A$2:$C$73,3,FALSE())&amp;Char(10) &amp; Char(10) &amp; VLOOKUP(A1717,Internal_lists_bugs!$A$2:$Z$73,26,FALSE())),"please select a BUG ID")</f>
        <v>please select a BUG ID</v>
      </c>
      <c r="C1717" s="51" t="str">
        <f>IFERROR(SUBSTITUTE(VLOOKUP(A1717,Internal_lists_bugs!$A$2:$G2031,7,FALSE()),"nova/commit","nova/src/commit"),"please select a BUG ID")</f>
        <v>please select a BUG ID</v>
      </c>
      <c r="D1717" s="54"/>
      <c r="F1717" s="54"/>
      <c r="H1717" s="114"/>
      <c r="J1717" s="183" t="str">
        <f>IFERROR(VLOOKUP(A1717,Internal_lists_bugs!$A$2:$I2031,9,FALSE()),"please select a BUG ID")</f>
        <v>please select a BUG ID</v>
      </c>
    </row>
    <row r="1718">
      <c r="A1718" s="54"/>
      <c r="B1718" s="71" t="str">
        <f>IFERROR(HYPERLINK(VLOOKUP(A1718,Internal_lists_bugs!$A$2:$C$73,3,FALSE()), VLOOKUP(A1718,Internal_lists_bugs!$A$2:$C$73,3,FALSE())&amp;Char(10) &amp; Char(10) &amp; VLOOKUP(A1718,Internal_lists_bugs!$A$2:$Z$73,26,FALSE())),"please select a BUG ID")</f>
        <v>please select a BUG ID</v>
      </c>
      <c r="C1718" s="51" t="str">
        <f>IFERROR(SUBSTITUTE(VLOOKUP(A1718,Internal_lists_bugs!$A$2:$G2031,7,FALSE()),"nova/commit","nova/src/commit"),"please select a BUG ID")</f>
        <v>please select a BUG ID</v>
      </c>
      <c r="D1718" s="54"/>
      <c r="F1718" s="54"/>
      <c r="H1718" s="114"/>
      <c r="J1718" s="183" t="str">
        <f>IFERROR(VLOOKUP(A1718,Internal_lists_bugs!$A$2:$I2031,9,FALSE()),"please select a BUG ID")</f>
        <v>please select a BUG ID</v>
      </c>
    </row>
    <row r="1719">
      <c r="A1719" s="54"/>
      <c r="B1719" s="71" t="str">
        <f>IFERROR(HYPERLINK(VLOOKUP(A1719,Internal_lists_bugs!$A$2:$C$73,3,FALSE()), VLOOKUP(A1719,Internal_lists_bugs!$A$2:$C$73,3,FALSE())&amp;Char(10) &amp; Char(10) &amp; VLOOKUP(A1719,Internal_lists_bugs!$A$2:$Z$73,26,FALSE())),"please select a BUG ID")</f>
        <v>please select a BUG ID</v>
      </c>
      <c r="C1719" s="51" t="str">
        <f>IFERROR(SUBSTITUTE(VLOOKUP(A1719,Internal_lists_bugs!$A$2:$G2031,7,FALSE()),"nova/commit","nova/src/commit"),"please select a BUG ID")</f>
        <v>please select a BUG ID</v>
      </c>
      <c r="D1719" s="54"/>
      <c r="F1719" s="54"/>
      <c r="H1719" s="114"/>
      <c r="J1719" s="183" t="str">
        <f>IFERROR(VLOOKUP(A1719,Internal_lists_bugs!$A$2:$I2031,9,FALSE()),"please select a BUG ID")</f>
        <v>please select a BUG ID</v>
      </c>
    </row>
    <row r="1720">
      <c r="A1720" s="54"/>
      <c r="B1720" s="71" t="str">
        <f>IFERROR(HYPERLINK(VLOOKUP(A1720,Internal_lists_bugs!$A$2:$C$73,3,FALSE()), VLOOKUP(A1720,Internal_lists_bugs!$A$2:$C$73,3,FALSE())&amp;Char(10) &amp; Char(10) &amp; VLOOKUP(A1720,Internal_lists_bugs!$A$2:$Z$73,26,FALSE())),"please select a BUG ID")</f>
        <v>please select a BUG ID</v>
      </c>
      <c r="C1720" s="51" t="str">
        <f>IFERROR(SUBSTITUTE(VLOOKUP(A1720,Internal_lists_bugs!$A$2:$G2031,7,FALSE()),"nova/commit","nova/src/commit"),"please select a BUG ID")</f>
        <v>please select a BUG ID</v>
      </c>
      <c r="D1720" s="54"/>
      <c r="F1720" s="54"/>
      <c r="H1720" s="114"/>
      <c r="J1720" s="183" t="str">
        <f>IFERROR(VLOOKUP(A1720,Internal_lists_bugs!$A$2:$I2031,9,FALSE()),"please select a BUG ID")</f>
        <v>please select a BUG ID</v>
      </c>
    </row>
    <row r="1721">
      <c r="A1721" s="54"/>
      <c r="B1721" s="71" t="str">
        <f>IFERROR(HYPERLINK(VLOOKUP(A1721,Internal_lists_bugs!$A$2:$C$73,3,FALSE()), VLOOKUP(A1721,Internal_lists_bugs!$A$2:$C$73,3,FALSE())&amp;Char(10) &amp; Char(10) &amp; VLOOKUP(A1721,Internal_lists_bugs!$A$2:$Z$73,26,FALSE())),"please select a BUG ID")</f>
        <v>please select a BUG ID</v>
      </c>
      <c r="C1721" s="51" t="str">
        <f>IFERROR(SUBSTITUTE(VLOOKUP(A1721,Internal_lists_bugs!$A$2:$G2031,7,FALSE()),"nova/commit","nova/src/commit"),"please select a BUG ID")</f>
        <v>please select a BUG ID</v>
      </c>
      <c r="D1721" s="54"/>
      <c r="F1721" s="54"/>
      <c r="H1721" s="114"/>
      <c r="J1721" s="183" t="str">
        <f>IFERROR(VLOOKUP(A1721,Internal_lists_bugs!$A$2:$I2031,9,FALSE()),"please select a BUG ID")</f>
        <v>please select a BUG ID</v>
      </c>
    </row>
    <row r="1722">
      <c r="A1722" s="54"/>
      <c r="B1722" s="71" t="str">
        <f>IFERROR(HYPERLINK(VLOOKUP(A1722,Internal_lists_bugs!$A$2:$C$73,3,FALSE()), VLOOKUP(A1722,Internal_lists_bugs!$A$2:$C$73,3,FALSE())&amp;Char(10) &amp; Char(10) &amp; VLOOKUP(A1722,Internal_lists_bugs!$A$2:$Z$73,26,FALSE())),"please select a BUG ID")</f>
        <v>please select a BUG ID</v>
      </c>
      <c r="C1722" s="51" t="str">
        <f>IFERROR(SUBSTITUTE(VLOOKUP(A1722,Internal_lists_bugs!$A$2:$G2031,7,FALSE()),"nova/commit","nova/src/commit"),"please select a BUG ID")</f>
        <v>please select a BUG ID</v>
      </c>
      <c r="D1722" s="54"/>
      <c r="F1722" s="54"/>
      <c r="H1722" s="114"/>
      <c r="J1722" s="183" t="str">
        <f>IFERROR(VLOOKUP(A1722,Internal_lists_bugs!$A$2:$I2031,9,FALSE()),"please select a BUG ID")</f>
        <v>please select a BUG ID</v>
      </c>
    </row>
    <row r="1723">
      <c r="A1723" s="54"/>
      <c r="B1723" s="71" t="str">
        <f>IFERROR(HYPERLINK(VLOOKUP(A1723,Internal_lists_bugs!$A$2:$C$73,3,FALSE()), VLOOKUP(A1723,Internal_lists_bugs!$A$2:$C$73,3,FALSE())&amp;Char(10) &amp; Char(10) &amp; VLOOKUP(A1723,Internal_lists_bugs!$A$2:$Z$73,26,FALSE())),"please select a BUG ID")</f>
        <v>please select a BUG ID</v>
      </c>
      <c r="C1723" s="51" t="str">
        <f>IFERROR(SUBSTITUTE(VLOOKUP(A1723,Internal_lists_bugs!$A$2:$G2031,7,FALSE()),"nova/commit","nova/src/commit"),"please select a BUG ID")</f>
        <v>please select a BUG ID</v>
      </c>
      <c r="D1723" s="54"/>
      <c r="F1723" s="54"/>
      <c r="H1723" s="114"/>
      <c r="J1723" s="183" t="str">
        <f>IFERROR(VLOOKUP(A1723,Internal_lists_bugs!$A$2:$I2031,9,FALSE()),"please select a BUG ID")</f>
        <v>please select a BUG ID</v>
      </c>
    </row>
    <row r="1724">
      <c r="A1724" s="54"/>
      <c r="B1724" s="71" t="str">
        <f>IFERROR(HYPERLINK(VLOOKUP(A1724,Internal_lists_bugs!$A$2:$C$73,3,FALSE()), VLOOKUP(A1724,Internal_lists_bugs!$A$2:$C$73,3,FALSE())&amp;Char(10) &amp; Char(10) &amp; VLOOKUP(A1724,Internal_lists_bugs!$A$2:$Z$73,26,FALSE())),"please select a BUG ID")</f>
        <v>please select a BUG ID</v>
      </c>
      <c r="C1724" s="51" t="str">
        <f>IFERROR(SUBSTITUTE(VLOOKUP(A1724,Internal_lists_bugs!$A$2:$G2031,7,FALSE()),"nova/commit","nova/src/commit"),"please select a BUG ID")</f>
        <v>please select a BUG ID</v>
      </c>
      <c r="D1724" s="54"/>
      <c r="F1724" s="54"/>
      <c r="H1724" s="114"/>
      <c r="J1724" s="183" t="str">
        <f>IFERROR(VLOOKUP(A1724,Internal_lists_bugs!$A$2:$I2031,9,FALSE()),"please select a BUG ID")</f>
        <v>please select a BUG ID</v>
      </c>
    </row>
    <row r="1725">
      <c r="A1725" s="54"/>
      <c r="B1725" s="71" t="str">
        <f>IFERROR(HYPERLINK(VLOOKUP(A1725,Internal_lists_bugs!$A$2:$C$73,3,FALSE()), VLOOKUP(A1725,Internal_lists_bugs!$A$2:$C$73,3,FALSE())&amp;Char(10) &amp; Char(10) &amp; VLOOKUP(A1725,Internal_lists_bugs!$A$2:$Z$73,26,FALSE())),"please select a BUG ID")</f>
        <v>please select a BUG ID</v>
      </c>
      <c r="C1725" s="51" t="str">
        <f>IFERROR(SUBSTITUTE(VLOOKUP(A1725,Internal_lists_bugs!$A$2:$G2031,7,FALSE()),"nova/commit","nova/src/commit"),"please select a BUG ID")</f>
        <v>please select a BUG ID</v>
      </c>
      <c r="D1725" s="54"/>
      <c r="F1725" s="54"/>
      <c r="H1725" s="114"/>
      <c r="J1725" s="183" t="str">
        <f>IFERROR(VLOOKUP(A1725,Internal_lists_bugs!$A$2:$I2031,9,FALSE()),"please select a BUG ID")</f>
        <v>please select a BUG ID</v>
      </c>
    </row>
    <row r="1726">
      <c r="A1726" s="54"/>
      <c r="B1726" s="71" t="str">
        <f>IFERROR(HYPERLINK(VLOOKUP(A1726,Internal_lists_bugs!$A$2:$C$73,3,FALSE()), VLOOKUP(A1726,Internal_lists_bugs!$A$2:$C$73,3,FALSE())&amp;Char(10) &amp; Char(10) &amp; VLOOKUP(A1726,Internal_lists_bugs!$A$2:$Z$73,26,FALSE())),"please select a BUG ID")</f>
        <v>please select a BUG ID</v>
      </c>
      <c r="C1726" s="51" t="str">
        <f>IFERROR(SUBSTITUTE(VLOOKUP(A1726,Internal_lists_bugs!$A$2:$G2031,7,FALSE()),"nova/commit","nova/src/commit"),"please select a BUG ID")</f>
        <v>please select a BUG ID</v>
      </c>
      <c r="D1726" s="54"/>
      <c r="F1726" s="54"/>
      <c r="H1726" s="114"/>
      <c r="J1726" s="183" t="str">
        <f>IFERROR(VLOOKUP(A1726,Internal_lists_bugs!$A$2:$I2031,9,FALSE()),"please select a BUG ID")</f>
        <v>please select a BUG ID</v>
      </c>
    </row>
    <row r="1727">
      <c r="A1727" s="54"/>
      <c r="B1727" s="71" t="str">
        <f>IFERROR(HYPERLINK(VLOOKUP(A1727,Internal_lists_bugs!$A$2:$C$73,3,FALSE()), VLOOKUP(A1727,Internal_lists_bugs!$A$2:$C$73,3,FALSE())&amp;Char(10) &amp; Char(10) &amp; VLOOKUP(A1727,Internal_lists_bugs!$A$2:$Z$73,26,FALSE())),"please select a BUG ID")</f>
        <v>please select a BUG ID</v>
      </c>
      <c r="C1727" s="51" t="str">
        <f>IFERROR(SUBSTITUTE(VLOOKUP(A1727,Internal_lists_bugs!$A$2:$G2031,7,FALSE()),"nova/commit","nova/src/commit"),"please select a BUG ID")</f>
        <v>please select a BUG ID</v>
      </c>
      <c r="D1727" s="54"/>
      <c r="F1727" s="54"/>
      <c r="H1727" s="114"/>
      <c r="J1727" s="183" t="str">
        <f>IFERROR(VLOOKUP(A1727,Internal_lists_bugs!$A$2:$I2031,9,FALSE()),"please select a BUG ID")</f>
        <v>please select a BUG ID</v>
      </c>
    </row>
    <row r="1728">
      <c r="A1728" s="54"/>
      <c r="B1728" s="71" t="str">
        <f>IFERROR(HYPERLINK(VLOOKUP(A1728,Internal_lists_bugs!$A$2:$C$73,3,FALSE()), VLOOKUP(A1728,Internal_lists_bugs!$A$2:$C$73,3,FALSE())&amp;Char(10) &amp; Char(10) &amp; VLOOKUP(A1728,Internal_lists_bugs!$A$2:$Z$73,26,FALSE())),"please select a BUG ID")</f>
        <v>please select a BUG ID</v>
      </c>
      <c r="C1728" s="51" t="str">
        <f>IFERROR(SUBSTITUTE(VLOOKUP(A1728,Internal_lists_bugs!$A$2:$G2031,7,FALSE()),"nova/commit","nova/src/commit"),"please select a BUG ID")</f>
        <v>please select a BUG ID</v>
      </c>
      <c r="D1728" s="54"/>
      <c r="F1728" s="54"/>
      <c r="H1728" s="114"/>
      <c r="J1728" s="183" t="str">
        <f>IFERROR(VLOOKUP(A1728,Internal_lists_bugs!$A$2:$I2031,9,FALSE()),"please select a BUG ID")</f>
        <v>please select a BUG ID</v>
      </c>
    </row>
    <row r="1729">
      <c r="A1729" s="54"/>
      <c r="B1729" s="71" t="str">
        <f>IFERROR(HYPERLINK(VLOOKUP(A1729,Internal_lists_bugs!$A$2:$C$73,3,FALSE()), VLOOKUP(A1729,Internal_lists_bugs!$A$2:$C$73,3,FALSE())&amp;Char(10) &amp; Char(10) &amp; VLOOKUP(A1729,Internal_lists_bugs!$A$2:$Z$73,26,FALSE())),"please select a BUG ID")</f>
        <v>please select a BUG ID</v>
      </c>
      <c r="C1729" s="51" t="str">
        <f>IFERROR(SUBSTITUTE(VLOOKUP(A1729,Internal_lists_bugs!$A$2:$G2031,7,FALSE()),"nova/commit","nova/src/commit"),"please select a BUG ID")</f>
        <v>please select a BUG ID</v>
      </c>
      <c r="D1729" s="54"/>
      <c r="F1729" s="54"/>
      <c r="H1729" s="114"/>
      <c r="J1729" s="183" t="str">
        <f>IFERROR(VLOOKUP(A1729,Internal_lists_bugs!$A$2:$I2031,9,FALSE()),"please select a BUG ID")</f>
        <v>please select a BUG ID</v>
      </c>
    </row>
    <row r="1730">
      <c r="A1730" s="54"/>
      <c r="B1730" s="71" t="str">
        <f>IFERROR(HYPERLINK(VLOOKUP(A1730,Internal_lists_bugs!$A$2:$C$73,3,FALSE()), VLOOKUP(A1730,Internal_lists_bugs!$A$2:$C$73,3,FALSE())&amp;Char(10) &amp; Char(10) &amp; VLOOKUP(A1730,Internal_lists_bugs!$A$2:$Z$73,26,FALSE())),"please select a BUG ID")</f>
        <v>please select a BUG ID</v>
      </c>
      <c r="C1730" s="51" t="str">
        <f>IFERROR(SUBSTITUTE(VLOOKUP(A1730,Internal_lists_bugs!$A$2:$G2031,7,FALSE()),"nova/commit","nova/src/commit"),"please select a BUG ID")</f>
        <v>please select a BUG ID</v>
      </c>
      <c r="D1730" s="54"/>
      <c r="F1730" s="54"/>
      <c r="H1730" s="114"/>
      <c r="J1730" s="183" t="str">
        <f>IFERROR(VLOOKUP(A1730,Internal_lists_bugs!$A$2:$I2031,9,FALSE()),"please select a BUG ID")</f>
        <v>please select a BUG ID</v>
      </c>
    </row>
    <row r="1731">
      <c r="A1731" s="54"/>
      <c r="B1731" s="71" t="str">
        <f>IFERROR(HYPERLINK(VLOOKUP(A1731,Internal_lists_bugs!$A$2:$C$73,3,FALSE()), VLOOKUP(A1731,Internal_lists_bugs!$A$2:$C$73,3,FALSE())&amp;Char(10) &amp; Char(10) &amp; VLOOKUP(A1731,Internal_lists_bugs!$A$2:$Z$73,26,FALSE())),"please select a BUG ID")</f>
        <v>please select a BUG ID</v>
      </c>
      <c r="C1731" s="51" t="str">
        <f>IFERROR(SUBSTITUTE(VLOOKUP(A1731,Internal_lists_bugs!$A$2:$G2031,7,FALSE()),"nova/commit","nova/src/commit"),"please select a BUG ID")</f>
        <v>please select a BUG ID</v>
      </c>
      <c r="D1731" s="54"/>
      <c r="F1731" s="54"/>
      <c r="H1731" s="114"/>
      <c r="J1731" s="183" t="str">
        <f>IFERROR(VLOOKUP(A1731,Internal_lists_bugs!$A$2:$I2031,9,FALSE()),"please select a BUG ID")</f>
        <v>please select a BUG ID</v>
      </c>
    </row>
    <row r="1732">
      <c r="A1732" s="54"/>
      <c r="B1732" s="71" t="str">
        <f>IFERROR(HYPERLINK(VLOOKUP(A1732,Internal_lists_bugs!$A$2:$C$73,3,FALSE()), VLOOKUP(A1732,Internal_lists_bugs!$A$2:$C$73,3,FALSE())&amp;Char(10) &amp; Char(10) &amp; VLOOKUP(A1732,Internal_lists_bugs!$A$2:$Z$73,26,FALSE())),"please select a BUG ID")</f>
        <v>please select a BUG ID</v>
      </c>
      <c r="C1732" s="51" t="str">
        <f>IFERROR(SUBSTITUTE(VLOOKUP(A1732,Internal_lists_bugs!$A$2:$G2031,7,FALSE()),"nova/commit","nova/src/commit"),"please select a BUG ID")</f>
        <v>please select a BUG ID</v>
      </c>
      <c r="D1732" s="54"/>
      <c r="F1732" s="54"/>
      <c r="H1732" s="114"/>
      <c r="J1732" s="183" t="str">
        <f>IFERROR(VLOOKUP(A1732,Internal_lists_bugs!$A$2:$I2031,9,FALSE()),"please select a BUG ID")</f>
        <v>please select a BUG ID</v>
      </c>
    </row>
    <row r="1733">
      <c r="A1733" s="54"/>
      <c r="B1733" s="71" t="str">
        <f>IFERROR(HYPERLINK(VLOOKUP(A1733,Internal_lists_bugs!$A$2:$C$73,3,FALSE()), VLOOKUP(A1733,Internal_lists_bugs!$A$2:$C$73,3,FALSE())&amp;Char(10) &amp; Char(10) &amp; VLOOKUP(A1733,Internal_lists_bugs!$A$2:$Z$73,26,FALSE())),"please select a BUG ID")</f>
        <v>please select a BUG ID</v>
      </c>
      <c r="C1733" s="51" t="str">
        <f>IFERROR(SUBSTITUTE(VLOOKUP(A1733,Internal_lists_bugs!$A$2:$G2031,7,FALSE()),"nova/commit","nova/src/commit"),"please select a BUG ID")</f>
        <v>please select a BUG ID</v>
      </c>
      <c r="D1733" s="54"/>
      <c r="F1733" s="54"/>
      <c r="H1733" s="114"/>
      <c r="J1733" s="183" t="str">
        <f>IFERROR(VLOOKUP(A1733,Internal_lists_bugs!$A$2:$I2031,9,FALSE()),"please select a BUG ID")</f>
        <v>please select a BUG ID</v>
      </c>
    </row>
    <row r="1734">
      <c r="A1734" s="54"/>
      <c r="B1734" s="71" t="str">
        <f>IFERROR(HYPERLINK(VLOOKUP(A1734,Internal_lists_bugs!$A$2:$C$73,3,FALSE()), VLOOKUP(A1734,Internal_lists_bugs!$A$2:$C$73,3,FALSE())&amp;Char(10) &amp; Char(10) &amp; VLOOKUP(A1734,Internal_lists_bugs!$A$2:$Z$73,26,FALSE())),"please select a BUG ID")</f>
        <v>please select a BUG ID</v>
      </c>
      <c r="C1734" s="51" t="str">
        <f>IFERROR(SUBSTITUTE(VLOOKUP(A1734,Internal_lists_bugs!$A$2:$G2031,7,FALSE()),"nova/commit","nova/src/commit"),"please select a BUG ID")</f>
        <v>please select a BUG ID</v>
      </c>
      <c r="D1734" s="54"/>
      <c r="F1734" s="54"/>
      <c r="H1734" s="114"/>
      <c r="J1734" s="183" t="str">
        <f>IFERROR(VLOOKUP(A1734,Internal_lists_bugs!$A$2:$I2031,9,FALSE()),"please select a BUG ID")</f>
        <v>please select a BUG ID</v>
      </c>
    </row>
    <row r="1735">
      <c r="A1735" s="54"/>
      <c r="B1735" s="71" t="str">
        <f>IFERROR(HYPERLINK(VLOOKUP(A1735,Internal_lists_bugs!$A$2:$C$73,3,FALSE()), VLOOKUP(A1735,Internal_lists_bugs!$A$2:$C$73,3,FALSE())&amp;Char(10) &amp; Char(10) &amp; VLOOKUP(A1735,Internal_lists_bugs!$A$2:$Z$73,26,FALSE())),"please select a BUG ID")</f>
        <v>please select a BUG ID</v>
      </c>
      <c r="C1735" s="51" t="str">
        <f>IFERROR(SUBSTITUTE(VLOOKUP(A1735,Internal_lists_bugs!$A$2:$G2031,7,FALSE()),"nova/commit","nova/src/commit"),"please select a BUG ID")</f>
        <v>please select a BUG ID</v>
      </c>
      <c r="D1735" s="54"/>
      <c r="F1735" s="54"/>
      <c r="H1735" s="114"/>
      <c r="J1735" s="183" t="str">
        <f>IFERROR(VLOOKUP(A1735,Internal_lists_bugs!$A$2:$I2031,9,FALSE()),"please select a BUG ID")</f>
        <v>please select a BUG ID</v>
      </c>
    </row>
    <row r="1736">
      <c r="A1736" s="54"/>
      <c r="B1736" s="71" t="str">
        <f>IFERROR(HYPERLINK(VLOOKUP(A1736,Internal_lists_bugs!$A$2:$C$73,3,FALSE()), VLOOKUP(A1736,Internal_lists_bugs!$A$2:$C$73,3,FALSE())&amp;Char(10) &amp; Char(10) &amp; VLOOKUP(A1736,Internal_lists_bugs!$A$2:$Z$73,26,FALSE())),"please select a BUG ID")</f>
        <v>please select a BUG ID</v>
      </c>
      <c r="C1736" s="51" t="str">
        <f>IFERROR(SUBSTITUTE(VLOOKUP(A1736,Internal_lists_bugs!$A$2:$G2031,7,FALSE()),"nova/commit","nova/src/commit"),"please select a BUG ID")</f>
        <v>please select a BUG ID</v>
      </c>
      <c r="D1736" s="54"/>
      <c r="F1736" s="54"/>
      <c r="H1736" s="114"/>
      <c r="J1736" s="183" t="str">
        <f>IFERROR(VLOOKUP(A1736,Internal_lists_bugs!$A$2:$I2031,9,FALSE()),"please select a BUG ID")</f>
        <v>please select a BUG ID</v>
      </c>
    </row>
    <row r="1737">
      <c r="A1737" s="54"/>
      <c r="B1737" s="71" t="str">
        <f>IFERROR(HYPERLINK(VLOOKUP(A1737,Internal_lists_bugs!$A$2:$C$73,3,FALSE()), VLOOKUP(A1737,Internal_lists_bugs!$A$2:$C$73,3,FALSE())&amp;Char(10) &amp; Char(10) &amp; VLOOKUP(A1737,Internal_lists_bugs!$A$2:$Z$73,26,FALSE())),"please select a BUG ID")</f>
        <v>please select a BUG ID</v>
      </c>
      <c r="C1737" s="51" t="str">
        <f>IFERROR(SUBSTITUTE(VLOOKUP(A1737,Internal_lists_bugs!$A$2:$G2031,7,FALSE()),"nova/commit","nova/src/commit"),"please select a BUG ID")</f>
        <v>please select a BUG ID</v>
      </c>
      <c r="D1737" s="54"/>
      <c r="F1737" s="54"/>
      <c r="H1737" s="114"/>
      <c r="J1737" s="183" t="str">
        <f>IFERROR(VLOOKUP(A1737,Internal_lists_bugs!$A$2:$I2031,9,FALSE()),"please select a BUG ID")</f>
        <v>please select a BUG ID</v>
      </c>
    </row>
    <row r="1738">
      <c r="A1738" s="54"/>
      <c r="B1738" s="71" t="str">
        <f>IFERROR(HYPERLINK(VLOOKUP(A1738,Internal_lists_bugs!$A$2:$C$73,3,FALSE()), VLOOKUP(A1738,Internal_lists_bugs!$A$2:$C$73,3,FALSE())&amp;Char(10) &amp; Char(10) &amp; VLOOKUP(A1738,Internal_lists_bugs!$A$2:$Z$73,26,FALSE())),"please select a BUG ID")</f>
        <v>please select a BUG ID</v>
      </c>
      <c r="C1738" s="51" t="str">
        <f>IFERROR(SUBSTITUTE(VLOOKUP(A1738,Internal_lists_bugs!$A$2:$G2031,7,FALSE()),"nova/commit","nova/src/commit"),"please select a BUG ID")</f>
        <v>please select a BUG ID</v>
      </c>
      <c r="D1738" s="54"/>
      <c r="F1738" s="54"/>
      <c r="H1738" s="114"/>
      <c r="J1738" s="183" t="str">
        <f>IFERROR(VLOOKUP(A1738,Internal_lists_bugs!$A$2:$I2031,9,FALSE()),"please select a BUG ID")</f>
        <v>please select a BUG ID</v>
      </c>
    </row>
    <row r="1739">
      <c r="A1739" s="54"/>
      <c r="B1739" s="71" t="str">
        <f>IFERROR(HYPERLINK(VLOOKUP(A1739,Internal_lists_bugs!$A$2:$C$73,3,FALSE()), VLOOKUP(A1739,Internal_lists_bugs!$A$2:$C$73,3,FALSE())&amp;Char(10) &amp; Char(10) &amp; VLOOKUP(A1739,Internal_lists_bugs!$A$2:$Z$73,26,FALSE())),"please select a BUG ID")</f>
        <v>please select a BUG ID</v>
      </c>
      <c r="C1739" s="51" t="str">
        <f>IFERROR(SUBSTITUTE(VLOOKUP(A1739,Internal_lists_bugs!$A$2:$G2031,7,FALSE()),"nova/commit","nova/src/commit"),"please select a BUG ID")</f>
        <v>please select a BUG ID</v>
      </c>
      <c r="D1739" s="54"/>
      <c r="F1739" s="54"/>
      <c r="H1739" s="114"/>
      <c r="J1739" s="183" t="str">
        <f>IFERROR(VLOOKUP(A1739,Internal_lists_bugs!$A$2:$I2031,9,FALSE()),"please select a BUG ID")</f>
        <v>please select a BUG ID</v>
      </c>
    </row>
    <row r="1740">
      <c r="A1740" s="54"/>
      <c r="B1740" s="71" t="str">
        <f>IFERROR(HYPERLINK(VLOOKUP(A1740,Internal_lists_bugs!$A$2:$C$73,3,FALSE()), VLOOKUP(A1740,Internal_lists_bugs!$A$2:$C$73,3,FALSE())&amp;Char(10) &amp; Char(10) &amp; VLOOKUP(A1740,Internal_lists_bugs!$A$2:$Z$73,26,FALSE())),"please select a BUG ID")</f>
        <v>please select a BUG ID</v>
      </c>
      <c r="C1740" s="51" t="str">
        <f>IFERROR(SUBSTITUTE(VLOOKUP(A1740,Internal_lists_bugs!$A$2:$G2031,7,FALSE()),"nova/commit","nova/src/commit"),"please select a BUG ID")</f>
        <v>please select a BUG ID</v>
      </c>
      <c r="D1740" s="54"/>
      <c r="F1740" s="54"/>
      <c r="H1740" s="114"/>
      <c r="J1740" s="183" t="str">
        <f>IFERROR(VLOOKUP(A1740,Internal_lists_bugs!$A$2:$I2031,9,FALSE()),"please select a BUG ID")</f>
        <v>please select a BUG ID</v>
      </c>
    </row>
    <row r="1741">
      <c r="A1741" s="54"/>
      <c r="B1741" s="71" t="str">
        <f>IFERROR(HYPERLINK(VLOOKUP(A1741,Internal_lists_bugs!$A$2:$C$73,3,FALSE()), VLOOKUP(A1741,Internal_lists_bugs!$A$2:$C$73,3,FALSE())&amp;Char(10) &amp; Char(10) &amp; VLOOKUP(A1741,Internal_lists_bugs!$A$2:$Z$73,26,FALSE())),"please select a BUG ID")</f>
        <v>please select a BUG ID</v>
      </c>
      <c r="C1741" s="51" t="str">
        <f>IFERROR(SUBSTITUTE(VLOOKUP(A1741,Internal_lists_bugs!$A$2:$G2031,7,FALSE()),"nova/commit","nova/src/commit"),"please select a BUG ID")</f>
        <v>please select a BUG ID</v>
      </c>
      <c r="D1741" s="54"/>
      <c r="F1741" s="54"/>
      <c r="H1741" s="114"/>
      <c r="J1741" s="183" t="str">
        <f>IFERROR(VLOOKUP(A1741,Internal_lists_bugs!$A$2:$I2031,9,FALSE()),"please select a BUG ID")</f>
        <v>please select a BUG ID</v>
      </c>
    </row>
    <row r="1742">
      <c r="A1742" s="54"/>
      <c r="B1742" s="71" t="str">
        <f>IFERROR(HYPERLINK(VLOOKUP(A1742,Internal_lists_bugs!$A$2:$C$73,3,FALSE()), VLOOKUP(A1742,Internal_lists_bugs!$A$2:$C$73,3,FALSE())&amp;Char(10) &amp; Char(10) &amp; VLOOKUP(A1742,Internal_lists_bugs!$A$2:$Z$73,26,FALSE())),"please select a BUG ID")</f>
        <v>please select a BUG ID</v>
      </c>
      <c r="C1742" s="51" t="str">
        <f>IFERROR(SUBSTITUTE(VLOOKUP(A1742,Internal_lists_bugs!$A$2:$G2031,7,FALSE()),"nova/commit","nova/src/commit"),"please select a BUG ID")</f>
        <v>please select a BUG ID</v>
      </c>
      <c r="D1742" s="54"/>
      <c r="F1742" s="54"/>
      <c r="H1742" s="114"/>
      <c r="J1742" s="183" t="str">
        <f>IFERROR(VLOOKUP(A1742,Internal_lists_bugs!$A$2:$I2031,9,FALSE()),"please select a BUG ID")</f>
        <v>please select a BUG ID</v>
      </c>
    </row>
    <row r="1743">
      <c r="A1743" s="54"/>
      <c r="B1743" s="71" t="str">
        <f>IFERROR(HYPERLINK(VLOOKUP(A1743,Internal_lists_bugs!$A$2:$C$73,3,FALSE()), VLOOKUP(A1743,Internal_lists_bugs!$A$2:$C$73,3,FALSE())&amp;Char(10) &amp; Char(10) &amp; VLOOKUP(A1743,Internal_lists_bugs!$A$2:$Z$73,26,FALSE())),"please select a BUG ID")</f>
        <v>please select a BUG ID</v>
      </c>
      <c r="C1743" s="51" t="str">
        <f>IFERROR(SUBSTITUTE(VLOOKUP(A1743,Internal_lists_bugs!$A$2:$G2031,7,FALSE()),"nova/commit","nova/src/commit"),"please select a BUG ID")</f>
        <v>please select a BUG ID</v>
      </c>
      <c r="D1743" s="54"/>
      <c r="F1743" s="54"/>
      <c r="H1743" s="114"/>
      <c r="J1743" s="183" t="str">
        <f>IFERROR(VLOOKUP(A1743,Internal_lists_bugs!$A$2:$I2031,9,FALSE()),"please select a BUG ID")</f>
        <v>please select a BUG ID</v>
      </c>
    </row>
    <row r="1744">
      <c r="A1744" s="54"/>
      <c r="B1744" s="71" t="str">
        <f>IFERROR(HYPERLINK(VLOOKUP(A1744,Internal_lists_bugs!$A$2:$C$73,3,FALSE()), VLOOKUP(A1744,Internal_lists_bugs!$A$2:$C$73,3,FALSE())&amp;Char(10) &amp; Char(10) &amp; VLOOKUP(A1744,Internal_lists_bugs!$A$2:$Z$73,26,FALSE())),"please select a BUG ID")</f>
        <v>please select a BUG ID</v>
      </c>
      <c r="C1744" s="51" t="str">
        <f>IFERROR(SUBSTITUTE(VLOOKUP(A1744,Internal_lists_bugs!$A$2:$G2031,7,FALSE()),"nova/commit","nova/src/commit"),"please select a BUG ID")</f>
        <v>please select a BUG ID</v>
      </c>
      <c r="D1744" s="54"/>
      <c r="F1744" s="54"/>
      <c r="H1744" s="114"/>
      <c r="J1744" s="183" t="str">
        <f>IFERROR(VLOOKUP(A1744,Internal_lists_bugs!$A$2:$I2031,9,FALSE()),"please select a BUG ID")</f>
        <v>please select a BUG ID</v>
      </c>
    </row>
    <row r="1745">
      <c r="A1745" s="54"/>
      <c r="B1745" s="71" t="str">
        <f>IFERROR(HYPERLINK(VLOOKUP(A1745,Internal_lists_bugs!$A$2:$C$73,3,FALSE()), VLOOKUP(A1745,Internal_lists_bugs!$A$2:$C$73,3,FALSE())&amp;Char(10) &amp; Char(10) &amp; VLOOKUP(A1745,Internal_lists_bugs!$A$2:$Z$73,26,FALSE())),"please select a BUG ID")</f>
        <v>please select a BUG ID</v>
      </c>
      <c r="C1745" s="51" t="str">
        <f>IFERROR(SUBSTITUTE(VLOOKUP(A1745,Internal_lists_bugs!$A$2:$G2031,7,FALSE()),"nova/commit","nova/src/commit"),"please select a BUG ID")</f>
        <v>please select a BUG ID</v>
      </c>
      <c r="D1745" s="54"/>
      <c r="F1745" s="54"/>
      <c r="H1745" s="114"/>
      <c r="J1745" s="183" t="str">
        <f>IFERROR(VLOOKUP(A1745,Internal_lists_bugs!$A$2:$I2031,9,FALSE()),"please select a BUG ID")</f>
        <v>please select a BUG ID</v>
      </c>
    </row>
    <row r="1746">
      <c r="A1746" s="54"/>
      <c r="B1746" s="71" t="str">
        <f>IFERROR(HYPERLINK(VLOOKUP(A1746,Internal_lists_bugs!$A$2:$C$73,3,FALSE()), VLOOKUP(A1746,Internal_lists_bugs!$A$2:$C$73,3,FALSE())&amp;Char(10) &amp; Char(10) &amp; VLOOKUP(A1746,Internal_lists_bugs!$A$2:$Z$73,26,FALSE())),"please select a BUG ID")</f>
        <v>please select a BUG ID</v>
      </c>
      <c r="C1746" s="51" t="str">
        <f>IFERROR(SUBSTITUTE(VLOOKUP(A1746,Internal_lists_bugs!$A$2:$G2031,7,FALSE()),"nova/commit","nova/src/commit"),"please select a BUG ID")</f>
        <v>please select a BUG ID</v>
      </c>
      <c r="D1746" s="54"/>
      <c r="F1746" s="54"/>
      <c r="H1746" s="114"/>
      <c r="J1746" s="183" t="str">
        <f>IFERROR(VLOOKUP(A1746,Internal_lists_bugs!$A$2:$I2031,9,FALSE()),"please select a BUG ID")</f>
        <v>please select a BUG ID</v>
      </c>
    </row>
    <row r="1747">
      <c r="A1747" s="54"/>
      <c r="B1747" s="71" t="str">
        <f>IFERROR(HYPERLINK(VLOOKUP(A1747,Internal_lists_bugs!$A$2:$C$73,3,FALSE()), VLOOKUP(A1747,Internal_lists_bugs!$A$2:$C$73,3,FALSE())&amp;Char(10) &amp; Char(10) &amp; VLOOKUP(A1747,Internal_lists_bugs!$A$2:$Z$73,26,FALSE())),"please select a BUG ID")</f>
        <v>please select a BUG ID</v>
      </c>
      <c r="C1747" s="51" t="str">
        <f>IFERROR(SUBSTITUTE(VLOOKUP(A1747,Internal_lists_bugs!$A$2:$G2031,7,FALSE()),"nova/commit","nova/src/commit"),"please select a BUG ID")</f>
        <v>please select a BUG ID</v>
      </c>
      <c r="D1747" s="54"/>
      <c r="F1747" s="54"/>
      <c r="H1747" s="114"/>
      <c r="J1747" s="183" t="str">
        <f>IFERROR(VLOOKUP(A1747,Internal_lists_bugs!$A$2:$I2031,9,FALSE()),"please select a BUG ID")</f>
        <v>please select a BUG ID</v>
      </c>
    </row>
    <row r="1748">
      <c r="A1748" s="54"/>
      <c r="B1748" s="71" t="str">
        <f>IFERROR(HYPERLINK(VLOOKUP(A1748,Internal_lists_bugs!$A$2:$C$73,3,FALSE()), VLOOKUP(A1748,Internal_lists_bugs!$A$2:$C$73,3,FALSE())&amp;Char(10) &amp; Char(10) &amp; VLOOKUP(A1748,Internal_lists_bugs!$A$2:$Z$73,26,FALSE())),"please select a BUG ID")</f>
        <v>please select a BUG ID</v>
      </c>
      <c r="C1748" s="51" t="str">
        <f>IFERROR(SUBSTITUTE(VLOOKUP(A1748,Internal_lists_bugs!$A$2:$G2031,7,FALSE()),"nova/commit","nova/src/commit"),"please select a BUG ID")</f>
        <v>please select a BUG ID</v>
      </c>
      <c r="D1748" s="54"/>
      <c r="F1748" s="54"/>
      <c r="H1748" s="114"/>
      <c r="J1748" s="183" t="str">
        <f>IFERROR(VLOOKUP(A1748,Internal_lists_bugs!$A$2:$I2031,9,FALSE()),"please select a BUG ID")</f>
        <v>please select a BUG ID</v>
      </c>
    </row>
    <row r="1749">
      <c r="A1749" s="54"/>
      <c r="B1749" s="71" t="str">
        <f>IFERROR(HYPERLINK(VLOOKUP(A1749,Internal_lists_bugs!$A$2:$C$73,3,FALSE()), VLOOKUP(A1749,Internal_lists_bugs!$A$2:$C$73,3,FALSE())&amp;Char(10) &amp; Char(10) &amp; VLOOKUP(A1749,Internal_lists_bugs!$A$2:$Z$73,26,FALSE())),"please select a BUG ID")</f>
        <v>please select a BUG ID</v>
      </c>
      <c r="C1749" s="51" t="str">
        <f>IFERROR(SUBSTITUTE(VLOOKUP(A1749,Internal_lists_bugs!$A$2:$G2031,7,FALSE()),"nova/commit","nova/src/commit"),"please select a BUG ID")</f>
        <v>please select a BUG ID</v>
      </c>
      <c r="D1749" s="54"/>
      <c r="F1749" s="54"/>
      <c r="H1749" s="114"/>
      <c r="J1749" s="183" t="str">
        <f>IFERROR(VLOOKUP(A1749,Internal_lists_bugs!$A$2:$I2031,9,FALSE()),"please select a BUG ID")</f>
        <v>please select a BUG ID</v>
      </c>
    </row>
    <row r="1750">
      <c r="A1750" s="54"/>
      <c r="B1750" s="71" t="str">
        <f>IFERROR(HYPERLINK(VLOOKUP(A1750,Internal_lists_bugs!$A$2:$C$73,3,FALSE()), VLOOKUP(A1750,Internal_lists_bugs!$A$2:$C$73,3,FALSE())&amp;Char(10) &amp; Char(10) &amp; VLOOKUP(A1750,Internal_lists_bugs!$A$2:$Z$73,26,FALSE())),"please select a BUG ID")</f>
        <v>please select a BUG ID</v>
      </c>
      <c r="C1750" s="51" t="str">
        <f>IFERROR(SUBSTITUTE(VLOOKUP(A1750,Internal_lists_bugs!$A$2:$G2031,7,FALSE()),"nova/commit","nova/src/commit"),"please select a BUG ID")</f>
        <v>please select a BUG ID</v>
      </c>
      <c r="D1750" s="54"/>
      <c r="F1750" s="54"/>
      <c r="H1750" s="114"/>
      <c r="J1750" s="183" t="str">
        <f>IFERROR(VLOOKUP(A1750,Internal_lists_bugs!$A$2:$I2031,9,FALSE()),"please select a BUG ID")</f>
        <v>please select a BUG ID</v>
      </c>
    </row>
    <row r="1751">
      <c r="A1751" s="54"/>
      <c r="B1751" s="71" t="str">
        <f>IFERROR(HYPERLINK(VLOOKUP(A1751,Internal_lists_bugs!$A$2:$C$73,3,FALSE()), VLOOKUP(A1751,Internal_lists_bugs!$A$2:$C$73,3,FALSE())&amp;Char(10) &amp; Char(10) &amp; VLOOKUP(A1751,Internal_lists_bugs!$A$2:$Z$73,26,FALSE())),"please select a BUG ID")</f>
        <v>please select a BUG ID</v>
      </c>
      <c r="C1751" s="51" t="str">
        <f>IFERROR(SUBSTITUTE(VLOOKUP(A1751,Internal_lists_bugs!$A$2:$G2031,7,FALSE()),"nova/commit","nova/src/commit"),"please select a BUG ID")</f>
        <v>please select a BUG ID</v>
      </c>
      <c r="D1751" s="54"/>
      <c r="F1751" s="54"/>
      <c r="H1751" s="114"/>
      <c r="J1751" s="183" t="str">
        <f>IFERROR(VLOOKUP(A1751,Internal_lists_bugs!$A$2:$I2031,9,FALSE()),"please select a BUG ID")</f>
        <v>please select a BUG ID</v>
      </c>
    </row>
    <row r="1752">
      <c r="A1752" s="54"/>
      <c r="B1752" s="71" t="str">
        <f>IFERROR(HYPERLINK(VLOOKUP(A1752,Internal_lists_bugs!$A$2:$C$73,3,FALSE()), VLOOKUP(A1752,Internal_lists_bugs!$A$2:$C$73,3,FALSE())&amp;Char(10) &amp; Char(10) &amp; VLOOKUP(A1752,Internal_lists_bugs!$A$2:$Z$73,26,FALSE())),"please select a BUG ID")</f>
        <v>please select a BUG ID</v>
      </c>
      <c r="C1752" s="51" t="str">
        <f>IFERROR(SUBSTITUTE(VLOOKUP(A1752,Internal_lists_bugs!$A$2:$G2031,7,FALSE()),"nova/commit","nova/src/commit"),"please select a BUG ID")</f>
        <v>please select a BUG ID</v>
      </c>
      <c r="D1752" s="54"/>
      <c r="F1752" s="54"/>
      <c r="H1752" s="114"/>
      <c r="J1752" s="183" t="str">
        <f>IFERROR(VLOOKUP(A1752,Internal_lists_bugs!$A$2:$I2031,9,FALSE()),"please select a BUG ID")</f>
        <v>please select a BUG ID</v>
      </c>
    </row>
    <row r="1753">
      <c r="A1753" s="54"/>
      <c r="B1753" s="71" t="str">
        <f>IFERROR(HYPERLINK(VLOOKUP(A1753,Internal_lists_bugs!$A$2:$C$73,3,FALSE()), VLOOKUP(A1753,Internal_lists_bugs!$A$2:$C$73,3,FALSE())&amp;Char(10) &amp; Char(10) &amp; VLOOKUP(A1753,Internal_lists_bugs!$A$2:$Z$73,26,FALSE())),"please select a BUG ID")</f>
        <v>please select a BUG ID</v>
      </c>
      <c r="C1753" s="51" t="str">
        <f>IFERROR(SUBSTITUTE(VLOOKUP(A1753,Internal_lists_bugs!$A$2:$G2031,7,FALSE()),"nova/commit","nova/src/commit"),"please select a BUG ID")</f>
        <v>please select a BUG ID</v>
      </c>
      <c r="D1753" s="54"/>
      <c r="F1753" s="54"/>
      <c r="H1753" s="114"/>
      <c r="J1753" s="183" t="str">
        <f>IFERROR(VLOOKUP(A1753,Internal_lists_bugs!$A$2:$I2031,9,FALSE()),"please select a BUG ID")</f>
        <v>please select a BUG ID</v>
      </c>
    </row>
    <row r="1754">
      <c r="A1754" s="54"/>
      <c r="B1754" s="71" t="str">
        <f>IFERROR(HYPERLINK(VLOOKUP(A1754,Internal_lists_bugs!$A$2:$C$73,3,FALSE()), VLOOKUP(A1754,Internal_lists_bugs!$A$2:$C$73,3,FALSE())&amp;Char(10) &amp; Char(10) &amp; VLOOKUP(A1754,Internal_lists_bugs!$A$2:$Z$73,26,FALSE())),"please select a BUG ID")</f>
        <v>please select a BUG ID</v>
      </c>
      <c r="C1754" s="51" t="str">
        <f>IFERROR(SUBSTITUTE(VLOOKUP(A1754,Internal_lists_bugs!$A$2:$G2031,7,FALSE()),"nova/commit","nova/src/commit"),"please select a BUG ID")</f>
        <v>please select a BUG ID</v>
      </c>
      <c r="D1754" s="54"/>
      <c r="F1754" s="54"/>
      <c r="H1754" s="114"/>
      <c r="J1754" s="183" t="str">
        <f>IFERROR(VLOOKUP(A1754,Internal_lists_bugs!$A$2:$I2031,9,FALSE()),"please select a BUG ID")</f>
        <v>please select a BUG ID</v>
      </c>
    </row>
    <row r="1755">
      <c r="A1755" s="54"/>
      <c r="B1755" s="71" t="str">
        <f>IFERROR(HYPERLINK(VLOOKUP(A1755,Internal_lists_bugs!$A$2:$C$73,3,FALSE()), VLOOKUP(A1755,Internal_lists_bugs!$A$2:$C$73,3,FALSE())&amp;Char(10) &amp; Char(10) &amp; VLOOKUP(A1755,Internal_lists_bugs!$A$2:$Z$73,26,FALSE())),"please select a BUG ID")</f>
        <v>please select a BUG ID</v>
      </c>
      <c r="C1755" s="51" t="str">
        <f>IFERROR(SUBSTITUTE(VLOOKUP(A1755,Internal_lists_bugs!$A$2:$G2031,7,FALSE()),"nova/commit","nova/src/commit"),"please select a BUG ID")</f>
        <v>please select a BUG ID</v>
      </c>
      <c r="D1755" s="54"/>
      <c r="F1755" s="54"/>
      <c r="H1755" s="114"/>
      <c r="J1755" s="183" t="str">
        <f>IFERROR(VLOOKUP(A1755,Internal_lists_bugs!$A$2:$I2031,9,FALSE()),"please select a BUG ID")</f>
        <v>please select a BUG ID</v>
      </c>
    </row>
    <row r="1756">
      <c r="A1756" s="54"/>
      <c r="B1756" s="71" t="str">
        <f>IFERROR(HYPERLINK(VLOOKUP(A1756,Internal_lists_bugs!$A$2:$C$73,3,FALSE()), VLOOKUP(A1756,Internal_lists_bugs!$A$2:$C$73,3,FALSE())&amp;Char(10) &amp; Char(10) &amp; VLOOKUP(A1756,Internal_lists_bugs!$A$2:$Z$73,26,FALSE())),"please select a BUG ID")</f>
        <v>please select a BUG ID</v>
      </c>
      <c r="C1756" s="51" t="str">
        <f>IFERROR(SUBSTITUTE(VLOOKUP(A1756,Internal_lists_bugs!$A$2:$G2031,7,FALSE()),"nova/commit","nova/src/commit"),"please select a BUG ID")</f>
        <v>please select a BUG ID</v>
      </c>
      <c r="D1756" s="54"/>
      <c r="F1756" s="54"/>
      <c r="H1756" s="114"/>
      <c r="J1756" s="183" t="str">
        <f>IFERROR(VLOOKUP(A1756,Internal_lists_bugs!$A$2:$I2031,9,FALSE()),"please select a BUG ID")</f>
        <v>please select a BUG ID</v>
      </c>
    </row>
    <row r="1757">
      <c r="A1757" s="54"/>
      <c r="B1757" s="71" t="str">
        <f>IFERROR(HYPERLINK(VLOOKUP(A1757,Internal_lists_bugs!$A$2:$C$73,3,FALSE()), VLOOKUP(A1757,Internal_lists_bugs!$A$2:$C$73,3,FALSE())&amp;Char(10) &amp; Char(10) &amp; VLOOKUP(A1757,Internal_lists_bugs!$A$2:$Z$73,26,FALSE())),"please select a BUG ID")</f>
        <v>please select a BUG ID</v>
      </c>
      <c r="C1757" s="51" t="str">
        <f>IFERROR(SUBSTITUTE(VLOOKUP(A1757,Internal_lists_bugs!$A$2:$G2031,7,FALSE()),"nova/commit","nova/src/commit"),"please select a BUG ID")</f>
        <v>please select a BUG ID</v>
      </c>
      <c r="D1757" s="54"/>
      <c r="F1757" s="54"/>
      <c r="H1757" s="114"/>
      <c r="J1757" s="183" t="str">
        <f>IFERROR(VLOOKUP(A1757,Internal_lists_bugs!$A$2:$I2031,9,FALSE()),"please select a BUG ID")</f>
        <v>please select a BUG ID</v>
      </c>
    </row>
    <row r="1758">
      <c r="A1758" s="54"/>
      <c r="B1758" s="71" t="str">
        <f>IFERROR(HYPERLINK(VLOOKUP(A1758,Internal_lists_bugs!$A$2:$C$73,3,FALSE()), VLOOKUP(A1758,Internal_lists_bugs!$A$2:$C$73,3,FALSE())&amp;Char(10) &amp; Char(10) &amp; VLOOKUP(A1758,Internal_lists_bugs!$A$2:$Z$73,26,FALSE())),"please select a BUG ID")</f>
        <v>please select a BUG ID</v>
      </c>
      <c r="C1758" s="51" t="str">
        <f>IFERROR(SUBSTITUTE(VLOOKUP(A1758,Internal_lists_bugs!$A$2:$G2031,7,FALSE()),"nova/commit","nova/src/commit"),"please select a BUG ID")</f>
        <v>please select a BUG ID</v>
      </c>
      <c r="D1758" s="54"/>
      <c r="F1758" s="54"/>
      <c r="H1758" s="114"/>
      <c r="J1758" s="183" t="str">
        <f>IFERROR(VLOOKUP(A1758,Internal_lists_bugs!$A$2:$I2031,9,FALSE()),"please select a BUG ID")</f>
        <v>please select a BUG ID</v>
      </c>
    </row>
    <row r="1759">
      <c r="A1759" s="54"/>
      <c r="B1759" s="71" t="str">
        <f>IFERROR(HYPERLINK(VLOOKUP(A1759,Internal_lists_bugs!$A$2:$C$73,3,FALSE()), VLOOKUP(A1759,Internal_lists_bugs!$A$2:$C$73,3,FALSE())&amp;Char(10) &amp; Char(10) &amp; VLOOKUP(A1759,Internal_lists_bugs!$A$2:$Z$73,26,FALSE())),"please select a BUG ID")</f>
        <v>please select a BUG ID</v>
      </c>
      <c r="C1759" s="51" t="str">
        <f>IFERROR(SUBSTITUTE(VLOOKUP(A1759,Internal_lists_bugs!$A$2:$G2031,7,FALSE()),"nova/commit","nova/src/commit"),"please select a BUG ID")</f>
        <v>please select a BUG ID</v>
      </c>
      <c r="D1759" s="54"/>
      <c r="F1759" s="54"/>
      <c r="H1759" s="114"/>
      <c r="J1759" s="183" t="str">
        <f>IFERROR(VLOOKUP(A1759,Internal_lists_bugs!$A$2:$I2031,9,FALSE()),"please select a BUG ID")</f>
        <v>please select a BUG ID</v>
      </c>
    </row>
    <row r="1760">
      <c r="A1760" s="54"/>
      <c r="B1760" s="71" t="str">
        <f>IFERROR(HYPERLINK(VLOOKUP(A1760,Internal_lists_bugs!$A$2:$C$73,3,FALSE()), VLOOKUP(A1760,Internal_lists_bugs!$A$2:$C$73,3,FALSE())&amp;Char(10) &amp; Char(10) &amp; VLOOKUP(A1760,Internal_lists_bugs!$A$2:$Z$73,26,FALSE())),"please select a BUG ID")</f>
        <v>please select a BUG ID</v>
      </c>
      <c r="C1760" s="51" t="str">
        <f>IFERROR(SUBSTITUTE(VLOOKUP(A1760,Internal_lists_bugs!$A$2:$G2031,7,FALSE()),"nova/commit","nova/src/commit"),"please select a BUG ID")</f>
        <v>please select a BUG ID</v>
      </c>
      <c r="D1760" s="54"/>
      <c r="F1760" s="54"/>
      <c r="H1760" s="114"/>
      <c r="J1760" s="183" t="str">
        <f>IFERROR(VLOOKUP(A1760,Internal_lists_bugs!$A$2:$I2031,9,FALSE()),"please select a BUG ID")</f>
        <v>please select a BUG ID</v>
      </c>
    </row>
    <row r="1761">
      <c r="A1761" s="54"/>
      <c r="B1761" s="71" t="str">
        <f>IFERROR(HYPERLINK(VLOOKUP(A1761,Internal_lists_bugs!$A$2:$C$73,3,FALSE()), VLOOKUP(A1761,Internal_lists_bugs!$A$2:$C$73,3,FALSE())&amp;Char(10) &amp; Char(10) &amp; VLOOKUP(A1761,Internal_lists_bugs!$A$2:$Z$73,26,FALSE())),"please select a BUG ID")</f>
        <v>please select a BUG ID</v>
      </c>
      <c r="C1761" s="51" t="str">
        <f>IFERROR(SUBSTITUTE(VLOOKUP(A1761,Internal_lists_bugs!$A$2:$G2031,7,FALSE()),"nova/commit","nova/src/commit"),"please select a BUG ID")</f>
        <v>please select a BUG ID</v>
      </c>
      <c r="D1761" s="54"/>
      <c r="F1761" s="54"/>
      <c r="H1761" s="114"/>
      <c r="J1761" s="183" t="str">
        <f>IFERROR(VLOOKUP(A1761,Internal_lists_bugs!$A$2:$I2031,9,FALSE()),"please select a BUG ID")</f>
        <v>please select a BUG ID</v>
      </c>
    </row>
    <row r="1762">
      <c r="A1762" s="54"/>
      <c r="B1762" s="71" t="str">
        <f>IFERROR(HYPERLINK(VLOOKUP(A1762,Internal_lists_bugs!$A$2:$C$73,3,FALSE()), VLOOKUP(A1762,Internal_lists_bugs!$A$2:$C$73,3,FALSE())&amp;Char(10) &amp; Char(10) &amp; VLOOKUP(A1762,Internal_lists_bugs!$A$2:$Z$73,26,FALSE())),"please select a BUG ID")</f>
        <v>please select a BUG ID</v>
      </c>
      <c r="C1762" s="51" t="str">
        <f>IFERROR(SUBSTITUTE(VLOOKUP(A1762,Internal_lists_bugs!$A$2:$G2031,7,FALSE()),"nova/commit","nova/src/commit"),"please select a BUG ID")</f>
        <v>please select a BUG ID</v>
      </c>
      <c r="D1762" s="54"/>
      <c r="F1762" s="54"/>
      <c r="H1762" s="114"/>
      <c r="J1762" s="183" t="str">
        <f>IFERROR(VLOOKUP(A1762,Internal_lists_bugs!$A$2:$I2031,9,FALSE()),"please select a BUG ID")</f>
        <v>please select a BUG ID</v>
      </c>
    </row>
    <row r="1763">
      <c r="A1763" s="54"/>
      <c r="B1763" s="71" t="str">
        <f>IFERROR(HYPERLINK(VLOOKUP(A1763,Internal_lists_bugs!$A$2:$C$73,3,FALSE()), VLOOKUP(A1763,Internal_lists_bugs!$A$2:$C$73,3,FALSE())&amp;Char(10) &amp; Char(10) &amp; VLOOKUP(A1763,Internal_lists_bugs!$A$2:$Z$73,26,FALSE())),"please select a BUG ID")</f>
        <v>please select a BUG ID</v>
      </c>
      <c r="C1763" s="51" t="str">
        <f>IFERROR(SUBSTITUTE(VLOOKUP(A1763,Internal_lists_bugs!$A$2:$G2031,7,FALSE()),"nova/commit","nova/src/commit"),"please select a BUG ID")</f>
        <v>please select a BUG ID</v>
      </c>
      <c r="D1763" s="54"/>
      <c r="F1763" s="54"/>
      <c r="H1763" s="114"/>
      <c r="J1763" s="183" t="str">
        <f>IFERROR(VLOOKUP(A1763,Internal_lists_bugs!$A$2:$I2031,9,FALSE()),"please select a BUG ID")</f>
        <v>please select a BUG ID</v>
      </c>
    </row>
    <row r="1764">
      <c r="A1764" s="54"/>
      <c r="B1764" s="71" t="str">
        <f>IFERROR(HYPERLINK(VLOOKUP(A1764,Internal_lists_bugs!$A$2:$C$73,3,FALSE()), VLOOKUP(A1764,Internal_lists_bugs!$A$2:$C$73,3,FALSE())&amp;Char(10) &amp; Char(10) &amp; VLOOKUP(A1764,Internal_lists_bugs!$A$2:$Z$73,26,FALSE())),"please select a BUG ID")</f>
        <v>please select a BUG ID</v>
      </c>
      <c r="C1764" s="51" t="str">
        <f>IFERROR(SUBSTITUTE(VLOOKUP(A1764,Internal_lists_bugs!$A$2:$G2031,7,FALSE()),"nova/commit","nova/src/commit"),"please select a BUG ID")</f>
        <v>please select a BUG ID</v>
      </c>
      <c r="D1764" s="54"/>
      <c r="F1764" s="54"/>
      <c r="H1764" s="114"/>
      <c r="J1764" s="183" t="str">
        <f>IFERROR(VLOOKUP(A1764,Internal_lists_bugs!$A$2:$I2031,9,FALSE()),"please select a BUG ID")</f>
        <v>please select a BUG ID</v>
      </c>
    </row>
    <row r="1765">
      <c r="A1765" s="54"/>
      <c r="B1765" s="71" t="str">
        <f>IFERROR(HYPERLINK(VLOOKUP(A1765,Internal_lists_bugs!$A$2:$C$73,3,FALSE()), VLOOKUP(A1765,Internal_lists_bugs!$A$2:$C$73,3,FALSE())&amp;Char(10) &amp; Char(10) &amp; VLOOKUP(A1765,Internal_lists_bugs!$A$2:$Z$73,26,FALSE())),"please select a BUG ID")</f>
        <v>please select a BUG ID</v>
      </c>
      <c r="C1765" s="51" t="str">
        <f>IFERROR(SUBSTITUTE(VLOOKUP(A1765,Internal_lists_bugs!$A$2:$G2031,7,FALSE()),"nova/commit","nova/src/commit"),"please select a BUG ID")</f>
        <v>please select a BUG ID</v>
      </c>
      <c r="D1765" s="54"/>
      <c r="F1765" s="54"/>
      <c r="H1765" s="114"/>
      <c r="J1765" s="183" t="str">
        <f>IFERROR(VLOOKUP(A1765,Internal_lists_bugs!$A$2:$I2031,9,FALSE()),"please select a BUG ID")</f>
        <v>please select a BUG ID</v>
      </c>
    </row>
    <row r="1766">
      <c r="A1766" s="54"/>
      <c r="B1766" s="71" t="str">
        <f>IFERROR(HYPERLINK(VLOOKUP(A1766,Internal_lists_bugs!$A$2:$C$73,3,FALSE()), VLOOKUP(A1766,Internal_lists_bugs!$A$2:$C$73,3,FALSE())&amp;Char(10) &amp; Char(10) &amp; VLOOKUP(A1766,Internal_lists_bugs!$A$2:$Z$73,26,FALSE())),"please select a BUG ID")</f>
        <v>please select a BUG ID</v>
      </c>
      <c r="C1766" s="51" t="str">
        <f>IFERROR(SUBSTITUTE(VLOOKUP(A1766,Internal_lists_bugs!$A$2:$G2031,7,FALSE()),"nova/commit","nova/src/commit"),"please select a BUG ID")</f>
        <v>please select a BUG ID</v>
      </c>
      <c r="D1766" s="54"/>
      <c r="F1766" s="54"/>
      <c r="H1766" s="114"/>
      <c r="J1766" s="183" t="str">
        <f>IFERROR(VLOOKUP(A1766,Internal_lists_bugs!$A$2:$I2031,9,FALSE()),"please select a BUG ID")</f>
        <v>please select a BUG ID</v>
      </c>
    </row>
    <row r="1767">
      <c r="A1767" s="54"/>
      <c r="B1767" s="71" t="str">
        <f>IFERROR(HYPERLINK(VLOOKUP(A1767,Internal_lists_bugs!$A$2:$C$73,3,FALSE()), VLOOKUP(A1767,Internal_lists_bugs!$A$2:$C$73,3,FALSE())&amp;Char(10) &amp; Char(10) &amp; VLOOKUP(A1767,Internal_lists_bugs!$A$2:$Z$73,26,FALSE())),"please select a BUG ID")</f>
        <v>please select a BUG ID</v>
      </c>
      <c r="C1767" s="51" t="str">
        <f>IFERROR(SUBSTITUTE(VLOOKUP(A1767,Internal_lists_bugs!$A$2:$G2031,7,FALSE()),"nova/commit","nova/src/commit"),"please select a BUG ID")</f>
        <v>please select a BUG ID</v>
      </c>
      <c r="D1767" s="54"/>
      <c r="F1767" s="54"/>
      <c r="H1767" s="114"/>
      <c r="J1767" s="183" t="str">
        <f>IFERROR(VLOOKUP(A1767,Internal_lists_bugs!$A$2:$I2031,9,FALSE()),"please select a BUG ID")</f>
        <v>please select a BUG ID</v>
      </c>
    </row>
    <row r="1768">
      <c r="A1768" s="54"/>
      <c r="B1768" s="71" t="str">
        <f>IFERROR(HYPERLINK(VLOOKUP(A1768,Internal_lists_bugs!$A$2:$C$73,3,FALSE()), VLOOKUP(A1768,Internal_lists_bugs!$A$2:$C$73,3,FALSE())&amp;Char(10) &amp; Char(10) &amp; VLOOKUP(A1768,Internal_lists_bugs!$A$2:$Z$73,26,FALSE())),"please select a BUG ID")</f>
        <v>please select a BUG ID</v>
      </c>
      <c r="C1768" s="51" t="str">
        <f>IFERROR(SUBSTITUTE(VLOOKUP(A1768,Internal_lists_bugs!$A$2:$G2031,7,FALSE()),"nova/commit","nova/src/commit"),"please select a BUG ID")</f>
        <v>please select a BUG ID</v>
      </c>
      <c r="D1768" s="54"/>
      <c r="F1768" s="54"/>
      <c r="H1768" s="114"/>
      <c r="J1768" s="183" t="str">
        <f>IFERROR(VLOOKUP(A1768,Internal_lists_bugs!$A$2:$I2031,9,FALSE()),"please select a BUG ID")</f>
        <v>please select a BUG ID</v>
      </c>
    </row>
    <row r="1769">
      <c r="A1769" s="54"/>
      <c r="B1769" s="71" t="str">
        <f>IFERROR(HYPERLINK(VLOOKUP(A1769,Internal_lists_bugs!$A$2:$C$73,3,FALSE()), VLOOKUP(A1769,Internal_lists_bugs!$A$2:$C$73,3,FALSE())&amp;Char(10) &amp; Char(10) &amp; VLOOKUP(A1769,Internal_lists_bugs!$A$2:$Z$73,26,FALSE())),"please select a BUG ID")</f>
        <v>please select a BUG ID</v>
      </c>
      <c r="C1769" s="51" t="str">
        <f>IFERROR(SUBSTITUTE(VLOOKUP(A1769,Internal_lists_bugs!$A$2:$G2031,7,FALSE()),"nova/commit","nova/src/commit"),"please select a BUG ID")</f>
        <v>please select a BUG ID</v>
      </c>
      <c r="D1769" s="54"/>
      <c r="F1769" s="54"/>
      <c r="H1769" s="114"/>
      <c r="J1769" s="183" t="str">
        <f>IFERROR(VLOOKUP(A1769,Internal_lists_bugs!$A$2:$I2031,9,FALSE()),"please select a BUG ID")</f>
        <v>please select a BUG ID</v>
      </c>
    </row>
    <row r="1770">
      <c r="A1770" s="54"/>
      <c r="B1770" s="71" t="str">
        <f>IFERROR(HYPERLINK(VLOOKUP(A1770,Internal_lists_bugs!$A$2:$C$73,3,FALSE()), VLOOKUP(A1770,Internal_lists_bugs!$A$2:$C$73,3,FALSE())&amp;Char(10) &amp; Char(10) &amp; VLOOKUP(A1770,Internal_lists_bugs!$A$2:$Z$73,26,FALSE())),"please select a BUG ID")</f>
        <v>please select a BUG ID</v>
      </c>
      <c r="C1770" s="51" t="str">
        <f>IFERROR(SUBSTITUTE(VLOOKUP(A1770,Internal_lists_bugs!$A$2:$G2031,7,FALSE()),"nova/commit","nova/src/commit"),"please select a BUG ID")</f>
        <v>please select a BUG ID</v>
      </c>
      <c r="D1770" s="54"/>
      <c r="F1770" s="54"/>
      <c r="H1770" s="114"/>
      <c r="J1770" s="183" t="str">
        <f>IFERROR(VLOOKUP(A1770,Internal_lists_bugs!$A$2:$I2031,9,FALSE()),"please select a BUG ID")</f>
        <v>please select a BUG ID</v>
      </c>
    </row>
    <row r="1771">
      <c r="A1771" s="54"/>
      <c r="B1771" s="71" t="str">
        <f>IFERROR(HYPERLINK(VLOOKUP(A1771,Internal_lists_bugs!$A$2:$C$73,3,FALSE()), VLOOKUP(A1771,Internal_lists_bugs!$A$2:$C$73,3,FALSE())&amp;Char(10) &amp; Char(10) &amp; VLOOKUP(A1771,Internal_lists_bugs!$A$2:$Z$73,26,FALSE())),"please select a BUG ID")</f>
        <v>please select a BUG ID</v>
      </c>
      <c r="C1771" s="51" t="str">
        <f>IFERROR(SUBSTITUTE(VLOOKUP(A1771,Internal_lists_bugs!$A$2:$G2031,7,FALSE()),"nova/commit","nova/src/commit"),"please select a BUG ID")</f>
        <v>please select a BUG ID</v>
      </c>
      <c r="D1771" s="54"/>
      <c r="F1771" s="54"/>
      <c r="H1771" s="114"/>
      <c r="J1771" s="183" t="str">
        <f>IFERROR(VLOOKUP(A1771,Internal_lists_bugs!$A$2:$I2031,9,FALSE()),"please select a BUG ID")</f>
        <v>please select a BUG ID</v>
      </c>
    </row>
    <row r="1772">
      <c r="A1772" s="54"/>
      <c r="B1772" s="71" t="str">
        <f>IFERROR(HYPERLINK(VLOOKUP(A1772,Internal_lists_bugs!$A$2:$C$73,3,FALSE()), VLOOKUP(A1772,Internal_lists_bugs!$A$2:$C$73,3,FALSE())&amp;Char(10) &amp; Char(10) &amp; VLOOKUP(A1772,Internal_lists_bugs!$A$2:$Z$73,26,FALSE())),"please select a BUG ID")</f>
        <v>please select a BUG ID</v>
      </c>
      <c r="C1772" s="51" t="str">
        <f>IFERROR(SUBSTITUTE(VLOOKUP(A1772,Internal_lists_bugs!$A$2:$G2031,7,FALSE()),"nova/commit","nova/src/commit"),"please select a BUG ID")</f>
        <v>please select a BUG ID</v>
      </c>
      <c r="D1772" s="54"/>
      <c r="F1772" s="54"/>
      <c r="H1772" s="114"/>
      <c r="J1772" s="183" t="str">
        <f>IFERROR(VLOOKUP(A1772,Internal_lists_bugs!$A$2:$I2031,9,FALSE()),"please select a BUG ID")</f>
        <v>please select a BUG ID</v>
      </c>
    </row>
    <row r="1773">
      <c r="A1773" s="54"/>
      <c r="B1773" s="71" t="str">
        <f>IFERROR(HYPERLINK(VLOOKUP(A1773,Internal_lists_bugs!$A$2:$C$73,3,FALSE()), VLOOKUP(A1773,Internal_lists_bugs!$A$2:$C$73,3,FALSE())&amp;Char(10) &amp; Char(10) &amp; VLOOKUP(A1773,Internal_lists_bugs!$A$2:$Z$73,26,FALSE())),"please select a BUG ID")</f>
        <v>please select a BUG ID</v>
      </c>
      <c r="C1773" s="51" t="str">
        <f>IFERROR(SUBSTITUTE(VLOOKUP(A1773,Internal_lists_bugs!$A$2:$G2031,7,FALSE()),"nova/commit","nova/src/commit"),"please select a BUG ID")</f>
        <v>please select a BUG ID</v>
      </c>
      <c r="D1773" s="54"/>
      <c r="F1773" s="54"/>
      <c r="H1773" s="114"/>
      <c r="J1773" s="183" t="str">
        <f>IFERROR(VLOOKUP(A1773,Internal_lists_bugs!$A$2:$I2031,9,FALSE()),"please select a BUG ID")</f>
        <v>please select a BUG ID</v>
      </c>
    </row>
    <row r="1774">
      <c r="A1774" s="54"/>
      <c r="B1774" s="71" t="str">
        <f>IFERROR(HYPERLINK(VLOOKUP(A1774,Internal_lists_bugs!$A$2:$C$73,3,FALSE()), VLOOKUP(A1774,Internal_lists_bugs!$A$2:$C$73,3,FALSE())&amp;Char(10) &amp; Char(10) &amp; VLOOKUP(A1774,Internal_lists_bugs!$A$2:$Z$73,26,FALSE())),"please select a BUG ID")</f>
        <v>please select a BUG ID</v>
      </c>
      <c r="C1774" s="51" t="str">
        <f>IFERROR(SUBSTITUTE(VLOOKUP(A1774,Internal_lists_bugs!$A$2:$G2031,7,FALSE()),"nova/commit","nova/src/commit"),"please select a BUG ID")</f>
        <v>please select a BUG ID</v>
      </c>
      <c r="D1774" s="54"/>
      <c r="F1774" s="54"/>
      <c r="H1774" s="114"/>
      <c r="J1774" s="183" t="str">
        <f>IFERROR(VLOOKUP(A1774,Internal_lists_bugs!$A$2:$I2031,9,FALSE()),"please select a BUG ID")</f>
        <v>please select a BUG ID</v>
      </c>
    </row>
    <row r="1775">
      <c r="A1775" s="54"/>
      <c r="B1775" s="71" t="str">
        <f>IFERROR(HYPERLINK(VLOOKUP(A1775,Internal_lists_bugs!$A$2:$C$73,3,FALSE()), VLOOKUP(A1775,Internal_lists_bugs!$A$2:$C$73,3,FALSE())&amp;Char(10) &amp; Char(10) &amp; VLOOKUP(A1775,Internal_lists_bugs!$A$2:$Z$73,26,FALSE())),"please select a BUG ID")</f>
        <v>please select a BUG ID</v>
      </c>
      <c r="C1775" s="51" t="str">
        <f>IFERROR(SUBSTITUTE(VLOOKUP(A1775,Internal_lists_bugs!$A$2:$G2031,7,FALSE()),"nova/commit","nova/src/commit"),"please select a BUG ID")</f>
        <v>please select a BUG ID</v>
      </c>
      <c r="D1775" s="54"/>
      <c r="F1775" s="54"/>
      <c r="H1775" s="114"/>
      <c r="J1775" s="183" t="str">
        <f>IFERROR(VLOOKUP(A1775,Internal_lists_bugs!$A$2:$I2031,9,FALSE()),"please select a BUG ID")</f>
        <v>please select a BUG ID</v>
      </c>
    </row>
    <row r="1776">
      <c r="A1776" s="54"/>
      <c r="B1776" s="71" t="str">
        <f>IFERROR(HYPERLINK(VLOOKUP(A1776,Internal_lists_bugs!$A$2:$C$73,3,FALSE()), VLOOKUP(A1776,Internal_lists_bugs!$A$2:$C$73,3,FALSE())&amp;Char(10) &amp; Char(10) &amp; VLOOKUP(A1776,Internal_lists_bugs!$A$2:$Z$73,26,FALSE())),"please select a BUG ID")</f>
        <v>please select a BUG ID</v>
      </c>
      <c r="C1776" s="51" t="str">
        <f>IFERROR(SUBSTITUTE(VLOOKUP(A1776,Internal_lists_bugs!$A$2:$G2031,7,FALSE()),"nova/commit","nova/src/commit"),"please select a BUG ID")</f>
        <v>please select a BUG ID</v>
      </c>
      <c r="D1776" s="54"/>
      <c r="F1776" s="54"/>
      <c r="H1776" s="114"/>
      <c r="J1776" s="183" t="str">
        <f>IFERROR(VLOOKUP(A1776,Internal_lists_bugs!$A$2:$I2031,9,FALSE()),"please select a BUG ID")</f>
        <v>please select a BUG ID</v>
      </c>
    </row>
    <row r="1777">
      <c r="A1777" s="54"/>
      <c r="B1777" s="71" t="str">
        <f>IFERROR(HYPERLINK(VLOOKUP(A1777,Internal_lists_bugs!$A$2:$C$73,3,FALSE()), VLOOKUP(A1777,Internal_lists_bugs!$A$2:$C$73,3,FALSE())&amp;Char(10) &amp; Char(10) &amp; VLOOKUP(A1777,Internal_lists_bugs!$A$2:$Z$73,26,FALSE())),"please select a BUG ID")</f>
        <v>please select a BUG ID</v>
      </c>
      <c r="C1777" s="51" t="str">
        <f>IFERROR(SUBSTITUTE(VLOOKUP(A1777,Internal_lists_bugs!$A$2:$G2031,7,FALSE()),"nova/commit","nova/src/commit"),"please select a BUG ID")</f>
        <v>please select a BUG ID</v>
      </c>
      <c r="D1777" s="54"/>
      <c r="F1777" s="54"/>
      <c r="H1777" s="114"/>
      <c r="J1777" s="183" t="str">
        <f>IFERROR(VLOOKUP(A1777,Internal_lists_bugs!$A$2:$I2031,9,FALSE()),"please select a BUG ID")</f>
        <v>please select a BUG ID</v>
      </c>
    </row>
    <row r="1778">
      <c r="A1778" s="54"/>
      <c r="B1778" s="71" t="str">
        <f>IFERROR(HYPERLINK(VLOOKUP(A1778,Internal_lists_bugs!$A$2:$C$73,3,FALSE()), VLOOKUP(A1778,Internal_lists_bugs!$A$2:$C$73,3,FALSE())&amp;Char(10) &amp; Char(10) &amp; VLOOKUP(A1778,Internal_lists_bugs!$A$2:$Z$73,26,FALSE())),"please select a BUG ID")</f>
        <v>please select a BUG ID</v>
      </c>
      <c r="C1778" s="51" t="str">
        <f>IFERROR(SUBSTITUTE(VLOOKUP(A1778,Internal_lists_bugs!$A$2:$G2031,7,FALSE()),"nova/commit","nova/src/commit"),"please select a BUG ID")</f>
        <v>please select a BUG ID</v>
      </c>
      <c r="D1778" s="54"/>
      <c r="F1778" s="54"/>
      <c r="H1778" s="114"/>
      <c r="J1778" s="183" t="str">
        <f>IFERROR(VLOOKUP(A1778,Internal_lists_bugs!$A$2:$I2031,9,FALSE()),"please select a BUG ID")</f>
        <v>please select a BUG ID</v>
      </c>
    </row>
    <row r="1779">
      <c r="A1779" s="54"/>
      <c r="B1779" s="71" t="str">
        <f>IFERROR(HYPERLINK(VLOOKUP(A1779,Internal_lists_bugs!$A$2:$C$73,3,FALSE()), VLOOKUP(A1779,Internal_lists_bugs!$A$2:$C$73,3,FALSE())&amp;Char(10) &amp; Char(10) &amp; VLOOKUP(A1779,Internal_lists_bugs!$A$2:$Z$73,26,FALSE())),"please select a BUG ID")</f>
        <v>please select a BUG ID</v>
      </c>
      <c r="C1779" s="51" t="str">
        <f>IFERROR(SUBSTITUTE(VLOOKUP(A1779,Internal_lists_bugs!$A$2:$G2031,7,FALSE()),"nova/commit","nova/src/commit"),"please select a BUG ID")</f>
        <v>please select a BUG ID</v>
      </c>
      <c r="D1779" s="54"/>
      <c r="F1779" s="54"/>
      <c r="H1779" s="114"/>
      <c r="J1779" s="183" t="str">
        <f>IFERROR(VLOOKUP(A1779,Internal_lists_bugs!$A$2:$I2031,9,FALSE()),"please select a BUG ID")</f>
        <v>please select a BUG ID</v>
      </c>
    </row>
    <row r="1780">
      <c r="A1780" s="54"/>
      <c r="B1780" s="71" t="str">
        <f>IFERROR(HYPERLINK(VLOOKUP(A1780,Internal_lists_bugs!$A$2:$C$73,3,FALSE()), VLOOKUP(A1780,Internal_lists_bugs!$A$2:$C$73,3,FALSE())&amp;Char(10) &amp; Char(10) &amp; VLOOKUP(A1780,Internal_lists_bugs!$A$2:$Z$73,26,FALSE())),"please select a BUG ID")</f>
        <v>please select a BUG ID</v>
      </c>
      <c r="C1780" s="51" t="str">
        <f>IFERROR(SUBSTITUTE(VLOOKUP(A1780,Internal_lists_bugs!$A$2:$G2031,7,FALSE()),"nova/commit","nova/src/commit"),"please select a BUG ID")</f>
        <v>please select a BUG ID</v>
      </c>
      <c r="D1780" s="54"/>
      <c r="F1780" s="54"/>
      <c r="H1780" s="114"/>
      <c r="J1780" s="183" t="str">
        <f>IFERROR(VLOOKUP(A1780,Internal_lists_bugs!$A$2:$I2031,9,FALSE()),"please select a BUG ID")</f>
        <v>please select a BUG ID</v>
      </c>
    </row>
    <row r="1781">
      <c r="A1781" s="54"/>
      <c r="B1781" s="71" t="str">
        <f>IFERROR(HYPERLINK(VLOOKUP(A1781,Internal_lists_bugs!$A$2:$C$73,3,FALSE()), VLOOKUP(A1781,Internal_lists_bugs!$A$2:$C$73,3,FALSE())&amp;Char(10) &amp; Char(10) &amp; VLOOKUP(A1781,Internal_lists_bugs!$A$2:$Z$73,26,FALSE())),"please select a BUG ID")</f>
        <v>please select a BUG ID</v>
      </c>
      <c r="C1781" s="51" t="str">
        <f>IFERROR(SUBSTITUTE(VLOOKUP(A1781,Internal_lists_bugs!$A$2:$G2031,7,FALSE()),"nova/commit","nova/src/commit"),"please select a BUG ID")</f>
        <v>please select a BUG ID</v>
      </c>
      <c r="D1781" s="54"/>
      <c r="F1781" s="54"/>
      <c r="H1781" s="114"/>
      <c r="J1781" s="183" t="str">
        <f>IFERROR(VLOOKUP(A1781,Internal_lists_bugs!$A$2:$I2031,9,FALSE()),"please select a BUG ID")</f>
        <v>please select a BUG ID</v>
      </c>
    </row>
    <row r="1782">
      <c r="A1782" s="54"/>
      <c r="B1782" s="71" t="str">
        <f>IFERROR(HYPERLINK(VLOOKUP(A1782,Internal_lists_bugs!$A$2:$C$73,3,FALSE()), VLOOKUP(A1782,Internal_lists_bugs!$A$2:$C$73,3,FALSE())&amp;Char(10) &amp; Char(10) &amp; VLOOKUP(A1782,Internal_lists_bugs!$A$2:$Z$73,26,FALSE())),"please select a BUG ID")</f>
        <v>please select a BUG ID</v>
      </c>
      <c r="C1782" s="51" t="str">
        <f>IFERROR(SUBSTITUTE(VLOOKUP(A1782,Internal_lists_bugs!$A$2:$G2031,7,FALSE()),"nova/commit","nova/src/commit"),"please select a BUG ID")</f>
        <v>please select a BUG ID</v>
      </c>
      <c r="D1782" s="54"/>
      <c r="F1782" s="54"/>
      <c r="H1782" s="114"/>
      <c r="J1782" s="183" t="str">
        <f>IFERROR(VLOOKUP(A1782,Internal_lists_bugs!$A$2:$I2031,9,FALSE()),"please select a BUG ID")</f>
        <v>please select a BUG ID</v>
      </c>
    </row>
    <row r="1783">
      <c r="A1783" s="54"/>
      <c r="B1783" s="71" t="str">
        <f>IFERROR(HYPERLINK(VLOOKUP(A1783,Internal_lists_bugs!$A$2:$C$73,3,FALSE()), VLOOKUP(A1783,Internal_lists_bugs!$A$2:$C$73,3,FALSE())&amp;Char(10) &amp; Char(10) &amp; VLOOKUP(A1783,Internal_lists_bugs!$A$2:$Z$73,26,FALSE())),"please select a BUG ID")</f>
        <v>please select a BUG ID</v>
      </c>
      <c r="C1783" s="51" t="str">
        <f>IFERROR(SUBSTITUTE(VLOOKUP(A1783,Internal_lists_bugs!$A$2:$G2031,7,FALSE()),"nova/commit","nova/src/commit"),"please select a BUG ID")</f>
        <v>please select a BUG ID</v>
      </c>
      <c r="D1783" s="54"/>
      <c r="F1783" s="54"/>
      <c r="H1783" s="114"/>
      <c r="J1783" s="183" t="str">
        <f>IFERROR(VLOOKUP(A1783,Internal_lists_bugs!$A$2:$I2031,9,FALSE()),"please select a BUG ID")</f>
        <v>please select a BUG ID</v>
      </c>
    </row>
    <row r="1784">
      <c r="A1784" s="54"/>
      <c r="B1784" s="71" t="str">
        <f>IFERROR(HYPERLINK(VLOOKUP(A1784,Internal_lists_bugs!$A$2:$C$73,3,FALSE()), VLOOKUP(A1784,Internal_lists_bugs!$A$2:$C$73,3,FALSE())&amp;Char(10) &amp; Char(10) &amp; VLOOKUP(A1784,Internal_lists_bugs!$A$2:$Z$73,26,FALSE())),"please select a BUG ID")</f>
        <v>please select a BUG ID</v>
      </c>
      <c r="C1784" s="51" t="str">
        <f>IFERROR(SUBSTITUTE(VLOOKUP(A1784,Internal_lists_bugs!$A$2:$G2031,7,FALSE()),"nova/commit","nova/src/commit"),"please select a BUG ID")</f>
        <v>please select a BUG ID</v>
      </c>
      <c r="D1784" s="54"/>
      <c r="F1784" s="54"/>
      <c r="H1784" s="114"/>
      <c r="J1784" s="183" t="str">
        <f>IFERROR(VLOOKUP(A1784,Internal_lists_bugs!$A$2:$I2031,9,FALSE()),"please select a BUG ID")</f>
        <v>please select a BUG ID</v>
      </c>
    </row>
    <row r="1785">
      <c r="A1785" s="54"/>
      <c r="B1785" s="71" t="str">
        <f>IFERROR(HYPERLINK(VLOOKUP(A1785,Internal_lists_bugs!$A$2:$C$73,3,FALSE()), VLOOKUP(A1785,Internal_lists_bugs!$A$2:$C$73,3,FALSE())&amp;Char(10) &amp; Char(10) &amp; VLOOKUP(A1785,Internal_lists_bugs!$A$2:$Z$73,26,FALSE())),"please select a BUG ID")</f>
        <v>please select a BUG ID</v>
      </c>
      <c r="C1785" s="51" t="str">
        <f>IFERROR(SUBSTITUTE(VLOOKUP(A1785,Internal_lists_bugs!$A$2:$G2031,7,FALSE()),"nova/commit","nova/src/commit"),"please select a BUG ID")</f>
        <v>please select a BUG ID</v>
      </c>
      <c r="D1785" s="54"/>
      <c r="F1785" s="54"/>
      <c r="H1785" s="114"/>
      <c r="J1785" s="183" t="str">
        <f>IFERROR(VLOOKUP(A1785,Internal_lists_bugs!$A$2:$I2031,9,FALSE()),"please select a BUG ID")</f>
        <v>please select a BUG ID</v>
      </c>
    </row>
    <row r="1786">
      <c r="A1786" s="54"/>
      <c r="B1786" s="71" t="str">
        <f>IFERROR(HYPERLINK(VLOOKUP(A1786,Internal_lists_bugs!$A$2:$C$73,3,FALSE()), VLOOKUP(A1786,Internal_lists_bugs!$A$2:$C$73,3,FALSE())&amp;Char(10) &amp; Char(10) &amp; VLOOKUP(A1786,Internal_lists_bugs!$A$2:$Z$73,26,FALSE())),"please select a BUG ID")</f>
        <v>please select a BUG ID</v>
      </c>
      <c r="C1786" s="51" t="str">
        <f>IFERROR(SUBSTITUTE(VLOOKUP(A1786,Internal_lists_bugs!$A$2:$G2031,7,FALSE()),"nova/commit","nova/src/commit"),"please select a BUG ID")</f>
        <v>please select a BUG ID</v>
      </c>
      <c r="D1786" s="54"/>
      <c r="F1786" s="54"/>
      <c r="H1786" s="114"/>
      <c r="J1786" s="183" t="str">
        <f>IFERROR(VLOOKUP(A1786,Internal_lists_bugs!$A$2:$I2031,9,FALSE()),"please select a BUG ID")</f>
        <v>please select a BUG ID</v>
      </c>
    </row>
    <row r="1787">
      <c r="A1787" s="54"/>
      <c r="B1787" s="71" t="str">
        <f>IFERROR(HYPERLINK(VLOOKUP(A1787,Internal_lists_bugs!$A$2:$C$73,3,FALSE()), VLOOKUP(A1787,Internal_lists_bugs!$A$2:$C$73,3,FALSE())&amp;Char(10) &amp; Char(10) &amp; VLOOKUP(A1787,Internal_lists_bugs!$A$2:$Z$73,26,FALSE())),"please select a BUG ID")</f>
        <v>please select a BUG ID</v>
      </c>
      <c r="C1787" s="51" t="str">
        <f>IFERROR(SUBSTITUTE(VLOOKUP(A1787,Internal_lists_bugs!$A$2:$G2031,7,FALSE()),"nova/commit","nova/src/commit"),"please select a BUG ID")</f>
        <v>please select a BUG ID</v>
      </c>
      <c r="D1787" s="54"/>
      <c r="F1787" s="54"/>
      <c r="H1787" s="114"/>
      <c r="J1787" s="183" t="str">
        <f>IFERROR(VLOOKUP(A1787,Internal_lists_bugs!$A$2:$I2031,9,FALSE()),"please select a BUG ID")</f>
        <v>please select a BUG ID</v>
      </c>
    </row>
    <row r="1788">
      <c r="A1788" s="54"/>
      <c r="B1788" s="71" t="str">
        <f>IFERROR(HYPERLINK(VLOOKUP(A1788,Internal_lists_bugs!$A$2:$C$73,3,FALSE()), VLOOKUP(A1788,Internal_lists_bugs!$A$2:$C$73,3,FALSE())&amp;Char(10) &amp; Char(10) &amp; VLOOKUP(A1788,Internal_lists_bugs!$A$2:$Z$73,26,FALSE())),"please select a BUG ID")</f>
        <v>please select a BUG ID</v>
      </c>
      <c r="C1788" s="51" t="str">
        <f>IFERROR(SUBSTITUTE(VLOOKUP(A1788,Internal_lists_bugs!$A$2:$G2031,7,FALSE()),"nova/commit","nova/src/commit"),"please select a BUG ID")</f>
        <v>please select a BUG ID</v>
      </c>
      <c r="D1788" s="54"/>
      <c r="F1788" s="54"/>
      <c r="H1788" s="114"/>
      <c r="J1788" s="183" t="str">
        <f>IFERROR(VLOOKUP(A1788,Internal_lists_bugs!$A$2:$I2031,9,FALSE()),"please select a BUG ID")</f>
        <v>please select a BUG ID</v>
      </c>
    </row>
    <row r="1789">
      <c r="A1789" s="54"/>
      <c r="B1789" s="71" t="str">
        <f>IFERROR(HYPERLINK(VLOOKUP(A1789,Internal_lists_bugs!$A$2:$C$73,3,FALSE()), VLOOKUP(A1789,Internal_lists_bugs!$A$2:$C$73,3,FALSE())&amp;Char(10) &amp; Char(10) &amp; VLOOKUP(A1789,Internal_lists_bugs!$A$2:$Z$73,26,FALSE())),"please select a BUG ID")</f>
        <v>please select a BUG ID</v>
      </c>
      <c r="C1789" s="51" t="str">
        <f>IFERROR(SUBSTITUTE(VLOOKUP(A1789,Internal_lists_bugs!$A$2:$G2031,7,FALSE()),"nova/commit","nova/src/commit"),"please select a BUG ID")</f>
        <v>please select a BUG ID</v>
      </c>
      <c r="D1789" s="54"/>
      <c r="F1789" s="54"/>
      <c r="H1789" s="114"/>
      <c r="J1789" s="183" t="str">
        <f>IFERROR(VLOOKUP(A1789,Internal_lists_bugs!$A$2:$I2031,9,FALSE()),"please select a BUG ID")</f>
        <v>please select a BUG ID</v>
      </c>
    </row>
    <row r="1790">
      <c r="A1790" s="54"/>
      <c r="B1790" s="71" t="str">
        <f>IFERROR(HYPERLINK(VLOOKUP(A1790,Internal_lists_bugs!$A$2:$C$73,3,FALSE()), VLOOKUP(A1790,Internal_lists_bugs!$A$2:$C$73,3,FALSE())&amp;Char(10) &amp; Char(10) &amp; VLOOKUP(A1790,Internal_lists_bugs!$A$2:$Z$73,26,FALSE())),"please select a BUG ID")</f>
        <v>please select a BUG ID</v>
      </c>
      <c r="C1790" s="51" t="str">
        <f>IFERROR(SUBSTITUTE(VLOOKUP(A1790,Internal_lists_bugs!$A$2:$G2031,7,FALSE()),"nova/commit","nova/src/commit"),"please select a BUG ID")</f>
        <v>please select a BUG ID</v>
      </c>
      <c r="D1790" s="54"/>
      <c r="F1790" s="54"/>
      <c r="H1790" s="114"/>
      <c r="J1790" s="183" t="str">
        <f>IFERROR(VLOOKUP(A1790,Internal_lists_bugs!$A$2:$I2031,9,FALSE()),"please select a BUG ID")</f>
        <v>please select a BUG ID</v>
      </c>
    </row>
    <row r="1791">
      <c r="A1791" s="54"/>
      <c r="B1791" s="71" t="str">
        <f>IFERROR(HYPERLINK(VLOOKUP(A1791,Internal_lists_bugs!$A$2:$C$73,3,FALSE()), VLOOKUP(A1791,Internal_lists_bugs!$A$2:$C$73,3,FALSE())&amp;Char(10) &amp; Char(10) &amp; VLOOKUP(A1791,Internal_lists_bugs!$A$2:$Z$73,26,FALSE())),"please select a BUG ID")</f>
        <v>please select a BUG ID</v>
      </c>
      <c r="C1791" s="51" t="str">
        <f>IFERROR(SUBSTITUTE(VLOOKUP(A1791,Internal_lists_bugs!$A$2:$G2031,7,FALSE()),"nova/commit","nova/src/commit"),"please select a BUG ID")</f>
        <v>please select a BUG ID</v>
      </c>
      <c r="D1791" s="54"/>
      <c r="F1791" s="54"/>
      <c r="H1791" s="114"/>
      <c r="J1791" s="183" t="str">
        <f>IFERROR(VLOOKUP(A1791,Internal_lists_bugs!$A$2:$I2031,9,FALSE()),"please select a BUG ID")</f>
        <v>please select a BUG ID</v>
      </c>
    </row>
    <row r="1792">
      <c r="A1792" s="54"/>
      <c r="B1792" s="71" t="str">
        <f>IFERROR(HYPERLINK(VLOOKUP(A1792,Internal_lists_bugs!$A$2:$C$73,3,FALSE()), VLOOKUP(A1792,Internal_lists_bugs!$A$2:$C$73,3,FALSE())&amp;Char(10) &amp; Char(10) &amp; VLOOKUP(A1792,Internal_lists_bugs!$A$2:$Z$73,26,FALSE())),"please select a BUG ID")</f>
        <v>please select a BUG ID</v>
      </c>
      <c r="C1792" s="51" t="str">
        <f>IFERROR(SUBSTITUTE(VLOOKUP(A1792,Internal_lists_bugs!$A$2:$G2031,7,FALSE()),"nova/commit","nova/src/commit"),"please select a BUG ID")</f>
        <v>please select a BUG ID</v>
      </c>
      <c r="D1792" s="54"/>
      <c r="F1792" s="54"/>
      <c r="H1792" s="114"/>
      <c r="J1792" s="183" t="str">
        <f>IFERROR(VLOOKUP(A1792,Internal_lists_bugs!$A$2:$I2031,9,FALSE()),"please select a BUG ID")</f>
        <v>please select a BUG ID</v>
      </c>
    </row>
    <row r="1793">
      <c r="A1793" s="54"/>
      <c r="B1793" s="71" t="str">
        <f>IFERROR(HYPERLINK(VLOOKUP(A1793,Internal_lists_bugs!$A$2:$C$73,3,FALSE()), VLOOKUP(A1793,Internal_lists_bugs!$A$2:$C$73,3,FALSE())&amp;Char(10) &amp; Char(10) &amp; VLOOKUP(A1793,Internal_lists_bugs!$A$2:$Z$73,26,FALSE())),"please select a BUG ID")</f>
        <v>please select a BUG ID</v>
      </c>
      <c r="C1793" s="51" t="str">
        <f>IFERROR(SUBSTITUTE(VLOOKUP(A1793,Internal_lists_bugs!$A$2:$G2031,7,FALSE()),"nova/commit","nova/src/commit"),"please select a BUG ID")</f>
        <v>please select a BUG ID</v>
      </c>
      <c r="D1793" s="54"/>
      <c r="F1793" s="54"/>
      <c r="H1793" s="114"/>
      <c r="J1793" s="183" t="str">
        <f>IFERROR(VLOOKUP(A1793,Internal_lists_bugs!$A$2:$I2031,9,FALSE()),"please select a BUG ID")</f>
        <v>please select a BUG ID</v>
      </c>
    </row>
    <row r="1794">
      <c r="A1794" s="54"/>
      <c r="B1794" s="71" t="str">
        <f>IFERROR(HYPERLINK(VLOOKUP(A1794,Internal_lists_bugs!$A$2:$C$73,3,FALSE()), VLOOKUP(A1794,Internal_lists_bugs!$A$2:$C$73,3,FALSE())&amp;Char(10) &amp; Char(10) &amp; VLOOKUP(A1794,Internal_lists_bugs!$A$2:$Z$73,26,FALSE())),"please select a BUG ID")</f>
        <v>please select a BUG ID</v>
      </c>
      <c r="C1794" s="51" t="str">
        <f>IFERROR(SUBSTITUTE(VLOOKUP(A1794,Internal_lists_bugs!$A$2:$G2031,7,FALSE()),"nova/commit","nova/src/commit"),"please select a BUG ID")</f>
        <v>please select a BUG ID</v>
      </c>
      <c r="D1794" s="54"/>
      <c r="F1794" s="54"/>
      <c r="H1794" s="114"/>
      <c r="J1794" s="183" t="str">
        <f>IFERROR(VLOOKUP(A1794,Internal_lists_bugs!$A$2:$I2031,9,FALSE()),"please select a BUG ID")</f>
        <v>please select a BUG ID</v>
      </c>
    </row>
    <row r="1795">
      <c r="A1795" s="54"/>
      <c r="B1795" s="71" t="str">
        <f>IFERROR(HYPERLINK(VLOOKUP(A1795,Internal_lists_bugs!$A$2:$C$73,3,FALSE()), VLOOKUP(A1795,Internal_lists_bugs!$A$2:$C$73,3,FALSE())&amp;Char(10) &amp; Char(10) &amp; VLOOKUP(A1795,Internal_lists_bugs!$A$2:$Z$73,26,FALSE())),"please select a BUG ID")</f>
        <v>please select a BUG ID</v>
      </c>
      <c r="C1795" s="51" t="str">
        <f>IFERROR(SUBSTITUTE(VLOOKUP(A1795,Internal_lists_bugs!$A$2:$G2031,7,FALSE()),"nova/commit","nova/src/commit"),"please select a BUG ID")</f>
        <v>please select a BUG ID</v>
      </c>
      <c r="D1795" s="54"/>
      <c r="F1795" s="54"/>
      <c r="H1795" s="114"/>
      <c r="J1795" s="183" t="str">
        <f>IFERROR(VLOOKUP(A1795,Internal_lists_bugs!$A$2:$I2031,9,FALSE()),"please select a BUG ID")</f>
        <v>please select a BUG ID</v>
      </c>
    </row>
    <row r="1796">
      <c r="A1796" s="54"/>
      <c r="B1796" s="71" t="str">
        <f>IFERROR(HYPERLINK(VLOOKUP(A1796,Internal_lists_bugs!$A$2:$C$73,3,FALSE()), VLOOKUP(A1796,Internal_lists_bugs!$A$2:$C$73,3,FALSE())&amp;Char(10) &amp; Char(10) &amp; VLOOKUP(A1796,Internal_lists_bugs!$A$2:$Z$73,26,FALSE())),"please select a BUG ID")</f>
        <v>please select a BUG ID</v>
      </c>
      <c r="C1796" s="51" t="str">
        <f>IFERROR(SUBSTITUTE(VLOOKUP(A1796,Internal_lists_bugs!$A$2:$G2031,7,FALSE()),"nova/commit","nova/src/commit"),"please select a BUG ID")</f>
        <v>please select a BUG ID</v>
      </c>
      <c r="D1796" s="54"/>
      <c r="F1796" s="54"/>
      <c r="H1796" s="114"/>
      <c r="J1796" s="183" t="str">
        <f>IFERROR(VLOOKUP(A1796,Internal_lists_bugs!$A$2:$I2031,9,FALSE()),"please select a BUG ID")</f>
        <v>please select a BUG ID</v>
      </c>
    </row>
    <row r="1797">
      <c r="A1797" s="54"/>
      <c r="B1797" s="71" t="str">
        <f>IFERROR(HYPERLINK(VLOOKUP(A1797,Internal_lists_bugs!$A$2:$C$73,3,FALSE()), VLOOKUP(A1797,Internal_lists_bugs!$A$2:$C$73,3,FALSE())&amp;Char(10) &amp; Char(10) &amp; VLOOKUP(A1797,Internal_lists_bugs!$A$2:$Z$73,26,FALSE())),"please select a BUG ID")</f>
        <v>please select a BUG ID</v>
      </c>
      <c r="C1797" s="51" t="str">
        <f>IFERROR(SUBSTITUTE(VLOOKUP(A1797,Internal_lists_bugs!$A$2:$G2031,7,FALSE()),"nova/commit","nova/src/commit"),"please select a BUG ID")</f>
        <v>please select a BUG ID</v>
      </c>
      <c r="D1797" s="54"/>
      <c r="F1797" s="54"/>
      <c r="H1797" s="114"/>
      <c r="J1797" s="183" t="str">
        <f>IFERROR(VLOOKUP(A1797,Internal_lists_bugs!$A$2:$I2031,9,FALSE()),"please select a BUG ID")</f>
        <v>please select a BUG ID</v>
      </c>
    </row>
    <row r="1798">
      <c r="A1798" s="54"/>
      <c r="B1798" s="71" t="str">
        <f>IFERROR(HYPERLINK(VLOOKUP(A1798,Internal_lists_bugs!$A$2:$C$73,3,FALSE()), VLOOKUP(A1798,Internal_lists_bugs!$A$2:$C$73,3,FALSE())&amp;Char(10) &amp; Char(10) &amp; VLOOKUP(A1798,Internal_lists_bugs!$A$2:$Z$73,26,FALSE())),"please select a BUG ID")</f>
        <v>please select a BUG ID</v>
      </c>
      <c r="C1798" s="51" t="str">
        <f>IFERROR(SUBSTITUTE(VLOOKUP(A1798,Internal_lists_bugs!$A$2:$G2031,7,FALSE()),"nova/commit","nova/src/commit"),"please select a BUG ID")</f>
        <v>please select a BUG ID</v>
      </c>
      <c r="D1798" s="54"/>
      <c r="F1798" s="54"/>
      <c r="H1798" s="114"/>
      <c r="J1798" s="183" t="str">
        <f>IFERROR(VLOOKUP(A1798,Internal_lists_bugs!$A$2:$I2031,9,FALSE()),"please select a BUG ID")</f>
        <v>please select a BUG ID</v>
      </c>
    </row>
    <row r="1799">
      <c r="A1799" s="54"/>
      <c r="B1799" s="71" t="str">
        <f>IFERROR(HYPERLINK(VLOOKUP(A1799,Internal_lists_bugs!$A$2:$C$73,3,FALSE()), VLOOKUP(A1799,Internal_lists_bugs!$A$2:$C$73,3,FALSE())&amp;Char(10) &amp; Char(10) &amp; VLOOKUP(A1799,Internal_lists_bugs!$A$2:$Z$73,26,FALSE())),"please select a BUG ID")</f>
        <v>please select a BUG ID</v>
      </c>
      <c r="C1799" s="51" t="str">
        <f>IFERROR(SUBSTITUTE(VLOOKUP(A1799,Internal_lists_bugs!$A$2:$G2031,7,FALSE()),"nova/commit","nova/src/commit"),"please select a BUG ID")</f>
        <v>please select a BUG ID</v>
      </c>
      <c r="D1799" s="54"/>
      <c r="F1799" s="54"/>
      <c r="H1799" s="114"/>
      <c r="J1799" s="183" t="str">
        <f>IFERROR(VLOOKUP(A1799,Internal_lists_bugs!$A$2:$I2031,9,FALSE()),"please select a BUG ID")</f>
        <v>please select a BUG ID</v>
      </c>
    </row>
    <row r="1800">
      <c r="A1800" s="54"/>
      <c r="B1800" s="71" t="str">
        <f>IFERROR(HYPERLINK(VLOOKUP(A1800,Internal_lists_bugs!$A$2:$C$73,3,FALSE()), VLOOKUP(A1800,Internal_lists_bugs!$A$2:$C$73,3,FALSE())&amp;Char(10) &amp; Char(10) &amp; VLOOKUP(A1800,Internal_lists_bugs!$A$2:$Z$73,26,FALSE())),"please select a BUG ID")</f>
        <v>please select a BUG ID</v>
      </c>
      <c r="C1800" s="51" t="str">
        <f>IFERROR(SUBSTITUTE(VLOOKUP(A1800,Internal_lists_bugs!$A$2:$G2031,7,FALSE()),"nova/commit","nova/src/commit"),"please select a BUG ID")</f>
        <v>please select a BUG ID</v>
      </c>
      <c r="D1800" s="54"/>
      <c r="F1800" s="54"/>
      <c r="H1800" s="114"/>
      <c r="J1800" s="183" t="str">
        <f>IFERROR(VLOOKUP(A1800,Internal_lists_bugs!$A$2:$I2031,9,FALSE()),"please select a BUG ID")</f>
        <v>please select a BUG ID</v>
      </c>
    </row>
    <row r="1801">
      <c r="A1801" s="54"/>
      <c r="B1801" s="71" t="str">
        <f>IFERROR(HYPERLINK(VLOOKUP(A1801,Internal_lists_bugs!$A$2:$C$73,3,FALSE()), VLOOKUP(A1801,Internal_lists_bugs!$A$2:$C$73,3,FALSE())&amp;Char(10) &amp; Char(10) &amp; VLOOKUP(A1801,Internal_lists_bugs!$A$2:$Z$73,26,FALSE())),"please select a BUG ID")</f>
        <v>please select a BUG ID</v>
      </c>
      <c r="C1801" s="51" t="str">
        <f>IFERROR(SUBSTITUTE(VLOOKUP(A1801,Internal_lists_bugs!$A$2:$G2031,7,FALSE()),"nova/commit","nova/src/commit"),"please select a BUG ID")</f>
        <v>please select a BUG ID</v>
      </c>
      <c r="D1801" s="54"/>
      <c r="F1801" s="54"/>
      <c r="H1801" s="114"/>
      <c r="J1801" s="183" t="str">
        <f>IFERROR(VLOOKUP(A1801,Internal_lists_bugs!$A$2:$I2031,9,FALSE()),"please select a BUG ID")</f>
        <v>please select a BUG ID</v>
      </c>
    </row>
    <row r="1802">
      <c r="A1802" s="54"/>
      <c r="B1802" s="71" t="str">
        <f>IFERROR(HYPERLINK(VLOOKUP(A1802,Internal_lists_bugs!$A$2:$C$73,3,FALSE()), VLOOKUP(A1802,Internal_lists_bugs!$A$2:$C$73,3,FALSE())&amp;Char(10) &amp; Char(10) &amp; VLOOKUP(A1802,Internal_lists_bugs!$A$2:$Z$73,26,FALSE())),"please select a BUG ID")</f>
        <v>please select a BUG ID</v>
      </c>
      <c r="C1802" s="51" t="str">
        <f>IFERROR(SUBSTITUTE(VLOOKUP(A1802,Internal_lists_bugs!$A$2:$G2031,7,FALSE()),"nova/commit","nova/src/commit"),"please select a BUG ID")</f>
        <v>please select a BUG ID</v>
      </c>
      <c r="D1802" s="54"/>
      <c r="F1802" s="54"/>
      <c r="H1802" s="114"/>
      <c r="J1802" s="183" t="str">
        <f>IFERROR(VLOOKUP(A1802,Internal_lists_bugs!$A$2:$I2031,9,FALSE()),"please select a BUG ID")</f>
        <v>please select a BUG ID</v>
      </c>
    </row>
    <row r="1803">
      <c r="A1803" s="54"/>
      <c r="B1803" s="71" t="str">
        <f>IFERROR(HYPERLINK(VLOOKUP(A1803,Internal_lists_bugs!$A$2:$C$73,3,FALSE()), VLOOKUP(A1803,Internal_lists_bugs!$A$2:$C$73,3,FALSE())&amp;Char(10) &amp; Char(10) &amp; VLOOKUP(A1803,Internal_lists_bugs!$A$2:$Z$73,26,FALSE())),"please select a BUG ID")</f>
        <v>please select a BUG ID</v>
      </c>
      <c r="C1803" s="51" t="str">
        <f>IFERROR(SUBSTITUTE(VLOOKUP(A1803,Internal_lists_bugs!$A$2:$G2031,7,FALSE()),"nova/commit","nova/src/commit"),"please select a BUG ID")</f>
        <v>please select a BUG ID</v>
      </c>
      <c r="D1803" s="54"/>
      <c r="F1803" s="54"/>
      <c r="H1803" s="114"/>
      <c r="J1803" s="183" t="str">
        <f>IFERROR(VLOOKUP(A1803,Internal_lists_bugs!$A$2:$I2031,9,FALSE()),"please select a BUG ID")</f>
        <v>please select a BUG ID</v>
      </c>
    </row>
    <row r="1804">
      <c r="A1804" s="54"/>
      <c r="B1804" s="71" t="str">
        <f>IFERROR(HYPERLINK(VLOOKUP(A1804,Internal_lists_bugs!$A$2:$C$73,3,FALSE()), VLOOKUP(A1804,Internal_lists_bugs!$A$2:$C$73,3,FALSE())&amp;Char(10) &amp; Char(10) &amp; VLOOKUP(A1804,Internal_lists_bugs!$A$2:$Z$73,26,FALSE())),"please select a BUG ID")</f>
        <v>please select a BUG ID</v>
      </c>
      <c r="C1804" s="51" t="str">
        <f>IFERROR(SUBSTITUTE(VLOOKUP(A1804,Internal_lists_bugs!$A$2:$G2031,7,FALSE()),"nova/commit","nova/src/commit"),"please select a BUG ID")</f>
        <v>please select a BUG ID</v>
      </c>
      <c r="D1804" s="54"/>
      <c r="F1804" s="54"/>
      <c r="H1804" s="114"/>
      <c r="J1804" s="183" t="str">
        <f>IFERROR(VLOOKUP(A1804,Internal_lists_bugs!$A$2:$I2031,9,FALSE()),"please select a BUG ID")</f>
        <v>please select a BUG ID</v>
      </c>
    </row>
    <row r="1805">
      <c r="A1805" s="54"/>
      <c r="B1805" s="71" t="str">
        <f>IFERROR(HYPERLINK(VLOOKUP(A1805,Internal_lists_bugs!$A$2:$C$73,3,FALSE()), VLOOKUP(A1805,Internal_lists_bugs!$A$2:$C$73,3,FALSE())&amp;Char(10) &amp; Char(10) &amp; VLOOKUP(A1805,Internal_lists_bugs!$A$2:$Z$73,26,FALSE())),"please select a BUG ID")</f>
        <v>please select a BUG ID</v>
      </c>
      <c r="C1805" s="51" t="str">
        <f>IFERROR(SUBSTITUTE(VLOOKUP(A1805,Internal_lists_bugs!$A$2:$G2031,7,FALSE()),"nova/commit","nova/src/commit"),"please select a BUG ID")</f>
        <v>please select a BUG ID</v>
      </c>
      <c r="D1805" s="54"/>
      <c r="F1805" s="54"/>
      <c r="H1805" s="114"/>
      <c r="J1805" s="183" t="str">
        <f>IFERROR(VLOOKUP(A1805,Internal_lists_bugs!$A$2:$I2031,9,FALSE()),"please select a BUG ID")</f>
        <v>please select a BUG ID</v>
      </c>
    </row>
    <row r="1806">
      <c r="A1806" s="54"/>
      <c r="B1806" s="71" t="str">
        <f>IFERROR(HYPERLINK(VLOOKUP(A1806,Internal_lists_bugs!$A$2:$C$73,3,FALSE()), VLOOKUP(A1806,Internal_lists_bugs!$A$2:$C$73,3,FALSE())&amp;Char(10) &amp; Char(10) &amp; VLOOKUP(A1806,Internal_lists_bugs!$A$2:$Z$73,26,FALSE())),"please select a BUG ID")</f>
        <v>please select a BUG ID</v>
      </c>
      <c r="C1806" s="51" t="str">
        <f>IFERROR(SUBSTITUTE(VLOOKUP(A1806,Internal_lists_bugs!$A$2:$G2031,7,FALSE()),"nova/commit","nova/src/commit"),"please select a BUG ID")</f>
        <v>please select a BUG ID</v>
      </c>
      <c r="D1806" s="54"/>
      <c r="F1806" s="54"/>
      <c r="H1806" s="114"/>
      <c r="J1806" s="183" t="str">
        <f>IFERROR(VLOOKUP(A1806,Internal_lists_bugs!$A$2:$I2031,9,FALSE()),"please select a BUG ID")</f>
        <v>please select a BUG ID</v>
      </c>
    </row>
    <row r="1807">
      <c r="A1807" s="54"/>
      <c r="B1807" s="71" t="str">
        <f>IFERROR(HYPERLINK(VLOOKUP(A1807,Internal_lists_bugs!$A$2:$C$73,3,FALSE()), VLOOKUP(A1807,Internal_lists_bugs!$A$2:$C$73,3,FALSE())&amp;Char(10) &amp; Char(10) &amp; VLOOKUP(A1807,Internal_lists_bugs!$A$2:$Z$73,26,FALSE())),"please select a BUG ID")</f>
        <v>please select a BUG ID</v>
      </c>
      <c r="C1807" s="51" t="str">
        <f>IFERROR(SUBSTITUTE(VLOOKUP(A1807,Internal_lists_bugs!$A$2:$G2031,7,FALSE()),"nova/commit","nova/src/commit"),"please select a BUG ID")</f>
        <v>please select a BUG ID</v>
      </c>
      <c r="D1807" s="54"/>
      <c r="F1807" s="54"/>
      <c r="H1807" s="114"/>
      <c r="J1807" s="183" t="str">
        <f>IFERROR(VLOOKUP(A1807,Internal_lists_bugs!$A$2:$I2031,9,FALSE()),"please select a BUG ID")</f>
        <v>please select a BUG ID</v>
      </c>
    </row>
    <row r="1808">
      <c r="A1808" s="54"/>
      <c r="B1808" s="71" t="str">
        <f>IFERROR(HYPERLINK(VLOOKUP(A1808,Internal_lists_bugs!$A$2:$C$73,3,FALSE()), VLOOKUP(A1808,Internal_lists_bugs!$A$2:$C$73,3,FALSE())&amp;Char(10) &amp; Char(10) &amp; VLOOKUP(A1808,Internal_lists_bugs!$A$2:$Z$73,26,FALSE())),"please select a BUG ID")</f>
        <v>please select a BUG ID</v>
      </c>
      <c r="C1808" s="51" t="str">
        <f>IFERROR(SUBSTITUTE(VLOOKUP(A1808,Internal_lists_bugs!$A$2:$G2031,7,FALSE()),"nova/commit","nova/src/commit"),"please select a BUG ID")</f>
        <v>please select a BUG ID</v>
      </c>
      <c r="D1808" s="54"/>
      <c r="F1808" s="54"/>
      <c r="H1808" s="114"/>
      <c r="J1808" s="183" t="str">
        <f>IFERROR(VLOOKUP(A1808,Internal_lists_bugs!$A$2:$I2031,9,FALSE()),"please select a BUG ID")</f>
        <v>please select a BUG ID</v>
      </c>
    </row>
    <row r="1809">
      <c r="A1809" s="54"/>
      <c r="B1809" s="71" t="str">
        <f>IFERROR(HYPERLINK(VLOOKUP(A1809,Internal_lists_bugs!$A$2:$C$73,3,FALSE()), VLOOKUP(A1809,Internal_lists_bugs!$A$2:$C$73,3,FALSE())&amp;Char(10) &amp; Char(10) &amp; VLOOKUP(A1809,Internal_lists_bugs!$A$2:$Z$73,26,FALSE())),"please select a BUG ID")</f>
        <v>please select a BUG ID</v>
      </c>
      <c r="C1809" s="51" t="str">
        <f>IFERROR(SUBSTITUTE(VLOOKUP(A1809,Internal_lists_bugs!$A$2:$G2031,7,FALSE()),"nova/commit","nova/src/commit"),"please select a BUG ID")</f>
        <v>please select a BUG ID</v>
      </c>
      <c r="D1809" s="54"/>
      <c r="F1809" s="54"/>
      <c r="H1809" s="114"/>
      <c r="J1809" s="183" t="str">
        <f>IFERROR(VLOOKUP(A1809,Internal_lists_bugs!$A$2:$I2031,9,FALSE()),"please select a BUG ID")</f>
        <v>please select a BUG ID</v>
      </c>
    </row>
    <row r="1810">
      <c r="A1810" s="54"/>
      <c r="B1810" s="71" t="str">
        <f>IFERROR(HYPERLINK(VLOOKUP(A1810,Internal_lists_bugs!$A$2:$C$73,3,FALSE()), VLOOKUP(A1810,Internal_lists_bugs!$A$2:$C$73,3,FALSE())&amp;Char(10) &amp; Char(10) &amp; VLOOKUP(A1810,Internal_lists_bugs!$A$2:$Z$73,26,FALSE())),"please select a BUG ID")</f>
        <v>please select a BUG ID</v>
      </c>
      <c r="C1810" s="51" t="str">
        <f>IFERROR(SUBSTITUTE(VLOOKUP(A1810,Internal_lists_bugs!$A$2:$G2031,7,FALSE()),"nova/commit","nova/src/commit"),"please select a BUG ID")</f>
        <v>please select a BUG ID</v>
      </c>
      <c r="D1810" s="54"/>
      <c r="F1810" s="54"/>
      <c r="H1810" s="114"/>
      <c r="J1810" s="183" t="str">
        <f>IFERROR(VLOOKUP(A1810,Internal_lists_bugs!$A$2:$I2031,9,FALSE()),"please select a BUG ID")</f>
        <v>please select a BUG ID</v>
      </c>
    </row>
    <row r="1811">
      <c r="A1811" s="54"/>
      <c r="B1811" s="71" t="str">
        <f>IFERROR(HYPERLINK(VLOOKUP(A1811,Internal_lists_bugs!$A$2:$C$73,3,FALSE()), VLOOKUP(A1811,Internal_lists_bugs!$A$2:$C$73,3,FALSE())&amp;Char(10) &amp; Char(10) &amp; VLOOKUP(A1811,Internal_lists_bugs!$A$2:$Z$73,26,FALSE())),"please select a BUG ID")</f>
        <v>please select a BUG ID</v>
      </c>
      <c r="C1811" s="51" t="str">
        <f>IFERROR(SUBSTITUTE(VLOOKUP(A1811,Internal_lists_bugs!$A$2:$G2031,7,FALSE()),"nova/commit","nova/src/commit"),"please select a BUG ID")</f>
        <v>please select a BUG ID</v>
      </c>
      <c r="D1811" s="54"/>
      <c r="F1811" s="54"/>
      <c r="H1811" s="114"/>
      <c r="J1811" s="183" t="str">
        <f>IFERROR(VLOOKUP(A1811,Internal_lists_bugs!$A$2:$I2031,9,FALSE()),"please select a BUG ID")</f>
        <v>please select a BUG ID</v>
      </c>
    </row>
    <row r="1812">
      <c r="A1812" s="54"/>
      <c r="B1812" s="71" t="str">
        <f>IFERROR(HYPERLINK(VLOOKUP(A1812,Internal_lists_bugs!$A$2:$C$73,3,FALSE()), VLOOKUP(A1812,Internal_lists_bugs!$A$2:$C$73,3,FALSE())&amp;Char(10) &amp; Char(10) &amp; VLOOKUP(A1812,Internal_lists_bugs!$A$2:$Z$73,26,FALSE())),"please select a BUG ID")</f>
        <v>please select a BUG ID</v>
      </c>
      <c r="C1812" s="51" t="str">
        <f>IFERROR(SUBSTITUTE(VLOOKUP(A1812,Internal_lists_bugs!$A$2:$G2031,7,FALSE()),"nova/commit","nova/src/commit"),"please select a BUG ID")</f>
        <v>please select a BUG ID</v>
      </c>
      <c r="D1812" s="54"/>
      <c r="F1812" s="54"/>
      <c r="H1812" s="114"/>
      <c r="J1812" s="183" t="str">
        <f>IFERROR(VLOOKUP(A1812,Internal_lists_bugs!$A$2:$I2031,9,FALSE()),"please select a BUG ID")</f>
        <v>please select a BUG ID</v>
      </c>
    </row>
    <row r="1813">
      <c r="A1813" s="54"/>
      <c r="B1813" s="71" t="str">
        <f>IFERROR(HYPERLINK(VLOOKUP(A1813,Internal_lists_bugs!$A$2:$C$73,3,FALSE()), VLOOKUP(A1813,Internal_lists_bugs!$A$2:$C$73,3,FALSE())&amp;Char(10) &amp; Char(10) &amp; VLOOKUP(A1813,Internal_lists_bugs!$A$2:$Z$73,26,FALSE())),"please select a BUG ID")</f>
        <v>please select a BUG ID</v>
      </c>
      <c r="C1813" s="51" t="str">
        <f>IFERROR(SUBSTITUTE(VLOOKUP(A1813,Internal_lists_bugs!$A$2:$G2031,7,FALSE()),"nova/commit","nova/src/commit"),"please select a BUG ID")</f>
        <v>please select a BUG ID</v>
      </c>
      <c r="D1813" s="54"/>
      <c r="F1813" s="54"/>
      <c r="H1813" s="114"/>
      <c r="J1813" s="183" t="str">
        <f>IFERROR(VLOOKUP(A1813,Internal_lists_bugs!$A$2:$I2031,9,FALSE()),"please select a BUG ID")</f>
        <v>please select a BUG ID</v>
      </c>
    </row>
    <row r="1814">
      <c r="A1814" s="54"/>
      <c r="B1814" s="71" t="str">
        <f>IFERROR(HYPERLINK(VLOOKUP(A1814,Internal_lists_bugs!$A$2:$C$73,3,FALSE()), VLOOKUP(A1814,Internal_lists_bugs!$A$2:$C$73,3,FALSE())&amp;Char(10) &amp; Char(10) &amp; VLOOKUP(A1814,Internal_lists_bugs!$A$2:$Z$73,26,FALSE())),"please select a BUG ID")</f>
        <v>please select a BUG ID</v>
      </c>
      <c r="C1814" s="51" t="str">
        <f>IFERROR(SUBSTITUTE(VLOOKUP(A1814,Internal_lists_bugs!$A$2:$G2031,7,FALSE()),"nova/commit","nova/src/commit"),"please select a BUG ID")</f>
        <v>please select a BUG ID</v>
      </c>
      <c r="D1814" s="54"/>
      <c r="F1814" s="54"/>
      <c r="H1814" s="114"/>
      <c r="J1814" s="183" t="str">
        <f>IFERROR(VLOOKUP(A1814,Internal_lists_bugs!$A$2:$I2031,9,FALSE()),"please select a BUG ID")</f>
        <v>please select a BUG ID</v>
      </c>
    </row>
    <row r="1815">
      <c r="A1815" s="54"/>
      <c r="B1815" s="71" t="str">
        <f>IFERROR(HYPERLINK(VLOOKUP(A1815,Internal_lists_bugs!$A$2:$C$73,3,FALSE()), VLOOKUP(A1815,Internal_lists_bugs!$A$2:$C$73,3,FALSE())&amp;Char(10) &amp; Char(10) &amp; VLOOKUP(A1815,Internal_lists_bugs!$A$2:$Z$73,26,FALSE())),"please select a BUG ID")</f>
        <v>please select a BUG ID</v>
      </c>
      <c r="C1815" s="51" t="str">
        <f>IFERROR(SUBSTITUTE(VLOOKUP(A1815,Internal_lists_bugs!$A$2:$G2031,7,FALSE()),"nova/commit","nova/src/commit"),"please select a BUG ID")</f>
        <v>please select a BUG ID</v>
      </c>
      <c r="D1815" s="54"/>
      <c r="F1815" s="54"/>
      <c r="H1815" s="114"/>
      <c r="J1815" s="183" t="str">
        <f>IFERROR(VLOOKUP(A1815,Internal_lists_bugs!$A$2:$I2031,9,FALSE()),"please select a BUG ID")</f>
        <v>please select a BUG ID</v>
      </c>
    </row>
    <row r="1816">
      <c r="A1816" s="54"/>
      <c r="B1816" s="71" t="str">
        <f>IFERROR(HYPERLINK(VLOOKUP(A1816,Internal_lists_bugs!$A$2:$C$73,3,FALSE()), VLOOKUP(A1816,Internal_lists_bugs!$A$2:$C$73,3,FALSE())&amp;Char(10) &amp; Char(10) &amp; VLOOKUP(A1816,Internal_lists_bugs!$A$2:$Z$73,26,FALSE())),"please select a BUG ID")</f>
        <v>please select a BUG ID</v>
      </c>
      <c r="C1816" s="51" t="str">
        <f>IFERROR(SUBSTITUTE(VLOOKUP(A1816,Internal_lists_bugs!$A$2:$G2031,7,FALSE()),"nova/commit","nova/src/commit"),"please select a BUG ID")</f>
        <v>please select a BUG ID</v>
      </c>
      <c r="D1816" s="54"/>
      <c r="F1816" s="54"/>
      <c r="H1816" s="114"/>
      <c r="J1816" s="183" t="str">
        <f>IFERROR(VLOOKUP(A1816,Internal_lists_bugs!$A$2:$I2031,9,FALSE()),"please select a BUG ID")</f>
        <v>please select a BUG ID</v>
      </c>
    </row>
    <row r="1817">
      <c r="A1817" s="54"/>
      <c r="B1817" s="71" t="str">
        <f>IFERROR(HYPERLINK(VLOOKUP(A1817,Internal_lists_bugs!$A$2:$C$73,3,FALSE()), VLOOKUP(A1817,Internal_lists_bugs!$A$2:$C$73,3,FALSE())&amp;Char(10) &amp; Char(10) &amp; VLOOKUP(A1817,Internal_lists_bugs!$A$2:$Z$73,26,FALSE())),"please select a BUG ID")</f>
        <v>please select a BUG ID</v>
      </c>
      <c r="C1817" s="51" t="str">
        <f>IFERROR(SUBSTITUTE(VLOOKUP(A1817,Internal_lists_bugs!$A$2:$G2031,7,FALSE()),"nova/commit","nova/src/commit"),"please select a BUG ID")</f>
        <v>please select a BUG ID</v>
      </c>
      <c r="D1817" s="54"/>
      <c r="F1817" s="54"/>
      <c r="H1817" s="114"/>
      <c r="J1817" s="183" t="str">
        <f>IFERROR(VLOOKUP(A1817,Internal_lists_bugs!$A$2:$I2031,9,FALSE()),"please select a BUG ID")</f>
        <v>please select a BUG ID</v>
      </c>
    </row>
    <row r="1818">
      <c r="A1818" s="54"/>
      <c r="B1818" s="71" t="str">
        <f>IFERROR(HYPERLINK(VLOOKUP(A1818,Internal_lists_bugs!$A$2:$C$73,3,FALSE()), VLOOKUP(A1818,Internal_lists_bugs!$A$2:$C$73,3,FALSE())&amp;Char(10) &amp; Char(10) &amp; VLOOKUP(A1818,Internal_lists_bugs!$A$2:$Z$73,26,FALSE())),"please select a BUG ID")</f>
        <v>please select a BUG ID</v>
      </c>
      <c r="C1818" s="51" t="str">
        <f>IFERROR(SUBSTITUTE(VLOOKUP(A1818,Internal_lists_bugs!$A$2:$G2031,7,FALSE()),"nova/commit","nova/src/commit"),"please select a BUG ID")</f>
        <v>please select a BUG ID</v>
      </c>
      <c r="D1818" s="54"/>
      <c r="F1818" s="54"/>
      <c r="H1818" s="114"/>
      <c r="J1818" s="183" t="str">
        <f>IFERROR(VLOOKUP(A1818,Internal_lists_bugs!$A$2:$I2031,9,FALSE()),"please select a BUG ID")</f>
        <v>please select a BUG ID</v>
      </c>
    </row>
    <row r="1819">
      <c r="A1819" s="54"/>
      <c r="B1819" s="71" t="str">
        <f>IFERROR(HYPERLINK(VLOOKUP(A1819,Internal_lists_bugs!$A$2:$C$73,3,FALSE()), VLOOKUP(A1819,Internal_lists_bugs!$A$2:$C$73,3,FALSE())&amp;Char(10) &amp; Char(10) &amp; VLOOKUP(A1819,Internal_lists_bugs!$A$2:$Z$73,26,FALSE())),"please select a BUG ID")</f>
        <v>please select a BUG ID</v>
      </c>
      <c r="C1819" s="51" t="str">
        <f>IFERROR(SUBSTITUTE(VLOOKUP(A1819,Internal_lists_bugs!$A$2:$G2031,7,FALSE()),"nova/commit","nova/src/commit"),"please select a BUG ID")</f>
        <v>please select a BUG ID</v>
      </c>
      <c r="D1819" s="54"/>
      <c r="F1819" s="54"/>
      <c r="H1819" s="114"/>
      <c r="J1819" s="183" t="str">
        <f>IFERROR(VLOOKUP(A1819,Internal_lists_bugs!$A$2:$I2031,9,FALSE()),"please select a BUG ID")</f>
        <v>please select a BUG ID</v>
      </c>
    </row>
    <row r="1820">
      <c r="A1820" s="54"/>
      <c r="B1820" s="71" t="str">
        <f>IFERROR(HYPERLINK(VLOOKUP(A1820,Internal_lists_bugs!$A$2:$C$73,3,FALSE()), VLOOKUP(A1820,Internal_lists_bugs!$A$2:$C$73,3,FALSE())&amp;Char(10) &amp; Char(10) &amp; VLOOKUP(A1820,Internal_lists_bugs!$A$2:$Z$73,26,FALSE())),"please select a BUG ID")</f>
        <v>please select a BUG ID</v>
      </c>
      <c r="C1820" s="51" t="str">
        <f>IFERROR(SUBSTITUTE(VLOOKUP(A1820,Internal_lists_bugs!$A$2:$G2031,7,FALSE()),"nova/commit","nova/src/commit"),"please select a BUG ID")</f>
        <v>please select a BUG ID</v>
      </c>
      <c r="D1820" s="54"/>
      <c r="F1820" s="54"/>
      <c r="H1820" s="114"/>
      <c r="J1820" s="183" t="str">
        <f>IFERROR(VLOOKUP(A1820,Internal_lists_bugs!$A$2:$I2031,9,FALSE()),"please select a BUG ID")</f>
        <v>please select a BUG ID</v>
      </c>
    </row>
    <row r="1821">
      <c r="A1821" s="54"/>
      <c r="B1821" s="71" t="str">
        <f>IFERROR(HYPERLINK(VLOOKUP(A1821,Internal_lists_bugs!$A$2:$C$73,3,FALSE()), VLOOKUP(A1821,Internal_lists_bugs!$A$2:$C$73,3,FALSE())&amp;Char(10) &amp; Char(10) &amp; VLOOKUP(A1821,Internal_lists_bugs!$A$2:$Z$73,26,FALSE())),"please select a BUG ID")</f>
        <v>please select a BUG ID</v>
      </c>
      <c r="C1821" s="51" t="str">
        <f>IFERROR(SUBSTITUTE(VLOOKUP(A1821,Internal_lists_bugs!$A$2:$G2031,7,FALSE()),"nova/commit","nova/src/commit"),"please select a BUG ID")</f>
        <v>please select a BUG ID</v>
      </c>
      <c r="D1821" s="54"/>
      <c r="F1821" s="54"/>
      <c r="H1821" s="114"/>
      <c r="J1821" s="183" t="str">
        <f>IFERROR(VLOOKUP(A1821,Internal_lists_bugs!$A$2:$I2031,9,FALSE()),"please select a BUG ID")</f>
        <v>please select a BUG ID</v>
      </c>
    </row>
    <row r="1822">
      <c r="A1822" s="54"/>
      <c r="B1822" s="71" t="str">
        <f>IFERROR(HYPERLINK(VLOOKUP(A1822,Internal_lists_bugs!$A$2:$C$73,3,FALSE()), VLOOKUP(A1822,Internal_lists_bugs!$A$2:$C$73,3,FALSE())&amp;Char(10) &amp; Char(10) &amp; VLOOKUP(A1822,Internal_lists_bugs!$A$2:$Z$73,26,FALSE())),"please select a BUG ID")</f>
        <v>please select a BUG ID</v>
      </c>
      <c r="C1822" s="51" t="str">
        <f>IFERROR(SUBSTITUTE(VLOOKUP(A1822,Internal_lists_bugs!$A$2:$G2031,7,FALSE()),"nova/commit","nova/src/commit"),"please select a BUG ID")</f>
        <v>please select a BUG ID</v>
      </c>
      <c r="D1822" s="54"/>
      <c r="F1822" s="54"/>
      <c r="H1822" s="114"/>
      <c r="J1822" s="183" t="str">
        <f>IFERROR(VLOOKUP(A1822,Internal_lists_bugs!$A$2:$I2031,9,FALSE()),"please select a BUG ID")</f>
        <v>please select a BUG ID</v>
      </c>
    </row>
    <row r="1823">
      <c r="A1823" s="54"/>
      <c r="B1823" s="71" t="str">
        <f>IFERROR(HYPERLINK(VLOOKUP(A1823,Internal_lists_bugs!$A$2:$C$73,3,FALSE()), VLOOKUP(A1823,Internal_lists_bugs!$A$2:$C$73,3,FALSE())&amp;Char(10) &amp; Char(10) &amp; VLOOKUP(A1823,Internal_lists_bugs!$A$2:$Z$73,26,FALSE())),"please select a BUG ID")</f>
        <v>please select a BUG ID</v>
      </c>
      <c r="C1823" s="51" t="str">
        <f>IFERROR(SUBSTITUTE(VLOOKUP(A1823,Internal_lists_bugs!$A$2:$G2031,7,FALSE()),"nova/commit","nova/src/commit"),"please select a BUG ID")</f>
        <v>please select a BUG ID</v>
      </c>
      <c r="D1823" s="54"/>
      <c r="F1823" s="54"/>
      <c r="H1823" s="114"/>
      <c r="J1823" s="183" t="str">
        <f>IFERROR(VLOOKUP(A1823,Internal_lists_bugs!$A$2:$I2031,9,FALSE()),"please select a BUG ID")</f>
        <v>please select a BUG ID</v>
      </c>
    </row>
    <row r="1824">
      <c r="A1824" s="54"/>
      <c r="B1824" s="71" t="str">
        <f>IFERROR(HYPERLINK(VLOOKUP(A1824,Internal_lists_bugs!$A$2:$C$73,3,FALSE()), VLOOKUP(A1824,Internal_lists_bugs!$A$2:$C$73,3,FALSE())&amp;Char(10) &amp; Char(10) &amp; VLOOKUP(A1824,Internal_lists_bugs!$A$2:$Z$73,26,FALSE())),"please select a BUG ID")</f>
        <v>please select a BUG ID</v>
      </c>
      <c r="C1824" s="51" t="str">
        <f>IFERROR(SUBSTITUTE(VLOOKUP(A1824,Internal_lists_bugs!$A$2:$G2031,7,FALSE()),"nova/commit","nova/src/commit"),"please select a BUG ID")</f>
        <v>please select a BUG ID</v>
      </c>
      <c r="D1824" s="54"/>
      <c r="F1824" s="54"/>
      <c r="H1824" s="114"/>
      <c r="J1824" s="183" t="str">
        <f>IFERROR(VLOOKUP(A1824,Internal_lists_bugs!$A$2:$I2031,9,FALSE()),"please select a BUG ID")</f>
        <v>please select a BUG ID</v>
      </c>
    </row>
    <row r="1825">
      <c r="A1825" s="54"/>
      <c r="B1825" s="71" t="str">
        <f>IFERROR(HYPERLINK(VLOOKUP(A1825,Internal_lists_bugs!$A$2:$C$73,3,FALSE()), VLOOKUP(A1825,Internal_lists_bugs!$A$2:$C$73,3,FALSE())&amp;Char(10) &amp; Char(10) &amp; VLOOKUP(A1825,Internal_lists_bugs!$A$2:$Z$73,26,FALSE())),"please select a BUG ID")</f>
        <v>please select a BUG ID</v>
      </c>
      <c r="C1825" s="51" t="str">
        <f>IFERROR(SUBSTITUTE(VLOOKUP(A1825,Internal_lists_bugs!$A$2:$G2031,7,FALSE()),"nova/commit","nova/src/commit"),"please select a BUG ID")</f>
        <v>please select a BUG ID</v>
      </c>
      <c r="D1825" s="54"/>
      <c r="F1825" s="54"/>
      <c r="H1825" s="114"/>
      <c r="J1825" s="183" t="str">
        <f>IFERROR(VLOOKUP(A1825,Internal_lists_bugs!$A$2:$I2031,9,FALSE()),"please select a BUG ID")</f>
        <v>please select a BUG ID</v>
      </c>
    </row>
    <row r="1826">
      <c r="A1826" s="54"/>
      <c r="B1826" s="71" t="str">
        <f>IFERROR(HYPERLINK(VLOOKUP(A1826,Internal_lists_bugs!$A$2:$C$73,3,FALSE()), VLOOKUP(A1826,Internal_lists_bugs!$A$2:$C$73,3,FALSE())&amp;Char(10) &amp; Char(10) &amp; VLOOKUP(A1826,Internal_lists_bugs!$A$2:$Z$73,26,FALSE())),"please select a BUG ID")</f>
        <v>please select a BUG ID</v>
      </c>
      <c r="C1826" s="51" t="str">
        <f>IFERROR(SUBSTITUTE(VLOOKUP(A1826,Internal_lists_bugs!$A$2:$G2031,7,FALSE()),"nova/commit","nova/src/commit"),"please select a BUG ID")</f>
        <v>please select a BUG ID</v>
      </c>
      <c r="D1826" s="54"/>
      <c r="F1826" s="54"/>
      <c r="H1826" s="114"/>
      <c r="J1826" s="183" t="str">
        <f>IFERROR(VLOOKUP(A1826,Internal_lists_bugs!$A$2:$I2031,9,FALSE()),"please select a BUG ID")</f>
        <v>please select a BUG ID</v>
      </c>
    </row>
    <row r="1827">
      <c r="A1827" s="54"/>
      <c r="B1827" s="71" t="str">
        <f>IFERROR(HYPERLINK(VLOOKUP(A1827,Internal_lists_bugs!$A$2:$C$73,3,FALSE()), VLOOKUP(A1827,Internal_lists_bugs!$A$2:$C$73,3,FALSE())&amp;Char(10) &amp; Char(10) &amp; VLOOKUP(A1827,Internal_lists_bugs!$A$2:$Z$73,26,FALSE())),"please select a BUG ID")</f>
        <v>please select a BUG ID</v>
      </c>
      <c r="C1827" s="51" t="str">
        <f>IFERROR(SUBSTITUTE(VLOOKUP(A1827,Internal_lists_bugs!$A$2:$G2031,7,FALSE()),"nova/commit","nova/src/commit"),"please select a BUG ID")</f>
        <v>please select a BUG ID</v>
      </c>
      <c r="D1827" s="54"/>
      <c r="F1827" s="54"/>
      <c r="H1827" s="114"/>
      <c r="J1827" s="183" t="str">
        <f>IFERROR(VLOOKUP(A1827,Internal_lists_bugs!$A$2:$I2031,9,FALSE()),"please select a BUG ID")</f>
        <v>please select a BUG ID</v>
      </c>
    </row>
    <row r="1828">
      <c r="A1828" s="54"/>
      <c r="B1828" s="71" t="str">
        <f>IFERROR(HYPERLINK(VLOOKUP(A1828,Internal_lists_bugs!$A$2:$C$73,3,FALSE()), VLOOKUP(A1828,Internal_lists_bugs!$A$2:$C$73,3,FALSE())&amp;Char(10) &amp; Char(10) &amp; VLOOKUP(A1828,Internal_lists_bugs!$A$2:$Z$73,26,FALSE())),"please select a BUG ID")</f>
        <v>please select a BUG ID</v>
      </c>
      <c r="C1828" s="51" t="str">
        <f>IFERROR(SUBSTITUTE(VLOOKUP(A1828,Internal_lists_bugs!$A$2:$G2031,7,FALSE()),"nova/commit","nova/src/commit"),"please select a BUG ID")</f>
        <v>please select a BUG ID</v>
      </c>
      <c r="D1828" s="54"/>
      <c r="F1828" s="54"/>
      <c r="H1828" s="114"/>
      <c r="J1828" s="183" t="str">
        <f>IFERROR(VLOOKUP(A1828,Internal_lists_bugs!$A$2:$I2031,9,FALSE()),"please select a BUG ID")</f>
        <v>please select a BUG ID</v>
      </c>
    </row>
    <row r="1829">
      <c r="A1829" s="54"/>
      <c r="B1829" s="71" t="str">
        <f>IFERROR(HYPERLINK(VLOOKUP(A1829,Internal_lists_bugs!$A$2:$C$73,3,FALSE()), VLOOKUP(A1829,Internal_lists_bugs!$A$2:$C$73,3,FALSE())&amp;Char(10) &amp; Char(10) &amp; VLOOKUP(A1829,Internal_lists_bugs!$A$2:$Z$73,26,FALSE())),"please select a BUG ID")</f>
        <v>please select a BUG ID</v>
      </c>
      <c r="C1829" s="51" t="str">
        <f>IFERROR(SUBSTITUTE(VLOOKUP(A1829,Internal_lists_bugs!$A$2:$G2031,7,FALSE()),"nova/commit","nova/src/commit"),"please select a BUG ID")</f>
        <v>please select a BUG ID</v>
      </c>
      <c r="D1829" s="54"/>
      <c r="F1829" s="54"/>
      <c r="H1829" s="114"/>
      <c r="J1829" s="183" t="str">
        <f>IFERROR(VLOOKUP(A1829,Internal_lists_bugs!$A$2:$I2031,9,FALSE()),"please select a BUG ID")</f>
        <v>please select a BUG ID</v>
      </c>
    </row>
    <row r="1830">
      <c r="A1830" s="54"/>
      <c r="B1830" s="71" t="str">
        <f>IFERROR(HYPERLINK(VLOOKUP(A1830,Internal_lists_bugs!$A$2:$C$73,3,FALSE()), VLOOKUP(A1830,Internal_lists_bugs!$A$2:$C$73,3,FALSE())&amp;Char(10) &amp; Char(10) &amp; VLOOKUP(A1830,Internal_lists_bugs!$A$2:$Z$73,26,FALSE())),"please select a BUG ID")</f>
        <v>please select a BUG ID</v>
      </c>
      <c r="C1830" s="51" t="str">
        <f>IFERROR(SUBSTITUTE(VLOOKUP(A1830,Internal_lists_bugs!$A$2:$G2031,7,FALSE()),"nova/commit","nova/src/commit"),"please select a BUG ID")</f>
        <v>please select a BUG ID</v>
      </c>
      <c r="D1830" s="54"/>
      <c r="F1830" s="54"/>
      <c r="H1830" s="114"/>
      <c r="J1830" s="183" t="str">
        <f>IFERROR(VLOOKUP(A1830,Internal_lists_bugs!$A$2:$I2031,9,FALSE()),"please select a BUG ID")</f>
        <v>please select a BUG ID</v>
      </c>
    </row>
    <row r="1831">
      <c r="A1831" s="54"/>
      <c r="B1831" s="71" t="str">
        <f>IFERROR(HYPERLINK(VLOOKUP(A1831,Internal_lists_bugs!$A$2:$C$73,3,FALSE()), VLOOKUP(A1831,Internal_lists_bugs!$A$2:$C$73,3,FALSE())&amp;Char(10) &amp; Char(10) &amp; VLOOKUP(A1831,Internal_lists_bugs!$A$2:$Z$73,26,FALSE())),"please select a BUG ID")</f>
        <v>please select a BUG ID</v>
      </c>
      <c r="C1831" s="51" t="str">
        <f>IFERROR(SUBSTITUTE(VLOOKUP(A1831,Internal_lists_bugs!$A$2:$G2031,7,FALSE()),"nova/commit","nova/src/commit"),"please select a BUG ID")</f>
        <v>please select a BUG ID</v>
      </c>
      <c r="D1831" s="54"/>
      <c r="F1831" s="54"/>
      <c r="H1831" s="114"/>
      <c r="J1831" s="183" t="str">
        <f>IFERROR(VLOOKUP(A1831,Internal_lists_bugs!$A$2:$I2031,9,FALSE()),"please select a BUG ID")</f>
        <v>please select a BUG ID</v>
      </c>
    </row>
    <row r="1832">
      <c r="A1832" s="54"/>
      <c r="B1832" s="71" t="str">
        <f>IFERROR(HYPERLINK(VLOOKUP(A1832,Internal_lists_bugs!$A$2:$C$73,3,FALSE()), VLOOKUP(A1832,Internal_lists_bugs!$A$2:$C$73,3,FALSE())&amp;Char(10) &amp; Char(10) &amp; VLOOKUP(A1832,Internal_lists_bugs!$A$2:$Z$73,26,FALSE())),"please select a BUG ID")</f>
        <v>please select a BUG ID</v>
      </c>
      <c r="C1832" s="51" t="str">
        <f>IFERROR(SUBSTITUTE(VLOOKUP(A1832,Internal_lists_bugs!$A$2:$G2031,7,FALSE()),"nova/commit","nova/src/commit"),"please select a BUG ID")</f>
        <v>please select a BUG ID</v>
      </c>
      <c r="D1832" s="54"/>
      <c r="F1832" s="54"/>
      <c r="H1832" s="114"/>
      <c r="J1832" s="183" t="str">
        <f>IFERROR(VLOOKUP(A1832,Internal_lists_bugs!$A$2:$I2031,9,FALSE()),"please select a BUG ID")</f>
        <v>please select a BUG ID</v>
      </c>
    </row>
    <row r="1833">
      <c r="A1833" s="54"/>
      <c r="B1833" s="71" t="str">
        <f>IFERROR(HYPERLINK(VLOOKUP(A1833,Internal_lists_bugs!$A$2:$C$73,3,FALSE()), VLOOKUP(A1833,Internal_lists_bugs!$A$2:$C$73,3,FALSE())&amp;Char(10) &amp; Char(10) &amp; VLOOKUP(A1833,Internal_lists_bugs!$A$2:$Z$73,26,FALSE())),"please select a BUG ID")</f>
        <v>please select a BUG ID</v>
      </c>
      <c r="C1833" s="51" t="str">
        <f>IFERROR(SUBSTITUTE(VLOOKUP(A1833,Internal_lists_bugs!$A$2:$G2031,7,FALSE()),"nova/commit","nova/src/commit"),"please select a BUG ID")</f>
        <v>please select a BUG ID</v>
      </c>
      <c r="D1833" s="54"/>
      <c r="F1833" s="54"/>
      <c r="H1833" s="114"/>
      <c r="J1833" s="183" t="str">
        <f>IFERROR(VLOOKUP(A1833,Internal_lists_bugs!$A$2:$I2031,9,FALSE()),"please select a BUG ID")</f>
        <v>please select a BUG ID</v>
      </c>
    </row>
    <row r="1834">
      <c r="A1834" s="54"/>
      <c r="B1834" s="71" t="str">
        <f>IFERROR(HYPERLINK(VLOOKUP(A1834,Internal_lists_bugs!$A$2:$C$73,3,FALSE()), VLOOKUP(A1834,Internal_lists_bugs!$A$2:$C$73,3,FALSE())&amp;Char(10) &amp; Char(10) &amp; VLOOKUP(A1834,Internal_lists_bugs!$A$2:$Z$73,26,FALSE())),"please select a BUG ID")</f>
        <v>please select a BUG ID</v>
      </c>
      <c r="C1834" s="51" t="str">
        <f>IFERROR(SUBSTITUTE(VLOOKUP(A1834,Internal_lists_bugs!$A$2:$G2031,7,FALSE()),"nova/commit","nova/src/commit"),"please select a BUG ID")</f>
        <v>please select a BUG ID</v>
      </c>
      <c r="D1834" s="54"/>
      <c r="F1834" s="54"/>
      <c r="H1834" s="114"/>
      <c r="J1834" s="183" t="str">
        <f>IFERROR(VLOOKUP(A1834,Internal_lists_bugs!$A$2:$I2031,9,FALSE()),"please select a BUG ID")</f>
        <v>please select a BUG ID</v>
      </c>
    </row>
    <row r="1835">
      <c r="A1835" s="54"/>
      <c r="B1835" s="71" t="str">
        <f>IFERROR(HYPERLINK(VLOOKUP(A1835,Internal_lists_bugs!$A$2:$C$73,3,FALSE()), VLOOKUP(A1835,Internal_lists_bugs!$A$2:$C$73,3,FALSE())&amp;Char(10) &amp; Char(10) &amp; VLOOKUP(A1835,Internal_lists_bugs!$A$2:$Z$73,26,FALSE())),"please select a BUG ID")</f>
        <v>please select a BUG ID</v>
      </c>
      <c r="C1835" s="51" t="str">
        <f>IFERROR(SUBSTITUTE(VLOOKUP(A1835,Internal_lists_bugs!$A$2:$G2031,7,FALSE()),"nova/commit","nova/src/commit"),"please select a BUG ID")</f>
        <v>please select a BUG ID</v>
      </c>
      <c r="D1835" s="54"/>
      <c r="F1835" s="54"/>
      <c r="H1835" s="114"/>
      <c r="J1835" s="183" t="str">
        <f>IFERROR(VLOOKUP(A1835,Internal_lists_bugs!$A$2:$I2031,9,FALSE()),"please select a BUG ID")</f>
        <v>please select a BUG ID</v>
      </c>
    </row>
    <row r="1836">
      <c r="A1836" s="54"/>
      <c r="B1836" s="71" t="str">
        <f>IFERROR(HYPERLINK(VLOOKUP(A1836,Internal_lists_bugs!$A$2:$C$73,3,FALSE()), VLOOKUP(A1836,Internal_lists_bugs!$A$2:$C$73,3,FALSE())&amp;Char(10) &amp; Char(10) &amp; VLOOKUP(A1836,Internal_lists_bugs!$A$2:$Z$73,26,FALSE())),"please select a BUG ID")</f>
        <v>please select a BUG ID</v>
      </c>
      <c r="C1836" s="51" t="str">
        <f>IFERROR(SUBSTITUTE(VLOOKUP(A1836,Internal_lists_bugs!$A$2:$G2031,7,FALSE()),"nova/commit","nova/src/commit"),"please select a BUG ID")</f>
        <v>please select a BUG ID</v>
      </c>
      <c r="D1836" s="54"/>
      <c r="F1836" s="54"/>
      <c r="H1836" s="114"/>
      <c r="J1836" s="183" t="str">
        <f>IFERROR(VLOOKUP(A1836,Internal_lists_bugs!$A$2:$I2031,9,FALSE()),"please select a BUG ID")</f>
        <v>please select a BUG ID</v>
      </c>
    </row>
    <row r="1837">
      <c r="A1837" s="54"/>
      <c r="B1837" s="71" t="str">
        <f>IFERROR(HYPERLINK(VLOOKUP(A1837,Internal_lists_bugs!$A$2:$C$73,3,FALSE()), VLOOKUP(A1837,Internal_lists_bugs!$A$2:$C$73,3,FALSE())&amp;Char(10) &amp; Char(10) &amp; VLOOKUP(A1837,Internal_lists_bugs!$A$2:$Z$73,26,FALSE())),"please select a BUG ID")</f>
        <v>please select a BUG ID</v>
      </c>
      <c r="C1837" s="51" t="str">
        <f>IFERROR(SUBSTITUTE(VLOOKUP(A1837,Internal_lists_bugs!$A$2:$G2031,7,FALSE()),"nova/commit","nova/src/commit"),"please select a BUG ID")</f>
        <v>please select a BUG ID</v>
      </c>
      <c r="D1837" s="54"/>
      <c r="F1837" s="54"/>
      <c r="H1837" s="114"/>
      <c r="J1837" s="183" t="str">
        <f>IFERROR(VLOOKUP(A1837,Internal_lists_bugs!$A$2:$I2031,9,FALSE()),"please select a BUG ID")</f>
        <v>please select a BUG ID</v>
      </c>
    </row>
    <row r="1838">
      <c r="A1838" s="54"/>
      <c r="B1838" s="71" t="str">
        <f>IFERROR(HYPERLINK(VLOOKUP(A1838,Internal_lists_bugs!$A$2:$C$73,3,FALSE()), VLOOKUP(A1838,Internal_lists_bugs!$A$2:$C$73,3,FALSE())&amp;Char(10) &amp; Char(10) &amp; VLOOKUP(A1838,Internal_lists_bugs!$A$2:$Z$73,26,FALSE())),"please select a BUG ID")</f>
        <v>please select a BUG ID</v>
      </c>
      <c r="C1838" s="51" t="str">
        <f>IFERROR(SUBSTITUTE(VLOOKUP(A1838,Internal_lists_bugs!$A$2:$G2031,7,FALSE()),"nova/commit","nova/src/commit"),"please select a BUG ID")</f>
        <v>please select a BUG ID</v>
      </c>
      <c r="D1838" s="54"/>
      <c r="F1838" s="54"/>
      <c r="H1838" s="114"/>
      <c r="J1838" s="183" t="str">
        <f>IFERROR(VLOOKUP(A1838,Internal_lists_bugs!$A$2:$I2031,9,FALSE()),"please select a BUG ID")</f>
        <v>please select a BUG ID</v>
      </c>
    </row>
    <row r="1839">
      <c r="A1839" s="54"/>
      <c r="B1839" s="71" t="str">
        <f>IFERROR(HYPERLINK(VLOOKUP(A1839,Internal_lists_bugs!$A$2:$C$73,3,FALSE()), VLOOKUP(A1839,Internal_lists_bugs!$A$2:$C$73,3,FALSE())&amp;Char(10) &amp; Char(10) &amp; VLOOKUP(A1839,Internal_lists_bugs!$A$2:$Z$73,26,FALSE())),"please select a BUG ID")</f>
        <v>please select a BUG ID</v>
      </c>
      <c r="C1839" s="51" t="str">
        <f>IFERROR(SUBSTITUTE(VLOOKUP(A1839,Internal_lists_bugs!$A$2:$G2031,7,FALSE()),"nova/commit","nova/src/commit"),"please select a BUG ID")</f>
        <v>please select a BUG ID</v>
      </c>
      <c r="D1839" s="54"/>
      <c r="F1839" s="54"/>
      <c r="H1839" s="114"/>
      <c r="J1839" s="183" t="str">
        <f>IFERROR(VLOOKUP(A1839,Internal_lists_bugs!$A$2:$I2031,9,FALSE()),"please select a BUG ID")</f>
        <v>please select a BUG ID</v>
      </c>
    </row>
    <row r="1840">
      <c r="A1840" s="54"/>
      <c r="B1840" s="71" t="str">
        <f>IFERROR(HYPERLINK(VLOOKUP(A1840,Internal_lists_bugs!$A$2:$C$73,3,FALSE()), VLOOKUP(A1840,Internal_lists_bugs!$A$2:$C$73,3,FALSE())&amp;Char(10) &amp; Char(10) &amp; VLOOKUP(A1840,Internal_lists_bugs!$A$2:$Z$73,26,FALSE())),"please select a BUG ID")</f>
        <v>please select a BUG ID</v>
      </c>
      <c r="C1840" s="51" t="str">
        <f>IFERROR(SUBSTITUTE(VLOOKUP(A1840,Internal_lists_bugs!$A$2:$G2031,7,FALSE()),"nova/commit","nova/src/commit"),"please select a BUG ID")</f>
        <v>please select a BUG ID</v>
      </c>
      <c r="D1840" s="54"/>
      <c r="F1840" s="54"/>
      <c r="H1840" s="114"/>
      <c r="J1840" s="183" t="str">
        <f>IFERROR(VLOOKUP(A1840,Internal_lists_bugs!$A$2:$I2031,9,FALSE()),"please select a BUG ID")</f>
        <v>please select a BUG ID</v>
      </c>
    </row>
    <row r="1841">
      <c r="A1841" s="54"/>
      <c r="B1841" s="71" t="str">
        <f>IFERROR(HYPERLINK(VLOOKUP(A1841,Internal_lists_bugs!$A$2:$C$73,3,FALSE()), VLOOKUP(A1841,Internal_lists_bugs!$A$2:$C$73,3,FALSE())&amp;Char(10) &amp; Char(10) &amp; VLOOKUP(A1841,Internal_lists_bugs!$A$2:$Z$73,26,FALSE())),"please select a BUG ID")</f>
        <v>please select a BUG ID</v>
      </c>
      <c r="C1841" s="51" t="str">
        <f>IFERROR(SUBSTITUTE(VLOOKUP(A1841,Internal_lists_bugs!$A$2:$G2031,7,FALSE()),"nova/commit","nova/src/commit"),"please select a BUG ID")</f>
        <v>please select a BUG ID</v>
      </c>
      <c r="D1841" s="54"/>
      <c r="F1841" s="54"/>
      <c r="H1841" s="114"/>
      <c r="J1841" s="183" t="str">
        <f>IFERROR(VLOOKUP(A1841,Internal_lists_bugs!$A$2:$I2031,9,FALSE()),"please select a BUG ID")</f>
        <v>please select a BUG ID</v>
      </c>
    </row>
    <row r="1842">
      <c r="A1842" s="54"/>
      <c r="B1842" s="71" t="str">
        <f>IFERROR(HYPERLINK(VLOOKUP(A1842,Internal_lists_bugs!$A$2:$C$73,3,FALSE()), VLOOKUP(A1842,Internal_lists_bugs!$A$2:$C$73,3,FALSE())&amp;Char(10) &amp; Char(10) &amp; VLOOKUP(A1842,Internal_lists_bugs!$A$2:$Z$73,26,FALSE())),"please select a BUG ID")</f>
        <v>please select a BUG ID</v>
      </c>
      <c r="C1842" s="51" t="str">
        <f>IFERROR(SUBSTITUTE(VLOOKUP(A1842,Internal_lists_bugs!$A$2:$G2031,7,FALSE()),"nova/commit","nova/src/commit"),"please select a BUG ID")</f>
        <v>please select a BUG ID</v>
      </c>
      <c r="D1842" s="54"/>
      <c r="F1842" s="54"/>
      <c r="H1842" s="114"/>
      <c r="J1842" s="183" t="str">
        <f>IFERROR(VLOOKUP(A1842,Internal_lists_bugs!$A$2:$I2031,9,FALSE()),"please select a BUG ID")</f>
        <v>please select a BUG ID</v>
      </c>
    </row>
    <row r="1843">
      <c r="A1843" s="54"/>
      <c r="B1843" s="71" t="str">
        <f>IFERROR(HYPERLINK(VLOOKUP(A1843,Internal_lists_bugs!$A$2:$C$73,3,FALSE()), VLOOKUP(A1843,Internal_lists_bugs!$A$2:$C$73,3,FALSE())&amp;Char(10) &amp; Char(10) &amp; VLOOKUP(A1843,Internal_lists_bugs!$A$2:$Z$73,26,FALSE())),"please select a BUG ID")</f>
        <v>please select a BUG ID</v>
      </c>
      <c r="C1843" s="51" t="str">
        <f>IFERROR(SUBSTITUTE(VLOOKUP(A1843,Internal_lists_bugs!$A$2:$G2031,7,FALSE()),"nova/commit","nova/src/commit"),"please select a BUG ID")</f>
        <v>please select a BUG ID</v>
      </c>
      <c r="D1843" s="54"/>
      <c r="F1843" s="54"/>
      <c r="H1843" s="114"/>
      <c r="J1843" s="183" t="str">
        <f>IFERROR(VLOOKUP(A1843,Internal_lists_bugs!$A$2:$I2031,9,FALSE()),"please select a BUG ID")</f>
        <v>please select a BUG ID</v>
      </c>
    </row>
    <row r="1844">
      <c r="A1844" s="54"/>
      <c r="B1844" s="71" t="str">
        <f>IFERROR(HYPERLINK(VLOOKUP(A1844,Internal_lists_bugs!$A$2:$C$73,3,FALSE()), VLOOKUP(A1844,Internal_lists_bugs!$A$2:$C$73,3,FALSE())&amp;Char(10) &amp; Char(10) &amp; VLOOKUP(A1844,Internal_lists_bugs!$A$2:$Z$73,26,FALSE())),"please select a BUG ID")</f>
        <v>please select a BUG ID</v>
      </c>
      <c r="C1844" s="51" t="str">
        <f>IFERROR(SUBSTITUTE(VLOOKUP(A1844,Internal_lists_bugs!$A$2:$G2031,7,FALSE()),"nova/commit","nova/src/commit"),"please select a BUG ID")</f>
        <v>please select a BUG ID</v>
      </c>
      <c r="D1844" s="54"/>
      <c r="F1844" s="54"/>
      <c r="H1844" s="114"/>
      <c r="J1844" s="183" t="str">
        <f>IFERROR(VLOOKUP(A1844,Internal_lists_bugs!$A$2:$I2031,9,FALSE()),"please select a BUG ID")</f>
        <v>please select a BUG ID</v>
      </c>
    </row>
    <row r="1845">
      <c r="A1845" s="54"/>
      <c r="B1845" s="71" t="str">
        <f>IFERROR(HYPERLINK(VLOOKUP(A1845,Internal_lists_bugs!$A$2:$C$73,3,FALSE()), VLOOKUP(A1845,Internal_lists_bugs!$A$2:$C$73,3,FALSE())&amp;Char(10) &amp; Char(10) &amp; VLOOKUP(A1845,Internal_lists_bugs!$A$2:$Z$73,26,FALSE())),"please select a BUG ID")</f>
        <v>please select a BUG ID</v>
      </c>
      <c r="C1845" s="51" t="str">
        <f>IFERROR(SUBSTITUTE(VLOOKUP(A1845,Internal_lists_bugs!$A$2:$G2031,7,FALSE()),"nova/commit","nova/src/commit"),"please select a BUG ID")</f>
        <v>please select a BUG ID</v>
      </c>
      <c r="D1845" s="54"/>
      <c r="F1845" s="54"/>
      <c r="H1845" s="114"/>
      <c r="J1845" s="183" t="str">
        <f>IFERROR(VLOOKUP(A1845,Internal_lists_bugs!$A$2:$I2031,9,FALSE()),"please select a BUG ID")</f>
        <v>please select a BUG ID</v>
      </c>
    </row>
    <row r="1846">
      <c r="A1846" s="54"/>
      <c r="B1846" s="71" t="str">
        <f>IFERROR(HYPERLINK(VLOOKUP(A1846,Internal_lists_bugs!$A$2:$C$73,3,FALSE()), VLOOKUP(A1846,Internal_lists_bugs!$A$2:$C$73,3,FALSE())&amp;Char(10) &amp; Char(10) &amp; VLOOKUP(A1846,Internal_lists_bugs!$A$2:$Z$73,26,FALSE())),"please select a BUG ID")</f>
        <v>please select a BUG ID</v>
      </c>
      <c r="C1846" s="51" t="str">
        <f>IFERROR(SUBSTITUTE(VLOOKUP(A1846,Internal_lists_bugs!$A$2:$G2031,7,FALSE()),"nova/commit","nova/src/commit"),"please select a BUG ID")</f>
        <v>please select a BUG ID</v>
      </c>
      <c r="D1846" s="54"/>
      <c r="F1846" s="54"/>
      <c r="H1846" s="114"/>
      <c r="J1846" s="183" t="str">
        <f>IFERROR(VLOOKUP(A1846,Internal_lists_bugs!$A$2:$I2031,9,FALSE()),"please select a BUG ID")</f>
        <v>please select a BUG ID</v>
      </c>
    </row>
    <row r="1847">
      <c r="A1847" s="54"/>
      <c r="B1847" s="71" t="str">
        <f>IFERROR(HYPERLINK(VLOOKUP(A1847,Internal_lists_bugs!$A$2:$C$73,3,FALSE()), VLOOKUP(A1847,Internal_lists_bugs!$A$2:$C$73,3,FALSE())&amp;Char(10) &amp; Char(10) &amp; VLOOKUP(A1847,Internal_lists_bugs!$A$2:$Z$73,26,FALSE())),"please select a BUG ID")</f>
        <v>please select a BUG ID</v>
      </c>
      <c r="C1847" s="51" t="str">
        <f>IFERROR(SUBSTITUTE(VLOOKUP(A1847,Internal_lists_bugs!$A$2:$G2031,7,FALSE()),"nova/commit","nova/src/commit"),"please select a BUG ID")</f>
        <v>please select a BUG ID</v>
      </c>
      <c r="D1847" s="54"/>
      <c r="F1847" s="54"/>
      <c r="H1847" s="114"/>
      <c r="J1847" s="183" t="str">
        <f>IFERROR(VLOOKUP(A1847,Internal_lists_bugs!$A$2:$I2031,9,FALSE()),"please select a BUG ID")</f>
        <v>please select a BUG ID</v>
      </c>
    </row>
    <row r="1848">
      <c r="A1848" s="54"/>
      <c r="B1848" s="71" t="str">
        <f>IFERROR(HYPERLINK(VLOOKUP(A1848,Internal_lists_bugs!$A$2:$C$73,3,FALSE()), VLOOKUP(A1848,Internal_lists_bugs!$A$2:$C$73,3,FALSE())&amp;Char(10) &amp; Char(10) &amp; VLOOKUP(A1848,Internal_lists_bugs!$A$2:$Z$73,26,FALSE())),"please select a BUG ID")</f>
        <v>please select a BUG ID</v>
      </c>
      <c r="C1848" s="51" t="str">
        <f>IFERROR(SUBSTITUTE(VLOOKUP(A1848,Internal_lists_bugs!$A$2:$G2031,7,FALSE()),"nova/commit","nova/src/commit"),"please select a BUG ID")</f>
        <v>please select a BUG ID</v>
      </c>
      <c r="D1848" s="54"/>
      <c r="F1848" s="54"/>
      <c r="H1848" s="114"/>
      <c r="J1848" s="183" t="str">
        <f>IFERROR(VLOOKUP(A1848,Internal_lists_bugs!$A$2:$I2031,9,FALSE()),"please select a BUG ID")</f>
        <v>please select a BUG ID</v>
      </c>
    </row>
    <row r="1849">
      <c r="A1849" s="54"/>
      <c r="B1849" s="71" t="str">
        <f>IFERROR(HYPERLINK(VLOOKUP(A1849,Internal_lists_bugs!$A$2:$C$73,3,FALSE()), VLOOKUP(A1849,Internal_lists_bugs!$A$2:$C$73,3,FALSE())&amp;Char(10) &amp; Char(10) &amp; VLOOKUP(A1849,Internal_lists_bugs!$A$2:$Z$73,26,FALSE())),"please select a BUG ID")</f>
        <v>please select a BUG ID</v>
      </c>
      <c r="C1849" s="51" t="str">
        <f>IFERROR(SUBSTITUTE(VLOOKUP(A1849,Internal_lists_bugs!$A$2:$G2031,7,FALSE()),"nova/commit","nova/src/commit"),"please select a BUG ID")</f>
        <v>please select a BUG ID</v>
      </c>
      <c r="D1849" s="54"/>
      <c r="F1849" s="54"/>
      <c r="H1849" s="114"/>
      <c r="J1849" s="183" t="str">
        <f>IFERROR(VLOOKUP(A1849,Internal_lists_bugs!$A$2:$I2031,9,FALSE()),"please select a BUG ID")</f>
        <v>please select a BUG ID</v>
      </c>
    </row>
    <row r="1850">
      <c r="A1850" s="54"/>
      <c r="B1850" s="71" t="str">
        <f>IFERROR(HYPERLINK(VLOOKUP(A1850,Internal_lists_bugs!$A$2:$C$73,3,FALSE()), VLOOKUP(A1850,Internal_lists_bugs!$A$2:$C$73,3,FALSE())&amp;Char(10) &amp; Char(10) &amp; VLOOKUP(A1850,Internal_lists_bugs!$A$2:$Z$73,26,FALSE())),"please select a BUG ID")</f>
        <v>please select a BUG ID</v>
      </c>
      <c r="C1850" s="51" t="str">
        <f>IFERROR(SUBSTITUTE(VLOOKUP(A1850,Internal_lists_bugs!$A$2:$G2031,7,FALSE()),"nova/commit","nova/src/commit"),"please select a BUG ID")</f>
        <v>please select a BUG ID</v>
      </c>
      <c r="D1850" s="54"/>
      <c r="F1850" s="54"/>
      <c r="H1850" s="114"/>
      <c r="J1850" s="183" t="str">
        <f>IFERROR(VLOOKUP(A1850,Internal_lists_bugs!$A$2:$I2031,9,FALSE()),"please select a BUG ID")</f>
        <v>please select a BUG ID</v>
      </c>
    </row>
    <row r="1851">
      <c r="A1851" s="54"/>
      <c r="B1851" s="71" t="str">
        <f>IFERROR(HYPERLINK(VLOOKUP(A1851,Internal_lists_bugs!$A$2:$C$73,3,FALSE()), VLOOKUP(A1851,Internal_lists_bugs!$A$2:$C$73,3,FALSE())&amp;Char(10) &amp; Char(10) &amp; VLOOKUP(A1851,Internal_lists_bugs!$A$2:$Z$73,26,FALSE())),"please select a BUG ID")</f>
        <v>please select a BUG ID</v>
      </c>
      <c r="C1851" s="51" t="str">
        <f>IFERROR(SUBSTITUTE(VLOOKUP(A1851,Internal_lists_bugs!$A$2:$G2031,7,FALSE()),"nova/commit","nova/src/commit"),"please select a BUG ID")</f>
        <v>please select a BUG ID</v>
      </c>
      <c r="D1851" s="54"/>
      <c r="F1851" s="54"/>
      <c r="H1851" s="114"/>
      <c r="J1851" s="183" t="str">
        <f>IFERROR(VLOOKUP(A1851,Internal_lists_bugs!$A$2:$I2031,9,FALSE()),"please select a BUG ID")</f>
        <v>please select a BUG ID</v>
      </c>
    </row>
    <row r="1852">
      <c r="A1852" s="54"/>
      <c r="B1852" s="71" t="str">
        <f>IFERROR(HYPERLINK(VLOOKUP(A1852,Internal_lists_bugs!$A$2:$C$73,3,FALSE()), VLOOKUP(A1852,Internal_lists_bugs!$A$2:$C$73,3,FALSE())&amp;Char(10) &amp; Char(10) &amp; VLOOKUP(A1852,Internal_lists_bugs!$A$2:$Z$73,26,FALSE())),"please select a BUG ID")</f>
        <v>please select a BUG ID</v>
      </c>
      <c r="C1852" s="51" t="str">
        <f>IFERROR(SUBSTITUTE(VLOOKUP(A1852,Internal_lists_bugs!$A$2:$G2031,7,FALSE()),"nova/commit","nova/src/commit"),"please select a BUG ID")</f>
        <v>please select a BUG ID</v>
      </c>
      <c r="D1852" s="54"/>
      <c r="F1852" s="54"/>
      <c r="H1852" s="114"/>
      <c r="J1852" s="183" t="str">
        <f>IFERROR(VLOOKUP(A1852,Internal_lists_bugs!$A$2:$I2031,9,FALSE()),"please select a BUG ID")</f>
        <v>please select a BUG ID</v>
      </c>
    </row>
    <row r="1853">
      <c r="A1853" s="54"/>
      <c r="B1853" s="71" t="str">
        <f>IFERROR(HYPERLINK(VLOOKUP(A1853,Internal_lists_bugs!$A$2:$C$73,3,FALSE()), VLOOKUP(A1853,Internal_lists_bugs!$A$2:$C$73,3,FALSE())&amp;Char(10) &amp; Char(10) &amp; VLOOKUP(A1853,Internal_lists_bugs!$A$2:$Z$73,26,FALSE())),"please select a BUG ID")</f>
        <v>please select a BUG ID</v>
      </c>
      <c r="C1853" s="51" t="str">
        <f>IFERROR(SUBSTITUTE(VLOOKUP(A1853,Internal_lists_bugs!$A$2:$G2031,7,FALSE()),"nova/commit","nova/src/commit"),"please select a BUG ID")</f>
        <v>please select a BUG ID</v>
      </c>
      <c r="D1853" s="54"/>
      <c r="F1853" s="54"/>
      <c r="H1853" s="114"/>
      <c r="J1853" s="183" t="str">
        <f>IFERROR(VLOOKUP(A1853,Internal_lists_bugs!$A$2:$I2031,9,FALSE()),"please select a BUG ID")</f>
        <v>please select a BUG ID</v>
      </c>
    </row>
    <row r="1854">
      <c r="A1854" s="54"/>
      <c r="B1854" s="71" t="str">
        <f>IFERROR(HYPERLINK(VLOOKUP(A1854,Internal_lists_bugs!$A$2:$C$73,3,FALSE()), VLOOKUP(A1854,Internal_lists_bugs!$A$2:$C$73,3,FALSE())&amp;Char(10) &amp; Char(10) &amp; VLOOKUP(A1854,Internal_lists_bugs!$A$2:$Z$73,26,FALSE())),"please select a BUG ID")</f>
        <v>please select a BUG ID</v>
      </c>
      <c r="C1854" s="51" t="str">
        <f>IFERROR(SUBSTITUTE(VLOOKUP(A1854,Internal_lists_bugs!$A$2:$G2031,7,FALSE()),"nova/commit","nova/src/commit"),"please select a BUG ID")</f>
        <v>please select a BUG ID</v>
      </c>
      <c r="D1854" s="54"/>
      <c r="F1854" s="54"/>
      <c r="H1854" s="114"/>
      <c r="J1854" s="183" t="str">
        <f>IFERROR(VLOOKUP(A1854,Internal_lists_bugs!$A$2:$I2031,9,FALSE()),"please select a BUG ID")</f>
        <v>please select a BUG ID</v>
      </c>
    </row>
    <row r="1855">
      <c r="A1855" s="54"/>
      <c r="B1855" s="71" t="str">
        <f>IFERROR(HYPERLINK(VLOOKUP(A1855,Internal_lists_bugs!$A$2:$C$73,3,FALSE()), VLOOKUP(A1855,Internal_lists_bugs!$A$2:$C$73,3,FALSE())&amp;Char(10) &amp; Char(10) &amp; VLOOKUP(A1855,Internal_lists_bugs!$A$2:$Z$73,26,FALSE())),"please select a BUG ID")</f>
        <v>please select a BUG ID</v>
      </c>
      <c r="C1855" s="51" t="str">
        <f>IFERROR(SUBSTITUTE(VLOOKUP(A1855,Internal_lists_bugs!$A$2:$G2031,7,FALSE()),"nova/commit","nova/src/commit"),"please select a BUG ID")</f>
        <v>please select a BUG ID</v>
      </c>
      <c r="D1855" s="54"/>
      <c r="F1855" s="54"/>
      <c r="H1855" s="114"/>
      <c r="J1855" s="183" t="str">
        <f>IFERROR(VLOOKUP(A1855,Internal_lists_bugs!$A$2:$I2031,9,FALSE()),"please select a BUG ID")</f>
        <v>please select a BUG ID</v>
      </c>
    </row>
    <row r="1856">
      <c r="A1856" s="54"/>
      <c r="B1856" s="71" t="str">
        <f>IFERROR(HYPERLINK(VLOOKUP(A1856,Internal_lists_bugs!$A$2:$C$73,3,FALSE()), VLOOKUP(A1856,Internal_lists_bugs!$A$2:$C$73,3,FALSE())&amp;Char(10) &amp; Char(10) &amp; VLOOKUP(A1856,Internal_lists_bugs!$A$2:$Z$73,26,FALSE())),"please select a BUG ID")</f>
        <v>please select a BUG ID</v>
      </c>
      <c r="C1856" s="51" t="str">
        <f>IFERROR(SUBSTITUTE(VLOOKUP(A1856,Internal_lists_bugs!$A$2:$G2031,7,FALSE()),"nova/commit","nova/src/commit"),"please select a BUG ID")</f>
        <v>please select a BUG ID</v>
      </c>
      <c r="D1856" s="54"/>
      <c r="F1856" s="54"/>
      <c r="H1856" s="114"/>
      <c r="J1856" s="183" t="str">
        <f>IFERROR(VLOOKUP(A1856,Internal_lists_bugs!$A$2:$I2031,9,FALSE()),"please select a BUG ID")</f>
        <v>please select a BUG ID</v>
      </c>
    </row>
    <row r="1857">
      <c r="A1857" s="54"/>
      <c r="B1857" s="71" t="str">
        <f>IFERROR(HYPERLINK(VLOOKUP(A1857,Internal_lists_bugs!$A$2:$C$73,3,FALSE()), VLOOKUP(A1857,Internal_lists_bugs!$A$2:$C$73,3,FALSE())&amp;Char(10) &amp; Char(10) &amp; VLOOKUP(A1857,Internal_lists_bugs!$A$2:$Z$73,26,FALSE())),"please select a BUG ID")</f>
        <v>please select a BUG ID</v>
      </c>
      <c r="C1857" s="51" t="str">
        <f>IFERROR(SUBSTITUTE(VLOOKUP(A1857,Internal_lists_bugs!$A$2:$G2031,7,FALSE()),"nova/commit","nova/src/commit"),"please select a BUG ID")</f>
        <v>please select a BUG ID</v>
      </c>
      <c r="D1857" s="54"/>
      <c r="F1857" s="54"/>
      <c r="H1857" s="114"/>
      <c r="J1857" s="183" t="str">
        <f>IFERROR(VLOOKUP(A1857,Internal_lists_bugs!$A$2:$I2031,9,FALSE()),"please select a BUG ID")</f>
        <v>please select a BUG ID</v>
      </c>
    </row>
    <row r="1858">
      <c r="A1858" s="54"/>
      <c r="B1858" s="71" t="str">
        <f>IFERROR(HYPERLINK(VLOOKUP(A1858,Internal_lists_bugs!$A$2:$C$73,3,FALSE()), VLOOKUP(A1858,Internal_lists_bugs!$A$2:$C$73,3,FALSE())&amp;Char(10) &amp; Char(10) &amp; VLOOKUP(A1858,Internal_lists_bugs!$A$2:$Z$73,26,FALSE())),"please select a BUG ID")</f>
        <v>please select a BUG ID</v>
      </c>
      <c r="C1858" s="51" t="str">
        <f>IFERROR(SUBSTITUTE(VLOOKUP(A1858,Internal_lists_bugs!$A$2:$G2031,7,FALSE()),"nova/commit","nova/src/commit"),"please select a BUG ID")</f>
        <v>please select a BUG ID</v>
      </c>
      <c r="D1858" s="54"/>
      <c r="F1858" s="54"/>
      <c r="H1858" s="114"/>
      <c r="J1858" s="183" t="str">
        <f>IFERROR(VLOOKUP(A1858,Internal_lists_bugs!$A$2:$I2031,9,FALSE()),"please select a BUG ID")</f>
        <v>please select a BUG ID</v>
      </c>
    </row>
    <row r="1859">
      <c r="A1859" s="54"/>
      <c r="B1859" s="71" t="str">
        <f>IFERROR(HYPERLINK(VLOOKUP(A1859,Internal_lists_bugs!$A$2:$C$73,3,FALSE()), VLOOKUP(A1859,Internal_lists_bugs!$A$2:$C$73,3,FALSE())&amp;Char(10) &amp; Char(10) &amp; VLOOKUP(A1859,Internal_lists_bugs!$A$2:$Z$73,26,FALSE())),"please select a BUG ID")</f>
        <v>please select a BUG ID</v>
      </c>
      <c r="C1859" s="51" t="str">
        <f>IFERROR(SUBSTITUTE(VLOOKUP(A1859,Internal_lists_bugs!$A$2:$G2031,7,FALSE()),"nova/commit","nova/src/commit"),"please select a BUG ID")</f>
        <v>please select a BUG ID</v>
      </c>
      <c r="D1859" s="54"/>
      <c r="F1859" s="54"/>
      <c r="H1859" s="114"/>
      <c r="J1859" s="183" t="str">
        <f>IFERROR(VLOOKUP(A1859,Internal_lists_bugs!$A$2:$I2031,9,FALSE()),"please select a BUG ID")</f>
        <v>please select a BUG ID</v>
      </c>
    </row>
    <row r="1860">
      <c r="A1860" s="54"/>
      <c r="B1860" s="71" t="str">
        <f>IFERROR(HYPERLINK(VLOOKUP(A1860,Internal_lists_bugs!$A$2:$C$73,3,FALSE()), VLOOKUP(A1860,Internal_lists_bugs!$A$2:$C$73,3,FALSE())&amp;Char(10) &amp; Char(10) &amp; VLOOKUP(A1860,Internal_lists_bugs!$A$2:$Z$73,26,FALSE())),"please select a BUG ID")</f>
        <v>please select a BUG ID</v>
      </c>
      <c r="C1860" s="51" t="str">
        <f>IFERROR(SUBSTITUTE(VLOOKUP(A1860,Internal_lists_bugs!$A$2:$G2031,7,FALSE()),"nova/commit","nova/src/commit"),"please select a BUG ID")</f>
        <v>please select a BUG ID</v>
      </c>
      <c r="D1860" s="54"/>
      <c r="F1860" s="54"/>
      <c r="H1860" s="114"/>
      <c r="J1860" s="183" t="str">
        <f>IFERROR(VLOOKUP(A1860,Internal_lists_bugs!$A$2:$I2031,9,FALSE()),"please select a BUG ID")</f>
        <v>please select a BUG ID</v>
      </c>
    </row>
    <row r="1861">
      <c r="A1861" s="54"/>
      <c r="B1861" s="71" t="str">
        <f>IFERROR(HYPERLINK(VLOOKUP(A1861,Internal_lists_bugs!$A$2:$C$73,3,FALSE()), VLOOKUP(A1861,Internal_lists_bugs!$A$2:$C$73,3,FALSE())&amp;Char(10) &amp; Char(10) &amp; VLOOKUP(A1861,Internal_lists_bugs!$A$2:$Z$73,26,FALSE())),"please select a BUG ID")</f>
        <v>please select a BUG ID</v>
      </c>
      <c r="C1861" s="51" t="str">
        <f>IFERROR(SUBSTITUTE(VLOOKUP(A1861,Internal_lists_bugs!$A$2:$G2031,7,FALSE()),"nova/commit","nova/src/commit"),"please select a BUG ID")</f>
        <v>please select a BUG ID</v>
      </c>
      <c r="D1861" s="54"/>
      <c r="F1861" s="54"/>
      <c r="H1861" s="114"/>
      <c r="J1861" s="183" t="str">
        <f>IFERROR(VLOOKUP(A1861,Internal_lists_bugs!$A$2:$I2031,9,FALSE()),"please select a BUG ID")</f>
        <v>please select a BUG ID</v>
      </c>
    </row>
    <row r="1862">
      <c r="A1862" s="54"/>
      <c r="B1862" s="71" t="str">
        <f>IFERROR(HYPERLINK(VLOOKUP(A1862,Internal_lists_bugs!$A$2:$C$73,3,FALSE()), VLOOKUP(A1862,Internal_lists_bugs!$A$2:$C$73,3,FALSE())&amp;Char(10) &amp; Char(10) &amp; VLOOKUP(A1862,Internal_lists_bugs!$A$2:$Z$73,26,FALSE())),"please select a BUG ID")</f>
        <v>please select a BUG ID</v>
      </c>
      <c r="C1862" s="51" t="str">
        <f>IFERROR(SUBSTITUTE(VLOOKUP(A1862,Internal_lists_bugs!$A$2:$G2031,7,FALSE()),"nova/commit","nova/src/commit"),"please select a BUG ID")</f>
        <v>please select a BUG ID</v>
      </c>
      <c r="D1862" s="54"/>
      <c r="F1862" s="54"/>
      <c r="H1862" s="114"/>
      <c r="J1862" s="183" t="str">
        <f>IFERROR(VLOOKUP(A1862,Internal_lists_bugs!$A$2:$I2031,9,FALSE()),"please select a BUG ID")</f>
        <v>please select a BUG ID</v>
      </c>
    </row>
    <row r="1863">
      <c r="A1863" s="54"/>
      <c r="B1863" s="71" t="str">
        <f>IFERROR(HYPERLINK(VLOOKUP(A1863,Internal_lists_bugs!$A$2:$C$73,3,FALSE()), VLOOKUP(A1863,Internal_lists_bugs!$A$2:$C$73,3,FALSE())&amp;Char(10) &amp; Char(10) &amp; VLOOKUP(A1863,Internal_lists_bugs!$A$2:$Z$73,26,FALSE())),"please select a BUG ID")</f>
        <v>please select a BUG ID</v>
      </c>
      <c r="C1863" s="51" t="str">
        <f>IFERROR(SUBSTITUTE(VLOOKUP(A1863,Internal_lists_bugs!$A$2:$G2031,7,FALSE()),"nova/commit","nova/src/commit"),"please select a BUG ID")</f>
        <v>please select a BUG ID</v>
      </c>
      <c r="D1863" s="54"/>
      <c r="F1863" s="54"/>
      <c r="H1863" s="114"/>
      <c r="J1863" s="183" t="str">
        <f>IFERROR(VLOOKUP(A1863,Internal_lists_bugs!$A$2:$I2031,9,FALSE()),"please select a BUG ID")</f>
        <v>please select a BUG ID</v>
      </c>
    </row>
    <row r="1864">
      <c r="A1864" s="54"/>
      <c r="B1864" s="71" t="str">
        <f>IFERROR(HYPERLINK(VLOOKUP(A1864,Internal_lists_bugs!$A$2:$C$73,3,FALSE()), VLOOKUP(A1864,Internal_lists_bugs!$A$2:$C$73,3,FALSE())&amp;Char(10) &amp; Char(10) &amp; VLOOKUP(A1864,Internal_lists_bugs!$A$2:$Z$73,26,FALSE())),"please select a BUG ID")</f>
        <v>please select a BUG ID</v>
      </c>
      <c r="C1864" s="51" t="str">
        <f>IFERROR(SUBSTITUTE(VLOOKUP(A1864,Internal_lists_bugs!$A$2:$G2031,7,FALSE()),"nova/commit","nova/src/commit"),"please select a BUG ID")</f>
        <v>please select a BUG ID</v>
      </c>
      <c r="D1864" s="54"/>
      <c r="F1864" s="54"/>
      <c r="H1864" s="114"/>
      <c r="J1864" s="183" t="str">
        <f>IFERROR(VLOOKUP(A1864,Internal_lists_bugs!$A$2:$I2031,9,FALSE()),"please select a BUG ID")</f>
        <v>please select a BUG ID</v>
      </c>
    </row>
    <row r="1865">
      <c r="A1865" s="54"/>
      <c r="B1865" s="71" t="str">
        <f>IFERROR(HYPERLINK(VLOOKUP(A1865,Internal_lists_bugs!$A$2:$C$73,3,FALSE()), VLOOKUP(A1865,Internal_lists_bugs!$A$2:$C$73,3,FALSE())&amp;Char(10) &amp; Char(10) &amp; VLOOKUP(A1865,Internal_lists_bugs!$A$2:$Z$73,26,FALSE())),"please select a BUG ID")</f>
        <v>please select a BUG ID</v>
      </c>
      <c r="C1865" s="51" t="str">
        <f>IFERROR(SUBSTITUTE(VLOOKUP(A1865,Internal_lists_bugs!$A$2:$G2031,7,FALSE()),"nova/commit","nova/src/commit"),"please select a BUG ID")</f>
        <v>please select a BUG ID</v>
      </c>
      <c r="D1865" s="54"/>
      <c r="F1865" s="54"/>
      <c r="H1865" s="114"/>
      <c r="J1865" s="183" t="str">
        <f>IFERROR(VLOOKUP(A1865,Internal_lists_bugs!$A$2:$I2031,9,FALSE()),"please select a BUG ID")</f>
        <v>please select a BUG ID</v>
      </c>
    </row>
    <row r="1866">
      <c r="A1866" s="54"/>
      <c r="B1866" s="71" t="str">
        <f>IFERROR(HYPERLINK(VLOOKUP(A1866,Internal_lists_bugs!$A$2:$C$73,3,FALSE()), VLOOKUP(A1866,Internal_lists_bugs!$A$2:$C$73,3,FALSE())&amp;Char(10) &amp; Char(10) &amp; VLOOKUP(A1866,Internal_lists_bugs!$A$2:$Z$73,26,FALSE())),"please select a BUG ID")</f>
        <v>please select a BUG ID</v>
      </c>
      <c r="C1866" s="51" t="str">
        <f>IFERROR(SUBSTITUTE(VLOOKUP(A1866,Internal_lists_bugs!$A$2:$G2031,7,FALSE()),"nova/commit","nova/src/commit"),"please select a BUG ID")</f>
        <v>please select a BUG ID</v>
      </c>
      <c r="D1866" s="54"/>
      <c r="F1866" s="54"/>
      <c r="H1866" s="114"/>
      <c r="J1866" s="183" t="str">
        <f>IFERROR(VLOOKUP(A1866,Internal_lists_bugs!$A$2:$I2031,9,FALSE()),"please select a BUG ID")</f>
        <v>please select a BUG ID</v>
      </c>
    </row>
    <row r="1867">
      <c r="A1867" s="54"/>
      <c r="B1867" s="71" t="str">
        <f>IFERROR(HYPERLINK(VLOOKUP(A1867,Internal_lists_bugs!$A$2:$C$73,3,FALSE()), VLOOKUP(A1867,Internal_lists_bugs!$A$2:$C$73,3,FALSE())&amp;Char(10) &amp; Char(10) &amp; VLOOKUP(A1867,Internal_lists_bugs!$A$2:$Z$73,26,FALSE())),"please select a BUG ID")</f>
        <v>please select a BUG ID</v>
      </c>
      <c r="C1867" s="51" t="str">
        <f>IFERROR(SUBSTITUTE(VLOOKUP(A1867,Internal_lists_bugs!$A$2:$G2031,7,FALSE()),"nova/commit","nova/src/commit"),"please select a BUG ID")</f>
        <v>please select a BUG ID</v>
      </c>
      <c r="D1867" s="54"/>
      <c r="F1867" s="54"/>
      <c r="H1867" s="114"/>
      <c r="J1867" s="183" t="str">
        <f>IFERROR(VLOOKUP(A1867,Internal_lists_bugs!$A$2:$I2031,9,FALSE()),"please select a BUG ID")</f>
        <v>please select a BUG ID</v>
      </c>
    </row>
    <row r="1868">
      <c r="A1868" s="54"/>
      <c r="B1868" s="71" t="str">
        <f>IFERROR(HYPERLINK(VLOOKUP(A1868,Internal_lists_bugs!$A$2:$C$73,3,FALSE()), VLOOKUP(A1868,Internal_lists_bugs!$A$2:$C$73,3,FALSE())&amp;Char(10) &amp; Char(10) &amp; VLOOKUP(A1868,Internal_lists_bugs!$A$2:$Z$73,26,FALSE())),"please select a BUG ID")</f>
        <v>please select a BUG ID</v>
      </c>
      <c r="C1868" s="51" t="str">
        <f>IFERROR(SUBSTITUTE(VLOOKUP(A1868,Internal_lists_bugs!$A$2:$G2031,7,FALSE()),"nova/commit","nova/src/commit"),"please select a BUG ID")</f>
        <v>please select a BUG ID</v>
      </c>
      <c r="D1868" s="54"/>
      <c r="F1868" s="54"/>
      <c r="H1868" s="114"/>
      <c r="J1868" s="183" t="str">
        <f>IFERROR(VLOOKUP(A1868,Internal_lists_bugs!$A$2:$I2031,9,FALSE()),"please select a BUG ID")</f>
        <v>please select a BUG ID</v>
      </c>
    </row>
    <row r="1869">
      <c r="A1869" s="54"/>
      <c r="B1869" s="71" t="str">
        <f>IFERROR(HYPERLINK(VLOOKUP(A1869,Internal_lists_bugs!$A$2:$C$73,3,FALSE()), VLOOKUP(A1869,Internal_lists_bugs!$A$2:$C$73,3,FALSE())&amp;Char(10) &amp; Char(10) &amp; VLOOKUP(A1869,Internal_lists_bugs!$A$2:$Z$73,26,FALSE())),"please select a BUG ID")</f>
        <v>please select a BUG ID</v>
      </c>
      <c r="C1869" s="51" t="str">
        <f>IFERROR(SUBSTITUTE(VLOOKUP(A1869,Internal_lists_bugs!$A$2:$G2031,7,FALSE()),"nova/commit","nova/src/commit"),"please select a BUG ID")</f>
        <v>please select a BUG ID</v>
      </c>
      <c r="D1869" s="54"/>
      <c r="F1869" s="54"/>
      <c r="H1869" s="114"/>
      <c r="J1869" s="183" t="str">
        <f>IFERROR(VLOOKUP(A1869,Internal_lists_bugs!$A$2:$I2031,9,FALSE()),"please select a BUG ID")</f>
        <v>please select a BUG ID</v>
      </c>
    </row>
    <row r="1870">
      <c r="A1870" s="54"/>
      <c r="B1870" s="71" t="str">
        <f>IFERROR(HYPERLINK(VLOOKUP(A1870,Internal_lists_bugs!$A$2:$C$73,3,FALSE()), VLOOKUP(A1870,Internal_lists_bugs!$A$2:$C$73,3,FALSE())&amp;Char(10) &amp; Char(10) &amp; VLOOKUP(A1870,Internal_lists_bugs!$A$2:$Z$73,26,FALSE())),"please select a BUG ID")</f>
        <v>please select a BUG ID</v>
      </c>
      <c r="C1870" s="51" t="str">
        <f>IFERROR(SUBSTITUTE(VLOOKUP(A1870,Internal_lists_bugs!$A$2:$G2031,7,FALSE()),"nova/commit","nova/src/commit"),"please select a BUG ID")</f>
        <v>please select a BUG ID</v>
      </c>
      <c r="D1870" s="54"/>
      <c r="F1870" s="54"/>
      <c r="H1870" s="114"/>
      <c r="J1870" s="183" t="str">
        <f>IFERROR(VLOOKUP(A1870,Internal_lists_bugs!$A$2:$I2031,9,FALSE()),"please select a BUG ID")</f>
        <v>please select a BUG ID</v>
      </c>
    </row>
    <row r="1871">
      <c r="A1871" s="54"/>
      <c r="B1871" s="71" t="str">
        <f>IFERROR(HYPERLINK(VLOOKUP(A1871,Internal_lists_bugs!$A$2:$C$73,3,FALSE()), VLOOKUP(A1871,Internal_lists_bugs!$A$2:$C$73,3,FALSE())&amp;Char(10) &amp; Char(10) &amp; VLOOKUP(A1871,Internal_lists_bugs!$A$2:$Z$73,26,FALSE())),"please select a BUG ID")</f>
        <v>please select a BUG ID</v>
      </c>
      <c r="C1871" s="51" t="str">
        <f>IFERROR(SUBSTITUTE(VLOOKUP(A1871,Internal_lists_bugs!$A$2:$G2031,7,FALSE()),"nova/commit","nova/src/commit"),"please select a BUG ID")</f>
        <v>please select a BUG ID</v>
      </c>
      <c r="D1871" s="54"/>
      <c r="F1871" s="54"/>
      <c r="H1871" s="114"/>
      <c r="J1871" s="183" t="str">
        <f>IFERROR(VLOOKUP(A1871,Internal_lists_bugs!$A$2:$I2031,9,FALSE()),"please select a BUG ID")</f>
        <v>please select a BUG ID</v>
      </c>
    </row>
    <row r="1872">
      <c r="A1872" s="54"/>
      <c r="B1872" s="71" t="str">
        <f>IFERROR(HYPERLINK(VLOOKUP(A1872,Internal_lists_bugs!$A$2:$C$73,3,FALSE()), VLOOKUP(A1872,Internal_lists_bugs!$A$2:$C$73,3,FALSE())&amp;Char(10) &amp; Char(10) &amp; VLOOKUP(A1872,Internal_lists_bugs!$A$2:$Z$73,26,FALSE())),"please select a BUG ID")</f>
        <v>please select a BUG ID</v>
      </c>
      <c r="C1872" s="51" t="str">
        <f>IFERROR(SUBSTITUTE(VLOOKUP(A1872,Internal_lists_bugs!$A$2:$G2031,7,FALSE()),"nova/commit","nova/src/commit"),"please select a BUG ID")</f>
        <v>please select a BUG ID</v>
      </c>
      <c r="D1872" s="54"/>
      <c r="F1872" s="54"/>
      <c r="H1872" s="114"/>
      <c r="J1872" s="183" t="str">
        <f>IFERROR(VLOOKUP(A1872,Internal_lists_bugs!$A$2:$I2031,9,FALSE()),"please select a BUG ID")</f>
        <v>please select a BUG ID</v>
      </c>
    </row>
    <row r="1873">
      <c r="A1873" s="54"/>
      <c r="B1873" s="71" t="str">
        <f>IFERROR(HYPERLINK(VLOOKUP(A1873,Internal_lists_bugs!$A$2:$C$73,3,FALSE()), VLOOKUP(A1873,Internal_lists_bugs!$A$2:$C$73,3,FALSE())&amp;Char(10) &amp; Char(10) &amp; VLOOKUP(A1873,Internal_lists_bugs!$A$2:$Z$73,26,FALSE())),"please select a BUG ID")</f>
        <v>please select a BUG ID</v>
      </c>
      <c r="C1873" s="51" t="str">
        <f>IFERROR(SUBSTITUTE(VLOOKUP(A1873,Internal_lists_bugs!$A$2:$G2031,7,FALSE()),"nova/commit","nova/src/commit"),"please select a BUG ID")</f>
        <v>please select a BUG ID</v>
      </c>
      <c r="D1873" s="54"/>
      <c r="F1873" s="54"/>
      <c r="H1873" s="114"/>
      <c r="J1873" s="183" t="str">
        <f>IFERROR(VLOOKUP(A1873,Internal_lists_bugs!$A$2:$I2031,9,FALSE()),"please select a BUG ID")</f>
        <v>please select a BUG ID</v>
      </c>
    </row>
    <row r="1874">
      <c r="A1874" s="54"/>
      <c r="B1874" s="71" t="str">
        <f>IFERROR(HYPERLINK(VLOOKUP(A1874,Internal_lists_bugs!$A$2:$C$73,3,FALSE()), VLOOKUP(A1874,Internal_lists_bugs!$A$2:$C$73,3,FALSE())&amp;Char(10) &amp; Char(10) &amp; VLOOKUP(A1874,Internal_lists_bugs!$A$2:$Z$73,26,FALSE())),"please select a BUG ID")</f>
        <v>please select a BUG ID</v>
      </c>
      <c r="C1874" s="51" t="str">
        <f>IFERROR(SUBSTITUTE(VLOOKUP(A1874,Internal_lists_bugs!$A$2:$G2031,7,FALSE()),"nova/commit","nova/src/commit"),"please select a BUG ID")</f>
        <v>please select a BUG ID</v>
      </c>
      <c r="D1874" s="54"/>
      <c r="F1874" s="54"/>
      <c r="H1874" s="114"/>
      <c r="J1874" s="183" t="str">
        <f>IFERROR(VLOOKUP(A1874,Internal_lists_bugs!$A$2:$I2031,9,FALSE()),"please select a BUG ID")</f>
        <v>please select a BUG ID</v>
      </c>
    </row>
    <row r="1875">
      <c r="A1875" s="54"/>
      <c r="B1875" s="71" t="str">
        <f>IFERROR(HYPERLINK(VLOOKUP(A1875,Internal_lists_bugs!$A$2:$C$73,3,FALSE()), VLOOKUP(A1875,Internal_lists_bugs!$A$2:$C$73,3,FALSE())&amp;Char(10) &amp; Char(10) &amp; VLOOKUP(A1875,Internal_lists_bugs!$A$2:$Z$73,26,FALSE())),"please select a BUG ID")</f>
        <v>please select a BUG ID</v>
      </c>
      <c r="C1875" s="51" t="str">
        <f>IFERROR(SUBSTITUTE(VLOOKUP(A1875,Internal_lists_bugs!$A$2:$G2031,7,FALSE()),"nova/commit","nova/src/commit"),"please select a BUG ID")</f>
        <v>please select a BUG ID</v>
      </c>
      <c r="D1875" s="54"/>
      <c r="F1875" s="54"/>
      <c r="H1875" s="114"/>
      <c r="J1875" s="183" t="str">
        <f>IFERROR(VLOOKUP(A1875,Internal_lists_bugs!$A$2:$I2031,9,FALSE()),"please select a BUG ID")</f>
        <v>please select a BUG ID</v>
      </c>
    </row>
    <row r="1876">
      <c r="A1876" s="54"/>
      <c r="B1876" s="71" t="str">
        <f>IFERROR(HYPERLINK(VLOOKUP(A1876,Internal_lists_bugs!$A$2:$C$73,3,FALSE()), VLOOKUP(A1876,Internal_lists_bugs!$A$2:$C$73,3,FALSE())&amp;Char(10) &amp; Char(10) &amp; VLOOKUP(A1876,Internal_lists_bugs!$A$2:$Z$73,26,FALSE())),"please select a BUG ID")</f>
        <v>please select a BUG ID</v>
      </c>
      <c r="C1876" s="51" t="str">
        <f>IFERROR(SUBSTITUTE(VLOOKUP(A1876,Internal_lists_bugs!$A$2:$G2031,7,FALSE()),"nova/commit","nova/src/commit"),"please select a BUG ID")</f>
        <v>please select a BUG ID</v>
      </c>
      <c r="D1876" s="54"/>
      <c r="F1876" s="54"/>
      <c r="H1876" s="114"/>
      <c r="J1876" s="183" t="str">
        <f>IFERROR(VLOOKUP(A1876,Internal_lists_bugs!$A$2:$I2031,9,FALSE()),"please select a BUG ID")</f>
        <v>please select a BUG ID</v>
      </c>
    </row>
    <row r="1877">
      <c r="A1877" s="54"/>
      <c r="B1877" s="71" t="str">
        <f>IFERROR(HYPERLINK(VLOOKUP(A1877,Internal_lists_bugs!$A$2:$C$73,3,FALSE()), VLOOKUP(A1877,Internal_lists_bugs!$A$2:$C$73,3,FALSE())&amp;Char(10) &amp; Char(10) &amp; VLOOKUP(A1877,Internal_lists_bugs!$A$2:$Z$73,26,FALSE())),"please select a BUG ID")</f>
        <v>please select a BUG ID</v>
      </c>
      <c r="C1877" s="51" t="str">
        <f>IFERROR(SUBSTITUTE(VLOOKUP(A1877,Internal_lists_bugs!$A$2:$G2031,7,FALSE()),"nova/commit","nova/src/commit"),"please select a BUG ID")</f>
        <v>please select a BUG ID</v>
      </c>
      <c r="D1877" s="54"/>
      <c r="F1877" s="54"/>
      <c r="H1877" s="114"/>
      <c r="J1877" s="183" t="str">
        <f>IFERROR(VLOOKUP(A1877,Internal_lists_bugs!$A$2:$I2031,9,FALSE()),"please select a BUG ID")</f>
        <v>please select a BUG ID</v>
      </c>
    </row>
    <row r="1878">
      <c r="A1878" s="54"/>
      <c r="B1878" s="71" t="str">
        <f>IFERROR(HYPERLINK(VLOOKUP(A1878,Internal_lists_bugs!$A$2:$C$73,3,FALSE()), VLOOKUP(A1878,Internal_lists_bugs!$A$2:$C$73,3,FALSE())&amp;Char(10) &amp; Char(10) &amp; VLOOKUP(A1878,Internal_lists_bugs!$A$2:$Z$73,26,FALSE())),"please select a BUG ID")</f>
        <v>please select a BUG ID</v>
      </c>
      <c r="C1878" s="51" t="str">
        <f>IFERROR(SUBSTITUTE(VLOOKUP(A1878,Internal_lists_bugs!$A$2:$G2031,7,FALSE()),"nova/commit","nova/src/commit"),"please select a BUG ID")</f>
        <v>please select a BUG ID</v>
      </c>
      <c r="D1878" s="54"/>
      <c r="F1878" s="54"/>
      <c r="H1878" s="114"/>
      <c r="J1878" s="183" t="str">
        <f>IFERROR(VLOOKUP(A1878,Internal_lists_bugs!$A$2:$I2031,9,FALSE()),"please select a BUG ID")</f>
        <v>please select a BUG ID</v>
      </c>
    </row>
    <row r="1879">
      <c r="A1879" s="54"/>
      <c r="B1879" s="71" t="str">
        <f>IFERROR(HYPERLINK(VLOOKUP(A1879,Internal_lists_bugs!$A$2:$C$73,3,FALSE()), VLOOKUP(A1879,Internal_lists_bugs!$A$2:$C$73,3,FALSE())&amp;Char(10) &amp; Char(10) &amp; VLOOKUP(A1879,Internal_lists_bugs!$A$2:$Z$73,26,FALSE())),"please select a BUG ID")</f>
        <v>please select a BUG ID</v>
      </c>
      <c r="C1879" s="51" t="str">
        <f>IFERROR(SUBSTITUTE(VLOOKUP(A1879,Internal_lists_bugs!$A$2:$G2031,7,FALSE()),"nova/commit","nova/src/commit"),"please select a BUG ID")</f>
        <v>please select a BUG ID</v>
      </c>
      <c r="D1879" s="54"/>
      <c r="F1879" s="54"/>
      <c r="H1879" s="114"/>
      <c r="J1879" s="183" t="str">
        <f>IFERROR(VLOOKUP(A1879,Internal_lists_bugs!$A$2:$I2031,9,FALSE()),"please select a BUG ID")</f>
        <v>please select a BUG ID</v>
      </c>
    </row>
    <row r="1880">
      <c r="A1880" s="54"/>
      <c r="B1880" s="71" t="str">
        <f>IFERROR(HYPERLINK(VLOOKUP(A1880,Internal_lists_bugs!$A$2:$C$73,3,FALSE()), VLOOKUP(A1880,Internal_lists_bugs!$A$2:$C$73,3,FALSE())&amp;Char(10) &amp; Char(10) &amp; VLOOKUP(A1880,Internal_lists_bugs!$A$2:$Z$73,26,FALSE())),"please select a BUG ID")</f>
        <v>please select a BUG ID</v>
      </c>
      <c r="C1880" s="51" t="str">
        <f>IFERROR(SUBSTITUTE(VLOOKUP(A1880,Internal_lists_bugs!$A$2:$G2031,7,FALSE()),"nova/commit","nova/src/commit"),"please select a BUG ID")</f>
        <v>please select a BUG ID</v>
      </c>
      <c r="D1880" s="54"/>
      <c r="F1880" s="54"/>
      <c r="H1880" s="114"/>
      <c r="J1880" s="183" t="str">
        <f>IFERROR(VLOOKUP(A1880,Internal_lists_bugs!$A$2:$I2031,9,FALSE()),"please select a BUG ID")</f>
        <v>please select a BUG ID</v>
      </c>
    </row>
    <row r="1881">
      <c r="A1881" s="54"/>
      <c r="B1881" s="71" t="str">
        <f>IFERROR(HYPERLINK(VLOOKUP(A1881,Internal_lists_bugs!$A$2:$C$73,3,FALSE()), VLOOKUP(A1881,Internal_lists_bugs!$A$2:$C$73,3,FALSE())&amp;Char(10) &amp; Char(10) &amp; VLOOKUP(A1881,Internal_lists_bugs!$A$2:$Z$73,26,FALSE())),"please select a BUG ID")</f>
        <v>please select a BUG ID</v>
      </c>
      <c r="C1881" s="51" t="str">
        <f>IFERROR(SUBSTITUTE(VLOOKUP(A1881,Internal_lists_bugs!$A$2:$G2031,7,FALSE()),"nova/commit","nova/src/commit"),"please select a BUG ID")</f>
        <v>please select a BUG ID</v>
      </c>
      <c r="D1881" s="54"/>
      <c r="F1881" s="54"/>
      <c r="H1881" s="114"/>
      <c r="J1881" s="183" t="str">
        <f>IFERROR(VLOOKUP(A1881,Internal_lists_bugs!$A$2:$I2031,9,FALSE()),"please select a BUG ID")</f>
        <v>please select a BUG ID</v>
      </c>
    </row>
    <row r="1882">
      <c r="A1882" s="54"/>
      <c r="B1882" s="71" t="str">
        <f>IFERROR(HYPERLINK(VLOOKUP(A1882,Internal_lists_bugs!$A$2:$C$73,3,FALSE()), VLOOKUP(A1882,Internal_lists_bugs!$A$2:$C$73,3,FALSE())&amp;Char(10) &amp; Char(10) &amp; VLOOKUP(A1882,Internal_lists_bugs!$A$2:$Z$73,26,FALSE())),"please select a BUG ID")</f>
        <v>please select a BUG ID</v>
      </c>
      <c r="C1882" s="51" t="str">
        <f>IFERROR(SUBSTITUTE(VLOOKUP(A1882,Internal_lists_bugs!$A$2:$G2031,7,FALSE()),"nova/commit","nova/src/commit"),"please select a BUG ID")</f>
        <v>please select a BUG ID</v>
      </c>
      <c r="D1882" s="54"/>
      <c r="F1882" s="54"/>
      <c r="H1882" s="114"/>
      <c r="J1882" s="183" t="str">
        <f>IFERROR(VLOOKUP(A1882,Internal_lists_bugs!$A$2:$I2031,9,FALSE()),"please select a BUG ID")</f>
        <v>please select a BUG ID</v>
      </c>
    </row>
    <row r="1883">
      <c r="A1883" s="54"/>
      <c r="B1883" s="71" t="str">
        <f>IFERROR(HYPERLINK(VLOOKUP(A1883,Internal_lists_bugs!$A$2:$C$73,3,FALSE()), VLOOKUP(A1883,Internal_lists_bugs!$A$2:$C$73,3,FALSE())&amp;Char(10) &amp; Char(10) &amp; VLOOKUP(A1883,Internal_lists_bugs!$A$2:$Z$73,26,FALSE())),"please select a BUG ID")</f>
        <v>please select a BUG ID</v>
      </c>
      <c r="C1883" s="51" t="str">
        <f>IFERROR(SUBSTITUTE(VLOOKUP(A1883,Internal_lists_bugs!$A$2:$G2031,7,FALSE()),"nova/commit","nova/src/commit"),"please select a BUG ID")</f>
        <v>please select a BUG ID</v>
      </c>
      <c r="D1883" s="54"/>
      <c r="F1883" s="54"/>
      <c r="H1883" s="114"/>
      <c r="J1883" s="183" t="str">
        <f>IFERROR(VLOOKUP(A1883,Internal_lists_bugs!$A$2:$I2031,9,FALSE()),"please select a BUG ID")</f>
        <v>please select a BUG ID</v>
      </c>
    </row>
    <row r="1884">
      <c r="A1884" s="54"/>
      <c r="B1884" s="71" t="str">
        <f>IFERROR(HYPERLINK(VLOOKUP(A1884,Internal_lists_bugs!$A$2:$C$73,3,FALSE()), VLOOKUP(A1884,Internal_lists_bugs!$A$2:$C$73,3,FALSE())&amp;Char(10) &amp; Char(10) &amp; VLOOKUP(A1884,Internal_lists_bugs!$A$2:$Z$73,26,FALSE())),"please select a BUG ID")</f>
        <v>please select a BUG ID</v>
      </c>
      <c r="C1884" s="51" t="str">
        <f>IFERROR(SUBSTITUTE(VLOOKUP(A1884,Internal_lists_bugs!$A$2:$G2031,7,FALSE()),"nova/commit","nova/src/commit"),"please select a BUG ID")</f>
        <v>please select a BUG ID</v>
      </c>
      <c r="D1884" s="54"/>
      <c r="F1884" s="54"/>
      <c r="H1884" s="114"/>
      <c r="J1884" s="183" t="str">
        <f>IFERROR(VLOOKUP(A1884,Internal_lists_bugs!$A$2:$I2031,9,FALSE()),"please select a BUG ID")</f>
        <v>please select a BUG ID</v>
      </c>
    </row>
    <row r="1885">
      <c r="A1885" s="54"/>
      <c r="B1885" s="71" t="str">
        <f>IFERROR(HYPERLINK(VLOOKUP(A1885,Internal_lists_bugs!$A$2:$C$73,3,FALSE()), VLOOKUP(A1885,Internal_lists_bugs!$A$2:$C$73,3,FALSE())&amp;Char(10) &amp; Char(10) &amp; VLOOKUP(A1885,Internal_lists_bugs!$A$2:$Z$73,26,FALSE())),"please select a BUG ID")</f>
        <v>please select a BUG ID</v>
      </c>
      <c r="C1885" s="51" t="str">
        <f>IFERROR(SUBSTITUTE(VLOOKUP(A1885,Internal_lists_bugs!$A$2:$G2031,7,FALSE()),"nova/commit","nova/src/commit"),"please select a BUG ID")</f>
        <v>please select a BUG ID</v>
      </c>
      <c r="D1885" s="54"/>
      <c r="F1885" s="54"/>
      <c r="H1885" s="114"/>
      <c r="J1885" s="183" t="str">
        <f>IFERROR(VLOOKUP(A1885,Internal_lists_bugs!$A$2:$I2031,9,FALSE()),"please select a BUG ID")</f>
        <v>please select a BUG ID</v>
      </c>
    </row>
    <row r="1886">
      <c r="A1886" s="54"/>
      <c r="B1886" s="71" t="str">
        <f>IFERROR(HYPERLINK(VLOOKUP(A1886,Internal_lists_bugs!$A$2:$C$73,3,FALSE()), VLOOKUP(A1886,Internal_lists_bugs!$A$2:$C$73,3,FALSE())&amp;Char(10) &amp; Char(10) &amp; VLOOKUP(A1886,Internal_lists_bugs!$A$2:$Z$73,26,FALSE())),"please select a BUG ID")</f>
        <v>please select a BUG ID</v>
      </c>
      <c r="C1886" s="51" t="str">
        <f>IFERROR(SUBSTITUTE(VLOOKUP(A1886,Internal_lists_bugs!$A$2:$G2031,7,FALSE()),"nova/commit","nova/src/commit"),"please select a BUG ID")</f>
        <v>please select a BUG ID</v>
      </c>
      <c r="D1886" s="54"/>
      <c r="F1886" s="54"/>
      <c r="H1886" s="114"/>
      <c r="J1886" s="183" t="str">
        <f>IFERROR(VLOOKUP(A1886,Internal_lists_bugs!$A$2:$I2031,9,FALSE()),"please select a BUG ID")</f>
        <v>please select a BUG ID</v>
      </c>
    </row>
    <row r="1887">
      <c r="A1887" s="54"/>
      <c r="B1887" s="71" t="str">
        <f>IFERROR(HYPERLINK(VLOOKUP(A1887,Internal_lists_bugs!$A$2:$C$73,3,FALSE()), VLOOKUP(A1887,Internal_lists_bugs!$A$2:$C$73,3,FALSE())&amp;Char(10) &amp; Char(10) &amp; VLOOKUP(A1887,Internal_lists_bugs!$A$2:$Z$73,26,FALSE())),"please select a BUG ID")</f>
        <v>please select a BUG ID</v>
      </c>
      <c r="C1887" s="51" t="str">
        <f>IFERROR(SUBSTITUTE(VLOOKUP(A1887,Internal_lists_bugs!$A$2:$G2031,7,FALSE()),"nova/commit","nova/src/commit"),"please select a BUG ID")</f>
        <v>please select a BUG ID</v>
      </c>
      <c r="D1887" s="54"/>
      <c r="F1887" s="54"/>
      <c r="H1887" s="114"/>
      <c r="J1887" s="183" t="str">
        <f>IFERROR(VLOOKUP(A1887,Internal_lists_bugs!$A$2:$I2031,9,FALSE()),"please select a BUG ID")</f>
        <v>please select a BUG ID</v>
      </c>
    </row>
    <row r="1888">
      <c r="A1888" s="54"/>
      <c r="B1888" s="71" t="str">
        <f>IFERROR(HYPERLINK(VLOOKUP(A1888,Internal_lists_bugs!$A$2:$C$73,3,FALSE()), VLOOKUP(A1888,Internal_lists_bugs!$A$2:$C$73,3,FALSE())&amp;Char(10) &amp; Char(10) &amp; VLOOKUP(A1888,Internal_lists_bugs!$A$2:$Z$73,26,FALSE())),"please select a BUG ID")</f>
        <v>please select a BUG ID</v>
      </c>
      <c r="C1888" s="51" t="str">
        <f>IFERROR(SUBSTITUTE(VLOOKUP(A1888,Internal_lists_bugs!$A$2:$G2031,7,FALSE()),"nova/commit","nova/src/commit"),"please select a BUG ID")</f>
        <v>please select a BUG ID</v>
      </c>
      <c r="D1888" s="54"/>
      <c r="F1888" s="54"/>
      <c r="H1888" s="114"/>
      <c r="J1888" s="183" t="str">
        <f>IFERROR(VLOOKUP(A1888,Internal_lists_bugs!$A$2:$I2031,9,FALSE()),"please select a BUG ID")</f>
        <v>please select a BUG ID</v>
      </c>
    </row>
    <row r="1889">
      <c r="A1889" s="54"/>
      <c r="B1889" s="71" t="str">
        <f>IFERROR(HYPERLINK(VLOOKUP(A1889,Internal_lists_bugs!$A$2:$C$73,3,FALSE()), VLOOKUP(A1889,Internal_lists_bugs!$A$2:$C$73,3,FALSE())&amp;Char(10) &amp; Char(10) &amp; VLOOKUP(A1889,Internal_lists_bugs!$A$2:$Z$73,26,FALSE())),"please select a BUG ID")</f>
        <v>please select a BUG ID</v>
      </c>
      <c r="C1889" s="51" t="str">
        <f>IFERROR(SUBSTITUTE(VLOOKUP(A1889,Internal_lists_bugs!$A$2:$G2031,7,FALSE()),"nova/commit","nova/src/commit"),"please select a BUG ID")</f>
        <v>please select a BUG ID</v>
      </c>
      <c r="D1889" s="54"/>
      <c r="F1889" s="54"/>
      <c r="H1889" s="114"/>
      <c r="J1889" s="183" t="str">
        <f>IFERROR(VLOOKUP(A1889,Internal_lists_bugs!$A$2:$I2031,9,FALSE()),"please select a BUG ID")</f>
        <v>please select a BUG ID</v>
      </c>
    </row>
    <row r="1890">
      <c r="A1890" s="54"/>
      <c r="B1890" s="71" t="str">
        <f>IFERROR(HYPERLINK(VLOOKUP(A1890,Internal_lists_bugs!$A$2:$C$73,3,FALSE()), VLOOKUP(A1890,Internal_lists_bugs!$A$2:$C$73,3,FALSE())&amp;Char(10) &amp; Char(10) &amp; VLOOKUP(A1890,Internal_lists_bugs!$A$2:$Z$73,26,FALSE())),"please select a BUG ID")</f>
        <v>please select a BUG ID</v>
      </c>
      <c r="C1890" s="51" t="str">
        <f>IFERROR(SUBSTITUTE(VLOOKUP(A1890,Internal_lists_bugs!$A$2:$G2031,7,FALSE()),"nova/commit","nova/src/commit"),"please select a BUG ID")</f>
        <v>please select a BUG ID</v>
      </c>
      <c r="D1890" s="54"/>
      <c r="F1890" s="54"/>
      <c r="H1890" s="114"/>
      <c r="J1890" s="183" t="str">
        <f>IFERROR(VLOOKUP(A1890,Internal_lists_bugs!$A$2:$I2031,9,FALSE()),"please select a BUG ID")</f>
        <v>please select a BUG ID</v>
      </c>
    </row>
    <row r="1891">
      <c r="A1891" s="54"/>
      <c r="B1891" s="71" t="str">
        <f>IFERROR(HYPERLINK(VLOOKUP(A1891,Internal_lists_bugs!$A$2:$C$73,3,FALSE()), VLOOKUP(A1891,Internal_lists_bugs!$A$2:$C$73,3,FALSE())&amp;Char(10) &amp; Char(10) &amp; VLOOKUP(A1891,Internal_lists_bugs!$A$2:$Z$73,26,FALSE())),"please select a BUG ID")</f>
        <v>please select a BUG ID</v>
      </c>
      <c r="C1891" s="51" t="str">
        <f>IFERROR(SUBSTITUTE(VLOOKUP(A1891,Internal_lists_bugs!$A$2:$G2031,7,FALSE()),"nova/commit","nova/src/commit"),"please select a BUG ID")</f>
        <v>please select a BUG ID</v>
      </c>
      <c r="D1891" s="54"/>
      <c r="F1891" s="54"/>
      <c r="H1891" s="114"/>
      <c r="J1891" s="183" t="str">
        <f>IFERROR(VLOOKUP(A1891,Internal_lists_bugs!$A$2:$I2031,9,FALSE()),"please select a BUG ID")</f>
        <v>please select a BUG ID</v>
      </c>
    </row>
    <row r="1892">
      <c r="A1892" s="54"/>
      <c r="B1892" s="71" t="str">
        <f>IFERROR(HYPERLINK(VLOOKUP(A1892,Internal_lists_bugs!$A$2:$C$73,3,FALSE()), VLOOKUP(A1892,Internal_lists_bugs!$A$2:$C$73,3,FALSE())&amp;Char(10) &amp; Char(10) &amp; VLOOKUP(A1892,Internal_lists_bugs!$A$2:$Z$73,26,FALSE())),"please select a BUG ID")</f>
        <v>please select a BUG ID</v>
      </c>
      <c r="C1892" s="51" t="str">
        <f>IFERROR(SUBSTITUTE(VLOOKUP(A1892,Internal_lists_bugs!$A$2:$G2031,7,FALSE()),"nova/commit","nova/src/commit"),"please select a BUG ID")</f>
        <v>please select a BUG ID</v>
      </c>
      <c r="D1892" s="54"/>
      <c r="F1892" s="54"/>
      <c r="H1892" s="114"/>
      <c r="J1892" s="183" t="str">
        <f>IFERROR(VLOOKUP(A1892,Internal_lists_bugs!$A$2:$I2031,9,FALSE()),"please select a BUG ID")</f>
        <v>please select a BUG ID</v>
      </c>
    </row>
    <row r="1893">
      <c r="A1893" s="54"/>
      <c r="B1893" s="71" t="str">
        <f>IFERROR(HYPERLINK(VLOOKUP(A1893,Internal_lists_bugs!$A$2:$C$73,3,FALSE()), VLOOKUP(A1893,Internal_lists_bugs!$A$2:$C$73,3,FALSE())&amp;Char(10) &amp; Char(10) &amp; VLOOKUP(A1893,Internal_lists_bugs!$A$2:$Z$73,26,FALSE())),"please select a BUG ID")</f>
        <v>please select a BUG ID</v>
      </c>
      <c r="C1893" s="51" t="str">
        <f>IFERROR(SUBSTITUTE(VLOOKUP(A1893,Internal_lists_bugs!$A$2:$G2031,7,FALSE()),"nova/commit","nova/src/commit"),"please select a BUG ID")</f>
        <v>please select a BUG ID</v>
      </c>
      <c r="D1893" s="54"/>
      <c r="F1893" s="54"/>
      <c r="H1893" s="114"/>
      <c r="J1893" s="183" t="str">
        <f>IFERROR(VLOOKUP(A1893,Internal_lists_bugs!$A$2:$I2031,9,FALSE()),"please select a BUG ID")</f>
        <v>please select a BUG ID</v>
      </c>
    </row>
    <row r="1894">
      <c r="A1894" s="54"/>
      <c r="B1894" s="71" t="str">
        <f>IFERROR(HYPERLINK(VLOOKUP(A1894,Internal_lists_bugs!$A$2:$C$73,3,FALSE()), VLOOKUP(A1894,Internal_lists_bugs!$A$2:$C$73,3,FALSE())&amp;Char(10) &amp; Char(10) &amp; VLOOKUP(A1894,Internal_lists_bugs!$A$2:$Z$73,26,FALSE())),"please select a BUG ID")</f>
        <v>please select a BUG ID</v>
      </c>
      <c r="C1894" s="51" t="str">
        <f>IFERROR(SUBSTITUTE(VLOOKUP(A1894,Internal_lists_bugs!$A$2:$G2031,7,FALSE()),"nova/commit","nova/src/commit"),"please select a BUG ID")</f>
        <v>please select a BUG ID</v>
      </c>
      <c r="D1894" s="54"/>
      <c r="F1894" s="54"/>
      <c r="H1894" s="114"/>
      <c r="J1894" s="183" t="str">
        <f>IFERROR(VLOOKUP(A1894,Internal_lists_bugs!$A$2:$I2031,9,FALSE()),"please select a BUG ID")</f>
        <v>please select a BUG ID</v>
      </c>
    </row>
    <row r="1895">
      <c r="A1895" s="54"/>
      <c r="B1895" s="71" t="str">
        <f>IFERROR(HYPERLINK(VLOOKUP(A1895,Internal_lists_bugs!$A$2:$C$73,3,FALSE()), VLOOKUP(A1895,Internal_lists_bugs!$A$2:$C$73,3,FALSE())&amp;Char(10) &amp; Char(10) &amp; VLOOKUP(A1895,Internal_lists_bugs!$A$2:$Z$73,26,FALSE())),"please select a BUG ID")</f>
        <v>please select a BUG ID</v>
      </c>
      <c r="C1895" s="51" t="str">
        <f>IFERROR(SUBSTITUTE(VLOOKUP(A1895,Internal_lists_bugs!$A$2:$G2031,7,FALSE()),"nova/commit","nova/src/commit"),"please select a BUG ID")</f>
        <v>please select a BUG ID</v>
      </c>
      <c r="D1895" s="54"/>
      <c r="F1895" s="54"/>
      <c r="H1895" s="114"/>
      <c r="J1895" s="183" t="str">
        <f>IFERROR(VLOOKUP(A1895,Internal_lists_bugs!$A$2:$I2031,9,FALSE()),"please select a BUG ID")</f>
        <v>please select a BUG ID</v>
      </c>
    </row>
    <row r="1896">
      <c r="A1896" s="54"/>
      <c r="B1896" s="71" t="str">
        <f>IFERROR(HYPERLINK(VLOOKUP(A1896,Internal_lists_bugs!$A$2:$C$73,3,FALSE()), VLOOKUP(A1896,Internal_lists_bugs!$A$2:$C$73,3,FALSE())&amp;Char(10) &amp; Char(10) &amp; VLOOKUP(A1896,Internal_lists_bugs!$A$2:$Z$73,26,FALSE())),"please select a BUG ID")</f>
        <v>please select a BUG ID</v>
      </c>
      <c r="C1896" s="51" t="str">
        <f>IFERROR(SUBSTITUTE(VLOOKUP(A1896,Internal_lists_bugs!$A$2:$G2031,7,FALSE()),"nova/commit","nova/src/commit"),"please select a BUG ID")</f>
        <v>please select a BUG ID</v>
      </c>
      <c r="D1896" s="54"/>
      <c r="F1896" s="54"/>
      <c r="H1896" s="114"/>
      <c r="J1896" s="183" t="str">
        <f>IFERROR(VLOOKUP(A1896,Internal_lists_bugs!$A$2:$I2031,9,FALSE()),"please select a BUG ID")</f>
        <v>please select a BUG ID</v>
      </c>
    </row>
    <row r="1897">
      <c r="A1897" s="54"/>
      <c r="B1897" s="71" t="str">
        <f>IFERROR(HYPERLINK(VLOOKUP(A1897,Internal_lists_bugs!$A$2:$C$73,3,FALSE()), VLOOKUP(A1897,Internal_lists_bugs!$A$2:$C$73,3,FALSE())&amp;Char(10) &amp; Char(10) &amp; VLOOKUP(A1897,Internal_lists_bugs!$A$2:$Z$73,26,FALSE())),"please select a BUG ID")</f>
        <v>please select a BUG ID</v>
      </c>
      <c r="C1897" s="51" t="str">
        <f>IFERROR(SUBSTITUTE(VLOOKUP(A1897,Internal_lists_bugs!$A$2:$G2031,7,FALSE()),"nova/commit","nova/src/commit"),"please select a BUG ID")</f>
        <v>please select a BUG ID</v>
      </c>
      <c r="D1897" s="54"/>
      <c r="F1897" s="54"/>
      <c r="H1897" s="114"/>
      <c r="J1897" s="183" t="str">
        <f>IFERROR(VLOOKUP(A1897,Internal_lists_bugs!$A$2:$I2031,9,FALSE()),"please select a BUG ID")</f>
        <v>please select a BUG ID</v>
      </c>
    </row>
    <row r="1898">
      <c r="A1898" s="54"/>
      <c r="B1898" s="71" t="str">
        <f>IFERROR(HYPERLINK(VLOOKUP(A1898,Internal_lists_bugs!$A$2:$C$73,3,FALSE()), VLOOKUP(A1898,Internal_lists_bugs!$A$2:$C$73,3,FALSE())&amp;Char(10) &amp; Char(10) &amp; VLOOKUP(A1898,Internal_lists_bugs!$A$2:$Z$73,26,FALSE())),"please select a BUG ID")</f>
        <v>please select a BUG ID</v>
      </c>
      <c r="C1898" s="51" t="str">
        <f>IFERROR(SUBSTITUTE(VLOOKUP(A1898,Internal_lists_bugs!$A$2:$G2031,7,FALSE()),"nova/commit","nova/src/commit"),"please select a BUG ID")</f>
        <v>please select a BUG ID</v>
      </c>
      <c r="D1898" s="54"/>
      <c r="F1898" s="54"/>
      <c r="H1898" s="114"/>
      <c r="J1898" s="183" t="str">
        <f>IFERROR(VLOOKUP(A1898,Internal_lists_bugs!$A$2:$I2031,9,FALSE()),"please select a BUG ID")</f>
        <v>please select a BUG ID</v>
      </c>
    </row>
    <row r="1899">
      <c r="A1899" s="54"/>
      <c r="B1899" s="71" t="str">
        <f>IFERROR(HYPERLINK(VLOOKUP(A1899,Internal_lists_bugs!$A$2:$C$73,3,FALSE()), VLOOKUP(A1899,Internal_lists_bugs!$A$2:$C$73,3,FALSE())&amp;Char(10) &amp; Char(10) &amp; VLOOKUP(A1899,Internal_lists_bugs!$A$2:$Z$73,26,FALSE())),"please select a BUG ID")</f>
        <v>please select a BUG ID</v>
      </c>
      <c r="C1899" s="51" t="str">
        <f>IFERROR(SUBSTITUTE(VLOOKUP(A1899,Internal_lists_bugs!$A$2:$G2031,7,FALSE()),"nova/commit","nova/src/commit"),"please select a BUG ID")</f>
        <v>please select a BUG ID</v>
      </c>
      <c r="D1899" s="54"/>
      <c r="F1899" s="54"/>
      <c r="H1899" s="114"/>
      <c r="J1899" s="183" t="str">
        <f>IFERROR(VLOOKUP(A1899,Internal_lists_bugs!$A$2:$I2031,9,FALSE()),"please select a BUG ID")</f>
        <v>please select a BUG ID</v>
      </c>
    </row>
    <row r="1900">
      <c r="A1900" s="54"/>
      <c r="B1900" s="71" t="str">
        <f>IFERROR(HYPERLINK(VLOOKUP(A1900,Internal_lists_bugs!$A$2:$C$73,3,FALSE()), VLOOKUP(A1900,Internal_lists_bugs!$A$2:$C$73,3,FALSE())&amp;Char(10) &amp; Char(10) &amp; VLOOKUP(A1900,Internal_lists_bugs!$A$2:$Z$73,26,FALSE())),"please select a BUG ID")</f>
        <v>please select a BUG ID</v>
      </c>
      <c r="C1900" s="51" t="str">
        <f>IFERROR(SUBSTITUTE(VLOOKUP(A1900,Internal_lists_bugs!$A$2:$G2031,7,FALSE()),"nova/commit","nova/src/commit"),"please select a BUG ID")</f>
        <v>please select a BUG ID</v>
      </c>
      <c r="D1900" s="54"/>
      <c r="F1900" s="54"/>
      <c r="H1900" s="114"/>
      <c r="J1900" s="183" t="str">
        <f>IFERROR(VLOOKUP(A1900,Internal_lists_bugs!$A$2:$I2031,9,FALSE()),"please select a BUG ID")</f>
        <v>please select a BUG ID</v>
      </c>
    </row>
    <row r="1901">
      <c r="A1901" s="54"/>
      <c r="B1901" s="71" t="str">
        <f>IFERROR(HYPERLINK(VLOOKUP(A1901,Internal_lists_bugs!$A$2:$C$73,3,FALSE()), VLOOKUP(A1901,Internal_lists_bugs!$A$2:$C$73,3,FALSE())&amp;Char(10) &amp; Char(10) &amp; VLOOKUP(A1901,Internal_lists_bugs!$A$2:$Z$73,26,FALSE())),"please select a BUG ID")</f>
        <v>please select a BUG ID</v>
      </c>
      <c r="C1901" s="51" t="str">
        <f>IFERROR(SUBSTITUTE(VLOOKUP(A1901,Internal_lists_bugs!$A$2:$G2031,7,FALSE()),"nova/commit","nova/src/commit"),"please select a BUG ID")</f>
        <v>please select a BUG ID</v>
      </c>
      <c r="D1901" s="54"/>
      <c r="F1901" s="54"/>
      <c r="H1901" s="114"/>
      <c r="J1901" s="183" t="str">
        <f>IFERROR(VLOOKUP(A1901,Internal_lists_bugs!$A$2:$I2031,9,FALSE()),"please select a BUG ID")</f>
        <v>please select a BUG ID</v>
      </c>
    </row>
    <row r="1902">
      <c r="A1902" s="54"/>
      <c r="B1902" s="71" t="str">
        <f>IFERROR(HYPERLINK(VLOOKUP(A1902,Internal_lists_bugs!$A$2:$C$73,3,FALSE()), VLOOKUP(A1902,Internal_lists_bugs!$A$2:$C$73,3,FALSE())&amp;Char(10) &amp; Char(10) &amp; VLOOKUP(A1902,Internal_lists_bugs!$A$2:$Z$73,26,FALSE())),"please select a BUG ID")</f>
        <v>please select a BUG ID</v>
      </c>
      <c r="C1902" s="51" t="str">
        <f>IFERROR(SUBSTITUTE(VLOOKUP(A1902,Internal_lists_bugs!$A$2:$G2031,7,FALSE()),"nova/commit","nova/src/commit"),"please select a BUG ID")</f>
        <v>please select a BUG ID</v>
      </c>
      <c r="D1902" s="54"/>
      <c r="F1902" s="54"/>
      <c r="H1902" s="114"/>
      <c r="J1902" s="183" t="str">
        <f>IFERROR(VLOOKUP(A1902,Internal_lists_bugs!$A$2:$I2031,9,FALSE()),"please select a BUG ID")</f>
        <v>please select a BUG ID</v>
      </c>
    </row>
    <row r="1903">
      <c r="A1903" s="54"/>
      <c r="B1903" s="71" t="str">
        <f>IFERROR(HYPERLINK(VLOOKUP(A1903,Internal_lists_bugs!$A$2:$C$73,3,FALSE()), VLOOKUP(A1903,Internal_lists_bugs!$A$2:$C$73,3,FALSE())&amp;Char(10) &amp; Char(10) &amp; VLOOKUP(A1903,Internal_lists_bugs!$A$2:$Z$73,26,FALSE())),"please select a BUG ID")</f>
        <v>please select a BUG ID</v>
      </c>
      <c r="C1903" s="51" t="str">
        <f>IFERROR(SUBSTITUTE(VLOOKUP(A1903,Internal_lists_bugs!$A$2:$G2031,7,FALSE()),"nova/commit","nova/src/commit"),"please select a BUG ID")</f>
        <v>please select a BUG ID</v>
      </c>
      <c r="D1903" s="54"/>
      <c r="F1903" s="54"/>
      <c r="H1903" s="114"/>
      <c r="J1903" s="183" t="str">
        <f>IFERROR(VLOOKUP(A1903,Internal_lists_bugs!$A$2:$I2031,9,FALSE()),"please select a BUG ID")</f>
        <v>please select a BUG ID</v>
      </c>
    </row>
    <row r="1904">
      <c r="A1904" s="54"/>
      <c r="B1904" s="71" t="str">
        <f>IFERROR(HYPERLINK(VLOOKUP(A1904,Internal_lists_bugs!$A$2:$C$73,3,FALSE()), VLOOKUP(A1904,Internal_lists_bugs!$A$2:$C$73,3,FALSE())&amp;Char(10) &amp; Char(10) &amp; VLOOKUP(A1904,Internal_lists_bugs!$A$2:$Z$73,26,FALSE())),"please select a BUG ID")</f>
        <v>please select a BUG ID</v>
      </c>
      <c r="C1904" s="51" t="str">
        <f>IFERROR(SUBSTITUTE(VLOOKUP(A1904,Internal_lists_bugs!$A$2:$G2031,7,FALSE()),"nova/commit","nova/src/commit"),"please select a BUG ID")</f>
        <v>please select a BUG ID</v>
      </c>
      <c r="D1904" s="54"/>
      <c r="F1904" s="54"/>
      <c r="H1904" s="114"/>
      <c r="J1904" s="183" t="str">
        <f>IFERROR(VLOOKUP(A1904,Internal_lists_bugs!$A$2:$I2031,9,FALSE()),"please select a BUG ID")</f>
        <v>please select a BUG ID</v>
      </c>
    </row>
    <row r="1905">
      <c r="A1905" s="54"/>
      <c r="B1905" s="71" t="str">
        <f>IFERROR(HYPERLINK(VLOOKUP(A1905,Internal_lists_bugs!$A$2:$C$73,3,FALSE()), VLOOKUP(A1905,Internal_lists_bugs!$A$2:$C$73,3,FALSE())&amp;Char(10) &amp; Char(10) &amp; VLOOKUP(A1905,Internal_lists_bugs!$A$2:$Z$73,26,FALSE())),"please select a BUG ID")</f>
        <v>please select a BUG ID</v>
      </c>
      <c r="C1905" s="51" t="str">
        <f>IFERROR(SUBSTITUTE(VLOOKUP(A1905,Internal_lists_bugs!$A$2:$G2031,7,FALSE()),"nova/commit","nova/src/commit"),"please select a BUG ID")</f>
        <v>please select a BUG ID</v>
      </c>
      <c r="D1905" s="54"/>
      <c r="F1905" s="54"/>
      <c r="H1905" s="114"/>
      <c r="J1905" s="183" t="str">
        <f>IFERROR(VLOOKUP(A1905,Internal_lists_bugs!$A$2:$I2031,9,FALSE()),"please select a BUG ID")</f>
        <v>please select a BUG ID</v>
      </c>
    </row>
    <row r="1906">
      <c r="A1906" s="54"/>
      <c r="B1906" s="71" t="str">
        <f>IFERROR(HYPERLINK(VLOOKUP(A1906,Internal_lists_bugs!$A$2:$C$73,3,FALSE()), VLOOKUP(A1906,Internal_lists_bugs!$A$2:$C$73,3,FALSE())&amp;Char(10) &amp; Char(10) &amp; VLOOKUP(A1906,Internal_lists_bugs!$A$2:$Z$73,26,FALSE())),"please select a BUG ID")</f>
        <v>please select a BUG ID</v>
      </c>
      <c r="C1906" s="51" t="str">
        <f>IFERROR(SUBSTITUTE(VLOOKUP(A1906,Internal_lists_bugs!$A$2:$G2031,7,FALSE()),"nova/commit","nova/src/commit"),"please select a BUG ID")</f>
        <v>please select a BUG ID</v>
      </c>
      <c r="D1906" s="54"/>
      <c r="F1906" s="54"/>
      <c r="H1906" s="114"/>
      <c r="J1906" s="183" t="str">
        <f>IFERROR(VLOOKUP(A1906,Internal_lists_bugs!$A$2:$I2031,9,FALSE()),"please select a BUG ID")</f>
        <v>please select a BUG ID</v>
      </c>
    </row>
    <row r="1907">
      <c r="A1907" s="54"/>
      <c r="B1907" s="71" t="str">
        <f>IFERROR(HYPERLINK(VLOOKUP(A1907,Internal_lists_bugs!$A$2:$C$73,3,FALSE()), VLOOKUP(A1907,Internal_lists_bugs!$A$2:$C$73,3,FALSE())&amp;Char(10) &amp; Char(10) &amp; VLOOKUP(A1907,Internal_lists_bugs!$A$2:$Z$73,26,FALSE())),"please select a BUG ID")</f>
        <v>please select a BUG ID</v>
      </c>
      <c r="C1907" s="51" t="str">
        <f>IFERROR(SUBSTITUTE(VLOOKUP(A1907,Internal_lists_bugs!$A$2:$G2031,7,FALSE()),"nova/commit","nova/src/commit"),"please select a BUG ID")</f>
        <v>please select a BUG ID</v>
      </c>
      <c r="D1907" s="54"/>
      <c r="F1907" s="54"/>
      <c r="H1907" s="114"/>
      <c r="J1907" s="183" t="str">
        <f>IFERROR(VLOOKUP(A1907,Internal_lists_bugs!$A$2:$I2031,9,FALSE()),"please select a BUG ID")</f>
        <v>please select a BUG ID</v>
      </c>
    </row>
    <row r="1908">
      <c r="A1908" s="54"/>
      <c r="B1908" s="71" t="str">
        <f>IFERROR(HYPERLINK(VLOOKUP(A1908,Internal_lists_bugs!$A$2:$C$73,3,FALSE()), VLOOKUP(A1908,Internal_lists_bugs!$A$2:$C$73,3,FALSE())&amp;Char(10) &amp; Char(10) &amp; VLOOKUP(A1908,Internal_lists_bugs!$A$2:$Z$73,26,FALSE())),"please select a BUG ID")</f>
        <v>please select a BUG ID</v>
      </c>
      <c r="C1908" s="51" t="str">
        <f>IFERROR(SUBSTITUTE(VLOOKUP(A1908,Internal_lists_bugs!$A$2:$G2031,7,FALSE()),"nova/commit","nova/src/commit"),"please select a BUG ID")</f>
        <v>please select a BUG ID</v>
      </c>
      <c r="D1908" s="54"/>
      <c r="F1908" s="54"/>
      <c r="H1908" s="114"/>
      <c r="J1908" s="183" t="str">
        <f>IFERROR(VLOOKUP(A1908,Internal_lists_bugs!$A$2:$I2031,9,FALSE()),"please select a BUG ID")</f>
        <v>please select a BUG ID</v>
      </c>
    </row>
    <row r="1909">
      <c r="A1909" s="54"/>
      <c r="B1909" s="71" t="str">
        <f>IFERROR(HYPERLINK(VLOOKUP(A1909,Internal_lists_bugs!$A$2:$C$73,3,FALSE()), VLOOKUP(A1909,Internal_lists_bugs!$A$2:$C$73,3,FALSE())&amp;Char(10) &amp; Char(10) &amp; VLOOKUP(A1909,Internal_lists_bugs!$A$2:$Z$73,26,FALSE())),"please select a BUG ID")</f>
        <v>please select a BUG ID</v>
      </c>
      <c r="C1909" s="51" t="str">
        <f>IFERROR(SUBSTITUTE(VLOOKUP(A1909,Internal_lists_bugs!$A$2:$G2031,7,FALSE()),"nova/commit","nova/src/commit"),"please select a BUG ID")</f>
        <v>please select a BUG ID</v>
      </c>
      <c r="D1909" s="54"/>
      <c r="F1909" s="54"/>
      <c r="H1909" s="114"/>
      <c r="J1909" s="183" t="str">
        <f>IFERROR(VLOOKUP(A1909,Internal_lists_bugs!$A$2:$I2031,9,FALSE()),"please select a BUG ID")</f>
        <v>please select a BUG ID</v>
      </c>
    </row>
    <row r="1910">
      <c r="A1910" s="54"/>
      <c r="B1910" s="71" t="str">
        <f>IFERROR(HYPERLINK(VLOOKUP(A1910,Internal_lists_bugs!$A$2:$C$73,3,FALSE()), VLOOKUP(A1910,Internal_lists_bugs!$A$2:$C$73,3,FALSE())&amp;Char(10) &amp; Char(10) &amp; VLOOKUP(A1910,Internal_lists_bugs!$A$2:$Z$73,26,FALSE())),"please select a BUG ID")</f>
        <v>please select a BUG ID</v>
      </c>
      <c r="C1910" s="51" t="str">
        <f>IFERROR(SUBSTITUTE(VLOOKUP(A1910,Internal_lists_bugs!$A$2:$G2031,7,FALSE()),"nova/commit","nova/src/commit"),"please select a BUG ID")</f>
        <v>please select a BUG ID</v>
      </c>
      <c r="D1910" s="54"/>
      <c r="F1910" s="54"/>
      <c r="H1910" s="114"/>
      <c r="J1910" s="183" t="str">
        <f>IFERROR(VLOOKUP(A1910,Internal_lists_bugs!$A$2:$I2031,9,FALSE()),"please select a BUG ID")</f>
        <v>please select a BUG ID</v>
      </c>
    </row>
    <row r="1911">
      <c r="A1911" s="54"/>
      <c r="B1911" s="71" t="str">
        <f>IFERROR(HYPERLINK(VLOOKUP(A1911,Internal_lists_bugs!$A$2:$C$73,3,FALSE()), VLOOKUP(A1911,Internal_lists_bugs!$A$2:$C$73,3,FALSE())&amp;Char(10) &amp; Char(10) &amp; VLOOKUP(A1911,Internal_lists_bugs!$A$2:$Z$73,26,FALSE())),"please select a BUG ID")</f>
        <v>please select a BUG ID</v>
      </c>
      <c r="C1911" s="51" t="str">
        <f>IFERROR(SUBSTITUTE(VLOOKUP(A1911,Internal_lists_bugs!$A$2:$G2031,7,FALSE()),"nova/commit","nova/src/commit"),"please select a BUG ID")</f>
        <v>please select a BUG ID</v>
      </c>
      <c r="D1911" s="54"/>
      <c r="F1911" s="54"/>
      <c r="H1911" s="114"/>
      <c r="J1911" s="183" t="str">
        <f>IFERROR(VLOOKUP(A1911,Internal_lists_bugs!$A$2:$I2031,9,FALSE()),"please select a BUG ID")</f>
        <v>please select a BUG ID</v>
      </c>
    </row>
    <row r="1912">
      <c r="A1912" s="54"/>
      <c r="B1912" s="71" t="str">
        <f>IFERROR(HYPERLINK(VLOOKUP(A1912,Internal_lists_bugs!$A$2:$C$73,3,FALSE()), VLOOKUP(A1912,Internal_lists_bugs!$A$2:$C$73,3,FALSE())&amp;Char(10) &amp; Char(10) &amp; VLOOKUP(A1912,Internal_lists_bugs!$A$2:$Z$73,26,FALSE())),"please select a BUG ID")</f>
        <v>please select a BUG ID</v>
      </c>
      <c r="C1912" s="51" t="str">
        <f>IFERROR(SUBSTITUTE(VLOOKUP(A1912,Internal_lists_bugs!$A$2:$G2031,7,FALSE()),"nova/commit","nova/src/commit"),"please select a BUG ID")</f>
        <v>please select a BUG ID</v>
      </c>
      <c r="D1912" s="54"/>
      <c r="F1912" s="54"/>
      <c r="H1912" s="114"/>
      <c r="J1912" s="183" t="str">
        <f>IFERROR(VLOOKUP(A1912,Internal_lists_bugs!$A$2:$I2031,9,FALSE()),"please select a BUG ID")</f>
        <v>please select a BUG ID</v>
      </c>
    </row>
    <row r="1913">
      <c r="A1913" s="54"/>
      <c r="B1913" s="71" t="str">
        <f>IFERROR(HYPERLINK(VLOOKUP(A1913,Internal_lists_bugs!$A$2:$C$73,3,FALSE()), VLOOKUP(A1913,Internal_lists_bugs!$A$2:$C$73,3,FALSE())&amp;Char(10) &amp; Char(10) &amp; VLOOKUP(A1913,Internal_lists_bugs!$A$2:$Z$73,26,FALSE())),"please select a BUG ID")</f>
        <v>please select a BUG ID</v>
      </c>
      <c r="C1913" s="51" t="str">
        <f>IFERROR(SUBSTITUTE(VLOOKUP(A1913,Internal_lists_bugs!$A$2:$G2031,7,FALSE()),"nova/commit","nova/src/commit"),"please select a BUG ID")</f>
        <v>please select a BUG ID</v>
      </c>
      <c r="D1913" s="54"/>
      <c r="F1913" s="54"/>
      <c r="H1913" s="114"/>
      <c r="J1913" s="183" t="str">
        <f>IFERROR(VLOOKUP(A1913,Internal_lists_bugs!$A$2:$I2031,9,FALSE()),"please select a BUG ID")</f>
        <v>please select a BUG ID</v>
      </c>
    </row>
    <row r="1914">
      <c r="A1914" s="54"/>
      <c r="B1914" s="71" t="str">
        <f>IFERROR(HYPERLINK(VLOOKUP(A1914,Internal_lists_bugs!$A$2:$C$73,3,FALSE()), VLOOKUP(A1914,Internal_lists_bugs!$A$2:$C$73,3,FALSE())&amp;Char(10) &amp; Char(10) &amp; VLOOKUP(A1914,Internal_lists_bugs!$A$2:$Z$73,26,FALSE())),"please select a BUG ID")</f>
        <v>please select a BUG ID</v>
      </c>
      <c r="C1914" s="51" t="str">
        <f>IFERROR(SUBSTITUTE(VLOOKUP(A1914,Internal_lists_bugs!$A$2:$G2031,7,FALSE()),"nova/commit","nova/src/commit"),"please select a BUG ID")</f>
        <v>please select a BUG ID</v>
      </c>
      <c r="D1914" s="54"/>
      <c r="F1914" s="54"/>
      <c r="H1914" s="114"/>
      <c r="J1914" s="183" t="str">
        <f>IFERROR(VLOOKUP(A1914,Internal_lists_bugs!$A$2:$I2031,9,FALSE()),"please select a BUG ID")</f>
        <v>please select a BUG ID</v>
      </c>
    </row>
    <row r="1915">
      <c r="A1915" s="54"/>
      <c r="B1915" s="71" t="str">
        <f>IFERROR(HYPERLINK(VLOOKUP(A1915,Internal_lists_bugs!$A$2:$C$73,3,FALSE()), VLOOKUP(A1915,Internal_lists_bugs!$A$2:$C$73,3,FALSE())&amp;Char(10) &amp; Char(10) &amp; VLOOKUP(A1915,Internal_lists_bugs!$A$2:$Z$73,26,FALSE())),"please select a BUG ID")</f>
        <v>please select a BUG ID</v>
      </c>
      <c r="C1915" s="51" t="str">
        <f>IFERROR(SUBSTITUTE(VLOOKUP(A1915,Internal_lists_bugs!$A$2:$G2031,7,FALSE()),"nova/commit","nova/src/commit"),"please select a BUG ID")</f>
        <v>please select a BUG ID</v>
      </c>
      <c r="D1915" s="54"/>
      <c r="F1915" s="54"/>
      <c r="H1915" s="114"/>
      <c r="J1915" s="183" t="str">
        <f>IFERROR(VLOOKUP(A1915,Internal_lists_bugs!$A$2:$I2031,9,FALSE()),"please select a BUG ID")</f>
        <v>please select a BUG ID</v>
      </c>
    </row>
    <row r="1916">
      <c r="A1916" s="54"/>
      <c r="B1916" s="71" t="str">
        <f>IFERROR(HYPERLINK(VLOOKUP(A1916,Internal_lists_bugs!$A$2:$C$73,3,FALSE()), VLOOKUP(A1916,Internal_lists_bugs!$A$2:$C$73,3,FALSE())&amp;Char(10) &amp; Char(10) &amp; VLOOKUP(A1916,Internal_lists_bugs!$A$2:$Z$73,26,FALSE())),"please select a BUG ID")</f>
        <v>please select a BUG ID</v>
      </c>
      <c r="C1916" s="51" t="str">
        <f>IFERROR(SUBSTITUTE(VLOOKUP(A1916,Internal_lists_bugs!$A$2:$G2031,7,FALSE()),"nova/commit","nova/src/commit"),"please select a BUG ID")</f>
        <v>please select a BUG ID</v>
      </c>
      <c r="D1916" s="54"/>
      <c r="F1916" s="54"/>
      <c r="H1916" s="114"/>
      <c r="J1916" s="183" t="str">
        <f>IFERROR(VLOOKUP(A1916,Internal_lists_bugs!$A$2:$I2031,9,FALSE()),"please select a BUG ID")</f>
        <v>please select a BUG ID</v>
      </c>
    </row>
    <row r="1917">
      <c r="A1917" s="54"/>
      <c r="B1917" s="71" t="str">
        <f>IFERROR(HYPERLINK(VLOOKUP(A1917,Internal_lists_bugs!$A$2:$C$73,3,FALSE()), VLOOKUP(A1917,Internal_lists_bugs!$A$2:$C$73,3,FALSE())&amp;Char(10) &amp; Char(10) &amp; VLOOKUP(A1917,Internal_lists_bugs!$A$2:$Z$73,26,FALSE())),"please select a BUG ID")</f>
        <v>please select a BUG ID</v>
      </c>
      <c r="C1917" s="51" t="str">
        <f>IFERROR(SUBSTITUTE(VLOOKUP(A1917,Internal_lists_bugs!$A$2:$G2031,7,FALSE()),"nova/commit","nova/src/commit"),"please select a BUG ID")</f>
        <v>please select a BUG ID</v>
      </c>
      <c r="D1917" s="54"/>
      <c r="F1917" s="54"/>
      <c r="H1917" s="114"/>
      <c r="J1917" s="183" t="str">
        <f>IFERROR(VLOOKUP(A1917,Internal_lists_bugs!$A$2:$I2031,9,FALSE()),"please select a BUG ID")</f>
        <v>please select a BUG ID</v>
      </c>
    </row>
    <row r="1918">
      <c r="A1918" s="54"/>
      <c r="B1918" s="71" t="str">
        <f>IFERROR(HYPERLINK(VLOOKUP(A1918,Internal_lists_bugs!$A$2:$C$73,3,FALSE()), VLOOKUP(A1918,Internal_lists_bugs!$A$2:$C$73,3,FALSE())&amp;Char(10) &amp; Char(10) &amp; VLOOKUP(A1918,Internal_lists_bugs!$A$2:$Z$73,26,FALSE())),"please select a BUG ID")</f>
        <v>please select a BUG ID</v>
      </c>
      <c r="C1918" s="51" t="str">
        <f>IFERROR(SUBSTITUTE(VLOOKUP(A1918,Internal_lists_bugs!$A$2:$G2031,7,FALSE()),"nova/commit","nova/src/commit"),"please select a BUG ID")</f>
        <v>please select a BUG ID</v>
      </c>
      <c r="D1918" s="54"/>
      <c r="F1918" s="54"/>
      <c r="H1918" s="114"/>
      <c r="J1918" s="183" t="str">
        <f>IFERROR(VLOOKUP(A1918,Internal_lists_bugs!$A$2:$I2031,9,FALSE()),"please select a BUG ID")</f>
        <v>please select a BUG ID</v>
      </c>
    </row>
    <row r="1919">
      <c r="A1919" s="54"/>
      <c r="B1919" s="71" t="str">
        <f>IFERROR(HYPERLINK(VLOOKUP(A1919,Internal_lists_bugs!$A$2:$C$73,3,FALSE()), VLOOKUP(A1919,Internal_lists_bugs!$A$2:$C$73,3,FALSE())&amp;Char(10) &amp; Char(10) &amp; VLOOKUP(A1919,Internal_lists_bugs!$A$2:$Z$73,26,FALSE())),"please select a BUG ID")</f>
        <v>please select a BUG ID</v>
      </c>
      <c r="C1919" s="51" t="str">
        <f>IFERROR(SUBSTITUTE(VLOOKUP(A1919,Internal_lists_bugs!$A$2:$G2031,7,FALSE()),"nova/commit","nova/src/commit"),"please select a BUG ID")</f>
        <v>please select a BUG ID</v>
      </c>
      <c r="D1919" s="54"/>
      <c r="F1919" s="54"/>
      <c r="H1919" s="114"/>
      <c r="J1919" s="183" t="str">
        <f>IFERROR(VLOOKUP(A1919,Internal_lists_bugs!$A$2:$I2031,9,FALSE()),"please select a BUG ID")</f>
        <v>please select a BUG ID</v>
      </c>
    </row>
    <row r="1920">
      <c r="A1920" s="54"/>
      <c r="B1920" s="71" t="str">
        <f>IFERROR(HYPERLINK(VLOOKUP(A1920,Internal_lists_bugs!$A$2:$C$73,3,FALSE()), VLOOKUP(A1920,Internal_lists_bugs!$A$2:$C$73,3,FALSE())&amp;Char(10) &amp; Char(10) &amp; VLOOKUP(A1920,Internal_lists_bugs!$A$2:$Z$73,26,FALSE())),"please select a BUG ID")</f>
        <v>please select a BUG ID</v>
      </c>
      <c r="C1920" s="51" t="str">
        <f>IFERROR(SUBSTITUTE(VLOOKUP(A1920,Internal_lists_bugs!$A$2:$G2031,7,FALSE()),"nova/commit","nova/src/commit"),"please select a BUG ID")</f>
        <v>please select a BUG ID</v>
      </c>
      <c r="D1920" s="54"/>
      <c r="F1920" s="54"/>
      <c r="H1920" s="114"/>
      <c r="J1920" s="183" t="str">
        <f>IFERROR(VLOOKUP(A1920,Internal_lists_bugs!$A$2:$I2031,9,FALSE()),"please select a BUG ID")</f>
        <v>please select a BUG ID</v>
      </c>
    </row>
    <row r="1921">
      <c r="A1921" s="54"/>
      <c r="B1921" s="71" t="str">
        <f>IFERROR(HYPERLINK(VLOOKUP(A1921,Internal_lists_bugs!$A$2:$C$73,3,FALSE()), VLOOKUP(A1921,Internal_lists_bugs!$A$2:$C$73,3,FALSE())&amp;Char(10) &amp; Char(10) &amp; VLOOKUP(A1921,Internal_lists_bugs!$A$2:$Z$73,26,FALSE())),"please select a BUG ID")</f>
        <v>please select a BUG ID</v>
      </c>
      <c r="C1921" s="51" t="str">
        <f>IFERROR(SUBSTITUTE(VLOOKUP(A1921,Internal_lists_bugs!$A$2:$G2031,7,FALSE()),"nova/commit","nova/src/commit"),"please select a BUG ID")</f>
        <v>please select a BUG ID</v>
      </c>
      <c r="D1921" s="54"/>
      <c r="F1921" s="54"/>
      <c r="H1921" s="114"/>
      <c r="J1921" s="183" t="str">
        <f>IFERROR(VLOOKUP(A1921,Internal_lists_bugs!$A$2:$I2031,9,FALSE()),"please select a BUG ID")</f>
        <v>please select a BUG ID</v>
      </c>
    </row>
    <row r="1922">
      <c r="A1922" s="54"/>
      <c r="B1922" s="71" t="str">
        <f>IFERROR(HYPERLINK(VLOOKUP(A1922,Internal_lists_bugs!$A$2:$C$73,3,FALSE()), VLOOKUP(A1922,Internal_lists_bugs!$A$2:$C$73,3,FALSE())&amp;Char(10) &amp; Char(10) &amp; VLOOKUP(A1922,Internal_lists_bugs!$A$2:$Z$73,26,FALSE())),"please select a BUG ID")</f>
        <v>please select a BUG ID</v>
      </c>
      <c r="C1922" s="51" t="str">
        <f>IFERROR(SUBSTITUTE(VLOOKUP(A1922,Internal_lists_bugs!$A$2:$G2031,7,FALSE()),"nova/commit","nova/src/commit"),"please select a BUG ID")</f>
        <v>please select a BUG ID</v>
      </c>
      <c r="D1922" s="54"/>
      <c r="F1922" s="54"/>
      <c r="H1922" s="114"/>
      <c r="J1922" s="183" t="str">
        <f>IFERROR(VLOOKUP(A1922,Internal_lists_bugs!$A$2:$I2031,9,FALSE()),"please select a BUG ID")</f>
        <v>please select a BUG ID</v>
      </c>
    </row>
    <row r="1923">
      <c r="A1923" s="54"/>
      <c r="B1923" s="71" t="str">
        <f>IFERROR(HYPERLINK(VLOOKUP(A1923,Internal_lists_bugs!$A$2:$C$73,3,FALSE()), VLOOKUP(A1923,Internal_lists_bugs!$A$2:$C$73,3,FALSE())&amp;Char(10) &amp; Char(10) &amp; VLOOKUP(A1923,Internal_lists_bugs!$A$2:$Z$73,26,FALSE())),"please select a BUG ID")</f>
        <v>please select a BUG ID</v>
      </c>
      <c r="C1923" s="51" t="str">
        <f>IFERROR(SUBSTITUTE(VLOOKUP(A1923,Internal_lists_bugs!$A$2:$G2031,7,FALSE()),"nova/commit","nova/src/commit"),"please select a BUG ID")</f>
        <v>please select a BUG ID</v>
      </c>
      <c r="D1923" s="54"/>
      <c r="F1923" s="54"/>
      <c r="H1923" s="114"/>
      <c r="J1923" s="183" t="str">
        <f>IFERROR(VLOOKUP(A1923,Internal_lists_bugs!$A$2:$I2031,9,FALSE()),"please select a BUG ID")</f>
        <v>please select a BUG ID</v>
      </c>
    </row>
    <row r="1924">
      <c r="A1924" s="54"/>
      <c r="B1924" s="71" t="str">
        <f>IFERROR(HYPERLINK(VLOOKUP(A1924,Internal_lists_bugs!$A$2:$C$73,3,FALSE()), VLOOKUP(A1924,Internal_lists_bugs!$A$2:$C$73,3,FALSE())&amp;Char(10) &amp; Char(10) &amp; VLOOKUP(A1924,Internal_lists_bugs!$A$2:$Z$73,26,FALSE())),"please select a BUG ID")</f>
        <v>please select a BUG ID</v>
      </c>
      <c r="C1924" s="51" t="str">
        <f>IFERROR(SUBSTITUTE(VLOOKUP(A1924,Internal_lists_bugs!$A$2:$G2031,7,FALSE()),"nova/commit","nova/src/commit"),"please select a BUG ID")</f>
        <v>please select a BUG ID</v>
      </c>
      <c r="D1924" s="54"/>
      <c r="F1924" s="54"/>
      <c r="H1924" s="114"/>
      <c r="J1924" s="183" t="str">
        <f>IFERROR(VLOOKUP(A1924,Internal_lists_bugs!$A$2:$I2031,9,FALSE()),"please select a BUG ID")</f>
        <v>please select a BUG ID</v>
      </c>
    </row>
    <row r="1925">
      <c r="A1925" s="54"/>
      <c r="B1925" s="71" t="str">
        <f>IFERROR(HYPERLINK(VLOOKUP(A1925,Internal_lists_bugs!$A$2:$C$73,3,FALSE()), VLOOKUP(A1925,Internal_lists_bugs!$A$2:$C$73,3,FALSE())&amp;Char(10) &amp; Char(10) &amp; VLOOKUP(A1925,Internal_lists_bugs!$A$2:$Z$73,26,FALSE())),"please select a BUG ID")</f>
        <v>please select a BUG ID</v>
      </c>
      <c r="C1925" s="51" t="str">
        <f>IFERROR(SUBSTITUTE(VLOOKUP(A1925,Internal_lists_bugs!$A$2:$G2031,7,FALSE()),"nova/commit","nova/src/commit"),"please select a BUG ID")</f>
        <v>please select a BUG ID</v>
      </c>
      <c r="D1925" s="54"/>
      <c r="F1925" s="54"/>
      <c r="H1925" s="114"/>
      <c r="J1925" s="183" t="str">
        <f>IFERROR(VLOOKUP(A1925,Internal_lists_bugs!$A$2:$I2031,9,FALSE()),"please select a BUG ID")</f>
        <v>please select a BUG ID</v>
      </c>
    </row>
    <row r="1926">
      <c r="A1926" s="54"/>
      <c r="B1926" s="71" t="str">
        <f>IFERROR(HYPERLINK(VLOOKUP(A1926,Internal_lists_bugs!$A$2:$C$73,3,FALSE()), VLOOKUP(A1926,Internal_lists_bugs!$A$2:$C$73,3,FALSE())&amp;Char(10) &amp; Char(10) &amp; VLOOKUP(A1926,Internal_lists_bugs!$A$2:$Z$73,26,FALSE())),"please select a BUG ID")</f>
        <v>please select a BUG ID</v>
      </c>
      <c r="C1926" s="51" t="str">
        <f>IFERROR(SUBSTITUTE(VLOOKUP(A1926,Internal_lists_bugs!$A$2:$G2031,7,FALSE()),"nova/commit","nova/src/commit"),"please select a BUG ID")</f>
        <v>please select a BUG ID</v>
      </c>
      <c r="D1926" s="54"/>
      <c r="F1926" s="54"/>
      <c r="H1926" s="114"/>
      <c r="J1926" s="183" t="str">
        <f>IFERROR(VLOOKUP(A1926,Internal_lists_bugs!$A$2:$I2031,9,FALSE()),"please select a BUG ID")</f>
        <v>please select a BUG ID</v>
      </c>
    </row>
    <row r="1927">
      <c r="A1927" s="54"/>
      <c r="B1927" s="71" t="str">
        <f>IFERROR(HYPERLINK(VLOOKUP(A1927,Internal_lists_bugs!$A$2:$C$73,3,FALSE()), VLOOKUP(A1927,Internal_lists_bugs!$A$2:$C$73,3,FALSE())&amp;Char(10) &amp; Char(10) &amp; VLOOKUP(A1927,Internal_lists_bugs!$A$2:$Z$73,26,FALSE())),"please select a BUG ID")</f>
        <v>please select a BUG ID</v>
      </c>
      <c r="C1927" s="51" t="str">
        <f>IFERROR(SUBSTITUTE(VLOOKUP(A1927,Internal_lists_bugs!$A$2:$G2031,7,FALSE()),"nova/commit","nova/src/commit"),"please select a BUG ID")</f>
        <v>please select a BUG ID</v>
      </c>
      <c r="D1927" s="54"/>
      <c r="F1927" s="54"/>
      <c r="H1927" s="114"/>
      <c r="J1927" s="183" t="str">
        <f>IFERROR(VLOOKUP(A1927,Internal_lists_bugs!$A$2:$I2031,9,FALSE()),"please select a BUG ID")</f>
        <v>please select a BUG ID</v>
      </c>
    </row>
    <row r="1928">
      <c r="A1928" s="54"/>
      <c r="B1928" s="71" t="str">
        <f>IFERROR(HYPERLINK(VLOOKUP(A1928,Internal_lists_bugs!$A$2:$C$73,3,FALSE()), VLOOKUP(A1928,Internal_lists_bugs!$A$2:$C$73,3,FALSE())&amp;Char(10) &amp; Char(10) &amp; VLOOKUP(A1928,Internal_lists_bugs!$A$2:$Z$73,26,FALSE())),"please select a BUG ID")</f>
        <v>please select a BUG ID</v>
      </c>
      <c r="C1928" s="51" t="str">
        <f>IFERROR(SUBSTITUTE(VLOOKUP(A1928,Internal_lists_bugs!$A$2:$G2031,7,FALSE()),"nova/commit","nova/src/commit"),"please select a BUG ID")</f>
        <v>please select a BUG ID</v>
      </c>
      <c r="D1928" s="54"/>
      <c r="F1928" s="54"/>
      <c r="H1928" s="114"/>
      <c r="J1928" s="183" t="str">
        <f>IFERROR(VLOOKUP(A1928,Internal_lists_bugs!$A$2:$I2031,9,FALSE()),"please select a BUG ID")</f>
        <v>please select a BUG ID</v>
      </c>
    </row>
    <row r="1929">
      <c r="A1929" s="54"/>
      <c r="B1929" s="71" t="str">
        <f>IFERROR(HYPERLINK(VLOOKUP(A1929,Internal_lists_bugs!$A$2:$C$73,3,FALSE()), VLOOKUP(A1929,Internal_lists_bugs!$A$2:$C$73,3,FALSE())&amp;Char(10) &amp; Char(10) &amp; VLOOKUP(A1929,Internal_lists_bugs!$A$2:$Z$73,26,FALSE())),"please select a BUG ID")</f>
        <v>please select a BUG ID</v>
      </c>
      <c r="C1929" s="51" t="str">
        <f>IFERROR(SUBSTITUTE(VLOOKUP(A1929,Internal_lists_bugs!$A$2:$G2031,7,FALSE()),"nova/commit","nova/src/commit"),"please select a BUG ID")</f>
        <v>please select a BUG ID</v>
      </c>
      <c r="D1929" s="54"/>
      <c r="F1929" s="54"/>
      <c r="H1929" s="114"/>
      <c r="J1929" s="183" t="str">
        <f>IFERROR(VLOOKUP(A1929,Internal_lists_bugs!$A$2:$I2031,9,FALSE()),"please select a BUG ID")</f>
        <v>please select a BUG ID</v>
      </c>
    </row>
    <row r="1930">
      <c r="A1930" s="54"/>
      <c r="B1930" s="71" t="str">
        <f>IFERROR(HYPERLINK(VLOOKUP(A1930,Internal_lists_bugs!$A$2:$C$73,3,FALSE()), VLOOKUP(A1930,Internal_lists_bugs!$A$2:$C$73,3,FALSE())&amp;Char(10) &amp; Char(10) &amp; VLOOKUP(A1930,Internal_lists_bugs!$A$2:$Z$73,26,FALSE())),"please select a BUG ID")</f>
        <v>please select a BUG ID</v>
      </c>
      <c r="C1930" s="51" t="str">
        <f>IFERROR(SUBSTITUTE(VLOOKUP(A1930,Internal_lists_bugs!$A$2:$G2031,7,FALSE()),"nova/commit","nova/src/commit"),"please select a BUG ID")</f>
        <v>please select a BUG ID</v>
      </c>
      <c r="D1930" s="54"/>
      <c r="F1930" s="54"/>
      <c r="H1930" s="114"/>
      <c r="J1930" s="183" t="str">
        <f>IFERROR(VLOOKUP(A1930,Internal_lists_bugs!$A$2:$I2031,9,FALSE()),"please select a BUG ID")</f>
        <v>please select a BUG ID</v>
      </c>
    </row>
    <row r="1931">
      <c r="A1931" s="54"/>
      <c r="B1931" s="71" t="str">
        <f>IFERROR(HYPERLINK(VLOOKUP(A1931,Internal_lists_bugs!$A$2:$C$73,3,FALSE()), VLOOKUP(A1931,Internal_lists_bugs!$A$2:$C$73,3,FALSE())&amp;Char(10) &amp; Char(10) &amp; VLOOKUP(A1931,Internal_lists_bugs!$A$2:$Z$73,26,FALSE())),"please select a BUG ID")</f>
        <v>please select a BUG ID</v>
      </c>
      <c r="C1931" s="51" t="str">
        <f>IFERROR(SUBSTITUTE(VLOOKUP(A1931,Internal_lists_bugs!$A$2:$G2031,7,FALSE()),"nova/commit","nova/src/commit"),"please select a BUG ID")</f>
        <v>please select a BUG ID</v>
      </c>
      <c r="D1931" s="54"/>
      <c r="F1931" s="54"/>
      <c r="H1931" s="114"/>
      <c r="J1931" s="183" t="str">
        <f>IFERROR(VLOOKUP(A1931,Internal_lists_bugs!$A$2:$I2031,9,FALSE()),"please select a BUG ID")</f>
        <v>please select a BUG ID</v>
      </c>
    </row>
    <row r="1932">
      <c r="A1932" s="54"/>
      <c r="B1932" s="71" t="str">
        <f>IFERROR(HYPERLINK(VLOOKUP(A1932,Internal_lists_bugs!$A$2:$C$73,3,FALSE()), VLOOKUP(A1932,Internal_lists_bugs!$A$2:$C$73,3,FALSE())&amp;Char(10) &amp; Char(10) &amp; VLOOKUP(A1932,Internal_lists_bugs!$A$2:$Z$73,26,FALSE())),"please select a BUG ID")</f>
        <v>please select a BUG ID</v>
      </c>
      <c r="C1932" s="51" t="str">
        <f>IFERROR(SUBSTITUTE(VLOOKUP(A1932,Internal_lists_bugs!$A$2:$G2031,7,FALSE()),"nova/commit","nova/src/commit"),"please select a BUG ID")</f>
        <v>please select a BUG ID</v>
      </c>
      <c r="D1932" s="54"/>
      <c r="F1932" s="54"/>
      <c r="H1932" s="114"/>
      <c r="J1932" s="183" t="str">
        <f>IFERROR(VLOOKUP(A1932,Internal_lists_bugs!$A$2:$I2031,9,FALSE()),"please select a BUG ID")</f>
        <v>please select a BUG ID</v>
      </c>
    </row>
    <row r="1933">
      <c r="A1933" s="54"/>
      <c r="B1933" s="71" t="str">
        <f>IFERROR(HYPERLINK(VLOOKUP(A1933,Internal_lists_bugs!$A$2:$C$73,3,FALSE()), VLOOKUP(A1933,Internal_lists_bugs!$A$2:$C$73,3,FALSE())&amp;Char(10) &amp; Char(10) &amp; VLOOKUP(A1933,Internal_lists_bugs!$A$2:$Z$73,26,FALSE())),"please select a BUG ID")</f>
        <v>please select a BUG ID</v>
      </c>
      <c r="C1933" s="51" t="str">
        <f>IFERROR(SUBSTITUTE(VLOOKUP(A1933,Internal_lists_bugs!$A$2:$G2031,7,FALSE()),"nova/commit","nova/src/commit"),"please select a BUG ID")</f>
        <v>please select a BUG ID</v>
      </c>
      <c r="D1933" s="54"/>
      <c r="F1933" s="54"/>
      <c r="H1933" s="114"/>
      <c r="J1933" s="183" t="str">
        <f>IFERROR(VLOOKUP(A1933,Internal_lists_bugs!$A$2:$I2031,9,FALSE()),"please select a BUG ID")</f>
        <v>please select a BUG ID</v>
      </c>
    </row>
    <row r="1934">
      <c r="A1934" s="54"/>
      <c r="B1934" s="71" t="str">
        <f>IFERROR(HYPERLINK(VLOOKUP(A1934,Internal_lists_bugs!$A$2:$C$73,3,FALSE()), VLOOKUP(A1934,Internal_lists_bugs!$A$2:$C$73,3,FALSE())&amp;Char(10) &amp; Char(10) &amp; VLOOKUP(A1934,Internal_lists_bugs!$A$2:$Z$73,26,FALSE())),"please select a BUG ID")</f>
        <v>please select a BUG ID</v>
      </c>
      <c r="C1934" s="51" t="str">
        <f>IFERROR(SUBSTITUTE(VLOOKUP(A1934,Internal_lists_bugs!$A$2:$G2031,7,FALSE()),"nova/commit","nova/src/commit"),"please select a BUG ID")</f>
        <v>please select a BUG ID</v>
      </c>
      <c r="D1934" s="54"/>
      <c r="F1934" s="54"/>
      <c r="H1934" s="114"/>
      <c r="J1934" s="183" t="str">
        <f>IFERROR(VLOOKUP(A1934,Internal_lists_bugs!$A$2:$I2031,9,FALSE()),"please select a BUG ID")</f>
        <v>please select a BUG ID</v>
      </c>
    </row>
    <row r="1935">
      <c r="A1935" s="54"/>
      <c r="B1935" s="71" t="str">
        <f>IFERROR(HYPERLINK(VLOOKUP(A1935,Internal_lists_bugs!$A$2:$C$73,3,FALSE()), VLOOKUP(A1935,Internal_lists_bugs!$A$2:$C$73,3,FALSE())&amp;Char(10) &amp; Char(10) &amp; VLOOKUP(A1935,Internal_lists_bugs!$A$2:$Z$73,26,FALSE())),"please select a BUG ID")</f>
        <v>please select a BUG ID</v>
      </c>
      <c r="C1935" s="51" t="str">
        <f>IFERROR(SUBSTITUTE(VLOOKUP(A1935,Internal_lists_bugs!$A$2:$G2031,7,FALSE()),"nova/commit","nova/src/commit"),"please select a BUG ID")</f>
        <v>please select a BUG ID</v>
      </c>
      <c r="D1935" s="54"/>
      <c r="F1935" s="54"/>
      <c r="H1935" s="114"/>
      <c r="J1935" s="183" t="str">
        <f>IFERROR(VLOOKUP(A1935,Internal_lists_bugs!$A$2:$I2031,9,FALSE()),"please select a BUG ID")</f>
        <v>please select a BUG ID</v>
      </c>
    </row>
    <row r="1936">
      <c r="A1936" s="54"/>
      <c r="B1936" s="71" t="str">
        <f>IFERROR(HYPERLINK(VLOOKUP(A1936,Internal_lists_bugs!$A$2:$C$73,3,FALSE()), VLOOKUP(A1936,Internal_lists_bugs!$A$2:$C$73,3,FALSE())&amp;Char(10) &amp; Char(10) &amp; VLOOKUP(A1936,Internal_lists_bugs!$A$2:$Z$73,26,FALSE())),"please select a BUG ID")</f>
        <v>please select a BUG ID</v>
      </c>
      <c r="C1936" s="51" t="str">
        <f>IFERROR(SUBSTITUTE(VLOOKUP(A1936,Internal_lists_bugs!$A$2:$G2031,7,FALSE()),"nova/commit","nova/src/commit"),"please select a BUG ID")</f>
        <v>please select a BUG ID</v>
      </c>
      <c r="D1936" s="54"/>
      <c r="F1936" s="54"/>
      <c r="H1936" s="114"/>
      <c r="J1936" s="183" t="str">
        <f>IFERROR(VLOOKUP(A1936,Internal_lists_bugs!$A$2:$I2031,9,FALSE()),"please select a BUG ID")</f>
        <v>please select a BUG ID</v>
      </c>
    </row>
    <row r="1937">
      <c r="A1937" s="54"/>
      <c r="B1937" s="71" t="str">
        <f>IFERROR(HYPERLINK(VLOOKUP(A1937,Internal_lists_bugs!$A$2:$C$73,3,FALSE()), VLOOKUP(A1937,Internal_lists_bugs!$A$2:$C$73,3,FALSE())&amp;Char(10) &amp; Char(10) &amp; VLOOKUP(A1937,Internal_lists_bugs!$A$2:$Z$73,26,FALSE())),"please select a BUG ID")</f>
        <v>please select a BUG ID</v>
      </c>
      <c r="C1937" s="51" t="str">
        <f>IFERROR(SUBSTITUTE(VLOOKUP(A1937,Internal_lists_bugs!$A$2:$G2031,7,FALSE()),"nova/commit","nova/src/commit"),"please select a BUG ID")</f>
        <v>please select a BUG ID</v>
      </c>
      <c r="D1937" s="54"/>
      <c r="F1937" s="54"/>
      <c r="H1937" s="114"/>
      <c r="J1937" s="183" t="str">
        <f>IFERROR(VLOOKUP(A1937,Internal_lists_bugs!$A$2:$I2031,9,FALSE()),"please select a BUG ID")</f>
        <v>please select a BUG ID</v>
      </c>
    </row>
    <row r="1938">
      <c r="A1938" s="54"/>
      <c r="B1938" s="71" t="str">
        <f>IFERROR(HYPERLINK(VLOOKUP(A1938,Internal_lists_bugs!$A$2:$C$73,3,FALSE()), VLOOKUP(A1938,Internal_lists_bugs!$A$2:$C$73,3,FALSE())&amp;Char(10) &amp; Char(10) &amp; VLOOKUP(A1938,Internal_lists_bugs!$A$2:$Z$73,26,FALSE())),"please select a BUG ID")</f>
        <v>please select a BUG ID</v>
      </c>
      <c r="C1938" s="51" t="str">
        <f>IFERROR(SUBSTITUTE(VLOOKUP(A1938,Internal_lists_bugs!$A$2:$G2031,7,FALSE()),"nova/commit","nova/src/commit"),"please select a BUG ID")</f>
        <v>please select a BUG ID</v>
      </c>
      <c r="D1938" s="54"/>
      <c r="F1938" s="54"/>
      <c r="H1938" s="114"/>
      <c r="J1938" s="183" t="str">
        <f>IFERROR(VLOOKUP(A1938,Internal_lists_bugs!$A$2:$I2031,9,FALSE()),"please select a BUG ID")</f>
        <v>please select a BUG ID</v>
      </c>
    </row>
    <row r="1939">
      <c r="A1939" s="54"/>
      <c r="B1939" s="71" t="str">
        <f>IFERROR(HYPERLINK(VLOOKUP(A1939,Internal_lists_bugs!$A$2:$C$73,3,FALSE()), VLOOKUP(A1939,Internal_lists_bugs!$A$2:$C$73,3,FALSE())&amp;Char(10) &amp; Char(10) &amp; VLOOKUP(A1939,Internal_lists_bugs!$A$2:$Z$73,26,FALSE())),"please select a BUG ID")</f>
        <v>please select a BUG ID</v>
      </c>
      <c r="C1939" s="51" t="str">
        <f>IFERROR(SUBSTITUTE(VLOOKUP(A1939,Internal_lists_bugs!$A$2:$G2031,7,FALSE()),"nova/commit","nova/src/commit"),"please select a BUG ID")</f>
        <v>please select a BUG ID</v>
      </c>
      <c r="D1939" s="54"/>
      <c r="F1939" s="54"/>
      <c r="H1939" s="114"/>
      <c r="J1939" s="183" t="str">
        <f>IFERROR(VLOOKUP(A1939,Internal_lists_bugs!$A$2:$I2031,9,FALSE()),"please select a BUG ID")</f>
        <v>please select a BUG ID</v>
      </c>
    </row>
    <row r="1940">
      <c r="A1940" s="54"/>
      <c r="B1940" s="71" t="str">
        <f>IFERROR(HYPERLINK(VLOOKUP(A1940,Internal_lists_bugs!$A$2:$C$73,3,FALSE()), VLOOKUP(A1940,Internal_lists_bugs!$A$2:$C$73,3,FALSE())&amp;Char(10) &amp; Char(10) &amp; VLOOKUP(A1940,Internal_lists_bugs!$A$2:$Z$73,26,FALSE())),"please select a BUG ID")</f>
        <v>please select a BUG ID</v>
      </c>
      <c r="C1940" s="51" t="str">
        <f>IFERROR(SUBSTITUTE(VLOOKUP(A1940,Internal_lists_bugs!$A$2:$G2031,7,FALSE()),"nova/commit","nova/src/commit"),"please select a BUG ID")</f>
        <v>please select a BUG ID</v>
      </c>
      <c r="D1940" s="54"/>
      <c r="F1940" s="54"/>
      <c r="H1940" s="114"/>
      <c r="J1940" s="183" t="str">
        <f>IFERROR(VLOOKUP(A1940,Internal_lists_bugs!$A$2:$I2031,9,FALSE()),"please select a BUG ID")</f>
        <v>please select a BUG ID</v>
      </c>
    </row>
    <row r="1941">
      <c r="A1941" s="54"/>
      <c r="B1941" s="71" t="str">
        <f>IFERROR(HYPERLINK(VLOOKUP(A1941,Internal_lists_bugs!$A$2:$C$73,3,FALSE()), VLOOKUP(A1941,Internal_lists_bugs!$A$2:$C$73,3,FALSE())&amp;Char(10) &amp; Char(10) &amp; VLOOKUP(A1941,Internal_lists_bugs!$A$2:$Z$73,26,FALSE())),"please select a BUG ID")</f>
        <v>please select a BUG ID</v>
      </c>
      <c r="C1941" s="51" t="str">
        <f>IFERROR(SUBSTITUTE(VLOOKUP(A1941,Internal_lists_bugs!$A$2:$G2031,7,FALSE()),"nova/commit","nova/src/commit"),"please select a BUG ID")</f>
        <v>please select a BUG ID</v>
      </c>
      <c r="D1941" s="54"/>
      <c r="F1941" s="54"/>
      <c r="H1941" s="114"/>
      <c r="J1941" s="183" t="str">
        <f>IFERROR(VLOOKUP(A1941,Internal_lists_bugs!$A$2:$I2031,9,FALSE()),"please select a BUG ID")</f>
        <v>please select a BUG ID</v>
      </c>
    </row>
    <row r="1942">
      <c r="A1942" s="54"/>
      <c r="B1942" s="71" t="str">
        <f>IFERROR(HYPERLINK(VLOOKUP(A1942,Internal_lists_bugs!$A$2:$C$73,3,FALSE()), VLOOKUP(A1942,Internal_lists_bugs!$A$2:$C$73,3,FALSE())&amp;Char(10) &amp; Char(10) &amp; VLOOKUP(A1942,Internal_lists_bugs!$A$2:$Z$73,26,FALSE())),"please select a BUG ID")</f>
        <v>please select a BUG ID</v>
      </c>
      <c r="C1942" s="51" t="str">
        <f>IFERROR(SUBSTITUTE(VLOOKUP(A1942,Internal_lists_bugs!$A$2:$G2031,7,FALSE()),"nova/commit","nova/src/commit"),"please select a BUG ID")</f>
        <v>please select a BUG ID</v>
      </c>
      <c r="D1942" s="54"/>
      <c r="F1942" s="54"/>
      <c r="H1942" s="114"/>
      <c r="J1942" s="183" t="str">
        <f>IFERROR(VLOOKUP(A1942,Internal_lists_bugs!$A$2:$I2031,9,FALSE()),"please select a BUG ID")</f>
        <v>please select a BUG ID</v>
      </c>
    </row>
    <row r="1943">
      <c r="A1943" s="54"/>
      <c r="B1943" s="71" t="str">
        <f>IFERROR(HYPERLINK(VLOOKUP(A1943,Internal_lists_bugs!$A$2:$C$73,3,FALSE()), VLOOKUP(A1943,Internal_lists_bugs!$A$2:$C$73,3,FALSE())&amp;Char(10) &amp; Char(10) &amp; VLOOKUP(A1943,Internal_lists_bugs!$A$2:$Z$73,26,FALSE())),"please select a BUG ID")</f>
        <v>please select a BUG ID</v>
      </c>
      <c r="C1943" s="51" t="str">
        <f>IFERROR(SUBSTITUTE(VLOOKUP(A1943,Internal_lists_bugs!$A$2:$G2031,7,FALSE()),"nova/commit","nova/src/commit"),"please select a BUG ID")</f>
        <v>please select a BUG ID</v>
      </c>
      <c r="D1943" s="54"/>
      <c r="F1943" s="54"/>
      <c r="H1943" s="114"/>
      <c r="J1943" s="183" t="str">
        <f>IFERROR(VLOOKUP(A1943,Internal_lists_bugs!$A$2:$I2031,9,FALSE()),"please select a BUG ID")</f>
        <v>please select a BUG ID</v>
      </c>
    </row>
    <row r="1944">
      <c r="A1944" s="54"/>
      <c r="B1944" s="71" t="str">
        <f>IFERROR(HYPERLINK(VLOOKUP(A1944,Internal_lists_bugs!$A$2:$C$73,3,FALSE()), VLOOKUP(A1944,Internal_lists_bugs!$A$2:$C$73,3,FALSE())&amp;Char(10) &amp; Char(10) &amp; VLOOKUP(A1944,Internal_lists_bugs!$A$2:$Z$73,26,FALSE())),"please select a BUG ID")</f>
        <v>please select a BUG ID</v>
      </c>
      <c r="C1944" s="51" t="str">
        <f>IFERROR(SUBSTITUTE(VLOOKUP(A1944,Internal_lists_bugs!$A$2:$G2031,7,FALSE()),"nova/commit","nova/src/commit"),"please select a BUG ID")</f>
        <v>please select a BUG ID</v>
      </c>
      <c r="D1944" s="54"/>
      <c r="F1944" s="54"/>
      <c r="H1944" s="114"/>
      <c r="J1944" s="183" t="str">
        <f>IFERROR(VLOOKUP(A1944,Internal_lists_bugs!$A$2:$I2031,9,FALSE()),"please select a BUG ID")</f>
        <v>please select a BUG ID</v>
      </c>
    </row>
    <row r="1945">
      <c r="A1945" s="54"/>
      <c r="B1945" s="71" t="str">
        <f>IFERROR(HYPERLINK(VLOOKUP(A1945,Internal_lists_bugs!$A$2:$C$73,3,FALSE()), VLOOKUP(A1945,Internal_lists_bugs!$A$2:$C$73,3,FALSE())&amp;Char(10) &amp; Char(10) &amp; VLOOKUP(A1945,Internal_lists_bugs!$A$2:$Z$73,26,FALSE())),"please select a BUG ID")</f>
        <v>please select a BUG ID</v>
      </c>
      <c r="C1945" s="51" t="str">
        <f>IFERROR(SUBSTITUTE(VLOOKUP(A1945,Internal_lists_bugs!$A$2:$G2031,7,FALSE()),"nova/commit","nova/src/commit"),"please select a BUG ID")</f>
        <v>please select a BUG ID</v>
      </c>
      <c r="D1945" s="54"/>
      <c r="F1945" s="54"/>
      <c r="H1945" s="114"/>
      <c r="J1945" s="183" t="str">
        <f>IFERROR(VLOOKUP(A1945,Internal_lists_bugs!$A$2:$I2031,9,FALSE()),"please select a BUG ID")</f>
        <v>please select a BUG ID</v>
      </c>
    </row>
    <row r="1946">
      <c r="A1946" s="54"/>
      <c r="B1946" s="71" t="str">
        <f>IFERROR(HYPERLINK(VLOOKUP(A1946,Internal_lists_bugs!$A$2:$C$73,3,FALSE()), VLOOKUP(A1946,Internal_lists_bugs!$A$2:$C$73,3,FALSE())&amp;Char(10) &amp; Char(10) &amp; VLOOKUP(A1946,Internal_lists_bugs!$A$2:$Z$73,26,FALSE())),"please select a BUG ID")</f>
        <v>please select a BUG ID</v>
      </c>
      <c r="C1946" s="51" t="str">
        <f>IFERROR(SUBSTITUTE(VLOOKUP(A1946,Internal_lists_bugs!$A$2:$G2031,7,FALSE()),"nova/commit","nova/src/commit"),"please select a BUG ID")</f>
        <v>please select a BUG ID</v>
      </c>
      <c r="D1946" s="54"/>
      <c r="F1946" s="54"/>
      <c r="H1946" s="114"/>
      <c r="J1946" s="183" t="str">
        <f>IFERROR(VLOOKUP(A1946,Internal_lists_bugs!$A$2:$I2031,9,FALSE()),"please select a BUG ID")</f>
        <v>please select a BUG ID</v>
      </c>
    </row>
    <row r="1947">
      <c r="A1947" s="54"/>
      <c r="B1947" s="71" t="str">
        <f>IFERROR(HYPERLINK(VLOOKUP(A1947,Internal_lists_bugs!$A$2:$C$73,3,FALSE()), VLOOKUP(A1947,Internal_lists_bugs!$A$2:$C$73,3,FALSE())&amp;Char(10) &amp; Char(10) &amp; VLOOKUP(A1947,Internal_lists_bugs!$A$2:$Z$73,26,FALSE())),"please select a BUG ID")</f>
        <v>please select a BUG ID</v>
      </c>
      <c r="C1947" s="51" t="str">
        <f>IFERROR(SUBSTITUTE(VLOOKUP(A1947,Internal_lists_bugs!$A$2:$G2031,7,FALSE()),"nova/commit","nova/src/commit"),"please select a BUG ID")</f>
        <v>please select a BUG ID</v>
      </c>
      <c r="D1947" s="54"/>
      <c r="F1947" s="54"/>
      <c r="H1947" s="114"/>
      <c r="J1947" s="183" t="str">
        <f>IFERROR(VLOOKUP(A1947,Internal_lists_bugs!$A$2:$I2031,9,FALSE()),"please select a BUG ID")</f>
        <v>please select a BUG ID</v>
      </c>
    </row>
    <row r="1948">
      <c r="A1948" s="54"/>
      <c r="B1948" s="71" t="str">
        <f>IFERROR(HYPERLINK(VLOOKUP(A1948,Internal_lists_bugs!$A$2:$C$73,3,FALSE()), VLOOKUP(A1948,Internal_lists_bugs!$A$2:$C$73,3,FALSE())&amp;Char(10) &amp; Char(10) &amp; VLOOKUP(A1948,Internal_lists_bugs!$A$2:$Z$73,26,FALSE())),"please select a BUG ID")</f>
        <v>please select a BUG ID</v>
      </c>
      <c r="C1948" s="51" t="str">
        <f>IFERROR(SUBSTITUTE(VLOOKUP(A1948,Internal_lists_bugs!$A$2:$G2031,7,FALSE()),"nova/commit","nova/src/commit"),"please select a BUG ID")</f>
        <v>please select a BUG ID</v>
      </c>
      <c r="D1948" s="54"/>
      <c r="F1948" s="54"/>
      <c r="H1948" s="114"/>
      <c r="J1948" s="183" t="str">
        <f>IFERROR(VLOOKUP(A1948,Internal_lists_bugs!$A$2:$I2031,9,FALSE()),"please select a BUG ID")</f>
        <v>please select a BUG ID</v>
      </c>
    </row>
    <row r="1949">
      <c r="A1949" s="54"/>
      <c r="B1949" s="71" t="str">
        <f>IFERROR(HYPERLINK(VLOOKUP(A1949,Internal_lists_bugs!$A$2:$C$73,3,FALSE()), VLOOKUP(A1949,Internal_lists_bugs!$A$2:$C$73,3,FALSE())&amp;Char(10) &amp; Char(10) &amp; VLOOKUP(A1949,Internal_lists_bugs!$A$2:$Z$73,26,FALSE())),"please select a BUG ID")</f>
        <v>please select a BUG ID</v>
      </c>
      <c r="C1949" s="51" t="str">
        <f>IFERROR(SUBSTITUTE(VLOOKUP(A1949,Internal_lists_bugs!$A$2:$G2031,7,FALSE()),"nova/commit","nova/src/commit"),"please select a BUG ID")</f>
        <v>please select a BUG ID</v>
      </c>
      <c r="D1949" s="54"/>
      <c r="F1949" s="54"/>
      <c r="H1949" s="114"/>
      <c r="J1949" s="183" t="str">
        <f>IFERROR(VLOOKUP(A1949,Internal_lists_bugs!$A$2:$I2031,9,FALSE()),"please select a BUG ID")</f>
        <v>please select a BUG ID</v>
      </c>
    </row>
    <row r="1950">
      <c r="A1950" s="54"/>
      <c r="B1950" s="71" t="str">
        <f>IFERROR(HYPERLINK(VLOOKUP(A1950,Internal_lists_bugs!$A$2:$C$73,3,FALSE()), VLOOKUP(A1950,Internal_lists_bugs!$A$2:$C$73,3,FALSE())&amp;Char(10) &amp; Char(10) &amp; VLOOKUP(A1950,Internal_lists_bugs!$A$2:$Z$73,26,FALSE())),"please select a BUG ID")</f>
        <v>please select a BUG ID</v>
      </c>
      <c r="C1950" s="51" t="str">
        <f>IFERROR(SUBSTITUTE(VLOOKUP(A1950,Internal_lists_bugs!$A$2:$G2031,7,FALSE()),"nova/commit","nova/src/commit"),"please select a BUG ID")</f>
        <v>please select a BUG ID</v>
      </c>
      <c r="D1950" s="54"/>
      <c r="F1950" s="54"/>
      <c r="H1950" s="114"/>
      <c r="J1950" s="183" t="str">
        <f>IFERROR(VLOOKUP(A1950,Internal_lists_bugs!$A$2:$I2031,9,FALSE()),"please select a BUG ID")</f>
        <v>please select a BUG ID</v>
      </c>
    </row>
    <row r="1951">
      <c r="A1951" s="54"/>
      <c r="B1951" s="71" t="str">
        <f>IFERROR(HYPERLINK(VLOOKUP(A1951,Internal_lists_bugs!$A$2:$C$73,3,FALSE()), VLOOKUP(A1951,Internal_lists_bugs!$A$2:$C$73,3,FALSE())&amp;Char(10) &amp; Char(10) &amp; VLOOKUP(A1951,Internal_lists_bugs!$A$2:$Z$73,26,FALSE())),"please select a BUG ID")</f>
        <v>please select a BUG ID</v>
      </c>
      <c r="C1951" s="51" t="str">
        <f>IFERROR(SUBSTITUTE(VLOOKUP(A1951,Internal_lists_bugs!$A$2:$G2031,7,FALSE()),"nova/commit","nova/src/commit"),"please select a BUG ID")</f>
        <v>please select a BUG ID</v>
      </c>
      <c r="D1951" s="54"/>
      <c r="F1951" s="54"/>
      <c r="H1951" s="114"/>
      <c r="J1951" s="183" t="str">
        <f>IFERROR(VLOOKUP(A1951,Internal_lists_bugs!$A$2:$I2031,9,FALSE()),"please select a BUG ID")</f>
        <v>please select a BUG ID</v>
      </c>
    </row>
    <row r="1952">
      <c r="A1952" s="54"/>
      <c r="B1952" s="71" t="str">
        <f>IFERROR(HYPERLINK(VLOOKUP(A1952,Internal_lists_bugs!$A$2:$C$73,3,FALSE()), VLOOKUP(A1952,Internal_lists_bugs!$A$2:$C$73,3,FALSE())&amp;Char(10) &amp; Char(10) &amp; VLOOKUP(A1952,Internal_lists_bugs!$A$2:$Z$73,26,FALSE())),"please select a BUG ID")</f>
        <v>please select a BUG ID</v>
      </c>
      <c r="C1952" s="51" t="str">
        <f>IFERROR(SUBSTITUTE(VLOOKUP(A1952,Internal_lists_bugs!$A$2:$G2031,7,FALSE()),"nova/commit","nova/src/commit"),"please select a BUG ID")</f>
        <v>please select a BUG ID</v>
      </c>
      <c r="D1952" s="54"/>
      <c r="F1952" s="54"/>
      <c r="H1952" s="114"/>
      <c r="J1952" s="183" t="str">
        <f>IFERROR(VLOOKUP(A1952,Internal_lists_bugs!$A$2:$I2031,9,FALSE()),"please select a BUG ID")</f>
        <v>please select a BUG ID</v>
      </c>
    </row>
    <row r="1953">
      <c r="A1953" s="54"/>
      <c r="B1953" s="71" t="str">
        <f>IFERROR(HYPERLINK(VLOOKUP(A1953,Internal_lists_bugs!$A$2:$C$73,3,FALSE()), VLOOKUP(A1953,Internal_lists_bugs!$A$2:$C$73,3,FALSE())&amp;Char(10) &amp; Char(10) &amp; VLOOKUP(A1953,Internal_lists_bugs!$A$2:$Z$73,26,FALSE())),"please select a BUG ID")</f>
        <v>please select a BUG ID</v>
      </c>
      <c r="C1953" s="51" t="str">
        <f>IFERROR(SUBSTITUTE(VLOOKUP(A1953,Internal_lists_bugs!$A$2:$G2031,7,FALSE()),"nova/commit","nova/src/commit"),"please select a BUG ID")</f>
        <v>please select a BUG ID</v>
      </c>
      <c r="D1953" s="54"/>
      <c r="F1953" s="54"/>
      <c r="H1953" s="114"/>
      <c r="J1953" s="183" t="str">
        <f>IFERROR(VLOOKUP(A1953,Internal_lists_bugs!$A$2:$I2031,9,FALSE()),"please select a BUG ID")</f>
        <v>please select a BUG ID</v>
      </c>
    </row>
    <row r="1954">
      <c r="A1954" s="54"/>
      <c r="B1954" s="71" t="str">
        <f>IFERROR(HYPERLINK(VLOOKUP(A1954,Internal_lists_bugs!$A$2:$C$73,3,FALSE()), VLOOKUP(A1954,Internal_lists_bugs!$A$2:$C$73,3,FALSE())&amp;Char(10) &amp; Char(10) &amp; VLOOKUP(A1954,Internal_lists_bugs!$A$2:$Z$73,26,FALSE())),"please select a BUG ID")</f>
        <v>please select a BUG ID</v>
      </c>
      <c r="C1954" s="51" t="str">
        <f>IFERROR(SUBSTITUTE(VLOOKUP(A1954,Internal_lists_bugs!$A$2:$G2031,7,FALSE()),"nova/commit","nova/src/commit"),"please select a BUG ID")</f>
        <v>please select a BUG ID</v>
      </c>
      <c r="D1954" s="54"/>
      <c r="F1954" s="54"/>
      <c r="H1954" s="114"/>
      <c r="J1954" s="183" t="str">
        <f>IFERROR(VLOOKUP(A1954,Internal_lists_bugs!$A$2:$I2031,9,FALSE()),"please select a BUG ID")</f>
        <v>please select a BUG ID</v>
      </c>
    </row>
    <row r="1955">
      <c r="A1955" s="54"/>
      <c r="B1955" s="71" t="str">
        <f>IFERROR(HYPERLINK(VLOOKUP(A1955,Internal_lists_bugs!$A$2:$C$73,3,FALSE()), VLOOKUP(A1955,Internal_lists_bugs!$A$2:$C$73,3,FALSE())&amp;Char(10) &amp; Char(10) &amp; VLOOKUP(A1955,Internal_lists_bugs!$A$2:$Z$73,26,FALSE())),"please select a BUG ID")</f>
        <v>please select a BUG ID</v>
      </c>
      <c r="C1955" s="51" t="str">
        <f>IFERROR(SUBSTITUTE(VLOOKUP(A1955,Internal_lists_bugs!$A$2:$G2031,7,FALSE()),"nova/commit","nova/src/commit"),"please select a BUG ID")</f>
        <v>please select a BUG ID</v>
      </c>
      <c r="D1955" s="54"/>
      <c r="F1955" s="54"/>
      <c r="H1955" s="114"/>
      <c r="J1955" s="183" t="str">
        <f>IFERROR(VLOOKUP(A1955,Internal_lists_bugs!$A$2:$I2031,9,FALSE()),"please select a BUG ID")</f>
        <v>please select a BUG ID</v>
      </c>
    </row>
    <row r="1956">
      <c r="A1956" s="54"/>
      <c r="B1956" s="71" t="str">
        <f>IFERROR(HYPERLINK(VLOOKUP(A1956,Internal_lists_bugs!$A$2:$C$73,3,FALSE()), VLOOKUP(A1956,Internal_lists_bugs!$A$2:$C$73,3,FALSE())&amp;Char(10) &amp; Char(10) &amp; VLOOKUP(A1956,Internal_lists_bugs!$A$2:$Z$73,26,FALSE())),"please select a BUG ID")</f>
        <v>please select a BUG ID</v>
      </c>
      <c r="C1956" s="51" t="str">
        <f>IFERROR(SUBSTITUTE(VLOOKUP(A1956,Internal_lists_bugs!$A$2:$G2031,7,FALSE()),"nova/commit","nova/src/commit"),"please select a BUG ID")</f>
        <v>please select a BUG ID</v>
      </c>
      <c r="D1956" s="54"/>
      <c r="F1956" s="54"/>
      <c r="H1956" s="114"/>
      <c r="J1956" s="183" t="str">
        <f>IFERROR(VLOOKUP(A1956,Internal_lists_bugs!$A$2:$I2031,9,FALSE()),"please select a BUG ID")</f>
        <v>please select a BUG ID</v>
      </c>
    </row>
    <row r="1957">
      <c r="A1957" s="54"/>
      <c r="B1957" s="71" t="str">
        <f>IFERROR(HYPERLINK(VLOOKUP(A1957,Internal_lists_bugs!$A$2:$C$73,3,FALSE()), VLOOKUP(A1957,Internal_lists_bugs!$A$2:$C$73,3,FALSE())&amp;Char(10) &amp; Char(10) &amp; VLOOKUP(A1957,Internal_lists_bugs!$A$2:$Z$73,26,FALSE())),"please select a BUG ID")</f>
        <v>please select a BUG ID</v>
      </c>
      <c r="C1957" s="51" t="str">
        <f>IFERROR(SUBSTITUTE(VLOOKUP(A1957,Internal_lists_bugs!$A$2:$G2031,7,FALSE()),"nova/commit","nova/src/commit"),"please select a BUG ID")</f>
        <v>please select a BUG ID</v>
      </c>
      <c r="D1957" s="54"/>
      <c r="F1957" s="54"/>
      <c r="H1957" s="114"/>
      <c r="J1957" s="183" t="str">
        <f>IFERROR(VLOOKUP(A1957,Internal_lists_bugs!$A$2:$I2031,9,FALSE()),"please select a BUG ID")</f>
        <v>please select a BUG ID</v>
      </c>
    </row>
    <row r="1958">
      <c r="A1958" s="54"/>
      <c r="B1958" s="71" t="str">
        <f>IFERROR(HYPERLINK(VLOOKUP(A1958,Internal_lists_bugs!$A$2:$C$73,3,FALSE()), VLOOKUP(A1958,Internal_lists_bugs!$A$2:$C$73,3,FALSE())&amp;Char(10) &amp; Char(10) &amp; VLOOKUP(A1958,Internal_lists_bugs!$A$2:$Z$73,26,FALSE())),"please select a BUG ID")</f>
        <v>please select a BUG ID</v>
      </c>
      <c r="C1958" s="51" t="str">
        <f>IFERROR(SUBSTITUTE(VLOOKUP(A1958,Internal_lists_bugs!$A$2:$G2031,7,FALSE()),"nova/commit","nova/src/commit"),"please select a BUG ID")</f>
        <v>please select a BUG ID</v>
      </c>
      <c r="D1958" s="54"/>
      <c r="F1958" s="54"/>
      <c r="H1958" s="114"/>
      <c r="J1958" s="183" t="str">
        <f>IFERROR(VLOOKUP(A1958,Internal_lists_bugs!$A$2:$I2031,9,FALSE()),"please select a BUG ID")</f>
        <v>please select a BUG ID</v>
      </c>
    </row>
    <row r="1959">
      <c r="A1959" s="54"/>
      <c r="B1959" s="71" t="str">
        <f>IFERROR(HYPERLINK(VLOOKUP(A1959,Internal_lists_bugs!$A$2:$C$73,3,FALSE()), VLOOKUP(A1959,Internal_lists_bugs!$A$2:$C$73,3,FALSE())&amp;Char(10) &amp; Char(10) &amp; VLOOKUP(A1959,Internal_lists_bugs!$A$2:$Z$73,26,FALSE())),"please select a BUG ID")</f>
        <v>please select a BUG ID</v>
      </c>
      <c r="C1959" s="51" t="str">
        <f>IFERROR(SUBSTITUTE(VLOOKUP(A1959,Internal_lists_bugs!$A$2:$G2031,7,FALSE()),"nova/commit","nova/src/commit"),"please select a BUG ID")</f>
        <v>please select a BUG ID</v>
      </c>
      <c r="D1959" s="54"/>
      <c r="F1959" s="54"/>
      <c r="H1959" s="114"/>
      <c r="J1959" s="183" t="str">
        <f>IFERROR(VLOOKUP(A1959,Internal_lists_bugs!$A$2:$I2031,9,FALSE()),"please select a BUG ID")</f>
        <v>please select a BUG ID</v>
      </c>
    </row>
    <row r="1960">
      <c r="A1960" s="54"/>
      <c r="B1960" s="71" t="str">
        <f>IFERROR(HYPERLINK(VLOOKUP(A1960,Internal_lists_bugs!$A$2:$C$73,3,FALSE()), VLOOKUP(A1960,Internal_lists_bugs!$A$2:$C$73,3,FALSE())&amp;Char(10) &amp; Char(10) &amp; VLOOKUP(A1960,Internal_lists_bugs!$A$2:$Z$73,26,FALSE())),"please select a BUG ID")</f>
        <v>please select a BUG ID</v>
      </c>
      <c r="C1960" s="51" t="str">
        <f>IFERROR(SUBSTITUTE(VLOOKUP(A1960,Internal_lists_bugs!$A$2:$G2031,7,FALSE()),"nova/commit","nova/src/commit"),"please select a BUG ID")</f>
        <v>please select a BUG ID</v>
      </c>
      <c r="D1960" s="54"/>
      <c r="F1960" s="54"/>
      <c r="H1960" s="114"/>
      <c r="J1960" s="183" t="str">
        <f>IFERROR(VLOOKUP(A1960,Internal_lists_bugs!$A$2:$I2031,9,FALSE()),"please select a BUG ID")</f>
        <v>please select a BUG ID</v>
      </c>
    </row>
    <row r="1961">
      <c r="A1961" s="54"/>
      <c r="B1961" s="71" t="str">
        <f>IFERROR(HYPERLINK(VLOOKUP(A1961,Internal_lists_bugs!$A$2:$C$73,3,FALSE()), VLOOKUP(A1961,Internal_lists_bugs!$A$2:$C$73,3,FALSE())&amp;Char(10) &amp; Char(10) &amp; VLOOKUP(A1961,Internal_lists_bugs!$A$2:$Z$73,26,FALSE())),"please select a BUG ID")</f>
        <v>please select a BUG ID</v>
      </c>
      <c r="C1961" s="51" t="str">
        <f>IFERROR(SUBSTITUTE(VLOOKUP(A1961,Internal_lists_bugs!$A$2:$G2031,7,FALSE()),"nova/commit","nova/src/commit"),"please select a BUG ID")</f>
        <v>please select a BUG ID</v>
      </c>
      <c r="D1961" s="54"/>
      <c r="F1961" s="54"/>
      <c r="H1961" s="114"/>
      <c r="J1961" s="183" t="str">
        <f>IFERROR(VLOOKUP(A1961,Internal_lists_bugs!$A$2:$I2031,9,FALSE()),"please select a BUG ID")</f>
        <v>please select a BUG ID</v>
      </c>
    </row>
    <row r="1962">
      <c r="A1962" s="54"/>
      <c r="B1962" s="71" t="str">
        <f>IFERROR(HYPERLINK(VLOOKUP(A1962,Internal_lists_bugs!$A$2:$C$73,3,FALSE()), VLOOKUP(A1962,Internal_lists_bugs!$A$2:$C$73,3,FALSE())&amp;Char(10) &amp; Char(10) &amp; VLOOKUP(A1962,Internal_lists_bugs!$A$2:$Z$73,26,FALSE())),"please select a BUG ID")</f>
        <v>please select a BUG ID</v>
      </c>
      <c r="C1962" s="51" t="str">
        <f>IFERROR(SUBSTITUTE(VLOOKUP(A1962,Internal_lists_bugs!$A$2:$G2031,7,FALSE()),"nova/commit","nova/src/commit"),"please select a BUG ID")</f>
        <v>please select a BUG ID</v>
      </c>
      <c r="D1962" s="54"/>
      <c r="F1962" s="54"/>
      <c r="H1962" s="114"/>
      <c r="J1962" s="183" t="str">
        <f>IFERROR(VLOOKUP(A1962,Internal_lists_bugs!$A$2:$I2031,9,FALSE()),"please select a BUG ID")</f>
        <v>please select a BUG ID</v>
      </c>
    </row>
    <row r="1963">
      <c r="A1963" s="54"/>
      <c r="B1963" s="71" t="str">
        <f>IFERROR(HYPERLINK(VLOOKUP(A1963,Internal_lists_bugs!$A$2:$C$73,3,FALSE()), VLOOKUP(A1963,Internal_lists_bugs!$A$2:$C$73,3,FALSE())&amp;Char(10) &amp; Char(10) &amp; VLOOKUP(A1963,Internal_lists_bugs!$A$2:$Z$73,26,FALSE())),"please select a BUG ID")</f>
        <v>please select a BUG ID</v>
      </c>
      <c r="C1963" s="51" t="str">
        <f>IFERROR(SUBSTITUTE(VLOOKUP(A1963,Internal_lists_bugs!$A$2:$G2031,7,FALSE()),"nova/commit","nova/src/commit"),"please select a BUG ID")</f>
        <v>please select a BUG ID</v>
      </c>
      <c r="D1963" s="54"/>
      <c r="F1963" s="54"/>
      <c r="H1963" s="114"/>
      <c r="J1963" s="183" t="str">
        <f>IFERROR(VLOOKUP(A1963,Internal_lists_bugs!$A$2:$I2031,9,FALSE()),"please select a BUG ID")</f>
        <v>please select a BUG ID</v>
      </c>
    </row>
    <row r="1964">
      <c r="A1964" s="54"/>
      <c r="B1964" s="71" t="str">
        <f>IFERROR(HYPERLINK(VLOOKUP(A1964,Internal_lists_bugs!$A$2:$C$73,3,FALSE()), VLOOKUP(A1964,Internal_lists_bugs!$A$2:$C$73,3,FALSE())&amp;Char(10) &amp; Char(10) &amp; VLOOKUP(A1964,Internal_lists_bugs!$A$2:$Z$73,26,FALSE())),"please select a BUG ID")</f>
        <v>please select a BUG ID</v>
      </c>
      <c r="C1964" s="51" t="str">
        <f>IFERROR(SUBSTITUTE(VLOOKUP(A1964,Internal_lists_bugs!$A$2:$G2031,7,FALSE()),"nova/commit","nova/src/commit"),"please select a BUG ID")</f>
        <v>please select a BUG ID</v>
      </c>
      <c r="D1964" s="54"/>
      <c r="F1964" s="54"/>
      <c r="H1964" s="114"/>
      <c r="J1964" s="183" t="str">
        <f>IFERROR(VLOOKUP(A1964,Internal_lists_bugs!$A$2:$I2031,9,FALSE()),"please select a BUG ID")</f>
        <v>please select a BUG ID</v>
      </c>
    </row>
    <row r="1965">
      <c r="A1965" s="54"/>
      <c r="B1965" s="71" t="str">
        <f>IFERROR(HYPERLINK(VLOOKUP(A1965,Internal_lists_bugs!$A$2:$C$73,3,FALSE()), VLOOKUP(A1965,Internal_lists_bugs!$A$2:$C$73,3,FALSE())&amp;Char(10) &amp; Char(10) &amp; VLOOKUP(A1965,Internal_lists_bugs!$A$2:$Z$73,26,FALSE())),"please select a BUG ID")</f>
        <v>please select a BUG ID</v>
      </c>
      <c r="C1965" s="51" t="str">
        <f>IFERROR(SUBSTITUTE(VLOOKUP(A1965,Internal_lists_bugs!$A$2:$G2031,7,FALSE()),"nova/commit","nova/src/commit"),"please select a BUG ID")</f>
        <v>please select a BUG ID</v>
      </c>
      <c r="D1965" s="54"/>
      <c r="F1965" s="54"/>
      <c r="H1965" s="114"/>
      <c r="J1965" s="183" t="str">
        <f>IFERROR(VLOOKUP(A1965,Internal_lists_bugs!$A$2:$I2031,9,FALSE()),"please select a BUG ID")</f>
        <v>please select a BUG ID</v>
      </c>
    </row>
    <row r="1966">
      <c r="A1966" s="54"/>
      <c r="B1966" s="71" t="str">
        <f>IFERROR(HYPERLINK(VLOOKUP(A1966,Internal_lists_bugs!$A$2:$C$73,3,FALSE()), VLOOKUP(A1966,Internal_lists_bugs!$A$2:$C$73,3,FALSE())&amp;Char(10) &amp; Char(10) &amp; VLOOKUP(A1966,Internal_lists_bugs!$A$2:$Z$73,26,FALSE())),"please select a BUG ID")</f>
        <v>please select a BUG ID</v>
      </c>
      <c r="C1966" s="51" t="str">
        <f>IFERROR(SUBSTITUTE(VLOOKUP(A1966,Internal_lists_bugs!$A$2:$G2031,7,FALSE()),"nova/commit","nova/src/commit"),"please select a BUG ID")</f>
        <v>please select a BUG ID</v>
      </c>
      <c r="D1966" s="54"/>
      <c r="F1966" s="54"/>
      <c r="H1966" s="114"/>
      <c r="J1966" s="183" t="str">
        <f>IFERROR(VLOOKUP(A1966,Internal_lists_bugs!$A$2:$I2031,9,FALSE()),"please select a BUG ID")</f>
        <v>please select a BUG ID</v>
      </c>
    </row>
    <row r="1967">
      <c r="A1967" s="54"/>
      <c r="B1967" s="71" t="str">
        <f>IFERROR(HYPERLINK(VLOOKUP(A1967,Internal_lists_bugs!$A$2:$C$73,3,FALSE()), VLOOKUP(A1967,Internal_lists_bugs!$A$2:$C$73,3,FALSE())&amp;Char(10) &amp; Char(10) &amp; VLOOKUP(A1967,Internal_lists_bugs!$A$2:$Z$73,26,FALSE())),"please select a BUG ID")</f>
        <v>please select a BUG ID</v>
      </c>
      <c r="C1967" s="51" t="str">
        <f>IFERROR(SUBSTITUTE(VLOOKUP(A1967,Internal_lists_bugs!$A$2:$G2031,7,FALSE()),"nova/commit","nova/src/commit"),"please select a BUG ID")</f>
        <v>please select a BUG ID</v>
      </c>
      <c r="D1967" s="54"/>
      <c r="F1967" s="54"/>
      <c r="H1967" s="114"/>
      <c r="J1967" s="183" t="str">
        <f>IFERROR(VLOOKUP(A1967,Internal_lists_bugs!$A$2:$I2031,9,FALSE()),"please select a BUG ID")</f>
        <v>please select a BUG ID</v>
      </c>
    </row>
    <row r="1968">
      <c r="A1968" s="54"/>
      <c r="B1968" s="71" t="str">
        <f>IFERROR(HYPERLINK(VLOOKUP(A1968,Internal_lists_bugs!$A$2:$C$73,3,FALSE()), VLOOKUP(A1968,Internal_lists_bugs!$A$2:$C$73,3,FALSE())&amp;Char(10) &amp; Char(10) &amp; VLOOKUP(A1968,Internal_lists_bugs!$A$2:$Z$73,26,FALSE())),"please select a BUG ID")</f>
        <v>please select a BUG ID</v>
      </c>
      <c r="C1968" s="51" t="str">
        <f>IFERROR(SUBSTITUTE(VLOOKUP(A1968,Internal_lists_bugs!$A$2:$G2031,7,FALSE()),"nova/commit","nova/src/commit"),"please select a BUG ID")</f>
        <v>please select a BUG ID</v>
      </c>
      <c r="D1968" s="54"/>
      <c r="F1968" s="54"/>
      <c r="H1968" s="114"/>
      <c r="J1968" s="183" t="str">
        <f>IFERROR(VLOOKUP(A1968,Internal_lists_bugs!$A$2:$I2031,9,FALSE()),"please select a BUG ID")</f>
        <v>please select a BUG ID</v>
      </c>
    </row>
    <row r="1969">
      <c r="A1969" s="54"/>
      <c r="B1969" s="71" t="str">
        <f>IFERROR(HYPERLINK(VLOOKUP(A1969,Internal_lists_bugs!$A$2:$C$73,3,FALSE()), VLOOKUP(A1969,Internal_lists_bugs!$A$2:$C$73,3,FALSE())&amp;Char(10) &amp; Char(10) &amp; VLOOKUP(A1969,Internal_lists_bugs!$A$2:$Z$73,26,FALSE())),"please select a BUG ID")</f>
        <v>please select a BUG ID</v>
      </c>
      <c r="C1969" s="51" t="str">
        <f>IFERROR(SUBSTITUTE(VLOOKUP(A1969,Internal_lists_bugs!$A$2:$G2031,7,FALSE()),"nova/commit","nova/src/commit"),"please select a BUG ID")</f>
        <v>please select a BUG ID</v>
      </c>
      <c r="D1969" s="54"/>
      <c r="F1969" s="54"/>
      <c r="H1969" s="114"/>
      <c r="J1969" s="183" t="str">
        <f>IFERROR(VLOOKUP(A1969,Internal_lists_bugs!$A$2:$I2031,9,FALSE()),"please select a BUG ID")</f>
        <v>please select a BUG ID</v>
      </c>
    </row>
    <row r="1970">
      <c r="A1970" s="54"/>
      <c r="B1970" s="71" t="str">
        <f>IFERROR(HYPERLINK(VLOOKUP(A1970,Internal_lists_bugs!$A$2:$C$73,3,FALSE()), VLOOKUP(A1970,Internal_lists_bugs!$A$2:$C$73,3,FALSE())&amp;Char(10) &amp; Char(10) &amp; VLOOKUP(A1970,Internal_lists_bugs!$A$2:$Z$73,26,FALSE())),"please select a BUG ID")</f>
        <v>please select a BUG ID</v>
      </c>
      <c r="C1970" s="51" t="str">
        <f>IFERROR(SUBSTITUTE(VLOOKUP(A1970,Internal_lists_bugs!$A$2:$G2031,7,FALSE()),"nova/commit","nova/src/commit"),"please select a BUG ID")</f>
        <v>please select a BUG ID</v>
      </c>
      <c r="D1970" s="54"/>
      <c r="F1970" s="54"/>
      <c r="H1970" s="114"/>
      <c r="J1970" s="183" t="str">
        <f>IFERROR(VLOOKUP(A1970,Internal_lists_bugs!$A$2:$I2031,9,FALSE()),"please select a BUG ID")</f>
        <v>please select a BUG ID</v>
      </c>
    </row>
    <row r="1971">
      <c r="A1971" s="54"/>
      <c r="B1971" s="71" t="str">
        <f>IFERROR(HYPERLINK(VLOOKUP(A1971,Internal_lists_bugs!$A$2:$C$73,3,FALSE()), VLOOKUP(A1971,Internal_lists_bugs!$A$2:$C$73,3,FALSE())&amp;Char(10) &amp; Char(10) &amp; VLOOKUP(A1971,Internal_lists_bugs!$A$2:$Z$73,26,FALSE())),"please select a BUG ID")</f>
        <v>please select a BUG ID</v>
      </c>
      <c r="C1971" s="51" t="str">
        <f>IFERROR(SUBSTITUTE(VLOOKUP(A1971,Internal_lists_bugs!$A$2:$G2031,7,FALSE()),"nova/commit","nova/src/commit"),"please select a BUG ID")</f>
        <v>please select a BUG ID</v>
      </c>
      <c r="D1971" s="54"/>
      <c r="F1971" s="54"/>
      <c r="H1971" s="114"/>
      <c r="J1971" s="183" t="str">
        <f>IFERROR(VLOOKUP(A1971,Internal_lists_bugs!$A$2:$I2031,9,FALSE()),"please select a BUG ID")</f>
        <v>please select a BUG ID</v>
      </c>
    </row>
    <row r="1972">
      <c r="A1972" s="54"/>
      <c r="B1972" s="71" t="str">
        <f>IFERROR(HYPERLINK(VLOOKUP(A1972,Internal_lists_bugs!$A$2:$C$73,3,FALSE()), VLOOKUP(A1972,Internal_lists_bugs!$A$2:$C$73,3,FALSE())&amp;Char(10) &amp; Char(10) &amp; VLOOKUP(A1972,Internal_lists_bugs!$A$2:$Z$73,26,FALSE())),"please select a BUG ID")</f>
        <v>please select a BUG ID</v>
      </c>
      <c r="C1972" s="51" t="str">
        <f>IFERROR(SUBSTITUTE(VLOOKUP(A1972,Internal_lists_bugs!$A$2:$G2031,7,FALSE()),"nova/commit","nova/src/commit"),"please select a BUG ID")</f>
        <v>please select a BUG ID</v>
      </c>
      <c r="D1972" s="54"/>
      <c r="F1972" s="54"/>
      <c r="H1972" s="114"/>
      <c r="J1972" s="183" t="str">
        <f>IFERROR(VLOOKUP(A1972,Internal_lists_bugs!$A$2:$I2031,9,FALSE()),"please select a BUG ID")</f>
        <v>please select a BUG ID</v>
      </c>
    </row>
    <row r="1973">
      <c r="A1973" s="54"/>
      <c r="B1973" s="71" t="str">
        <f>IFERROR(HYPERLINK(VLOOKUP(A1973,Internal_lists_bugs!$A$2:$C$73,3,FALSE()), VLOOKUP(A1973,Internal_lists_bugs!$A$2:$C$73,3,FALSE())&amp;Char(10) &amp; Char(10) &amp; VLOOKUP(A1973,Internal_lists_bugs!$A$2:$Z$73,26,FALSE())),"please select a BUG ID")</f>
        <v>please select a BUG ID</v>
      </c>
      <c r="C1973" s="51" t="str">
        <f>IFERROR(SUBSTITUTE(VLOOKUP(A1973,Internal_lists_bugs!$A$2:$G2031,7,FALSE()),"nova/commit","nova/src/commit"),"please select a BUG ID")</f>
        <v>please select a BUG ID</v>
      </c>
      <c r="D1973" s="54"/>
      <c r="F1973" s="54"/>
      <c r="H1973" s="114"/>
      <c r="J1973" s="183" t="str">
        <f>IFERROR(VLOOKUP(A1973,Internal_lists_bugs!$A$2:$I2031,9,FALSE()),"please select a BUG ID")</f>
        <v>please select a BUG ID</v>
      </c>
    </row>
    <row r="1974">
      <c r="A1974" s="54"/>
      <c r="B1974" s="71" t="str">
        <f>IFERROR(HYPERLINK(VLOOKUP(A1974,Internal_lists_bugs!$A$2:$C$73,3,FALSE()), VLOOKUP(A1974,Internal_lists_bugs!$A$2:$C$73,3,FALSE())&amp;Char(10) &amp; Char(10) &amp; VLOOKUP(A1974,Internal_lists_bugs!$A$2:$Z$73,26,FALSE())),"please select a BUG ID")</f>
        <v>please select a BUG ID</v>
      </c>
      <c r="C1974" s="51" t="str">
        <f>IFERROR(SUBSTITUTE(VLOOKUP(A1974,Internal_lists_bugs!$A$2:$G2031,7,FALSE()),"nova/commit","nova/src/commit"),"please select a BUG ID")</f>
        <v>please select a BUG ID</v>
      </c>
      <c r="D1974" s="54"/>
      <c r="F1974" s="54"/>
      <c r="H1974" s="114"/>
      <c r="J1974" s="183" t="str">
        <f>IFERROR(VLOOKUP(A1974,Internal_lists_bugs!$A$2:$I2031,9,FALSE()),"please select a BUG ID")</f>
        <v>please select a BUG ID</v>
      </c>
    </row>
    <row r="1975">
      <c r="A1975" s="54"/>
      <c r="B1975" s="71" t="str">
        <f>IFERROR(HYPERLINK(VLOOKUP(A1975,Internal_lists_bugs!$A$2:$C$73,3,FALSE()), VLOOKUP(A1975,Internal_lists_bugs!$A$2:$C$73,3,FALSE())&amp;Char(10) &amp; Char(10) &amp; VLOOKUP(A1975,Internal_lists_bugs!$A$2:$Z$73,26,FALSE())),"please select a BUG ID")</f>
        <v>please select a BUG ID</v>
      </c>
      <c r="C1975" s="51" t="str">
        <f>IFERROR(SUBSTITUTE(VLOOKUP(A1975,Internal_lists_bugs!$A$2:$G2031,7,FALSE()),"nova/commit","nova/src/commit"),"please select a BUG ID")</f>
        <v>please select a BUG ID</v>
      </c>
      <c r="D1975" s="54"/>
      <c r="F1975" s="54"/>
      <c r="H1975" s="114"/>
      <c r="J1975" s="183" t="str">
        <f>IFERROR(VLOOKUP(A1975,Internal_lists_bugs!$A$2:$I2031,9,FALSE()),"please select a BUG ID")</f>
        <v>please select a BUG ID</v>
      </c>
    </row>
    <row r="1976">
      <c r="A1976" s="54"/>
      <c r="B1976" s="71" t="str">
        <f>IFERROR(HYPERLINK(VLOOKUP(A1976,Internal_lists_bugs!$A$2:$C$73,3,FALSE()), VLOOKUP(A1976,Internal_lists_bugs!$A$2:$C$73,3,FALSE())&amp;Char(10) &amp; Char(10) &amp; VLOOKUP(A1976,Internal_lists_bugs!$A$2:$Z$73,26,FALSE())),"please select a BUG ID")</f>
        <v>please select a BUG ID</v>
      </c>
      <c r="C1976" s="51" t="str">
        <f>IFERROR(SUBSTITUTE(VLOOKUP(A1976,Internal_lists_bugs!$A$2:$G2031,7,FALSE()),"nova/commit","nova/src/commit"),"please select a BUG ID")</f>
        <v>please select a BUG ID</v>
      </c>
      <c r="D1976" s="54"/>
      <c r="F1976" s="54"/>
      <c r="H1976" s="114"/>
      <c r="J1976" s="183" t="str">
        <f>IFERROR(VLOOKUP(A1976,Internal_lists_bugs!$A$2:$I2031,9,FALSE()),"please select a BUG ID")</f>
        <v>please select a BUG ID</v>
      </c>
    </row>
    <row r="1977">
      <c r="A1977" s="54"/>
      <c r="B1977" s="71" t="str">
        <f>IFERROR(HYPERLINK(VLOOKUP(A1977,Internal_lists_bugs!$A$2:$C$73,3,FALSE()), VLOOKUP(A1977,Internal_lists_bugs!$A$2:$C$73,3,FALSE())&amp;Char(10) &amp; Char(10) &amp; VLOOKUP(A1977,Internal_lists_bugs!$A$2:$Z$73,26,FALSE())),"please select a BUG ID")</f>
        <v>please select a BUG ID</v>
      </c>
      <c r="C1977" s="51" t="str">
        <f>IFERROR(SUBSTITUTE(VLOOKUP(A1977,Internal_lists_bugs!$A$2:$G2031,7,FALSE()),"nova/commit","nova/src/commit"),"please select a BUG ID")</f>
        <v>please select a BUG ID</v>
      </c>
      <c r="D1977" s="54"/>
      <c r="F1977" s="54"/>
      <c r="H1977" s="114"/>
      <c r="J1977" s="183" t="str">
        <f>IFERROR(VLOOKUP(A1977,Internal_lists_bugs!$A$2:$I2031,9,FALSE()),"please select a BUG ID")</f>
        <v>please select a BUG ID</v>
      </c>
    </row>
    <row r="1978">
      <c r="A1978" s="54"/>
      <c r="B1978" s="71" t="str">
        <f>IFERROR(HYPERLINK(VLOOKUP(A1978,Internal_lists_bugs!$A$2:$C$73,3,FALSE()), VLOOKUP(A1978,Internal_lists_bugs!$A$2:$C$73,3,FALSE())&amp;Char(10) &amp; Char(10) &amp; VLOOKUP(A1978,Internal_lists_bugs!$A$2:$Z$73,26,FALSE())),"please select a BUG ID")</f>
        <v>please select a BUG ID</v>
      </c>
      <c r="C1978" s="51" t="str">
        <f>IFERROR(SUBSTITUTE(VLOOKUP(A1978,Internal_lists_bugs!$A$2:$G2031,7,FALSE()),"nova/commit","nova/src/commit"),"please select a BUG ID")</f>
        <v>please select a BUG ID</v>
      </c>
      <c r="D1978" s="54"/>
      <c r="F1978" s="54"/>
      <c r="H1978" s="114"/>
      <c r="J1978" s="183" t="str">
        <f>IFERROR(VLOOKUP(A1978,Internal_lists_bugs!$A$2:$I2031,9,FALSE()),"please select a BUG ID")</f>
        <v>please select a BUG ID</v>
      </c>
    </row>
    <row r="1979">
      <c r="A1979" s="54"/>
      <c r="B1979" s="71" t="str">
        <f>IFERROR(HYPERLINK(VLOOKUP(A1979,Internal_lists_bugs!$A$2:$C$73,3,FALSE()), VLOOKUP(A1979,Internal_lists_bugs!$A$2:$C$73,3,FALSE())&amp;Char(10) &amp; Char(10) &amp; VLOOKUP(A1979,Internal_lists_bugs!$A$2:$Z$73,26,FALSE())),"please select a BUG ID")</f>
        <v>please select a BUG ID</v>
      </c>
      <c r="C1979" s="51" t="str">
        <f>IFERROR(SUBSTITUTE(VLOOKUP(A1979,Internal_lists_bugs!$A$2:$G2031,7,FALSE()),"nova/commit","nova/src/commit"),"please select a BUG ID")</f>
        <v>please select a BUG ID</v>
      </c>
      <c r="D1979" s="54"/>
      <c r="F1979" s="54"/>
      <c r="H1979" s="114"/>
      <c r="J1979" s="183" t="str">
        <f>IFERROR(VLOOKUP(A1979,Internal_lists_bugs!$A$2:$I2031,9,FALSE()),"please select a BUG ID")</f>
        <v>please select a BUG ID</v>
      </c>
    </row>
    <row r="1980">
      <c r="A1980" s="54"/>
      <c r="B1980" s="71" t="str">
        <f>IFERROR(HYPERLINK(VLOOKUP(A1980,Internal_lists_bugs!$A$2:$C$73,3,FALSE()), VLOOKUP(A1980,Internal_lists_bugs!$A$2:$C$73,3,FALSE())&amp;Char(10) &amp; Char(10) &amp; VLOOKUP(A1980,Internal_lists_bugs!$A$2:$Z$73,26,FALSE())),"please select a BUG ID")</f>
        <v>please select a BUG ID</v>
      </c>
      <c r="C1980" s="51" t="str">
        <f>IFERROR(SUBSTITUTE(VLOOKUP(A1980,Internal_lists_bugs!$A$2:$G2031,7,FALSE()),"nova/commit","nova/src/commit"),"please select a BUG ID")</f>
        <v>please select a BUG ID</v>
      </c>
      <c r="D1980" s="54"/>
      <c r="F1980" s="54"/>
      <c r="H1980" s="114"/>
      <c r="J1980" s="183" t="str">
        <f>IFERROR(VLOOKUP(A1980,Internal_lists_bugs!$A$2:$I2031,9,FALSE()),"please select a BUG ID")</f>
        <v>please select a BUG ID</v>
      </c>
    </row>
    <row r="1981">
      <c r="A1981" s="54"/>
      <c r="B1981" s="71" t="str">
        <f>IFERROR(HYPERLINK(VLOOKUP(A1981,Internal_lists_bugs!$A$2:$C$73,3,FALSE()), VLOOKUP(A1981,Internal_lists_bugs!$A$2:$C$73,3,FALSE())&amp;Char(10) &amp; Char(10) &amp; VLOOKUP(A1981,Internal_lists_bugs!$A$2:$Z$73,26,FALSE())),"please select a BUG ID")</f>
        <v>please select a BUG ID</v>
      </c>
      <c r="C1981" s="51" t="str">
        <f>IFERROR(SUBSTITUTE(VLOOKUP(A1981,Internal_lists_bugs!$A$2:$G2031,7,FALSE()),"nova/commit","nova/src/commit"),"please select a BUG ID")</f>
        <v>please select a BUG ID</v>
      </c>
      <c r="D1981" s="54"/>
      <c r="F1981" s="54"/>
      <c r="H1981" s="114"/>
      <c r="J1981" s="183" t="str">
        <f>IFERROR(VLOOKUP(A1981,Internal_lists_bugs!$A$2:$I2031,9,FALSE()),"please select a BUG ID")</f>
        <v>please select a BUG ID</v>
      </c>
    </row>
    <row r="1982">
      <c r="A1982" s="54"/>
      <c r="B1982" s="71" t="str">
        <f>IFERROR(HYPERLINK(VLOOKUP(A1982,Internal_lists_bugs!$A$2:$C$73,3,FALSE()), VLOOKUP(A1982,Internal_lists_bugs!$A$2:$C$73,3,FALSE())&amp;Char(10) &amp; Char(10) &amp; VLOOKUP(A1982,Internal_lists_bugs!$A$2:$Z$73,26,FALSE())),"please select a BUG ID")</f>
        <v>please select a BUG ID</v>
      </c>
      <c r="C1982" s="51" t="str">
        <f>IFERROR(SUBSTITUTE(VLOOKUP(A1982,Internal_lists_bugs!$A$2:$G2031,7,FALSE()),"nova/commit","nova/src/commit"),"please select a BUG ID")</f>
        <v>please select a BUG ID</v>
      </c>
      <c r="D1982" s="54"/>
      <c r="F1982" s="54"/>
      <c r="H1982" s="114"/>
      <c r="J1982" s="183" t="str">
        <f>IFERROR(VLOOKUP(A1982,Internal_lists_bugs!$A$2:$I2031,9,FALSE()),"please select a BUG ID")</f>
        <v>please select a BUG ID</v>
      </c>
    </row>
    <row r="1983">
      <c r="A1983" s="54"/>
      <c r="B1983" s="71" t="str">
        <f>IFERROR(HYPERLINK(VLOOKUP(A1983,Internal_lists_bugs!$A$2:$C$73,3,FALSE()), VLOOKUP(A1983,Internal_lists_bugs!$A$2:$C$73,3,FALSE())&amp;Char(10) &amp; Char(10) &amp; VLOOKUP(A1983,Internal_lists_bugs!$A$2:$Z$73,26,FALSE())),"please select a BUG ID")</f>
        <v>please select a BUG ID</v>
      </c>
      <c r="C1983" s="51" t="str">
        <f>IFERROR(SUBSTITUTE(VLOOKUP(A1983,Internal_lists_bugs!$A$2:$G2031,7,FALSE()),"nova/commit","nova/src/commit"),"please select a BUG ID")</f>
        <v>please select a BUG ID</v>
      </c>
      <c r="D1983" s="54"/>
      <c r="F1983" s="54"/>
      <c r="H1983" s="114"/>
      <c r="J1983" s="183" t="str">
        <f>IFERROR(VLOOKUP(A1983,Internal_lists_bugs!$A$2:$I2031,9,FALSE()),"please select a BUG ID")</f>
        <v>please select a BUG ID</v>
      </c>
    </row>
    <row r="1984">
      <c r="A1984" s="54"/>
      <c r="B1984" s="71" t="str">
        <f>IFERROR(HYPERLINK(VLOOKUP(A1984,Internal_lists_bugs!$A$2:$C$73,3,FALSE()), VLOOKUP(A1984,Internal_lists_bugs!$A$2:$C$73,3,FALSE())&amp;Char(10) &amp; Char(10) &amp; VLOOKUP(A1984,Internal_lists_bugs!$A$2:$Z$73,26,FALSE())),"please select a BUG ID")</f>
        <v>please select a BUG ID</v>
      </c>
      <c r="C1984" s="51" t="str">
        <f>IFERROR(SUBSTITUTE(VLOOKUP(A1984,Internal_lists_bugs!$A$2:$G2031,7,FALSE()),"nova/commit","nova/src/commit"),"please select a BUG ID")</f>
        <v>please select a BUG ID</v>
      </c>
      <c r="D1984" s="54"/>
      <c r="F1984" s="54"/>
      <c r="H1984" s="114"/>
      <c r="J1984" s="183" t="str">
        <f>IFERROR(VLOOKUP(A1984,Internal_lists_bugs!$A$2:$I2031,9,FALSE()),"please select a BUG ID")</f>
        <v>please select a BUG ID</v>
      </c>
    </row>
    <row r="1985">
      <c r="A1985" s="54"/>
      <c r="B1985" s="71" t="str">
        <f>IFERROR(HYPERLINK(VLOOKUP(A1985,Internal_lists_bugs!$A$2:$C$73,3,FALSE()), VLOOKUP(A1985,Internal_lists_bugs!$A$2:$C$73,3,FALSE())&amp;Char(10) &amp; Char(10) &amp; VLOOKUP(A1985,Internal_lists_bugs!$A$2:$Z$73,26,FALSE())),"please select a BUG ID")</f>
        <v>please select a BUG ID</v>
      </c>
      <c r="C1985" s="51" t="str">
        <f>IFERROR(SUBSTITUTE(VLOOKUP(A1985,Internal_lists_bugs!$A$2:$G2031,7,FALSE()),"nova/commit","nova/src/commit"),"please select a BUG ID")</f>
        <v>please select a BUG ID</v>
      </c>
      <c r="D1985" s="54"/>
      <c r="F1985" s="54"/>
      <c r="H1985" s="114"/>
      <c r="J1985" s="183" t="str">
        <f>IFERROR(VLOOKUP(A1985,Internal_lists_bugs!$A$2:$I2031,9,FALSE()),"please select a BUG ID")</f>
        <v>please select a BUG ID</v>
      </c>
    </row>
    <row r="1986">
      <c r="A1986" s="54"/>
      <c r="B1986" s="71" t="str">
        <f>IFERROR(HYPERLINK(VLOOKUP(A1986,Internal_lists_bugs!$A$2:$C$73,3,FALSE()), VLOOKUP(A1986,Internal_lists_bugs!$A$2:$C$73,3,FALSE())&amp;Char(10) &amp; Char(10) &amp; VLOOKUP(A1986,Internal_lists_bugs!$A$2:$Z$73,26,FALSE())),"please select a BUG ID")</f>
        <v>please select a BUG ID</v>
      </c>
      <c r="C1986" s="51" t="str">
        <f>IFERROR(SUBSTITUTE(VLOOKUP(A1986,Internal_lists_bugs!$A$2:$G2031,7,FALSE()),"nova/commit","nova/src/commit"),"please select a BUG ID")</f>
        <v>please select a BUG ID</v>
      </c>
      <c r="D1986" s="54"/>
      <c r="F1986" s="54"/>
      <c r="H1986" s="114"/>
      <c r="J1986" s="183" t="str">
        <f>IFERROR(VLOOKUP(A1986,Internal_lists_bugs!$A$2:$I2031,9,FALSE()),"please select a BUG ID")</f>
        <v>please select a BUG ID</v>
      </c>
    </row>
    <row r="1987">
      <c r="A1987" s="54"/>
      <c r="B1987" s="71" t="str">
        <f>IFERROR(HYPERLINK(VLOOKUP(A1987,Internal_lists_bugs!$A$2:$C$73,3,FALSE()), VLOOKUP(A1987,Internal_lists_bugs!$A$2:$C$73,3,FALSE())&amp;Char(10) &amp; Char(10) &amp; VLOOKUP(A1987,Internal_lists_bugs!$A$2:$Z$73,26,FALSE())),"please select a BUG ID")</f>
        <v>please select a BUG ID</v>
      </c>
      <c r="C1987" s="51" t="str">
        <f>IFERROR(SUBSTITUTE(VLOOKUP(A1987,Internal_lists_bugs!$A$2:$G2031,7,FALSE()),"nova/commit","nova/src/commit"),"please select a BUG ID")</f>
        <v>please select a BUG ID</v>
      </c>
      <c r="D1987" s="54"/>
      <c r="F1987" s="54"/>
      <c r="H1987" s="114"/>
      <c r="J1987" s="183" t="str">
        <f>IFERROR(VLOOKUP(A1987,Internal_lists_bugs!$A$2:$I2031,9,FALSE()),"please select a BUG ID")</f>
        <v>please select a BUG ID</v>
      </c>
    </row>
    <row r="1988">
      <c r="A1988" s="54"/>
      <c r="B1988" s="71" t="str">
        <f>IFERROR(HYPERLINK(VLOOKUP(A1988,Internal_lists_bugs!$A$2:$C$73,3,FALSE()), VLOOKUP(A1988,Internal_lists_bugs!$A$2:$C$73,3,FALSE())&amp;Char(10) &amp; Char(10) &amp; VLOOKUP(A1988,Internal_lists_bugs!$A$2:$Z$73,26,FALSE())),"please select a BUG ID")</f>
        <v>please select a BUG ID</v>
      </c>
      <c r="C1988" s="51" t="str">
        <f>IFERROR(SUBSTITUTE(VLOOKUP(A1988,Internal_lists_bugs!$A$2:$G2031,7,FALSE()),"nova/commit","nova/src/commit"),"please select a BUG ID")</f>
        <v>please select a BUG ID</v>
      </c>
      <c r="D1988" s="54"/>
      <c r="F1988" s="54"/>
      <c r="H1988" s="114"/>
      <c r="J1988" s="183" t="str">
        <f>IFERROR(VLOOKUP(A1988,Internal_lists_bugs!$A$2:$I2031,9,FALSE()),"please select a BUG ID")</f>
        <v>please select a BUG ID</v>
      </c>
    </row>
    <row r="1989">
      <c r="A1989" s="54"/>
      <c r="B1989" s="71" t="str">
        <f>IFERROR(HYPERLINK(VLOOKUP(A1989,Internal_lists_bugs!$A$2:$C$73,3,FALSE()), VLOOKUP(A1989,Internal_lists_bugs!$A$2:$C$73,3,FALSE())&amp;Char(10) &amp; Char(10) &amp; VLOOKUP(A1989,Internal_lists_bugs!$A$2:$Z$73,26,FALSE())),"please select a BUG ID")</f>
        <v>please select a BUG ID</v>
      </c>
      <c r="C1989" s="51" t="str">
        <f>IFERROR(SUBSTITUTE(VLOOKUP(A1989,Internal_lists_bugs!$A$2:$G2031,7,FALSE()),"nova/commit","nova/src/commit"),"please select a BUG ID")</f>
        <v>please select a BUG ID</v>
      </c>
      <c r="D1989" s="54"/>
      <c r="F1989" s="54"/>
      <c r="H1989" s="114"/>
      <c r="J1989" s="183" t="str">
        <f>IFERROR(VLOOKUP(A1989,Internal_lists_bugs!$A$2:$I2031,9,FALSE()),"please select a BUG ID")</f>
        <v>please select a BUG ID</v>
      </c>
    </row>
    <row r="1990">
      <c r="A1990" s="54"/>
      <c r="B1990" s="71" t="str">
        <f>IFERROR(HYPERLINK(VLOOKUP(A1990,Internal_lists_bugs!$A$2:$C$73,3,FALSE()), VLOOKUP(A1990,Internal_lists_bugs!$A$2:$C$73,3,FALSE())&amp;Char(10) &amp; Char(10) &amp; VLOOKUP(A1990,Internal_lists_bugs!$A$2:$Z$73,26,FALSE())),"please select a BUG ID")</f>
        <v>please select a BUG ID</v>
      </c>
      <c r="C1990" s="51" t="str">
        <f>IFERROR(SUBSTITUTE(VLOOKUP(A1990,Internal_lists_bugs!$A$2:$G2031,7,FALSE()),"nova/commit","nova/src/commit"),"please select a BUG ID")</f>
        <v>please select a BUG ID</v>
      </c>
      <c r="D1990" s="54"/>
      <c r="F1990" s="54"/>
      <c r="H1990" s="114"/>
      <c r="J1990" s="183" t="str">
        <f>IFERROR(VLOOKUP(A1990,Internal_lists_bugs!$A$2:$I2031,9,FALSE()),"please select a BUG ID")</f>
        <v>please select a BUG ID</v>
      </c>
    </row>
    <row r="1991">
      <c r="A1991" s="54"/>
      <c r="B1991" s="71" t="str">
        <f>IFERROR(HYPERLINK(VLOOKUP(A1991,Internal_lists_bugs!$A$2:$C$73,3,FALSE()), VLOOKUP(A1991,Internal_lists_bugs!$A$2:$C$73,3,FALSE())&amp;Char(10) &amp; Char(10) &amp; VLOOKUP(A1991,Internal_lists_bugs!$A$2:$Z$73,26,FALSE())),"please select a BUG ID")</f>
        <v>please select a BUG ID</v>
      </c>
      <c r="C1991" s="51" t="str">
        <f>IFERROR(SUBSTITUTE(VLOOKUP(A1991,Internal_lists_bugs!$A$2:$G2031,7,FALSE()),"nova/commit","nova/src/commit"),"please select a BUG ID")</f>
        <v>please select a BUG ID</v>
      </c>
      <c r="D1991" s="54"/>
      <c r="F1991" s="54"/>
      <c r="H1991" s="114"/>
      <c r="J1991" s="183" t="str">
        <f>IFERROR(VLOOKUP(A1991,Internal_lists_bugs!$A$2:$I2031,9,FALSE()),"please select a BUG ID")</f>
        <v>please select a BUG ID</v>
      </c>
    </row>
    <row r="1992">
      <c r="A1992" s="54"/>
      <c r="B1992" s="71" t="str">
        <f>IFERROR(HYPERLINK(VLOOKUP(A1992,Internal_lists_bugs!$A$2:$C$73,3,FALSE()), VLOOKUP(A1992,Internal_lists_bugs!$A$2:$C$73,3,FALSE())&amp;Char(10) &amp; Char(10) &amp; VLOOKUP(A1992,Internal_lists_bugs!$A$2:$Z$73,26,FALSE())),"please select a BUG ID")</f>
        <v>please select a BUG ID</v>
      </c>
      <c r="C1992" s="51" t="str">
        <f>IFERROR(SUBSTITUTE(VLOOKUP(A1992,Internal_lists_bugs!$A$2:$G2031,7,FALSE()),"nova/commit","nova/src/commit"),"please select a BUG ID")</f>
        <v>please select a BUG ID</v>
      </c>
      <c r="D1992" s="54"/>
      <c r="F1992" s="54"/>
      <c r="H1992" s="114"/>
      <c r="J1992" s="183" t="str">
        <f>IFERROR(VLOOKUP(A1992,Internal_lists_bugs!$A$2:$I2031,9,FALSE()),"please select a BUG ID")</f>
        <v>please select a BUG ID</v>
      </c>
    </row>
    <row r="1993">
      <c r="A1993" s="54"/>
      <c r="B1993" s="71" t="str">
        <f>IFERROR(HYPERLINK(VLOOKUP(A1993,Internal_lists_bugs!$A$2:$C$73,3,FALSE()), VLOOKUP(A1993,Internal_lists_bugs!$A$2:$C$73,3,FALSE())&amp;Char(10) &amp; Char(10) &amp; VLOOKUP(A1993,Internal_lists_bugs!$A$2:$Z$73,26,FALSE())),"please select a BUG ID")</f>
        <v>please select a BUG ID</v>
      </c>
      <c r="C1993" s="51" t="str">
        <f>IFERROR(SUBSTITUTE(VLOOKUP(A1993,Internal_lists_bugs!$A$2:$G2031,7,FALSE()),"nova/commit","nova/src/commit"),"please select a BUG ID")</f>
        <v>please select a BUG ID</v>
      </c>
      <c r="D1993" s="54"/>
      <c r="F1993" s="54"/>
      <c r="H1993" s="114"/>
      <c r="J1993" s="183" t="str">
        <f>IFERROR(VLOOKUP(A1993,Internal_lists_bugs!$A$2:$I2031,9,FALSE()),"please select a BUG ID")</f>
        <v>please select a BUG ID</v>
      </c>
    </row>
    <row r="1994">
      <c r="A1994" s="54"/>
      <c r="B1994" s="71" t="str">
        <f>IFERROR(HYPERLINK(VLOOKUP(A1994,Internal_lists_bugs!$A$2:$C$73,3,FALSE()), VLOOKUP(A1994,Internal_lists_bugs!$A$2:$C$73,3,FALSE())&amp;Char(10) &amp; Char(10) &amp; VLOOKUP(A1994,Internal_lists_bugs!$A$2:$Z$73,26,FALSE())),"please select a BUG ID")</f>
        <v>please select a BUG ID</v>
      </c>
      <c r="C1994" s="51" t="str">
        <f>IFERROR(SUBSTITUTE(VLOOKUP(A1994,Internal_lists_bugs!$A$2:$G2031,7,FALSE()),"nova/commit","nova/src/commit"),"please select a BUG ID")</f>
        <v>please select a BUG ID</v>
      </c>
      <c r="D1994" s="54"/>
      <c r="F1994" s="54"/>
      <c r="H1994" s="114"/>
      <c r="J1994" s="183" t="str">
        <f>IFERROR(VLOOKUP(A1994,Internal_lists_bugs!$A$2:$I2031,9,FALSE()),"please select a BUG ID")</f>
        <v>please select a BUG ID</v>
      </c>
    </row>
    <row r="1995">
      <c r="A1995" s="54"/>
      <c r="B1995" s="71" t="str">
        <f>IFERROR(HYPERLINK(VLOOKUP(A1995,Internal_lists_bugs!$A$2:$C$73,3,FALSE()), VLOOKUP(A1995,Internal_lists_bugs!$A$2:$C$73,3,FALSE())&amp;Char(10) &amp; Char(10) &amp; VLOOKUP(A1995,Internal_lists_bugs!$A$2:$Z$73,26,FALSE())),"please select a BUG ID")</f>
        <v>please select a BUG ID</v>
      </c>
      <c r="C1995" s="51" t="str">
        <f>IFERROR(SUBSTITUTE(VLOOKUP(A1995,Internal_lists_bugs!$A$2:$G2031,7,FALSE()),"nova/commit","nova/src/commit"),"please select a BUG ID")</f>
        <v>please select a BUG ID</v>
      </c>
      <c r="D1995" s="54"/>
      <c r="F1995" s="54"/>
      <c r="H1995" s="114"/>
      <c r="J1995" s="183" t="str">
        <f>IFERROR(VLOOKUP(A1995,Internal_lists_bugs!$A$2:$I2031,9,FALSE()),"please select a BUG ID")</f>
        <v>please select a BUG ID</v>
      </c>
    </row>
    <row r="1996">
      <c r="A1996" s="54"/>
      <c r="B1996" s="71" t="str">
        <f>IFERROR(HYPERLINK(VLOOKUP(A1996,Internal_lists_bugs!$A$2:$C$73,3,FALSE()), VLOOKUP(A1996,Internal_lists_bugs!$A$2:$C$73,3,FALSE())&amp;Char(10) &amp; Char(10) &amp; VLOOKUP(A1996,Internal_lists_bugs!$A$2:$Z$73,26,FALSE())),"please select a BUG ID")</f>
        <v>please select a BUG ID</v>
      </c>
      <c r="C1996" s="51" t="str">
        <f>IFERROR(SUBSTITUTE(VLOOKUP(A1996,Internal_lists_bugs!$A$2:$G2031,7,FALSE()),"nova/commit","nova/src/commit"),"please select a BUG ID")</f>
        <v>please select a BUG ID</v>
      </c>
      <c r="D1996" s="54"/>
      <c r="F1996" s="54"/>
      <c r="H1996" s="114"/>
      <c r="J1996" s="183" t="str">
        <f>IFERROR(VLOOKUP(A1996,Internal_lists_bugs!$A$2:$I2031,9,FALSE()),"please select a BUG ID")</f>
        <v>please select a BUG ID</v>
      </c>
    </row>
    <row r="1997">
      <c r="A1997" s="54"/>
      <c r="B1997" s="71" t="str">
        <f>IFERROR(HYPERLINK(VLOOKUP(A1997,Internal_lists_bugs!$A$2:$C$73,3,FALSE()), VLOOKUP(A1997,Internal_lists_bugs!$A$2:$C$73,3,FALSE())&amp;Char(10) &amp; Char(10) &amp; VLOOKUP(A1997,Internal_lists_bugs!$A$2:$Z$73,26,FALSE())),"please select a BUG ID")</f>
        <v>please select a BUG ID</v>
      </c>
      <c r="C1997" s="51" t="str">
        <f>IFERROR(SUBSTITUTE(VLOOKUP(A1997,Internal_lists_bugs!$A$2:$G2031,7,FALSE()),"nova/commit","nova/src/commit"),"please select a BUG ID")</f>
        <v>please select a BUG ID</v>
      </c>
      <c r="D1997" s="54"/>
      <c r="F1997" s="54"/>
      <c r="H1997" s="114"/>
      <c r="J1997" s="183" t="str">
        <f>IFERROR(VLOOKUP(A1997,Internal_lists_bugs!$A$2:$I2031,9,FALSE()),"please select a BUG ID")</f>
        <v>please select a BUG ID</v>
      </c>
    </row>
    <row r="1998">
      <c r="A1998" s="54"/>
      <c r="B1998" s="71" t="str">
        <f>IFERROR(HYPERLINK(VLOOKUP(A1998,Internal_lists_bugs!$A$2:$C$73,3,FALSE()), VLOOKUP(A1998,Internal_lists_bugs!$A$2:$C$73,3,FALSE())&amp;Char(10) &amp; Char(10) &amp; VLOOKUP(A1998,Internal_lists_bugs!$A$2:$Z$73,26,FALSE())),"please select a BUG ID")</f>
        <v>please select a BUG ID</v>
      </c>
      <c r="C1998" s="51" t="str">
        <f>IFERROR(SUBSTITUTE(VLOOKUP(A1998,Internal_lists_bugs!$A$2:$G2031,7,FALSE()),"nova/commit","nova/src/commit"),"please select a BUG ID")</f>
        <v>please select a BUG ID</v>
      </c>
      <c r="D1998" s="54"/>
      <c r="F1998" s="54"/>
      <c r="H1998" s="114"/>
      <c r="J1998" s="183" t="str">
        <f>IFERROR(VLOOKUP(A1998,Internal_lists_bugs!$A$2:$I2031,9,FALSE()),"please select a BUG ID")</f>
        <v>please select a BUG ID</v>
      </c>
    </row>
    <row r="1999">
      <c r="A1999" s="54"/>
      <c r="B1999" s="71" t="str">
        <f>IFERROR(HYPERLINK(VLOOKUP(A1999,Internal_lists_bugs!$A$2:$C$73,3,FALSE()), VLOOKUP(A1999,Internal_lists_bugs!$A$2:$C$73,3,FALSE())&amp;Char(10) &amp; Char(10) &amp; VLOOKUP(A1999,Internal_lists_bugs!$A$2:$Z$73,26,FALSE())),"please select a BUG ID")</f>
        <v>please select a BUG ID</v>
      </c>
      <c r="C1999" s="51" t="str">
        <f>IFERROR(SUBSTITUTE(VLOOKUP(A1999,Internal_lists_bugs!$A$2:$G2031,7,FALSE()),"nova/commit","nova/src/commit"),"please select a BUG ID")</f>
        <v>please select a BUG ID</v>
      </c>
      <c r="D1999" s="54"/>
      <c r="F1999" s="54"/>
      <c r="H1999" s="114"/>
      <c r="J1999" s="183" t="str">
        <f>IFERROR(VLOOKUP(A1999,Internal_lists_bugs!$A$2:$I2031,9,FALSE()),"please select a BUG ID")</f>
        <v>please select a BUG ID</v>
      </c>
    </row>
    <row r="2000">
      <c r="A2000" s="54"/>
      <c r="B2000" s="71" t="str">
        <f>IFERROR(HYPERLINK(VLOOKUP(A2000,Internal_lists_bugs!$A$2:$C$73,3,FALSE()), VLOOKUP(A2000,Internal_lists_bugs!$A$2:$C$73,3,FALSE())&amp;Char(10) &amp; Char(10) &amp; VLOOKUP(A2000,Internal_lists_bugs!$A$2:$Z$73,26,FALSE())),"please select a BUG ID")</f>
        <v>please select a BUG ID</v>
      </c>
      <c r="C2000" s="51" t="str">
        <f>IFERROR(SUBSTITUTE(VLOOKUP(A2000,Internal_lists_bugs!$A$2:$G2031,7,FALSE()),"nova/commit","nova/src/commit"),"please select a BUG ID")</f>
        <v>please select a BUG ID</v>
      </c>
      <c r="D2000" s="54"/>
      <c r="F2000" s="54"/>
      <c r="H2000" s="114"/>
      <c r="J2000" s="183" t="str">
        <f>IFERROR(VLOOKUP(A2000,Internal_lists_bugs!$A$2:$I2031,9,FALSE()),"please select a BUG ID")</f>
        <v>please select a BUG ID</v>
      </c>
    </row>
    <row r="2001">
      <c r="A2001" s="54"/>
      <c r="B2001" s="71" t="str">
        <f>IFERROR(HYPERLINK(VLOOKUP(A2001,Internal_lists_bugs!$A$2:$C$73,3,FALSE()), VLOOKUP(A2001,Internal_lists_bugs!$A$2:$C$73,3,FALSE())&amp;Char(10) &amp; Char(10) &amp; VLOOKUP(A2001,Internal_lists_bugs!$A$2:$Z$73,26,FALSE())),"please select a BUG ID")</f>
        <v>please select a BUG ID</v>
      </c>
      <c r="C2001" s="51" t="str">
        <f>IFERROR(SUBSTITUTE(VLOOKUP(A2001,Internal_lists_bugs!$A$2:$G2031,7,FALSE()),"nova/commit","nova/src/commit"),"please select a BUG ID")</f>
        <v>please select a BUG ID</v>
      </c>
      <c r="D2001" s="54"/>
      <c r="F2001" s="54"/>
      <c r="H2001" s="114"/>
      <c r="J2001" s="183" t="str">
        <f>IFERROR(VLOOKUP(A2001,Internal_lists_bugs!$A$2:$I2031,9,FALSE()),"please select a BUG ID")</f>
        <v>please select a BUG ID</v>
      </c>
    </row>
    <row r="2002">
      <c r="A2002" s="54"/>
      <c r="B2002" s="71" t="str">
        <f>IFERROR(HYPERLINK(VLOOKUP(A2002,Internal_lists_bugs!$A$2:$C$73,3,FALSE()), VLOOKUP(A2002,Internal_lists_bugs!$A$2:$C$73,3,FALSE())&amp;Char(10) &amp; Char(10) &amp; VLOOKUP(A2002,Internal_lists_bugs!$A$2:$Z$73,26,FALSE())),"please select a BUG ID")</f>
        <v>please select a BUG ID</v>
      </c>
      <c r="C2002" s="51" t="str">
        <f>IFERROR(SUBSTITUTE(VLOOKUP(A2002,Internal_lists_bugs!$A$2:$G2031,7,FALSE()),"nova/commit","nova/src/commit"),"please select a BUG ID")</f>
        <v>please select a BUG ID</v>
      </c>
      <c r="D2002" s="54"/>
      <c r="F2002" s="54"/>
      <c r="H2002" s="114"/>
      <c r="J2002" s="183" t="str">
        <f>IFERROR(VLOOKUP(A2002,Internal_lists_bugs!$A$2:$I2031,9,FALSE()),"please select a BUG ID")</f>
        <v>please select a BUG ID</v>
      </c>
    </row>
    <row r="2003">
      <c r="A2003" s="54"/>
      <c r="B2003" s="71" t="str">
        <f>IFERROR(HYPERLINK(VLOOKUP(A2003,Internal_lists_bugs!$A$2:$C$73,3,FALSE()), VLOOKUP(A2003,Internal_lists_bugs!$A$2:$C$73,3,FALSE())&amp;Char(10) &amp; Char(10) &amp; VLOOKUP(A2003,Internal_lists_bugs!$A$2:$Z$73,26,FALSE())),"please select a BUG ID")</f>
        <v>please select a BUG ID</v>
      </c>
      <c r="C2003" s="51" t="str">
        <f>IFERROR(SUBSTITUTE(VLOOKUP(A2003,Internal_lists_bugs!$A$2:$G2031,7,FALSE()),"nova/commit","nova/src/commit"),"please select a BUG ID")</f>
        <v>please select a BUG ID</v>
      </c>
      <c r="D2003" s="54"/>
      <c r="F2003" s="54"/>
      <c r="H2003" s="114"/>
      <c r="J2003" s="183" t="str">
        <f>IFERROR(VLOOKUP(A2003,Internal_lists_bugs!$A$2:$I2031,9,FALSE()),"please select a BUG ID")</f>
        <v>please select a BUG ID</v>
      </c>
    </row>
    <row r="2004">
      <c r="A2004" s="54"/>
      <c r="B2004" s="71" t="str">
        <f>IFERROR(HYPERLINK(VLOOKUP(A2004,Internal_lists_bugs!$A$2:$C$73,3,FALSE()), VLOOKUP(A2004,Internal_lists_bugs!$A$2:$C$73,3,FALSE())&amp;Char(10) &amp; Char(10) &amp; VLOOKUP(A2004,Internal_lists_bugs!$A$2:$Z$73,26,FALSE())),"please select a BUG ID")</f>
        <v>please select a BUG ID</v>
      </c>
      <c r="C2004" s="51" t="str">
        <f>IFERROR(SUBSTITUTE(VLOOKUP(A2004,Internal_lists_bugs!$A$2:$G2031,7,FALSE()),"nova/commit","nova/src/commit"),"please select a BUG ID")</f>
        <v>please select a BUG ID</v>
      </c>
      <c r="D2004" s="54"/>
      <c r="F2004" s="54"/>
      <c r="H2004" s="114"/>
      <c r="J2004" s="183" t="str">
        <f>IFERROR(VLOOKUP(A2004,Internal_lists_bugs!$A$2:$I2031,9,FALSE()),"please select a BUG ID")</f>
        <v>please select a BUG ID</v>
      </c>
    </row>
    <row r="2005">
      <c r="A2005" s="54"/>
      <c r="B2005" s="71" t="str">
        <f>IFERROR(HYPERLINK(VLOOKUP(A2005,Internal_lists_bugs!$A$2:$C$73,3,FALSE()), VLOOKUP(A2005,Internal_lists_bugs!$A$2:$C$73,3,FALSE())&amp;Char(10) &amp; Char(10) &amp; VLOOKUP(A2005,Internal_lists_bugs!$A$2:$Z$73,26,FALSE())),"please select a BUG ID")</f>
        <v>please select a BUG ID</v>
      </c>
      <c r="C2005" s="51" t="str">
        <f>IFERROR(SUBSTITUTE(VLOOKUP(A2005,Internal_lists_bugs!$A$2:$G2031,7,FALSE()),"nova/commit","nova/src/commit"),"please select a BUG ID")</f>
        <v>please select a BUG ID</v>
      </c>
      <c r="D2005" s="54"/>
      <c r="F2005" s="54"/>
      <c r="H2005" s="114"/>
      <c r="J2005" s="183" t="str">
        <f>IFERROR(VLOOKUP(A2005,Internal_lists_bugs!$A$2:$I2031,9,FALSE()),"please select a BUG ID")</f>
        <v>please select a BUG ID</v>
      </c>
    </row>
    <row r="2006">
      <c r="A2006" s="54"/>
      <c r="B2006" s="71" t="str">
        <f>IFERROR(HYPERLINK(VLOOKUP(A2006,Internal_lists_bugs!$A$2:$C$73,3,FALSE()), VLOOKUP(A2006,Internal_lists_bugs!$A$2:$C$73,3,FALSE())&amp;Char(10) &amp; Char(10) &amp; VLOOKUP(A2006,Internal_lists_bugs!$A$2:$Z$73,26,FALSE())),"please select a BUG ID")</f>
        <v>please select a BUG ID</v>
      </c>
      <c r="C2006" s="51" t="str">
        <f>IFERROR(SUBSTITUTE(VLOOKUP(A2006,Internal_lists_bugs!$A$2:$G2031,7,FALSE()),"nova/commit","nova/src/commit"),"please select a BUG ID")</f>
        <v>please select a BUG ID</v>
      </c>
      <c r="D2006" s="54"/>
      <c r="F2006" s="54"/>
      <c r="H2006" s="114"/>
      <c r="J2006" s="183" t="str">
        <f>IFERROR(VLOOKUP(A2006,Internal_lists_bugs!$A$2:$I2031,9,FALSE()),"please select a BUG ID")</f>
        <v>please select a BUG ID</v>
      </c>
    </row>
    <row r="2007">
      <c r="A2007" s="54"/>
      <c r="B2007" s="71" t="str">
        <f>IFERROR(HYPERLINK(VLOOKUP(A2007,Internal_lists_bugs!$A$2:$C$73,3,FALSE()), VLOOKUP(A2007,Internal_lists_bugs!$A$2:$C$73,3,FALSE())&amp;Char(10) &amp; Char(10) &amp; VLOOKUP(A2007,Internal_lists_bugs!$A$2:$Z$73,26,FALSE())),"please select a BUG ID")</f>
        <v>please select a BUG ID</v>
      </c>
      <c r="C2007" s="51" t="str">
        <f>IFERROR(SUBSTITUTE(VLOOKUP(A2007,Internal_lists_bugs!$A$2:$G2031,7,FALSE()),"nova/commit","nova/src/commit"),"please select a BUG ID")</f>
        <v>please select a BUG ID</v>
      </c>
      <c r="D2007" s="54"/>
      <c r="F2007" s="54"/>
      <c r="H2007" s="114"/>
      <c r="J2007" s="183" t="str">
        <f>IFERROR(VLOOKUP(A2007,Internal_lists_bugs!$A$2:$I2031,9,FALSE()),"please select a BUG ID")</f>
        <v>please select a BUG ID</v>
      </c>
    </row>
    <row r="2008">
      <c r="A2008" s="54"/>
      <c r="B2008" s="71" t="str">
        <f>IFERROR(HYPERLINK(VLOOKUP(A2008,Internal_lists_bugs!$A$2:$C$73,3,FALSE()), VLOOKUP(A2008,Internal_lists_bugs!$A$2:$C$73,3,FALSE())&amp;Char(10) &amp; Char(10) &amp; VLOOKUP(A2008,Internal_lists_bugs!$A$2:$Z$73,26,FALSE())),"please select a BUG ID")</f>
        <v>please select a BUG ID</v>
      </c>
      <c r="C2008" s="51" t="str">
        <f>IFERROR(SUBSTITUTE(VLOOKUP(A2008,Internal_lists_bugs!$A$2:$G2031,7,FALSE()),"nova/commit","nova/src/commit"),"please select a BUG ID")</f>
        <v>please select a BUG ID</v>
      </c>
      <c r="D2008" s="54"/>
      <c r="F2008" s="54"/>
      <c r="H2008" s="114"/>
      <c r="J2008" s="183" t="str">
        <f>IFERROR(VLOOKUP(A2008,Internal_lists_bugs!$A$2:$I2031,9,FALSE()),"please select a BUG ID")</f>
        <v>please select a BUG ID</v>
      </c>
    </row>
    <row r="2009">
      <c r="A2009" s="54"/>
      <c r="B2009" s="71" t="str">
        <f>IFERROR(HYPERLINK(VLOOKUP(A2009,Internal_lists_bugs!$A$2:$C$73,3,FALSE()), VLOOKUP(A2009,Internal_lists_bugs!$A$2:$C$73,3,FALSE())&amp;Char(10) &amp; Char(10) &amp; VLOOKUP(A2009,Internal_lists_bugs!$A$2:$Z$73,26,FALSE())),"please select a BUG ID")</f>
        <v>please select a BUG ID</v>
      </c>
      <c r="C2009" s="51" t="str">
        <f>IFERROR(SUBSTITUTE(VLOOKUP(A2009,Internal_lists_bugs!$A$2:$G2031,7,FALSE()),"nova/commit","nova/src/commit"),"please select a BUG ID")</f>
        <v>please select a BUG ID</v>
      </c>
      <c r="D2009" s="54"/>
      <c r="F2009" s="54"/>
      <c r="H2009" s="114"/>
      <c r="J2009" s="183" t="str">
        <f>IFERROR(VLOOKUP(A2009,Internal_lists_bugs!$A$2:$I2031,9,FALSE()),"please select a BUG ID")</f>
        <v>please select a BUG ID</v>
      </c>
    </row>
    <row r="2010">
      <c r="A2010" s="54"/>
      <c r="B2010" s="71" t="str">
        <f>IFERROR(HYPERLINK(VLOOKUP(A2010,Internal_lists_bugs!$A$2:$C$73,3,FALSE()), VLOOKUP(A2010,Internal_lists_bugs!$A$2:$C$73,3,FALSE())&amp;Char(10) &amp; Char(10) &amp; VLOOKUP(A2010,Internal_lists_bugs!$A$2:$Z$73,26,FALSE())),"please select a BUG ID")</f>
        <v>please select a BUG ID</v>
      </c>
      <c r="C2010" s="51" t="str">
        <f>IFERROR(SUBSTITUTE(VLOOKUP(A2010,Internal_lists_bugs!$A$2:$G2031,7,FALSE()),"nova/commit","nova/src/commit"),"please select a BUG ID")</f>
        <v>please select a BUG ID</v>
      </c>
      <c r="D2010" s="54"/>
      <c r="F2010" s="54"/>
      <c r="H2010" s="114"/>
      <c r="J2010" s="183" t="str">
        <f>IFERROR(VLOOKUP(A2010,Internal_lists_bugs!$A$2:$I2031,9,FALSE()),"please select a BUG ID")</f>
        <v>please select a BUG ID</v>
      </c>
    </row>
    <row r="2011">
      <c r="A2011" s="54"/>
      <c r="B2011" s="71" t="str">
        <f>IFERROR(HYPERLINK(VLOOKUP(A2011,Internal_lists_bugs!$A$2:$C$73,3,FALSE()), VLOOKUP(A2011,Internal_lists_bugs!$A$2:$C$73,3,FALSE())&amp;Char(10) &amp; Char(10) &amp; VLOOKUP(A2011,Internal_lists_bugs!$A$2:$Z$73,26,FALSE())),"please select a BUG ID")</f>
        <v>please select a BUG ID</v>
      </c>
      <c r="C2011" s="51" t="str">
        <f>IFERROR(SUBSTITUTE(VLOOKUP(A2011,Internal_lists_bugs!$A$2:$G2031,7,FALSE()),"nova/commit","nova/src/commit"),"please select a BUG ID")</f>
        <v>please select a BUG ID</v>
      </c>
      <c r="D2011" s="54"/>
      <c r="F2011" s="54"/>
      <c r="H2011" s="114"/>
      <c r="J2011" s="183" t="str">
        <f>IFERROR(VLOOKUP(A2011,Internal_lists_bugs!$A$2:$I2031,9,FALSE()),"please select a BUG ID")</f>
        <v>please select a BUG ID</v>
      </c>
    </row>
    <row r="2012">
      <c r="A2012" s="54"/>
      <c r="B2012" s="71" t="str">
        <f>IFERROR(HYPERLINK(VLOOKUP(A2012,Internal_lists_bugs!$A$2:$C$73,3,FALSE()), VLOOKUP(A2012,Internal_lists_bugs!$A$2:$C$73,3,FALSE())&amp;Char(10) &amp; Char(10) &amp; VLOOKUP(A2012,Internal_lists_bugs!$A$2:$Z$73,26,FALSE())),"please select a BUG ID")</f>
        <v>please select a BUG ID</v>
      </c>
      <c r="C2012" s="51" t="str">
        <f>IFERROR(SUBSTITUTE(VLOOKUP(A2012,Internal_lists_bugs!$A$2:$G2031,7,FALSE()),"nova/commit","nova/src/commit"),"please select a BUG ID")</f>
        <v>please select a BUG ID</v>
      </c>
      <c r="D2012" s="54"/>
      <c r="F2012" s="54"/>
      <c r="H2012" s="114"/>
      <c r="J2012" s="183" t="str">
        <f>IFERROR(VLOOKUP(A2012,Internal_lists_bugs!$A$2:$I2031,9,FALSE()),"please select a BUG ID")</f>
        <v>please select a BUG ID</v>
      </c>
    </row>
    <row r="2013">
      <c r="A2013" s="54"/>
      <c r="B2013" s="71" t="str">
        <f>IFERROR(HYPERLINK(VLOOKUP(A2013,Internal_lists_bugs!$A$2:$C$73,3,FALSE()), VLOOKUP(A2013,Internal_lists_bugs!$A$2:$C$73,3,FALSE())&amp;Char(10) &amp; Char(10) &amp; VLOOKUP(A2013,Internal_lists_bugs!$A$2:$Z$73,26,FALSE())),"please select a BUG ID")</f>
        <v>please select a BUG ID</v>
      </c>
      <c r="C2013" s="51" t="str">
        <f>IFERROR(SUBSTITUTE(VLOOKUP(A2013,Internal_lists_bugs!$A$2:$G2031,7,FALSE()),"nova/commit","nova/src/commit"),"please select a BUG ID")</f>
        <v>please select a BUG ID</v>
      </c>
      <c r="D2013" s="54"/>
      <c r="F2013" s="54"/>
      <c r="H2013" s="114"/>
      <c r="J2013" s="183" t="str">
        <f>IFERROR(VLOOKUP(A2013,Internal_lists_bugs!$A$2:$I2031,9,FALSE()),"please select a BUG ID")</f>
        <v>please select a BUG ID</v>
      </c>
    </row>
    <row r="2014">
      <c r="A2014" s="54"/>
      <c r="B2014" s="71" t="str">
        <f>IFERROR(HYPERLINK(VLOOKUP(A2014,Internal_lists_bugs!$A$2:$C$73,3,FALSE()), VLOOKUP(A2014,Internal_lists_bugs!$A$2:$C$73,3,FALSE())&amp;Char(10) &amp; Char(10) &amp; VLOOKUP(A2014,Internal_lists_bugs!$A$2:$Z$73,26,FALSE())),"please select a BUG ID")</f>
        <v>please select a BUG ID</v>
      </c>
      <c r="C2014" s="51" t="str">
        <f>IFERROR(SUBSTITUTE(VLOOKUP(A2014,Internal_lists_bugs!$A$2:$G2031,7,FALSE()),"nova/commit","nova/src/commit"),"please select a BUG ID")</f>
        <v>please select a BUG ID</v>
      </c>
      <c r="D2014" s="54"/>
      <c r="F2014" s="54"/>
      <c r="H2014" s="114"/>
      <c r="J2014" s="183" t="str">
        <f>IFERROR(VLOOKUP(A2014,Internal_lists_bugs!$A$2:$I2031,9,FALSE()),"please select a BUG ID")</f>
        <v>please select a BUG ID</v>
      </c>
    </row>
    <row r="2015">
      <c r="A2015" s="54"/>
      <c r="B2015" s="71" t="str">
        <f>IFERROR(HYPERLINK(VLOOKUP(A2015,Internal_lists_bugs!$A$2:$C$73,3,FALSE()), VLOOKUP(A2015,Internal_lists_bugs!$A$2:$C$73,3,FALSE())&amp;Char(10) &amp; Char(10) &amp; VLOOKUP(A2015,Internal_lists_bugs!$A$2:$Z$73,26,FALSE())),"please select a BUG ID")</f>
        <v>please select a BUG ID</v>
      </c>
      <c r="C2015" s="51" t="str">
        <f>IFERROR(SUBSTITUTE(VLOOKUP(A2015,Internal_lists_bugs!$A$2:$G2031,7,FALSE()),"nova/commit","nova/src/commit"),"please select a BUG ID")</f>
        <v>please select a BUG ID</v>
      </c>
      <c r="D2015" s="54"/>
      <c r="F2015" s="54"/>
      <c r="H2015" s="114"/>
      <c r="J2015" s="183" t="str">
        <f>IFERROR(VLOOKUP(A2015,Internal_lists_bugs!$A$2:$I2031,9,FALSE()),"please select a BUG ID")</f>
        <v>please select a BUG ID</v>
      </c>
    </row>
    <row r="2016">
      <c r="A2016" s="54"/>
      <c r="B2016" s="71" t="str">
        <f>IFERROR(HYPERLINK(VLOOKUP(A2016,Internal_lists_bugs!$A$2:$C$73,3,FALSE()), VLOOKUP(A2016,Internal_lists_bugs!$A$2:$C$73,3,FALSE())&amp;Char(10) &amp; Char(10) &amp; VLOOKUP(A2016,Internal_lists_bugs!$A$2:$Z$73,26,FALSE())),"please select a BUG ID")</f>
        <v>please select a BUG ID</v>
      </c>
      <c r="C2016" s="51" t="str">
        <f>IFERROR(SUBSTITUTE(VLOOKUP(A2016,Internal_lists_bugs!$A$2:$G2031,7,FALSE()),"nova/commit","nova/src/commit"),"please select a BUG ID")</f>
        <v>please select a BUG ID</v>
      </c>
      <c r="D2016" s="54"/>
      <c r="F2016" s="54"/>
      <c r="H2016" s="114"/>
      <c r="J2016" s="183" t="str">
        <f>IFERROR(VLOOKUP(A2016,Internal_lists_bugs!$A$2:$I2031,9,FALSE()),"please select a BUG ID")</f>
        <v>please select a BUG ID</v>
      </c>
    </row>
    <row r="2017">
      <c r="A2017" s="54"/>
      <c r="B2017" s="71" t="str">
        <f>IFERROR(HYPERLINK(VLOOKUP(A2017,Internal_lists_bugs!$A$2:$C$73,3,FALSE()), VLOOKUP(A2017,Internal_lists_bugs!$A$2:$C$73,3,FALSE())&amp;Char(10) &amp; Char(10) &amp; VLOOKUP(A2017,Internal_lists_bugs!$A$2:$Z$73,26,FALSE())),"please select a BUG ID")</f>
        <v>please select a BUG ID</v>
      </c>
      <c r="C2017" s="51" t="str">
        <f>IFERROR(SUBSTITUTE(VLOOKUP(A2017,Internal_lists_bugs!$A$2:$G2031,7,FALSE()),"nova/commit","nova/src/commit"),"please select a BUG ID")</f>
        <v>please select a BUG ID</v>
      </c>
      <c r="D2017" s="54"/>
      <c r="F2017" s="54"/>
      <c r="H2017" s="114"/>
      <c r="J2017" s="183" t="str">
        <f>IFERROR(VLOOKUP(A2017,Internal_lists_bugs!$A$2:$I2031,9,FALSE()),"please select a BUG ID")</f>
        <v>please select a BUG ID</v>
      </c>
    </row>
    <row r="2018">
      <c r="A2018" s="54"/>
      <c r="B2018" s="71" t="str">
        <f>IFERROR(HYPERLINK(VLOOKUP(A2018,Internal_lists_bugs!$A$2:$C$73,3,FALSE()), VLOOKUP(A2018,Internal_lists_bugs!$A$2:$C$73,3,FALSE())&amp;Char(10) &amp; Char(10) &amp; VLOOKUP(A2018,Internal_lists_bugs!$A$2:$Z$73,26,FALSE())),"please select a BUG ID")</f>
        <v>please select a BUG ID</v>
      </c>
      <c r="C2018" s="51" t="str">
        <f>IFERROR(SUBSTITUTE(VLOOKUP(A2018,Internal_lists_bugs!$A$2:$G2031,7,FALSE()),"nova/commit","nova/src/commit"),"please select a BUG ID")</f>
        <v>please select a BUG ID</v>
      </c>
      <c r="D2018" s="54"/>
      <c r="F2018" s="54"/>
      <c r="H2018" s="114"/>
      <c r="J2018" s="183" t="str">
        <f>IFERROR(VLOOKUP(A2018,Internal_lists_bugs!$A$2:$I2031,9,FALSE()),"please select a BUG ID")</f>
        <v>please select a BUG ID</v>
      </c>
    </row>
    <row r="2019">
      <c r="A2019" s="54"/>
      <c r="B2019" s="71" t="str">
        <f>IFERROR(HYPERLINK(VLOOKUP(A2019,Internal_lists_bugs!$A$2:$C$73,3,FALSE()), VLOOKUP(A2019,Internal_lists_bugs!$A$2:$C$73,3,FALSE())&amp;Char(10) &amp; Char(10) &amp; VLOOKUP(A2019,Internal_lists_bugs!$A$2:$Z$73,26,FALSE())),"please select a BUG ID")</f>
        <v>please select a BUG ID</v>
      </c>
      <c r="C2019" s="51" t="str">
        <f>IFERROR(SUBSTITUTE(VLOOKUP(A2019,Internal_lists_bugs!$A$2:$G2031,7,FALSE()),"nova/commit","nova/src/commit"),"please select a BUG ID")</f>
        <v>please select a BUG ID</v>
      </c>
      <c r="D2019" s="54"/>
      <c r="F2019" s="54"/>
      <c r="H2019" s="114"/>
      <c r="J2019" s="183" t="str">
        <f>IFERROR(VLOOKUP(A2019,Internal_lists_bugs!$A$2:$I2031,9,FALSE()),"please select a BUG ID")</f>
        <v>please select a BUG ID</v>
      </c>
    </row>
    <row r="2020">
      <c r="A2020" s="54"/>
      <c r="B2020" s="71" t="str">
        <f>IFERROR(HYPERLINK(VLOOKUP(A2020,Internal_lists_bugs!$A$2:$C$73,3,FALSE()), VLOOKUP(A2020,Internal_lists_bugs!$A$2:$C$73,3,FALSE())&amp;Char(10) &amp; Char(10) &amp; VLOOKUP(A2020,Internal_lists_bugs!$A$2:$Z$73,26,FALSE())),"please select a BUG ID")</f>
        <v>please select a BUG ID</v>
      </c>
      <c r="C2020" s="51" t="str">
        <f>IFERROR(SUBSTITUTE(VLOOKUP(A2020,Internal_lists_bugs!$A$2:$G2031,7,FALSE()),"nova/commit","nova/src/commit"),"please select a BUG ID")</f>
        <v>please select a BUG ID</v>
      </c>
      <c r="D2020" s="54"/>
      <c r="F2020" s="54"/>
      <c r="H2020" s="114"/>
      <c r="J2020" s="183" t="str">
        <f>IFERROR(VLOOKUP(A2020,Internal_lists_bugs!$A$2:$I2031,9,FALSE()),"please select a BUG ID")</f>
        <v>please select a BUG ID</v>
      </c>
    </row>
    <row r="2021">
      <c r="A2021" s="54"/>
      <c r="B2021" s="71" t="str">
        <f>IFERROR(HYPERLINK(VLOOKUP(A2021,Internal_lists_bugs!$A$2:$C$73,3,FALSE()), VLOOKUP(A2021,Internal_lists_bugs!$A$2:$C$73,3,FALSE())&amp;Char(10) &amp; Char(10) &amp; VLOOKUP(A2021,Internal_lists_bugs!$A$2:$Z$73,26,FALSE())),"please select a BUG ID")</f>
        <v>please select a BUG ID</v>
      </c>
      <c r="C2021" s="51" t="str">
        <f>IFERROR(SUBSTITUTE(VLOOKUP(A2021,Internal_lists_bugs!$A$2:$G2031,7,FALSE()),"nova/commit","nova/src/commit"),"please select a BUG ID")</f>
        <v>please select a BUG ID</v>
      </c>
      <c r="D2021" s="54"/>
      <c r="F2021" s="54"/>
      <c r="H2021" s="114"/>
      <c r="J2021" s="183" t="str">
        <f>IFERROR(VLOOKUP(A2021,Internal_lists_bugs!$A$2:$I2031,9,FALSE()),"please select a BUG ID")</f>
        <v>please select a BUG ID</v>
      </c>
    </row>
    <row r="2022">
      <c r="A2022" s="54"/>
      <c r="B2022" s="71" t="str">
        <f>IFERROR(HYPERLINK(VLOOKUP(A2022,Internal_lists_bugs!$A$2:$C$73,3,FALSE()), VLOOKUP(A2022,Internal_lists_bugs!$A$2:$C$73,3,FALSE())&amp;Char(10) &amp; Char(10) &amp; VLOOKUP(A2022,Internal_lists_bugs!$A$2:$Z$73,26,FALSE())),"please select a BUG ID")</f>
        <v>please select a BUG ID</v>
      </c>
      <c r="C2022" s="51" t="str">
        <f>IFERROR(SUBSTITUTE(VLOOKUP(A2022,Internal_lists_bugs!$A$2:$G2031,7,FALSE()),"nova/commit","nova/src/commit"),"please select a BUG ID")</f>
        <v>please select a BUG ID</v>
      </c>
      <c r="D2022" s="54"/>
      <c r="F2022" s="54"/>
      <c r="H2022" s="114"/>
      <c r="J2022" s="183" t="str">
        <f>IFERROR(VLOOKUP(A2022,Internal_lists_bugs!$A$2:$I2031,9,FALSE()),"please select a BUG ID")</f>
        <v>please select a BUG ID</v>
      </c>
    </row>
    <row r="2023">
      <c r="A2023" s="54"/>
      <c r="B2023" s="71" t="str">
        <f>IFERROR(HYPERLINK(VLOOKUP(A2023,Internal_lists_bugs!$A$2:$C$73,3,FALSE()), VLOOKUP(A2023,Internal_lists_bugs!$A$2:$C$73,3,FALSE())&amp;Char(10) &amp; Char(10) &amp; VLOOKUP(A2023,Internal_lists_bugs!$A$2:$Z$73,26,FALSE())),"please select a BUG ID")</f>
        <v>please select a BUG ID</v>
      </c>
      <c r="C2023" s="51" t="str">
        <f>IFERROR(SUBSTITUTE(VLOOKUP(A2023,Internal_lists_bugs!$A$2:$G2031,7,FALSE()),"nova/commit","nova/src/commit"),"please select a BUG ID")</f>
        <v>please select a BUG ID</v>
      </c>
      <c r="D2023" s="54"/>
      <c r="F2023" s="54"/>
      <c r="H2023" s="114"/>
      <c r="J2023" s="183" t="str">
        <f>IFERROR(VLOOKUP(A2023,Internal_lists_bugs!$A$2:$I2031,9,FALSE()),"please select a BUG ID")</f>
        <v>please select a BUG ID</v>
      </c>
    </row>
    <row r="2024">
      <c r="A2024" s="54"/>
      <c r="B2024" s="71" t="str">
        <f>IFERROR(HYPERLINK(VLOOKUP(A2024,Internal_lists_bugs!$A$2:$C$73,3,FALSE()), VLOOKUP(A2024,Internal_lists_bugs!$A$2:$C$73,3,FALSE())&amp;Char(10) &amp; Char(10) &amp; VLOOKUP(A2024,Internal_lists_bugs!$A$2:$Z$73,26,FALSE())),"please select a BUG ID")</f>
        <v>please select a BUG ID</v>
      </c>
      <c r="C2024" s="51" t="str">
        <f>IFERROR(SUBSTITUTE(VLOOKUP(A2024,Internal_lists_bugs!$A$2:$G2031,7,FALSE()),"nova/commit","nova/src/commit"),"please select a BUG ID")</f>
        <v>please select a BUG ID</v>
      </c>
      <c r="D2024" s="54"/>
      <c r="F2024" s="54"/>
      <c r="H2024" s="114"/>
      <c r="J2024" s="183" t="str">
        <f>IFERROR(VLOOKUP(A2024,Internal_lists_bugs!$A$2:$I2031,9,FALSE()),"please select a BUG ID")</f>
        <v>please select a BUG ID</v>
      </c>
    </row>
    <row r="2025">
      <c r="A2025" s="54"/>
      <c r="B2025" s="71" t="str">
        <f>IFERROR(HYPERLINK(VLOOKUP(A2025,Internal_lists_bugs!$A$2:$C$73,3,FALSE()), VLOOKUP(A2025,Internal_lists_bugs!$A$2:$C$73,3,FALSE())&amp;Char(10) &amp; Char(10) &amp; VLOOKUP(A2025,Internal_lists_bugs!$A$2:$Z$73,26,FALSE())),"please select a BUG ID")</f>
        <v>please select a BUG ID</v>
      </c>
      <c r="C2025" s="51" t="str">
        <f>IFERROR(SUBSTITUTE(VLOOKUP(A2025,Internal_lists_bugs!$A$2:$G2031,7,FALSE()),"nova/commit","nova/src/commit"),"please select a BUG ID")</f>
        <v>please select a BUG ID</v>
      </c>
      <c r="D2025" s="54"/>
      <c r="F2025" s="54"/>
      <c r="H2025" s="114"/>
      <c r="J2025" s="183" t="str">
        <f>IFERROR(VLOOKUP(A2025,Internal_lists_bugs!$A$2:$I2031,9,FALSE()),"please select a BUG ID")</f>
        <v>please select a BUG ID</v>
      </c>
    </row>
    <row r="2026">
      <c r="A2026" s="54"/>
      <c r="B2026" s="71" t="str">
        <f>IFERROR(HYPERLINK(VLOOKUP(A2026,Internal_lists_bugs!$A$2:$C$73,3,FALSE()), VLOOKUP(A2026,Internal_lists_bugs!$A$2:$C$73,3,FALSE())&amp;Char(10) &amp; Char(10) &amp; VLOOKUP(A2026,Internal_lists_bugs!$A$2:$Z$73,26,FALSE())),"please select a BUG ID")</f>
        <v>please select a BUG ID</v>
      </c>
      <c r="C2026" s="51" t="str">
        <f>IFERROR(SUBSTITUTE(VLOOKUP(A2026,Internal_lists_bugs!$A$2:$G2031,7,FALSE()),"nova/commit","nova/src/commit"),"please select a BUG ID")</f>
        <v>please select a BUG ID</v>
      </c>
      <c r="D2026" s="54"/>
      <c r="F2026" s="54"/>
      <c r="H2026" s="114"/>
      <c r="J2026" s="183" t="str">
        <f>IFERROR(VLOOKUP(A2026,Internal_lists_bugs!$A$2:$I2031,9,FALSE()),"please select a BUG ID")</f>
        <v>please select a BUG ID</v>
      </c>
    </row>
    <row r="2027">
      <c r="A2027" s="54"/>
      <c r="B2027" s="71" t="str">
        <f>IFERROR(HYPERLINK(VLOOKUP(A2027,Internal_lists_bugs!$A$2:$C$73,3,FALSE()), VLOOKUP(A2027,Internal_lists_bugs!$A$2:$C$73,3,FALSE())&amp;Char(10) &amp; Char(10) &amp; VLOOKUP(A2027,Internal_lists_bugs!$A$2:$Z$73,26,FALSE())),"please select a BUG ID")</f>
        <v>please select a BUG ID</v>
      </c>
      <c r="C2027" s="51" t="str">
        <f>IFERROR(SUBSTITUTE(VLOOKUP(A2027,Internal_lists_bugs!$A$2:$G2031,7,FALSE()),"nova/commit","nova/src/commit"),"please select a BUG ID")</f>
        <v>please select a BUG ID</v>
      </c>
      <c r="D2027" s="54"/>
      <c r="F2027" s="54"/>
      <c r="H2027" s="114"/>
      <c r="J2027" s="183" t="str">
        <f>IFERROR(VLOOKUP(A2027,Internal_lists_bugs!$A$2:$I2031,9,FALSE()),"please select a BUG ID")</f>
        <v>please select a BUG ID</v>
      </c>
    </row>
    <row r="2028">
      <c r="A2028" s="54"/>
      <c r="B2028" s="71" t="str">
        <f>IFERROR(HYPERLINK(VLOOKUP(A2028,Internal_lists_bugs!$A$2:$C$73,3,FALSE()), VLOOKUP(A2028,Internal_lists_bugs!$A$2:$C$73,3,FALSE())&amp;Char(10) &amp; Char(10) &amp; VLOOKUP(A2028,Internal_lists_bugs!$A$2:$Z$73,26,FALSE())),"please select a BUG ID")</f>
        <v>please select a BUG ID</v>
      </c>
      <c r="C2028" s="51" t="str">
        <f>IFERROR(SUBSTITUTE(VLOOKUP(A2028,Internal_lists_bugs!$A$2:$G2031,7,FALSE()),"nova/commit","nova/src/commit"),"please select a BUG ID")</f>
        <v>please select a BUG ID</v>
      </c>
      <c r="D2028" s="54"/>
      <c r="F2028" s="54"/>
      <c r="H2028" s="114"/>
      <c r="J2028" s="183" t="str">
        <f>IFERROR(VLOOKUP(A2028,Internal_lists_bugs!$A$2:$I2031,9,FALSE()),"please select a BUG ID")</f>
        <v>please select a BUG ID</v>
      </c>
    </row>
    <row r="2029">
      <c r="A2029" s="54"/>
      <c r="B2029" s="71" t="str">
        <f>IFERROR(HYPERLINK(VLOOKUP(A2029,Internal_lists_bugs!$A$2:$C$73,3,FALSE()), VLOOKUP(A2029,Internal_lists_bugs!$A$2:$C$73,3,FALSE())&amp;Char(10) &amp; Char(10) &amp; VLOOKUP(A2029,Internal_lists_bugs!$A$2:$Z$73,26,FALSE())),"please select a BUG ID")</f>
        <v>please select a BUG ID</v>
      </c>
      <c r="C2029" s="51" t="str">
        <f>IFERROR(SUBSTITUTE(VLOOKUP(A2029,Internal_lists_bugs!$A$2:$G2031,7,FALSE()),"nova/commit","nova/src/commit"),"please select a BUG ID")</f>
        <v>please select a BUG ID</v>
      </c>
      <c r="D2029" s="54"/>
      <c r="F2029" s="54"/>
      <c r="H2029" s="114"/>
      <c r="J2029" s="183" t="str">
        <f>IFERROR(VLOOKUP(A2029,Internal_lists_bugs!$A$2:$I2031,9,FALSE()),"please select a BUG ID")</f>
        <v>please select a BUG ID</v>
      </c>
    </row>
    <row r="2030">
      <c r="A2030" s="54"/>
      <c r="B2030" s="71" t="str">
        <f>IFERROR(HYPERLINK(VLOOKUP(A2030,Internal_lists_bugs!$A$2:$C$73,3,FALSE()), VLOOKUP(A2030,Internal_lists_bugs!$A$2:$C$73,3,FALSE())&amp;Char(10) &amp; Char(10) &amp; VLOOKUP(A2030,Internal_lists_bugs!$A$2:$Z$73,26,FALSE())),"please select a BUG ID")</f>
        <v>please select a BUG ID</v>
      </c>
      <c r="C2030" s="51" t="str">
        <f>IFERROR(SUBSTITUTE(VLOOKUP(A2030,Internal_lists_bugs!$A$2:$G2031,7,FALSE()),"nova/commit","nova/src/commit"),"please select a BUG ID")</f>
        <v>please select a BUG ID</v>
      </c>
      <c r="D2030" s="54"/>
      <c r="F2030" s="54"/>
      <c r="H2030" s="114"/>
      <c r="J2030" s="183" t="str">
        <f>IFERROR(VLOOKUP(A2030,Internal_lists_bugs!$A$2:$I2031,9,FALSE()),"please select a BUG ID")</f>
        <v>please select a BUG ID</v>
      </c>
    </row>
    <row r="2031">
      <c r="A2031" s="1"/>
      <c r="B2031" s="71" t="str">
        <f>IFERROR(HYPERLINK(VLOOKUP(A2031,Internal_lists_bugs!$A$2:$C$73,3,FALSE()), VLOOKUP(A2031,Internal_lists_bugs!$A$2:$C$73,3,FALSE())&amp;Char(10) &amp; Char(10) &amp; VLOOKUP(A2031,Internal_lists_bugs!$A$2:$Z$73,26,FALSE())),"please select a BUG ID")</f>
        <v>please select a BUG ID</v>
      </c>
      <c r="C2031" s="51" t="str">
        <f>IFERROR(SUBSTITUTE(VLOOKUP(A2031,Internal_lists_bugs!$A$2:$G2031,7,FALSE()),"nova/commit","nova/src/commit"),"please select a BUG ID")</f>
        <v>please select a BUG ID</v>
      </c>
      <c r="D2031" s="54"/>
      <c r="F2031" s="54"/>
      <c r="H2031" s="114"/>
      <c r="J2031" s="183" t="str">
        <f>IFERROR(VLOOKUP(A2031,Internal_lists_bugs!$A$2:$I2031,9,FALSE()),"please select a BUG ID")</f>
        <v>please select a BUG ID</v>
      </c>
    </row>
  </sheetData>
  <mergeCells count="3">
    <mergeCell ref="D1:E1"/>
    <mergeCell ref="F1:G1"/>
    <mergeCell ref="H1:I1"/>
  </mergeCells>
  <dataValidations>
    <dataValidation type="list" allowBlank="1" sqref="H3:H592 H595:H619 H622:H789 H792:H802 H805:H827 H830:H903 H906:H1075 H1077:H2031">
      <formula1>Internal_lists_variables!$K$2:$K2031</formula1>
    </dataValidation>
    <dataValidation type="list" allowBlank="1" sqref="D3:D2031">
      <formula1>Internal_lists_variables!$I$2:$I2031</formula1>
    </dataValidation>
    <dataValidation type="list" allowBlank="1" sqref="F3:F2031">
      <formula1>Internal_lists_variables!$J$2:$J2031</formula1>
    </dataValidation>
    <dataValidation type="list" allowBlank="1" showInputMessage="1" showErrorMessage="1" prompt="Project BugID" sqref="A3:A2031">
      <formula1>Internal_lists_bugs!$A$2:$A2031</formula1>
    </dataValidation>
  </dataValidations>
  <hyperlinks>
    <hyperlink r:id="rId2" ref="A1"/>
    <hyperlink r:id="rId3" location="gid=405816964" ref="B1"/>
    <hyperlink r:id="rId4" ref="E10"/>
    <hyperlink r:id="rId5" ref="E11"/>
    <hyperlink r:id="rId6" ref="E13"/>
    <hyperlink r:id="rId7" ref="I13"/>
    <hyperlink r:id="rId8" ref="E15"/>
    <hyperlink r:id="rId9" ref="E16"/>
    <hyperlink r:id="rId10" ref="E19"/>
    <hyperlink r:id="rId11" ref="I22"/>
    <hyperlink r:id="rId12" ref="E23"/>
    <hyperlink r:id="rId13" ref="E26"/>
    <hyperlink r:id="rId14" ref="I32"/>
    <hyperlink r:id="rId15" ref="I33"/>
    <hyperlink r:id="rId16" ref="I34"/>
    <hyperlink r:id="rId17" ref="E35"/>
    <hyperlink r:id="rId18" ref="E36"/>
    <hyperlink r:id="rId19" ref="E37"/>
    <hyperlink r:id="rId20" ref="E41"/>
    <hyperlink r:id="rId21" ref="I46"/>
    <hyperlink r:id="rId22" ref="I48"/>
    <hyperlink r:id="rId23" ref="E49"/>
    <hyperlink r:id="rId24" ref="E50"/>
    <hyperlink r:id="rId25" ref="E51"/>
    <hyperlink r:id="rId26" ref="E55"/>
    <hyperlink r:id="rId27" ref="I60"/>
    <hyperlink r:id="rId28" ref="I62"/>
    <hyperlink r:id="rId29" ref="E63"/>
    <hyperlink r:id="rId30" ref="E64"/>
    <hyperlink r:id="rId31" ref="E65"/>
    <hyperlink r:id="rId32" ref="E69"/>
    <hyperlink r:id="rId33" ref="I75"/>
    <hyperlink r:id="rId34" ref="I76"/>
    <hyperlink r:id="rId35" ref="E77"/>
    <hyperlink r:id="rId36" ref="E78"/>
    <hyperlink r:id="rId37" ref="E79"/>
    <hyperlink r:id="rId38" ref="E83"/>
    <hyperlink r:id="rId39" ref="I89"/>
    <hyperlink r:id="rId40" ref="I91"/>
    <hyperlink r:id="rId41" ref="E92"/>
    <hyperlink r:id="rId42" ref="E93"/>
    <hyperlink r:id="rId43" ref="E94"/>
    <hyperlink r:id="rId44" ref="E98"/>
    <hyperlink r:id="rId45" ref="I105"/>
    <hyperlink r:id="rId46" ref="I106"/>
    <hyperlink r:id="rId47" ref="E108"/>
    <hyperlink r:id="rId48" ref="E109"/>
    <hyperlink r:id="rId49" ref="E113"/>
    <hyperlink r:id="rId50" ref="I121"/>
    <hyperlink r:id="rId51" ref="I122"/>
    <hyperlink r:id="rId52" ref="I123"/>
    <hyperlink r:id="rId53" ref="E125"/>
    <hyperlink r:id="rId54" ref="E126"/>
    <hyperlink r:id="rId55" ref="E130"/>
    <hyperlink r:id="rId56" ref="I137"/>
    <hyperlink r:id="rId57" ref="I138"/>
    <hyperlink r:id="rId58" ref="I140"/>
    <hyperlink r:id="rId59" ref="E141"/>
    <hyperlink r:id="rId60" ref="E142"/>
    <hyperlink r:id="rId61" ref="E146"/>
    <hyperlink r:id="rId62" ref="I154"/>
    <hyperlink r:id="rId63" ref="I155"/>
    <hyperlink r:id="rId64" ref="I157"/>
    <hyperlink r:id="rId65" ref="E158"/>
    <hyperlink r:id="rId66" ref="E159"/>
    <hyperlink r:id="rId67" ref="E163"/>
    <hyperlink r:id="rId68" ref="I171"/>
    <hyperlink r:id="rId69" ref="I172"/>
    <hyperlink r:id="rId70" ref="I173"/>
    <hyperlink r:id="rId71" ref="E174"/>
    <hyperlink r:id="rId72" ref="E175"/>
    <hyperlink r:id="rId73" ref="E179"/>
    <hyperlink r:id="rId74" ref="I187"/>
    <hyperlink r:id="rId75" ref="I188"/>
    <hyperlink r:id="rId76" ref="I189"/>
    <hyperlink r:id="rId77" ref="E190"/>
    <hyperlink r:id="rId78" ref="E191"/>
    <hyperlink r:id="rId79" ref="E194"/>
    <hyperlink r:id="rId80" ref="I204"/>
    <hyperlink r:id="rId81" ref="E205"/>
    <hyperlink r:id="rId82" ref="E206"/>
    <hyperlink r:id="rId83" ref="E209"/>
    <hyperlink r:id="rId84" ref="E219"/>
    <hyperlink r:id="rId85" ref="E221"/>
    <hyperlink r:id="rId86" ref="I222"/>
    <hyperlink r:id="rId87" ref="E223"/>
    <hyperlink r:id="rId88" ref="E224"/>
    <hyperlink r:id="rId89" ref="E227"/>
    <hyperlink r:id="rId90" ref="E237"/>
    <hyperlink r:id="rId91" ref="E239"/>
    <hyperlink r:id="rId92" ref="I240"/>
    <hyperlink r:id="rId93" ref="E241"/>
    <hyperlink r:id="rId94" ref="E242"/>
    <hyperlink r:id="rId95" ref="E245"/>
    <hyperlink r:id="rId96" ref="E255"/>
    <hyperlink r:id="rId97" ref="E256"/>
    <hyperlink r:id="rId98" ref="E257"/>
    <hyperlink r:id="rId99" ref="E258"/>
    <hyperlink r:id="rId100" ref="I259"/>
    <hyperlink r:id="rId101" ref="E260"/>
    <hyperlink r:id="rId102" ref="E261"/>
    <hyperlink r:id="rId103" ref="E264"/>
    <hyperlink r:id="rId104" ref="E274"/>
    <hyperlink r:id="rId105" ref="E275"/>
    <hyperlink r:id="rId106" ref="E276"/>
    <hyperlink r:id="rId107" ref="E277"/>
    <hyperlink r:id="rId108" ref="I278"/>
    <hyperlink r:id="rId109" ref="E279"/>
    <hyperlink r:id="rId110" ref="E280"/>
    <hyperlink r:id="rId111" ref="E283"/>
    <hyperlink r:id="rId112" ref="E293"/>
    <hyperlink r:id="rId113" ref="E294"/>
    <hyperlink r:id="rId114" ref="I295"/>
    <hyperlink r:id="rId115" ref="E296"/>
    <hyperlink r:id="rId116" ref="E297"/>
    <hyperlink r:id="rId117" ref="E300"/>
    <hyperlink r:id="rId118" ref="E310"/>
    <hyperlink r:id="rId119" ref="E311"/>
    <hyperlink r:id="rId120" ref="E312"/>
    <hyperlink r:id="rId121" ref="I313"/>
    <hyperlink r:id="rId122" ref="E314"/>
    <hyperlink r:id="rId123" ref="E315"/>
    <hyperlink r:id="rId124" ref="E318"/>
    <hyperlink r:id="rId125" ref="E328"/>
    <hyperlink r:id="rId126" ref="E329"/>
    <hyperlink r:id="rId127" ref="E330"/>
    <hyperlink r:id="rId128" ref="E331"/>
    <hyperlink r:id="rId129" ref="I332"/>
    <hyperlink r:id="rId130" ref="E333"/>
    <hyperlink r:id="rId131" ref="E334"/>
    <hyperlink r:id="rId132" ref="E337"/>
    <hyperlink r:id="rId133" ref="E347"/>
    <hyperlink r:id="rId134" ref="E348"/>
    <hyperlink r:id="rId135" ref="E349"/>
    <hyperlink r:id="rId136" ref="E350"/>
    <hyperlink r:id="rId137" ref="I352"/>
    <hyperlink r:id="rId138" ref="E353"/>
    <hyperlink r:id="rId139" ref="E354"/>
    <hyperlink r:id="rId140" ref="E357"/>
    <hyperlink r:id="rId141" ref="E367"/>
    <hyperlink r:id="rId142" ref="E368"/>
    <hyperlink r:id="rId143" ref="E369"/>
    <hyperlink r:id="rId144" ref="I370"/>
    <hyperlink r:id="rId145" ref="E371"/>
    <hyperlink r:id="rId146" ref="E372"/>
    <hyperlink r:id="rId147" ref="E375"/>
    <hyperlink r:id="rId148" ref="E385"/>
    <hyperlink r:id="rId149" ref="E386"/>
    <hyperlink r:id="rId150" ref="E387"/>
    <hyperlink r:id="rId151" ref="E388"/>
    <hyperlink r:id="rId152" ref="I389"/>
    <hyperlink r:id="rId153" ref="E390"/>
    <hyperlink r:id="rId154" ref="E391"/>
    <hyperlink r:id="rId155" ref="E394"/>
    <hyperlink r:id="rId156" ref="E404"/>
    <hyperlink r:id="rId157" ref="E405"/>
    <hyperlink r:id="rId158" ref="E406"/>
    <hyperlink r:id="rId159" ref="I407"/>
    <hyperlink r:id="rId160" ref="E408"/>
    <hyperlink r:id="rId161" ref="E409"/>
    <hyperlink r:id="rId162" ref="E412"/>
    <hyperlink r:id="rId163" ref="E422"/>
    <hyperlink r:id="rId164" ref="E423"/>
    <hyperlink r:id="rId165" ref="E424"/>
    <hyperlink r:id="rId166" ref="E425"/>
    <hyperlink r:id="rId167" location="egg=oslo-config" ref="G426"/>
    <hyperlink r:id="rId168" ref="I426"/>
    <hyperlink r:id="rId169" ref="E427"/>
    <hyperlink r:id="rId170" ref="E428"/>
    <hyperlink r:id="rId171" ref="E431"/>
    <hyperlink r:id="rId172" ref="E439"/>
    <hyperlink r:id="rId173" ref="I439"/>
    <hyperlink r:id="rId174" ref="I441"/>
    <hyperlink r:id="rId175" ref="E442"/>
    <hyperlink r:id="rId176" ref="E443"/>
    <hyperlink r:id="rId177" ref="E446"/>
    <hyperlink r:id="rId178" ref="E456"/>
    <hyperlink r:id="rId179" ref="E457"/>
    <hyperlink r:id="rId180" ref="E458"/>
    <hyperlink r:id="rId181" ref="E459"/>
    <hyperlink r:id="rId182" ref="I460"/>
    <hyperlink r:id="rId183" ref="E461"/>
    <hyperlink r:id="rId184" ref="E462"/>
    <hyperlink r:id="rId185" ref="E465"/>
    <hyperlink r:id="rId186" ref="E475"/>
    <hyperlink r:id="rId187" ref="E476"/>
    <hyperlink r:id="rId188" ref="E477"/>
    <hyperlink r:id="rId189" ref="E478"/>
    <hyperlink r:id="rId190" ref="E479"/>
    <hyperlink r:id="rId191" ref="I480"/>
    <hyperlink r:id="rId192" ref="E481"/>
    <hyperlink r:id="rId193" ref="E482"/>
    <hyperlink r:id="rId194" ref="E484"/>
    <hyperlink r:id="rId195" ref="E494"/>
    <hyperlink r:id="rId196" ref="E495"/>
    <hyperlink r:id="rId197" ref="E496"/>
    <hyperlink r:id="rId198" ref="E497"/>
    <hyperlink r:id="rId199" ref="E498"/>
    <hyperlink r:id="rId200" ref="I499"/>
    <hyperlink r:id="rId201" ref="E500"/>
    <hyperlink r:id="rId202" ref="E501"/>
    <hyperlink r:id="rId203" ref="E503"/>
    <hyperlink r:id="rId204" ref="E513"/>
    <hyperlink r:id="rId205" ref="E514"/>
    <hyperlink r:id="rId206" ref="E515"/>
    <hyperlink r:id="rId207" ref="E516"/>
    <hyperlink r:id="rId208" ref="E517"/>
    <hyperlink r:id="rId209" ref="I518"/>
    <hyperlink r:id="rId210" ref="E519"/>
    <hyperlink r:id="rId211" ref="E520"/>
    <hyperlink r:id="rId212" ref="E522"/>
    <hyperlink r:id="rId213" ref="E532"/>
    <hyperlink r:id="rId214" ref="E533"/>
    <hyperlink r:id="rId215" ref="E534"/>
    <hyperlink r:id="rId216" ref="E535"/>
    <hyperlink r:id="rId217" ref="E536"/>
    <hyperlink r:id="rId218" ref="I537"/>
    <hyperlink r:id="rId219" ref="E538"/>
    <hyperlink r:id="rId220" ref="E539"/>
    <hyperlink r:id="rId221" ref="E541"/>
    <hyperlink r:id="rId222" ref="E551"/>
    <hyperlink r:id="rId223" ref="E552"/>
    <hyperlink r:id="rId224" ref="E553"/>
    <hyperlink r:id="rId225" ref="E554"/>
    <hyperlink r:id="rId226" ref="E555"/>
    <hyperlink r:id="rId227" ref="G569"/>
    <hyperlink r:id="rId228" ref="G598"/>
    <hyperlink r:id="rId229" ref="G625"/>
    <hyperlink r:id="rId230" ref="G640"/>
    <hyperlink r:id="rId231" ref="G656"/>
    <hyperlink r:id="rId232" ref="G685"/>
    <hyperlink r:id="rId233" ref="G701"/>
    <hyperlink r:id="rId234" ref="G718"/>
    <hyperlink r:id="rId235" ref="G737"/>
    <hyperlink r:id="rId236" ref="G755"/>
    <hyperlink r:id="rId237" ref="G774"/>
    <hyperlink r:id="rId238" ref="G784"/>
    <hyperlink r:id="rId239" ref="G794"/>
    <hyperlink r:id="rId240" ref="G811"/>
    <hyperlink r:id="rId241" ref="G822"/>
    <hyperlink r:id="rId242" ref="G832"/>
    <hyperlink r:id="rId243" ref="E841"/>
    <hyperlink r:id="rId244" ref="G844"/>
    <hyperlink r:id="rId245" ref="E853"/>
    <hyperlink r:id="rId246" ref="G857"/>
    <hyperlink r:id="rId247" ref="E864"/>
    <hyperlink r:id="rId248" ref="E866"/>
    <hyperlink r:id="rId249" ref="G870"/>
    <hyperlink r:id="rId250" ref="E877"/>
    <hyperlink r:id="rId251" ref="E879"/>
    <hyperlink r:id="rId252" ref="G882"/>
    <hyperlink r:id="rId253" ref="E889"/>
    <hyperlink r:id="rId254" ref="E891"/>
    <hyperlink r:id="rId255" ref="E901"/>
    <hyperlink r:id="rId256" ref="E902"/>
    <hyperlink r:id="rId257" ref="E903"/>
    <hyperlink r:id="rId258" ref="G906"/>
    <hyperlink r:id="rId259" ref="E931"/>
    <hyperlink r:id="rId260" ref="E932"/>
    <hyperlink r:id="rId261" ref="E933"/>
    <hyperlink r:id="rId262" ref="E944"/>
    <hyperlink r:id="rId263" ref="E945"/>
    <hyperlink r:id="rId264" ref="E946"/>
    <hyperlink r:id="rId265" ref="E957"/>
    <hyperlink r:id="rId266" ref="E958"/>
    <hyperlink r:id="rId267" ref="E959"/>
    <hyperlink r:id="rId268" ref="E970"/>
    <hyperlink r:id="rId269" ref="E971"/>
    <hyperlink r:id="rId270" ref="E972"/>
    <hyperlink r:id="rId271" ref="E983"/>
    <hyperlink r:id="rId272" ref="E994"/>
    <hyperlink r:id="rId273" ref="E995"/>
    <hyperlink r:id="rId274" ref="E996"/>
    <hyperlink r:id="rId275" ref="E1007"/>
    <hyperlink r:id="rId276" ref="E1008"/>
    <hyperlink r:id="rId277" ref="E1009"/>
    <hyperlink r:id="rId278" ref="E1021"/>
    <hyperlink r:id="rId279" ref="E1022"/>
    <hyperlink r:id="rId280" ref="E1033"/>
    <hyperlink r:id="rId281" ref="E1034"/>
    <hyperlink r:id="rId282" ref="G1038"/>
    <hyperlink r:id="rId283" ref="G1056"/>
    <hyperlink r:id="rId284" ref="E1073"/>
  </hyperlinks>
  <drawing r:id="rId285"/>
  <legacyDrawing r:id="rId28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8"/>
      <c r="B1" s="209" t="s">
        <v>5091</v>
      </c>
      <c r="C1" s="210" t="s">
        <v>1107</v>
      </c>
      <c r="D1" s="210" t="s">
        <v>5092</v>
      </c>
      <c r="E1" s="210" t="s">
        <v>5093</v>
      </c>
      <c r="F1" s="209" t="s">
        <v>5094</v>
      </c>
    </row>
    <row r="2">
      <c r="A2" s="211" t="s">
        <v>38</v>
      </c>
      <c r="B2" s="211">
        <v>1481164.0</v>
      </c>
      <c r="C2" s="212" t="s">
        <v>5095</v>
      </c>
      <c r="D2" s="212" t="s">
        <v>5096</v>
      </c>
      <c r="E2" s="212" t="s">
        <v>5097</v>
      </c>
      <c r="F2" s="212" t="s">
        <v>5098</v>
      </c>
      <c r="G2" s="54" t="str">
        <f>VLOOKUP(C2,Internal_lists_bugs!$F$2:$AC$73,24,FALSE())</f>
        <v>NOVA 1294939</v>
      </c>
    </row>
    <row r="3">
      <c r="A3" s="211" t="s">
        <v>40</v>
      </c>
      <c r="B3" s="211">
        <v>1466390.0</v>
      </c>
      <c r="C3" s="212" t="s">
        <v>5099</v>
      </c>
      <c r="D3" s="212" t="s">
        <v>5100</v>
      </c>
      <c r="E3" s="212" t="s">
        <v>5101</v>
      </c>
      <c r="F3" s="212" t="s">
        <v>5102</v>
      </c>
      <c r="G3" s="54" t="str">
        <f>VLOOKUP(C3,Internal_lists_bugs!$F$2:$AC$73,24,FALSE())</f>
        <v>NOVA 1300788</v>
      </c>
    </row>
    <row r="4">
      <c r="A4" s="211" t="s">
        <v>54</v>
      </c>
      <c r="B4" s="211">
        <v>1438331.0</v>
      </c>
      <c r="C4" s="212" t="s">
        <v>5103</v>
      </c>
      <c r="D4" s="212" t="s">
        <v>5104</v>
      </c>
      <c r="E4" s="212" t="s">
        <v>5105</v>
      </c>
      <c r="F4" s="212" t="s">
        <v>5106</v>
      </c>
      <c r="G4" s="54" t="str">
        <f>VLOOKUP(C4,Internal_lists_bugs!$F$2:$AC$73,24,FALSE())</f>
        <v>NOVA 1307791</v>
      </c>
    </row>
    <row r="5">
      <c r="A5" s="211" t="s">
        <v>37</v>
      </c>
      <c r="B5" s="211">
        <v>1402728.0</v>
      </c>
      <c r="C5" s="212" t="s">
        <v>5107</v>
      </c>
      <c r="D5" s="212" t="s">
        <v>5108</v>
      </c>
      <c r="E5" s="212" t="s">
        <v>5109</v>
      </c>
      <c r="F5" s="212" t="s">
        <v>5110</v>
      </c>
      <c r="G5" s="54" t="str">
        <f>VLOOKUP(C5,Internal_lists_bugs!$F$2:$AC$73,24,FALSE())</f>
        <v>NOVA 1314677</v>
      </c>
    </row>
    <row r="6">
      <c r="A6" s="211" t="s">
        <v>53</v>
      </c>
      <c r="B6" s="211">
        <v>1307791.0</v>
      </c>
      <c r="C6" s="212" t="s">
        <v>5111</v>
      </c>
      <c r="D6" s="212" t="s">
        <v>5112</v>
      </c>
      <c r="E6" s="212" t="s">
        <v>5113</v>
      </c>
      <c r="F6" s="212" t="s">
        <v>5114</v>
      </c>
      <c r="G6" s="54" t="str">
        <f>VLOOKUP(C6,Internal_lists_bugs!$F$2:$AC$73,24,FALSE())</f>
        <v>NOVA 1336127</v>
      </c>
    </row>
    <row r="7">
      <c r="A7" s="211" t="s">
        <v>32</v>
      </c>
      <c r="B7" s="211">
        <v>1481078.0</v>
      </c>
      <c r="C7" s="212" t="s">
        <v>5115</v>
      </c>
      <c r="D7" s="212" t="s">
        <v>5116</v>
      </c>
      <c r="E7" s="212" t="s">
        <v>5117</v>
      </c>
      <c r="F7" s="212" t="s">
        <v>5118</v>
      </c>
      <c r="G7" s="54" t="str">
        <f>VLOOKUP(C7,Internal_lists_bugs!$F$2:$AC$73,24,FALSE())</f>
        <v>NOVA 1343080</v>
      </c>
    </row>
    <row r="8">
      <c r="A8" s="211" t="s">
        <v>33</v>
      </c>
      <c r="B8" s="211">
        <v>1370177.0</v>
      </c>
      <c r="C8" s="212" t="s">
        <v>5119</v>
      </c>
      <c r="D8" s="212" t="s">
        <v>5120</v>
      </c>
      <c r="E8" s="212" t="s">
        <v>5121</v>
      </c>
      <c r="F8" s="212" t="s">
        <v>5122</v>
      </c>
      <c r="G8" s="54" t="str">
        <f>VLOOKUP(C8,Internal_lists_bugs!$F$2:$AC$73,24,FALSE())</f>
        <v>NOVA 1367363</v>
      </c>
    </row>
    <row r="9">
      <c r="A9" s="211" t="s">
        <v>49</v>
      </c>
      <c r="B9" s="211">
        <v>1443970.0</v>
      </c>
      <c r="C9" s="212" t="s">
        <v>5123</v>
      </c>
      <c r="D9" s="212" t="s">
        <v>5124</v>
      </c>
      <c r="E9" s="212" t="s">
        <v>5125</v>
      </c>
      <c r="F9" s="212" t="s">
        <v>5126</v>
      </c>
      <c r="G9" s="54" t="str">
        <f>VLOOKUP(C9,Internal_lists_bugs!$F$2:$AC$73,24,FALSE())</f>
        <v>NOVA 1370177</v>
      </c>
    </row>
    <row r="10">
      <c r="A10" s="211" t="s">
        <v>51</v>
      </c>
      <c r="B10" s="211">
        <v>1294939.0</v>
      </c>
      <c r="C10" s="212" t="s">
        <v>5127</v>
      </c>
      <c r="D10" s="212" t="s">
        <v>5128</v>
      </c>
      <c r="E10" s="212" t="s">
        <v>5129</v>
      </c>
      <c r="F10" s="212" t="s">
        <v>5130</v>
      </c>
      <c r="G10" s="54" t="str">
        <f>VLOOKUP(C10,Internal_lists_bugs!$F$2:$AC$73,24,FALSE())</f>
        <v>NOVA 1370590</v>
      </c>
    </row>
    <row r="11">
      <c r="A11" s="211" t="s">
        <v>56</v>
      </c>
      <c r="B11" s="211">
        <v>1336127.0</v>
      </c>
      <c r="C11" s="212" t="s">
        <v>5131</v>
      </c>
      <c r="D11" s="212" t="s">
        <v>5132</v>
      </c>
      <c r="E11" s="212" t="s">
        <v>5133</v>
      </c>
      <c r="F11" s="212" t="s">
        <v>5134</v>
      </c>
      <c r="G11" s="54" t="str">
        <f>VLOOKUP(C11,Internal_lists_bugs!$F$2:$AC$73,24,FALSE())</f>
        <v>NOVA 1371677</v>
      </c>
    </row>
    <row r="12">
      <c r="A12" s="211" t="s">
        <v>35</v>
      </c>
      <c r="B12" s="211">
        <v>1419002.0</v>
      </c>
      <c r="C12" s="212" t="s">
        <v>5135</v>
      </c>
      <c r="D12" s="212" t="s">
        <v>5136</v>
      </c>
      <c r="E12" s="212" t="s">
        <v>5137</v>
      </c>
      <c r="F12" s="212" t="s">
        <v>5138</v>
      </c>
      <c r="G12" s="54" t="str">
        <f>VLOOKUP(C12,Internal_lists_bugs!$F$2:$AC$73,24,FALSE())</f>
        <v>NOVA 1375379</v>
      </c>
    </row>
    <row r="13">
      <c r="A13" s="211" t="s">
        <v>64</v>
      </c>
      <c r="B13" s="211">
        <v>1441000.0</v>
      </c>
      <c r="C13" s="212" t="s">
        <v>5139</v>
      </c>
      <c r="D13" s="212" t="s">
        <v>5140</v>
      </c>
      <c r="E13" s="212" t="s">
        <v>5141</v>
      </c>
      <c r="F13" s="212" t="s">
        <v>5142</v>
      </c>
      <c r="G13" s="54" t="str">
        <f>VLOOKUP(C13,Internal_lists_bugs!$F$2:$AC$73,24,FALSE())</f>
        <v>NOVA 1381468</v>
      </c>
    </row>
    <row r="14">
      <c r="A14" s="211" t="s">
        <v>43</v>
      </c>
      <c r="B14" s="211">
        <v>1475911.0</v>
      </c>
      <c r="C14" s="212" t="s">
        <v>5143</v>
      </c>
      <c r="D14" s="212" t="s">
        <v>5144</v>
      </c>
      <c r="E14" s="212" t="s">
        <v>5145</v>
      </c>
      <c r="F14" s="212" t="s">
        <v>5146</v>
      </c>
      <c r="G14" s="54" t="str">
        <f>VLOOKUP(C14,Internal_lists_bugs!$F$2:$AC$73,24,FALSE())</f>
        <v>NOVA 1392798</v>
      </c>
    </row>
    <row r="15">
      <c r="A15" s="211" t="s">
        <v>55</v>
      </c>
      <c r="B15" s="211">
        <v>1402535.0</v>
      </c>
      <c r="C15" s="212" t="s">
        <v>5147</v>
      </c>
      <c r="D15" s="212" t="s">
        <v>5148</v>
      </c>
      <c r="E15" s="212" t="s">
        <v>5149</v>
      </c>
      <c r="F15" s="212" t="s">
        <v>5150</v>
      </c>
      <c r="G15" s="54" t="str">
        <f>VLOOKUP(C15,Internal_lists_bugs!$F$2:$AC$73,24,FALSE())</f>
        <v>NOVA 1402535</v>
      </c>
    </row>
    <row r="16">
      <c r="A16" s="211" t="s">
        <v>58</v>
      </c>
      <c r="B16" s="211">
        <v>1370590.0</v>
      </c>
      <c r="C16" s="212" t="s">
        <v>5151</v>
      </c>
      <c r="D16" s="212" t="s">
        <v>5152</v>
      </c>
      <c r="E16" s="212" t="s">
        <v>5153</v>
      </c>
      <c r="F16" s="212" t="s">
        <v>5154</v>
      </c>
      <c r="G16" s="54" t="str">
        <f>VLOOKUP(C16,Internal_lists_bugs!$F$2:$AC$73,24,FALSE())</f>
        <v>NOVA 1402728</v>
      </c>
    </row>
    <row r="17">
      <c r="A17" s="211" t="s">
        <v>50</v>
      </c>
      <c r="B17" s="211">
        <v>1300788.0</v>
      </c>
      <c r="C17" s="212" t="s">
        <v>5155</v>
      </c>
      <c r="D17" s="212" t="s">
        <v>5156</v>
      </c>
      <c r="E17" s="212" t="s">
        <v>5157</v>
      </c>
      <c r="F17" s="212" t="s">
        <v>5158</v>
      </c>
      <c r="G17" s="54" t="str">
        <f>VLOOKUP(C17,Internal_lists_bugs!$F$2:$AC$73,24,FALSE())</f>
        <v>NOVA 1403544</v>
      </c>
    </row>
    <row r="18">
      <c r="A18" s="211" t="s">
        <v>52</v>
      </c>
      <c r="B18" s="211">
        <v>1367363.0</v>
      </c>
      <c r="C18" s="212" t="s">
        <v>5159</v>
      </c>
      <c r="D18" s="212" t="s">
        <v>5160</v>
      </c>
      <c r="E18" s="212" t="s">
        <v>5161</v>
      </c>
      <c r="F18" s="212" t="s">
        <v>5162</v>
      </c>
      <c r="G18" s="54" t="str">
        <f>VLOOKUP(C18,Internal_lists_bugs!$F$2:$AC$73,24,FALSE())</f>
        <v>NOVA 1419002</v>
      </c>
    </row>
    <row r="19">
      <c r="A19" s="211" t="s">
        <v>62</v>
      </c>
      <c r="B19" s="211">
        <v>1392798.0</v>
      </c>
      <c r="C19" s="212" t="s">
        <v>5163</v>
      </c>
      <c r="D19" s="212" t="s">
        <v>5164</v>
      </c>
      <c r="E19" s="212" t="s">
        <v>5165</v>
      </c>
      <c r="F19" s="212" t="s">
        <v>5166</v>
      </c>
      <c r="G19" s="54" t="str">
        <f>VLOOKUP(C19,Internal_lists_bugs!$F$2:$AC$73,24,FALSE())</f>
        <v>NOVA 1424647</v>
      </c>
    </row>
    <row r="20">
      <c r="A20" s="211" t="s">
        <v>46</v>
      </c>
      <c r="B20" s="211">
        <v>1403544.0</v>
      </c>
      <c r="C20" s="212" t="s">
        <v>5167</v>
      </c>
      <c r="D20" s="212" t="s">
        <v>5168</v>
      </c>
      <c r="E20" s="212" t="s">
        <v>5169</v>
      </c>
      <c r="F20" s="212" t="s">
        <v>5170</v>
      </c>
      <c r="G20" s="54" t="str">
        <f>VLOOKUP(C20,Internal_lists_bugs!$F$2:$AC$73,24,FALSE())</f>
        <v>NOVA 1434855</v>
      </c>
    </row>
    <row r="21">
      <c r="A21" s="211" t="s">
        <v>45</v>
      </c>
      <c r="B21" s="211">
        <v>1381468.0</v>
      </c>
      <c r="C21" s="212" t="s">
        <v>5171</v>
      </c>
      <c r="D21" s="212" t="s">
        <v>5172</v>
      </c>
      <c r="E21" s="212" t="s">
        <v>5173</v>
      </c>
      <c r="F21" s="212" t="s">
        <v>5174</v>
      </c>
      <c r="G21" s="54" t="str">
        <f>VLOOKUP(C21,Internal_lists_bugs!$F$2:$AC$73,24,FALSE())</f>
        <v>NOVA 1437855</v>
      </c>
    </row>
    <row r="22">
      <c r="A22" s="211" t="s">
        <v>34</v>
      </c>
      <c r="B22" s="211">
        <v>1475356.0</v>
      </c>
      <c r="C22" s="212" t="s">
        <v>5175</v>
      </c>
      <c r="D22" s="212" t="s">
        <v>5176</v>
      </c>
      <c r="E22" s="212" t="s">
        <v>5177</v>
      </c>
      <c r="F22" s="212" t="s">
        <v>5178</v>
      </c>
      <c r="G22" s="54" t="str">
        <f>VLOOKUP(C22,Internal_lists_bugs!$F$2:$AC$73,24,FALSE())</f>
        <v>NOVA 1438331</v>
      </c>
    </row>
    <row r="23">
      <c r="A23" s="211" t="s">
        <v>59</v>
      </c>
      <c r="B23" s="211">
        <v>1434855.0</v>
      </c>
      <c r="C23" s="212" t="s">
        <v>5179</v>
      </c>
      <c r="D23" s="212" t="s">
        <v>5180</v>
      </c>
      <c r="E23" s="212" t="s">
        <v>5181</v>
      </c>
      <c r="F23" s="212" t="s">
        <v>5182</v>
      </c>
      <c r="G23" s="54" t="str">
        <f>VLOOKUP(C23,Internal_lists_bugs!$F$2:$AC$73,24,FALSE())</f>
        <v>NOVA 1441000</v>
      </c>
    </row>
    <row r="24">
      <c r="A24" s="211" t="s">
        <v>39</v>
      </c>
      <c r="B24" s="211">
        <v>1443697.0</v>
      </c>
      <c r="C24" s="212" t="s">
        <v>5183</v>
      </c>
      <c r="D24" s="212" t="s">
        <v>5184</v>
      </c>
      <c r="E24" s="212" t="s">
        <v>5185</v>
      </c>
      <c r="F24" s="212" t="s">
        <v>5186</v>
      </c>
      <c r="G24" s="54" t="str">
        <f>VLOOKUP(C24,Internal_lists_bugs!$F$2:$AC$73,24,FALSE())</f>
        <v>NOVA 1443697</v>
      </c>
    </row>
    <row r="25">
      <c r="A25" s="211" t="s">
        <v>63</v>
      </c>
      <c r="B25" s="211">
        <v>1467451.0</v>
      </c>
      <c r="C25" s="212" t="s">
        <v>5187</v>
      </c>
      <c r="D25" s="212" t="s">
        <v>5188</v>
      </c>
      <c r="E25" s="212" t="s">
        <v>5189</v>
      </c>
      <c r="F25" s="212" t="s">
        <v>5190</v>
      </c>
      <c r="G25" s="54" t="str">
        <f>VLOOKUP(C25,Internal_lists_bugs!$F$2:$AC$73,24,FALSE())</f>
        <v>NOVA 1443970</v>
      </c>
    </row>
    <row r="26">
      <c r="A26" s="211" t="s">
        <v>47</v>
      </c>
      <c r="B26" s="211">
        <v>1453274.0</v>
      </c>
      <c r="C26" s="212" t="s">
        <v>5191</v>
      </c>
      <c r="D26" s="212" t="s">
        <v>5192</v>
      </c>
      <c r="E26" s="212" t="s">
        <v>5193</v>
      </c>
      <c r="F26" s="212" t="s">
        <v>5194</v>
      </c>
      <c r="G26" s="54" t="str">
        <f>VLOOKUP(C26,Internal_lists_bugs!$F$2:$AC$73,24,FALSE())</f>
        <v>NOVA 1447249</v>
      </c>
    </row>
    <row r="27">
      <c r="A27" s="211" t="s">
        <v>61</v>
      </c>
      <c r="B27" s="211">
        <v>1371677.0</v>
      </c>
      <c r="C27" s="212" t="s">
        <v>5195</v>
      </c>
      <c r="D27" s="212" t="s">
        <v>5196</v>
      </c>
      <c r="E27" s="212" t="s">
        <v>5197</v>
      </c>
      <c r="F27" s="212" t="s">
        <v>5198</v>
      </c>
      <c r="G27" s="54" t="str">
        <f>VLOOKUP(C27,Internal_lists_bugs!$F$2:$AC$73,24,FALSE())</f>
        <v>NOVA 1453274</v>
      </c>
    </row>
    <row r="28">
      <c r="A28" s="211" t="s">
        <v>41</v>
      </c>
      <c r="B28" s="211">
        <v>1343080.0</v>
      </c>
      <c r="C28" s="212" t="s">
        <v>5199</v>
      </c>
      <c r="D28" s="212" t="s">
        <v>5200</v>
      </c>
      <c r="E28" s="212" t="s">
        <v>5201</v>
      </c>
      <c r="F28" s="212" t="s">
        <v>5202</v>
      </c>
      <c r="G28" s="54" t="str">
        <f>VLOOKUP(C28,Internal_lists_bugs!$F$2:$AC$73,24,FALSE())</f>
        <v>NOVA 1466390</v>
      </c>
    </row>
    <row r="29">
      <c r="A29" s="211" t="s">
        <v>42</v>
      </c>
      <c r="B29" s="211">
        <v>1375379.0</v>
      </c>
      <c r="C29" s="212" t="s">
        <v>5203</v>
      </c>
      <c r="D29" s="212" t="s">
        <v>5204</v>
      </c>
      <c r="E29" s="212" t="s">
        <v>5205</v>
      </c>
      <c r="F29" s="212" t="s">
        <v>5206</v>
      </c>
      <c r="G29" s="54" t="str">
        <f>VLOOKUP(C29,Internal_lists_bugs!$F$2:$AC$73,24,FALSE())</f>
        <v>NOVA 1467451</v>
      </c>
    </row>
    <row r="30">
      <c r="A30" s="211" t="s">
        <v>48</v>
      </c>
      <c r="B30" s="211">
        <v>1314677.0</v>
      </c>
      <c r="C30" s="212" t="s">
        <v>5207</v>
      </c>
      <c r="D30" s="212" t="s">
        <v>5208</v>
      </c>
      <c r="E30" s="212" t="s">
        <v>5209</v>
      </c>
      <c r="F30" s="212" t="s">
        <v>5210</v>
      </c>
      <c r="G30" s="54" t="str">
        <f>VLOOKUP(C30,Internal_lists_bugs!$F$2:$AC$73,24,FALSE())</f>
        <v>NOVA 1475356</v>
      </c>
    </row>
    <row r="31">
      <c r="A31" s="211" t="s">
        <v>44</v>
      </c>
      <c r="B31" s="211">
        <v>1486541.0</v>
      </c>
      <c r="C31" s="212" t="s">
        <v>5211</v>
      </c>
      <c r="D31" s="212" t="s">
        <v>5212</v>
      </c>
      <c r="E31" s="212" t="s">
        <v>5213</v>
      </c>
      <c r="F31" s="212" t="s">
        <v>5214</v>
      </c>
      <c r="G31" s="54" t="str">
        <f>VLOOKUP(C31,Internal_lists_bugs!$F$2:$AC$73,24,FALSE())</f>
        <v>NOVA 1475911</v>
      </c>
    </row>
    <row r="32">
      <c r="A32" s="211" t="s">
        <v>57</v>
      </c>
      <c r="B32" s="211">
        <v>1424647.0</v>
      </c>
      <c r="C32" s="212" t="s">
        <v>5215</v>
      </c>
      <c r="D32" s="212" t="s">
        <v>5216</v>
      </c>
      <c r="E32" s="212" t="s">
        <v>5217</v>
      </c>
      <c r="F32" s="212" t="s">
        <v>5218</v>
      </c>
      <c r="G32" s="54" t="str">
        <f>VLOOKUP(C32,Internal_lists_bugs!$F$2:$AC$73,24,FALSE())</f>
        <v>NOVA 1481078</v>
      </c>
    </row>
    <row r="33">
      <c r="A33" s="211" t="s">
        <v>36</v>
      </c>
      <c r="B33" s="211">
        <v>1437855.0</v>
      </c>
      <c r="C33" s="212" t="s">
        <v>5219</v>
      </c>
      <c r="D33" s="212" t="s">
        <v>5220</v>
      </c>
      <c r="E33" s="212" t="s">
        <v>5221</v>
      </c>
      <c r="F33" s="212" t="s">
        <v>5222</v>
      </c>
      <c r="G33" s="54" t="str">
        <f>VLOOKUP(C33,Internal_lists_bugs!$F$2:$AC$73,24,FALSE())</f>
        <v>NOVA 1486541</v>
      </c>
    </row>
    <row r="34">
      <c r="A34" s="211" t="s">
        <v>60</v>
      </c>
      <c r="B34" s="211">
        <v>1505471.0</v>
      </c>
      <c r="C34" s="212" t="s">
        <v>5223</v>
      </c>
      <c r="D34" s="212" t="s">
        <v>5224</v>
      </c>
      <c r="E34" s="212" t="s">
        <v>5225</v>
      </c>
      <c r="F34" s="212" t="s">
        <v>5226</v>
      </c>
      <c r="G34" s="54" t="str">
        <f>VLOOKUP(C34,Internal_lists_bugs!$F$2:$AC$73,24,FALSE())</f>
        <v>NOVA 1505471</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5.38"/>
    <col customWidth="1" min="12" max="12" width="18.5"/>
    <col customWidth="1" min="17" max="17" width="19.5"/>
    <col customWidth="1" min="18" max="18" width="19.88"/>
  </cols>
  <sheetData>
    <row r="1">
      <c r="A1" s="213" t="s">
        <v>5227</v>
      </c>
      <c r="B1" s="100" t="s">
        <v>5228</v>
      </c>
      <c r="C1" s="100" t="s">
        <v>4271</v>
      </c>
      <c r="D1" s="100" t="s">
        <v>5229</v>
      </c>
      <c r="E1" s="100" t="s">
        <v>5230</v>
      </c>
      <c r="F1" s="100" t="s">
        <v>5231</v>
      </c>
      <c r="G1" s="100" t="s">
        <v>1104</v>
      </c>
      <c r="H1" s="100" t="s">
        <v>5232</v>
      </c>
      <c r="I1" s="100" t="s">
        <v>5233</v>
      </c>
      <c r="J1" s="100" t="s">
        <v>5234</v>
      </c>
      <c r="K1" s="100" t="s">
        <v>5235</v>
      </c>
      <c r="L1" s="100" t="s">
        <v>5236</v>
      </c>
      <c r="M1" s="100" t="s">
        <v>5237</v>
      </c>
      <c r="N1" s="100" t="s">
        <v>5238</v>
      </c>
      <c r="O1" s="100" t="s">
        <v>5239</v>
      </c>
      <c r="P1" s="100" t="s">
        <v>5240</v>
      </c>
      <c r="Q1" s="100" t="s">
        <v>5241</v>
      </c>
      <c r="R1" s="100" t="s">
        <v>5242</v>
      </c>
      <c r="S1" s="105"/>
      <c r="T1" s="105"/>
      <c r="U1" s="105"/>
      <c r="V1" s="105"/>
      <c r="W1" s="105"/>
      <c r="X1" s="105"/>
      <c r="Y1" s="105"/>
      <c r="Z1" s="105"/>
    </row>
    <row r="2">
      <c r="A2" s="214" t="str">
        <f>IFERROR(__xludf.DUMMYFUNCTION("IMPORTRANGE(""https://docs.google.com/spreadsheets/d/1Y9FDM6PWfeg9VaMejzWN3Md3FLlGVyeSUr8AibeJN5I/edit#gid=405816964"",""COMMON_LISTS!C4:C2000"")"),"addition::of::performance::tests")</f>
        <v>addition::of::performance::tests</v>
      </c>
      <c r="B2" s="105" t="str">
        <f>IFERROR(__xludf.DUMMYFUNCTION("IMPORTRANGE(""https://docs.google.com/spreadsheets/d/1Y9FDM6PWfeg9VaMejzWN3Md3FLlGVyeSUr8AibeJN5I/edit#gid=405816964"",""COMMON_LISTS!F5:F"")"),"Configuration issue")</f>
        <v>Configuration issue</v>
      </c>
      <c r="C2" s="100" t="str">
        <f>IFERROR(__xludf.DUMMYFUNCTION("IMPORTRANGE(""https://docs.google.com/spreadsheets/d/1Y9FDM6PWfeg9VaMejzWN3Md3FLlGVyeSUr8AibeJN5I/edit#gid=405816964"",""COMMON_LISTS!K4:K"")"),"blueprint, feature request")</f>
        <v>blueprint, feature request</v>
      </c>
      <c r="D2" s="105" t="str">
        <f>IFERROR(__xludf.DUMMYFUNCTION("IMPORTRANGE(""https://docs.google.com/spreadsheets/d/1Y9FDM6PWfeg9VaMejzWN3Md3FLlGVyeSUr8AibeJN5I/edit#gid=405816964"",""COMMON_LISTS!O4:O"")"),"agreeing::opinion::(not::common)")</f>
        <v>agreeing::opinion::(not::common)</v>
      </c>
      <c r="E2" s="105" t="str">
        <f>IFERROR(__xludf.DUMMYFUNCTION("IMPORTRANGE(""https://docs.google.com/spreadsheets/d/1Y9FDM6PWfeg9VaMejzWN3Md3FLlGVyeSUr8AibeJN5I/edit#gid=405816964"",""COMMON_LISTS!S4:S"")"),"agreeing::to::reject::a::FFE::for::the::BP::that::includes::the::bug")</f>
        <v>agreeing::to::reject::a::FFE::for::the::BP::that::includes::the::bug</v>
      </c>
      <c r="F2" s="105" t="str">
        <f>IFERROR(__xludf.DUMMYFUNCTION("IMPORTRANGE(""https://docs.google.com/spreadsheets/d/1Y9FDM6PWfeg9VaMejzWN3Md3FLlGVyeSUr8AibeJN5I/edit#gid=405816964"",""COMMON_LISTS!W4:W"")"),"agreeing::answering::about::selecting::between::design::options::of::implementation::(hybrid::compute::nodes)::(implement::both)")</f>
        <v>agreeing::answering::about::selecting::between::design::options::of::implementation::(hybrid::compute::nodes)::(implement::both)</v>
      </c>
      <c r="G2" s="105" t="str">
        <f>IFERROR(__xludf.DUMMYFUNCTION("IMPORTRANGE(""https://docs.google.com/spreadsheets/d/1Y9FDM6PWfeg9VaMejzWN3Md3FLlGVyeSUr8AibeJN5I/edit#gid=405816964"",""COMMON_LISTS!AA4:AA"")"),"blueprint -&gt; spec")</f>
        <v>blueprint -&gt; spec</v>
      </c>
      <c r="H2" s="105" t="str">
        <f>IFERROR(__xludf.DUMMYFUNCTION("IMPORTRANGE(""https://docs.google.com/spreadsheets/d/1Y9FDM6PWfeg9VaMejzWN3Md3FLlGVyeSUr8AibeJN5I/edit#gid=405816964"",""COMMON_LISTS!AE4:AE"")"),"alternatives")</f>
        <v>alternatives</v>
      </c>
      <c r="I2" s="105" t="str">
        <f>IFERROR(__xludf.DUMMYFUNCTION("IMPORTRANGE(""https://docs.google.com/spreadsheets/d/1Y9FDM6PWfeg9VaMejzWN3Md3FLlGVyeSUr8AibeJN5I/edit#gid=405816964"",""COMMON_LISTS!AI4:AI"")"),"aopalliance")</f>
        <v>aopalliance</v>
      </c>
      <c r="J2" s="105" t="str">
        <f>IFERROR(__xludf.DUMMYFUNCTION("IMPORTRANGE(""https://docs.google.com/spreadsheets/d/1Y9FDM6PWfeg9VaMejzWN3Md3FLlGVyeSUr8AibeJN5I/edit#gid=405816964"",""COMMON_LISTS!AM4:AM"")"),"mixed")</f>
        <v>mixed</v>
      </c>
      <c r="K2" s="105" t="str">
        <f>IFERROR(__xludf.DUMMYFUNCTION("IMPORTRANGE(""https://docs.google.com/spreadsheets/d/1Y9FDM6PWfeg9VaMejzWN3Md3FLlGVyeSUr8AibeJN5I/edit#gid=405816964"",""COMMON_LISTS!AQ4:AQ"")"),"check::if::regressions::exist")</f>
        <v>check::if::regressions::exist</v>
      </c>
      <c r="L2" s="105" t="str">
        <f>IFERROR(__xludf.DUMMYFUNCTION("IMPORTRANGE(""https://docs.google.com/spreadsheets/d/1Y9FDM6PWfeg9VaMejzWN3Md3FLlGVyeSUr8AibeJN5I/edit#gid=405816964"",""COMMON_LISTS!AS4:AS"")"),"Direct commit")</f>
        <v>Direct commit</v>
      </c>
      <c r="M2" s="105" t="str">
        <f>IFERROR(__xludf.DUMMYFUNCTION("IMPORTRANGE(""https://docs.google.com/spreadsheets/d/1Y9FDM6PWfeg9VaMejzWN3Md3FLlGVyeSUr8AibeJN5I/edit#gid=405816964"",""COMMON_LISTS!AU5:AU"")"),"Adaptive")</f>
        <v>Adaptive</v>
      </c>
      <c r="N2" s="105" t="str">
        <f>IFERROR(__xludf.DUMMYFUNCTION("IMPORTRANGE(""https://docs.google.com/spreadsheets/d/1Y9FDM6PWfeg9VaMejzWN3Md3FLlGVyeSUr8AibeJN5I/edit#gid=405816964"",""COMMON_LISTS!AZ4:AZ"")"),"Covered (Children)")</f>
        <v>Covered (Children)</v>
      </c>
      <c r="O2" s="105" t="str">
        <f>IFERROR(__xludf.DUMMYFUNCTION("IMPORTRANGE(""https://docs.google.com/spreadsheets/d/1Y9FDM6PWfeg9VaMejzWN3Md3FLlGVyeSUr8AibeJN5I/edit#gid=405816964"",""COMMON_LISTS!BD4:BD"")"),"Gerrit")</f>
        <v>Gerrit</v>
      </c>
      <c r="P2" s="105" t="str">
        <f>IFERROR(__xludf.DUMMYFUNCTION("IMPORTRANGE(""https://docs.google.com/spreadsheets/d/1Y9FDM6PWfeg9VaMejzWN3Md3FLlGVyeSUr8AibeJN5I/edit#gid=405816964"",""COMMON_LISTS!BH4:BH"")"),"accepting::clarification")</f>
        <v>accepting::clarification</v>
      </c>
      <c r="Q2" s="105" t="str">
        <f>IFERROR(__xludf.DUMMYFUNCTION("IMPORTRANGE(""https://docs.google.com/spreadsheets/d/1Y9FDM6PWfeg9VaMejzWN3Md3FLlGVyeSUr8AibeJN5I/edit#gid=405816964"",""Assignment!F3:F200"")"),"")</f>
        <v/>
      </c>
      <c r="R2" s="105" t="str">
        <f>IFERROR(__xludf.DUMMYFUNCTION("IMPORTRANGE(""https://docs.google.com/spreadsheets/d/1Y9FDM6PWfeg9VaMejzWN3Md3FLlGVyeSUr8AibeJN5I/edit#gid=405816964"",""COMMON_LISTS!BQ4:BQ"")"),"Ammend")</f>
        <v>Ammend</v>
      </c>
      <c r="S2" s="105"/>
      <c r="T2" s="105"/>
      <c r="U2" s="105"/>
      <c r="V2" s="105"/>
      <c r="W2" s="105"/>
      <c r="X2" s="105"/>
      <c r="Y2" s="105"/>
      <c r="Z2" s="105"/>
    </row>
    <row r="3">
      <c r="A3" s="105" t="str">
        <f>IFERROR(__xludf.DUMMYFUNCTION("""COMPUTED_VALUE"""),"addition::of::tests")</f>
        <v>addition::of::tests</v>
      </c>
      <c r="B3" s="105" t="str">
        <f>IFERROR(__xludf.DUMMYFUNCTION("""COMPUTED_VALUE"""),"Database-related issue")</f>
        <v>Database-related issue</v>
      </c>
      <c r="C3" s="105" t="str">
        <f>IFERROR(__xludf.DUMMYFUNCTION("""COMPUTED_VALUE"""),"blueprint, feature request, security")</f>
        <v>blueprint, feature request, security</v>
      </c>
      <c r="D3" s="105" t="str">
        <f>IFERROR(__xludf.DUMMYFUNCTION("""COMPUTED_VALUE"""),"agreement::objection")</f>
        <v>agreement::objection</v>
      </c>
      <c r="E3" s="105" t="str">
        <f>IFERROR(__xludf.DUMMYFUNCTION("""COMPUTED_VALUE"""),"arguments::for::FFE::(issues::require::fixing)")</f>
        <v>arguments::for::FFE::(issues::require::fixing)</v>
      </c>
      <c r="F3" s="105" t="str">
        <f>IFERROR(__xludf.DUMMYFUNCTION("""COMPUTED_VALUE"""),"agreeing::con::clarification::on::discussing::solution::design::(requirements::of::the::solution)")</f>
        <v>agreeing::con::clarification::on::discussing::solution::design::(requirements::of::the::solution)</v>
      </c>
      <c r="G3" s="105" t="str">
        <f>IFERROR(__xludf.DUMMYFUNCTION("""COMPUTED_VALUE"""),"blueprint -&gt; specification")</f>
        <v>blueprint -&gt; specification</v>
      </c>
      <c r="H3" s="105" t="str">
        <f>IFERROR(__xludf.DUMMYFUNCTION("""COMPUTED_VALUE"""),"alternatives::(none)")</f>
        <v>alternatives::(none)</v>
      </c>
      <c r="I3" s="105" t="str">
        <f>IFERROR(__xludf.DUMMYFUNCTION("""COMPUTED_VALUE"""),"Babel")</f>
        <v>Babel</v>
      </c>
      <c r="J3" s="105" t="str">
        <f>IFERROR(__xludf.DUMMYFUNCTION("""COMPUTED_VALUE"""),"project::cache::(i.e.,::a::cache::of::dependencies::that::is::mantained::by::the::project)")</f>
        <v>project::cache::(i.e.,::a::cache::of::dependencies::that::is::mantained::by::the::project)</v>
      </c>
      <c r="K3" s="105" t="str">
        <f>IFERROR(__xludf.DUMMYFUNCTION("""COMPUTED_VALUE"""),"clean::up::temporary::files")</f>
        <v>clean::up::temporary::files</v>
      </c>
      <c r="L3" s="105" t="str">
        <f>IFERROR(__xludf.DUMMYFUNCTION("""COMPUTED_VALUE"""),"merge of pull request")</f>
        <v>merge of pull request</v>
      </c>
      <c r="M3" s="105" t="str">
        <f>IFERROR(__xludf.DUMMYFUNCTION("""COMPUTED_VALUE"""),"Corrective")</f>
        <v>Corrective</v>
      </c>
      <c r="N3" s="105" t="str">
        <f>IFERROR(__xludf.DUMMYFUNCTION("""COMPUTED_VALUE"""),"Covered (Parents)")</f>
        <v>Covered (Parents)</v>
      </c>
      <c r="O3" s="105" t="str">
        <f>IFERROR(__xludf.DUMMYFUNCTION("""COMPUTED_VALUE"""),"Gerrit (textual comments +inline comments + votes)")</f>
        <v>Gerrit (textual comments +inline comments + votes)</v>
      </c>
      <c r="P3" s="105" t="str">
        <f>IFERROR(__xludf.DUMMYFUNCTION("""COMPUTED_VALUE"""),"accepting::clarification::about::documentation")</f>
        <v>accepting::clarification::about::documentation</v>
      </c>
      <c r="Q3" s="105"/>
      <c r="R3" s="105" t="str">
        <f>IFERROR(__xludf.DUMMYFUNCTION("""COMPUTED_VALUE"""),"Direct::Commit")</f>
        <v>Direct::Commit</v>
      </c>
      <c r="S3" s="105"/>
      <c r="T3" s="105"/>
      <c r="U3" s="105"/>
      <c r="V3" s="105"/>
      <c r="W3" s="105"/>
      <c r="X3" s="105"/>
      <c r="Y3" s="105"/>
      <c r="Z3" s="105"/>
    </row>
    <row r="4">
      <c r="A4" s="105" t="str">
        <f>IFERROR(__xludf.DUMMYFUNCTION("""COMPUTED_VALUE"""),"agreeing::possible::solution")</f>
        <v>agreeing::possible::solution</v>
      </c>
      <c r="B4" s="105" t="str">
        <f>IFERROR(__xludf.DUMMYFUNCTION("""COMPUTED_VALUE"""),"GUI-related issue")</f>
        <v>GUI-related issue</v>
      </c>
      <c r="C4" s="105" t="str">
        <f>IFERROR(__xludf.DUMMYFUNCTION("""COMPUTED_VALUE"""),"blueprint, improvement")</f>
        <v>blueprint, improvement</v>
      </c>
      <c r="D4" s="105" t="str">
        <f>IFERROR(__xludf.DUMMYFUNCTION("""COMPUTED_VALUE"""),"agreement::oppinion::(task::is::out::of::the::ordinary)")</f>
        <v>agreement::oppinion::(task::is::out::of::the::ordinary)</v>
      </c>
      <c r="E4" s="105" t="str">
        <f>IFERROR(__xludf.DUMMYFUNCTION("""COMPUTED_VALUE"""),"ask::for::advice")</f>
        <v>ask::for::advice</v>
      </c>
      <c r="F4" s="105" t="str">
        <f>IFERROR(__xludf.DUMMYFUNCTION("""COMPUTED_VALUE"""),"agreeing::design::choice::(hybrid::compute::nodes)")</f>
        <v>agreeing::design::choice::(hybrid::compute::nodes)</v>
      </c>
      <c r="G4" s="105" t="str">
        <f>IFERROR(__xludf.DUMMYFUNCTION("""COMPUTED_VALUE"""),"blueprint -&gt; wiki")</f>
        <v>blueprint -&gt; wiki</v>
      </c>
      <c r="H4" s="105" t="str">
        <f>IFERROR(__xludf.DUMMYFUNCTION("""COMPUTED_VALUE"""),"code::example")</f>
        <v>code::example</v>
      </c>
      <c r="I4" s="105" t="str">
        <f>IFERROR(__xludf.DUMMYFUNCTION("""COMPUTED_VALUE"""),"carrotsearch")</f>
        <v>carrotsearch</v>
      </c>
      <c r="J4" s="105" t="str">
        <f>IFERROR(__xludf.DUMMYFUNCTION("""COMPUTED_VALUE"""),"remote::repositories::(e.g.,::pip::maven::central)")</f>
        <v>remote::repositories::(e.g.,::pip::maven::central)</v>
      </c>
      <c r="K4" s="105" t="str">
        <f>IFERROR(__xludf.DUMMYFUNCTION("""COMPUTED_VALUE"""),"customize::configuration::dependencies")</f>
        <v>customize::configuration::dependencies</v>
      </c>
      <c r="L4" s="105" t="str">
        <f>IFERROR(__xludf.DUMMYFUNCTION("""COMPUTED_VALUE"""),"merge of textual diff")</f>
        <v>merge of textual diff</v>
      </c>
      <c r="M4" s="105" t="str">
        <f>IFERROR(__xludf.DUMMYFUNCTION("""COMPUTED_VALUE"""),"Perfective")</f>
        <v>Perfective</v>
      </c>
      <c r="N4" s="105" t="str">
        <f>IFERROR(__xludf.DUMMYFUNCTION("""COMPUTED_VALUE"""),"Covered (Parents), Covered (Children)")</f>
        <v>Covered (Parents), Covered (Children)</v>
      </c>
      <c r="O4" s="105" t="str">
        <f>IFERROR(__xludf.DUMMYFUNCTION("""COMPUTED_VALUE"""),"GitHub Pull Request")</f>
        <v>GitHub Pull Request</v>
      </c>
      <c r="P4" s="105" t="str">
        <f>IFERROR(__xludf.DUMMYFUNCTION("""COMPUTED_VALUE"""),"accepting::suggestion::change::(exception::type)")</f>
        <v>accepting::suggestion::change::(exception::type)</v>
      </c>
      <c r="Q4" s="105"/>
      <c r="R4" s="105" t="str">
        <f>IFERROR(__xludf.DUMMYFUNCTION("""COMPUTED_VALUE"""),"Direct::Commit::(Multi::Review)")</f>
        <v>Direct::Commit::(Multi::Review)</v>
      </c>
      <c r="S4" s="105"/>
      <c r="T4" s="105"/>
      <c r="U4" s="105"/>
      <c r="V4" s="105"/>
      <c r="W4" s="105"/>
      <c r="X4" s="105"/>
      <c r="Y4" s="105"/>
      <c r="Z4" s="105"/>
    </row>
    <row r="5">
      <c r="A5" s="105" t="str">
        <f>IFERROR(__xludf.DUMMYFUNCTION("""COMPUTED_VALUE"""),"agreeing::possible::solution::(code::in::text)")</f>
        <v>agreeing::possible::solution::(code::in::text)</v>
      </c>
      <c r="B5" s="105" t="str">
        <f>IFERROR(__xludf.DUMMYFUNCTION("""COMPUTED_VALUE"""),"Network issue")</f>
        <v>Network issue</v>
      </c>
      <c r="C5" s="105" t="str">
        <f>IFERROR(__xludf.DUMMYFUNCTION("""COMPUTED_VALUE"""),"blueprint, refactoring")</f>
        <v>blueprint, refactoring</v>
      </c>
      <c r="D5" s="105" t="str">
        <f>IFERROR(__xludf.DUMMYFUNCTION("""COMPUTED_VALUE"""),"agreement::potential::bug")</f>
        <v>agreement::potential::bug</v>
      </c>
      <c r="E5" s="105" t="str">
        <f>IFERROR(__xludf.DUMMYFUNCTION("""COMPUTED_VALUE"""),"asking::clarifications::about::the::usage::of::a::specific::technology::to::resolve::bugs")</f>
        <v>asking::clarifications::about::the::usage::of::a::specific::technology::to::resolve::bugs</v>
      </c>
      <c r="F5" s="105" t="str">
        <f>IFERROR(__xludf.DUMMYFUNCTION("""COMPUTED_VALUE"""),"agreeing::in::implement::a::temporal::solution::that::will::be::later::improved")</f>
        <v>agreeing::in::implement::a::temporal::solution::that::will::be::later::improved</v>
      </c>
      <c r="G5" s="105" t="str">
        <f>IFERROR(__xludf.DUMMYFUNCTION("""COMPUTED_VALUE"""),"blueprint -&gt; wiki -&gt;meetings")</f>
        <v>blueprint -&gt; wiki -&gt;meetings</v>
      </c>
      <c r="H5" s="105" t="str">
        <f>IFERROR(__xludf.DUMMYFUNCTION("""COMPUTED_VALUE"""),"components::of::BP::description")</f>
        <v>components::of::BP::description</v>
      </c>
      <c r="I5" s="105" t="str">
        <f>IFERROR(__xludf.DUMMYFUNCTION("""COMPUTED_VALUE"""),"Citrix::XenServer::CI::(XenServer::CI)")</f>
        <v>Citrix::XenServer::CI::(XenServer::CI)</v>
      </c>
      <c r="J5" s="105"/>
      <c r="K5" s="105" t="str">
        <f>IFERROR(__xludf.DUMMYFUNCTION("""COMPUTED_VALUE"""),"execution::and::reporting::of::automated::system::tests")</f>
        <v>execution::and::reporting::of::automated::system::tests</v>
      </c>
      <c r="L5" s="105" t="str">
        <f>IFERROR(__xludf.DUMMYFUNCTION("""COMPUTED_VALUE"""),"other")</f>
        <v>other</v>
      </c>
      <c r="M5" s="105" t="str">
        <f>IFERROR(__xludf.DUMMYFUNCTION("""COMPUTED_VALUE"""),"Adaptive, Corrective")</f>
        <v>Adaptive, Corrective</v>
      </c>
      <c r="N5" s="105" t="str">
        <f>IFERROR(__xludf.DUMMYFUNCTION("""COMPUTED_VALUE"""),"Covered (Parents), None (Children)")</f>
        <v>Covered (Parents), None (Children)</v>
      </c>
      <c r="O5" s="105" t="str">
        <f>IFERROR(__xludf.DUMMYFUNCTION("""COMPUTED_VALUE"""),"NA")</f>
        <v>NA</v>
      </c>
      <c r="P5" s="105" t="str">
        <f>IFERROR(__xludf.DUMMYFUNCTION("""COMPUTED_VALUE"""),"accepting::suggestion::change::(logic)")</f>
        <v>accepting::suggestion::change::(logic)</v>
      </c>
      <c r="Q5" s="105"/>
      <c r="R5" s="105" t="str">
        <f>IFERROR(__xludf.DUMMYFUNCTION("""COMPUTED_VALUE"""),"Direct::Commit::(Review)")</f>
        <v>Direct::Commit::(Review)</v>
      </c>
      <c r="S5" s="105"/>
      <c r="T5" s="105"/>
      <c r="U5" s="105"/>
      <c r="V5" s="105"/>
      <c r="W5" s="105"/>
      <c r="X5" s="105"/>
      <c r="Y5" s="105"/>
      <c r="Z5" s="105"/>
    </row>
    <row r="6">
      <c r="A6" s="105" t="str">
        <f>IFERROR(__xludf.DUMMYFUNCTION("""COMPUTED_VALUE"""),"aknowledging::that:previous::fixes::helped::but::still:.a::bug")</f>
        <v>aknowledging::that:previous::fixes::helped::but::still:.a::bug</v>
      </c>
      <c r="B6" s="105" t="str">
        <f>IFERROR(__xludf.DUMMYFUNCTION("""COMPUTED_VALUE"""),"Performance issue")</f>
        <v>Performance issue</v>
      </c>
      <c r="C6" s="105" t="str">
        <f>IFERROR(__xludf.DUMMYFUNCTION("""COMPUTED_VALUE"""),"blueprint, refactoring, improvement")</f>
        <v>blueprint, refactoring, improvement</v>
      </c>
      <c r="D6" s="105" t="str">
        <f>IFERROR(__xludf.DUMMYFUNCTION("""COMPUTED_VALUE"""),"agreement::potential::bug::not::a::bug")</f>
        <v>agreement::potential::bug::not::a::bug</v>
      </c>
      <c r="E6" s="105" t="str">
        <f>IFERROR(__xludf.DUMMYFUNCTION("""COMPUTED_VALUE"""),"asking::for::clarification::about::bugs::(more::information::needed)")</f>
        <v>asking::for::clarification::about::bugs::(more::information::needed)</v>
      </c>
      <c r="F6" s="105" t="str">
        <f>IFERROR(__xludf.DUMMYFUNCTION("""COMPUTED_VALUE"""),"agreeing::not::delaying::the:.discussion::of::BP")</f>
        <v>agreeing::not::delaying::the:.discussion::of::BP</v>
      </c>
      <c r="G6" s="105" t="str">
        <f>IFERROR(__xludf.DUMMYFUNCTION("""COMPUTED_VALUE"""),"blueprint -&gt; wiki -&gt;release")</f>
        <v>blueprint -&gt; wiki -&gt;release</v>
      </c>
      <c r="H6" s="105" t="str">
        <f>IFERROR(__xludf.DUMMYFUNCTION("""COMPUTED_VALUE"""),"condittion::of::testing")</f>
        <v>condittion::of::testing</v>
      </c>
      <c r="I6" s="105" t="str">
        <f>IFERROR(__xludf.DUMMYFUNCTION("""COMPUTED_VALUE"""),"codehaus::jackson")</f>
        <v>codehaus::jackson</v>
      </c>
      <c r="J6" s="105"/>
      <c r="K6" s="105" t="str">
        <f>IFERROR(__xludf.DUMMYFUNCTION("""COMPUTED_VALUE"""),"execution::and::reporting::of::automated::system::tests::(elastic::recheck)")</f>
        <v>execution::and::reporting::of::automated::system::tests::(elastic::recheck)</v>
      </c>
      <c r="L6" s="105" t="str">
        <f>IFERROR(__xludf.DUMMYFUNCTION("""COMPUTED_VALUE"""),"merge review")</f>
        <v>merge review</v>
      </c>
      <c r="M6" s="105" t="str">
        <f>IFERROR(__xludf.DUMMYFUNCTION("""COMPUTED_VALUE"""),"Adaptive, Perfective")</f>
        <v>Adaptive, Perfective</v>
      </c>
      <c r="N6" s="105" t="str">
        <f>IFERROR(__xludf.DUMMYFUNCTION("""COMPUTED_VALUE"""),"Covered (Parents), Partial (Children)")</f>
        <v>Covered (Parents), Partial (Children)</v>
      </c>
      <c r="O6" s="105" t="str">
        <f>IFERROR(__xludf.DUMMYFUNCTION("""COMPUTED_VALUE"""),"Textual Comments")</f>
        <v>Textual Comments</v>
      </c>
      <c r="P6" s="105" t="str">
        <f>IFERROR(__xludf.DUMMYFUNCTION("""COMPUTED_VALUE"""),"accepting::suggestion::creating::followup::issue")</f>
        <v>accepting::suggestion::creating::followup::issue</v>
      </c>
      <c r="Q6" s="105"/>
      <c r="R6" s="105" t="str">
        <f>IFERROR(__xludf.DUMMYFUNCTION("""COMPUTED_VALUE"""),"Merge")</f>
        <v>Merge</v>
      </c>
      <c r="S6" s="105"/>
      <c r="T6" s="105"/>
      <c r="U6" s="105"/>
      <c r="V6" s="105"/>
      <c r="W6" s="105"/>
      <c r="X6" s="105"/>
      <c r="Y6" s="105"/>
      <c r="Z6" s="105"/>
    </row>
    <row r="7">
      <c r="A7" s="105" t="str">
        <f>IFERROR(__xludf.DUMMYFUNCTION("""COMPUTED_VALUE"""),"also::required::on::other::branch")</f>
        <v>also::required::on::other::branch</v>
      </c>
      <c r="B7" s="105" t="str">
        <f>IFERROR(__xludf.DUMMYFUNCTION("""COMPUTED_VALUE"""),"Permission/deprecation issue")</f>
        <v>Permission/deprecation issue</v>
      </c>
      <c r="C7" s="105" t="str">
        <f>IFERROR(__xludf.DUMMYFUNCTION("""COMPUTED_VALUE"""),"blueprint, umbrella")</f>
        <v>blueprint, umbrella</v>
      </c>
      <c r="D7" s="105" t="str">
        <f>IFERROR(__xludf.DUMMYFUNCTION("""COMPUTED_VALUE"""),"approval::BP/feature")</f>
        <v>approval::BP/feature</v>
      </c>
      <c r="E7" s="105" t="str">
        <f>IFERROR(__xludf.DUMMYFUNCTION("""COMPUTED_VALUE"""),"asking::for::clarification::of::a::poposed::solution::of::another::bug")</f>
        <v>asking::for::clarification::of::a::poposed::solution::of::another::bug</v>
      </c>
      <c r="F7" s="105" t="str">
        <f>IFERROR(__xludf.DUMMYFUNCTION("""COMPUTED_VALUE"""),"agreeing::on::clarification::on::discussing::solution::design")</f>
        <v>agreeing::on::clarification::on::discussing::solution::design</v>
      </c>
      <c r="G7" s="105" t="str">
        <f>IFERROR(__xludf.DUMMYFUNCTION("""COMPUTED_VALUE"""),"blueprint -&gt; word")</f>
        <v>blueprint -&gt; word</v>
      </c>
      <c r="H7" s="105" t="str">
        <f>IFERROR(__xludf.DUMMYFUNCTION("""COMPUTED_VALUE"""),"cons::of::alternative2::solution")</f>
        <v>cons::of::alternative2::solution</v>
      </c>
      <c r="I7" s="105" t="str">
        <f>IFERROR(__xludf.DUMMYFUNCTION("""COMPUTED_VALUE"""),"Database::CI::(Turbo::hispter)")</f>
        <v>Database::CI::(Turbo::hispter)</v>
      </c>
      <c r="J7" s="105"/>
      <c r="K7" s="105" t="str">
        <f>IFERROR(__xludf.DUMMYFUNCTION("""COMPUTED_VALUE"""),"execution::and::reporting::of::other::automated::tests")</f>
        <v>execution::and::reporting::of::other::automated::tests</v>
      </c>
      <c r="L7" s="105" t="str">
        <f>IFERROR(__xludf.DUMMYFUNCTION("""COMPUTED_VALUE"""),"merge (i.e., not any other of the previous types of merge, but is a merge)")</f>
        <v>merge (i.e., not any other of the previous types of merge, but is a merge)</v>
      </c>
      <c r="M7" s="105" t="str">
        <f>IFERROR(__xludf.DUMMYFUNCTION("""COMPUTED_VALUE"""),"Corrective, Perfective")</f>
        <v>Corrective, Perfective</v>
      </c>
      <c r="N7" s="105" t="str">
        <f>IFERROR(__xludf.DUMMYFUNCTION("""COMPUTED_VALUE"""),"NA")</f>
        <v>NA</v>
      </c>
      <c r="O7" s="105"/>
      <c r="P7" s="105" t="str">
        <f>IFERROR(__xludf.DUMMYFUNCTION("""COMPUTED_VALUE"""),"accepting::suggestion::refactoring::(style)")</f>
        <v>accepting::suggestion::refactoring::(style)</v>
      </c>
      <c r="Q7" s="105"/>
      <c r="R7" s="105" t="str">
        <f>IFERROR(__xludf.DUMMYFUNCTION("""COMPUTED_VALUE"""),"Merge::(Multi::Review)")</f>
        <v>Merge::(Multi::Review)</v>
      </c>
      <c r="S7" s="105"/>
      <c r="T7" s="105"/>
      <c r="U7" s="105"/>
      <c r="V7" s="105"/>
      <c r="W7" s="105"/>
      <c r="X7" s="105"/>
      <c r="Y7" s="105"/>
      <c r="Z7" s="105"/>
    </row>
    <row r="8">
      <c r="A8" s="105" t="str">
        <f>IFERROR(__xludf.DUMMYFUNCTION("""COMPUTED_VALUE"""),"also::required::on::other::branch::(link::review)")</f>
        <v>also::required::on::other::branch::(link::review)</v>
      </c>
      <c r="B8" s="105" t="str">
        <f>IFERROR(__xludf.DUMMYFUNCTION("""COMPUTED_VALUE"""),"Program anomaly issue")</f>
        <v>Program anomaly issue</v>
      </c>
      <c r="C8" s="105" t="str">
        <f>IFERROR(__xludf.DUMMYFUNCTION("""COMPUTED_VALUE"""),"bug")</f>
        <v>bug</v>
      </c>
      <c r="D8" s="105" t="str">
        <f>IFERROR(__xludf.DUMMYFUNCTION("""COMPUTED_VALUE"""),"approved::freeze::exception::(FFE)")</f>
        <v>approved::freeze::exception::(FFE)</v>
      </c>
      <c r="E8" s="105" t="str">
        <f>IFERROR(__xludf.DUMMYFUNCTION("""COMPUTED_VALUE"""),"asking::for::FFE")</f>
        <v>asking::for::FFE</v>
      </c>
      <c r="F8" s="105" t="str">
        <f>IFERROR(__xludf.DUMMYFUNCTION("""COMPUTED_VALUE"""),"agreeing::on::filed/registered::blue::print::to::track::progress")</f>
        <v>agreeing::on::filed/registered::blue::print::to::track::progress</v>
      </c>
      <c r="G8" s="105" t="str">
        <f>IFERROR(__xludf.DUMMYFUNCTION("""COMPUTED_VALUE"""),"similar--&gt; bug::to::the::studied:.bug")</f>
        <v>similar--&gt; bug::to::the::studied:.bug</v>
      </c>
      <c r="H8" s="105" t="str">
        <f>IFERROR(__xludf.DUMMYFUNCTION("""COMPUTED_VALUE"""),"cons::of::solution")</f>
        <v>cons::of::solution</v>
      </c>
      <c r="I8" s="105" t="str">
        <f>IFERROR(__xludf.DUMMYFUNCTION("""COMPUTED_VALUE"""),"db::datasets::ci")</f>
        <v>db::datasets::ci</v>
      </c>
      <c r="J8" s="105"/>
      <c r="K8" s="105" t="str">
        <f>IFERROR(__xludf.DUMMYFUNCTION("""COMPUTED_VALUE"""),"execution::automated::best::practice::enforcement::(forbiddenapis)")</f>
        <v>execution::automated::best::practice::enforcement::(forbiddenapis)</v>
      </c>
      <c r="L8" s="105" t="str">
        <f>IFERROR(__xludf.DUMMYFUNCTION("""COMPUTED_VALUE"""),"NA")</f>
        <v>NA</v>
      </c>
      <c r="M8" s="105" t="str">
        <f>IFERROR(__xludf.DUMMYFUNCTION("""COMPUTED_VALUE"""),"Adaptive, Corrective, Perfective")</f>
        <v>Adaptive, Corrective, Perfective</v>
      </c>
      <c r="N8" s="105" t="str">
        <f>IFERROR(__xludf.DUMMYFUNCTION("""COMPUTED_VALUE"""),"No (Children)")</f>
        <v>No (Children)</v>
      </c>
      <c r="O8" s="105"/>
      <c r="P8" s="105" t="str">
        <f>IFERROR(__xludf.DUMMYFUNCTION("""COMPUTED_VALUE"""),"accepting::suggestion::refactoring::(unnecesary::loop)")</f>
        <v>accepting::suggestion::refactoring::(unnecesary::loop)</v>
      </c>
      <c r="Q8" s="105"/>
      <c r="R8" s="105" t="str">
        <f>IFERROR(__xludf.DUMMYFUNCTION("""COMPUTED_VALUE"""),"Other")</f>
        <v>Other</v>
      </c>
      <c r="S8" s="105"/>
      <c r="T8" s="105"/>
      <c r="U8" s="105"/>
      <c r="V8" s="105"/>
      <c r="W8" s="105"/>
      <c r="X8" s="105"/>
      <c r="Y8" s="105"/>
      <c r="Z8" s="105"/>
    </row>
    <row r="9">
      <c r="A9" s="105" t="str">
        <f>IFERROR(__xludf.DUMMYFUNCTION("""COMPUTED_VALUE"""),"alternate::solution::to::fix")</f>
        <v>alternate::solution::to::fix</v>
      </c>
      <c r="B9" s="105" t="str">
        <f>IFERROR(__xludf.DUMMYFUNCTION("""COMPUTED_VALUE"""),"Security issue")</f>
        <v>Security issue</v>
      </c>
      <c r="C9" s="105" t="str">
        <f>IFERROR(__xludf.DUMMYFUNCTION("""COMPUTED_VALUE"""),"bug, missing feature")</f>
        <v>bug, missing feature</v>
      </c>
      <c r="D9" s="105" t="str">
        <f>IFERROR(__xludf.DUMMYFUNCTION("""COMPUTED_VALUE"""),"asking::about::availability::feature")</f>
        <v>asking::about::availability::feature</v>
      </c>
      <c r="E9" s="105" t="str">
        <f>IFERROR(__xludf.DUMMYFUNCTION("""COMPUTED_VALUE"""),"asking::for::help::testing::other::bugs")</f>
        <v>asking::for::help::testing::other::bugs</v>
      </c>
      <c r="F9" s="105" t="str">
        <f>IFERROR(__xludf.DUMMYFUNCTION("""COMPUTED_VALUE"""),"agreeing::on::requesting::a::meeeting::(IRC)")</f>
        <v>agreeing::on::requesting::a::meeeting::(IRC)</v>
      </c>
      <c r="G9" s="105"/>
      <c r="H9" s="105" t="str">
        <f>IFERROR(__xludf.DUMMYFUNCTION("""COMPUTED_VALUE"""),"definition::REST::API")</f>
        <v>definition::REST::API</v>
      </c>
      <c r="I9" s="105" t="str">
        <f>IFERROR(__xludf.DUMMYFUNCTION("""COMPUTED_VALUE"""),"Distutilsextra")</f>
        <v>Distutilsextra</v>
      </c>
      <c r="J9" s="105"/>
      <c r="K9" s="105" t="str">
        <f>IFERROR(__xludf.DUMMYFUNCTION("""COMPUTED_VALUE"""),"execution::automated::database::migrations")</f>
        <v>execution::automated::database::migrations</v>
      </c>
      <c r="L9" s="105"/>
      <c r="M9" s="105"/>
      <c r="N9" s="105" t="str">
        <f>IFERROR(__xludf.DUMMYFUNCTION("""COMPUTED_VALUE"""),"No (Parents), Covered (Children)")</f>
        <v>No (Parents), Covered (Children)</v>
      </c>
      <c r="O9" s="105"/>
      <c r="P9" s="105" t="str">
        <f>IFERROR(__xludf.DUMMYFUNCTION("""COMPUTED_VALUE"""),"agreeing::change::(architecture::tests)")</f>
        <v>agreeing::change::(architecture::tests)</v>
      </c>
      <c r="Q9" s="105"/>
      <c r="R9" s="105" t="str">
        <f>IFERROR(__xludf.DUMMYFUNCTION("""COMPUTED_VALUE"""),"Other::(Cherry::Pick)")</f>
        <v>Other::(Cherry::Pick)</v>
      </c>
      <c r="S9" s="105"/>
      <c r="T9" s="105"/>
      <c r="U9" s="105"/>
      <c r="V9" s="105"/>
      <c r="W9" s="105"/>
      <c r="X9" s="105"/>
      <c r="Y9" s="105"/>
      <c r="Z9" s="105"/>
    </row>
    <row r="10">
      <c r="A10" s="105" t="str">
        <f>IFERROR(__xludf.DUMMYFUNCTION("""COMPUTED_VALUE"""),"ask::for::testing::of::the::proposed::changed")</f>
        <v>ask::for::testing::of::the::proposed::changed</v>
      </c>
      <c r="B10" s="105" t="str">
        <f>IFERROR(__xludf.DUMMYFUNCTION("""COMPUTED_VALUE"""),"Test code-related issue")</f>
        <v>Test code-related issue</v>
      </c>
      <c r="C10" s="105" t="str">
        <f>IFERROR(__xludf.DUMMYFUNCTION("""COMPUTED_VALUE"""),"bug, security issue")</f>
        <v>bug, security issue</v>
      </c>
      <c r="D10" s="105" t="str">
        <f>IFERROR(__xludf.DUMMYFUNCTION("""COMPUTED_VALUE"""),"asking::about::development::process::(schedule/time)")</f>
        <v>asking::about::development::process::(schedule/time)</v>
      </c>
      <c r="E10" s="105" t="str">
        <f>IFERROR(__xludf.DUMMYFUNCTION("""COMPUTED_VALUE"""),"asking::for::the::status::of::a::CI::for::testing::libvirt")</f>
        <v>asking::for::the::status::of::a::CI::for::testing::libvirt</v>
      </c>
      <c r="F10" s="105" t="str">
        <f>IFERROR(__xludf.DUMMYFUNCTION("""COMPUTED_VALUE"""),"agreeing::plan::development::process::(future::enhancement)")</f>
        <v>agreeing::plan::development::process::(future::enhancement)</v>
      </c>
      <c r="G10" s="105"/>
      <c r="H10" s="105" t="str">
        <f>IFERROR(__xludf.DUMMYFUNCTION("""COMPUTED_VALUE"""),"dependencies")</f>
        <v>dependencies</v>
      </c>
      <c r="I10" s="105" t="str">
        <f>IFERROR(__xludf.DUMMYFUNCTION("""COMPUTED_VALUE"""),"Docker::CI")</f>
        <v>Docker::CI</v>
      </c>
      <c r="J10" s="105"/>
      <c r="K10" s="105" t="str">
        <f>IFERROR(__xludf.DUMMYFUNCTION("""COMPUTED_VALUE"""),"execution::automated::merge::test")</f>
        <v>execution::automated::merge::test</v>
      </c>
      <c r="L10" s="105"/>
      <c r="M10" s="105"/>
      <c r="N10" s="105" t="str">
        <f>IFERROR(__xludf.DUMMYFUNCTION("""COMPUTED_VALUE"""),"No (Parents), No (Children)")</f>
        <v>No (Parents), No (Children)</v>
      </c>
      <c r="O10" s="105"/>
      <c r="P10" s="105" t="str">
        <f>IFERROR(__xludf.DUMMYFUNCTION("""COMPUTED_VALUE"""),"agreeing::change::(input::parameter)")</f>
        <v>agreeing::change::(input::parameter)</v>
      </c>
      <c r="Q10" s="105"/>
      <c r="R10" s="105" t="str">
        <f>IFERROR(__xludf.DUMMYFUNCTION("""COMPUTED_VALUE"""),"Rebase")</f>
        <v>Rebase</v>
      </c>
      <c r="S10" s="105"/>
      <c r="T10" s="105"/>
      <c r="U10" s="105"/>
      <c r="V10" s="105"/>
      <c r="W10" s="105"/>
      <c r="X10" s="105"/>
      <c r="Y10" s="105"/>
      <c r="Z10" s="105"/>
    </row>
    <row r="11">
      <c r="A11" s="105" t="str">
        <f>IFERROR(__xludf.DUMMYFUNCTION("""COMPUTED_VALUE"""),"asking::clarification::about::details::on::the::involved::hardware")</f>
        <v>asking::clarification::about::details::on::the::involved::hardware</v>
      </c>
      <c r="B11" s="105" t="str">
        <f>IFERROR(__xludf.DUMMYFUNCTION("""COMPUTED_VALUE"""),"Configuration issue, Database-related issue")</f>
        <v>Configuration issue, Database-related issue</v>
      </c>
      <c r="C11" s="105" t="str">
        <f>IFERROR(__xludf.DUMMYFUNCTION("""COMPUTED_VALUE"""),"feature")</f>
        <v>feature</v>
      </c>
      <c r="D11" s="105" t="str">
        <f>IFERROR(__xludf.DUMMYFUNCTION("""COMPUTED_VALUE"""),"asking::about::development::process::(why::blocked)")</f>
        <v>asking::about::development::process::(why::blocked)</v>
      </c>
      <c r="E11" s="105" t="str">
        <f>IFERROR(__xludf.DUMMYFUNCTION("""COMPUTED_VALUE"""),"conerns::that::are::covered::by::the::bug")</f>
        <v>conerns::that::are::covered::by::the::bug</v>
      </c>
      <c r="F11" s="105" t="str">
        <f>IFERROR(__xludf.DUMMYFUNCTION("""COMPUTED_VALUE"""),"agreeing::solution::for::the::responsabilities::left::of::by::other::developers::(bug/BP/feature::related)")</f>
        <v>agreeing::solution::for::the::responsabilities::left::of::by::other::developers::(bug/BP/feature::related)</v>
      </c>
      <c r="G11" s="105"/>
      <c r="H11" s="105" t="str">
        <f>IFERROR(__xludf.DUMMYFUNCTION("""COMPUTED_VALUE"""),"dependencies::(none)")</f>
        <v>dependencies::(none)</v>
      </c>
      <c r="I11" s="105" t="str">
        <f>IFERROR(__xludf.DUMMYFUNCTION("""COMPUTED_VALUE"""),"Dream::Host::CI")</f>
        <v>Dream::Host::CI</v>
      </c>
      <c r="J11" s="105"/>
      <c r="K11" s="105" t="str">
        <f>IFERROR(__xludf.DUMMYFUNCTION("""COMPUTED_VALUE"""),"execution::automated::merge::test*")</f>
        <v>execution::automated::merge::test*</v>
      </c>
      <c r="L11" s="105"/>
      <c r="M11" s="105"/>
      <c r="N11" s="105" t="str">
        <f>IFERROR(__xludf.DUMMYFUNCTION("""COMPUTED_VALUE"""),"No (Parents), Partial (Children)")</f>
        <v>No (Parents), Partial (Children)</v>
      </c>
      <c r="O11" s="105"/>
      <c r="P11" s="105" t="str">
        <f>IFERROR(__xludf.DUMMYFUNCTION("""COMPUTED_VALUE"""),"agreeing::commenting::about::the::imposssibility::of::using::something::(decorators)")</f>
        <v>agreeing::commenting::about::the::imposssibility::of::using::something::(decorators)</v>
      </c>
      <c r="Q11" s="105"/>
      <c r="R11" s="105" t="str">
        <f>IFERROR(__xludf.DUMMYFUNCTION("""COMPUTED_VALUE"""),"Rebase::(Multi::Review)")</f>
        <v>Rebase::(Multi::Review)</v>
      </c>
      <c r="S11" s="105"/>
      <c r="T11" s="105"/>
      <c r="U11" s="105"/>
      <c r="V11" s="105"/>
      <c r="W11" s="105"/>
      <c r="X11" s="105"/>
      <c r="Y11" s="105"/>
      <c r="Z11" s="105"/>
    </row>
    <row r="12">
      <c r="A12" s="105" t="str">
        <f>IFERROR(__xludf.DUMMYFUNCTION("""COMPUTED_VALUE"""),"asking::clarification::about::the::development::process::(releasing::time)")</f>
        <v>asking::clarification::about::the::development::process::(releasing::time)</v>
      </c>
      <c r="B12" s="105" t="str">
        <f>IFERROR(__xludf.DUMMYFUNCTION("""COMPUTED_VALUE"""),"Configuration issue, GUI-related issue")</f>
        <v>Configuration issue, GUI-related issue</v>
      </c>
      <c r="C12" s="105" t="str">
        <f>IFERROR(__xludf.DUMMYFUNCTION("""COMPUTED_VALUE"""),"feature, improvement")</f>
        <v>feature, improvement</v>
      </c>
      <c r="D12" s="105" t="str">
        <f>IFERROR(__xludf.DUMMYFUNCTION("""COMPUTED_VALUE"""),"asking::about::development::progress")</f>
        <v>asking::about::development::progress</v>
      </c>
      <c r="E12" s="105" t="str">
        <f>IFERROR(__xludf.DUMMYFUNCTION("""COMPUTED_VALUE"""),"conerns::that::are::covered::not::covered::by::the::bug::and::request::new::filings::bugs")</f>
        <v>conerns::that::are::covered::not::covered::by::the::bug::and::request::new::filings::bugs</v>
      </c>
      <c r="F12" s="105" t="str">
        <f>IFERROR(__xludf.DUMMYFUNCTION("""COMPUTED_VALUE"""),"agreeing::to::do::a::FFE::for::the::BP")</f>
        <v>agreeing::to::do::a::FFE::for::the::BP</v>
      </c>
      <c r="G12" s="105"/>
      <c r="H12" s="105" t="str">
        <f>IFERROR(__xludf.DUMMYFUNCTION("""COMPUTED_VALUE"""),"documentation::(API)")</f>
        <v>documentation::(API)</v>
      </c>
      <c r="I12" s="105" t="str">
        <f>IFERROR(__xludf.DUMMYFUNCTION("""COMPUTED_VALUE"""),"Easy::install::(Setuptools)")</f>
        <v>Easy::install::(Setuptools)</v>
      </c>
      <c r="J12" s="105"/>
      <c r="K12" s="105" t="str">
        <f>IFERROR(__xludf.DUMMYFUNCTION("""COMPUTED_VALUE"""),"execution::automated::performance::tests::(jmeter)")</f>
        <v>execution::automated::performance::tests::(jmeter)</v>
      </c>
      <c r="L12" s="105"/>
      <c r="M12" s="105"/>
      <c r="N12" s="105" t="str">
        <f>IFERROR(__xludf.DUMMYFUNCTION("""COMPUTED_VALUE"""),"None (Children)")</f>
        <v>None (Children)</v>
      </c>
      <c r="O12" s="105"/>
      <c r="P12" s="105" t="str">
        <f>IFERROR(__xludf.DUMMYFUNCTION("""COMPUTED_VALUE"""),"agreeing::conflicts::with::existing::dependency::(another::project)::of::the::change::(egg::and::chicken)")</f>
        <v>agreeing::conflicts::with::existing::dependency::(another::project)::of::the::change::(egg::and::chicken)</v>
      </c>
      <c r="Q12" s="105"/>
      <c r="R12" s="105" t="str">
        <f>IFERROR(__xludf.DUMMYFUNCTION("""COMPUTED_VALUE"""),"Rebase::(Review)")</f>
        <v>Rebase::(Review)</v>
      </c>
      <c r="S12" s="105"/>
      <c r="T12" s="105"/>
      <c r="U12" s="105"/>
      <c r="V12" s="105"/>
      <c r="W12" s="105"/>
      <c r="X12" s="105"/>
      <c r="Y12" s="105"/>
      <c r="Z12" s="105"/>
    </row>
    <row r="13">
      <c r="A13" s="105" t="str">
        <f>IFERROR(__xludf.DUMMYFUNCTION("""COMPUTED_VALUE"""),"asking::for::clarification::(culprit::regression)")</f>
        <v>asking::for::clarification::(culprit::regression)</v>
      </c>
      <c r="B13" s="105" t="str">
        <f>IFERROR(__xludf.DUMMYFUNCTION("""COMPUTED_VALUE"""),"Configuration issue, Network issue")</f>
        <v>Configuration issue, Network issue</v>
      </c>
      <c r="C13" s="105" t="str">
        <f>IFERROR(__xludf.DUMMYFUNCTION("""COMPUTED_VALUE"""),"improvement")</f>
        <v>improvement</v>
      </c>
      <c r="D13" s="105" t="str">
        <f>IFERROR(__xludf.DUMMYFUNCTION("""COMPUTED_VALUE"""),"asking::about::release::timeline")</f>
        <v>asking::about::release::timeline</v>
      </c>
      <c r="E13" s="105" t="str">
        <f>IFERROR(__xludf.DUMMYFUNCTION("""COMPUTED_VALUE"""),"deprecate::usage::of::tool::in::case::no::CI::for::testing::is::found")</f>
        <v>deprecate::usage::of::tool::in::case::no::CI::for::testing::is::found</v>
      </c>
      <c r="F13" s="105" t="str">
        <f>IFERROR(__xludf.DUMMYFUNCTION("""COMPUTED_VALUE"""),"agreeing::to::reject::a::FFE::for::the::BP::that::includes::the::bug")</f>
        <v>agreeing::to::reject::a::FFE::for::the::BP::that::includes::the::bug</v>
      </c>
      <c r="G13" s="105"/>
      <c r="H13" s="105" t="str">
        <f>IFERROR(__xludf.DUMMYFUNCTION("""COMPUTED_VALUE"""),"documentation::(network)")</f>
        <v>documentation::(network)</v>
      </c>
      <c r="I13" s="105" t="str">
        <f>IFERROR(__xludf.DUMMYFUNCTION("""COMPUTED_VALUE"""),"eclipse::ide")</f>
        <v>eclipse::ide</v>
      </c>
      <c r="J13" s="105"/>
      <c r="K13" s="105" t="str">
        <f>IFERROR(__xludf.DUMMYFUNCTION("""COMPUTED_VALUE"""),"execution::automated::performance::tests::(jmeter/micro)")</f>
        <v>execution::automated::performance::tests::(jmeter/micro)</v>
      </c>
      <c r="L13" s="105"/>
      <c r="M13" s="105"/>
      <c r="N13" s="105" t="str">
        <f>IFERROR(__xludf.DUMMYFUNCTION("""COMPUTED_VALUE"""),"None (parents)")</f>
        <v>None (parents)</v>
      </c>
      <c r="O13" s="105"/>
      <c r="P13" s="105" t="str">
        <f>IFERROR(__xludf.DUMMYFUNCTION("""COMPUTED_VALUE"""),"agreeing::current::approach")</f>
        <v>agreeing::current::approach</v>
      </c>
      <c r="Q13" s="105"/>
      <c r="R13" s="105" t="str">
        <f>IFERROR(__xludf.DUMMYFUNCTION("""COMPUTED_VALUE"""),"Rebase::Ammend")</f>
        <v>Rebase::Ammend</v>
      </c>
      <c r="S13" s="105"/>
      <c r="T13" s="105"/>
      <c r="U13" s="105"/>
      <c r="V13" s="105"/>
      <c r="W13" s="105"/>
      <c r="X13" s="105"/>
      <c r="Y13" s="105"/>
      <c r="Z13" s="105"/>
    </row>
    <row r="14">
      <c r="A14" s="105" t="str">
        <f>IFERROR(__xludf.DUMMYFUNCTION("""COMPUTED_VALUE"""),"asking::for::clarification::about::possible::fix")</f>
        <v>asking::for::clarification::about::possible::fix</v>
      </c>
      <c r="B14" s="105" t="str">
        <f>IFERROR(__xludf.DUMMYFUNCTION("""COMPUTED_VALUE"""),"Configuration issue, Performance issue")</f>
        <v>Configuration issue, Performance issue</v>
      </c>
      <c r="C14" s="105" t="str">
        <f>IFERROR(__xludf.DUMMYFUNCTION("""COMPUTED_VALUE"""),"improvement, bug")</f>
        <v>improvement, bug</v>
      </c>
      <c r="D14" s="105" t="str">
        <f>IFERROR(__xludf.DUMMYFUNCTION("""COMPUTED_VALUE"""),"asking::clarification::about::Qualitty::attributes::(consistency)")</f>
        <v>asking::clarification::about::Qualitty::attributes::(consistency)</v>
      </c>
      <c r="E14" s="105" t="str">
        <f>IFERROR(__xludf.DUMMYFUNCTION("""COMPUTED_VALUE"""),"describe::bug::that::is::fixed")</f>
        <v>describe::bug::that::is::fixed</v>
      </c>
      <c r="F14" s="105" t="str">
        <f>IFERROR(__xludf.DUMMYFUNCTION("""COMPUTED_VALUE"""),"agreeing::with::the::solution::proposed::for::bug::due::to::new::functionality::that::was::enabled::thanks::to::the::BP")</f>
        <v>agreeing::with::the::solution::proposed::for::bug::due::to::new::functionality::that::was::enabled::thanks::to::the::BP</v>
      </c>
      <c r="G14" s="105"/>
      <c r="H14" s="105" t="str">
        <f>IFERROR(__xludf.DUMMYFUNCTION("""COMPUTED_VALUE"""),"documentation::(unexposed::API)")</f>
        <v>documentation::(unexposed::API)</v>
      </c>
      <c r="I14" s="105" t="str">
        <f>IFERROR(__xludf.DUMMYFUNCTION("""COMPUTED_VALUE"""),"elastic::recheck")</f>
        <v>elastic::recheck</v>
      </c>
      <c r="J14" s="105"/>
      <c r="K14" s="105" t="str">
        <f>IFERROR(__xludf.DUMMYFUNCTION("""COMPUTED_VALUE"""),"execution::automated::randomized::tests")</f>
        <v>execution::automated::randomized::tests</v>
      </c>
      <c r="L14" s="105"/>
      <c r="M14" s="105"/>
      <c r="N14" s="105" t="str">
        <f>IFERROR(__xludf.DUMMYFUNCTION("""COMPUTED_VALUE"""),"None (Parents), Covered (Children)")</f>
        <v>None (Parents), Covered (Children)</v>
      </c>
      <c r="O14" s="105"/>
      <c r="P14" s="105" t="str">
        <f>IFERROR(__xludf.DUMMYFUNCTION("""COMPUTED_VALUE"""),"agreeing::suggestion::change::(backwards::compatebility)")</f>
        <v>agreeing::suggestion::change::(backwards::compatebility)</v>
      </c>
      <c r="Q14" s="105"/>
      <c r="R14" s="105"/>
      <c r="S14" s="105"/>
      <c r="T14" s="105"/>
      <c r="U14" s="105"/>
      <c r="V14" s="105"/>
      <c r="W14" s="105"/>
      <c r="X14" s="105"/>
      <c r="Y14" s="105"/>
      <c r="Z14" s="105"/>
    </row>
    <row r="15">
      <c r="A15" s="105" t="str">
        <f>IFERROR(__xludf.DUMMYFUNCTION("""COMPUTED_VALUE"""),"asking::for::clarification::about::the::reason::of::regression::bug")</f>
        <v>asking::for::clarification::about::the::reason::of::regression::bug</v>
      </c>
      <c r="B15" s="105" t="str">
        <f>IFERROR(__xludf.DUMMYFUNCTION("""COMPUTED_VALUE"""),"Configuration issue, Permission/deprecation issue")</f>
        <v>Configuration issue, Permission/deprecation issue</v>
      </c>
      <c r="C15" s="105" t="str">
        <f>IFERROR(__xludf.DUMMYFUNCTION("""COMPUTED_VALUE"""),"not coded")</f>
        <v>not coded</v>
      </c>
      <c r="D15" s="105" t="str">
        <f>IFERROR(__xludf.DUMMYFUNCTION("""COMPUTED_VALUE"""),"asking::for::assistance::(confirming::bug)")</f>
        <v>asking::for::assistance::(confirming::bug)</v>
      </c>
      <c r="E15" s="105" t="str">
        <f>IFERROR(__xludf.DUMMYFUNCTION("""COMPUTED_VALUE"""),"discussing::backwards::compatebility::(dependency)")</f>
        <v>discussing::backwards::compatebility::(dependency)</v>
      </c>
      <c r="F15" s="105" t="str">
        <f>IFERROR(__xludf.DUMMYFUNCTION("""COMPUTED_VALUE"""),"aknowledgeing::that:.adressing:feedback::needed:.to::FFE")</f>
        <v>aknowledgeing::that:.adressing:feedback::needed:.to::FFE</v>
      </c>
      <c r="G15" s="105"/>
      <c r="H15" s="105" t="str">
        <f>IFERROR(__xludf.DUMMYFUNCTION("""COMPUTED_VALUE"""),"documentation::(usage)")</f>
        <v>documentation::(usage)</v>
      </c>
      <c r="I15" s="105" t="str">
        <f>IFERROR(__xludf.DUMMYFUNCTION("""COMPUTED_VALUE"""),"findbugs-maven-plugin")</f>
        <v>findbugs-maven-plugin</v>
      </c>
      <c r="J15" s="105"/>
      <c r="K15" s="105" t="str">
        <f>IFERROR(__xludf.DUMMYFUNCTION("""COMPUTED_VALUE"""),"execution::automated::randomized::tests::(carrotsearch)")</f>
        <v>execution::automated::randomized::tests::(carrotsearch)</v>
      </c>
      <c r="L15" s="105"/>
      <c r="M15" s="105"/>
      <c r="N15" s="105" t="str">
        <f>IFERROR(__xludf.DUMMYFUNCTION("""COMPUTED_VALUE"""),"None (Parents), None (Children)")</f>
        <v>None (Parents), None (Children)</v>
      </c>
      <c r="O15" s="105"/>
      <c r="P15" s="105" t="str">
        <f>IFERROR(__xludf.DUMMYFUNCTION("""COMPUTED_VALUE"""),"agreeing::suggestion::change::(input::parameter)")</f>
        <v>agreeing::suggestion::change::(input::parameter)</v>
      </c>
      <c r="Q15" s="105"/>
      <c r="R15" s="105"/>
      <c r="S15" s="105"/>
      <c r="T15" s="105"/>
      <c r="U15" s="105"/>
      <c r="V15" s="105"/>
      <c r="W15" s="105"/>
      <c r="X15" s="105"/>
      <c r="Y15" s="105"/>
      <c r="Z15" s="105"/>
    </row>
    <row r="16">
      <c r="A16" s="105" t="str">
        <f>IFERROR(__xludf.DUMMYFUNCTION("""COMPUTED_VALUE"""),"asking::for::clarification::about::when::the::bug::is::present")</f>
        <v>asking::for::clarification::about::when::the::bug::is::present</v>
      </c>
      <c r="B16" s="105" t="str">
        <f>IFERROR(__xludf.DUMMYFUNCTION("""COMPUTED_VALUE"""),"Configuration issue, Program anomaly issue")</f>
        <v>Configuration issue, Program anomaly issue</v>
      </c>
      <c r="C16" s="105" t="str">
        <f>IFERROR(__xludf.DUMMYFUNCTION("""COMPUTED_VALUE"""),"refactoring, improvement")</f>
        <v>refactoring, improvement</v>
      </c>
      <c r="D16" s="105" t="str">
        <f>IFERROR(__xludf.DUMMYFUNCTION("""COMPUTED_VALUE"""),"asking::for::assistance::(fix)")</f>
        <v>asking::for::assistance::(fix)</v>
      </c>
      <c r="E16" s="105" t="str">
        <f>IFERROR(__xludf.DUMMYFUNCTION("""COMPUTED_VALUE"""),"filing::new::tickets::if::required::not::bug::related")</f>
        <v>filing::new::tickets::if::required::not::bug::related</v>
      </c>
      <c r="F16" s="105" t="str">
        <f>IFERROR(__xludf.DUMMYFUNCTION("""COMPUTED_VALUE"""),"alternative::solution::to::encountered::errors::while::implementing::feature/BP")</f>
        <v>alternative::solution::to::encountered::errors::while::implementing::feature/BP</v>
      </c>
      <c r="G16" s="105"/>
      <c r="H16" s="105" t="str">
        <f>IFERROR(__xludf.DUMMYFUNCTION("""COMPUTED_VALUE"""),"external::references")</f>
        <v>external::references</v>
      </c>
      <c r="I16" s="105" t="str">
        <f>IFERROR(__xludf.DUMMYFUNCTION("""COMPUTED_VALUE"""),"flake8")</f>
        <v>flake8</v>
      </c>
      <c r="J16" s="105"/>
      <c r="K16" s="105" t="str">
        <f>IFERROR(__xludf.DUMMYFUNCTION("""COMPUTED_VALUE"""),"execution::automated::smoke::tests")</f>
        <v>execution::automated::smoke::tests</v>
      </c>
      <c r="L16" s="105"/>
      <c r="M16" s="105"/>
      <c r="N16" s="105" t="str">
        <f>IFERROR(__xludf.DUMMYFUNCTION("""COMPUTED_VALUE"""),"None (Parents), Partial (Children)")</f>
        <v>None (Parents), Partial (Children)</v>
      </c>
      <c r="O16" s="105"/>
      <c r="P16" s="105" t="str">
        <f>IFERROR(__xludf.DUMMYFUNCTION("""COMPUTED_VALUE"""),"agreeing::suggestion::change::(logging::message::clearness)")</f>
        <v>agreeing::suggestion::change::(logging::message::clearness)</v>
      </c>
      <c r="Q16" s="105"/>
      <c r="R16" s="105"/>
      <c r="S16" s="105"/>
      <c r="T16" s="105"/>
      <c r="U16" s="105"/>
      <c r="V16" s="105"/>
      <c r="W16" s="105"/>
      <c r="X16" s="105"/>
      <c r="Y16" s="105"/>
      <c r="Z16" s="105"/>
    </row>
    <row r="17">
      <c r="A17" s="105" t="str">
        <f>IFERROR(__xludf.DUMMYFUNCTION("""COMPUTED_VALUE"""),"asking::for::clarification::expected::behaviour")</f>
        <v>asking::for::clarification::expected::behaviour</v>
      </c>
      <c r="B17" s="105" t="str">
        <f>IFERROR(__xludf.DUMMYFUNCTION("""COMPUTED_VALUE"""),"Configuration issue, Security issue")</f>
        <v>Configuration issue, Security issue</v>
      </c>
      <c r="C17" s="105"/>
      <c r="D17" s="105" t="str">
        <f>IFERROR(__xludf.DUMMYFUNCTION("""COMPUTED_VALUE"""),"asking::for::assistance::(fix)::different::project")</f>
        <v>asking::for::assistance::(fix)::different::project</v>
      </c>
      <c r="E17" s="105" t="str">
        <f>IFERROR(__xludf.DUMMYFUNCTION("""COMPUTED_VALUE"""),"How::to::fix::the::bug")</f>
        <v>How::to::fix::the::bug</v>
      </c>
      <c r="F17" s="105" t="str">
        <f>IFERROR(__xludf.DUMMYFUNCTION("""COMPUTED_VALUE"""),"ansswering::advice::how::discussing::topic::online")</f>
        <v>ansswering::advice::how::discussing::topic::online</v>
      </c>
      <c r="G17" s="105"/>
      <c r="H17" s="105" t="str">
        <f>IFERROR(__xludf.DUMMYFUNCTION("""COMPUTED_VALUE"""),"external::references::(another::blueprint)")</f>
        <v>external::references::(another::blueprint)</v>
      </c>
      <c r="I17" s="105" t="str">
        <f>IFERROR(__xludf.DUMMYFUNCTION("""COMPUTED_VALUE"""),"flake8::hacking")</f>
        <v>flake8::hacking</v>
      </c>
      <c r="J17" s="105"/>
      <c r="K17" s="105" t="str">
        <f>IFERROR(__xludf.DUMMYFUNCTION("""COMPUTED_VALUE"""),"execution::automated::test::config::generation")</f>
        <v>execution::automated::test::config::generation</v>
      </c>
      <c r="L17" s="105"/>
      <c r="M17" s="105"/>
      <c r="N17" s="105" t="str">
        <f>IFERROR(__xludf.DUMMYFUNCTION("""COMPUTED_VALUE"""),"Not Available")</f>
        <v>Not Available</v>
      </c>
      <c r="O17" s="105"/>
      <c r="P17" s="105" t="str">
        <f>IFERROR(__xludf.DUMMYFUNCTION("""COMPUTED_VALUE"""),"agreeing::suggestion::refactoring::(comparison::operators)")</f>
        <v>agreeing::suggestion::refactoring::(comparison::operators)</v>
      </c>
      <c r="Q17" s="105"/>
      <c r="R17" s="105"/>
      <c r="S17" s="105"/>
      <c r="T17" s="105"/>
      <c r="U17" s="105"/>
      <c r="V17" s="105"/>
      <c r="W17" s="105"/>
      <c r="X17" s="105"/>
      <c r="Y17" s="105"/>
      <c r="Z17" s="105"/>
    </row>
    <row r="18">
      <c r="A18" s="105" t="str">
        <f>IFERROR(__xludf.DUMMYFUNCTION("""COMPUTED_VALUE"""),"asking::for::clarification::status::release")</f>
        <v>asking::for::clarification::status::release</v>
      </c>
      <c r="B18" s="105" t="str">
        <f>IFERROR(__xludf.DUMMYFUNCTION("""COMPUTED_VALUE"""),"Configuration issue, Test code-related issue")</f>
        <v>Configuration issue, Test code-related issue</v>
      </c>
      <c r="C18" s="105"/>
      <c r="D18" s="105" t="str">
        <f>IFERROR(__xludf.DUMMYFUNCTION("""COMPUTED_VALUE"""),"asking::for::assistance::(status::bug)")</f>
        <v>asking::for::assistance::(status::bug)</v>
      </c>
      <c r="E18" s="105" t="str">
        <f>IFERROR(__xludf.DUMMYFUNCTION("""COMPUTED_VALUE"""),"importance::bug")</f>
        <v>importance::bug</v>
      </c>
      <c r="F18" s="105" t="str">
        <f>IFERROR(__xludf.DUMMYFUNCTION("""COMPUTED_VALUE"""),"answering::about::one::design::choice::of::implementation::(hybrid::compute::nodes)::(decision::depends:.on::developers::team::not::constraint::to::technology)")</f>
        <v>answering::about::one::design::choice::of::implementation::(hybrid::compute::nodes)::(decision::depends:.on::developers::team::not::constraint::to::technology)</v>
      </c>
      <c r="G18" s="105"/>
      <c r="H18" s="105" t="str">
        <f>IFERROR(__xludf.DUMMYFUNCTION("""COMPUTED_VALUE"""),"external::references::(blueprint)")</f>
        <v>external::references::(blueprint)</v>
      </c>
      <c r="I18" s="105" t="str">
        <f>IFERROR(__xludf.DUMMYFUNCTION("""COMPUTED_VALUE"""),"forbiddenapis")</f>
        <v>forbiddenapis</v>
      </c>
      <c r="J18" s="105"/>
      <c r="K18" s="105" t="str">
        <f>IFERROR(__xludf.DUMMYFUNCTION("""COMPUTED_VALUE"""),"execution::automated::testenv::setup::(devstack)")</f>
        <v>execution::automated::testenv::setup::(devstack)</v>
      </c>
      <c r="L18" s="105"/>
      <c r="M18" s="105"/>
      <c r="N18" s="105" t="str">
        <f>IFERROR(__xludf.DUMMYFUNCTION("""COMPUTED_VALUE"""),"Partial (Children)")</f>
        <v>Partial (Children)</v>
      </c>
      <c r="O18" s="105"/>
      <c r="P18" s="105" t="str">
        <f>IFERROR(__xludf.DUMMYFUNCTION("""COMPUTED_VALUE"""),"agreeing::suggestion::refactoring::code::(different::approach::change::config::file)")</f>
        <v>agreeing::suggestion::refactoring::code::(different::approach::change::config::file)</v>
      </c>
      <c r="Q18" s="105"/>
      <c r="R18" s="105"/>
      <c r="S18" s="105"/>
      <c r="T18" s="105"/>
      <c r="U18" s="105"/>
      <c r="V18" s="105"/>
      <c r="W18" s="105"/>
      <c r="X18" s="105"/>
      <c r="Y18" s="105"/>
      <c r="Z18" s="105"/>
    </row>
    <row r="19">
      <c r="A19" s="105" t="str">
        <f>IFERROR(__xludf.DUMMYFUNCTION("""COMPUTED_VALUE"""),"asking::for::examples::when::bug::is::present")</f>
        <v>asking::for::examples::when::bug::is::present</v>
      </c>
      <c r="B19" s="105" t="str">
        <f>IFERROR(__xludf.DUMMYFUNCTION("""COMPUTED_VALUE"""),"Database-related issue, GUI-related issue")</f>
        <v>Database-related issue, GUI-related issue</v>
      </c>
      <c r="C19" s="105"/>
      <c r="D19" s="105" t="str">
        <f>IFERROR(__xludf.DUMMYFUNCTION("""COMPUTED_VALUE"""),"asking::for::clarification::(purpose::BP)")</f>
        <v>asking::for::clarification::(purpose::BP)</v>
      </c>
      <c r="E19" s="105" t="str">
        <f>IFERROR(__xludf.DUMMYFUNCTION("""COMPUTED_VALUE"""),"information::provided::by::documentation::project::on::how::to::handle::tests")</f>
        <v>information::provided::by::documentation::project::on::how::to::handle::tests</v>
      </c>
      <c r="F19" s="105" t="str">
        <f>IFERROR(__xludf.DUMMYFUNCTION("""COMPUTED_VALUE"""),"answering::about::selecting::between::design::options::of::implementation(hybrid::compute::nodes)::(implement::both)")</f>
        <v>answering::about::selecting::between::design::options::of::implementation(hybrid::compute::nodes)::(implement::both)</v>
      </c>
      <c r="G19" s="105"/>
      <c r="H19" s="105" t="str">
        <f>IFERROR(__xludf.DUMMYFUNCTION("""COMPUTED_VALUE"""),"external::references::(etherpad)")</f>
        <v>external::references::(etherpad)</v>
      </c>
      <c r="I19" s="105" t="str">
        <f>IFERROR(__xludf.DUMMYFUNCTION("""COMPUTED_VALUE"""),"genconfig")</f>
        <v>genconfig</v>
      </c>
      <c r="J19" s="105"/>
      <c r="K19" s="105" t="str">
        <f>IFERROR(__xludf.DUMMYFUNCTION("""COMPUTED_VALUE"""),"execution::automated::testenv::setup::(grenade)")</f>
        <v>execution::automated::testenv::setup::(grenade)</v>
      </c>
      <c r="L19" s="105"/>
      <c r="M19" s="105"/>
      <c r="N19" s="105" t="str">
        <f>IFERROR(__xludf.DUMMYFUNCTION("""COMPUTED_VALUE"""),"Partial (Parents)")</f>
        <v>Partial (Parents)</v>
      </c>
      <c r="O19" s="105"/>
      <c r="P19" s="105" t="str">
        <f>IFERROR(__xludf.DUMMYFUNCTION("""COMPUTED_VALUE"""),"agreeing::suggestion::style::change::(commit::message::clearness)")</f>
        <v>agreeing::suggestion::style::change::(commit::message::clearness)</v>
      </c>
      <c r="Q19" s="105"/>
      <c r="R19" s="105"/>
      <c r="S19" s="105"/>
      <c r="T19" s="105"/>
      <c r="U19" s="105"/>
      <c r="V19" s="105"/>
      <c r="W19" s="105"/>
      <c r="X19" s="105"/>
      <c r="Y19" s="105"/>
      <c r="Z19" s="105"/>
    </row>
    <row r="20">
      <c r="A20" s="105" t="str">
        <f>IFERROR(__xludf.DUMMYFUNCTION("""COMPUTED_VALUE"""),"asking::for::explanation::for::observed::behaviour")</f>
        <v>asking::for::explanation::for::observed::behaviour</v>
      </c>
      <c r="B20" s="105" t="str">
        <f>IFERROR(__xludf.DUMMYFUNCTION("""COMPUTED_VALUE"""),"Database-related issue, Network issue")</f>
        <v>Database-related issue, Network issue</v>
      </c>
      <c r="C20" s="105"/>
      <c r="D20" s="105" t="str">
        <f>IFERROR(__xludf.DUMMYFUNCTION("""COMPUTED_VALUE"""),"asking::for::clarification::about::current::implementation")</f>
        <v>asking::for::clarification::about::current::implementation</v>
      </c>
      <c r="E20" s="105" t="str">
        <f>IFERROR(__xludf.DUMMYFUNCTION("""COMPUTED_VALUE"""),"informing::frustration::(failing::tests)")</f>
        <v>informing::frustration::(failing::tests)</v>
      </c>
      <c r="F20" s="105" t="str">
        <f>IFERROR(__xludf.DUMMYFUNCTION("""COMPUTED_VALUE"""),"answering::advice::how::discussing::topic::online")</f>
        <v>answering::advice::how::discussing::topic::online</v>
      </c>
      <c r="G20" s="105"/>
      <c r="H20" s="105" t="str">
        <f>IFERROR(__xludf.DUMMYFUNCTION("""COMPUTED_VALUE"""),"external::references::(Mailing::list)")</f>
        <v>external::references::(Mailing::list)</v>
      </c>
      <c r="I20" s="105" t="str">
        <f>IFERROR(__xludf.DUMMYFUNCTION("""COMPUTED_VALUE"""),"gerrit")</f>
        <v>gerrit</v>
      </c>
      <c r="J20" s="105"/>
      <c r="K20" s="105" t="str">
        <f>IFERROR(__xludf.DUMMYFUNCTION("""COMPUTED_VALUE"""),"execution::automated::unit::and::integration::tests")</f>
        <v>execution::automated::unit::and::integration::tests</v>
      </c>
      <c r="L20" s="105"/>
      <c r="M20" s="105"/>
      <c r="N20" s="105" t="str">
        <f>IFERROR(__xludf.DUMMYFUNCTION("""COMPUTED_VALUE"""),"Partial (Parents), Covered (Children)")</f>
        <v>Partial (Parents), Covered (Children)</v>
      </c>
      <c r="O20" s="105"/>
      <c r="P20" s="105" t="str">
        <f>IFERROR(__xludf.DUMMYFUNCTION("""COMPUTED_VALUE"""),"agreeing::wait::for::submitting::until::new::features::use::the::change")</f>
        <v>agreeing::wait::for::submitting::until::new::features::use::the::change</v>
      </c>
      <c r="Q20" s="105"/>
      <c r="R20" s="105"/>
      <c r="S20" s="105"/>
      <c r="T20" s="105"/>
      <c r="U20" s="105"/>
      <c r="V20" s="105"/>
      <c r="W20" s="105"/>
      <c r="X20" s="105"/>
      <c r="Y20" s="105"/>
      <c r="Z20" s="105"/>
    </row>
    <row r="21">
      <c r="A21" s="105" t="str">
        <f>IFERROR(__xludf.DUMMYFUNCTION("""COMPUTED_VALUE"""),"asking::for::replicating::the::bug")</f>
        <v>asking::for::replicating::the::bug</v>
      </c>
      <c r="B21" s="105" t="str">
        <f>IFERROR(__xludf.DUMMYFUNCTION("""COMPUTED_VALUE"""),"Database-related issue, Performance issue")</f>
        <v>Database-related issue, Performance issue</v>
      </c>
      <c r="C21" s="105"/>
      <c r="D21" s="105" t="str">
        <f>IFERROR(__xludf.DUMMYFUNCTION("""COMPUTED_VALUE"""),"asking::for::clarification::current::implementtaion")</f>
        <v>asking::for::clarification::current::implementtaion</v>
      </c>
      <c r="E21" s="105" t="str">
        <f>IFERROR(__xludf.DUMMYFUNCTION("""COMPUTED_VALUE"""),"informing::progress")</f>
        <v>informing::progress</v>
      </c>
      <c r="F21" s="105" t="str">
        <f>IFERROR(__xludf.DUMMYFUNCTION("""COMPUTED_VALUE"""),"answering::asking::for::an::existing::Bug/BP::to:.work::on::(possible::BP)")</f>
        <v>answering::asking::for::an::existing::Bug/BP::to:.work::on::(possible::BP)</v>
      </c>
      <c r="G21" s="105"/>
      <c r="H21" s="105" t="str">
        <f>IFERROR(__xludf.DUMMYFUNCTION("""COMPUTED_VALUE"""),"external::references::(other::github::project)")</f>
        <v>external::references::(other::github::project)</v>
      </c>
      <c r="I21" s="105" t="str">
        <f>IFERROR(__xludf.DUMMYFUNCTION("""COMPUTED_VALUE"""),"git::review::(previous::to::pre::hooks)")</f>
        <v>git::review::(previous::to::pre::hooks)</v>
      </c>
      <c r="J21" s="105"/>
      <c r="K21" s="105" t="str">
        <f>IFERROR(__xludf.DUMMYFUNCTION("""COMPUTED_VALUE"""),"execution::automated::unit::and::integration::tests::(junit)")</f>
        <v>execution::automated::unit::and::integration::tests::(junit)</v>
      </c>
      <c r="L21" s="105"/>
      <c r="M21" s="105"/>
      <c r="N21" s="105" t="str">
        <f>IFERROR(__xludf.DUMMYFUNCTION("""COMPUTED_VALUE"""),"Partial (Parents), No (Children)")</f>
        <v>Partial (Parents), No (Children)</v>
      </c>
      <c r="O21" s="105"/>
      <c r="P21" s="105" t="str">
        <f>IFERROR(__xludf.DUMMYFUNCTION("""COMPUTED_VALUE"""),"agreement::objecting::suggestion::change::(logic)")</f>
        <v>agreement::objecting::suggestion::change::(logic)</v>
      </c>
      <c r="Q21" s="105"/>
      <c r="R21" s="105"/>
      <c r="S21" s="105"/>
      <c r="T21" s="105"/>
      <c r="U21" s="105"/>
      <c r="V21" s="105"/>
      <c r="W21" s="105"/>
      <c r="X21" s="105"/>
      <c r="Y21" s="105"/>
      <c r="Z21" s="105"/>
    </row>
    <row r="22">
      <c r="A22" s="105" t="str">
        <f>IFERROR(__xludf.DUMMYFUNCTION("""COMPUTED_VALUE"""),"asking::for::status::of::issue")</f>
        <v>asking::for::status::of::issue</v>
      </c>
      <c r="B22" s="105" t="str">
        <f>IFERROR(__xludf.DUMMYFUNCTION("""COMPUTED_VALUE"""),"Database-related issue, Permission/deprecation issue")</f>
        <v>Database-related issue, Permission/deprecation issue</v>
      </c>
      <c r="C22" s="105"/>
      <c r="D22" s="105" t="str">
        <f>IFERROR(__xludf.DUMMYFUNCTION("""COMPUTED_VALUE"""),"asking::for::clarification::documentation")</f>
        <v>asking::for::clarification::documentation</v>
      </c>
      <c r="E22" s="105" t="str">
        <f>IFERROR(__xludf.DUMMYFUNCTION("""COMPUTED_VALUE"""),"informing::will::add::new::issues")</f>
        <v>informing::will::add::new::issues</v>
      </c>
      <c r="F22" s="105" t="str">
        <f>IFERROR(__xludf.DUMMYFUNCTION("""COMPUTED_VALUE"""),"answering::asking::for::an::existing::Bug/BP::to:.work::on::(possible::bug)")</f>
        <v>answering::asking::for::an::existing::Bug/BP::to:.work::on::(possible::bug)</v>
      </c>
      <c r="G22" s="105"/>
      <c r="H22" s="105" t="str">
        <f>IFERROR(__xludf.DUMMYFUNCTION("""COMPUTED_VALUE"""),"external::references::(review)")</f>
        <v>external::references::(review)</v>
      </c>
      <c r="I22" s="105" t="str">
        <f>IFERROR(__xludf.DUMMYFUNCTION("""COMPUTED_VALUE"""),"google::findbugs")</f>
        <v>google::findbugs</v>
      </c>
      <c r="J22" s="105"/>
      <c r="K22" s="105" t="str">
        <f>IFERROR(__xludf.DUMMYFUNCTION("""COMPUTED_VALUE"""),"execution::automated::unit::and::integration::tests::(microsoft::vmware::ibm)")</f>
        <v>execution::automated::unit::and::integration::tests::(microsoft::vmware::ibm)</v>
      </c>
      <c r="L22" s="105"/>
      <c r="M22" s="105"/>
      <c r="N22" s="105" t="str">
        <f>IFERROR(__xludf.DUMMYFUNCTION("""COMPUTED_VALUE"""),"Partial (Parents), None (Children)")</f>
        <v>Partial (Parents), None (Children)</v>
      </c>
      <c r="O22" s="105"/>
      <c r="P22" s="105" t="str">
        <f>IFERROR(__xludf.DUMMYFUNCTION("""COMPUTED_VALUE"""),"agreement::objecting::suggestion::refactoring::(out::of::scope)")</f>
        <v>agreement::objecting::suggestion::refactoring::(out::of::scope)</v>
      </c>
      <c r="Q22" s="105"/>
      <c r="R22" s="105"/>
      <c r="S22" s="105"/>
      <c r="T22" s="105"/>
      <c r="U22" s="105"/>
      <c r="V22" s="105"/>
      <c r="W22" s="105"/>
      <c r="X22" s="105"/>
      <c r="Y22" s="105"/>
      <c r="Z22" s="105"/>
    </row>
    <row r="23">
      <c r="A23" s="105" t="str">
        <f>IFERROR(__xludf.DUMMYFUNCTION("""COMPUTED_VALUE"""),"asking::for::steps::to::replicate::the::bug")</f>
        <v>asking::for::steps::to::replicate::the::bug</v>
      </c>
      <c r="B23" s="105" t="str">
        <f>IFERROR(__xludf.DUMMYFUNCTION("""COMPUTED_VALUE"""),"Database-related issue, Program anomaly issue")</f>
        <v>Database-related issue, Program anomaly issue</v>
      </c>
      <c r="C23" s="105"/>
      <c r="D23" s="105" t="str">
        <f>IFERROR(__xludf.DUMMYFUNCTION("""COMPUTED_VALUE"""),"asking::for::clarification::documentation::(issue)")</f>
        <v>asking::for::clarification::documentation::(issue)</v>
      </c>
      <c r="E23" s="105" t="str">
        <f>IFERROR(__xludf.DUMMYFUNCTION("""COMPUTED_VALUE"""),"main::responsible::for::te::bug::not available")</f>
        <v>main::responsible::for::te::bug::not available</v>
      </c>
      <c r="F23" s="105" t="str">
        <f>IFERROR(__xludf.DUMMYFUNCTION("""COMPUTED_VALUE"""),"answering::asking::for::an::existing::Bug/BP::to:.work::on::(possible::specification)")</f>
        <v>answering::asking::for::an::existing::Bug/BP::to:.work::on::(possible::specification)</v>
      </c>
      <c r="G23" s="105"/>
      <c r="H23" s="105" t="str">
        <f>IFERROR(__xludf.DUMMYFUNCTION("""COMPUTED_VALUE"""),"external::references::(summit)")</f>
        <v>external::references::(summit)</v>
      </c>
      <c r="I23" s="105" t="str">
        <f>IFERROR(__xludf.DUMMYFUNCTION("""COMPUTED_VALUE"""),"gradle")</f>
        <v>gradle</v>
      </c>
      <c r="J23" s="105"/>
      <c r="K23" s="105" t="str">
        <f>IFERROR(__xludf.DUMMYFUNCTION("""COMPUTED_VALUE"""),"execution::automated::unit::and::integration::tests::(nova::tox::functional)")</f>
        <v>execution::automated::unit::and::integration::tests::(nova::tox::functional)</v>
      </c>
      <c r="L23" s="105"/>
      <c r="M23" s="105"/>
      <c r="N23" s="105" t="str">
        <f>IFERROR(__xludf.DUMMYFUNCTION("""COMPUTED_VALUE"""),"Partial (Parents), Partial (Children)")</f>
        <v>Partial (Parents), Partial (Children)</v>
      </c>
      <c r="O23" s="105"/>
      <c r="P23" s="105" t="str">
        <f>IFERROR(__xludf.DUMMYFUNCTION("""COMPUTED_VALUE"""),"agreement::objecting::suggestion::refactoring::(style)")</f>
        <v>agreement::objecting::suggestion::refactoring::(style)</v>
      </c>
      <c r="Q23" s="105"/>
      <c r="R23" s="105"/>
      <c r="S23" s="105"/>
      <c r="T23" s="105"/>
      <c r="U23" s="105"/>
      <c r="V23" s="105"/>
      <c r="W23" s="105"/>
      <c r="X23" s="105"/>
      <c r="Y23" s="105"/>
      <c r="Z23" s="105"/>
    </row>
    <row r="24">
      <c r="A24" s="105" t="str">
        <f>IFERROR(__xludf.DUMMYFUNCTION("""COMPUTED_VALUE"""),"asking::to::verify::bug::not::present::(specific::version)")</f>
        <v>asking::to::verify::bug::not::present::(specific::version)</v>
      </c>
      <c r="B24" s="105" t="str">
        <f>IFERROR(__xludf.DUMMYFUNCTION("""COMPUTED_VALUE"""),"Database-related issue, Security issue")</f>
        <v>Database-related issue, Security issue</v>
      </c>
      <c r="C24" s="105"/>
      <c r="D24" s="105" t="str">
        <f>IFERROR(__xludf.DUMMYFUNCTION("""COMPUTED_VALUE"""),"asking::for::clarification::documentation::(where)")</f>
        <v>asking::for::clarification::documentation::(where)</v>
      </c>
      <c r="E24" s="105" t="str">
        <f>IFERROR(__xludf.DUMMYFUNCTION("""COMPUTED_VALUE"""),"mentioning::a::released::patch::about::another::bugs")</f>
        <v>mentioning::a::released::patch::about::another::bugs</v>
      </c>
      <c r="F24" s="105" t="str">
        <f>IFERROR(__xludf.DUMMYFUNCTION("""COMPUTED_VALUE"""),"answering::asking::for::creation::(specification::new::API)")</f>
        <v>answering::asking::for::creation::(specification::new::API)</v>
      </c>
      <c r="G24" s="105"/>
      <c r="H24" s="105" t="str">
        <f>IFERROR(__xludf.DUMMYFUNCTION("""COMPUTED_VALUE"""),"external::references::(user::guides)")</f>
        <v>external::references::(user::guides)</v>
      </c>
      <c r="I24" s="105" t="str">
        <f>IFERROR(__xludf.DUMMYFUNCTION("""COMPUTED_VALUE"""),"gradle::wrapper")</f>
        <v>gradle::wrapper</v>
      </c>
      <c r="J24" s="105"/>
      <c r="K24" s="105" t="str">
        <f>IFERROR(__xludf.DUMMYFUNCTION("""COMPUTED_VALUE"""),"execution::automated::unit::and::integration::tests::(tempest)")</f>
        <v>execution::automated::unit::and::integration::tests::(tempest)</v>
      </c>
      <c r="L24" s="105"/>
      <c r="M24" s="105"/>
      <c r="N24" s="105"/>
      <c r="O24" s="105"/>
      <c r="P24" s="105" t="str">
        <f>IFERROR(__xludf.DUMMYFUNCTION("""COMPUTED_VALUE"""),"agreement::objecting::suggestion::refactoring::(unnecesary::code)")</f>
        <v>agreement::objecting::suggestion::refactoring::(unnecesary::code)</v>
      </c>
      <c r="Q24" s="105"/>
      <c r="R24" s="105"/>
      <c r="S24" s="105"/>
      <c r="T24" s="105"/>
      <c r="U24" s="105"/>
      <c r="V24" s="105"/>
      <c r="W24" s="105"/>
      <c r="X24" s="105"/>
      <c r="Y24" s="105"/>
      <c r="Z24" s="105"/>
    </row>
    <row r="25">
      <c r="A25" s="105" t="str">
        <f>IFERROR(__xludf.DUMMYFUNCTION("""COMPUTED_VALUE"""),"asking::version::of::elasticsearch:::in::which::the::bug::was::found")</f>
        <v>asking::version::of::elasticsearch:::in::which::the::bug::was::found</v>
      </c>
      <c r="B25" s="105" t="str">
        <f>IFERROR(__xludf.DUMMYFUNCTION("""COMPUTED_VALUE"""),"Database-related issue, Test code-related issue")</f>
        <v>Database-related issue, Test code-related issue</v>
      </c>
      <c r="C25" s="105"/>
      <c r="D25" s="105" t="str">
        <f>IFERROR(__xludf.DUMMYFUNCTION("""COMPUTED_VALUE"""),"asking::for::clarification::expected::behaviour")</f>
        <v>asking::for::clarification::expected::behaviour</v>
      </c>
      <c r="E25" s="105" t="str">
        <f>IFERROR(__xludf.DUMMYFUNCTION("""COMPUTED_VALUE"""),"mentioning::bugs::addressed")</f>
        <v>mentioning::bugs::addressed</v>
      </c>
      <c r="F25" s="105" t="str">
        <f>IFERROR(__xludf.DUMMYFUNCTION("""COMPUTED_VALUE"""),"answering::asking::for:.an::existing::Bug/BP::to:.work::on::(tag::related::on::bug::platform)")</f>
        <v>answering::asking::for:.an::existing::Bug/BP::to:.work::on::(tag::related::on::bug::platform)</v>
      </c>
      <c r="G25" s="105"/>
      <c r="H25" s="105" t="str">
        <f>IFERROR(__xludf.DUMMYFUNCTION("""COMPUTED_VALUE"""),"false::postive::(not::clear::relation::with::Introducing::issue)")</f>
        <v>false::postive::(not::clear::relation::with::Introducing::issue)</v>
      </c>
      <c r="I25" s="105" t="str">
        <f>IFERROR(__xludf.DUMMYFUNCTION("""COMPUTED_VALUE"""),"Grenade")</f>
        <v>Grenade</v>
      </c>
      <c r="J25" s="105"/>
      <c r="K25" s="105" t="str">
        <f>IFERROR(__xludf.DUMMYFUNCTION("""COMPUTED_VALUE"""),"execution::automated::unit::and::integration::tests::(testng)")</f>
        <v>execution::automated::unit::and::integration::tests::(testng)</v>
      </c>
      <c r="L25" s="105"/>
      <c r="M25" s="105"/>
      <c r="N25" s="105"/>
      <c r="O25" s="105"/>
      <c r="P25" s="105" t="str">
        <f>IFERROR(__xludf.DUMMYFUNCTION("""COMPUTED_VALUE"""),"agreement::split::patches")</f>
        <v>agreement::split::patches</v>
      </c>
      <c r="Q25" s="105"/>
      <c r="R25" s="105"/>
      <c r="S25" s="105"/>
      <c r="T25" s="105"/>
      <c r="U25" s="105"/>
      <c r="V25" s="105"/>
      <c r="W25" s="105"/>
      <c r="X25" s="105"/>
      <c r="Y25" s="105"/>
      <c r="Z25" s="105"/>
    </row>
    <row r="26">
      <c r="A26" s="105" t="str">
        <f>IFERROR(__xludf.DUMMYFUNCTION("""COMPUTED_VALUE"""),"asking::version::of::nova:::in::which::the::bug::was::found")</f>
        <v>asking::version::of::nova:::in::which::the::bug::was::found</v>
      </c>
      <c r="B26" s="105" t="str">
        <f>IFERROR(__xludf.DUMMYFUNCTION("""COMPUTED_VALUE"""),"GUI-related issue, Network issue")</f>
        <v>GUI-related issue, Network issue</v>
      </c>
      <c r="C26" s="105"/>
      <c r="D26" s="105" t="str">
        <f>IFERROR(__xludf.DUMMYFUNCTION("""COMPUTED_VALUE"""),"asking::for::clarification::intended::solution::design")</f>
        <v>asking::for::clarification::intended::solution::design</v>
      </c>
      <c r="E26" s="105" t="str">
        <f>IFERROR(__xludf.DUMMYFUNCTION("""COMPUTED_VALUE"""),"mentioning::bugs::fixed::(partially)")</f>
        <v>mentioning::bugs::fixed::(partially)</v>
      </c>
      <c r="F26" s="105" t="str">
        <f>IFERROR(__xludf.DUMMYFUNCTION("""COMPUTED_VALUE"""),"answering::clarifications::about::development::process::(testing)")</f>
        <v>answering::clarifications::about::development::process::(testing)</v>
      </c>
      <c r="G26" s="105"/>
      <c r="H26" s="105" t="str">
        <f>IFERROR(__xludf.DUMMYFUNCTION("""COMPUTED_VALUE"""),"feature::description")</f>
        <v>feature::description</v>
      </c>
      <c r="I26" s="105" t="str">
        <f>IFERROR(__xludf.DUMMYFUNCTION("""COMPUTED_VALUE"""),"Hacking::(Flake8)")</f>
        <v>Hacking::(Flake8)</v>
      </c>
      <c r="J26" s="105"/>
      <c r="K26" s="105" t="str">
        <f>IFERROR(__xludf.DUMMYFUNCTION("""COMPUTED_VALUE"""),"generation::of::source::code::documentation")</f>
        <v>generation::of::source::code::documentation</v>
      </c>
      <c r="L26" s="105"/>
      <c r="M26" s="105"/>
      <c r="N26" s="105"/>
      <c r="O26" s="105"/>
      <c r="P26" s="105" t="str">
        <f>IFERROR(__xludf.DUMMYFUNCTION("""COMPUTED_VALUE"""),"agreement::suggestion::change")</f>
        <v>agreement::suggestion::change</v>
      </c>
      <c r="Q26" s="105"/>
      <c r="R26" s="105"/>
      <c r="S26" s="105"/>
      <c r="T26" s="105"/>
      <c r="U26" s="105"/>
      <c r="V26" s="105"/>
      <c r="W26" s="105"/>
      <c r="X26" s="105"/>
      <c r="Y26" s="105"/>
      <c r="Z26" s="105"/>
    </row>
    <row r="27">
      <c r="A27" s="105" t="str">
        <f>IFERROR(__xludf.DUMMYFUNCTION("""COMPUTED_VALUE"""),"assesment::effort")</f>
        <v>assesment::effort</v>
      </c>
      <c r="B27" s="105" t="str">
        <f>IFERROR(__xludf.DUMMYFUNCTION("""COMPUTED_VALUE"""),"GUI-related issue, Performance issue")</f>
        <v>GUI-related issue, Performance issue</v>
      </c>
      <c r="C27" s="105"/>
      <c r="D27" s="105" t="str">
        <f>IFERROR(__xludf.DUMMYFUNCTION("""COMPUTED_VALUE"""),"asking::for::clarification::intended::solution::design::(backwards::compatebility)")</f>
        <v>asking::for::clarification::intended::solution::design::(backwards::compatebility)</v>
      </c>
      <c r="E27" s="105" t="str">
        <f>IFERROR(__xludf.DUMMYFUNCTION("""COMPUTED_VALUE"""),"mentioning::bugs::found")</f>
        <v>mentioning::bugs::found</v>
      </c>
      <c r="F27" s="105" t="str">
        <f>IFERROR(__xludf.DUMMYFUNCTION("""COMPUTED_VALUE"""),"answering::question::about::details::in::implementation")</f>
        <v>answering::question::about::details::in::implementation</v>
      </c>
      <c r="G27" s="105"/>
      <c r="H27" s="105" t="str">
        <f>IFERROR(__xludf.DUMMYFUNCTION("""COMPUTED_VALUE"""),"fix::merged::(link::review::commit)")</f>
        <v>fix::merged::(link::review::commit)</v>
      </c>
      <c r="I27" s="105" t="str">
        <f>IFERROR(__xludf.DUMMYFUNCTION("""COMPUTED_VALUE"""),"hamcrest")</f>
        <v>hamcrest</v>
      </c>
      <c r="J27" s="105"/>
      <c r="K27" s="105" t="str">
        <f>IFERROR(__xludf.DUMMYFUNCTION("""COMPUTED_VALUE"""),"measurement::and::reporting::of::code::coverage")</f>
        <v>measurement::and::reporting::of::code::coverage</v>
      </c>
      <c r="L27" s="105"/>
      <c r="M27" s="105"/>
      <c r="N27" s="105"/>
      <c r="O27" s="105"/>
      <c r="P27" s="105" t="str">
        <f>IFERROR(__xludf.DUMMYFUNCTION("""COMPUTED_VALUE"""),"agreement::suggestion::change::(add::functionallity)")</f>
        <v>agreement::suggestion::change::(add::functionallity)</v>
      </c>
      <c r="Q27" s="105"/>
      <c r="R27" s="105"/>
      <c r="S27" s="105"/>
      <c r="T27" s="105"/>
      <c r="U27" s="105"/>
      <c r="V27" s="105"/>
      <c r="W27" s="105"/>
      <c r="X27" s="105"/>
      <c r="Y27" s="105"/>
      <c r="Z27" s="105"/>
    </row>
    <row r="28">
      <c r="A28" s="105" t="str">
        <f>IFERROR(__xludf.DUMMYFUNCTION("""COMPUTED_VALUE"""),"assesment::effort::(non::trivial)")</f>
        <v>assesment::effort::(non::trivial)</v>
      </c>
      <c r="B28" s="105" t="str">
        <f>IFERROR(__xludf.DUMMYFUNCTION("""COMPUTED_VALUE"""),"GUI-related issue, Permission/deprecation issue")</f>
        <v>GUI-related issue, Permission/deprecation issue</v>
      </c>
      <c r="C28" s="105"/>
      <c r="D28" s="105" t="str">
        <f>IFERROR(__xludf.DUMMYFUNCTION("""COMPUTED_VALUE"""),"asking::for::clarification::missing::documentation")</f>
        <v>asking::for::clarification::missing::documentation</v>
      </c>
      <c r="E28" s="105" t="str">
        <f>IFERROR(__xludf.DUMMYFUNCTION("""COMPUTED_VALUE"""),"mentioning::technology::not::documented")</f>
        <v>mentioning::technology::not::documented</v>
      </c>
      <c r="F28" s="105" t="str">
        <f>IFERROR(__xludf.DUMMYFUNCTION("""COMPUTED_VALUE"""),"approval::FFE")</f>
        <v>approval::FFE</v>
      </c>
      <c r="G28" s="105"/>
      <c r="H28" s="105" t="str">
        <f>IFERROR(__xludf.DUMMYFUNCTION("""COMPUTED_VALUE"""),"fix::merged::(link::review::commit)::not::main::branch")</f>
        <v>fix::merged::(link::review::commit)::not::main::branch</v>
      </c>
      <c r="I28" s="105" t="str">
        <f>IFERROR(__xludf.DUMMYFUNCTION("""COMPUTED_VALUE"""),"Hyper")</f>
        <v>Hyper</v>
      </c>
      <c r="J28" s="105"/>
      <c r="K28" s="105" t="str">
        <f>IFERROR(__xludf.DUMMYFUNCTION("""COMPUTED_VALUE"""),"NA")</f>
        <v>NA</v>
      </c>
      <c r="L28" s="105"/>
      <c r="M28" s="105"/>
      <c r="N28" s="105"/>
      <c r="O28" s="105"/>
      <c r="P28" s="105" t="str">
        <f>IFERROR(__xludf.DUMMYFUNCTION("""COMPUTED_VALUE"""),"agreement::suggestion::change::(design)")</f>
        <v>agreement::suggestion::change::(design)</v>
      </c>
      <c r="Q28" s="105"/>
      <c r="R28" s="105"/>
      <c r="S28" s="105"/>
      <c r="T28" s="105"/>
      <c r="U28" s="105"/>
      <c r="V28" s="105"/>
      <c r="W28" s="105"/>
      <c r="X28" s="105"/>
      <c r="Y28" s="105"/>
      <c r="Z28" s="105"/>
    </row>
    <row r="29">
      <c r="A29" s="105" t="str">
        <f>IFERROR(__xludf.DUMMYFUNCTION("""COMPUTED_VALUE"""),"assignation::of::the::bug")</f>
        <v>assignation::of::the::bug</v>
      </c>
      <c r="B29" s="105" t="str">
        <f>IFERROR(__xludf.DUMMYFUNCTION("""COMPUTED_VALUE"""),"GUI-related issue, Program anomaly issue")</f>
        <v>GUI-related issue, Program anomaly issue</v>
      </c>
      <c r="C29" s="105"/>
      <c r="D29" s="105" t="str">
        <f>IFERROR(__xludf.DUMMYFUNCTION("""COMPUTED_VALUE"""),"asking::for::clarification::proposal::change::solution::design::(minor)1")</f>
        <v>asking::for::clarification::proposal::change::solution::design::(minor)1</v>
      </c>
      <c r="E29" s="105" t="str">
        <f>IFERROR(__xludf.DUMMYFUNCTION("""COMPUTED_VALUE"""),"minor::changes")</f>
        <v>minor::changes</v>
      </c>
      <c r="F29" s="105" t="str">
        <f>IFERROR(__xludf.DUMMYFUNCTION("""COMPUTED_VALUE"""),"approving::the::idea-of::working::in::the::creation::prroposed::BP/feature::to::adress::identified::bug")</f>
        <v>approving::the::idea-of::working::in::the::creation::prroposed::BP/feature::to::adress::identified::bug</v>
      </c>
      <c r="G29" s="105"/>
      <c r="H29" s="105" t="str">
        <f>IFERROR(__xludf.DUMMYFUNCTION("""COMPUTED_VALUE"""),"history::of::bp")</f>
        <v>history::of::bp</v>
      </c>
      <c r="I29" s="105" t="str">
        <f>IFERROR(__xludf.DUMMYFUNCTION("""COMPUTED_VALUE"""),"IBM::PowerKVM::CI")</f>
        <v>IBM::PowerKVM::CI</v>
      </c>
      <c r="J29" s="105"/>
      <c r="K29" s="105" t="str">
        <f>IFERROR(__xludf.DUMMYFUNCTION("""COMPUTED_VALUE"""),"testing::in::different::python::versions")</f>
        <v>testing::in::different::python::versions</v>
      </c>
      <c r="L29" s="105"/>
      <c r="M29" s="105"/>
      <c r="N29" s="105"/>
      <c r="O29" s="105"/>
      <c r="P29" s="105" t="str">
        <f>IFERROR(__xludf.DUMMYFUNCTION("""COMPUTED_VALUE"""),"agreement::suggestion::change::(logging)")</f>
        <v>agreement::suggestion::change::(logging)</v>
      </c>
      <c r="Q29" s="105"/>
      <c r="R29" s="105"/>
      <c r="S29" s="105"/>
      <c r="T29" s="105"/>
      <c r="U29" s="105"/>
      <c r="V29" s="105"/>
      <c r="W29" s="105"/>
      <c r="X29" s="105"/>
      <c r="Y29" s="105"/>
      <c r="Z29" s="105"/>
    </row>
    <row r="30">
      <c r="A30" s="105" t="str">
        <f>IFERROR(__xludf.DUMMYFUNCTION("""COMPUTED_VALUE"""),"bug::due::to::bad::testing")</f>
        <v>bug::due::to::bad::testing</v>
      </c>
      <c r="B30" s="105" t="str">
        <f>IFERROR(__xludf.DUMMYFUNCTION("""COMPUTED_VALUE"""),"GUI-related issue, Security issue")</f>
        <v>GUI-related issue, Security issue</v>
      </c>
      <c r="C30" s="105"/>
      <c r="D30" s="105" t="str">
        <f>IFERROR(__xludf.DUMMYFUNCTION("""COMPUTED_VALUE"""),"asking::for::clarification::proposal::change::solution::design::(minor)2")</f>
        <v>asking::for::clarification::proposal::change::solution::design::(minor)2</v>
      </c>
      <c r="E30" s="105" t="str">
        <f>IFERROR(__xludf.DUMMYFUNCTION("""COMPUTED_VALUE"""),"not::having::a::CI::for::testing::some::components::of::the::proposed::solution::of::the::bug")</f>
        <v>not::having::a::CI::for::testing::some::components::of::the::proposed::solution::of::the::bug</v>
      </c>
      <c r="F30" s="105" t="str">
        <f>IFERROR(__xludf.DUMMYFUNCTION("""COMPUTED_VALUE"""),"asking::about::one::design::choice::of::implementation::(hybrid::compute::nodes)")</f>
        <v>asking::about::one::design::choice::of::implementation::(hybrid::compute::nodes)</v>
      </c>
      <c r="G30" s="105"/>
      <c r="H30" s="105" t="str">
        <f>IFERROR(__xludf.DUMMYFUNCTION("""COMPUTED_VALUE"""),"impact::(documentation::-&gt;::none)")</f>
        <v>impact::(documentation::-&gt;::none)</v>
      </c>
      <c r="I30" s="105" t="str">
        <f>IFERROR(__xludf.DUMMYFUNCTION("""COMPUTED_VALUE"""),"Intel PCI CI")</f>
        <v>Intel PCI CI</v>
      </c>
      <c r="J30" s="105"/>
      <c r="K30" s="105" t="str">
        <f>IFERROR(__xludf.DUMMYFUNCTION("""COMPUTED_VALUE"""),"testing::in::different::VM::(types)::versions")</f>
        <v>testing::in::different::VM::(types)::versions</v>
      </c>
      <c r="L30" s="105"/>
      <c r="M30" s="105"/>
      <c r="N30" s="105"/>
      <c r="O30" s="105"/>
      <c r="P30" s="105" t="str">
        <f>IFERROR(__xludf.DUMMYFUNCTION("""COMPUTED_VALUE"""),"agreement::suggestion::change::(logic)")</f>
        <v>agreement::suggestion::change::(logic)</v>
      </c>
      <c r="Q30" s="105"/>
      <c r="R30" s="105"/>
      <c r="S30" s="105"/>
      <c r="T30" s="105"/>
      <c r="U30" s="105"/>
      <c r="V30" s="105"/>
      <c r="W30" s="105"/>
      <c r="X30" s="105"/>
      <c r="Y30" s="105"/>
      <c r="Z30" s="105"/>
    </row>
    <row r="31">
      <c r="A31" s="105" t="str">
        <f>IFERROR(__xludf.DUMMYFUNCTION("""COMPUTED_VALUE"""),"bug::in::unused::feature")</f>
        <v>bug::in::unused::feature</v>
      </c>
      <c r="B31" s="105" t="str">
        <f>IFERROR(__xludf.DUMMYFUNCTION("""COMPUTED_VALUE"""),"GUI-related issue, Test code-related issue")</f>
        <v>GUI-related issue, Test code-related issue</v>
      </c>
      <c r="C31" s="105"/>
      <c r="D31" s="105" t="str">
        <f>IFERROR(__xludf.DUMMYFUNCTION("""COMPUTED_VALUE"""),"asking::for::clarification::regarding::implementation::details")</f>
        <v>asking::for::clarification::regarding::implementation::details</v>
      </c>
      <c r="E31" s="105" t="str">
        <f>IFERROR(__xludf.DUMMYFUNCTION("""COMPUTED_VALUE"""),"not::knowing::how::to::fix::bug")</f>
        <v>not::knowing::how::to::fix::bug</v>
      </c>
      <c r="F31" s="105" t="str">
        <f>IFERROR(__xludf.DUMMYFUNCTION("""COMPUTED_VALUE"""),"asking::about::selecting::between::design::options::of::implementation(hybrid::compute::nodes)")</f>
        <v>asking::about::selecting::between::design::options::of::implementation(hybrid::compute::nodes)</v>
      </c>
      <c r="G31" s="105"/>
      <c r="H31" s="105" t="str">
        <f>IFERROR(__xludf.DUMMYFUNCTION("""COMPUTED_VALUE"""),"impact::(documentation)")</f>
        <v>impact::(documentation)</v>
      </c>
      <c r="I31" s="105" t="str">
        <f>IFERROR(__xludf.DUMMYFUNCTION("""COMPUTED_VALUE"""),"Intel::PCI::CI")</f>
        <v>Intel::PCI::CI</v>
      </c>
      <c r="J31" s="105"/>
      <c r="K31" s="105" t="str">
        <f>IFERROR(__xludf.DUMMYFUNCTION("""COMPUTED_VALUE"""),"usage::automated::dependency::resolution")</f>
        <v>usage::automated::dependency::resolution</v>
      </c>
      <c r="L31" s="105"/>
      <c r="M31" s="105"/>
      <c r="N31" s="105"/>
      <c r="O31" s="105"/>
      <c r="P31" s="105" t="str">
        <f>IFERROR(__xludf.DUMMYFUNCTION("""COMPUTED_VALUE"""),"agreement::suggestion::change::(types)")</f>
        <v>agreement::suggestion::change::(types)</v>
      </c>
      <c r="Q31" s="105"/>
      <c r="R31" s="105"/>
      <c r="S31" s="105"/>
      <c r="T31" s="105"/>
      <c r="U31" s="105"/>
      <c r="V31" s="105"/>
      <c r="W31" s="105"/>
      <c r="X31" s="105"/>
      <c r="Y31" s="105"/>
      <c r="Z31" s="105"/>
    </row>
    <row r="32">
      <c r="A32" s="105" t="str">
        <f>IFERROR(__xludf.DUMMYFUNCTION("""COMPUTED_VALUE"""),"bugs::related::affected::by::similar::errors")</f>
        <v>bugs::related::affected::by::similar::errors</v>
      </c>
      <c r="B32" s="105" t="str">
        <f>IFERROR(__xludf.DUMMYFUNCTION("""COMPUTED_VALUE"""),"Network issue, Performance issue")</f>
        <v>Network issue, Performance issue</v>
      </c>
      <c r="C32" s="105"/>
      <c r="D32" s="105" t="str">
        <f>IFERROR(__xludf.DUMMYFUNCTION("""COMPUTED_VALUE"""),"asking::for::clarification::regarding::previous::question")</f>
        <v>asking::for::clarification::regarding::previous::question</v>
      </c>
      <c r="E32" s="105" t="str">
        <f>IFERROR(__xludf.DUMMYFUNCTION("""COMPUTED_VALUE"""),"overcome::delay::on::resolve::the::bugs")</f>
        <v>overcome::delay::on::resolve::the::bugs</v>
      </c>
      <c r="F32" s="105" t="str">
        <f>IFERROR(__xludf.DUMMYFUNCTION("""COMPUTED_VALUE"""),"asking::advice::development::process::(meetings)")</f>
        <v>asking::advice::development::process::(meetings)</v>
      </c>
      <c r="G32" s="105"/>
      <c r="H32" s="105" t="str">
        <f>IFERROR(__xludf.DUMMYFUNCTION("""COMPUTED_VALUE"""),"impact::(on::API::-&gt;::none)")</f>
        <v>impact::(on::API::-&gt;::none)</v>
      </c>
      <c r="I32" s="105" t="str">
        <f>IFERROR(__xludf.DUMMYFUNCTION("""COMPUTED_VALUE"""),"intelij::ide")</f>
        <v>intelij::ide</v>
      </c>
      <c r="J32" s="105"/>
      <c r="K32" s="105" t="str">
        <f>IFERROR(__xludf.DUMMYFUNCTION("""COMPUTED_VALUE"""),"usage::automated::dependency::resolution::(gate::nova::requirements)")</f>
        <v>usage::automated::dependency::resolution::(gate::nova::requirements)</v>
      </c>
      <c r="L32" s="105"/>
      <c r="M32" s="105"/>
      <c r="N32" s="105"/>
      <c r="O32" s="105"/>
      <c r="P32" s="105" t="str">
        <f>IFERROR(__xludf.DUMMYFUNCTION("""COMPUTED_VALUE"""),"agreement::suggestion::content::change::(missing::info::commit::message)")</f>
        <v>agreement::suggestion::content::change::(missing::info::commit::message)</v>
      </c>
      <c r="Q32" s="105"/>
      <c r="R32" s="105"/>
      <c r="S32" s="105"/>
      <c r="T32" s="105"/>
      <c r="U32" s="105"/>
      <c r="V32" s="105"/>
      <c r="W32" s="105"/>
      <c r="X32" s="105"/>
      <c r="Y32" s="105"/>
      <c r="Z32" s="105"/>
    </row>
    <row r="33">
      <c r="A33" s="105" t="str">
        <f>IFERROR(__xludf.DUMMYFUNCTION("""COMPUTED_VALUE"""),"cannot::provide::requested::information::(examples)")</f>
        <v>cannot::provide::requested::information::(examples)</v>
      </c>
      <c r="B33" s="105" t="str">
        <f>IFERROR(__xludf.DUMMYFUNCTION("""COMPUTED_VALUE"""),"Network issue, Permission/deprecation issue")</f>
        <v>Network issue, Permission/deprecation issue</v>
      </c>
      <c r="C33" s="105"/>
      <c r="D33" s="105" t="str">
        <f>IFERROR(__xludf.DUMMYFUNCTION("""COMPUTED_VALUE"""),"asking::for::clarification::regarding::where::to::document")</f>
        <v>asking::for::clarification::regarding::where::to::document</v>
      </c>
      <c r="E33" s="105" t="str">
        <f>IFERROR(__xludf.DUMMYFUNCTION("""COMPUTED_VALUE"""),"person::responsible::unavailable::(temporarily)")</f>
        <v>person::responsible::unavailable::(temporarily)</v>
      </c>
      <c r="F33" s="105" t="str">
        <f>IFERROR(__xludf.DUMMYFUNCTION("""COMPUTED_VALUE"""),"asking::advice::development::process::(reviewers::permissions::timing)")</f>
        <v>asking::advice::development::process::(reviewers::permissions::timing)</v>
      </c>
      <c r="G33" s="105"/>
      <c r="H33" s="105" t="str">
        <f>IFERROR(__xludf.DUMMYFUNCTION("""COMPUTED_VALUE"""),"impact::(on::API)")</f>
        <v>impact::(on::API)</v>
      </c>
      <c r="I33" s="105" t="str">
        <f>IFERROR(__xludf.DUMMYFUNCTION("""COMPUTED_VALUE"""),"jacoco")</f>
        <v>jacoco</v>
      </c>
      <c r="J33" s="105"/>
      <c r="K33" s="105" t="str">
        <f>IFERROR(__xludf.DUMMYFUNCTION("""COMPUTED_VALUE"""),"usage::automated::dependency::resolution::(jarjar)")</f>
        <v>usage::automated::dependency::resolution::(jarjar)</v>
      </c>
      <c r="L33" s="105"/>
      <c r="M33" s="105"/>
      <c r="N33" s="105"/>
      <c r="O33" s="105"/>
      <c r="P33" s="105" t="str">
        <f>IFERROR(__xludf.DUMMYFUNCTION("""COMPUTED_VALUE"""),"agreement::suggestion::ignore::backwards::compatebility")</f>
        <v>agreement::suggestion::ignore::backwards::compatebility</v>
      </c>
      <c r="Q33" s="105"/>
      <c r="R33" s="105"/>
      <c r="S33" s="105"/>
      <c r="T33" s="105"/>
      <c r="U33" s="105"/>
      <c r="V33" s="105"/>
      <c r="W33" s="105"/>
      <c r="X33" s="105"/>
      <c r="Y33" s="105"/>
      <c r="Z33" s="105"/>
    </row>
    <row r="34">
      <c r="A34" s="105" t="str">
        <f>IFERROR(__xludf.DUMMYFUNCTION("""COMPUTED_VALUE"""),"change::abandoned::by::the::one::who::proposed::changes")</f>
        <v>change::abandoned::by::the::one::who::proposed::changes</v>
      </c>
      <c r="B34" s="105" t="str">
        <f>IFERROR(__xludf.DUMMYFUNCTION("""COMPUTED_VALUE"""),"Network issue, Program anomaly issue")</f>
        <v>Network issue, Program anomaly issue</v>
      </c>
      <c r="C34" s="105"/>
      <c r="D34" s="105" t="str">
        <f>IFERROR(__xludf.DUMMYFUNCTION("""COMPUTED_VALUE"""),"asking::for::clarification::solution::design")</f>
        <v>asking::for::clarification::solution::design</v>
      </c>
      <c r="E34" s="105" t="str">
        <f>IFERROR(__xludf.DUMMYFUNCTION("""COMPUTED_VALUE"""),"possible::path::for::a::solution")</f>
        <v>possible::path::for::a::solution</v>
      </c>
      <c r="F34" s="105" t="str">
        <f>IFERROR(__xludf.DUMMYFUNCTION("""COMPUTED_VALUE"""),"asking::advice::development::process::(split::changes::into::smaller::pieces)")</f>
        <v>asking::advice::development::process::(split::changes::into::smaller::pieces)</v>
      </c>
      <c r="G34" s="105"/>
      <c r="H34" s="105" t="str">
        <f>IFERROR(__xludf.DUMMYFUNCTION("""COMPUTED_VALUE"""),"impact::(on::data::model::-&gt;::none)")</f>
        <v>impact::(on::data::model::-&gt;::none)</v>
      </c>
      <c r="I34" s="105" t="str">
        <f>IFERROR(__xludf.DUMMYFUNCTION("""COMPUTED_VALUE"""),"jarjar")</f>
        <v>jarjar</v>
      </c>
      <c r="J34" s="105"/>
      <c r="K34" s="105" t="str">
        <f>IFERROR(__xludf.DUMMYFUNCTION("""COMPUTED_VALUE"""),"usage::automated::dependency::resolution::conflicts")</f>
        <v>usage::automated::dependency::resolution::conflicts</v>
      </c>
      <c r="L34" s="105"/>
      <c r="M34" s="105"/>
      <c r="N34" s="105"/>
      <c r="O34" s="105"/>
      <c r="P34" s="105" t="str">
        <f>IFERROR(__xludf.DUMMYFUNCTION("""COMPUTED_VALUE"""),"agreement::suggestion::refactoring::(clearer::code)")</f>
        <v>agreement::suggestion::refactoring::(clearer::code)</v>
      </c>
      <c r="Q34" s="105"/>
      <c r="R34" s="105"/>
      <c r="S34" s="105"/>
      <c r="T34" s="105"/>
      <c r="U34" s="105"/>
      <c r="V34" s="105"/>
      <c r="W34" s="105"/>
      <c r="X34" s="105"/>
      <c r="Y34" s="105"/>
      <c r="Z34" s="105"/>
    </row>
    <row r="35">
      <c r="A35" s="105" t="str">
        <f>IFERROR(__xludf.DUMMYFUNCTION("""COMPUTED_VALUE"""),"change::abandoned::by::the::responsible")</f>
        <v>change::abandoned::by::the::responsible</v>
      </c>
      <c r="B35" s="105" t="str">
        <f>IFERROR(__xludf.DUMMYFUNCTION("""COMPUTED_VALUE"""),"Network issue, Security issue")</f>
        <v>Network issue, Security issue</v>
      </c>
      <c r="C35" s="105"/>
      <c r="D35" s="105" t="str">
        <f>IFERROR(__xludf.DUMMYFUNCTION("""COMPUTED_VALUE"""),"asking::for::code::for::solution")</f>
        <v>asking::for::code::for::solution</v>
      </c>
      <c r="E35" s="105" t="str">
        <f>IFERROR(__xludf.DUMMYFUNCTION("""COMPUTED_VALUE"""),"problems::implementing::the::fix::due::to::tests::failures")</f>
        <v>problems::implementing::the::fix::due::to::tests::failures</v>
      </c>
      <c r="F35" s="105" t="str">
        <f>IFERROR(__xludf.DUMMYFUNCTION("""COMPUTED_VALUE"""),"asking::advice::development::process::(split::changes)::due::to::interaction::of::different::projects::(nova::neutron)::with::the::wanted::change")</f>
        <v>asking::advice::development::process::(split::changes)::due::to::interaction::of::different::projects::(nova::neutron)::with::the::wanted::change</v>
      </c>
      <c r="G35" s="105"/>
      <c r="H35" s="105" t="str">
        <f>IFERROR(__xludf.DUMMYFUNCTION("""COMPUTED_VALUE"""),"impact::(on::data::model)")</f>
        <v>impact::(on::data::model)</v>
      </c>
      <c r="I35" s="105" t="str">
        <f>IFERROR(__xludf.DUMMYFUNCTION("""COMPUTED_VALUE"""),"javadoc")</f>
        <v>javadoc</v>
      </c>
      <c r="J35" s="105"/>
      <c r="K35" s="105" t="str">
        <f>IFERROR(__xludf.DUMMYFUNCTION("""COMPUTED_VALUE"""),"usage::automated::dependency::resolution::conflicts::(shaded::dependencies)")</f>
        <v>usage::automated::dependency::resolution::conflicts::(shaded::dependencies)</v>
      </c>
      <c r="L35" s="105"/>
      <c r="M35" s="105"/>
      <c r="N35" s="105"/>
      <c r="O35" s="105"/>
      <c r="P35" s="105" t="str">
        <f>IFERROR(__xludf.DUMMYFUNCTION("""COMPUTED_VALUE"""),"agreement::suggestion::refactoring::(consistency)")</f>
        <v>agreement::suggestion::refactoring::(consistency)</v>
      </c>
      <c r="Q35" s="105"/>
      <c r="R35" s="105"/>
      <c r="S35" s="105"/>
      <c r="T35" s="105"/>
      <c r="U35" s="105"/>
      <c r="V35" s="105"/>
      <c r="W35" s="105"/>
      <c r="X35" s="105"/>
      <c r="Y35" s="105"/>
      <c r="Z35" s="105"/>
    </row>
    <row r="36">
      <c r="A36" s="105" t="str">
        <f>IFERROR(__xludf.DUMMYFUNCTION("""COMPUTED_VALUE"""),"change::abandoned::by::the::responsible::(review1)")</f>
        <v>change::abandoned::by::the::responsible::(review1)</v>
      </c>
      <c r="B36" s="105" t="str">
        <f>IFERROR(__xludf.DUMMYFUNCTION("""COMPUTED_VALUE"""),"Network issue, Test code-related issue")</f>
        <v>Network issue, Test code-related issue</v>
      </c>
      <c r="C36" s="105"/>
      <c r="D36" s="105" t="str">
        <f>IFERROR(__xludf.DUMMYFUNCTION("""COMPUTED_VALUE"""),"asking::for::details::(nova::version)")</f>
        <v>asking::for::details::(nova::version)</v>
      </c>
      <c r="E36" s="105" t="str">
        <f>IFERROR(__xludf.DUMMYFUNCTION("""COMPUTED_VALUE"""),"propossal::solution::for::missing::CI::tool")</f>
        <v>propossal::solution::for::missing::CI::tool</v>
      </c>
      <c r="F36" s="105" t="str">
        <f>IFERROR(__xludf.DUMMYFUNCTION("""COMPUTED_VALUE"""),"asking::advice::development::process::(tags::vs::branches::vs::different::project)")</f>
        <v>asking::advice::development::process::(tags::vs::branches::vs::different::project)</v>
      </c>
      <c r="G36" s="105"/>
      <c r="H36" s="105" t="str">
        <f>IFERROR(__xludf.DUMMYFUNCTION("""COMPUTED_VALUE"""),"impact::(on::developer::-&gt;::none)")</f>
        <v>impact::(on::developer::-&gt;::none)</v>
      </c>
      <c r="I36" s="105" t="str">
        <f>IFERROR(__xludf.DUMMYFUNCTION("""COMPUTED_VALUE"""),"Jenkins")</f>
        <v>Jenkins</v>
      </c>
      <c r="J36" s="105"/>
      <c r="K36" s="105" t="str">
        <f>IFERROR(__xludf.DUMMYFUNCTION("""COMPUTED_VALUE"""),"usage::automated::project::build")</f>
        <v>usage::automated::project::build</v>
      </c>
      <c r="L36" s="105"/>
      <c r="M36" s="105"/>
      <c r="N36" s="105"/>
      <c r="O36" s="105"/>
      <c r="P36" s="105" t="str">
        <f>IFERROR(__xludf.DUMMYFUNCTION("""COMPUTED_VALUE"""),"anticipating::merge::soon")</f>
        <v>anticipating::merge::soon</v>
      </c>
      <c r="Q36" s="105"/>
      <c r="R36" s="105"/>
      <c r="S36" s="105"/>
      <c r="T36" s="105"/>
      <c r="U36" s="105"/>
      <c r="V36" s="105"/>
      <c r="W36" s="105"/>
      <c r="X36" s="105"/>
      <c r="Y36" s="105"/>
      <c r="Z36" s="105"/>
    </row>
    <row r="37">
      <c r="A37" s="105" t="str">
        <f>IFERROR(__xludf.DUMMYFUNCTION("""COMPUTED_VALUE"""),"change::abandoned::by::the::responsible::(review1)::not::main::branch")</f>
        <v>change::abandoned::by::the::responsible::(review1)::not::main::branch</v>
      </c>
      <c r="B37" s="105" t="str">
        <f>IFERROR(__xludf.DUMMYFUNCTION("""COMPUTED_VALUE"""),"Performance issue, Permission/deprecation issue")</f>
        <v>Performance issue, Permission/deprecation issue</v>
      </c>
      <c r="C37" s="105"/>
      <c r="D37" s="105" t="str">
        <f>IFERROR(__xludf.DUMMYFUNCTION("""COMPUTED_VALUE"""),"asking::for::details::(query::used)")</f>
        <v>asking::for::details::(query::used)</v>
      </c>
      <c r="E37" s="105" t="str">
        <f>IFERROR(__xludf.DUMMYFUNCTION("""COMPUTED_VALUE"""),"refers::to::file")</f>
        <v>refers::to::file</v>
      </c>
      <c r="F37" s="105" t="str">
        <f>IFERROR(__xludf.DUMMYFUNCTION("""COMPUTED_VALUE"""),"asking::advice::development::process::(tests::process)")</f>
        <v>asking::advice::development::process::(tests::process)</v>
      </c>
      <c r="G37" s="105"/>
      <c r="H37" s="105" t="str">
        <f>IFERROR(__xludf.DUMMYFUNCTION("""COMPUTED_VALUE"""),"impact::(on::developer)")</f>
        <v>impact::(on::developer)</v>
      </c>
      <c r="I37" s="105" t="str">
        <f>IFERROR(__xludf.DUMMYFUNCTION("""COMPUTED_VALUE"""),"jmeter")</f>
        <v>jmeter</v>
      </c>
      <c r="J37" s="105"/>
      <c r="K37" s="105" t="str">
        <f>IFERROR(__xludf.DUMMYFUNCTION("""COMPUTED_VALUE"""),"usage::automated::project::build::(gradle)")</f>
        <v>usage::automated::project::build::(gradle)</v>
      </c>
      <c r="L37" s="105"/>
      <c r="M37" s="105"/>
      <c r="N37" s="105"/>
      <c r="O37" s="105"/>
      <c r="P37" s="105" t="str">
        <f>IFERROR(__xludf.DUMMYFUNCTION("""COMPUTED_VALUE"""),"API::impact::mentioned")</f>
        <v>API::impact::mentioned</v>
      </c>
      <c r="Q37" s="105"/>
      <c r="R37" s="105"/>
      <c r="S37" s="105"/>
      <c r="T37" s="105"/>
      <c r="U37" s="105"/>
      <c r="V37" s="105"/>
      <c r="W37" s="105"/>
      <c r="X37" s="105"/>
      <c r="Y37" s="105"/>
      <c r="Z37" s="105"/>
    </row>
    <row r="38">
      <c r="A38" s="105" t="str">
        <f>IFERROR(__xludf.DUMMYFUNCTION("""COMPUTED_VALUE"""),"change::abandoned::by::the::responsible::(review2)")</f>
        <v>change::abandoned::by::the::responsible::(review2)</v>
      </c>
      <c r="B38" s="105" t="str">
        <f>IFERROR(__xludf.DUMMYFUNCTION("""COMPUTED_VALUE"""),"Performance issue, Program anomaly issue")</f>
        <v>Performance issue, Program anomaly issue</v>
      </c>
      <c r="C38" s="105"/>
      <c r="D38" s="105" t="str">
        <f>IFERROR(__xludf.DUMMYFUNCTION("""COMPUTED_VALUE"""),"asking::for::documentation")</f>
        <v>asking::for::documentation</v>
      </c>
      <c r="E38" s="105" t="str">
        <f>IFERROR(__xludf.DUMMYFUNCTION("""COMPUTED_VALUE"""),"refers::to::issue::(bug)")</f>
        <v>refers::to::issue::(bug)</v>
      </c>
      <c r="F38" s="105" t="str">
        <f>IFERROR(__xludf.DUMMYFUNCTION("""COMPUTED_VALUE"""),"asking::advice::development::process::(tests)")</f>
        <v>asking::advice::development::process::(tests)</v>
      </c>
      <c r="G38" s="105"/>
      <c r="H38" s="105" t="str">
        <f>IFERROR(__xludf.DUMMYFUNCTION("""COMPUTED_VALUE"""),"impact::(on::notifications::-&gt;::none)")</f>
        <v>impact::(on::notifications::-&gt;::none)</v>
      </c>
      <c r="I38" s="105" t="str">
        <f>IFERROR(__xludf.DUMMYFUNCTION("""COMPUTED_VALUE"""),"junit")</f>
        <v>junit</v>
      </c>
      <c r="J38" s="105"/>
      <c r="K38" s="105" t="str">
        <f>IFERROR(__xludf.DUMMYFUNCTION("""COMPUTED_VALUE"""),"usage::automated::project::build::(maven)")</f>
        <v>usage::automated::project::build::(maven)</v>
      </c>
      <c r="L38" s="105"/>
      <c r="M38" s="105"/>
      <c r="N38" s="105"/>
      <c r="O38" s="105"/>
      <c r="P38" s="105" t="str">
        <f>IFERROR(__xludf.DUMMYFUNCTION("""COMPUTED_VALUE"""),"approval::for::submitting::granted")</f>
        <v>approval::for::submitting::granted</v>
      </c>
      <c r="Q38" s="105"/>
      <c r="R38" s="105"/>
      <c r="S38" s="105"/>
      <c r="T38" s="105"/>
      <c r="U38" s="105"/>
      <c r="V38" s="105"/>
      <c r="W38" s="105"/>
      <c r="X38" s="105"/>
      <c r="Y38" s="105"/>
      <c r="Z38" s="105"/>
    </row>
    <row r="39">
      <c r="A39" s="105" t="str">
        <f>IFERROR(__xludf.DUMMYFUNCTION("""COMPUTED_VALUE"""),"change::abandoned::by::the::responsible::(review3)")</f>
        <v>change::abandoned::by::the::responsible::(review3)</v>
      </c>
      <c r="B39" s="105" t="str">
        <f>IFERROR(__xludf.DUMMYFUNCTION("""COMPUTED_VALUE"""),"Performance issue, Security issue")</f>
        <v>Performance issue, Security issue</v>
      </c>
      <c r="C39" s="105"/>
      <c r="D39" s="105" t="str">
        <f>IFERROR(__xludf.DUMMYFUNCTION("""COMPUTED_VALUE"""),"asking::for::example::for::intended::usage1")</f>
        <v>asking::for::example::for::intended::usage1</v>
      </c>
      <c r="E39" s="105" t="str">
        <f>IFERROR(__xludf.DUMMYFUNCTION("""COMPUTED_VALUE"""),"refers::to::mailinglist")</f>
        <v>refers::to::mailinglist</v>
      </c>
      <c r="F39" s="105" t="str">
        <f>IFERROR(__xludf.DUMMYFUNCTION("""COMPUTED_VALUE"""),"asking::advice::how::discussing::topic::online")</f>
        <v>asking::advice::how::discussing::topic::online</v>
      </c>
      <c r="G39" s="105"/>
      <c r="H39" s="105" t="str">
        <f>IFERROR(__xludf.DUMMYFUNCTION("""COMPUTED_VALUE"""),"impact::(on::notifications)")</f>
        <v>impact::(on::notifications)</v>
      </c>
      <c r="I39" s="105" t="str">
        <f>IFERROR(__xludf.DUMMYFUNCTION("""COMPUTED_VALUE"""),"log4j")</f>
        <v>log4j</v>
      </c>
      <c r="J39" s="105"/>
      <c r="K39" s="105" t="str">
        <f>IFERROR(__xludf.DUMMYFUNCTION("""COMPUTED_VALUE"""),"usage::CI")</f>
        <v>usage::CI</v>
      </c>
      <c r="L39" s="105"/>
      <c r="M39" s="105"/>
      <c r="N39" s="105"/>
      <c r="O39" s="105"/>
      <c r="P39" s="105" t="str">
        <f>IFERROR(__xludf.DUMMYFUNCTION("""COMPUTED_VALUE"""),"approval::for::submitting::granted::(core::reviewer)")</f>
        <v>approval::for::submitting::granted::(core::reviewer)</v>
      </c>
      <c r="Q39" s="105"/>
      <c r="R39" s="105"/>
      <c r="S39" s="105"/>
      <c r="T39" s="105"/>
      <c r="U39" s="105"/>
      <c r="V39" s="105"/>
      <c r="W39" s="105"/>
      <c r="X39" s="105"/>
      <c r="Y39" s="105"/>
      <c r="Z39" s="105"/>
    </row>
    <row r="40">
      <c r="A40" s="105" t="str">
        <f>IFERROR(__xludf.DUMMYFUNCTION("""COMPUTED_VALUE"""),"change::abandoned::by::the::responsible::(review5)::not::main::branch")</f>
        <v>change::abandoned::by::the::responsible::(review5)::not::main::branch</v>
      </c>
      <c r="B40" s="105" t="str">
        <f>IFERROR(__xludf.DUMMYFUNCTION("""COMPUTED_VALUE"""),"Performance issue, Test code-related issue")</f>
        <v>Performance issue, Test code-related issue</v>
      </c>
      <c r="C40" s="105"/>
      <c r="D40" s="105" t="str">
        <f>IFERROR(__xludf.DUMMYFUNCTION("""COMPUTED_VALUE"""),"asking::for::example::for::intended::usage2")</f>
        <v>asking::for::example::for::intended::usage2</v>
      </c>
      <c r="E40" s="105" t="str">
        <f>IFERROR(__xludf.DUMMYFUNCTION("""COMPUTED_VALUE"""),"refers::to::review")</f>
        <v>refers::to::review</v>
      </c>
      <c r="F40" s="105" t="str">
        <f>IFERROR(__xludf.DUMMYFUNCTION("""COMPUTED_VALUE"""),"asking::advice::issue::encountered")</f>
        <v>asking::advice::issue::encountered</v>
      </c>
      <c r="G40" s="105"/>
      <c r="H40" s="105" t="str">
        <f>IFERROR(__xludf.DUMMYFUNCTION("""COMPUTED_VALUE"""),"impact::(on::other::end::users::-&gt;::none)")</f>
        <v>impact::(on::other::end::users::-&gt;::none)</v>
      </c>
      <c r="I40" s="105" t="str">
        <f>IFERROR(__xludf.DUMMYFUNCTION("""COMPUTED_VALUE"""),"mailamp")</f>
        <v>mailamp</v>
      </c>
      <c r="J40" s="105"/>
      <c r="K40" s="105" t="str">
        <f>IFERROR(__xludf.DUMMYFUNCTION("""COMPUTED_VALUE"""),"usage::of::bug::finding::static::analysis::tools")</f>
        <v>usage::of::bug::finding::static::analysis::tools</v>
      </c>
      <c r="L40" s="105"/>
      <c r="M40" s="105"/>
      <c r="N40" s="105"/>
      <c r="O40" s="105"/>
      <c r="P40" s="105" t="str">
        <f>IFERROR(__xludf.DUMMYFUNCTION("""COMPUTED_VALUE"""),"approval::for::submitting::granted::(final::workflow::vote)")</f>
        <v>approval::for::submitting::granted::(final::workflow::vote)</v>
      </c>
      <c r="Q40" s="105"/>
      <c r="R40" s="105"/>
      <c r="S40" s="105"/>
      <c r="T40" s="105"/>
      <c r="U40" s="105"/>
      <c r="V40" s="105"/>
      <c r="W40" s="105"/>
      <c r="X40" s="105"/>
      <c r="Y40" s="105"/>
      <c r="Z40" s="105"/>
    </row>
    <row r="41">
      <c r="A41" s="105" t="str">
        <f>IFERROR(__xludf.DUMMYFUNCTION("""COMPUTED_VALUE"""),"change::abandoned::by::the::responsible::not::main::branch")</f>
        <v>change::abandoned::by::the::responsible::not::main::branch</v>
      </c>
      <c r="B41" s="105" t="str">
        <f>IFERROR(__xludf.DUMMYFUNCTION("""COMPUTED_VALUE"""),"Permission/deprecation issue, Program anomaly issue")</f>
        <v>Permission/deprecation issue, Program anomaly issue</v>
      </c>
      <c r="C41" s="105"/>
      <c r="D41" s="105" t="str">
        <f>IFERROR(__xludf.DUMMYFUNCTION("""COMPUTED_VALUE"""),"asking::for::example::for::intended::usage3")</f>
        <v>asking::for::example::for::intended::usage3</v>
      </c>
      <c r="E41" s="105" t="str">
        <f>IFERROR(__xludf.DUMMYFUNCTION("""COMPUTED_VALUE"""),"result::output::tests::for::the::modified::files")</f>
        <v>result::output::tests::for::the::modified::files</v>
      </c>
      <c r="F41" s="105" t="str">
        <f>IFERROR(__xludf.DUMMYFUNCTION("""COMPUTED_VALUE"""),"asking::approval::bp")</f>
        <v>asking::approval::bp</v>
      </c>
      <c r="G41" s="105"/>
      <c r="H41" s="105" t="str">
        <f>IFERROR(__xludf.DUMMYFUNCTION("""COMPUTED_VALUE"""),"impact::(on::other::end::users)")</f>
        <v>impact::(on::other::end::users)</v>
      </c>
      <c r="I41" s="105" t="str">
        <f>IFERROR(__xludf.DUMMYFUNCTION("""COMPUTED_VALUE"""),"maven")</f>
        <v>maven</v>
      </c>
      <c r="J41" s="105"/>
      <c r="K41" s="105" t="str">
        <f>IFERROR(__xludf.DUMMYFUNCTION("""COMPUTED_VALUE"""),"usage::of::building:.and::distribution::tools")</f>
        <v>usage::of::building:.and::distribution::tools</v>
      </c>
      <c r="L41" s="105"/>
      <c r="M41" s="105"/>
      <c r="N41" s="105"/>
      <c r="O41" s="105"/>
      <c r="P41" s="105" t="str">
        <f>IFERROR(__xludf.DUMMYFUNCTION("""COMPUTED_VALUE"""),"approval::for::submitting::granted::(final::workflow::vote)::(core::reviewer)")</f>
        <v>approval::for::submitting::granted::(final::workflow::vote)::(core::reviewer)</v>
      </c>
      <c r="Q41" s="105"/>
      <c r="R41" s="105"/>
      <c r="S41" s="105"/>
      <c r="T41" s="105"/>
      <c r="U41" s="105"/>
      <c r="V41" s="105"/>
      <c r="W41" s="105"/>
      <c r="X41" s="105"/>
      <c r="Y41" s="105"/>
      <c r="Z41" s="105"/>
    </row>
    <row r="42">
      <c r="A42" s="105" t="str">
        <f>IFERROR(__xludf.DUMMYFUNCTION("""COMPUTED_VALUE"""),"change::abandoned::by::the::unknown::not:.main::branch")</f>
        <v>change::abandoned::by::the::unknown::not:.main::branch</v>
      </c>
      <c r="B42" s="105" t="str">
        <f>IFERROR(__xludf.DUMMYFUNCTION("""COMPUTED_VALUE"""),"Permission/deprecation issue, Security issue")</f>
        <v>Permission/deprecation issue, Security issue</v>
      </c>
      <c r="C42" s="105"/>
      <c r="D42" s="105" t="str">
        <f>IFERROR(__xludf.DUMMYFUNCTION("""COMPUTED_VALUE"""),"asking::for::example::for::intended::usage4")</f>
        <v>asking::for::example::for::intended::usage4</v>
      </c>
      <c r="E42" s="105" t="str">
        <f>IFERROR(__xludf.DUMMYFUNCTION("""COMPUTED_VALUE"""),"status::of::cycle::of::development::for::the::bug")</f>
        <v>status::of::cycle::of::development::for::the::bug</v>
      </c>
      <c r="F42" s="105" t="str">
        <f>IFERROR(__xludf.DUMMYFUNCTION("""COMPUTED_VALUE"""),"asking::clarification::about::conditions::to::change::status::of::project::(removing:.label::experimental)::which::holds::the::BP")</f>
        <v>asking::clarification::about::conditions::to::change::status::of::project::(removing:.label::experimental)::which::holds::the::BP</v>
      </c>
      <c r="G42" s="105"/>
      <c r="H42" s="105" t="str">
        <f>IFERROR(__xludf.DUMMYFUNCTION("""COMPUTED_VALUE"""),"impact::(on::performance::-&gt;::none)")</f>
        <v>impact::(on::performance::-&gt;::none)</v>
      </c>
      <c r="I42" s="105" t="str">
        <f>IFERROR(__xludf.DUMMYFUNCTION("""COMPUTED_VALUE"""),"maven-checkstyle-plugin")</f>
        <v>maven-checkstyle-plugin</v>
      </c>
      <c r="J42" s="105"/>
      <c r="K42" s="105" t="str">
        <f>IFERROR(__xludf.DUMMYFUNCTION("""COMPUTED_VALUE"""),"usage::of::building:.and::distribution::tools::specific::OS")</f>
        <v>usage::of::building:.and::distribution::tools::specific::OS</v>
      </c>
      <c r="L42" s="105"/>
      <c r="M42" s="105"/>
      <c r="N42" s="105"/>
      <c r="O42" s="105"/>
      <c r="P42" s="105" t="str">
        <f>IFERROR(__xludf.DUMMYFUNCTION("""COMPUTED_VALUE"""),"approval::for::submitting::granted::(final)")</f>
        <v>approval::for::submitting::granted::(final)</v>
      </c>
      <c r="Q42" s="105"/>
      <c r="R42" s="105"/>
      <c r="S42" s="105"/>
      <c r="T42" s="105"/>
      <c r="U42" s="105"/>
      <c r="V42" s="105"/>
      <c r="W42" s="105"/>
      <c r="X42" s="105"/>
      <c r="Y42" s="105"/>
      <c r="Z42" s="105"/>
    </row>
    <row r="43">
      <c r="A43" s="105" t="str">
        <f>IFERROR(__xludf.DUMMYFUNCTION("""COMPUTED_VALUE"""),"change::abandoned::with::reason::(branch::end::of::life)")</f>
        <v>change::abandoned::with::reason::(branch::end::of::life)</v>
      </c>
      <c r="B43" s="105" t="str">
        <f>IFERROR(__xludf.DUMMYFUNCTION("""COMPUTED_VALUE"""),"Permission/deprecation issue, Test code-related issue")</f>
        <v>Permission/deprecation issue, Test code-related issue</v>
      </c>
      <c r="C43" s="105"/>
      <c r="D43" s="105" t="str">
        <f>IFERROR(__xludf.DUMMYFUNCTION("""COMPUTED_VALUE"""),"asking::for::feature::freeze::exception::(FFE)")</f>
        <v>asking::for::feature::freeze::exception::(FFE)</v>
      </c>
      <c r="E43" s="105" t="str">
        <f>IFERROR(__xludf.DUMMYFUNCTION("""COMPUTED_VALUE"""),"support::matrix::of::Features::and::software")</f>
        <v>support::matrix::of::Features::and::software</v>
      </c>
      <c r="F43" s="105" t="str">
        <f>IFERROR(__xludf.DUMMYFUNCTION("""COMPUTED_VALUE"""),"asking::clarification::about::cons::design::choice::(hybrid::compute::nodes)")</f>
        <v>asking::clarification::about::cons::design::choice::(hybrid::compute::nodes)</v>
      </c>
      <c r="G43" s="105"/>
      <c r="H43" s="105" t="str">
        <f>IFERROR(__xludf.DUMMYFUNCTION("""COMPUTED_VALUE"""),"impact::(on::performance)")</f>
        <v>impact::(on::performance)</v>
      </c>
      <c r="I43" s="105" t="str">
        <f>IFERROR(__xludf.DUMMYFUNCTION("""COMPUTED_VALUE"""),"maven-jxr-plugin")</f>
        <v>maven-jxr-plugin</v>
      </c>
      <c r="J43" s="105"/>
      <c r="K43" s="105" t="str">
        <f>IFERROR(__xludf.DUMMYFUNCTION("""COMPUTED_VALUE"""),"usage::of::config::file::(d2to1/pbr)::instead::of::write::config::in::code")</f>
        <v>usage::of::config::file::(d2to1/pbr)::instead::of::write::config::in::code</v>
      </c>
      <c r="L43" s="105"/>
      <c r="M43" s="105"/>
      <c r="N43" s="105"/>
      <c r="O43" s="105"/>
      <c r="P43" s="105" t="str">
        <f>IFERROR(__xludf.DUMMYFUNCTION("""COMPUTED_VALUE"""),"approval::for::submitting::granted::(final)::(core::reviewer)")</f>
        <v>approval::for::submitting::granted::(final)::(core::reviewer)</v>
      </c>
      <c r="Q43" s="105"/>
      <c r="R43" s="105"/>
      <c r="S43" s="105"/>
      <c r="T43" s="105"/>
      <c r="U43" s="105"/>
      <c r="V43" s="105"/>
      <c r="W43" s="105"/>
      <c r="X43" s="105"/>
      <c r="Y43" s="105"/>
      <c r="Z43" s="105"/>
    </row>
    <row r="44">
      <c r="A44" s="105" t="str">
        <f>IFERROR(__xludf.DUMMYFUNCTION("""COMPUTED_VALUE"""),"change::request")</f>
        <v>change::request</v>
      </c>
      <c r="B44" s="105" t="str">
        <f>IFERROR(__xludf.DUMMYFUNCTION("""COMPUTED_VALUE"""),"Program anomaly issue, Test code-related issue")</f>
        <v>Program anomaly issue, Test code-related issue</v>
      </c>
      <c r="C44" s="105"/>
      <c r="D44" s="105" t="str">
        <f>IFERROR(__xludf.DUMMYFUNCTION("""COMPUTED_VALUE"""),"asking::for::milestone::selection")</f>
        <v>asking::for::milestone::selection</v>
      </c>
      <c r="E44" s="105" t="str">
        <f>IFERROR(__xludf.DUMMYFUNCTION("""COMPUTED_VALUE"""),"what::to::do::if::something::is::not::tested")</f>
        <v>what::to::do::if::something::is::not::tested</v>
      </c>
      <c r="F44" s="105" t="str">
        <f>IFERROR(__xludf.DUMMYFUNCTION("""COMPUTED_VALUE"""),"asking::clarification::about::functionallity::(current::code)")</f>
        <v>asking::clarification::about::functionallity::(current::code)</v>
      </c>
      <c r="G44" s="105"/>
      <c r="H44" s="105" t="str">
        <f>IFERROR(__xludf.DUMMYFUNCTION("""COMPUTED_VALUE"""),"impact::(other::deployer::impact::-&gt;::none)")</f>
        <v>impact::(other::deployer::impact::-&gt;::none)</v>
      </c>
      <c r="I44" s="105" t="str">
        <f>IFERROR(__xludf.DUMMYFUNCTION("""COMPUTED_VALUE"""),"maven-pmd-plugin")</f>
        <v>maven-pmd-plugin</v>
      </c>
      <c r="J44" s="105"/>
      <c r="K44" s="105" t="str">
        <f>IFERROR(__xludf.DUMMYFUNCTION("""COMPUTED_VALUE"""),"usage::of::config::file::(PBR)::instead::of::write::config::in::code")</f>
        <v>usage::of::config::file::(PBR)::instead::of::write::config::in::code</v>
      </c>
      <c r="L44" s="105"/>
      <c r="M44" s="105"/>
      <c r="N44" s="105"/>
      <c r="O44" s="105"/>
      <c r="P44" s="105" t="str">
        <f>IFERROR(__xludf.DUMMYFUNCTION("""COMPUTED_VALUE"""),"approval::for::submitting::granted::(final)::(vote1)")</f>
        <v>approval::for::submitting::granted::(final)::(vote1)</v>
      </c>
      <c r="Q44" s="105"/>
      <c r="R44" s="105"/>
      <c r="S44" s="105"/>
      <c r="T44" s="105"/>
      <c r="U44" s="105"/>
      <c r="V44" s="105"/>
      <c r="W44" s="105"/>
      <c r="X44" s="105"/>
      <c r="Y44" s="105"/>
      <c r="Z44" s="105"/>
    </row>
    <row r="45">
      <c r="A45" s="105" t="str">
        <f>IFERROR(__xludf.DUMMYFUNCTION("""COMPUTED_VALUE"""),"change::the::status::of::the::bug")</f>
        <v>change::the::status::of::the::bug</v>
      </c>
      <c r="B45" s="105" t="str">
        <f>IFERROR(__xludf.DUMMYFUNCTION("""COMPUTED_VALUE"""),"Security issue, Program anomaly issue")</f>
        <v>Security issue, Program anomaly issue</v>
      </c>
      <c r="C45" s="105"/>
      <c r="D45" s="105" t="str">
        <f>IFERROR(__xludf.DUMMYFUNCTION("""COMPUTED_VALUE"""),"asking::for::possible::usage")</f>
        <v>asking::for::possible::usage</v>
      </c>
      <c r="E45" s="105"/>
      <c r="F45" s="105" t="str">
        <f>IFERROR(__xludf.DUMMYFUNCTION("""COMPUTED_VALUE"""),"asking::clarification::about::functionallity::(how::to::enable::in::the::future)")</f>
        <v>asking::clarification::about::functionallity::(how::to::enable::in::the::future)</v>
      </c>
      <c r="G45" s="105"/>
      <c r="H45" s="105" t="str">
        <f>IFERROR(__xludf.DUMMYFUNCTION("""COMPUTED_VALUE"""),"impact::(other::deployer::impact)")</f>
        <v>impact::(other::deployer::impact)</v>
      </c>
      <c r="I45" s="105" t="str">
        <f>IFERROR(__xludf.DUMMYFUNCTION("""COMPUTED_VALUE"""),"maven::(own::repo)")</f>
        <v>maven::(own::repo)</v>
      </c>
      <c r="J45" s="105"/>
      <c r="K45" s="105" t="str">
        <f>IFERROR(__xludf.DUMMYFUNCTION("""COMPUTED_VALUE"""),"usage::of::config::file::instead::of::write::config::in::code")</f>
        <v>usage::of::config::file::instead::of::write::config::in::code</v>
      </c>
      <c r="L45" s="105"/>
      <c r="M45" s="105"/>
      <c r="N45" s="105"/>
      <c r="O45" s="105"/>
      <c r="P45" s="105" t="str">
        <f>IFERROR(__xludf.DUMMYFUNCTION("""COMPUTED_VALUE"""),"approval::for::submitting::granted::(final)::(vote13)")</f>
        <v>approval::for::submitting::granted::(final)::(vote13)</v>
      </c>
      <c r="Q45" s="105"/>
      <c r="R45" s="105"/>
      <c r="S45" s="105"/>
      <c r="T45" s="105"/>
      <c r="U45" s="105"/>
      <c r="V45" s="105"/>
      <c r="W45" s="105"/>
      <c r="X45" s="105"/>
      <c r="Y45" s="105"/>
      <c r="Z45" s="105"/>
    </row>
    <row r="46">
      <c r="A46" s="105" t="str">
        <f>IFERROR(__xludf.DUMMYFUNCTION("""COMPUTED_VALUE"""),"change1::abandoned::by::the::responsible")</f>
        <v>change1::abandoned::by::the::responsible</v>
      </c>
      <c r="B46" s="105" t="str">
        <f>IFERROR(__xludf.DUMMYFUNCTION("""COMPUTED_VALUE"""),"Security issue, Test code-related issue")</f>
        <v>Security issue, Test code-related issue</v>
      </c>
      <c r="C46" s="105"/>
      <c r="D46" s="105" t="str">
        <f>IFERROR(__xludf.DUMMYFUNCTION("""COMPUTED_VALUE"""),"asking::for::reasons::not::supporting::feature")</f>
        <v>asking::for::reasons::not::supporting::feature</v>
      </c>
      <c r="E46" s="105"/>
      <c r="F46" s="105" t="str">
        <f>IFERROR(__xludf.DUMMYFUNCTION("""COMPUTED_VALUE"""),"asking::clarification::about::functionallity::(how::to::enable::in::the::future)::design")</f>
        <v>asking::clarification::about::functionallity::(how::to::enable::in::the::future)::design</v>
      </c>
      <c r="G46" s="105"/>
      <c r="H46" s="105" t="str">
        <f>IFERROR(__xludf.DUMMYFUNCTION("""COMPUTED_VALUE"""),"impact::(security::-&gt;::none)")</f>
        <v>impact::(security::-&gt;::none)</v>
      </c>
      <c r="I46" s="105" t="str">
        <f>IFERROR(__xludf.DUMMYFUNCTION("""COMPUTED_VALUE"""),"maven::(snakeyamlrepo)")</f>
        <v>maven::(snakeyamlrepo)</v>
      </c>
      <c r="J46" s="105"/>
      <c r="K46" s="105" t="str">
        <f>IFERROR(__xludf.DUMMYFUNCTION("""COMPUTED_VALUE"""),"usage::of::generic::coding::and::security::conventions::apis")</f>
        <v>usage::of::generic::coding::and::security::conventions::apis</v>
      </c>
      <c r="L46" s="105"/>
      <c r="M46" s="105"/>
      <c r="N46" s="105"/>
      <c r="O46" s="105"/>
      <c r="P46" s="105" t="str">
        <f>IFERROR(__xludf.DUMMYFUNCTION("""COMPUTED_VALUE"""),"approval::for::submitting::granted::(final)::(vote9)")</f>
        <v>approval::for::submitting::granted::(final)::(vote9)</v>
      </c>
      <c r="Q46" s="105"/>
      <c r="R46" s="105"/>
      <c r="S46" s="105"/>
      <c r="T46" s="105"/>
      <c r="U46" s="105"/>
      <c r="V46" s="105"/>
      <c r="W46" s="105"/>
      <c r="X46" s="105"/>
      <c r="Y46" s="105"/>
      <c r="Z46" s="105"/>
    </row>
    <row r="47">
      <c r="A47" s="105" t="str">
        <f>IFERROR(__xludf.DUMMYFUNCTION("""COMPUTED_VALUE"""),"change2::abandoned::by::the::responsible")</f>
        <v>change2::abandoned::by::the::responsible</v>
      </c>
      <c r="B47" s="105" t="str">
        <f>IFERROR(__xludf.DUMMYFUNCTION("""COMPUTED_VALUE"""),"Configuration issue, Database-related issue, GUI-related issue")</f>
        <v>Configuration issue, Database-related issue, GUI-related issue</v>
      </c>
      <c r="C47" s="105"/>
      <c r="D47" s="105" t="str">
        <f>IFERROR(__xludf.DUMMYFUNCTION("""COMPUTED_VALUE"""),"asking::for::reasons::not::supporting::solution")</f>
        <v>asking::for::reasons::not::supporting::solution</v>
      </c>
      <c r="E47" s="105"/>
      <c r="F47" s="105" t="str">
        <f>IFERROR(__xludf.DUMMYFUNCTION("""COMPUTED_VALUE"""),"asking::clarification::about::intended::development::process")</f>
        <v>asking::clarification::about::intended::development::process</v>
      </c>
      <c r="G47" s="105"/>
      <c r="H47" s="105" t="str">
        <f>IFERROR(__xludf.DUMMYFUNCTION("""COMPUTED_VALUE"""),"impact::(security)")</f>
        <v>impact::(security)</v>
      </c>
      <c r="I47" s="105" t="str">
        <f>IFERROR(__xludf.DUMMYFUNCTION("""COMPUTED_VALUE"""),"maven::migration")</f>
        <v>maven::migration</v>
      </c>
      <c r="J47" s="105"/>
      <c r="K47" s="105" t="str">
        <f>IFERROR(__xludf.DUMMYFUNCTION("""COMPUTED_VALUE"""),"usage::of::generic::coding::conventions::(pep8)")</f>
        <v>usage::of::generic::coding::conventions::(pep8)</v>
      </c>
      <c r="L47" s="105"/>
      <c r="M47" s="105"/>
      <c r="N47" s="105"/>
      <c r="O47" s="105"/>
      <c r="P47" s="105" t="str">
        <f>IFERROR(__xludf.DUMMYFUNCTION("""COMPUTED_VALUE"""),"approval::for::submitting::granted::(final)::core::rev")</f>
        <v>approval::for::submitting::granted::(final)::core::rev</v>
      </c>
      <c r="Q47" s="105"/>
      <c r="R47" s="105"/>
      <c r="S47" s="105"/>
      <c r="T47" s="105"/>
      <c r="U47" s="105"/>
      <c r="V47" s="105"/>
      <c r="W47" s="105"/>
      <c r="X47" s="105"/>
      <c r="Y47" s="105"/>
      <c r="Z47" s="105"/>
    </row>
    <row r="48">
      <c r="A48" s="105" t="str">
        <f>IFERROR(__xludf.DUMMYFUNCTION("""COMPUTED_VALUE"""),"changed::original::description::(link::to::original::description)")</f>
        <v>changed::original::description::(link::to::original::description)</v>
      </c>
      <c r="B48" s="105" t="str">
        <f>IFERROR(__xludf.DUMMYFUNCTION("""COMPUTED_VALUE"""),"Configuration issue, Database-related issue, Network issue")</f>
        <v>Configuration issue, Database-related issue, Network issue</v>
      </c>
      <c r="C48" s="105"/>
      <c r="D48" s="105" t="str">
        <f>IFERROR(__xludf.DUMMYFUNCTION("""COMPUTED_VALUE"""),"asking::for::testing")</f>
        <v>asking::for::testing</v>
      </c>
      <c r="E48" s="105"/>
      <c r="F48" s="105" t="str">
        <f>IFERROR(__xludf.DUMMYFUNCTION("""COMPUTED_VALUE"""),"asking::clarification::about::intended::solution::design")</f>
        <v>asking::clarification::about::intended::solution::design</v>
      </c>
      <c r="G48" s="105"/>
      <c r="H48" s="105" t="str">
        <f>IFERROR(__xludf.DUMMYFUNCTION("""COMPUTED_VALUE"""),"links::blueprint")</f>
        <v>links::blueprint</v>
      </c>
      <c r="I48" s="105" t="str">
        <f>IFERROR(__xludf.DUMMYFUNCTION("""COMPUTED_VALUE"""),"maven::repo::(appspot)")</f>
        <v>maven::repo::(appspot)</v>
      </c>
      <c r="J48" s="105"/>
      <c r="K48" s="105" t="str">
        <f>IFERROR(__xludf.DUMMYFUNCTION("""COMPUTED_VALUE"""),"usage::of::own::style::checking::static::analysis::rules")</f>
        <v>usage::of::own::style::checking::static::analysis::rules</v>
      </c>
      <c r="L48" s="105"/>
      <c r="M48" s="105"/>
      <c r="N48" s="105"/>
      <c r="O48" s="105"/>
      <c r="P48" s="105" t="str">
        <f>IFERROR(__xludf.DUMMYFUNCTION("""COMPUTED_VALUE"""),"approval::for::submitting::granted::(final)::core::rev::(vote1)")</f>
        <v>approval::for::submitting::granted::(final)::core::rev::(vote1)</v>
      </c>
      <c r="Q48" s="105"/>
      <c r="R48" s="105"/>
      <c r="S48" s="105"/>
      <c r="T48" s="105"/>
      <c r="U48" s="105"/>
      <c r="V48" s="105"/>
      <c r="W48" s="105"/>
      <c r="X48" s="105"/>
      <c r="Y48" s="105"/>
      <c r="Z48" s="105"/>
    </row>
    <row r="49">
      <c r="A49" s="105" t="str">
        <f>IFERROR(__xludf.DUMMYFUNCTION("""COMPUTED_VALUE"""),"changing::priority::(higher)")</f>
        <v>changing::priority::(higher)</v>
      </c>
      <c r="B49" s="105" t="str">
        <f>IFERROR(__xludf.DUMMYFUNCTION("""COMPUTED_VALUE"""),"Configuration issue, Database-related issue, Performance issue")</f>
        <v>Configuration issue, Database-related issue, Performance issue</v>
      </c>
      <c r="C49" s="105"/>
      <c r="D49" s="105" t="str">
        <f>IFERROR(__xludf.DUMMYFUNCTION("""COMPUTED_VALUE"""),"asking::for:.clarification::reason::of::the::bug")</f>
        <v>asking::for:.clarification::reason::of::the::bug</v>
      </c>
      <c r="E49" s="105"/>
      <c r="F49" s="105" t="str">
        <f>IFERROR(__xludf.DUMMYFUNCTION("""COMPUTED_VALUE"""),"asking::clarification::about::intended::test::setup")</f>
        <v>asking::clarification::about::intended::test::setup</v>
      </c>
      <c r="G49" s="105"/>
      <c r="H49" s="105" t="str">
        <f>IFERROR(__xludf.DUMMYFUNCTION("""COMPUTED_VALUE"""),"links::to::external::logs")</f>
        <v>links::to::external::logs</v>
      </c>
      <c r="I49" s="105" t="str">
        <f>IFERROR(__xludf.DUMMYFUNCTION("""COMPUTED_VALUE"""),"maven::repo::(codehaus)")</f>
        <v>maven::repo::(codehaus)</v>
      </c>
      <c r="J49" s="105"/>
      <c r="K49" s="105" t="str">
        <f>IFERROR(__xludf.DUMMYFUNCTION("""COMPUTED_VALUE"""),"usage::of::own::style::ignoring::code::coverage")</f>
        <v>usage::of::own::style::ignoring::code::coverage</v>
      </c>
      <c r="L49" s="105"/>
      <c r="M49" s="105"/>
      <c r="N49" s="105"/>
      <c r="O49" s="105"/>
      <c r="P49" s="105" t="str">
        <f>IFERROR(__xludf.DUMMYFUNCTION("""COMPUTED_VALUE"""),"approval::for::submitting::granted::(final)::core::rev::(vote12)")</f>
        <v>approval::for::submitting::granted::(final)::core::rev::(vote12)</v>
      </c>
      <c r="Q49" s="105"/>
      <c r="R49" s="105"/>
      <c r="S49" s="105"/>
      <c r="T49" s="105"/>
      <c r="U49" s="105"/>
      <c r="V49" s="105"/>
      <c r="W49" s="105"/>
      <c r="X49" s="105"/>
      <c r="Y49" s="105"/>
      <c r="Z49" s="105"/>
    </row>
    <row r="50">
      <c r="A50" s="105" t="str">
        <f>IFERROR(__xludf.DUMMYFUNCTION("""COMPUTED_VALUE"""),"chat::messages::external::service")</f>
        <v>chat::messages::external::service</v>
      </c>
      <c r="B50" s="105" t="str">
        <f>IFERROR(__xludf.DUMMYFUNCTION("""COMPUTED_VALUE"""),"Configuration issue, Database-related issue, Permission/deprecation issue")</f>
        <v>Configuration issue, Database-related issue, Permission/deprecation issue</v>
      </c>
      <c r="C50" s="105"/>
      <c r="D50" s="105" t="str">
        <f>IFERROR(__xludf.DUMMYFUNCTION("""COMPUTED_VALUE"""),"assignation::of::the::bug")</f>
        <v>assignation::of::the::bug</v>
      </c>
      <c r="E50" s="105"/>
      <c r="F50" s="105" t="str">
        <f>IFERROR(__xludf.DUMMYFUNCTION("""COMPUTED_VALUE"""),"asking::clarification::about::location::of::resources::(selected::design::choice)")</f>
        <v>asking::clarification::about::location::of::resources::(selected::design::choice)</v>
      </c>
      <c r="G50" s="105"/>
      <c r="H50" s="105" t="str">
        <f>IFERROR(__xludf.DUMMYFUNCTION("""COMPUTED_VALUE"""),"mentioned::bp::as::part::of:.meeting::agenda")</f>
        <v>mentioned::bp::as::part::of:.meeting::agenda</v>
      </c>
      <c r="I50" s="105" t="str">
        <f>IFERROR(__xludf.DUMMYFUNCTION("""COMPUTED_VALUE"""),"maven::repo::(googlecode)")</f>
        <v>maven::repo::(googlecode)</v>
      </c>
      <c r="J50" s="105"/>
      <c r="K50" s="105" t="str">
        <f>IFERROR(__xludf.DUMMYFUNCTION("""COMPUTED_VALUE"""),"usage::of::pre-commit::hooks")</f>
        <v>usage::of::pre-commit::hooks</v>
      </c>
      <c r="L50" s="105"/>
      <c r="M50" s="105"/>
      <c r="N50" s="105"/>
      <c r="O50" s="105"/>
      <c r="P50" s="105" t="str">
        <f>IFERROR(__xludf.DUMMYFUNCTION("""COMPUTED_VALUE"""),"approval::for::submitting::granted::(final)::core::rev::(vote2)")</f>
        <v>approval::for::submitting::granted::(final)::core::rev::(vote2)</v>
      </c>
      <c r="Q50" s="105"/>
      <c r="R50" s="105"/>
      <c r="S50" s="105"/>
      <c r="T50" s="105"/>
      <c r="U50" s="105"/>
      <c r="V50" s="105"/>
      <c r="W50" s="105"/>
      <c r="X50" s="105"/>
      <c r="Y50" s="105"/>
      <c r="Z50" s="105"/>
    </row>
    <row r="51">
      <c r="A51" s="105" t="str">
        <f>IFERROR(__xludf.DUMMYFUNCTION("""COMPUTED_VALUE"""),"circumstances::where::bug::appears")</f>
        <v>circumstances::where::bug::appears</v>
      </c>
      <c r="B51" s="105" t="str">
        <f>IFERROR(__xludf.DUMMYFUNCTION("""COMPUTED_VALUE"""),"Configuration issue, Database-related issue, Program anomaly issue")</f>
        <v>Configuration issue, Database-related issue, Program anomaly issue</v>
      </c>
      <c r="C51" s="105"/>
      <c r="D51" s="105" t="str">
        <f>IFERROR(__xludf.DUMMYFUNCTION("""COMPUTED_VALUE"""),"back::porting::of::the::fix")</f>
        <v>back::porting::of::the::fix</v>
      </c>
      <c r="E51" s="105"/>
      <c r="F51" s="105" t="str">
        <f>IFERROR(__xludf.DUMMYFUNCTION("""COMPUTED_VALUE"""),"asking::clarification::about::more::details::of::the::design::choice::(flow)")</f>
        <v>asking::clarification::about::more::details::of::the::design::choice::(flow)</v>
      </c>
      <c r="G51" s="105"/>
      <c r="H51" s="105" t="str">
        <f>IFERROR(__xludf.DUMMYFUNCTION("""COMPUTED_VALUE"""),"mentioned::bp::as::part::of:.release")</f>
        <v>mentioned::bp::as::part::of:.release</v>
      </c>
      <c r="I51" s="105" t="str">
        <f>IFERROR(__xludf.DUMMYFUNCTION("""COMPUTED_VALUE"""),"maven::repo::(java)")</f>
        <v>maven::repo::(java)</v>
      </c>
      <c r="J51" s="105"/>
      <c r="K51" s="105" t="str">
        <f>IFERROR(__xludf.DUMMYFUNCTION("""COMPUTED_VALUE"""),"usage::of::simple::config::file::(cfg)::and::config::in::code:.(mainly)")</f>
        <v>usage::of::simple::config::file::(cfg)::and::config::in::code:.(mainly)</v>
      </c>
      <c r="L51" s="105"/>
      <c r="M51" s="105"/>
      <c r="N51" s="105"/>
      <c r="O51" s="105"/>
      <c r="P51" s="105" t="str">
        <f>IFERROR(__xludf.DUMMYFUNCTION("""COMPUTED_VALUE"""),"approval::for::submitting::granted::(final)::core::rev::(vote3)")</f>
        <v>approval::for::submitting::granted::(final)::core::rev::(vote3)</v>
      </c>
      <c r="Q51" s="105"/>
      <c r="R51" s="105"/>
      <c r="S51" s="105"/>
      <c r="T51" s="105"/>
      <c r="U51" s="105"/>
      <c r="V51" s="105"/>
      <c r="W51" s="105"/>
      <c r="X51" s="105"/>
      <c r="Y51" s="105"/>
      <c r="Z51" s="105"/>
    </row>
    <row r="52">
      <c r="A52" s="105" t="str">
        <f>IFERROR(__xludf.DUMMYFUNCTION("""COMPUTED_VALUE"""),"cites::documentation")</f>
        <v>cites::documentation</v>
      </c>
      <c r="B52" s="105" t="str">
        <f>IFERROR(__xludf.DUMMYFUNCTION("""COMPUTED_VALUE"""),"Configuration issue, Database-related issue, Security issue")</f>
        <v>Configuration issue, Database-related issue, Security issue</v>
      </c>
      <c r="C52" s="105"/>
      <c r="D52" s="105" t="str">
        <f>IFERROR(__xludf.DUMMYFUNCTION("""COMPUTED_VALUE"""),"BP::is::continuation::of::other::BP")</f>
        <v>BP::is::continuation::of::other::BP</v>
      </c>
      <c r="E52" s="105"/>
      <c r="F52" s="105" t="str">
        <f>IFERROR(__xludf.DUMMYFUNCTION("""COMPUTED_VALUE"""),"asking::clarification::about::next::steps::(design:.choices)")</f>
        <v>asking::clarification::about::next::steps::(design:.choices)</v>
      </c>
      <c r="G52" s="105"/>
      <c r="H52" s="105" t="str">
        <f>IFERROR(__xludf.DUMMYFUNCTION("""COMPUTED_VALUE"""),"missing::feature")</f>
        <v>missing::feature</v>
      </c>
      <c r="I52" s="105" t="str">
        <f>IFERROR(__xludf.DUMMYFUNCTION("""COMPUTED_VALUE"""),"maven::repo::(jboss)")</f>
        <v>maven::repo::(jboss)</v>
      </c>
      <c r="J52" s="105"/>
      <c r="K52" s="105" t="str">
        <f>IFERROR(__xludf.DUMMYFUNCTION("""COMPUTED_VALUE"""),"usage::of::style::checking::static::analysis::tools")</f>
        <v>usage::of::style::checking::static::analysis::tools</v>
      </c>
      <c r="L52" s="105"/>
      <c r="M52" s="105"/>
      <c r="N52" s="105"/>
      <c r="O52" s="105"/>
      <c r="P52" s="105" t="str">
        <f>IFERROR(__xludf.DUMMYFUNCTION("""COMPUTED_VALUE"""),"approval::for::submitting::granted::(final)::core::rev::(vote4)")</f>
        <v>approval::for::submitting::granted::(final)::core::rev::(vote4)</v>
      </c>
      <c r="Q52" s="105"/>
      <c r="R52" s="105"/>
      <c r="S52" s="105"/>
      <c r="T52" s="105"/>
      <c r="U52" s="105"/>
      <c r="V52" s="105"/>
      <c r="W52" s="105"/>
      <c r="X52" s="105"/>
      <c r="Y52" s="105"/>
      <c r="Z52" s="105"/>
    </row>
    <row r="53">
      <c r="A53" s="105" t="str">
        <f>IFERROR(__xludf.DUMMYFUNCTION("""COMPUTED_VALUE"""),"clarification::about::the::development::process::(milestones)")</f>
        <v>clarification::about::the::development::process::(milestones)</v>
      </c>
      <c r="B53" s="105" t="str">
        <f>IFERROR(__xludf.DUMMYFUNCTION("""COMPUTED_VALUE"""),"Configuration issue, Database-related issue, Test code-related issue")</f>
        <v>Configuration issue, Database-related issue, Test code-related issue</v>
      </c>
      <c r="C53" s="105"/>
      <c r="D53" s="105" t="str">
        <f>IFERROR(__xludf.DUMMYFUNCTION("""COMPUTED_VALUE"""),"bug::confirmed::(master::branch)")</f>
        <v>bug::confirmed::(master::branch)</v>
      </c>
      <c r="E53" s="105"/>
      <c r="F53" s="105" t="str">
        <f>IFERROR(__xludf.DUMMYFUNCTION("""COMPUTED_VALUE"""),"asking::clarification::about::solution::design::(components::of::the::solution)")</f>
        <v>asking::clarification::about::solution::design::(components::of::the::solution)</v>
      </c>
      <c r="G53" s="105"/>
      <c r="H53" s="105" t="str">
        <f>IFERROR(__xludf.DUMMYFUNCTION("""COMPUTED_VALUE"""),"mitigations::of::cons::solution2")</f>
        <v>mitigations::of::cons::solution2</v>
      </c>
      <c r="I53" s="105" t="str">
        <f>IFERROR(__xludf.DUMMYFUNCTION("""COMPUTED_VALUE"""),"maven::repo::(maven::central)")</f>
        <v>maven::repo::(maven::central)</v>
      </c>
      <c r="J53" s="105"/>
      <c r="K53" s="105" t="str">
        <f>IFERROR(__xludf.DUMMYFUNCTION("""COMPUTED_VALUE"""),"usage::of::style::checking::static::analysis::tools::(pylint)")</f>
        <v>usage::of::style::checking::static::analysis::tools::(pylint)</v>
      </c>
      <c r="L53" s="105"/>
      <c r="M53" s="105"/>
      <c r="N53" s="105"/>
      <c r="O53" s="105"/>
      <c r="P53" s="105" t="str">
        <f>IFERROR(__xludf.DUMMYFUNCTION("""COMPUTED_VALUE"""),"approval::for::submitting::granted::(final)::core::rev::(vote7)")</f>
        <v>approval::for::submitting::granted::(final)::core::rev::(vote7)</v>
      </c>
      <c r="Q53" s="105"/>
      <c r="R53" s="105"/>
      <c r="S53" s="105"/>
      <c r="T53" s="105"/>
      <c r="U53" s="105"/>
      <c r="V53" s="105"/>
      <c r="W53" s="105"/>
      <c r="X53" s="105"/>
      <c r="Y53" s="105"/>
      <c r="Z53" s="105"/>
    </row>
    <row r="54">
      <c r="A54" s="105" t="str">
        <f>IFERROR(__xludf.DUMMYFUNCTION("""COMPUTED_VALUE"""),"clarification::about::the::problem::identified::as::culprit::for::regression")</f>
        <v>clarification::about::the::problem::identified::as::culprit::for::regression</v>
      </c>
      <c r="B54" s="105" t="str">
        <f>IFERROR(__xludf.DUMMYFUNCTION("""COMPUTED_VALUE"""),"Configuration issue, GUI-related issue, Network issue")</f>
        <v>Configuration issue, GUI-related issue, Network issue</v>
      </c>
      <c r="C54" s="105"/>
      <c r="D54" s="105" t="str">
        <f>IFERROR(__xludf.DUMMYFUNCTION("""COMPUTED_VALUE"""),"bug::is::not::the::same::as::bug::already::fixed")</f>
        <v>bug::is::not::the::same::as::bug::already::fixed</v>
      </c>
      <c r="E54" s="105"/>
      <c r="F54" s="105" t="str">
        <f>IFERROR(__xludf.DUMMYFUNCTION("""COMPUTED_VALUE"""),"asking::clarification::about::status::of::project::(removing:.label::experimental)::which::holds::the::BP")</f>
        <v>asking::clarification::about::status::of::project::(removing:.label::experimental)::which::holds::the::BP</v>
      </c>
      <c r="G54" s="105"/>
      <c r="H54" s="105" t="str">
        <f>IFERROR(__xludf.DUMMYFUNCTION("""COMPUTED_VALUE"""),"objective::of::the::BP/feature")</f>
        <v>objective::of::the::BP/feature</v>
      </c>
      <c r="I54" s="105" t="str">
        <f>IFERROR(__xludf.DUMMYFUNCTION("""COMPUTED_VALUE"""),"maven::repo::(sonatype)")</f>
        <v>maven::repo::(sonatype)</v>
      </c>
      <c r="J54" s="105"/>
      <c r="K54" s="105" t="str">
        <f>IFERROR(__xludf.DUMMYFUNCTION("""COMPUTED_VALUE"""),"usage::of::testing::conventions::and::practices")</f>
        <v>usage::of::testing::conventions::and::practices</v>
      </c>
      <c r="L54" s="105"/>
      <c r="M54" s="105"/>
      <c r="N54" s="105"/>
      <c r="O54" s="105"/>
      <c r="P54" s="105" t="str">
        <f>IFERROR(__xludf.DUMMYFUNCTION("""COMPUTED_VALUE"""),"approval::for::submitting::granted::(final)::core::rev::(vote8)")</f>
        <v>approval::for::submitting::granted::(final)::core::rev::(vote8)</v>
      </c>
      <c r="Q54" s="105"/>
      <c r="R54" s="105"/>
      <c r="S54" s="105"/>
      <c r="T54" s="105"/>
      <c r="U54" s="105"/>
      <c r="V54" s="105"/>
      <c r="W54" s="105"/>
      <c r="X54" s="105"/>
      <c r="Y54" s="105"/>
      <c r="Z54" s="105"/>
    </row>
    <row r="55">
      <c r="A55" s="105" t="str">
        <f>IFERROR(__xludf.DUMMYFUNCTION("""COMPUTED_VALUE"""),"clarification::about::the:.bug::source")</f>
        <v>clarification::about::the:.bug::source</v>
      </c>
      <c r="B55" s="105" t="str">
        <f>IFERROR(__xludf.DUMMYFUNCTION("""COMPUTED_VALUE"""),"Configuration issue, GUI-related issue, Performance issue")</f>
        <v>Configuration issue, GUI-related issue, Performance issue</v>
      </c>
      <c r="C55" s="105"/>
      <c r="D55" s="105" t="str">
        <f>IFERROR(__xludf.DUMMYFUNCTION("""COMPUTED_VALUE"""),"bug::is::special::version::of::related::bug")</f>
        <v>bug::is::special::version::of::related::bug</v>
      </c>
      <c r="E55" s="105"/>
      <c r="F55" s="105" t="str">
        <f>IFERROR(__xludf.DUMMYFUNCTION("""COMPUTED_VALUE"""),"asking::clarification::interaction::of::different::projects::(nova::neutron)::with::the::change::introduced::by::the:BP")</f>
        <v>asking::clarification::interaction::of::different::projects::(nova::neutron)::with::the::change::introduced::by::the:BP</v>
      </c>
      <c r="G55" s="105"/>
      <c r="H55" s="105" t="str">
        <f>IFERROR(__xludf.DUMMYFUNCTION("""COMPUTED_VALUE"""),"possible::extension::BP/feature")</f>
        <v>possible::extension::BP/feature</v>
      </c>
      <c r="I55" s="105" t="str">
        <f>IFERROR(__xludf.DUMMYFUNCTION("""COMPUTED_VALUE"""),"maven::wagon")</f>
        <v>maven::wagon</v>
      </c>
      <c r="J55" s="105"/>
      <c r="K55" s="105" t="str">
        <f>IFERROR(__xludf.DUMMYFUNCTION("""COMPUTED_VALUE"""),"usage::of::virtual::environments")</f>
        <v>usage::of::virtual::environments</v>
      </c>
      <c r="L55" s="105"/>
      <c r="M55" s="105"/>
      <c r="N55" s="105"/>
      <c r="O55" s="105"/>
      <c r="P55" s="105" t="str">
        <f>IFERROR(__xludf.DUMMYFUNCTION("""COMPUTED_VALUE"""),"approval::for::submitting::granted::(final)::core::rev::(vote9)")</f>
        <v>approval::for::submitting::granted::(final)::core::rev::(vote9)</v>
      </c>
      <c r="Q55" s="105"/>
      <c r="R55" s="105"/>
      <c r="S55" s="105"/>
      <c r="T55" s="105"/>
      <c r="U55" s="105"/>
      <c r="V55" s="105"/>
      <c r="W55" s="105"/>
      <c r="X55" s="105"/>
      <c r="Y55" s="105"/>
      <c r="Z55" s="105"/>
    </row>
    <row r="56">
      <c r="A56" s="105" t="str">
        <f>IFERROR(__xludf.DUMMYFUNCTION("""COMPUTED_VALUE"""),"clarification::about::when::the:.bug::source")</f>
        <v>clarification::about::when::the:.bug::source</v>
      </c>
      <c r="B56" s="105" t="str">
        <f>IFERROR(__xludf.DUMMYFUNCTION("""COMPUTED_VALUE"""),"Configuration issue, GUI-related issue, Permission/deprecation issue")</f>
        <v>Configuration issue, GUI-related issue, Permission/deprecation issue</v>
      </c>
      <c r="C56" s="105"/>
      <c r="D56" s="105" t="str">
        <f>IFERROR(__xludf.DUMMYFUNCTION("""COMPUTED_VALUE"""),"cause::of::another::bug::(explanation)")</f>
        <v>cause::of::another::bug::(explanation)</v>
      </c>
      <c r="E56" s="105"/>
      <c r="F56" s="105" t="str">
        <f>IFERROR(__xludf.DUMMYFUNCTION("""COMPUTED_VALUE"""),"asking::clarification::of::backporting::other::features::of::the::same::release::of::BP")</f>
        <v>asking::clarification::of::backporting::other::features::of::the::same::release::of::BP</v>
      </c>
      <c r="G56" s="105"/>
      <c r="H56" s="105" t="str">
        <f>IFERROR(__xludf.DUMMYFUNCTION("""COMPUTED_VALUE"""),"problem::description")</f>
        <v>problem::description</v>
      </c>
      <c r="I56" s="105" t="str">
        <f>IFERROR(__xludf.DUMMYFUNCTION("""COMPUTED_VALUE"""),"micro-benchmark")</f>
        <v>micro-benchmark</v>
      </c>
      <c r="J56" s="105"/>
      <c r="K56" s="105" t="str">
        <f>IFERROR(__xludf.DUMMYFUNCTION("""COMPUTED_VALUE"""),"usage::of::workflow::testing::tools")</f>
        <v>usage::of::workflow::testing::tools</v>
      </c>
      <c r="L56" s="105"/>
      <c r="M56" s="105"/>
      <c r="N56" s="105"/>
      <c r="O56" s="105"/>
      <c r="P56" s="105" t="str">
        <f>IFERROR(__xludf.DUMMYFUNCTION("""COMPUTED_VALUE"""),"approval::for::submitting::granted::(final)::core::rev1")</f>
        <v>approval::for::submitting::granted::(final)::core::rev1</v>
      </c>
      <c r="Q56" s="105"/>
      <c r="R56" s="105"/>
      <c r="S56" s="105"/>
      <c r="T56" s="105"/>
      <c r="U56" s="105"/>
      <c r="V56" s="105"/>
      <c r="W56" s="105"/>
      <c r="X56" s="105"/>
      <c r="Y56" s="105"/>
      <c r="Z56" s="105"/>
    </row>
    <row r="57">
      <c r="A57" s="105" t="str">
        <f>IFERROR(__xludf.DUMMYFUNCTION("""COMPUTED_VALUE"""),"clarification::about::where::the::bug::occurs")</f>
        <v>clarification::about::where::the::bug::occurs</v>
      </c>
      <c r="B57" s="105" t="str">
        <f>IFERROR(__xludf.DUMMYFUNCTION("""COMPUTED_VALUE"""),"Configuration issue, GUI-related issue, Program anomaly issue")</f>
        <v>Configuration issue, GUI-related issue, Program anomaly issue</v>
      </c>
      <c r="C57" s="105"/>
      <c r="D57" s="105" t="str">
        <f>IFERROR(__xludf.DUMMYFUNCTION("""COMPUTED_VALUE"""),"cause::of::bug::(explanation)")</f>
        <v>cause::of::bug::(explanation)</v>
      </c>
      <c r="E57" s="105"/>
      <c r="F57" s="105" t="str">
        <f>IFERROR(__xludf.DUMMYFUNCTION("""COMPUTED_VALUE"""),"asking::clarification::on::discussing::solution::design::(requirements::of::the::solution)")</f>
        <v>asking::clarification::on::discussing::solution::design::(requirements::of::the::solution)</v>
      </c>
      <c r="G57" s="105"/>
      <c r="H57" s="105" t="str">
        <f>IFERROR(__xludf.DUMMYFUNCTION("""COMPUTED_VALUE"""),"project::priority")</f>
        <v>project::priority</v>
      </c>
      <c r="I57" s="105" t="str">
        <f>IFERROR(__xludf.DUMMYFUNCTION("""COMPUTED_VALUE"""),"Microsoft::Hyper-V::CI")</f>
        <v>Microsoft::Hyper-V::CI</v>
      </c>
      <c r="J57" s="105"/>
      <c r="K57" s="105" t="str">
        <f>IFERROR(__xludf.DUMMYFUNCTION("""COMPUTED_VALUE"""),"use::wrapper::to::avoid::SO::platform::dependencies::when::building")</f>
        <v>use::wrapper::to::avoid::SO::platform::dependencies::when::building</v>
      </c>
      <c r="L57" s="105"/>
      <c r="M57" s="105"/>
      <c r="N57" s="105"/>
      <c r="O57" s="105"/>
      <c r="P57" s="105" t="str">
        <f>IFERROR(__xludf.DUMMYFUNCTION("""COMPUTED_VALUE"""),"approval::for::submitting::granted::(final)::core::rev2")</f>
        <v>approval::for::submitting::granted::(final)::core::rev2</v>
      </c>
      <c r="Q57" s="105"/>
      <c r="R57" s="105"/>
      <c r="S57" s="105"/>
      <c r="T57" s="105"/>
      <c r="U57" s="105"/>
      <c r="V57" s="105"/>
      <c r="W57" s="105"/>
      <c r="X57" s="105"/>
      <c r="Y57" s="105"/>
      <c r="Z57" s="105"/>
    </row>
    <row r="58">
      <c r="A58" s="105" t="str">
        <f>IFERROR(__xludf.DUMMYFUNCTION("""COMPUTED_VALUE"""),"clarification::of::software::versions::affected::by::the::bug")</f>
        <v>clarification::of::software::versions::affected::by::the::bug</v>
      </c>
      <c r="B58" s="105" t="str">
        <f>IFERROR(__xludf.DUMMYFUNCTION("""COMPUTED_VALUE"""),"Configuration issue, GUI-related issue, Security issue")</f>
        <v>Configuration issue, GUI-related issue, Security issue</v>
      </c>
      <c r="C58" s="105"/>
      <c r="D58" s="105" t="str">
        <f>IFERROR(__xludf.DUMMYFUNCTION("""COMPUTED_VALUE"""),"cause::of::bug::(new::feature)")</f>
        <v>cause::of::bug::(new::feature)</v>
      </c>
      <c r="E58" s="105"/>
      <c r="F58" s="105" t="str">
        <f>IFERROR(__xludf.DUMMYFUNCTION("""COMPUTED_VALUE"""),"asking::clarification::on::the::design::decision::taken::(hybrid::compute::nodes)")</f>
        <v>asking::clarification::on::the::design::decision::taken::(hybrid::compute::nodes)</v>
      </c>
      <c r="G58" s="105"/>
      <c r="H58" s="105" t="str">
        <f>IFERROR(__xludf.DUMMYFUNCTION("""COMPUTED_VALUE"""),"project::priority::(none)")</f>
        <v>project::priority::(none)</v>
      </c>
      <c r="I58" s="105" t="str">
        <f>IFERROR(__xludf.DUMMYFUNCTION("""COMPUTED_VALUE"""),"NA")</f>
        <v>NA</v>
      </c>
      <c r="J58" s="105"/>
      <c r="K58" s="105"/>
      <c r="L58" s="105"/>
      <c r="M58" s="105"/>
      <c r="N58" s="105"/>
      <c r="O58" s="105"/>
      <c r="P58" s="105" t="str">
        <f>IFERROR(__xludf.DUMMYFUNCTION("""COMPUTED_VALUE"""),"approval::for::submitting::granted::(final)::core::rev6")</f>
        <v>approval::for::submitting::granted::(final)::core::rev6</v>
      </c>
      <c r="Q58" s="105"/>
      <c r="R58" s="105"/>
      <c r="S58" s="105"/>
      <c r="T58" s="105"/>
      <c r="U58" s="105"/>
      <c r="V58" s="105"/>
      <c r="W58" s="105"/>
      <c r="X58" s="105"/>
      <c r="Y58" s="105"/>
      <c r="Z58" s="105"/>
    </row>
    <row r="59">
      <c r="A59" s="105" t="str">
        <f>IFERROR(__xludf.DUMMYFUNCTION("""COMPUTED_VALUE"""),"cleaning::and::creation::branches::for::the::proposed::fix")</f>
        <v>cleaning::and::creation::branches::for::the::proposed::fix</v>
      </c>
      <c r="B59" s="105" t="str">
        <f>IFERROR(__xludf.DUMMYFUNCTION("""COMPUTED_VALUE"""),"Configuration issue, GUI-related issue, Test code-related issue")</f>
        <v>Configuration issue, GUI-related issue, Test code-related issue</v>
      </c>
      <c r="C59" s="105"/>
      <c r="D59" s="105" t="str">
        <f>IFERROR(__xludf.DUMMYFUNCTION("""COMPUTED_VALUE"""),"causes::bug::(link::launchpad)::not::equal::fixed::bug")</f>
        <v>causes::bug::(link::launchpad)::not::equal::fixed::bug</v>
      </c>
      <c r="E59" s="105"/>
      <c r="F59" s="105" t="str">
        <f>IFERROR(__xludf.DUMMYFUNCTION("""COMPUTED_VALUE"""),"asking::clarification::regarding::responsibilities::(possible::missunderstanding)")</f>
        <v>asking::clarification::regarding::responsibilities::(possible::missunderstanding)</v>
      </c>
      <c r="G59" s="105"/>
      <c r="H59" s="105" t="str">
        <f>IFERROR(__xludf.DUMMYFUNCTION("""COMPUTED_VALUE"""),"proposal::of::a::possible::fix::(idea)")</f>
        <v>proposal::of::a::possible::fix::(idea)</v>
      </c>
      <c r="I59" s="105" t="str">
        <f>IFERROR(__xludf.DUMMYFUNCTION("""COMPUTED_VALUE"""),"nose")</f>
        <v>nose</v>
      </c>
      <c r="J59" s="105"/>
      <c r="K59" s="105"/>
      <c r="L59" s="105"/>
      <c r="M59" s="105"/>
      <c r="N59" s="105"/>
      <c r="O59" s="105"/>
      <c r="P59" s="105" t="str">
        <f>IFERROR(__xludf.DUMMYFUNCTION("""COMPUTED_VALUE"""),"approval::for::submitting::granted::(final)1")</f>
        <v>approval::for::submitting::granted::(final)1</v>
      </c>
      <c r="Q59" s="105"/>
      <c r="R59" s="105"/>
      <c r="S59" s="105"/>
      <c r="T59" s="105"/>
      <c r="U59" s="105"/>
      <c r="V59" s="105"/>
      <c r="W59" s="105"/>
      <c r="X59" s="105"/>
      <c r="Y59" s="105"/>
      <c r="Z59" s="105"/>
    </row>
    <row r="60">
      <c r="A60" s="105" t="str">
        <f>IFERROR(__xludf.DUMMYFUNCTION("""COMPUTED_VALUE"""),"command::line::output")</f>
        <v>command::line::output</v>
      </c>
      <c r="B60" s="105" t="str">
        <f>IFERROR(__xludf.DUMMYFUNCTION("""COMPUTED_VALUE"""),"Configuration issue, Network issue, Performance issue")</f>
        <v>Configuration issue, Network issue, Performance issue</v>
      </c>
      <c r="C60" s="105"/>
      <c r="D60" s="105" t="str">
        <f>IFERROR(__xludf.DUMMYFUNCTION("""COMPUTED_VALUE"""),"change::abandoned::by::the::one::who::proposed::changes::not::main::branch")</f>
        <v>change::abandoned::by::the::one::who::proposed::changes::not::main::branch</v>
      </c>
      <c r="E60" s="105"/>
      <c r="F60" s="105" t="str">
        <f>IFERROR(__xludf.DUMMYFUNCTION("""COMPUTED_VALUE"""),"asking::clarifications::about::bug::trace::implications")</f>
        <v>asking::clarifications::about::bug::trace::implications</v>
      </c>
      <c r="G60" s="105"/>
      <c r="H60" s="105" t="str">
        <f>IFERROR(__xludf.DUMMYFUNCTION("""COMPUTED_VALUE"""),"proposal::of::a::possible::fix::(link::review)")</f>
        <v>proposal::of::a::possible::fix::(link::review)</v>
      </c>
      <c r="I60" s="105" t="str">
        <f>IFERROR(__xludf.DUMMYFUNCTION("""COMPUTED_VALUE"""),"nosetest::(coverage)")</f>
        <v>nosetest::(coverage)</v>
      </c>
      <c r="J60" s="105"/>
      <c r="K60" s="105"/>
      <c r="L60" s="105"/>
      <c r="M60" s="105"/>
      <c r="N60" s="105"/>
      <c r="O60" s="105"/>
      <c r="P60" s="105" t="str">
        <f>IFERROR(__xludf.DUMMYFUNCTION("""COMPUTED_VALUE"""),"approval::for::submitting::granted::(non::final)::(vote1)")</f>
        <v>approval::for::submitting::granted::(non::final)::(vote1)</v>
      </c>
      <c r="Q60" s="105"/>
      <c r="R60" s="105"/>
      <c r="S60" s="105"/>
      <c r="T60" s="105"/>
      <c r="U60" s="105"/>
      <c r="V60" s="105"/>
      <c r="W60" s="105"/>
      <c r="X60" s="105"/>
      <c r="Y60" s="105"/>
      <c r="Z60" s="105"/>
    </row>
    <row r="61">
      <c r="A61" s="105" t="str">
        <f>IFERROR(__xludf.DUMMYFUNCTION("""COMPUTED_VALUE"""),"committed::fix::fixed::the::bug")</f>
        <v>committed::fix::fixed::the::bug</v>
      </c>
      <c r="B61" s="105" t="str">
        <f>IFERROR(__xludf.DUMMYFUNCTION("""COMPUTED_VALUE"""),"Configuration issue, Network issue, Permission/deprecation issue")</f>
        <v>Configuration issue, Network issue, Permission/deprecation issue</v>
      </c>
      <c r="C61" s="105"/>
      <c r="D61" s="105" t="str">
        <f>IFERROR(__xludf.DUMMYFUNCTION("""COMPUTED_VALUE"""),"change::abandoned::by::the::responsible")</f>
        <v>change::abandoned::by::the::responsible</v>
      </c>
      <c r="E61" s="105"/>
      <c r="F61" s="105" t="str">
        <f>IFERROR(__xludf.DUMMYFUNCTION("""COMPUTED_VALUE"""),"asking::clarifications::about::development::process::(testing)")</f>
        <v>asking::clarifications::about::development::process::(testing)</v>
      </c>
      <c r="G61" s="105"/>
      <c r="H61" s="105" t="str">
        <f>IFERROR(__xludf.DUMMYFUNCTION("""COMPUTED_VALUE"""),"proposal::of::a::possible::fix::(link::review)::not::main::branch")</f>
        <v>proposal::of::a::possible::fix::(link::review)::not::main::branch</v>
      </c>
      <c r="I61" s="105" t="str">
        <f>IFERROR(__xludf.DUMMYFUNCTION("""COMPUTED_VALUE"""),"nosetest::(unit::test)")</f>
        <v>nosetest::(unit::test)</v>
      </c>
      <c r="J61" s="105"/>
      <c r="K61" s="105"/>
      <c r="L61" s="105"/>
      <c r="M61" s="105"/>
      <c r="N61" s="105"/>
      <c r="O61" s="105"/>
      <c r="P61" s="105" t="str">
        <f>IFERROR(__xludf.DUMMYFUNCTION("""COMPUTED_VALUE"""),"approval::for::submitting::granted::(non::final)::(vote10)")</f>
        <v>approval::for::submitting::granted::(non::final)::(vote10)</v>
      </c>
      <c r="Q61" s="105"/>
      <c r="R61" s="105"/>
      <c r="S61" s="105"/>
      <c r="T61" s="105"/>
      <c r="U61" s="105"/>
      <c r="V61" s="105"/>
      <c r="W61" s="105"/>
      <c r="X61" s="105"/>
      <c r="Y61" s="105"/>
      <c r="Z61" s="105"/>
    </row>
    <row r="62">
      <c r="A62" s="105" t="str">
        <f>IFERROR(__xludf.DUMMYFUNCTION("""COMPUTED_VALUE"""),"compatibility")</f>
        <v>compatibility</v>
      </c>
      <c r="B62" s="105" t="str">
        <f>IFERROR(__xludf.DUMMYFUNCTION("""COMPUTED_VALUE"""),"Configuration issue, Network issue, Program anomaly issue")</f>
        <v>Configuration issue, Network issue, Program anomaly issue</v>
      </c>
      <c r="C62" s="105"/>
      <c r="D62" s="105" t="str">
        <f>IFERROR(__xludf.DUMMYFUNCTION("""COMPUTED_VALUE"""),"change::abandoned::by::the::responsible::(link::review1)")</f>
        <v>change::abandoned::by::the::responsible::(link::review1)</v>
      </c>
      <c r="E62" s="105"/>
      <c r="F62" s="105" t="str">
        <f>IFERROR(__xludf.DUMMYFUNCTION("""COMPUTED_VALUE"""),"asking::clarifications::about::development::process::(tests::process)")</f>
        <v>asking::clarifications::about::development::process::(tests::process)</v>
      </c>
      <c r="G62" s="105"/>
      <c r="H62" s="105" t="str">
        <f>IFERROR(__xludf.DUMMYFUNCTION("""COMPUTED_VALUE"""),"proposed::change")</f>
        <v>proposed::change</v>
      </c>
      <c r="I62" s="105" t="str">
        <f>IFERROR(__xludf.DUMMYFUNCTION("""COMPUTED_VALUE"""),"OpenStack::Proposal::Bot")</f>
        <v>OpenStack::Proposal::Bot</v>
      </c>
      <c r="J62" s="105"/>
      <c r="K62" s="105"/>
      <c r="L62" s="105"/>
      <c r="M62" s="105"/>
      <c r="N62" s="105"/>
      <c r="O62" s="105"/>
      <c r="P62" s="105" t="str">
        <f>IFERROR(__xludf.DUMMYFUNCTION("""COMPUTED_VALUE"""),"approval::for::submitting::granted::(non::final)::(vote11)")</f>
        <v>approval::for::submitting::granted::(non::final)::(vote11)</v>
      </c>
      <c r="Q62" s="105"/>
      <c r="R62" s="105"/>
      <c r="S62" s="105"/>
      <c r="T62" s="105"/>
      <c r="U62" s="105"/>
      <c r="V62" s="105"/>
      <c r="W62" s="105"/>
      <c r="X62" s="105"/>
      <c r="Y62" s="105"/>
      <c r="Z62" s="105"/>
    </row>
    <row r="63">
      <c r="A63" s="105" t="str">
        <f>IFERROR(__xludf.DUMMYFUNCTION("""COMPUTED_VALUE"""),"complex::changes::in::review::(specifically::tests)")</f>
        <v>complex::changes::in::review::(specifically::tests)</v>
      </c>
      <c r="B63" s="105" t="str">
        <f>IFERROR(__xludf.DUMMYFUNCTION("""COMPUTED_VALUE"""),"Configuration issue, Network issue, Security issue")</f>
        <v>Configuration issue, Network issue, Security issue</v>
      </c>
      <c r="C63" s="105"/>
      <c r="D63" s="105" t="str">
        <f>IFERROR(__xludf.DUMMYFUNCTION("""COMPUTED_VALUE"""),"change::abandoned::by::the::responsible::(link::review2)")</f>
        <v>change::abandoned::by::the::responsible::(link::review2)</v>
      </c>
      <c r="E63" s="105"/>
      <c r="F63" s="105" t="str">
        <f>IFERROR(__xludf.DUMMYFUNCTION("""COMPUTED_VALUE"""),"asking::clarifications::about::plan::development::process")</f>
        <v>asking::clarifications::about::plan::development::process</v>
      </c>
      <c r="G63" s="105"/>
      <c r="H63" s="105" t="str">
        <f>IFERROR(__xludf.DUMMYFUNCTION("""COMPUTED_VALUE"""),"proposed::change::alternative2")</f>
        <v>proposed::change::alternative2</v>
      </c>
      <c r="I63" s="105" t="str">
        <f>IFERROR(__xludf.DUMMYFUNCTION("""COMPUTED_VALUE"""),"pep8")</f>
        <v>pep8</v>
      </c>
      <c r="J63" s="105"/>
      <c r="K63" s="105"/>
      <c r="L63" s="105"/>
      <c r="M63" s="105"/>
      <c r="N63" s="105"/>
      <c r="O63" s="105"/>
      <c r="P63" s="105" t="str">
        <f>IFERROR(__xludf.DUMMYFUNCTION("""COMPUTED_VALUE"""),"approval::for::submitting::granted::(non::final)::(vote2)")</f>
        <v>approval::for::submitting::granted::(non::final)::(vote2)</v>
      </c>
      <c r="Q63" s="105"/>
      <c r="R63" s="105"/>
      <c r="S63" s="105"/>
      <c r="T63" s="105"/>
      <c r="U63" s="105"/>
      <c r="V63" s="105"/>
      <c r="W63" s="105"/>
      <c r="X63" s="105"/>
      <c r="Y63" s="105"/>
      <c r="Z63" s="105"/>
    </row>
    <row r="64">
      <c r="A64" s="105" t="str">
        <f>IFERROR(__xludf.DUMMYFUNCTION("""COMPUTED_VALUE"""),"configuration::of::nova::where::the::bug::was::found")</f>
        <v>configuration::of::nova::where::the::bug::was::found</v>
      </c>
      <c r="B64" s="105" t="str">
        <f>IFERROR(__xludf.DUMMYFUNCTION("""COMPUTED_VALUE"""),"Configuration issue, Network issue, Test code-related issue")</f>
        <v>Configuration issue, Network issue, Test code-related issue</v>
      </c>
      <c r="C64" s="105"/>
      <c r="D64" s="105" t="str">
        <f>IFERROR(__xludf.DUMMYFUNCTION("""COMPUTED_VALUE"""),"change::in::implementation::status::(code::review)")</f>
        <v>change::in::implementation::status::(code::review)</v>
      </c>
      <c r="E64" s="105"/>
      <c r="F64" s="105" t="str">
        <f>IFERROR(__xludf.DUMMYFUNCTION("""COMPUTED_VALUE"""),"asking::clarifications::about::proposed::solution::to::bug::due::to::new::functionality::that::was::enabled::thanks::to::the::BP::(compatibility)")</f>
        <v>asking::clarifications::about::proposed::solution::to::bug::due::to::new::functionality::that::was::enabled::thanks::to::the::BP::(compatibility)</v>
      </c>
      <c r="G64" s="105"/>
      <c r="H64" s="105" t="str">
        <f>IFERROR(__xludf.DUMMYFUNCTION("""COMPUTED_VALUE"""),"relation::with::other::BP/feature")</f>
        <v>relation::with::other::BP/feature</v>
      </c>
      <c r="I64" s="105" t="str">
        <f>IFERROR(__xludf.DUMMYFUNCTION("""COMPUTED_VALUE"""),"pep8::hacking")</f>
        <v>pep8::hacking</v>
      </c>
      <c r="J64" s="105"/>
      <c r="K64" s="105"/>
      <c r="L64" s="105"/>
      <c r="M64" s="105"/>
      <c r="N64" s="105"/>
      <c r="O64" s="105"/>
      <c r="P64" s="105" t="str">
        <f>IFERROR(__xludf.DUMMYFUNCTION("""COMPUTED_VALUE"""),"approval::for::submitting::granted::(non::final)::(vote3)")</f>
        <v>approval::for::submitting::granted::(non::final)::(vote3)</v>
      </c>
      <c r="Q64" s="105"/>
      <c r="R64" s="105"/>
      <c r="S64" s="105"/>
      <c r="T64" s="105"/>
      <c r="U64" s="105"/>
      <c r="V64" s="105"/>
      <c r="W64" s="105"/>
      <c r="X64" s="105"/>
      <c r="Y64" s="105"/>
      <c r="Z64" s="105"/>
    </row>
    <row r="65">
      <c r="A65" s="105" t="str">
        <f>IFERROR(__xludf.DUMMYFUNCTION("""COMPUTED_VALUE"""),"confimation::that::the::bug::is::duplicated::and::fixed")</f>
        <v>confimation::that::the::bug::is::duplicated::and::fixed</v>
      </c>
      <c r="B65" s="105" t="str">
        <f>IFERROR(__xludf.DUMMYFUNCTION("""COMPUTED_VALUE"""),"Configuration issue, Performance issue, Permission/deprecation issue")</f>
        <v>Configuration issue, Performance issue, Permission/deprecation issue</v>
      </c>
      <c r="C65" s="105"/>
      <c r="D65" s="105" t="str">
        <f>IFERROR(__xludf.DUMMYFUNCTION("""COMPUTED_VALUE"""),"change::in::implementation::status::(implemented)")</f>
        <v>change::in::implementation::status::(implemented)</v>
      </c>
      <c r="E65" s="105"/>
      <c r="F65" s="105" t="str">
        <f>IFERROR(__xludf.DUMMYFUNCTION("""COMPUTED_VALUE"""),"asking::clarifications::history::of::the::bug/BP")</f>
        <v>asking::clarifications::history::of::the::bug/BP</v>
      </c>
      <c r="G65" s="105"/>
      <c r="H65" s="105" t="str">
        <f>IFERROR(__xludf.DUMMYFUNCTION("""COMPUTED_VALUE"""),"responsibilities::(assignees)")</f>
        <v>responsibilities::(assignees)</v>
      </c>
      <c r="I65" s="105" t="str">
        <f>IFERROR(__xludf.DUMMYFUNCTION("""COMPUTED_VALUE"""),"pip")</f>
        <v>pip</v>
      </c>
      <c r="J65" s="105"/>
      <c r="K65" s="105"/>
      <c r="L65" s="105"/>
      <c r="M65" s="105"/>
      <c r="N65" s="105"/>
      <c r="O65" s="105"/>
      <c r="P65" s="105" t="str">
        <f>IFERROR(__xludf.DUMMYFUNCTION("""COMPUTED_VALUE"""),"approval::for::submitting::granted::(non::final)::(vote4)")</f>
        <v>approval::for::submitting::granted::(non::final)::(vote4)</v>
      </c>
      <c r="Q65" s="105"/>
      <c r="R65" s="105"/>
      <c r="S65" s="105"/>
      <c r="T65" s="105"/>
      <c r="U65" s="105"/>
      <c r="V65" s="105"/>
      <c r="W65" s="105"/>
      <c r="X65" s="105"/>
      <c r="Y65" s="105"/>
      <c r="Z65" s="105"/>
    </row>
    <row r="66">
      <c r="A66" s="105" t="str">
        <f>IFERROR(__xludf.DUMMYFUNCTION("""COMPUTED_VALUE"""),"confirmation::issue::is::bug")</f>
        <v>confirmation::issue::is::bug</v>
      </c>
      <c r="B66" s="105" t="str">
        <f>IFERROR(__xludf.DUMMYFUNCTION("""COMPUTED_VALUE"""),"Configuration issue, Performance issue, Program anomaly issue")</f>
        <v>Configuration issue, Performance issue, Program anomaly issue</v>
      </c>
      <c r="C66" s="105"/>
      <c r="D66" s="105" t="str">
        <f>IFERROR(__xludf.DUMMYFUNCTION("""COMPUTED_VALUE"""),"change::in::implementation::status::(in::progress)")</f>
        <v>change::in::implementation::status::(in::progress)</v>
      </c>
      <c r="E66" s="105"/>
      <c r="F66" s="105" t="str">
        <f>IFERROR(__xludf.DUMMYFUNCTION("""COMPUTED_VALUE"""),"asking::for::advice::(solution::design)")</f>
        <v>asking::for::advice::(solution::design)</v>
      </c>
      <c r="G66" s="105"/>
      <c r="H66" s="105" t="str">
        <f>IFERROR(__xludf.DUMMYFUNCTION("""COMPUTED_VALUE"""),"scope::of::BP")</f>
        <v>scope::of::BP</v>
      </c>
      <c r="I66" s="105" t="str">
        <f>IFERROR(__xludf.DUMMYFUNCTION("""COMPUTED_VALUE"""),"pre::commit::hooks::(run::unit::tests)")</f>
        <v>pre::commit::hooks::(run::unit::tests)</v>
      </c>
      <c r="J66" s="105"/>
      <c r="K66" s="105"/>
      <c r="L66" s="105"/>
      <c r="M66" s="105"/>
      <c r="N66" s="105"/>
      <c r="O66" s="105"/>
      <c r="P66" s="105" t="str">
        <f>IFERROR(__xludf.DUMMYFUNCTION("""COMPUTED_VALUE"""),"approval::for::submitting::granted::(non::final)::(vote5)")</f>
        <v>approval::for::submitting::granted::(non::final)::(vote5)</v>
      </c>
      <c r="Q66" s="105"/>
      <c r="R66" s="105"/>
      <c r="S66" s="105"/>
      <c r="T66" s="105"/>
      <c r="U66" s="105"/>
      <c r="V66" s="105"/>
      <c r="W66" s="105"/>
      <c r="X66" s="105"/>
      <c r="Y66" s="105"/>
      <c r="Z66" s="105"/>
    </row>
    <row r="67">
      <c r="A67" s="105" t="str">
        <f>IFERROR(__xludf.DUMMYFUNCTION("""COMPUTED_VALUE"""),"contains::logs::links::of::the::behaviour")</f>
        <v>contains::logs::links::of::the::behaviour</v>
      </c>
      <c r="B67" s="105" t="str">
        <f>IFERROR(__xludf.DUMMYFUNCTION("""COMPUTED_VALUE"""),"Configuration issue, Performance issue, Security issue")</f>
        <v>Configuration issue, Performance issue, Security issue</v>
      </c>
      <c r="C67" s="105"/>
      <c r="D67" s="105" t="str">
        <f>IFERROR(__xludf.DUMMYFUNCTION("""COMPUTED_VALUE"""),"change::in::priority::(medium)")</f>
        <v>change::in::priority::(medium)</v>
      </c>
      <c r="E67" s="105"/>
      <c r="F67" s="105" t="str">
        <f>IFERROR(__xludf.DUMMYFUNCTION("""COMPUTED_VALUE"""),"asking::for::approval::of::the::implmentation::(other::review)")</f>
        <v>asking::for::approval::of::the::implmentation::(other::review)</v>
      </c>
      <c r="G67" s="105"/>
      <c r="H67" s="105" t="str">
        <f>IFERROR(__xludf.DUMMYFUNCTION("""COMPUTED_VALUE"""),"source::of::the::bug::(link::to::paste::open::stack)")</f>
        <v>source::of::the::bug::(link::to::paste::open::stack)</v>
      </c>
      <c r="I67" s="105" t="str">
        <f>IFERROR(__xludf.DUMMYFUNCTION("""COMPUTED_VALUE"""),"pyflakes")</f>
        <v>pyflakes</v>
      </c>
      <c r="J67" s="105"/>
      <c r="K67" s="105"/>
      <c r="L67" s="105"/>
      <c r="M67" s="105"/>
      <c r="N67" s="105"/>
      <c r="O67" s="105"/>
      <c r="P67" s="105" t="str">
        <f>IFERROR(__xludf.DUMMYFUNCTION("""COMPUTED_VALUE"""),"approval::for::submitting::granted::(non::final)::(vote6)")</f>
        <v>approval::for::submitting::granted::(non::final)::(vote6)</v>
      </c>
      <c r="Q67" s="105"/>
      <c r="R67" s="105"/>
      <c r="S67" s="105"/>
      <c r="T67" s="105"/>
      <c r="U67" s="105"/>
      <c r="V67" s="105"/>
      <c r="W67" s="105"/>
      <c r="X67" s="105"/>
      <c r="Y67" s="105"/>
      <c r="Z67" s="105"/>
    </row>
    <row r="68">
      <c r="A68" s="105" t="str">
        <f>IFERROR(__xludf.DUMMYFUNCTION("""COMPUTED_VALUE"""),"content::of::possible::fix")</f>
        <v>content::of::possible::fix</v>
      </c>
      <c r="B68" s="105" t="str">
        <f>IFERROR(__xludf.DUMMYFUNCTION("""COMPUTED_VALUE"""),"Configuration issue, Performance issue, Test code-related issue")</f>
        <v>Configuration issue, Performance issue, Test code-related issue</v>
      </c>
      <c r="C68" s="105"/>
      <c r="D68" s="105" t="str">
        <f>IFERROR(__xludf.DUMMYFUNCTION("""COMPUTED_VALUE"""),"change2::abandoned::by::the::responsible")</f>
        <v>change2::abandoned::by::the::responsible</v>
      </c>
      <c r="E68" s="105"/>
      <c r="F68" s="105" t="str">
        <f>IFERROR(__xludf.DUMMYFUNCTION("""COMPUTED_VALUE"""),"asking::for::approval::of::the::implmentation::(review)")</f>
        <v>asking::for::approval::of::the::implmentation::(review)</v>
      </c>
      <c r="G68" s="105"/>
      <c r="H68" s="105" t="str">
        <f>IFERROR(__xludf.DUMMYFUNCTION("""COMPUTED_VALUE"""),"steps::to::follow::BP")</f>
        <v>steps::to::follow::BP</v>
      </c>
      <c r="I68" s="105" t="str">
        <f>IFERROR(__xludf.DUMMYFUNCTION("""COMPUTED_VALUE"""),"Pylint")</f>
        <v>Pylint</v>
      </c>
      <c r="J68" s="105"/>
      <c r="K68" s="105"/>
      <c r="L68" s="105"/>
      <c r="M68" s="105"/>
      <c r="N68" s="105"/>
      <c r="O68" s="105"/>
      <c r="P68" s="105" t="str">
        <f>IFERROR(__xludf.DUMMYFUNCTION("""COMPUTED_VALUE"""),"approval::for::submitting::granted::(non::final)::(vote7)")</f>
        <v>approval::for::submitting::granted::(non::final)::(vote7)</v>
      </c>
      <c r="Q68" s="105"/>
      <c r="R68" s="105"/>
      <c r="S68" s="105"/>
      <c r="T68" s="105"/>
      <c r="U68" s="105"/>
      <c r="V68" s="105"/>
      <c r="W68" s="105"/>
      <c r="X68" s="105"/>
      <c r="Y68" s="105"/>
      <c r="Z68" s="105"/>
    </row>
    <row r="69">
      <c r="A69" s="105" t="str">
        <f>IFERROR(__xludf.DUMMYFUNCTION("""COMPUTED_VALUE"""),"criticallity::of::properties::that::are::affected::by::the::bug")</f>
        <v>criticallity::of::properties::that::are::affected::by::the::bug</v>
      </c>
      <c r="B69" s="105" t="str">
        <f>IFERROR(__xludf.DUMMYFUNCTION("""COMPUTED_VALUE"""),"Configuration issue, Permission/deprecation issue, Program anomaly issue")</f>
        <v>Configuration issue, Permission/deprecation issue, Program anomaly issue</v>
      </c>
      <c r="C69" s="105"/>
      <c r="D69" s="105" t="str">
        <f>IFERROR(__xludf.DUMMYFUNCTION("""COMPUTED_VALUE"""),"changed::original::description::(link::to::original::description)")</f>
        <v>changed::original::description::(link::to::original::description)</v>
      </c>
      <c r="E69" s="105"/>
      <c r="F69" s="105" t="str">
        <f>IFERROR(__xludf.DUMMYFUNCTION("""COMPUTED_VALUE"""),"asking::for::creation::(specification::new::API)")</f>
        <v>asking::for::creation::(specification::new::API)</v>
      </c>
      <c r="G69" s="105"/>
      <c r="H69" s="105" t="str">
        <f>IFERROR(__xludf.DUMMYFUNCTION("""COMPUTED_VALUE"""),"subtask::priorities")</f>
        <v>subtask::priorities</v>
      </c>
      <c r="I69" s="105" t="str">
        <f>IFERROR(__xludf.DUMMYFUNCTION("""COMPUTED_VALUE"""),"randomized::testing::(carrot)")</f>
        <v>randomized::testing::(carrot)</v>
      </c>
      <c r="J69" s="105"/>
      <c r="K69" s="105"/>
      <c r="L69" s="105"/>
      <c r="M69" s="105"/>
      <c r="N69" s="105"/>
      <c r="O69" s="105"/>
      <c r="P69" s="105" t="str">
        <f>IFERROR(__xludf.DUMMYFUNCTION("""COMPUTED_VALUE"""),"approval::for::submitting::granted::(non::final)::(vote8)")</f>
        <v>approval::for::submitting::granted::(non::final)::(vote8)</v>
      </c>
      <c r="Q69" s="105"/>
      <c r="R69" s="105"/>
      <c r="S69" s="105"/>
      <c r="T69" s="105"/>
      <c r="U69" s="105"/>
      <c r="V69" s="105"/>
      <c r="W69" s="105"/>
      <c r="X69" s="105"/>
      <c r="Y69" s="105"/>
      <c r="Z69" s="105"/>
    </row>
    <row r="70">
      <c r="A70" s="105" t="str">
        <f>IFERROR(__xludf.DUMMYFUNCTION("""COMPUTED_VALUE"""),"culprit::related::to::identified::regression")</f>
        <v>culprit::related::to::identified::regression</v>
      </c>
      <c r="B70" s="105" t="str">
        <f>IFERROR(__xludf.DUMMYFUNCTION("""COMPUTED_VALUE"""),"Configuration issue, Permission/deprecation issue, Security issue")</f>
        <v>Configuration issue, Permission/deprecation issue, Security issue</v>
      </c>
      <c r="C70" s="105"/>
      <c r="D70" s="105" t="str">
        <f>IFERROR(__xludf.DUMMYFUNCTION("""COMPUTED_VALUE"""),"claim::of::responsibility::for::fix")</f>
        <v>claim::of::responsibility::for::fix</v>
      </c>
      <c r="E70" s="105"/>
      <c r="F70" s="105" t="str">
        <f>IFERROR(__xludf.DUMMYFUNCTION("""COMPUTED_VALUE"""),"asking::for::help::(help::plea)")</f>
        <v>asking::for::help::(help::plea)</v>
      </c>
      <c r="G70" s="105"/>
      <c r="H70" s="105" t="str">
        <f>IFERROR(__xludf.DUMMYFUNCTION("""COMPUTED_VALUE"""),"summary::problem")</f>
        <v>summary::problem</v>
      </c>
      <c r="I70" s="105" t="str">
        <f>IFERROR(__xludf.DUMMYFUNCTION("""COMPUTED_VALUE"""),"readme")</f>
        <v>readme</v>
      </c>
      <c r="J70" s="105"/>
      <c r="K70" s="105"/>
      <c r="L70" s="105"/>
      <c r="M70" s="105"/>
      <c r="N70" s="105"/>
      <c r="O70" s="105"/>
      <c r="P70" s="105" t="str">
        <f>IFERROR(__xludf.DUMMYFUNCTION("""COMPUTED_VALUE"""),"approval::for::submitting::granted::(non::final)::core::rev::(vote1)")</f>
        <v>approval::for::submitting::granted::(non::final)::core::rev::(vote1)</v>
      </c>
      <c r="Q70" s="105"/>
      <c r="R70" s="105"/>
      <c r="S70" s="105"/>
      <c r="T70" s="105"/>
      <c r="U70" s="105"/>
      <c r="V70" s="105"/>
      <c r="W70" s="105"/>
      <c r="X70" s="105"/>
      <c r="Y70" s="105"/>
      <c r="Z70" s="105"/>
    </row>
    <row r="71">
      <c r="A71" s="105" t="str">
        <f>IFERROR(__xludf.DUMMYFUNCTION("""COMPUTED_VALUE"""),"culprit::related::to::identified::regression::(link::to::commit)")</f>
        <v>culprit::related::to::identified::regression::(link::to::commit)</v>
      </c>
      <c r="B71" s="105" t="str">
        <f>IFERROR(__xludf.DUMMYFUNCTION("""COMPUTED_VALUE"""),"Configuration issue, Permission/deprecation issue, Test code-related issue")</f>
        <v>Configuration issue, Permission/deprecation issue, Test code-related issue</v>
      </c>
      <c r="C71" s="105"/>
      <c r="D71" s="105" t="str">
        <f>IFERROR(__xludf.DUMMYFUNCTION("""COMPUTED_VALUE"""),"clarifying::development::process::(documentation::BP)")</f>
        <v>clarifying::development::process::(documentation::BP)</v>
      </c>
      <c r="E71" s="105"/>
      <c r="F71" s="105" t="str">
        <f>IFERROR(__xludf.DUMMYFUNCTION("""COMPUTED_VALUE"""),"asking::for::more::oppinions::(by::devs::of::related::project)")</f>
        <v>asking::for::more::oppinions::(by::devs::of::related::project)</v>
      </c>
      <c r="G71" s="105"/>
      <c r="H71" s="105" t="str">
        <f>IFERROR(__xludf.DUMMYFUNCTION("""COMPUTED_VALUE"""),"testing")</f>
        <v>testing</v>
      </c>
      <c r="I71" s="105" t="str">
        <f>IFERROR(__xludf.DUMMYFUNCTION("""COMPUTED_VALUE"""),"regression::test::check::(automated)")</f>
        <v>regression::test::check::(automated)</v>
      </c>
      <c r="J71" s="105"/>
      <c r="K71" s="105"/>
      <c r="L71" s="105"/>
      <c r="M71" s="105"/>
      <c r="N71" s="105"/>
      <c r="O71" s="105"/>
      <c r="P71" s="105" t="str">
        <f>IFERROR(__xludf.DUMMYFUNCTION("""COMPUTED_VALUE"""),"approval::for::submitting::granted::(non::final)::core::rev::(vote10)")</f>
        <v>approval::for::submitting::granted::(non::final)::core::rev::(vote10)</v>
      </c>
      <c r="Q71" s="105"/>
      <c r="R71" s="105"/>
      <c r="S71" s="105"/>
      <c r="T71" s="105"/>
      <c r="U71" s="105"/>
      <c r="V71" s="105"/>
      <c r="W71" s="105"/>
      <c r="X71" s="105"/>
      <c r="Y71" s="105"/>
      <c r="Z71" s="105"/>
    </row>
    <row r="72">
      <c r="A72" s="105" t="str">
        <f>IFERROR(__xludf.DUMMYFUNCTION("""COMPUTED_VALUE"""),"culprit::related::to::identified::regression::(link::to::issue)")</f>
        <v>culprit::related::to::identified::regression::(link::to::issue)</v>
      </c>
      <c r="B72" s="105" t="str">
        <f>IFERROR(__xludf.DUMMYFUNCTION("""COMPUTED_VALUE"""),"Configuration issue, Program anomaly issue, Test code-related issue")</f>
        <v>Configuration issue, Program anomaly issue, Test code-related issue</v>
      </c>
      <c r="C72" s="105"/>
      <c r="D72" s="105" t="str">
        <f>IFERROR(__xludf.DUMMYFUNCTION("""COMPUTED_VALUE"""),"clarifying::development::process::(issue::tracker)")</f>
        <v>clarifying::development::process::(issue::tracker)</v>
      </c>
      <c r="E72" s="105"/>
      <c r="F72" s="105" t="str">
        <f>IFERROR(__xludf.DUMMYFUNCTION("""COMPUTED_VALUE"""),"asking::for::plan::development::process::(move::project::outside::nova)")</f>
        <v>asking::for::plan::development::process::(move::project::outside::nova)</v>
      </c>
      <c r="G72" s="105"/>
      <c r="H72" s="105" t="str">
        <f>IFERROR(__xludf.DUMMYFUNCTION("""COMPUTED_VALUE"""),"testing::(tempest::tests)")</f>
        <v>testing::(tempest::tests)</v>
      </c>
      <c r="I72" s="105" t="str">
        <f>IFERROR(__xludf.DUMMYFUNCTION("""COMPUTED_VALUE"""),"requirements::txt")</f>
        <v>requirements::txt</v>
      </c>
      <c r="J72" s="105"/>
      <c r="K72" s="105"/>
      <c r="L72" s="105"/>
      <c r="M72" s="105"/>
      <c r="N72" s="105"/>
      <c r="O72" s="105"/>
      <c r="P72" s="105" t="str">
        <f>IFERROR(__xludf.DUMMYFUNCTION("""COMPUTED_VALUE"""),"approval::for::submitting::granted::(non::final)::core::rev::(vote12)")</f>
        <v>approval::for::submitting::granted::(non::final)::core::rev::(vote12)</v>
      </c>
      <c r="Q72" s="105"/>
      <c r="R72" s="105"/>
      <c r="S72" s="105"/>
      <c r="T72" s="105"/>
      <c r="U72" s="105"/>
      <c r="V72" s="105"/>
      <c r="W72" s="105"/>
      <c r="X72" s="105"/>
      <c r="Y72" s="105"/>
      <c r="Z72" s="105"/>
    </row>
    <row r="73">
      <c r="A73" s="105" t="str">
        <f>IFERROR(__xludf.DUMMYFUNCTION("""COMPUTED_VALUE"""),"culprit::related::to::identified::regression::(link::to::review)")</f>
        <v>culprit::related::to::identified::regression::(link::to::review)</v>
      </c>
      <c r="B73" s="105" t="str">
        <f>IFERROR(__xludf.DUMMYFUNCTION("""COMPUTED_VALUE"""),"Configuration issue, Security issue, Program anomaly issue")</f>
        <v>Configuration issue, Security issue, Program anomaly issue</v>
      </c>
      <c r="C73" s="105"/>
      <c r="D73" s="105" t="str">
        <f>IFERROR(__xludf.DUMMYFUNCTION("""COMPUTED_VALUE"""),"clarifying::development::process::(justification::approach)")</f>
        <v>clarifying::development::process::(justification::approach)</v>
      </c>
      <c r="E73" s="105"/>
      <c r="F73" s="105" t="str">
        <f>IFERROR(__xludf.DUMMYFUNCTION("""COMPUTED_VALUE"""),"asking::for:.an::existing::Bug/BP::to:.work::on")</f>
        <v>asking::for:.an::existing::Bug/BP::to:.work::on</v>
      </c>
      <c r="G73" s="105"/>
      <c r="H73" s="105" t="str">
        <f>IFERROR(__xludf.DUMMYFUNCTION("""COMPUTED_VALUE"""),"testing::(unit::tests)")</f>
        <v>testing::(unit::tests)</v>
      </c>
      <c r="I73" s="105" t="str">
        <f>IFERROR(__xludf.DUMMYFUNCTION("""COMPUTED_VALUE"""),"requirements::txt::(test)")</f>
        <v>requirements::txt::(test)</v>
      </c>
      <c r="J73" s="105"/>
      <c r="K73" s="105"/>
      <c r="L73" s="105"/>
      <c r="M73" s="105"/>
      <c r="N73" s="105"/>
      <c r="O73" s="105"/>
      <c r="P73" s="105" t="str">
        <f>IFERROR(__xludf.DUMMYFUNCTION("""COMPUTED_VALUE"""),"approval::for::submitting::granted::(non::final)::core::rev::(vote2)")</f>
        <v>approval::for::submitting::granted::(non::final)::core::rev::(vote2)</v>
      </c>
      <c r="Q73" s="105"/>
      <c r="R73" s="105"/>
      <c r="S73" s="105"/>
      <c r="T73" s="105"/>
      <c r="U73" s="105"/>
      <c r="V73" s="105"/>
      <c r="W73" s="105"/>
      <c r="X73" s="105"/>
      <c r="Y73" s="105"/>
      <c r="Z73" s="105"/>
    </row>
    <row r="74">
      <c r="A74" s="105" t="str">
        <f>IFERROR(__xludf.DUMMYFUNCTION("""COMPUTED_VALUE"""),"debugging")</f>
        <v>debugging</v>
      </c>
      <c r="B74" s="105" t="str">
        <f>IFERROR(__xludf.DUMMYFUNCTION("""COMPUTED_VALUE"""),"Configuration issue, Security issue, Test code-related issue")</f>
        <v>Configuration issue, Security issue, Test code-related issue</v>
      </c>
      <c r="C74" s="105"/>
      <c r="D74" s="105" t="str">
        <f>IFERROR(__xludf.DUMMYFUNCTION("""COMPUTED_VALUE"""),"code::reviews::required")</f>
        <v>code::reviews::required</v>
      </c>
      <c r="E74" s="105"/>
      <c r="F74" s="105" t="str">
        <f>IFERROR(__xludf.DUMMYFUNCTION("""COMPUTED_VALUE"""),"asking::if::different::bug::could::be::related::to::current::bug")</f>
        <v>asking::if::different::bug::could::be::related::to::current::bug</v>
      </c>
      <c r="G74" s="105"/>
      <c r="H74" s="105" t="str">
        <f>IFERROR(__xludf.DUMMYFUNCTION("""COMPUTED_VALUE"""),"undesired::behaviour")</f>
        <v>undesired::behaviour</v>
      </c>
      <c r="I74" s="105" t="str">
        <f>IFERROR(__xludf.DUMMYFUNCTION("""COMPUTED_VALUE"""),"Setuptools")</f>
        <v>Setuptools</v>
      </c>
      <c r="J74" s="105"/>
      <c r="K74" s="105"/>
      <c r="L74" s="105"/>
      <c r="M74" s="105"/>
      <c r="N74" s="105"/>
      <c r="O74" s="105"/>
      <c r="P74" s="105" t="str">
        <f>IFERROR(__xludf.DUMMYFUNCTION("""COMPUTED_VALUE"""),"approval::for::submitting::granted::(non::final)::core::rev::(vote3)")</f>
        <v>approval::for::submitting::granted::(non::final)::core::rev::(vote3)</v>
      </c>
      <c r="Q74" s="105"/>
      <c r="R74" s="105"/>
      <c r="S74" s="105"/>
      <c r="T74" s="105"/>
      <c r="U74" s="105"/>
      <c r="V74" s="105"/>
      <c r="W74" s="105"/>
      <c r="X74" s="105"/>
      <c r="Y74" s="105"/>
      <c r="Z74" s="105"/>
    </row>
    <row r="75">
      <c r="A75" s="105" t="str">
        <f>IFERROR(__xludf.DUMMYFUNCTION("""COMPUTED_VALUE"""),"desired::behaviour")</f>
        <v>desired::behaviour</v>
      </c>
      <c r="B75" s="105" t="str">
        <f>IFERROR(__xludf.DUMMYFUNCTION("""COMPUTED_VALUE"""),"Database-related issue, GUI-related issue, Network issue")</f>
        <v>Database-related issue, GUI-related issue, Network issue</v>
      </c>
      <c r="C75" s="105"/>
      <c r="D75" s="105" t="str">
        <f>IFERROR(__xludf.DUMMYFUNCTION("""COMPUTED_VALUE"""),"command::line::output")</f>
        <v>command::line::output</v>
      </c>
      <c r="E75" s="105"/>
      <c r="F75" s="105" t="str">
        <f>IFERROR(__xludf.DUMMYFUNCTION("""COMPUTED_VALUE"""),"asking::plans::move::project::ouside::nova")</f>
        <v>asking::plans::move::project::ouside::nova</v>
      </c>
      <c r="G75" s="105"/>
      <c r="H75" s="105" t="str">
        <f>IFERROR(__xludf.DUMMYFUNCTION("""COMPUTED_VALUE"""),"units::of::work")</f>
        <v>units::of::work</v>
      </c>
      <c r="I75" s="105" t="str">
        <f>IFERROR(__xludf.DUMMYFUNCTION("""COMPUTED_VALUE"""),"SIGAR")</f>
        <v>SIGAR</v>
      </c>
      <c r="J75" s="105"/>
      <c r="K75" s="105"/>
      <c r="L75" s="105"/>
      <c r="M75" s="105"/>
      <c r="N75" s="105"/>
      <c r="O75" s="105"/>
      <c r="P75" s="105" t="str">
        <f>IFERROR(__xludf.DUMMYFUNCTION("""COMPUTED_VALUE"""),"approval::for::submitting::granted::(non::final)::core::rev::(vote4)")</f>
        <v>approval::for::submitting::granted::(non::final)::core::rev::(vote4)</v>
      </c>
      <c r="Q75" s="105"/>
      <c r="R75" s="105"/>
      <c r="S75" s="105"/>
      <c r="T75" s="105"/>
      <c r="U75" s="105"/>
      <c r="V75" s="105"/>
      <c r="W75" s="105"/>
      <c r="X75" s="105"/>
      <c r="Y75" s="105"/>
      <c r="Z75" s="105"/>
    </row>
    <row r="76">
      <c r="A76" s="105" t="str">
        <f>IFERROR(__xludf.DUMMYFUNCTION("""COMPUTED_VALUE"""),"details::on::the::involved::hardware")</f>
        <v>details::on::the::involved::hardware</v>
      </c>
      <c r="B76" s="105" t="str">
        <f>IFERROR(__xludf.DUMMYFUNCTION("""COMPUTED_VALUE"""),"Database-related issue, GUI-related issue, Performance issue")</f>
        <v>Database-related issue, GUI-related issue, Performance issue</v>
      </c>
      <c r="C76" s="105"/>
      <c r="D76" s="105" t="str">
        <f>IFERROR(__xludf.DUMMYFUNCTION("""COMPUTED_VALUE"""),"commenting::development::process::(schedule/time)")</f>
        <v>commenting::development::process::(schedule/time)</v>
      </c>
      <c r="E76" s="105"/>
      <c r="F76" s="105" t="str">
        <f>IFERROR(__xludf.DUMMYFUNCTION("""COMPUTED_VALUE"""),"asking::reason::for::(move::project::outside::nova)")</f>
        <v>asking::reason::for::(move::project::outside::nova)</v>
      </c>
      <c r="G76" s="105"/>
      <c r="H76" s="105" t="str">
        <f>IFERROR(__xludf.DUMMYFUNCTION("""COMPUTED_VALUE"""),"use::cases::of::the::BP")</f>
        <v>use::cases::of::the::BP</v>
      </c>
      <c r="I76" s="105" t="str">
        <f>IFERROR(__xludf.DUMMYFUNCTION("""COMPUTED_VALUE"""),"slf4j")</f>
        <v>slf4j</v>
      </c>
      <c r="J76" s="105"/>
      <c r="K76" s="105"/>
      <c r="L76" s="105"/>
      <c r="M76" s="105"/>
      <c r="N76" s="105"/>
      <c r="O76" s="105"/>
      <c r="P76" s="105" t="str">
        <f>IFERROR(__xludf.DUMMYFUNCTION("""COMPUTED_VALUE"""),"approval::for::submitting::granted::(non::final)::core::rev::(vote5)")</f>
        <v>approval::for::submitting::granted::(non::final)::core::rev::(vote5)</v>
      </c>
      <c r="Q76" s="105"/>
      <c r="R76" s="105"/>
      <c r="S76" s="105"/>
      <c r="T76" s="105"/>
      <c r="U76" s="105"/>
      <c r="V76" s="105"/>
      <c r="W76" s="105"/>
      <c r="X76" s="105"/>
      <c r="Y76" s="105"/>
      <c r="Z76" s="105"/>
    </row>
    <row r="77">
      <c r="A77" s="105" t="str">
        <f>IFERROR(__xludf.DUMMYFUNCTION("""COMPUTED_VALUE"""),"disagreeing::bug::description")</f>
        <v>disagreeing::bug::description</v>
      </c>
      <c r="B77" s="105" t="str">
        <f>IFERROR(__xludf.DUMMYFUNCTION("""COMPUTED_VALUE"""),"Database-related issue, GUI-related issue, Permission/deprecation issue")</f>
        <v>Database-related issue, GUI-related issue, Permission/deprecation issue</v>
      </c>
      <c r="C77" s="105"/>
      <c r="D77" s="105" t="str">
        <f>IFERROR(__xludf.DUMMYFUNCTION("""COMPUTED_VALUE"""),"commenting::development::process::(why::blocked)")</f>
        <v>commenting::development::process::(why::blocked)</v>
      </c>
      <c r="E77" s="105"/>
      <c r="F77" s="105" t="str">
        <f>IFERROR(__xludf.DUMMYFUNCTION("""COMPUTED_VALUE"""),"asking::to::review::in::related::changes::of::the::project")</f>
        <v>asking::to::review::in::related::changes::of::the::project</v>
      </c>
      <c r="G77" s="105"/>
      <c r="H77" s="105" t="str">
        <f>IFERROR(__xludf.DUMMYFUNCTION("""COMPUTED_VALUE"""),"version::of::nova:::in::which::the::bug::was::found")</f>
        <v>version::of::nova:::in::which::the::bug::was::found</v>
      </c>
      <c r="I77" s="105" t="str">
        <f>IFERROR(__xludf.DUMMYFUNCTION("""COMPUTED_VALUE"""),"SmokeStack::CI")</f>
        <v>SmokeStack::CI</v>
      </c>
      <c r="J77" s="105"/>
      <c r="K77" s="105"/>
      <c r="L77" s="105"/>
      <c r="M77" s="105"/>
      <c r="N77" s="105"/>
      <c r="O77" s="105"/>
      <c r="P77" s="105" t="str">
        <f>IFERROR(__xludf.DUMMYFUNCTION("""COMPUTED_VALUE"""),"approval::for::submitting::granted::(non::final)::core::rev::(vote6)")</f>
        <v>approval::for::submitting::granted::(non::final)::core::rev::(vote6)</v>
      </c>
      <c r="Q77" s="105"/>
      <c r="R77" s="105"/>
      <c r="S77" s="105"/>
      <c r="T77" s="105"/>
      <c r="U77" s="105"/>
      <c r="V77" s="105"/>
      <c r="W77" s="105"/>
      <c r="X77" s="105"/>
      <c r="Y77" s="105"/>
      <c r="Z77" s="105"/>
    </row>
    <row r="78">
      <c r="A78" s="105" t="str">
        <f>IFERROR(__xludf.DUMMYFUNCTION("""COMPUTED_VALUE"""),"discussing::correct::use::of::issue::tracker")</f>
        <v>discussing::correct::use::of::issue::tracker</v>
      </c>
      <c r="B78" s="105" t="str">
        <f>IFERROR(__xludf.DUMMYFUNCTION("""COMPUTED_VALUE"""),"Database-related issue, GUI-related issue, Program anomaly issue")</f>
        <v>Database-related issue, GUI-related issue, Program anomaly issue</v>
      </c>
      <c r="C78" s="105"/>
      <c r="D78" s="105" t="str">
        <f>IFERROR(__xludf.DUMMYFUNCTION("""COMPUTED_VALUE"""),"contact::for::details")</f>
        <v>contact::for::details</v>
      </c>
      <c r="E78" s="105"/>
      <c r="F78" s="105" t="str">
        <f>IFERROR(__xludf.DUMMYFUNCTION("""COMPUTED_VALUE"""),"BP::associated::to::the::realease::of::the::same::BP")</f>
        <v>BP::associated::to::the::realease::of::the::same::BP</v>
      </c>
      <c r="G78" s="105"/>
      <c r="H78" s="105" t="str">
        <f>IFERROR(__xludf.DUMMYFUNCTION("""COMPUTED_VALUE"""),"what::is::the::bug::causing")</f>
        <v>what::is::the::bug::causing</v>
      </c>
      <c r="I78" s="105" t="str">
        <f>IFERROR(__xludf.DUMMYFUNCTION("""COMPUTED_VALUE"""),"smoketests")</f>
        <v>smoketests</v>
      </c>
      <c r="J78" s="105"/>
      <c r="K78" s="105"/>
      <c r="L78" s="105"/>
      <c r="M78" s="105"/>
      <c r="N78" s="105"/>
      <c r="O78" s="105"/>
      <c r="P78" s="105" t="str">
        <f>IFERROR(__xludf.DUMMYFUNCTION("""COMPUTED_VALUE"""),"approval::for::submitting::granted::(non::final)::core::rev::(vote7)")</f>
        <v>approval::for::submitting::granted::(non::final)::core::rev::(vote7)</v>
      </c>
      <c r="Q78" s="105"/>
      <c r="R78" s="105"/>
      <c r="S78" s="105"/>
      <c r="T78" s="105"/>
      <c r="U78" s="105"/>
      <c r="V78" s="105"/>
      <c r="W78" s="105"/>
      <c r="X78" s="105"/>
      <c r="Y78" s="105"/>
      <c r="Z78" s="105"/>
    </row>
    <row r="79">
      <c r="A79" s="105" t="str">
        <f>IFERROR(__xludf.DUMMYFUNCTION("""COMPUTED_VALUE"""),"displays::error::message")</f>
        <v>displays::error::message</v>
      </c>
      <c r="B79" s="105" t="str">
        <f>IFERROR(__xludf.DUMMYFUNCTION("""COMPUTED_VALUE"""),"Database-related issue, GUI-related issue, Security issue")</f>
        <v>Database-related issue, GUI-related issue, Security issue</v>
      </c>
      <c r="C79" s="105"/>
      <c r="D79" s="105" t="str">
        <f>IFERROR(__xludf.DUMMYFUNCTION("""COMPUTED_VALUE"""),"correction::of::previous::statement")</f>
        <v>correction::of::previous::statement</v>
      </c>
      <c r="E79" s="105"/>
      <c r="F79" s="105" t="str">
        <f>IFERROR(__xludf.DUMMYFUNCTION("""COMPUTED_VALUE"""),"clarification::on::discussing::solution::design::(requirements::of::the::solution)")</f>
        <v>clarification::on::discussing::solution::design::(requirements::of::the::solution)</v>
      </c>
      <c r="G79" s="105"/>
      <c r="H79" s="105"/>
      <c r="I79" s="105" t="str">
        <f>IFERROR(__xludf.DUMMYFUNCTION("""COMPUTED_VALUE"""),"Smoketests::CI")</f>
        <v>Smoketests::CI</v>
      </c>
      <c r="J79" s="105"/>
      <c r="K79" s="105"/>
      <c r="L79" s="105"/>
      <c r="M79" s="105"/>
      <c r="N79" s="105"/>
      <c r="O79" s="105"/>
      <c r="P79" s="105" t="str">
        <f>IFERROR(__xludf.DUMMYFUNCTION("""COMPUTED_VALUE"""),"approval::for::submitting::granted::(non::final)::core::rev::(vote8)")</f>
        <v>approval::for::submitting::granted::(non::final)::core::rev::(vote8)</v>
      </c>
      <c r="Q79" s="105"/>
      <c r="R79" s="105"/>
      <c r="S79" s="105"/>
      <c r="T79" s="105"/>
      <c r="U79" s="105"/>
      <c r="V79" s="105"/>
      <c r="W79" s="105"/>
      <c r="X79" s="105"/>
      <c r="Y79" s="105"/>
      <c r="Z79" s="105"/>
    </row>
    <row r="80">
      <c r="A80" s="105" t="str">
        <f>IFERROR(__xludf.DUMMYFUNCTION("""COMPUTED_VALUE"""),"displays::error::message::(logs)")</f>
        <v>displays::error::message::(logs)</v>
      </c>
      <c r="B80" s="105" t="str">
        <f>IFERROR(__xludf.DUMMYFUNCTION("""COMPUTED_VALUE"""),"Database-related issue, GUI-related issue, Test code-related issue")</f>
        <v>Database-related issue, GUI-related issue, Test code-related issue</v>
      </c>
      <c r="C80" s="105"/>
      <c r="D80" s="105" t="str">
        <f>IFERROR(__xludf.DUMMYFUNCTION("""COMPUTED_VALUE"""),"covered::areas:.of::the::project:.in::the::bp/feature")</f>
        <v>covered::areas:.of::the::project:.in::the::bp/feature</v>
      </c>
      <c r="E80" s="105"/>
      <c r="F80" s="105" t="str">
        <f>IFERROR(__xludf.DUMMYFUNCTION("""COMPUTED_VALUE"""),"clarifications::about::question::of::bp/feature::in::previous::mail")</f>
        <v>clarifications::about::question::of::bp/feature::in::previous::mail</v>
      </c>
      <c r="G80" s="105"/>
      <c r="H80" s="105"/>
      <c r="I80" s="105" t="str">
        <f>IFERROR(__xludf.DUMMYFUNCTION("""COMPUTED_VALUE"""),"Sphinx")</f>
        <v>Sphinx</v>
      </c>
      <c r="J80" s="105"/>
      <c r="K80" s="105"/>
      <c r="L80" s="105"/>
      <c r="M80" s="105"/>
      <c r="N80" s="105"/>
      <c r="O80" s="105"/>
      <c r="P80" s="105" t="str">
        <f>IFERROR(__xludf.DUMMYFUNCTION("""COMPUTED_VALUE"""),"approval::for::submitting::granted::(non::final)::core::rev::(vote9)")</f>
        <v>approval::for::submitting::granted::(non::final)::core::rev::(vote9)</v>
      </c>
      <c r="Q80" s="105"/>
      <c r="R80" s="105"/>
      <c r="S80" s="105"/>
      <c r="T80" s="105"/>
      <c r="U80" s="105"/>
      <c r="V80" s="105"/>
      <c r="W80" s="105"/>
      <c r="X80" s="105"/>
      <c r="Y80" s="105"/>
      <c r="Z80" s="105"/>
    </row>
    <row r="81">
      <c r="A81" s="105" t="str">
        <f>IFERROR(__xludf.DUMMYFUNCTION("""COMPUTED_VALUE"""),"displays::logs::of::previous::behaviour")</f>
        <v>displays::logs::of::previous::behaviour</v>
      </c>
      <c r="B81" s="105" t="str">
        <f>IFERROR(__xludf.DUMMYFUNCTION("""COMPUTED_VALUE"""),"Database-related issue, Network issue, Performance issue")</f>
        <v>Database-related issue, Network issue, Performance issue</v>
      </c>
      <c r="C81" s="105"/>
      <c r="D81" s="105" t="str">
        <f>IFERROR(__xludf.DUMMYFUNCTION("""COMPUTED_VALUE"""),"current::situation::(why::feature::is::needed)")</f>
        <v>current::situation::(why::feature::is::needed)</v>
      </c>
      <c r="E81" s="105"/>
      <c r="F81" s="105" t="str">
        <f>IFERROR(__xludf.DUMMYFUNCTION("""COMPUTED_VALUE"""),"clarifications::about::question::of::bp/feature::in::previous::mail::(to::external::developer::by::external::developer)")</f>
        <v>clarifications::about::question::of::bp/feature::in::previous::mail::(to::external::developer::by::external::developer)</v>
      </c>
      <c r="G81" s="105"/>
      <c r="H81" s="105"/>
      <c r="I81" s="105" t="str">
        <f>IFERROR(__xludf.DUMMYFUNCTION("""COMPUTED_VALUE"""),"Tempest")</f>
        <v>Tempest</v>
      </c>
      <c r="J81" s="105"/>
      <c r="K81" s="105"/>
      <c r="L81" s="105"/>
      <c r="M81" s="105"/>
      <c r="N81" s="105"/>
      <c r="O81" s="105"/>
      <c r="P81" s="105" t="str">
        <f>IFERROR(__xludf.DUMMYFUNCTION("""COMPUTED_VALUE"""),"approval::for::submitting::granted::(non::final)::core::rev1")</f>
        <v>approval::for::submitting::granted::(non::final)::core::rev1</v>
      </c>
      <c r="Q81" s="105"/>
      <c r="R81" s="105"/>
      <c r="S81" s="105"/>
      <c r="T81" s="105"/>
      <c r="U81" s="105"/>
      <c r="V81" s="105"/>
      <c r="W81" s="105"/>
      <c r="X81" s="105"/>
      <c r="Y81" s="105"/>
      <c r="Z81" s="105"/>
    </row>
    <row r="82">
      <c r="A82" s="105" t="str">
        <f>IFERROR(__xludf.DUMMYFUNCTION("""COMPUTED_VALUE"""),"displays::logs::of::the::behaviour")</f>
        <v>displays::logs::of::the::behaviour</v>
      </c>
      <c r="B82" s="105" t="str">
        <f>IFERROR(__xludf.DUMMYFUNCTION("""COMPUTED_VALUE"""),"Database-related issue, Network issue, Permission/deprecation issue")</f>
        <v>Database-related issue, Network issue, Permission/deprecation issue</v>
      </c>
      <c r="C82" s="105"/>
      <c r="D82" s="105" t="str">
        <f>IFERROR(__xludf.DUMMYFUNCTION("""COMPUTED_VALUE"""),"deadline::missed::feature:freeze")</f>
        <v>deadline::missed::feature:freeze</v>
      </c>
      <c r="E82" s="105"/>
      <c r="F82" s="105" t="str">
        <f>IFERROR(__xludf.DUMMYFUNCTION("""COMPUTED_VALUE"""),"clarifications::about::question::of::bp/feature::in::previous::mail::(to::external::developer)")</f>
        <v>clarifications::about::question::of::bp/feature::in::previous::mail::(to::external::developer)</v>
      </c>
      <c r="G82" s="105"/>
      <c r="H82" s="105"/>
      <c r="I82" s="105" t="str">
        <f>IFERROR(__xludf.DUMMYFUNCTION("""COMPUTED_VALUE"""),"testng")</f>
        <v>testng</v>
      </c>
      <c r="J82" s="105"/>
      <c r="K82" s="105"/>
      <c r="L82" s="105"/>
      <c r="M82" s="105"/>
      <c r="N82" s="105"/>
      <c r="O82" s="105"/>
      <c r="P82" s="105" t="str">
        <f>IFERROR(__xludf.DUMMYFUNCTION("""COMPUTED_VALUE"""),"approval::for::submitting::granted::(non::final)::core::rev10")</f>
        <v>approval::for::submitting::granted::(non::final)::core::rev10</v>
      </c>
      <c r="Q82" s="105"/>
      <c r="R82" s="105"/>
      <c r="S82" s="105"/>
      <c r="T82" s="105"/>
      <c r="U82" s="105"/>
      <c r="V82" s="105"/>
      <c r="W82" s="105"/>
      <c r="X82" s="105"/>
      <c r="Y82" s="105"/>
      <c r="Z82" s="105"/>
    </row>
    <row r="83">
      <c r="A83" s="105" t="str">
        <f>IFERROR(__xludf.DUMMYFUNCTION("""COMPUTED_VALUE"""),"displays::logs::of::the::behaviour::with:.extra::debugging")</f>
        <v>displays::logs::of::the::behaviour::with:.extra::debugging</v>
      </c>
      <c r="B83" s="105" t="str">
        <f>IFERROR(__xludf.DUMMYFUNCTION("""COMPUTED_VALUE"""),"Database-related issue, Network issue, Program anomaly issue")</f>
        <v>Database-related issue, Network issue, Program anomaly issue</v>
      </c>
      <c r="C83" s="105"/>
      <c r="D83" s="105" t="str">
        <f>IFERROR(__xludf.DUMMYFUNCTION("""COMPUTED_VALUE"""),"deferred::to::later::release")</f>
        <v>deferred::to::later::release</v>
      </c>
      <c r="E83" s="105"/>
      <c r="F83" s="105" t="str">
        <f>IFERROR(__xludf.DUMMYFUNCTION("""COMPUTED_VALUE"""),"clarified::concepts::of::the::mentioned::BP")</f>
        <v>clarified::concepts::of::the::mentioned::BP</v>
      </c>
      <c r="G83" s="105"/>
      <c r="H83" s="105"/>
      <c r="I83" s="105" t="str">
        <f>IFERROR(__xludf.DUMMYFUNCTION("""COMPUTED_VALUE"""),"Testools")</f>
        <v>Testools</v>
      </c>
      <c r="J83" s="105"/>
      <c r="K83" s="105"/>
      <c r="L83" s="105"/>
      <c r="M83" s="105"/>
      <c r="N83" s="105"/>
      <c r="O83" s="105"/>
      <c r="P83" s="105" t="str">
        <f>IFERROR(__xludf.DUMMYFUNCTION("""COMPUTED_VALUE"""),"approval::for::submitting::granted::(non::final)::core::rev11")</f>
        <v>approval::for::submitting::granted::(non::final)::core::rev11</v>
      </c>
      <c r="Q83" s="105"/>
      <c r="R83" s="105"/>
      <c r="S83" s="105"/>
      <c r="T83" s="105"/>
      <c r="U83" s="105"/>
      <c r="V83" s="105"/>
      <c r="W83" s="105"/>
      <c r="X83" s="105"/>
      <c r="Y83" s="105"/>
      <c r="Z83" s="105"/>
    </row>
    <row r="84">
      <c r="A84" s="105" t="str">
        <f>IFERROR(__xludf.DUMMYFUNCTION("""COMPUTED_VALUE"""),"displays::logs::of::the::behaviour::with:.extra::explanation")</f>
        <v>displays::logs::of::the::behaviour::with:.extra::explanation</v>
      </c>
      <c r="B84" s="105" t="str">
        <f>IFERROR(__xludf.DUMMYFUNCTION("""COMPUTED_VALUE"""),"Database-related issue, Network issue, Security issue")</f>
        <v>Database-related issue, Network issue, Security issue</v>
      </c>
      <c r="C84" s="105"/>
      <c r="D84" s="105" t="str">
        <f>IFERROR(__xludf.DUMMYFUNCTION("""COMPUTED_VALUE"""),"deferred::to::later::release1")</f>
        <v>deferred::to::later::release1</v>
      </c>
      <c r="E84" s="105"/>
      <c r="F84" s="105" t="str">
        <f>IFERROR(__xludf.DUMMYFUNCTION("""COMPUTED_VALUE"""),"clarify::the::differences::of::the::BP/feature::with::the::needs")</f>
        <v>clarify::the::differences::of::the::BP/feature::with::the::needs</v>
      </c>
      <c r="G84" s="105"/>
      <c r="H84" s="105"/>
      <c r="I84" s="105" t="str">
        <f>IFERROR(__xludf.DUMMYFUNCTION("""COMPUTED_VALUE"""),"testr::(coverage)")</f>
        <v>testr::(coverage)</v>
      </c>
      <c r="J84" s="105"/>
      <c r="K84" s="105"/>
      <c r="L84" s="105"/>
      <c r="M84" s="105"/>
      <c r="N84" s="105"/>
      <c r="O84" s="105"/>
      <c r="P84" s="105" t="str">
        <f>IFERROR(__xludf.DUMMYFUNCTION("""COMPUTED_VALUE"""),"approval::for::submitting::granted::(non::final)::core::rev2")</f>
        <v>approval::for::submitting::granted::(non::final)::core::rev2</v>
      </c>
      <c r="Q84" s="105"/>
      <c r="R84" s="105"/>
      <c r="S84" s="105"/>
      <c r="T84" s="105"/>
      <c r="U84" s="105"/>
      <c r="V84" s="105"/>
      <c r="W84" s="105"/>
      <c r="X84" s="105"/>
      <c r="Y84" s="105"/>
      <c r="Z84" s="105"/>
    </row>
    <row r="85">
      <c r="A85" s="105" t="str">
        <f>IFERROR(__xludf.DUMMYFUNCTION("""COMPUTED_VALUE"""),"displays:.contradiction::tests::sucess::and::log")</f>
        <v>displays:.contradiction::tests::sucess::and::log</v>
      </c>
      <c r="B85" s="105" t="str">
        <f>IFERROR(__xludf.DUMMYFUNCTION("""COMPUTED_VALUE"""),"Database-related issue, Network issue, Test code-related issue")</f>
        <v>Database-related issue, Network issue, Test code-related issue</v>
      </c>
      <c r="C85" s="105"/>
      <c r="D85" s="105" t="str">
        <f>IFERROR(__xludf.DUMMYFUNCTION("""COMPUTED_VALUE"""),"dependencies::of::the::BP::in::development::process")</f>
        <v>dependencies::of::the::BP::in::development::process</v>
      </c>
      <c r="E85" s="105"/>
      <c r="F85" s="105" t="str">
        <f>IFERROR(__xludf.DUMMYFUNCTION("""COMPUTED_VALUE"""),"clarifying::design::based::on::functionallity::(current::code)::previous::related::developments")</f>
        <v>clarifying::design::based::on::functionallity::(current::code)::previous::related::developments</v>
      </c>
      <c r="G85" s="105"/>
      <c r="H85" s="105"/>
      <c r="I85" s="105" t="str">
        <f>IFERROR(__xludf.DUMMYFUNCTION("""COMPUTED_VALUE"""),"testr::(unit::test)")</f>
        <v>testr::(unit::test)</v>
      </c>
      <c r="J85" s="105"/>
      <c r="K85" s="105"/>
      <c r="L85" s="105"/>
      <c r="M85" s="105"/>
      <c r="N85" s="105"/>
      <c r="O85" s="105"/>
      <c r="P85" s="105" t="str">
        <f>IFERROR(__xludf.DUMMYFUNCTION("""COMPUTED_VALUE"""),"approval::for::submitting::granted::(non::final)::core::rev3")</f>
        <v>approval::for::submitting::granted::(non::final)::core::rev3</v>
      </c>
      <c r="Q85" s="105"/>
      <c r="R85" s="105"/>
      <c r="S85" s="105"/>
      <c r="T85" s="105"/>
      <c r="U85" s="105"/>
      <c r="V85" s="105"/>
      <c r="W85" s="105"/>
      <c r="X85" s="105"/>
      <c r="Y85" s="105"/>
      <c r="Z85" s="105"/>
    </row>
    <row r="86">
      <c r="A86" s="105" t="str">
        <f>IFERROR(__xludf.DUMMYFUNCTION("""COMPUTED_VALUE"""),"disussing::possible::solutions")</f>
        <v>disussing::possible::solutions</v>
      </c>
      <c r="B86" s="105" t="str">
        <f>IFERROR(__xludf.DUMMYFUNCTION("""COMPUTED_VALUE"""),"Database-related issue, Performance issue, Permission/deprecation issue")</f>
        <v>Database-related issue, Performance issue, Permission/deprecation issue</v>
      </c>
      <c r="C86" s="105"/>
      <c r="D86" s="105" t="str">
        <f>IFERROR(__xludf.DUMMYFUNCTION("""COMPUTED_VALUE"""),"dependency::on::other::feature")</f>
        <v>dependency::on::other::feature</v>
      </c>
      <c r="E86" s="105"/>
      <c r="F86" s="105" t="str">
        <f>IFERROR(__xludf.DUMMYFUNCTION("""COMPUTED_VALUE"""),"commenting::about::the::voting::given::to::the::features/bugs::of::the::BP")</f>
        <v>commenting::about::the::voting::given::to::the::features/bugs::of::the::BP</v>
      </c>
      <c r="G86" s="105"/>
      <c r="H86" s="105"/>
      <c r="I86" s="105" t="str">
        <f>IFERROR(__xludf.DUMMYFUNCTION("""COMPUTED_VALUE"""),"Testrepository*")</f>
        <v>Testrepository*</v>
      </c>
      <c r="J86" s="105"/>
      <c r="K86" s="105"/>
      <c r="L86" s="105"/>
      <c r="M86" s="105"/>
      <c r="N86" s="105"/>
      <c r="O86" s="105"/>
      <c r="P86" s="105" t="str">
        <f>IFERROR(__xludf.DUMMYFUNCTION("""COMPUTED_VALUE"""),"approval::for::submitting::granted::(non::final)::core::rev4")</f>
        <v>approval::for::submitting::granted::(non::final)::core::rev4</v>
      </c>
      <c r="Q86" s="105"/>
      <c r="R86" s="105"/>
      <c r="S86" s="105"/>
      <c r="T86" s="105"/>
      <c r="U86" s="105"/>
      <c r="V86" s="105"/>
      <c r="W86" s="105"/>
      <c r="X86" s="105"/>
      <c r="Y86" s="105"/>
      <c r="Z86" s="105"/>
    </row>
    <row r="87">
      <c r="A87" s="105" t="str">
        <f>IFERROR(__xludf.DUMMYFUNCTION("""COMPUTED_VALUE"""),"example::output")</f>
        <v>example::output</v>
      </c>
      <c r="B87" s="105" t="str">
        <f>IFERROR(__xludf.DUMMYFUNCTION("""COMPUTED_VALUE"""),"Database-related issue, Performance issue, Program anomaly issue")</f>
        <v>Database-related issue, Performance issue, Program anomaly issue</v>
      </c>
      <c r="C87" s="105"/>
      <c r="D87" s="105" t="str">
        <f>IFERROR(__xludf.DUMMYFUNCTION("""COMPUTED_VALUE"""),"dependency::on::other::feature::(no::longer::given)")</f>
        <v>dependency::on::other::feature::(no::longer::given)</v>
      </c>
      <c r="E87" s="105"/>
      <c r="F87" s="105" t="str">
        <f>IFERROR(__xludf.DUMMYFUNCTION("""COMPUTED_VALUE"""),"commiting::to::review")</f>
        <v>commiting::to::review</v>
      </c>
      <c r="G87" s="105"/>
      <c r="H87" s="105"/>
      <c r="I87" s="105" t="str">
        <f>IFERROR(__xludf.DUMMYFUNCTION("""COMPUTED_VALUE"""),"testtools::(unit::test::debugging)")</f>
        <v>testtools::(unit::test::debugging)</v>
      </c>
      <c r="J87" s="105"/>
      <c r="K87" s="105"/>
      <c r="L87" s="105"/>
      <c r="M87" s="105"/>
      <c r="N87" s="105"/>
      <c r="O87" s="105"/>
      <c r="P87" s="105" t="str">
        <f>IFERROR(__xludf.DUMMYFUNCTION("""COMPUTED_VALUE"""),"approval::for::submitting::granted::(non::final)::core::rev5")</f>
        <v>approval::for::submitting::granted::(non::final)::core::rev5</v>
      </c>
      <c r="Q87" s="105"/>
      <c r="R87" s="105"/>
      <c r="S87" s="105"/>
      <c r="T87" s="105"/>
      <c r="U87" s="105"/>
      <c r="V87" s="105"/>
      <c r="W87" s="105"/>
      <c r="X87" s="105"/>
      <c r="Y87" s="105"/>
      <c r="Z87" s="105"/>
    </row>
    <row r="88">
      <c r="A88" s="105" t="str">
        <f>IFERROR(__xludf.DUMMYFUNCTION("""COMPUTED_VALUE"""),"expected::behaviour")</f>
        <v>expected::behaviour</v>
      </c>
      <c r="B88" s="105" t="str">
        <f>IFERROR(__xludf.DUMMYFUNCTION("""COMPUTED_VALUE"""),"Database-related issue, Performance issue, Security issue")</f>
        <v>Database-related issue, Performance issue, Security issue</v>
      </c>
      <c r="C88" s="105"/>
      <c r="D88" s="105" t="str">
        <f>IFERROR(__xludf.DUMMYFUNCTION("""COMPUTED_VALUE"""),"dependency::tree")</f>
        <v>dependency::tree</v>
      </c>
      <c r="E88" s="105"/>
      <c r="F88" s="105" t="str">
        <f>IFERROR(__xludf.DUMMYFUNCTION("""COMPUTED_VALUE"""),"commiting::to::review::due::to::previous::experience::with::topic")</f>
        <v>commiting::to::review::due::to::previous::experience::with::topic</v>
      </c>
      <c r="G88" s="105"/>
      <c r="H88" s="105"/>
      <c r="I88" s="105" t="str">
        <f>IFERROR(__xludf.DUMMYFUNCTION("""COMPUTED_VALUE"""),"Tox")</f>
        <v>Tox</v>
      </c>
      <c r="J88" s="105"/>
      <c r="K88" s="105"/>
      <c r="L88" s="105"/>
      <c r="M88" s="105"/>
      <c r="N88" s="105"/>
      <c r="O88" s="105"/>
      <c r="P88" s="105" t="str">
        <f>IFERROR(__xludf.DUMMYFUNCTION("""COMPUTED_VALUE"""),"approval::for::submitting::granted::(non::final)::core::rev6")</f>
        <v>approval::for::submitting::granted::(non::final)::core::rev6</v>
      </c>
      <c r="Q88" s="105"/>
      <c r="R88" s="105"/>
      <c r="S88" s="105"/>
      <c r="T88" s="105"/>
      <c r="U88" s="105"/>
      <c r="V88" s="105"/>
      <c r="W88" s="105"/>
      <c r="X88" s="105"/>
      <c r="Y88" s="105"/>
      <c r="Z88" s="105"/>
    </row>
    <row r="89">
      <c r="A89" s="105" t="str">
        <f>IFERROR(__xludf.DUMMYFUNCTION("""COMPUTED_VALUE"""),"expected::behaviour::(example::from::previous::version)")</f>
        <v>expected::behaviour::(example::from::previous::version)</v>
      </c>
      <c r="B89" s="105" t="str">
        <f>IFERROR(__xludf.DUMMYFUNCTION("""COMPUTED_VALUE"""),"Database-related issue, Performance issue, Test code-related issue")</f>
        <v>Database-related issue, Performance issue, Test code-related issue</v>
      </c>
      <c r="C89" s="105"/>
      <c r="D89" s="105" t="str">
        <f>IFERROR(__xludf.DUMMYFUNCTION("""COMPUTED_VALUE"""),"disagreeing::suggestion::rename::variables")</f>
        <v>disagreeing::suggestion::rename::variables</v>
      </c>
      <c r="E89" s="105"/>
      <c r="F89" s="105" t="str">
        <f>IFERROR(__xludf.DUMMYFUNCTION("""COMPUTED_VALUE"""),"communicate::need::resources::(developers)")</f>
        <v>communicate::need::resources::(developers)</v>
      </c>
      <c r="G89" s="105"/>
      <c r="H89" s="105"/>
      <c r="I89" s="105" t="str">
        <f>IFERROR(__xludf.DUMMYFUNCTION("""COMPUTED_VALUE"""),"Tox::(testenv)")</f>
        <v>Tox::(testenv)</v>
      </c>
      <c r="J89" s="105"/>
      <c r="K89" s="105"/>
      <c r="L89" s="105"/>
      <c r="M89" s="105"/>
      <c r="N89" s="105"/>
      <c r="O89" s="105"/>
      <c r="P89" s="105" t="str">
        <f>IFERROR(__xludf.DUMMYFUNCTION("""COMPUTED_VALUE"""),"approval::for::submitting::granted::(non::final)::core::rev7")</f>
        <v>approval::for::submitting::granted::(non::final)::core::rev7</v>
      </c>
      <c r="Q89" s="105"/>
      <c r="R89" s="105"/>
      <c r="S89" s="105"/>
      <c r="T89" s="105"/>
      <c r="U89" s="105"/>
      <c r="V89" s="105"/>
      <c r="W89" s="105"/>
      <c r="X89" s="105"/>
      <c r="Y89" s="105"/>
      <c r="Z89" s="105"/>
    </row>
    <row r="90">
      <c r="A90" s="105" t="str">
        <f>IFERROR(__xludf.DUMMYFUNCTION("""COMPUTED_VALUE"""),"expected::behaviour::(logs::from::previous::version)")</f>
        <v>expected::behaviour::(logs::from::previous::version)</v>
      </c>
      <c r="B90" s="105" t="str">
        <f>IFERROR(__xludf.DUMMYFUNCTION("""COMPUTED_VALUE"""),"Database-related issue, Permission/deprecation issue, Program anomaly issue")</f>
        <v>Database-related issue, Permission/deprecation issue, Program anomaly issue</v>
      </c>
      <c r="C90" s="105"/>
      <c r="D90" s="105" t="str">
        <f>IFERROR(__xludf.DUMMYFUNCTION("""COMPUTED_VALUE"""),"disagreement::bug::already::fixed::(different::branch)")</f>
        <v>disagreement::bug::already::fixed::(different::branch)</v>
      </c>
      <c r="E90" s="105"/>
      <c r="F90" s="105" t="str">
        <f>IFERROR(__xludf.DUMMYFUNCTION("""COMPUTED_VALUE"""),"communicate::reallocate::resources::(developers)::move::project::ouside::nova")</f>
        <v>communicate::reallocate::resources::(developers)::move::project::ouside::nova</v>
      </c>
      <c r="G90" s="105"/>
      <c r="H90" s="105"/>
      <c r="I90" s="105" t="str">
        <f>IFERROR(__xludf.DUMMYFUNCTION("""COMPUTED_VALUE"""),"travis::CI")</f>
        <v>travis::CI</v>
      </c>
      <c r="J90" s="105"/>
      <c r="K90" s="105"/>
      <c r="L90" s="105"/>
      <c r="M90" s="105"/>
      <c r="N90" s="105"/>
      <c r="O90" s="105"/>
      <c r="P90" s="105" t="str">
        <f>IFERROR(__xludf.DUMMYFUNCTION("""COMPUTED_VALUE"""),"approval::for::submitting::granted::(non::final)::core::rev8")</f>
        <v>approval::for::submitting::granted::(non::final)::core::rev8</v>
      </c>
      <c r="Q90" s="105"/>
      <c r="R90" s="105"/>
      <c r="S90" s="105"/>
      <c r="T90" s="105"/>
      <c r="U90" s="105"/>
      <c r="V90" s="105"/>
      <c r="W90" s="105"/>
      <c r="X90" s="105"/>
      <c r="Y90" s="105"/>
      <c r="Z90" s="105"/>
    </row>
    <row r="91">
      <c r="A91" s="105" t="str">
        <f>IFERROR(__xludf.DUMMYFUNCTION("""COMPUTED_VALUE"""),"expected::behaviour::(output::previous::version)")</f>
        <v>expected::behaviour::(output::previous::version)</v>
      </c>
      <c r="B91" s="105" t="str">
        <f>IFERROR(__xludf.DUMMYFUNCTION("""COMPUTED_VALUE"""),"Database-related issue, Permission/deprecation issue, Security issue")</f>
        <v>Database-related issue, Permission/deprecation issue, Security issue</v>
      </c>
      <c r="C91" s="105"/>
      <c r="D91" s="105" t="str">
        <f>IFERROR(__xludf.DUMMYFUNCTION("""COMPUTED_VALUE"""),"disagreement::missing::documentation")</f>
        <v>disagreement::missing::documentation</v>
      </c>
      <c r="E91" s="105"/>
      <c r="F91" s="105" t="str">
        <f>IFERROR(__xludf.DUMMYFUNCTION("""COMPUTED_VALUE"""),"communicate::user::status::of::project")</f>
        <v>communicate::user::status::of::project</v>
      </c>
      <c r="G91" s="105"/>
      <c r="H91" s="105"/>
      <c r="I91" s="105" t="str">
        <f>IFERROR(__xludf.DUMMYFUNCTION("""COMPUTED_VALUE"""),"Twissted*")</f>
        <v>Twissted*</v>
      </c>
      <c r="J91" s="105"/>
      <c r="K91" s="105"/>
      <c r="L91" s="105"/>
      <c r="M91" s="105"/>
      <c r="N91" s="105"/>
      <c r="O91" s="105"/>
      <c r="P91" s="105" t="str">
        <f>IFERROR(__xludf.DUMMYFUNCTION("""COMPUTED_VALUE"""),"approval::for::submitting::granted::(non::final)::core::rev9")</f>
        <v>approval::for::submitting::granted::(non::final)::core::rev9</v>
      </c>
      <c r="Q91" s="105"/>
      <c r="R91" s="105"/>
      <c r="S91" s="105"/>
      <c r="T91" s="105"/>
      <c r="U91" s="105"/>
      <c r="V91" s="105"/>
      <c r="W91" s="105"/>
      <c r="X91" s="105"/>
      <c r="Y91" s="105"/>
      <c r="Z91" s="105"/>
    </row>
    <row r="92">
      <c r="A92" s="105" t="str">
        <f>IFERROR(__xludf.DUMMYFUNCTION("""COMPUTED_VALUE"""),"expected::behaviour::(output)")</f>
        <v>expected::behaviour::(output)</v>
      </c>
      <c r="B92" s="105" t="str">
        <f>IFERROR(__xludf.DUMMYFUNCTION("""COMPUTED_VALUE"""),"Database-related issue, Permission/deprecation issue, Test code-related issue")</f>
        <v>Database-related issue, Permission/deprecation issue, Test code-related issue</v>
      </c>
      <c r="C92" s="105"/>
      <c r="D92" s="105" t="str">
        <f>IFERROR(__xludf.DUMMYFUNCTION("""COMPUTED_VALUE"""),"disagreement::potential::bug::found")</f>
        <v>disagreement::potential::bug::found</v>
      </c>
      <c r="E92" s="105"/>
      <c r="F92" s="105" t="str">
        <f>IFERROR(__xludf.DUMMYFUNCTION("""COMPUTED_VALUE"""),"complaining::about::previous::bad::developing")</f>
        <v>complaining::about::previous::bad::developing</v>
      </c>
      <c r="G92" s="105"/>
      <c r="H92" s="105"/>
      <c r="I92" s="105" t="str">
        <f>IFERROR(__xludf.DUMMYFUNCTION("""COMPUTED_VALUE"""),"Unittest")</f>
        <v>Unittest</v>
      </c>
      <c r="J92" s="105"/>
      <c r="K92" s="105"/>
      <c r="L92" s="105"/>
      <c r="M92" s="105"/>
      <c r="N92" s="105"/>
      <c r="O92" s="105"/>
      <c r="P92" s="105" t="str">
        <f>IFERROR(__xludf.DUMMYFUNCTION("""COMPUTED_VALUE"""),"approval::for::submitting::granted::(non::final)1")</f>
        <v>approval::for::submitting::granted::(non::final)1</v>
      </c>
      <c r="Q92" s="105"/>
      <c r="R92" s="105"/>
      <c r="S92" s="105"/>
      <c r="T92" s="105"/>
      <c r="U92" s="105"/>
      <c r="V92" s="105"/>
      <c r="W92" s="105"/>
      <c r="X92" s="105"/>
      <c r="Y92" s="105"/>
      <c r="Z92" s="105"/>
    </row>
    <row r="93">
      <c r="A93" s="105" t="str">
        <f>IFERROR(__xludf.DUMMYFUNCTION("""COMPUTED_VALUE"""),"explanation::for::observed::behaviour")</f>
        <v>explanation::for::observed::behaviour</v>
      </c>
      <c r="B93" s="105" t="str">
        <f>IFERROR(__xludf.DUMMYFUNCTION("""COMPUTED_VALUE"""),"Database-related issue, Program anomaly issue, Test code-related issue")</f>
        <v>Database-related issue, Program anomaly issue, Test code-related issue</v>
      </c>
      <c r="C93" s="105"/>
      <c r="D93" s="105" t="str">
        <f>IFERROR(__xludf.DUMMYFUNCTION("""COMPUTED_VALUE"""),"disagreement::proposal::of::a::possible::solution::(explanation)")</f>
        <v>disagreement::proposal::of::a::possible::solution::(explanation)</v>
      </c>
      <c r="E93" s="105"/>
      <c r="F93" s="105" t="str">
        <f>IFERROR(__xludf.DUMMYFUNCTION("""COMPUTED_VALUE"""),"conditions::to::deprecate::a::feature::(not::BP)")</f>
        <v>conditions::to::deprecate::a::feature::(not::BP)</v>
      </c>
      <c r="G93" s="105"/>
      <c r="H93" s="105"/>
      <c r="I93" s="105" t="str">
        <f>IFERROR(__xludf.DUMMYFUNCTION("""COMPUTED_VALUE"""),"unittest::(unit::test)")</f>
        <v>unittest::(unit::test)</v>
      </c>
      <c r="J93" s="105"/>
      <c r="K93" s="105"/>
      <c r="L93" s="105"/>
      <c r="M93" s="105"/>
      <c r="N93" s="105"/>
      <c r="O93" s="105"/>
      <c r="P93" s="105" t="str">
        <f>IFERROR(__xludf.DUMMYFUNCTION("""COMPUTED_VALUE"""),"approval::for::submitting::granted::(non::final)10")</f>
        <v>approval::for::submitting::granted::(non::final)10</v>
      </c>
      <c r="Q93" s="105"/>
      <c r="R93" s="105"/>
      <c r="S93" s="105"/>
      <c r="T93" s="105"/>
      <c r="U93" s="105"/>
      <c r="V93" s="105"/>
      <c r="W93" s="105"/>
      <c r="X93" s="105"/>
      <c r="Y93" s="105"/>
      <c r="Z93" s="105"/>
    </row>
    <row r="94">
      <c r="A94" s="105" t="str">
        <f>IFERROR(__xludf.DUMMYFUNCTION("""COMPUTED_VALUE"""),"explanation::why::two::differemt::reviews::are::proposed")</f>
        <v>explanation::why::two::differemt::reviews::are::proposed</v>
      </c>
      <c r="B94" s="105" t="str">
        <f>IFERROR(__xludf.DUMMYFUNCTION("""COMPUTED_VALUE"""),"Database-related issue, Security issue, Program anomaly issue")</f>
        <v>Database-related issue, Security issue, Program anomaly issue</v>
      </c>
      <c r="C94" s="105"/>
      <c r="D94" s="105" t="str">
        <f>IFERROR(__xludf.DUMMYFUNCTION("""COMPUTED_VALUE"""),"discussing::inteded::solution::design")</f>
        <v>discussing::inteded::solution::design</v>
      </c>
      <c r="E94" s="105"/>
      <c r="F94" s="105" t="str">
        <f>IFERROR(__xludf.DUMMYFUNCTION("""COMPUTED_VALUE"""),"conditions::to::develop::in::the::new::project::(involve::BP::being::completed)")</f>
        <v>conditions::to::develop::in::the::new::project::(involve::BP::being::completed)</v>
      </c>
      <c r="G94" s="105"/>
      <c r="H94" s="105"/>
      <c r="I94" s="105" t="str">
        <f>IFERROR(__xludf.DUMMYFUNCTION("""COMPUTED_VALUE"""),"vagrant")</f>
        <v>vagrant</v>
      </c>
      <c r="J94" s="105"/>
      <c r="K94" s="105"/>
      <c r="L94" s="105"/>
      <c r="M94" s="105"/>
      <c r="N94" s="105"/>
      <c r="O94" s="105"/>
      <c r="P94" s="105" t="str">
        <f>IFERROR(__xludf.DUMMYFUNCTION("""COMPUTED_VALUE"""),"approval::for::submitting::granted::(non::final)11")</f>
        <v>approval::for::submitting::granted::(non::final)11</v>
      </c>
      <c r="Q94" s="105"/>
      <c r="R94" s="105"/>
      <c r="S94" s="105"/>
      <c r="T94" s="105"/>
      <c r="U94" s="105"/>
      <c r="V94" s="105"/>
      <c r="W94" s="105"/>
      <c r="X94" s="105"/>
      <c r="Y94" s="105"/>
      <c r="Z94" s="105"/>
    </row>
    <row r="95">
      <c r="A95" s="105" t="str">
        <f>IFERROR(__xludf.DUMMYFUNCTION("""COMPUTED_VALUE"""),"failing::test")</f>
        <v>failing::test</v>
      </c>
      <c r="B95" s="105" t="str">
        <f>IFERROR(__xludf.DUMMYFUNCTION("""COMPUTED_VALUE"""),"Database-related issue, Security issue, Test code-related issue")</f>
        <v>Database-related issue, Security issue, Test code-related issue</v>
      </c>
      <c r="C95" s="105"/>
      <c r="D95" s="105" t="str">
        <f>IFERROR(__xludf.DUMMYFUNCTION("""COMPUTED_VALUE"""),"discussing::inteded::solution::design::(join)")</f>
        <v>discussing::inteded::solution::design::(join)</v>
      </c>
      <c r="E95" s="105"/>
      <c r="F95" s="105" t="str">
        <f>IFERROR(__xludf.DUMMYFUNCTION("""COMPUTED_VALUE"""),"confirmation::of::right::place::to::ask::about::feature/bp")</f>
        <v>confirmation::of::right::place::to::ask::about::feature/bp</v>
      </c>
      <c r="G95" s="105"/>
      <c r="H95" s="105"/>
      <c r="I95" s="105" t="str">
        <f>IFERROR(__xludf.DUMMYFUNCTION("""COMPUTED_VALUE"""),"venv")</f>
        <v>venv</v>
      </c>
      <c r="J95" s="105"/>
      <c r="K95" s="105"/>
      <c r="L95" s="105"/>
      <c r="M95" s="105"/>
      <c r="N95" s="105"/>
      <c r="O95" s="105"/>
      <c r="P95" s="105" t="str">
        <f>IFERROR(__xludf.DUMMYFUNCTION("""COMPUTED_VALUE"""),"approval::for::submitting::granted::(non::final)12")</f>
        <v>approval::for::submitting::granted::(non::final)12</v>
      </c>
      <c r="Q95" s="105"/>
      <c r="R95" s="105"/>
      <c r="S95" s="105"/>
      <c r="T95" s="105"/>
      <c r="U95" s="105"/>
      <c r="V95" s="105"/>
      <c r="W95" s="105"/>
      <c r="X95" s="105"/>
      <c r="Y95" s="105"/>
      <c r="Z95" s="105"/>
    </row>
    <row r="96">
      <c r="A96" s="105" t="str">
        <f>IFERROR(__xludf.DUMMYFUNCTION("""COMPUTED_VALUE"""),"feature::request")</f>
        <v>feature::request</v>
      </c>
      <c r="B96" s="105" t="str">
        <f>IFERROR(__xludf.DUMMYFUNCTION("""COMPUTED_VALUE"""),"GUI-related issue, Network issue, Performance issue")</f>
        <v>GUI-related issue, Network issue, Performance issue</v>
      </c>
      <c r="C96" s="105"/>
      <c r="D96" s="105" t="str">
        <f>IFERROR(__xludf.DUMMYFUNCTION("""COMPUTED_VALUE"""),"discussing::potential::bug")</f>
        <v>discussing::potential::bug</v>
      </c>
      <c r="E96" s="105"/>
      <c r="F96" s="105" t="str">
        <f>IFERROR(__xludf.DUMMYFUNCTION("""COMPUTED_VALUE"""),"confirming::discussion::of::the::topic::(related:.to::BP)::in::summit::(global::meeting)")</f>
        <v>confirming::discussion::of::the::topic::(related:.to::BP)::in::summit::(global::meeting)</v>
      </c>
      <c r="G96" s="105"/>
      <c r="H96" s="105"/>
      <c r="I96" s="105" t="str">
        <f>IFERROR(__xludf.DUMMYFUNCTION("""COMPUTED_VALUE"""),"Virtualenv")</f>
        <v>Virtualenv</v>
      </c>
      <c r="J96" s="105"/>
      <c r="K96" s="105"/>
      <c r="L96" s="105"/>
      <c r="M96" s="105"/>
      <c r="N96" s="105"/>
      <c r="O96" s="105"/>
      <c r="P96" s="105" t="str">
        <f>IFERROR(__xludf.DUMMYFUNCTION("""COMPUTED_VALUE"""),"approval::for::submitting::granted::(non::final)13")</f>
        <v>approval::for::submitting::granted::(non::final)13</v>
      </c>
      <c r="Q96" s="105"/>
      <c r="R96" s="105"/>
      <c r="S96" s="105"/>
      <c r="T96" s="105"/>
      <c r="U96" s="105"/>
      <c r="V96" s="105"/>
      <c r="W96" s="105"/>
      <c r="X96" s="105"/>
      <c r="Y96" s="105"/>
      <c r="Z96" s="105"/>
    </row>
    <row r="97">
      <c r="A97" s="105" t="str">
        <f>IFERROR(__xludf.DUMMYFUNCTION("""COMPUTED_VALUE"""),"fix::is::partial::fix")</f>
        <v>fix::is::partial::fix</v>
      </c>
      <c r="B97" s="105" t="str">
        <f>IFERROR(__xludf.DUMMYFUNCTION("""COMPUTED_VALUE"""),"GUI-related issue, Network issue, Permission/deprecation issue")</f>
        <v>GUI-related issue, Network issue, Permission/deprecation issue</v>
      </c>
      <c r="C97" s="105"/>
      <c r="D97" s="105" t="str">
        <f>IFERROR(__xludf.DUMMYFUNCTION("""COMPUTED_VALUE"""),"displays::error::message")</f>
        <v>displays::error::message</v>
      </c>
      <c r="E97" s="105"/>
      <c r="F97" s="105" t="str">
        <f>IFERROR(__xludf.DUMMYFUNCTION("""COMPUTED_VALUE"""),"conflicts::meeting::group::to::discuss::BP/feature")</f>
        <v>conflicts::meeting::group::to::discuss::BP/feature</v>
      </c>
      <c r="G97" s="105"/>
      <c r="H97" s="105"/>
      <c r="I97" s="105" t="str">
        <f>IFERROR(__xludf.DUMMYFUNCTION("""COMPUTED_VALUE"""),"VMware::NSX::CI")</f>
        <v>VMware::NSX::CI</v>
      </c>
      <c r="J97" s="105"/>
      <c r="K97" s="105"/>
      <c r="L97" s="105"/>
      <c r="M97" s="105"/>
      <c r="N97" s="105"/>
      <c r="O97" s="105"/>
      <c r="P97" s="105" t="str">
        <f>IFERROR(__xludf.DUMMYFUNCTION("""COMPUTED_VALUE"""),"approval::for::submitting::granted::(non::final)14")</f>
        <v>approval::for::submitting::granted::(non::final)14</v>
      </c>
      <c r="Q97" s="105"/>
      <c r="R97" s="105"/>
      <c r="S97" s="105"/>
      <c r="T97" s="105"/>
      <c r="U97" s="105"/>
      <c r="V97" s="105"/>
      <c r="W97" s="105"/>
      <c r="X97" s="105"/>
      <c r="Y97" s="105"/>
      <c r="Z97" s="105"/>
    </row>
    <row r="98">
      <c r="A98" s="105" t="str">
        <f>IFERROR(__xludf.DUMMYFUNCTION("""COMPUTED_VALUE"""),"fix::merged")</f>
        <v>fix::merged</v>
      </c>
      <c r="B98" s="105" t="str">
        <f>IFERROR(__xludf.DUMMYFUNCTION("""COMPUTED_VALUE"""),"GUI-related issue, Network issue, Program anomaly issue")</f>
        <v>GUI-related issue, Network issue, Program anomaly issue</v>
      </c>
      <c r="C98" s="105"/>
      <c r="D98" s="105" t="str">
        <f>IFERROR(__xludf.DUMMYFUNCTION("""COMPUTED_VALUE"""),"displays::error::message::(logs)")</f>
        <v>displays::error::message::(logs)</v>
      </c>
      <c r="E98" s="105"/>
      <c r="F98" s="105" t="str">
        <f>IFERROR(__xludf.DUMMYFUNCTION("""COMPUTED_VALUE"""),"cons::and::pros::design::choice::(hybrid::compute::nodes)")</f>
        <v>cons::and::pros::design::choice::(hybrid::compute::nodes)</v>
      </c>
      <c r="G98" s="105"/>
      <c r="H98" s="105"/>
      <c r="I98" s="105" t="str">
        <f>IFERROR(__xludf.DUMMYFUNCTION("""COMPUTED_VALUE"""),"XenProject::CI")</f>
        <v>XenProject::CI</v>
      </c>
      <c r="J98" s="105"/>
      <c r="K98" s="105"/>
      <c r="L98" s="105"/>
      <c r="M98" s="105"/>
      <c r="N98" s="105"/>
      <c r="O98" s="105"/>
      <c r="P98" s="105" t="str">
        <f>IFERROR(__xludf.DUMMYFUNCTION("""COMPUTED_VALUE"""),"approval::for::submitting::granted::(non::final)15")</f>
        <v>approval::for::submitting::granted::(non::final)15</v>
      </c>
      <c r="Q98" s="105"/>
      <c r="R98" s="105"/>
      <c r="S98" s="105"/>
      <c r="T98" s="105"/>
      <c r="U98" s="105"/>
      <c r="V98" s="105"/>
      <c r="W98" s="105"/>
      <c r="X98" s="105"/>
      <c r="Y98" s="105"/>
      <c r="Z98" s="105"/>
    </row>
    <row r="99">
      <c r="A99" s="105" t="str">
        <f>IFERROR(__xludf.DUMMYFUNCTION("""COMPUTED_VALUE"""),"fix::merged::(link::review1)")</f>
        <v>fix::merged::(link::review1)</v>
      </c>
      <c r="B99" s="105" t="str">
        <f>IFERROR(__xludf.DUMMYFUNCTION("""COMPUTED_VALUE"""),"GUI-related issue, Network issue, Security issue")</f>
        <v>GUI-related issue, Network issue, Security issue</v>
      </c>
      <c r="C99" s="105"/>
      <c r="D99" s="105" t="str">
        <f>IFERROR(__xludf.DUMMYFUNCTION("""COMPUTED_VALUE"""),"displays::logs::of::the::behaviour")</f>
        <v>displays::logs::of::the::behaviour</v>
      </c>
      <c r="E99" s="105"/>
      <c r="F99" s="105" t="str">
        <f>IFERROR(__xludf.DUMMYFUNCTION("""COMPUTED_VALUE"""),"cons::and::pros::design::choice::(idea::brought::by::someone::else)")</f>
        <v>cons::and::pros::design::choice::(idea::brought::by::someone::else)</v>
      </c>
      <c r="G99" s="105"/>
      <c r="H99" s="105"/>
      <c r="I99" s="105"/>
      <c r="J99" s="105"/>
      <c r="K99" s="105"/>
      <c r="L99" s="105"/>
      <c r="M99" s="105"/>
      <c r="N99" s="105"/>
      <c r="O99" s="105"/>
      <c r="P99" s="105" t="str">
        <f>IFERROR(__xludf.DUMMYFUNCTION("""COMPUTED_VALUE"""),"approval::for::submitting::granted::(non::final)16")</f>
        <v>approval::for::submitting::granted::(non::final)16</v>
      </c>
      <c r="Q99" s="105"/>
      <c r="R99" s="105"/>
      <c r="S99" s="105"/>
      <c r="T99" s="105"/>
      <c r="U99" s="105"/>
      <c r="V99" s="105"/>
      <c r="W99" s="105"/>
      <c r="X99" s="105"/>
      <c r="Y99" s="105"/>
      <c r="Z99" s="105"/>
    </row>
    <row r="100">
      <c r="A100" s="105" t="str">
        <f>IFERROR(__xludf.DUMMYFUNCTION("""COMPUTED_VALUE"""),"fix::merged::(link::review1)::not::main::branch")</f>
        <v>fix::merged::(link::review1)::not::main::branch</v>
      </c>
      <c r="B100" s="105" t="str">
        <f>IFERROR(__xludf.DUMMYFUNCTION("""COMPUTED_VALUE"""),"GUI-related issue, Network issue, Test code-related issue")</f>
        <v>GUI-related issue, Network issue, Test code-related issue</v>
      </c>
      <c r="C100" s="105"/>
      <c r="D100" s="105" t="str">
        <f>IFERROR(__xludf.DUMMYFUNCTION("""COMPUTED_VALUE"""),"done")</f>
        <v>done</v>
      </c>
      <c r="E100" s="105"/>
      <c r="F100" s="105" t="str">
        <f>IFERROR(__xludf.DUMMYFUNCTION("""COMPUTED_VALUE"""),"cons::and::pros::design::choice::(requirements)")</f>
        <v>cons::and::pros::design::choice::(requirements)</v>
      </c>
      <c r="G100" s="105"/>
      <c r="H100" s="105"/>
      <c r="I100" s="105"/>
      <c r="J100" s="105"/>
      <c r="K100" s="105"/>
      <c r="L100" s="105"/>
      <c r="M100" s="105"/>
      <c r="N100" s="105"/>
      <c r="O100" s="105"/>
      <c r="P100" s="105" t="str">
        <f>IFERROR(__xludf.DUMMYFUNCTION("""COMPUTED_VALUE"""),"approval::for::submitting::granted::(non::final)17")</f>
        <v>approval::for::submitting::granted::(non::final)17</v>
      </c>
      <c r="Q100" s="105"/>
      <c r="R100" s="105"/>
      <c r="S100" s="105"/>
      <c r="T100" s="105"/>
      <c r="U100" s="105"/>
      <c r="V100" s="105"/>
      <c r="W100" s="105"/>
      <c r="X100" s="105"/>
      <c r="Y100" s="105"/>
      <c r="Z100" s="105"/>
    </row>
    <row r="101">
      <c r="A101" s="105" t="str">
        <f>IFERROR(__xludf.DUMMYFUNCTION("""COMPUTED_VALUE"""),"fix::merged::(link::review1)::related::fix")</f>
        <v>fix::merged::(link::review1)::related::fix</v>
      </c>
      <c r="B101" s="105" t="str">
        <f>IFERROR(__xludf.DUMMYFUNCTION("""COMPUTED_VALUE"""),"GUI-related issue, Performance issue, Permission/deprecation issue")</f>
        <v>GUI-related issue, Performance issue, Permission/deprecation issue</v>
      </c>
      <c r="C101" s="105"/>
      <c r="D101" s="105" t="str">
        <f>IFERROR(__xludf.DUMMYFUNCTION("""COMPUTED_VALUE"""),"dropping::some::patches::(outdated::feature)")</f>
        <v>dropping::some::patches::(outdated::feature)</v>
      </c>
      <c r="E101" s="105"/>
      <c r="F101" s="105" t="str">
        <f>IFERROR(__xludf.DUMMYFUNCTION("""COMPUTED_VALUE"""),"cons::and::pros::design::choice::to::deprecating::project::inside::nova")</f>
        <v>cons::and::pros::design::choice::to::deprecating::project::inside::nova</v>
      </c>
      <c r="G101" s="105"/>
      <c r="H101" s="105"/>
      <c r="I101" s="105"/>
      <c r="J101" s="105"/>
      <c r="K101" s="105"/>
      <c r="L101" s="105"/>
      <c r="M101" s="105"/>
      <c r="N101" s="105"/>
      <c r="O101" s="105"/>
      <c r="P101" s="105" t="str">
        <f>IFERROR(__xludf.DUMMYFUNCTION("""COMPUTED_VALUE"""),"approval::for::submitting::granted::(non::final)18")</f>
        <v>approval::for::submitting::granted::(non::final)18</v>
      </c>
      <c r="Q101" s="105"/>
      <c r="R101" s="105"/>
      <c r="S101" s="105"/>
      <c r="T101" s="105"/>
      <c r="U101" s="105"/>
      <c r="V101" s="105"/>
      <c r="W101" s="105"/>
      <c r="X101" s="105"/>
      <c r="Y101" s="105"/>
      <c r="Z101" s="105"/>
    </row>
    <row r="102">
      <c r="A102" s="105" t="str">
        <f>IFERROR(__xludf.DUMMYFUNCTION("""COMPUTED_VALUE"""),"fix::merged::(link::review2)")</f>
        <v>fix::merged::(link::review2)</v>
      </c>
      <c r="B102" s="105" t="str">
        <f>IFERROR(__xludf.DUMMYFUNCTION("""COMPUTED_VALUE"""),"GUI-related issue, Performance issue, Program anomaly issue")</f>
        <v>GUI-related issue, Performance issue, Program anomaly issue</v>
      </c>
      <c r="C102" s="105"/>
      <c r="D102" s="105" t="str">
        <f>IFERROR(__xludf.DUMMYFUNCTION("""COMPUTED_VALUE"""),"examples::of::affected::codes::with::the::BP")</f>
        <v>examples::of::affected::codes::with::the::BP</v>
      </c>
      <c r="E102" s="105"/>
      <c r="F102" s="105" t="str">
        <f>IFERROR(__xludf.DUMMYFUNCTION("""COMPUTED_VALUE"""),"cons::and::pros::design::choice::to::keep::project::inside::nova")</f>
        <v>cons::and::pros::design::choice::to::keep::project::inside::nova</v>
      </c>
      <c r="G102" s="105"/>
      <c r="H102" s="105"/>
      <c r="I102" s="105"/>
      <c r="J102" s="105"/>
      <c r="K102" s="105"/>
      <c r="L102" s="105"/>
      <c r="M102" s="105"/>
      <c r="N102" s="105"/>
      <c r="O102" s="105"/>
      <c r="P102" s="105" t="str">
        <f>IFERROR(__xludf.DUMMYFUNCTION("""COMPUTED_VALUE"""),"approval::for::submitting::granted::(non::final)19")</f>
        <v>approval::for::submitting::granted::(non::final)19</v>
      </c>
      <c r="Q102" s="105"/>
      <c r="R102" s="105"/>
      <c r="S102" s="105"/>
      <c r="T102" s="105"/>
      <c r="U102" s="105"/>
      <c r="V102" s="105"/>
      <c r="W102" s="105"/>
      <c r="X102" s="105"/>
      <c r="Y102" s="105"/>
      <c r="Z102" s="105"/>
    </row>
    <row r="103">
      <c r="A103" s="105" t="str">
        <f>IFERROR(__xludf.DUMMYFUNCTION("""COMPUTED_VALUE"""),"fix::merged::(link::review2)::not::main::branch")</f>
        <v>fix::merged::(link::review2)::not::main::branch</v>
      </c>
      <c r="B103" s="105" t="str">
        <f>IFERROR(__xludf.DUMMYFUNCTION("""COMPUTED_VALUE"""),"GUI-related issue, Performance issue, Security issue")</f>
        <v>GUI-related issue, Performance issue, Security issue</v>
      </c>
      <c r="C103" s="105"/>
      <c r="D103" s="105" t="str">
        <f>IFERROR(__xludf.DUMMYFUNCTION("""COMPUTED_VALUE"""),"examples::of::wrong::behaviour")</f>
        <v>examples::of::wrong::behaviour</v>
      </c>
      <c r="E103" s="105"/>
      <c r="F103" s="105" t="str">
        <f>IFERROR(__xludf.DUMMYFUNCTION("""COMPUTED_VALUE"""),"cons::and::pros::FFE")</f>
        <v>cons::and::pros::FFE</v>
      </c>
      <c r="G103" s="105"/>
      <c r="H103" s="105"/>
      <c r="I103" s="105"/>
      <c r="J103" s="105"/>
      <c r="K103" s="105"/>
      <c r="L103" s="105"/>
      <c r="M103" s="105"/>
      <c r="N103" s="105"/>
      <c r="O103" s="105"/>
      <c r="P103" s="105" t="str">
        <f>IFERROR(__xludf.DUMMYFUNCTION("""COMPUTED_VALUE"""),"approval::for::submitting::granted::(non::final)2")</f>
        <v>approval::for::submitting::granted::(non::final)2</v>
      </c>
      <c r="Q103" s="105"/>
      <c r="R103" s="105"/>
      <c r="S103" s="105"/>
      <c r="T103" s="105"/>
      <c r="U103" s="105"/>
      <c r="V103" s="105"/>
      <c r="W103" s="105"/>
      <c r="X103" s="105"/>
      <c r="Y103" s="105"/>
      <c r="Z103" s="105"/>
    </row>
    <row r="104">
      <c r="A104" s="105" t="str">
        <f>IFERROR(__xludf.DUMMYFUNCTION("""COMPUTED_VALUE"""),"fix::merged::(link::review2)::related::fix")</f>
        <v>fix::merged::(link::review2)::related::fix</v>
      </c>
      <c r="B104" s="105" t="str">
        <f>IFERROR(__xludf.DUMMYFUNCTION("""COMPUTED_VALUE"""),"GUI-related issue, Performance issue, Test code-related issue")</f>
        <v>GUI-related issue, Performance issue, Test code-related issue</v>
      </c>
      <c r="C104" s="105"/>
      <c r="D104" s="105" t="str">
        <f>IFERROR(__xludf.DUMMYFUNCTION("""COMPUTED_VALUE"""),"examples::of::wrong::behaviour::(in::specific::java::version)")</f>
        <v>examples::of::wrong::behaviour::(in::specific::java::version)</v>
      </c>
      <c r="E104" s="105"/>
      <c r="F104" s="105" t="str">
        <f>IFERROR(__xludf.DUMMYFUNCTION("""COMPUTED_VALUE"""),"criticallity::of::bugs")</f>
        <v>criticallity::of::bugs</v>
      </c>
      <c r="G104" s="105"/>
      <c r="H104" s="105"/>
      <c r="I104" s="105"/>
      <c r="J104" s="105"/>
      <c r="K104" s="105"/>
      <c r="L104" s="105"/>
      <c r="M104" s="105"/>
      <c r="N104" s="105"/>
      <c r="O104" s="105"/>
      <c r="P104" s="105" t="str">
        <f>IFERROR(__xludf.DUMMYFUNCTION("""COMPUTED_VALUE"""),"approval::for::submitting::granted::(non::final)20")</f>
        <v>approval::for::submitting::granted::(non::final)20</v>
      </c>
      <c r="Q104" s="105"/>
      <c r="R104" s="105"/>
      <c r="S104" s="105"/>
      <c r="T104" s="105"/>
      <c r="U104" s="105"/>
      <c r="V104" s="105"/>
      <c r="W104" s="105"/>
      <c r="X104" s="105"/>
      <c r="Y104" s="105"/>
      <c r="Z104" s="105"/>
    </row>
    <row r="105">
      <c r="A105" s="105" t="str">
        <f>IFERROR(__xludf.DUMMYFUNCTION("""COMPUTED_VALUE"""),"fix::merged::(link::review3)")</f>
        <v>fix::merged::(link::review3)</v>
      </c>
      <c r="B105" s="105" t="str">
        <f>IFERROR(__xludf.DUMMYFUNCTION("""COMPUTED_VALUE"""),"GUI-related issue, Permission/deprecation issue, Program anomaly issue")</f>
        <v>GUI-related issue, Permission/deprecation issue, Program anomaly issue</v>
      </c>
      <c r="C105" s="105"/>
      <c r="D105" s="105" t="str">
        <f>IFERROR(__xludf.DUMMYFUNCTION("""COMPUTED_VALUE"""),"exceptions::of::expected::behaviour")</f>
        <v>exceptions::of::expected::behaviour</v>
      </c>
      <c r="E105" s="105"/>
      <c r="F105" s="105" t="str">
        <f>IFERROR(__xludf.DUMMYFUNCTION("""COMPUTED_VALUE"""),"deadline::of::tasks::associated::to::BP::approaching")</f>
        <v>deadline::of::tasks::associated::to::BP::approaching</v>
      </c>
      <c r="G105" s="105"/>
      <c r="H105" s="105"/>
      <c r="I105" s="105"/>
      <c r="J105" s="105"/>
      <c r="K105" s="105"/>
      <c r="L105" s="105"/>
      <c r="M105" s="105"/>
      <c r="N105" s="105"/>
      <c r="O105" s="105"/>
      <c r="P105" s="105" t="str">
        <f>IFERROR(__xludf.DUMMYFUNCTION("""COMPUTED_VALUE"""),"approval::for::submitting::granted::(non::final)21")</f>
        <v>approval::for::submitting::granted::(non::final)21</v>
      </c>
      <c r="Q105" s="105"/>
      <c r="R105" s="105"/>
      <c r="S105" s="105"/>
      <c r="T105" s="105"/>
      <c r="U105" s="105"/>
      <c r="V105" s="105"/>
      <c r="W105" s="105"/>
      <c r="X105" s="105"/>
      <c r="Y105" s="105"/>
      <c r="Z105" s="105"/>
    </row>
    <row r="106">
      <c r="A106" s="105" t="str">
        <f>IFERROR(__xludf.DUMMYFUNCTION("""COMPUTED_VALUE"""),"fix::merged::(link::review3)::not::main::branch")</f>
        <v>fix::merged::(link::review3)::not::main::branch</v>
      </c>
      <c r="B106" s="105" t="str">
        <f>IFERROR(__xludf.DUMMYFUNCTION("""COMPUTED_VALUE"""),"GUI-related issue, Permission/deprecation issue, Security issue")</f>
        <v>GUI-related issue, Permission/deprecation issue, Security issue</v>
      </c>
      <c r="C106" s="105"/>
      <c r="D106" s="105" t="str">
        <f>IFERROR(__xludf.DUMMYFUNCTION("""COMPUTED_VALUE"""),"expectations::for::feature::freeze::exception::(FFE)")</f>
        <v>expectations::for::feature::freeze::exception::(FFE)</v>
      </c>
      <c r="E106" s="105"/>
      <c r="F106" s="105" t="str">
        <f>IFERROR(__xludf.DUMMYFUNCTION("""COMPUTED_VALUE"""),"demo::for::suggestions:.of::improvements::of::the::software::based:.on::new::opportunities:.based::on::changes::needed:.for:.the::bug")</f>
        <v>demo::for::suggestions:.of::improvements::of::the::software::based:.on::new::opportunities:.based::on::changes::needed:.for:.the::bug</v>
      </c>
      <c r="G106" s="105"/>
      <c r="H106" s="105"/>
      <c r="I106" s="105"/>
      <c r="J106" s="105"/>
      <c r="K106" s="105"/>
      <c r="L106" s="105"/>
      <c r="M106" s="105"/>
      <c r="N106" s="105"/>
      <c r="O106" s="105"/>
      <c r="P106" s="105" t="str">
        <f>IFERROR(__xludf.DUMMYFUNCTION("""COMPUTED_VALUE"""),"approval::for::submitting::granted::(non::final)22")</f>
        <v>approval::for::submitting::granted::(non::final)22</v>
      </c>
      <c r="Q106" s="105"/>
      <c r="R106" s="105"/>
      <c r="S106" s="105"/>
      <c r="T106" s="105"/>
      <c r="U106" s="105"/>
      <c r="V106" s="105"/>
      <c r="W106" s="105"/>
      <c r="X106" s="105"/>
      <c r="Y106" s="105"/>
      <c r="Z106" s="105"/>
    </row>
    <row r="107">
      <c r="A107" s="105" t="str">
        <f>IFERROR(__xludf.DUMMYFUNCTION("""COMPUTED_VALUE"""),"fix::merged::(link::review4)::related::fix")</f>
        <v>fix::merged::(link::review4)::related::fix</v>
      </c>
      <c r="B107" s="105" t="str">
        <f>IFERROR(__xludf.DUMMYFUNCTION("""COMPUTED_VALUE"""),"GUI-related issue, Permission/deprecation issue, Test code-related issue")</f>
        <v>GUI-related issue, Permission/deprecation issue, Test code-related issue</v>
      </c>
      <c r="C107" s="105"/>
      <c r="D107" s="105" t="str">
        <f>IFERROR(__xludf.DUMMYFUNCTION("""COMPUTED_VALUE"""),"expected::behaviour")</f>
        <v>expected::behaviour</v>
      </c>
      <c r="E107" s="105"/>
      <c r="F107" s="105" t="str">
        <f>IFERROR(__xludf.DUMMYFUNCTION("""COMPUTED_VALUE"""),"deprecate::a::feature::(review)")</f>
        <v>deprecate::a::feature::(review)</v>
      </c>
      <c r="G107" s="105"/>
      <c r="H107" s="105"/>
      <c r="I107" s="105"/>
      <c r="J107" s="105"/>
      <c r="K107" s="105"/>
      <c r="L107" s="105"/>
      <c r="M107" s="105"/>
      <c r="N107" s="105"/>
      <c r="O107" s="105"/>
      <c r="P107" s="105" t="str">
        <f>IFERROR(__xludf.DUMMYFUNCTION("""COMPUTED_VALUE"""),"approval::for::submitting::granted::(non::final)23")</f>
        <v>approval::for::submitting::granted::(non::final)23</v>
      </c>
      <c r="Q107" s="105"/>
      <c r="R107" s="105"/>
      <c r="S107" s="105"/>
      <c r="T107" s="105"/>
      <c r="U107" s="105"/>
      <c r="V107" s="105"/>
      <c r="W107" s="105"/>
      <c r="X107" s="105"/>
      <c r="Y107" s="105"/>
      <c r="Z107" s="105"/>
    </row>
    <row r="108">
      <c r="A108" s="105" t="str">
        <f>IFERROR(__xludf.DUMMYFUNCTION("""COMPUTED_VALUE"""),"fix::merged::not::main::branch")</f>
        <v>fix::merged::not::main::branch</v>
      </c>
      <c r="B108" s="105" t="str">
        <f>IFERROR(__xludf.DUMMYFUNCTION("""COMPUTED_VALUE"""),"GUI-related issue, Program anomaly issue, Test code-related issue")</f>
        <v>GUI-related issue, Program anomaly issue, Test code-related issue</v>
      </c>
      <c r="C108" s="105"/>
      <c r="D108" s="105" t="str">
        <f>IFERROR(__xludf.DUMMYFUNCTION("""COMPUTED_VALUE"""),"expected::behaviour::(per::expected::functionallity)")</f>
        <v>expected::behaviour::(per::expected::functionallity)</v>
      </c>
      <c r="E108" s="105"/>
      <c r="F108" s="105" t="str">
        <f>IFERROR(__xludf.DUMMYFUNCTION("""COMPUTED_VALUE"""),"describing::the::need::of::real::exposure::before::releasing::change")</f>
        <v>describing::the::need::of::real::exposure::before::releasing::change</v>
      </c>
      <c r="G108" s="105"/>
      <c r="H108" s="105"/>
      <c r="I108" s="105"/>
      <c r="J108" s="105"/>
      <c r="K108" s="105"/>
      <c r="L108" s="105"/>
      <c r="M108" s="105"/>
      <c r="N108" s="105"/>
      <c r="O108" s="105"/>
      <c r="P108" s="105" t="str">
        <f>IFERROR(__xludf.DUMMYFUNCTION("""COMPUTED_VALUE"""),"approval::for::submitting::granted::(non::final)24")</f>
        <v>approval::for::submitting::granted::(non::final)24</v>
      </c>
      <c r="Q108" s="105"/>
      <c r="R108" s="105"/>
      <c r="S108" s="105"/>
      <c r="T108" s="105"/>
      <c r="U108" s="105"/>
      <c r="V108" s="105"/>
      <c r="W108" s="105"/>
      <c r="X108" s="105"/>
      <c r="Y108" s="105"/>
      <c r="Z108" s="105"/>
    </row>
    <row r="109">
      <c r="A109" s="105" t="str">
        <f>IFERROR(__xludf.DUMMYFUNCTION("""COMPUTED_VALUE"""),"fix::merged::related::fix")</f>
        <v>fix::merged::related::fix</v>
      </c>
      <c r="B109" s="105" t="str">
        <f>IFERROR(__xludf.DUMMYFUNCTION("""COMPUTED_VALUE"""),"GUI-related issue, Security issue, Program anomaly issue")</f>
        <v>GUI-related issue, Security issue, Program anomaly issue</v>
      </c>
      <c r="C109" s="105"/>
      <c r="D109" s="105" t="str">
        <f>IFERROR(__xludf.DUMMYFUNCTION("""COMPUTED_VALUE"""),"expected::outcome")</f>
        <v>expected::outcome</v>
      </c>
      <c r="E109" s="105"/>
      <c r="F109" s="105" t="str">
        <f>IFERROR(__xludf.DUMMYFUNCTION("""COMPUTED_VALUE"""),"description::of::patch::(solution)::of::a::bug")</f>
        <v>description::of::patch::(solution)::of::a::bug</v>
      </c>
      <c r="G109" s="105"/>
      <c r="H109" s="105"/>
      <c r="I109" s="105"/>
      <c r="J109" s="105"/>
      <c r="K109" s="105"/>
      <c r="L109" s="105"/>
      <c r="M109" s="105"/>
      <c r="N109" s="105"/>
      <c r="O109" s="105"/>
      <c r="P109" s="105" t="str">
        <f>IFERROR(__xludf.DUMMYFUNCTION("""COMPUTED_VALUE"""),"approval::for::submitting::granted::(non::final)25")</f>
        <v>approval::for::submitting::granted::(non::final)25</v>
      </c>
      <c r="Q109" s="105"/>
      <c r="R109" s="105"/>
      <c r="S109" s="105"/>
      <c r="T109" s="105"/>
      <c r="U109" s="105"/>
      <c r="V109" s="105"/>
      <c r="W109" s="105"/>
      <c r="X109" s="105"/>
      <c r="Y109" s="105"/>
      <c r="Z109" s="105"/>
    </row>
    <row r="110">
      <c r="A110" s="105" t="str">
        <f>IFERROR(__xludf.DUMMYFUNCTION("""COMPUTED_VALUE"""),"fix::merged::related::hash::commit")</f>
        <v>fix::merged::related::hash::commit</v>
      </c>
      <c r="B110" s="105" t="str">
        <f>IFERROR(__xludf.DUMMYFUNCTION("""COMPUTED_VALUE"""),"GUI-related issue, Security issue, Test code-related issue")</f>
        <v>GUI-related issue, Security issue, Test code-related issue</v>
      </c>
      <c r="C110" s="105"/>
      <c r="D110" s="105" t="str">
        <f>IFERROR(__xludf.DUMMYFUNCTION("""COMPUTED_VALUE"""),"expected::outcome::(functionallities::to::remove)")</f>
        <v>expected::outcome::(functionallities::to::remove)</v>
      </c>
      <c r="E110" s="105"/>
      <c r="F110" s="105" t="str">
        <f>IFERROR(__xludf.DUMMYFUNCTION("""COMPUTED_VALUE"""),"description::of::the::sender::development::responsabilities::(bug/BP/feature::related)")</f>
        <v>description::of::the::sender::development::responsabilities::(bug/BP/feature::related)</v>
      </c>
      <c r="G110" s="105"/>
      <c r="H110" s="105"/>
      <c r="I110" s="105"/>
      <c r="J110" s="105"/>
      <c r="K110" s="105"/>
      <c r="L110" s="105"/>
      <c r="M110" s="105"/>
      <c r="N110" s="105"/>
      <c r="O110" s="105"/>
      <c r="P110" s="105" t="str">
        <f>IFERROR(__xludf.DUMMYFUNCTION("""COMPUTED_VALUE"""),"approval::for::submitting::granted::(non::final)26")</f>
        <v>approval::for::submitting::granted::(non::final)26</v>
      </c>
      <c r="Q110" s="105"/>
      <c r="R110" s="105"/>
      <c r="S110" s="105"/>
      <c r="T110" s="105"/>
      <c r="U110" s="105"/>
      <c r="V110" s="105"/>
      <c r="W110" s="105"/>
      <c r="X110" s="105"/>
      <c r="Y110" s="105"/>
      <c r="Z110" s="105"/>
    </row>
    <row r="111">
      <c r="A111" s="105" t="str">
        <f>IFERROR(__xludf.DUMMYFUNCTION("""COMPUTED_VALUE"""),"fixed::elsewhere::confirmed")</f>
        <v>fixed::elsewhere::confirmed</v>
      </c>
      <c r="B111" s="105" t="str">
        <f>IFERROR(__xludf.DUMMYFUNCTION("""COMPUTED_VALUE"""),"Network issue, Performance issue, Permission/deprecation issue")</f>
        <v>Network issue, Performance issue, Permission/deprecation issue</v>
      </c>
      <c r="C111" s="105"/>
      <c r="D111" s="105" t="str">
        <f>IFERROR(__xludf.DUMMYFUNCTION("""COMPUTED_VALUE"""),"expected::outcome::(functionallities)")</f>
        <v>expected::outcome::(functionallities)</v>
      </c>
      <c r="E111" s="105"/>
      <c r="F111" s="105" t="str">
        <f>IFERROR(__xludf.DUMMYFUNCTION("""COMPUTED_VALUE"""),"description::of::the::sender::development::responsabilities::(not::bug/BP/feature::related)")</f>
        <v>description::of::the::sender::development::responsabilities::(not::bug/BP/feature::related)</v>
      </c>
      <c r="G111" s="105"/>
      <c r="H111" s="105"/>
      <c r="I111" s="105"/>
      <c r="J111" s="105"/>
      <c r="K111" s="105"/>
      <c r="L111" s="105"/>
      <c r="M111" s="105"/>
      <c r="N111" s="105"/>
      <c r="O111" s="105"/>
      <c r="P111" s="105" t="str">
        <f>IFERROR(__xludf.DUMMYFUNCTION("""COMPUTED_VALUE"""),"approval::for::submitting::granted::(non::final)27")</f>
        <v>approval::for::submitting::granted::(non::final)27</v>
      </c>
      <c r="Q111" s="105"/>
      <c r="R111" s="105"/>
      <c r="S111" s="105"/>
      <c r="T111" s="105"/>
      <c r="U111" s="105"/>
      <c r="V111" s="105"/>
      <c r="W111" s="105"/>
      <c r="X111" s="105"/>
      <c r="Y111" s="105"/>
      <c r="Z111" s="105"/>
    </row>
    <row r="112">
      <c r="A112" s="105" t="str">
        <f>IFERROR(__xludf.DUMMYFUNCTION("""COMPUTED_VALUE"""),"identify::specific::problem::causing::the::bug::regression")</f>
        <v>identify::specific::problem::causing::the::bug::regression</v>
      </c>
      <c r="B112" s="105" t="str">
        <f>IFERROR(__xludf.DUMMYFUNCTION("""COMPUTED_VALUE"""),"Network issue, Performance issue, Program anomaly issue")</f>
        <v>Network issue, Performance issue, Program anomaly issue</v>
      </c>
      <c r="C112" s="105"/>
      <c r="D112" s="105" t="str">
        <f>IFERROR(__xludf.DUMMYFUNCTION("""COMPUTED_VALUE"""),"expected::outcome::(per::expected::functionallity)")</f>
        <v>expected::outcome::(per::expected::functionallity)</v>
      </c>
      <c r="E112" s="105"/>
      <c r="F112" s="105" t="str">
        <f>IFERROR(__xludf.DUMMYFUNCTION("""COMPUTED_VALUE"""),"description::of::the::sender::development::responsabilities::not::taken::(bug/BP/feature::related)")</f>
        <v>description::of::the::sender::development::responsabilities::not::taken::(bug/BP/feature::related)</v>
      </c>
      <c r="G112" s="105"/>
      <c r="H112" s="105"/>
      <c r="I112" s="105"/>
      <c r="J112" s="105"/>
      <c r="K112" s="105"/>
      <c r="L112" s="105"/>
      <c r="M112" s="105"/>
      <c r="N112" s="105"/>
      <c r="O112" s="105"/>
      <c r="P112" s="105" t="str">
        <f>IFERROR(__xludf.DUMMYFUNCTION("""COMPUTED_VALUE"""),"approval::for::submitting::granted::(non::final)28")</f>
        <v>approval::for::submitting::granted::(non::final)28</v>
      </c>
      <c r="Q112" s="105"/>
      <c r="R112" s="105"/>
      <c r="S112" s="105"/>
      <c r="T112" s="105"/>
      <c r="U112" s="105"/>
      <c r="V112" s="105"/>
      <c r="W112" s="105"/>
      <c r="X112" s="105"/>
      <c r="Y112" s="105"/>
      <c r="Z112" s="105"/>
    </row>
    <row r="113">
      <c r="A113" s="105" t="str">
        <f>IFERROR(__xludf.DUMMYFUNCTION("""COMPUTED_VALUE"""),"identifying::bug::fixed::elsewhere::(link::file::other::package)")</f>
        <v>identifying::bug::fixed::elsewhere::(link::file::other::package)</v>
      </c>
      <c r="B113" s="105" t="str">
        <f>IFERROR(__xludf.DUMMYFUNCTION("""COMPUTED_VALUE"""),"Network issue, Performance issue, Security issue")</f>
        <v>Network issue, Performance issue, Security issue</v>
      </c>
      <c r="C113" s="105"/>
      <c r="D113" s="105" t="str">
        <f>IFERROR(__xludf.DUMMYFUNCTION("""COMPUTED_VALUE"""),"expected::outcome::(performance::improvement)")</f>
        <v>expected::outcome::(performance::improvement)</v>
      </c>
      <c r="E113" s="105"/>
      <c r="F113" s="105" t="str">
        <f>IFERROR(__xludf.DUMMYFUNCTION("""COMPUTED_VALUE"""),"details::on::how::a::similar::problem::has::been::approached::by::different::developers::(external)")</f>
        <v>details::on::how::a::similar::problem::has::been::approached::by::different::developers::(external)</v>
      </c>
      <c r="G113" s="105"/>
      <c r="H113" s="105"/>
      <c r="I113" s="105"/>
      <c r="J113" s="105"/>
      <c r="K113" s="105"/>
      <c r="L113" s="105"/>
      <c r="M113" s="105"/>
      <c r="N113" s="105"/>
      <c r="O113" s="105"/>
      <c r="P113" s="105" t="str">
        <f>IFERROR(__xludf.DUMMYFUNCTION("""COMPUTED_VALUE"""),"approval::for::submitting::granted::(non::final)29")</f>
        <v>approval::for::submitting::granted::(non::final)29</v>
      </c>
      <c r="Q113" s="105"/>
      <c r="R113" s="105"/>
      <c r="S113" s="105"/>
      <c r="T113" s="105"/>
      <c r="U113" s="105"/>
      <c r="V113" s="105"/>
      <c r="W113" s="105"/>
      <c r="X113" s="105"/>
      <c r="Y113" s="105"/>
      <c r="Z113" s="105"/>
    </row>
    <row r="114">
      <c r="A114" s="105" t="str">
        <f>IFERROR(__xludf.DUMMYFUNCTION("""COMPUTED_VALUE"""),"identifying::bug::fixed::elsewhere::(link::review)")</f>
        <v>identifying::bug::fixed::elsewhere::(link::review)</v>
      </c>
      <c r="B114" s="105" t="str">
        <f>IFERROR(__xludf.DUMMYFUNCTION("""COMPUTED_VALUE"""),"Network issue, Performance issue, Test code-related issue")</f>
        <v>Network issue, Performance issue, Test code-related issue</v>
      </c>
      <c r="C114" s="105"/>
      <c r="D114" s="105" t="str">
        <f>IFERROR(__xludf.DUMMYFUNCTION("""COMPUTED_VALUE"""),"expected::outcome::(refactoring)")</f>
        <v>expected::outcome::(refactoring)</v>
      </c>
      <c r="E114" s="105"/>
      <c r="F114" s="105" t="str">
        <f>IFERROR(__xludf.DUMMYFUNCTION("""COMPUTED_VALUE"""),"details::on::how::the::functionality::can::also::encompass::a::broader::target::(external::developer)")</f>
        <v>details::on::how::the::functionality::can::also::encompass::a::broader::target::(external::developer)</v>
      </c>
      <c r="G114" s="105"/>
      <c r="H114" s="105"/>
      <c r="I114" s="105"/>
      <c r="J114" s="105"/>
      <c r="K114" s="105"/>
      <c r="L114" s="105"/>
      <c r="M114" s="105"/>
      <c r="N114" s="105"/>
      <c r="O114" s="105"/>
      <c r="P114" s="105" t="str">
        <f>IFERROR(__xludf.DUMMYFUNCTION("""COMPUTED_VALUE"""),"approval::for::submitting::granted::(non::final)3")</f>
        <v>approval::for::submitting::granted::(non::final)3</v>
      </c>
      <c r="Q114" s="105"/>
      <c r="R114" s="105"/>
      <c r="S114" s="105"/>
      <c r="T114" s="105"/>
      <c r="U114" s="105"/>
      <c r="V114" s="105"/>
      <c r="W114" s="105"/>
      <c r="X114" s="105"/>
      <c r="Y114" s="105"/>
      <c r="Z114" s="105"/>
    </row>
    <row r="115">
      <c r="A115" s="105" t="str">
        <f>IFERROR(__xludf.DUMMYFUNCTION("""COMPUTED_VALUE"""),"identifying::bug::fixed::elsewhere::(revision::hash)")</f>
        <v>identifying::bug::fixed::elsewhere::(revision::hash)</v>
      </c>
      <c r="B115" s="105" t="str">
        <f>IFERROR(__xludf.DUMMYFUNCTION("""COMPUTED_VALUE"""),"Network issue, Permission/deprecation issue, Program anomaly issue")</f>
        <v>Network issue, Permission/deprecation issue, Program anomaly issue</v>
      </c>
      <c r="C115" s="105"/>
      <c r="D115" s="105" t="str">
        <f>IFERROR(__xludf.DUMMYFUNCTION("""COMPUTED_VALUE"""),"expected::outcome::(use::of::existing::functionality)")</f>
        <v>expected::outcome::(use::of::existing::functionality)</v>
      </c>
      <c r="E115" s="105"/>
      <c r="F115" s="105" t="str">
        <f>IFERROR(__xludf.DUMMYFUNCTION("""COMPUTED_VALUE"""),"deviations:.from::groupal::summit::(global::meeting)")</f>
        <v>deviations:.from::groupal::summit::(global::meeting)</v>
      </c>
      <c r="G115" s="105"/>
      <c r="H115" s="105"/>
      <c r="I115" s="105"/>
      <c r="J115" s="105"/>
      <c r="K115" s="105"/>
      <c r="L115" s="105"/>
      <c r="M115" s="105"/>
      <c r="N115" s="105"/>
      <c r="O115" s="105"/>
      <c r="P115" s="105" t="str">
        <f>IFERROR(__xludf.DUMMYFUNCTION("""COMPUTED_VALUE"""),"approval::for::submitting::granted::(non::final)30")</f>
        <v>approval::for::submitting::granted::(non::final)30</v>
      </c>
      <c r="Q115" s="105"/>
      <c r="R115" s="105"/>
      <c r="S115" s="105"/>
      <c r="T115" s="105"/>
      <c r="U115" s="105"/>
      <c r="V115" s="105"/>
      <c r="W115" s="105"/>
      <c r="X115" s="105"/>
      <c r="Y115" s="105"/>
      <c r="Z115" s="105"/>
    </row>
    <row r="116">
      <c r="A116" s="105" t="str">
        <f>IFERROR(__xludf.DUMMYFUNCTION("""COMPUTED_VALUE"""),"identifying::the::bug::duplication")</f>
        <v>identifying::the::bug::duplication</v>
      </c>
      <c r="B116" s="105" t="str">
        <f>IFERROR(__xludf.DUMMYFUNCTION("""COMPUTED_VALUE"""),"Network issue, Permission/deprecation issue, Security issue")</f>
        <v>Network issue, Permission/deprecation issue, Security issue</v>
      </c>
      <c r="C116" s="105"/>
      <c r="D116" s="105" t="str">
        <f>IFERROR(__xludf.DUMMYFUNCTION("""COMPUTED_VALUE"""),"expired::freeze::exception::(FFE)")</f>
        <v>expired::freeze::exception::(FFE)</v>
      </c>
      <c r="E116" s="105"/>
      <c r="F116" s="105" t="str">
        <f>IFERROR(__xludf.DUMMYFUNCTION("""COMPUTED_VALUE"""),"disagreeing::refactoring::required")</f>
        <v>disagreeing::refactoring::required</v>
      </c>
      <c r="G116" s="105"/>
      <c r="H116" s="105"/>
      <c r="I116" s="105"/>
      <c r="J116" s="105"/>
      <c r="K116" s="105"/>
      <c r="L116" s="105"/>
      <c r="M116" s="105"/>
      <c r="N116" s="105"/>
      <c r="O116" s="105"/>
      <c r="P116" s="105" t="str">
        <f>IFERROR(__xludf.DUMMYFUNCTION("""COMPUTED_VALUE"""),"approval::for::submitting::granted::(non::final)31")</f>
        <v>approval::for::submitting::granted::(non::final)31</v>
      </c>
      <c r="Q116" s="105"/>
      <c r="R116" s="105"/>
      <c r="S116" s="105"/>
      <c r="T116" s="105"/>
      <c r="U116" s="105"/>
      <c r="V116" s="105"/>
      <c r="W116" s="105"/>
      <c r="X116" s="105"/>
      <c r="Y116" s="105"/>
      <c r="Z116" s="105"/>
    </row>
    <row r="117">
      <c r="A117" s="105" t="str">
        <f>IFERROR(__xludf.DUMMYFUNCTION("""COMPUTED_VALUE"""),"if:.fix::has:.fixed::or::not::the::bug")</f>
        <v>if:.fix::has:.fixed::or::not::the::bug</v>
      </c>
      <c r="B117" s="105" t="str">
        <f>IFERROR(__xludf.DUMMYFUNCTION("""COMPUTED_VALUE"""),"Network issue, Permission/deprecation issue, Test code-related issue")</f>
        <v>Network issue, Permission/deprecation issue, Test code-related issue</v>
      </c>
      <c r="C117" s="105"/>
      <c r="D117" s="105" t="str">
        <f>IFERROR(__xludf.DUMMYFUNCTION("""COMPUTED_VALUE"""),"explanation::of::log")</f>
        <v>explanation::of::log</v>
      </c>
      <c r="E117" s="105"/>
      <c r="F117" s="105" t="str">
        <f>IFERROR(__xludf.DUMMYFUNCTION("""COMPUTED_VALUE"""),"discard::the::idea::of::ussing::the::BP/feature::to::solve::a::need")</f>
        <v>discard::the::idea::of::ussing::the::BP/feature::to::solve::a::need</v>
      </c>
      <c r="G117" s="105"/>
      <c r="H117" s="105"/>
      <c r="I117" s="105"/>
      <c r="J117" s="105"/>
      <c r="K117" s="105"/>
      <c r="L117" s="105"/>
      <c r="M117" s="105"/>
      <c r="N117" s="105"/>
      <c r="O117" s="105"/>
      <c r="P117" s="105" t="str">
        <f>IFERROR(__xludf.DUMMYFUNCTION("""COMPUTED_VALUE"""),"approval::for::submitting::granted::(non::final)32")</f>
        <v>approval::for::submitting::granted::(non::final)32</v>
      </c>
      <c r="Q117" s="105"/>
      <c r="R117" s="105"/>
      <c r="S117" s="105"/>
      <c r="T117" s="105"/>
      <c r="U117" s="105"/>
      <c r="V117" s="105"/>
      <c r="W117" s="105"/>
      <c r="X117" s="105"/>
      <c r="Y117" s="105"/>
      <c r="Z117" s="105"/>
    </row>
    <row r="118">
      <c r="A118" s="105" t="str">
        <f>IFERROR(__xludf.DUMMYFUNCTION("""COMPUTED_VALUE"""),"implications::of::the::changes::needed::to::fix::the::bug")</f>
        <v>implications::of::the::changes::needed::to::fix::the::bug</v>
      </c>
      <c r="B118" s="105" t="str">
        <f>IFERROR(__xludf.DUMMYFUNCTION("""COMPUTED_VALUE"""),"Network issue, Program anomaly issue, Test code-related issue")</f>
        <v>Network issue, Program anomaly issue, Test code-related issue</v>
      </c>
      <c r="C118" s="105"/>
      <c r="D118" s="105" t="str">
        <f>IFERROR(__xludf.DUMMYFUNCTION("""COMPUTED_VALUE"""),"explanation::of::log::(ignore::log)")</f>
        <v>explanation::of::log::(ignore::log)</v>
      </c>
      <c r="E118" s="105"/>
      <c r="F118" s="105" t="str">
        <f>IFERROR(__xludf.DUMMYFUNCTION("""COMPUTED_VALUE"""),"discuss::another::BP::design::decisions")</f>
        <v>discuss::another::BP::design::decisions</v>
      </c>
      <c r="G118" s="105"/>
      <c r="H118" s="105"/>
      <c r="I118" s="105"/>
      <c r="J118" s="105"/>
      <c r="K118" s="105"/>
      <c r="L118" s="105"/>
      <c r="M118" s="105"/>
      <c r="N118" s="105"/>
      <c r="O118" s="105"/>
      <c r="P118" s="105" t="str">
        <f>IFERROR(__xludf.DUMMYFUNCTION("""COMPUTED_VALUE"""),"approval::for::submitting::granted::(non::final)33")</f>
        <v>approval::for::submitting::granted::(non::final)33</v>
      </c>
      <c r="Q118" s="105"/>
      <c r="R118" s="105"/>
      <c r="S118" s="105"/>
      <c r="T118" s="105"/>
      <c r="U118" s="105"/>
      <c r="V118" s="105"/>
      <c r="W118" s="105"/>
      <c r="X118" s="105"/>
      <c r="Y118" s="105"/>
      <c r="Z118" s="105"/>
    </row>
    <row r="119">
      <c r="A119" s="105" t="str">
        <f>IFERROR(__xludf.DUMMYFUNCTION("""COMPUTED_VALUE"""),"inconsistencies::of::the::bahaviour::of::patched/modified::code")</f>
        <v>inconsistencies::of::the::bahaviour::of::patched/modified::code</v>
      </c>
      <c r="B119" s="105" t="str">
        <f>IFERROR(__xludf.DUMMYFUNCTION("""COMPUTED_VALUE"""),"Network issue, Security issue, Program anomaly issue")</f>
        <v>Network issue, Security issue, Program anomaly issue</v>
      </c>
      <c r="C119" s="105"/>
      <c r="D119" s="105" t="str">
        <f>IFERROR(__xludf.DUMMYFUNCTION("""COMPUTED_VALUE"""),"feature::deadline::missed")</f>
        <v>feature::deadline::missed</v>
      </c>
      <c r="E119" s="105"/>
      <c r="F119" s="105" t="str">
        <f>IFERROR(__xludf.DUMMYFUNCTION("""COMPUTED_VALUE"""),"discussing::about::development::process::(location::testing)")</f>
        <v>discussing::about::development::process::(location::testing)</v>
      </c>
      <c r="G119" s="105"/>
      <c r="H119" s="105"/>
      <c r="I119" s="105"/>
      <c r="J119" s="105"/>
      <c r="K119" s="105"/>
      <c r="L119" s="105"/>
      <c r="M119" s="105"/>
      <c r="N119" s="105"/>
      <c r="O119" s="105"/>
      <c r="P119" s="105" t="str">
        <f>IFERROR(__xludf.DUMMYFUNCTION("""COMPUTED_VALUE"""),"approval::for::submitting::granted::(non::final)34")</f>
        <v>approval::for::submitting::granted::(non::final)34</v>
      </c>
      <c r="Q119" s="105"/>
      <c r="R119" s="105"/>
      <c r="S119" s="105"/>
      <c r="T119" s="105"/>
      <c r="U119" s="105"/>
      <c r="V119" s="105"/>
      <c r="W119" s="105"/>
      <c r="X119" s="105"/>
      <c r="Y119" s="105"/>
      <c r="Z119" s="105"/>
    </row>
    <row r="120">
      <c r="A120" s="105" t="str">
        <f>IFERROR(__xludf.DUMMYFUNCTION("""COMPUTED_VALUE"""),"incorporate::the::change::into::a::different::project")</f>
        <v>incorporate::the::change::into::a::different::project</v>
      </c>
      <c r="B120" s="105" t="str">
        <f>IFERROR(__xludf.DUMMYFUNCTION("""COMPUTED_VALUE"""),"Network issue, Security issue, Test code-related issue")</f>
        <v>Network issue, Security issue, Test code-related issue</v>
      </c>
      <c r="C120" s="105"/>
      <c r="D120" s="105" t="str">
        <f>IFERROR(__xludf.DUMMYFUNCTION("""COMPUTED_VALUE"""),"feature::description")</f>
        <v>feature::description</v>
      </c>
      <c r="E120" s="105"/>
      <c r="F120" s="105" t="str">
        <f>IFERROR(__xludf.DUMMYFUNCTION("""COMPUTED_VALUE"""),"discussing::about::development::process::(testing)")</f>
        <v>discussing::about::development::process::(testing)</v>
      </c>
      <c r="G120" s="105"/>
      <c r="H120" s="105"/>
      <c r="I120" s="105"/>
      <c r="J120" s="105"/>
      <c r="K120" s="105"/>
      <c r="L120" s="105"/>
      <c r="M120" s="105"/>
      <c r="N120" s="105"/>
      <c r="O120" s="105"/>
      <c r="P120" s="105" t="str">
        <f>IFERROR(__xludf.DUMMYFUNCTION("""COMPUTED_VALUE"""),"approval::for::submitting::granted::(non::final)35")</f>
        <v>approval::for::submitting::granted::(non::final)35</v>
      </c>
      <c r="Q120" s="105"/>
      <c r="R120" s="105"/>
      <c r="S120" s="105"/>
      <c r="T120" s="105"/>
      <c r="U120" s="105"/>
      <c r="V120" s="105"/>
      <c r="W120" s="105"/>
      <c r="X120" s="105"/>
      <c r="Y120" s="105"/>
      <c r="Z120" s="105"/>
    </row>
    <row r="121">
      <c r="A121" s="105" t="str">
        <f>IFERROR(__xludf.DUMMYFUNCTION("""COMPUTED_VALUE"""),"information::commited::fix")</f>
        <v>information::commited::fix</v>
      </c>
      <c r="B121" s="105" t="str">
        <f>IFERROR(__xludf.DUMMYFUNCTION("""COMPUTED_VALUE"""),"Performance issue, Permission/deprecation issue, Program anomaly issue")</f>
        <v>Performance issue, Permission/deprecation issue, Program anomaly issue</v>
      </c>
      <c r="C121" s="105"/>
      <c r="D121" s="105" t="str">
        <f>IFERROR(__xludf.DUMMYFUNCTION("""COMPUTED_VALUE"""),"feature::description::(multiple::concerns)")</f>
        <v>feature::description::(multiple::concerns)</v>
      </c>
      <c r="E121" s="105"/>
      <c r="F121" s="105" t="str">
        <f>IFERROR(__xludf.DUMMYFUNCTION("""COMPUTED_VALUE"""),"discussing::about::functionallity::(how::to::enable::in::the::future)::design::(alternative::solution)")</f>
        <v>discussing::about::functionallity::(how::to::enable::in::the::future)::design::(alternative::solution)</v>
      </c>
      <c r="G121" s="105"/>
      <c r="H121" s="105"/>
      <c r="I121" s="105"/>
      <c r="J121" s="105"/>
      <c r="K121" s="105"/>
      <c r="L121" s="105"/>
      <c r="M121" s="105"/>
      <c r="N121" s="105"/>
      <c r="O121" s="105"/>
      <c r="P121" s="105" t="str">
        <f>IFERROR(__xludf.DUMMYFUNCTION("""COMPUTED_VALUE"""),"approval::for::submitting::granted::(non::final)36")</f>
        <v>approval::for::submitting::granted::(non::final)36</v>
      </c>
      <c r="Q121" s="105"/>
      <c r="R121" s="105"/>
      <c r="S121" s="105"/>
      <c r="T121" s="105"/>
      <c r="U121" s="105"/>
      <c r="V121" s="105"/>
      <c r="W121" s="105"/>
      <c r="X121" s="105"/>
      <c r="Y121" s="105"/>
      <c r="Z121" s="105"/>
    </row>
    <row r="122">
      <c r="A122" s="105" t="str">
        <f>IFERROR(__xludf.DUMMYFUNCTION("""COMPUTED_VALUE"""),"information::commited::fix::(link::commit::not::related::to::any::previous::review)")</f>
        <v>information::commited::fix::(link::commit::not::related::to::any::previous::review)</v>
      </c>
      <c r="B122" s="105" t="str">
        <f>IFERROR(__xludf.DUMMYFUNCTION("""COMPUTED_VALUE"""),"Performance issue, Permission/deprecation issue, Security issue")</f>
        <v>Performance issue, Permission/deprecation issue, Security issue</v>
      </c>
      <c r="C122" s="105"/>
      <c r="D122" s="105" t="str">
        <f>IFERROR(__xludf.DUMMYFUNCTION("""COMPUTED_VALUE"""),"feature::documentation")</f>
        <v>feature::documentation</v>
      </c>
      <c r="E122" s="105"/>
      <c r="F122" s="105" t="str">
        <f>IFERROR(__xludf.DUMMYFUNCTION("""COMPUTED_VALUE"""),"discussing::about::functionallity::(how::to::enable::in::the::future)::design::(alternative::solution)::cons")</f>
        <v>discussing::about::functionallity::(how::to::enable::in::the::future)::design::(alternative::solution)::cons</v>
      </c>
      <c r="G122" s="105"/>
      <c r="H122" s="105"/>
      <c r="I122" s="105"/>
      <c r="J122" s="105"/>
      <c r="K122" s="105"/>
      <c r="L122" s="105"/>
      <c r="M122" s="105"/>
      <c r="N122" s="105"/>
      <c r="O122" s="105"/>
      <c r="P122" s="105" t="str">
        <f>IFERROR(__xludf.DUMMYFUNCTION("""COMPUTED_VALUE"""),"approval::for::submitting::granted::(non::final)4")</f>
        <v>approval::for::submitting::granted::(non::final)4</v>
      </c>
      <c r="Q122" s="105"/>
      <c r="R122" s="105"/>
      <c r="S122" s="105"/>
      <c r="T122" s="105"/>
      <c r="U122" s="105"/>
      <c r="V122" s="105"/>
      <c r="W122" s="105"/>
      <c r="X122" s="105"/>
      <c r="Y122" s="105"/>
      <c r="Z122" s="105"/>
    </row>
    <row r="123">
      <c r="A123" s="105" t="str">
        <f>IFERROR(__xludf.DUMMYFUNCTION("""COMPUTED_VALUE"""),"information::commited::fix::(link::commit::not::related::to::any::previous::review2)")</f>
        <v>information::commited::fix::(link::commit::not::related::to::any::previous::review2)</v>
      </c>
      <c r="B123" s="105" t="str">
        <f>IFERROR(__xludf.DUMMYFUNCTION("""COMPUTED_VALUE"""),"Performance issue, Permission/deprecation issue, Test code-related issue")</f>
        <v>Performance issue, Permission/deprecation issue, Test code-related issue</v>
      </c>
      <c r="C123" s="105"/>
      <c r="D123" s="105" t="str">
        <f>IFERROR(__xludf.DUMMYFUNCTION("""COMPUTED_VALUE"""),"feature::documentation::link")</f>
        <v>feature::documentation::link</v>
      </c>
      <c r="E123" s="105"/>
      <c r="F123" s="105" t="str">
        <f>IFERROR(__xludf.DUMMYFUNCTION("""COMPUTED_VALUE"""),"discussing::about::plan::development::process::(same::or::different::project)")</f>
        <v>discussing::about::plan::development::process::(same::or::different::project)</v>
      </c>
      <c r="G123" s="105"/>
      <c r="H123" s="105"/>
      <c r="I123" s="105"/>
      <c r="J123" s="105"/>
      <c r="K123" s="105"/>
      <c r="L123" s="105"/>
      <c r="M123" s="105"/>
      <c r="N123" s="105"/>
      <c r="O123" s="105"/>
      <c r="P123" s="105" t="str">
        <f>IFERROR(__xludf.DUMMYFUNCTION("""COMPUTED_VALUE"""),"approval::for::submitting::granted::(non::final)5")</f>
        <v>approval::for::submitting::granted::(non::final)5</v>
      </c>
      <c r="Q123" s="105"/>
      <c r="R123" s="105"/>
      <c r="S123" s="105"/>
      <c r="T123" s="105"/>
      <c r="U123" s="105"/>
      <c r="V123" s="105"/>
      <c r="W123" s="105"/>
      <c r="X123" s="105"/>
      <c r="Y123" s="105"/>
      <c r="Z123" s="105"/>
    </row>
    <row r="124">
      <c r="A124" s="105" t="str">
        <f>IFERROR(__xludf.DUMMYFUNCTION("""COMPUTED_VALUE"""),"information::commited::fix::(link::commit)")</f>
        <v>information::commited::fix::(link::commit)</v>
      </c>
      <c r="B124" s="105" t="str">
        <f>IFERROR(__xludf.DUMMYFUNCTION("""COMPUTED_VALUE"""),"Performance issue, Program anomaly issue, Test code-related issue")</f>
        <v>Performance issue, Program anomaly issue, Test code-related issue</v>
      </c>
      <c r="C124" s="105"/>
      <c r="D124" s="105" t="str">
        <f>IFERROR(__xludf.DUMMYFUNCTION("""COMPUTED_VALUE"""),"feature::freeze::exception::expired")</f>
        <v>feature::freeze::exception::expired</v>
      </c>
      <c r="E124" s="105"/>
      <c r="F124" s="105" t="str">
        <f>IFERROR(__xludf.DUMMYFUNCTION("""COMPUTED_VALUE"""),"discussing::about::plan::development::process::(steps)")</f>
        <v>discussing::about::plan::development::process::(steps)</v>
      </c>
      <c r="G124" s="105"/>
      <c r="H124" s="105"/>
      <c r="I124" s="105"/>
      <c r="J124" s="105"/>
      <c r="K124" s="105"/>
      <c r="L124" s="105"/>
      <c r="M124" s="105"/>
      <c r="N124" s="105"/>
      <c r="O124" s="105"/>
      <c r="P124" s="105" t="str">
        <f>IFERROR(__xludf.DUMMYFUNCTION("""COMPUTED_VALUE"""),"approval::for::submitting::granted::(non::final)6")</f>
        <v>approval::for::submitting::granted::(non::final)6</v>
      </c>
      <c r="Q124" s="105"/>
      <c r="R124" s="105"/>
      <c r="S124" s="105"/>
      <c r="T124" s="105"/>
      <c r="U124" s="105"/>
      <c r="V124" s="105"/>
      <c r="W124" s="105"/>
      <c r="X124" s="105"/>
      <c r="Y124" s="105"/>
      <c r="Z124" s="105"/>
    </row>
    <row r="125">
      <c r="A125" s="105" t="str">
        <f>IFERROR(__xludf.DUMMYFUNCTION("""COMPUTED_VALUE"""),"information::commited::fix::(link::commit)::not::main::branch")</f>
        <v>information::commited::fix::(link::commit)::not::main::branch</v>
      </c>
      <c r="B125" s="105" t="str">
        <f>IFERROR(__xludf.DUMMYFUNCTION("""COMPUTED_VALUE"""),"Performance issue, Security issue, Program anomaly issue")</f>
        <v>Performance issue, Security issue, Program anomaly issue</v>
      </c>
      <c r="C125" s="105"/>
      <c r="D125" s="105" t="str">
        <f>IFERROR(__xludf.DUMMYFUNCTION("""COMPUTED_VALUE"""),"feature::request")</f>
        <v>feature::request</v>
      </c>
      <c r="E125" s="105"/>
      <c r="F125" s="105" t="str">
        <f>IFERROR(__xludf.DUMMYFUNCTION("""COMPUTED_VALUE"""),"discussing::changes::in::different::project::(e.g.,::neutron)")</f>
        <v>discussing::changes::in::different::project::(e.g.,::neutron)</v>
      </c>
      <c r="G125" s="105"/>
      <c r="H125" s="105"/>
      <c r="I125" s="105"/>
      <c r="J125" s="105"/>
      <c r="K125" s="105"/>
      <c r="L125" s="105"/>
      <c r="M125" s="105"/>
      <c r="N125" s="105"/>
      <c r="O125" s="105"/>
      <c r="P125" s="105" t="str">
        <f>IFERROR(__xludf.DUMMYFUNCTION("""COMPUTED_VALUE"""),"approval::for::submitting::granted::(non::final)7")</f>
        <v>approval::for::submitting::granted::(non::final)7</v>
      </c>
      <c r="Q125" s="105"/>
      <c r="R125" s="105"/>
      <c r="S125" s="105"/>
      <c r="T125" s="105"/>
      <c r="U125" s="105"/>
      <c r="V125" s="105"/>
      <c r="W125" s="105"/>
      <c r="X125" s="105"/>
      <c r="Y125" s="105"/>
      <c r="Z125" s="105"/>
    </row>
    <row r="126">
      <c r="A126" s="105" t="str">
        <f>IFERROR(__xludf.DUMMYFUNCTION("""COMPUTED_VALUE"""),"information::commited::fix::(link::commit2)")</f>
        <v>information::commited::fix::(link::commit2)</v>
      </c>
      <c r="B126" s="105" t="str">
        <f>IFERROR(__xludf.DUMMYFUNCTION("""COMPUTED_VALUE"""),"Performance issue, Security issue, Test code-related issue")</f>
        <v>Performance issue, Security issue, Test code-related issue</v>
      </c>
      <c r="C126" s="105"/>
      <c r="D126" s="105" t="str">
        <f>IFERROR(__xludf.DUMMYFUNCTION("""COMPUTED_VALUE"""),"feature::request::(improvement)")</f>
        <v>feature::request::(improvement)</v>
      </c>
      <c r="E126" s="105"/>
      <c r="F126" s="105" t="str">
        <f>IFERROR(__xludf.DUMMYFUNCTION("""COMPUTED_VALUE"""),"discussing::clarification::about::conditions::to::change::status::of::project::(removing:.label::experimental)::which::holds::the::BP")</f>
        <v>discussing::clarification::about::conditions::to::change::status::of::project::(removing:.label::experimental)::which::holds::the::BP</v>
      </c>
      <c r="G126" s="105"/>
      <c r="H126" s="105"/>
      <c r="I126" s="105"/>
      <c r="J126" s="105"/>
      <c r="K126" s="105"/>
      <c r="L126" s="105"/>
      <c r="M126" s="105"/>
      <c r="N126" s="105"/>
      <c r="O126" s="105"/>
      <c r="P126" s="105" t="str">
        <f>IFERROR(__xludf.DUMMYFUNCTION("""COMPUTED_VALUE"""),"approval::for::submitting::granted::(non::final)8")</f>
        <v>approval::for::submitting::granted::(non::final)8</v>
      </c>
      <c r="Q126" s="105"/>
      <c r="R126" s="105"/>
      <c r="S126" s="105"/>
      <c r="T126" s="105"/>
      <c r="U126" s="105"/>
      <c r="V126" s="105"/>
      <c r="W126" s="105"/>
      <c r="X126" s="105"/>
      <c r="Y126" s="105"/>
      <c r="Z126" s="105"/>
    </row>
    <row r="127">
      <c r="A127" s="105" t="str">
        <f>IFERROR(__xludf.DUMMYFUNCTION("""COMPUTED_VALUE"""),"information::commited::fix::(link::commit2)::not::main::branch")</f>
        <v>information::commited::fix::(link::commit2)::not::main::branch</v>
      </c>
      <c r="B127" s="105" t="str">
        <f>IFERROR(__xludf.DUMMYFUNCTION("""COMPUTED_VALUE"""),"Permission/deprecation issue, Program anomaly issue, Test code-related issue")</f>
        <v>Permission/deprecation issue, Program anomaly issue, Test code-related issue</v>
      </c>
      <c r="C127" s="105"/>
      <c r="D127" s="105" t="str">
        <f>IFERROR(__xludf.DUMMYFUNCTION("""COMPUTED_VALUE"""),"features:.deferring:.to::bugs")</f>
        <v>features:.deferring:.to::bugs</v>
      </c>
      <c r="E127" s="105"/>
      <c r="F127" s="105" t="str">
        <f>IFERROR(__xludf.DUMMYFUNCTION("""COMPUTED_VALUE"""),"discussing::clarification::about::design::choice::(hybrid::compute::nodes)")</f>
        <v>discussing::clarification::about::design::choice::(hybrid::compute::nodes)</v>
      </c>
      <c r="G127" s="105"/>
      <c r="H127" s="105"/>
      <c r="I127" s="105"/>
      <c r="J127" s="105"/>
      <c r="K127" s="105"/>
      <c r="L127" s="105"/>
      <c r="M127" s="105"/>
      <c r="N127" s="105"/>
      <c r="O127" s="105"/>
      <c r="P127" s="105" t="str">
        <f>IFERROR(__xludf.DUMMYFUNCTION("""COMPUTED_VALUE"""),"approval::for::submitting::granted::(non::final)9")</f>
        <v>approval::for::submitting::granted::(non::final)9</v>
      </c>
      <c r="Q127" s="105"/>
      <c r="R127" s="105"/>
      <c r="S127" s="105"/>
      <c r="T127" s="105"/>
      <c r="U127" s="105"/>
      <c r="V127" s="105"/>
      <c r="W127" s="105"/>
      <c r="X127" s="105"/>
      <c r="Y127" s="105"/>
      <c r="Z127" s="105"/>
    </row>
    <row r="128">
      <c r="A128" s="105" t="str">
        <f>IFERROR(__xludf.DUMMYFUNCTION("""COMPUTED_VALUE"""),"information::commited::fix::(link::commit3)")</f>
        <v>information::commited::fix::(link::commit3)</v>
      </c>
      <c r="B128" s="105" t="str">
        <f>IFERROR(__xludf.DUMMYFUNCTION("""COMPUTED_VALUE"""),"Permission/deprecation issue, Security issue, Program anomaly issue")</f>
        <v>Permission/deprecation issue, Security issue, Program anomaly issue</v>
      </c>
      <c r="C128" s="105"/>
      <c r="D128" s="105" t="str">
        <f>IFERROR(__xludf.DUMMYFUNCTION("""COMPUTED_VALUE"""),"fix::another::merged::(link::review::commit)")</f>
        <v>fix::another::merged::(link::review::commit)</v>
      </c>
      <c r="E128" s="105"/>
      <c r="F128" s="105" t="str">
        <f>IFERROR(__xludf.DUMMYFUNCTION("""COMPUTED_VALUE"""),"discussing::clarification::about::design::choice::(hybrid::compute::nodes)::use::cases")</f>
        <v>discussing::clarification::about::design::choice::(hybrid::compute::nodes)::use::cases</v>
      </c>
      <c r="G128" s="105"/>
      <c r="H128" s="105"/>
      <c r="I128" s="105"/>
      <c r="J128" s="105"/>
      <c r="K128" s="105"/>
      <c r="L128" s="105"/>
      <c r="M128" s="105"/>
      <c r="N128" s="105"/>
      <c r="O128" s="105"/>
      <c r="P128" s="105" t="str">
        <f>IFERROR(__xludf.DUMMYFUNCTION("""COMPUTED_VALUE"""),"approval::for::submitting::granted::(workflow::vote)::(core::reviewer)")</f>
        <v>approval::for::submitting::granted::(workflow::vote)::(core::reviewer)</v>
      </c>
      <c r="Q128" s="105"/>
      <c r="R128" s="105"/>
      <c r="S128" s="105"/>
      <c r="T128" s="105"/>
      <c r="U128" s="105"/>
      <c r="V128" s="105"/>
      <c r="W128" s="105"/>
      <c r="X128" s="105"/>
      <c r="Y128" s="105"/>
      <c r="Z128" s="105"/>
    </row>
    <row r="129">
      <c r="A129" s="105" t="str">
        <f>IFERROR(__xludf.DUMMYFUNCTION("""COMPUTED_VALUE"""),"information::commited::fix::(link::commit4)")</f>
        <v>information::commited::fix::(link::commit4)</v>
      </c>
      <c r="B129" s="105" t="str">
        <f>IFERROR(__xludf.DUMMYFUNCTION("""COMPUTED_VALUE"""),"Permission/deprecation issue, Security issue, Test code-related issue")</f>
        <v>Permission/deprecation issue, Security issue, Test code-related issue</v>
      </c>
      <c r="C129" s="105"/>
      <c r="D129" s="105" t="str">
        <f>IFERROR(__xludf.DUMMYFUNCTION("""COMPUTED_VALUE"""),"fix::merged::(link::review::1)")</f>
        <v>fix::merged::(link::review::1)</v>
      </c>
      <c r="E129" s="105"/>
      <c r="F129" s="105" t="str">
        <f>IFERROR(__xludf.DUMMYFUNCTION("""COMPUTED_VALUE"""),"discussing::clarification::about::design::choice::providing::options::of::implementation(hybrid::compute::nodes)")</f>
        <v>discussing::clarification::about::design::choice::providing::options::of::implementation(hybrid::compute::nodes)</v>
      </c>
      <c r="G129" s="105"/>
      <c r="H129" s="105"/>
      <c r="I129" s="105"/>
      <c r="J129" s="105"/>
      <c r="K129" s="105"/>
      <c r="L129" s="105"/>
      <c r="M129" s="105"/>
      <c r="N129" s="105"/>
      <c r="O129" s="105"/>
      <c r="P129" s="105" t="str">
        <f>IFERROR(__xludf.DUMMYFUNCTION("""COMPUTED_VALUE"""),"approval::for::submitting::granted::(workflow::vote2)::(core::reviewer)")</f>
        <v>approval::for::submitting::granted::(workflow::vote2)::(core::reviewer)</v>
      </c>
      <c r="Q129" s="105"/>
      <c r="R129" s="105"/>
      <c r="S129" s="105"/>
      <c r="T129" s="105"/>
      <c r="U129" s="105"/>
      <c r="V129" s="105"/>
      <c r="W129" s="105"/>
      <c r="X129" s="105"/>
      <c r="Y129" s="105"/>
      <c r="Z129" s="105"/>
    </row>
    <row r="130">
      <c r="A130" s="105" t="str">
        <f>IFERROR(__xludf.DUMMYFUNCTION("""COMPUTED_VALUE"""),"information::commited::related::fix::(link::commit)")</f>
        <v>information::commited::related::fix::(link::commit)</v>
      </c>
      <c r="B130" s="105" t="str">
        <f>IFERROR(__xludf.DUMMYFUNCTION("""COMPUTED_VALUE"""),"Security issue, Program anomaly issue, Test code-related issue")</f>
        <v>Security issue, Program anomaly issue, Test code-related issue</v>
      </c>
      <c r="C130" s="105"/>
      <c r="D130" s="105" t="str">
        <f>IFERROR(__xludf.DUMMYFUNCTION("""COMPUTED_VALUE"""),"fix::merged::(link::review::2)")</f>
        <v>fix::merged::(link::review::2)</v>
      </c>
      <c r="E130" s="105"/>
      <c r="F130" s="105" t="str">
        <f>IFERROR(__xludf.DUMMYFUNCTION("""COMPUTED_VALUE"""),"discussing::clarification::about::status::of::project::(removing:.label::experimental)::which::holds::the::BP")</f>
        <v>discussing::clarification::about::status::of::project::(removing:.label::experimental)::which::holds::the::BP</v>
      </c>
      <c r="G130" s="105"/>
      <c r="H130" s="105"/>
      <c r="I130" s="105"/>
      <c r="J130" s="105"/>
      <c r="K130" s="105"/>
      <c r="L130" s="105"/>
      <c r="M130" s="105"/>
      <c r="N130" s="105"/>
      <c r="O130" s="105"/>
      <c r="P130" s="105" t="str">
        <f>IFERROR(__xludf.DUMMYFUNCTION("""COMPUTED_VALUE"""),"approval::for::submitting::granted::(workflow::vote3)::(core::reviewer)")</f>
        <v>approval::for::submitting::granted::(workflow::vote3)::(core::reviewer)</v>
      </c>
      <c r="Q130" s="105"/>
      <c r="R130" s="105"/>
      <c r="S130" s="105"/>
      <c r="T130" s="105"/>
      <c r="U130" s="105"/>
      <c r="V130" s="105"/>
      <c r="W130" s="105"/>
      <c r="X130" s="105"/>
      <c r="Y130" s="105"/>
      <c r="Z130" s="105"/>
    </row>
    <row r="131">
      <c r="A131" s="105" t="str">
        <f>IFERROR(__xludf.DUMMYFUNCTION("""COMPUTED_VALUE"""),"information::PR::fix")</f>
        <v>information::PR::fix</v>
      </c>
      <c r="B131" s="105" t="str">
        <f>IFERROR(__xludf.DUMMYFUNCTION("""COMPUTED_VALUE"""),"Configuration issue, Database-related issue, GUI-related issue, Network issue")</f>
        <v>Configuration issue, Database-related issue, GUI-related issue, Network issue</v>
      </c>
      <c r="C131" s="105"/>
      <c r="D131" s="105" t="str">
        <f>IFERROR(__xludf.DUMMYFUNCTION("""COMPUTED_VALUE"""),"fix::merged::(link::review::3)")</f>
        <v>fix::merged::(link::review::3)</v>
      </c>
      <c r="E131" s="105"/>
      <c r="F131" s="105" t="str">
        <f>IFERROR(__xludf.DUMMYFUNCTION("""COMPUTED_VALUE"""),"discussing::compatebility::of::solution::design")</f>
        <v>discussing::compatebility::of::solution::design</v>
      </c>
      <c r="G131" s="105"/>
      <c r="H131" s="105"/>
      <c r="I131" s="105"/>
      <c r="J131" s="105"/>
      <c r="K131" s="105"/>
      <c r="L131" s="105"/>
      <c r="M131" s="105"/>
      <c r="N131" s="105"/>
      <c r="O131" s="105"/>
      <c r="P131" s="105" t="str">
        <f>IFERROR(__xludf.DUMMYFUNCTION("""COMPUTED_VALUE"""),"approval::for::submitting::granted::core::rev")</f>
        <v>approval::for::submitting::granted::core::rev</v>
      </c>
      <c r="Q131" s="105"/>
      <c r="R131" s="105"/>
      <c r="S131" s="105"/>
      <c r="T131" s="105"/>
      <c r="U131" s="105"/>
      <c r="V131" s="105"/>
      <c r="W131" s="105"/>
      <c r="X131" s="105"/>
      <c r="Y131" s="105"/>
      <c r="Z131" s="105"/>
    </row>
    <row r="132">
      <c r="A132" s="105" t="str">
        <f>IFERROR(__xludf.DUMMYFUNCTION("""COMPUTED_VALUE"""),"information::related::fix::merged::(no::source)")</f>
        <v>information::related::fix::merged::(no::source)</v>
      </c>
      <c r="B132" s="105" t="str">
        <f>IFERROR(__xludf.DUMMYFUNCTION("""COMPUTED_VALUE"""),"Configuration issue, Database-related issue, GUI-related issue, Performance issue")</f>
        <v>Configuration issue, Database-related issue, GUI-related issue, Performance issue</v>
      </c>
      <c r="C132" s="105"/>
      <c r="D132" s="105" t="str">
        <f>IFERROR(__xludf.DUMMYFUNCTION("""COMPUTED_VALUE"""),"fix::merged::(link::review::4)")</f>
        <v>fix::merged::(link::review::4)</v>
      </c>
      <c r="E132" s="105"/>
      <c r="F132" s="105" t="str">
        <f>IFERROR(__xludf.DUMMYFUNCTION("""COMPUTED_VALUE"""),"discussing::compatebility::of::solution::design::(with::related::feature)")</f>
        <v>discussing::compatebility::of::solution::design::(with::related::feature)</v>
      </c>
      <c r="G132" s="105"/>
      <c r="H132" s="105"/>
      <c r="I132" s="105"/>
      <c r="J132" s="105"/>
      <c r="K132" s="105"/>
      <c r="L132" s="105"/>
      <c r="M132" s="105"/>
      <c r="N132" s="105"/>
      <c r="O132" s="105"/>
      <c r="P132" s="105" t="str">
        <f>IFERROR(__xludf.DUMMYFUNCTION("""COMPUTED_VALUE"""),"approval::for::submitting::granted::for::the::BP")</f>
        <v>approval::for::submitting::granted::for::the::BP</v>
      </c>
      <c r="Q132" s="105"/>
      <c r="R132" s="105"/>
      <c r="S132" s="105"/>
      <c r="T132" s="105"/>
      <c r="U132" s="105"/>
      <c r="V132" s="105"/>
      <c r="W132" s="105"/>
      <c r="X132" s="105"/>
      <c r="Y132" s="105"/>
      <c r="Z132" s="105"/>
    </row>
    <row r="133">
      <c r="A133" s="105" t="str">
        <f>IFERROR(__xludf.DUMMYFUNCTION("""COMPUTED_VALUE"""),"informing::backporting")</f>
        <v>informing::backporting</v>
      </c>
      <c r="B133" s="105" t="str">
        <f>IFERROR(__xludf.DUMMYFUNCTION("""COMPUTED_VALUE"""),"Configuration issue, Database-related issue, GUI-related issue, Permission/deprecation issue")</f>
        <v>Configuration issue, Database-related issue, GUI-related issue, Permission/deprecation issue</v>
      </c>
      <c r="C133" s="105"/>
      <c r="D133" s="105" t="str">
        <f>IFERROR(__xludf.DUMMYFUNCTION("""COMPUTED_VALUE"""),"fix::merged::(link::review::5)")</f>
        <v>fix::merged::(link::review::5)</v>
      </c>
      <c r="E133" s="105"/>
      <c r="F133" s="105" t="str">
        <f>IFERROR(__xludf.DUMMYFUNCTION("""COMPUTED_VALUE"""),"discussing::complaining::about::previous::bad::developing")</f>
        <v>discussing::complaining::about::previous::bad::developing</v>
      </c>
      <c r="G133" s="105"/>
      <c r="H133" s="105"/>
      <c r="I133" s="105"/>
      <c r="J133" s="105"/>
      <c r="K133" s="105"/>
      <c r="L133" s="105"/>
      <c r="M133" s="105"/>
      <c r="N133" s="105"/>
      <c r="O133" s="105"/>
      <c r="P133" s="105" t="str">
        <f>IFERROR(__xludf.DUMMYFUNCTION("""COMPUTED_VALUE"""),"approval::for::submitting::granted2::(core::reviewer)")</f>
        <v>approval::for::submitting::granted2::(core::reviewer)</v>
      </c>
      <c r="Q133" s="105"/>
      <c r="R133" s="105"/>
      <c r="S133" s="105"/>
      <c r="T133" s="105"/>
      <c r="U133" s="105"/>
      <c r="V133" s="105"/>
      <c r="W133" s="105"/>
      <c r="X133" s="105"/>
      <c r="Y133" s="105"/>
      <c r="Z133" s="105"/>
    </row>
    <row r="134">
      <c r="A134" s="105" t="str">
        <f>IFERROR(__xludf.DUMMYFUNCTION("""COMPUTED_VALUE"""),"informing::bug:.already::fixed")</f>
        <v>informing::bug:.already::fixed</v>
      </c>
      <c r="B134" s="105" t="str">
        <f>IFERROR(__xludf.DUMMYFUNCTION("""COMPUTED_VALUE"""),"Configuration issue, Database-related issue, GUI-related issue, Program anomaly issue")</f>
        <v>Configuration issue, Database-related issue, GUI-related issue, Program anomaly issue</v>
      </c>
      <c r="C134" s="105"/>
      <c r="D134" s="105" t="str">
        <f>IFERROR(__xludf.DUMMYFUNCTION("""COMPUTED_VALUE"""),"fix::merged::(link::review::commit)")</f>
        <v>fix::merged::(link::review::commit)</v>
      </c>
      <c r="E134" s="105"/>
      <c r="F134" s="105" t="str">
        <f>IFERROR(__xludf.DUMMYFUNCTION("""COMPUTED_VALUE"""),"discussing::cons::design::choice:::one::design::choice::of::implementation::(hybrid::compute::nodes)")</f>
        <v>discussing::cons::design::choice:::one::design::choice::of::implementation::(hybrid::compute::nodes)</v>
      </c>
      <c r="G134" s="105"/>
      <c r="H134" s="105"/>
      <c r="I134" s="105"/>
      <c r="J134" s="105"/>
      <c r="K134" s="105"/>
      <c r="L134" s="105"/>
      <c r="M134" s="105"/>
      <c r="N134" s="105"/>
      <c r="O134" s="105"/>
      <c r="P134" s="105" t="str">
        <f>IFERROR(__xludf.DUMMYFUNCTION("""COMPUTED_VALUE"""),"approval::for::workflow::(final)::(vote1)")</f>
        <v>approval::for::workflow::(final)::(vote1)</v>
      </c>
      <c r="Q134" s="105"/>
      <c r="R134" s="105"/>
      <c r="S134" s="105"/>
      <c r="T134" s="105"/>
      <c r="U134" s="105"/>
      <c r="V134" s="105"/>
      <c r="W134" s="105"/>
      <c r="X134" s="105"/>
      <c r="Y134" s="105"/>
      <c r="Z134" s="105"/>
    </row>
    <row r="135">
      <c r="A135" s="105" t="str">
        <f>IFERROR(__xludf.DUMMYFUNCTION("""COMPUTED_VALUE"""),"informing::bug:.already::fixed::(release::name)")</f>
        <v>informing::bug:.already::fixed::(release::name)</v>
      </c>
      <c r="B135" s="105" t="str">
        <f>IFERROR(__xludf.DUMMYFUNCTION("""COMPUTED_VALUE"""),"Configuration issue, Database-related issue, GUI-related issue, Security issue")</f>
        <v>Configuration issue, Database-related issue, GUI-related issue, Security issue</v>
      </c>
      <c r="C135" s="105"/>
      <c r="D135" s="105" t="str">
        <f>IFERROR(__xludf.DUMMYFUNCTION("""COMPUTED_VALUE"""),"fix::merged::(link::review::commit)::not:.main::branch")</f>
        <v>fix::merged::(link::review::commit)::not:.main::branch</v>
      </c>
      <c r="E135" s="105"/>
      <c r="F135" s="105" t="str">
        <f>IFERROR(__xludf.DUMMYFUNCTION("""COMPUTED_VALUE"""),"discussing::cons::design::choice::(hybrid::compute::nodes)")</f>
        <v>discussing::cons::design::choice::(hybrid::compute::nodes)</v>
      </c>
      <c r="G135" s="105"/>
      <c r="H135" s="105"/>
      <c r="I135" s="105"/>
      <c r="J135" s="105"/>
      <c r="K135" s="105"/>
      <c r="L135" s="105"/>
      <c r="M135" s="105"/>
      <c r="N135" s="105"/>
      <c r="O135" s="105"/>
      <c r="P135" s="105" t="str">
        <f>IFERROR(__xludf.DUMMYFUNCTION("""COMPUTED_VALUE"""),"approval::for::workflow::(final)::(vote2)")</f>
        <v>approval::for::workflow::(final)::(vote2)</v>
      </c>
      <c r="Q135" s="105"/>
      <c r="R135" s="105"/>
      <c r="S135" s="105"/>
      <c r="T135" s="105"/>
      <c r="U135" s="105"/>
      <c r="V135" s="105"/>
      <c r="W135" s="105"/>
      <c r="X135" s="105"/>
      <c r="Y135" s="105"/>
      <c r="Z135" s="105"/>
    </row>
    <row r="136">
      <c r="A136" s="105" t="str">
        <f>IFERROR(__xludf.DUMMYFUNCTION("""COMPUTED_VALUE"""),"informing::status::release")</f>
        <v>informing::status::release</v>
      </c>
      <c r="B136" s="105" t="str">
        <f>IFERROR(__xludf.DUMMYFUNCTION("""COMPUTED_VALUE"""),"Configuration issue, Database-related issue, GUI-related issue, Test code-related issue")</f>
        <v>Configuration issue, Database-related issue, GUI-related issue, Test code-related issue</v>
      </c>
      <c r="C136" s="105"/>
      <c r="D136" s="105" t="str">
        <f>IFERROR(__xludf.DUMMYFUNCTION("""COMPUTED_VALUE"""),"fix::merged::(link::review::commit2)")</f>
        <v>fix::merged::(link::review::commit2)</v>
      </c>
      <c r="E136" s="105"/>
      <c r="F136" s="105" t="str">
        <f>IFERROR(__xludf.DUMMYFUNCTION("""COMPUTED_VALUE"""),"discussing::core::reviewer::assignment")</f>
        <v>discussing::core::reviewer::assignment</v>
      </c>
      <c r="G136" s="105"/>
      <c r="H136" s="105"/>
      <c r="I136" s="105"/>
      <c r="J136" s="105"/>
      <c r="K136" s="105"/>
      <c r="L136" s="105"/>
      <c r="M136" s="105"/>
      <c r="N136" s="105"/>
      <c r="O136" s="105"/>
      <c r="P136" s="105" t="str">
        <f>IFERROR(__xludf.DUMMYFUNCTION("""COMPUTED_VALUE"""),"approval::for::workflow::(final)::(vote3)")</f>
        <v>approval::for::workflow::(final)::(vote3)</v>
      </c>
      <c r="Q136" s="105"/>
      <c r="R136" s="105"/>
      <c r="S136" s="105"/>
      <c r="T136" s="105"/>
      <c r="U136" s="105"/>
      <c r="V136" s="105"/>
      <c r="W136" s="105"/>
      <c r="X136" s="105"/>
      <c r="Y136" s="105"/>
      <c r="Z136" s="105"/>
    </row>
    <row r="137">
      <c r="A137" s="105" t="str">
        <f>IFERROR(__xludf.DUMMYFUNCTION("""COMPUTED_VALUE"""),"informing::taking::responsibility::for::solving::issue")</f>
        <v>informing::taking::responsibility::for::solving::issue</v>
      </c>
      <c r="B137" s="105" t="str">
        <f>IFERROR(__xludf.DUMMYFUNCTION("""COMPUTED_VALUE"""),"Configuration issue, Database-related issue, Network issue, Performance issue")</f>
        <v>Configuration issue, Database-related issue, Network issue, Performance issue</v>
      </c>
      <c r="C137" s="105"/>
      <c r="D137" s="105" t="str">
        <f>IFERROR(__xludf.DUMMYFUNCTION("""COMPUTED_VALUE"""),"fix::merged::(link::review::commit2)::not:.main::branch")</f>
        <v>fix::merged::(link::review::commit2)::not:.main::branch</v>
      </c>
      <c r="E137" s="105"/>
      <c r="F137" s="105" t="str">
        <f>IFERROR(__xludf.DUMMYFUNCTION("""COMPUTED_VALUE"""),"discussing::developer::assignment")</f>
        <v>discussing::developer::assignment</v>
      </c>
      <c r="G137" s="105"/>
      <c r="H137" s="105"/>
      <c r="I137" s="105"/>
      <c r="J137" s="105"/>
      <c r="K137" s="105"/>
      <c r="L137" s="105"/>
      <c r="M137" s="105"/>
      <c r="N137" s="105"/>
      <c r="O137" s="105"/>
      <c r="P137" s="105" t="str">
        <f>IFERROR(__xludf.DUMMYFUNCTION("""COMPUTED_VALUE"""),"approval::for::workflow::(non::final)::(vote1)")</f>
        <v>approval::for::workflow::(non::final)::(vote1)</v>
      </c>
      <c r="Q137" s="105"/>
      <c r="R137" s="105"/>
      <c r="S137" s="105"/>
      <c r="T137" s="105"/>
      <c r="U137" s="105"/>
      <c r="V137" s="105"/>
      <c r="W137" s="105"/>
      <c r="X137" s="105"/>
      <c r="Y137" s="105"/>
      <c r="Z137" s="105"/>
    </row>
    <row r="138">
      <c r="A138" s="105" t="str">
        <f>IFERROR(__xludf.DUMMYFUNCTION("""COMPUTED_VALUE"""),"instructions::of::what::to::do::if::a::regression::is::found::in::the::feature")</f>
        <v>instructions::of::what::to::do::if::a::regression::is::found::in::the::feature</v>
      </c>
      <c r="B138" s="105" t="str">
        <f>IFERROR(__xludf.DUMMYFUNCTION("""COMPUTED_VALUE"""),"Configuration issue, Database-related issue, Network issue, Permission/deprecation issue")</f>
        <v>Configuration issue, Database-related issue, Network issue, Permission/deprecation issue</v>
      </c>
      <c r="C138" s="105"/>
      <c r="D138" s="105" t="str">
        <f>IFERROR(__xludf.DUMMYFUNCTION("""COMPUTED_VALUE"""),"fix::merged::(link::review::commit3)")</f>
        <v>fix::merged::(link::review::commit3)</v>
      </c>
      <c r="E138" s="105"/>
      <c r="F138" s="105" t="str">
        <f>IFERROR(__xludf.DUMMYFUNCTION("""COMPUTED_VALUE"""),"discussing::development::process::(developer::team)")</f>
        <v>discussing::development::process::(developer::team)</v>
      </c>
      <c r="G138" s="105"/>
      <c r="H138" s="105"/>
      <c r="I138" s="105"/>
      <c r="J138" s="105"/>
      <c r="K138" s="105"/>
      <c r="L138" s="105"/>
      <c r="M138" s="105"/>
      <c r="N138" s="105"/>
      <c r="O138" s="105"/>
      <c r="P138" s="105" t="str">
        <f>IFERROR(__xludf.DUMMYFUNCTION("""COMPUTED_VALUE"""),"approval::for::workflow::(non::final)::(vote2)")</f>
        <v>approval::for::workflow::(non::final)::(vote2)</v>
      </c>
      <c r="Q138" s="105"/>
      <c r="R138" s="105"/>
      <c r="S138" s="105"/>
      <c r="T138" s="105"/>
      <c r="U138" s="105"/>
      <c r="V138" s="105"/>
      <c r="W138" s="105"/>
      <c r="X138" s="105"/>
      <c r="Y138" s="105"/>
      <c r="Z138" s="105"/>
    </row>
    <row r="139">
      <c r="A139" s="105" t="str">
        <f>IFERROR(__xludf.DUMMYFUNCTION("""COMPUTED_VALUE"""),"introducing::commit::(link::github)")</f>
        <v>introducing::commit::(link::github)</v>
      </c>
      <c r="B139" s="105" t="str">
        <f>IFERROR(__xludf.DUMMYFUNCTION("""COMPUTED_VALUE"""),"Configuration issue, Database-related issue, Network issue, Program anomaly issue")</f>
        <v>Configuration issue, Database-related issue, Network issue, Program anomaly issue</v>
      </c>
      <c r="C139" s="105"/>
      <c r="D139" s="105" t="str">
        <f>IFERROR(__xludf.DUMMYFUNCTION("""COMPUTED_VALUE"""),"fix::merged::(link::review::commit3)::not:.main::branch")</f>
        <v>fix::merged::(link::review::commit3)::not:.main::branch</v>
      </c>
      <c r="E139" s="105"/>
      <c r="F139" s="105" t="str">
        <f>IFERROR(__xludf.DUMMYFUNCTION("""COMPUTED_VALUE"""),"discussing::development::process::(meetings)")</f>
        <v>discussing::development::process::(meetings)</v>
      </c>
      <c r="G139" s="105"/>
      <c r="H139" s="105"/>
      <c r="I139" s="105"/>
      <c r="J139" s="105"/>
      <c r="K139" s="105"/>
      <c r="L139" s="105"/>
      <c r="M139" s="105"/>
      <c r="N139" s="105"/>
      <c r="O139" s="105"/>
      <c r="P139" s="105" t="str">
        <f>IFERROR(__xludf.DUMMYFUNCTION("""COMPUTED_VALUE"""),"approval::for::workflow::(non::final)::(vote3)")</f>
        <v>approval::for::workflow::(non::final)::(vote3)</v>
      </c>
      <c r="Q139" s="105"/>
      <c r="R139" s="105"/>
      <c r="S139" s="105"/>
      <c r="T139" s="105"/>
      <c r="U139" s="105"/>
      <c r="V139" s="105"/>
      <c r="W139" s="105"/>
      <c r="X139" s="105"/>
      <c r="Y139" s="105"/>
      <c r="Z139" s="105"/>
    </row>
    <row r="140">
      <c r="A140" s="105" t="str">
        <f>IFERROR(__xludf.DUMMYFUNCTION("""COMPUTED_VALUE"""),"issue::closed::(revision::hash)")</f>
        <v>issue::closed::(revision::hash)</v>
      </c>
      <c r="B140" s="105" t="str">
        <f>IFERROR(__xludf.DUMMYFUNCTION("""COMPUTED_VALUE"""),"Configuration issue, Database-related issue, Network issue, Security issue")</f>
        <v>Configuration issue, Database-related issue, Network issue, Security issue</v>
      </c>
      <c r="C140" s="105"/>
      <c r="D140" s="105" t="str">
        <f>IFERROR(__xludf.DUMMYFUNCTION("""COMPUTED_VALUE"""),"fix::merged::(link::review::commit4)")</f>
        <v>fix::merged::(link::review::commit4)</v>
      </c>
      <c r="E140" s="105"/>
      <c r="F140" s="105" t="str">
        <f>IFERROR(__xludf.DUMMYFUNCTION("""COMPUTED_VALUE"""),"discussing::development::process::(next::meeting::related::BP::content)")</f>
        <v>discussing::development::process::(next::meeting::related::BP::content)</v>
      </c>
      <c r="G140" s="105"/>
      <c r="H140" s="105"/>
      <c r="I140" s="105"/>
      <c r="J140" s="105"/>
      <c r="K140" s="105"/>
      <c r="L140" s="105"/>
      <c r="M140" s="105"/>
      <c r="N140" s="105"/>
      <c r="O140" s="105"/>
      <c r="P140" s="105" t="str">
        <f>IFERROR(__xludf.DUMMYFUNCTION("""COMPUTED_VALUE"""),"approval::for::workflow::(non::final)::(vote4)")</f>
        <v>approval::for::workflow::(non::final)::(vote4)</v>
      </c>
      <c r="Q140" s="105"/>
      <c r="R140" s="105"/>
      <c r="S140" s="105"/>
      <c r="T140" s="105"/>
      <c r="U140" s="105"/>
      <c r="V140" s="105"/>
      <c r="W140" s="105"/>
      <c r="X140" s="105"/>
      <c r="Y140" s="105"/>
      <c r="Z140" s="105"/>
    </row>
    <row r="141">
      <c r="A141" s="105" t="str">
        <f>IFERROR(__xludf.DUMMYFUNCTION("""COMPUTED_VALUE"""),"issues::related::(link::issue::external)")</f>
        <v>issues::related::(link::issue::external)</v>
      </c>
      <c r="B141" s="105" t="str">
        <f>IFERROR(__xludf.DUMMYFUNCTION("""COMPUTED_VALUE"""),"Configuration issue, Database-related issue, Network issue, Test code-related issue")</f>
        <v>Configuration issue, Database-related issue, Network issue, Test code-related issue</v>
      </c>
      <c r="C141" s="105"/>
      <c r="D141" s="105" t="str">
        <f>IFERROR(__xludf.DUMMYFUNCTION("""COMPUTED_VALUE"""),"fix::merged::(link::review)")</f>
        <v>fix::merged::(link::review)</v>
      </c>
      <c r="E141" s="105"/>
      <c r="F141" s="105" t="str">
        <f>IFERROR(__xludf.DUMMYFUNCTION("""COMPUTED_VALUE"""),"discussing::development::process::(next::meeting::related::BP::priority::not::delaying)")</f>
        <v>discussing::development::process::(next::meeting::related::BP::priority::not::delaying)</v>
      </c>
      <c r="G141" s="105"/>
      <c r="H141" s="105"/>
      <c r="I141" s="105"/>
      <c r="J141" s="105"/>
      <c r="K141" s="105"/>
      <c r="L141" s="105"/>
      <c r="M141" s="105"/>
      <c r="N141" s="105"/>
      <c r="O141" s="105"/>
      <c r="P141" s="105" t="str">
        <f>IFERROR(__xludf.DUMMYFUNCTION("""COMPUTED_VALUE"""),"approval::for::workflow::(non::final)::(vote5)")</f>
        <v>approval::for::workflow::(non::final)::(vote5)</v>
      </c>
      <c r="Q141" s="105"/>
      <c r="R141" s="105"/>
      <c r="S141" s="105"/>
      <c r="T141" s="105"/>
      <c r="U141" s="105"/>
      <c r="V141" s="105"/>
      <c r="W141" s="105"/>
      <c r="X141" s="105"/>
      <c r="Y141" s="105"/>
      <c r="Z141" s="105"/>
    </row>
    <row r="142">
      <c r="A142" s="105" t="str">
        <f>IFERROR(__xludf.DUMMYFUNCTION("""COMPUTED_VALUE"""),"issues::related::(link::issue)")</f>
        <v>issues::related::(link::issue)</v>
      </c>
      <c r="B142" s="105" t="str">
        <f>IFERROR(__xludf.DUMMYFUNCTION("""COMPUTED_VALUE"""),"Configuration issue, Database-related issue, Performance issue, Permission/deprecation issue")</f>
        <v>Configuration issue, Database-related issue, Performance issue, Permission/deprecation issue</v>
      </c>
      <c r="C142" s="105"/>
      <c r="D142" s="105" t="str">
        <f>IFERROR(__xludf.DUMMYFUNCTION("""COMPUTED_VALUE"""),"fix::merged::(link::review)::not::main::branch")</f>
        <v>fix::merged::(link::review)::not::main::branch</v>
      </c>
      <c r="E142" s="105"/>
      <c r="F142" s="105" t="str">
        <f>IFERROR(__xludf.DUMMYFUNCTION("""COMPUTED_VALUE"""),"discussing::intended::solution::design")</f>
        <v>discussing::intended::solution::design</v>
      </c>
      <c r="G142" s="105"/>
      <c r="H142" s="105"/>
      <c r="I142" s="105"/>
      <c r="J142" s="105"/>
      <c r="K142" s="105"/>
      <c r="L142" s="105"/>
      <c r="M142" s="105"/>
      <c r="N142" s="105"/>
      <c r="O142" s="105"/>
      <c r="P142" s="105" t="str">
        <f>IFERROR(__xludf.DUMMYFUNCTION("""COMPUTED_VALUE"""),"approval::for::workflow1")</f>
        <v>approval::for::workflow1</v>
      </c>
      <c r="Q142" s="105"/>
      <c r="R142" s="105"/>
      <c r="S142" s="105"/>
      <c r="T142" s="105"/>
      <c r="U142" s="105"/>
      <c r="V142" s="105"/>
      <c r="W142" s="105"/>
      <c r="X142" s="105"/>
      <c r="Y142" s="105"/>
      <c r="Z142" s="105"/>
    </row>
    <row r="143">
      <c r="A143" s="105" t="str">
        <f>IFERROR(__xludf.DUMMYFUNCTION("""COMPUTED_VALUE"""),"issues::related::(link::launchpad)")</f>
        <v>issues::related::(link::launchpad)</v>
      </c>
      <c r="B143" s="105" t="str">
        <f>IFERROR(__xludf.DUMMYFUNCTION("""COMPUTED_VALUE"""),"Configuration issue, Database-related issue, Performance issue, Program anomaly issue")</f>
        <v>Configuration issue, Database-related issue, Performance issue, Program anomaly issue</v>
      </c>
      <c r="C143" s="105"/>
      <c r="D143" s="105" t="str">
        <f>IFERROR(__xludf.DUMMYFUNCTION("""COMPUTED_VALUE"""),"fix::merged::(link::review)::related::fix")</f>
        <v>fix::merged::(link::review)::related::fix</v>
      </c>
      <c r="E143" s="105"/>
      <c r="F143" s="105" t="str">
        <f>IFERROR(__xludf.DUMMYFUNCTION("""COMPUTED_VALUE"""),"discussing::intended::test::setup")</f>
        <v>discussing::intended::test::setup</v>
      </c>
      <c r="G143" s="105"/>
      <c r="H143" s="105"/>
      <c r="I143" s="105"/>
      <c r="J143" s="105"/>
      <c r="K143" s="105"/>
      <c r="L143" s="105"/>
      <c r="M143" s="105"/>
      <c r="N143" s="105"/>
      <c r="O143" s="105"/>
      <c r="P143" s="105" t="str">
        <f>IFERROR(__xludf.DUMMYFUNCTION("""COMPUTED_VALUE"""),"approval::of::the::BP/spec::associated::to::the::change::before::merging")</f>
        <v>approval::of::the::BP/spec::associated::to::the::change::before::merging</v>
      </c>
      <c r="Q143" s="105"/>
      <c r="R143" s="105"/>
      <c r="S143" s="105"/>
      <c r="T143" s="105"/>
      <c r="U143" s="105"/>
      <c r="V143" s="105"/>
      <c r="W143" s="105"/>
      <c r="X143" s="105"/>
      <c r="Y143" s="105"/>
      <c r="Z143" s="105"/>
    </row>
    <row r="144">
      <c r="A144" s="105" t="str">
        <f>IFERROR(__xludf.DUMMYFUNCTION("""COMPUTED_VALUE"""),"joining::previously:.mentioned::reasons::for::the::continuation::of::bug")</f>
        <v>joining::previously:.mentioned::reasons::for::the::continuation::of::bug</v>
      </c>
      <c r="B144" s="105" t="str">
        <f>IFERROR(__xludf.DUMMYFUNCTION("""COMPUTED_VALUE"""),"Configuration issue, Database-related issue, Performance issue, Security issue")</f>
        <v>Configuration issue, Database-related issue, Performance issue, Security issue</v>
      </c>
      <c r="C144" s="105"/>
      <c r="D144" s="105" t="str">
        <f>IFERROR(__xludf.DUMMYFUNCTION("""COMPUTED_VALUE"""),"fix::merged::(link::review)::related::fix::not::main::branch")</f>
        <v>fix::merged::(link::review)::related::fix::not::main::branch</v>
      </c>
      <c r="E144" s="105"/>
      <c r="F144" s="105" t="str">
        <f>IFERROR(__xludf.DUMMYFUNCTION("""COMPUTED_VALUE"""),"discussing::keeping::inside::project::as::it::is")</f>
        <v>discussing::keeping::inside::project::as::it::is</v>
      </c>
      <c r="G144" s="105"/>
      <c r="H144" s="105"/>
      <c r="I144" s="105"/>
      <c r="J144" s="105"/>
      <c r="K144" s="105"/>
      <c r="L144" s="105"/>
      <c r="M144" s="105"/>
      <c r="N144" s="105"/>
      <c r="O144" s="105"/>
      <c r="P144" s="105" t="str">
        <f>IFERROR(__xludf.DUMMYFUNCTION("""COMPUTED_VALUE"""),"approval::of::the::BP/spec::associated::to::the::change::before::working::on::code")</f>
        <v>approval::of::the::BP/spec::associated::to::the::change::before::working::on::code</v>
      </c>
      <c r="Q144" s="105"/>
      <c r="R144" s="105"/>
      <c r="S144" s="105"/>
      <c r="T144" s="105"/>
      <c r="U144" s="105"/>
      <c r="V144" s="105"/>
      <c r="W144" s="105"/>
      <c r="X144" s="105"/>
      <c r="Y144" s="105"/>
      <c r="Z144" s="105"/>
    </row>
    <row r="145">
      <c r="A145" s="105" t="str">
        <f>IFERROR(__xludf.DUMMYFUNCTION("""COMPUTED_VALUE"""),"justification::of::changing::triage")</f>
        <v>justification::of::changing::triage</v>
      </c>
      <c r="B145" s="105" t="str">
        <f>IFERROR(__xludf.DUMMYFUNCTION("""COMPUTED_VALUE"""),"Configuration issue, Database-related issue, Performance issue, Test code-related issue")</f>
        <v>Configuration issue, Database-related issue, Performance issue, Test code-related issue</v>
      </c>
      <c r="C145" s="105"/>
      <c r="D145" s="105" t="str">
        <f>IFERROR(__xludf.DUMMYFUNCTION("""COMPUTED_VALUE"""),"fix::merged::(link::review1)::related::fix")</f>
        <v>fix::merged::(link::review1)::related::fix</v>
      </c>
      <c r="E145" s="105"/>
      <c r="F145" s="105" t="str">
        <f>IFERROR(__xludf.DUMMYFUNCTION("""COMPUTED_VALUE"""),"discussing::plan::development::process::(move::project::outside::nova)")</f>
        <v>discussing::plan::development::process::(move::project::outside::nova)</v>
      </c>
      <c r="G145" s="105"/>
      <c r="H145" s="105"/>
      <c r="I145" s="105"/>
      <c r="J145" s="105"/>
      <c r="K145" s="105"/>
      <c r="L145" s="105"/>
      <c r="M145" s="105"/>
      <c r="N145" s="105"/>
      <c r="O145" s="105"/>
      <c r="P145" s="105" t="str">
        <f>IFERROR(__xludf.DUMMYFUNCTION("""COMPUTED_VALUE"""),"asking::about::waiting::for::patch::(other::review)")</f>
        <v>asking::about::waiting::for::patch::(other::review)</v>
      </c>
      <c r="Q145" s="105"/>
      <c r="R145" s="105"/>
      <c r="S145" s="105"/>
      <c r="T145" s="105"/>
      <c r="U145" s="105"/>
      <c r="V145" s="105"/>
      <c r="W145" s="105"/>
      <c r="X145" s="105"/>
      <c r="Y145" s="105"/>
      <c r="Z145" s="105"/>
    </row>
    <row r="146">
      <c r="A146" s="105" t="str">
        <f>IFERROR(__xludf.DUMMYFUNCTION("""COMPUTED_VALUE"""),"justification::of:.the::regression::identified")</f>
        <v>justification::of:.the::regression::identified</v>
      </c>
      <c r="B146" s="105" t="str">
        <f>IFERROR(__xludf.DUMMYFUNCTION("""COMPUTED_VALUE"""),"Configuration issue, Database-related issue, Permission/deprecation issue, Program anomaly issue")</f>
        <v>Configuration issue, Database-related issue, Permission/deprecation issue, Program anomaly issue</v>
      </c>
      <c r="C146" s="105"/>
      <c r="D146" s="105" t="str">
        <f>IFERROR(__xludf.DUMMYFUNCTION("""COMPUTED_VALUE"""),"fix::merged::(link::review2::commit2)")</f>
        <v>fix::merged::(link::review2::commit2)</v>
      </c>
      <c r="E146" s="105"/>
      <c r="F146" s="105" t="str">
        <f>IFERROR(__xludf.DUMMYFUNCTION("""COMPUTED_VALUE"""),"discussing::plan::development::process::(reviews)")</f>
        <v>discussing::plan::development::process::(reviews)</v>
      </c>
      <c r="G146" s="105"/>
      <c r="H146" s="105"/>
      <c r="I146" s="105"/>
      <c r="J146" s="105"/>
      <c r="K146" s="105"/>
      <c r="L146" s="105"/>
      <c r="M146" s="105"/>
      <c r="N146" s="105"/>
      <c r="O146" s="105"/>
      <c r="P146" s="105" t="str">
        <f>IFERROR(__xludf.DUMMYFUNCTION("""COMPUTED_VALUE"""),"asking::advice::about::changes::(verify::correctness)")</f>
        <v>asking::advice::about::changes::(verify::correctness)</v>
      </c>
      <c r="Q146" s="105"/>
      <c r="R146" s="105"/>
      <c r="S146" s="105"/>
      <c r="T146" s="105"/>
      <c r="U146" s="105"/>
      <c r="V146" s="105"/>
      <c r="W146" s="105"/>
      <c r="X146" s="105"/>
      <c r="Y146" s="105"/>
      <c r="Z146" s="105"/>
    </row>
    <row r="147">
      <c r="A147" s="105" t="str">
        <f>IFERROR(__xludf.DUMMYFUNCTION("""COMPUTED_VALUE"""),"link::review")</f>
        <v>link::review</v>
      </c>
      <c r="B147" s="105" t="str">
        <f>IFERROR(__xludf.DUMMYFUNCTION("""COMPUTED_VALUE"""),"Configuration issue, Database-related issue, Permission/deprecation issue, Security issue")</f>
        <v>Configuration issue, Database-related issue, Permission/deprecation issue, Security issue</v>
      </c>
      <c r="C147" s="105"/>
      <c r="D147" s="105" t="str">
        <f>IFERROR(__xludf.DUMMYFUNCTION("""COMPUTED_VALUE"""),"fix::merged::(link::review2)::not::main::branch")</f>
        <v>fix::merged::(link::review2)::not::main::branch</v>
      </c>
      <c r="E147" s="105"/>
      <c r="F147" s="105" t="str">
        <f>IFERROR(__xludf.DUMMYFUNCTION("""COMPUTED_VALUE"""),"discussing::plan::development::process::(timeframe)")</f>
        <v>discussing::plan::development::process::(timeframe)</v>
      </c>
      <c r="G147" s="105"/>
      <c r="H147" s="105"/>
      <c r="I147" s="105"/>
      <c r="J147" s="105"/>
      <c r="K147" s="105"/>
      <c r="L147" s="105"/>
      <c r="M147" s="105"/>
      <c r="N147" s="105"/>
      <c r="O147" s="105"/>
      <c r="P147" s="105" t="str">
        <f>IFERROR(__xludf.DUMMYFUNCTION("""COMPUTED_VALUE"""),"asking::advice::about::code::and::documentation::(functionallity)")</f>
        <v>asking::advice::about::code::and::documentation::(functionallity)</v>
      </c>
      <c r="Q147" s="105"/>
      <c r="R147" s="105"/>
      <c r="S147" s="105"/>
      <c r="T147" s="105"/>
      <c r="U147" s="105"/>
      <c r="V147" s="105"/>
      <c r="W147" s="105"/>
      <c r="X147" s="105"/>
      <c r="Y147" s="105"/>
      <c r="Z147" s="105"/>
    </row>
    <row r="148">
      <c r="A148" s="105" t="str">
        <f>IFERROR(__xludf.DUMMYFUNCTION("""COMPUTED_VALUE"""),"link::review3")</f>
        <v>link::review3</v>
      </c>
      <c r="B148" s="105" t="str">
        <f>IFERROR(__xludf.DUMMYFUNCTION("""COMPUTED_VALUE"""),"Configuration issue, Database-related issue, Permission/deprecation issue, Test code-related issue")</f>
        <v>Configuration issue, Database-related issue, Permission/deprecation issue, Test code-related issue</v>
      </c>
      <c r="C148" s="105"/>
      <c r="D148" s="105" t="str">
        <f>IFERROR(__xludf.DUMMYFUNCTION("""COMPUTED_VALUE"""),"fix::merged::(link::review2)::related::fix")</f>
        <v>fix::merged::(link::review2)::related::fix</v>
      </c>
      <c r="E148" s="105"/>
      <c r="F148" s="105" t="str">
        <f>IFERROR(__xludf.DUMMYFUNCTION("""COMPUTED_VALUE"""),"discussing::proposing::development::project::(as::API)")</f>
        <v>discussing::proposing::development::project::(as::API)</v>
      </c>
      <c r="G148" s="105"/>
      <c r="H148" s="105"/>
      <c r="I148" s="105"/>
      <c r="J148" s="105"/>
      <c r="K148" s="105"/>
      <c r="L148" s="105"/>
      <c r="M148" s="105"/>
      <c r="N148" s="105"/>
      <c r="O148" s="105"/>
      <c r="P148" s="105" t="str">
        <f>IFERROR(__xludf.DUMMYFUNCTION("""COMPUTED_VALUE"""),"asking::advice::about::error")</f>
        <v>asking::advice::about::error</v>
      </c>
      <c r="Q148" s="105"/>
      <c r="R148" s="105"/>
      <c r="S148" s="105"/>
      <c r="T148" s="105"/>
      <c r="U148" s="105"/>
      <c r="V148" s="105"/>
      <c r="W148" s="105"/>
      <c r="X148" s="105"/>
      <c r="Y148" s="105"/>
      <c r="Z148" s="105"/>
    </row>
    <row r="149">
      <c r="A149" s="105" t="str">
        <f>IFERROR(__xludf.DUMMYFUNCTION("""COMPUTED_VALUE"""),"link::to::commit::(github)")</f>
        <v>link::to::commit::(github)</v>
      </c>
      <c r="B149" s="105" t="str">
        <f>IFERROR(__xludf.DUMMYFUNCTION("""COMPUTED_VALUE"""),"Configuration issue, Database-related issue, Program anomaly issue, Test code-related issue")</f>
        <v>Configuration issue, Database-related issue, Program anomaly issue, Test code-related issue</v>
      </c>
      <c r="C149" s="105"/>
      <c r="D149" s="105" t="str">
        <f>IFERROR(__xludf.DUMMYFUNCTION("""COMPUTED_VALUE"""),"fix::merged::(link::review3)::not::main::branch")</f>
        <v>fix::merged::(link::review3)::not::main::branch</v>
      </c>
      <c r="E149" s="105"/>
      <c r="F149" s="105" t="str">
        <f>IFERROR(__xludf.DUMMYFUNCTION("""COMPUTED_VALUE"""),"discussing::proposing::keep::project::as::experimental::project")</f>
        <v>discussing::proposing::keep::project::as::experimental::project</v>
      </c>
      <c r="G149" s="105"/>
      <c r="H149" s="105"/>
      <c r="I149" s="105"/>
      <c r="J149" s="105"/>
      <c r="K149" s="105"/>
      <c r="L149" s="105"/>
      <c r="M149" s="105"/>
      <c r="N149" s="105"/>
      <c r="O149" s="105"/>
      <c r="P149" s="105" t="str">
        <f>IFERROR(__xludf.DUMMYFUNCTION("""COMPUTED_VALUE"""),"asking::advice::about::suggestion::change::current::approach::(change::for::different::api::version)")</f>
        <v>asking::advice::about::suggestion::change::current::approach::(change::for::different::api::version)</v>
      </c>
      <c r="Q149" s="105"/>
      <c r="R149" s="105"/>
      <c r="S149" s="105"/>
      <c r="T149" s="105"/>
      <c r="U149" s="105"/>
      <c r="V149" s="105"/>
      <c r="W149" s="105"/>
      <c r="X149" s="105"/>
      <c r="Y149" s="105"/>
      <c r="Z149" s="105"/>
    </row>
    <row r="150">
      <c r="A150" s="105" t="str">
        <f>IFERROR(__xludf.DUMMYFUNCTION("""COMPUTED_VALUE"""),"link::to::file::(github)")</f>
        <v>link::to::file::(github)</v>
      </c>
      <c r="B150" s="105" t="str">
        <f>IFERROR(__xludf.DUMMYFUNCTION("""COMPUTED_VALUE"""),"Configuration issue, Database-related issue, Security issue, Program anomaly issue")</f>
        <v>Configuration issue, Database-related issue, Security issue, Program anomaly issue</v>
      </c>
      <c r="C150" s="105"/>
      <c r="D150" s="105" t="str">
        <f>IFERROR(__xludf.DUMMYFUNCTION("""COMPUTED_VALUE"""),"fix::merged::(link::review4)::related::fix::not::main::branch")</f>
        <v>fix::merged::(link::review4)::related::fix::not::main::branch</v>
      </c>
      <c r="E150" s="105"/>
      <c r="F150" s="105" t="str">
        <f>IFERROR(__xludf.DUMMYFUNCTION("""COMPUTED_VALUE"""),"discussing::pros::design::choice::to::keep::project::inside::nova::(user::importance)")</f>
        <v>discussing::pros::design::choice::to::keep::project::inside::nova::(user::importance)</v>
      </c>
      <c r="G150" s="105"/>
      <c r="H150" s="105"/>
      <c r="I150" s="105"/>
      <c r="J150" s="105"/>
      <c r="K150" s="105"/>
      <c r="L150" s="105"/>
      <c r="M150" s="105"/>
      <c r="N150" s="105"/>
      <c r="O150" s="105"/>
      <c r="P150" s="105" t="str">
        <f>IFERROR(__xludf.DUMMYFUNCTION("""COMPUTED_VALUE"""),"asking::advice::best::practice::(logic)")</f>
        <v>asking::advice::best::practice::(logic)</v>
      </c>
      <c r="Q150" s="105"/>
      <c r="R150" s="105"/>
      <c r="S150" s="105"/>
      <c r="T150" s="105"/>
      <c r="U150" s="105"/>
      <c r="V150" s="105"/>
      <c r="W150" s="105"/>
      <c r="X150" s="105"/>
      <c r="Y150" s="105"/>
      <c r="Z150" s="105"/>
    </row>
    <row r="151">
      <c r="A151" s="105" t="str">
        <f>IFERROR(__xludf.DUMMYFUNCTION("""COMPUTED_VALUE"""),"link::to::pastebin")</f>
        <v>link::to::pastebin</v>
      </c>
      <c r="B151" s="105" t="str">
        <f>IFERROR(__xludf.DUMMYFUNCTION("""COMPUTED_VALUE"""),"Configuration issue, Database-related issue, Security issue, Test code-related issue")</f>
        <v>Configuration issue, Database-related issue, Security issue, Test code-related issue</v>
      </c>
      <c r="C151" s="105"/>
      <c r="D151" s="105" t="str">
        <f>IFERROR(__xludf.DUMMYFUNCTION("""COMPUTED_VALUE"""),"fix::merged::(link::review5)")</f>
        <v>fix::merged::(link::review5)</v>
      </c>
      <c r="E151" s="105"/>
      <c r="F151" s="105" t="str">
        <f>IFERROR(__xludf.DUMMYFUNCTION("""COMPUTED_VALUE"""),"discussing::providing::advice::development::process::(tests::move::them::out:nova)")</f>
        <v>discussing::providing::advice::development::process::(tests::move::them::out:nova)</v>
      </c>
      <c r="G151" s="105"/>
      <c r="H151" s="105"/>
      <c r="I151" s="105"/>
      <c r="J151" s="105"/>
      <c r="K151" s="105"/>
      <c r="L151" s="105"/>
      <c r="M151" s="105"/>
      <c r="N151" s="105"/>
      <c r="O151" s="105"/>
      <c r="P151" s="105" t="str">
        <f>IFERROR(__xludf.DUMMYFUNCTION("""COMPUTED_VALUE"""),"asking::advice::best::practice::(style)")</f>
        <v>asking::advice::best::practice::(style)</v>
      </c>
      <c r="Q151" s="105"/>
      <c r="R151" s="105"/>
      <c r="S151" s="105"/>
      <c r="T151" s="105"/>
      <c r="U151" s="105"/>
      <c r="V151" s="105"/>
      <c r="W151" s="105"/>
      <c r="X151" s="105"/>
      <c r="Y151" s="105"/>
      <c r="Z151" s="105"/>
    </row>
    <row r="152">
      <c r="A152" s="105" t="str">
        <f>IFERROR(__xludf.DUMMYFUNCTION("""COMPUTED_VALUE"""),"link::to::review")</f>
        <v>link::to::review</v>
      </c>
      <c r="B152" s="105" t="str">
        <f>IFERROR(__xludf.DUMMYFUNCTION("""COMPUTED_VALUE"""),"Configuration issue, GUI-related issue, Network issue, Performance issue")</f>
        <v>Configuration issue, GUI-related issue, Network issue, Performance issue</v>
      </c>
      <c r="C152" s="105"/>
      <c r="D152" s="105" t="str">
        <f>IFERROR(__xludf.DUMMYFUNCTION("""COMPUTED_VALUE"""),"fix::merged::different::project")</f>
        <v>fix::merged::different::project</v>
      </c>
      <c r="E152" s="105"/>
      <c r="F152" s="105" t="str">
        <f>IFERROR(__xludf.DUMMYFUNCTION("""COMPUTED_VALUE"""),"discussing::solution::design")</f>
        <v>discussing::solution::design</v>
      </c>
      <c r="G152" s="105"/>
      <c r="H152" s="105"/>
      <c r="I152" s="105"/>
      <c r="J152" s="105"/>
      <c r="K152" s="105"/>
      <c r="L152" s="105"/>
      <c r="M152" s="105"/>
      <c r="N152" s="105"/>
      <c r="O152" s="105"/>
      <c r="P152" s="105" t="str">
        <f>IFERROR(__xludf.DUMMYFUNCTION("""COMPUTED_VALUE"""),"asking::advice::best::practice::(versioning)")</f>
        <v>asking::advice::best::practice::(versioning)</v>
      </c>
      <c r="Q152" s="105"/>
      <c r="R152" s="105"/>
      <c r="S152" s="105"/>
      <c r="T152" s="105"/>
      <c r="U152" s="105"/>
      <c r="V152" s="105"/>
      <c r="W152" s="105"/>
      <c r="X152" s="105"/>
      <c r="Y152" s="105"/>
      <c r="Z152" s="105"/>
    </row>
    <row r="153">
      <c r="A153" s="105" t="str">
        <f>IFERROR(__xludf.DUMMYFUNCTION("""COMPUTED_VALUE"""),"objection::asking::for::examples::when::bug::is::present")</f>
        <v>objection::asking::for::examples::when::bug::is::present</v>
      </c>
      <c r="B153" s="105" t="str">
        <f>IFERROR(__xludf.DUMMYFUNCTION("""COMPUTED_VALUE"""),"Configuration issue, GUI-related issue, Network issue, Permission/deprecation issue")</f>
        <v>Configuration issue, GUI-related issue, Network issue, Permission/deprecation issue</v>
      </c>
      <c r="C153" s="105"/>
      <c r="D153" s="105" t="str">
        <f>IFERROR(__xludf.DUMMYFUNCTION("""COMPUTED_VALUE"""),"fix::summary")</f>
        <v>fix::summary</v>
      </c>
      <c r="E153" s="105"/>
      <c r="F153" s="105" t="str">
        <f>IFERROR(__xludf.DUMMYFUNCTION("""COMPUTED_VALUE"""),"discussing::solution::design::(asking::how::it::is::being::implemented)")</f>
        <v>discussing::solution::design::(asking::how::it::is::being::implemented)</v>
      </c>
      <c r="G153" s="105"/>
      <c r="H153" s="105"/>
      <c r="I153" s="105"/>
      <c r="J153" s="105"/>
      <c r="K153" s="105"/>
      <c r="L153" s="105"/>
      <c r="M153" s="105"/>
      <c r="N153" s="105"/>
      <c r="O153" s="105"/>
      <c r="P153" s="105" t="str">
        <f>IFERROR(__xludf.DUMMYFUNCTION("""COMPUTED_VALUE"""),"asking::advice::how::to::fix::(alternative::solution)")</f>
        <v>asking::advice::how::to::fix::(alternative::solution)</v>
      </c>
      <c r="Q153" s="105"/>
      <c r="R153" s="105"/>
      <c r="S153" s="105"/>
      <c r="T153" s="105"/>
      <c r="U153" s="105"/>
      <c r="V153" s="105"/>
      <c r="W153" s="105"/>
      <c r="X153" s="105"/>
      <c r="Y153" s="105"/>
      <c r="Z153" s="105"/>
    </row>
    <row r="154">
      <c r="A154" s="105" t="str">
        <f>IFERROR(__xludf.DUMMYFUNCTION("""COMPUTED_VALUE"""),"opening::new:.bug::based::on::previous::discussion")</f>
        <v>opening::new:.bug::based::on::previous::discussion</v>
      </c>
      <c r="B154" s="105" t="str">
        <f>IFERROR(__xludf.DUMMYFUNCTION("""COMPUTED_VALUE"""),"Configuration issue, GUI-related issue, Network issue, Program anomaly issue")</f>
        <v>Configuration issue, GUI-related issue, Network issue, Program anomaly issue</v>
      </c>
      <c r="C154" s="105"/>
      <c r="D154" s="105" t="str">
        <f>IFERROR(__xludf.DUMMYFUNCTION("""COMPUTED_VALUE"""),"forwarding::meeting::information")</f>
        <v>forwarding::meeting::information</v>
      </c>
      <c r="E154" s="105"/>
      <c r="F154" s="105" t="str">
        <f>IFERROR(__xludf.DUMMYFUNCTION("""COMPUTED_VALUE"""),"discussing::solution::design::(components::of::the::solution)")</f>
        <v>discussing::solution::design::(components::of::the::solution)</v>
      </c>
      <c r="G154" s="105"/>
      <c r="H154" s="105"/>
      <c r="I154" s="105"/>
      <c r="J154" s="105"/>
      <c r="K154" s="105"/>
      <c r="L154" s="105"/>
      <c r="M154" s="105"/>
      <c r="N154" s="105"/>
      <c r="O154" s="105"/>
      <c r="P154" s="105" t="str">
        <f>IFERROR(__xludf.DUMMYFUNCTION("""COMPUTED_VALUE"""),"asking::advice::how::to::fix::failures::(building::tests)")</f>
        <v>asking::advice::how::to::fix::failures::(building::tests)</v>
      </c>
      <c r="Q154" s="105"/>
      <c r="R154" s="105"/>
      <c r="S154" s="105"/>
      <c r="T154" s="105"/>
      <c r="U154" s="105"/>
      <c r="V154" s="105"/>
      <c r="W154" s="105"/>
      <c r="X154" s="105"/>
      <c r="Y154" s="105"/>
      <c r="Z154" s="105"/>
    </row>
    <row r="155">
      <c r="A155" s="105" t="str">
        <f>IFERROR(__xludf.DUMMYFUNCTION("""COMPUTED_VALUE"""),"originally::reported::elsewhere::(link::github)")</f>
        <v>originally::reported::elsewhere::(link::github)</v>
      </c>
      <c r="B155" s="105" t="str">
        <f>IFERROR(__xludf.DUMMYFUNCTION("""COMPUTED_VALUE"""),"Configuration issue, GUI-related issue, Network issue, Security issue")</f>
        <v>Configuration issue, GUI-related issue, Network issue, Security issue</v>
      </c>
      <c r="C155" s="105"/>
      <c r="D155" s="105" t="str">
        <f>IFERROR(__xludf.DUMMYFUNCTION("""COMPUTED_VALUE"""),"giving::opinion::about::components::of::code::(UUIDS)")</f>
        <v>giving::opinion::about::components::of::code::(UUIDS)</v>
      </c>
      <c r="E155" s="105"/>
      <c r="F155" s="105" t="str">
        <f>IFERROR(__xludf.DUMMYFUNCTION("""COMPUTED_VALUE"""),"discussing::solution::design::(functionallity::that::are::not::yet::available)")</f>
        <v>discussing::solution::design::(functionallity::that::are::not::yet::available)</v>
      </c>
      <c r="G155" s="105"/>
      <c r="H155" s="105"/>
      <c r="I155" s="105"/>
      <c r="J155" s="105"/>
      <c r="K155" s="105"/>
      <c r="L155" s="105"/>
      <c r="M155" s="105"/>
      <c r="N155" s="105"/>
      <c r="O155" s="105"/>
      <c r="P155" s="105" t="str">
        <f>IFERROR(__xludf.DUMMYFUNCTION("""COMPUTED_VALUE"""),"asking::advice::suggestion::change::(solution::design)")</f>
        <v>asking::advice::suggestion::change::(solution::design)</v>
      </c>
      <c r="Q155" s="105"/>
      <c r="R155" s="105"/>
      <c r="S155" s="105"/>
      <c r="T155" s="105"/>
      <c r="U155" s="105"/>
      <c r="V155" s="105"/>
      <c r="W155" s="105"/>
      <c r="X155" s="105"/>
      <c r="Y155" s="105"/>
      <c r="Z155" s="105"/>
    </row>
    <row r="156">
      <c r="A156" s="105" t="str">
        <f>IFERROR(__xludf.DUMMYFUNCTION("""COMPUTED_VALUE"""),"packages::affected::by::bug")</f>
        <v>packages::affected::by::bug</v>
      </c>
      <c r="B156" s="105" t="str">
        <f>IFERROR(__xludf.DUMMYFUNCTION("""COMPUTED_VALUE"""),"Configuration issue, GUI-related issue, Network issue, Test code-related issue")</f>
        <v>Configuration issue, GUI-related issue, Network issue, Test code-related issue</v>
      </c>
      <c r="C156" s="105"/>
      <c r="D156" s="105" t="str">
        <f>IFERROR(__xludf.DUMMYFUNCTION("""COMPUTED_VALUE"""),"history::of::the::BP/feature")</f>
        <v>history::of::the::BP/feature</v>
      </c>
      <c r="E156" s="105"/>
      <c r="F156" s="105" t="str">
        <f>IFERROR(__xludf.DUMMYFUNCTION("""COMPUTED_VALUE"""),"discussing::solution::design::(requirements::of::the::solution)")</f>
        <v>discussing::solution::design::(requirements::of::the::solution)</v>
      </c>
      <c r="G156" s="105"/>
      <c r="H156" s="105"/>
      <c r="I156" s="105"/>
      <c r="J156" s="105"/>
      <c r="K156" s="105"/>
      <c r="L156" s="105"/>
      <c r="M156" s="105"/>
      <c r="N156" s="105"/>
      <c r="O156" s="105"/>
      <c r="P156" s="105" t="str">
        <f>IFERROR(__xludf.DUMMYFUNCTION("""COMPUTED_VALUE"""),"asking::advice::suggestion::refactoring::(cleaner::code)")</f>
        <v>asking::advice::suggestion::refactoring::(cleaner::code)</v>
      </c>
      <c r="Q156" s="105"/>
      <c r="R156" s="105"/>
      <c r="S156" s="105"/>
      <c r="T156" s="105"/>
      <c r="U156" s="105"/>
      <c r="V156" s="105"/>
      <c r="W156" s="105"/>
      <c r="X156" s="105"/>
      <c r="Y156" s="105"/>
      <c r="Z156" s="105"/>
    </row>
    <row r="157">
      <c r="A157" s="105" t="str">
        <f>IFERROR(__xludf.DUMMYFUNCTION("""COMPUTED_VALUE"""),"performance::(timeout)")</f>
        <v>performance::(timeout)</v>
      </c>
      <c r="B157" s="105" t="str">
        <f>IFERROR(__xludf.DUMMYFUNCTION("""COMPUTED_VALUE"""),"Configuration issue, GUI-related issue, Performance issue, Permission/deprecation issue")</f>
        <v>Configuration issue, GUI-related issue, Performance issue, Permission/deprecation issue</v>
      </c>
      <c r="C157" s="105"/>
      <c r="D157" s="105" t="str">
        <f>IFERROR(__xludf.DUMMYFUNCTION("""COMPUTED_VALUE"""),"identifying::addressed::elsewhere::(link::review1)")</f>
        <v>identifying::addressed::elsewhere::(link::review1)</v>
      </c>
      <c r="E157" s="105"/>
      <c r="F157" s="105" t="str">
        <f>IFERROR(__xludf.DUMMYFUNCTION("""COMPUTED_VALUE"""),"discussing::solution::design::(requirements::of::the::solution)::proposing::an::alternative")</f>
        <v>discussing::solution::design::(requirements::of::the::solution)::proposing::an::alternative</v>
      </c>
      <c r="G157" s="105"/>
      <c r="H157" s="105"/>
      <c r="I157" s="105"/>
      <c r="J157" s="105"/>
      <c r="K157" s="105"/>
      <c r="L157" s="105"/>
      <c r="M157" s="105"/>
      <c r="N157" s="105"/>
      <c r="O157" s="105"/>
      <c r="P157" s="105" t="str">
        <f>IFERROR(__xludf.DUMMYFUNCTION("""COMPUTED_VALUE"""),"asking::advice::suggestion::refactoring::(naming::function)")</f>
        <v>asking::advice::suggestion::refactoring::(naming::function)</v>
      </c>
      <c r="Q157" s="105"/>
      <c r="R157" s="105"/>
      <c r="S157" s="105"/>
      <c r="T157" s="105"/>
      <c r="U157" s="105"/>
      <c r="V157" s="105"/>
      <c r="W157" s="105"/>
      <c r="X157" s="105"/>
      <c r="Y157" s="105"/>
      <c r="Z157" s="105"/>
    </row>
    <row r="158">
      <c r="A158" s="105" t="str">
        <f>IFERROR(__xludf.DUMMYFUNCTION("""COMPUTED_VALUE"""),"potential::source::of::the::bug::(link::commit)")</f>
        <v>potential::source::of::the::bug::(link::commit)</v>
      </c>
      <c r="B158" s="105" t="str">
        <f>IFERROR(__xludf.DUMMYFUNCTION("""COMPUTED_VALUE"""),"Configuration issue, GUI-related issue, Performance issue, Program anomaly issue")</f>
        <v>Configuration issue, GUI-related issue, Performance issue, Program anomaly issue</v>
      </c>
      <c r="C158" s="105"/>
      <c r="D158" s="105" t="str">
        <f>IFERROR(__xludf.DUMMYFUNCTION("""COMPUTED_VALUE"""),"identifying::addressed::elsewhere::(link::review2)")</f>
        <v>identifying::addressed::elsewhere::(link::review2)</v>
      </c>
      <c r="E158" s="105"/>
      <c r="F158" s="105" t="str">
        <f>IFERROR(__xludf.DUMMYFUNCTION("""COMPUTED_VALUE"""),"discussing::test::coverage")</f>
        <v>discussing::test::coverage</v>
      </c>
      <c r="G158" s="105"/>
      <c r="H158" s="105"/>
      <c r="I158" s="105"/>
      <c r="J158" s="105"/>
      <c r="K158" s="105"/>
      <c r="L158" s="105"/>
      <c r="M158" s="105"/>
      <c r="N158" s="105"/>
      <c r="O158" s="105"/>
      <c r="P158" s="105" t="str">
        <f>IFERROR(__xludf.DUMMYFUNCTION("""COMPUTED_VALUE"""),"asking::advice::suggestion::refactoring::(removing::not::thread::safe::code)")</f>
        <v>asking::advice::suggestion::refactoring::(removing::not::thread::safe::code)</v>
      </c>
      <c r="Q158" s="105"/>
      <c r="R158" s="105"/>
      <c r="S158" s="105"/>
      <c r="T158" s="105"/>
      <c r="U158" s="105"/>
      <c r="V158" s="105"/>
      <c r="W158" s="105"/>
      <c r="X158" s="105"/>
      <c r="Y158" s="105"/>
      <c r="Z158" s="105"/>
    </row>
    <row r="159">
      <c r="A159" s="105" t="str">
        <f>IFERROR(__xludf.DUMMYFUNCTION("""COMPUTED_VALUE"""),"presence::of::bug::in::other::branches")</f>
        <v>presence::of::bug::in::other::branches</v>
      </c>
      <c r="B159" s="105" t="str">
        <f>IFERROR(__xludf.DUMMYFUNCTION("""COMPUTED_VALUE"""),"Configuration issue, GUI-related issue, Performance issue, Security issue")</f>
        <v>Configuration issue, GUI-related issue, Performance issue, Security issue</v>
      </c>
      <c r="C159" s="105"/>
      <c r="D159" s="105" t="str">
        <f>IFERROR(__xludf.DUMMYFUNCTION("""COMPUTED_VALUE"""),"impact::of::the::proposed::solution")</f>
        <v>impact::of::the::proposed::solution</v>
      </c>
      <c r="E159" s="105"/>
      <c r="F159" s="105" t="str">
        <f>IFERROR(__xludf.DUMMYFUNCTION("""COMPUTED_VALUE"""),"discussing::the::cons::of::a::design::choice::to::keep::project::inside::nova")</f>
        <v>discussing::the::cons::of::a::design::choice::to::keep::project::inside::nova</v>
      </c>
      <c r="G159" s="105"/>
      <c r="H159" s="105"/>
      <c r="I159" s="105"/>
      <c r="J159" s="105"/>
      <c r="K159" s="105"/>
      <c r="L159" s="105"/>
      <c r="M159" s="105"/>
      <c r="N159" s="105"/>
      <c r="O159" s="105"/>
      <c r="P159" s="105" t="str">
        <f>IFERROR(__xludf.DUMMYFUNCTION("""COMPUTED_VALUE"""),"asking::clarification::(location::of::code)")</f>
        <v>asking::clarification::(location::of::code)</v>
      </c>
      <c r="Q159" s="105"/>
      <c r="R159" s="105"/>
      <c r="S159" s="105"/>
      <c r="T159" s="105"/>
      <c r="U159" s="105"/>
      <c r="V159" s="105"/>
      <c r="W159" s="105"/>
      <c r="X159" s="105"/>
      <c r="Y159" s="105"/>
      <c r="Z159" s="105"/>
    </row>
    <row r="160">
      <c r="A160" s="105" t="str">
        <f>IFERROR(__xludf.DUMMYFUNCTION("""COMPUTED_VALUE"""),"presence::of::bug::in::other::branches::packages")</f>
        <v>presence::of::bug::in::other::branches::packages</v>
      </c>
      <c r="B160" s="105" t="str">
        <f>IFERROR(__xludf.DUMMYFUNCTION("""COMPUTED_VALUE"""),"Configuration issue, GUI-related issue, Performance issue, Test code-related issue")</f>
        <v>Configuration issue, GUI-related issue, Performance issue, Test code-related issue</v>
      </c>
      <c r="C160" s="105"/>
      <c r="D160" s="105" t="str">
        <f>IFERROR(__xludf.DUMMYFUNCTION("""COMPUTED_VALUE"""),"implemented::elsewhere")</f>
        <v>implemented::elsewhere</v>
      </c>
      <c r="E160" s="105"/>
      <c r="F160" s="105" t="str">
        <f>IFERROR(__xludf.DUMMYFUNCTION("""COMPUTED_VALUE"""),"discussing::the::depracation::of::a::feature::which::would::block::the::BP")</f>
        <v>discussing::the::depracation::of::a::feature::which::would::block::the::BP</v>
      </c>
      <c r="G160" s="105"/>
      <c r="H160" s="105"/>
      <c r="I160" s="105"/>
      <c r="J160" s="105"/>
      <c r="K160" s="105"/>
      <c r="L160" s="105"/>
      <c r="M160" s="105"/>
      <c r="N160" s="105"/>
      <c r="O160" s="105"/>
      <c r="P160" s="105" t="str">
        <f>IFERROR(__xludf.DUMMYFUNCTION("""COMPUTED_VALUE"""),"asking::clarification::(need::of::conditional)")</f>
        <v>asking::clarification::(need::of::conditional)</v>
      </c>
      <c r="Q160" s="105"/>
      <c r="R160" s="105"/>
      <c r="S160" s="105"/>
      <c r="T160" s="105"/>
      <c r="U160" s="105"/>
      <c r="V160" s="105"/>
      <c r="W160" s="105"/>
      <c r="X160" s="105"/>
      <c r="Y160" s="105"/>
      <c r="Z160" s="105"/>
    </row>
    <row r="161">
      <c r="A161" s="105" t="str">
        <f>IFERROR(__xludf.DUMMYFUNCTION("""COMPUTED_VALUE"""),"progress::update::fix::(tests::added)")</f>
        <v>progress::update::fix::(tests::added)</v>
      </c>
      <c r="B161" s="105" t="str">
        <f>IFERROR(__xludf.DUMMYFUNCTION("""COMPUTED_VALUE"""),"Configuration issue, GUI-related issue, Permission/deprecation issue, Program anomaly issue")</f>
        <v>Configuration issue, GUI-related issue, Permission/deprecation issue, Program anomaly issue</v>
      </c>
      <c r="C161" s="105"/>
      <c r="D161" s="105" t="str">
        <f>IFERROR(__xludf.DUMMYFUNCTION("""COMPUTED_VALUE"""),"importance::of::issue::(high::importance)")</f>
        <v>importance::of::issue::(high::importance)</v>
      </c>
      <c r="E161" s="105"/>
      <c r="F161" s="105" t="str">
        <f>IFERROR(__xludf.DUMMYFUNCTION("""COMPUTED_VALUE"""),"discussing::the::new::release::deadline::for::BP/feature::due::to::rejection::of::FFE")</f>
        <v>discussing::the::new::release::deadline::for::BP/feature::due::to::rejection::of::FFE</v>
      </c>
      <c r="G161" s="105"/>
      <c r="H161" s="105"/>
      <c r="I161" s="105"/>
      <c r="J161" s="105"/>
      <c r="K161" s="105"/>
      <c r="L161" s="105"/>
      <c r="M161" s="105"/>
      <c r="N161" s="105"/>
      <c r="O161" s="105"/>
      <c r="P161" s="105" t="str">
        <f>IFERROR(__xludf.DUMMYFUNCTION("""COMPUTED_VALUE"""),"asking::clarification::(need::of::constant)")</f>
        <v>asking::clarification::(need::of::constant)</v>
      </c>
      <c r="Q161" s="105"/>
      <c r="R161" s="105"/>
      <c r="S161" s="105"/>
      <c r="T161" s="105"/>
      <c r="U161" s="105"/>
      <c r="V161" s="105"/>
      <c r="W161" s="105"/>
      <c r="X161" s="105"/>
      <c r="Y161" s="105"/>
      <c r="Z161" s="105"/>
    </row>
    <row r="162">
      <c r="A162" s="105" t="str">
        <f>IFERROR(__xludf.DUMMYFUNCTION("""COMPUTED_VALUE"""),"proposal::of::a::possible::fix::(code::in::text)")</f>
        <v>proposal::of::a::possible::fix::(code::in::text)</v>
      </c>
      <c r="B162" s="105" t="str">
        <f>IFERROR(__xludf.DUMMYFUNCTION("""COMPUTED_VALUE"""),"Configuration issue, GUI-related issue, Permission/deprecation issue, Security issue")</f>
        <v>Configuration issue, GUI-related issue, Permission/deprecation issue, Security issue</v>
      </c>
      <c r="C162" s="105"/>
      <c r="D162" s="105" t="str">
        <f>IFERROR(__xludf.DUMMYFUNCTION("""COMPUTED_VALUE"""),"improvement::request")</f>
        <v>improvement::request</v>
      </c>
      <c r="E162" s="105"/>
      <c r="F162" s="105" t="str">
        <f>IFERROR(__xludf.DUMMYFUNCTION("""COMPUTED_VALUE"""),"discussing::the::release::deadline::for::BP/feature")</f>
        <v>discussing::the::release::deadline::for::BP/feature</v>
      </c>
      <c r="G162" s="105"/>
      <c r="H162" s="105"/>
      <c r="I162" s="105"/>
      <c r="J162" s="105"/>
      <c r="K162" s="105"/>
      <c r="L162" s="105"/>
      <c r="M162" s="105"/>
      <c r="N162" s="105"/>
      <c r="O162" s="105"/>
      <c r="P162" s="105" t="str">
        <f>IFERROR(__xludf.DUMMYFUNCTION("""COMPUTED_VALUE"""),"asking::clarification::(need::of::method::calling)")</f>
        <v>asking::clarification::(need::of::method::calling)</v>
      </c>
      <c r="Q162" s="105"/>
      <c r="R162" s="105"/>
      <c r="S162" s="105"/>
      <c r="T162" s="105"/>
      <c r="U162" s="105"/>
      <c r="V162" s="105"/>
      <c r="W162" s="105"/>
      <c r="X162" s="105"/>
      <c r="Y162" s="105"/>
      <c r="Z162" s="105"/>
    </row>
    <row r="163">
      <c r="A163" s="105" t="str">
        <f>IFERROR(__xludf.DUMMYFUNCTION("""COMPUTED_VALUE"""),"proposal::of::a::possible::fix::(debdiff)::not::main::branch")</f>
        <v>proposal::of::a::possible::fix::(debdiff)::not::main::branch</v>
      </c>
      <c r="B163" s="105" t="str">
        <f>IFERROR(__xludf.DUMMYFUNCTION("""COMPUTED_VALUE"""),"Configuration issue, GUI-related issue, Permission/deprecation issue, Test code-related issue")</f>
        <v>Configuration issue, GUI-related issue, Permission/deprecation issue, Test code-related issue</v>
      </c>
      <c r="C163" s="105"/>
      <c r="D163" s="105" t="str">
        <f>IFERROR(__xludf.DUMMYFUNCTION("""COMPUTED_VALUE"""),"indicate::sponsor")</f>
        <v>indicate::sponsor</v>
      </c>
      <c r="E163" s="105"/>
      <c r="F163" s="105" t="str">
        <f>IFERROR(__xludf.DUMMYFUNCTION("""COMPUTED_VALUE"""),"discussing::topics::of::a::BP::related")</f>
        <v>discussing::topics::of::a::BP::related</v>
      </c>
      <c r="G163" s="105"/>
      <c r="H163" s="105"/>
      <c r="I163" s="105"/>
      <c r="J163" s="105"/>
      <c r="K163" s="105"/>
      <c r="L163" s="105"/>
      <c r="M163" s="105"/>
      <c r="N163" s="105"/>
      <c r="O163" s="105"/>
      <c r="P163" s="105" t="str">
        <f>IFERROR(__xludf.DUMMYFUNCTION("""COMPUTED_VALUE"""),"asking::clarification::(need::of::new::BP)")</f>
        <v>asking::clarification::(need::of::new::BP)</v>
      </c>
      <c r="Q163" s="105"/>
      <c r="R163" s="105"/>
      <c r="S163" s="105"/>
      <c r="T163" s="105"/>
      <c r="U163" s="105"/>
      <c r="V163" s="105"/>
      <c r="W163" s="105"/>
      <c r="X163" s="105"/>
      <c r="Y163" s="105"/>
      <c r="Z163" s="105"/>
    </row>
    <row r="164">
      <c r="A164" s="105" t="str">
        <f>IFERROR(__xludf.DUMMYFUNCTION("""COMPUTED_VALUE"""),"proposal::of::a::possible::fix::(debdiff)::not::main::branch::not::nova")</f>
        <v>proposal::of::a::possible::fix::(debdiff)::not::main::branch::not::nova</v>
      </c>
      <c r="B164" s="105" t="str">
        <f>IFERROR(__xludf.DUMMYFUNCTION("""COMPUTED_VALUE"""),"Configuration issue, GUI-related issue, Program anomaly issue, Test code-related issue")</f>
        <v>Configuration issue, GUI-related issue, Program anomaly issue, Test code-related issue</v>
      </c>
      <c r="C164" s="105"/>
      <c r="D164" s="105" t="str">
        <f>IFERROR(__xludf.DUMMYFUNCTION("""COMPUTED_VALUE"""),"informing::a::mistake::in::documention")</f>
        <v>informing::a::mistake::in::documention</v>
      </c>
      <c r="E164" s="105"/>
      <c r="F164" s="105" t="str">
        <f>IFERROR(__xludf.DUMMYFUNCTION("""COMPUTED_VALUE"""),"divide::and::conquer::methodology::for::a::group::of::features::which::includes::the::BP/feature")</f>
        <v>divide::and::conquer::methodology::for::a::group::of::features::which::includes::the::BP/feature</v>
      </c>
      <c r="G164" s="105"/>
      <c r="H164" s="105"/>
      <c r="I164" s="105"/>
      <c r="J164" s="105"/>
      <c r="K164" s="105"/>
      <c r="L164" s="105"/>
      <c r="M164" s="105"/>
      <c r="N164" s="105"/>
      <c r="O164" s="105"/>
      <c r="P164" s="105" t="str">
        <f>IFERROR(__xludf.DUMMYFUNCTION("""COMPUTED_VALUE"""),"asking::clarification::(need::of::new::PR)")</f>
        <v>asking::clarification::(need::of::new::PR)</v>
      </c>
      <c r="Q164" s="105"/>
      <c r="R164" s="105"/>
      <c r="S164" s="105"/>
      <c r="T164" s="105"/>
      <c r="U164" s="105"/>
      <c r="V164" s="105"/>
      <c r="W164" s="105"/>
      <c r="X164" s="105"/>
      <c r="Y164" s="105"/>
      <c r="Z164" s="105"/>
    </row>
    <row r="165">
      <c r="A165" s="105" t="str">
        <f>IFERROR(__xludf.DUMMYFUNCTION("""COMPUTED_VALUE"""),"proposal::of::a::possible::fix::(diff::in::text)")</f>
        <v>proposal::of::a::possible::fix::(diff::in::text)</v>
      </c>
      <c r="B165" s="105" t="str">
        <f>IFERROR(__xludf.DUMMYFUNCTION("""COMPUTED_VALUE"""),"Configuration issue, GUI-related issue, Security issue, Program anomaly issue")</f>
        <v>Configuration issue, GUI-related issue, Security issue, Program anomaly issue</v>
      </c>
      <c r="C165" s="105"/>
      <c r="D165" s="105" t="str">
        <f>IFERROR(__xludf.DUMMYFUNCTION("""COMPUTED_VALUE"""),"informing::bug::already::fixed::(different::branch)")</f>
        <v>informing::bug::already::fixed::(different::branch)</v>
      </c>
      <c r="E165" s="105"/>
      <c r="F165" s="105" t="str">
        <f>IFERROR(__xludf.DUMMYFUNCTION("""COMPUTED_VALUE"""),"draft::proposal::for::implementing::the::BP/feature::not::production::code")</f>
        <v>draft::proposal::for::implementing::the::BP/feature::not::production::code</v>
      </c>
      <c r="G165" s="105"/>
      <c r="H165" s="105"/>
      <c r="I165" s="105"/>
      <c r="J165" s="105"/>
      <c r="K165" s="105"/>
      <c r="L165" s="105"/>
      <c r="M165" s="105"/>
      <c r="N165" s="105"/>
      <c r="O165" s="105"/>
      <c r="P165" s="105" t="str">
        <f>IFERROR(__xludf.DUMMYFUNCTION("""COMPUTED_VALUE"""),"asking::clarification::(need::to::move::logic)")</f>
        <v>asking::clarification::(need::to::move::logic)</v>
      </c>
      <c r="Q165" s="105"/>
      <c r="R165" s="105"/>
      <c r="S165" s="105"/>
      <c r="T165" s="105"/>
      <c r="U165" s="105"/>
      <c r="V165" s="105"/>
      <c r="W165" s="105"/>
      <c r="X165" s="105"/>
      <c r="Y165" s="105"/>
      <c r="Z165" s="105"/>
    </row>
    <row r="166">
      <c r="A166" s="105" t="str">
        <f>IFERROR(__xludf.DUMMYFUNCTION("""COMPUTED_VALUE"""),"proposal::of::a::possible::fix::(gist)")</f>
        <v>proposal::of::a::possible::fix::(gist)</v>
      </c>
      <c r="B166" s="105" t="str">
        <f>IFERROR(__xludf.DUMMYFUNCTION("""COMPUTED_VALUE"""),"Configuration issue, GUI-related issue, Security issue, Test code-related issue")</f>
        <v>Configuration issue, GUI-related issue, Security issue, Test code-related issue</v>
      </c>
      <c r="C166" s="105"/>
      <c r="D166" s="105" t="str">
        <f>IFERROR(__xludf.DUMMYFUNCTION("""COMPUTED_VALUE"""),"informing::bug::replaced::with::another")</f>
        <v>informing::bug::replaced::with::another</v>
      </c>
      <c r="E166" s="105"/>
      <c r="F166" s="105" t="str">
        <f>IFERROR(__xludf.DUMMYFUNCTION("""COMPUTED_VALUE"""),"errors::encounter::while::following::the::BP/feature::especification")</f>
        <v>errors::encounter::while::following::the::BP/feature::especification</v>
      </c>
      <c r="G166" s="105"/>
      <c r="H166" s="105"/>
      <c r="I166" s="105"/>
      <c r="J166" s="105"/>
      <c r="K166" s="105"/>
      <c r="L166" s="105"/>
      <c r="M166" s="105"/>
      <c r="N166" s="105"/>
      <c r="O166" s="105"/>
      <c r="P166" s="105" t="str">
        <f>IFERROR(__xludf.DUMMYFUNCTION("""COMPUTED_VALUE"""),"asking::clarification::(need::to::remove::code)")</f>
        <v>asking::clarification::(need::to::remove::code)</v>
      </c>
      <c r="Q166" s="105"/>
      <c r="R166" s="105"/>
      <c r="S166" s="105"/>
      <c r="T166" s="105"/>
      <c r="U166" s="105"/>
      <c r="V166" s="105"/>
      <c r="W166" s="105"/>
      <c r="X166" s="105"/>
      <c r="Y166" s="105"/>
      <c r="Z166" s="105"/>
    </row>
    <row r="167">
      <c r="A167" s="105" t="str">
        <f>IFERROR(__xludf.DUMMYFUNCTION("""COMPUTED_VALUE"""),"proposal::of::a::possible::fix::(idea)")</f>
        <v>proposal::of::a::possible::fix::(idea)</v>
      </c>
      <c r="B167" s="105" t="str">
        <f>IFERROR(__xludf.DUMMYFUNCTION("""COMPUTED_VALUE"""),"Configuration issue, Network issue, Performance issue, Permission/deprecation issue")</f>
        <v>Configuration issue, Network issue, Performance issue, Permission/deprecation issue</v>
      </c>
      <c r="C167" s="105"/>
      <c r="D167" s="105" t="str">
        <f>IFERROR(__xludf.DUMMYFUNCTION("""COMPUTED_VALUE"""),"informing::completness::BP")</f>
        <v>informing::completness::BP</v>
      </c>
      <c r="E167" s="105"/>
      <c r="F167" s="105" t="str">
        <f>IFERROR(__xludf.DUMMYFUNCTION("""COMPUTED_VALUE"""),"expectations::of::addressing::the::proposed::BP/feature::as::API")</f>
        <v>expectations::of::addressing::the::proposed::BP/feature::as::API</v>
      </c>
      <c r="G167" s="105"/>
      <c r="H167" s="105"/>
      <c r="I167" s="105"/>
      <c r="J167" s="105"/>
      <c r="K167" s="105"/>
      <c r="L167" s="105"/>
      <c r="M167" s="105"/>
      <c r="N167" s="105"/>
      <c r="O167" s="105"/>
      <c r="P167" s="105" t="str">
        <f>IFERROR(__xludf.DUMMYFUNCTION("""COMPUTED_VALUE"""),"asking::clarification::(renaming::signature)")</f>
        <v>asking::clarification::(renaming::signature)</v>
      </c>
      <c r="Q167" s="105"/>
      <c r="R167" s="105"/>
      <c r="S167" s="105"/>
      <c r="T167" s="105"/>
      <c r="U167" s="105"/>
      <c r="V167" s="105"/>
      <c r="W167" s="105"/>
      <c r="X167" s="105"/>
      <c r="Y167" s="105"/>
      <c r="Z167" s="105"/>
    </row>
    <row r="168">
      <c r="A168" s="105" t="str">
        <f>IFERROR(__xludf.DUMMYFUNCTION("""COMPUTED_VALUE"""),"proposal::of::a::possible::fix::(link::patch)")</f>
        <v>proposal::of::a::possible::fix::(link::patch)</v>
      </c>
      <c r="B168" s="105" t="str">
        <f>IFERROR(__xludf.DUMMYFUNCTION("""COMPUTED_VALUE"""),"Configuration issue, Network issue, Performance issue, Program anomaly issue")</f>
        <v>Configuration issue, Network issue, Performance issue, Program anomaly issue</v>
      </c>
      <c r="C168" s="105"/>
      <c r="D168" s="105" t="str">
        <f>IFERROR(__xludf.DUMMYFUNCTION("""COMPUTED_VALUE"""),"informing::completness::feature")</f>
        <v>informing::completness::feature</v>
      </c>
      <c r="E168" s="105"/>
      <c r="F168" s="105" t="str">
        <f>IFERROR(__xludf.DUMMYFUNCTION("""COMPUTED_VALUE"""),"expectations::of::addressing::the::proposed::BP/feature::in::software::compatibility")</f>
        <v>expectations::of::addressing::the::proposed::BP/feature::in::software::compatibility</v>
      </c>
      <c r="G168" s="105"/>
      <c r="H168" s="105"/>
      <c r="I168" s="105"/>
      <c r="J168" s="105"/>
      <c r="K168" s="105"/>
      <c r="L168" s="105"/>
      <c r="M168" s="105"/>
      <c r="N168" s="105"/>
      <c r="O168" s="105"/>
      <c r="P168" s="105" t="str">
        <f>IFERROR(__xludf.DUMMYFUNCTION("""COMPUTED_VALUE"""),"asking::clarification::(update::executable::files)")</f>
        <v>asking::clarification::(update::executable::files)</v>
      </c>
      <c r="Q168" s="105"/>
      <c r="R168" s="105"/>
      <c r="S168" s="105"/>
      <c r="T168" s="105"/>
      <c r="U168" s="105"/>
      <c r="V168" s="105"/>
      <c r="W168" s="105"/>
      <c r="X168" s="105"/>
      <c r="Y168" s="105"/>
      <c r="Z168" s="105"/>
    </row>
    <row r="169">
      <c r="A169" s="105" t="str">
        <f>IFERROR(__xludf.DUMMYFUNCTION("""COMPUTED_VALUE"""),"proposal::of::a::possible::fix::(link::review)")</f>
        <v>proposal::of::a::possible::fix::(link::review)</v>
      </c>
      <c r="B169" s="105" t="str">
        <f>IFERROR(__xludf.DUMMYFUNCTION("""COMPUTED_VALUE"""),"Configuration issue, Network issue, Performance issue, Security issue")</f>
        <v>Configuration issue, Network issue, Performance issue, Security issue</v>
      </c>
      <c r="C169" s="105"/>
      <c r="D169" s="105" t="str">
        <f>IFERROR(__xludf.DUMMYFUNCTION("""COMPUTED_VALUE"""),"informing::final::solution::design")</f>
        <v>informing::final::solution::design</v>
      </c>
      <c r="E169" s="105"/>
      <c r="F169" s="105" t="str">
        <f>IFERROR(__xludf.DUMMYFUNCTION("""COMPUTED_VALUE"""),"expectations::of::addressing::the::proposed::BP/feature::in::software::reliability")</f>
        <v>expectations::of::addressing::the::proposed::BP/feature::in::software::reliability</v>
      </c>
      <c r="G169" s="105"/>
      <c r="H169" s="105"/>
      <c r="I169" s="105"/>
      <c r="J169" s="105"/>
      <c r="K169" s="105"/>
      <c r="L169" s="105"/>
      <c r="M169" s="105"/>
      <c r="N169" s="105"/>
      <c r="O169" s="105"/>
      <c r="P169" s="105" t="str">
        <f>IFERROR(__xludf.DUMMYFUNCTION("""COMPUTED_VALUE"""),"asking::clarification::(where::is::the::BP::implemented)")</f>
        <v>asking::clarification::(where::is::the::BP::implemented)</v>
      </c>
      <c r="Q169" s="105"/>
      <c r="R169" s="105"/>
      <c r="S169" s="105"/>
      <c r="T169" s="105"/>
      <c r="U169" s="105"/>
      <c r="V169" s="105"/>
      <c r="W169" s="105"/>
      <c r="X169" s="105"/>
      <c r="Y169" s="105"/>
      <c r="Z169" s="105"/>
    </row>
    <row r="170">
      <c r="A170" s="105" t="str">
        <f>IFERROR(__xludf.DUMMYFUNCTION("""COMPUTED_VALUE"""),"proposal::of::a::possible::fix::(link::review)::not::main::branch")</f>
        <v>proposal::of::a::possible::fix::(link::review)::not::main::branch</v>
      </c>
      <c r="B170" s="105" t="str">
        <f>IFERROR(__xludf.DUMMYFUNCTION("""COMPUTED_VALUE"""),"Configuration issue, Network issue, Performance issue, Test code-related issue")</f>
        <v>Configuration issue, Network issue, Performance issue, Test code-related issue</v>
      </c>
      <c r="C170" s="105"/>
      <c r="D170" s="105" t="str">
        <f>IFERROR(__xludf.DUMMYFUNCTION("""COMPUTED_VALUE"""),"informing::further::requests::should::be::new::issues")</f>
        <v>informing::further::requests::should::be::new::issues</v>
      </c>
      <c r="E170" s="105"/>
      <c r="F170" s="105" t="str">
        <f>IFERROR(__xludf.DUMMYFUNCTION("""COMPUTED_VALUE"""),"expectations::of::addressing::the::proposed::BP/feature::in::software::security")</f>
        <v>expectations::of::addressing::the::proposed::BP/feature::in::software::security</v>
      </c>
      <c r="G170" s="105"/>
      <c r="H170" s="105"/>
      <c r="I170" s="105"/>
      <c r="J170" s="105"/>
      <c r="K170" s="105"/>
      <c r="L170" s="105"/>
      <c r="M170" s="105"/>
      <c r="N170" s="105"/>
      <c r="O170" s="105"/>
      <c r="P170" s="105" t="str">
        <f>IFERROR(__xludf.DUMMYFUNCTION("""COMPUTED_VALUE"""),"asking::clarification::about::bug::(changes)")</f>
        <v>asking::clarification::about::bug::(changes)</v>
      </c>
      <c r="Q170" s="105"/>
      <c r="R170" s="105"/>
      <c r="S170" s="105"/>
      <c r="T170" s="105"/>
      <c r="U170" s="105"/>
      <c r="V170" s="105"/>
      <c r="W170" s="105"/>
      <c r="X170" s="105"/>
      <c r="Y170" s="105"/>
      <c r="Z170" s="105"/>
    </row>
    <row r="171">
      <c r="A171" s="105" t="str">
        <f>IFERROR(__xludf.DUMMYFUNCTION("""COMPUTED_VALUE"""),"proposal::of::a::possible::fix::(link::review1)")</f>
        <v>proposal::of::a::possible::fix::(link::review1)</v>
      </c>
      <c r="B171" s="105" t="str">
        <f>IFERROR(__xludf.DUMMYFUNCTION("""COMPUTED_VALUE"""),"Configuration issue, Network issue, Permission/deprecation issue, Program anomaly issue")</f>
        <v>Configuration issue, Network issue, Permission/deprecation issue, Program anomaly issue</v>
      </c>
      <c r="C171" s="105"/>
      <c r="D171" s="105" t="str">
        <f>IFERROR(__xludf.DUMMYFUNCTION("""COMPUTED_VALUE"""),"informing::in::favor::(closing::issue::+1)")</f>
        <v>informing::in::favor::(closing::issue::+1)</v>
      </c>
      <c r="E171" s="105"/>
      <c r="F171" s="105" t="str">
        <f>IFERROR(__xludf.DUMMYFUNCTION("""COMPUTED_VALUE"""),"expectations::of::releasing::the::proposed::BP/feature::resourceAllocation::scheduling::policies")</f>
        <v>expectations::of::releasing::the::proposed::BP/feature::resourceAllocation::scheduling::policies</v>
      </c>
      <c r="G171" s="105"/>
      <c r="H171" s="105"/>
      <c r="I171" s="105"/>
      <c r="J171" s="105"/>
      <c r="K171" s="105"/>
      <c r="L171" s="105"/>
      <c r="M171" s="105"/>
      <c r="N171" s="105"/>
      <c r="O171" s="105"/>
      <c r="P171" s="105" t="str">
        <f>IFERROR(__xludf.DUMMYFUNCTION("""COMPUTED_VALUE"""),"asking::clarification::about::bug::(status)")</f>
        <v>asking::clarification::about::bug::(status)</v>
      </c>
      <c r="Q171" s="105"/>
      <c r="R171" s="105"/>
      <c r="S171" s="105"/>
      <c r="T171" s="105"/>
      <c r="U171" s="105"/>
      <c r="V171" s="105"/>
      <c r="W171" s="105"/>
      <c r="X171" s="105"/>
      <c r="Y171" s="105"/>
      <c r="Z171" s="105"/>
    </row>
    <row r="172">
      <c r="A172" s="105" t="str">
        <f>IFERROR(__xludf.DUMMYFUNCTION("""COMPUTED_VALUE"""),"proposal::of::a::possible::fix::(link::review1)::not::main::branch")</f>
        <v>proposal::of::a::possible::fix::(link::review1)::not::main::branch</v>
      </c>
      <c r="B172" s="105" t="str">
        <f>IFERROR(__xludf.DUMMYFUNCTION("""COMPUTED_VALUE"""),"Configuration issue, Network issue, Permission/deprecation issue, Security issue")</f>
        <v>Configuration issue, Network issue, Permission/deprecation issue, Security issue</v>
      </c>
      <c r="C172" s="105"/>
      <c r="D172" s="105" t="str">
        <f>IFERROR(__xludf.DUMMYFUNCTION("""COMPUTED_VALUE"""),"informing::in::favor::(deferred::to::later::release::+1)")</f>
        <v>informing::in::favor::(deferred::to::later::release::+1)</v>
      </c>
      <c r="E172" s="105"/>
      <c r="F172" s="105" t="str">
        <f>IFERROR(__xludf.DUMMYFUNCTION("""COMPUTED_VALUE"""),"False::Positive")</f>
        <v>False::Positive</v>
      </c>
      <c r="G172" s="105"/>
      <c r="H172" s="105"/>
      <c r="I172" s="105"/>
      <c r="J172" s="105"/>
      <c r="K172" s="105"/>
      <c r="L172" s="105"/>
      <c r="M172" s="105"/>
      <c r="N172" s="105"/>
      <c r="O172" s="105"/>
      <c r="P172" s="105" t="str">
        <f>IFERROR(__xludf.DUMMYFUNCTION("""COMPUTED_VALUE"""),"asking::clarification::about::change")</f>
        <v>asking::clarification::about::change</v>
      </c>
      <c r="Q172" s="105"/>
      <c r="R172" s="105"/>
      <c r="S172" s="105"/>
      <c r="T172" s="105"/>
      <c r="U172" s="105"/>
      <c r="V172" s="105"/>
      <c r="W172" s="105"/>
      <c r="X172" s="105"/>
      <c r="Y172" s="105"/>
      <c r="Z172" s="105"/>
    </row>
    <row r="173">
      <c r="A173" s="105" t="str">
        <f>IFERROR(__xludf.DUMMYFUNCTION("""COMPUTED_VALUE"""),"proposal::of::a::possible::fix::(link::review2)")</f>
        <v>proposal::of::a::possible::fix::(link::review2)</v>
      </c>
      <c r="B173" s="105" t="str">
        <f>IFERROR(__xludf.DUMMYFUNCTION("""COMPUTED_VALUE"""),"Configuration issue, Network issue, Permission/deprecation issue, Test code-related issue")</f>
        <v>Configuration issue, Network issue, Permission/deprecation issue, Test code-related issue</v>
      </c>
      <c r="C173" s="105"/>
      <c r="D173" s="105" t="str">
        <f>IFERROR(__xludf.DUMMYFUNCTION("""COMPUTED_VALUE"""),"informing::in::favor::(documentation)")</f>
        <v>informing::in::favor::(documentation)</v>
      </c>
      <c r="E173" s="105"/>
      <c r="F173" s="105" t="str">
        <f>IFERROR(__xludf.DUMMYFUNCTION("""COMPUTED_VALUE"""),"False::Positive::(in::thread::no::practice)")</f>
        <v>False::Positive::(in::thread::no::practice)</v>
      </c>
      <c r="G173" s="105"/>
      <c r="H173" s="105"/>
      <c r="I173" s="105"/>
      <c r="J173" s="105"/>
      <c r="K173" s="105"/>
      <c r="L173" s="105"/>
      <c r="M173" s="105"/>
      <c r="N173" s="105"/>
      <c r="O173" s="105"/>
      <c r="P173" s="105" t="str">
        <f>IFERROR(__xludf.DUMMYFUNCTION("""COMPUTED_VALUE"""),"asking::clarification::about::change::(documentation)")</f>
        <v>asking::clarification::about::change::(documentation)</v>
      </c>
      <c r="Q173" s="105"/>
      <c r="R173" s="105"/>
      <c r="S173" s="105"/>
      <c r="T173" s="105"/>
      <c r="U173" s="105"/>
      <c r="V173" s="105"/>
      <c r="W173" s="105"/>
      <c r="X173" s="105"/>
      <c r="Y173" s="105"/>
      <c r="Z173" s="105"/>
    </row>
    <row r="174">
      <c r="A174" s="105" t="str">
        <f>IFERROR(__xludf.DUMMYFUNCTION("""COMPUTED_VALUE"""),"proposal::of::a::possible::fix::(link::review2)::not::main::branch")</f>
        <v>proposal::of::a::possible::fix::(link::review2)::not::main::branch</v>
      </c>
      <c r="B174" s="105" t="str">
        <f>IFERROR(__xludf.DUMMYFUNCTION("""COMPUTED_VALUE"""),"Configuration issue, Network issue, Program anomaly issue, Test code-related issue")</f>
        <v>Configuration issue, Network issue, Program anomaly issue, Test code-related issue</v>
      </c>
      <c r="C174" s="105"/>
      <c r="D174" s="105" t="str">
        <f>IFERROR(__xludf.DUMMYFUNCTION("""COMPUTED_VALUE"""),"informing::in::favor::(feature::design::change)")</f>
        <v>informing::in::favor::(feature::design::change)</v>
      </c>
      <c r="E174" s="105"/>
      <c r="F174" s="105" t="str">
        <f>IFERROR(__xludf.DUMMYFUNCTION("""COMPUTED_VALUE"""),"False::Positive::(in::thread::not::BP::related)")</f>
        <v>False::Positive::(in::thread::not::BP::related)</v>
      </c>
      <c r="G174" s="105"/>
      <c r="H174" s="105"/>
      <c r="I174" s="105"/>
      <c r="J174" s="105"/>
      <c r="K174" s="105"/>
      <c r="L174" s="105"/>
      <c r="M174" s="105"/>
      <c r="N174" s="105"/>
      <c r="O174" s="105"/>
      <c r="P174" s="105" t="str">
        <f>IFERROR(__xludf.DUMMYFUNCTION("""COMPUTED_VALUE"""),"asking::clarification::about::change::(logic)")</f>
        <v>asking::clarification::about::change::(logic)</v>
      </c>
      <c r="Q174" s="105"/>
      <c r="R174" s="105"/>
      <c r="S174" s="105"/>
      <c r="T174" s="105"/>
      <c r="U174" s="105"/>
      <c r="V174" s="105"/>
      <c r="W174" s="105"/>
      <c r="X174" s="105"/>
      <c r="Y174" s="105"/>
      <c r="Z174" s="105"/>
    </row>
    <row r="175">
      <c r="A175" s="105" t="str">
        <f>IFERROR(__xludf.DUMMYFUNCTION("""COMPUTED_VALUE"""),"proposal::of::a::possible::fix::(link::review2)::not::main:.branch")</f>
        <v>proposal::of::a::possible::fix::(link::review2)::not::main:.branch</v>
      </c>
      <c r="B175" s="105" t="str">
        <f>IFERROR(__xludf.DUMMYFUNCTION("""COMPUTED_VALUE"""),"Configuration issue, Network issue, Security issue, Program anomaly issue")</f>
        <v>Configuration issue, Network issue, Security issue, Program anomaly issue</v>
      </c>
      <c r="C175" s="105"/>
      <c r="D175" s="105" t="str">
        <f>IFERROR(__xludf.DUMMYFUNCTION("""COMPUTED_VALUE"""),"informing::in::favor::(feature::design)")</f>
        <v>informing::in::favor::(feature::design)</v>
      </c>
      <c r="E175" s="105"/>
      <c r="F175" s="105" t="str">
        <f>IFERROR(__xludf.DUMMYFUNCTION("""COMPUTED_VALUE"""),"False::Positive::(in::thread::not::bug::related)")</f>
        <v>False::Positive::(in::thread::not::bug::related)</v>
      </c>
      <c r="G175" s="105"/>
      <c r="H175" s="105"/>
      <c r="I175" s="105"/>
      <c r="J175" s="105"/>
      <c r="K175" s="105"/>
      <c r="L175" s="105"/>
      <c r="M175" s="105"/>
      <c r="N175" s="105"/>
      <c r="O175" s="105"/>
      <c r="P175" s="105" t="str">
        <f>IFERROR(__xludf.DUMMYFUNCTION("""COMPUTED_VALUE"""),"asking::clarification::about::code")</f>
        <v>asking::clarification::about::code</v>
      </c>
      <c r="Q175" s="105"/>
      <c r="R175" s="105"/>
      <c r="S175" s="105"/>
      <c r="T175" s="105"/>
      <c r="U175" s="105"/>
      <c r="V175" s="105"/>
      <c r="W175" s="105"/>
      <c r="X175" s="105"/>
      <c r="Y175" s="105"/>
      <c r="Z175" s="105"/>
    </row>
    <row r="176">
      <c r="A176" s="105" t="str">
        <f>IFERROR(__xludf.DUMMYFUNCTION("""COMPUTED_VALUE"""),"proposal::of::a::possible::fix::(link::review3)")</f>
        <v>proposal::of::a::possible::fix::(link::review3)</v>
      </c>
      <c r="B176" s="105" t="str">
        <f>IFERROR(__xludf.DUMMYFUNCTION("""COMPUTED_VALUE"""),"Configuration issue, Network issue, Security issue, Test code-related issue")</f>
        <v>Configuration issue, Network issue, Security issue, Test code-related issue</v>
      </c>
      <c r="C176" s="105"/>
      <c r="D176" s="105" t="str">
        <f>IFERROR(__xludf.DUMMYFUNCTION("""COMPUTED_VALUE"""),"informing::in::favor::(issue::design::+1)")</f>
        <v>informing::in::favor::(issue::design::+1)</v>
      </c>
      <c r="E176" s="105"/>
      <c r="F176" s="105" t="str">
        <f>IFERROR(__xludf.DUMMYFUNCTION("""COMPUTED_VALUE"""),"False::Positive::NOT::related::at::all")</f>
        <v>False::Positive::NOT::related::at::all</v>
      </c>
      <c r="G176" s="105"/>
      <c r="H176" s="105"/>
      <c r="I176" s="105"/>
      <c r="J176" s="105"/>
      <c r="K176" s="105"/>
      <c r="L176" s="105"/>
      <c r="M176" s="105"/>
      <c r="N176" s="105"/>
      <c r="O176" s="105"/>
      <c r="P176" s="105" t="str">
        <f>IFERROR(__xludf.DUMMYFUNCTION("""COMPUTED_VALUE"""),"asking::clarification::about::code::(a::different::approach::than::existing::one)")</f>
        <v>asking::clarification::about::code::(a::different::approach::than::existing::one)</v>
      </c>
      <c r="Q176" s="105"/>
      <c r="R176" s="105"/>
      <c r="S176" s="105"/>
      <c r="T176" s="105"/>
      <c r="U176" s="105"/>
      <c r="V176" s="105"/>
      <c r="W176" s="105"/>
      <c r="X176" s="105"/>
      <c r="Y176" s="105"/>
      <c r="Z176" s="105"/>
    </row>
    <row r="177">
      <c r="A177" s="105" t="str">
        <f>IFERROR(__xludf.DUMMYFUNCTION("""COMPUTED_VALUE"""),"proposal::of::a::possible::fix::(link::review3)::not::main::branch")</f>
        <v>proposal::of::a::possible::fix::(link::review3)::not::main::branch</v>
      </c>
      <c r="B177" s="105" t="str">
        <f>IFERROR(__xludf.DUMMYFUNCTION("""COMPUTED_VALUE"""),"Configuration issue, Performance issue, Permission/deprecation issue, Program anomaly issue")</f>
        <v>Configuration issue, Performance issue, Permission/deprecation issue, Program anomaly issue</v>
      </c>
      <c r="C177" s="105"/>
      <c r="D177" s="105" t="str">
        <f>IFERROR(__xludf.DUMMYFUNCTION("""COMPUTED_VALUE"""),"informing::in::favor::(solution::design)")</f>
        <v>informing::in::favor::(solution::design)</v>
      </c>
      <c r="E177" s="105"/>
      <c r="F177" s="105" t="str">
        <f>IFERROR(__xludf.DUMMYFUNCTION("""COMPUTED_VALUE"""),"feature::parity::between::main::project::and::forked::one")</f>
        <v>feature::parity::between::main::project::and::forked::one</v>
      </c>
      <c r="G177" s="105"/>
      <c r="H177" s="105"/>
      <c r="I177" s="105"/>
      <c r="J177" s="105"/>
      <c r="K177" s="105"/>
      <c r="L177" s="105"/>
      <c r="M177" s="105"/>
      <c r="N177" s="105"/>
      <c r="O177" s="105"/>
      <c r="P177" s="105" t="str">
        <f>IFERROR(__xludf.DUMMYFUNCTION("""COMPUTED_VALUE"""),"asking::clarification::about::code::(avoid::shutdown)")</f>
        <v>asking::clarification::about::code::(avoid::shutdown)</v>
      </c>
      <c r="Q177" s="105"/>
      <c r="R177" s="105"/>
      <c r="S177" s="105"/>
      <c r="T177" s="105"/>
      <c r="U177" s="105"/>
      <c r="V177" s="105"/>
      <c r="W177" s="105"/>
      <c r="X177" s="105"/>
      <c r="Y177" s="105"/>
      <c r="Z177" s="105"/>
    </row>
    <row r="178">
      <c r="A178" s="105" t="str">
        <f>IFERROR(__xludf.DUMMYFUNCTION("""COMPUTED_VALUE"""),"proposal::of::a::possible::fix::(link::review4)")</f>
        <v>proposal::of::a::possible::fix::(link::review4)</v>
      </c>
      <c r="B178" s="105" t="str">
        <f>IFERROR(__xludf.DUMMYFUNCTION("""COMPUTED_VALUE"""),"Configuration issue, Performance issue, Permission/deprecation issue, Security issue")</f>
        <v>Configuration issue, Performance issue, Permission/deprecation issue, Security issue</v>
      </c>
      <c r="C178" s="105"/>
      <c r="D178" s="105" t="str">
        <f>IFERROR(__xludf.DUMMYFUNCTION("""COMPUTED_VALUE"""),"informing::lgtm::(+1)")</f>
        <v>informing::lgtm::(+1)</v>
      </c>
      <c r="E178" s="105"/>
      <c r="F178" s="105" t="str">
        <f>IFERROR(__xludf.DUMMYFUNCTION("""COMPUTED_VALUE"""),"FFE::request")</f>
        <v>FFE::request</v>
      </c>
      <c r="G178" s="105"/>
      <c r="H178" s="105"/>
      <c r="I178" s="105"/>
      <c r="J178" s="105"/>
      <c r="K178" s="105"/>
      <c r="L178" s="105"/>
      <c r="M178" s="105"/>
      <c r="N178" s="105"/>
      <c r="O178" s="105"/>
      <c r="P178" s="105" t="str">
        <f>IFERROR(__xludf.DUMMYFUNCTION("""COMPUTED_VALUE"""),"asking::clarification::about::code::(conditional::with::break)")</f>
        <v>asking::clarification::about::code::(conditional::with::break)</v>
      </c>
      <c r="Q178" s="105"/>
      <c r="R178" s="105"/>
      <c r="S178" s="105"/>
      <c r="T178" s="105"/>
      <c r="U178" s="105"/>
      <c r="V178" s="105"/>
      <c r="W178" s="105"/>
      <c r="X178" s="105"/>
      <c r="Y178" s="105"/>
      <c r="Z178" s="105"/>
    </row>
    <row r="179">
      <c r="A179" s="105" t="str">
        <f>IFERROR(__xludf.DUMMYFUNCTION("""COMPUTED_VALUE"""),"proposal::of::a::possible::fix::(link::review5)")</f>
        <v>proposal::of::a::possible::fix::(link::review5)</v>
      </c>
      <c r="B179" s="105" t="str">
        <f>IFERROR(__xludf.DUMMYFUNCTION("""COMPUTED_VALUE"""),"Configuration issue, Performance issue, Permission/deprecation issue, Test code-related issue")</f>
        <v>Configuration issue, Performance issue, Permission/deprecation issue, Test code-related issue</v>
      </c>
      <c r="C179" s="105"/>
      <c r="D179" s="105" t="str">
        <f>IFERROR(__xludf.DUMMYFUNCTION("""COMPUTED_VALUE"""),"informing::missmatch::nbetween::code:.and::documentation")</f>
        <v>informing::missmatch::nbetween::code:.and::documentation</v>
      </c>
      <c r="E179" s="105"/>
      <c r="F179" s="105" t="str">
        <f>IFERROR(__xludf.DUMMYFUNCTION("""COMPUTED_VALUE"""),"FFE::request::(related::review)")</f>
        <v>FFE::request::(related::review)</v>
      </c>
      <c r="G179" s="105"/>
      <c r="H179" s="105"/>
      <c r="I179" s="105"/>
      <c r="J179" s="105"/>
      <c r="K179" s="105"/>
      <c r="L179" s="105"/>
      <c r="M179" s="105"/>
      <c r="N179" s="105"/>
      <c r="O179" s="105"/>
      <c r="P179" s="105" t="str">
        <f>IFERROR(__xludf.DUMMYFUNCTION("""COMPUTED_VALUE"""),"asking::clarification::about::code::(default::value)")</f>
        <v>asking::clarification::about::code::(default::value)</v>
      </c>
      <c r="Q179" s="105"/>
      <c r="R179" s="105"/>
      <c r="S179" s="105"/>
      <c r="T179" s="105"/>
      <c r="U179" s="105"/>
      <c r="V179" s="105"/>
      <c r="W179" s="105"/>
      <c r="X179" s="105"/>
      <c r="Y179" s="105"/>
      <c r="Z179" s="105"/>
    </row>
    <row r="180">
      <c r="A180" s="105" t="str">
        <f>IFERROR(__xludf.DUMMYFUNCTION("""COMPUTED_VALUE"""),"proposal::of::a::possible::fix::(link::review5)::not::main::branch")</f>
        <v>proposal::of::a::possible::fix::(link::review5)::not::main::branch</v>
      </c>
      <c r="B180" s="105" t="str">
        <f>IFERROR(__xludf.DUMMYFUNCTION("""COMPUTED_VALUE"""),"Configuration issue, Performance issue, Program anomaly issue, Test code-related issue")</f>
        <v>Configuration issue, Performance issue, Program anomaly issue, Test code-related issue</v>
      </c>
      <c r="C180" s="105"/>
      <c r="D180" s="105" t="str">
        <f>IFERROR(__xludf.DUMMYFUNCTION("""COMPUTED_VALUE"""),"informing::opening::another::issue::(related::feature)")</f>
        <v>informing::opening::another::issue::(related::feature)</v>
      </c>
      <c r="E180" s="105"/>
      <c r="F180" s="105" t="str">
        <f>IFERROR(__xludf.DUMMYFUNCTION("""COMPUTED_VALUE"""),"functionality::that::was::enabled::thanks::to::the::BP::introduced::a::bug")</f>
        <v>functionality::that::was::enabled::thanks::to::the::BP::introduced::a::bug</v>
      </c>
      <c r="G180" s="105"/>
      <c r="H180" s="105"/>
      <c r="I180" s="105"/>
      <c r="J180" s="105"/>
      <c r="K180" s="105"/>
      <c r="L180" s="105"/>
      <c r="M180" s="105"/>
      <c r="N180" s="105"/>
      <c r="O180" s="105"/>
      <c r="P180" s="105" t="str">
        <f>IFERROR(__xludf.DUMMYFUNCTION("""COMPUTED_VALUE"""),"asking::clarification::about::code::(design::access::modifiers)")</f>
        <v>asking::clarification::about::code::(design::access::modifiers)</v>
      </c>
      <c r="Q180" s="105"/>
      <c r="R180" s="105"/>
      <c r="S180" s="105"/>
      <c r="T180" s="105"/>
      <c r="U180" s="105"/>
      <c r="V180" s="105"/>
      <c r="W180" s="105"/>
      <c r="X180" s="105"/>
      <c r="Y180" s="105"/>
      <c r="Z180" s="105"/>
    </row>
    <row r="181">
      <c r="A181" s="105" t="str">
        <f>IFERROR(__xludf.DUMMYFUNCTION("""COMPUTED_VALUE"""),"proposal::of::a::possible::fix::(package)::not::main::branch")</f>
        <v>proposal::of::a::possible::fix::(package)::not::main::branch</v>
      </c>
      <c r="B181" s="105" t="str">
        <f>IFERROR(__xludf.DUMMYFUNCTION("""COMPUTED_VALUE"""),"Configuration issue, Performance issue, Security issue, Program anomaly issue")</f>
        <v>Configuration issue, Performance issue, Security issue, Program anomaly issue</v>
      </c>
      <c r="C181" s="105"/>
      <c r="D181" s="105" t="str">
        <f>IFERROR(__xludf.DUMMYFUNCTION("""COMPUTED_VALUE"""),"informing::opinion::(not::common)")</f>
        <v>informing::opinion::(not::common)</v>
      </c>
      <c r="E181" s="105"/>
      <c r="F181" s="105" t="str">
        <f>IFERROR(__xludf.DUMMYFUNCTION("""COMPUTED_VALUE"""),"history::of::the::bug/BP")</f>
        <v>history::of::the::bug/BP</v>
      </c>
      <c r="G181" s="105"/>
      <c r="H181" s="105"/>
      <c r="I181" s="105"/>
      <c r="J181" s="105"/>
      <c r="K181" s="105"/>
      <c r="L181" s="105"/>
      <c r="M181" s="105"/>
      <c r="N181" s="105"/>
      <c r="O181" s="105"/>
      <c r="P181" s="105" t="str">
        <f>IFERROR(__xludf.DUMMYFUNCTION("""COMPUTED_VALUE"""),"asking::clarification::about::code::(design)")</f>
        <v>asking::clarification::about::code::(design)</v>
      </c>
      <c r="Q181" s="105"/>
      <c r="R181" s="105"/>
      <c r="S181" s="105"/>
      <c r="T181" s="105"/>
      <c r="U181" s="105"/>
      <c r="V181" s="105"/>
      <c r="W181" s="105"/>
      <c r="X181" s="105"/>
      <c r="Y181" s="105"/>
      <c r="Z181" s="105"/>
    </row>
    <row r="182">
      <c r="A182" s="105" t="str">
        <f>IFERROR(__xludf.DUMMYFUNCTION("""COMPUTED_VALUE"""),"proposal::of::a::possible::fix::(PR)")</f>
        <v>proposal::of::a::possible::fix::(PR)</v>
      </c>
      <c r="B182" s="105" t="str">
        <f>IFERROR(__xludf.DUMMYFUNCTION("""COMPUTED_VALUE"""),"Configuration issue, Performance issue, Security issue, Test code-related issue")</f>
        <v>Configuration issue, Performance issue, Security issue, Test code-related issue</v>
      </c>
      <c r="C182" s="105"/>
      <c r="D182" s="105" t="str">
        <f>IFERROR(__xludf.DUMMYFUNCTION("""COMPUTED_VALUE"""),"informing::oppinion::(task::is::out::of::the::ordinary)")</f>
        <v>informing::oppinion::(task::is::out::of::the::ordinary)</v>
      </c>
      <c r="E182" s="105"/>
      <c r="F182" s="105" t="str">
        <f>IFERROR(__xludf.DUMMYFUNCTION("""COMPUTED_VALUE"""),"how::to::adress::bugs::(not::bp/feature::related)")</f>
        <v>how::to::adress::bugs::(not::bp/feature::related)</v>
      </c>
      <c r="G182" s="105"/>
      <c r="H182" s="105"/>
      <c r="I182" s="105"/>
      <c r="J182" s="105"/>
      <c r="K182" s="105"/>
      <c r="L182" s="105"/>
      <c r="M182" s="105"/>
      <c r="N182" s="105"/>
      <c r="O182" s="105"/>
      <c r="P182" s="105" t="str">
        <f>IFERROR(__xludf.DUMMYFUNCTION("""COMPUTED_VALUE"""),"asking::clarification::about::code::(error::handling)")</f>
        <v>asking::clarification::about::code::(error::handling)</v>
      </c>
      <c r="Q182" s="105"/>
      <c r="R182" s="105"/>
      <c r="S182" s="105"/>
      <c r="T182" s="105"/>
      <c r="U182" s="105"/>
      <c r="V182" s="105"/>
      <c r="W182" s="105"/>
      <c r="X182" s="105"/>
      <c r="Y182" s="105"/>
      <c r="Z182" s="105"/>
    </row>
    <row r="183">
      <c r="A183" s="105" t="str">
        <f>IFERROR(__xludf.DUMMYFUNCTION("""COMPUTED_VALUE"""),"proposal::of::a::possible::related::fix::(link::review)")</f>
        <v>proposal::of::a::possible::related::fix::(link::review)</v>
      </c>
      <c r="B183" s="105" t="str">
        <f>IFERROR(__xludf.DUMMYFUNCTION("""COMPUTED_VALUE"""),"Configuration issue, Permission/deprecation issue, Program anomaly issue, Test code-related issue")</f>
        <v>Configuration issue, Permission/deprecation issue, Program anomaly issue, Test code-related issue</v>
      </c>
      <c r="C183" s="105"/>
      <c r="D183" s="105" t="str">
        <f>IFERROR(__xludf.DUMMYFUNCTION("""COMPUTED_VALUE"""),"informing::potential::bug:.found")</f>
        <v>informing::potential::bug:.found</v>
      </c>
      <c r="E183" s="105"/>
      <c r="F183" s="105" t="str">
        <f>IFERROR(__xludf.DUMMYFUNCTION("""COMPUTED_VALUE"""),"impact::of::bp::(security)")</f>
        <v>impact::of::bp::(security)</v>
      </c>
      <c r="G183" s="105"/>
      <c r="H183" s="105"/>
      <c r="I183" s="105"/>
      <c r="J183" s="105"/>
      <c r="K183" s="105"/>
      <c r="L183" s="105"/>
      <c r="M183" s="105"/>
      <c r="N183" s="105"/>
      <c r="O183" s="105"/>
      <c r="P183" s="105" t="str">
        <f>IFERROR(__xludf.DUMMYFUNCTION("""COMPUTED_VALUE"""),"asking::clarification::about::code::(functionallity::exception::works)")</f>
        <v>asking::clarification::about::code::(functionallity::exception::works)</v>
      </c>
      <c r="Q183" s="105"/>
      <c r="R183" s="105"/>
      <c r="S183" s="105"/>
      <c r="T183" s="105"/>
      <c r="U183" s="105"/>
      <c r="V183" s="105"/>
      <c r="W183" s="105"/>
      <c r="X183" s="105"/>
      <c r="Y183" s="105"/>
      <c r="Z183" s="105"/>
    </row>
    <row r="184">
      <c r="A184" s="105" t="str">
        <f>IFERROR(__xludf.DUMMYFUNCTION("""COMPUTED_VALUE"""),"proposal::of::a::related::fix::(link::review1)")</f>
        <v>proposal::of::a::related::fix::(link::review1)</v>
      </c>
      <c r="B184" s="105" t="str">
        <f>IFERROR(__xludf.DUMMYFUNCTION("""COMPUTED_VALUE"""),"Configuration issue, Permission/deprecation issue, Security issue, Program anomaly issue")</f>
        <v>Configuration issue, Permission/deprecation issue, Security issue, Program anomaly issue</v>
      </c>
      <c r="C184" s="105"/>
      <c r="D184" s="105" t="str">
        <f>IFERROR(__xludf.DUMMYFUNCTION("""COMPUTED_VALUE"""),"informing::potential::bug:.found::closed")</f>
        <v>informing::potential::bug:.found::closed</v>
      </c>
      <c r="E184" s="105"/>
      <c r="F184" s="105" t="str">
        <f>IFERROR(__xludf.DUMMYFUNCTION("""COMPUTED_VALUE"""),"impact::of::depracating::a::feature::(not::BP)")</f>
        <v>impact::of::depracating::a::feature::(not::BP)</v>
      </c>
      <c r="G184" s="105"/>
      <c r="H184" s="105"/>
      <c r="I184" s="105"/>
      <c r="J184" s="105"/>
      <c r="K184" s="105"/>
      <c r="L184" s="105"/>
      <c r="M184" s="105"/>
      <c r="N184" s="105"/>
      <c r="O184" s="105"/>
      <c r="P184" s="105" t="str">
        <f>IFERROR(__xludf.DUMMYFUNCTION("""COMPUTED_VALUE"""),"asking::clarification::about::code::(functionallity::paths::scope)")</f>
        <v>asking::clarification::about::code::(functionallity::paths::scope)</v>
      </c>
      <c r="Q184" s="105"/>
      <c r="R184" s="105"/>
      <c r="S184" s="105"/>
      <c r="T184" s="105"/>
      <c r="U184" s="105"/>
      <c r="V184" s="105"/>
      <c r="W184" s="105"/>
      <c r="X184" s="105"/>
      <c r="Y184" s="105"/>
      <c r="Z184" s="105"/>
    </row>
    <row r="185">
      <c r="A185" s="105" t="str">
        <f>IFERROR(__xludf.DUMMYFUNCTION("""COMPUTED_VALUE"""),"proposal::of::a::related::fix::(link::review2)")</f>
        <v>proposal::of::a::related::fix::(link::review2)</v>
      </c>
      <c r="B185" s="105" t="str">
        <f>IFERROR(__xludf.DUMMYFUNCTION("""COMPUTED_VALUE"""),"Configuration issue, Permission/deprecation issue, Security issue, Test code-related issue")</f>
        <v>Configuration issue, Permission/deprecation issue, Security issue, Test code-related issue</v>
      </c>
      <c r="C185" s="105"/>
      <c r="D185" s="105" t="str">
        <f>IFERROR(__xludf.DUMMYFUNCTION("""COMPUTED_VALUE"""),"informing::PR::opened")</f>
        <v>informing::PR::opened</v>
      </c>
      <c r="E185" s="105"/>
      <c r="F185" s="105" t="str">
        <f>IFERROR(__xludf.DUMMYFUNCTION("""COMPUTED_VALUE"""),"impact::of::the::bug::fix::(open::oportunities::to::new:.changes)")</f>
        <v>impact::of::the::bug::fix::(open::oportunities::to::new:.changes)</v>
      </c>
      <c r="G185" s="105"/>
      <c r="H185" s="105"/>
      <c r="I185" s="105"/>
      <c r="J185" s="105"/>
      <c r="K185" s="105"/>
      <c r="L185" s="105"/>
      <c r="M185" s="105"/>
      <c r="N185" s="105"/>
      <c r="O185" s="105"/>
      <c r="P185" s="105" t="str">
        <f>IFERROR(__xludf.DUMMYFUNCTION("""COMPUTED_VALUE"""),"asking::clarification::about::code::(functionallity::works)")</f>
        <v>asking::clarification::about::code::(functionallity::works)</v>
      </c>
      <c r="Q185" s="105"/>
      <c r="R185" s="105"/>
      <c r="S185" s="105"/>
      <c r="T185" s="105"/>
      <c r="U185" s="105"/>
      <c r="V185" s="105"/>
      <c r="W185" s="105"/>
      <c r="X185" s="105"/>
      <c r="Y185" s="105"/>
      <c r="Z185" s="105"/>
    </row>
    <row r="186">
      <c r="A186" s="105" t="str">
        <f>IFERROR(__xludf.DUMMYFUNCTION("""COMPUTED_VALUE"""),"proposal::of::a::related::fix::(link::review3)")</f>
        <v>proposal::of::a::related::fix::(link::review3)</v>
      </c>
      <c r="B186" s="105" t="str">
        <f>IFERROR(__xludf.DUMMYFUNCTION("""COMPUTED_VALUE"""),"Configuration issue, Security issue, Program anomaly issue, Test code-related issue")</f>
        <v>Configuration issue, Security issue, Program anomaly issue, Test code-related issue</v>
      </c>
      <c r="C186" s="105"/>
      <c r="D186" s="105" t="str">
        <f>IFERROR(__xludf.DUMMYFUNCTION("""COMPUTED_VALUE"""),"informing::scope::of::this::issue::(limited::to::functional::design)")</f>
        <v>informing::scope::of::this::issue::(limited::to::functional::design)</v>
      </c>
      <c r="E186" s="105"/>
      <c r="F186" s="105" t="str">
        <f>IFERROR(__xludf.DUMMYFUNCTION("""COMPUTED_VALUE"""),"implement::a::temporal::solution::that::will::be::later::improved")</f>
        <v>implement::a::temporal::solution::that::will::be::later::improved</v>
      </c>
      <c r="G186" s="105"/>
      <c r="H186" s="105"/>
      <c r="I186" s="105"/>
      <c r="J186" s="105"/>
      <c r="K186" s="105"/>
      <c r="L186" s="105"/>
      <c r="M186" s="105"/>
      <c r="N186" s="105"/>
      <c r="O186" s="105"/>
      <c r="P186" s="105" t="str">
        <f>IFERROR(__xludf.DUMMYFUNCTION("""COMPUTED_VALUE"""),"asking::clarification::about::code::(functionallity)")</f>
        <v>asking::clarification::about::code::(functionallity)</v>
      </c>
      <c r="Q186" s="105"/>
      <c r="R186" s="105"/>
      <c r="S186" s="105"/>
      <c r="T186" s="105"/>
      <c r="U186" s="105"/>
      <c r="V186" s="105"/>
      <c r="W186" s="105"/>
      <c r="X186" s="105"/>
      <c r="Y186" s="105"/>
      <c r="Z186" s="105"/>
    </row>
    <row r="187">
      <c r="A187" s="105" t="str">
        <f>IFERROR(__xludf.DUMMYFUNCTION("""COMPUTED_VALUE"""),"proposal::of::a::related::fix::(link::review4)")</f>
        <v>proposal::of::a::related::fix::(link::review4)</v>
      </c>
      <c r="B187" s="105" t="str">
        <f>IFERROR(__xludf.DUMMYFUNCTION("""COMPUTED_VALUE"""),"Database-related issue, GUI-related issue, Network issue, Performance issue")</f>
        <v>Database-related issue, GUI-related issue, Network issue, Performance issue</v>
      </c>
      <c r="C187" s="105"/>
      <c r="D187" s="105" t="str">
        <f>IFERROR(__xludf.DUMMYFUNCTION("""COMPUTED_VALUE"""),"informing::should::be::discussed::on::mailinglist")</f>
        <v>informing::should::be::discussed::on::mailinglist</v>
      </c>
      <c r="E187" s="105"/>
      <c r="F187" s="105" t="str">
        <f>IFERROR(__xludf.DUMMYFUNCTION("""COMPUTED_VALUE"""),"including::people::from::different::but::related::thread::to::the::actual::thread")</f>
        <v>including::people::from::different::but::related::thread::to::the::actual::thread</v>
      </c>
      <c r="G187" s="105"/>
      <c r="H187" s="105"/>
      <c r="I187" s="105"/>
      <c r="J187" s="105"/>
      <c r="K187" s="105"/>
      <c r="L187" s="105"/>
      <c r="M187" s="105"/>
      <c r="N187" s="105"/>
      <c r="O187" s="105"/>
      <c r="P187" s="105" t="str">
        <f>IFERROR(__xludf.DUMMYFUNCTION("""COMPUTED_VALUE"""),"asking::clarification::about::code::(how::to::test::it)")</f>
        <v>asking::clarification::about::code::(how::to::test::it)</v>
      </c>
      <c r="Q187" s="105"/>
      <c r="R187" s="105"/>
      <c r="S187" s="105"/>
      <c r="T187" s="105"/>
      <c r="U187" s="105"/>
      <c r="V187" s="105"/>
      <c r="W187" s="105"/>
      <c r="X187" s="105"/>
      <c r="Y187" s="105"/>
      <c r="Z187" s="105"/>
    </row>
    <row r="188">
      <c r="A188" s="105" t="str">
        <f>IFERROR(__xludf.DUMMYFUNCTION("""COMPUTED_VALUE"""),"proposes::refactoring")</f>
        <v>proposes::refactoring</v>
      </c>
      <c r="B188" s="105" t="str">
        <f>IFERROR(__xludf.DUMMYFUNCTION("""COMPUTED_VALUE"""),"Database-related issue, GUI-related issue, Network issue, Permission/deprecation issue")</f>
        <v>Database-related issue, GUI-related issue, Network issue, Permission/deprecation issue</v>
      </c>
      <c r="C188" s="105"/>
      <c r="D188" s="105" t="str">
        <f>IFERROR(__xludf.DUMMYFUNCTION("""COMPUTED_VALUE"""),"instructions::current::release::cycle")</f>
        <v>instructions::current::release::cycle</v>
      </c>
      <c r="E188" s="105"/>
      <c r="F188" s="105" t="str">
        <f>IFERROR(__xludf.DUMMYFUNCTION("""COMPUTED_VALUE"""),"indicating::information::(development::progress)")</f>
        <v>indicating::information::(development::progress)</v>
      </c>
      <c r="G188" s="105"/>
      <c r="H188" s="105"/>
      <c r="I188" s="105"/>
      <c r="J188" s="105"/>
      <c r="K188" s="105"/>
      <c r="L188" s="105"/>
      <c r="M188" s="105"/>
      <c r="N188" s="105"/>
      <c r="O188" s="105"/>
      <c r="P188" s="105" t="str">
        <f>IFERROR(__xludf.DUMMYFUNCTION("""COMPUTED_VALUE"""),"asking::clarification::about::code::(if:.test::covers::case)")</f>
        <v>asking::clarification::about::code::(if:.test::covers::case)</v>
      </c>
      <c r="Q188" s="105"/>
      <c r="R188" s="105"/>
      <c r="S188" s="105"/>
      <c r="T188" s="105"/>
      <c r="U188" s="105"/>
      <c r="V188" s="105"/>
      <c r="W188" s="105"/>
      <c r="X188" s="105"/>
      <c r="Y188" s="105"/>
      <c r="Z188" s="105"/>
    </row>
    <row r="189">
      <c r="A189" s="105" t="str">
        <f>IFERROR(__xludf.DUMMYFUNCTION("""COMPUTED_VALUE"""),"proposes::workaround::(code::in::text)")</f>
        <v>proposes::workaround::(code::in::text)</v>
      </c>
      <c r="B189" s="105" t="str">
        <f>IFERROR(__xludf.DUMMYFUNCTION("""COMPUTED_VALUE"""),"Database-related issue, GUI-related issue, Network issue, Program anomaly issue")</f>
        <v>Database-related issue, GUI-related issue, Network issue, Program anomaly issue</v>
      </c>
      <c r="C189" s="105"/>
      <c r="D189" s="105" t="str">
        <f>IFERROR(__xludf.DUMMYFUNCTION("""COMPUTED_VALUE"""),"instructions::next::release::cycle")</f>
        <v>instructions::next::release::cycle</v>
      </c>
      <c r="E189" s="105"/>
      <c r="F189" s="105" t="str">
        <f>IFERROR(__xludf.DUMMYFUNCTION("""COMPUTED_VALUE"""),"indicating::status::of::cycle::of::development::for::a::milestone::including::feature/BP/bug")</f>
        <v>indicating::status::of::cycle::of::development::for::a::milestone::including::feature/BP/bug</v>
      </c>
      <c r="G189" s="105"/>
      <c r="H189" s="105"/>
      <c r="I189" s="105"/>
      <c r="J189" s="105"/>
      <c r="K189" s="105"/>
      <c r="L189" s="105"/>
      <c r="M189" s="105"/>
      <c r="N189" s="105"/>
      <c r="O189" s="105"/>
      <c r="P189" s="105" t="str">
        <f>IFERROR(__xludf.DUMMYFUNCTION("""COMPUTED_VALUE"""),"asking::clarification::about::code::(input::parameter)")</f>
        <v>asking::clarification::about::code::(input::parameter)</v>
      </c>
      <c r="Q189" s="105"/>
      <c r="R189" s="105"/>
      <c r="S189" s="105"/>
      <c r="T189" s="105"/>
      <c r="U189" s="105"/>
      <c r="V189" s="105"/>
      <c r="W189" s="105"/>
      <c r="X189" s="105"/>
      <c r="Y189" s="105"/>
      <c r="Z189" s="105"/>
    </row>
    <row r="190">
      <c r="A190" s="105" t="str">
        <f>IFERROR(__xludf.DUMMYFUNCTION("""COMPUTED_VALUE"""),"proposes::workaround::(diff::in::text)")</f>
        <v>proposes::workaround::(diff::in::text)</v>
      </c>
      <c r="B190" s="105" t="str">
        <f>IFERROR(__xludf.DUMMYFUNCTION("""COMPUTED_VALUE"""),"Database-related issue, GUI-related issue, Network issue, Security issue")</f>
        <v>Database-related issue, GUI-related issue, Network issue, Security issue</v>
      </c>
      <c r="C190" s="105"/>
      <c r="D190" s="105" t="str">
        <f>IFERROR(__xludf.DUMMYFUNCTION("""COMPUTED_VALUE"""),"intention::to::ticket::re::opening")</f>
        <v>intention::to::ticket::re::opening</v>
      </c>
      <c r="E190" s="105"/>
      <c r="F190" s="105" t="str">
        <f>IFERROR(__xludf.DUMMYFUNCTION("""COMPUTED_VALUE"""),"indicating::status::of::cycle::of::development::for::a::patch")</f>
        <v>indicating::status::of::cycle::of::development::for::a::patch</v>
      </c>
      <c r="G190" s="105"/>
      <c r="H190" s="105"/>
      <c r="I190" s="105"/>
      <c r="J190" s="105"/>
      <c r="K190" s="105"/>
      <c r="L190" s="105"/>
      <c r="M190" s="105"/>
      <c r="N190" s="105"/>
      <c r="O190" s="105"/>
      <c r="P190" s="105" t="str">
        <f>IFERROR(__xludf.DUMMYFUNCTION("""COMPUTED_VALUE"""),"asking::clarification::about::code::(log::need)")</f>
        <v>asking::clarification::about::code::(log::need)</v>
      </c>
      <c r="Q190" s="105"/>
      <c r="R190" s="105"/>
      <c r="S190" s="105"/>
      <c r="T190" s="105"/>
      <c r="U190" s="105"/>
      <c r="V190" s="105"/>
      <c r="W190" s="105"/>
      <c r="X190" s="105"/>
      <c r="Y190" s="105"/>
      <c r="Z190" s="105"/>
    </row>
    <row r="191">
      <c r="A191" s="105" t="str">
        <f>IFERROR(__xludf.DUMMYFUNCTION("""COMPUTED_VALUE"""),"providing::advice::coding")</f>
        <v>providing::advice::coding</v>
      </c>
      <c r="B191" s="105" t="str">
        <f>IFERROR(__xludf.DUMMYFUNCTION("""COMPUTED_VALUE"""),"Database-related issue, GUI-related issue, Network issue, Test code-related issue")</f>
        <v>Database-related issue, GUI-related issue, Network issue, Test code-related issue</v>
      </c>
      <c r="C191" s="105"/>
      <c r="D191" s="105" t="str">
        <f>IFERROR(__xludf.DUMMYFUNCTION("""COMPUTED_VALUE"""),"issue::closed::(revision::hash)")</f>
        <v>issue::closed::(revision::hash)</v>
      </c>
      <c r="E191" s="105"/>
      <c r="F191" s="105" t="str">
        <f>IFERROR(__xludf.DUMMYFUNCTION("""COMPUTED_VALUE"""),"indicating::status::of::cycle::of::development::for::a::project")</f>
        <v>indicating::status::of::cycle::of::development::for::a::project</v>
      </c>
      <c r="G191" s="105"/>
      <c r="H191" s="105"/>
      <c r="I191" s="105"/>
      <c r="J191" s="105"/>
      <c r="K191" s="105"/>
      <c r="L191" s="105"/>
      <c r="M191" s="105"/>
      <c r="N191" s="105"/>
      <c r="O191" s="105"/>
      <c r="P191" s="105" t="str">
        <f>IFERROR(__xludf.DUMMYFUNCTION("""COMPUTED_VALUE"""),"asking::clarification::about::code::(logging)")</f>
        <v>asking::clarification::about::code::(logging)</v>
      </c>
      <c r="Q191" s="105"/>
      <c r="R191" s="105"/>
      <c r="S191" s="105"/>
      <c r="T191" s="105"/>
      <c r="U191" s="105"/>
      <c r="V191" s="105"/>
      <c r="W191" s="105"/>
      <c r="X191" s="105"/>
      <c r="Y191" s="105"/>
      <c r="Z191" s="105"/>
    </row>
    <row r="192">
      <c r="A192" s="105" t="str">
        <f>IFERROR(__xludf.DUMMYFUNCTION("""COMPUTED_VALUE"""),"providing::clarification::(culprit::regression)")</f>
        <v>providing::clarification::(culprit::regression)</v>
      </c>
      <c r="B192" s="105" t="str">
        <f>IFERROR(__xludf.DUMMYFUNCTION("""COMPUTED_VALUE"""),"Database-related issue, GUI-related issue, Performance issue, Permission/deprecation issue")</f>
        <v>Database-related issue, GUI-related issue, Performance issue, Permission/deprecation issue</v>
      </c>
      <c r="C192" s="105"/>
      <c r="D192" s="105" t="str">
        <f>IFERROR(__xludf.DUMMYFUNCTION("""COMPUTED_VALUE"""),"join::the::fix::of::the::bug::with::a::broader::fix")</f>
        <v>join::the::fix::of::the::bug::with::a::broader::fix</v>
      </c>
      <c r="E192" s="105"/>
      <c r="F192" s="105" t="str">
        <f>IFERROR(__xludf.DUMMYFUNCTION("""COMPUTED_VALUE"""),"indicating::status::of::cycle::of::development::for::a::project::(related::to::BP::topic)")</f>
        <v>indicating::status::of::cycle::of::development::for::a::project::(related::to::BP::topic)</v>
      </c>
      <c r="G192" s="105"/>
      <c r="H192" s="105"/>
      <c r="I192" s="105"/>
      <c r="J192" s="105"/>
      <c r="K192" s="105"/>
      <c r="L192" s="105"/>
      <c r="M192" s="105"/>
      <c r="N192" s="105"/>
      <c r="O192" s="105"/>
      <c r="P192" s="105" t="str">
        <f>IFERROR(__xludf.DUMMYFUNCTION("""COMPUTED_VALUE"""),"asking::clarification::about::code::(logic)")</f>
        <v>asking::clarification::about::code::(logic)</v>
      </c>
      <c r="Q192" s="105"/>
      <c r="R192" s="105"/>
      <c r="S192" s="105"/>
      <c r="T192" s="105"/>
      <c r="U192" s="105"/>
      <c r="V192" s="105"/>
      <c r="W192" s="105"/>
      <c r="X192" s="105"/>
      <c r="Y192" s="105"/>
      <c r="Z192" s="105"/>
    </row>
    <row r="193">
      <c r="A193" s="105" t="str">
        <f>IFERROR(__xludf.DUMMYFUNCTION("""COMPUTED_VALUE"""),"providing::clarification::about::the::development::process::(releasing::time)")</f>
        <v>providing::clarification::about::the::development::process::(releasing::time)</v>
      </c>
      <c r="B193" s="105" t="str">
        <f>IFERROR(__xludf.DUMMYFUNCTION("""COMPUTED_VALUE"""),"Database-related issue, GUI-related issue, Performance issue, Program anomaly issue")</f>
        <v>Database-related issue, GUI-related issue, Performance issue, Program anomaly issue</v>
      </c>
      <c r="C193" s="105"/>
      <c r="D193" s="105" t="str">
        <f>IFERROR(__xludf.DUMMYFUNCTION("""COMPUTED_VALUE"""),"key::concepts::and::terminology::of::issue")</f>
        <v>key::concepts::and::terminology::of::issue</v>
      </c>
      <c r="E193" s="105"/>
      <c r="F193" s="105" t="str">
        <f>IFERROR(__xludf.DUMMYFUNCTION("""COMPUTED_VALUE"""),"indicating::status::of::cycle::of::development::for::a::release")</f>
        <v>indicating::status::of::cycle::of::development::for::a::release</v>
      </c>
      <c r="G193" s="105"/>
      <c r="H193" s="105"/>
      <c r="I193" s="105"/>
      <c r="J193" s="105"/>
      <c r="K193" s="105"/>
      <c r="L193" s="105"/>
      <c r="M193" s="105"/>
      <c r="N193" s="105"/>
      <c r="O193" s="105"/>
      <c r="P193" s="105" t="str">
        <f>IFERROR(__xludf.DUMMYFUNCTION("""COMPUTED_VALUE"""),"asking::clarification::about::code::(migration)")</f>
        <v>asking::clarification::about::code::(migration)</v>
      </c>
      <c r="Q193" s="105"/>
      <c r="R193" s="105"/>
      <c r="S193" s="105"/>
      <c r="T193" s="105"/>
      <c r="U193" s="105"/>
      <c r="V193" s="105"/>
      <c r="W193" s="105"/>
      <c r="X193" s="105"/>
      <c r="Y193" s="105"/>
      <c r="Z193" s="105"/>
    </row>
    <row r="194">
      <c r="A194" s="105" t="str">
        <f>IFERROR(__xludf.DUMMYFUNCTION("""COMPUTED_VALUE"""),"providing::clarification::about::when::the::bug::is::present")</f>
        <v>providing::clarification::about::when::the::bug::is::present</v>
      </c>
      <c r="B194" s="105" t="str">
        <f>IFERROR(__xludf.DUMMYFUNCTION("""COMPUTED_VALUE"""),"Database-related issue, GUI-related issue, Performance issue, Security issue")</f>
        <v>Database-related issue, GUI-related issue, Performance issue, Security issue</v>
      </c>
      <c r="C194" s="105"/>
      <c r="D194" s="105" t="str">
        <f>IFERROR(__xludf.DUMMYFUNCTION("""COMPUTED_VALUE"""),"link::related::issue")</f>
        <v>link::related::issue</v>
      </c>
      <c r="E194" s="105"/>
      <c r="F194" s="105" t="str">
        <f>IFERROR(__xludf.DUMMYFUNCTION("""COMPUTED_VALUE"""),"indicating::status::of::cycle::of::development::for::specific::bugs::(other::bugs::not::feature/BP::related)")</f>
        <v>indicating::status::of::cycle::of::development::for::specific::bugs::(other::bugs::not::feature/BP::related)</v>
      </c>
      <c r="G194" s="105"/>
      <c r="H194" s="105"/>
      <c r="I194" s="105"/>
      <c r="J194" s="105"/>
      <c r="K194" s="105"/>
      <c r="L194" s="105"/>
      <c r="M194" s="105"/>
      <c r="N194" s="105"/>
      <c r="O194" s="105"/>
      <c r="P194" s="105" t="str">
        <f>IFERROR(__xludf.DUMMYFUNCTION("""COMPUTED_VALUE"""),"asking::clarification::about::code::(missing::context)")</f>
        <v>asking::clarification::about::code::(missing::context)</v>
      </c>
      <c r="Q194" s="105"/>
      <c r="R194" s="105"/>
      <c r="S194" s="105"/>
      <c r="T194" s="105"/>
      <c r="U194" s="105"/>
      <c r="V194" s="105"/>
      <c r="W194" s="105"/>
      <c r="X194" s="105"/>
      <c r="Y194" s="105"/>
      <c r="Z194" s="105"/>
    </row>
    <row r="195">
      <c r="A195" s="105" t="str">
        <f>IFERROR(__xludf.DUMMYFUNCTION("""COMPUTED_VALUE"""),"providing::clarification::expected::behaboiur")</f>
        <v>providing::clarification::expected::behaboiur</v>
      </c>
      <c r="B195" s="105" t="str">
        <f>IFERROR(__xludf.DUMMYFUNCTION("""COMPUTED_VALUE"""),"Database-related issue, GUI-related issue, Performance issue, Test code-related issue")</f>
        <v>Database-related issue, GUI-related issue, Performance issue, Test code-related issue</v>
      </c>
      <c r="C195" s="105"/>
      <c r="D195" s="105" t="str">
        <f>IFERROR(__xludf.DUMMYFUNCTION("""COMPUTED_VALUE"""),"link::related::review")</f>
        <v>link::related::review</v>
      </c>
      <c r="E195" s="105"/>
      <c r="F195" s="105" t="str">
        <f>IFERROR(__xludf.DUMMYFUNCTION("""COMPUTED_VALUE"""),"indicating::status::of::cycle::of::development::for::the::BP/feature")</f>
        <v>indicating::status::of::cycle::of::development::for::the::BP/feature</v>
      </c>
      <c r="G195" s="105"/>
      <c r="H195" s="105"/>
      <c r="I195" s="105"/>
      <c r="J195" s="105"/>
      <c r="K195" s="105"/>
      <c r="L195" s="105"/>
      <c r="M195" s="105"/>
      <c r="N195" s="105"/>
      <c r="O195" s="105"/>
      <c r="P195" s="105" t="str">
        <f>IFERROR(__xludf.DUMMYFUNCTION("""COMPUTED_VALUE"""),"asking::clarification::about::code::(missing::tests)")</f>
        <v>asking::clarification::about::code::(missing::tests)</v>
      </c>
      <c r="Q195" s="105"/>
      <c r="R195" s="105"/>
      <c r="S195" s="105"/>
      <c r="T195" s="105"/>
      <c r="U195" s="105"/>
      <c r="V195" s="105"/>
      <c r="W195" s="105"/>
      <c r="X195" s="105"/>
      <c r="Y195" s="105"/>
      <c r="Z195" s="105"/>
    </row>
    <row r="196">
      <c r="A196" s="105" t="str">
        <f>IFERROR(__xludf.DUMMYFUNCTION("""COMPUTED_VALUE"""),"providing::clarification::expected::behaviour")</f>
        <v>providing::clarification::expected::behaviour</v>
      </c>
      <c r="B196" s="105" t="str">
        <f>IFERROR(__xludf.DUMMYFUNCTION("""COMPUTED_VALUE"""),"Database-related issue, GUI-related issue, Permission/deprecation issue, Program anomaly issue")</f>
        <v>Database-related issue, GUI-related issue, Permission/deprecation issue, Program anomaly issue</v>
      </c>
      <c r="C196" s="105"/>
      <c r="D196" s="105" t="str">
        <f>IFERROR(__xludf.DUMMYFUNCTION("""COMPUTED_VALUE"""),"link::repository::forged::project")</f>
        <v>link::repository::forged::project</v>
      </c>
      <c r="E196" s="105"/>
      <c r="F196" s="105" t="str">
        <f>IFERROR(__xludf.DUMMYFUNCTION("""COMPUTED_VALUE"""),"informing::abandoning::abandoned::ppojects::(exercises)")</f>
        <v>informing::abandoning::abandoned::ppojects::(exercises)</v>
      </c>
      <c r="G196" s="105"/>
      <c r="H196" s="105"/>
      <c r="I196" s="105"/>
      <c r="J196" s="105"/>
      <c r="K196" s="105"/>
      <c r="L196" s="105"/>
      <c r="M196" s="105"/>
      <c r="N196" s="105"/>
      <c r="O196" s="105"/>
      <c r="P196" s="105" t="str">
        <f>IFERROR(__xludf.DUMMYFUNCTION("""COMPUTED_VALUE"""),"asking::clarification::about::code::(naming)")</f>
        <v>asking::clarification::about::code::(naming)</v>
      </c>
      <c r="Q196" s="105"/>
      <c r="R196" s="105"/>
      <c r="S196" s="105"/>
      <c r="T196" s="105"/>
      <c r="U196" s="105"/>
      <c r="V196" s="105"/>
      <c r="W196" s="105"/>
      <c r="X196" s="105"/>
      <c r="Y196" s="105"/>
      <c r="Z196" s="105"/>
    </row>
    <row r="197">
      <c r="A197" s="105" t="str">
        <f>IFERROR(__xludf.DUMMYFUNCTION("""COMPUTED_VALUE"""),"providing::clarification::status::release")</f>
        <v>providing::clarification::status::release</v>
      </c>
      <c r="B197" s="105" t="str">
        <f>IFERROR(__xludf.DUMMYFUNCTION("""COMPUTED_VALUE"""),"Database-related issue, GUI-related issue, Permission/deprecation issue, Security issue")</f>
        <v>Database-related issue, GUI-related issue, Permission/deprecation issue, Security issue</v>
      </c>
      <c r="C197" s="105"/>
      <c r="D197" s="105" t="str">
        <f>IFERROR(__xludf.DUMMYFUNCTION("""COMPUTED_VALUE"""),"link::review")</f>
        <v>link::review</v>
      </c>
      <c r="E197" s="105"/>
      <c r="F197" s="105" t="str">
        <f>IFERROR(__xludf.DUMMYFUNCTION("""COMPUTED_VALUE"""),"informing::about::next::steps")</f>
        <v>informing::about::next::steps</v>
      </c>
      <c r="G197" s="105"/>
      <c r="H197" s="105"/>
      <c r="I197" s="105"/>
      <c r="J197" s="105"/>
      <c r="K197" s="105"/>
      <c r="L197" s="105"/>
      <c r="M197" s="105"/>
      <c r="N197" s="105"/>
      <c r="O197" s="105"/>
      <c r="P197" s="105" t="str">
        <f>IFERROR(__xludf.DUMMYFUNCTION("""COMPUTED_VALUE"""),"asking::clarification::about::code::(need::of::code)")</f>
        <v>asking::clarification::about::code::(need::of::code)</v>
      </c>
      <c r="Q197" s="105"/>
      <c r="R197" s="105"/>
      <c r="S197" s="105"/>
      <c r="T197" s="105"/>
      <c r="U197" s="105"/>
      <c r="V197" s="105"/>
      <c r="W197" s="105"/>
      <c r="X197" s="105"/>
      <c r="Y197" s="105"/>
      <c r="Z197" s="105"/>
    </row>
    <row r="198">
      <c r="A198" s="105" t="str">
        <f>IFERROR(__xludf.DUMMYFUNCTION("""COMPUTED_VALUE"""),"providing::example::when::bug::is::not::present")</f>
        <v>providing::example::when::bug::is::not::present</v>
      </c>
      <c r="B198" s="105" t="str">
        <f>IFERROR(__xludf.DUMMYFUNCTION("""COMPUTED_VALUE"""),"Database-related issue, GUI-related issue, Permission/deprecation issue, Test code-related issue")</f>
        <v>Database-related issue, GUI-related issue, Permission/deprecation issue, Test code-related issue</v>
      </c>
      <c r="C198" s="105"/>
      <c r="D198" s="105" t="str">
        <f>IFERROR(__xludf.DUMMYFUNCTION("""COMPUTED_VALUE"""),"link::review::(review2)")</f>
        <v>link::review::(review2)</v>
      </c>
      <c r="E198" s="105"/>
      <c r="F198" s="105" t="str">
        <f>IFERROR(__xludf.DUMMYFUNCTION("""COMPUTED_VALUE"""),"informing::added::comment::(bug)")</f>
        <v>informing::added::comment::(bug)</v>
      </c>
      <c r="G198" s="105"/>
      <c r="H198" s="105"/>
      <c r="I198" s="105"/>
      <c r="J198" s="105"/>
      <c r="K198" s="105"/>
      <c r="L198" s="105"/>
      <c r="M198" s="105"/>
      <c r="N198" s="105"/>
      <c r="O198" s="105"/>
      <c r="P198" s="105" t="str">
        <f>IFERROR(__xludf.DUMMYFUNCTION("""COMPUTED_VALUE"""),"asking::clarification::about::code::(need::of::config::parameters)")</f>
        <v>asking::clarification::about::code::(need::of::config::parameters)</v>
      </c>
      <c r="Q198" s="105"/>
      <c r="R198" s="105"/>
      <c r="S198" s="105"/>
      <c r="T198" s="105"/>
      <c r="U198" s="105"/>
      <c r="V198" s="105"/>
      <c r="W198" s="105"/>
      <c r="X198" s="105"/>
      <c r="Y198" s="105"/>
      <c r="Z198" s="105"/>
    </row>
    <row r="199">
      <c r="A199" s="105" t="str">
        <f>IFERROR(__xludf.DUMMYFUNCTION("""COMPUTED_VALUE"""),"providing::example::when::bug::is::present")</f>
        <v>providing::example::when::bug::is::present</v>
      </c>
      <c r="B199" s="105" t="str">
        <f>IFERROR(__xludf.DUMMYFUNCTION("""COMPUTED_VALUE"""),"Database-related issue, GUI-related issue, Program anomaly issue, Test code-related issue")</f>
        <v>Database-related issue, GUI-related issue, Program anomaly issue, Test code-related issue</v>
      </c>
      <c r="C199" s="105"/>
      <c r="D199" s="105" t="str">
        <f>IFERROR(__xludf.DUMMYFUNCTION("""COMPUTED_VALUE"""),"list::remaining::patches::not::closed::in::the::development::cycle")</f>
        <v>list::remaining::patches::not::closed::in::the::development::cycle</v>
      </c>
      <c r="E199" s="105"/>
      <c r="F199" s="105" t="str">
        <f>IFERROR(__xludf.DUMMYFUNCTION("""COMPUTED_VALUE"""),"informing::bp::updated")</f>
        <v>informing::bp::updated</v>
      </c>
      <c r="G199" s="105"/>
      <c r="H199" s="105"/>
      <c r="I199" s="105"/>
      <c r="J199" s="105"/>
      <c r="K199" s="105"/>
      <c r="L199" s="105"/>
      <c r="M199" s="105"/>
      <c r="N199" s="105"/>
      <c r="O199" s="105"/>
      <c r="P199" s="105" t="str">
        <f>IFERROR(__xludf.DUMMYFUNCTION("""COMPUTED_VALUE"""),"asking::clarification::about::code::(need::of::tests)")</f>
        <v>asking::clarification::about::code::(need::of::tests)</v>
      </c>
      <c r="Q199" s="105"/>
      <c r="R199" s="105"/>
      <c r="S199" s="105"/>
      <c r="T199" s="105"/>
      <c r="U199" s="105"/>
      <c r="V199" s="105"/>
      <c r="W199" s="105"/>
      <c r="X199" s="105"/>
      <c r="Y199" s="105"/>
      <c r="Z199" s="105"/>
    </row>
    <row r="200">
      <c r="A200" s="105" t="str">
        <f>IFERROR(__xludf.DUMMYFUNCTION("""COMPUTED_VALUE"""),"providing::example::when::bug::is::present1")</f>
        <v>providing::example::when::bug::is::present1</v>
      </c>
      <c r="B200" s="105" t="str">
        <f>IFERROR(__xludf.DUMMYFUNCTION("""COMPUTED_VALUE"""),"Database-related issue, GUI-related issue, Security issue, Program anomaly issue")</f>
        <v>Database-related issue, GUI-related issue, Security issue, Program anomaly issue</v>
      </c>
      <c r="C200" s="105"/>
      <c r="D200" s="105" t="str">
        <f>IFERROR(__xludf.DUMMYFUNCTION("""COMPUTED_VALUE"""),"marking::code::as::abandoned")</f>
        <v>marking::code::as::abandoned</v>
      </c>
      <c r="E200" s="105"/>
      <c r="F200" s="105" t="str">
        <f>IFERROR(__xludf.DUMMYFUNCTION("""COMPUTED_VALUE"""),"informing::code::push")</f>
        <v>informing::code::push</v>
      </c>
      <c r="G200" s="105"/>
      <c r="H200" s="105"/>
      <c r="I200" s="105"/>
      <c r="J200" s="105"/>
      <c r="K200" s="105"/>
      <c r="L200" s="105"/>
      <c r="M200" s="105"/>
      <c r="N200" s="105"/>
      <c r="O200" s="105"/>
      <c r="P200" s="105" t="str">
        <f>IFERROR(__xludf.DUMMYFUNCTION("""COMPUTED_VALUE"""),"asking::clarification::about::code::(need:functionallity)")</f>
        <v>asking::clarification::about::code::(need:functionallity)</v>
      </c>
      <c r="Q200" s="105"/>
      <c r="R200" s="105"/>
      <c r="S200" s="105"/>
      <c r="T200" s="105"/>
      <c r="U200" s="105"/>
      <c r="V200" s="105"/>
      <c r="W200" s="105"/>
      <c r="X200" s="105"/>
      <c r="Y200" s="105"/>
      <c r="Z200" s="105"/>
    </row>
    <row r="201">
      <c r="A201" s="105" t="str">
        <f>IFERROR(__xludf.DUMMYFUNCTION("""COMPUTED_VALUE"""),"providing::example::when::bug::is::present2")</f>
        <v>providing::example::when::bug::is::present2</v>
      </c>
      <c r="B201" s="105" t="str">
        <f>IFERROR(__xludf.DUMMYFUNCTION("""COMPUTED_VALUE"""),"Database-related issue, GUI-related issue, Security issue, Test code-related issue")</f>
        <v>Database-related issue, GUI-related issue, Security issue, Test code-related issue</v>
      </c>
      <c r="C201" s="105"/>
      <c r="D201" s="105" t="str">
        <f>IFERROR(__xludf.DUMMYFUNCTION("""COMPUTED_VALUE"""),"merge::of::unknown::review::(link::review3)")</f>
        <v>merge::of::unknown::review::(link::review3)</v>
      </c>
      <c r="E201" s="105"/>
      <c r="F201" s="105" t="str">
        <f>IFERROR(__xludf.DUMMYFUNCTION("""COMPUTED_VALUE"""),"informing::concerns::for::introducing::more::code::(time::constraints)::(current::development::cycle)")</f>
        <v>informing::concerns::for::introducing::more::code::(time::constraints)::(current::development::cycle)</v>
      </c>
      <c r="G201" s="105"/>
      <c r="H201" s="105"/>
      <c r="I201" s="105"/>
      <c r="J201" s="105"/>
      <c r="K201" s="105"/>
      <c r="L201" s="105"/>
      <c r="M201" s="105"/>
      <c r="N201" s="105"/>
      <c r="O201" s="105"/>
      <c r="P201" s="105" t="str">
        <f>IFERROR(__xludf.DUMMYFUNCTION("""COMPUTED_VALUE"""),"asking::clarification::about::code::(performance)")</f>
        <v>asking::clarification::about::code::(performance)</v>
      </c>
      <c r="Q201" s="105"/>
      <c r="R201" s="105"/>
      <c r="S201" s="105"/>
      <c r="T201" s="105"/>
      <c r="U201" s="105"/>
      <c r="V201" s="105"/>
      <c r="W201" s="105"/>
      <c r="X201" s="105"/>
      <c r="Y201" s="105"/>
      <c r="Z201" s="105"/>
    </row>
    <row r="202">
      <c r="A202" s="105" t="str">
        <f>IFERROR(__xludf.DUMMYFUNCTION("""COMPUTED_VALUE"""),"question::version::of::software::in::which::the::bug::was::found")</f>
        <v>question::version::of::software::in::which::the::bug::was::found</v>
      </c>
      <c r="B202" s="105" t="str">
        <f>IFERROR(__xludf.DUMMYFUNCTION("""COMPUTED_VALUE"""),"Database-related issue, Network issue, Performance issue, Permission/deprecation issue")</f>
        <v>Database-related issue, Network issue, Performance issue, Permission/deprecation issue</v>
      </c>
      <c r="C202" s="105"/>
      <c r="D202" s="105" t="str">
        <f>IFERROR(__xludf.DUMMYFUNCTION("""COMPUTED_VALUE"""),"merge::of::unknown::review::(link::review5)")</f>
        <v>merge::of::unknown::review::(link::review5)</v>
      </c>
      <c r="E202" s="105"/>
      <c r="F202" s="105" t="str">
        <f>IFERROR(__xludf.DUMMYFUNCTION("""COMPUTED_VALUE"""),"informing::duplication::of::code::in::the::presented::design::solution:::(code)")</f>
        <v>informing::duplication::of::code::in::the::presented::design::solution:::(code)</v>
      </c>
      <c r="G202" s="105"/>
      <c r="H202" s="105"/>
      <c r="I202" s="105"/>
      <c r="J202" s="105"/>
      <c r="K202" s="105"/>
      <c r="L202" s="105"/>
      <c r="M202" s="105"/>
      <c r="N202" s="105"/>
      <c r="O202" s="105"/>
      <c r="P202" s="105" t="str">
        <f>IFERROR(__xludf.DUMMYFUNCTION("""COMPUTED_VALUE"""),"asking::clarification::about::code::(previous::version::vs::actual::code)")</f>
        <v>asking::clarification::about::code::(previous::version::vs::actual::code)</v>
      </c>
      <c r="Q202" s="105"/>
      <c r="R202" s="105"/>
      <c r="S202" s="105"/>
      <c r="T202" s="105"/>
      <c r="U202" s="105"/>
      <c r="V202" s="105"/>
      <c r="W202" s="105"/>
      <c r="X202" s="105"/>
      <c r="Y202" s="105"/>
      <c r="Z202" s="105"/>
    </row>
    <row r="203">
      <c r="A203" s="105" t="str">
        <f>IFERROR(__xludf.DUMMYFUNCTION("""COMPUTED_VALUE"""),"re::opening::bug")</f>
        <v>re::opening::bug</v>
      </c>
      <c r="B203" s="105" t="str">
        <f>IFERROR(__xludf.DUMMYFUNCTION("""COMPUTED_VALUE"""),"Database-related issue, Network issue, Performance issue, Program anomaly issue")</f>
        <v>Database-related issue, Network issue, Performance issue, Program anomaly issue</v>
      </c>
      <c r="C203" s="105"/>
      <c r="D203" s="105" t="str">
        <f>IFERROR(__xludf.DUMMYFUNCTION("""COMPUTED_VALUE"""),"merge::sync::notification")</f>
        <v>merge::sync::notification</v>
      </c>
      <c r="E203" s="105"/>
      <c r="F203" s="105" t="str">
        <f>IFERROR(__xludf.DUMMYFUNCTION("""COMPUTED_VALUE"""),"informing::extension::of::scope::for::blueprint")</f>
        <v>informing::extension::of::scope::for::blueprint</v>
      </c>
      <c r="G203" s="105"/>
      <c r="H203" s="105"/>
      <c r="I203" s="105"/>
      <c r="J203" s="105"/>
      <c r="K203" s="105"/>
      <c r="L203" s="105"/>
      <c r="M203" s="105"/>
      <c r="N203" s="105"/>
      <c r="O203" s="105"/>
      <c r="P203" s="105" t="str">
        <f>IFERROR(__xludf.DUMMYFUNCTION("""COMPUTED_VALUE"""),"asking::clarification::about::code::(previous::version)")</f>
        <v>asking::clarification::about::code::(previous::version)</v>
      </c>
      <c r="Q203" s="105"/>
      <c r="R203" s="105"/>
      <c r="S203" s="105"/>
      <c r="T203" s="105"/>
      <c r="U203" s="105"/>
      <c r="V203" s="105"/>
      <c r="W203" s="105"/>
      <c r="X203" s="105"/>
      <c r="Y203" s="105"/>
      <c r="Z203" s="105"/>
    </row>
    <row r="204">
      <c r="A204" s="105" t="str">
        <f>IFERROR(__xludf.DUMMYFUNCTION("""COMPUTED_VALUE"""),"reason::for::abandoning::the::change")</f>
        <v>reason::for::abandoning::the::change</v>
      </c>
      <c r="B204" s="105" t="str">
        <f>IFERROR(__xludf.DUMMYFUNCTION("""COMPUTED_VALUE"""),"Database-related issue, Network issue, Performance issue, Security issue")</f>
        <v>Database-related issue, Network issue, Performance issue, Security issue</v>
      </c>
      <c r="C204" s="105"/>
      <c r="D204" s="105" t="str">
        <f>IFERROR(__xludf.DUMMYFUNCTION("""COMPUTED_VALUE"""),"merged::units::of::work")</f>
        <v>merged::units::of::work</v>
      </c>
      <c r="E204" s="105"/>
      <c r="F204" s="105" t="str">
        <f>IFERROR(__xludf.DUMMYFUNCTION("""COMPUTED_VALUE"""),"informing::feature::waiting::for::completion::(review::approval)")</f>
        <v>informing::feature::waiting::for::completion::(review::approval)</v>
      </c>
      <c r="G204" s="105"/>
      <c r="H204" s="105"/>
      <c r="I204" s="105"/>
      <c r="J204" s="105"/>
      <c r="K204" s="105"/>
      <c r="L204" s="105"/>
      <c r="M204" s="105"/>
      <c r="N204" s="105"/>
      <c r="O204" s="105"/>
      <c r="P204" s="105" t="str">
        <f>IFERROR(__xludf.DUMMYFUNCTION("""COMPUTED_VALUE"""),"asking::clarification::about::code::(reason::of::changing::code)")</f>
        <v>asking::clarification::about::code::(reason::of::changing::code)</v>
      </c>
      <c r="Q204" s="105"/>
      <c r="R204" s="105"/>
      <c r="S204" s="105"/>
      <c r="T204" s="105"/>
      <c r="U204" s="105"/>
      <c r="V204" s="105"/>
      <c r="W204" s="105"/>
      <c r="X204" s="105"/>
      <c r="Y204" s="105"/>
      <c r="Z204" s="105"/>
    </row>
    <row r="205">
      <c r="A205" s="105" t="str">
        <f>IFERROR(__xludf.DUMMYFUNCTION("""COMPUTED_VALUE"""),"reason::for::abandoning::the::change::(in::favour::of::another::review)")</f>
        <v>reason::for::abandoning::the::change::(in::favour::of::another::review)</v>
      </c>
      <c r="B205" s="105" t="str">
        <f>IFERROR(__xludf.DUMMYFUNCTION("""COMPUTED_VALUE"""),"Database-related issue, Network issue, Performance issue, Test code-related issue")</f>
        <v>Database-related issue, Network issue, Performance issue, Test code-related issue</v>
      </c>
      <c r="C205" s="105"/>
      <c r="D205" s="105" t="str">
        <f>IFERROR(__xludf.DUMMYFUNCTION("""COMPUTED_VALUE"""),"missing::documentation")</f>
        <v>missing::documentation</v>
      </c>
      <c r="E205" s="105"/>
      <c r="F205" s="105" t="str">
        <f>IFERROR(__xludf.DUMMYFUNCTION("""COMPUTED_VALUE"""),"informing::filing::blue::print::to::track::progress")</f>
        <v>informing::filing::blue::print::to::track::progress</v>
      </c>
      <c r="G205" s="105"/>
      <c r="H205" s="105"/>
      <c r="I205" s="105"/>
      <c r="J205" s="105"/>
      <c r="K205" s="105"/>
      <c r="L205" s="105"/>
      <c r="M205" s="105"/>
      <c r="N205" s="105"/>
      <c r="O205" s="105"/>
      <c r="P205" s="105" t="str">
        <f>IFERROR(__xludf.DUMMYFUNCTION("""COMPUTED_VALUE"""),"asking::clarification::about::code::(reason::of::the::design)")</f>
        <v>asking::clarification::about::code::(reason::of::the::design)</v>
      </c>
      <c r="Q205" s="105"/>
      <c r="R205" s="105"/>
      <c r="S205" s="105"/>
      <c r="T205" s="105"/>
      <c r="U205" s="105"/>
      <c r="V205" s="105"/>
      <c r="W205" s="105"/>
      <c r="X205" s="105"/>
      <c r="Y205" s="105"/>
      <c r="Z205" s="105"/>
    </row>
    <row r="206">
      <c r="A206" s="105" t="str">
        <f>IFERROR(__xludf.DUMMYFUNCTION("""COMPUTED_VALUE"""),"reason::for::abandoning::the::change::not::main::branch::(not::longer::needed)")</f>
        <v>reason::for::abandoning::the::change::not::main::branch::(not::longer::needed)</v>
      </c>
      <c r="B206" s="105" t="str">
        <f>IFERROR(__xludf.DUMMYFUNCTION("""COMPUTED_VALUE"""),"Database-related issue, Network issue, Permission/deprecation issue, Program anomaly issue")</f>
        <v>Database-related issue, Network issue, Permission/deprecation issue, Program anomaly issue</v>
      </c>
      <c r="C206" s="105"/>
      <c r="D206" s="105" t="str">
        <f>IFERROR(__xludf.DUMMYFUNCTION("""COMPUTED_VALUE"""),"missing::feature")</f>
        <v>missing::feature</v>
      </c>
      <c r="E206" s="105"/>
      <c r="F206" s="105" t="str">
        <f>IFERROR(__xludf.DUMMYFUNCTION("""COMPUTED_VALUE"""),"informing::filing::bug::due::to::new::functionality::that::was::enabled::thanks::to::the::BP")</f>
        <v>informing::filing::bug::due::to::new::functionality::that::was::enabled::thanks::to::the::BP</v>
      </c>
      <c r="G206" s="105"/>
      <c r="H206" s="105"/>
      <c r="I206" s="105"/>
      <c r="J206" s="105"/>
      <c r="K206" s="105"/>
      <c r="L206" s="105"/>
      <c r="M206" s="105"/>
      <c r="N206" s="105"/>
      <c r="O206" s="105"/>
      <c r="P206" s="105" t="str">
        <f>IFERROR(__xludf.DUMMYFUNCTION("""COMPUTED_VALUE"""),"asking::clarification::about::code::(reason::of::the:.code)")</f>
        <v>asking::clarification::about::code::(reason::of::the:.code)</v>
      </c>
      <c r="Q206" s="105"/>
      <c r="R206" s="105"/>
      <c r="S206" s="105"/>
      <c r="T206" s="105"/>
      <c r="U206" s="105"/>
      <c r="V206" s="105"/>
      <c r="W206" s="105"/>
      <c r="X206" s="105"/>
      <c r="Y206" s="105"/>
      <c r="Z206" s="105"/>
    </row>
    <row r="207">
      <c r="A207" s="105" t="str">
        <f>IFERROR(__xludf.DUMMYFUNCTION("""COMPUTED_VALUE"""),"reason::for::abandoning::the::change1")</f>
        <v>reason::for::abandoning::the::change1</v>
      </c>
      <c r="B207" s="105" t="str">
        <f>IFERROR(__xludf.DUMMYFUNCTION("""COMPUTED_VALUE"""),"Database-related issue, Network issue, Permission/deprecation issue, Security issue")</f>
        <v>Database-related issue, Network issue, Permission/deprecation issue, Security issue</v>
      </c>
      <c r="C207" s="105"/>
      <c r="D207" s="105" t="str">
        <f>IFERROR(__xludf.DUMMYFUNCTION("""COMPUTED_VALUE"""),"new::blueprint::for::remaining::patches")</f>
        <v>new::blueprint::for::remaining::patches</v>
      </c>
      <c r="E207" s="105"/>
      <c r="F207" s="105" t="str">
        <f>IFERROR(__xludf.DUMMYFUNCTION("""COMPUTED_VALUE"""),"informing::filing::bug::to::track::progress")</f>
        <v>informing::filing::bug::to::track::progress</v>
      </c>
      <c r="G207" s="105"/>
      <c r="H207" s="105"/>
      <c r="I207" s="105"/>
      <c r="J207" s="105"/>
      <c r="K207" s="105"/>
      <c r="L207" s="105"/>
      <c r="M207" s="105"/>
      <c r="N207" s="105"/>
      <c r="O207" s="105"/>
      <c r="P207" s="105" t="str">
        <f>IFERROR(__xludf.DUMMYFUNCTION("""COMPUTED_VALUE"""),"asking::clarification::about::code::(solution::design)")</f>
        <v>asking::clarification::about::code::(solution::design)</v>
      </c>
      <c r="Q207" s="105"/>
      <c r="R207" s="105"/>
      <c r="S207" s="105"/>
      <c r="T207" s="105"/>
      <c r="U207" s="105"/>
      <c r="V207" s="105"/>
      <c r="W207" s="105"/>
      <c r="X207" s="105"/>
      <c r="Y207" s="105"/>
      <c r="Z207" s="105"/>
    </row>
    <row r="208">
      <c r="A208" s="105" t="str">
        <f>IFERROR(__xludf.DUMMYFUNCTION("""COMPUTED_VALUE"""),"reason::for::abandoning::the::change2")</f>
        <v>reason::for::abandoning::the::change2</v>
      </c>
      <c r="B208" s="105" t="str">
        <f>IFERROR(__xludf.DUMMYFUNCTION("""COMPUTED_VALUE"""),"Database-related issue, Network issue, Permission/deprecation issue, Test code-related issue")</f>
        <v>Database-related issue, Network issue, Permission/deprecation issue, Test code-related issue</v>
      </c>
      <c r="C208" s="105"/>
      <c r="D208" s="105" t="str">
        <f>IFERROR(__xludf.DUMMYFUNCTION("""COMPUTED_VALUE"""),"no::backporting::(feature::only::in::next::version)")</f>
        <v>no::backporting::(feature::only::in::next::version)</v>
      </c>
      <c r="E208" s="105"/>
      <c r="F208" s="105" t="str">
        <f>IFERROR(__xludf.DUMMYFUNCTION("""COMPUTED_VALUE"""),"informing::found::another::reasong::for::bug")</f>
        <v>informing::found::another::reasong::for::bug</v>
      </c>
      <c r="G208" s="105"/>
      <c r="H208" s="105"/>
      <c r="I208" s="105"/>
      <c r="J208" s="105"/>
      <c r="K208" s="105"/>
      <c r="L208" s="105"/>
      <c r="M208" s="105"/>
      <c r="N208" s="105"/>
      <c r="O208" s="105"/>
      <c r="P208" s="105" t="str">
        <f>IFERROR(__xludf.DUMMYFUNCTION("""COMPUTED_VALUE"""),"asking::clarification::about::code::(test::possible::change)")</f>
        <v>asking::clarification::about::code::(test::possible::change)</v>
      </c>
      <c r="Q208" s="105"/>
      <c r="R208" s="105"/>
      <c r="S208" s="105"/>
      <c r="T208" s="105"/>
      <c r="U208" s="105"/>
      <c r="V208" s="105"/>
      <c r="W208" s="105"/>
      <c r="X208" s="105"/>
      <c r="Y208" s="105"/>
      <c r="Z208" s="105"/>
    </row>
    <row r="209">
      <c r="A209" s="105" t="str">
        <f>IFERROR(__xludf.DUMMYFUNCTION("""COMPUTED_VALUE"""),"reason::for::abandoning::the::change3")</f>
        <v>reason::for::abandoning::the::change3</v>
      </c>
      <c r="B209" s="105" t="str">
        <f>IFERROR(__xludf.DUMMYFUNCTION("""COMPUTED_VALUE"""),"Database-related issue, Network issue, Program anomaly issue, Test code-related issue")</f>
        <v>Database-related issue, Network issue, Program anomaly issue, Test code-related issue</v>
      </c>
      <c r="C209" s="105"/>
      <c r="D209" s="105" t="str">
        <f>IFERROR(__xludf.DUMMYFUNCTION("""COMPUTED_VALUE"""),"not::meeting::deadline")</f>
        <v>not::meeting::deadline</v>
      </c>
      <c r="E209" s="105"/>
      <c r="F209" s="105" t="str">
        <f>IFERROR(__xludf.DUMMYFUNCTION("""COMPUTED_VALUE"""),"informing::functionallity::(current::code)::interaction::between::projects")</f>
        <v>informing::functionallity::(current::code)::interaction::between::projects</v>
      </c>
      <c r="G209" s="105"/>
      <c r="H209" s="105"/>
      <c r="I209" s="105"/>
      <c r="J209" s="105"/>
      <c r="K209" s="105"/>
      <c r="L209" s="105"/>
      <c r="M209" s="105"/>
      <c r="N209" s="105"/>
      <c r="O209" s="105"/>
      <c r="P209" s="105" t="str">
        <f>IFERROR(__xludf.DUMMYFUNCTION("""COMPUTED_VALUE"""),"asking::clarification::about::code::(tests::result::specific::case)")</f>
        <v>asking::clarification::about::code::(tests::result::specific::case)</v>
      </c>
      <c r="Q209" s="105"/>
      <c r="R209" s="105"/>
      <c r="S209" s="105"/>
      <c r="T209" s="105"/>
      <c r="U209" s="105"/>
      <c r="V209" s="105"/>
      <c r="W209" s="105"/>
      <c r="X209" s="105"/>
      <c r="Y209" s="105"/>
      <c r="Z209" s="105"/>
    </row>
    <row r="210">
      <c r="A210" s="105" t="str">
        <f>IFERROR(__xludf.DUMMYFUNCTION("""COMPUTED_VALUE"""),"reason::of::the::bug")</f>
        <v>reason::of::the::bug</v>
      </c>
      <c r="B210" s="105" t="str">
        <f>IFERROR(__xludf.DUMMYFUNCTION("""COMPUTED_VALUE"""),"Database-related issue, Network issue, Security issue, Program anomaly issue")</f>
        <v>Database-related issue, Network issue, Security issue, Program anomaly issue</v>
      </c>
      <c r="C210" s="105"/>
      <c r="D210" s="105" t="str">
        <f>IFERROR(__xludf.DUMMYFUNCTION("""COMPUTED_VALUE"""),"not::yet::approved")</f>
        <v>not::yet::approved</v>
      </c>
      <c r="E210" s="105"/>
      <c r="F210" s="105" t="str">
        <f>IFERROR(__xludf.DUMMYFUNCTION("""COMPUTED_VALUE"""),"informing::functionallity::(current::code)::previous::related::developments")</f>
        <v>informing::functionallity::(current::code)::previous::related::developments</v>
      </c>
      <c r="G210" s="105"/>
      <c r="H210" s="105"/>
      <c r="I210" s="105"/>
      <c r="J210" s="105"/>
      <c r="K210" s="105"/>
      <c r="L210" s="105"/>
      <c r="M210" s="105"/>
      <c r="N210" s="105"/>
      <c r="O210" s="105"/>
      <c r="P210" s="105" t="str">
        <f>IFERROR(__xludf.DUMMYFUNCTION("""COMPUTED_VALUE"""),"asking::clarification::about::code::(types)")</f>
        <v>asking::clarification::about::code::(types)</v>
      </c>
      <c r="Q210" s="105"/>
      <c r="R210" s="105"/>
      <c r="S210" s="105"/>
      <c r="T210" s="105"/>
      <c r="U210" s="105"/>
      <c r="V210" s="105"/>
      <c r="W210" s="105"/>
      <c r="X210" s="105"/>
      <c r="Y210" s="105"/>
      <c r="Z210" s="105"/>
    </row>
    <row r="211">
      <c r="A211" s="105" t="str">
        <f>IFERROR(__xludf.DUMMYFUNCTION("""COMPUTED_VALUE"""),"reason::of::the::bug::disagreeing::with::previous::given::reason")</f>
        <v>reason::of::the::bug::disagreeing::with::previous::given::reason</v>
      </c>
      <c r="B211" s="105" t="str">
        <f>IFERROR(__xludf.DUMMYFUNCTION("""COMPUTED_VALUE"""),"Database-related issue, Network issue, Security issue, Test code-related issue")</f>
        <v>Database-related issue, Network issue, Security issue, Test code-related issue</v>
      </c>
      <c r="C211" s="105"/>
      <c r="D211" s="105" t="str">
        <f>IFERROR(__xludf.DUMMYFUNCTION("""COMPUTED_VALUE"""),"objection::closing::issue")</f>
        <v>objection::closing::issue</v>
      </c>
      <c r="E211" s="105"/>
      <c r="F211" s="105" t="str">
        <f>IFERROR(__xludf.DUMMYFUNCTION("""COMPUTED_VALUE"""),"informing::functionallity::limitations::(current::code)::interaction::between::projects")</f>
        <v>informing::functionallity::limitations::(current::code)::interaction::between::projects</v>
      </c>
      <c r="G211" s="105"/>
      <c r="H211" s="105"/>
      <c r="I211" s="105"/>
      <c r="J211" s="105"/>
      <c r="K211" s="105"/>
      <c r="L211" s="105"/>
      <c r="M211" s="105"/>
      <c r="N211" s="105"/>
      <c r="O211" s="105"/>
      <c r="P211" s="105" t="str">
        <f>IFERROR(__xludf.DUMMYFUNCTION("""COMPUTED_VALUE"""),"asking::clarification::about::code::(unnecesary::loop)")</f>
        <v>asking::clarification::about::code::(unnecesary::loop)</v>
      </c>
      <c r="Q211" s="105"/>
      <c r="R211" s="105"/>
      <c r="S211" s="105"/>
      <c r="T211" s="105"/>
      <c r="U211" s="105"/>
      <c r="V211" s="105"/>
      <c r="W211" s="105"/>
      <c r="X211" s="105"/>
      <c r="Y211" s="105"/>
      <c r="Z211" s="105"/>
    </row>
    <row r="212">
      <c r="A212" s="105" t="str">
        <f>IFERROR(__xludf.DUMMYFUNCTION("""COMPUTED_VALUE"""),"reason::of::the::continuation::of::bug::after::fix")</f>
        <v>reason::of::the::continuation::of::bug::after::fix</v>
      </c>
      <c r="B212" s="105" t="str">
        <f>IFERROR(__xludf.DUMMYFUNCTION("""COMPUTED_VALUE"""),"Database-related issue, Performance issue, Permission/deprecation issue, Program anomaly issue")</f>
        <v>Database-related issue, Performance issue, Permission/deprecation issue, Program anomaly issue</v>
      </c>
      <c r="C212" s="105"/>
      <c r="D212" s="105" t="str">
        <f>IFERROR(__xludf.DUMMYFUNCTION("""COMPUTED_VALUE"""),"objection::proposal::of::possible::solution")</f>
        <v>objection::proposal::of::possible::solution</v>
      </c>
      <c r="E212" s="105"/>
      <c r="F212" s="105" t="str">
        <f>IFERROR(__xludf.DUMMYFUNCTION("""COMPUTED_VALUE"""),"informing::good::clarification::of::design")</f>
        <v>informing::good::clarification::of::design</v>
      </c>
      <c r="G212" s="105"/>
      <c r="H212" s="105"/>
      <c r="I212" s="105"/>
      <c r="J212" s="105"/>
      <c r="K212" s="105"/>
      <c r="L212" s="105"/>
      <c r="M212" s="105"/>
      <c r="N212" s="105"/>
      <c r="O212" s="105"/>
      <c r="P212" s="105" t="str">
        <f>IFERROR(__xludf.DUMMYFUNCTION("""COMPUTED_VALUE"""),"asking::clarification::about::code::(unnecesary::method::calling)")</f>
        <v>asking::clarification::about::code::(unnecesary::method::calling)</v>
      </c>
      <c r="Q212" s="105"/>
      <c r="R212" s="105"/>
      <c r="S212" s="105"/>
      <c r="T212" s="105"/>
      <c r="U212" s="105"/>
      <c r="V212" s="105"/>
      <c r="W212" s="105"/>
      <c r="X212" s="105"/>
      <c r="Y212" s="105"/>
      <c r="Z212" s="105"/>
    </row>
    <row r="213">
      <c r="A213" s="105" t="str">
        <f>IFERROR(__xludf.DUMMYFUNCTION("""COMPUTED_VALUE"""),"reason::of::the::regression")</f>
        <v>reason::of::the::regression</v>
      </c>
      <c r="B213" s="105" t="str">
        <f>IFERROR(__xludf.DUMMYFUNCTION("""COMPUTED_VALUE"""),"Database-related issue, Performance issue, Permission/deprecation issue, Security issue")</f>
        <v>Database-related issue, Performance issue, Permission/deprecation issue, Security issue</v>
      </c>
      <c r="C213" s="105"/>
      <c r="D213" s="105" t="str">
        <f>IFERROR(__xludf.DUMMYFUNCTION("""COMPUTED_VALUE"""),"outdated::behaviour")</f>
        <v>outdated::behaviour</v>
      </c>
      <c r="E213" s="105"/>
      <c r="F213" s="105" t="str">
        <f>IFERROR(__xludf.DUMMYFUNCTION("""COMPUTED_VALUE"""),"informing::improvement::(live::migration)")</f>
        <v>informing::improvement::(live::migration)</v>
      </c>
      <c r="G213" s="105"/>
      <c r="H213" s="105"/>
      <c r="I213" s="105"/>
      <c r="J213" s="105"/>
      <c r="K213" s="105"/>
      <c r="L213" s="105"/>
      <c r="M213" s="105"/>
      <c r="N213" s="105"/>
      <c r="O213" s="105"/>
      <c r="P213" s="105" t="str">
        <f>IFERROR(__xludf.DUMMYFUNCTION("""COMPUTED_VALUE"""),"asking::clarification::about::code::(unnecesary::parentheses)")</f>
        <v>asking::clarification::about::code::(unnecesary::parentheses)</v>
      </c>
      <c r="Q213" s="105"/>
      <c r="R213" s="105"/>
      <c r="S213" s="105"/>
      <c r="T213" s="105"/>
      <c r="U213" s="105"/>
      <c r="V213" s="105"/>
      <c r="W213" s="105"/>
      <c r="X213" s="105"/>
      <c r="Y213" s="105"/>
      <c r="Z213" s="105"/>
    </row>
    <row r="214">
      <c r="A214" s="105" t="str">
        <f>IFERROR(__xludf.DUMMYFUNCTION("""COMPUTED_VALUE"""),"reason::of::why::the::persistent::bug::could::be:.a::different/another::bug")</f>
        <v>reason::of::why::the::persistent::bug::could::be:.a::different/another::bug</v>
      </c>
      <c r="B214" s="105" t="str">
        <f>IFERROR(__xludf.DUMMYFUNCTION("""COMPUTED_VALUE"""),"Database-related issue, Performance issue, Permission/deprecation issue, Test code-related issue")</f>
        <v>Database-related issue, Performance issue, Permission/deprecation issue, Test code-related issue</v>
      </c>
      <c r="C214" s="105"/>
      <c r="D214" s="105" t="str">
        <f>IFERROR(__xludf.DUMMYFUNCTION("""COMPUTED_VALUE"""),"partial::implementation")</f>
        <v>partial::implementation</v>
      </c>
      <c r="E214" s="105"/>
      <c r="F214" s="105" t="str">
        <f>IFERROR(__xludf.DUMMYFUNCTION("""COMPUTED_VALUE"""),"informing::in::favor::(ffe)")</f>
        <v>informing::in::favor::(ffe)</v>
      </c>
      <c r="G214" s="105"/>
      <c r="H214" s="105"/>
      <c r="I214" s="105"/>
      <c r="J214" s="105"/>
      <c r="K214" s="105"/>
      <c r="L214" s="105"/>
      <c r="M214" s="105"/>
      <c r="N214" s="105"/>
      <c r="O214" s="105"/>
      <c r="P214" s="105" t="str">
        <f>IFERROR(__xludf.DUMMYFUNCTION("""COMPUTED_VALUE"""),"asking::clarification::about::config")</f>
        <v>asking::clarification::about::config</v>
      </c>
      <c r="Q214" s="105"/>
      <c r="R214" s="105"/>
      <c r="S214" s="105"/>
      <c r="T214" s="105"/>
      <c r="U214" s="105"/>
      <c r="V214" s="105"/>
      <c r="W214" s="105"/>
      <c r="X214" s="105"/>
      <c r="Y214" s="105"/>
      <c r="Z214" s="105"/>
    </row>
    <row r="215">
      <c r="A215" s="105" t="str">
        <f>IFERROR(__xludf.DUMMYFUNCTION("""COMPUTED_VALUE"""),"reason::why::the::suggested::solution::for::regression::can::not::be::conducted")</f>
        <v>reason::why::the::suggested::solution::for::regression::can::not::be::conducted</v>
      </c>
      <c r="B215" s="105" t="str">
        <f>IFERROR(__xludf.DUMMYFUNCTION("""COMPUTED_VALUE"""),"Database-related issue, Performance issue, Program anomaly issue, Test code-related issue")</f>
        <v>Database-related issue, Performance issue, Program anomaly issue, Test code-related issue</v>
      </c>
      <c r="C215" s="105"/>
      <c r="D215" s="105" t="str">
        <f>IFERROR(__xludf.DUMMYFUNCTION("""COMPUTED_VALUE"""),"partially::deferred::to::later::release1")</f>
        <v>partially::deferred::to::later::release1</v>
      </c>
      <c r="E215" s="105"/>
      <c r="F215" s="105" t="str">
        <f>IFERROR(__xludf.DUMMYFUNCTION("""COMPUTED_VALUE"""),"informing::in::favour::(fix)")</f>
        <v>informing::in::favour::(fix)</v>
      </c>
      <c r="G215" s="105"/>
      <c r="H215" s="105"/>
      <c r="I215" s="105"/>
      <c r="J215" s="105"/>
      <c r="K215" s="105"/>
      <c r="L215" s="105"/>
      <c r="M215" s="105"/>
      <c r="N215" s="105"/>
      <c r="O215" s="105"/>
      <c r="P215" s="105" t="str">
        <f>IFERROR(__xludf.DUMMYFUNCTION("""COMPUTED_VALUE"""),"asking::clarification::about::config::(fixed::values)")</f>
        <v>asking::clarification::about::config::(fixed::values)</v>
      </c>
      <c r="Q215" s="105"/>
      <c r="R215" s="105"/>
      <c r="S215" s="105"/>
      <c r="T215" s="105"/>
      <c r="U215" s="105"/>
      <c r="V215" s="105"/>
      <c r="W215" s="105"/>
      <c r="X215" s="105"/>
      <c r="Y215" s="105"/>
      <c r="Z215" s="105"/>
    </row>
    <row r="216">
      <c r="A216" s="105" t="str">
        <f>IFERROR(__xludf.DUMMYFUNCTION("""COMPUTED_VALUE"""),"referes::to::mailinglist")</f>
        <v>referes::to::mailinglist</v>
      </c>
      <c r="B216" s="105" t="str">
        <f>IFERROR(__xludf.DUMMYFUNCTION("""COMPUTED_VALUE"""),"Database-related issue, Performance issue, Security issue, Program anomaly issue")</f>
        <v>Database-related issue, Performance issue, Security issue, Program anomaly issue</v>
      </c>
      <c r="C216" s="105"/>
      <c r="D216" s="105" t="str">
        <f>IFERROR(__xludf.DUMMYFUNCTION("""COMPUTED_VALUE"""),"partially::deferred::to::later::release2")</f>
        <v>partially::deferred::to::later::release2</v>
      </c>
      <c r="E216" s="105"/>
      <c r="F216" s="105" t="str">
        <f>IFERROR(__xludf.DUMMYFUNCTION("""COMPUTED_VALUE"""),"informing::in::favour::(merge)")</f>
        <v>informing::in::favour::(merge)</v>
      </c>
      <c r="G216" s="105"/>
      <c r="H216" s="105"/>
      <c r="I216" s="105"/>
      <c r="J216" s="105"/>
      <c r="K216" s="105"/>
      <c r="L216" s="105"/>
      <c r="M216" s="105"/>
      <c r="N216" s="105"/>
      <c r="O216" s="105"/>
      <c r="P216" s="105" t="str">
        <f>IFERROR(__xludf.DUMMYFUNCTION("""COMPUTED_VALUE"""),"asking::clarification::about::dependencies")</f>
        <v>asking::clarification::about::dependencies</v>
      </c>
      <c r="Q216" s="105"/>
      <c r="R216" s="105"/>
      <c r="S216" s="105"/>
      <c r="T216" s="105"/>
      <c r="U216" s="105"/>
      <c r="V216" s="105"/>
      <c r="W216" s="105"/>
      <c r="X216" s="105"/>
      <c r="Y216" s="105"/>
      <c r="Z216" s="105"/>
    </row>
    <row r="217">
      <c r="A217" s="105" t="str">
        <f>IFERROR(__xludf.DUMMYFUNCTION("""COMPUTED_VALUE"""),"regression::identified")</f>
        <v>regression::identified</v>
      </c>
      <c r="B217" s="105" t="str">
        <f>IFERROR(__xludf.DUMMYFUNCTION("""COMPUTED_VALUE"""),"Database-related issue, Performance issue, Security issue, Test code-related issue")</f>
        <v>Database-related issue, Performance issue, Security issue, Test code-related issue</v>
      </c>
      <c r="C217" s="105"/>
      <c r="D217" s="105" t="str">
        <f>IFERROR(__xludf.DUMMYFUNCTION("""COMPUTED_VALUE"""),"points::out::inconsistent::behaviour")</f>
        <v>points::out::inconsistent::behaviour</v>
      </c>
      <c r="E217" s="105"/>
      <c r="F217" s="105" t="str">
        <f>IFERROR(__xludf.DUMMYFUNCTION("""COMPUTED_VALUE"""),"informing::low::interest::(by::devs::of::related::project)")</f>
        <v>informing::low::interest::(by::devs::of::related::project)</v>
      </c>
      <c r="G217" s="105"/>
      <c r="H217" s="105"/>
      <c r="I217" s="105"/>
      <c r="J217" s="105"/>
      <c r="K217" s="105"/>
      <c r="L217" s="105"/>
      <c r="M217" s="105"/>
      <c r="N217" s="105"/>
      <c r="O217" s="105"/>
      <c r="P217" s="105" t="str">
        <f>IFERROR(__xludf.DUMMYFUNCTION("""COMPUTED_VALUE"""),"asking::clarification::about::dependency")</f>
        <v>asking::clarification::about::dependency</v>
      </c>
      <c r="Q217" s="105"/>
      <c r="R217" s="105"/>
      <c r="S217" s="105"/>
      <c r="T217" s="105"/>
      <c r="U217" s="105"/>
      <c r="V217" s="105"/>
      <c r="W217" s="105"/>
      <c r="X217" s="105"/>
      <c r="Y217" s="105"/>
      <c r="Z217" s="105"/>
    </row>
    <row r="218">
      <c r="A218" s="105" t="str">
        <f>IFERROR(__xludf.DUMMYFUNCTION("""COMPUTED_VALUE"""),"regression::identified::while::solving::the::bug")</f>
        <v>regression::identified::while::solving::the::bug</v>
      </c>
      <c r="B218" s="105" t="str">
        <f>IFERROR(__xludf.DUMMYFUNCTION("""COMPUTED_VALUE"""),"Database-related issue, Permission/deprecation issue, Program anomaly issue, Test code-related issue")</f>
        <v>Database-related issue, Permission/deprecation issue, Program anomaly issue, Test code-related issue</v>
      </c>
      <c r="C218" s="105"/>
      <c r="D218" s="105" t="str">
        <f>IFERROR(__xludf.DUMMYFUNCTION("""COMPUTED_VALUE"""),"preceeding::change::(revision::hash)")</f>
        <v>preceeding::change::(revision::hash)</v>
      </c>
      <c r="E218" s="105"/>
      <c r="F218" s="105" t="str">
        <f>IFERROR(__xludf.DUMMYFUNCTION("""COMPUTED_VALUE"""),"informing::preference::implementation::timeframe::(sooner::than::later)")</f>
        <v>informing::preference::implementation::timeframe::(sooner::than::later)</v>
      </c>
      <c r="G218" s="105"/>
      <c r="H218" s="105"/>
      <c r="I218" s="105"/>
      <c r="J218" s="105"/>
      <c r="K218" s="105"/>
      <c r="L218" s="105"/>
      <c r="M218" s="105"/>
      <c r="N218" s="105"/>
      <c r="O218" s="105"/>
      <c r="P218" s="105" t="str">
        <f>IFERROR(__xludf.DUMMYFUNCTION("""COMPUTED_VALUE"""),"asking::clarification::about::dependency::(api::version)")</f>
        <v>asking::clarification::about::dependency::(api::version)</v>
      </c>
      <c r="Q218" s="105"/>
      <c r="R218" s="105"/>
      <c r="S218" s="105"/>
      <c r="T218" s="105"/>
      <c r="U218" s="105"/>
      <c r="V218" s="105"/>
      <c r="W218" s="105"/>
      <c r="X218" s="105"/>
      <c r="Y218" s="105"/>
      <c r="Z218" s="105"/>
    </row>
    <row r="219">
      <c r="A219" s="105" t="str">
        <f>IFERROR(__xludf.DUMMYFUNCTION("""COMPUTED_VALUE"""),"related::release::hash::commit")</f>
        <v>related::release::hash::commit</v>
      </c>
      <c r="B219" s="105" t="str">
        <f>IFERROR(__xludf.DUMMYFUNCTION("""COMPUTED_VALUE"""),"Database-related issue, Permission/deprecation issue, Security issue, Program anomaly issue")</f>
        <v>Database-related issue, Permission/deprecation issue, Security issue, Program anomaly issue</v>
      </c>
      <c r="C219" s="105"/>
      <c r="D219" s="105" t="str">
        <f>IFERROR(__xludf.DUMMYFUNCTION("""COMPUTED_VALUE"""),"preceeding::feature")</f>
        <v>preceeding::feature</v>
      </c>
      <c r="E219" s="105"/>
      <c r="F219" s="105" t="str">
        <f>IFERROR(__xludf.DUMMYFUNCTION("""COMPUTED_VALUE"""),"informing::previous::decision")</f>
        <v>informing::previous::decision</v>
      </c>
      <c r="G219" s="105"/>
      <c r="H219" s="105"/>
      <c r="I219" s="105"/>
      <c r="J219" s="105"/>
      <c r="K219" s="105"/>
      <c r="L219" s="105"/>
      <c r="M219" s="105"/>
      <c r="N219" s="105"/>
      <c r="O219" s="105"/>
      <c r="P219" s="105" t="str">
        <f>IFERROR(__xludf.DUMMYFUNCTION("""COMPUTED_VALUE"""),"asking::clarification::about::documentation")</f>
        <v>asking::clarification::about::documentation</v>
      </c>
      <c r="Q219" s="105"/>
      <c r="R219" s="105"/>
      <c r="S219" s="105"/>
      <c r="T219" s="105"/>
      <c r="U219" s="105"/>
      <c r="V219" s="105"/>
      <c r="W219" s="105"/>
      <c r="X219" s="105"/>
      <c r="Y219" s="105"/>
      <c r="Z219" s="105"/>
    </row>
    <row r="220">
      <c r="A220" s="105" t="str">
        <f>IFERROR(__xludf.DUMMYFUNCTION("""COMPUTED_VALUE"""),"relevance::of::previous::attachments")</f>
        <v>relevance::of::previous::attachments</v>
      </c>
      <c r="B220" s="105" t="str">
        <f>IFERROR(__xludf.DUMMYFUNCTION("""COMPUTED_VALUE"""),"Database-related issue, Permission/deprecation issue, Security issue, Test code-related issue")</f>
        <v>Database-related issue, Permission/deprecation issue, Security issue, Test code-related issue</v>
      </c>
      <c r="C220" s="105"/>
      <c r="D220" s="105" t="str">
        <f>IFERROR(__xludf.DUMMYFUNCTION("""COMPUTED_VALUE"""),"priority::justification")</f>
        <v>priority::justification</v>
      </c>
      <c r="E220" s="105"/>
      <c r="F220" s="105" t="str">
        <f>IFERROR(__xludf.DUMMYFUNCTION("""COMPUTED_VALUE"""),"informing::previous::experience::with::topic")</f>
        <v>informing::previous::experience::with::topic</v>
      </c>
      <c r="G220" s="105"/>
      <c r="H220" s="105"/>
      <c r="I220" s="105"/>
      <c r="J220" s="105"/>
      <c r="K220" s="105"/>
      <c r="L220" s="105"/>
      <c r="M220" s="105"/>
      <c r="N220" s="105"/>
      <c r="O220" s="105"/>
      <c r="P220" s="105" t="str">
        <f>IFERROR(__xludf.DUMMYFUNCTION("""COMPUTED_VALUE"""),"asking::clarification::about::project::(version)")</f>
        <v>asking::clarification::about::project::(version)</v>
      </c>
      <c r="Q220" s="105"/>
      <c r="R220" s="105"/>
      <c r="S220" s="105"/>
      <c r="T220" s="105"/>
      <c r="U220" s="105"/>
      <c r="V220" s="105"/>
      <c r="W220" s="105"/>
      <c r="X220" s="105"/>
      <c r="Y220" s="105"/>
      <c r="Z220" s="105"/>
    </row>
    <row r="221">
      <c r="A221" s="105" t="str">
        <f>IFERROR(__xludf.DUMMYFUNCTION("""COMPUTED_VALUE"""),"reminder::bug::status::(still::active)")</f>
        <v>reminder::bug::status::(still::active)</v>
      </c>
      <c r="B221" s="105" t="str">
        <f>IFERROR(__xludf.DUMMYFUNCTION("""COMPUTED_VALUE"""),"Database-related issue, Security issue, Program anomaly issue, Test code-related issue")</f>
        <v>Database-related issue, Security issue, Program anomaly issue, Test code-related issue</v>
      </c>
      <c r="C221" s="105"/>
      <c r="D221" s="105" t="str">
        <f>IFERROR(__xludf.DUMMYFUNCTION("""COMPUTED_VALUE"""),"proposal::change::solution::design")</f>
        <v>proposal::change::solution::design</v>
      </c>
      <c r="E221" s="105"/>
      <c r="F221" s="105" t="str">
        <f>IFERROR(__xludf.DUMMYFUNCTION("""COMPUTED_VALUE"""),"informing::progress")</f>
        <v>informing::progress</v>
      </c>
      <c r="G221" s="105"/>
      <c r="H221" s="105"/>
      <c r="I221" s="105"/>
      <c r="J221" s="105"/>
      <c r="K221" s="105"/>
      <c r="L221" s="105"/>
      <c r="M221" s="105"/>
      <c r="N221" s="105"/>
      <c r="O221" s="105"/>
      <c r="P221" s="105" t="str">
        <f>IFERROR(__xludf.DUMMYFUNCTION("""COMPUTED_VALUE"""),"asking::clarification::about::question")</f>
        <v>asking::clarification::about::question</v>
      </c>
      <c r="Q221" s="105"/>
      <c r="R221" s="105"/>
      <c r="S221" s="105"/>
      <c r="T221" s="105"/>
      <c r="U221" s="105"/>
      <c r="V221" s="105"/>
      <c r="W221" s="105"/>
      <c r="X221" s="105"/>
      <c r="Y221" s="105"/>
      <c r="Z221" s="105"/>
    </row>
    <row r="222">
      <c r="A222" s="105" t="str">
        <f>IFERROR(__xludf.DUMMYFUNCTION("""COMPUTED_VALUE"""),"request::confimation::that::the::bug::is::duplicated::and::fixed")</f>
        <v>request::confimation::that::the::bug::is::duplicated::and::fixed</v>
      </c>
      <c r="B222" s="105" t="str">
        <f>IFERROR(__xludf.DUMMYFUNCTION("""COMPUTED_VALUE"""),"GUI-related issue, Network issue, Performance issue, Permission/deprecation issue")</f>
        <v>GUI-related issue, Network issue, Performance issue, Permission/deprecation issue</v>
      </c>
      <c r="C222" s="105"/>
      <c r="D222" s="105" t="str">
        <f>IFERROR(__xludf.DUMMYFUNCTION("""COMPUTED_VALUE"""),"proposal::change::solution::design::(additional::feature))")</f>
        <v>proposal::change::solution::design::(additional::feature))</v>
      </c>
      <c r="E222" s="105"/>
      <c r="F222" s="105" t="str">
        <f>IFERROR(__xludf.DUMMYFUNCTION("""COMPUTED_VALUE"""),"informing::progress::(tests)")</f>
        <v>informing::progress::(tests)</v>
      </c>
      <c r="G222" s="105"/>
      <c r="H222" s="105"/>
      <c r="I222" s="105"/>
      <c r="J222" s="105"/>
      <c r="K222" s="105"/>
      <c r="L222" s="105"/>
      <c r="M222" s="105"/>
      <c r="N222" s="105"/>
      <c r="O222" s="105"/>
      <c r="P222" s="105" t="str">
        <f>IFERROR(__xludf.DUMMYFUNCTION("""COMPUTED_VALUE"""),"asking::clarification::about::suggestion")</f>
        <v>asking::clarification::about::suggestion</v>
      </c>
      <c r="Q222" s="105"/>
      <c r="R222" s="105"/>
      <c r="S222" s="105"/>
      <c r="T222" s="105"/>
      <c r="U222" s="105"/>
      <c r="V222" s="105"/>
      <c r="W222" s="105"/>
      <c r="X222" s="105"/>
      <c r="Y222" s="105"/>
      <c r="Z222" s="105"/>
    </row>
    <row r="223">
      <c r="A223" s="105" t="str">
        <f>IFERROR(__xludf.DUMMYFUNCTION("""COMPUTED_VALUE"""),"request::steps::for::reproducing")</f>
        <v>request::steps::for::reproducing</v>
      </c>
      <c r="B223" s="105" t="str">
        <f>IFERROR(__xludf.DUMMYFUNCTION("""COMPUTED_VALUE"""),"GUI-related issue, Network issue, Performance issue, Program anomaly issue")</f>
        <v>GUI-related issue, Network issue, Performance issue, Program anomaly issue</v>
      </c>
      <c r="C223" s="105"/>
      <c r="D223" s="105" t="str">
        <f>IFERROR(__xludf.DUMMYFUNCTION("""COMPUTED_VALUE"""),"proposal::change::solution::design::(leave::as::is)")</f>
        <v>proposal::change::solution::design::(leave::as::is)</v>
      </c>
      <c r="E223" s="105"/>
      <c r="F223" s="105" t="str">
        <f>IFERROR(__xludf.DUMMYFUNCTION("""COMPUTED_VALUE"""),"informing::prove::of::concept")</f>
        <v>informing::prove::of::concept</v>
      </c>
      <c r="G223" s="105"/>
      <c r="H223" s="105"/>
      <c r="I223" s="105"/>
      <c r="J223" s="105"/>
      <c r="K223" s="105"/>
      <c r="L223" s="105"/>
      <c r="M223" s="105"/>
      <c r="N223" s="105"/>
      <c r="O223" s="105"/>
      <c r="P223" s="105" t="str">
        <f>IFERROR(__xludf.DUMMYFUNCTION("""COMPUTED_VALUE"""),"asking::clarification::about::suggestion::(logging)")</f>
        <v>asking::clarification::about::suggestion::(logging)</v>
      </c>
      <c r="Q223" s="105"/>
      <c r="R223" s="105"/>
      <c r="S223" s="105"/>
      <c r="T223" s="105"/>
      <c r="U223" s="105"/>
      <c r="V223" s="105"/>
      <c r="W223" s="105"/>
      <c r="X223" s="105"/>
      <c r="Y223" s="105"/>
      <c r="Z223" s="105"/>
    </row>
    <row r="224">
      <c r="A224" s="105" t="str">
        <f>IFERROR(__xludf.DUMMYFUNCTION("""COMPUTED_VALUE"""),"request::steps::for::reproducing::(more::information)")</f>
        <v>request::steps::for::reproducing::(more::information)</v>
      </c>
      <c r="B224" s="105" t="str">
        <f>IFERROR(__xludf.DUMMYFUNCTION("""COMPUTED_VALUE"""),"GUI-related issue, Network issue, Performance issue, Security issue")</f>
        <v>GUI-related issue, Network issue, Performance issue, Security issue</v>
      </c>
      <c r="C224" s="105"/>
      <c r="D224" s="105" t="str">
        <f>IFERROR(__xludf.DUMMYFUNCTION("""COMPUTED_VALUE"""),"proposal::change::solution::design::(minor)1")</f>
        <v>proposal::change::solution::design::(minor)1</v>
      </c>
      <c r="E224" s="105"/>
      <c r="F224" s="105" t="str">
        <f>IFERROR(__xludf.DUMMYFUNCTION("""COMPUTED_VALUE"""),"informing::refactoring")</f>
        <v>informing::refactoring</v>
      </c>
      <c r="G224" s="105"/>
      <c r="H224" s="105"/>
      <c r="I224" s="105"/>
      <c r="J224" s="105"/>
      <c r="K224" s="105"/>
      <c r="L224" s="105"/>
      <c r="M224" s="105"/>
      <c r="N224" s="105"/>
      <c r="O224" s="105"/>
      <c r="P224" s="105" t="str">
        <f>IFERROR(__xludf.DUMMYFUNCTION("""COMPUTED_VALUE"""),"asking::clarification::about::suggestion::(logic)")</f>
        <v>asking::clarification::about::suggestion::(logic)</v>
      </c>
      <c r="Q224" s="105"/>
      <c r="R224" s="105"/>
      <c r="S224" s="105"/>
      <c r="T224" s="105"/>
      <c r="U224" s="105"/>
      <c r="V224" s="105"/>
      <c r="W224" s="105"/>
      <c r="X224" s="105"/>
      <c r="Y224" s="105"/>
      <c r="Z224" s="105"/>
    </row>
    <row r="225">
      <c r="A225" s="105" t="str">
        <f>IFERROR(__xludf.DUMMYFUNCTION("""COMPUTED_VALUE"""),"request::to::check::if::an::attached::review::solve::the::bug")</f>
        <v>request::to::check::if::an::attached::review::solve::the::bug</v>
      </c>
      <c r="B225" s="105" t="str">
        <f>IFERROR(__xludf.DUMMYFUNCTION("""COMPUTED_VALUE"""),"GUI-related issue, Network issue, Performance issue, Test code-related issue")</f>
        <v>GUI-related issue, Network issue, Performance issue, Test code-related issue</v>
      </c>
      <c r="C225" s="105"/>
      <c r="D225" s="105" t="str">
        <f>IFERROR(__xludf.DUMMYFUNCTION("""COMPUTED_VALUE"""),"proposal::change::solution::design::(minor)2")</f>
        <v>proposal::change::solution::design::(minor)2</v>
      </c>
      <c r="E225" s="105"/>
      <c r="F225" s="105" t="str">
        <f>IFERROR(__xludf.DUMMYFUNCTION("""COMPUTED_VALUE"""),"informing::refactoring::required")</f>
        <v>informing::refactoring::required</v>
      </c>
      <c r="G225" s="105"/>
      <c r="H225" s="105"/>
      <c r="I225" s="105"/>
      <c r="J225" s="105"/>
      <c r="K225" s="105"/>
      <c r="L225" s="105"/>
      <c r="M225" s="105"/>
      <c r="N225" s="105"/>
      <c r="O225" s="105"/>
      <c r="P225" s="105" t="str">
        <f>IFERROR(__xludf.DUMMYFUNCTION("""COMPUTED_VALUE"""),"asking::clarification::change::(change::method)")</f>
        <v>asking::clarification::change::(change::method)</v>
      </c>
      <c r="Q225" s="105"/>
      <c r="R225" s="105"/>
      <c r="S225" s="105"/>
      <c r="T225" s="105"/>
      <c r="U225" s="105"/>
      <c r="V225" s="105"/>
      <c r="W225" s="105"/>
      <c r="X225" s="105"/>
      <c r="Y225" s="105"/>
      <c r="Z225" s="105"/>
    </row>
    <row r="226">
      <c r="A226" s="105" t="str">
        <f>IFERROR(__xludf.DUMMYFUNCTION("""COMPUTED_VALUE"""),"response::arguing::issue::fixed")</f>
        <v>response::arguing::issue::fixed</v>
      </c>
      <c r="B226" s="105" t="str">
        <f>IFERROR(__xludf.DUMMYFUNCTION("""COMPUTED_VALUE"""),"GUI-related issue, Network issue, Permission/deprecation issue, Program anomaly issue")</f>
        <v>GUI-related issue, Network issue, Permission/deprecation issue, Program anomaly issue</v>
      </c>
      <c r="C226" s="105"/>
      <c r="D226" s="105" t="str">
        <f>IFERROR(__xludf.DUMMYFUNCTION("""COMPUTED_VALUE"""),"proposal::change::solution::design::(minor)3")</f>
        <v>proposal::change::solution::design::(minor)3</v>
      </c>
      <c r="E226" s="105"/>
      <c r="F226" s="105" t="str">
        <f>IFERROR(__xludf.DUMMYFUNCTION("""COMPUTED_VALUE"""),"informing::where::bug::occures")</f>
        <v>informing::where::bug::occures</v>
      </c>
      <c r="G226" s="105"/>
      <c r="H226" s="105"/>
      <c r="I226" s="105"/>
      <c r="J226" s="105"/>
      <c r="K226" s="105"/>
      <c r="L226" s="105"/>
      <c r="M226" s="105"/>
      <c r="N226" s="105"/>
      <c r="O226" s="105"/>
      <c r="P226" s="105" t="str">
        <f>IFERROR(__xludf.DUMMYFUNCTION("""COMPUTED_VALUE"""),"asking::clarification::content::(commit::message)")</f>
        <v>asking::clarification::content::(commit::message)</v>
      </c>
      <c r="Q226" s="105"/>
      <c r="R226" s="105"/>
      <c r="S226" s="105"/>
      <c r="T226" s="105"/>
      <c r="U226" s="105"/>
      <c r="V226" s="105"/>
      <c r="W226" s="105"/>
      <c r="X226" s="105"/>
      <c r="Y226" s="105"/>
      <c r="Z226" s="105"/>
    </row>
    <row r="227">
      <c r="A227" s="105" t="str">
        <f>IFERROR(__xludf.DUMMYFUNCTION("""COMPUTED_VALUE"""),"response::arguing::issue::not::fixed")</f>
        <v>response::arguing::issue::not::fixed</v>
      </c>
      <c r="B227" s="105" t="str">
        <f>IFERROR(__xludf.DUMMYFUNCTION("""COMPUTED_VALUE"""),"GUI-related issue, Network issue, Permission/deprecation issue, Security issue")</f>
        <v>GUI-related issue, Network issue, Permission/deprecation issue, Security issue</v>
      </c>
      <c r="C227" s="105"/>
      <c r="D227" s="105" t="str">
        <f>IFERROR(__xludf.DUMMYFUNCTION("""COMPUTED_VALUE"""),"proposal::change::solution::design::(minor)4")</f>
        <v>proposal::change::solution::design::(minor)4</v>
      </c>
      <c r="E227" s="105"/>
      <c r="F227" s="105" t="str">
        <f>IFERROR(__xludf.DUMMYFUNCTION("""COMPUTED_VALUE"""),"informing::will::do::creation::(specification::new::API)")</f>
        <v>informing::will::do::creation::(specification::new::API)</v>
      </c>
      <c r="G227" s="105"/>
      <c r="H227" s="105"/>
      <c r="I227" s="105"/>
      <c r="J227" s="105"/>
      <c r="K227" s="105"/>
      <c r="L227" s="105"/>
      <c r="M227" s="105"/>
      <c r="N227" s="105"/>
      <c r="O227" s="105"/>
      <c r="P227" s="105" t="str">
        <f>IFERROR(__xludf.DUMMYFUNCTION("""COMPUTED_VALUE"""),"asking::clarification::developing::process::(added::wrong::commit::to::PR)")</f>
        <v>asking::clarification::developing::process::(added::wrong::commit::to::PR)</v>
      </c>
      <c r="Q227" s="105"/>
      <c r="R227" s="105"/>
      <c r="S227" s="105"/>
      <c r="T227" s="105"/>
      <c r="U227" s="105"/>
      <c r="V227" s="105"/>
      <c r="W227" s="105"/>
      <c r="X227" s="105"/>
      <c r="Y227" s="105"/>
      <c r="Z227" s="105"/>
    </row>
    <row r="228">
      <c r="A228" s="105" t="str">
        <f>IFERROR(__xludf.DUMMYFUNCTION("""COMPUTED_VALUE"""),"response::confirming::issue::existence")</f>
        <v>response::confirming::issue::existence</v>
      </c>
      <c r="B228" s="105" t="str">
        <f>IFERROR(__xludf.DUMMYFUNCTION("""COMPUTED_VALUE"""),"GUI-related issue, Network issue, Permission/deprecation issue, Test code-related issue")</f>
        <v>GUI-related issue, Network issue, Permission/deprecation issue, Test code-related issue</v>
      </c>
      <c r="C228" s="105"/>
      <c r="D228" s="105" t="str">
        <f>IFERROR(__xludf.DUMMYFUNCTION("""COMPUTED_VALUE"""),"proposal::for::backporting::change")</f>
        <v>proposal::for::backporting::change</v>
      </c>
      <c r="E228" s="105"/>
      <c r="F228" s="105" t="str">
        <f>IFERROR(__xludf.DUMMYFUNCTION("""COMPUTED_VALUE"""),"informing::will::investigate::(potential::downsides)")</f>
        <v>informing::will::investigate::(potential::downsides)</v>
      </c>
      <c r="G228" s="105"/>
      <c r="H228" s="105"/>
      <c r="I228" s="105"/>
      <c r="J228" s="105"/>
      <c r="K228" s="105"/>
      <c r="L228" s="105"/>
      <c r="M228" s="105"/>
      <c r="N228" s="105"/>
      <c r="O228" s="105"/>
      <c r="P228" s="105" t="str">
        <f>IFERROR(__xludf.DUMMYFUNCTION("""COMPUTED_VALUE"""),"asking::clarification::developing::process::(code::and::managment::of::patches)")</f>
        <v>asking::clarification::developing::process::(code::and::managment::of::patches)</v>
      </c>
      <c r="Q228" s="105"/>
      <c r="R228" s="105"/>
      <c r="S228" s="105"/>
      <c r="T228" s="105"/>
      <c r="U228" s="105"/>
      <c r="V228" s="105"/>
      <c r="W228" s="105"/>
      <c r="X228" s="105"/>
      <c r="Y228" s="105"/>
      <c r="Z228" s="105"/>
    </row>
    <row r="229">
      <c r="A229" s="105" t="str">
        <f>IFERROR(__xludf.DUMMYFUNCTION("""COMPUTED_VALUE"""),"response::confirms::workaround::working")</f>
        <v>response::confirms::workaround::working</v>
      </c>
      <c r="B229" s="105" t="str">
        <f>IFERROR(__xludf.DUMMYFUNCTION("""COMPUTED_VALUE"""),"GUI-related issue, Network issue, Program anomaly issue, Test code-related issue")</f>
        <v>GUI-related issue, Network issue, Program anomaly issue, Test code-related issue</v>
      </c>
      <c r="C229" s="105"/>
      <c r="D229" s="105" t="str">
        <f>IFERROR(__xludf.DUMMYFUNCTION("""COMPUTED_VALUE"""),"proposal::of::a::possible::fix::(code::in::text)")</f>
        <v>proposal::of::a::possible::fix::(code::in::text)</v>
      </c>
      <c r="E229" s="105"/>
      <c r="F229" s="105" t="str">
        <f>IFERROR(__xludf.DUMMYFUNCTION("""COMPUTED_VALUE"""),"informing::will::investigate::(specific::failures)")</f>
        <v>informing::will::investigate::(specific::failures)</v>
      </c>
      <c r="G229" s="105"/>
      <c r="H229" s="105"/>
      <c r="I229" s="105"/>
      <c r="J229" s="105"/>
      <c r="K229" s="105"/>
      <c r="L229" s="105"/>
      <c r="M229" s="105"/>
      <c r="N229" s="105"/>
      <c r="O229" s="105"/>
      <c r="P229" s="105" t="str">
        <f>IFERROR(__xludf.DUMMYFUNCTION("""COMPUTED_VALUE"""),"asking::clarification::developing::process::(need::to::file::BP)")</f>
        <v>asking::clarification::developing::process::(need::to::file::BP)</v>
      </c>
      <c r="Q229" s="105"/>
      <c r="R229" s="105"/>
      <c r="S229" s="105"/>
      <c r="T229" s="105"/>
      <c r="U229" s="105"/>
      <c r="V229" s="105"/>
      <c r="W229" s="105"/>
      <c r="X229" s="105"/>
      <c r="Y229" s="105"/>
      <c r="Z229" s="105"/>
    </row>
    <row r="230">
      <c r="A230" s="105" t="str">
        <f>IFERROR(__xludf.DUMMYFUNCTION("""COMPUTED_VALUE"""),"review::not::label::as::fix")</f>
        <v>review::not::label::as::fix</v>
      </c>
      <c r="B230" s="105" t="str">
        <f>IFERROR(__xludf.DUMMYFUNCTION("""COMPUTED_VALUE"""),"GUI-related issue, Network issue, Security issue, Program anomaly issue")</f>
        <v>GUI-related issue, Network issue, Security issue, Program anomaly issue</v>
      </c>
      <c r="C230" s="105"/>
      <c r="D230" s="105" t="str">
        <f>IFERROR(__xludf.DUMMYFUNCTION("""COMPUTED_VALUE"""),"proposal::of::a::possible::fix::(explanation)")</f>
        <v>proposal::of::a::possible::fix::(explanation)</v>
      </c>
      <c r="E230" s="105"/>
      <c r="F230" s="105" t="str">
        <f>IFERROR(__xludf.DUMMYFUNCTION("""COMPUTED_VALUE"""),"infroming::review::waiting::for::approval")</f>
        <v>infroming::review::waiting::for::approval</v>
      </c>
      <c r="G230" s="105"/>
      <c r="H230" s="105"/>
      <c r="I230" s="105"/>
      <c r="J230" s="105"/>
      <c r="K230" s="105"/>
      <c r="L230" s="105"/>
      <c r="M230" s="105"/>
      <c r="N230" s="105"/>
      <c r="O230" s="105"/>
      <c r="P230" s="105" t="str">
        <f>IFERROR(__xludf.DUMMYFUNCTION("""COMPUTED_VALUE"""),"asking::clarification::developing::process::(voting::approved::or::not)")</f>
        <v>asking::clarification::developing::process::(voting::approved::or::not)</v>
      </c>
      <c r="Q230" s="105"/>
      <c r="R230" s="105"/>
      <c r="S230" s="105"/>
      <c r="T230" s="105"/>
      <c r="U230" s="105"/>
      <c r="V230" s="105"/>
      <c r="W230" s="105"/>
      <c r="X230" s="105"/>
      <c r="Y230" s="105"/>
      <c r="Z230" s="105"/>
    </row>
    <row r="231">
      <c r="A231" s="105" t="str">
        <f>IFERROR(__xludf.DUMMYFUNCTION("""COMPUTED_VALUE"""),"similar::bug::(link::bug)")</f>
        <v>similar::bug::(link::bug)</v>
      </c>
      <c r="B231" s="105" t="str">
        <f>IFERROR(__xludf.DUMMYFUNCTION("""COMPUTED_VALUE"""),"GUI-related issue, Network issue, Security issue, Test code-related issue")</f>
        <v>GUI-related issue, Network issue, Security issue, Test code-related issue</v>
      </c>
      <c r="C231" s="105"/>
      <c r="D231" s="105" t="str">
        <f>IFERROR(__xludf.DUMMYFUNCTION("""COMPUTED_VALUE"""),"proposal::of::a::possible::fix::(explanation)::related::project")</f>
        <v>proposal::of::a::possible::fix::(explanation)::related::project</v>
      </c>
      <c r="E231" s="105"/>
      <c r="F231" s="105" t="str">
        <f>IFERROR(__xludf.DUMMYFUNCTION("""COMPUTED_VALUE"""),"interaction::of::different::projects::(nova::neutron)::with::the::change::introduced::by::the:BP")</f>
        <v>interaction::of::different::projects::(nova::neutron)::with::the::change::introduced::by::the:BP</v>
      </c>
      <c r="G231" s="105"/>
      <c r="H231" s="105"/>
      <c r="I231" s="105"/>
      <c r="J231" s="105"/>
      <c r="K231" s="105"/>
      <c r="L231" s="105"/>
      <c r="M231" s="105"/>
      <c r="N231" s="105"/>
      <c r="O231" s="105"/>
      <c r="P231" s="105" t="str">
        <f>IFERROR(__xludf.DUMMYFUNCTION("""COMPUTED_VALUE"""),"asking::clarification::intended::solution::design")</f>
        <v>asking::clarification::intended::solution::design</v>
      </c>
      <c r="Q231" s="105"/>
      <c r="R231" s="105"/>
      <c r="S231" s="105"/>
      <c r="T231" s="105"/>
      <c r="U231" s="105"/>
      <c r="V231" s="105"/>
      <c r="W231" s="105"/>
      <c r="X231" s="105"/>
      <c r="Y231" s="105"/>
      <c r="Z231" s="105"/>
    </row>
    <row r="232">
      <c r="A232" s="105" t="str">
        <f>IFERROR(__xludf.DUMMYFUNCTION("""COMPUTED_VALUE"""),"situation::where::the::bug::appears")</f>
        <v>situation::where::the::bug::appears</v>
      </c>
      <c r="B232" s="105" t="str">
        <f>IFERROR(__xludf.DUMMYFUNCTION("""COMPUTED_VALUE"""),"GUI-related issue, Performance issue, Permission/deprecation issue, Program anomaly issue")</f>
        <v>GUI-related issue, Performance issue, Permission/deprecation issue, Program anomaly issue</v>
      </c>
      <c r="C232" s="105"/>
      <c r="D232" s="105" t="str">
        <f>IFERROR(__xludf.DUMMYFUNCTION("""COMPUTED_VALUE"""),"proposal::of::a::possible::fix::(link::review)")</f>
        <v>proposal::of::a::possible::fix::(link::review)</v>
      </c>
      <c r="E232" s="105"/>
      <c r="F232" s="105" t="str">
        <f>IFERROR(__xludf.DUMMYFUNCTION("""COMPUTED_VALUE"""),"interest::on::details::about::the::alternative::enhancement::of::a::BP/feature::(external::developer)")</f>
        <v>interest::on::details::about::the::alternative::enhancement::of::a::BP/feature::(external::developer)</v>
      </c>
      <c r="G232" s="105"/>
      <c r="H232" s="105"/>
      <c r="I232" s="105"/>
      <c r="J232" s="105"/>
      <c r="K232" s="105"/>
      <c r="L232" s="105"/>
      <c r="M232" s="105"/>
      <c r="N232" s="105"/>
      <c r="O232" s="105"/>
      <c r="P232" s="105" t="str">
        <f>IFERROR(__xludf.DUMMYFUNCTION("""COMPUTED_VALUE"""),"asking::clarification::intended::test::design")</f>
        <v>asking::clarification::intended::test::design</v>
      </c>
      <c r="Q232" s="105"/>
      <c r="R232" s="105"/>
      <c r="S232" s="105"/>
      <c r="T232" s="105"/>
      <c r="U232" s="105"/>
      <c r="V232" s="105"/>
      <c r="W232" s="105"/>
      <c r="X232" s="105"/>
      <c r="Y232" s="105"/>
      <c r="Z232" s="105"/>
    </row>
    <row r="233">
      <c r="A233" s="105" t="str">
        <f>IFERROR(__xludf.DUMMYFUNCTION("""COMPUTED_VALUE"""),"solution::found")</f>
        <v>solution::found</v>
      </c>
      <c r="B233" s="105" t="str">
        <f>IFERROR(__xludf.DUMMYFUNCTION("""COMPUTED_VALUE"""),"GUI-related issue, Performance issue, Permission/deprecation issue, Security issue")</f>
        <v>GUI-related issue, Performance issue, Permission/deprecation issue, Security issue</v>
      </c>
      <c r="C233" s="105"/>
      <c r="D233" s="105" t="str">
        <f>IFERROR(__xludf.DUMMYFUNCTION("""COMPUTED_VALUE"""),"proposal::of::a::possible::fix::(link::review)::not::main::branch")</f>
        <v>proposal::of::a::possible::fix::(link::review)::not::main::branch</v>
      </c>
      <c r="E233" s="105"/>
      <c r="F233" s="105" t="str">
        <f>IFERROR(__xludf.DUMMYFUNCTION("""COMPUTED_VALUE"""),"interest::on::working::on::related::BP::(different::project)")</f>
        <v>interest::on::working::on::related::BP::(different::project)</v>
      </c>
      <c r="G233" s="105"/>
      <c r="H233" s="105"/>
      <c r="I233" s="105"/>
      <c r="J233" s="105"/>
      <c r="K233" s="105"/>
      <c r="L233" s="105"/>
      <c r="M233" s="105"/>
      <c r="N233" s="105"/>
      <c r="O233" s="105"/>
      <c r="P233" s="105" t="str">
        <f>IFERROR(__xludf.DUMMYFUNCTION("""COMPUTED_VALUE"""),"asking::clarification::log::(content::logging::misleading)")</f>
        <v>asking::clarification::log::(content::logging::misleading)</v>
      </c>
      <c r="Q233" s="105"/>
      <c r="R233" s="105"/>
      <c r="S233" s="105"/>
      <c r="T233" s="105"/>
      <c r="U233" s="105"/>
      <c r="V233" s="105"/>
      <c r="W233" s="105"/>
      <c r="X233" s="105"/>
      <c r="Y233" s="105"/>
      <c r="Z233" s="105"/>
    </row>
    <row r="234">
      <c r="A234" s="105" t="str">
        <f>IFERROR(__xludf.DUMMYFUNCTION("""COMPUTED_VALUE"""),"some::version::of::the::software::where::it::was::identified::and::in::which::not")</f>
        <v>some::version::of::the::software::where::it::was::identified::and::in::which::not</v>
      </c>
      <c r="B234" s="105" t="str">
        <f>IFERROR(__xludf.DUMMYFUNCTION("""COMPUTED_VALUE"""),"GUI-related issue, Performance issue, Permission/deprecation issue, Test code-related issue")</f>
        <v>GUI-related issue, Performance issue, Permission/deprecation issue, Test code-related issue</v>
      </c>
      <c r="C234" s="105"/>
      <c r="D234" s="105" t="str">
        <f>IFERROR(__xludf.DUMMYFUNCTION("""COMPUTED_VALUE"""),"proposal::of::a::possible::fix::(link::review1)")</f>
        <v>proposal::of::a::possible::fix::(link::review1)</v>
      </c>
      <c r="E234" s="105"/>
      <c r="F234" s="105" t="str">
        <f>IFERROR(__xludf.DUMMYFUNCTION("""COMPUTED_VALUE"""),"inviting::developer::to::help::with::the::development")</f>
        <v>inviting::developer::to::help::with::the::development</v>
      </c>
      <c r="G234" s="105"/>
      <c r="H234" s="105"/>
      <c r="I234" s="105"/>
      <c r="J234" s="105"/>
      <c r="K234" s="105"/>
      <c r="L234" s="105"/>
      <c r="M234" s="105"/>
      <c r="N234" s="105"/>
      <c r="O234" s="105"/>
      <c r="P234" s="105" t="str">
        <f>IFERROR(__xludf.DUMMYFUNCTION("""COMPUTED_VALUE"""),"asking::clarification::missing::content::(commit::message)")</f>
        <v>asking::clarification::missing::content::(commit::message)</v>
      </c>
      <c r="Q234" s="105"/>
      <c r="R234" s="105"/>
      <c r="S234" s="105"/>
      <c r="T234" s="105"/>
      <c r="U234" s="105"/>
      <c r="V234" s="105"/>
      <c r="W234" s="105"/>
      <c r="X234" s="105"/>
      <c r="Y234" s="105"/>
      <c r="Z234" s="105"/>
    </row>
    <row r="235">
      <c r="A235" s="105" t="str">
        <f>IFERROR(__xludf.DUMMYFUNCTION("""COMPUTED_VALUE"""),"source::of::the::bug")</f>
        <v>source::of::the::bug</v>
      </c>
      <c r="B235" s="105" t="str">
        <f>IFERROR(__xludf.DUMMYFUNCTION("""COMPUTED_VALUE"""),"GUI-related issue, Performance issue, Program anomaly issue, Test code-related issue")</f>
        <v>GUI-related issue, Performance issue, Program anomaly issue, Test code-related issue</v>
      </c>
      <c r="C235" s="105"/>
      <c r="D235" s="105" t="str">
        <f>IFERROR(__xludf.DUMMYFUNCTION("""COMPUTED_VALUE"""),"proposal::of::a::possible::fix::(link::review2)")</f>
        <v>proposal::of::a::possible::fix::(link::review2)</v>
      </c>
      <c r="E235" s="105"/>
      <c r="F235" s="105" t="str">
        <f>IFERROR(__xludf.DUMMYFUNCTION("""COMPUTED_VALUE"""),"inviting::the::external::developer::to::internal::meetings::to::discuss::more::about::BP/feature")</f>
        <v>inviting::the::external::developer::to::internal::meetings::to::discuss::more::about::BP/feature</v>
      </c>
      <c r="G235" s="105"/>
      <c r="H235" s="105"/>
      <c r="I235" s="105"/>
      <c r="J235" s="105"/>
      <c r="K235" s="105"/>
      <c r="L235" s="105"/>
      <c r="M235" s="105"/>
      <c r="N235" s="105"/>
      <c r="O235" s="105"/>
      <c r="P235" s="105" t="str">
        <f>IFERROR(__xludf.DUMMYFUNCTION("""COMPUTED_VALUE"""),"asking::clarification::process::of::merging::changes")</f>
        <v>asking::clarification::process::of::merging::changes</v>
      </c>
      <c r="Q235" s="105"/>
      <c r="R235" s="105"/>
      <c r="S235" s="105"/>
      <c r="T235" s="105"/>
      <c r="U235" s="105"/>
      <c r="V235" s="105"/>
      <c r="W235" s="105"/>
      <c r="X235" s="105"/>
      <c r="Y235" s="105"/>
      <c r="Z235" s="105"/>
    </row>
    <row r="236">
      <c r="A236" s="105" t="str">
        <f>IFERROR(__xludf.DUMMYFUNCTION("""COMPUTED_VALUE"""),"source::of::the::bug::(changeID)")</f>
        <v>source::of::the::bug::(changeID)</v>
      </c>
      <c r="B236" s="105" t="str">
        <f>IFERROR(__xludf.DUMMYFUNCTION("""COMPUTED_VALUE"""),"GUI-related issue, Performance issue, Security issue, Program anomaly issue")</f>
        <v>GUI-related issue, Performance issue, Security issue, Program anomaly issue</v>
      </c>
      <c r="C236" s="105"/>
      <c r="D236" s="105" t="str">
        <f>IFERROR(__xludf.DUMMYFUNCTION("""COMPUTED_VALUE"""),"proposal::of::a::possible::fix::(link::review2)::not::main::branch")</f>
        <v>proposal::of::a::possible::fix::(link::review2)::not::main::branch</v>
      </c>
      <c r="E236" s="105"/>
      <c r="F236" s="105" t="str">
        <f>IFERROR(__xludf.DUMMYFUNCTION("""COMPUTED_VALUE"""),"irrelevant")</f>
        <v>irrelevant</v>
      </c>
      <c r="G236" s="105"/>
      <c r="H236" s="105"/>
      <c r="I236" s="105"/>
      <c r="J236" s="105"/>
      <c r="K236" s="105"/>
      <c r="L236" s="105"/>
      <c r="M236" s="105"/>
      <c r="N236" s="105"/>
      <c r="O236" s="105"/>
      <c r="P236" s="105" t="str">
        <f>IFERROR(__xludf.DUMMYFUNCTION("""COMPUTED_VALUE"""),"asking::clarification::suggestion::refactoring::(accessibility::modifiers)")</f>
        <v>asking::clarification::suggestion::refactoring::(accessibility::modifiers)</v>
      </c>
      <c r="Q236" s="105"/>
      <c r="R236" s="105"/>
      <c r="S236" s="105"/>
      <c r="T236" s="105"/>
      <c r="U236" s="105"/>
      <c r="V236" s="105"/>
      <c r="W236" s="105"/>
      <c r="X236" s="105"/>
      <c r="Y236" s="105"/>
      <c r="Z236" s="105"/>
    </row>
    <row r="237">
      <c r="A237" s="105" t="str">
        <f>IFERROR(__xludf.DUMMYFUNCTION("""COMPUTED_VALUE"""),"source::of::the::bug::(code::in::text)")</f>
        <v>source::of::the::bug::(code::in::text)</v>
      </c>
      <c r="B237" s="105" t="str">
        <f>IFERROR(__xludf.DUMMYFUNCTION("""COMPUTED_VALUE"""),"GUI-related issue, Performance issue, Security issue, Test code-related issue")</f>
        <v>GUI-related issue, Performance issue, Security issue, Test code-related issue</v>
      </c>
      <c r="C237" s="105"/>
      <c r="D237" s="105" t="str">
        <f>IFERROR(__xludf.DUMMYFUNCTION("""COMPUTED_VALUE"""),"proposal::of::a::possible::fix::(link::review3)")</f>
        <v>proposal::of::a::possible::fix::(link::review3)</v>
      </c>
      <c r="E237" s="105"/>
      <c r="F237" s="105" t="str">
        <f>IFERROR(__xludf.DUMMYFUNCTION("""COMPUTED_VALUE"""),"issue::progress::(related::issue)")</f>
        <v>issue::progress::(related::issue)</v>
      </c>
      <c r="G237" s="105"/>
      <c r="H237" s="105"/>
      <c r="I237" s="105"/>
      <c r="J237" s="105"/>
      <c r="K237" s="105"/>
      <c r="L237" s="105"/>
      <c r="M237" s="105"/>
      <c r="N237" s="105"/>
      <c r="O237" s="105"/>
      <c r="P237" s="105" t="str">
        <f>IFERROR(__xludf.DUMMYFUNCTION("""COMPUTED_VALUE"""),"asking::clarification::suggestion::refactoring::(move::logic)")</f>
        <v>asking::clarification::suggestion::refactoring::(move::logic)</v>
      </c>
      <c r="Q237" s="105"/>
      <c r="R237" s="105"/>
      <c r="S237" s="105"/>
      <c r="T237" s="105"/>
      <c r="U237" s="105"/>
      <c r="V237" s="105"/>
      <c r="W237" s="105"/>
      <c r="X237" s="105"/>
      <c r="Y237" s="105"/>
      <c r="Z237" s="105"/>
    </row>
    <row r="238">
      <c r="A238" s="105" t="str">
        <f>IFERROR(__xludf.DUMMYFUNCTION("""COMPUTED_VALUE"""),"source::of::the::bug::(diff::in::text)")</f>
        <v>source::of::the::bug::(diff::in::text)</v>
      </c>
      <c r="B238" s="105" t="str">
        <f>IFERROR(__xludf.DUMMYFUNCTION("""COMPUTED_VALUE"""),"GUI-related issue, Permission/deprecation issue, Program anomaly issue, Test code-related issue")</f>
        <v>GUI-related issue, Permission/deprecation issue, Program anomaly issue, Test code-related issue</v>
      </c>
      <c r="C238" s="105"/>
      <c r="D238" s="105" t="str">
        <f>IFERROR(__xludf.DUMMYFUNCTION("""COMPUTED_VALUE"""),"proposal::of::a::possible::fix::(link::review3)::not::main::branch")</f>
        <v>proposal::of::a::possible::fix::(link::review3)::not::main::branch</v>
      </c>
      <c r="E238" s="105"/>
      <c r="F238" s="105" t="str">
        <f>IFERROR(__xludf.DUMMYFUNCTION("""COMPUTED_VALUE"""),"issue::progress::(unrelated::issue)")</f>
        <v>issue::progress::(unrelated::issue)</v>
      </c>
      <c r="G238" s="105"/>
      <c r="H238" s="105"/>
      <c r="I238" s="105"/>
      <c r="J238" s="105"/>
      <c r="K238" s="105"/>
      <c r="L238" s="105"/>
      <c r="M238" s="105"/>
      <c r="N238" s="105"/>
      <c r="O238" s="105"/>
      <c r="P238" s="105" t="str">
        <f>IFERROR(__xludf.DUMMYFUNCTION("""COMPUTED_VALUE"""),"asking::clarification::suggestion::refactoring::(style::add:newline)")</f>
        <v>asking::clarification::suggestion::refactoring::(style::add:newline)</v>
      </c>
      <c r="Q238" s="105"/>
      <c r="R238" s="105"/>
      <c r="S238" s="105"/>
      <c r="T238" s="105"/>
      <c r="U238" s="105"/>
      <c r="V238" s="105"/>
      <c r="W238" s="105"/>
      <c r="X238" s="105"/>
      <c r="Y238" s="105"/>
      <c r="Z238" s="105"/>
    </row>
    <row r="239">
      <c r="A239" s="105" t="str">
        <f>IFERROR(__xludf.DUMMYFUNCTION("""COMPUTED_VALUE"""),"source::of::the::bug::(file::path)")</f>
        <v>source::of::the::bug::(file::path)</v>
      </c>
      <c r="B239" s="105" t="str">
        <f>IFERROR(__xludf.DUMMYFUNCTION("""COMPUTED_VALUE"""),"GUI-related issue, Permission/deprecation issue, Security issue, Program anomaly issue")</f>
        <v>GUI-related issue, Permission/deprecation issue, Security issue, Program anomaly issue</v>
      </c>
      <c r="C239" s="105"/>
      <c r="D239" s="105" t="str">
        <f>IFERROR(__xludf.DUMMYFUNCTION("""COMPUTED_VALUE"""),"proposal::of::a::possible::fix::(link::review4)")</f>
        <v>proposal::of::a::possible::fix::(link::review4)</v>
      </c>
      <c r="E239" s="105"/>
      <c r="F239" s="105" t="str">
        <f>IFERROR(__xludf.DUMMYFUNCTION("""COMPUTED_VALUE"""),"justifying::the::alternative::design::solution")</f>
        <v>justifying::the::alternative::design::solution</v>
      </c>
      <c r="G239" s="105"/>
      <c r="H239" s="105"/>
      <c r="I239" s="105"/>
      <c r="J239" s="105"/>
      <c r="K239" s="105"/>
      <c r="L239" s="105"/>
      <c r="M239" s="105"/>
      <c r="N239" s="105"/>
      <c r="O239" s="105"/>
      <c r="P239" s="105" t="str">
        <f>IFERROR(__xludf.DUMMYFUNCTION("""COMPUTED_VALUE"""),"asking::clarification::suggestion::refactoring::(use::method/function)")</f>
        <v>asking::clarification::suggestion::refactoring::(use::method/function)</v>
      </c>
      <c r="Q239" s="105"/>
      <c r="R239" s="105"/>
      <c r="S239" s="105"/>
      <c r="T239" s="105"/>
      <c r="U239" s="105"/>
      <c r="V239" s="105"/>
      <c r="W239" s="105"/>
      <c r="X239" s="105"/>
      <c r="Y239" s="105"/>
      <c r="Z239" s="105"/>
    </row>
    <row r="240">
      <c r="A240" s="105" t="str">
        <f>IFERROR(__xludf.DUMMYFUNCTION("""COMPUTED_VALUE"""),"source::of::the::bug::(link::blame)")</f>
        <v>source::of::the::bug::(link::blame)</v>
      </c>
      <c r="B240" s="105" t="str">
        <f>IFERROR(__xludf.DUMMYFUNCTION("""COMPUTED_VALUE"""),"GUI-related issue, Permission/deprecation issue, Security issue, Test code-related issue")</f>
        <v>GUI-related issue, Permission/deprecation issue, Security issue, Test code-related issue</v>
      </c>
      <c r="C240" s="105"/>
      <c r="D240" s="105" t="str">
        <f>IFERROR(__xludf.DUMMYFUNCTION("""COMPUTED_VALUE"""),"proposal::of::a::possible::fix::(link::review5)")</f>
        <v>proposal::of::a::possible::fix::(link::review5)</v>
      </c>
      <c r="E240" s="105"/>
      <c r="F240" s="105" t="str">
        <f>IFERROR(__xludf.DUMMYFUNCTION("""COMPUTED_VALUE"""),"justifying::the::need::for::the::proposed::BP/feature")</f>
        <v>justifying::the::need::for::the::proposed::BP/feature</v>
      </c>
      <c r="G240" s="105"/>
      <c r="H240" s="105"/>
      <c r="I240" s="105"/>
      <c r="J240" s="105"/>
      <c r="K240" s="105"/>
      <c r="L240" s="105"/>
      <c r="M240" s="105"/>
      <c r="N240" s="105"/>
      <c r="O240" s="105"/>
      <c r="P240" s="105" t="str">
        <f>IFERROR(__xludf.DUMMYFUNCTION("""COMPUTED_VALUE"""),"asking::clarification:.about::assert::usage")</f>
        <v>asking::clarification:.about::assert::usage</v>
      </c>
      <c r="Q240" s="105"/>
      <c r="R240" s="105"/>
      <c r="S240" s="105"/>
      <c r="T240" s="105"/>
      <c r="U240" s="105"/>
      <c r="V240" s="105"/>
      <c r="W240" s="105"/>
      <c r="X240" s="105"/>
      <c r="Y240" s="105"/>
      <c r="Z240" s="105"/>
    </row>
    <row r="241">
      <c r="A241" s="105" t="str">
        <f>IFERROR(__xludf.DUMMYFUNCTION("""COMPUTED_VALUE"""),"source::of::the::bug::(link::commit)")</f>
        <v>source::of::the::bug::(link::commit)</v>
      </c>
      <c r="B241" s="105" t="str">
        <f>IFERROR(__xludf.DUMMYFUNCTION("""COMPUTED_VALUE"""),"GUI-related issue, Security issue, Program anomaly issue, Test code-related issue")</f>
        <v>GUI-related issue, Security issue, Program anomaly issue, Test code-related issue</v>
      </c>
      <c r="C241" s="105"/>
      <c r="D241" s="105" t="str">
        <f>IFERROR(__xludf.DUMMYFUNCTION("""COMPUTED_VALUE"""),"proposal::of::a::possible::solution::(code::in::text)")</f>
        <v>proposal::of::a::possible::solution::(code::in::text)</v>
      </c>
      <c r="E241" s="105"/>
      <c r="F241" s="105" t="str">
        <f>IFERROR(__xludf.DUMMYFUNCTION("""COMPUTED_VALUE"""),"keeping::inside::project::as::it::is")</f>
        <v>keeping::inside::project::as::it::is</v>
      </c>
      <c r="G241" s="105"/>
      <c r="H241" s="105"/>
      <c r="I241" s="105"/>
      <c r="J241" s="105"/>
      <c r="K241" s="105"/>
      <c r="L241" s="105"/>
      <c r="M241" s="105"/>
      <c r="N241" s="105"/>
      <c r="O241" s="105"/>
      <c r="P241" s="105" t="str">
        <f>IFERROR(__xludf.DUMMYFUNCTION("""COMPUTED_VALUE"""),"asking::confirmation::of::intended::solution")</f>
        <v>asking::confirmation::of::intended::solution</v>
      </c>
      <c r="Q241" s="105"/>
      <c r="R241" s="105"/>
      <c r="S241" s="105"/>
      <c r="T241" s="105"/>
      <c r="U241" s="105"/>
      <c r="V241" s="105"/>
      <c r="W241" s="105"/>
      <c r="X241" s="105"/>
      <c r="Y241" s="105"/>
      <c r="Z241" s="105"/>
    </row>
    <row r="242">
      <c r="A242" s="105" t="str">
        <f>IFERROR(__xludf.DUMMYFUNCTION("""COMPUTED_VALUE"""),"source::of::the::bug::(link::repo)")</f>
        <v>source::of::the::bug::(link::repo)</v>
      </c>
      <c r="B242" s="105" t="str">
        <f>IFERROR(__xludf.DUMMYFUNCTION("""COMPUTED_VALUE"""),"Network issue, Performance issue, Permission/deprecation issue, Program anomaly issue")</f>
        <v>Network issue, Performance issue, Permission/deprecation issue, Program anomaly issue</v>
      </c>
      <c r="C242" s="105"/>
      <c r="D242" s="105" t="str">
        <f>IFERROR(__xludf.DUMMYFUNCTION("""COMPUTED_VALUE"""),"proposal::of::a::possible::solution::(explanation)")</f>
        <v>proposal::of::a::possible::solution::(explanation)</v>
      </c>
      <c r="E242" s="105"/>
      <c r="F242" s="105" t="str">
        <f>IFERROR(__xludf.DUMMYFUNCTION("""COMPUTED_VALUE"""),"leverl::up::another::feature:.in::a::new::project")</f>
        <v>leverl::up::another::feature:.in::a::new::project</v>
      </c>
      <c r="G242" s="105"/>
      <c r="H242" s="105"/>
      <c r="I242" s="105"/>
      <c r="J242" s="105"/>
      <c r="K242" s="105"/>
      <c r="L242" s="105"/>
      <c r="M242" s="105"/>
      <c r="N242" s="105"/>
      <c r="O242" s="105"/>
      <c r="P242" s="105" t="str">
        <f>IFERROR(__xludf.DUMMYFUNCTION("""COMPUTED_VALUE"""),"asking::development::status")</f>
        <v>asking::development::status</v>
      </c>
      <c r="Q242" s="105"/>
      <c r="R242" s="105"/>
      <c r="S242" s="105"/>
      <c r="T242" s="105"/>
      <c r="U242" s="105"/>
      <c r="V242" s="105"/>
      <c r="W242" s="105"/>
      <c r="X242" s="105"/>
      <c r="Y242" s="105"/>
      <c r="Z242" s="105"/>
    </row>
    <row r="243">
      <c r="A243" s="105" t="str">
        <f>IFERROR(__xludf.DUMMYFUNCTION("""COMPUTED_VALUE"""),"source::of::the::bug::(link::review)")</f>
        <v>source::of::the::bug::(link::review)</v>
      </c>
      <c r="B243" s="105" t="str">
        <f>IFERROR(__xludf.DUMMYFUNCTION("""COMPUTED_VALUE"""),"Network issue, Performance issue, Permission/deprecation issue, Security issue")</f>
        <v>Network issue, Performance issue, Permission/deprecation issue, Security issue</v>
      </c>
      <c r="C243" s="105"/>
      <c r="D243" s="105" t="str">
        <f>IFERROR(__xludf.DUMMYFUNCTION("""COMPUTED_VALUE"""),"proposal::of::a::related::fix::(link::review)")</f>
        <v>proposal::of::a::related::fix::(link::review)</v>
      </c>
      <c r="E243" s="105"/>
      <c r="F243" s="105" t="str">
        <f>IFERROR(__xludf.DUMMYFUNCTION("""COMPUTED_VALUE"""),"mentioned::other::BPs")</f>
        <v>mentioned::other::BPs</v>
      </c>
      <c r="G243" s="105"/>
      <c r="H243" s="105"/>
      <c r="I243" s="105"/>
      <c r="J243" s="105"/>
      <c r="K243" s="105"/>
      <c r="L243" s="105"/>
      <c r="M243" s="105"/>
      <c r="N243" s="105"/>
      <c r="O243" s="105"/>
      <c r="P243" s="105" t="str">
        <f>IFERROR(__xludf.DUMMYFUNCTION("""COMPUTED_VALUE"""),"asking::for::assistance")</f>
        <v>asking::for::assistance</v>
      </c>
      <c r="Q243" s="105"/>
      <c r="R243" s="105"/>
      <c r="S243" s="105"/>
      <c r="T243" s="105"/>
      <c r="U243" s="105"/>
      <c r="V243" s="105"/>
      <c r="W243" s="105"/>
      <c r="X243" s="105"/>
      <c r="Y243" s="105"/>
      <c r="Z243" s="105"/>
    </row>
    <row r="244">
      <c r="A244" s="105" t="str">
        <f>IFERROR(__xludf.DUMMYFUNCTION("""COMPUTED_VALUE"""),"source::of::the::bug::(refactoring)")</f>
        <v>source::of::the::bug::(refactoring)</v>
      </c>
      <c r="B244" s="105" t="str">
        <f>IFERROR(__xludf.DUMMYFUNCTION("""COMPUTED_VALUE"""),"Network issue, Performance issue, Permission/deprecation issue, Test code-related issue")</f>
        <v>Network issue, Performance issue, Permission/deprecation issue, Test code-related issue</v>
      </c>
      <c r="C244" s="105"/>
      <c r="D244" s="105" t="str">
        <f>IFERROR(__xludf.DUMMYFUNCTION("""COMPUTED_VALUE"""),"proposal::of::a::related::fix::(link::review)::not::main::branch")</f>
        <v>proposal::of::a::related::fix::(link::review)::not::main::branch</v>
      </c>
      <c r="E244" s="105"/>
      <c r="F244" s="105" t="str">
        <f>IFERROR(__xludf.DUMMYFUNCTION("""COMPUTED_VALUE"""),"mentioned::other::reviews")</f>
        <v>mentioned::other::reviews</v>
      </c>
      <c r="G244" s="105"/>
      <c r="H244" s="105"/>
      <c r="I244" s="105"/>
      <c r="J244" s="105"/>
      <c r="K244" s="105"/>
      <c r="L244" s="105"/>
      <c r="M244" s="105"/>
      <c r="N244" s="105"/>
      <c r="O244" s="105"/>
      <c r="P244" s="105" t="str">
        <f>IFERROR(__xludf.DUMMYFUNCTION("""COMPUTED_VALUE"""),"asking::for::assistance::(more::tests)")</f>
        <v>asking::for::assistance::(more::tests)</v>
      </c>
      <c r="Q244" s="105"/>
      <c r="R244" s="105"/>
      <c r="S244" s="105"/>
      <c r="T244" s="105"/>
      <c r="U244" s="105"/>
      <c r="V244" s="105"/>
      <c r="W244" s="105"/>
      <c r="X244" s="105"/>
      <c r="Y244" s="105"/>
      <c r="Z244" s="105"/>
    </row>
    <row r="245">
      <c r="A245" s="105" t="str">
        <f>IFERROR(__xludf.DUMMYFUNCTION("""COMPUTED_VALUE"""),"source::of::the::bug::(revision::hash)")</f>
        <v>source::of::the::bug::(revision::hash)</v>
      </c>
      <c r="B245" s="105" t="str">
        <f>IFERROR(__xludf.DUMMYFUNCTION("""COMPUTED_VALUE"""),"Network issue, Performance issue, Program anomaly issue, Test code-related issue")</f>
        <v>Network issue, Performance issue, Program anomaly issue, Test code-related issue</v>
      </c>
      <c r="C245" s="105"/>
      <c r="D245" s="105" t="str">
        <f>IFERROR(__xludf.DUMMYFUNCTION("""COMPUTED_VALUE"""),"proposal::of::a::related::fix::(link::review1)")</f>
        <v>proposal::of::a::related::fix::(link::review1)</v>
      </c>
      <c r="E245" s="105"/>
      <c r="F245" s="105" t="str">
        <f>IFERROR(__xludf.DUMMYFUNCTION("""COMPUTED_VALUE"""),"mentioned::the::BP")</f>
        <v>mentioned::the::BP</v>
      </c>
      <c r="G245" s="105"/>
      <c r="H245" s="105"/>
      <c r="I245" s="105"/>
      <c r="J245" s="105"/>
      <c r="K245" s="105"/>
      <c r="L245" s="105"/>
      <c r="M245" s="105"/>
      <c r="N245" s="105"/>
      <c r="O245" s="105"/>
      <c r="P245" s="105" t="str">
        <f>IFERROR(__xludf.DUMMYFUNCTION("""COMPUTED_VALUE"""),"asking::for::assistance::(unrelated)")</f>
        <v>asking::for::assistance::(unrelated)</v>
      </c>
      <c r="Q245" s="105"/>
      <c r="R245" s="105"/>
      <c r="S245" s="105"/>
      <c r="T245" s="105"/>
      <c r="U245" s="105"/>
      <c r="V245" s="105"/>
      <c r="W245" s="105"/>
      <c r="X245" s="105"/>
      <c r="Y245" s="105"/>
      <c r="Z245" s="105"/>
    </row>
    <row r="246">
      <c r="A246" s="105" t="str">
        <f>IFERROR(__xludf.DUMMYFUNCTION("""COMPUTED_VALUE"""),"source::of::the::continuation::of::bug::after::fix")</f>
        <v>source::of::the::continuation::of::bug::after::fix</v>
      </c>
      <c r="B246" s="105" t="str">
        <f>IFERROR(__xludf.DUMMYFUNCTION("""COMPUTED_VALUE"""),"Network issue, Performance issue, Security issue, Program anomaly issue")</f>
        <v>Network issue, Performance issue, Security issue, Program anomaly issue</v>
      </c>
      <c r="C246" s="105"/>
      <c r="D246" s="105" t="str">
        <f>IFERROR(__xludf.DUMMYFUNCTION("""COMPUTED_VALUE"""),"proposal::of::a::related::fix::(link::review2)")</f>
        <v>proposal::of::a::related::fix::(link::review2)</v>
      </c>
      <c r="E246" s="105"/>
      <c r="F246" s="105" t="str">
        <f>IFERROR(__xludf.DUMMYFUNCTION("""COMPUTED_VALUE"""),"mentioned::the::BP::as::a::solution::to::a::need")</f>
        <v>mentioned::the::BP::as::a::solution::to::a::need</v>
      </c>
      <c r="G246" s="105"/>
      <c r="H246" s="105"/>
      <c r="I246" s="105"/>
      <c r="J246" s="105"/>
      <c r="K246" s="105"/>
      <c r="L246" s="105"/>
      <c r="M246" s="105"/>
      <c r="N246" s="105"/>
      <c r="O246" s="105"/>
      <c r="P246" s="105" t="str">
        <f>IFERROR(__xludf.DUMMYFUNCTION("""COMPUTED_VALUE"""),"asking::for::clarification::about::previous::question")</f>
        <v>asking::for::clarification::about::previous::question</v>
      </c>
      <c r="Q246" s="105"/>
      <c r="R246" s="105"/>
      <c r="S246" s="105"/>
      <c r="T246" s="105"/>
      <c r="U246" s="105"/>
      <c r="V246" s="105"/>
      <c r="W246" s="105"/>
      <c r="X246" s="105"/>
      <c r="Y246" s="105"/>
      <c r="Z246" s="105"/>
    </row>
    <row r="247">
      <c r="A247" s="105" t="str">
        <f>IFERROR(__xludf.DUMMYFUNCTION("""COMPUTED_VALUE"""),"source::of::the::continuation::of::bug::after::fix3")</f>
        <v>source::of::the::continuation::of::bug::after::fix3</v>
      </c>
      <c r="B247" s="105" t="str">
        <f>IFERROR(__xludf.DUMMYFUNCTION("""COMPUTED_VALUE"""),"Network issue, Performance issue, Security issue, Test code-related issue")</f>
        <v>Network issue, Performance issue, Security issue, Test code-related issue</v>
      </c>
      <c r="C247" s="105"/>
      <c r="D247" s="105" t="str">
        <f>IFERROR(__xludf.DUMMYFUNCTION("""COMPUTED_VALUE"""),"proposal::of::a::related::fix::(link::review4)::not::main::branch")</f>
        <v>proposal::of::a::related::fix::(link::review4)::not::main::branch</v>
      </c>
      <c r="E247" s="105"/>
      <c r="F247" s="105" t="str">
        <f>IFERROR(__xludf.DUMMYFUNCTION("""COMPUTED_VALUE"""),"mentioned::the::BP::as::an::example::of::work::in::progress::of::the::discussed::topic")</f>
        <v>mentioned::the::BP::as::an::example::of::work::in::progress::of::the::discussed::topic</v>
      </c>
      <c r="G247" s="105"/>
      <c r="H247" s="105"/>
      <c r="I247" s="105"/>
      <c r="J247" s="105"/>
      <c r="K247" s="105"/>
      <c r="L247" s="105"/>
      <c r="M247" s="105"/>
      <c r="N247" s="105"/>
      <c r="O247" s="105"/>
      <c r="P247" s="105" t="str">
        <f>IFERROR(__xludf.DUMMYFUNCTION("""COMPUTED_VALUE"""),"asking::for::feedback")</f>
        <v>asking::for::feedback</v>
      </c>
      <c r="Q247" s="105"/>
      <c r="R247" s="105"/>
      <c r="S247" s="105"/>
      <c r="T247" s="105"/>
      <c r="U247" s="105"/>
      <c r="V247" s="105"/>
      <c r="W247" s="105"/>
      <c r="X247" s="105"/>
      <c r="Y247" s="105"/>
      <c r="Z247" s="105"/>
    </row>
    <row r="248">
      <c r="A248" s="105" t="str">
        <f>IFERROR(__xludf.DUMMYFUNCTION("""COMPUTED_VALUE"""),"source::of::the::regression::(link::repo)")</f>
        <v>source::of::the::regression::(link::repo)</v>
      </c>
      <c r="B248" s="105" t="str">
        <f>IFERROR(__xludf.DUMMYFUNCTION("""COMPUTED_VALUE"""),"Network issue, Permission/deprecation issue, Program anomaly issue, Test code-related issue")</f>
        <v>Network issue, Permission/deprecation issue, Program anomaly issue, Test code-related issue</v>
      </c>
      <c r="C248" s="105"/>
      <c r="D248" s="105" t="str">
        <f>IFERROR(__xludf.DUMMYFUNCTION("""COMPUTED_VALUE"""),"proposal::of::extending::the::task")</f>
        <v>proposal::of::extending::the::task</v>
      </c>
      <c r="E248" s="105"/>
      <c r="F248" s="105" t="str">
        <f>IFERROR(__xludf.DUMMYFUNCTION("""COMPUTED_VALUE"""),"mentioned::the::BP::as::part::of::current::development::cycle")</f>
        <v>mentioned::the::BP::as::part::of::current::development::cycle</v>
      </c>
      <c r="G248" s="105"/>
      <c r="H248" s="105"/>
      <c r="I248" s="105"/>
      <c r="J248" s="105"/>
      <c r="K248" s="105"/>
      <c r="L248" s="105"/>
      <c r="M248" s="105"/>
      <c r="N248" s="105"/>
      <c r="O248" s="105"/>
      <c r="P248" s="105" t="str">
        <f>IFERROR(__xludf.DUMMYFUNCTION("""COMPUTED_VALUE"""),"asking::opinions::about::current::approach")</f>
        <v>asking::opinions::about::current::approach</v>
      </c>
      <c r="Q248" s="105"/>
      <c r="R248" s="105"/>
      <c r="S248" s="105"/>
      <c r="T248" s="105"/>
      <c r="U248" s="105"/>
      <c r="V248" s="105"/>
      <c r="W248" s="105"/>
      <c r="X248" s="105"/>
      <c r="Y248" s="105"/>
      <c r="Z248" s="105"/>
    </row>
    <row r="249">
      <c r="A249" s="105" t="str">
        <f>IFERROR(__xludf.DUMMYFUNCTION("""COMPUTED_VALUE"""),"source::of::the::regression::(link::review)")</f>
        <v>source::of::the::regression::(link::review)</v>
      </c>
      <c r="B249" s="105" t="str">
        <f>IFERROR(__xludf.DUMMYFUNCTION("""COMPUTED_VALUE"""),"Network issue, Permission/deprecation issue, Security issue, Program anomaly issue")</f>
        <v>Network issue, Permission/deprecation issue, Security issue, Program anomaly issue</v>
      </c>
      <c r="C249" s="105"/>
      <c r="D249" s="105" t="str">
        <f>IFERROR(__xludf.DUMMYFUNCTION("""COMPUTED_VALUE"""),"proposes::refactoring")</f>
        <v>proposes::refactoring</v>
      </c>
      <c r="E249" s="105"/>
      <c r="F249" s="105" t="str">
        <f>IFERROR(__xludf.DUMMYFUNCTION("""COMPUTED_VALUE"""),"mentioned::the::BP::as::part::of::feature::parity::with::other::project")</f>
        <v>mentioned::the::BP::as::part::of::feature::parity::with::other::project</v>
      </c>
      <c r="G249" s="105"/>
      <c r="H249" s="105"/>
      <c r="I249" s="105"/>
      <c r="J249" s="105"/>
      <c r="K249" s="105"/>
      <c r="L249" s="105"/>
      <c r="M249" s="105"/>
      <c r="N249" s="105"/>
      <c r="O249" s="105"/>
      <c r="P249" s="105" t="str">
        <f>IFERROR(__xludf.DUMMYFUNCTION("""COMPUTED_VALUE"""),"asking:.clarification::about::the::reason::error::unit::test")</f>
        <v>asking:.clarification::about::the::reason::error::unit::test</v>
      </c>
      <c r="Q249" s="105"/>
      <c r="R249" s="105"/>
      <c r="S249" s="105"/>
      <c r="T249" s="105"/>
      <c r="U249" s="105"/>
      <c r="V249" s="105"/>
      <c r="W249" s="105"/>
      <c r="X249" s="105"/>
      <c r="Y249" s="105"/>
      <c r="Z249" s="105"/>
    </row>
    <row r="250">
      <c r="A250" s="105" t="str">
        <f>IFERROR(__xludf.DUMMYFUNCTION("""COMPUTED_VALUE"""),"status::of::the::patch/review")</f>
        <v>status::of::the::patch/review</v>
      </c>
      <c r="B250" s="105" t="str">
        <f>IFERROR(__xludf.DUMMYFUNCTION("""COMPUTED_VALUE"""),"Network issue, Permission/deprecation issue, Security issue, Test code-related issue")</f>
        <v>Network issue, Permission/deprecation issue, Security issue, Test code-related issue</v>
      </c>
      <c r="C250" s="105"/>
      <c r="D250" s="105" t="str">
        <f>IFERROR(__xludf.DUMMYFUNCTION("""COMPUTED_VALUE"""),"proposes::workaround::to::expected::functionallity::(code::in::text)")</f>
        <v>proposes::workaround::to::expected::functionallity::(code::in::text)</v>
      </c>
      <c r="E250" s="105"/>
      <c r="F250" s="105" t="str">
        <f>IFERROR(__xludf.DUMMYFUNCTION("""COMPUTED_VALUE"""),"mentioned::the::change")</f>
        <v>mentioned::the::change</v>
      </c>
      <c r="G250" s="105"/>
      <c r="H250" s="105"/>
      <c r="I250" s="105"/>
      <c r="J250" s="105"/>
      <c r="K250" s="105"/>
      <c r="L250" s="105"/>
      <c r="M250" s="105"/>
      <c r="N250" s="105"/>
      <c r="O250" s="105"/>
      <c r="P250" s="105" t="str">
        <f>IFERROR(__xludf.DUMMYFUNCTION("""COMPUTED_VALUE"""),"BP::needs::approval")</f>
        <v>BP::needs::approval</v>
      </c>
      <c r="Q250" s="105"/>
      <c r="R250" s="105"/>
      <c r="S250" s="105"/>
      <c r="T250" s="105"/>
      <c r="U250" s="105"/>
      <c r="V250" s="105"/>
      <c r="W250" s="105"/>
      <c r="X250" s="105"/>
      <c r="Y250" s="105"/>
      <c r="Z250" s="105"/>
    </row>
    <row r="251">
      <c r="A251" s="105" t="str">
        <f>IFERROR(__xludf.DUMMYFUNCTION("""COMPUTED_VALUE"""),"steps::to::replicate::the::bug")</f>
        <v>steps::to::replicate::the::bug</v>
      </c>
      <c r="B251" s="105" t="str">
        <f>IFERROR(__xludf.DUMMYFUNCTION("""COMPUTED_VALUE"""),"Network issue, Security issue, Program anomaly issue, Test code-related issue")</f>
        <v>Network issue, Security issue, Program anomaly issue, Test code-related issue</v>
      </c>
      <c r="C251" s="105"/>
      <c r="D251" s="105" t="str">
        <f>IFERROR(__xludf.DUMMYFUNCTION("""COMPUTED_VALUE"""),"proposes::workaround::to::expected::functionallity::(link)")</f>
        <v>proposes::workaround::to::expected::functionallity::(link)</v>
      </c>
      <c r="E251" s="105"/>
      <c r="F251" s="105" t="str">
        <f>IFERROR(__xludf.DUMMYFUNCTION("""COMPUTED_VALUE"""),"mentioned::the::introducing::review")</f>
        <v>mentioned::the::introducing::review</v>
      </c>
      <c r="G251" s="105"/>
      <c r="H251" s="105"/>
      <c r="I251" s="105"/>
      <c r="J251" s="105"/>
      <c r="K251" s="105"/>
      <c r="L251" s="105"/>
      <c r="M251" s="105"/>
      <c r="N251" s="105"/>
      <c r="O251" s="105"/>
      <c r="P251" s="105" t="str">
        <f>IFERROR(__xludf.DUMMYFUNCTION("""COMPUTED_VALUE"""),"bug::fixed")</f>
        <v>bug::fixed</v>
      </c>
      <c r="Q251" s="105"/>
      <c r="R251" s="105"/>
      <c r="S251" s="105"/>
      <c r="T251" s="105"/>
      <c r="U251" s="105"/>
      <c r="V251" s="105"/>
      <c r="W251" s="105"/>
      <c r="X251" s="105"/>
      <c r="Y251" s="105"/>
      <c r="Z251" s="105"/>
    </row>
    <row r="252">
      <c r="A252" s="105" t="str">
        <f>IFERROR(__xludf.DUMMYFUNCTION("""COMPUTED_VALUE"""),"steps::to::replicate::the::bug::(link::gist)")</f>
        <v>steps::to::replicate::the::bug::(link::gist)</v>
      </c>
      <c r="B252" s="105" t="str">
        <f>IFERROR(__xludf.DUMMYFUNCTION("""COMPUTED_VALUE"""),"Performance issue, Permission/deprecation issue, Program anomaly issue, Test code-related issue")</f>
        <v>Performance issue, Permission/deprecation issue, Program anomaly issue, Test code-related issue</v>
      </c>
      <c r="C252" s="105"/>
      <c r="D252" s="105" t="str">
        <f>IFERROR(__xludf.DUMMYFUNCTION("""COMPUTED_VALUE"""),"providing::assistance::(confirming::bug)")</f>
        <v>providing::assistance::(confirming::bug)</v>
      </c>
      <c r="E252" s="105"/>
      <c r="F252" s="105" t="str">
        <f>IFERROR(__xludf.DUMMYFUNCTION("""COMPUTED_VALUE"""),"mentioned::the::issue")</f>
        <v>mentioned::the::issue</v>
      </c>
      <c r="G252" s="105"/>
      <c r="H252" s="105"/>
      <c r="I252" s="105"/>
      <c r="J252" s="105"/>
      <c r="K252" s="105"/>
      <c r="L252" s="105"/>
      <c r="M252" s="105"/>
      <c r="N252" s="105"/>
      <c r="O252" s="105"/>
      <c r="P252" s="105" t="str">
        <f>IFERROR(__xludf.DUMMYFUNCTION("""COMPUTED_VALUE"""),"bugs::hit")</f>
        <v>bugs::hit</v>
      </c>
      <c r="Q252" s="105"/>
      <c r="R252" s="105"/>
      <c r="S252" s="105"/>
      <c r="T252" s="105"/>
      <c r="U252" s="105"/>
      <c r="V252" s="105"/>
      <c r="W252" s="105"/>
      <c r="X252" s="105"/>
      <c r="Y252" s="105"/>
      <c r="Z252" s="105"/>
    </row>
    <row r="253">
      <c r="A253" s="105" t="str">
        <f>IFERROR(__xludf.DUMMYFUNCTION("""COMPUTED_VALUE"""),"steps::to::replicate::the::bug::(link::tool)")</f>
        <v>steps::to::replicate::the::bug::(link::tool)</v>
      </c>
      <c r="B253" s="105" t="str">
        <f>IFERROR(__xludf.DUMMYFUNCTION("""COMPUTED_VALUE"""),"Performance issue, Permission/deprecation issue, Security issue, Program anomaly issue")</f>
        <v>Performance issue, Permission/deprecation issue, Security issue, Program anomaly issue</v>
      </c>
      <c r="C253" s="105"/>
      <c r="D253" s="105" t="str">
        <f>IFERROR(__xludf.DUMMYFUNCTION("""COMPUTED_VALUE"""),"providing::assistance::(status::bug)")</f>
        <v>providing::assistance::(status::bug)</v>
      </c>
      <c r="E253" s="105"/>
      <c r="F253" s="105" t="str">
        <f>IFERROR(__xludf.DUMMYFUNCTION("""COMPUTED_VALUE"""),"mentioning::conditions::to::do::a::feature::freeze::exception")</f>
        <v>mentioning::conditions::to::do::a::feature::freeze::exception</v>
      </c>
      <c r="G253" s="105"/>
      <c r="H253" s="105"/>
      <c r="I253" s="105"/>
      <c r="J253" s="105"/>
      <c r="K253" s="105"/>
      <c r="L253" s="105"/>
      <c r="M253" s="105"/>
      <c r="N253" s="105"/>
      <c r="O253" s="105"/>
      <c r="P253" s="105" t="str">
        <f>IFERROR(__xludf.DUMMYFUNCTION("""COMPUTED_VALUE"""),"cc::other::discssants")</f>
        <v>cc::other::discssants</v>
      </c>
      <c r="Q253" s="105"/>
      <c r="R253" s="105"/>
      <c r="S253" s="105"/>
      <c r="T253" s="105"/>
      <c r="U253" s="105"/>
      <c r="V253" s="105"/>
      <c r="W253" s="105"/>
      <c r="X253" s="105"/>
      <c r="Y253" s="105"/>
      <c r="Z253" s="105"/>
    </row>
    <row r="254">
      <c r="A254" s="105" t="str">
        <f>IFERROR(__xludf.DUMMYFUNCTION("""COMPUTED_VALUE"""),"steps::to::replicate::the::bug::(low::detail)")</f>
        <v>steps::to::replicate::the::bug::(low::detail)</v>
      </c>
      <c r="B254" s="105" t="str">
        <f>IFERROR(__xludf.DUMMYFUNCTION("""COMPUTED_VALUE"""),"Performance issue, Permission/deprecation issue, Security issue, Test code-related issue")</f>
        <v>Performance issue, Permission/deprecation issue, Security issue, Test code-related issue</v>
      </c>
      <c r="C254" s="105"/>
      <c r="D254" s="105" t="str">
        <f>IFERROR(__xludf.DUMMYFUNCTION("""COMPUTED_VALUE"""),"providing::claarification::about::availability::feature")</f>
        <v>providing::claarification::about::availability::feature</v>
      </c>
      <c r="E254" s="105"/>
      <c r="F254" s="105" t="str">
        <f>IFERROR(__xludf.DUMMYFUNCTION("""COMPUTED_VALUE"""),"mentioning::documented::dependency::of::the::BP")</f>
        <v>mentioning::documented::dependency::of::the::BP</v>
      </c>
      <c r="G254" s="105"/>
      <c r="H254" s="105"/>
      <c r="I254" s="105"/>
      <c r="J254" s="105"/>
      <c r="K254" s="105"/>
      <c r="L254" s="105"/>
      <c r="M254" s="105"/>
      <c r="N254" s="105"/>
      <c r="O254" s="105"/>
      <c r="P254" s="105" t="str">
        <f>IFERROR(__xludf.DUMMYFUNCTION("""COMPUTED_VALUE"""),"challenges::to::rebase::other::patches")</f>
        <v>challenges::to::rebase::other::patches</v>
      </c>
      <c r="Q254" s="105"/>
      <c r="R254" s="105"/>
      <c r="S254" s="105"/>
      <c r="T254" s="105"/>
      <c r="U254" s="105"/>
      <c r="V254" s="105"/>
      <c r="W254" s="105"/>
      <c r="X254" s="105"/>
      <c r="Y254" s="105"/>
      <c r="Z254" s="105"/>
    </row>
    <row r="255">
      <c r="A255" s="105" t="str">
        <f>IFERROR(__xludf.DUMMYFUNCTION("""COMPUTED_VALUE"""),"steps::to::replicate::the::bug::(test)")</f>
        <v>steps::to::replicate::the::bug::(test)</v>
      </c>
      <c r="B255" s="105" t="str">
        <f>IFERROR(__xludf.DUMMYFUNCTION("""COMPUTED_VALUE"""),"Performance issue, Security issue, Program anomaly issue, Test code-related issue")</f>
        <v>Performance issue, Security issue, Program anomaly issue, Test code-related issue</v>
      </c>
      <c r="C255" s="105"/>
      <c r="D255" s="105" t="str">
        <f>IFERROR(__xludf.DUMMYFUNCTION("""COMPUTED_VALUE"""),"providing::clarification::about::availability::feature")</f>
        <v>providing::clarification::about::availability::feature</v>
      </c>
      <c r="E255" s="105"/>
      <c r="F255" s="105" t="str">
        <f>IFERROR(__xludf.DUMMYFUNCTION("""COMPUTED_VALUE"""),"mentioning::implications::to::do::a::feature::freeze::exception")</f>
        <v>mentioning::implications::to::do::a::feature::freeze::exception</v>
      </c>
      <c r="G255" s="105"/>
      <c r="H255" s="105"/>
      <c r="I255" s="105"/>
      <c r="J255" s="105"/>
      <c r="K255" s="105"/>
      <c r="L255" s="105"/>
      <c r="M255" s="105"/>
      <c r="N255" s="105"/>
      <c r="O255" s="105"/>
      <c r="P255" s="105" t="str">
        <f>IFERROR(__xludf.DUMMYFUNCTION("""COMPUTED_VALUE"""),"change::ID")</f>
        <v>change::ID</v>
      </c>
      <c r="Q255" s="105"/>
      <c r="R255" s="105"/>
      <c r="S255" s="105"/>
      <c r="T255" s="105"/>
      <c r="U255" s="105"/>
      <c r="V255" s="105"/>
      <c r="W255" s="105"/>
      <c r="X255" s="105"/>
      <c r="Y255" s="105"/>
      <c r="Z255" s="105"/>
    </row>
    <row r="256">
      <c r="A256" s="105" t="str">
        <f>IFERROR(__xludf.DUMMYFUNCTION("""COMPUTED_VALUE"""),"subscribing::external::sponsors::for::the::bug")</f>
        <v>subscribing::external::sponsors::for::the::bug</v>
      </c>
      <c r="B256" s="105" t="str">
        <f>IFERROR(__xludf.DUMMYFUNCTION("""COMPUTED_VALUE"""),"Permission/deprecation issue, Security issue, Program anomaly issue, Test code-related issue")</f>
        <v>Permission/deprecation issue, Security issue, Program anomaly issue, Test code-related issue</v>
      </c>
      <c r="C256" s="105"/>
      <c r="D256" s="105" t="str">
        <f>IFERROR(__xludf.DUMMYFUNCTION("""COMPUTED_VALUE"""),"providing::clarification::about::current::implementation")</f>
        <v>providing::clarification::about::current::implementation</v>
      </c>
      <c r="E256" s="105"/>
      <c r="F256" s="105" t="str">
        <f>IFERROR(__xludf.DUMMYFUNCTION("""COMPUTED_VALUE"""),"mentioning::importance::of::BP::in::release::version")</f>
        <v>mentioning::importance::of::BP::in::release::version</v>
      </c>
      <c r="G256" s="105"/>
      <c r="H256" s="105"/>
      <c r="I256" s="105"/>
      <c r="J256" s="105"/>
      <c r="K256" s="105"/>
      <c r="L256" s="105"/>
      <c r="M256" s="105"/>
      <c r="N256" s="105"/>
      <c r="O256" s="105"/>
      <c r="P256" s="105" t="str">
        <f>IFERROR(__xludf.DUMMYFUNCTION("""COMPUTED_VALUE"""),"changes::required::for::submitting")</f>
        <v>changes::required::for::submitting</v>
      </c>
      <c r="Q256" s="105"/>
      <c r="R256" s="105"/>
      <c r="S256" s="105"/>
      <c r="T256" s="105"/>
      <c r="U256" s="105"/>
      <c r="V256" s="105"/>
      <c r="W256" s="105"/>
      <c r="X256" s="105"/>
      <c r="Y256" s="105"/>
      <c r="Z256" s="105"/>
    </row>
    <row r="257">
      <c r="A257" s="105" t="str">
        <f>IFERROR(__xludf.DUMMYFUNCTION("""COMPUTED_VALUE"""),"suggests::documentation")</f>
        <v>suggests::documentation</v>
      </c>
      <c r="B257" s="105" t="str">
        <f>IFERROR(__xludf.DUMMYFUNCTION("""COMPUTED_VALUE"""),"Configuration issue, Database-related issue, GUI-related issue, Network issue, Performance issue")</f>
        <v>Configuration issue, Database-related issue, GUI-related issue, Network issue, Performance issue</v>
      </c>
      <c r="C257" s="105"/>
      <c r="D257" s="105" t="str">
        <f>IFERROR(__xludf.DUMMYFUNCTION("""COMPUTED_VALUE"""),"providing::clarification::about::release::timeline")</f>
        <v>providing::clarification::about::release::timeline</v>
      </c>
      <c r="E257" s="105"/>
      <c r="F257" s="105" t="str">
        <f>IFERROR(__xludf.DUMMYFUNCTION("""COMPUTED_VALUE"""),"mentioning::related::bp")</f>
        <v>mentioning::related::bp</v>
      </c>
      <c r="G257" s="105"/>
      <c r="H257" s="105"/>
      <c r="I257" s="105"/>
      <c r="J257" s="105"/>
      <c r="K257" s="105"/>
      <c r="L257" s="105"/>
      <c r="M257" s="105"/>
      <c r="N257" s="105"/>
      <c r="O257" s="105"/>
      <c r="P257" s="105" t="str">
        <f>IFERROR(__xludf.DUMMYFUNCTION("""COMPUTED_VALUE"""),"changes::required::for::submitting::(comments::added)")</f>
        <v>changes::required::for::submitting::(comments::added)</v>
      </c>
      <c r="Q257" s="105"/>
      <c r="R257" s="105"/>
      <c r="S257" s="105"/>
      <c r="T257" s="105"/>
      <c r="U257" s="105"/>
      <c r="V257" s="105"/>
      <c r="W257" s="105"/>
      <c r="X257" s="105"/>
      <c r="Y257" s="105"/>
      <c r="Z257" s="105"/>
    </row>
    <row r="258">
      <c r="A258" s="105" t="str">
        <f>IFERROR(__xludf.DUMMYFUNCTION("""COMPUTED_VALUE"""),"test::logs")</f>
        <v>test::logs</v>
      </c>
      <c r="B258" s="105" t="str">
        <f>IFERROR(__xludf.DUMMYFUNCTION("""COMPUTED_VALUE"""),"Configuration issue, Database-related issue, GUI-related issue, Network issue, Permission/deprecation issue")</f>
        <v>Configuration issue, Database-related issue, GUI-related issue, Network issue, Permission/deprecation issue</v>
      </c>
      <c r="C258" s="105"/>
      <c r="D258" s="105" t="str">
        <f>IFERROR(__xludf.DUMMYFUNCTION("""COMPUTED_VALUE"""),"providing::clarification::documentation")</f>
        <v>providing::clarification::documentation</v>
      </c>
      <c r="E258" s="105"/>
      <c r="F258" s="105" t="str">
        <f>IFERROR(__xludf.DUMMYFUNCTION("""COMPUTED_VALUE"""),"mentioning::related::bug")</f>
        <v>mentioning::related::bug</v>
      </c>
      <c r="G258" s="105"/>
      <c r="H258" s="105"/>
      <c r="I258" s="105"/>
      <c r="J258" s="105"/>
      <c r="K258" s="105"/>
      <c r="L258" s="105"/>
      <c r="M258" s="105"/>
      <c r="N258" s="105"/>
      <c r="O258" s="105"/>
      <c r="P258" s="105" t="str">
        <f>IFERROR(__xludf.DUMMYFUNCTION("""COMPUTED_VALUE"""),"changes::reverted")</f>
        <v>changes::reverted</v>
      </c>
      <c r="Q258" s="105"/>
      <c r="R258" s="105"/>
      <c r="S258" s="105"/>
      <c r="T258" s="105"/>
      <c r="U258" s="105"/>
      <c r="V258" s="105"/>
      <c r="W258" s="105"/>
      <c r="X258" s="105"/>
      <c r="Y258" s="105"/>
      <c r="Z258" s="105"/>
    </row>
    <row r="259">
      <c r="A259" s="105" t="str">
        <f>IFERROR(__xludf.DUMMYFUNCTION("""COMPUTED_VALUE"""),"test::logs::(external::link::404)")</f>
        <v>test::logs::(external::link::404)</v>
      </c>
      <c r="B259" s="105" t="str">
        <f>IFERROR(__xludf.DUMMYFUNCTION("""COMPUTED_VALUE"""),"Configuration issue, Database-related issue, GUI-related issue, Network issue, Program anomaly issue")</f>
        <v>Configuration issue, Database-related issue, GUI-related issue, Network issue, Program anomaly issue</v>
      </c>
      <c r="C259" s="105"/>
      <c r="D259" s="105" t="str">
        <f>IFERROR(__xludf.DUMMYFUNCTION("""COMPUTED_VALUE"""),"providing::clarification::documentation::(issue)")</f>
        <v>providing::clarification::documentation::(issue)</v>
      </c>
      <c r="E259" s="105"/>
      <c r="F259" s="105" t="str">
        <f>IFERROR(__xludf.DUMMYFUNCTION("""COMPUTED_VALUE"""),"mentioning::related::issue")</f>
        <v>mentioning::related::issue</v>
      </c>
      <c r="G259" s="105"/>
      <c r="H259" s="105"/>
      <c r="I259" s="105"/>
      <c r="J259" s="105"/>
      <c r="K259" s="105"/>
      <c r="L259" s="105"/>
      <c r="M259" s="105"/>
      <c r="N259" s="105"/>
      <c r="O259" s="105"/>
      <c r="P259" s="105" t="str">
        <f>IFERROR(__xludf.DUMMYFUNCTION("""COMPUTED_VALUE"""),"commenting::about::the::imposssibility::of::using::something::(decorators)")</f>
        <v>commenting::about::the::imposssibility::of::using::something::(decorators)</v>
      </c>
      <c r="Q259" s="105"/>
      <c r="R259" s="105"/>
      <c r="S259" s="105"/>
      <c r="T259" s="105"/>
      <c r="U259" s="105"/>
      <c r="V259" s="105"/>
      <c r="W259" s="105"/>
      <c r="X259" s="105"/>
      <c r="Y259" s="105"/>
      <c r="Z259" s="105"/>
    </row>
    <row r="260">
      <c r="A260" s="105" t="str">
        <f>IFERROR(__xludf.DUMMYFUNCTION("""COMPUTED_VALUE"""),"time::used::to::work::on::the::BFC::review")</f>
        <v>time::used::to::work::on::the::BFC::review</v>
      </c>
      <c r="B260" s="105" t="str">
        <f>IFERROR(__xludf.DUMMYFUNCTION("""COMPUTED_VALUE"""),"Configuration issue, Database-related issue, GUI-related issue, Network issue, Security issue")</f>
        <v>Configuration issue, Database-related issue, GUI-related issue, Network issue, Security issue</v>
      </c>
      <c r="C260" s="105"/>
      <c r="D260" s="105" t="str">
        <f>IFERROR(__xludf.DUMMYFUNCTION("""COMPUTED_VALUE"""),"providing::clarification::documentation::(where)")</f>
        <v>providing::clarification::documentation::(where)</v>
      </c>
      <c r="E260" s="105"/>
      <c r="F260" s="105" t="str">
        <f>IFERROR(__xludf.DUMMYFUNCTION("""COMPUTED_VALUE"""),"mentioning::related::review")</f>
        <v>mentioning::related::review</v>
      </c>
      <c r="G260" s="105"/>
      <c r="H260" s="105"/>
      <c r="I260" s="105"/>
      <c r="J260" s="105"/>
      <c r="K260" s="105"/>
      <c r="L260" s="105"/>
      <c r="M260" s="105"/>
      <c r="N260" s="105"/>
      <c r="O260" s="105"/>
      <c r="P260" s="105" t="str">
        <f>IFERROR(__xludf.DUMMYFUNCTION("""COMPUTED_VALUE"""),"comments::addressed")</f>
        <v>comments::addressed</v>
      </c>
      <c r="Q260" s="105"/>
      <c r="R260" s="105"/>
      <c r="S260" s="105"/>
      <c r="T260" s="105"/>
      <c r="U260" s="105"/>
      <c r="V260" s="105"/>
      <c r="W260" s="105"/>
      <c r="X260" s="105"/>
      <c r="Y260" s="105"/>
      <c r="Z260" s="105"/>
    </row>
    <row r="261">
      <c r="A261" s="105" t="str">
        <f>IFERROR(__xludf.DUMMYFUNCTION("""COMPUTED_VALUE"""),"undesired::behaviour")</f>
        <v>undesired::behaviour</v>
      </c>
      <c r="B261" s="105" t="str">
        <f>IFERROR(__xludf.DUMMYFUNCTION("""COMPUTED_VALUE"""),"Configuration issue, Database-related issue, GUI-related issue, Network issue, Test code-related issue")</f>
        <v>Configuration issue, Database-related issue, GUI-related issue, Network issue, Test code-related issue</v>
      </c>
      <c r="C261" s="105"/>
      <c r="D261" s="105" t="str">
        <f>IFERROR(__xludf.DUMMYFUNCTION("""COMPUTED_VALUE"""),"providing::clarification::expected::behaviour")</f>
        <v>providing::clarification::expected::behaviour</v>
      </c>
      <c r="E261" s="105"/>
      <c r="F261" s="105" t="str">
        <f>IFERROR(__xludf.DUMMYFUNCTION("""COMPUTED_VALUE"""),"mentioning::status::of::version::after::current::release::cycle")</f>
        <v>mentioning::status::of::version::after::current::release::cycle</v>
      </c>
      <c r="G261" s="105"/>
      <c r="H261" s="105"/>
      <c r="I261" s="105"/>
      <c r="J261" s="105"/>
      <c r="K261" s="105"/>
      <c r="L261" s="105"/>
      <c r="M261" s="105"/>
      <c r="N261" s="105"/>
      <c r="O261" s="105"/>
      <c r="P261" s="105" t="str">
        <f>IFERROR(__xludf.DUMMYFUNCTION("""COMPUTED_VALUE"""),"comments::will::be::addressed::(soon)")</f>
        <v>comments::will::be::addressed::(soon)</v>
      </c>
      <c r="Q261" s="105"/>
      <c r="R261" s="105"/>
      <c r="S261" s="105"/>
      <c r="T261" s="105"/>
      <c r="U261" s="105"/>
      <c r="V261" s="105"/>
      <c r="W261" s="105"/>
      <c r="X261" s="105"/>
      <c r="Y261" s="105"/>
      <c r="Z261" s="105"/>
    </row>
    <row r="262">
      <c r="A262" s="105" t="str">
        <f>IFERROR(__xludf.DUMMYFUNCTION("""COMPUTED_VALUE"""),"unsubscribing::external::sponsors")</f>
        <v>unsubscribing::external::sponsors</v>
      </c>
      <c r="B262" s="105" t="str">
        <f>IFERROR(__xludf.DUMMYFUNCTION("""COMPUTED_VALUE"""),"Configuration issue, Database-related issue, GUI-related issue, Performance issue, Permission/deprecation issue")</f>
        <v>Configuration issue, Database-related issue, GUI-related issue, Performance issue, Permission/deprecation issue</v>
      </c>
      <c r="C262" s="105"/>
      <c r="D262" s="105" t="str">
        <f>IFERROR(__xludf.DUMMYFUNCTION("""COMPUTED_VALUE"""),"providing::clarification::intended::solution::design")</f>
        <v>providing::clarification::intended::solution::design</v>
      </c>
      <c r="E262" s="105"/>
      <c r="F262" s="105" t="str">
        <f>IFERROR(__xludf.DUMMYFUNCTION("""COMPUTED_VALUE"""),"mentioning::that::the::existing::BP/feature::partially::covers::some::of::the::new::requested::features")</f>
        <v>mentioning::that::the::existing::BP/feature::partially::covers::some::of::the::new::requested::features</v>
      </c>
      <c r="G262" s="105"/>
      <c r="H262" s="105"/>
      <c r="I262" s="105"/>
      <c r="J262" s="105"/>
      <c r="K262" s="105"/>
      <c r="L262" s="105"/>
      <c r="M262" s="105"/>
      <c r="N262" s="105"/>
      <c r="O262" s="105"/>
      <c r="P262" s="105" t="str">
        <f>IFERROR(__xludf.DUMMYFUNCTION("""COMPUTED_VALUE"""),"complaining::of::the::developing::process::(modifying::unnecessary::files)")</f>
        <v>complaining::of::the::developing::process::(modifying::unnecessary::files)</v>
      </c>
      <c r="Q262" s="105"/>
      <c r="R262" s="105"/>
      <c r="S262" s="105"/>
      <c r="T262" s="105"/>
      <c r="U262" s="105"/>
      <c r="V262" s="105"/>
      <c r="W262" s="105"/>
      <c r="X262" s="105"/>
      <c r="Y262" s="105"/>
      <c r="Z262" s="105"/>
    </row>
    <row r="263">
      <c r="A263" s="105" t="str">
        <f>IFERROR(__xludf.DUMMYFUNCTION("""COMPUTED_VALUE"""),"version::of::elasticsearch:::in::which::the::bug::was::found")</f>
        <v>version::of::elasticsearch:::in::which::the::bug::was::found</v>
      </c>
      <c r="B263" s="105" t="str">
        <f>IFERROR(__xludf.DUMMYFUNCTION("""COMPUTED_VALUE"""),"Configuration issue, Database-related issue, GUI-related issue, Performance issue, Program anomaly issue")</f>
        <v>Configuration issue, Database-related issue, GUI-related issue, Performance issue, Program anomaly issue</v>
      </c>
      <c r="C263" s="105"/>
      <c r="D263" s="105" t="str">
        <f>IFERROR(__xludf.DUMMYFUNCTION("""COMPUTED_VALUE"""),"providing::clarification::intended::solution::design::(backwards::compatebility)")</f>
        <v>providing::clarification::intended::solution::design::(backwards::compatebility)</v>
      </c>
      <c r="E263" s="105"/>
      <c r="F263" s="105" t="str">
        <f>IFERROR(__xludf.DUMMYFUNCTION("""COMPUTED_VALUE"""),"message::containing::code")</f>
        <v>message::containing::code</v>
      </c>
      <c r="G263" s="105"/>
      <c r="H263" s="105"/>
      <c r="I263" s="105"/>
      <c r="J263" s="105"/>
      <c r="K263" s="105"/>
      <c r="L263" s="105"/>
      <c r="M263" s="105"/>
      <c r="N263" s="105"/>
      <c r="O263" s="105"/>
      <c r="P263" s="105" t="str">
        <f>IFERROR(__xludf.DUMMYFUNCTION("""COMPUTED_VALUE"""),"complaining::of::the::developing::process::(speed::reviews)")</f>
        <v>complaining::of::the::developing::process::(speed::reviews)</v>
      </c>
      <c r="Q263" s="105"/>
      <c r="R263" s="105"/>
      <c r="S263" s="105"/>
      <c r="T263" s="105"/>
      <c r="U263" s="105"/>
      <c r="V263" s="105"/>
      <c r="W263" s="105"/>
      <c r="X263" s="105"/>
      <c r="Y263" s="105"/>
      <c r="Z263" s="105"/>
    </row>
    <row r="264">
      <c r="A264" s="105" t="str">
        <f>IFERROR(__xludf.DUMMYFUNCTION("""COMPUTED_VALUE"""),"version::of::nova:::in::which::the::bug::was::found")</f>
        <v>version::of::nova:::in::which::the::bug::was::found</v>
      </c>
      <c r="B264" s="105" t="str">
        <f>IFERROR(__xludf.DUMMYFUNCTION("""COMPUTED_VALUE"""),"Configuration issue, Database-related issue, GUI-related issue, Performance issue, Security issue")</f>
        <v>Configuration issue, Database-related issue, GUI-related issue, Performance issue, Security issue</v>
      </c>
      <c r="C264" s="105"/>
      <c r="D264" s="105" t="str">
        <f>IFERROR(__xludf.DUMMYFUNCTION("""COMPUTED_VALUE"""),"providing::clarification::missing::documentation")</f>
        <v>providing::clarification::missing::documentation</v>
      </c>
      <c r="E264" s="105"/>
      <c r="F264" s="105" t="str">
        <f>IFERROR(__xludf.DUMMYFUNCTION("""COMPUTED_VALUE"""),"message::containing::debug::log")</f>
        <v>message::containing::debug::log</v>
      </c>
      <c r="G264" s="105"/>
      <c r="H264" s="105"/>
      <c r="I264" s="105"/>
      <c r="J264" s="105"/>
      <c r="K264" s="105"/>
      <c r="L264" s="105"/>
      <c r="M264" s="105"/>
      <c r="N264" s="105"/>
      <c r="O264" s="105"/>
      <c r="P264" s="105" t="str">
        <f>IFERROR(__xludf.DUMMYFUNCTION("""COMPUTED_VALUE"""),"complaining::of::the::developing::process::(tests)")</f>
        <v>complaining::of::the::developing::process::(tests)</v>
      </c>
      <c r="Q264" s="105"/>
      <c r="R264" s="105"/>
      <c r="S264" s="105"/>
      <c r="T264" s="105"/>
      <c r="U264" s="105"/>
      <c r="V264" s="105"/>
      <c r="W264" s="105"/>
      <c r="X264" s="105"/>
      <c r="Y264" s="105"/>
      <c r="Z264" s="105"/>
    </row>
    <row r="265">
      <c r="A265" s="105" t="str">
        <f>IFERROR(__xludf.DUMMYFUNCTION("""COMPUTED_VALUE"""),"version::of::operating::system::affected")</f>
        <v>version::of::operating::system::affected</v>
      </c>
      <c r="B265" s="105" t="str">
        <f>IFERROR(__xludf.DUMMYFUNCTION("""COMPUTED_VALUE"""),"Configuration issue, Database-related issue, GUI-related issue, Performance issue, Test code-related issue")</f>
        <v>Configuration issue, Database-related issue, GUI-related issue, Performance issue, Test code-related issue</v>
      </c>
      <c r="C265" s="105"/>
      <c r="D265" s="105" t="str">
        <f>IFERROR(__xludf.DUMMYFUNCTION("""COMPUTED_VALUE"""),"providing::clarification::possible::usage")</f>
        <v>providing::clarification::possible::usage</v>
      </c>
      <c r="E265" s="105"/>
      <c r="F265" s="105" t="str">
        <f>IFERROR(__xludf.DUMMYFUNCTION("""COMPUTED_VALUE"""),"minor::changes")</f>
        <v>minor::changes</v>
      </c>
      <c r="G265" s="105"/>
      <c r="H265" s="105"/>
      <c r="I265" s="105"/>
      <c r="J265" s="105"/>
      <c r="K265" s="105"/>
      <c r="L265" s="105"/>
      <c r="M265" s="105"/>
      <c r="N265" s="105"/>
      <c r="O265" s="105"/>
      <c r="P265" s="105" t="str">
        <f>IFERROR(__xludf.DUMMYFUNCTION("""COMPUTED_VALUE"""),"compliment::to::the::author")</f>
        <v>compliment::to::the::author</v>
      </c>
      <c r="Q265" s="105"/>
      <c r="R265" s="105"/>
      <c r="S265" s="105"/>
      <c r="T265" s="105"/>
      <c r="U265" s="105"/>
      <c r="V265" s="105"/>
      <c r="W265" s="105"/>
      <c r="X265" s="105"/>
      <c r="Y265" s="105"/>
      <c r="Z265" s="105"/>
    </row>
    <row r="266">
      <c r="A266" s="105" t="str">
        <f>IFERROR(__xludf.DUMMYFUNCTION("""COMPUTED_VALUE"""),"what::is::the::bug::causing")</f>
        <v>what::is::the::bug::causing</v>
      </c>
      <c r="B266" s="105" t="str">
        <f>IFERROR(__xludf.DUMMYFUNCTION("""COMPUTED_VALUE"""),"Configuration issue, Database-related issue, GUI-related issue, Permission/deprecation issue, Program anomaly issue")</f>
        <v>Configuration issue, Database-related issue, GUI-related issue, Permission/deprecation issue, Program anomaly issue</v>
      </c>
      <c r="C266" s="105"/>
      <c r="D266" s="105" t="str">
        <f>IFERROR(__xludf.DUMMYFUNCTION("""COMPUTED_VALUE"""),"providing::clarification::proposal::change::solution::design::(minor)1")</f>
        <v>providing::clarification::proposal::change::solution::design::(minor)1</v>
      </c>
      <c r="E266" s="105"/>
      <c r="F266" s="105" t="str">
        <f>IFERROR(__xludf.DUMMYFUNCTION("""COMPUTED_VALUE"""),"move::discussion::into::a::related::review")</f>
        <v>move::discussion::into::a::related::review</v>
      </c>
      <c r="G266" s="105"/>
      <c r="H266" s="105"/>
      <c r="I266" s="105"/>
      <c r="J266" s="105"/>
      <c r="K266" s="105"/>
      <c r="L266" s="105"/>
      <c r="M266" s="105"/>
      <c r="N266" s="105"/>
      <c r="O266" s="105"/>
      <c r="P266" s="105" t="str">
        <f>IFERROR(__xludf.DUMMYFUNCTION("""COMPUTED_VALUE"""),"compliment::to::the::author::(solution::design)")</f>
        <v>compliment::to::the::author::(solution::design)</v>
      </c>
      <c r="Q266" s="105"/>
      <c r="R266" s="105"/>
      <c r="S266" s="105"/>
      <c r="T266" s="105"/>
      <c r="U266" s="105"/>
      <c r="V266" s="105"/>
      <c r="W266" s="105"/>
      <c r="X266" s="105"/>
      <c r="Y266" s="105"/>
      <c r="Z266" s="105"/>
    </row>
    <row r="267">
      <c r="A267" s="105" t="str">
        <f>IFERROR(__xludf.DUMMYFUNCTION("""COMPUTED_VALUE"""),"when::is::the::bug::present")</f>
        <v>when::is::the::bug::present</v>
      </c>
      <c r="B267" s="105" t="str">
        <f>IFERROR(__xludf.DUMMYFUNCTION("""COMPUTED_VALUE"""),"Configuration issue, Database-related issue, GUI-related issue, Permission/deprecation issue, Security issue")</f>
        <v>Configuration issue, Database-related issue, GUI-related issue, Permission/deprecation issue, Security issue</v>
      </c>
      <c r="C267" s="105"/>
      <c r="D267" s="105" t="str">
        <f>IFERROR(__xludf.DUMMYFUNCTION("""COMPUTED_VALUE"""),"providing::clarification::proposal::change::solution::design::(minor)2")</f>
        <v>providing::clarification::proposal::change::solution::design::(minor)2</v>
      </c>
      <c r="E267" s="105"/>
      <c r="F267" s="105" t="str">
        <f>IFERROR(__xludf.DUMMYFUNCTION("""COMPUTED_VALUE"""),"new::features::proposed::on::top::of::the::BP/feature")</f>
        <v>new::features::proposed::on::top::of::the::BP/feature</v>
      </c>
      <c r="G267" s="105"/>
      <c r="H267" s="105"/>
      <c r="I267" s="105"/>
      <c r="J267" s="105"/>
      <c r="K267" s="105"/>
      <c r="L267" s="105"/>
      <c r="M267" s="105"/>
      <c r="N267" s="105"/>
      <c r="O267" s="105"/>
      <c r="P267" s="105" t="str">
        <f>IFERROR(__xludf.DUMMYFUNCTION("""COMPUTED_VALUE"""),"compliment::to::the::author::(test::design)")</f>
        <v>compliment::to::the::author::(test::design)</v>
      </c>
      <c r="Q267" s="105"/>
      <c r="R267" s="105"/>
      <c r="S267" s="105"/>
      <c r="T267" s="105"/>
      <c r="U267" s="105"/>
      <c r="V267" s="105"/>
      <c r="W267" s="105"/>
      <c r="X267" s="105"/>
      <c r="Y267" s="105"/>
      <c r="Z267" s="105"/>
    </row>
    <row r="268">
      <c r="A268" s="105" t="str">
        <f>IFERROR(__xludf.DUMMYFUNCTION("""COMPUTED_VALUE"""),"where::bug::appears")</f>
        <v>where::bug::appears</v>
      </c>
      <c r="B268" s="105" t="str">
        <f>IFERROR(__xludf.DUMMYFUNCTION("""COMPUTED_VALUE"""),"Configuration issue, Database-related issue, GUI-related issue, Permission/deprecation issue, Test code-related issue")</f>
        <v>Configuration issue, Database-related issue, GUI-related issue, Permission/deprecation issue, Test code-related issue</v>
      </c>
      <c r="C268" s="105"/>
      <c r="D268" s="105" t="str">
        <f>IFERROR(__xludf.DUMMYFUNCTION("""COMPUTED_VALUE"""),"providing::clarification::regarding::implementation::details")</f>
        <v>providing::clarification::regarding::implementation::details</v>
      </c>
      <c r="E268" s="105"/>
      <c r="F268" s="105" t="str">
        <f>IFERROR(__xludf.DUMMYFUNCTION("""COMPUTED_VALUE"""),"new::functionality::that::was::enabled::thanks::to::the::BP")</f>
        <v>new::functionality::that::was::enabled::thanks::to::the::BP</v>
      </c>
      <c r="G268" s="105"/>
      <c r="H268" s="105"/>
      <c r="I268" s="105"/>
      <c r="J268" s="105"/>
      <c r="K268" s="105"/>
      <c r="L268" s="105"/>
      <c r="M268" s="105"/>
      <c r="N268" s="105"/>
      <c r="O268" s="105"/>
      <c r="P268" s="105" t="str">
        <f>IFERROR(__xludf.DUMMYFUNCTION("""COMPUTED_VALUE"""),"compliment::to::the::author::(use::method/function)")</f>
        <v>compliment::to::the::author::(use::method/function)</v>
      </c>
      <c r="Q268" s="105"/>
      <c r="R268" s="105"/>
      <c r="S268" s="105"/>
      <c r="T268" s="105"/>
      <c r="U268" s="105"/>
      <c r="V268" s="105"/>
      <c r="W268" s="105"/>
      <c r="X268" s="105"/>
      <c r="Y268" s="105"/>
      <c r="Z268" s="105"/>
    </row>
    <row r="269">
      <c r="A269" s="105" t="str">
        <f>IFERROR(__xludf.DUMMYFUNCTION("""COMPUTED_VALUE"""),"why::change::is::required")</f>
        <v>why::change::is::required</v>
      </c>
      <c r="B269" s="105" t="str">
        <f>IFERROR(__xludf.DUMMYFUNCTION("""COMPUTED_VALUE"""),"Configuration issue, Database-related issue, GUI-related issue, Program anomaly issue, Test code-related issue")</f>
        <v>Configuration issue, Database-related issue, GUI-related issue, Program anomaly issue, Test code-related issue</v>
      </c>
      <c r="C269" s="105"/>
      <c r="D269" s="105" t="str">
        <f>IFERROR(__xludf.DUMMYFUNCTION("""COMPUTED_VALUE"""),"providing::clarification::regarding::previous::question")</f>
        <v>providing::clarification::regarding::previous::question</v>
      </c>
      <c r="E269" s="105"/>
      <c r="F269" s="105" t="str">
        <f>IFERROR(__xludf.DUMMYFUNCTION("""COMPUTED_VALUE"""),"not::having::the::proposed::BP/feature::is::the::cause::of::a::bug")</f>
        <v>not::having::the::proposed::BP/feature::is::the::cause::of::a::bug</v>
      </c>
      <c r="G269" s="105"/>
      <c r="H269" s="105"/>
      <c r="I269" s="105"/>
      <c r="J269" s="105"/>
      <c r="K269" s="105"/>
      <c r="L269" s="105"/>
      <c r="M269" s="105"/>
      <c r="N269" s="105"/>
      <c r="O269" s="105"/>
      <c r="P269" s="105" t="str">
        <f>IFERROR(__xludf.DUMMYFUNCTION("""COMPUTED_VALUE"""),"conditioning::a::rebase::(only::if::negative::scores::are::removed)")</f>
        <v>conditioning::a::rebase::(only::if::negative::scores::are::removed)</v>
      </c>
      <c r="Q269" s="105"/>
      <c r="R269" s="105"/>
      <c r="S269" s="105"/>
      <c r="T269" s="105"/>
      <c r="U269" s="105"/>
      <c r="V269" s="105"/>
      <c r="W269" s="105"/>
      <c r="X269" s="105"/>
      <c r="Y269" s="105"/>
      <c r="Z269" s="105"/>
    </row>
    <row r="270">
      <c r="A270" s="105" t="str">
        <f>IFERROR(__xludf.DUMMYFUNCTION("""COMPUTED_VALUE"""),"why::this::is::a::problem")</f>
        <v>why::this::is::a::problem</v>
      </c>
      <c r="B270" s="105" t="str">
        <f>IFERROR(__xludf.DUMMYFUNCTION("""COMPUTED_VALUE"""),"Configuration issue, Database-related issue, GUI-related issue, Security issue, Program anomaly issue")</f>
        <v>Configuration issue, Database-related issue, GUI-related issue, Security issue, Program anomaly issue</v>
      </c>
      <c r="C270" s="105"/>
      <c r="D270" s="105" t="str">
        <f>IFERROR(__xludf.DUMMYFUNCTION("""COMPUTED_VALUE"""),"providing::clarification::regarding::where::to::document")</f>
        <v>providing::clarification::regarding::where::to::document</v>
      </c>
      <c r="E270" s="105"/>
      <c r="F270" s="105" t="str">
        <f>IFERROR(__xludf.DUMMYFUNCTION("""COMPUTED_VALUE"""),"offering::help::for::developing::project")</f>
        <v>offering::help::for::developing::project</v>
      </c>
      <c r="G270" s="105"/>
      <c r="H270" s="105"/>
      <c r="I270" s="105"/>
      <c r="J270" s="105"/>
      <c r="K270" s="105"/>
      <c r="L270" s="105"/>
      <c r="M270" s="105"/>
      <c r="N270" s="105"/>
      <c r="O270" s="105"/>
      <c r="P270" s="105" t="str">
        <f>IFERROR(__xludf.DUMMYFUNCTION("""COMPUTED_VALUE"""),"conditioning::a::refactoring::(only::if::further::changes::are::needed)")</f>
        <v>conditioning::a::refactoring::(only::if::further::changes::are::needed)</v>
      </c>
      <c r="Q270" s="105"/>
      <c r="R270" s="105"/>
      <c r="S270" s="105"/>
      <c r="T270" s="105"/>
      <c r="U270" s="105"/>
      <c r="V270" s="105"/>
      <c r="W270" s="105"/>
      <c r="X270" s="105"/>
      <c r="Y270" s="105"/>
      <c r="Z270" s="105"/>
    </row>
    <row r="271">
      <c r="A271" s="105" t="str">
        <f>IFERROR(__xludf.DUMMYFUNCTION("""COMPUTED_VALUE"""),"will::verify::bug::not::present::(specific::version)")</f>
        <v>will::verify::bug::not::present::(specific::version)</v>
      </c>
      <c r="B271" s="105" t="str">
        <f>IFERROR(__xludf.DUMMYFUNCTION("""COMPUTED_VALUE"""),"Configuration issue, Database-related issue, GUI-related issue, Security issue, Test code-related issue")</f>
        <v>Configuration issue, Database-related issue, GUI-related issue, Security issue, Test code-related issue</v>
      </c>
      <c r="C271" s="105"/>
      <c r="D271" s="105" t="str">
        <f>IFERROR(__xludf.DUMMYFUNCTION("""COMPUTED_VALUE"""),"providing::details::(nova::version)")</f>
        <v>providing::details::(nova::version)</v>
      </c>
      <c r="E271" s="105"/>
      <c r="F271" s="105" t="str">
        <f>IFERROR(__xludf.DUMMYFUNCTION("""COMPUTED_VALUE"""),"offering::help::to::implement::test")</f>
        <v>offering::help::to::implement::test</v>
      </c>
      <c r="G271" s="105"/>
      <c r="H271" s="105"/>
      <c r="I271" s="105"/>
      <c r="J271" s="105"/>
      <c r="K271" s="105"/>
      <c r="L271" s="105"/>
      <c r="M271" s="105"/>
      <c r="N271" s="105"/>
      <c r="O271" s="105"/>
      <c r="P271" s="105" t="str">
        <f>IFERROR(__xludf.DUMMYFUNCTION("""COMPUTED_VALUE"""),"confirming::bug::fixed")</f>
        <v>confirming::bug::fixed</v>
      </c>
      <c r="Q271" s="105"/>
      <c r="R271" s="105"/>
      <c r="S271" s="105"/>
      <c r="T271" s="105"/>
      <c r="U271" s="105"/>
      <c r="V271" s="105"/>
      <c r="W271" s="105"/>
      <c r="X271" s="105"/>
      <c r="Y271" s="105"/>
      <c r="Z271" s="105"/>
    </row>
    <row r="272">
      <c r="A272" s="105"/>
      <c r="B272" s="105" t="str">
        <f>IFERROR(__xludf.DUMMYFUNCTION("""COMPUTED_VALUE"""),"Configuration issue, Database-related issue, Network issue, Performance issue, Permission/deprecation issue")</f>
        <v>Configuration issue, Database-related issue, Network issue, Performance issue, Permission/deprecation issue</v>
      </c>
      <c r="C272" s="105"/>
      <c r="D272" s="105" t="str">
        <f>IFERROR(__xludf.DUMMYFUNCTION("""COMPUTED_VALUE"""),"providing::details::(query::used)")</f>
        <v>providing::details::(query::used)</v>
      </c>
      <c r="E272" s="105"/>
      <c r="F272" s="105" t="str">
        <f>IFERROR(__xludf.DUMMYFUNCTION("""COMPUTED_VALUE"""),"offering::help::to::shephard::reviews")</f>
        <v>offering::help::to::shephard::reviews</v>
      </c>
      <c r="G272" s="105"/>
      <c r="H272" s="105"/>
      <c r="I272" s="105"/>
      <c r="J272" s="105"/>
      <c r="K272" s="105"/>
      <c r="L272" s="105"/>
      <c r="M272" s="105"/>
      <c r="N272" s="105"/>
      <c r="O272" s="105"/>
      <c r="P272" s="105" t="str">
        <f>IFERROR(__xludf.DUMMYFUNCTION("""COMPUTED_VALUE"""),"confirming::possbile::bug")</f>
        <v>confirming::possbile::bug</v>
      </c>
      <c r="Q272" s="105"/>
      <c r="R272" s="105"/>
      <c r="S272" s="105"/>
      <c r="T272" s="105"/>
      <c r="U272" s="105"/>
      <c r="V272" s="105"/>
      <c r="W272" s="105"/>
      <c r="X272" s="105"/>
      <c r="Y272" s="105"/>
      <c r="Z272" s="105"/>
    </row>
    <row r="273">
      <c r="A273" s="105"/>
      <c r="B273" s="105" t="str">
        <f>IFERROR(__xludf.DUMMYFUNCTION("""COMPUTED_VALUE"""),"Configuration issue, Database-related issue, Network issue, Performance issue, Program anomaly issue")</f>
        <v>Configuration issue, Database-related issue, Network issue, Performance issue, Program anomaly issue</v>
      </c>
      <c r="C273" s="105"/>
      <c r="D273" s="105" t="str">
        <f>IFERROR(__xludf.DUMMYFUNCTION("""COMPUTED_VALUE"""),"providing::documentation")</f>
        <v>providing::documentation</v>
      </c>
      <c r="E273" s="105"/>
      <c r="F273" s="105" t="str">
        <f>IFERROR(__xludf.DUMMYFUNCTION("""COMPUTED_VALUE"""),"other::project::that::can::be::benefited::from::the::BP/feature")</f>
        <v>other::project::that::can::be::benefited::from::the::BP/feature</v>
      </c>
      <c r="G273" s="105"/>
      <c r="H273" s="105"/>
      <c r="I273" s="105"/>
      <c r="J273" s="105"/>
      <c r="K273" s="105"/>
      <c r="L273" s="105"/>
      <c r="M273" s="105"/>
      <c r="N273" s="105"/>
      <c r="O273" s="105"/>
      <c r="P273" s="105" t="str">
        <f>IFERROR(__xludf.DUMMYFUNCTION("""COMPUTED_VALUE"""),"content::of::each::patchset")</f>
        <v>content::of::each::patchset</v>
      </c>
      <c r="Q273" s="105"/>
      <c r="R273" s="105"/>
      <c r="S273" s="105"/>
      <c r="T273" s="105"/>
      <c r="U273" s="105"/>
      <c r="V273" s="105"/>
      <c r="W273" s="105"/>
      <c r="X273" s="105"/>
      <c r="Y273" s="105"/>
      <c r="Z273" s="105"/>
    </row>
    <row r="274">
      <c r="A274" s="105"/>
      <c r="B274" s="105" t="str">
        <f>IFERROR(__xludf.DUMMYFUNCTION("""COMPUTED_VALUE"""),"Configuration issue, Database-related issue, Network issue, Performance issue, Security issue")</f>
        <v>Configuration issue, Database-related issue, Network issue, Performance issue, Security issue</v>
      </c>
      <c r="C274" s="105"/>
      <c r="D274" s="105" t="str">
        <f>IFERROR(__xludf.DUMMYFUNCTION("""COMPUTED_VALUE"""),"providing::example::for::expected::outcome")</f>
        <v>providing::example::for::expected::outcome</v>
      </c>
      <c r="E274" s="105"/>
      <c r="F274" s="105" t="str">
        <f>IFERROR(__xludf.DUMMYFUNCTION("""COMPUTED_VALUE"""),"overlap::and::differences::between::similar::functionalities::between::two::development::process::(nova::and::external::developer)")</f>
        <v>overlap::and::differences::between::similar::functionalities::between::two::development::process::(nova::and::external::developer)</v>
      </c>
      <c r="G274" s="105"/>
      <c r="H274" s="105"/>
      <c r="I274" s="105"/>
      <c r="J274" s="105"/>
      <c r="K274" s="105"/>
      <c r="L274" s="105"/>
      <c r="M274" s="105"/>
      <c r="N274" s="105"/>
      <c r="O274" s="105"/>
      <c r="P274" s="105" t="str">
        <f>IFERROR(__xludf.DUMMYFUNCTION("""COMPUTED_VALUE"""),"correcting::own::suggestion")</f>
        <v>correcting::own::suggestion</v>
      </c>
      <c r="Q274" s="105"/>
      <c r="R274" s="105"/>
      <c r="S274" s="105"/>
      <c r="T274" s="105"/>
      <c r="U274" s="105"/>
      <c r="V274" s="105"/>
      <c r="W274" s="105"/>
      <c r="X274" s="105"/>
      <c r="Y274" s="105"/>
      <c r="Z274" s="105"/>
    </row>
    <row r="275">
      <c r="A275" s="105"/>
      <c r="B275" s="105" t="str">
        <f>IFERROR(__xludf.DUMMYFUNCTION("""COMPUTED_VALUE"""),"Configuration issue, Database-related issue, Network issue, Performance issue, Test code-related issue")</f>
        <v>Configuration issue, Database-related issue, Network issue, Performance issue, Test code-related issue</v>
      </c>
      <c r="C275" s="105"/>
      <c r="D275" s="105" t="str">
        <f>IFERROR(__xludf.DUMMYFUNCTION("""COMPUTED_VALUE"""),"providing::example::for::intended::usage::(from::another:issue)")</f>
        <v>providing::example::for::intended::usage::(from::another:issue)</v>
      </c>
      <c r="E275" s="105"/>
      <c r="F275" s="105" t="str">
        <f>IFERROR(__xludf.DUMMYFUNCTION("""COMPUTED_VALUE"""),"patches::that::require::FFE")</f>
        <v>patches::that::require::FFE</v>
      </c>
      <c r="G275" s="105"/>
      <c r="H275" s="105"/>
      <c r="I275" s="105"/>
      <c r="J275" s="105"/>
      <c r="K275" s="105"/>
      <c r="L275" s="105"/>
      <c r="M275" s="105"/>
      <c r="N275" s="105"/>
      <c r="O275" s="105"/>
      <c r="P275" s="105" t="str">
        <f>IFERROR(__xludf.DUMMYFUNCTION("""COMPUTED_VALUE"""),"deferred::to::later::release")</f>
        <v>deferred::to::later::release</v>
      </c>
      <c r="Q275" s="105"/>
      <c r="R275" s="105"/>
      <c r="S275" s="105"/>
      <c r="T275" s="105"/>
      <c r="U275" s="105"/>
      <c r="V275" s="105"/>
      <c r="W275" s="105"/>
      <c r="X275" s="105"/>
      <c r="Y275" s="105"/>
      <c r="Z275" s="105"/>
    </row>
    <row r="276">
      <c r="A276" s="105"/>
      <c r="B276" s="105" t="str">
        <f>IFERROR(__xludf.DUMMYFUNCTION("""COMPUTED_VALUE"""),"Configuration issue, Database-related issue, Network issue, Permission/deprecation issue, Program anomaly issue")</f>
        <v>Configuration issue, Database-related issue, Network issue, Permission/deprecation issue, Program anomaly issue</v>
      </c>
      <c r="C276" s="105"/>
      <c r="D276" s="105" t="str">
        <f>IFERROR(__xludf.DUMMYFUNCTION("""COMPUTED_VALUE"""),"providing::example::for::intended::usage::(per::expected::functionallity)")</f>
        <v>providing::example::for::intended::usage::(per::expected::functionallity)</v>
      </c>
      <c r="E276" s="105"/>
      <c r="F276" s="105" t="str">
        <f>IFERROR(__xludf.DUMMYFUNCTION("""COMPUTED_VALUE"""),"possible::reasons::why::it::has::not::been::merged::(conflict::heavy)")</f>
        <v>possible::reasons::why::it::has::not::been::merged::(conflict::heavy)</v>
      </c>
      <c r="G276" s="105"/>
      <c r="H276" s="105"/>
      <c r="I276" s="105"/>
      <c r="J276" s="105"/>
      <c r="K276" s="105"/>
      <c r="L276" s="105"/>
      <c r="M276" s="105"/>
      <c r="N276" s="105"/>
      <c r="O276" s="105"/>
      <c r="P276" s="105" t="str">
        <f>IFERROR(__xludf.DUMMYFUNCTION("""COMPUTED_VALUE"""),"discussing::about::another::patches::(dependencies::status)")</f>
        <v>discussing::about::another::patches::(dependencies::status)</v>
      </c>
      <c r="Q276" s="105"/>
      <c r="R276" s="105"/>
      <c r="S276" s="105"/>
      <c r="T276" s="105"/>
      <c r="U276" s="105"/>
      <c r="V276" s="105"/>
      <c r="W276" s="105"/>
      <c r="X276" s="105"/>
      <c r="Y276" s="105"/>
      <c r="Z276" s="105"/>
    </row>
    <row r="277">
      <c r="A277" s="105"/>
      <c r="B277" s="105" t="str">
        <f>IFERROR(__xludf.DUMMYFUNCTION("""COMPUTED_VALUE"""),"Configuration issue, Database-related issue, Network issue, Permission/deprecation issue, Security issue")</f>
        <v>Configuration issue, Database-related issue, Network issue, Permission/deprecation issue, Security issue</v>
      </c>
      <c r="C277" s="105"/>
      <c r="D277" s="105" t="str">
        <f>IFERROR(__xludf.DUMMYFUNCTION("""COMPUTED_VALUE"""),"providing::example::for::intended::usage1")</f>
        <v>providing::example::for::intended::usage1</v>
      </c>
      <c r="E277" s="105"/>
      <c r="F277" s="105" t="str">
        <f>IFERROR(__xludf.DUMMYFUNCTION("""COMPUTED_VALUE"""),"precendence::of::the::BP/feature::in::another::development::process")</f>
        <v>precendence::of::the::BP/feature::in::another::development::process</v>
      </c>
      <c r="G277" s="105"/>
      <c r="H277" s="105"/>
      <c r="I277" s="105"/>
      <c r="J277" s="105"/>
      <c r="K277" s="105"/>
      <c r="L277" s="105"/>
      <c r="M277" s="105"/>
      <c r="N277" s="105"/>
      <c r="O277" s="105"/>
      <c r="P277" s="105" t="str">
        <f>IFERROR(__xludf.DUMMYFUNCTION("""COMPUTED_VALUE"""),"discussing::about::another::patches::(dependencies)")</f>
        <v>discussing::about::another::patches::(dependencies)</v>
      </c>
      <c r="Q277" s="105"/>
      <c r="R277" s="105"/>
      <c r="S277" s="105"/>
      <c r="T277" s="105"/>
      <c r="U277" s="105"/>
      <c r="V277" s="105"/>
      <c r="W277" s="105"/>
      <c r="X277" s="105"/>
      <c r="Y277" s="105"/>
      <c r="Z277" s="105"/>
    </row>
    <row r="278">
      <c r="A278" s="105"/>
      <c r="B278" s="105" t="str">
        <f>IFERROR(__xludf.DUMMYFUNCTION("""COMPUTED_VALUE"""),"Configuration issue, Database-related issue, Network issue, Permission/deprecation issue, Test code-related issue")</f>
        <v>Configuration issue, Database-related issue, Network issue, Permission/deprecation issue, Test code-related issue</v>
      </c>
      <c r="C278" s="105"/>
      <c r="D278" s="105" t="str">
        <f>IFERROR(__xludf.DUMMYFUNCTION("""COMPUTED_VALUE"""),"providing::example::for::intended::usage2")</f>
        <v>providing::example::for::intended::usage2</v>
      </c>
      <c r="E278" s="105"/>
      <c r="F278" s="105" t="str">
        <f>IFERROR(__xludf.DUMMYFUNCTION("""COMPUTED_VALUE"""),"problems::encounter::while:.depeloving::BP/feature")</f>
        <v>problems::encounter::while:.depeloving::BP/feature</v>
      </c>
      <c r="G278" s="105"/>
      <c r="H278" s="105"/>
      <c r="I278" s="105"/>
      <c r="J278" s="105"/>
      <c r="K278" s="105"/>
      <c r="L278" s="105"/>
      <c r="M278" s="105"/>
      <c r="N278" s="105"/>
      <c r="O278" s="105"/>
      <c r="P278" s="105" t="str">
        <f>IFERROR(__xludf.DUMMYFUNCTION("""COMPUTED_VALUE"""),"discussing::about::another::patches::another::project::(dependencies::status)")</f>
        <v>discussing::about::another::patches::another::project::(dependencies::status)</v>
      </c>
      <c r="Q278" s="105"/>
      <c r="R278" s="105"/>
      <c r="S278" s="105"/>
      <c r="T278" s="105"/>
      <c r="U278" s="105"/>
      <c r="V278" s="105"/>
      <c r="W278" s="105"/>
      <c r="X278" s="105"/>
      <c r="Y278" s="105"/>
      <c r="Z278" s="105"/>
    </row>
    <row r="279">
      <c r="A279" s="105"/>
      <c r="B279" s="105" t="str">
        <f>IFERROR(__xludf.DUMMYFUNCTION("""COMPUTED_VALUE"""),"Configuration issue, Database-related issue, Network issue, Program anomaly issue, Test code-related issue")</f>
        <v>Configuration issue, Database-related issue, Network issue, Program anomaly issue, Test code-related issue</v>
      </c>
      <c r="C279" s="105"/>
      <c r="D279" s="105" t="str">
        <f>IFERROR(__xludf.DUMMYFUNCTION("""COMPUTED_VALUE"""),"providing::reasons::not::supporting::feature")</f>
        <v>providing::reasons::not::supporting::feature</v>
      </c>
      <c r="E279" s="105"/>
      <c r="F279" s="105" t="str">
        <f>IFERROR(__xludf.DUMMYFUNCTION("""COMPUTED_VALUE"""),"proposal::to::discuss::topic::(related:.to::BP)::in::summit::(global::meeting)")</f>
        <v>proposal::to::discuss::topic::(related:.to::BP)::in::summit::(global::meeting)</v>
      </c>
      <c r="G279" s="105"/>
      <c r="H279" s="105"/>
      <c r="I279" s="105"/>
      <c r="J279" s="105"/>
      <c r="K279" s="105"/>
      <c r="L279" s="105"/>
      <c r="M279" s="105"/>
      <c r="N279" s="105"/>
      <c r="O279" s="105"/>
      <c r="P279" s="105" t="str">
        <f>IFERROR(__xludf.DUMMYFUNCTION("""COMPUTED_VALUE"""),"discussing::about::change")</f>
        <v>discussing::about::change</v>
      </c>
      <c r="Q279" s="105"/>
      <c r="R279" s="105"/>
      <c r="S279" s="105"/>
      <c r="T279" s="105"/>
      <c r="U279" s="105"/>
      <c r="V279" s="105"/>
      <c r="W279" s="105"/>
      <c r="X279" s="105"/>
      <c r="Y279" s="105"/>
      <c r="Z279" s="105"/>
    </row>
    <row r="280">
      <c r="A280" s="105"/>
      <c r="B280" s="105" t="str">
        <f>IFERROR(__xludf.DUMMYFUNCTION("""COMPUTED_VALUE"""),"Configuration issue, Database-related issue, Network issue, Security issue, Program anomaly issue")</f>
        <v>Configuration issue, Database-related issue, Network issue, Security issue, Program anomaly issue</v>
      </c>
      <c r="C280" s="105"/>
      <c r="D280" s="105" t="str">
        <f>IFERROR(__xludf.DUMMYFUNCTION("""COMPUTED_VALUE"""),"providing::reasons::of::the::issue")</f>
        <v>providing::reasons::of::the::issue</v>
      </c>
      <c r="E280" s="105"/>
      <c r="F280" s="105" t="str">
        <f>IFERROR(__xludf.DUMMYFUNCTION("""COMPUTED_VALUE"""),"proposed::alternative::design::solution::(with::code)")</f>
        <v>proposed::alternative::design::solution::(with::code)</v>
      </c>
      <c r="G280" s="105"/>
      <c r="H280" s="105"/>
      <c r="I280" s="105"/>
      <c r="J280" s="105"/>
      <c r="K280" s="105"/>
      <c r="L280" s="105"/>
      <c r="M280" s="105"/>
      <c r="N280" s="105"/>
      <c r="O280" s="105"/>
      <c r="P280" s="105" t="str">
        <f>IFERROR(__xludf.DUMMYFUNCTION("""COMPUTED_VALUE"""),"discussing::about::change::(backwards::compatibility)")</f>
        <v>discussing::about::change::(backwards::compatibility)</v>
      </c>
      <c r="Q280" s="105"/>
      <c r="R280" s="105"/>
      <c r="S280" s="105"/>
      <c r="T280" s="105"/>
      <c r="U280" s="105"/>
      <c r="V280" s="105"/>
      <c r="W280" s="105"/>
      <c r="X280" s="105"/>
      <c r="Y280" s="105"/>
      <c r="Z280" s="105"/>
    </row>
    <row r="281">
      <c r="A281" s="105"/>
      <c r="B281" s="105" t="str">
        <f>IFERROR(__xludf.DUMMYFUNCTION("""COMPUTED_VALUE"""),"Configuration issue, Database-related issue, Network issue, Security issue, Test code-related issue")</f>
        <v>Configuration issue, Database-related issue, Network issue, Security issue, Test code-related issue</v>
      </c>
      <c r="C281" s="105"/>
      <c r="D281" s="105" t="str">
        <f>IFERROR(__xludf.DUMMYFUNCTION("""COMPUTED_VALUE"""),"providing:.clarification::reason::of::the::bug")</f>
        <v>providing:.clarification::reason::of::the::bug</v>
      </c>
      <c r="E281" s="105"/>
      <c r="F281" s="105" t="str">
        <f>IFERROR(__xludf.DUMMYFUNCTION("""COMPUTED_VALUE"""),"proposing::a::solution::to::bug::due::to::new::functionality::that::was::enabled::thanks::to::the::BP")</f>
        <v>proposing::a::solution::to::bug::due::to::new::functionality::that::was::enabled::thanks::to::the::BP</v>
      </c>
      <c r="G281" s="105"/>
      <c r="H281" s="105"/>
      <c r="I281" s="105"/>
      <c r="J281" s="105"/>
      <c r="K281" s="105"/>
      <c r="L281" s="105"/>
      <c r="M281" s="105"/>
      <c r="N281" s="105"/>
      <c r="O281" s="105"/>
      <c r="P281" s="105" t="str">
        <f>IFERROR(__xludf.DUMMYFUNCTION("""COMPUTED_VALUE"""),"discussing::about::change::(blueprint::bp::needed)")</f>
        <v>discussing::about::change::(blueprint::bp::needed)</v>
      </c>
      <c r="Q281" s="105"/>
      <c r="R281" s="105"/>
      <c r="S281" s="105"/>
      <c r="T281" s="105"/>
      <c r="U281" s="105"/>
      <c r="V281" s="105"/>
      <c r="W281" s="105"/>
      <c r="X281" s="105"/>
      <c r="Y281" s="105"/>
      <c r="Z281" s="105"/>
    </row>
    <row r="282">
      <c r="A282" s="105"/>
      <c r="B282" s="105" t="str">
        <f>IFERROR(__xludf.DUMMYFUNCTION("""COMPUTED_VALUE"""),"Configuration issue, Database-related issue, Performance issue, Permission/deprecation issue, Program anomaly issue")</f>
        <v>Configuration issue, Database-related issue, Performance issue, Permission/deprecation issue, Program anomaly issue</v>
      </c>
      <c r="C282" s="105"/>
      <c r="D282" s="105" t="str">
        <f>IFERROR(__xludf.DUMMYFUNCTION("""COMPUTED_VALUE"""),"reason::for::abandoning::the::change::(no::longer::needed::already::being::adressed)::link::another::review")</f>
        <v>reason::for::abandoning::the::change::(no::longer::needed::already::being::adressed)::link::another::review</v>
      </c>
      <c r="E282" s="105"/>
      <c r="F282" s="105" t="str">
        <f>IFERROR(__xludf.DUMMYFUNCTION("""COMPUTED_VALUE"""),"proposing::ask::for::user::feedback::(regarding::usage::of::feature)")</f>
        <v>proposing::ask::for::user::feedback::(regarding::usage::of::feature)</v>
      </c>
      <c r="G282" s="105"/>
      <c r="H282" s="105"/>
      <c r="I282" s="105"/>
      <c r="J282" s="105"/>
      <c r="K282" s="105"/>
      <c r="L282" s="105"/>
      <c r="M282" s="105"/>
      <c r="N282" s="105"/>
      <c r="O282" s="105"/>
      <c r="P282" s="105" t="str">
        <f>IFERROR(__xludf.DUMMYFUNCTION("""COMPUTED_VALUE"""),"discussing::about::change::(issue::with::change)")</f>
        <v>discussing::about::change::(issue::with::change)</v>
      </c>
      <c r="Q282" s="105"/>
      <c r="R282" s="105"/>
      <c r="S282" s="105"/>
      <c r="T282" s="105"/>
      <c r="U282" s="105"/>
      <c r="V282" s="105"/>
      <c r="W282" s="105"/>
      <c r="X282" s="105"/>
      <c r="Y282" s="105"/>
      <c r="Z282" s="105"/>
    </row>
    <row r="283">
      <c r="A283" s="105"/>
      <c r="B283" s="105" t="str">
        <f>IFERROR(__xludf.DUMMYFUNCTION("""COMPUTED_VALUE"""),"Configuration issue, Database-related issue, Performance issue, Permission/deprecation issue, Security issue")</f>
        <v>Configuration issue, Database-related issue, Performance issue, Permission/deprecation issue, Security issue</v>
      </c>
      <c r="C283" s="105"/>
      <c r="D283" s="105" t="str">
        <f>IFERROR(__xludf.DUMMYFUNCTION("""COMPUTED_VALUE"""),"reason::for::abandoning::the::change::(replaced::by::change2)::link::another::review2")</f>
        <v>reason::for::abandoning::the::change::(replaced::by::change2)::link::another::review2</v>
      </c>
      <c r="E283" s="105"/>
      <c r="F283" s="105" t="str">
        <f>IFERROR(__xludf.DUMMYFUNCTION("""COMPUTED_VALUE"""),"proposing::bug::solution::(text)")</f>
        <v>proposing::bug::solution::(text)</v>
      </c>
      <c r="G283" s="105"/>
      <c r="H283" s="105"/>
      <c r="I283" s="105"/>
      <c r="J283" s="105"/>
      <c r="K283" s="105"/>
      <c r="L283" s="105"/>
      <c r="M283" s="105"/>
      <c r="N283" s="105"/>
      <c r="O283" s="105"/>
      <c r="P283" s="105" t="str">
        <f>IFERROR(__xludf.DUMMYFUNCTION("""COMPUTED_VALUE"""),"discussing::about::code::(no::need::of::code)")</f>
        <v>discussing::about::code::(no::need::of::code)</v>
      </c>
      <c r="Q283" s="105"/>
      <c r="R283" s="105"/>
      <c r="S283" s="105"/>
      <c r="T283" s="105"/>
      <c r="U283" s="105"/>
      <c r="V283" s="105"/>
      <c r="W283" s="105"/>
      <c r="X283" s="105"/>
      <c r="Y283" s="105"/>
      <c r="Z283" s="105"/>
    </row>
    <row r="284">
      <c r="A284" s="105"/>
      <c r="B284" s="105" t="str">
        <f>IFERROR(__xludf.DUMMYFUNCTION("""COMPUTED_VALUE"""),"Configuration issue, Database-related issue, Performance issue, Permission/deprecation issue, Test code-related issue")</f>
        <v>Configuration issue, Database-related issue, Performance issue, Permission/deprecation issue, Test code-related issue</v>
      </c>
      <c r="C284" s="105"/>
      <c r="D284" s="105" t="str">
        <f>IFERROR(__xludf.DUMMYFUNCTION("""COMPUTED_VALUE"""),"reason::for::abandoning::the::change2::(replaced::by::change4)::link::another::review4")</f>
        <v>reason::for::abandoning::the::change2::(replaced::by::change4)::link::another::review4</v>
      </c>
      <c r="E284" s="105"/>
      <c r="F284" s="105" t="str">
        <f>IFERROR(__xludf.DUMMYFUNCTION("""COMPUTED_VALUE"""),"proposing::development::project::(as::API)")</f>
        <v>proposing::development::project::(as::API)</v>
      </c>
      <c r="G284" s="105"/>
      <c r="H284" s="105"/>
      <c r="I284" s="105"/>
      <c r="J284" s="105"/>
      <c r="K284" s="105"/>
      <c r="L284" s="105"/>
      <c r="M284" s="105"/>
      <c r="N284" s="105"/>
      <c r="O284" s="105"/>
      <c r="P284" s="105" t="str">
        <f>IFERROR(__xludf.DUMMYFUNCTION("""COMPUTED_VALUE"""),"discussing::about::code::(performance)")</f>
        <v>discussing::about::code::(performance)</v>
      </c>
      <c r="Q284" s="105"/>
      <c r="R284" s="105"/>
      <c r="S284" s="105"/>
      <c r="T284" s="105"/>
      <c r="U284" s="105"/>
      <c r="V284" s="105"/>
      <c r="W284" s="105"/>
      <c r="X284" s="105"/>
      <c r="Y284" s="105"/>
      <c r="Z284" s="105"/>
    </row>
    <row r="285">
      <c r="A285" s="105"/>
      <c r="B285" s="105" t="str">
        <f>IFERROR(__xludf.DUMMYFUNCTION("""COMPUTED_VALUE"""),"Configuration issue, Database-related issue, Performance issue, Program anomaly issue, Test code-related issue")</f>
        <v>Configuration issue, Database-related issue, Performance issue, Program anomaly issue, Test code-related issue</v>
      </c>
      <c r="C285" s="105"/>
      <c r="D285" s="105" t="str">
        <f>IFERROR(__xludf.DUMMYFUNCTION("""COMPUTED_VALUE"""),"reason::of::the::bug")</f>
        <v>reason::of::the::bug</v>
      </c>
      <c r="E285" s="105"/>
      <c r="F285" s="105" t="str">
        <f>IFERROR(__xludf.DUMMYFUNCTION("""COMPUTED_VALUE"""),"proposing::keep::project::as::experimental::project")</f>
        <v>proposing::keep::project::as::experimental::project</v>
      </c>
      <c r="G285" s="105"/>
      <c r="H285" s="105"/>
      <c r="I285" s="105"/>
      <c r="J285" s="105"/>
      <c r="K285" s="105"/>
      <c r="L285" s="105"/>
      <c r="M285" s="105"/>
      <c r="N285" s="105"/>
      <c r="O285" s="105"/>
      <c r="P285" s="105" t="str">
        <f>IFERROR(__xludf.DUMMYFUNCTION("""COMPUTED_VALUE"""),"discussing::about::intended::solution::design")</f>
        <v>discussing::about::intended::solution::design</v>
      </c>
      <c r="Q285" s="105"/>
      <c r="R285" s="105"/>
      <c r="S285" s="105"/>
      <c r="T285" s="105"/>
      <c r="U285" s="105"/>
      <c r="V285" s="105"/>
      <c r="W285" s="105"/>
      <c r="X285" s="105"/>
      <c r="Y285" s="105"/>
      <c r="Z285" s="105"/>
    </row>
    <row r="286">
      <c r="A286" s="105"/>
      <c r="B286" s="105" t="str">
        <f>IFERROR(__xludf.DUMMYFUNCTION("""COMPUTED_VALUE"""),"Configuration issue, Database-related issue, Performance issue, Security issue, Program anomaly issue")</f>
        <v>Configuration issue, Database-related issue, Performance issue, Security issue, Program anomaly issue</v>
      </c>
      <c r="C286" s="105"/>
      <c r="D286" s="105" t="str">
        <f>IFERROR(__xludf.DUMMYFUNCTION("""COMPUTED_VALUE"""),"rebase::required")</f>
        <v>rebase::required</v>
      </c>
      <c r="E286" s="105"/>
      <c r="F286" s="105" t="str">
        <f>IFERROR(__xludf.DUMMYFUNCTION("""COMPUTED_VALUE"""),"proposing::not::allowing::the::BP/feature::FFE::instead::moving::the::changes::to::next::iteration")</f>
        <v>proposing::not::allowing::the::BP/feature::FFE::instead::moving::the::changes::to::next::iteration</v>
      </c>
      <c r="G286" s="105"/>
      <c r="H286" s="105"/>
      <c r="I286" s="105"/>
      <c r="J286" s="105"/>
      <c r="K286" s="105"/>
      <c r="L286" s="105"/>
      <c r="M286" s="105"/>
      <c r="N286" s="105"/>
      <c r="O286" s="105"/>
      <c r="P286" s="105" t="str">
        <f>IFERROR(__xludf.DUMMYFUNCTION("""COMPUTED_VALUE"""),"discussing::about::intended::solution::design::(without::prev::commits)")</f>
        <v>discussing::about::intended::solution::design::(without::prev::commits)</v>
      </c>
      <c r="Q286" s="105"/>
      <c r="R286" s="105"/>
      <c r="S286" s="105"/>
      <c r="T286" s="105"/>
      <c r="U286" s="105"/>
      <c r="V286" s="105"/>
      <c r="W286" s="105"/>
      <c r="X286" s="105"/>
      <c r="Y286" s="105"/>
      <c r="Z286" s="105"/>
    </row>
    <row r="287">
      <c r="A287" s="105"/>
      <c r="B287" s="105" t="str">
        <f>IFERROR(__xludf.DUMMYFUNCTION("""COMPUTED_VALUE"""),"Configuration issue, Database-related issue, Performance issue, Security issue, Test code-related issue")</f>
        <v>Configuration issue, Database-related issue, Performance issue, Security issue, Test code-related issue</v>
      </c>
      <c r="C287" s="105"/>
      <c r="D287" s="105" t="str">
        <f>IFERROR(__xludf.DUMMYFUNCTION("""COMPUTED_VALUE"""),"ref::code::link")</f>
        <v>ref::code::link</v>
      </c>
      <c r="E287" s="105"/>
      <c r="F287" s="105" t="str">
        <f>IFERROR(__xludf.DUMMYFUNCTION("""COMPUTED_VALUE"""),"proposing::reaching::out::users::about::the::usage::of::a::functionality")</f>
        <v>proposing::reaching::out::users::about::the::usage::of::a::functionality</v>
      </c>
      <c r="G287" s="105"/>
      <c r="H287" s="105"/>
      <c r="I287" s="105"/>
      <c r="J287" s="105"/>
      <c r="K287" s="105"/>
      <c r="L287" s="105"/>
      <c r="M287" s="105"/>
      <c r="N287" s="105"/>
      <c r="O287" s="105"/>
      <c r="P287" s="105" t="str">
        <f>IFERROR(__xludf.DUMMYFUNCTION("""COMPUTED_VALUE"""),"discussing::about::intended::test::design")</f>
        <v>discussing::about::intended::test::design</v>
      </c>
      <c r="Q287" s="105"/>
      <c r="R287" s="105"/>
      <c r="S287" s="105"/>
      <c r="T287" s="105"/>
      <c r="U287" s="105"/>
      <c r="V287" s="105"/>
      <c r="W287" s="105"/>
      <c r="X287" s="105"/>
      <c r="Y287" s="105"/>
      <c r="Z287" s="105"/>
    </row>
    <row r="288">
      <c r="A288" s="105"/>
      <c r="B288" s="105" t="str">
        <f>IFERROR(__xludf.DUMMYFUNCTION("""COMPUTED_VALUE"""),"Configuration issue, Database-related issue, Permission/deprecation issue, Program anomaly issue, Test code-related issue")</f>
        <v>Configuration issue, Database-related issue, Permission/deprecation issue, Program anomaly issue, Test code-related issue</v>
      </c>
      <c r="C288" s="105"/>
      <c r="D288" s="105" t="str">
        <f>IFERROR(__xludf.DUMMYFUNCTION("""COMPUTED_VALUE"""),"ref::code::link::(gist)")</f>
        <v>ref::code::link::(gist)</v>
      </c>
      <c r="E288" s="105"/>
      <c r="F288" s="105" t="str">
        <f>IFERROR(__xludf.DUMMYFUNCTION("""COMPUTED_VALUE"""),"proposing::temporary::fix")</f>
        <v>proposing::temporary::fix</v>
      </c>
      <c r="G288" s="105"/>
      <c r="H288" s="105"/>
      <c r="I288" s="105"/>
      <c r="J288" s="105"/>
      <c r="K288" s="105"/>
      <c r="L288" s="105"/>
      <c r="M288" s="105"/>
      <c r="N288" s="105"/>
      <c r="O288" s="105"/>
      <c r="P288" s="105" t="str">
        <f>IFERROR(__xludf.DUMMYFUNCTION("""COMPUTED_VALUE"""),"discussing::about::related::issue")</f>
        <v>discussing::about::related::issue</v>
      </c>
      <c r="Q288" s="105"/>
      <c r="R288" s="105"/>
      <c r="S288" s="105"/>
      <c r="T288" s="105"/>
      <c r="U288" s="105"/>
      <c r="V288" s="105"/>
      <c r="W288" s="105"/>
      <c r="X288" s="105"/>
      <c r="Y288" s="105"/>
      <c r="Z288" s="105"/>
    </row>
    <row r="289">
      <c r="A289" s="105"/>
      <c r="B289" s="105" t="str">
        <f>IFERROR(__xludf.DUMMYFUNCTION("""COMPUTED_VALUE"""),"Configuration issue, Database-related issue, Permission/deprecation issue, Security issue, Program anomaly issue")</f>
        <v>Configuration issue, Database-related issue, Permission/deprecation issue, Security issue, Program anomaly issue</v>
      </c>
      <c r="C289" s="105"/>
      <c r="D289" s="105" t="str">
        <f>IFERROR(__xludf.DUMMYFUNCTION("""COMPUTED_VALUE"""),"ref::CVE References")</f>
        <v>ref::CVE References</v>
      </c>
      <c r="E289" s="105"/>
      <c r="F289" s="105" t="str">
        <f>IFERROR(__xludf.DUMMYFUNCTION("""COMPUTED_VALUE"""),"propossing::design::for::interaction::of::different::projects::(nova::neutron)::due::to::change::introduced::by::the:BP")</f>
        <v>propossing::design::for::interaction::of::different::projects::(nova::neutron)::due::to::change::introduced::by::the:BP</v>
      </c>
      <c r="G289" s="105"/>
      <c r="H289" s="105"/>
      <c r="I289" s="105"/>
      <c r="J289" s="105"/>
      <c r="K289" s="105"/>
      <c r="L289" s="105"/>
      <c r="M289" s="105"/>
      <c r="N289" s="105"/>
      <c r="O289" s="105"/>
      <c r="P289" s="105" t="str">
        <f>IFERROR(__xludf.DUMMYFUNCTION("""COMPUTED_VALUE"""),"discussing::about::reverting::changes")</f>
        <v>discussing::about::reverting::changes</v>
      </c>
      <c r="Q289" s="105"/>
      <c r="R289" s="105"/>
      <c r="S289" s="105"/>
      <c r="T289" s="105"/>
      <c r="U289" s="105"/>
      <c r="V289" s="105"/>
      <c r="W289" s="105"/>
      <c r="X289" s="105"/>
      <c r="Y289" s="105"/>
      <c r="Z289" s="105"/>
    </row>
    <row r="290">
      <c r="A290" s="105"/>
      <c r="B290" s="105" t="str">
        <f>IFERROR(__xludf.DUMMYFUNCTION("""COMPUTED_VALUE"""),"Configuration issue, Database-related issue, Permission/deprecation issue, Security issue, Test code-related issue")</f>
        <v>Configuration issue, Database-related issue, Permission/deprecation issue, Security issue, Test code-related issue</v>
      </c>
      <c r="C290" s="105"/>
      <c r="D290" s="105" t="str">
        <f>IFERROR(__xludf.DUMMYFUNCTION("""COMPUTED_VALUE"""),"ref::external::references")</f>
        <v>ref::external::references</v>
      </c>
      <c r="E290" s="105"/>
      <c r="F290" s="105" t="str">
        <f>IFERROR(__xludf.DUMMYFUNCTION("""COMPUTED_VALUE"""),"pros::design::choice::to::keep::project::inside::nova::(user::importance)")</f>
        <v>pros::design::choice::to::keep::project::inside::nova::(user::importance)</v>
      </c>
      <c r="G290" s="105"/>
      <c r="H290" s="105"/>
      <c r="I290" s="105"/>
      <c r="J290" s="105"/>
      <c r="K290" s="105"/>
      <c r="L290" s="105"/>
      <c r="M290" s="105"/>
      <c r="N290" s="105"/>
      <c r="O290" s="105"/>
      <c r="P290" s="105" t="str">
        <f>IFERROR(__xludf.DUMMYFUNCTION("""COMPUTED_VALUE"""),"discussing::about::security")</f>
        <v>discussing::about::security</v>
      </c>
      <c r="Q290" s="105"/>
      <c r="R290" s="105"/>
      <c r="S290" s="105"/>
      <c r="T290" s="105"/>
      <c r="U290" s="105"/>
      <c r="V290" s="105"/>
      <c r="W290" s="105"/>
      <c r="X290" s="105"/>
      <c r="Y290" s="105"/>
      <c r="Z290" s="105"/>
    </row>
    <row r="291">
      <c r="A291" s="105"/>
      <c r="B291" s="105" t="str">
        <f>IFERROR(__xludf.DUMMYFUNCTION("""COMPUTED_VALUE"""),"Configuration issue, Database-related issue, Security issue, Program anomaly issue, Test code-related issue")</f>
        <v>Configuration issue, Database-related issue, Security issue, Program anomaly issue, Test code-related issue</v>
      </c>
      <c r="C291" s="105"/>
      <c r="D291" s="105" t="str">
        <f>IFERROR(__xludf.DUMMYFUNCTION("""COMPUTED_VALUE"""),"ref::external::references::(documentation)")</f>
        <v>ref::external::references::(documentation)</v>
      </c>
      <c r="E291" s="105"/>
      <c r="F291" s="105" t="str">
        <f>IFERROR(__xludf.DUMMYFUNCTION("""COMPUTED_VALUE"""),"providing::a::clarification::for::proposed::a::solution::to::bug::due::to::new::functionality::that::was::enabled::thanks::to::the::BP")</f>
        <v>providing::a::clarification::for::proposed::a::solution::to::bug::due::to::new::functionality::that::was::enabled::thanks::to::the::BP</v>
      </c>
      <c r="G291" s="105"/>
      <c r="H291" s="105"/>
      <c r="I291" s="105"/>
      <c r="J291" s="105"/>
      <c r="K291" s="105"/>
      <c r="L291" s="105"/>
      <c r="M291" s="105"/>
      <c r="N291" s="105"/>
      <c r="O291" s="105"/>
      <c r="P291" s="105" t="str">
        <f>IFERROR(__xludf.DUMMYFUNCTION("""COMPUTED_VALUE"""),"discussing::about::solution::design")</f>
        <v>discussing::about::solution::design</v>
      </c>
      <c r="Q291" s="105"/>
      <c r="R291" s="105"/>
      <c r="S291" s="105"/>
      <c r="T291" s="105"/>
      <c r="U291" s="105"/>
      <c r="V291" s="105"/>
      <c r="W291" s="105"/>
      <c r="X291" s="105"/>
      <c r="Y291" s="105"/>
      <c r="Z291" s="105"/>
    </row>
    <row r="292">
      <c r="A292" s="105"/>
      <c r="B292" s="105" t="str">
        <f>IFERROR(__xludf.DUMMYFUNCTION("""COMPUTED_VALUE"""),"Configuration issue, GUI-related issue, Network issue, Performance issue, Permission/deprecation issue")</f>
        <v>Configuration issue, GUI-related issue, Network issue, Performance issue, Permission/deprecation issue</v>
      </c>
      <c r="C292" s="105"/>
      <c r="D292" s="105" t="str">
        <f>IFERROR(__xludf.DUMMYFUNCTION("""COMPUTED_VALUE"""),"ref::external::references::(other::projects)")</f>
        <v>ref::external::references::(other::projects)</v>
      </c>
      <c r="E292" s="105"/>
      <c r="F292" s="105" t="str">
        <f>IFERROR(__xludf.DUMMYFUNCTION("""COMPUTED_VALUE"""),"providing::advice::(solution::design)")</f>
        <v>providing::advice::(solution::design)</v>
      </c>
      <c r="G292" s="105"/>
      <c r="H292" s="105"/>
      <c r="I292" s="105"/>
      <c r="J292" s="105"/>
      <c r="K292" s="105"/>
      <c r="L292" s="105"/>
      <c r="M292" s="105"/>
      <c r="N292" s="105"/>
      <c r="O292" s="105"/>
      <c r="P292" s="105" t="str">
        <f>IFERROR(__xludf.DUMMYFUNCTION("""COMPUTED_VALUE"""),"discussing::about::the::change::approach::discussed::previously::(email)")</f>
        <v>discussing::about::the::change::approach::discussed::previously::(email)</v>
      </c>
      <c r="Q292" s="105"/>
      <c r="R292" s="105"/>
      <c r="S292" s="105"/>
      <c r="T292" s="105"/>
      <c r="U292" s="105"/>
      <c r="V292" s="105"/>
      <c r="W292" s="105"/>
      <c r="X292" s="105"/>
      <c r="Y292" s="105"/>
      <c r="Z292" s="105"/>
    </row>
    <row r="293">
      <c r="A293" s="105"/>
      <c r="B293" s="105" t="str">
        <f>IFERROR(__xludf.DUMMYFUNCTION("""COMPUTED_VALUE"""),"Configuration issue, GUI-related issue, Network issue, Performance issue, Program anomaly issue")</f>
        <v>Configuration issue, GUI-related issue, Network issue, Performance issue, Program anomaly issue</v>
      </c>
      <c r="C293" s="105"/>
      <c r="D293" s="105" t="str">
        <f>IFERROR(__xludf.DUMMYFUNCTION("""COMPUTED_VALUE"""),"ref::external::references::(theory::book)")</f>
        <v>ref::external::references::(theory::book)</v>
      </c>
      <c r="E293" s="105"/>
      <c r="F293" s="105" t="str">
        <f>IFERROR(__xludf.DUMMYFUNCTION("""COMPUTED_VALUE"""),"providing::advice::development::process::(meetings)")</f>
        <v>providing::advice::development::process::(meetings)</v>
      </c>
      <c r="G293" s="105"/>
      <c r="H293" s="105"/>
      <c r="I293" s="105"/>
      <c r="J293" s="105"/>
      <c r="K293" s="105"/>
      <c r="L293" s="105"/>
      <c r="M293" s="105"/>
      <c r="N293" s="105"/>
      <c r="O293" s="105"/>
      <c r="P293" s="105" t="str">
        <f>IFERROR(__xludf.DUMMYFUNCTION("""COMPUTED_VALUE"""),"discussing::bad::practice")</f>
        <v>discussing::bad::practice</v>
      </c>
      <c r="Q293" s="105"/>
      <c r="R293" s="105"/>
      <c r="S293" s="105"/>
      <c r="T293" s="105"/>
      <c r="U293" s="105"/>
      <c r="V293" s="105"/>
      <c r="W293" s="105"/>
      <c r="X293" s="105"/>
      <c r="Y293" s="105"/>
      <c r="Z293" s="105"/>
    </row>
    <row r="294">
      <c r="A294" s="105"/>
      <c r="B294" s="105" t="str">
        <f>IFERROR(__xludf.DUMMYFUNCTION("""COMPUTED_VALUE"""),"Configuration issue, GUI-related issue, Network issue, Performance issue, Security issue")</f>
        <v>Configuration issue, GUI-related issue, Network issue, Performance issue, Security issue</v>
      </c>
      <c r="C294" s="105"/>
      <c r="D294" s="105" t="str">
        <f>IFERROR(__xludf.DUMMYFUNCTION("""COMPUTED_VALUE"""),"ref::mailing::list")</f>
        <v>ref::mailing::list</v>
      </c>
      <c r="E294" s="105"/>
      <c r="F294" s="105" t="str">
        <f>IFERROR(__xludf.DUMMYFUNCTION("""COMPUTED_VALUE"""),"providing::advice::development::process::(organizing::developers::groups)")</f>
        <v>providing::advice::development::process::(organizing::developers::groups)</v>
      </c>
      <c r="G294" s="105"/>
      <c r="H294" s="105"/>
      <c r="I294" s="105"/>
      <c r="J294" s="105"/>
      <c r="K294" s="105"/>
      <c r="L294" s="105"/>
      <c r="M294" s="105"/>
      <c r="N294" s="105"/>
      <c r="O294" s="105"/>
      <c r="P294" s="105" t="str">
        <f>IFERROR(__xludf.DUMMYFUNCTION("""COMPUTED_VALUE"""),"discussing::suggestion::refactoring::(change::input::parameter)")</f>
        <v>discussing::suggestion::refactoring::(change::input::parameter)</v>
      </c>
      <c r="Q294" s="105"/>
      <c r="R294" s="105"/>
      <c r="S294" s="105"/>
      <c r="T294" s="105"/>
      <c r="U294" s="105"/>
      <c r="V294" s="105"/>
      <c r="W294" s="105"/>
      <c r="X294" s="105"/>
      <c r="Y294" s="105"/>
      <c r="Z294" s="105"/>
    </row>
    <row r="295">
      <c r="A295" s="105"/>
      <c r="B295" s="105" t="str">
        <f>IFERROR(__xludf.DUMMYFUNCTION("""COMPUTED_VALUE"""),"Configuration issue, GUI-related issue, Network issue, Performance issue, Test code-related issue")</f>
        <v>Configuration issue, GUI-related issue, Network issue, Performance issue, Test code-related issue</v>
      </c>
      <c r="C295" s="105"/>
      <c r="D295" s="105" t="str">
        <f>IFERROR(__xludf.DUMMYFUNCTION("""COMPUTED_VALUE"""),"ref::references::(PR)")</f>
        <v>ref::references::(PR)</v>
      </c>
      <c r="E295" s="105"/>
      <c r="F295" s="105" t="str">
        <f>IFERROR(__xludf.DUMMYFUNCTION("""COMPUTED_VALUE"""),"providing::advice::development::process::(tags::vs::branches::vs::different::project)")</f>
        <v>providing::advice::development::process::(tags::vs::branches::vs::different::project)</v>
      </c>
      <c r="G295" s="105"/>
      <c r="H295" s="105"/>
      <c r="I295" s="105"/>
      <c r="J295" s="105"/>
      <c r="K295" s="105"/>
      <c r="L295" s="105"/>
      <c r="M295" s="105"/>
      <c r="N295" s="105"/>
      <c r="O295" s="105"/>
      <c r="P295" s="105" t="str">
        <f>IFERROR(__xludf.DUMMYFUNCTION("""COMPUTED_VALUE"""),"discussing::suggestion::refactoring::(change::type::function)")</f>
        <v>discussing::suggestion::refactoring::(change::type::function)</v>
      </c>
      <c r="Q295" s="105"/>
      <c r="R295" s="105"/>
      <c r="S295" s="105"/>
      <c r="T295" s="105"/>
      <c r="U295" s="105"/>
      <c r="V295" s="105"/>
      <c r="W295" s="105"/>
      <c r="X295" s="105"/>
      <c r="Y295" s="105"/>
      <c r="Z295" s="105"/>
    </row>
    <row r="296">
      <c r="A296" s="105"/>
      <c r="B296" s="105" t="str">
        <f>IFERROR(__xludf.DUMMYFUNCTION("""COMPUTED_VALUE"""),"Configuration issue, GUI-related issue, Network issue, Permission/deprecation issue, Program anomaly issue")</f>
        <v>Configuration issue, GUI-related issue, Network issue, Permission/deprecation issue, Program anomaly issue</v>
      </c>
      <c r="C296" s="105"/>
      <c r="D296" s="105" t="str">
        <f>IFERROR(__xludf.DUMMYFUNCTION("""COMPUTED_VALUE"""),"reference::previous::meeting::which::agreed::on::proposed::solution")</f>
        <v>reference::previous::meeting::which::agreed::on::proposed::solution</v>
      </c>
      <c r="E296" s="105"/>
      <c r="F296" s="105" t="str">
        <f>IFERROR(__xludf.DUMMYFUNCTION("""COMPUTED_VALUE"""),"providing::advice::development::process::(tests::move::them::out:nova)")</f>
        <v>providing::advice::development::process::(tests::move::them::out:nova)</v>
      </c>
      <c r="G296" s="105"/>
      <c r="H296" s="105"/>
      <c r="I296" s="105"/>
      <c r="J296" s="105"/>
      <c r="K296" s="105"/>
      <c r="L296" s="105"/>
      <c r="M296" s="105"/>
      <c r="N296" s="105"/>
      <c r="O296" s="105"/>
      <c r="P296" s="105" t="str">
        <f>IFERROR(__xludf.DUMMYFUNCTION("""COMPUTED_VALUE"""),"disputing::request::for::assistance::(unrelated)")</f>
        <v>disputing::request::for::assistance::(unrelated)</v>
      </c>
      <c r="Q296" s="105"/>
      <c r="R296" s="105"/>
      <c r="S296" s="105"/>
      <c r="T296" s="105"/>
      <c r="U296" s="105"/>
      <c r="V296" s="105"/>
      <c r="W296" s="105"/>
      <c r="X296" s="105"/>
      <c r="Y296" s="105"/>
      <c r="Z296" s="105"/>
    </row>
    <row r="297">
      <c r="A297" s="105"/>
      <c r="B297" s="105" t="str">
        <f>IFERROR(__xludf.DUMMYFUNCTION("""COMPUTED_VALUE"""),"Configuration issue, GUI-related issue, Network issue, Permission/deprecation issue, Security issue")</f>
        <v>Configuration issue, GUI-related issue, Network issue, Permission/deprecation issue, Security issue</v>
      </c>
      <c r="C297" s="105"/>
      <c r="D297" s="105" t="str">
        <f>IFERROR(__xludf.DUMMYFUNCTION("""COMPUTED_VALUE"""),"reference::previous::message")</f>
        <v>reference::previous::message</v>
      </c>
      <c r="E297" s="105"/>
      <c r="F297" s="105" t="str">
        <f>IFERROR(__xludf.DUMMYFUNCTION("""COMPUTED_VALUE"""),"providing::advice::development::process::(tests::process)")</f>
        <v>providing::advice::development::process::(tests::process)</v>
      </c>
      <c r="G297" s="105"/>
      <c r="H297" s="105"/>
      <c r="I297" s="105"/>
      <c r="J297" s="105"/>
      <c r="K297" s="105"/>
      <c r="L297" s="105"/>
      <c r="M297" s="105"/>
      <c r="N297" s="105"/>
      <c r="O297" s="105"/>
      <c r="P297" s="105" t="str">
        <f>IFERROR(__xludf.DUMMYFUNCTION("""COMPUTED_VALUE"""),"doc::impact::mentioned")</f>
        <v>doc::impact::mentioned</v>
      </c>
      <c r="Q297" s="105"/>
      <c r="R297" s="105"/>
      <c r="S297" s="105"/>
      <c r="T297" s="105"/>
      <c r="U297" s="105"/>
      <c r="V297" s="105"/>
      <c r="W297" s="105"/>
      <c r="X297" s="105"/>
      <c r="Y297" s="105"/>
      <c r="Z297" s="105"/>
    </row>
    <row r="298">
      <c r="A298" s="105"/>
      <c r="B298" s="105" t="str">
        <f>IFERROR(__xludf.DUMMYFUNCTION("""COMPUTED_VALUE"""),"Configuration issue, GUI-related issue, Network issue, Permission/deprecation issue, Test code-related issue")</f>
        <v>Configuration issue, GUI-related issue, Network issue, Permission/deprecation issue, Test code-related issue</v>
      </c>
      <c r="C298" s="105"/>
      <c r="D298" s="105" t="str">
        <f>IFERROR(__xludf.DUMMYFUNCTION("""COMPUTED_VALUE"""),"referer::to::related::bug")</f>
        <v>referer::to::related::bug</v>
      </c>
      <c r="E298" s="105"/>
      <c r="F298" s="105" t="str">
        <f>IFERROR(__xludf.DUMMYFUNCTION("""COMPUTED_VALUE"""),"providing::advice::development::process::(topcs/tags)")</f>
        <v>providing::advice::development::process::(topcs/tags)</v>
      </c>
      <c r="G298" s="105"/>
      <c r="H298" s="105"/>
      <c r="I298" s="105"/>
      <c r="J298" s="105"/>
      <c r="K298" s="105"/>
      <c r="L298" s="105"/>
      <c r="M298" s="105"/>
      <c r="N298" s="105"/>
      <c r="O298" s="105"/>
      <c r="P298" s="105" t="str">
        <f>IFERROR(__xludf.DUMMYFUNCTION("""COMPUTED_VALUE"""),"done::/::will::do")</f>
        <v>done::/::will::do</v>
      </c>
      <c r="Q298" s="105"/>
      <c r="R298" s="105"/>
      <c r="S298" s="105"/>
      <c r="T298" s="105"/>
      <c r="U298" s="105"/>
      <c r="V298" s="105"/>
      <c r="W298" s="105"/>
      <c r="X298" s="105"/>
      <c r="Y298" s="105"/>
      <c r="Z298" s="105"/>
    </row>
    <row r="299">
      <c r="A299" s="105"/>
      <c r="B299" s="105" t="str">
        <f>IFERROR(__xludf.DUMMYFUNCTION("""COMPUTED_VALUE"""),"Configuration issue, GUI-related issue, Network issue, Program anomaly issue, Test code-related issue")</f>
        <v>Configuration issue, GUI-related issue, Network issue, Program anomaly issue, Test code-related issue</v>
      </c>
      <c r="C299" s="105"/>
      <c r="D299" s="105" t="str">
        <f>IFERROR(__xludf.DUMMYFUNCTION("""COMPUTED_VALUE"""),"referer::to::related::bug1")</f>
        <v>referer::to::related::bug1</v>
      </c>
      <c r="E299" s="105"/>
      <c r="F299" s="105" t="str">
        <f>IFERROR(__xludf.DUMMYFUNCTION("""COMPUTED_VALUE"""),"providing::clarification::about::conditions::to::change::status::of::project::(removing:.label::experimental)::which::holds::the::BP")</f>
        <v>providing::clarification::about::conditions::to::change::status::of::project::(removing:.label::experimental)::which::holds::the::BP</v>
      </c>
      <c r="G299" s="105"/>
      <c r="H299" s="105"/>
      <c r="I299" s="105"/>
      <c r="J299" s="105"/>
      <c r="K299" s="105"/>
      <c r="L299" s="105"/>
      <c r="M299" s="105"/>
      <c r="N299" s="105"/>
      <c r="O299" s="105"/>
      <c r="P299" s="105" t="str">
        <f>IFERROR(__xludf.DUMMYFUNCTION("""COMPUTED_VALUE"""),"faild::build")</f>
        <v>faild::build</v>
      </c>
      <c r="Q299" s="105"/>
      <c r="R299" s="105"/>
      <c r="S299" s="105"/>
      <c r="T299" s="105"/>
      <c r="U299" s="105"/>
      <c r="V299" s="105"/>
      <c r="W299" s="105"/>
      <c r="X299" s="105"/>
      <c r="Y299" s="105"/>
      <c r="Z299" s="105"/>
    </row>
    <row r="300">
      <c r="A300" s="105"/>
      <c r="B300" s="105" t="str">
        <f>IFERROR(__xludf.DUMMYFUNCTION("""COMPUTED_VALUE"""),"Configuration issue, GUI-related issue, Network issue, Security issue, Program anomaly issue")</f>
        <v>Configuration issue, GUI-related issue, Network issue, Security issue, Program anomaly issue</v>
      </c>
      <c r="C300" s="105"/>
      <c r="D300" s="105" t="str">
        <f>IFERROR(__xludf.DUMMYFUNCTION("""COMPUTED_VALUE"""),"referer::to::related::issue")</f>
        <v>referer::to::related::issue</v>
      </c>
      <c r="E300" s="105"/>
      <c r="F300" s="105" t="str">
        <f>IFERROR(__xludf.DUMMYFUNCTION("""COMPUTED_VALUE"""),"providing::clarification::about::cons::design::choice::(hybrid::compute::nodes)")</f>
        <v>providing::clarification::about::cons::design::choice::(hybrid::compute::nodes)</v>
      </c>
      <c r="G300" s="105"/>
      <c r="H300" s="105"/>
      <c r="I300" s="105"/>
      <c r="J300" s="105"/>
      <c r="K300" s="105"/>
      <c r="L300" s="105"/>
      <c r="M300" s="105"/>
      <c r="N300" s="105"/>
      <c r="O300" s="105"/>
      <c r="P300" s="105" t="str">
        <f>IFERROR(__xludf.DUMMYFUNCTION("""COMPUTED_VALUE"""),"failed::tests")</f>
        <v>failed::tests</v>
      </c>
      <c r="Q300" s="105"/>
      <c r="R300" s="105"/>
      <c r="S300" s="105"/>
      <c r="T300" s="105"/>
      <c r="U300" s="105"/>
      <c r="V300" s="105"/>
      <c r="W300" s="105"/>
      <c r="X300" s="105"/>
      <c r="Y300" s="105"/>
      <c r="Z300" s="105"/>
    </row>
    <row r="301">
      <c r="A301" s="105"/>
      <c r="B301" s="105" t="str">
        <f>IFERROR(__xludf.DUMMYFUNCTION("""COMPUTED_VALUE"""),"Configuration issue, GUI-related issue, Network issue, Security issue, Test code-related issue")</f>
        <v>Configuration issue, GUI-related issue, Network issue, Security issue, Test code-related issue</v>
      </c>
      <c r="C301" s="105"/>
      <c r="D301" s="105" t="str">
        <f>IFERROR(__xludf.DUMMYFUNCTION("""COMPUTED_VALUE"""),"referer::to::related::review")</f>
        <v>referer::to::related::review</v>
      </c>
      <c r="E301" s="105"/>
      <c r="F301" s="105" t="str">
        <f>IFERROR(__xludf.DUMMYFUNCTION("""COMPUTED_VALUE"""),"providing::clarification::about::design::proposal::for::each::project")</f>
        <v>providing::clarification::about::design::proposal::for::each::project</v>
      </c>
      <c r="G301" s="105"/>
      <c r="H301" s="105"/>
      <c r="I301" s="105"/>
      <c r="J301" s="105"/>
      <c r="K301" s="105"/>
      <c r="L301" s="105"/>
      <c r="M301" s="105"/>
      <c r="N301" s="105"/>
      <c r="O301" s="105"/>
      <c r="P301" s="105" t="str">
        <f>IFERROR(__xludf.DUMMYFUNCTION("""COMPUTED_VALUE"""),"failed::tests::(jenkins)")</f>
        <v>failed::tests::(jenkins)</v>
      </c>
      <c r="Q301" s="105"/>
      <c r="R301" s="105"/>
      <c r="S301" s="105"/>
      <c r="T301" s="105"/>
      <c r="U301" s="105"/>
      <c r="V301" s="105"/>
      <c r="W301" s="105"/>
      <c r="X301" s="105"/>
      <c r="Y301" s="105"/>
      <c r="Z301" s="105"/>
    </row>
    <row r="302">
      <c r="A302" s="105"/>
      <c r="B302" s="105" t="str">
        <f>IFERROR(__xludf.DUMMYFUNCTION("""COMPUTED_VALUE"""),"Configuration issue, GUI-related issue, Performance issue, Permission/deprecation issue, Program anomaly issue")</f>
        <v>Configuration issue, GUI-related issue, Performance issue, Permission/deprecation issue, Program anomaly issue</v>
      </c>
      <c r="C302" s="105"/>
      <c r="D302" s="105" t="str">
        <f>IFERROR(__xludf.DUMMYFUNCTION("""COMPUTED_VALUE"""),"referes::to::another::(BP)")</f>
        <v>referes::to::another::(BP)</v>
      </c>
      <c r="E302" s="105"/>
      <c r="F302" s="105" t="str">
        <f>IFERROR(__xludf.DUMMYFUNCTION("""COMPUTED_VALUE"""),"providing::clarification::about::functionallity::(current::code)")</f>
        <v>providing::clarification::about::functionallity::(current::code)</v>
      </c>
      <c r="G302" s="105"/>
      <c r="H302" s="105"/>
      <c r="I302" s="105"/>
      <c r="J302" s="105"/>
      <c r="K302" s="105"/>
      <c r="L302" s="105"/>
      <c r="M302" s="105"/>
      <c r="N302" s="105"/>
      <c r="O302" s="105"/>
      <c r="P302" s="105" t="str">
        <f>IFERROR(__xludf.DUMMYFUNCTION("""COMPUTED_VALUE"""),"failed::tests::(temptest)")</f>
        <v>failed::tests::(temptest)</v>
      </c>
      <c r="Q302" s="105"/>
      <c r="R302" s="105"/>
      <c r="S302" s="105"/>
      <c r="T302" s="105"/>
      <c r="U302" s="105"/>
      <c r="V302" s="105"/>
      <c r="W302" s="105"/>
      <c r="X302" s="105"/>
      <c r="Y302" s="105"/>
      <c r="Z302" s="105"/>
    </row>
    <row r="303">
      <c r="A303" s="105"/>
      <c r="B303" s="105" t="str">
        <f>IFERROR(__xludf.DUMMYFUNCTION("""COMPUTED_VALUE"""),"Configuration issue, GUI-related issue, Performance issue, Permission/deprecation issue, Security issue")</f>
        <v>Configuration issue, GUI-related issue, Performance issue, Permission/deprecation issue, Security issue</v>
      </c>
      <c r="C303" s="105"/>
      <c r="D303" s="105" t="str">
        <f>IFERROR(__xludf.DUMMYFUNCTION("""COMPUTED_VALUE"""),"referes::to::spec")</f>
        <v>referes::to::spec</v>
      </c>
      <c r="E303" s="105"/>
      <c r="F303" s="105" t="str">
        <f>IFERROR(__xludf.DUMMYFUNCTION("""COMPUTED_VALUE"""),"providing::clarification::about::functionallity::(how::to::enable::in::the::future)")</f>
        <v>providing::clarification::about::functionallity::(how::to::enable::in::the::future)</v>
      </c>
      <c r="G303" s="105"/>
      <c r="H303" s="105"/>
      <c r="I303" s="105"/>
      <c r="J303" s="105"/>
      <c r="K303" s="105"/>
      <c r="L303" s="105"/>
      <c r="M303" s="105"/>
      <c r="N303" s="105"/>
      <c r="O303" s="105"/>
      <c r="P303" s="105" t="str">
        <f>IFERROR(__xludf.DUMMYFUNCTION("""COMPUTED_VALUE"""),"failed::tests::(xenserver)")</f>
        <v>failed::tests::(xenserver)</v>
      </c>
      <c r="Q303" s="105"/>
      <c r="R303" s="105"/>
      <c r="S303" s="105"/>
      <c r="T303" s="105"/>
      <c r="U303" s="105"/>
      <c r="V303" s="105"/>
      <c r="W303" s="105"/>
      <c r="X303" s="105"/>
      <c r="Y303" s="105"/>
      <c r="Z303" s="105"/>
    </row>
    <row r="304">
      <c r="A304" s="105"/>
      <c r="B304" s="105" t="str">
        <f>IFERROR(__xludf.DUMMYFUNCTION("""COMPUTED_VALUE"""),"Configuration issue, GUI-related issue, Performance issue, Permission/deprecation issue, Test code-related issue")</f>
        <v>Configuration issue, GUI-related issue, Performance issue, Permission/deprecation issue, Test code-related issue</v>
      </c>
      <c r="C304" s="105"/>
      <c r="D304" s="105" t="str">
        <f>IFERROR(__xludf.DUMMYFUNCTION("""COMPUTED_VALUE"""),"referes::to::spec::(link::etherpad)")</f>
        <v>referes::to::spec::(link::etherpad)</v>
      </c>
      <c r="E304" s="105"/>
      <c r="F304" s="105" t="str">
        <f>IFERROR(__xludf.DUMMYFUNCTION("""COMPUTED_VALUE"""),"providing::clarification::about::functionallity::(how::to::enable::in::the::future)::design")</f>
        <v>providing::clarification::about::functionallity::(how::to::enable::in::the::future)::design</v>
      </c>
      <c r="G304" s="105"/>
      <c r="H304" s="105"/>
      <c r="I304" s="105"/>
      <c r="J304" s="105"/>
      <c r="K304" s="105"/>
      <c r="L304" s="105"/>
      <c r="M304" s="105"/>
      <c r="N304" s="105"/>
      <c r="O304" s="105"/>
      <c r="P304" s="105" t="str">
        <f>IFERROR(__xludf.DUMMYFUNCTION("""COMPUTED_VALUE"""),"FFE::(feature::freeze::exception)::approved")</f>
        <v>FFE::(feature::freeze::exception)::approved</v>
      </c>
      <c r="Q304" s="105"/>
      <c r="R304" s="105"/>
      <c r="S304" s="105"/>
      <c r="T304" s="105"/>
      <c r="U304" s="105"/>
      <c r="V304" s="105"/>
      <c r="W304" s="105"/>
      <c r="X304" s="105"/>
      <c r="Y304" s="105"/>
      <c r="Z304" s="105"/>
    </row>
    <row r="305">
      <c r="A305" s="105"/>
      <c r="B305" s="105" t="str">
        <f>IFERROR(__xludf.DUMMYFUNCTION("""COMPUTED_VALUE"""),"Configuration issue, GUI-related issue, Performance issue, Program anomaly issue, Test code-related issue")</f>
        <v>Configuration issue, GUI-related issue, Performance issue, Program anomaly issue, Test code-related issue</v>
      </c>
      <c r="C305" s="105"/>
      <c r="D305" s="105" t="str">
        <f>IFERROR(__xludf.DUMMYFUNCTION("""COMPUTED_VALUE"""),"referes::to::spec::(link::review)")</f>
        <v>referes::to::spec::(link::review)</v>
      </c>
      <c r="E305" s="105"/>
      <c r="F305" s="105" t="str">
        <f>IFERROR(__xludf.DUMMYFUNCTION("""COMPUTED_VALUE"""),"providing::clarification::about::intended::development::process")</f>
        <v>providing::clarification::about::intended::development::process</v>
      </c>
      <c r="G305" s="105"/>
      <c r="H305" s="105"/>
      <c r="I305" s="105"/>
      <c r="J305" s="105"/>
      <c r="K305" s="105"/>
      <c r="L305" s="105"/>
      <c r="M305" s="105"/>
      <c r="N305" s="105"/>
      <c r="O305" s="105"/>
      <c r="P305" s="105" t="str">
        <f>IFERROR(__xludf.DUMMYFUNCTION("""COMPUTED_VALUE"""),"FFE::(feature::freeze::exception)::missed::deadline")</f>
        <v>FFE::(feature::freeze::exception)::missed::deadline</v>
      </c>
      <c r="Q305" s="105"/>
      <c r="R305" s="105"/>
      <c r="S305" s="105"/>
      <c r="T305" s="105"/>
      <c r="U305" s="105"/>
      <c r="V305" s="105"/>
      <c r="W305" s="105"/>
      <c r="X305" s="105"/>
      <c r="Y305" s="105"/>
      <c r="Z305" s="105"/>
    </row>
    <row r="306">
      <c r="A306" s="105"/>
      <c r="B306" s="105" t="str">
        <f>IFERROR(__xludf.DUMMYFUNCTION("""COMPUTED_VALUE"""),"Configuration issue, GUI-related issue, Performance issue, Security issue, Program anomaly issue")</f>
        <v>Configuration issue, GUI-related issue, Performance issue, Security issue, Program anomaly issue</v>
      </c>
      <c r="C306" s="105"/>
      <c r="D306" s="105" t="str">
        <f>IFERROR(__xludf.DUMMYFUNCTION("""COMPUTED_VALUE"""),"relation::with::other::BP::work")</f>
        <v>relation::with::other::BP::work</v>
      </c>
      <c r="E306" s="105"/>
      <c r="F306" s="105" t="str">
        <f>IFERROR(__xludf.DUMMYFUNCTION("""COMPUTED_VALUE"""),"providing::clarification::about::intended::solution::design")</f>
        <v>providing::clarification::about::intended::solution::design</v>
      </c>
      <c r="G306" s="105"/>
      <c r="H306" s="105"/>
      <c r="I306" s="105"/>
      <c r="J306" s="105"/>
      <c r="K306" s="105"/>
      <c r="L306" s="105"/>
      <c r="M306" s="105"/>
      <c r="N306" s="105"/>
      <c r="O306" s="105"/>
      <c r="P306" s="105" t="str">
        <f>IFERROR(__xludf.DUMMYFUNCTION("""COMPUTED_VALUE"""),"FFE::(feature::freeze::exception)::request")</f>
        <v>FFE::(feature::freeze::exception)::request</v>
      </c>
      <c r="Q306" s="105"/>
      <c r="R306" s="105"/>
      <c r="S306" s="105"/>
      <c r="T306" s="105"/>
      <c r="U306" s="105"/>
      <c r="V306" s="105"/>
      <c r="W306" s="105"/>
      <c r="X306" s="105"/>
      <c r="Y306" s="105"/>
      <c r="Z306" s="105"/>
    </row>
    <row r="307">
      <c r="A307" s="105"/>
      <c r="B307" s="105" t="str">
        <f>IFERROR(__xludf.DUMMYFUNCTION("""COMPUTED_VALUE"""),"Configuration issue, GUI-related issue, Performance issue, Security issue, Test code-related issue")</f>
        <v>Configuration issue, GUI-related issue, Performance issue, Security issue, Test code-related issue</v>
      </c>
      <c r="C307" s="105"/>
      <c r="D307" s="105" t="str">
        <f>IFERROR(__xludf.DUMMYFUNCTION("""COMPUTED_VALUE"""),"relation::with::other::bug::(no::link)")</f>
        <v>relation::with::other::bug::(no::link)</v>
      </c>
      <c r="E307" s="105"/>
      <c r="F307" s="105" t="str">
        <f>IFERROR(__xludf.DUMMYFUNCTION("""COMPUTED_VALUE"""),"providing::clarification::about::intended::test::setup")</f>
        <v>providing::clarification::about::intended::test::setup</v>
      </c>
      <c r="G307" s="105"/>
      <c r="H307" s="105"/>
      <c r="I307" s="105"/>
      <c r="J307" s="105"/>
      <c r="K307" s="105"/>
      <c r="L307" s="105"/>
      <c r="M307" s="105"/>
      <c r="N307" s="105"/>
      <c r="O307" s="105"/>
      <c r="P307" s="105" t="str">
        <f>IFERROR(__xludf.DUMMYFUNCTION("""COMPUTED_VALUE"""),"FFE::(feature::freeze::exception)::sponsorship")</f>
        <v>FFE::(feature::freeze::exception)::sponsorship</v>
      </c>
      <c r="Q307" s="105"/>
      <c r="R307" s="105"/>
      <c r="S307" s="105"/>
      <c r="T307" s="105"/>
      <c r="U307" s="105"/>
      <c r="V307" s="105"/>
      <c r="W307" s="105"/>
      <c r="X307" s="105"/>
      <c r="Y307" s="105"/>
      <c r="Z307" s="105"/>
    </row>
    <row r="308">
      <c r="A308" s="105"/>
      <c r="B308" s="105" t="str">
        <f>IFERROR(__xludf.DUMMYFUNCTION("""COMPUTED_VALUE"""),"Configuration issue, GUI-related issue, Permission/deprecation issue, Program anomaly issue, Test code-related issue")</f>
        <v>Configuration issue, GUI-related issue, Permission/deprecation issue, Program anomaly issue, Test code-related issue</v>
      </c>
      <c r="C308" s="105"/>
      <c r="D308" s="105" t="str">
        <f>IFERROR(__xludf.DUMMYFUNCTION("""COMPUTED_VALUE"""),"requesting::add::desciption::requirements::(testing::purposes)")</f>
        <v>requesting::add::desciption::requirements::(testing::purposes)</v>
      </c>
      <c r="E308" s="105"/>
      <c r="F308" s="105" t="str">
        <f>IFERROR(__xludf.DUMMYFUNCTION("""COMPUTED_VALUE"""),"providing::clarification::about::more::details::of::the::design::choice::(flow)")</f>
        <v>providing::clarification::about::more::details::of::the::design::choice::(flow)</v>
      </c>
      <c r="G308" s="105"/>
      <c r="H308" s="105"/>
      <c r="I308" s="105"/>
      <c r="J308" s="105"/>
      <c r="K308" s="105"/>
      <c r="L308" s="105"/>
      <c r="M308" s="105"/>
      <c r="N308" s="105"/>
      <c r="O308" s="105"/>
      <c r="P308" s="105" t="str">
        <f>IFERROR(__xludf.DUMMYFUNCTION("""COMPUTED_VALUE"""),"goal::of::blueprint::(improvement)")</f>
        <v>goal::of::blueprint::(improvement)</v>
      </c>
      <c r="Q308" s="105"/>
      <c r="R308" s="105"/>
      <c r="S308" s="105"/>
      <c r="T308" s="105"/>
      <c r="U308" s="105"/>
      <c r="V308" s="105"/>
      <c r="W308" s="105"/>
      <c r="X308" s="105"/>
      <c r="Y308" s="105"/>
      <c r="Z308" s="105"/>
    </row>
    <row r="309">
      <c r="A309" s="105"/>
      <c r="B309" s="105" t="str">
        <f>IFERROR(__xludf.DUMMYFUNCTION("""COMPUTED_VALUE"""),"Configuration issue, GUI-related issue, Permission/deprecation issue, Security issue, Program anomaly issue")</f>
        <v>Configuration issue, GUI-related issue, Permission/deprecation issue, Security issue, Program anomaly issue</v>
      </c>
      <c r="C309" s="105"/>
      <c r="D309" s="105" t="str">
        <f>IFERROR(__xludf.DUMMYFUNCTION("""COMPUTED_VALUE"""),"requesting::add::details::(description)")</f>
        <v>requesting::add::details::(description)</v>
      </c>
      <c r="E309" s="105"/>
      <c r="F309" s="105" t="str">
        <f>IFERROR(__xludf.DUMMYFUNCTION("""COMPUTED_VALUE"""),"providing::clarification::about::responsibilities")</f>
        <v>providing::clarification::about::responsibilities</v>
      </c>
      <c r="G309" s="105"/>
      <c r="H309" s="105"/>
      <c r="I309" s="105"/>
      <c r="J309" s="105"/>
      <c r="K309" s="105"/>
      <c r="L309" s="105"/>
      <c r="M309" s="105"/>
      <c r="N309" s="105"/>
      <c r="O309" s="105"/>
      <c r="P309" s="105" t="str">
        <f>IFERROR(__xludf.DUMMYFUNCTION("""COMPUTED_VALUE"""),"highlights::importance::(for::specific::modules)")</f>
        <v>highlights::importance::(for::specific::modules)</v>
      </c>
      <c r="Q309" s="105"/>
      <c r="R309" s="105"/>
      <c r="S309" s="105"/>
      <c r="T309" s="105"/>
      <c r="U309" s="105"/>
      <c r="V309" s="105"/>
      <c r="W309" s="105"/>
      <c r="X309" s="105"/>
      <c r="Y309" s="105"/>
      <c r="Z309" s="105"/>
    </row>
    <row r="310">
      <c r="A310" s="105"/>
      <c r="B310" s="105" t="str">
        <f>IFERROR(__xludf.DUMMYFUNCTION("""COMPUTED_VALUE"""),"Configuration issue, GUI-related issue, Permission/deprecation issue, Security issue, Test code-related issue")</f>
        <v>Configuration issue, GUI-related issue, Permission/deprecation issue, Security issue, Test code-related issue</v>
      </c>
      <c r="C310" s="105"/>
      <c r="D310" s="105" t="str">
        <f>IFERROR(__xludf.DUMMYFUNCTION("""COMPUTED_VALUE"""),"requesting:developing::process::(review::patches)")</f>
        <v>requesting:developing::process::(review::patches)</v>
      </c>
      <c r="E310" s="105"/>
      <c r="F310" s="105" t="str">
        <f>IFERROR(__xludf.DUMMYFUNCTION("""COMPUTED_VALUE"""),"providing::clarification::about::solution::design")</f>
        <v>providing::clarification::about::solution::design</v>
      </c>
      <c r="G310" s="105"/>
      <c r="H310" s="105"/>
      <c r="I310" s="105"/>
      <c r="J310" s="105"/>
      <c r="K310" s="105"/>
      <c r="L310" s="105"/>
      <c r="M310" s="105"/>
      <c r="N310" s="105"/>
      <c r="O310" s="105"/>
      <c r="P310" s="105" t="str">
        <f>IFERROR(__xludf.DUMMYFUNCTION("""COMPUTED_VALUE"""),"highlights::importance::(of::solution)")</f>
        <v>highlights::importance::(of::solution)</v>
      </c>
      <c r="Q310" s="105"/>
      <c r="R310" s="105"/>
      <c r="S310" s="105"/>
      <c r="T310" s="105"/>
      <c r="U310" s="105"/>
      <c r="V310" s="105"/>
      <c r="W310" s="105"/>
      <c r="X310" s="105"/>
      <c r="Y310" s="105"/>
      <c r="Z310" s="105"/>
    </row>
    <row r="311">
      <c r="A311" s="105"/>
      <c r="B311" s="105" t="str">
        <f>IFERROR(__xludf.DUMMYFUNCTION("""COMPUTED_VALUE"""),"Configuration issue, GUI-related issue, Security issue, Program anomaly issue, Test code-related issue")</f>
        <v>Configuration issue, GUI-related issue, Security issue, Program anomaly issue, Test code-related issue</v>
      </c>
      <c r="C311" s="105"/>
      <c r="D311" s="105" t="str">
        <f>IFERROR(__xludf.DUMMYFUNCTION("""COMPUTED_VALUE"""),"requesting:developing::process::(tidy::up::patches)")</f>
        <v>requesting:developing::process::(tidy::up::patches)</v>
      </c>
      <c r="E311" s="105"/>
      <c r="F311" s="105" t="str">
        <f>IFERROR(__xludf.DUMMYFUNCTION("""COMPUTED_VALUE"""),"providing::clarification::about::solution::design::(components::of::the::solution)")</f>
        <v>providing::clarification::about::solution::design::(components::of::the::solution)</v>
      </c>
      <c r="G311" s="105"/>
      <c r="H311" s="105"/>
      <c r="I311" s="105"/>
      <c r="J311" s="105"/>
      <c r="K311" s="105"/>
      <c r="L311" s="105"/>
      <c r="M311" s="105"/>
      <c r="N311" s="105"/>
      <c r="O311" s="105"/>
      <c r="P311" s="105" t="str">
        <f>IFERROR(__xludf.DUMMYFUNCTION("""COMPUTED_VALUE"""),"highlights::missunderstanding")</f>
        <v>highlights::missunderstanding</v>
      </c>
      <c r="Q311" s="105"/>
      <c r="R311" s="105"/>
      <c r="S311" s="105"/>
      <c r="T311" s="105"/>
      <c r="U311" s="105"/>
      <c r="V311" s="105"/>
      <c r="W311" s="105"/>
      <c r="X311" s="105"/>
      <c r="Y311" s="105"/>
      <c r="Z311" s="105"/>
    </row>
    <row r="312">
      <c r="A312" s="105"/>
      <c r="B312" s="105" t="str">
        <f>IFERROR(__xludf.DUMMYFUNCTION("""COMPUTED_VALUE"""),"Configuration issue, Network issue, Performance issue, Permission/deprecation issue, Program anomaly issue")</f>
        <v>Configuration issue, Network issue, Performance issue, Permission/deprecation issue, Program anomaly issue</v>
      </c>
      <c r="C312" s="105"/>
      <c r="D312" s="105" t="str">
        <f>IFERROR(__xludf.DUMMYFUNCTION("""COMPUTED_VALUE"""),"reviews::addressing::bug")</f>
        <v>reviews::addressing::bug</v>
      </c>
      <c r="E312" s="105"/>
      <c r="F312" s="105" t="str">
        <f>IFERROR(__xludf.DUMMYFUNCTION("""COMPUTED_VALUE"""),"providing::clarification::about::status::of::project::(removing:.label::experimental)::which::holds::the::BP")</f>
        <v>providing::clarification::about::status::of::project::(removing:.label::experimental)::which::holds::the::BP</v>
      </c>
      <c r="G312" s="105"/>
      <c r="H312" s="105"/>
      <c r="I312" s="105"/>
      <c r="J312" s="105"/>
      <c r="K312" s="105"/>
      <c r="L312" s="105"/>
      <c r="M312" s="105"/>
      <c r="N312" s="105"/>
      <c r="O312" s="105"/>
      <c r="P312" s="105" t="str">
        <f>IFERROR(__xludf.DUMMYFUNCTION("""COMPUTED_VALUE"""),"ignoring::noticing::code::duplication")</f>
        <v>ignoring::noticing::code::duplication</v>
      </c>
      <c r="Q312" s="105"/>
      <c r="R312" s="105"/>
      <c r="S312" s="105"/>
      <c r="T312" s="105"/>
      <c r="U312" s="105"/>
      <c r="V312" s="105"/>
      <c r="W312" s="105"/>
      <c r="X312" s="105"/>
      <c r="Y312" s="105"/>
      <c r="Z312" s="105"/>
    </row>
    <row r="313">
      <c r="A313" s="105"/>
      <c r="B313" s="105" t="str">
        <f>IFERROR(__xludf.DUMMYFUNCTION("""COMPUTED_VALUE"""),"Configuration issue, Network issue, Performance issue, Permission/deprecation issue, Security issue")</f>
        <v>Configuration issue, Network issue, Performance issue, Permission/deprecation issue, Security issue</v>
      </c>
      <c r="C313" s="105"/>
      <c r="D313" s="105" t="str">
        <f>IFERROR(__xludf.DUMMYFUNCTION("""COMPUTED_VALUE"""),"reviews::addressing::bug::(status)")</f>
        <v>reviews::addressing::bug::(status)</v>
      </c>
      <c r="E313" s="105"/>
      <c r="F313" s="105" t="str">
        <f>IFERROR(__xludf.DUMMYFUNCTION("""COMPUTED_VALUE"""),"providing::clarification::current::design")</f>
        <v>providing::clarification::current::design</v>
      </c>
      <c r="G313" s="105"/>
      <c r="H313" s="105"/>
      <c r="I313" s="105"/>
      <c r="J313" s="105"/>
      <c r="K313" s="105"/>
      <c r="L313" s="105"/>
      <c r="M313" s="105"/>
      <c r="N313" s="105"/>
      <c r="O313" s="105"/>
      <c r="P313" s="105" t="str">
        <f>IFERROR(__xludf.DUMMYFUNCTION("""COMPUTED_VALUE"""),"informing::added::new::PR")</f>
        <v>informing::added::new::PR</v>
      </c>
      <c r="Q313" s="105"/>
      <c r="R313" s="105"/>
      <c r="S313" s="105"/>
      <c r="T313" s="105"/>
      <c r="U313" s="105"/>
      <c r="V313" s="105"/>
      <c r="W313" s="105"/>
      <c r="X313" s="105"/>
      <c r="Y313" s="105"/>
      <c r="Z313" s="105"/>
    </row>
    <row r="314">
      <c r="A314" s="105"/>
      <c r="B314" s="105" t="str">
        <f>IFERROR(__xludf.DUMMYFUNCTION("""COMPUTED_VALUE"""),"Configuration issue, Network issue, Performance issue, Permission/deprecation issue, Test code-related issue")</f>
        <v>Configuration issue, Network issue, Performance issue, Permission/deprecation issue, Test code-related issue</v>
      </c>
      <c r="C314" s="105"/>
      <c r="D314" s="105" t="str">
        <f>IFERROR(__xludf.DUMMYFUNCTION("""COMPUTED_VALUE"""),"reviews::addressing::feature")</f>
        <v>reviews::addressing::feature</v>
      </c>
      <c r="E314" s="105"/>
      <c r="F314" s="105" t="str">
        <f>IFERROR(__xludf.DUMMYFUNCTION("""COMPUTED_VALUE"""),"providing::clarification::interaction::of::different::projects::(nova::neutron)::with::the::change::introduced::by::the:BP")</f>
        <v>providing::clarification::interaction::of::different::projects::(nova::neutron)::with::the::change::introduced::by::the:BP</v>
      </c>
      <c r="G314" s="105"/>
      <c r="H314" s="105"/>
      <c r="I314" s="105"/>
      <c r="J314" s="105"/>
      <c r="K314" s="105"/>
      <c r="L314" s="105"/>
      <c r="M314" s="105"/>
      <c r="N314" s="105"/>
      <c r="O314" s="105"/>
      <c r="P314" s="105" t="str">
        <f>IFERROR(__xludf.DUMMYFUNCTION("""COMPUTED_VALUE"""),"informing::adding::label")</f>
        <v>informing::adding::label</v>
      </c>
      <c r="Q314" s="105"/>
      <c r="R314" s="105"/>
      <c r="S314" s="105"/>
      <c r="T314" s="105"/>
      <c r="U314" s="105"/>
      <c r="V314" s="105"/>
      <c r="W314" s="105"/>
      <c r="X314" s="105"/>
      <c r="Y314" s="105"/>
      <c r="Z314" s="105"/>
    </row>
    <row r="315">
      <c r="A315" s="105"/>
      <c r="B315" s="105" t="str">
        <f>IFERROR(__xludf.DUMMYFUNCTION("""COMPUTED_VALUE"""),"Configuration issue, Network issue, Performance issue, Program anomaly issue, Test code-related issue")</f>
        <v>Configuration issue, Network issue, Performance issue, Program anomaly issue, Test code-related issue</v>
      </c>
      <c r="C315" s="105"/>
      <c r="D315" s="105" t="str">
        <f>IFERROR(__xludf.DUMMYFUNCTION("""COMPUTED_VALUE"""),"security::enhancements")</f>
        <v>security::enhancements</v>
      </c>
      <c r="E315" s="105"/>
      <c r="F315" s="105" t="str">
        <f>IFERROR(__xludf.DUMMYFUNCTION("""COMPUTED_VALUE"""),"providing::clarification::of::backporting::other::features::of::the::same::release::of::BP::(oportunistic::approach)")</f>
        <v>providing::clarification::of::backporting::other::features::of::the::same::release::of::BP::(oportunistic::approach)</v>
      </c>
      <c r="G315" s="105"/>
      <c r="H315" s="105"/>
      <c r="I315" s="105"/>
      <c r="J315" s="105"/>
      <c r="K315" s="105"/>
      <c r="L315" s="105"/>
      <c r="M315" s="105"/>
      <c r="N315" s="105"/>
      <c r="O315" s="105"/>
      <c r="P315" s="105" t="str">
        <f>IFERROR(__xludf.DUMMYFUNCTION("""COMPUTED_VALUE"""),"informing::backwards::compatebility::broken")</f>
        <v>informing::backwards::compatebility::broken</v>
      </c>
      <c r="Q315" s="105"/>
      <c r="R315" s="105"/>
      <c r="S315" s="105"/>
      <c r="T315" s="105"/>
      <c r="U315" s="105"/>
      <c r="V315" s="105"/>
      <c r="W315" s="105"/>
      <c r="X315" s="105"/>
      <c r="Y315" s="105"/>
      <c r="Z315" s="105"/>
    </row>
    <row r="316">
      <c r="A316" s="105"/>
      <c r="B316" s="105" t="str">
        <f>IFERROR(__xludf.DUMMYFUNCTION("""COMPUTED_VALUE"""),"Configuration issue, Network issue, Performance issue, Security issue, Program anomaly issue")</f>
        <v>Configuration issue, Network issue, Performance issue, Security issue, Program anomaly issue</v>
      </c>
      <c r="C316" s="105"/>
      <c r="D316" s="105" t="str">
        <f>IFERROR(__xludf.DUMMYFUNCTION("""COMPUTED_VALUE"""),"situation::where::bug::appears")</f>
        <v>situation::where::bug::appears</v>
      </c>
      <c r="E316" s="105"/>
      <c r="F316" s="105" t="str">
        <f>IFERROR(__xludf.DUMMYFUNCTION("""COMPUTED_VALUE"""),"providing::clarifications::about::bug::trace::implications")</f>
        <v>providing::clarifications::about::bug::trace::implications</v>
      </c>
      <c r="G316" s="105"/>
      <c r="H316" s="105"/>
      <c r="I316" s="105"/>
      <c r="J316" s="105"/>
      <c r="K316" s="105"/>
      <c r="L316" s="105"/>
      <c r="M316" s="105"/>
      <c r="N316" s="105"/>
      <c r="O316" s="105"/>
      <c r="P316" s="105" t="str">
        <f>IFERROR(__xludf.DUMMYFUNCTION("""COMPUTED_VALUE"""),"informing::bad::practice")</f>
        <v>informing::bad::practice</v>
      </c>
      <c r="Q316" s="105"/>
      <c r="R316" s="105"/>
      <c r="S316" s="105"/>
      <c r="T316" s="105"/>
      <c r="U316" s="105"/>
      <c r="V316" s="105"/>
      <c r="W316" s="105"/>
      <c r="X316" s="105"/>
      <c r="Y316" s="105"/>
      <c r="Z316" s="105"/>
    </row>
    <row r="317">
      <c r="A317" s="105"/>
      <c r="B317" s="105" t="str">
        <f>IFERROR(__xludf.DUMMYFUNCTION("""COMPUTED_VALUE"""),"Configuration issue, Network issue, Performance issue, Security issue, Test code-related issue")</f>
        <v>Configuration issue, Network issue, Performance issue, Security issue, Test code-related issue</v>
      </c>
      <c r="C317" s="105"/>
      <c r="D317" s="105" t="str">
        <f>IFERROR(__xludf.DUMMYFUNCTION("""COMPUTED_VALUE"""),"source::of::the::bug::(code::link)")</f>
        <v>source::of::the::bug::(code::link)</v>
      </c>
      <c r="E317" s="105"/>
      <c r="F317" s="105" t="str">
        <f>IFERROR(__xludf.DUMMYFUNCTION("""COMPUTED_VALUE"""),"providing::clarifications::about::development::process::(tests::process)")</f>
        <v>providing::clarifications::about::development::process::(tests::process)</v>
      </c>
      <c r="G317" s="105"/>
      <c r="H317" s="105"/>
      <c r="I317" s="105"/>
      <c r="J317" s="105"/>
      <c r="K317" s="105"/>
      <c r="L317" s="105"/>
      <c r="M317" s="105"/>
      <c r="N317" s="105"/>
      <c r="O317" s="105"/>
      <c r="P317" s="105" t="str">
        <f>IFERROR(__xludf.DUMMYFUNCTION("""COMPUTED_VALUE"""),"informing::blocking::change::(vote::codereview-2)::(core::reviewer)")</f>
        <v>informing::blocking::change::(vote::codereview-2)::(core::reviewer)</v>
      </c>
      <c r="Q317" s="105"/>
      <c r="R317" s="105"/>
      <c r="S317" s="105"/>
      <c r="T317" s="105"/>
      <c r="U317" s="105"/>
      <c r="V317" s="105"/>
      <c r="W317" s="105"/>
      <c r="X317" s="105"/>
      <c r="Y317" s="105"/>
      <c r="Z317" s="105"/>
    </row>
    <row r="318">
      <c r="A318" s="105"/>
      <c r="B318" s="105" t="str">
        <f>IFERROR(__xludf.DUMMYFUNCTION("""COMPUTED_VALUE"""),"Configuration issue, Network issue, Permission/deprecation issue, Program anomaly issue, Test code-related issue")</f>
        <v>Configuration issue, Network issue, Permission/deprecation issue, Program anomaly issue, Test code-related issue</v>
      </c>
      <c r="C318" s="105"/>
      <c r="D318" s="105" t="str">
        <f>IFERROR(__xludf.DUMMYFUNCTION("""COMPUTED_VALUE"""),"source::of::the::bug::(hash::commit)")</f>
        <v>source::of::the::bug::(hash::commit)</v>
      </c>
      <c r="E318" s="105"/>
      <c r="F318" s="105" t="str">
        <f>IFERROR(__xludf.DUMMYFUNCTION("""COMPUTED_VALUE"""),"providing::clarifications::about::plan::development::process")</f>
        <v>providing::clarifications::about::plan::development::process</v>
      </c>
      <c r="G318" s="105"/>
      <c r="H318" s="105"/>
      <c r="I318" s="105"/>
      <c r="J318" s="105"/>
      <c r="K318" s="105"/>
      <c r="L318" s="105"/>
      <c r="M318" s="105"/>
      <c r="N318" s="105"/>
      <c r="O318" s="105"/>
      <c r="P318" s="105" t="str">
        <f>IFERROR(__xludf.DUMMYFUNCTION("""COMPUTED_VALUE"""),"informing::BP::approved")</f>
        <v>informing::BP::approved</v>
      </c>
      <c r="Q318" s="105"/>
      <c r="R318" s="105"/>
      <c r="S318" s="105"/>
      <c r="T318" s="105"/>
      <c r="U318" s="105"/>
      <c r="V318" s="105"/>
      <c r="W318" s="105"/>
      <c r="X318" s="105"/>
      <c r="Y318" s="105"/>
      <c r="Z318" s="105"/>
    </row>
    <row r="319">
      <c r="A319" s="105"/>
      <c r="B319" s="105" t="str">
        <f>IFERROR(__xludf.DUMMYFUNCTION("""COMPUTED_VALUE"""),"Configuration issue, Network issue, Permission/deprecation issue, Security issue, Program anomaly issue")</f>
        <v>Configuration issue, Network issue, Permission/deprecation issue, Security issue, Program anomaly issue</v>
      </c>
      <c r="C319" s="105"/>
      <c r="D319" s="105" t="str">
        <f>IFERROR(__xludf.DUMMYFUNCTION("""COMPUTED_VALUE"""),"source::of::the::bug::(issue::link)")</f>
        <v>source::of::the::bug::(issue::link)</v>
      </c>
      <c r="E319" s="105"/>
      <c r="F319" s="105" t="str">
        <f>IFERROR(__xludf.DUMMYFUNCTION("""COMPUTED_VALUE"""),"providing::example::(use::case)")</f>
        <v>providing::example::(use::case)</v>
      </c>
      <c r="G319" s="105"/>
      <c r="H319" s="105"/>
      <c r="I319" s="105"/>
      <c r="J319" s="105"/>
      <c r="K319" s="105"/>
      <c r="L319" s="105"/>
      <c r="M319" s="105"/>
      <c r="N319" s="105"/>
      <c r="O319" s="105"/>
      <c r="P319" s="105" t="str">
        <f>IFERROR(__xludf.DUMMYFUNCTION("""COMPUTED_VALUE"""),"informing::BP::status")</f>
        <v>informing::BP::status</v>
      </c>
      <c r="Q319" s="105"/>
      <c r="R319" s="105"/>
      <c r="S319" s="105"/>
      <c r="T319" s="105"/>
      <c r="U319" s="105"/>
      <c r="V319" s="105"/>
      <c r="W319" s="105"/>
      <c r="X319" s="105"/>
      <c r="Y319" s="105"/>
      <c r="Z319" s="105"/>
    </row>
    <row r="320">
      <c r="A320" s="105"/>
      <c r="B320" s="105" t="str">
        <f>IFERROR(__xludf.DUMMYFUNCTION("""COMPUTED_VALUE"""),"Configuration issue, Network issue, Permission/deprecation issue, Security issue, Test code-related issue")</f>
        <v>Configuration issue, Network issue, Permission/deprecation issue, Security issue, Test code-related issue</v>
      </c>
      <c r="C320" s="105"/>
      <c r="D320" s="105" t="str">
        <f>IFERROR(__xludf.DUMMYFUNCTION("""COMPUTED_VALUE"""),"status::of::feature")</f>
        <v>status::of::feature</v>
      </c>
      <c r="E320" s="105"/>
      <c r="F320" s="105" t="str">
        <f>IFERROR(__xludf.DUMMYFUNCTION("""COMPUTED_VALUE"""),"proving::aswer::about::dependencies::of::BP::with::NOVA")</f>
        <v>proving::aswer::about::dependencies::of::BP::with::NOVA</v>
      </c>
      <c r="G320" s="105"/>
      <c r="H320" s="105"/>
      <c r="I320" s="105"/>
      <c r="J320" s="105"/>
      <c r="K320" s="105"/>
      <c r="L320" s="105"/>
      <c r="M320" s="105"/>
      <c r="N320" s="105"/>
      <c r="O320" s="105"/>
      <c r="P320" s="105" t="str">
        <f>IFERROR(__xludf.DUMMYFUNCTION("""COMPUTED_VALUE"""),"informing::broken::functionallity::after::submitting::changes")</f>
        <v>informing::broken::functionallity::after::submitting::changes</v>
      </c>
      <c r="Q320" s="105"/>
      <c r="R320" s="105"/>
      <c r="S320" s="105"/>
      <c r="T320" s="105"/>
      <c r="U320" s="105"/>
      <c r="V320" s="105"/>
      <c r="W320" s="105"/>
      <c r="X320" s="105"/>
      <c r="Y320" s="105"/>
      <c r="Z320" s="105"/>
    </row>
    <row r="321">
      <c r="A321" s="105"/>
      <c r="B321" s="105" t="str">
        <f>IFERROR(__xludf.DUMMYFUNCTION("""COMPUTED_VALUE"""),"Configuration issue, Network issue, Security issue, Program anomaly issue, Test code-related issue")</f>
        <v>Configuration issue, Network issue, Security issue, Program anomaly issue, Test code-related issue</v>
      </c>
      <c r="C321" s="105"/>
      <c r="D321" s="105" t="str">
        <f>IFERROR(__xludf.DUMMYFUNCTION("""COMPUTED_VALUE"""),"status::of::patches")</f>
        <v>status::of::patches</v>
      </c>
      <c r="E321" s="105"/>
      <c r="F321" s="105" t="str">
        <f>IFERROR(__xludf.DUMMYFUNCTION("""COMPUTED_VALUE"""),"purpose/attempting::of::implementing::the::BP/feature")</f>
        <v>purpose/attempting::of::implementing::the::BP/feature</v>
      </c>
      <c r="G321" s="105"/>
      <c r="H321" s="105"/>
      <c r="I321" s="105"/>
      <c r="J321" s="105"/>
      <c r="K321" s="105"/>
      <c r="L321" s="105"/>
      <c r="M321" s="105"/>
      <c r="N321" s="105"/>
      <c r="O321" s="105"/>
      <c r="P321" s="105" t="str">
        <f>IFERROR(__xludf.DUMMYFUNCTION("""COMPUTED_VALUE"""),"informing::bug::found")</f>
        <v>informing::bug::found</v>
      </c>
      <c r="Q321" s="105"/>
      <c r="R321" s="105"/>
      <c r="S321" s="105"/>
      <c r="T321" s="105"/>
      <c r="U321" s="105"/>
      <c r="V321" s="105"/>
      <c r="W321" s="105"/>
      <c r="X321" s="105"/>
      <c r="Y321" s="105"/>
      <c r="Z321" s="105"/>
    </row>
    <row r="322">
      <c r="A322" s="105"/>
      <c r="B322" s="105" t="str">
        <f>IFERROR(__xludf.DUMMYFUNCTION("""COMPUTED_VALUE"""),"Configuration issue, Performance issue, Permission/deprecation issue, Program anomaly issue, Test code-related issue")</f>
        <v>Configuration issue, Performance issue, Permission/deprecation issue, Program anomaly issue, Test code-related issue</v>
      </c>
      <c r="C322" s="105"/>
      <c r="D322" s="105" t="str">
        <f>IFERROR(__xludf.DUMMYFUNCTION("""COMPUTED_VALUE"""),"steps::replicate::bug")</f>
        <v>steps::replicate::bug</v>
      </c>
      <c r="E322" s="105"/>
      <c r="F322" s="105" t="str">
        <f>IFERROR(__xludf.DUMMYFUNCTION("""COMPUTED_VALUE"""),"question::about::dependencies::of::BP::with::NOVA")</f>
        <v>question::about::dependencies::of::BP::with::NOVA</v>
      </c>
      <c r="G322" s="105"/>
      <c r="H322" s="105"/>
      <c r="I322" s="105"/>
      <c r="J322" s="105"/>
      <c r="K322" s="105"/>
      <c r="L322" s="105"/>
      <c r="M322" s="105"/>
      <c r="N322" s="105"/>
      <c r="O322" s="105"/>
      <c r="P322" s="105" t="str">
        <f>IFERROR(__xludf.DUMMYFUNCTION("""COMPUTED_VALUE"""),"informing::cannot::provide::assistance::(more::tests)")</f>
        <v>informing::cannot::provide::assistance::(more::tests)</v>
      </c>
      <c r="Q322" s="105"/>
      <c r="R322" s="105"/>
      <c r="S322" s="105"/>
      <c r="T322" s="105"/>
      <c r="U322" s="105"/>
      <c r="V322" s="105"/>
      <c r="W322" s="105"/>
      <c r="X322" s="105"/>
      <c r="Y322" s="105"/>
      <c r="Z322" s="105"/>
    </row>
    <row r="323">
      <c r="A323" s="105"/>
      <c r="B323" s="105" t="str">
        <f>IFERROR(__xludf.DUMMYFUNCTION("""COMPUTED_VALUE"""),"Configuration issue, Performance issue, Permission/deprecation issue, Security issue, Program anomaly issue")</f>
        <v>Configuration issue, Performance issue, Permission/deprecation issue, Security issue, Program anomaly issue</v>
      </c>
      <c r="C323" s="105"/>
      <c r="D323" s="105" t="str">
        <f>IFERROR(__xludf.DUMMYFUNCTION("""COMPUTED_VALUE"""),"steps::required::for::backwards::compatibility")</f>
        <v>steps::required::for::backwards::compatibility</v>
      </c>
      <c r="E323" s="105"/>
      <c r="F323" s="105" t="str">
        <f>IFERROR(__xludf.DUMMYFUNCTION("""COMPUTED_VALUE"""),"question::about::details::in::implementation")</f>
        <v>question::about::details::in::implementation</v>
      </c>
      <c r="G323" s="105"/>
      <c r="H323" s="105"/>
      <c r="I323" s="105"/>
      <c r="J323" s="105"/>
      <c r="K323" s="105"/>
      <c r="L323" s="105"/>
      <c r="M323" s="105"/>
      <c r="N323" s="105"/>
      <c r="O323" s="105"/>
      <c r="P323" s="105" t="str">
        <f>IFERROR(__xludf.DUMMYFUNCTION("""COMPUTED_VALUE"""),"informing::change::commit")</f>
        <v>informing::change::commit</v>
      </c>
      <c r="Q323" s="105"/>
      <c r="R323" s="105"/>
      <c r="S323" s="105"/>
      <c r="T323" s="105"/>
      <c r="U323" s="105"/>
      <c r="V323" s="105"/>
      <c r="W323" s="105"/>
      <c r="X323" s="105"/>
      <c r="Y323" s="105"/>
      <c r="Z323" s="105"/>
    </row>
    <row r="324">
      <c r="A324" s="105"/>
      <c r="B324" s="105" t="str">
        <f>IFERROR(__xludf.DUMMYFUNCTION("""COMPUTED_VALUE"""),"Configuration issue, Performance issue, Permission/deprecation issue, Security issue, Test code-related issue")</f>
        <v>Configuration issue, Performance issue, Permission/deprecation issue, Security issue, Test code-related issue</v>
      </c>
      <c r="C324" s="105"/>
      <c r="D324" s="105" t="str">
        <f>IFERROR(__xludf.DUMMYFUNCTION("""COMPUTED_VALUE"""),"steps::to::replicate::the::bug")</f>
        <v>steps::to::replicate::the::bug</v>
      </c>
      <c r="E324" s="105"/>
      <c r="F324" s="105" t="str">
        <f>IFERROR(__xludf.DUMMYFUNCTION("""COMPUTED_VALUE"""),"question::about::if::it::is::right::place::to::ask::about::bp/feature")</f>
        <v>question::about::if::it::is::right::place::to::ask::about::bp/feature</v>
      </c>
      <c r="G324" s="105"/>
      <c r="H324" s="105"/>
      <c r="I324" s="105"/>
      <c r="J324" s="105"/>
      <c r="K324" s="105"/>
      <c r="L324" s="105"/>
      <c r="M324" s="105"/>
      <c r="N324" s="105"/>
      <c r="O324" s="105"/>
      <c r="P324" s="105" t="str">
        <f>IFERROR(__xludf.DUMMYFUNCTION("""COMPUTED_VALUE"""),"informing::change::implemented")</f>
        <v>informing::change::implemented</v>
      </c>
      <c r="Q324" s="105"/>
      <c r="R324" s="105"/>
      <c r="S324" s="105"/>
      <c r="T324" s="105"/>
      <c r="U324" s="105"/>
      <c r="V324" s="105"/>
      <c r="W324" s="105"/>
      <c r="X324" s="105"/>
      <c r="Y324" s="105"/>
      <c r="Z324" s="105"/>
    </row>
    <row r="325">
      <c r="A325" s="105"/>
      <c r="B325" s="105" t="str">
        <f>IFERROR(__xludf.DUMMYFUNCTION("""COMPUTED_VALUE"""),"Configuration issue, Performance issue, Security issue, Program anomaly issue, Test code-related issue")</f>
        <v>Configuration issue, Performance issue, Security issue, Program anomaly issue, Test code-related issue</v>
      </c>
      <c r="C325" s="105"/>
      <c r="D325" s="105" t="str">
        <f>IFERROR(__xludf.DUMMYFUNCTION("""COMPUTED_VALUE"""),"suggest::moving::to::next::release")</f>
        <v>suggest::moving::to::next::release</v>
      </c>
      <c r="E325" s="105"/>
      <c r="F325" s="105" t="str">
        <f>IFERROR(__xludf.DUMMYFUNCTION("""COMPUTED_VALUE"""),"reason::of::bug")</f>
        <v>reason::of::bug</v>
      </c>
      <c r="G325" s="105"/>
      <c r="H325" s="105"/>
      <c r="I325" s="105"/>
      <c r="J325" s="105"/>
      <c r="K325" s="105"/>
      <c r="L325" s="105"/>
      <c r="M325" s="105"/>
      <c r="N325" s="105"/>
      <c r="O325" s="105"/>
      <c r="P325" s="105" t="str">
        <f>IFERROR(__xludf.DUMMYFUNCTION("""COMPUTED_VALUE"""),"informing::change::implemented::(no::inline::message)")</f>
        <v>informing::change::implemented::(no::inline::message)</v>
      </c>
      <c r="Q325" s="105"/>
      <c r="R325" s="105"/>
      <c r="S325" s="105"/>
      <c r="T325" s="105"/>
      <c r="U325" s="105"/>
      <c r="V325" s="105"/>
      <c r="W325" s="105"/>
      <c r="X325" s="105"/>
      <c r="Y325" s="105"/>
      <c r="Z325" s="105"/>
    </row>
    <row r="326">
      <c r="A326" s="105"/>
      <c r="B326" s="105" t="str">
        <f>IFERROR(__xludf.DUMMYFUNCTION("""COMPUTED_VALUE"""),"Configuration issue, Permission/deprecation issue, Security issue, Program anomaly issue, Test code-related issue")</f>
        <v>Configuration issue, Permission/deprecation issue, Security issue, Program anomaly issue, Test code-related issue</v>
      </c>
      <c r="C326" s="105"/>
      <c r="D326" s="105" t="str">
        <f>IFERROR(__xludf.DUMMYFUNCTION("""COMPUTED_VALUE"""),"suggestion::rename::variables")</f>
        <v>suggestion::rename::variables</v>
      </c>
      <c r="E326" s="105"/>
      <c r="F326" s="105" t="str">
        <f>IFERROR(__xludf.DUMMYFUNCTION("""COMPUTED_VALUE"""),"reasons::for::deprecation")</f>
        <v>reasons::for::deprecation</v>
      </c>
      <c r="G326" s="105"/>
      <c r="H326" s="105"/>
      <c r="I326" s="105"/>
      <c r="J326" s="105"/>
      <c r="K326" s="105"/>
      <c r="L326" s="105"/>
      <c r="M326" s="105"/>
      <c r="N326" s="105"/>
      <c r="O326" s="105"/>
      <c r="P326" s="105" t="str">
        <f>IFERROR(__xludf.DUMMYFUNCTION("""COMPUTED_VALUE"""),"informing::changes::commit::message")</f>
        <v>informing::changes::commit::message</v>
      </c>
      <c r="Q326" s="105"/>
      <c r="R326" s="105"/>
      <c r="S326" s="105"/>
      <c r="T326" s="105"/>
      <c r="U326" s="105"/>
      <c r="V326" s="105"/>
      <c r="W326" s="105"/>
      <c r="X326" s="105"/>
      <c r="Y326" s="105"/>
      <c r="Z326" s="105"/>
    </row>
    <row r="327">
      <c r="A327" s="105"/>
      <c r="B327" s="105" t="str">
        <f>IFERROR(__xludf.DUMMYFUNCTION("""COMPUTED_VALUE"""),"Database-related issue, GUI-related issue, Network issue, Performance issue, Permission/deprecation issue")</f>
        <v>Database-related issue, GUI-related issue, Network issue, Performance issue, Permission/deprecation issue</v>
      </c>
      <c r="C327" s="105"/>
      <c r="D327" s="105" t="str">
        <f>IFERROR(__xludf.DUMMYFUNCTION("""COMPUTED_VALUE"""),"summary::of::the::problem")</f>
        <v>summary::of::the::problem</v>
      </c>
      <c r="E327" s="105"/>
      <c r="F327" s="105" t="str">
        <f>IFERROR(__xludf.DUMMYFUNCTION("""COMPUTED_VALUE"""),"reasons::for::not::meeting::the::initial::development::deadline")</f>
        <v>reasons::for::not::meeting::the::initial::development::deadline</v>
      </c>
      <c r="G327" s="105"/>
      <c r="H327" s="105"/>
      <c r="I327" s="105"/>
      <c r="J327" s="105"/>
      <c r="K327" s="105"/>
      <c r="L327" s="105"/>
      <c r="M327" s="105"/>
      <c r="N327" s="105"/>
      <c r="O327" s="105"/>
      <c r="P327" s="105" t="str">
        <f>IFERROR(__xludf.DUMMYFUNCTION("""COMPUTED_VALUE"""),"informing::code::pushed")</f>
        <v>informing::code::pushed</v>
      </c>
      <c r="Q327" s="105"/>
      <c r="R327" s="105"/>
      <c r="S327" s="105"/>
      <c r="T327" s="105"/>
      <c r="U327" s="105"/>
      <c r="V327" s="105"/>
      <c r="W327" s="105"/>
      <c r="X327" s="105"/>
      <c r="Y327" s="105"/>
      <c r="Z327" s="105"/>
    </row>
    <row r="328">
      <c r="A328" s="105"/>
      <c r="B328" s="105" t="str">
        <f>IFERROR(__xludf.DUMMYFUNCTION("""COMPUTED_VALUE"""),"Database-related issue, GUI-related issue, Network issue, Performance issue, Program anomaly issue")</f>
        <v>Database-related issue, GUI-related issue, Network issue, Performance issue, Program anomaly issue</v>
      </c>
      <c r="C328" s="105"/>
      <c r="D328" s="105" t="str">
        <f>IFERROR(__xludf.DUMMYFUNCTION("""COMPUTED_VALUE"""),"summary::of::the::purpose")</f>
        <v>summary::of::the::purpose</v>
      </c>
      <c r="E328" s="105"/>
      <c r="F328" s="105" t="str">
        <f>IFERROR(__xludf.DUMMYFUNCTION("""COMPUTED_VALUE"""),"reasons::why::not::accept::the::FFE")</f>
        <v>reasons::why::not::accept::the::FFE</v>
      </c>
      <c r="G328" s="105"/>
      <c r="H328" s="105"/>
      <c r="I328" s="105"/>
      <c r="J328" s="105"/>
      <c r="K328" s="105"/>
      <c r="L328" s="105"/>
      <c r="M328" s="105"/>
      <c r="N328" s="105"/>
      <c r="O328" s="105"/>
      <c r="P328" s="105" t="str">
        <f>IFERROR(__xludf.DUMMYFUNCTION("""COMPUTED_VALUE"""),"informing::comment::given::outside::PR")</f>
        <v>informing::comment::given::outside::PR</v>
      </c>
      <c r="Q328" s="105"/>
      <c r="R328" s="105"/>
      <c r="S328" s="105"/>
      <c r="T328" s="105"/>
      <c r="U328" s="105"/>
      <c r="V328" s="105"/>
      <c r="W328" s="105"/>
      <c r="X328" s="105"/>
      <c r="Y328" s="105"/>
      <c r="Z328" s="105"/>
    </row>
    <row r="329">
      <c r="A329" s="105"/>
      <c r="B329" s="105" t="str">
        <f>IFERROR(__xludf.DUMMYFUNCTION("""COMPUTED_VALUE"""),"Database-related issue, GUI-related issue, Network issue, Performance issue, Security issue")</f>
        <v>Database-related issue, GUI-related issue, Network issue, Performance issue, Security issue</v>
      </c>
      <c r="C329" s="105"/>
      <c r="D329" s="105" t="str">
        <f>IFERROR(__xludf.DUMMYFUNCTION("""COMPUTED_VALUE"""),"testing::status")</f>
        <v>testing::status</v>
      </c>
      <c r="E329" s="105"/>
      <c r="F329" s="105" t="str">
        <f>IFERROR(__xludf.DUMMYFUNCTION("""COMPUTED_VALUE"""),"reasons::why::not::accept::the::FFE::(number:.of::lines:.changed)")</f>
        <v>reasons::why::not::accept::the::FFE::(number:.of::lines:.changed)</v>
      </c>
      <c r="G329" s="105"/>
      <c r="H329" s="105"/>
      <c r="I329" s="105"/>
      <c r="J329" s="105"/>
      <c r="K329" s="105"/>
      <c r="L329" s="105"/>
      <c r="M329" s="105"/>
      <c r="N329" s="105"/>
      <c r="O329" s="105"/>
      <c r="P329" s="105" t="str">
        <f>IFERROR(__xludf.DUMMYFUNCTION("""COMPUTED_VALUE"""),"informing::comments::added")</f>
        <v>informing::comments::added</v>
      </c>
      <c r="Q329" s="105"/>
      <c r="R329" s="105"/>
      <c r="S329" s="105"/>
      <c r="T329" s="105"/>
      <c r="U329" s="105"/>
      <c r="V329" s="105"/>
      <c r="W329" s="105"/>
      <c r="X329" s="105"/>
      <c r="Y329" s="105"/>
      <c r="Z329" s="105"/>
    </row>
    <row r="330">
      <c r="A330" s="105"/>
      <c r="B330" s="105" t="str">
        <f>IFERROR(__xludf.DUMMYFUNCTION("""COMPUTED_VALUE"""),"Database-related issue, GUI-related issue, Network issue, Performance issue, Test code-related issue")</f>
        <v>Database-related issue, GUI-related issue, Network issue, Performance issue, Test code-related issue</v>
      </c>
      <c r="C330" s="105"/>
      <c r="D330" s="105" t="str">
        <f>IFERROR(__xludf.DUMMYFUNCTION("""COMPUTED_VALUE"""),"topic::that::group::all::changes::related::to::BP/feature")</f>
        <v>topic::that::group::all::changes::related::to::BP/feature</v>
      </c>
      <c r="E330" s="105"/>
      <c r="F330" s="105" t="str">
        <f>IFERROR(__xludf.DUMMYFUNCTION("""COMPUTED_VALUE"""),"reasons::why::the::FEE::should::be::given")</f>
        <v>reasons::why::the::FEE::should::be::given</v>
      </c>
      <c r="G330" s="105"/>
      <c r="H330" s="105"/>
      <c r="I330" s="105"/>
      <c r="J330" s="105"/>
      <c r="K330" s="105"/>
      <c r="L330" s="105"/>
      <c r="M330" s="105"/>
      <c r="N330" s="105"/>
      <c r="O330" s="105"/>
      <c r="P330" s="105" t="str">
        <f>IFERROR(__xludf.DUMMYFUNCTION("""COMPUTED_VALUE"""),"informing::comments::addressed")</f>
        <v>informing::comments::addressed</v>
      </c>
      <c r="Q330" s="105"/>
      <c r="R330" s="105"/>
      <c r="S330" s="105"/>
      <c r="T330" s="105"/>
      <c r="U330" s="105"/>
      <c r="V330" s="105"/>
      <c r="W330" s="105"/>
      <c r="X330" s="105"/>
      <c r="Y330" s="105"/>
      <c r="Z330" s="105"/>
    </row>
    <row r="331">
      <c r="A331" s="105"/>
      <c r="B331" s="105" t="str">
        <f>IFERROR(__xludf.DUMMYFUNCTION("""COMPUTED_VALUE"""),"Database-related issue, GUI-related issue, Network issue, Permission/deprecation issue, Program anomaly issue")</f>
        <v>Database-related issue, GUI-related issue, Network issue, Permission/deprecation issue, Program anomaly issue</v>
      </c>
      <c r="C331" s="105"/>
      <c r="D331" s="105" t="str">
        <f>IFERROR(__xludf.DUMMYFUNCTION("""COMPUTED_VALUE"""),"topic10::that::group::all::changes::related::to::BP/feature")</f>
        <v>topic10::that::group::all::changes::related::to::BP/feature</v>
      </c>
      <c r="E331" s="105"/>
      <c r="F331" s="105" t="str">
        <f>IFERROR(__xludf.DUMMYFUNCTION("""COMPUTED_VALUE"""),"reasons::why::the::FFE::could::be::rejected::(not::complete::test::suit)")</f>
        <v>reasons::why::the::FFE::could::be::rejected::(not::complete::test::suit)</v>
      </c>
      <c r="G331" s="105"/>
      <c r="H331" s="105"/>
      <c r="I331" s="105"/>
      <c r="J331" s="105"/>
      <c r="K331" s="105"/>
      <c r="L331" s="105"/>
      <c r="M331" s="105"/>
      <c r="N331" s="105"/>
      <c r="O331" s="105"/>
      <c r="P331" s="105" t="str">
        <f>IFERROR(__xludf.DUMMYFUNCTION("""COMPUTED_VALUE"""),"informing::comments::not::fully::addressed")</f>
        <v>informing::comments::not::fully::addressed</v>
      </c>
      <c r="Q331" s="105"/>
      <c r="R331" s="105"/>
      <c r="S331" s="105"/>
      <c r="T331" s="105"/>
      <c r="U331" s="105"/>
      <c r="V331" s="105"/>
      <c r="W331" s="105"/>
      <c r="X331" s="105"/>
      <c r="Y331" s="105"/>
      <c r="Z331" s="105"/>
    </row>
    <row r="332">
      <c r="A332" s="105"/>
      <c r="B332" s="105" t="str">
        <f>IFERROR(__xludf.DUMMYFUNCTION("""COMPUTED_VALUE"""),"Database-related issue, GUI-related issue, Network issue, Permission/deprecation issue, Security issue")</f>
        <v>Database-related issue, GUI-related issue, Network issue, Permission/deprecation issue, Security issue</v>
      </c>
      <c r="C332" s="105"/>
      <c r="D332" s="105" t="str">
        <f>IFERROR(__xludf.DUMMYFUNCTION("""COMPUTED_VALUE"""),"topic11::that::group::all::changes::related::to::BP/feature")</f>
        <v>topic11::that::group::all::changes::related::to::BP/feature</v>
      </c>
      <c r="E332" s="105"/>
      <c r="F332" s="105" t="str">
        <f>IFERROR(__xludf.DUMMYFUNCTION("""COMPUTED_VALUE"""),"reasons::why::the::FFE::was::rejected::(refactoring::structure::,::data::format)")</f>
        <v>reasons::why::the::FFE::was::rejected::(refactoring::structure::,::data::format)</v>
      </c>
      <c r="G332" s="105"/>
      <c r="H332" s="105"/>
      <c r="I332" s="105"/>
      <c r="J332" s="105"/>
      <c r="K332" s="105"/>
      <c r="L332" s="105"/>
      <c r="M332" s="105"/>
      <c r="N332" s="105"/>
      <c r="O332" s="105"/>
      <c r="P332" s="105" t="str">
        <f>IFERROR(__xludf.DUMMYFUNCTION("""COMPUTED_VALUE"""),"informing::comments::not::fully::addressed::(reasons)")</f>
        <v>informing::comments::not::fully::addressed::(reasons)</v>
      </c>
      <c r="Q332" s="105"/>
      <c r="R332" s="105"/>
      <c r="S332" s="105"/>
      <c r="T332" s="105"/>
      <c r="U332" s="105"/>
      <c r="V332" s="105"/>
      <c r="W332" s="105"/>
      <c r="X332" s="105"/>
      <c r="Y332" s="105"/>
      <c r="Z332" s="105"/>
    </row>
    <row r="333">
      <c r="A333" s="105"/>
      <c r="B333" s="105" t="str">
        <f>IFERROR(__xludf.DUMMYFUNCTION("""COMPUTED_VALUE"""),"Database-related issue, GUI-related issue, Network issue, Permission/deprecation issue, Test code-related issue")</f>
        <v>Database-related issue, GUI-related issue, Network issue, Permission/deprecation issue, Test code-related issue</v>
      </c>
      <c r="C333" s="105"/>
      <c r="D333" s="105" t="str">
        <f>IFERROR(__xludf.DUMMYFUNCTION("""COMPUTED_VALUE"""),"topic12::that::group::all::changes::related::to::BP/feature")</f>
        <v>topic12::that::group::all::changes::related::to::BP/feature</v>
      </c>
      <c r="E333" s="105"/>
      <c r="F333" s="105" t="str">
        <f>IFERROR(__xludf.DUMMYFUNCTION("""COMPUTED_VALUE"""),"reference::another::email::thread")</f>
        <v>reference::another::email::thread</v>
      </c>
      <c r="G333" s="105"/>
      <c r="H333" s="105"/>
      <c r="I333" s="105"/>
      <c r="J333" s="105"/>
      <c r="K333" s="105"/>
      <c r="L333" s="105"/>
      <c r="M333" s="105"/>
      <c r="N333" s="105"/>
      <c r="O333" s="105"/>
      <c r="P333" s="105" t="str">
        <f>IFERROR(__xludf.DUMMYFUNCTION("""COMPUTED_VALUE"""),"informing::conflicts::with::existing::dependency::(another::project)::of::the::change::(egg::and::chicken)")</f>
        <v>informing::conflicts::with::existing::dependency::(another::project)::of::the::change::(egg::and::chicken)</v>
      </c>
      <c r="Q333" s="105"/>
      <c r="R333" s="105"/>
      <c r="S333" s="105"/>
      <c r="T333" s="105"/>
      <c r="U333" s="105"/>
      <c r="V333" s="105"/>
      <c r="W333" s="105"/>
      <c r="X333" s="105"/>
      <c r="Y333" s="105"/>
      <c r="Z333" s="105"/>
    </row>
    <row r="334">
      <c r="A334" s="105"/>
      <c r="B334" s="105" t="str">
        <f>IFERROR(__xludf.DUMMYFUNCTION("""COMPUTED_VALUE"""),"Database-related issue, GUI-related issue, Network issue, Program anomaly issue, Test code-related issue")</f>
        <v>Database-related issue, GUI-related issue, Network issue, Program anomaly issue, Test code-related issue</v>
      </c>
      <c r="C334" s="105"/>
      <c r="D334" s="105" t="str">
        <f>IFERROR(__xludf.DUMMYFUNCTION("""COMPUTED_VALUE"""),"topic13::that::group::all::changes::related::to::BP/feature")</f>
        <v>topic13::that::group::all::changes::related::to::BP/feature</v>
      </c>
      <c r="E334" s="105"/>
      <c r="F334" s="105" t="str">
        <f>IFERROR(__xludf.DUMMYFUNCTION("""COMPUTED_VALUE"""),"reference::BP")</f>
        <v>reference::BP</v>
      </c>
      <c r="G334" s="105"/>
      <c r="H334" s="105"/>
      <c r="I334" s="105"/>
      <c r="J334" s="105"/>
      <c r="K334" s="105"/>
      <c r="L334" s="105"/>
      <c r="M334" s="105"/>
      <c r="N334" s="105"/>
      <c r="O334" s="105"/>
      <c r="P334" s="105" t="str">
        <f>IFERROR(__xludf.DUMMYFUNCTION("""COMPUTED_VALUE"""),"informing::dependency::(installed::package)")</f>
        <v>informing::dependency::(installed::package)</v>
      </c>
      <c r="Q334" s="105"/>
      <c r="R334" s="105"/>
      <c r="S334" s="105"/>
      <c r="T334" s="105"/>
      <c r="U334" s="105"/>
      <c r="V334" s="105"/>
      <c r="W334" s="105"/>
      <c r="X334" s="105"/>
      <c r="Y334" s="105"/>
      <c r="Z334" s="105"/>
    </row>
    <row r="335">
      <c r="A335" s="105"/>
      <c r="B335" s="105" t="str">
        <f>IFERROR(__xludf.DUMMYFUNCTION("""COMPUTED_VALUE"""),"Database-related issue, GUI-related issue, Network issue, Security issue, Program anomaly issue")</f>
        <v>Database-related issue, GUI-related issue, Network issue, Security issue, Program anomaly issue</v>
      </c>
      <c r="C335" s="105"/>
      <c r="D335" s="105" t="str">
        <f>IFERROR(__xludf.DUMMYFUNCTION("""COMPUTED_VALUE"""),"topic2::that::group::all::changes::related::to::BP/feature")</f>
        <v>topic2::that::group::all::changes::related::to::BP/feature</v>
      </c>
      <c r="E335" s="105"/>
      <c r="F335" s="105" t="str">
        <f>IFERROR(__xludf.DUMMYFUNCTION("""COMPUTED_VALUE"""),"reference::BP::related")</f>
        <v>reference::BP::related</v>
      </c>
      <c r="G335" s="105"/>
      <c r="H335" s="105"/>
      <c r="I335" s="105"/>
      <c r="J335" s="105"/>
      <c r="K335" s="105"/>
      <c r="L335" s="105"/>
      <c r="M335" s="105"/>
      <c r="N335" s="105"/>
      <c r="O335" s="105"/>
      <c r="P335" s="105" t="str">
        <f>IFERROR(__xludf.DUMMYFUNCTION("""COMPUTED_VALUE"""),"informing::dependency::(requirement)")</f>
        <v>informing::dependency::(requirement)</v>
      </c>
      <c r="Q335" s="105"/>
      <c r="R335" s="105"/>
      <c r="S335" s="105"/>
      <c r="T335" s="105"/>
      <c r="U335" s="105"/>
      <c r="V335" s="105"/>
      <c r="W335" s="105"/>
      <c r="X335" s="105"/>
      <c r="Y335" s="105"/>
      <c r="Z335" s="105"/>
    </row>
    <row r="336">
      <c r="A336" s="105"/>
      <c r="B336" s="105" t="str">
        <f>IFERROR(__xludf.DUMMYFUNCTION("""COMPUTED_VALUE"""),"Database-related issue, GUI-related issue, Network issue, Security issue, Test code-related issue")</f>
        <v>Database-related issue, GUI-related issue, Network issue, Security issue, Test code-related issue</v>
      </c>
      <c r="C336" s="105"/>
      <c r="D336" s="105" t="str">
        <f>IFERROR(__xludf.DUMMYFUNCTION("""COMPUTED_VALUE"""),"topic3::that::group::all::changes::related::to::BP/feature")</f>
        <v>topic3::that::group::all::changes::related::to::BP/feature</v>
      </c>
      <c r="E336" s="105"/>
      <c r="F336" s="105" t="str">
        <f>IFERROR(__xludf.DUMMYFUNCTION("""COMPUTED_VALUE"""),"reference::development::guides")</f>
        <v>reference::development::guides</v>
      </c>
      <c r="G336" s="105"/>
      <c r="H336" s="105"/>
      <c r="I336" s="105"/>
      <c r="J336" s="105"/>
      <c r="K336" s="105"/>
      <c r="L336" s="105"/>
      <c r="M336" s="105"/>
      <c r="N336" s="105"/>
      <c r="O336" s="105"/>
      <c r="P336" s="105" t="str">
        <f>IFERROR(__xludf.DUMMYFUNCTION("""COMPUTED_VALUE"""),"informing::developing::status::(of::patches)")</f>
        <v>informing::developing::status::(of::patches)</v>
      </c>
      <c r="Q336" s="105"/>
      <c r="R336" s="105"/>
      <c r="S336" s="105"/>
      <c r="T336" s="105"/>
      <c r="U336" s="105"/>
      <c r="V336" s="105"/>
      <c r="W336" s="105"/>
      <c r="X336" s="105"/>
      <c r="Y336" s="105"/>
      <c r="Z336" s="105"/>
    </row>
    <row r="337">
      <c r="A337" s="105"/>
      <c r="B337" s="105" t="str">
        <f>IFERROR(__xludf.DUMMYFUNCTION("""COMPUTED_VALUE"""),"Database-related issue, GUI-related issue, Performance issue, Permission/deprecation issue, Program anomaly issue")</f>
        <v>Database-related issue, GUI-related issue, Performance issue, Permission/deprecation issue, Program anomaly issue</v>
      </c>
      <c r="C337" s="105"/>
      <c r="D337" s="105" t="str">
        <f>IFERROR(__xludf.DUMMYFUNCTION("""COMPUTED_VALUE"""),"topic4::that::group::all::changes::related::to::BP/feature")</f>
        <v>topic4::that::group::all::changes::related::to::BP/feature</v>
      </c>
      <c r="E337" s="105"/>
      <c r="F337" s="105" t="str">
        <f>IFERROR(__xludf.DUMMYFUNCTION("""COMPUTED_VALUE"""),"reference::etherpad")</f>
        <v>reference::etherpad</v>
      </c>
      <c r="G337" s="105"/>
      <c r="H337" s="105"/>
      <c r="I337" s="105"/>
      <c r="J337" s="105"/>
      <c r="K337" s="105"/>
      <c r="L337" s="105"/>
      <c r="M337" s="105"/>
      <c r="N337" s="105"/>
      <c r="O337" s="105"/>
      <c r="P337" s="105" t="str">
        <f>IFERROR(__xludf.DUMMYFUNCTION("""COMPUTED_VALUE"""),"informing::developing::status::(of::suggested::changes)")</f>
        <v>informing::developing::status::(of::suggested::changes)</v>
      </c>
      <c r="Q337" s="105"/>
      <c r="R337" s="105"/>
      <c r="S337" s="105"/>
      <c r="T337" s="105"/>
      <c r="U337" s="105"/>
      <c r="V337" s="105"/>
      <c r="W337" s="105"/>
      <c r="X337" s="105"/>
      <c r="Y337" s="105"/>
      <c r="Z337" s="105"/>
    </row>
    <row r="338">
      <c r="A338" s="105"/>
      <c r="B338" s="105" t="str">
        <f>IFERROR(__xludf.DUMMYFUNCTION("""COMPUTED_VALUE"""),"Database-related issue, GUI-related issue, Performance issue, Permission/deprecation issue, Security issue")</f>
        <v>Database-related issue, GUI-related issue, Performance issue, Permission/deprecation issue, Security issue</v>
      </c>
      <c r="C338" s="105"/>
      <c r="D338" s="105" t="str">
        <f>IFERROR(__xludf.DUMMYFUNCTION("""COMPUTED_VALUE"""),"topic5::that::group::all::changes::related::to::BP/feature")</f>
        <v>topic5::that::group::all::changes::related::to::BP/feature</v>
      </c>
      <c r="E338" s="105"/>
      <c r="F338" s="105" t="str">
        <f>IFERROR(__xludf.DUMMYFUNCTION("""COMPUTED_VALUE"""),"reference::meeting")</f>
        <v>reference::meeting</v>
      </c>
      <c r="G338" s="105"/>
      <c r="H338" s="105"/>
      <c r="I338" s="105"/>
      <c r="J338" s="105"/>
      <c r="K338" s="105"/>
      <c r="L338" s="105"/>
      <c r="M338" s="105"/>
      <c r="N338" s="105"/>
      <c r="O338" s="105"/>
      <c r="P338" s="105" t="str">
        <f>IFERROR(__xludf.DUMMYFUNCTION("""COMPUTED_VALUE"""),"informing::error::in::CI::system")</f>
        <v>informing::error::in::CI::system</v>
      </c>
      <c r="Q338" s="105"/>
      <c r="R338" s="105"/>
      <c r="S338" s="105"/>
      <c r="T338" s="105"/>
      <c r="U338" s="105"/>
      <c r="V338" s="105"/>
      <c r="W338" s="105"/>
      <c r="X338" s="105"/>
      <c r="Y338" s="105"/>
      <c r="Z338" s="105"/>
    </row>
    <row r="339">
      <c r="A339" s="105"/>
      <c r="B339" s="105" t="str">
        <f>IFERROR(__xludf.DUMMYFUNCTION("""COMPUTED_VALUE"""),"Database-related issue, GUI-related issue, Performance issue, Permission/deprecation issue, Test code-related issue")</f>
        <v>Database-related issue, GUI-related issue, Performance issue, Permission/deprecation issue, Test code-related issue</v>
      </c>
      <c r="C339" s="105"/>
      <c r="D339" s="105" t="str">
        <f>IFERROR(__xludf.DUMMYFUNCTION("""COMPUTED_VALUE"""),"topic6::that::group::all::changes::related::to::BP/feature")</f>
        <v>topic6::that::group::all::changes::related::to::BP/feature</v>
      </c>
      <c r="E339" s="105"/>
      <c r="F339" s="105" t="str">
        <f>IFERROR(__xludf.DUMMYFUNCTION("""COMPUTED_VALUE"""),"reference::repository")</f>
        <v>reference::repository</v>
      </c>
      <c r="G339" s="105"/>
      <c r="H339" s="105"/>
      <c r="I339" s="105"/>
      <c r="J339" s="105"/>
      <c r="K339" s="105"/>
      <c r="L339" s="105"/>
      <c r="M339" s="105"/>
      <c r="N339" s="105"/>
      <c r="O339" s="105"/>
      <c r="P339" s="105" t="str">
        <f>IFERROR(__xludf.DUMMYFUNCTION("""COMPUTED_VALUE"""),"informing::error::in::code")</f>
        <v>informing::error::in::code</v>
      </c>
      <c r="Q339" s="105"/>
      <c r="R339" s="105"/>
      <c r="S339" s="105"/>
      <c r="T339" s="105"/>
      <c r="U339" s="105"/>
      <c r="V339" s="105"/>
      <c r="W339" s="105"/>
      <c r="X339" s="105"/>
      <c r="Y339" s="105"/>
      <c r="Z339" s="105"/>
    </row>
    <row r="340">
      <c r="A340" s="105"/>
      <c r="B340" s="105" t="str">
        <f>IFERROR(__xludf.DUMMYFUNCTION("""COMPUTED_VALUE"""),"Database-related issue, GUI-related issue, Performance issue, Program anomaly issue, Test code-related issue")</f>
        <v>Database-related issue, GUI-related issue, Performance issue, Program anomaly issue, Test code-related issue</v>
      </c>
      <c r="C340" s="105"/>
      <c r="D340" s="105" t="str">
        <f>IFERROR(__xludf.DUMMYFUNCTION("""COMPUTED_VALUE"""),"topic7::that::group::all::changes::related::to::BP/feature")</f>
        <v>topic7::that::group::all::changes::related::to::BP/feature</v>
      </c>
      <c r="E340" s="105"/>
      <c r="F340" s="105" t="str">
        <f>IFERROR(__xludf.DUMMYFUNCTION("""COMPUTED_VALUE"""),"reference::review")</f>
        <v>reference::review</v>
      </c>
      <c r="G340" s="105"/>
      <c r="H340" s="105"/>
      <c r="I340" s="105"/>
      <c r="J340" s="105"/>
      <c r="K340" s="105"/>
      <c r="L340" s="105"/>
      <c r="M340" s="105"/>
      <c r="N340" s="105"/>
      <c r="O340" s="105"/>
      <c r="P340" s="105" t="str">
        <f>IFERROR(__xludf.DUMMYFUNCTION("""COMPUTED_VALUE"""),"informing::error::unit::test")</f>
        <v>informing::error::unit::test</v>
      </c>
      <c r="Q340" s="105"/>
      <c r="R340" s="105"/>
      <c r="S340" s="105"/>
      <c r="T340" s="105"/>
      <c r="U340" s="105"/>
      <c r="V340" s="105"/>
      <c r="W340" s="105"/>
      <c r="X340" s="105"/>
      <c r="Y340" s="105"/>
      <c r="Z340" s="105"/>
    </row>
    <row r="341">
      <c r="A341" s="105"/>
      <c r="B341" s="105" t="str">
        <f>IFERROR(__xludf.DUMMYFUNCTION("""COMPUTED_VALUE"""),"Database-related issue, GUI-related issue, Performance issue, Security issue, Program anomaly issue")</f>
        <v>Database-related issue, GUI-related issue, Performance issue, Security issue, Program anomaly issue</v>
      </c>
      <c r="C341" s="105"/>
      <c r="D341" s="105" t="str">
        <f>IFERROR(__xludf.DUMMYFUNCTION("""COMPUTED_VALUE"""),"topic8::that::group::all::changes::related::to::BP/feature")</f>
        <v>topic8::that::group::all::changes::related::to::BP/feature</v>
      </c>
      <c r="E341" s="105"/>
      <c r="F341" s="105" t="str">
        <f>IFERROR(__xludf.DUMMYFUNCTION("""COMPUTED_VALUE"""),"reference::review::(related)")</f>
        <v>reference::review::(related)</v>
      </c>
      <c r="G341" s="105"/>
      <c r="H341" s="105"/>
      <c r="I341" s="105"/>
      <c r="J341" s="105"/>
      <c r="K341" s="105"/>
      <c r="L341" s="105"/>
      <c r="M341" s="105"/>
      <c r="N341" s="105"/>
      <c r="O341" s="105"/>
      <c r="P341" s="105" t="str">
        <f>IFERROR(__xludf.DUMMYFUNCTION("""COMPUTED_VALUE"""),"informing::error::unit::test::(where:.and::when)")</f>
        <v>informing::error::unit::test::(where:.and::when)</v>
      </c>
      <c r="Q341" s="105"/>
      <c r="R341" s="105"/>
      <c r="S341" s="105"/>
      <c r="T341" s="105"/>
      <c r="U341" s="105"/>
      <c r="V341" s="105"/>
      <c r="W341" s="105"/>
      <c r="X341" s="105"/>
      <c r="Y341" s="105"/>
      <c r="Z341" s="105"/>
    </row>
    <row r="342">
      <c r="A342" s="105"/>
      <c r="B342" s="105" t="str">
        <f>IFERROR(__xludf.DUMMYFUNCTION("""COMPUTED_VALUE"""),"Database-related issue, GUI-related issue, Performance issue, Security issue, Test code-related issue")</f>
        <v>Database-related issue, GUI-related issue, Performance issue, Security issue, Test code-related issue</v>
      </c>
      <c r="C342" s="105"/>
      <c r="D342" s="105" t="str">
        <f>IFERROR(__xludf.DUMMYFUNCTION("""COMPUTED_VALUE"""),"topic9::that::group::all::changes::related::to::BP/feature")</f>
        <v>topic9::that::group::all::changes::related::to::BP/feature</v>
      </c>
      <c r="E342" s="105"/>
      <c r="F342" s="105" t="str">
        <f>IFERROR(__xludf.DUMMYFUNCTION("""COMPUTED_VALUE"""),"reference::specification")</f>
        <v>reference::specification</v>
      </c>
      <c r="G342" s="105"/>
      <c r="H342" s="105"/>
      <c r="I342" s="105"/>
      <c r="J342" s="105"/>
      <c r="K342" s="105"/>
      <c r="L342" s="105"/>
      <c r="M342" s="105"/>
      <c r="N342" s="105"/>
      <c r="O342" s="105"/>
      <c r="P342" s="105" t="str">
        <f>IFERROR(__xludf.DUMMYFUNCTION("""COMPUTED_VALUE"""),"informing::existing::dependencies::(commit::message)")</f>
        <v>informing::existing::dependencies::(commit::message)</v>
      </c>
      <c r="Q342" s="105"/>
      <c r="R342" s="105"/>
      <c r="S342" s="105"/>
      <c r="T342" s="105"/>
      <c r="U342" s="105"/>
      <c r="V342" s="105"/>
      <c r="W342" s="105"/>
      <c r="X342" s="105"/>
      <c r="Y342" s="105"/>
      <c r="Z342" s="105"/>
    </row>
    <row r="343">
      <c r="A343" s="105"/>
      <c r="B343" s="105" t="str">
        <f>IFERROR(__xludf.DUMMYFUNCTION("""COMPUTED_VALUE"""),"Database-related issue, GUI-related issue, Permission/deprecation issue, Program anomaly issue, Test code-related issue")</f>
        <v>Database-related issue, GUI-related issue, Permission/deprecation issue, Program anomaly issue, Test code-related issue</v>
      </c>
      <c r="C343" s="105"/>
      <c r="D343" s="105" t="str">
        <f>IFERROR(__xludf.DUMMYFUNCTION("""COMPUTED_VALUE"""),"unapproved::specification::of::BP")</f>
        <v>unapproved::specification::of::BP</v>
      </c>
      <c r="E343" s="105"/>
      <c r="F343" s="105" t="str">
        <f>IFERROR(__xludf.DUMMYFUNCTION("""COMPUTED_VALUE"""),"reference::tag")</f>
        <v>reference::tag</v>
      </c>
      <c r="G343" s="105"/>
      <c r="H343" s="105"/>
      <c r="I343" s="105"/>
      <c r="J343" s="105"/>
      <c r="K343" s="105"/>
      <c r="L343" s="105"/>
      <c r="M343" s="105"/>
      <c r="N343" s="105"/>
      <c r="O343" s="105"/>
      <c r="P343" s="105" t="str">
        <f>IFERROR(__xludf.DUMMYFUNCTION("""COMPUTED_VALUE"""),"informing::existing::dependency::(another::project)::of::the::change")</f>
        <v>informing::existing::dependency::(another::project)::of::the::change</v>
      </c>
      <c r="Q343" s="105"/>
      <c r="R343" s="105"/>
      <c r="S343" s="105"/>
      <c r="T343" s="105"/>
      <c r="U343" s="105"/>
      <c r="V343" s="105"/>
      <c r="W343" s="105"/>
      <c r="X343" s="105"/>
      <c r="Y343" s="105"/>
      <c r="Z343" s="105"/>
    </row>
    <row r="344">
      <c r="A344" s="105"/>
      <c r="B344" s="105" t="str">
        <f>IFERROR(__xludf.DUMMYFUNCTION("""COMPUTED_VALUE"""),"Database-related issue, GUI-related issue, Permission/deprecation issue, Security issue, Program anomaly issue")</f>
        <v>Database-related issue, GUI-related issue, Permission/deprecation issue, Security issue, Program anomaly issue</v>
      </c>
      <c r="C344" s="105"/>
      <c r="D344" s="105" t="str">
        <f>IFERROR(__xludf.DUMMYFUNCTION("""COMPUTED_VALUE"""),"undesired::behaviour")</f>
        <v>undesired::behaviour</v>
      </c>
      <c r="E344" s="105"/>
      <c r="F344" s="105" t="str">
        <f>IFERROR(__xludf.DUMMYFUNCTION("""COMPUTED_VALUE"""),"reference::topic")</f>
        <v>reference::topic</v>
      </c>
      <c r="G344" s="105"/>
      <c r="H344" s="105"/>
      <c r="I344" s="105"/>
      <c r="J344" s="105"/>
      <c r="K344" s="105"/>
      <c r="L344" s="105"/>
      <c r="M344" s="105"/>
      <c r="N344" s="105"/>
      <c r="O344" s="105"/>
      <c r="P344" s="105" t="str">
        <f>IFERROR(__xludf.DUMMYFUNCTION("""COMPUTED_VALUE"""),"informing::existing::dependency::(another::project)::of::the::change::are::ready")</f>
        <v>informing::existing::dependency::(another::project)::of::the::change::are::ready</v>
      </c>
      <c r="Q344" s="105"/>
      <c r="R344" s="105"/>
      <c r="S344" s="105"/>
      <c r="T344" s="105"/>
      <c r="U344" s="105"/>
      <c r="V344" s="105"/>
      <c r="W344" s="105"/>
      <c r="X344" s="105"/>
      <c r="Y344" s="105"/>
      <c r="Z344" s="105"/>
    </row>
    <row r="345">
      <c r="A345" s="105"/>
      <c r="B345" s="105" t="str">
        <f>IFERROR(__xludf.DUMMYFUNCTION("""COMPUTED_VALUE"""),"Database-related issue, GUI-related issue, Permission/deprecation issue, Security issue, Test code-related issue")</f>
        <v>Database-related issue, GUI-related issue, Permission/deprecation issue, Security issue, Test code-related issue</v>
      </c>
      <c r="C345" s="105"/>
      <c r="D345" s="105" t="str">
        <f>IFERROR(__xludf.DUMMYFUNCTION("""COMPUTED_VALUE"""),"units::of::work::(link::to::reviews)")</f>
        <v>units::of::work::(link::to::reviews)</v>
      </c>
      <c r="E345" s="105"/>
      <c r="F345" s="105" t="str">
        <f>IFERROR(__xludf.DUMMYFUNCTION("""COMPUTED_VALUE"""),"reference::wiki")</f>
        <v>reference::wiki</v>
      </c>
      <c r="G345" s="105"/>
      <c r="H345" s="105"/>
      <c r="I345" s="105"/>
      <c r="J345" s="105"/>
      <c r="K345" s="105"/>
      <c r="L345" s="105"/>
      <c r="M345" s="105"/>
      <c r="N345" s="105"/>
      <c r="O345" s="105"/>
      <c r="P345" s="105" t="str">
        <f>IFERROR(__xludf.DUMMYFUNCTION("""COMPUTED_VALUE"""),"informing::existing::dependency::(another::review)")</f>
        <v>informing::existing::dependency::(another::review)</v>
      </c>
      <c r="Q345" s="105"/>
      <c r="R345" s="105"/>
      <c r="S345" s="105"/>
      <c r="T345" s="105"/>
      <c r="U345" s="105"/>
      <c r="V345" s="105"/>
      <c r="W345" s="105"/>
      <c r="X345" s="105"/>
      <c r="Y345" s="105"/>
      <c r="Z345" s="105"/>
    </row>
    <row r="346">
      <c r="A346" s="105"/>
      <c r="B346" s="105" t="str">
        <f>IFERROR(__xludf.DUMMYFUNCTION("""COMPUTED_VALUE"""),"Database-related issue, GUI-related issue, Security issue, Program anomaly issue, Test code-related issue")</f>
        <v>Database-related issue, GUI-related issue, Security issue, Program anomaly issue, Test code-related issue</v>
      </c>
      <c r="C346" s="105"/>
      <c r="D346" s="105" t="str">
        <f>IFERROR(__xludf.DUMMYFUNCTION("""COMPUTED_VALUE"""),"what::is::the::bug::causing")</f>
        <v>what::is::the::bug::causing</v>
      </c>
      <c r="E346" s="105"/>
      <c r="F346" s="105" t="str">
        <f>IFERROR(__xludf.DUMMYFUNCTION("""COMPUTED_VALUE"""),"reference::wiki::(meetings::agenda)")</f>
        <v>reference::wiki::(meetings::agenda)</v>
      </c>
      <c r="G346" s="105"/>
      <c r="H346" s="105"/>
      <c r="I346" s="105"/>
      <c r="J346" s="105"/>
      <c r="K346" s="105"/>
      <c r="L346" s="105"/>
      <c r="M346" s="105"/>
      <c r="N346" s="105"/>
      <c r="O346" s="105"/>
      <c r="P346" s="105" t="str">
        <f>IFERROR(__xludf.DUMMYFUNCTION("""COMPUTED_VALUE"""),"informing::existing::dependency::(another::review)::of::the::change")</f>
        <v>informing::existing::dependency::(another::review)::of::the::change</v>
      </c>
      <c r="Q346" s="105"/>
      <c r="R346" s="105"/>
      <c r="S346" s="105"/>
      <c r="T346" s="105"/>
      <c r="U346" s="105"/>
      <c r="V346" s="105"/>
      <c r="W346" s="105"/>
      <c r="X346" s="105"/>
      <c r="Y346" s="105"/>
      <c r="Z346" s="105"/>
    </row>
    <row r="347">
      <c r="A347" s="105"/>
      <c r="B347" s="105" t="str">
        <f>IFERROR(__xludf.DUMMYFUNCTION("""COMPUTED_VALUE"""),"Database-related issue, Network issue, Performance issue, Permission/deprecation issue, Program anomaly issue")</f>
        <v>Database-related issue, Network issue, Performance issue, Permission/deprecation issue, Program anomaly issue</v>
      </c>
      <c r="C347" s="105"/>
      <c r="D347" s="105" t="str">
        <f>IFERROR(__xludf.DUMMYFUNCTION("""COMPUTED_VALUE"""),"when::is::the::bug::present")</f>
        <v>when::is::the::bug::present</v>
      </c>
      <c r="E347" s="105"/>
      <c r="F347" s="105" t="str">
        <f>IFERROR(__xludf.DUMMYFUNCTION("""COMPUTED_VALUE"""),"reference::wiki::(meetings)")</f>
        <v>reference::wiki::(meetings)</v>
      </c>
      <c r="G347" s="105"/>
      <c r="H347" s="105"/>
      <c r="I347" s="105"/>
      <c r="J347" s="105"/>
      <c r="K347" s="105"/>
      <c r="L347" s="105"/>
      <c r="M347" s="105"/>
      <c r="N347" s="105"/>
      <c r="O347" s="105"/>
      <c r="P347" s="105" t="str">
        <f>IFERROR(__xludf.DUMMYFUNCTION("""COMPUTED_VALUE"""),"informing::FFE::(feature::freeze::exception)::lifted")</f>
        <v>informing::FFE::(feature::freeze::exception)::lifted</v>
      </c>
      <c r="Q347" s="105"/>
      <c r="R347" s="105"/>
      <c r="S347" s="105"/>
      <c r="T347" s="105"/>
      <c r="U347" s="105"/>
      <c r="V347" s="105"/>
      <c r="W347" s="105"/>
      <c r="X347" s="105"/>
      <c r="Y347" s="105"/>
      <c r="Z347" s="105"/>
    </row>
    <row r="348">
      <c r="A348" s="105"/>
      <c r="B348" s="105" t="str">
        <f>IFERROR(__xludf.DUMMYFUNCTION("""COMPUTED_VALUE"""),"Database-related issue, Network issue, Performance issue, Permission/deprecation issue, Security issue")</f>
        <v>Database-related issue, Network issue, Performance issue, Permission/deprecation issue, Security issue</v>
      </c>
      <c r="C348" s="105"/>
      <c r="D348" s="105" t="str">
        <f>IFERROR(__xludf.DUMMYFUNCTION("""COMPUTED_VALUE"""),"when::is::the::bug::present::(specific::elasticsearch::version)")</f>
        <v>when::is::the::bug::present::(specific::elasticsearch::version)</v>
      </c>
      <c r="E348" s="105"/>
      <c r="F348" s="105" t="str">
        <f>IFERROR(__xludf.DUMMYFUNCTION("""COMPUTED_VALUE"""),"reminder::to::review::high-priority::reviews::(including::BP)")</f>
        <v>reminder::to::review::high-priority::reviews::(including::BP)</v>
      </c>
      <c r="G348" s="105"/>
      <c r="H348" s="105"/>
      <c r="I348" s="105"/>
      <c r="J348" s="105"/>
      <c r="K348" s="105"/>
      <c r="L348" s="105"/>
      <c r="M348" s="105"/>
      <c r="N348" s="105"/>
      <c r="O348" s="105"/>
      <c r="P348" s="105" t="str">
        <f>IFERROR(__xludf.DUMMYFUNCTION("""COMPUTED_VALUE"""),"informing::frustration::about::waiting::for::next::release")</f>
        <v>informing::frustration::about::waiting::for::next::release</v>
      </c>
      <c r="Q348" s="105"/>
      <c r="R348" s="105"/>
      <c r="S348" s="105"/>
      <c r="T348" s="105"/>
      <c r="U348" s="105"/>
      <c r="V348" s="105"/>
      <c r="W348" s="105"/>
      <c r="X348" s="105"/>
      <c r="Y348" s="105"/>
      <c r="Z348" s="105"/>
    </row>
    <row r="349">
      <c r="A349" s="105"/>
      <c r="B349" s="105" t="str">
        <f>IFERROR(__xludf.DUMMYFUNCTION("""COMPUTED_VALUE"""),"Database-related issue, Network issue, Performance issue, Permission/deprecation issue, Test code-related issue")</f>
        <v>Database-related issue, Network issue, Performance issue, Permission/deprecation issue, Test code-related issue</v>
      </c>
      <c r="C349" s="105"/>
      <c r="D349" s="105" t="str">
        <f>IFERROR(__xludf.DUMMYFUNCTION("""COMPUTED_VALUE"""),"when::is::the::bug::present::(specific::java::version)")</f>
        <v>when::is::the::bug::present::(specific::java::version)</v>
      </c>
      <c r="E349" s="105"/>
      <c r="F349" s="105" t="str">
        <f>IFERROR(__xludf.DUMMYFUNCTION("""COMPUTED_VALUE"""),"requesting::a::meeeting::(IRC)")</f>
        <v>requesting::a::meeeting::(IRC)</v>
      </c>
      <c r="G349" s="105"/>
      <c r="H349" s="105"/>
      <c r="I349" s="105"/>
      <c r="J349" s="105"/>
      <c r="K349" s="105"/>
      <c r="L349" s="105"/>
      <c r="M349" s="105"/>
      <c r="N349" s="105"/>
      <c r="O349" s="105"/>
      <c r="P349" s="105" t="str">
        <f>IFERROR(__xludf.DUMMYFUNCTION("""COMPUTED_VALUE"""),"informing::inconsistencies::found:.(format)")</f>
        <v>informing::inconsistencies::found:.(format)</v>
      </c>
      <c r="Q349" s="105"/>
      <c r="R349" s="105"/>
      <c r="S349" s="105"/>
      <c r="T349" s="105"/>
      <c r="U349" s="105"/>
      <c r="V349" s="105"/>
      <c r="W349" s="105"/>
      <c r="X349" s="105"/>
      <c r="Y349" s="105"/>
      <c r="Z349" s="105"/>
    </row>
    <row r="350">
      <c r="A350" s="105"/>
      <c r="B350" s="105" t="str">
        <f>IFERROR(__xludf.DUMMYFUNCTION("""COMPUTED_VALUE"""),"Database-related issue, Network issue, Performance issue, Program anomaly issue, Test code-related issue")</f>
        <v>Database-related issue, Network issue, Performance issue, Program anomaly issue, Test code-related issue</v>
      </c>
      <c r="C350" s="105"/>
      <c r="D350" s="105" t="str">
        <f>IFERROR(__xludf.DUMMYFUNCTION("""COMPUTED_VALUE"""),"when::is::the::bug::present::(specific::python::version)")</f>
        <v>when::is::the::bug::present::(specific::python::version)</v>
      </c>
      <c r="E350" s="105"/>
      <c r="F350" s="105" t="str">
        <f>IFERROR(__xludf.DUMMYFUNCTION("""COMPUTED_VALUE"""),"requesting::feature::freeze::exception::for::BP/feature")</f>
        <v>requesting::feature::freeze::exception::for::BP/feature</v>
      </c>
      <c r="G350" s="105"/>
      <c r="H350" s="105"/>
      <c r="I350" s="105"/>
      <c r="J350" s="105"/>
      <c r="K350" s="105"/>
      <c r="L350" s="105"/>
      <c r="M350" s="105"/>
      <c r="N350" s="105"/>
      <c r="O350" s="105"/>
      <c r="P350" s="105" t="str">
        <f>IFERROR(__xludf.DUMMYFUNCTION("""COMPUTED_VALUE"""),"informing::integration::testing::(results)")</f>
        <v>informing::integration::testing::(results)</v>
      </c>
      <c r="Q350" s="105"/>
      <c r="R350" s="105"/>
      <c r="S350" s="105"/>
      <c r="T350" s="105"/>
      <c r="U350" s="105"/>
      <c r="V350" s="105"/>
      <c r="W350" s="105"/>
      <c r="X350" s="105"/>
      <c r="Y350" s="105"/>
      <c r="Z350" s="105"/>
    </row>
    <row r="351">
      <c r="A351" s="105"/>
      <c r="B351" s="105" t="str">
        <f>IFERROR(__xludf.DUMMYFUNCTION("""COMPUTED_VALUE"""),"Database-related issue, Network issue, Performance issue, Security issue, Program anomaly issue")</f>
        <v>Database-related issue, Network issue, Performance issue, Security issue, Program anomaly issue</v>
      </c>
      <c r="C351" s="105"/>
      <c r="D351" s="105" t="str">
        <f>IFERROR(__xludf.DUMMYFUNCTION("""COMPUTED_VALUE"""),"where::is::the::bug")</f>
        <v>where::is::the::bug</v>
      </c>
      <c r="E351" s="105"/>
      <c r="F351" s="105" t="str">
        <f>IFERROR(__xludf.DUMMYFUNCTION("""COMPUTED_VALUE"""),"requesting::feature::freeze::exception::for::BP/feature::include::bug")</f>
        <v>requesting::feature::freeze::exception::for::BP/feature::include::bug</v>
      </c>
      <c r="G351" s="105"/>
      <c r="H351" s="105"/>
      <c r="I351" s="105"/>
      <c r="J351" s="105"/>
      <c r="K351" s="105"/>
      <c r="L351" s="105"/>
      <c r="M351" s="105"/>
      <c r="N351" s="105"/>
      <c r="O351" s="105"/>
      <c r="P351" s="105" t="str">
        <f>IFERROR(__xludf.DUMMYFUNCTION("""COMPUTED_VALUE"""),"informing::integration::testing::(to::be::executed)")</f>
        <v>informing::integration::testing::(to::be::executed)</v>
      </c>
      <c r="Q351" s="105"/>
      <c r="R351" s="105"/>
      <c r="S351" s="105"/>
      <c r="T351" s="105"/>
      <c r="U351" s="105"/>
      <c r="V351" s="105"/>
      <c r="W351" s="105"/>
      <c r="X351" s="105"/>
      <c r="Y351" s="105"/>
      <c r="Z351" s="105"/>
    </row>
    <row r="352">
      <c r="A352" s="105"/>
      <c r="B352" s="105" t="str">
        <f>IFERROR(__xludf.DUMMYFUNCTION("""COMPUTED_VALUE"""),"Database-related issue, Network issue, Performance issue, Security issue, Test code-related issue")</f>
        <v>Database-related issue, Network issue, Performance issue, Security issue, Test code-related issue</v>
      </c>
      <c r="C352" s="105"/>
      <c r="D352" s="105" t="str">
        <f>IFERROR(__xludf.DUMMYFUNCTION("""COMPUTED_VALUE"""),"where::was::merged::the::units::of::work")</f>
        <v>where::was::merged::the::units::of::work</v>
      </c>
      <c r="E352" s="105"/>
      <c r="F352" s="105" t="str">
        <f>IFERROR(__xludf.DUMMYFUNCTION("""COMPUTED_VALUE"""),"requesting::feature::freeze::exception::for::BP/feature::include::patch")</f>
        <v>requesting::feature::freeze::exception::for::BP/feature::include::patch</v>
      </c>
      <c r="G352" s="105"/>
      <c r="H352" s="105"/>
      <c r="I352" s="105"/>
      <c r="J352" s="105"/>
      <c r="K352" s="105"/>
      <c r="L352" s="105"/>
      <c r="M352" s="105"/>
      <c r="N352" s="105"/>
      <c r="O352" s="105"/>
      <c r="P352" s="105" t="str">
        <f>IFERROR(__xludf.DUMMYFUNCTION("""COMPUTED_VALUE"""),"informing::issue::approved::(BP)")</f>
        <v>informing::issue::approved::(BP)</v>
      </c>
      <c r="Q352" s="105"/>
      <c r="R352" s="105"/>
      <c r="S352" s="105"/>
      <c r="T352" s="105"/>
      <c r="U352" s="105"/>
      <c r="V352" s="105"/>
      <c r="W352" s="105"/>
      <c r="X352" s="105"/>
      <c r="Y352" s="105"/>
      <c r="Z352" s="105"/>
    </row>
    <row r="353">
      <c r="A353" s="105"/>
      <c r="B353" s="105" t="str">
        <f>IFERROR(__xludf.DUMMYFUNCTION("""COMPUTED_VALUE"""),"Database-related issue, Network issue, Permission/deprecation issue, Program anomaly issue, Test code-related issue")</f>
        <v>Database-related issue, Network issue, Permission/deprecation issue, Program anomaly issue, Test code-related issue</v>
      </c>
      <c r="C353" s="105"/>
      <c r="D353" s="105" t="str">
        <f>IFERROR(__xludf.DUMMYFUNCTION("""COMPUTED_VALUE"""),"why::BP/feature::is::required")</f>
        <v>why::BP/feature::is::required</v>
      </c>
      <c r="E353" s="105"/>
      <c r="F353" s="105" t="str">
        <f>IFERROR(__xludf.DUMMYFUNCTION("""COMPUTED_VALUE"""),"requesting::feature::freeze::exception::for::BP/feature/patch::include::bug")</f>
        <v>requesting::feature::freeze::exception::for::BP/feature/patch::include::bug</v>
      </c>
      <c r="G353" s="105"/>
      <c r="H353" s="105"/>
      <c r="I353" s="105"/>
      <c r="J353" s="105"/>
      <c r="K353" s="105"/>
      <c r="L353" s="105"/>
      <c r="M353" s="105"/>
      <c r="N353" s="105"/>
      <c r="O353" s="105"/>
      <c r="P353" s="105" t="str">
        <f>IFERROR(__xludf.DUMMYFUNCTION("""COMPUTED_VALUE"""),"informing::left::comments")</f>
        <v>informing::left::comments</v>
      </c>
      <c r="Q353" s="105"/>
      <c r="R353" s="105"/>
      <c r="S353" s="105"/>
      <c r="T353" s="105"/>
      <c r="U353" s="105"/>
      <c r="V353" s="105"/>
      <c r="W353" s="105"/>
      <c r="X353" s="105"/>
      <c r="Y353" s="105"/>
      <c r="Z353" s="105"/>
    </row>
    <row r="354">
      <c r="A354" s="105"/>
      <c r="B354" s="105" t="str">
        <f>IFERROR(__xludf.DUMMYFUNCTION("""COMPUTED_VALUE"""),"Database-related issue, Network issue, Permission/deprecation issue, Security issue, Program anomaly issue")</f>
        <v>Database-related issue, Network issue, Permission/deprecation issue, Security issue, Program anomaly issue</v>
      </c>
      <c r="C354" s="105"/>
      <c r="D354" s="105" t="str">
        <f>IFERROR(__xludf.DUMMYFUNCTION("""COMPUTED_VALUE"""),"why::change::is::required")</f>
        <v>why::change::is::required</v>
      </c>
      <c r="E354" s="105"/>
      <c r="F354" s="105" t="str">
        <f>IFERROR(__xludf.DUMMYFUNCTION("""COMPUTED_VALUE"""),"requesting::feature::freeze::exception::for::revire::to::include::BP/feature")</f>
        <v>requesting::feature::freeze::exception::for::revire::to::include::BP/feature</v>
      </c>
      <c r="G354" s="105"/>
      <c r="H354" s="105"/>
      <c r="I354" s="105"/>
      <c r="J354" s="105"/>
      <c r="K354" s="105"/>
      <c r="L354" s="105"/>
      <c r="M354" s="105"/>
      <c r="N354" s="105"/>
      <c r="O354" s="105"/>
      <c r="P354" s="105" t="str">
        <f>IFERROR(__xludf.DUMMYFUNCTION("""COMPUTED_VALUE"""),"informing::left::inline::comments")</f>
        <v>informing::left::inline::comments</v>
      </c>
      <c r="Q354" s="105"/>
      <c r="R354" s="105"/>
      <c r="S354" s="105"/>
      <c r="T354" s="105"/>
      <c r="U354" s="105"/>
      <c r="V354" s="105"/>
      <c r="W354" s="105"/>
      <c r="X354" s="105"/>
      <c r="Y354" s="105"/>
      <c r="Z354" s="105"/>
    </row>
    <row r="355">
      <c r="A355" s="105"/>
      <c r="B355" s="105" t="str">
        <f>IFERROR(__xludf.DUMMYFUNCTION("""COMPUTED_VALUE"""),"Database-related issue, Network issue, Permission/deprecation issue, Security issue, Test code-related issue")</f>
        <v>Database-related issue, Network issue, Permission/deprecation issue, Security issue, Test code-related issue</v>
      </c>
      <c r="C355" s="105"/>
      <c r="D355" s="105" t="str">
        <f>IFERROR(__xludf.DUMMYFUNCTION("""COMPUTED_VALUE"""),"why::feature::is::required")</f>
        <v>why::feature::is::required</v>
      </c>
      <c r="E355" s="105"/>
      <c r="F355" s="105" t="str">
        <f>IFERROR(__xludf.DUMMYFUNCTION("""COMPUTED_VALUE"""),"requesting::information::(development::progress)")</f>
        <v>requesting::information::(development::progress)</v>
      </c>
      <c r="G355" s="105"/>
      <c r="H355" s="105"/>
      <c r="I355" s="105"/>
      <c r="J355" s="105"/>
      <c r="K355" s="105"/>
      <c r="L355" s="105"/>
      <c r="M355" s="105"/>
      <c r="N355" s="105"/>
      <c r="O355" s="105"/>
      <c r="P355" s="105" t="str">
        <f>IFERROR(__xludf.DUMMYFUNCTION("""COMPUTED_VALUE"""),"informing::lgtm")</f>
        <v>informing::lgtm</v>
      </c>
      <c r="Q355" s="105"/>
      <c r="R355" s="105"/>
      <c r="S355" s="105"/>
      <c r="T355" s="105"/>
      <c r="U355" s="105"/>
      <c r="V355" s="105"/>
      <c r="W355" s="105"/>
      <c r="X355" s="105"/>
      <c r="Y355" s="105"/>
      <c r="Z355" s="105"/>
    </row>
    <row r="356">
      <c r="A356" s="105"/>
      <c r="B356" s="105" t="str">
        <f>IFERROR(__xludf.DUMMYFUNCTION("""COMPUTED_VALUE"""),"Database-related issue, Network issue, Security issue, Program anomaly issue, Test code-related issue")</f>
        <v>Database-related issue, Network issue, Security issue, Program anomaly issue, Test code-related issue</v>
      </c>
      <c r="C356" s="105"/>
      <c r="D356" s="105" t="str">
        <f>IFERROR(__xludf.DUMMYFUNCTION("""COMPUTED_VALUE"""),"wrong::linking::between::review::commit2::and::bug")</f>
        <v>wrong::linking::between::review::commit2::and::bug</v>
      </c>
      <c r="E356" s="105"/>
      <c r="F356" s="105" t="str">
        <f>IFERROR(__xludf.DUMMYFUNCTION("""COMPUTED_VALUE"""),"requesting::investigation::(specific::failures)")</f>
        <v>requesting::investigation::(specific::failures)</v>
      </c>
      <c r="G356" s="105"/>
      <c r="H356" s="105"/>
      <c r="I356" s="105"/>
      <c r="J356" s="105"/>
      <c r="K356" s="105"/>
      <c r="L356" s="105"/>
      <c r="M356" s="105"/>
      <c r="N356" s="105"/>
      <c r="O356" s="105"/>
      <c r="P356" s="105" t="str">
        <f>IFERROR(__xludf.DUMMYFUNCTION("""COMPUTED_VALUE"""),"informing::lgtm::(+1)")</f>
        <v>informing::lgtm::(+1)</v>
      </c>
      <c r="Q356" s="105"/>
      <c r="R356" s="105"/>
      <c r="S356" s="105"/>
      <c r="T356" s="105"/>
      <c r="U356" s="105"/>
      <c r="V356" s="105"/>
      <c r="W356" s="105"/>
      <c r="X356" s="105"/>
      <c r="Y356" s="105"/>
      <c r="Z356" s="105"/>
    </row>
    <row r="357">
      <c r="A357" s="105"/>
      <c r="B357" s="105" t="str">
        <f>IFERROR(__xludf.DUMMYFUNCTION("""COMPUTED_VALUE"""),"Database-related issue, Performance issue, Permission/deprecation issue, Program anomaly issue, Test code-related issue")</f>
        <v>Database-related issue, Performance issue, Permission/deprecation issue, Program anomaly issue, Test code-related issue</v>
      </c>
      <c r="C357" s="105"/>
      <c r="D357" s="105" t="str">
        <f>IFERROR(__xludf.DUMMYFUNCTION("""COMPUTED_VALUE"""),"x")</f>
        <v>x</v>
      </c>
      <c r="E357" s="105"/>
      <c r="F357" s="105" t="str">
        <f>IFERROR(__xludf.DUMMYFUNCTION("""COMPUTED_VALUE"""),"requesting::removing::negative::votes::in::bugs")</f>
        <v>requesting::removing::negative::votes::in::bugs</v>
      </c>
      <c r="G357" s="105"/>
      <c r="H357" s="105"/>
      <c r="I357" s="105"/>
      <c r="J357" s="105"/>
      <c r="K357" s="105"/>
      <c r="L357" s="105"/>
      <c r="M357" s="105"/>
      <c r="N357" s="105"/>
      <c r="O357" s="105"/>
      <c r="P357" s="105" t="str">
        <f>IFERROR(__xludf.DUMMYFUNCTION("""COMPUTED_VALUE"""),"informing::lost::in::squash")</f>
        <v>informing::lost::in::squash</v>
      </c>
      <c r="Q357" s="105"/>
      <c r="R357" s="105"/>
      <c r="S357" s="105"/>
      <c r="T357" s="105"/>
      <c r="U357" s="105"/>
      <c r="V357" s="105"/>
      <c r="W357" s="105"/>
      <c r="X357" s="105"/>
      <c r="Y357" s="105"/>
      <c r="Z357" s="105"/>
    </row>
    <row r="358">
      <c r="A358" s="105"/>
      <c r="B358" s="105" t="str">
        <f>IFERROR(__xludf.DUMMYFUNCTION("""COMPUTED_VALUE"""),"Database-related issue, Performance issue, Permission/deprecation issue, Security issue, Program anomaly issue")</f>
        <v>Database-related issue, Performance issue, Permission/deprecation issue, Security issue, Program anomaly issue</v>
      </c>
      <c r="C358" s="105"/>
      <c r="D358" s="105"/>
      <c r="E358" s="105"/>
      <c r="F358" s="105" t="str">
        <f>IFERROR(__xludf.DUMMYFUNCTION("""COMPUTED_VALUE"""),"requesting::review")</f>
        <v>requesting::review</v>
      </c>
      <c r="G358" s="105"/>
      <c r="H358" s="105"/>
      <c r="I358" s="105"/>
      <c r="J358" s="105"/>
      <c r="K358" s="105"/>
      <c r="L358" s="105"/>
      <c r="M358" s="105"/>
      <c r="N358" s="105"/>
      <c r="O358" s="105"/>
      <c r="P358" s="105" t="str">
        <f>IFERROR(__xludf.DUMMYFUNCTION("""COMPUTED_VALUE"""),"informing::lost::progress::(code::gone)")</f>
        <v>informing::lost::progress::(code::gone)</v>
      </c>
      <c r="Q358" s="105"/>
      <c r="R358" s="105"/>
      <c r="S358" s="105"/>
      <c r="T358" s="105"/>
      <c r="U358" s="105"/>
      <c r="V358" s="105"/>
      <c r="W358" s="105"/>
      <c r="X358" s="105"/>
      <c r="Y358" s="105"/>
      <c r="Z358" s="105"/>
    </row>
    <row r="359">
      <c r="A359" s="105"/>
      <c r="B359" s="105" t="str">
        <f>IFERROR(__xludf.DUMMYFUNCTION("""COMPUTED_VALUE"""),"Database-related issue, Performance issue, Permission/deprecation issue, Security issue, Test code-related issue")</f>
        <v>Database-related issue, Performance issue, Permission/deprecation issue, Security issue, Test code-related issue</v>
      </c>
      <c r="C359" s="105"/>
      <c r="D359" s="105"/>
      <c r="E359" s="105"/>
      <c r="F359" s="105" t="str">
        <f>IFERROR(__xludf.DUMMYFUNCTION("""COMPUTED_VALUE"""),"requesting::temporary::fix")</f>
        <v>requesting::temporary::fix</v>
      </c>
      <c r="G359" s="105"/>
      <c r="H359" s="105"/>
      <c r="I359" s="105"/>
      <c r="J359" s="105"/>
      <c r="K359" s="105"/>
      <c r="L359" s="105"/>
      <c r="M359" s="105"/>
      <c r="N359" s="105"/>
      <c r="O359" s="105"/>
      <c r="P359" s="105" t="str">
        <f>IFERROR(__xludf.DUMMYFUNCTION("""COMPUTED_VALUE"""),"informing::migration::clash")</f>
        <v>informing::migration::clash</v>
      </c>
      <c r="Q359" s="105"/>
      <c r="R359" s="105"/>
      <c r="S359" s="105"/>
      <c r="T359" s="105"/>
      <c r="U359" s="105"/>
      <c r="V359" s="105"/>
      <c r="W359" s="105"/>
      <c r="X359" s="105"/>
      <c r="Y359" s="105"/>
      <c r="Z359" s="105"/>
    </row>
    <row r="360">
      <c r="A360" s="105"/>
      <c r="B360" s="105" t="str">
        <f>IFERROR(__xludf.DUMMYFUNCTION("""COMPUTED_VALUE"""),"Database-related issue, Performance issue, Security issue, Program anomaly issue, Test code-related issue")</f>
        <v>Database-related issue, Performance issue, Security issue, Program anomaly issue, Test code-related issue</v>
      </c>
      <c r="C360" s="105"/>
      <c r="D360" s="105"/>
      <c r="E360" s="105"/>
      <c r="F360" s="105" t="str">
        <f>IFERROR(__xludf.DUMMYFUNCTION("""COMPUTED_VALUE"""),"requesting::update::develpment::process::(agenda::meeting)::if::needed")</f>
        <v>requesting::update::develpment::process::(agenda::meeting)::if::needed</v>
      </c>
      <c r="G360" s="105"/>
      <c r="H360" s="105"/>
      <c r="I360" s="105"/>
      <c r="J360" s="105"/>
      <c r="K360" s="105"/>
      <c r="L360" s="105"/>
      <c r="M360" s="105"/>
      <c r="N360" s="105"/>
      <c r="O360" s="105"/>
      <c r="P360" s="105" t="str">
        <f>IFERROR(__xludf.DUMMYFUNCTION("""COMPUTED_VALUE"""),"informing::multiple:.times::that::there::are::no::bugs::after::build::failures")</f>
        <v>informing::multiple:.times::that::there::are::no::bugs::after::build::failures</v>
      </c>
      <c r="Q360" s="105"/>
      <c r="R360" s="105"/>
      <c r="S360" s="105"/>
      <c r="T360" s="105"/>
      <c r="U360" s="105"/>
      <c r="V360" s="105"/>
      <c r="W360" s="105"/>
      <c r="X360" s="105"/>
      <c r="Y360" s="105"/>
      <c r="Z360" s="105"/>
    </row>
    <row r="361">
      <c r="A361" s="105"/>
      <c r="B361" s="105" t="str">
        <f>IFERROR(__xludf.DUMMYFUNCTION("""COMPUTED_VALUE"""),"Database-related issue, Permission/deprecation issue, Security issue, Program anomaly issue, Test code-related issue")</f>
        <v>Database-related issue, Permission/deprecation issue, Security issue, Program anomaly issue, Test code-related issue</v>
      </c>
      <c r="C361" s="105"/>
      <c r="D361" s="105"/>
      <c r="E361" s="105"/>
      <c r="F361" s="105" t="str">
        <f>IFERROR(__xludf.DUMMYFUNCTION("""COMPUTED_VALUE"""),"requesting::update::develpment::process::(BP)::if::needed")</f>
        <v>requesting::update::develpment::process::(BP)::if::needed</v>
      </c>
      <c r="G361" s="105"/>
      <c r="H361" s="105"/>
      <c r="I361" s="105"/>
      <c r="J361" s="105"/>
      <c r="K361" s="105"/>
      <c r="L361" s="105"/>
      <c r="M361" s="105"/>
      <c r="N361" s="105"/>
      <c r="O361" s="105"/>
      <c r="P361" s="105" t="str">
        <f>IFERROR(__xludf.DUMMYFUNCTION("""COMPUTED_VALUE"""),"informing::new::PR::with::different::target::branch")</f>
        <v>informing::new::PR::with::different::target::branch</v>
      </c>
      <c r="Q361" s="105"/>
      <c r="R361" s="105"/>
      <c r="S361" s="105"/>
      <c r="T361" s="105"/>
      <c r="U361" s="105"/>
      <c r="V361" s="105"/>
      <c r="W361" s="105"/>
      <c r="X361" s="105"/>
      <c r="Y361" s="105"/>
      <c r="Z361" s="105"/>
    </row>
    <row r="362">
      <c r="A362" s="105"/>
      <c r="B362" s="105" t="str">
        <f>IFERROR(__xludf.DUMMYFUNCTION("""COMPUTED_VALUE"""),"GUI-related issue, Network issue, Performance issue, Permission/deprecation issue, Program anomaly issue")</f>
        <v>GUI-related issue, Network issue, Performance issue, Permission/deprecation issue, Program anomaly issue</v>
      </c>
      <c r="C362" s="105"/>
      <c r="D362" s="105"/>
      <c r="E362" s="105"/>
      <c r="F362" s="105" t="str">
        <f>IFERROR(__xludf.DUMMYFUNCTION("""COMPUTED_VALUE"""),"results::of::a::previous::meeting::BP/feature")</f>
        <v>results::of::a::previous::meeting::BP/feature</v>
      </c>
      <c r="G362" s="105"/>
      <c r="H362" s="105"/>
      <c r="I362" s="105"/>
      <c r="J362" s="105"/>
      <c r="K362" s="105"/>
      <c r="L362" s="105"/>
      <c r="M362" s="105"/>
      <c r="N362" s="105"/>
      <c r="O362" s="105"/>
      <c r="P362" s="105" t="str">
        <f>IFERROR(__xludf.DUMMYFUNCTION("""COMPUTED_VALUE"""),"informing::passed::error::unit::test")</f>
        <v>informing::passed::error::unit::test</v>
      </c>
      <c r="Q362" s="105"/>
      <c r="R362" s="105"/>
      <c r="S362" s="105"/>
      <c r="T362" s="105"/>
      <c r="U362" s="105"/>
      <c r="V362" s="105"/>
      <c r="W362" s="105"/>
      <c r="X362" s="105"/>
      <c r="Y362" s="105"/>
      <c r="Z362" s="105"/>
    </row>
    <row r="363">
      <c r="A363" s="105"/>
      <c r="B363" s="105" t="str">
        <f>IFERROR(__xludf.DUMMYFUNCTION("""COMPUTED_VALUE"""),"GUI-related issue, Network issue, Performance issue, Permission/deprecation issue, Security issue")</f>
        <v>GUI-related issue, Network issue, Performance issue, Permission/deprecation issue, Security issue</v>
      </c>
      <c r="C363" s="105"/>
      <c r="D363" s="105"/>
      <c r="E363" s="105"/>
      <c r="F363" s="105" t="str">
        <f>IFERROR(__xludf.DUMMYFUNCTION("""COMPUTED_VALUE"""),"results::of::a::previous::meeting::other")</f>
        <v>results::of::a::previous::meeting::other</v>
      </c>
      <c r="G363" s="105"/>
      <c r="H363" s="105"/>
      <c r="I363" s="105"/>
      <c r="J363" s="105"/>
      <c r="K363" s="105"/>
      <c r="L363" s="105"/>
      <c r="M363" s="105"/>
      <c r="N363" s="105"/>
      <c r="O363" s="105"/>
      <c r="P363" s="105" t="str">
        <f>IFERROR(__xludf.DUMMYFUNCTION("""COMPUTED_VALUE"""),"informing::possible::bug")</f>
        <v>informing::possible::bug</v>
      </c>
      <c r="Q363" s="105"/>
      <c r="R363" s="105"/>
      <c r="S363" s="105"/>
      <c r="T363" s="105"/>
      <c r="U363" s="105"/>
      <c r="V363" s="105"/>
      <c r="W363" s="105"/>
      <c r="X363" s="105"/>
      <c r="Y363" s="105"/>
      <c r="Z363" s="105"/>
    </row>
    <row r="364">
      <c r="A364" s="105"/>
      <c r="B364" s="105" t="str">
        <f>IFERROR(__xludf.DUMMYFUNCTION("""COMPUTED_VALUE"""),"GUI-related issue, Network issue, Performance issue, Permission/deprecation issue, Test code-related issue")</f>
        <v>GUI-related issue, Network issue, Performance issue, Permission/deprecation issue, Test code-related issue</v>
      </c>
      <c r="C364" s="105"/>
      <c r="D364" s="105"/>
      <c r="E364" s="105"/>
      <c r="F364" s="105" t="str">
        <f>IFERROR(__xludf.DUMMYFUNCTION("""COMPUTED_VALUE"""),"security::issues")</f>
        <v>security::issues</v>
      </c>
      <c r="G364" s="105"/>
      <c r="H364" s="105"/>
      <c r="I364" s="105"/>
      <c r="J364" s="105"/>
      <c r="K364" s="105"/>
      <c r="L364" s="105"/>
      <c r="M364" s="105"/>
      <c r="N364" s="105"/>
      <c r="O364" s="105"/>
      <c r="P364" s="105" t="str">
        <f>IFERROR(__xludf.DUMMYFUNCTION("""COMPUTED_VALUE"""),"informing::preference::(changes::in::own/new::patch)")</f>
        <v>informing::preference::(changes::in::own/new::patch)</v>
      </c>
      <c r="Q364" s="105"/>
      <c r="R364" s="105"/>
      <c r="S364" s="105"/>
      <c r="T364" s="105"/>
      <c r="U364" s="105"/>
      <c r="V364" s="105"/>
      <c r="W364" s="105"/>
      <c r="X364" s="105"/>
      <c r="Y364" s="105"/>
      <c r="Z364" s="105"/>
    </row>
    <row r="365">
      <c r="A365" s="105"/>
      <c r="B365" s="105" t="str">
        <f>IFERROR(__xludf.DUMMYFUNCTION("""COMPUTED_VALUE"""),"GUI-related issue, Network issue, Performance issue, Program anomaly issue, Test code-related issue")</f>
        <v>GUI-related issue, Network issue, Performance issue, Program anomaly issue, Test code-related issue</v>
      </c>
      <c r="C365" s="105"/>
      <c r="D365" s="105"/>
      <c r="E365" s="105"/>
      <c r="F365" s="105" t="str">
        <f>IFERROR(__xludf.DUMMYFUNCTION("""COMPUTED_VALUE"""),"setting::deadline::to::approve::a::review")</f>
        <v>setting::deadline::to::approve::a::review</v>
      </c>
      <c r="G365" s="105"/>
      <c r="H365" s="105"/>
      <c r="I365" s="105"/>
      <c r="J365" s="105"/>
      <c r="K365" s="105"/>
      <c r="L365" s="105"/>
      <c r="M365" s="105"/>
      <c r="N365" s="105"/>
      <c r="O365" s="105"/>
      <c r="P365" s="105" t="str">
        <f>IFERROR(__xludf.DUMMYFUNCTION("""COMPUTED_VALUE"""),"informing::ready::for::review")</f>
        <v>informing::ready::for::review</v>
      </c>
      <c r="Q365" s="105"/>
      <c r="R365" s="105"/>
      <c r="S365" s="105"/>
      <c r="T365" s="105"/>
      <c r="U365" s="105"/>
      <c r="V365" s="105"/>
      <c r="W365" s="105"/>
      <c r="X365" s="105"/>
      <c r="Y365" s="105"/>
      <c r="Z365" s="105"/>
    </row>
    <row r="366">
      <c r="A366" s="105"/>
      <c r="B366" s="105" t="str">
        <f>IFERROR(__xludf.DUMMYFUNCTION("""COMPUTED_VALUE"""),"GUI-related issue, Network issue, Performance issue, Security issue, Program anomaly issue")</f>
        <v>GUI-related issue, Network issue, Performance issue, Security issue, Program anomaly issue</v>
      </c>
      <c r="C366" s="105"/>
      <c r="D366" s="105"/>
      <c r="E366" s="105"/>
      <c r="F366" s="105" t="str">
        <f>IFERROR(__xludf.DUMMYFUNCTION("""COMPUTED_VALUE"""),"sharing::ideas::for::implementation")</f>
        <v>sharing::ideas::for::implementation</v>
      </c>
      <c r="G366" s="105"/>
      <c r="H366" s="105"/>
      <c r="I366" s="105"/>
      <c r="J366" s="105"/>
      <c r="K366" s="105"/>
      <c r="L366" s="105"/>
      <c r="M366" s="105"/>
      <c r="N366" s="105"/>
      <c r="O366" s="105"/>
      <c r="P366" s="105" t="str">
        <f>IFERROR(__xludf.DUMMYFUNCTION("""COMPUTED_VALUE"""),"informing::reason::error::unit::test")</f>
        <v>informing::reason::error::unit::test</v>
      </c>
      <c r="Q366" s="105"/>
      <c r="R366" s="105"/>
      <c r="S366" s="105"/>
      <c r="T366" s="105"/>
      <c r="U366" s="105"/>
      <c r="V366" s="105"/>
      <c r="W366" s="105"/>
      <c r="X366" s="105"/>
      <c r="Y366" s="105"/>
      <c r="Z366" s="105"/>
    </row>
    <row r="367">
      <c r="A367" s="105"/>
      <c r="B367" s="105" t="str">
        <f>IFERROR(__xludf.DUMMYFUNCTION("""COMPUTED_VALUE"""),"GUI-related issue, Network issue, Performance issue, Security issue, Test code-related issue")</f>
        <v>GUI-related issue, Network issue, Performance issue, Security issue, Test code-related issue</v>
      </c>
      <c r="C367" s="105"/>
      <c r="D367" s="105"/>
      <c r="E367" s="105"/>
      <c r="F367" s="105" t="str">
        <f>IFERROR(__xludf.DUMMYFUNCTION("""COMPUTED_VALUE"""),"solution::for::the::responsabilities::left::of::by::other::developers::(bug/BP/feature::related)")</f>
        <v>solution::for::the::responsabilities::left::of::by::other::developers::(bug/BP/feature::related)</v>
      </c>
      <c r="G367" s="105"/>
      <c r="H367" s="105"/>
      <c r="I367" s="105"/>
      <c r="J367" s="105"/>
      <c r="K367" s="105"/>
      <c r="L367" s="105"/>
      <c r="M367" s="105"/>
      <c r="N367" s="105"/>
      <c r="O367" s="105"/>
      <c r="P367" s="105" t="str">
        <f>IFERROR(__xludf.DUMMYFUNCTION("""COMPUTED_VALUE"""),"informing::reason::failure")</f>
        <v>informing::reason::failure</v>
      </c>
      <c r="Q367" s="105"/>
      <c r="R367" s="105"/>
      <c r="S367" s="105"/>
      <c r="T367" s="105"/>
      <c r="U367" s="105"/>
      <c r="V367" s="105"/>
      <c r="W367" s="105"/>
      <c r="X367" s="105"/>
      <c r="Y367" s="105"/>
      <c r="Z367" s="105"/>
    </row>
    <row r="368">
      <c r="A368" s="105"/>
      <c r="B368" s="105" t="str">
        <f>IFERROR(__xludf.DUMMYFUNCTION("""COMPUTED_VALUE"""),"GUI-related issue, Network issue, Permission/deprecation issue, Program anomaly issue, Test code-related issue")</f>
        <v>GUI-related issue, Network issue, Permission/deprecation issue, Program anomaly issue, Test code-related issue</v>
      </c>
      <c r="C368" s="105"/>
      <c r="D368" s="105"/>
      <c r="E368" s="105"/>
      <c r="F368" s="105" t="str">
        <f>IFERROR(__xludf.DUMMYFUNCTION("""COMPUTED_VALUE"""),"specification::of::the::build::system::used::for::doing::the::BP")</f>
        <v>specification::of::the::build::system::used::for::doing::the::BP</v>
      </c>
      <c r="G368" s="105"/>
      <c r="H368" s="105"/>
      <c r="I368" s="105"/>
      <c r="J368" s="105"/>
      <c r="K368" s="105"/>
      <c r="L368" s="105"/>
      <c r="M368" s="105"/>
      <c r="N368" s="105"/>
      <c r="O368" s="105"/>
      <c r="P368" s="105" t="str">
        <f>IFERROR(__xludf.DUMMYFUNCTION("""COMPUTED_VALUE"""),"informing::reason::failure::(context:.related::(where::it::runs)::)")</f>
        <v>informing::reason::failure::(context:.related::(where::it::runs)::)</v>
      </c>
      <c r="Q368" s="105"/>
      <c r="R368" s="105"/>
      <c r="S368" s="105"/>
      <c r="T368" s="105"/>
      <c r="U368" s="105"/>
      <c r="V368" s="105"/>
      <c r="W368" s="105"/>
      <c r="X368" s="105"/>
      <c r="Y368" s="105"/>
      <c r="Z368" s="105"/>
    </row>
    <row r="369">
      <c r="A369" s="105"/>
      <c r="B369" s="105" t="str">
        <f>IFERROR(__xludf.DUMMYFUNCTION("""COMPUTED_VALUE"""),"GUI-related issue, Network issue, Permission/deprecation issue, Security issue, Program anomaly issue")</f>
        <v>GUI-related issue, Network issue, Permission/deprecation issue, Security issue, Program anomaly issue</v>
      </c>
      <c r="C369" s="105"/>
      <c r="D369" s="105"/>
      <c r="E369" s="105"/>
      <c r="F369" s="105" t="str">
        <f>IFERROR(__xludf.DUMMYFUNCTION("""COMPUTED_VALUE"""),"splitting::the::changes::into::specific::BP::(The::current::bp::related)")</f>
        <v>splitting::the::changes::into::specific::BP::(The::current::bp::related)</v>
      </c>
      <c r="G369" s="105"/>
      <c r="H369" s="105"/>
      <c r="I369" s="105"/>
      <c r="J369" s="105"/>
      <c r="K369" s="105"/>
      <c r="L369" s="105"/>
      <c r="M369" s="105"/>
      <c r="N369" s="105"/>
      <c r="O369" s="105"/>
      <c r="P369" s="105" t="str">
        <f>IFERROR(__xludf.DUMMYFUNCTION("""COMPUTED_VALUE"""),"informing::rebase")</f>
        <v>informing::rebase</v>
      </c>
      <c r="Q369" s="105"/>
      <c r="R369" s="105"/>
      <c r="S369" s="105"/>
      <c r="T369" s="105"/>
      <c r="U369" s="105"/>
      <c r="V369" s="105"/>
      <c r="W369" s="105"/>
      <c r="X369" s="105"/>
      <c r="Y369" s="105"/>
      <c r="Z369" s="105"/>
    </row>
    <row r="370">
      <c r="A370" s="105"/>
      <c r="B370" s="105" t="str">
        <f>IFERROR(__xludf.DUMMYFUNCTION("""COMPUTED_VALUE"""),"GUI-related issue, Network issue, Permission/deprecation issue, Security issue, Test code-related issue")</f>
        <v>GUI-related issue, Network issue, Permission/deprecation issue, Security issue, Test code-related issue</v>
      </c>
      <c r="C370" s="105"/>
      <c r="D370" s="105"/>
      <c r="E370" s="105"/>
      <c r="F370" s="105" t="str">
        <f>IFERROR(__xludf.DUMMYFUNCTION("""COMPUTED_VALUE"""),"steps::needed::before::executing::the::level::up::of::feature")</f>
        <v>steps::needed::before::executing::the::level::up::of::feature</v>
      </c>
      <c r="G370" s="105"/>
      <c r="H370" s="105"/>
      <c r="I370" s="105"/>
      <c r="J370" s="105"/>
      <c r="K370" s="105"/>
      <c r="L370" s="105"/>
      <c r="M370" s="105"/>
      <c r="N370" s="105"/>
      <c r="O370" s="105"/>
      <c r="P370" s="105" t="str">
        <f>IFERROR(__xludf.DUMMYFUNCTION("""COMPUTED_VALUE"""),"informing::rebase2")</f>
        <v>informing::rebase2</v>
      </c>
      <c r="Q370" s="105"/>
      <c r="R370" s="105"/>
      <c r="S370" s="105"/>
      <c r="T370" s="105"/>
      <c r="U370" s="105"/>
      <c r="V370" s="105"/>
      <c r="W370" s="105"/>
      <c r="X370" s="105"/>
      <c r="Y370" s="105"/>
      <c r="Z370" s="105"/>
    </row>
    <row r="371">
      <c r="A371" s="105"/>
      <c r="B371" s="105" t="str">
        <f>IFERROR(__xludf.DUMMYFUNCTION("""COMPUTED_VALUE"""),"GUI-related issue, Network issue, Security issue, Program anomaly issue, Test code-related issue")</f>
        <v>GUI-related issue, Network issue, Security issue, Program anomaly issue, Test code-related issue</v>
      </c>
      <c r="C371" s="105"/>
      <c r="D371" s="105"/>
      <c r="E371" s="105"/>
      <c r="F371" s="105" t="str">
        <f>IFERROR(__xludf.DUMMYFUNCTION("""COMPUTED_VALUE"""),"suggesting::development::process::(split::changes::into::smaller::pieces)::for::summit")</f>
        <v>suggesting::development::process::(split::changes::into::smaller::pieces)::for::summit</v>
      </c>
      <c r="G371" s="105"/>
      <c r="H371" s="105"/>
      <c r="I371" s="105"/>
      <c r="J371" s="105"/>
      <c r="K371" s="105"/>
      <c r="L371" s="105"/>
      <c r="M371" s="105"/>
      <c r="N371" s="105"/>
      <c r="O371" s="105"/>
      <c r="P371" s="105" t="str">
        <f>IFERROR(__xludf.DUMMYFUNCTION("""COMPUTED_VALUE"""),"informing::rebase3")</f>
        <v>informing::rebase3</v>
      </c>
      <c r="Q371" s="105"/>
      <c r="R371" s="105"/>
      <c r="S371" s="105"/>
      <c r="T371" s="105"/>
      <c r="U371" s="105"/>
      <c r="V371" s="105"/>
      <c r="W371" s="105"/>
      <c r="X371" s="105"/>
      <c r="Y371" s="105"/>
      <c r="Z371" s="105"/>
    </row>
    <row r="372">
      <c r="A372" s="105"/>
      <c r="B372" s="105" t="str">
        <f>IFERROR(__xludf.DUMMYFUNCTION("""COMPUTED_VALUE"""),"GUI-related issue, Performance issue, Permission/deprecation issue, Program anomaly issue, Test code-related issue")</f>
        <v>GUI-related issue, Performance issue, Permission/deprecation issue, Program anomaly issue, Test code-related issue</v>
      </c>
      <c r="C372" s="105"/>
      <c r="D372" s="105"/>
      <c r="E372" s="105"/>
      <c r="F372" s="105" t="str">
        <f>IFERROR(__xludf.DUMMYFUNCTION("""COMPUTED_VALUE"""),"suggesting::discussing::topic::in::meeting")</f>
        <v>suggesting::discussing::topic::in::meeting</v>
      </c>
      <c r="G372" s="105"/>
      <c r="H372" s="105"/>
      <c r="I372" s="105"/>
      <c r="J372" s="105"/>
      <c r="K372" s="105"/>
      <c r="L372" s="105"/>
      <c r="M372" s="105"/>
      <c r="N372" s="105"/>
      <c r="O372" s="105"/>
      <c r="P372" s="105" t="str">
        <f>IFERROR(__xludf.DUMMYFUNCTION("""COMPUTED_VALUE"""),"informing::rebase4")</f>
        <v>informing::rebase4</v>
      </c>
      <c r="Q372" s="105"/>
      <c r="R372" s="105"/>
      <c r="S372" s="105"/>
      <c r="T372" s="105"/>
      <c r="U372" s="105"/>
      <c r="V372" s="105"/>
      <c r="W372" s="105"/>
      <c r="X372" s="105"/>
      <c r="Y372" s="105"/>
      <c r="Z372" s="105"/>
    </row>
    <row r="373">
      <c r="A373" s="105"/>
      <c r="B373" s="105" t="str">
        <f>IFERROR(__xludf.DUMMYFUNCTION("""COMPUTED_VALUE"""),"GUI-related issue, Performance issue, Permission/deprecation issue, Security issue, Program anomaly issue")</f>
        <v>GUI-related issue, Performance issue, Permission/deprecation issue, Security issue, Program anomaly issue</v>
      </c>
      <c r="C373" s="105"/>
      <c r="D373" s="105"/>
      <c r="E373" s="105"/>
      <c r="F373" s="105" t="str">
        <f>IFERROR(__xludf.DUMMYFUNCTION("""COMPUTED_VALUE"""),"suggesting::discussing::topic::online")</f>
        <v>suggesting::discussing::topic::online</v>
      </c>
      <c r="G373" s="105"/>
      <c r="H373" s="105"/>
      <c r="I373" s="105"/>
      <c r="J373" s="105"/>
      <c r="K373" s="105"/>
      <c r="L373" s="105"/>
      <c r="M373" s="105"/>
      <c r="N373" s="105"/>
      <c r="O373" s="105"/>
      <c r="P373" s="105" t="str">
        <f>IFERROR(__xludf.DUMMYFUNCTION("""COMPUTED_VALUE"""),"informing::recheck")</f>
        <v>informing::recheck</v>
      </c>
      <c r="Q373" s="105"/>
      <c r="R373" s="105"/>
      <c r="S373" s="105"/>
      <c r="T373" s="105"/>
      <c r="U373" s="105"/>
      <c r="V373" s="105"/>
      <c r="W373" s="105"/>
      <c r="X373" s="105"/>
      <c r="Y373" s="105"/>
      <c r="Z373" s="105"/>
    </row>
    <row r="374">
      <c r="A374" s="105"/>
      <c r="B374" s="105" t="str">
        <f>IFERROR(__xludf.DUMMYFUNCTION("""COMPUTED_VALUE"""),"GUI-related issue, Performance issue, Permission/deprecation issue, Security issue, Test code-related issue")</f>
        <v>GUI-related issue, Performance issue, Permission/deprecation issue, Security issue, Test code-related issue</v>
      </c>
      <c r="C374" s="105"/>
      <c r="D374" s="105"/>
      <c r="E374" s="105"/>
      <c r="F374" s="105" t="str">
        <f>IFERROR(__xludf.DUMMYFUNCTION("""COMPUTED_VALUE"""),"suggestions:.of::improvements::of::the::software::based:.on::new::opportunities:.based::on::changes::needed:.for:.the::bug")</f>
        <v>suggestions:.of::improvements::of::the::software::based:.on::new::opportunities:.based::on::changes::needed:.for:.the::bug</v>
      </c>
      <c r="G374" s="105"/>
      <c r="H374" s="105"/>
      <c r="I374" s="105"/>
      <c r="J374" s="105"/>
      <c r="K374" s="105"/>
      <c r="L374" s="105"/>
      <c r="M374" s="105"/>
      <c r="N374" s="105"/>
      <c r="O374" s="105"/>
      <c r="P374" s="105" t="str">
        <f>IFERROR(__xludf.DUMMYFUNCTION("""COMPUTED_VALUE"""),"informing::recheck::(experimental)")</f>
        <v>informing::recheck::(experimental)</v>
      </c>
      <c r="Q374" s="105"/>
      <c r="R374" s="105"/>
      <c r="S374" s="105"/>
      <c r="T374" s="105"/>
      <c r="U374" s="105"/>
      <c r="V374" s="105"/>
      <c r="W374" s="105"/>
      <c r="X374" s="105"/>
      <c r="Y374" s="105"/>
      <c r="Z374" s="105"/>
    </row>
    <row r="375">
      <c r="A375" s="105"/>
      <c r="B375" s="105" t="str">
        <f>IFERROR(__xludf.DUMMYFUNCTION("""COMPUTED_VALUE"""),"GUI-related issue, Performance issue, Security issue, Program anomaly issue, Test code-related issue")</f>
        <v>GUI-related issue, Performance issue, Security issue, Program anomaly issue, Test code-related issue</v>
      </c>
      <c r="C375" s="105"/>
      <c r="D375" s="105"/>
      <c r="E375" s="105"/>
      <c r="F375" s="105" t="str">
        <f>IFERROR(__xludf.DUMMYFUNCTION("""COMPUTED_VALUE"""),"summary::of::the::design::choices::(in::the::mailing::list)")</f>
        <v>summary::of::the::design::choices::(in::the::mailing::list)</v>
      </c>
      <c r="G375" s="105"/>
      <c r="H375" s="105"/>
      <c r="I375" s="105"/>
      <c r="J375" s="105"/>
      <c r="K375" s="105"/>
      <c r="L375" s="105"/>
      <c r="M375" s="105"/>
      <c r="N375" s="105"/>
      <c r="O375" s="105"/>
      <c r="P375" s="105" t="str">
        <f>IFERROR(__xludf.DUMMYFUNCTION("""COMPUTED_VALUE"""),"informing::recheck::(hyper-v)")</f>
        <v>informing::recheck::(hyper-v)</v>
      </c>
      <c r="Q375" s="105"/>
      <c r="R375" s="105"/>
      <c r="S375" s="105"/>
      <c r="T375" s="105"/>
      <c r="U375" s="105"/>
      <c r="V375" s="105"/>
      <c r="W375" s="105"/>
      <c r="X375" s="105"/>
      <c r="Y375" s="105"/>
      <c r="Z375" s="105"/>
    </row>
    <row r="376">
      <c r="A376" s="105"/>
      <c r="B376" s="105" t="str">
        <f>IFERROR(__xludf.DUMMYFUNCTION("""COMPUTED_VALUE"""),"GUI-related issue, Permission/deprecation issue, Security issue, Program anomaly issue, Test code-related issue")</f>
        <v>GUI-related issue, Permission/deprecation issue, Security issue, Program anomaly issue, Test code-related issue</v>
      </c>
      <c r="C376" s="105"/>
      <c r="D376" s="105"/>
      <c r="E376" s="105"/>
      <c r="F376" s="105" t="str">
        <f>IFERROR(__xludf.DUMMYFUNCTION("""COMPUTED_VALUE"""),"taking::care::of::review::in::related::changes::of::the::project")</f>
        <v>taking::care::of::review::in::related::changes::of::the::project</v>
      </c>
      <c r="G376" s="105"/>
      <c r="H376" s="105"/>
      <c r="I376" s="105"/>
      <c r="J376" s="105"/>
      <c r="K376" s="105"/>
      <c r="L376" s="105"/>
      <c r="M376" s="105"/>
      <c r="N376" s="105"/>
      <c r="O376" s="105"/>
      <c r="P376" s="105" t="str">
        <f>IFERROR(__xludf.DUMMYFUNCTION("""COMPUTED_VALUE"""),"informing::recheck::(migrations)")</f>
        <v>informing::recheck::(migrations)</v>
      </c>
      <c r="Q376" s="105"/>
      <c r="R376" s="105"/>
      <c r="S376" s="105"/>
      <c r="T376" s="105"/>
      <c r="U376" s="105"/>
      <c r="V376" s="105"/>
      <c r="W376" s="105"/>
      <c r="X376" s="105"/>
      <c r="Y376" s="105"/>
      <c r="Z376" s="105"/>
    </row>
    <row r="377">
      <c r="A377" s="105"/>
      <c r="B377" s="105" t="str">
        <f>IFERROR(__xludf.DUMMYFUNCTION("""COMPUTED_VALUE"""),"Network issue, Performance issue, Permission/deprecation issue, Program anomaly issue, Test code-related issue")</f>
        <v>Network issue, Performance issue, Permission/deprecation issue, Program anomaly issue, Test code-related issue</v>
      </c>
      <c r="C377" s="105"/>
      <c r="D377" s="105"/>
      <c r="E377" s="105"/>
      <c r="F377" s="105" t="str">
        <f>IFERROR(__xludf.DUMMYFUNCTION("""COMPUTED_VALUE"""),"test::performance::improvement")</f>
        <v>test::performance::improvement</v>
      </c>
      <c r="G377" s="105"/>
      <c r="H377" s="105"/>
      <c r="I377" s="105"/>
      <c r="J377" s="105"/>
      <c r="K377" s="105"/>
      <c r="L377" s="105"/>
      <c r="M377" s="105"/>
      <c r="N377" s="105"/>
      <c r="O377" s="105"/>
      <c r="P377" s="105" t="str">
        <f>IFERROR(__xludf.DUMMYFUNCTION("""COMPUTED_VALUE"""),"informing::recheck::(migrations)::after::build::failures")</f>
        <v>informing::recheck::(migrations)::after::build::failures</v>
      </c>
      <c r="Q377" s="105"/>
      <c r="R377" s="105"/>
      <c r="S377" s="105"/>
      <c r="T377" s="105"/>
      <c r="U377" s="105"/>
      <c r="V377" s="105"/>
      <c r="W377" s="105"/>
      <c r="X377" s="105"/>
      <c r="Y377" s="105"/>
      <c r="Z377" s="105"/>
    </row>
    <row r="378">
      <c r="A378" s="105"/>
      <c r="B378" s="105" t="str">
        <f>IFERROR(__xludf.DUMMYFUNCTION("""COMPUTED_VALUE"""),"Network issue, Performance issue, Permission/deprecation issue, Security issue, Program anomaly issue")</f>
        <v>Network issue, Performance issue, Permission/deprecation issue, Security issue, Program anomaly issue</v>
      </c>
      <c r="C378" s="105"/>
      <c r="D378" s="105"/>
      <c r="E378" s="105"/>
      <c r="F378" s="105" t="str">
        <f>IFERROR(__xludf.DUMMYFUNCTION("""COMPUTED_VALUE"""),"testing::performance::of::drafted::proposal::for::implementing::the::BP/feature::not::production::code")</f>
        <v>testing::performance::of::drafted::proposal::for::implementing::the::BP/feature::not::production::code</v>
      </c>
      <c r="G378" s="105"/>
      <c r="H378" s="105"/>
      <c r="I378" s="105"/>
      <c r="J378" s="105"/>
      <c r="K378" s="105"/>
      <c r="L378" s="105"/>
      <c r="M378" s="105"/>
      <c r="N378" s="105"/>
      <c r="O378" s="105"/>
      <c r="P378" s="105" t="str">
        <f>IFERROR(__xludf.DUMMYFUNCTION("""COMPUTED_VALUE"""),"informing::recheck::(no::bug)")</f>
        <v>informing::recheck::(no::bug)</v>
      </c>
      <c r="Q378" s="105"/>
      <c r="R378" s="105"/>
      <c r="S378" s="105"/>
      <c r="T378" s="105"/>
      <c r="U378" s="105"/>
      <c r="V378" s="105"/>
      <c r="W378" s="105"/>
      <c r="X378" s="105"/>
      <c r="Y378" s="105"/>
      <c r="Z378" s="105"/>
    </row>
    <row r="379">
      <c r="A379" s="105"/>
      <c r="B379" s="105" t="str">
        <f>IFERROR(__xludf.DUMMYFUNCTION("""COMPUTED_VALUE"""),"Network issue, Performance issue, Permission/deprecation issue, Security issue, Test code-related issue")</f>
        <v>Network issue, Performance issue, Permission/deprecation issue, Security issue, Test code-related issue</v>
      </c>
      <c r="C379" s="105"/>
      <c r="D379" s="105"/>
      <c r="E379" s="105"/>
      <c r="F379" s="105" t="str">
        <f>IFERROR(__xludf.DUMMYFUNCTION("""COMPUTED_VALUE"""),"thanking::for::effort")</f>
        <v>thanking::for::effort</v>
      </c>
      <c r="G379" s="105"/>
      <c r="H379" s="105"/>
      <c r="I379" s="105"/>
      <c r="J379" s="105"/>
      <c r="K379" s="105"/>
      <c r="L379" s="105"/>
      <c r="M379" s="105"/>
      <c r="N379" s="105"/>
      <c r="O379" s="105"/>
      <c r="P379" s="105" t="str">
        <f>IFERROR(__xludf.DUMMYFUNCTION("""COMPUTED_VALUE"""),"informing::recheck::(specific::bug)")</f>
        <v>informing::recheck::(specific::bug)</v>
      </c>
      <c r="Q379" s="105"/>
      <c r="R379" s="105"/>
      <c r="S379" s="105"/>
      <c r="T379" s="105"/>
      <c r="U379" s="105"/>
      <c r="V379" s="105"/>
      <c r="W379" s="105"/>
      <c r="X379" s="105"/>
      <c r="Y379" s="105"/>
      <c r="Z379" s="105"/>
    </row>
    <row r="380">
      <c r="A380" s="105"/>
      <c r="B380" s="105" t="str">
        <f>IFERROR(__xludf.DUMMYFUNCTION("""COMPUTED_VALUE"""),"Network issue, Performance issue, Security issue, Program anomaly issue, Test code-related issue")</f>
        <v>Network issue, Performance issue, Security issue, Program anomaly issue, Test code-related issue</v>
      </c>
      <c r="C380" s="105"/>
      <c r="D380" s="105"/>
      <c r="E380" s="105"/>
      <c r="F380" s="105" t="str">
        <f>IFERROR(__xludf.DUMMYFUNCTION("""COMPUTED_VALUE"""),"updating::documentation::for::a::new::feature/BP")</f>
        <v>updating::documentation::for::a::new::feature/BP</v>
      </c>
      <c r="G380" s="105"/>
      <c r="H380" s="105"/>
      <c r="I380" s="105"/>
      <c r="J380" s="105"/>
      <c r="K380" s="105"/>
      <c r="L380" s="105"/>
      <c r="M380" s="105"/>
      <c r="N380" s="105"/>
      <c r="O380" s="105"/>
      <c r="P380" s="105" t="str">
        <f>IFERROR(__xludf.DUMMYFUNCTION("""COMPUTED_VALUE"""),"informing::recheck::(ste)")</f>
        <v>informing::recheck::(ste)</v>
      </c>
      <c r="Q380" s="105"/>
      <c r="R380" s="105"/>
      <c r="S380" s="105"/>
      <c r="T380" s="105"/>
      <c r="U380" s="105"/>
      <c r="V380" s="105"/>
      <c r="W380" s="105"/>
      <c r="X380" s="105"/>
      <c r="Y380" s="105"/>
      <c r="Z380" s="105"/>
    </row>
    <row r="381">
      <c r="A381" s="105"/>
      <c r="B381" s="105" t="str">
        <f>IFERROR(__xludf.DUMMYFUNCTION("""COMPUTED_VALUE"""),"Network issue, Permission/deprecation issue, Security issue, Program anomaly issue, Test code-related issue")</f>
        <v>Network issue, Permission/deprecation issue, Security issue, Program anomaly issue, Test code-related issue</v>
      </c>
      <c r="C381" s="105"/>
      <c r="D381" s="105"/>
      <c r="E381" s="105"/>
      <c r="F381" s="105" t="str">
        <f>IFERROR(__xludf.DUMMYFUNCTION("""COMPUTED_VALUE"""),"updating::documentation::for::feature::(feautre::not::up::to::date)")</f>
        <v>updating::documentation::for::feature::(feautre::not::up::to::date)</v>
      </c>
      <c r="G381" s="105"/>
      <c r="H381" s="105"/>
      <c r="I381" s="105"/>
      <c r="J381" s="105"/>
      <c r="K381" s="105"/>
      <c r="L381" s="105"/>
      <c r="M381" s="105"/>
      <c r="N381" s="105"/>
      <c r="O381" s="105"/>
      <c r="P381" s="105" t="str">
        <f>IFERROR(__xludf.DUMMYFUNCTION("""COMPUTED_VALUE"""),"informing::recheck::(xenserver)")</f>
        <v>informing::recheck::(xenserver)</v>
      </c>
      <c r="Q381" s="105"/>
      <c r="R381" s="105"/>
      <c r="S381" s="105"/>
      <c r="T381" s="105"/>
      <c r="U381" s="105"/>
      <c r="V381" s="105"/>
      <c r="W381" s="105"/>
      <c r="X381" s="105"/>
      <c r="Y381" s="105"/>
      <c r="Z381" s="105"/>
    </row>
    <row r="382">
      <c r="A382" s="105"/>
      <c r="B382" s="105" t="str">
        <f>IFERROR(__xludf.DUMMYFUNCTION("""COMPUTED_VALUE"""),"Performance issue, Permission/deprecation issue, Security issue, Program anomaly issue, Test code-related issue")</f>
        <v>Performance issue, Permission/deprecation issue, Security issue, Program anomaly issue, Test code-related issue</v>
      </c>
      <c r="C382" s="105"/>
      <c r="D382" s="105"/>
      <c r="E382" s="105"/>
      <c r="F382" s="105"/>
      <c r="G382" s="105"/>
      <c r="H382" s="105"/>
      <c r="I382" s="105"/>
      <c r="J382" s="105"/>
      <c r="K382" s="105"/>
      <c r="L382" s="105"/>
      <c r="M382" s="105"/>
      <c r="N382" s="105"/>
      <c r="O382" s="105"/>
      <c r="P382" s="105" t="str">
        <f>IFERROR(__xludf.DUMMYFUNCTION("""COMPUTED_VALUE"""),"informing::recheck::after::build::failures")</f>
        <v>informing::recheck::after::build::failures</v>
      </c>
      <c r="Q382" s="105"/>
      <c r="R382" s="105"/>
      <c r="S382" s="105"/>
      <c r="T382" s="105"/>
      <c r="U382" s="105"/>
      <c r="V382" s="105"/>
      <c r="W382" s="105"/>
      <c r="X382" s="105"/>
      <c r="Y382" s="105"/>
      <c r="Z382" s="105"/>
    </row>
    <row r="383">
      <c r="A383" s="105"/>
      <c r="B383" s="105" t="str">
        <f>IFERROR(__xludf.DUMMYFUNCTION("""COMPUTED_VALUE"""),"Configuration issue, Database-related issue, GUI-related issue, Network issue, Performance issue, Permission/deprecation issue")</f>
        <v>Configuration issue, Database-related issue, GUI-related issue, Network issue, Performance issue, Permission/deprecation issue</v>
      </c>
      <c r="C383" s="105"/>
      <c r="D383" s="105"/>
      <c r="E383" s="105"/>
      <c r="F383" s="105"/>
      <c r="G383" s="105"/>
      <c r="H383" s="105"/>
      <c r="I383" s="105"/>
      <c r="J383" s="105"/>
      <c r="K383" s="105"/>
      <c r="L383" s="105"/>
      <c r="M383" s="105"/>
      <c r="N383" s="105"/>
      <c r="O383" s="105"/>
      <c r="P383" s="105" t="str">
        <f>IFERROR(__xludf.DUMMYFUNCTION("""COMPUTED_VALUE"""),"informing::refactoring::(style)")</f>
        <v>informing::refactoring::(style)</v>
      </c>
      <c r="Q383" s="105"/>
      <c r="R383" s="105"/>
      <c r="S383" s="105"/>
      <c r="T383" s="105"/>
      <c r="U383" s="105"/>
      <c r="V383" s="105"/>
      <c r="W383" s="105"/>
      <c r="X383" s="105"/>
      <c r="Y383" s="105"/>
      <c r="Z383" s="105"/>
    </row>
    <row r="384">
      <c r="A384" s="105"/>
      <c r="B384" s="105" t="str">
        <f>IFERROR(__xludf.DUMMYFUNCTION("""COMPUTED_VALUE"""),"Configuration issue, Database-related issue, GUI-related issue, Network issue, Performance issue, Program anomaly issue")</f>
        <v>Configuration issue, Database-related issue, GUI-related issue, Network issue, Performance issue, Program anomaly issue</v>
      </c>
      <c r="C384" s="105"/>
      <c r="D384" s="105"/>
      <c r="E384" s="105"/>
      <c r="F384" s="105"/>
      <c r="G384" s="105"/>
      <c r="H384" s="105"/>
      <c r="I384" s="105"/>
      <c r="J384" s="105"/>
      <c r="K384" s="105"/>
      <c r="L384" s="105"/>
      <c r="M384" s="105"/>
      <c r="N384" s="105"/>
      <c r="O384" s="105"/>
      <c r="P384" s="105" t="str">
        <f>IFERROR(__xludf.DUMMYFUNCTION("""COMPUTED_VALUE"""),"informing::removing::code::that::was::commented::on")</f>
        <v>informing::removing::code::that::was::commented::on</v>
      </c>
      <c r="Q384" s="105"/>
      <c r="R384" s="105"/>
      <c r="S384" s="105"/>
      <c r="T384" s="105"/>
      <c r="U384" s="105"/>
      <c r="V384" s="105"/>
      <c r="W384" s="105"/>
      <c r="X384" s="105"/>
      <c r="Y384" s="105"/>
      <c r="Z384" s="105"/>
    </row>
    <row r="385">
      <c r="A385" s="105"/>
      <c r="B385" s="105" t="str">
        <f>IFERROR(__xludf.DUMMYFUNCTION("""COMPUTED_VALUE"""),"Configuration issue, Database-related issue, GUI-related issue, Network issue, Performance issue, Security issue")</f>
        <v>Configuration issue, Database-related issue, GUI-related issue, Network issue, Performance issue, Security issue</v>
      </c>
      <c r="C385" s="105"/>
      <c r="D385" s="105"/>
      <c r="E385" s="105"/>
      <c r="F385" s="105"/>
      <c r="G385" s="105"/>
      <c r="H385" s="105"/>
      <c r="I385" s="105"/>
      <c r="J385" s="105"/>
      <c r="K385" s="105"/>
      <c r="L385" s="105"/>
      <c r="M385" s="105"/>
      <c r="N385" s="105"/>
      <c r="O385" s="105"/>
      <c r="P385" s="105" t="str">
        <f>IFERROR(__xludf.DUMMYFUNCTION("""COMPUTED_VALUE"""),"informing::research::error::unit::test")</f>
        <v>informing::research::error::unit::test</v>
      </c>
      <c r="Q385" s="105"/>
      <c r="R385" s="105"/>
      <c r="S385" s="105"/>
      <c r="T385" s="105"/>
      <c r="U385" s="105"/>
      <c r="V385" s="105"/>
      <c r="W385" s="105"/>
      <c r="X385" s="105"/>
      <c r="Y385" s="105"/>
      <c r="Z385" s="105"/>
    </row>
    <row r="386">
      <c r="A386" s="105"/>
      <c r="B386" s="105" t="str">
        <f>IFERROR(__xludf.DUMMYFUNCTION("""COMPUTED_VALUE"""),"Configuration issue, Database-related issue, GUI-related issue, Network issue, Performance issue, Test code-related issue")</f>
        <v>Configuration issue, Database-related issue, GUI-related issue, Network issue, Performance issue, Test code-related issue</v>
      </c>
      <c r="C386" s="105"/>
      <c r="D386" s="105"/>
      <c r="E386" s="105"/>
      <c r="F386" s="105"/>
      <c r="G386" s="105"/>
      <c r="H386" s="105"/>
      <c r="I386" s="105"/>
      <c r="J386" s="105"/>
      <c r="K386" s="105"/>
      <c r="L386" s="105"/>
      <c r="M386" s="105"/>
      <c r="N386" s="105"/>
      <c r="O386" s="105"/>
      <c r="P386" s="105" t="str">
        <f>IFERROR(__xludf.DUMMYFUNCTION("""COMPUTED_VALUE"""),"informing::reverify")</f>
        <v>informing::reverify</v>
      </c>
      <c r="Q386" s="105"/>
      <c r="R386" s="105"/>
      <c r="S386" s="105"/>
      <c r="T386" s="105"/>
      <c r="U386" s="105"/>
      <c r="V386" s="105"/>
      <c r="W386" s="105"/>
      <c r="X386" s="105"/>
      <c r="Y386" s="105"/>
      <c r="Z386" s="105"/>
    </row>
    <row r="387">
      <c r="A387" s="105"/>
      <c r="B387" s="105" t="str">
        <f>IFERROR(__xludf.DUMMYFUNCTION("""COMPUTED_VALUE"""),"Configuration issue, Database-related issue, GUI-related issue, Network issue, Permission/deprecation issue, Program anomaly issue")</f>
        <v>Configuration issue, Database-related issue, GUI-related issue, Network issue, Permission/deprecation issue, Program anomaly issue</v>
      </c>
      <c r="C387" s="105"/>
      <c r="D387" s="105"/>
      <c r="E387" s="105"/>
      <c r="F387" s="105"/>
      <c r="G387" s="105"/>
      <c r="H387" s="105"/>
      <c r="I387" s="105"/>
      <c r="J387" s="105"/>
      <c r="K387" s="105"/>
      <c r="L387" s="105"/>
      <c r="M387" s="105"/>
      <c r="N387" s="105"/>
      <c r="O387" s="105"/>
      <c r="P387" s="105" t="str">
        <f>IFERROR(__xludf.DUMMYFUNCTION("""COMPUTED_VALUE"""),"informing::reversing::changes")</f>
        <v>informing::reversing::changes</v>
      </c>
      <c r="Q387" s="105"/>
      <c r="R387" s="105"/>
      <c r="S387" s="105"/>
      <c r="T387" s="105"/>
      <c r="U387" s="105"/>
      <c r="V387" s="105"/>
      <c r="W387" s="105"/>
      <c r="X387" s="105"/>
      <c r="Y387" s="105"/>
      <c r="Z387" s="105"/>
    </row>
    <row r="388">
      <c r="A388" s="105"/>
      <c r="B388" s="105" t="str">
        <f>IFERROR(__xludf.DUMMYFUNCTION("""COMPUTED_VALUE"""),"Configuration issue, Database-related issue, GUI-related issue, Network issue, Permission/deprecation issue, Security issue")</f>
        <v>Configuration issue, Database-related issue, GUI-related issue, Network issue, Permission/deprecation issue, Security issue</v>
      </c>
      <c r="C388" s="105"/>
      <c r="D388" s="105"/>
      <c r="E388" s="105"/>
      <c r="F388" s="105"/>
      <c r="G388" s="105"/>
      <c r="H388" s="105"/>
      <c r="I388" s="105"/>
      <c r="J388" s="105"/>
      <c r="K388" s="105"/>
      <c r="L388" s="105"/>
      <c r="M388" s="105"/>
      <c r="N388" s="105"/>
      <c r="O388" s="105"/>
      <c r="P388" s="105" t="str">
        <f>IFERROR(__xludf.DUMMYFUNCTION("""COMPUTED_VALUE"""),"informing::review::expired")</f>
        <v>informing::review::expired</v>
      </c>
      <c r="Q388" s="105"/>
      <c r="R388" s="105"/>
      <c r="S388" s="105"/>
      <c r="T388" s="105"/>
      <c r="U388" s="105"/>
      <c r="V388" s="105"/>
      <c r="W388" s="105"/>
      <c r="X388" s="105"/>
      <c r="Y388" s="105"/>
      <c r="Z388" s="105"/>
    </row>
    <row r="389">
      <c r="A389" s="105"/>
      <c r="B389" s="105" t="str">
        <f>IFERROR(__xludf.DUMMYFUNCTION("""COMPUTED_VALUE"""),"Configuration issue, Database-related issue, GUI-related issue, Network issue, Permission/deprecation issue, Test code-related issue")</f>
        <v>Configuration issue, Database-related issue, GUI-related issue, Network issue, Permission/deprecation issue, Test code-related issue</v>
      </c>
      <c r="C389" s="105"/>
      <c r="D389" s="105"/>
      <c r="E389" s="105"/>
      <c r="F389" s="105"/>
      <c r="G389" s="105"/>
      <c r="H389" s="105"/>
      <c r="I389" s="105"/>
      <c r="J389" s="105"/>
      <c r="K389" s="105"/>
      <c r="L389" s="105"/>
      <c r="M389" s="105"/>
      <c r="N389" s="105"/>
      <c r="O389" s="105"/>
      <c r="P389" s="105" t="str">
        <f>IFERROR(__xludf.DUMMYFUNCTION("""COMPUTED_VALUE"""),"informing::run::tests")</f>
        <v>informing::run::tests</v>
      </c>
      <c r="Q389" s="105"/>
      <c r="R389" s="105"/>
      <c r="S389" s="105"/>
      <c r="T389" s="105"/>
      <c r="U389" s="105"/>
      <c r="V389" s="105"/>
      <c r="W389" s="105"/>
      <c r="X389" s="105"/>
      <c r="Y389" s="105"/>
      <c r="Z389" s="105"/>
    </row>
    <row r="390">
      <c r="A390" s="105"/>
      <c r="B390" s="105" t="str">
        <f>IFERROR(__xludf.DUMMYFUNCTION("""COMPUTED_VALUE"""),"Configuration issue, Database-related issue, GUI-related issue, Network issue, Program anomaly issue, Test code-related issue")</f>
        <v>Configuration issue, Database-related issue, GUI-related issue, Network issue, Program anomaly issue, Test code-related issue</v>
      </c>
      <c r="C390" s="105"/>
      <c r="D390" s="105"/>
      <c r="E390" s="105"/>
      <c r="F390" s="105"/>
      <c r="G390" s="105"/>
      <c r="H390" s="105"/>
      <c r="I390" s="105"/>
      <c r="J390" s="105"/>
      <c r="K390" s="105"/>
      <c r="L390" s="105"/>
      <c r="M390" s="105"/>
      <c r="N390" s="105"/>
      <c r="O390" s="105"/>
      <c r="P390" s="105" t="str">
        <f>IFERROR(__xludf.DUMMYFUNCTION("""COMPUTED_VALUE"""),"informing::run::tests::(manual)")</f>
        <v>informing::run::tests::(manual)</v>
      </c>
      <c r="Q390" s="105"/>
      <c r="R390" s="105"/>
      <c r="S390" s="105"/>
      <c r="T390" s="105"/>
      <c r="U390" s="105"/>
      <c r="V390" s="105"/>
      <c r="W390" s="105"/>
      <c r="X390" s="105"/>
      <c r="Y390" s="105"/>
      <c r="Z390" s="105"/>
    </row>
    <row r="391">
      <c r="A391" s="105"/>
      <c r="B391" s="105" t="str">
        <f>IFERROR(__xludf.DUMMYFUNCTION("""COMPUTED_VALUE"""),"Configuration issue, Database-related issue, GUI-related issue, Network issue, Security issue, Program anomaly issue")</f>
        <v>Configuration issue, Database-related issue, GUI-related issue, Network issue, Security issue, Program anomaly issue</v>
      </c>
      <c r="C391" s="105"/>
      <c r="D391" s="105"/>
      <c r="E391" s="105"/>
      <c r="F391" s="105"/>
      <c r="G391" s="105"/>
      <c r="H391" s="105"/>
      <c r="I391" s="105"/>
      <c r="J391" s="105"/>
      <c r="K391" s="105"/>
      <c r="L391" s="105"/>
      <c r="M391" s="105"/>
      <c r="N391" s="105"/>
      <c r="O391" s="105"/>
      <c r="P391" s="105" t="str">
        <f>IFERROR(__xludf.DUMMYFUNCTION("""COMPUTED_VALUE"""),"informing::run::tests::(passed)")</f>
        <v>informing::run::tests::(passed)</v>
      </c>
      <c r="Q391" s="105"/>
      <c r="R391" s="105"/>
      <c r="S391" s="105"/>
      <c r="T391" s="105"/>
      <c r="U391" s="105"/>
      <c r="V391" s="105"/>
      <c r="W391" s="105"/>
      <c r="X391" s="105"/>
      <c r="Y391" s="105"/>
      <c r="Z391" s="105"/>
    </row>
    <row r="392">
      <c r="A392" s="105"/>
      <c r="B392" s="105" t="str">
        <f>IFERROR(__xludf.DUMMYFUNCTION("""COMPUTED_VALUE"""),"Configuration issue, Database-related issue, GUI-related issue, Network issue, Security issue, Test code-related issue")</f>
        <v>Configuration issue, Database-related issue, GUI-related issue, Network issue, Security issue, Test code-related issue</v>
      </c>
      <c r="C392" s="105"/>
      <c r="D392" s="105"/>
      <c r="E392" s="105"/>
      <c r="F392" s="105"/>
      <c r="G392" s="105"/>
      <c r="H392" s="105"/>
      <c r="I392" s="105"/>
      <c r="J392" s="105"/>
      <c r="K392" s="105"/>
      <c r="L392" s="105"/>
      <c r="M392" s="105"/>
      <c r="N392" s="105"/>
      <c r="O392" s="105"/>
      <c r="P392" s="105" t="str">
        <f>IFERROR(__xludf.DUMMYFUNCTION("""COMPUTED_VALUE"""),"informing::solution::not::ideal")</f>
        <v>informing::solution::not::ideal</v>
      </c>
      <c r="Q392" s="105"/>
      <c r="R392" s="105"/>
      <c r="S392" s="105"/>
      <c r="T392" s="105"/>
      <c r="U392" s="105"/>
      <c r="V392" s="105"/>
      <c r="W392" s="105"/>
      <c r="X392" s="105"/>
      <c r="Y392" s="105"/>
      <c r="Z392" s="105"/>
    </row>
    <row r="393">
      <c r="A393" s="105"/>
      <c r="B393" s="105" t="str">
        <f>IFERROR(__xludf.DUMMYFUNCTION("""COMPUTED_VALUE"""),"Configuration issue, Database-related issue, GUI-related issue, Performance issue, Permission/deprecation issue, Program anomaly issue")</f>
        <v>Configuration issue, Database-related issue, GUI-related issue, Performance issue, Permission/deprecation issue, Program anomaly issue</v>
      </c>
      <c r="C393" s="105"/>
      <c r="D393" s="105"/>
      <c r="E393" s="105"/>
      <c r="F393" s="105"/>
      <c r="G393" s="105"/>
      <c r="H393" s="105"/>
      <c r="I393" s="105"/>
      <c r="J393" s="105"/>
      <c r="K393" s="105"/>
      <c r="L393" s="105"/>
      <c r="M393" s="105"/>
      <c r="N393" s="105"/>
      <c r="O393" s="105"/>
      <c r="P393" s="105" t="str">
        <f>IFERROR(__xludf.DUMMYFUNCTION("""COMPUTED_VALUE"""),"informing::switching::used::editor")</f>
        <v>informing::switching::used::editor</v>
      </c>
      <c r="Q393" s="105"/>
      <c r="R393" s="105"/>
      <c r="S393" s="105"/>
      <c r="T393" s="105"/>
      <c r="U393" s="105"/>
      <c r="V393" s="105"/>
      <c r="W393" s="105"/>
      <c r="X393" s="105"/>
      <c r="Y393" s="105"/>
      <c r="Z393" s="105"/>
    </row>
    <row r="394">
      <c r="A394" s="105"/>
      <c r="B394" s="105" t="str">
        <f>IFERROR(__xludf.DUMMYFUNCTION("""COMPUTED_VALUE"""),"Configuration issue, Database-related issue, GUI-related issue, Performance issue, Permission/deprecation issue, Security issue")</f>
        <v>Configuration issue, Database-related issue, GUI-related issue, Performance issue, Permission/deprecation issue, Security issue</v>
      </c>
      <c r="C394" s="105"/>
      <c r="D394" s="105"/>
      <c r="E394" s="105"/>
      <c r="F394" s="105"/>
      <c r="G394" s="105"/>
      <c r="H394" s="105"/>
      <c r="I394" s="105"/>
      <c r="J394" s="105"/>
      <c r="K394" s="105"/>
      <c r="L394" s="105"/>
      <c r="M394" s="105"/>
      <c r="N394" s="105"/>
      <c r="O394" s="105"/>
      <c r="P394" s="105" t="str">
        <f>IFERROR(__xludf.DUMMYFUNCTION("""COMPUTED_VALUE"""),"informing::tests::added")</f>
        <v>informing::tests::added</v>
      </c>
      <c r="Q394" s="105"/>
      <c r="R394" s="105"/>
      <c r="S394" s="105"/>
      <c r="T394" s="105"/>
      <c r="U394" s="105"/>
      <c r="V394" s="105"/>
      <c r="W394" s="105"/>
      <c r="X394" s="105"/>
      <c r="Y394" s="105"/>
      <c r="Z394" s="105"/>
    </row>
    <row r="395">
      <c r="A395" s="105"/>
      <c r="B395" s="105" t="str">
        <f>IFERROR(__xludf.DUMMYFUNCTION("""COMPUTED_VALUE"""),"Configuration issue, Database-related issue, GUI-related issue, Performance issue, Permission/deprecation issue, Test code-related issue")</f>
        <v>Configuration issue, Database-related issue, GUI-related issue, Performance issue, Permission/deprecation issue, Test code-related issue</v>
      </c>
      <c r="C395" s="105"/>
      <c r="D395" s="105"/>
      <c r="E395" s="105"/>
      <c r="F395" s="105"/>
      <c r="G395" s="105"/>
      <c r="H395" s="105"/>
      <c r="I395" s="105"/>
      <c r="J395" s="105"/>
      <c r="K395" s="105"/>
      <c r="L395" s="105"/>
      <c r="M395" s="105"/>
      <c r="N395" s="105"/>
      <c r="O395" s="105"/>
      <c r="P395" s="105" t="str">
        <f>IFERROR(__xludf.DUMMYFUNCTION("""COMPUTED_VALUE"""),"informing::tests::added::(no::inline::message)")</f>
        <v>informing::tests::added::(no::inline::message)</v>
      </c>
      <c r="Q395" s="105"/>
      <c r="R395" s="105"/>
      <c r="S395" s="105"/>
      <c r="T395" s="105"/>
      <c r="U395" s="105"/>
      <c r="V395" s="105"/>
      <c r="W395" s="105"/>
      <c r="X395" s="105"/>
      <c r="Y395" s="105"/>
      <c r="Z395" s="105"/>
    </row>
    <row r="396">
      <c r="A396" s="105"/>
      <c r="B396" s="105" t="str">
        <f>IFERROR(__xludf.DUMMYFUNCTION("""COMPUTED_VALUE"""),"Configuration issue, Database-related issue, GUI-related issue, Performance issue, Program anomaly issue, Test code-related issue")</f>
        <v>Configuration issue, Database-related issue, GUI-related issue, Performance issue, Program anomaly issue, Test code-related issue</v>
      </c>
      <c r="C396" s="105"/>
      <c r="D396" s="105"/>
      <c r="E396" s="105"/>
      <c r="F396" s="105"/>
      <c r="G396" s="105"/>
      <c r="H396" s="105"/>
      <c r="I396" s="105"/>
      <c r="J396" s="105"/>
      <c r="K396" s="105"/>
      <c r="L396" s="105"/>
      <c r="M396" s="105"/>
      <c r="N396" s="105"/>
      <c r="O396" s="105"/>
      <c r="P396" s="105" t="str">
        <f>IFERROR(__xludf.DUMMYFUNCTION("""COMPUTED_VALUE"""),"informing::tests::failing")</f>
        <v>informing::tests::failing</v>
      </c>
      <c r="Q396" s="105"/>
      <c r="R396" s="105"/>
      <c r="S396" s="105"/>
      <c r="T396" s="105"/>
      <c r="U396" s="105"/>
      <c r="V396" s="105"/>
      <c r="W396" s="105"/>
      <c r="X396" s="105"/>
      <c r="Y396" s="105"/>
      <c r="Z396" s="105"/>
    </row>
    <row r="397">
      <c r="A397" s="105"/>
      <c r="B397" s="105" t="str">
        <f>IFERROR(__xludf.DUMMYFUNCTION("""COMPUTED_VALUE"""),"Configuration issue, Database-related issue, GUI-related issue, Performance issue, Security issue, Program anomaly issue")</f>
        <v>Configuration issue, Database-related issue, GUI-related issue, Performance issue, Security issue, Program anomaly issue</v>
      </c>
      <c r="C397" s="105"/>
      <c r="D397" s="105"/>
      <c r="E397" s="105"/>
      <c r="F397" s="105"/>
      <c r="G397" s="105"/>
      <c r="H397" s="105"/>
      <c r="I397" s="105"/>
      <c r="J397" s="105"/>
      <c r="K397" s="105"/>
      <c r="L397" s="105"/>
      <c r="M397" s="105"/>
      <c r="N397" s="105"/>
      <c r="O397" s="105"/>
      <c r="P397" s="105" t="str">
        <f>IFERROR(__xludf.DUMMYFUNCTION("""COMPUTED_VALUE"""),"informing::tests::passing")</f>
        <v>informing::tests::passing</v>
      </c>
      <c r="Q397" s="105"/>
      <c r="R397" s="105"/>
      <c r="S397" s="105"/>
      <c r="T397" s="105"/>
      <c r="U397" s="105"/>
      <c r="V397" s="105"/>
      <c r="W397" s="105"/>
      <c r="X397" s="105"/>
      <c r="Y397" s="105"/>
      <c r="Z397" s="105"/>
    </row>
    <row r="398">
      <c r="A398" s="105"/>
      <c r="B398" s="105" t="str">
        <f>IFERROR(__xludf.DUMMYFUNCTION("""COMPUTED_VALUE"""),"Configuration issue, Database-related issue, GUI-related issue, Performance issue, Security issue, Test code-related issue")</f>
        <v>Configuration issue, Database-related issue, GUI-related issue, Performance issue, Security issue, Test code-related issue</v>
      </c>
      <c r="C398" s="105"/>
      <c r="D398" s="105"/>
      <c r="E398" s="105"/>
      <c r="F398" s="105"/>
      <c r="G398" s="105"/>
      <c r="H398" s="105"/>
      <c r="I398" s="105"/>
      <c r="J398" s="105"/>
      <c r="K398" s="105"/>
      <c r="L398" s="105"/>
      <c r="M398" s="105"/>
      <c r="N398" s="105"/>
      <c r="O398" s="105"/>
      <c r="P398" s="105" t="str">
        <f>IFERROR(__xludf.DUMMYFUNCTION("""COMPUTED_VALUE"""),"informing::tests::passing::(different::envs)")</f>
        <v>informing::tests::passing::(different::envs)</v>
      </c>
      <c r="Q398" s="105"/>
      <c r="R398" s="105"/>
      <c r="S398" s="105"/>
      <c r="T398" s="105"/>
      <c r="U398" s="105"/>
      <c r="V398" s="105"/>
      <c r="W398" s="105"/>
      <c r="X398" s="105"/>
      <c r="Y398" s="105"/>
      <c r="Z398" s="105"/>
    </row>
    <row r="399">
      <c r="A399" s="105"/>
      <c r="B399" s="105" t="str">
        <f>IFERROR(__xludf.DUMMYFUNCTION("""COMPUTED_VALUE"""),"Configuration issue, Database-related issue, GUI-related issue, Permission/deprecation issue, Program anomaly issue, Test code-related issue")</f>
        <v>Configuration issue, Database-related issue, GUI-related issue, Permission/deprecation issue, Program anomaly issue, Test code-related issue</v>
      </c>
      <c r="C399" s="105"/>
      <c r="D399" s="105"/>
      <c r="E399" s="105"/>
      <c r="F399" s="105"/>
      <c r="G399" s="105"/>
      <c r="H399" s="105"/>
      <c r="I399" s="105"/>
      <c r="J399" s="105"/>
      <c r="K399" s="105"/>
      <c r="L399" s="105"/>
      <c r="M399" s="105"/>
      <c r="N399" s="105"/>
      <c r="O399" s="105"/>
      <c r="P399" s="105" t="str">
        <f>IFERROR(__xludf.DUMMYFUNCTION("""COMPUTED_VALUE"""),"informing::tests::results")</f>
        <v>informing::tests::results</v>
      </c>
      <c r="Q399" s="105"/>
      <c r="R399" s="105"/>
      <c r="S399" s="105"/>
      <c r="T399" s="105"/>
      <c r="U399" s="105"/>
      <c r="V399" s="105"/>
      <c r="W399" s="105"/>
      <c r="X399" s="105"/>
      <c r="Y399" s="105"/>
      <c r="Z399" s="105"/>
    </row>
    <row r="400">
      <c r="A400" s="105"/>
      <c r="B400" s="105" t="str">
        <f>IFERROR(__xludf.DUMMYFUNCTION("""COMPUTED_VALUE"""),"Configuration issue, Database-related issue, GUI-related issue, Permission/deprecation issue, Security issue, Program anomaly issue")</f>
        <v>Configuration issue, Database-related issue, GUI-related issue, Permission/deprecation issue, Security issue, Program anomaly issue</v>
      </c>
      <c r="C400" s="105"/>
      <c r="D400" s="105"/>
      <c r="E400" s="105"/>
      <c r="F400" s="105"/>
      <c r="G400" s="105"/>
      <c r="H400" s="105"/>
      <c r="I400" s="105"/>
      <c r="J400" s="105"/>
      <c r="K400" s="105"/>
      <c r="L400" s="105"/>
      <c r="M400" s="105"/>
      <c r="N400" s="105"/>
      <c r="O400" s="105"/>
      <c r="P400" s="105" t="str">
        <f>IFERROR(__xludf.DUMMYFUNCTION("""COMPUTED_VALUE"""),"informing::that::questions::about::how::to::use::do::not::belong::PR")</f>
        <v>informing::that::questions::about::how::to::use::do::not::belong::PR</v>
      </c>
      <c r="Q400" s="105"/>
      <c r="R400" s="105"/>
      <c r="S400" s="105"/>
      <c r="T400" s="105"/>
      <c r="U400" s="105"/>
      <c r="V400" s="105"/>
      <c r="W400" s="105"/>
      <c r="X400" s="105"/>
      <c r="Y400" s="105"/>
      <c r="Z400" s="105"/>
    </row>
    <row r="401">
      <c r="A401" s="105"/>
      <c r="B401" s="105" t="str">
        <f>IFERROR(__xludf.DUMMYFUNCTION("""COMPUTED_VALUE"""),"Configuration issue, Database-related issue, GUI-related issue, Permission/deprecation issue, Security issue, Test code-related issue")</f>
        <v>Configuration issue, Database-related issue, GUI-related issue, Permission/deprecation issue, Security issue, Test code-related issue</v>
      </c>
      <c r="C401" s="105"/>
      <c r="D401" s="105"/>
      <c r="E401" s="105"/>
      <c r="F401" s="105"/>
      <c r="G401" s="105"/>
      <c r="H401" s="105"/>
      <c r="I401" s="105"/>
      <c r="J401" s="105"/>
      <c r="K401" s="105"/>
      <c r="L401" s="105"/>
      <c r="M401" s="105"/>
      <c r="N401" s="105"/>
      <c r="O401" s="105"/>
      <c r="P401" s="105" t="str">
        <f>IFERROR(__xludf.DUMMYFUNCTION("""COMPUTED_VALUE"""),"informing::that::there::are::no::bugs")</f>
        <v>informing::that::there::are::no::bugs</v>
      </c>
      <c r="Q401" s="105"/>
      <c r="R401" s="105"/>
      <c r="S401" s="105"/>
      <c r="T401" s="105"/>
      <c r="U401" s="105"/>
      <c r="V401" s="105"/>
      <c r="W401" s="105"/>
      <c r="X401" s="105"/>
      <c r="Y401" s="105"/>
      <c r="Z401" s="105"/>
    </row>
    <row r="402">
      <c r="A402" s="105"/>
      <c r="B402" s="105" t="str">
        <f>IFERROR(__xludf.DUMMYFUNCTION("""COMPUTED_VALUE"""),"Configuration issue, Database-related issue, GUI-related issue, Security issue, Program anomaly issue, Test code-related issue")</f>
        <v>Configuration issue, Database-related issue, GUI-related issue, Security issue, Program anomaly issue, Test code-related issue</v>
      </c>
      <c r="C402" s="105"/>
      <c r="D402" s="105"/>
      <c r="E402" s="105"/>
      <c r="F402" s="105"/>
      <c r="G402" s="105"/>
      <c r="H402" s="105"/>
      <c r="I402" s="105"/>
      <c r="J402" s="105"/>
      <c r="K402" s="105"/>
      <c r="L402" s="105"/>
      <c r="M402" s="105"/>
      <c r="N402" s="105"/>
      <c r="O402" s="105"/>
      <c r="P402" s="105" t="str">
        <f>IFERROR(__xludf.DUMMYFUNCTION("""COMPUTED_VALUE"""),"informing::that::there::are::no::bugs::after::build::failures")</f>
        <v>informing::that::there::are::no::bugs::after::build::failures</v>
      </c>
      <c r="Q402" s="105"/>
      <c r="R402" s="105"/>
      <c r="S402" s="105"/>
      <c r="T402" s="105"/>
      <c r="U402" s="105"/>
      <c r="V402" s="105"/>
      <c r="W402" s="105"/>
      <c r="X402" s="105"/>
      <c r="Y402" s="105"/>
      <c r="Z402" s="105"/>
    </row>
    <row r="403">
      <c r="A403" s="105"/>
      <c r="B403" s="105" t="str">
        <f>IFERROR(__xludf.DUMMYFUNCTION("""COMPUTED_VALUE"""),"Configuration issue, Database-related issue, Network issue, Performance issue, Permission/deprecation issue, Program anomaly issue")</f>
        <v>Configuration issue, Database-related issue, Network issue, Performance issue, Permission/deprecation issue, Program anomaly issue</v>
      </c>
      <c r="C403" s="105"/>
      <c r="D403" s="105"/>
      <c r="E403" s="105"/>
      <c r="F403" s="105"/>
      <c r="G403" s="105"/>
      <c r="H403" s="105"/>
      <c r="I403" s="105"/>
      <c r="J403" s="105"/>
      <c r="K403" s="105"/>
      <c r="L403" s="105"/>
      <c r="M403" s="105"/>
      <c r="N403" s="105"/>
      <c r="O403" s="105"/>
      <c r="P403" s="105" t="str">
        <f>IFERROR(__xludf.DUMMYFUNCTION("""COMPUTED_VALUE"""),"informing::the::impossibility::(run::tests)")</f>
        <v>informing::the::impossibility::(run::tests)</v>
      </c>
      <c r="Q403" s="105"/>
      <c r="R403" s="105"/>
      <c r="S403" s="105"/>
      <c r="T403" s="105"/>
      <c r="U403" s="105"/>
      <c r="V403" s="105"/>
      <c r="W403" s="105"/>
      <c r="X403" s="105"/>
      <c r="Y403" s="105"/>
      <c r="Z403" s="105"/>
    </row>
    <row r="404">
      <c r="A404" s="105"/>
      <c r="B404" s="105" t="str">
        <f>IFERROR(__xludf.DUMMYFUNCTION("""COMPUTED_VALUE"""),"Configuration issue, Database-related issue, Network issue, Performance issue, Permission/deprecation issue, Security issue")</f>
        <v>Configuration issue, Database-related issue, Network issue, Performance issue, Permission/deprecation issue, Security issue</v>
      </c>
      <c r="C404" s="105"/>
      <c r="D404" s="105"/>
      <c r="E404" s="105"/>
      <c r="F404" s="105"/>
      <c r="G404" s="105"/>
      <c r="H404" s="105"/>
      <c r="I404" s="105"/>
      <c r="J404" s="105"/>
      <c r="K404" s="105"/>
      <c r="L404" s="105"/>
      <c r="M404" s="105"/>
      <c r="N404" s="105"/>
      <c r="O404" s="105"/>
      <c r="P404" s="105" t="str">
        <f>IFERROR(__xludf.DUMMYFUNCTION("""COMPUTED_VALUE"""),"informing::update")</f>
        <v>informing::update</v>
      </c>
      <c r="Q404" s="105"/>
      <c r="R404" s="105"/>
      <c r="S404" s="105"/>
      <c r="T404" s="105"/>
      <c r="U404" s="105"/>
      <c r="V404" s="105"/>
      <c r="W404" s="105"/>
      <c r="X404" s="105"/>
      <c r="Y404" s="105"/>
      <c r="Z404" s="105"/>
    </row>
    <row r="405">
      <c r="A405" s="105"/>
      <c r="B405" s="105" t="str">
        <f>IFERROR(__xludf.DUMMYFUNCTION("""COMPUTED_VALUE"""),"Configuration issue, Database-related issue, Network issue, Performance issue, Permission/deprecation issue, Test code-related issue")</f>
        <v>Configuration issue, Database-related issue, Network issue, Performance issue, Permission/deprecation issue, Test code-related issue</v>
      </c>
      <c r="C405" s="105"/>
      <c r="D405" s="105"/>
      <c r="E405" s="105"/>
      <c r="F405" s="105"/>
      <c r="G405" s="105"/>
      <c r="H405" s="105"/>
      <c r="I405" s="105"/>
      <c r="J405" s="105"/>
      <c r="K405" s="105"/>
      <c r="L405" s="105"/>
      <c r="M405" s="105"/>
      <c r="N405" s="105"/>
      <c r="O405" s="105"/>
      <c r="P405" s="105" t="str">
        <f>IFERROR(__xludf.DUMMYFUNCTION("""COMPUTED_VALUE"""),"informing::using::GATE::(testing::platform)::for::pep8::due::to::they::are::not::working")</f>
        <v>informing::using::GATE::(testing::platform)::for::pep8::due::to::they::are::not::working</v>
      </c>
      <c r="Q405" s="105"/>
      <c r="R405" s="105"/>
      <c r="S405" s="105"/>
      <c r="T405" s="105"/>
      <c r="U405" s="105"/>
      <c r="V405" s="105"/>
      <c r="W405" s="105"/>
      <c r="X405" s="105"/>
      <c r="Y405" s="105"/>
      <c r="Z405" s="105"/>
    </row>
    <row r="406">
      <c r="A406" s="105"/>
      <c r="B406" s="105" t="str">
        <f>IFERROR(__xludf.DUMMYFUNCTION("""COMPUTED_VALUE"""),"Configuration issue, Database-related issue, Network issue, Performance issue, Program anomaly issue, Test code-related issue")</f>
        <v>Configuration issue, Database-related issue, Network issue, Performance issue, Program anomaly issue, Test code-related issue</v>
      </c>
      <c r="C406" s="105"/>
      <c r="D406" s="105"/>
      <c r="E406" s="105"/>
      <c r="F406" s="105"/>
      <c r="G406" s="105"/>
      <c r="H406" s="105"/>
      <c r="I406" s="105"/>
      <c r="J406" s="105"/>
      <c r="K406" s="105"/>
      <c r="L406" s="105"/>
      <c r="M406" s="105"/>
      <c r="N406" s="105"/>
      <c r="O406" s="105"/>
      <c r="P406" s="105" t="str">
        <f>IFERROR(__xludf.DUMMYFUNCTION("""COMPUTED_VALUE"""),"informing::version::software")</f>
        <v>informing::version::software</v>
      </c>
      <c r="Q406" s="105"/>
      <c r="R406" s="105"/>
      <c r="S406" s="105"/>
      <c r="T406" s="105"/>
      <c r="U406" s="105"/>
      <c r="V406" s="105"/>
      <c r="W406" s="105"/>
      <c r="X406" s="105"/>
      <c r="Y406" s="105"/>
      <c r="Z406" s="105"/>
    </row>
    <row r="407">
      <c r="A407" s="105"/>
      <c r="B407" s="105" t="str">
        <f>IFERROR(__xludf.DUMMYFUNCTION("""COMPUTED_VALUE"""),"Configuration issue, Database-related issue, Network issue, Performance issue, Security issue, Program anomaly issue")</f>
        <v>Configuration issue, Database-related issue, Network issue, Performance issue, Security issue, Program anomaly issue</v>
      </c>
      <c r="C407" s="105"/>
      <c r="D407" s="105"/>
      <c r="E407" s="105"/>
      <c r="F407" s="105"/>
      <c r="G407" s="105"/>
      <c r="H407" s="105"/>
      <c r="I407" s="105"/>
      <c r="J407" s="105"/>
      <c r="K407" s="105"/>
      <c r="L407" s="105"/>
      <c r="M407" s="105"/>
      <c r="N407" s="105"/>
      <c r="O407" s="105"/>
      <c r="P407" s="105" t="str">
        <f>IFERROR(__xludf.DUMMYFUNCTION("""COMPUTED_VALUE"""),"informing::work::in::progress")</f>
        <v>informing::work::in::progress</v>
      </c>
      <c r="Q407" s="105"/>
      <c r="R407" s="105"/>
      <c r="S407" s="105"/>
      <c r="T407" s="105"/>
      <c r="U407" s="105"/>
      <c r="V407" s="105"/>
      <c r="W407" s="105"/>
      <c r="X407" s="105"/>
      <c r="Y407" s="105"/>
      <c r="Z407" s="105"/>
    </row>
    <row r="408">
      <c r="A408" s="105"/>
      <c r="B408" s="105" t="str">
        <f>IFERROR(__xludf.DUMMYFUNCTION("""COMPUTED_VALUE"""),"Configuration issue, Database-related issue, Network issue, Performance issue, Security issue, Test code-related issue")</f>
        <v>Configuration issue, Database-related issue, Network issue, Performance issue, Security issue, Test code-related issue</v>
      </c>
      <c r="C408" s="105"/>
      <c r="D408" s="105"/>
      <c r="E408" s="105"/>
      <c r="F408" s="105"/>
      <c r="G408" s="105"/>
      <c r="H408" s="105"/>
      <c r="I408" s="105"/>
      <c r="J408" s="105"/>
      <c r="K408" s="105"/>
      <c r="L408" s="105"/>
      <c r="M408" s="105"/>
      <c r="N408" s="105"/>
      <c r="O408" s="105"/>
      <c r="P408" s="105" t="str">
        <f>IFERROR(__xludf.DUMMYFUNCTION("""COMPUTED_VALUE"""),"informing::work::in::progress::(vote::workflow-1)")</f>
        <v>informing::work::in::progress::(vote::workflow-1)</v>
      </c>
      <c r="Q408" s="105"/>
      <c r="R408" s="105"/>
      <c r="S408" s="105"/>
      <c r="T408" s="105"/>
      <c r="U408" s="105"/>
      <c r="V408" s="105"/>
      <c r="W408" s="105"/>
      <c r="X408" s="105"/>
      <c r="Y408" s="105"/>
      <c r="Z408" s="105"/>
    </row>
    <row r="409">
      <c r="A409" s="105"/>
      <c r="B409" s="105" t="str">
        <f>IFERROR(__xludf.DUMMYFUNCTION("""COMPUTED_VALUE"""),"Configuration issue, Database-related issue, Network issue, Permission/deprecation issue, Program anomaly issue, Test code-related issue")</f>
        <v>Configuration issue, Database-related issue, Network issue, Permission/deprecation issue, Program anomaly issue, Test code-related issue</v>
      </c>
      <c r="C409" s="105"/>
      <c r="D409" s="105"/>
      <c r="E409" s="105"/>
      <c r="F409" s="105"/>
      <c r="G409" s="105"/>
      <c r="H409" s="105"/>
      <c r="I409" s="105"/>
      <c r="J409" s="105"/>
      <c r="K409" s="105"/>
      <c r="L409" s="105"/>
      <c r="M409" s="105"/>
      <c r="N409" s="105"/>
      <c r="O409" s="105"/>
      <c r="P409" s="105" t="str">
        <f>IFERROR(__xludf.DUMMYFUNCTION("""COMPUTED_VALUE"""),"informing::work::in::progress2::(vote::workflow-1)")</f>
        <v>informing::work::in::progress2::(vote::workflow-1)</v>
      </c>
      <c r="Q409" s="105"/>
      <c r="R409" s="105"/>
      <c r="S409" s="105"/>
      <c r="T409" s="105"/>
      <c r="U409" s="105"/>
      <c r="V409" s="105"/>
      <c r="W409" s="105"/>
      <c r="X409" s="105"/>
      <c r="Y409" s="105"/>
      <c r="Z409" s="105"/>
    </row>
    <row r="410">
      <c r="A410" s="105"/>
      <c r="B410" s="105" t="str">
        <f>IFERROR(__xludf.DUMMYFUNCTION("""COMPUTED_VALUE"""),"Configuration issue, Database-related issue, Network issue, Permission/deprecation issue, Security issue, Program anomaly issue")</f>
        <v>Configuration issue, Database-related issue, Network issue, Permission/deprecation issue, Security issue, Program anomaly issue</v>
      </c>
      <c r="C410" s="105"/>
      <c r="D410" s="105"/>
      <c r="E410" s="105"/>
      <c r="F410" s="105"/>
      <c r="G410" s="105"/>
      <c r="H410" s="105"/>
      <c r="I410" s="105"/>
      <c r="J410" s="105"/>
      <c r="K410" s="105"/>
      <c r="L410" s="105"/>
      <c r="M410" s="105"/>
      <c r="N410" s="105"/>
      <c r="O410" s="105"/>
      <c r="P410" s="105" t="str">
        <f>IFERROR(__xludf.DUMMYFUNCTION("""COMPUTED_VALUE"""),"informing::work::in::progress3::(vote::workflow-1)")</f>
        <v>informing::work::in::progress3::(vote::workflow-1)</v>
      </c>
      <c r="Q410" s="105"/>
      <c r="R410" s="105"/>
      <c r="S410" s="105"/>
      <c r="T410" s="105"/>
      <c r="U410" s="105"/>
      <c r="V410" s="105"/>
      <c r="W410" s="105"/>
      <c r="X410" s="105"/>
      <c r="Y410" s="105"/>
      <c r="Z410" s="105"/>
    </row>
    <row r="411">
      <c r="A411" s="105"/>
      <c r="B411" s="105" t="str">
        <f>IFERROR(__xludf.DUMMYFUNCTION("""COMPUTED_VALUE"""),"Configuration issue, Database-related issue, Network issue, Permission/deprecation issue, Security issue, Test code-related issue")</f>
        <v>Configuration issue, Database-related issue, Network issue, Permission/deprecation issue, Security issue, Test code-related issue</v>
      </c>
      <c r="C411" s="105"/>
      <c r="D411" s="105"/>
      <c r="E411" s="105"/>
      <c r="F411" s="105"/>
      <c r="G411" s="105"/>
      <c r="H411" s="105"/>
      <c r="I411" s="105"/>
      <c r="J411" s="105"/>
      <c r="K411" s="105"/>
      <c r="L411" s="105"/>
      <c r="M411" s="105"/>
      <c r="N411" s="105"/>
      <c r="O411" s="105"/>
      <c r="P411" s="105" t="str">
        <f>IFERROR(__xludf.DUMMYFUNCTION("""COMPUTED_VALUE"""),"informing::work::in::progress4::(vote::workflow-1)")</f>
        <v>informing::work::in::progress4::(vote::workflow-1)</v>
      </c>
      <c r="Q411" s="105"/>
      <c r="R411" s="105"/>
      <c r="S411" s="105"/>
      <c r="T411" s="105"/>
      <c r="U411" s="105"/>
      <c r="V411" s="105"/>
      <c r="W411" s="105"/>
      <c r="X411" s="105"/>
      <c r="Y411" s="105"/>
      <c r="Z411" s="105"/>
    </row>
    <row r="412">
      <c r="A412" s="105"/>
      <c r="B412" s="105" t="str">
        <f>IFERROR(__xludf.DUMMYFUNCTION("""COMPUTED_VALUE"""),"Configuration issue, Database-related issue, Network issue, Security issue, Program anomaly issue, Test code-related issue")</f>
        <v>Configuration issue, Database-related issue, Network issue, Security issue, Program anomaly issue, Test code-related issue</v>
      </c>
      <c r="C412" s="105"/>
      <c r="D412" s="105"/>
      <c r="E412" s="105"/>
      <c r="F412" s="105"/>
      <c r="G412" s="105"/>
      <c r="H412" s="105"/>
      <c r="I412" s="105"/>
      <c r="J412" s="105"/>
      <c r="K412" s="105"/>
      <c r="L412" s="105"/>
      <c r="M412" s="105"/>
      <c r="N412" s="105"/>
      <c r="O412" s="105"/>
      <c r="P412" s="105" t="str">
        <f>IFERROR(__xludf.DUMMYFUNCTION("""COMPUTED_VALUE"""),"informing::wrong::place::for::discussion")</f>
        <v>informing::wrong::place::for::discussion</v>
      </c>
      <c r="Q412" s="105"/>
      <c r="R412" s="105"/>
      <c r="S412" s="105"/>
      <c r="T412" s="105"/>
      <c r="U412" s="105"/>
      <c r="V412" s="105"/>
      <c r="W412" s="105"/>
      <c r="X412" s="105"/>
      <c r="Y412" s="105"/>
      <c r="Z412" s="105"/>
    </row>
    <row r="413">
      <c r="A413" s="105"/>
      <c r="B413" s="105" t="str">
        <f>IFERROR(__xludf.DUMMYFUNCTION("""COMPUTED_VALUE"""),"Configuration issue, Database-related issue, Performance issue, Permission/deprecation issue, Program anomaly issue, Test code-related issue")</f>
        <v>Configuration issue, Database-related issue, Performance issue, Permission/deprecation issue, Program anomaly issue, Test code-related issue</v>
      </c>
      <c r="C413" s="105"/>
      <c r="D413" s="105"/>
      <c r="E413" s="105"/>
      <c r="F413" s="105"/>
      <c r="G413" s="105"/>
      <c r="H413" s="105"/>
      <c r="I413" s="105"/>
      <c r="J413" s="105"/>
      <c r="K413" s="105"/>
      <c r="L413" s="105"/>
      <c r="M413" s="105"/>
      <c r="N413" s="105"/>
      <c r="O413" s="105"/>
      <c r="P413" s="105" t="str">
        <f>IFERROR(__xludf.DUMMYFUNCTION("""COMPUTED_VALUE"""),"informing:.conflict:.(another::review)")</f>
        <v>informing:.conflict:.(another::review)</v>
      </c>
      <c r="Q413" s="105"/>
      <c r="R413" s="105"/>
      <c r="S413" s="105"/>
      <c r="T413" s="105"/>
      <c r="U413" s="105"/>
      <c r="V413" s="105"/>
      <c r="W413" s="105"/>
      <c r="X413" s="105"/>
      <c r="Y413" s="105"/>
      <c r="Z413" s="105"/>
    </row>
    <row r="414">
      <c r="A414" s="105"/>
      <c r="B414" s="105" t="str">
        <f>IFERROR(__xludf.DUMMYFUNCTION("""COMPUTED_VALUE"""),"Configuration issue, Database-related issue, Performance issue, Permission/deprecation issue, Security issue, Program anomaly issue")</f>
        <v>Configuration issue, Database-related issue, Performance issue, Permission/deprecation issue, Security issue, Program anomaly issue</v>
      </c>
      <c r="C414" s="105"/>
      <c r="D414" s="105"/>
      <c r="E414" s="105"/>
      <c r="F414" s="105"/>
      <c r="G414" s="105"/>
      <c r="H414" s="105"/>
      <c r="I414" s="105"/>
      <c r="J414" s="105"/>
      <c r="K414" s="105"/>
      <c r="L414" s="105"/>
      <c r="M414" s="105"/>
      <c r="N414" s="105"/>
      <c r="O414" s="105"/>
      <c r="P414" s="105" t="str">
        <f>IFERROR(__xludf.DUMMYFUNCTION("""COMPUTED_VALUE"""),"informing:.that::a::change::made::was::already::done")</f>
        <v>informing:.that::a::change::made::was::already::done</v>
      </c>
      <c r="Q414" s="105"/>
      <c r="R414" s="105"/>
      <c r="S414" s="105"/>
      <c r="T414" s="105"/>
      <c r="U414" s="105"/>
      <c r="V414" s="105"/>
      <c r="W414" s="105"/>
      <c r="X414" s="105"/>
      <c r="Y414" s="105"/>
      <c r="Z414" s="105"/>
    </row>
    <row r="415">
      <c r="A415" s="105"/>
      <c r="B415" s="105" t="str">
        <f>IFERROR(__xludf.DUMMYFUNCTION("""COMPUTED_VALUE"""),"Configuration issue, Database-related issue, Performance issue, Permission/deprecation issue, Security issue, Test code-related issue")</f>
        <v>Configuration issue, Database-related issue, Performance issue, Permission/deprecation issue, Security issue, Test code-related issue</v>
      </c>
      <c r="C415" s="105"/>
      <c r="D415" s="105"/>
      <c r="E415" s="105"/>
      <c r="F415" s="105"/>
      <c r="G415" s="105"/>
      <c r="H415" s="105"/>
      <c r="I415" s="105"/>
      <c r="J415" s="105"/>
      <c r="K415" s="105"/>
      <c r="L415" s="105"/>
      <c r="M415" s="105"/>
      <c r="N415" s="105"/>
      <c r="O415" s="105"/>
      <c r="P415" s="105" t="str">
        <f>IFERROR(__xludf.DUMMYFUNCTION("""COMPUTED_VALUE"""),"introducing::solution::design::(explanation)")</f>
        <v>introducing::solution::design::(explanation)</v>
      </c>
      <c r="Q415" s="105"/>
      <c r="R415" s="105"/>
      <c r="S415" s="105"/>
      <c r="T415" s="105"/>
      <c r="U415" s="105"/>
      <c r="V415" s="105"/>
      <c r="W415" s="105"/>
      <c r="X415" s="105"/>
      <c r="Y415" s="105"/>
      <c r="Z415" s="105"/>
    </row>
    <row r="416">
      <c r="A416" s="105"/>
      <c r="B416" s="105" t="str">
        <f>IFERROR(__xludf.DUMMYFUNCTION("""COMPUTED_VALUE"""),"Configuration issue, Database-related issue, Performance issue, Security issue, Program anomaly issue, Test code-related issue")</f>
        <v>Configuration issue, Database-related issue, Performance issue, Security issue, Program anomaly issue, Test code-related issue</v>
      </c>
      <c r="C416" s="105"/>
      <c r="D416" s="105"/>
      <c r="E416" s="105"/>
      <c r="F416" s="105"/>
      <c r="G416" s="105"/>
      <c r="H416" s="105"/>
      <c r="I416" s="105"/>
      <c r="J416" s="105"/>
      <c r="K416" s="105"/>
      <c r="L416" s="105"/>
      <c r="M416" s="105"/>
      <c r="N416" s="105"/>
      <c r="O416" s="105"/>
      <c r="P416" s="105" t="str">
        <f>IFERROR(__xludf.DUMMYFUNCTION("""COMPUTED_VALUE"""),"Issues::(BP/bugs)::related::to::the::change")</f>
        <v>Issues::(BP/bugs)::related::to::the::change</v>
      </c>
      <c r="Q416" s="105"/>
      <c r="R416" s="105"/>
      <c r="S416" s="105"/>
      <c r="T416" s="105"/>
      <c r="U416" s="105"/>
      <c r="V416" s="105"/>
      <c r="W416" s="105"/>
      <c r="X416" s="105"/>
      <c r="Y416" s="105"/>
      <c r="Z416" s="105"/>
    </row>
    <row r="417">
      <c r="A417" s="105"/>
      <c r="B417" s="105" t="str">
        <f>IFERROR(__xludf.DUMMYFUNCTION("""COMPUTED_VALUE"""),"Configuration issue, Database-related issue, Permission/deprecation issue, Security issue, Program anomaly issue, Test code-related issue")</f>
        <v>Configuration issue, Database-related issue, Permission/deprecation issue, Security issue, Program anomaly issue, Test code-related issue</v>
      </c>
      <c r="C417" s="105"/>
      <c r="D417" s="105"/>
      <c r="E417" s="105"/>
      <c r="F417" s="105"/>
      <c r="G417" s="105"/>
      <c r="H417" s="105"/>
      <c r="I417" s="105"/>
      <c r="J417" s="105"/>
      <c r="K417" s="105"/>
      <c r="L417" s="105"/>
      <c r="M417" s="105"/>
      <c r="N417" s="105"/>
      <c r="O417" s="105"/>
      <c r="P417" s="105" t="str">
        <f>IFERROR(__xludf.DUMMYFUNCTION("""COMPUTED_VALUE"""),"Issues::(BP/bugs)::that::caused::the::change")</f>
        <v>Issues::(BP/bugs)::that::caused::the::change</v>
      </c>
      <c r="Q417" s="105"/>
      <c r="R417" s="105"/>
      <c r="S417" s="105"/>
      <c r="T417" s="105"/>
      <c r="U417" s="105"/>
      <c r="V417" s="105"/>
      <c r="W417" s="105"/>
      <c r="X417" s="105"/>
      <c r="Y417" s="105"/>
      <c r="Z417" s="105"/>
    </row>
    <row r="418">
      <c r="A418" s="105"/>
      <c r="B418" s="105" t="str">
        <f>IFERROR(__xludf.DUMMYFUNCTION("""COMPUTED_VALUE"""),"Configuration issue, GUI-related issue, Network issue, Performance issue, Permission/deprecation issue, Program anomaly issue")</f>
        <v>Configuration issue, GUI-related issue, Network issue, Performance issue, Permission/deprecation issue, Program anomaly issue</v>
      </c>
      <c r="C418" s="105"/>
      <c r="D418" s="105"/>
      <c r="E418" s="105"/>
      <c r="F418" s="105"/>
      <c r="G418" s="105"/>
      <c r="H418" s="105"/>
      <c r="I418" s="105"/>
      <c r="J418" s="105"/>
      <c r="K418" s="105"/>
      <c r="L418" s="105"/>
      <c r="M418" s="105"/>
      <c r="N418" s="105"/>
      <c r="O418" s="105"/>
      <c r="P418" s="105" t="str">
        <f>IFERROR(__xludf.DUMMYFUNCTION("""COMPUTED_VALUE"""),"justifying::no::need::of::new::tests")</f>
        <v>justifying::no::need::of::new::tests</v>
      </c>
      <c r="Q418" s="105"/>
      <c r="R418" s="105"/>
      <c r="S418" s="105"/>
      <c r="T418" s="105"/>
      <c r="U418" s="105"/>
      <c r="V418" s="105"/>
      <c r="W418" s="105"/>
      <c r="X418" s="105"/>
      <c r="Y418" s="105"/>
      <c r="Z418" s="105"/>
    </row>
    <row r="419">
      <c r="A419" s="105"/>
      <c r="B419" s="105" t="str">
        <f>IFERROR(__xludf.DUMMYFUNCTION("""COMPUTED_VALUE"""),"Configuration issue, GUI-related issue, Network issue, Performance issue, Permission/deprecation issue, Security issue")</f>
        <v>Configuration issue, GUI-related issue, Network issue, Performance issue, Permission/deprecation issue, Security issue</v>
      </c>
      <c r="C419" s="105"/>
      <c r="D419" s="105"/>
      <c r="E419" s="105"/>
      <c r="F419" s="105"/>
      <c r="G419" s="105"/>
      <c r="H419" s="105"/>
      <c r="I419" s="105"/>
      <c r="J419" s="105"/>
      <c r="K419" s="105"/>
      <c r="L419" s="105"/>
      <c r="M419" s="105"/>
      <c r="N419" s="105"/>
      <c r="O419" s="105"/>
      <c r="P419" s="105" t="str">
        <f>IFERROR(__xludf.DUMMYFUNCTION("""COMPUTED_VALUE"""),"justifying::the::approach::of::the::change")</f>
        <v>justifying::the::approach::of::the::change</v>
      </c>
      <c r="Q419" s="105"/>
      <c r="R419" s="105"/>
      <c r="S419" s="105"/>
      <c r="T419" s="105"/>
      <c r="U419" s="105"/>
      <c r="V419" s="105"/>
      <c r="W419" s="105"/>
      <c r="X419" s="105"/>
      <c r="Y419" s="105"/>
      <c r="Z419" s="105"/>
    </row>
    <row r="420">
      <c r="A420" s="105"/>
      <c r="B420" s="105" t="str">
        <f>IFERROR(__xludf.DUMMYFUNCTION("""COMPUTED_VALUE"""),"Configuration issue, GUI-related issue, Network issue, Performance issue, Permission/deprecation issue, Test code-related issue")</f>
        <v>Configuration issue, GUI-related issue, Network issue, Performance issue, Permission/deprecation issue, Test code-related issue</v>
      </c>
      <c r="C420" s="105"/>
      <c r="D420" s="105"/>
      <c r="E420" s="105"/>
      <c r="F420" s="105"/>
      <c r="G420" s="105"/>
      <c r="H420" s="105"/>
      <c r="I420" s="105"/>
      <c r="J420" s="105"/>
      <c r="K420" s="105"/>
      <c r="L420" s="105"/>
      <c r="M420" s="105"/>
      <c r="N420" s="105"/>
      <c r="O420" s="105"/>
      <c r="P420" s="105" t="str">
        <f>IFERROR(__xludf.DUMMYFUNCTION("""COMPUTED_VALUE"""),"links::to::twitter")</f>
        <v>links::to::twitter</v>
      </c>
      <c r="Q420" s="105"/>
      <c r="R420" s="105"/>
      <c r="S420" s="105"/>
      <c r="T420" s="105"/>
      <c r="U420" s="105"/>
      <c r="V420" s="105"/>
      <c r="W420" s="105"/>
      <c r="X420" s="105"/>
      <c r="Y420" s="105"/>
      <c r="Z420" s="105"/>
    </row>
    <row r="421">
      <c r="A421" s="105"/>
      <c r="B421" s="105" t="str">
        <f>IFERROR(__xludf.DUMMYFUNCTION("""COMPUTED_VALUE"""),"Configuration issue, GUI-related issue, Network issue, Performance issue, Program anomaly issue, Test code-related issue")</f>
        <v>Configuration issue, GUI-related issue, Network issue, Performance issue, Program anomaly issue, Test code-related issue</v>
      </c>
      <c r="C421" s="105"/>
      <c r="D421" s="105"/>
      <c r="E421" s="105"/>
      <c r="F421" s="105"/>
      <c r="G421" s="105"/>
      <c r="H421" s="105"/>
      <c r="I421" s="105"/>
      <c r="J421" s="105"/>
      <c r="K421" s="105"/>
      <c r="L421" s="105"/>
      <c r="M421" s="105"/>
      <c r="N421" s="105"/>
      <c r="O421" s="105"/>
      <c r="P421" s="105" t="str">
        <f>IFERROR(__xludf.DUMMYFUNCTION("""COMPUTED_VALUE"""),"mediate::objecting::and::suggestion::change::(move::logic)")</f>
        <v>mediate::objecting::and::suggestion::change::(move::logic)</v>
      </c>
      <c r="Q421" s="105"/>
      <c r="R421" s="105"/>
      <c r="S421" s="105"/>
      <c r="T421" s="105"/>
      <c r="U421" s="105"/>
      <c r="V421" s="105"/>
      <c r="W421" s="105"/>
      <c r="X421" s="105"/>
      <c r="Y421" s="105"/>
      <c r="Z421" s="105"/>
    </row>
    <row r="422">
      <c r="A422" s="105"/>
      <c r="B422" s="105" t="str">
        <f>IFERROR(__xludf.DUMMYFUNCTION("""COMPUTED_VALUE"""),"Configuration issue, GUI-related issue, Network issue, Performance issue, Security issue, Program anomaly issue")</f>
        <v>Configuration issue, GUI-related issue, Network issue, Performance issue, Security issue, Program anomaly issue</v>
      </c>
      <c r="C422" s="105"/>
      <c r="D422" s="105"/>
      <c r="E422" s="105"/>
      <c r="F422" s="105"/>
      <c r="G422" s="105"/>
      <c r="H422" s="105"/>
      <c r="I422" s="105"/>
      <c r="J422" s="105"/>
      <c r="K422" s="105"/>
      <c r="L422" s="105"/>
      <c r="M422" s="105"/>
      <c r="N422" s="105"/>
      <c r="O422" s="105"/>
      <c r="P422" s="105" t="str">
        <f>IFERROR(__xludf.DUMMYFUNCTION("""COMPUTED_VALUE"""),"mentioning::co::authors")</f>
        <v>mentioning::co::authors</v>
      </c>
      <c r="Q422" s="105"/>
      <c r="R422" s="105"/>
      <c r="S422" s="105"/>
      <c r="T422" s="105"/>
      <c r="U422" s="105"/>
      <c r="V422" s="105"/>
      <c r="W422" s="105"/>
      <c r="X422" s="105"/>
      <c r="Y422" s="105"/>
      <c r="Z422" s="105"/>
    </row>
    <row r="423">
      <c r="A423" s="105"/>
      <c r="B423" s="105" t="str">
        <f>IFERROR(__xludf.DUMMYFUNCTION("""COMPUTED_VALUE"""),"Configuration issue, GUI-related issue, Network issue, Performance issue, Security issue, Test code-related issue")</f>
        <v>Configuration issue, GUI-related issue, Network issue, Performance issue, Security issue, Test code-related issue</v>
      </c>
      <c r="C423" s="105"/>
      <c r="D423" s="105"/>
      <c r="E423" s="105"/>
      <c r="F423" s="105"/>
      <c r="G423" s="105"/>
      <c r="H423" s="105"/>
      <c r="I423" s="105"/>
      <c r="J423" s="105"/>
      <c r="K423" s="105"/>
      <c r="L423" s="105"/>
      <c r="M423" s="105"/>
      <c r="N423" s="105"/>
      <c r="O423" s="105"/>
      <c r="P423" s="105" t="str">
        <f>IFERROR(__xludf.DUMMYFUNCTION("""COMPUTED_VALUE"""),"mentioning::experience::in::project::(new::in::project)")</f>
        <v>mentioning::experience::in::project::(new::in::project)</v>
      </c>
      <c r="Q423" s="105"/>
      <c r="R423" s="105"/>
      <c r="S423" s="105"/>
      <c r="T423" s="105"/>
      <c r="U423" s="105"/>
      <c r="V423" s="105"/>
      <c r="W423" s="105"/>
      <c r="X423" s="105"/>
      <c r="Y423" s="105"/>
      <c r="Z423" s="105"/>
    </row>
    <row r="424">
      <c r="A424" s="105"/>
      <c r="B424" s="105" t="str">
        <f>IFERROR(__xludf.DUMMYFUNCTION("""COMPUTED_VALUE"""),"Configuration issue, GUI-related issue, Network issue, Permission/deprecation issue, Program anomaly issue, Test code-related issue")</f>
        <v>Configuration issue, GUI-related issue, Network issue, Permission/deprecation issue, Program anomaly issue, Test code-related issue</v>
      </c>
      <c r="C424" s="105"/>
      <c r="D424" s="105"/>
      <c r="E424" s="105"/>
      <c r="F424" s="105"/>
      <c r="G424" s="105"/>
      <c r="H424" s="105"/>
      <c r="I424" s="105"/>
      <c r="J424" s="105"/>
      <c r="K424" s="105"/>
      <c r="L424" s="105"/>
      <c r="M424" s="105"/>
      <c r="N424" s="105"/>
      <c r="O424" s="105"/>
      <c r="P424" s="105" t="str">
        <f>IFERROR(__xludf.DUMMYFUNCTION("""COMPUTED_VALUE"""),"mentions::PR::target")</f>
        <v>mentions::PR::target</v>
      </c>
      <c r="Q424" s="105"/>
      <c r="R424" s="105"/>
      <c r="S424" s="105"/>
      <c r="T424" s="105"/>
      <c r="U424" s="105"/>
      <c r="V424" s="105"/>
      <c r="W424" s="105"/>
      <c r="X424" s="105"/>
      <c r="Y424" s="105"/>
      <c r="Z424" s="105"/>
    </row>
    <row r="425">
      <c r="A425" s="105"/>
      <c r="B425" s="105" t="str">
        <f>IFERROR(__xludf.DUMMYFUNCTION("""COMPUTED_VALUE"""),"Configuration issue, GUI-related issue, Network issue, Permission/deprecation issue, Security issue, Program anomaly issue")</f>
        <v>Configuration issue, GUI-related issue, Network issue, Permission/deprecation issue, Security issue, Program anomaly issue</v>
      </c>
      <c r="C425" s="105"/>
      <c r="D425" s="105"/>
      <c r="E425" s="105"/>
      <c r="F425" s="105"/>
      <c r="G425" s="105"/>
      <c r="H425" s="105"/>
      <c r="I425" s="105"/>
      <c r="J425" s="105"/>
      <c r="K425" s="105"/>
      <c r="L425" s="105"/>
      <c r="M425" s="105"/>
      <c r="N425" s="105"/>
      <c r="O425" s="105"/>
      <c r="P425" s="105" t="str">
        <f>IFERROR(__xludf.DUMMYFUNCTION("""COMPUTED_VALUE"""),"minor::changes::required::for::submitting")</f>
        <v>minor::changes::required::for::submitting</v>
      </c>
      <c r="Q425" s="105"/>
      <c r="R425" s="105"/>
      <c r="S425" s="105"/>
      <c r="T425" s="105"/>
      <c r="U425" s="105"/>
      <c r="V425" s="105"/>
      <c r="W425" s="105"/>
      <c r="X425" s="105"/>
      <c r="Y425" s="105"/>
      <c r="Z425" s="105"/>
    </row>
    <row r="426">
      <c r="A426" s="105"/>
      <c r="B426" s="105" t="str">
        <f>IFERROR(__xludf.DUMMYFUNCTION("""COMPUTED_VALUE"""),"Configuration issue, GUI-related issue, Network issue, Permission/deprecation issue, Security issue, Test code-related issue")</f>
        <v>Configuration issue, GUI-related issue, Network issue, Permission/deprecation issue, Security issue, Test code-related issue</v>
      </c>
      <c r="C426" s="105"/>
      <c r="D426" s="105"/>
      <c r="E426" s="105"/>
      <c r="F426" s="105"/>
      <c r="G426" s="105"/>
      <c r="H426" s="105"/>
      <c r="I426" s="105"/>
      <c r="J426" s="105"/>
      <c r="K426" s="105"/>
      <c r="L426" s="105"/>
      <c r="M426" s="105"/>
      <c r="N426" s="105"/>
      <c r="O426" s="105"/>
      <c r="P426" s="105" t="str">
        <f>IFERROR(__xludf.DUMMYFUNCTION("""COMPUTED_VALUE"""),"minor::changes::required::for::submitting::(comments::added::elsewhere)")</f>
        <v>minor::changes::required::for::submitting::(comments::added::elsewhere)</v>
      </c>
      <c r="Q426" s="105"/>
      <c r="R426" s="105"/>
      <c r="S426" s="105"/>
      <c r="T426" s="105"/>
      <c r="U426" s="105"/>
      <c r="V426" s="105"/>
      <c r="W426" s="105"/>
      <c r="X426" s="105"/>
      <c r="Y426" s="105"/>
      <c r="Z426" s="105"/>
    </row>
    <row r="427">
      <c r="A427" s="105"/>
      <c r="B427" s="105" t="str">
        <f>IFERROR(__xludf.DUMMYFUNCTION("""COMPUTED_VALUE"""),"Configuration issue, GUI-related issue, Network issue, Security issue, Program anomaly issue, Test code-related issue")</f>
        <v>Configuration issue, GUI-related issue, Network issue, Security issue, Program anomaly issue, Test code-related issue</v>
      </c>
      <c r="C427" s="105"/>
      <c r="D427" s="105"/>
      <c r="E427" s="105"/>
      <c r="F427" s="105"/>
      <c r="G427" s="105"/>
      <c r="H427" s="105"/>
      <c r="I427" s="105"/>
      <c r="J427" s="105"/>
      <c r="K427" s="105"/>
      <c r="L427" s="105"/>
      <c r="M427" s="105"/>
      <c r="N427" s="105"/>
      <c r="O427" s="105"/>
      <c r="P427" s="105" t="str">
        <f>IFERROR(__xludf.DUMMYFUNCTION("""COMPUTED_VALUE"""),"minor::changes::required::for::submitting::(comments::added)")</f>
        <v>minor::changes::required::for::submitting::(comments::added)</v>
      </c>
      <c r="Q427" s="105"/>
      <c r="R427" s="105"/>
      <c r="S427" s="105"/>
      <c r="T427" s="105"/>
      <c r="U427" s="105"/>
      <c r="V427" s="105"/>
      <c r="W427" s="105"/>
      <c r="X427" s="105"/>
      <c r="Y427" s="105"/>
      <c r="Z427" s="105"/>
    </row>
    <row r="428">
      <c r="A428" s="105"/>
      <c r="B428" s="105" t="str">
        <f>IFERROR(__xludf.DUMMYFUNCTION("""COMPUTED_VALUE"""),"Configuration issue, GUI-related issue, Performance issue, Permission/deprecation issue, Program anomaly issue, Test code-related issue")</f>
        <v>Configuration issue, GUI-related issue, Performance issue, Permission/deprecation issue, Program anomaly issue, Test code-related issue</v>
      </c>
      <c r="C428" s="105"/>
      <c r="D428" s="105"/>
      <c r="E428" s="105"/>
      <c r="F428" s="105"/>
      <c r="G428" s="105"/>
      <c r="H428" s="105"/>
      <c r="I428" s="105"/>
      <c r="J428" s="105"/>
      <c r="K428" s="105"/>
      <c r="L428" s="105"/>
      <c r="M428" s="105"/>
      <c r="N428" s="105"/>
      <c r="O428" s="105"/>
      <c r="P428" s="105" t="str">
        <f>IFERROR(__xludf.DUMMYFUNCTION("""COMPUTED_VALUE"""),"need::CI")</f>
        <v>need::CI</v>
      </c>
      <c r="Q428" s="105"/>
      <c r="R428" s="105"/>
      <c r="S428" s="105"/>
      <c r="T428" s="105"/>
      <c r="U428" s="105"/>
      <c r="V428" s="105"/>
      <c r="W428" s="105"/>
      <c r="X428" s="105"/>
      <c r="Y428" s="105"/>
      <c r="Z428" s="105"/>
    </row>
    <row r="429">
      <c r="A429" s="105"/>
      <c r="B429" s="105" t="str">
        <f>IFERROR(__xludf.DUMMYFUNCTION("""COMPUTED_VALUE"""),"Configuration issue, GUI-related issue, Performance issue, Permission/deprecation issue, Security issue, Program anomaly issue")</f>
        <v>Configuration issue, GUI-related issue, Performance issue, Permission/deprecation issue, Security issue, Program anomaly issue</v>
      </c>
      <c r="C429" s="105"/>
      <c r="D429" s="105"/>
      <c r="E429" s="105"/>
      <c r="F429" s="105"/>
      <c r="G429" s="105"/>
      <c r="H429" s="105"/>
      <c r="I429" s="105"/>
      <c r="J429" s="105"/>
      <c r="K429" s="105"/>
      <c r="L429" s="105"/>
      <c r="M429" s="105"/>
      <c r="N429" s="105"/>
      <c r="O429" s="105"/>
      <c r="P429" s="105" t="str">
        <f>IFERROR(__xludf.DUMMYFUNCTION("""COMPUTED_VALUE"""),"need::of::rebase")</f>
        <v>need::of::rebase</v>
      </c>
      <c r="Q429" s="105"/>
      <c r="R429" s="105"/>
      <c r="S429" s="105"/>
      <c r="T429" s="105"/>
      <c r="U429" s="105"/>
      <c r="V429" s="105"/>
      <c r="W429" s="105"/>
      <c r="X429" s="105"/>
      <c r="Y429" s="105"/>
      <c r="Z429" s="105"/>
    </row>
    <row r="430">
      <c r="A430" s="105"/>
      <c r="B430" s="105" t="str">
        <f>IFERROR(__xludf.DUMMYFUNCTION("""COMPUTED_VALUE"""),"Configuration issue, GUI-related issue, Performance issue, Permission/deprecation issue, Security issue, Test code-related issue")</f>
        <v>Configuration issue, GUI-related issue, Performance issue, Permission/deprecation issue, Security issue, Test code-related issue</v>
      </c>
      <c r="C430" s="105"/>
      <c r="D430" s="105"/>
      <c r="E430" s="105"/>
      <c r="F430" s="105"/>
      <c r="G430" s="105"/>
      <c r="H430" s="105"/>
      <c r="I430" s="105"/>
      <c r="J430" s="105"/>
      <c r="K430" s="105"/>
      <c r="L430" s="105"/>
      <c r="M430" s="105"/>
      <c r="N430" s="105"/>
      <c r="O430" s="105"/>
      <c r="P430" s="105" t="str">
        <f>IFERROR(__xludf.DUMMYFUNCTION("""COMPUTED_VALUE"""),"no::score")</f>
        <v>no::score</v>
      </c>
      <c r="Q430" s="105"/>
      <c r="R430" s="105"/>
      <c r="S430" s="105"/>
      <c r="T430" s="105"/>
      <c r="U430" s="105"/>
      <c r="V430" s="105"/>
      <c r="W430" s="105"/>
      <c r="X430" s="105"/>
      <c r="Y430" s="105"/>
      <c r="Z430" s="105"/>
    </row>
    <row r="431">
      <c r="A431" s="105"/>
      <c r="B431" s="105" t="str">
        <f>IFERROR(__xludf.DUMMYFUNCTION("""COMPUTED_VALUE"""),"Configuration issue, GUI-related issue, Performance issue, Security issue, Program anomaly issue, Test code-related issue")</f>
        <v>Configuration issue, GUI-related issue, Performance issue, Security issue, Program anomaly issue, Test code-related issue</v>
      </c>
      <c r="C431" s="105"/>
      <c r="D431" s="105"/>
      <c r="E431" s="105"/>
      <c r="F431" s="105"/>
      <c r="G431" s="105"/>
      <c r="H431" s="105"/>
      <c r="I431" s="105"/>
      <c r="J431" s="105"/>
      <c r="K431" s="105"/>
      <c r="L431" s="105"/>
      <c r="M431" s="105"/>
      <c r="N431" s="105"/>
      <c r="O431" s="105"/>
      <c r="P431" s="105" t="str">
        <f>IFERROR(__xludf.DUMMYFUNCTION("""COMPUTED_VALUE"""),"not::approval::for::submitting")</f>
        <v>not::approval::for::submitting</v>
      </c>
      <c r="Q431" s="105"/>
      <c r="R431" s="105"/>
      <c r="S431" s="105"/>
      <c r="T431" s="105"/>
      <c r="U431" s="105"/>
      <c r="V431" s="105"/>
      <c r="W431" s="105"/>
      <c r="X431" s="105"/>
      <c r="Y431" s="105"/>
      <c r="Z431" s="105"/>
    </row>
    <row r="432">
      <c r="A432" s="105"/>
      <c r="B432" s="105" t="str">
        <f>IFERROR(__xludf.DUMMYFUNCTION("""COMPUTED_VALUE"""),"Configuration issue, GUI-related issue, Permission/deprecation issue, Security issue, Program anomaly issue, Test code-related issue")</f>
        <v>Configuration issue, GUI-related issue, Permission/deprecation issue, Security issue, Program anomaly issue, Test code-related issue</v>
      </c>
      <c r="C432" s="105"/>
      <c r="D432" s="105"/>
      <c r="E432" s="105"/>
      <c r="F432" s="105"/>
      <c r="G432" s="105"/>
      <c r="H432" s="105"/>
      <c r="I432" s="105"/>
      <c r="J432" s="105"/>
      <c r="K432" s="105"/>
      <c r="L432" s="105"/>
      <c r="M432" s="105"/>
      <c r="N432" s="105"/>
      <c r="O432" s="105"/>
      <c r="P432" s="105" t="str">
        <f>IFERROR(__xludf.DUMMYFUNCTION("""COMPUTED_VALUE"""),"not::approval::for::submitting::(as::merge)")</f>
        <v>not::approval::for::submitting::(as::merge)</v>
      </c>
      <c r="Q432" s="105"/>
      <c r="R432" s="105"/>
      <c r="S432" s="105"/>
      <c r="T432" s="105"/>
      <c r="U432" s="105"/>
      <c r="V432" s="105"/>
      <c r="W432" s="105"/>
      <c r="X432" s="105"/>
      <c r="Y432" s="105"/>
      <c r="Z432" s="105"/>
    </row>
    <row r="433">
      <c r="A433" s="105"/>
      <c r="B433" s="105" t="str">
        <f>IFERROR(__xludf.DUMMYFUNCTION("""COMPUTED_VALUE"""),"Configuration issue, Network issue, Performance issue, Permission/deprecation issue, Program anomaly issue, Test code-related issue")</f>
        <v>Configuration issue, Network issue, Performance issue, Permission/deprecation issue, Program anomaly issue, Test code-related issue</v>
      </c>
      <c r="C433" s="105"/>
      <c r="D433" s="105"/>
      <c r="E433" s="105"/>
      <c r="F433" s="105"/>
      <c r="G433" s="105"/>
      <c r="H433" s="105"/>
      <c r="I433" s="105"/>
      <c r="J433" s="105"/>
      <c r="K433" s="105"/>
      <c r="L433" s="105"/>
      <c r="M433" s="105"/>
      <c r="N433" s="105"/>
      <c r="O433" s="105"/>
      <c r="P433" s="105" t="str">
        <f>IFERROR(__xludf.DUMMYFUNCTION("""COMPUTED_VALUE"""),"not::approval::for::submitting::(vote)")</f>
        <v>not::approval::for::submitting::(vote)</v>
      </c>
      <c r="Q433" s="105"/>
      <c r="R433" s="105"/>
      <c r="S433" s="105"/>
      <c r="T433" s="105"/>
      <c r="U433" s="105"/>
      <c r="V433" s="105"/>
      <c r="W433" s="105"/>
      <c r="X433" s="105"/>
      <c r="Y433" s="105"/>
      <c r="Z433" s="105"/>
    </row>
    <row r="434">
      <c r="A434" s="105"/>
      <c r="B434" s="105" t="str">
        <f>IFERROR(__xludf.DUMMYFUNCTION("""COMPUTED_VALUE"""),"Configuration issue, Network issue, Performance issue, Permission/deprecation issue, Security issue, Program anomaly issue")</f>
        <v>Configuration issue, Network issue, Performance issue, Permission/deprecation issue, Security issue, Program anomaly issue</v>
      </c>
      <c r="C434" s="105"/>
      <c r="D434" s="105"/>
      <c r="E434" s="105"/>
      <c r="F434" s="105"/>
      <c r="G434" s="105"/>
      <c r="H434" s="105"/>
      <c r="I434" s="105"/>
      <c r="J434" s="105"/>
      <c r="K434" s="105"/>
      <c r="L434" s="105"/>
      <c r="M434" s="105"/>
      <c r="N434" s="105"/>
      <c r="O434" s="105"/>
      <c r="P434" s="105" t="str">
        <f>IFERROR(__xludf.DUMMYFUNCTION("""COMPUTED_VALUE"""),"not::approval::for::submitting::(vote1)")</f>
        <v>not::approval::for::submitting::(vote1)</v>
      </c>
      <c r="Q434" s="105"/>
      <c r="R434" s="105"/>
      <c r="S434" s="105"/>
      <c r="T434" s="105"/>
      <c r="U434" s="105"/>
      <c r="V434" s="105"/>
      <c r="W434" s="105"/>
      <c r="X434" s="105"/>
      <c r="Y434" s="105"/>
      <c r="Z434" s="105"/>
    </row>
    <row r="435">
      <c r="A435" s="105"/>
      <c r="B435" s="105" t="str">
        <f>IFERROR(__xludf.DUMMYFUNCTION("""COMPUTED_VALUE"""),"Configuration issue, Network issue, Performance issue, Permission/deprecation issue, Security issue, Test code-related issue")</f>
        <v>Configuration issue, Network issue, Performance issue, Permission/deprecation issue, Security issue, Test code-related issue</v>
      </c>
      <c r="C435" s="105"/>
      <c r="D435" s="105"/>
      <c r="E435" s="105"/>
      <c r="F435" s="105"/>
      <c r="G435" s="105"/>
      <c r="H435" s="105"/>
      <c r="I435" s="105"/>
      <c r="J435" s="105"/>
      <c r="K435" s="105"/>
      <c r="L435" s="105"/>
      <c r="M435" s="105"/>
      <c r="N435" s="105"/>
      <c r="O435" s="105"/>
      <c r="P435" s="105" t="str">
        <f>IFERROR(__xludf.DUMMYFUNCTION("""COMPUTED_VALUE"""),"not::approval::for::submitting::(vote10)")</f>
        <v>not::approval::for::submitting::(vote10)</v>
      </c>
      <c r="Q435" s="105"/>
      <c r="R435" s="105"/>
      <c r="S435" s="105"/>
      <c r="T435" s="105"/>
      <c r="U435" s="105"/>
      <c r="V435" s="105"/>
      <c r="W435" s="105"/>
      <c r="X435" s="105"/>
      <c r="Y435" s="105"/>
      <c r="Z435" s="105"/>
    </row>
    <row r="436">
      <c r="A436" s="105"/>
      <c r="B436" s="105" t="str">
        <f>IFERROR(__xludf.DUMMYFUNCTION("""COMPUTED_VALUE"""),"Configuration issue, Network issue, Performance issue, Security issue, Program anomaly issue, Test code-related issue")</f>
        <v>Configuration issue, Network issue, Performance issue, Security issue, Program anomaly issue, Test code-related issue</v>
      </c>
      <c r="C436" s="105"/>
      <c r="D436" s="105"/>
      <c r="E436" s="105"/>
      <c r="F436" s="105"/>
      <c r="G436" s="105"/>
      <c r="H436" s="105"/>
      <c r="I436" s="105"/>
      <c r="J436" s="105"/>
      <c r="K436" s="105"/>
      <c r="L436" s="105"/>
      <c r="M436" s="105"/>
      <c r="N436" s="105"/>
      <c r="O436" s="105"/>
      <c r="P436" s="105" t="str">
        <f>IFERROR(__xludf.DUMMYFUNCTION("""COMPUTED_VALUE"""),"not::approval::for::submitting::(vote11)")</f>
        <v>not::approval::for::submitting::(vote11)</v>
      </c>
      <c r="Q436" s="105"/>
      <c r="R436" s="105"/>
      <c r="S436" s="105"/>
      <c r="T436" s="105"/>
      <c r="U436" s="105"/>
      <c r="V436" s="105"/>
      <c r="W436" s="105"/>
      <c r="X436" s="105"/>
      <c r="Y436" s="105"/>
      <c r="Z436" s="105"/>
    </row>
    <row r="437">
      <c r="A437" s="105"/>
      <c r="B437" s="105" t="str">
        <f>IFERROR(__xludf.DUMMYFUNCTION("""COMPUTED_VALUE"""),"Configuration issue, Network issue, Permission/deprecation issue, Security issue, Program anomaly issue, Test code-related issue")</f>
        <v>Configuration issue, Network issue, Permission/deprecation issue, Security issue, Program anomaly issue, Test code-related issue</v>
      </c>
      <c r="C437" s="105"/>
      <c r="D437" s="105"/>
      <c r="E437" s="105"/>
      <c r="F437" s="105"/>
      <c r="G437" s="105"/>
      <c r="H437" s="105"/>
      <c r="I437" s="105"/>
      <c r="J437" s="105"/>
      <c r="K437" s="105"/>
      <c r="L437" s="105"/>
      <c r="M437" s="105"/>
      <c r="N437" s="105"/>
      <c r="O437" s="105"/>
      <c r="P437" s="105" t="str">
        <f>IFERROR(__xludf.DUMMYFUNCTION("""COMPUTED_VALUE"""),"not::approval::for::submitting::(vote2)")</f>
        <v>not::approval::for::submitting::(vote2)</v>
      </c>
      <c r="Q437" s="105"/>
      <c r="R437" s="105"/>
      <c r="S437" s="105"/>
      <c r="T437" s="105"/>
      <c r="U437" s="105"/>
      <c r="V437" s="105"/>
      <c r="W437" s="105"/>
      <c r="X437" s="105"/>
      <c r="Y437" s="105"/>
      <c r="Z437" s="105"/>
    </row>
    <row r="438">
      <c r="A438" s="105"/>
      <c r="B438" s="105" t="str">
        <f>IFERROR(__xludf.DUMMYFUNCTION("""COMPUTED_VALUE"""),"Configuration issue, Performance issue, Permission/deprecation issue, Security issue, Program anomaly issue, Test code-related issue")</f>
        <v>Configuration issue, Performance issue, Permission/deprecation issue, Security issue, Program anomaly issue, Test code-related issue</v>
      </c>
      <c r="C438" s="105"/>
      <c r="D438" s="105"/>
      <c r="E438" s="105"/>
      <c r="F438" s="105"/>
      <c r="G438" s="105"/>
      <c r="H438" s="105"/>
      <c r="I438" s="105"/>
      <c r="J438" s="105"/>
      <c r="K438" s="105"/>
      <c r="L438" s="105"/>
      <c r="M438" s="105"/>
      <c r="N438" s="105"/>
      <c r="O438" s="105"/>
      <c r="P438" s="105" t="str">
        <f>IFERROR(__xludf.DUMMYFUNCTION("""COMPUTED_VALUE"""),"not::approval::for::submitting::(vote3)")</f>
        <v>not::approval::for::submitting::(vote3)</v>
      </c>
      <c r="Q438" s="105"/>
      <c r="R438" s="105"/>
      <c r="S438" s="105"/>
      <c r="T438" s="105"/>
      <c r="U438" s="105"/>
      <c r="V438" s="105"/>
      <c r="W438" s="105"/>
      <c r="X438" s="105"/>
      <c r="Y438" s="105"/>
      <c r="Z438" s="105"/>
    </row>
    <row r="439">
      <c r="A439" s="105"/>
      <c r="B439" s="105" t="str">
        <f>IFERROR(__xludf.DUMMYFUNCTION("""COMPUTED_VALUE"""),"Database-related issue, GUI-related issue, Network issue, Performance issue, Permission/deprecation issue, Program anomaly issue")</f>
        <v>Database-related issue, GUI-related issue, Network issue, Performance issue, Permission/deprecation issue, Program anomaly issue</v>
      </c>
      <c r="C439" s="105"/>
      <c r="D439" s="105"/>
      <c r="E439" s="105"/>
      <c r="F439" s="105"/>
      <c r="G439" s="105"/>
      <c r="H439" s="105"/>
      <c r="I439" s="105"/>
      <c r="J439" s="105"/>
      <c r="K439" s="105"/>
      <c r="L439" s="105"/>
      <c r="M439" s="105"/>
      <c r="N439" s="105"/>
      <c r="O439" s="105"/>
      <c r="P439" s="105" t="str">
        <f>IFERROR(__xludf.DUMMYFUNCTION("""COMPUTED_VALUE"""),"not::approval::for::submitting::(vote4)")</f>
        <v>not::approval::for::submitting::(vote4)</v>
      </c>
      <c r="Q439" s="105"/>
      <c r="R439" s="105"/>
      <c r="S439" s="105"/>
      <c r="T439" s="105"/>
      <c r="U439" s="105"/>
      <c r="V439" s="105"/>
      <c r="W439" s="105"/>
      <c r="X439" s="105"/>
      <c r="Y439" s="105"/>
      <c r="Z439" s="105"/>
    </row>
    <row r="440">
      <c r="A440" s="105"/>
      <c r="B440" s="105" t="str">
        <f>IFERROR(__xludf.DUMMYFUNCTION("""COMPUTED_VALUE"""),"Database-related issue, GUI-related issue, Network issue, Performance issue, Permission/deprecation issue, Security issue")</f>
        <v>Database-related issue, GUI-related issue, Network issue, Performance issue, Permission/deprecation issue, Security issue</v>
      </c>
      <c r="C440" s="105"/>
      <c r="D440" s="105"/>
      <c r="E440" s="105"/>
      <c r="F440" s="105"/>
      <c r="G440" s="105"/>
      <c r="H440" s="105"/>
      <c r="I440" s="105"/>
      <c r="J440" s="105"/>
      <c r="K440" s="105"/>
      <c r="L440" s="105"/>
      <c r="M440" s="105"/>
      <c r="N440" s="105"/>
      <c r="O440" s="105"/>
      <c r="P440" s="105" t="str">
        <f>IFERROR(__xludf.DUMMYFUNCTION("""COMPUTED_VALUE"""),"not::approval::for::submitting::(vote5)")</f>
        <v>not::approval::for::submitting::(vote5)</v>
      </c>
      <c r="Q440" s="105"/>
      <c r="R440" s="105"/>
      <c r="S440" s="105"/>
      <c r="T440" s="105"/>
      <c r="U440" s="105"/>
      <c r="V440" s="105"/>
      <c r="W440" s="105"/>
      <c r="X440" s="105"/>
      <c r="Y440" s="105"/>
      <c r="Z440" s="105"/>
    </row>
    <row r="441">
      <c r="A441" s="105"/>
      <c r="B441" s="105" t="str">
        <f>IFERROR(__xludf.DUMMYFUNCTION("""COMPUTED_VALUE"""),"Database-related issue, GUI-related issue, Network issue, Performance issue, Permission/deprecation issue, Test code-related issue")</f>
        <v>Database-related issue, GUI-related issue, Network issue, Performance issue, Permission/deprecation issue, Test code-related issue</v>
      </c>
      <c r="C441" s="105"/>
      <c r="D441" s="105"/>
      <c r="E441" s="105"/>
      <c r="F441" s="105"/>
      <c r="G441" s="105"/>
      <c r="H441" s="105"/>
      <c r="I441" s="105"/>
      <c r="J441" s="105"/>
      <c r="K441" s="105"/>
      <c r="L441" s="105"/>
      <c r="M441" s="105"/>
      <c r="N441" s="105"/>
      <c r="O441" s="105"/>
      <c r="P441" s="105" t="str">
        <f>IFERROR(__xludf.DUMMYFUNCTION("""COMPUTED_VALUE"""),"not::approval::for::submitting::(vote6)")</f>
        <v>not::approval::for::submitting::(vote6)</v>
      </c>
      <c r="Q441" s="105"/>
      <c r="R441" s="105"/>
      <c r="S441" s="105"/>
      <c r="T441" s="105"/>
      <c r="U441" s="105"/>
      <c r="V441" s="105"/>
      <c r="W441" s="105"/>
      <c r="X441" s="105"/>
      <c r="Y441" s="105"/>
      <c r="Z441" s="105"/>
    </row>
    <row r="442">
      <c r="A442" s="105"/>
      <c r="B442" s="105" t="str">
        <f>IFERROR(__xludf.DUMMYFUNCTION("""COMPUTED_VALUE"""),"Database-related issue, GUI-related issue, Network issue, Performance issue, Program anomaly issue, Test code-related issue")</f>
        <v>Database-related issue, GUI-related issue, Network issue, Performance issue, Program anomaly issue, Test code-related issue</v>
      </c>
      <c r="C442" s="105"/>
      <c r="D442" s="105"/>
      <c r="E442" s="105"/>
      <c r="F442" s="105"/>
      <c r="G442" s="105"/>
      <c r="H442" s="105"/>
      <c r="I442" s="105"/>
      <c r="J442" s="105"/>
      <c r="K442" s="105"/>
      <c r="L442" s="105"/>
      <c r="M442" s="105"/>
      <c r="N442" s="105"/>
      <c r="O442" s="105"/>
      <c r="P442" s="105" t="str">
        <f>IFERROR(__xludf.DUMMYFUNCTION("""COMPUTED_VALUE"""),"not::approval::for::submitting::(vote7)")</f>
        <v>not::approval::for::submitting::(vote7)</v>
      </c>
      <c r="Q442" s="105"/>
      <c r="R442" s="105"/>
      <c r="S442" s="105"/>
      <c r="T442" s="105"/>
      <c r="U442" s="105"/>
      <c r="V442" s="105"/>
      <c r="W442" s="105"/>
      <c r="X442" s="105"/>
      <c r="Y442" s="105"/>
      <c r="Z442" s="105"/>
    </row>
    <row r="443">
      <c r="A443" s="105"/>
      <c r="B443" s="105" t="str">
        <f>IFERROR(__xludf.DUMMYFUNCTION("""COMPUTED_VALUE"""),"Database-related issue, GUI-related issue, Network issue, Performance issue, Security issue, Program anomaly issue")</f>
        <v>Database-related issue, GUI-related issue, Network issue, Performance issue, Security issue, Program anomaly issue</v>
      </c>
      <c r="C443" s="105"/>
      <c r="D443" s="105"/>
      <c r="E443" s="105"/>
      <c r="F443" s="105"/>
      <c r="G443" s="105"/>
      <c r="H443" s="105"/>
      <c r="I443" s="105"/>
      <c r="J443" s="105"/>
      <c r="K443" s="105"/>
      <c r="L443" s="105"/>
      <c r="M443" s="105"/>
      <c r="N443" s="105"/>
      <c r="O443" s="105"/>
      <c r="P443" s="105" t="str">
        <f>IFERROR(__xludf.DUMMYFUNCTION("""COMPUTED_VALUE"""),"not::approval::for::submitting::(vote8)")</f>
        <v>not::approval::for::submitting::(vote8)</v>
      </c>
      <c r="Q443" s="105"/>
      <c r="R443" s="105"/>
      <c r="S443" s="105"/>
      <c r="T443" s="105"/>
      <c r="U443" s="105"/>
      <c r="V443" s="105"/>
      <c r="W443" s="105"/>
      <c r="X443" s="105"/>
      <c r="Y443" s="105"/>
      <c r="Z443" s="105"/>
    </row>
    <row r="444">
      <c r="A444" s="105"/>
      <c r="B444" s="105" t="str">
        <f>IFERROR(__xludf.DUMMYFUNCTION("""COMPUTED_VALUE"""),"Database-related issue, GUI-related issue, Network issue, Performance issue, Security issue, Test code-related issue")</f>
        <v>Database-related issue, GUI-related issue, Network issue, Performance issue, Security issue, Test code-related issue</v>
      </c>
      <c r="C444" s="105"/>
      <c r="D444" s="105"/>
      <c r="E444" s="105"/>
      <c r="F444" s="105"/>
      <c r="G444" s="105"/>
      <c r="H444" s="105"/>
      <c r="I444" s="105"/>
      <c r="J444" s="105"/>
      <c r="K444" s="105"/>
      <c r="L444" s="105"/>
      <c r="M444" s="105"/>
      <c r="N444" s="105"/>
      <c r="O444" s="105"/>
      <c r="P444" s="105" t="str">
        <f>IFERROR(__xludf.DUMMYFUNCTION("""COMPUTED_VALUE"""),"not::approval::for::submitting::(vote9)")</f>
        <v>not::approval::for::submitting::(vote9)</v>
      </c>
      <c r="Q444" s="105"/>
      <c r="R444" s="105"/>
      <c r="S444" s="105"/>
      <c r="T444" s="105"/>
      <c r="U444" s="105"/>
      <c r="V444" s="105"/>
      <c r="W444" s="105"/>
      <c r="X444" s="105"/>
      <c r="Y444" s="105"/>
      <c r="Z444" s="105"/>
    </row>
    <row r="445">
      <c r="A445" s="105"/>
      <c r="B445" s="105" t="str">
        <f>IFERROR(__xludf.DUMMYFUNCTION("""COMPUTED_VALUE"""),"Database-related issue, GUI-related issue, Network issue, Permission/deprecation issue, Program anomaly issue, Test code-related issue")</f>
        <v>Database-related issue, GUI-related issue, Network issue, Permission/deprecation issue, Program anomaly issue, Test code-related issue</v>
      </c>
      <c r="C445" s="105"/>
      <c r="D445" s="105"/>
      <c r="E445" s="105"/>
      <c r="F445" s="105"/>
      <c r="G445" s="105"/>
      <c r="H445" s="105"/>
      <c r="I445" s="105"/>
      <c r="J445" s="105"/>
      <c r="K445" s="105"/>
      <c r="L445" s="105"/>
      <c r="M445" s="105"/>
      <c r="N445" s="105"/>
      <c r="O445" s="105"/>
      <c r="P445" s="105" t="str">
        <f>IFERROR(__xludf.DUMMYFUNCTION("""COMPUTED_VALUE"""),"not::approval::for::submitting::(with::reasons)1")</f>
        <v>not::approval::for::submitting::(with::reasons)1</v>
      </c>
      <c r="Q445" s="105"/>
      <c r="R445" s="105"/>
      <c r="S445" s="105"/>
      <c r="T445" s="105"/>
      <c r="U445" s="105"/>
      <c r="V445" s="105"/>
      <c r="W445" s="105"/>
      <c r="X445" s="105"/>
      <c r="Y445" s="105"/>
      <c r="Z445" s="105"/>
    </row>
    <row r="446">
      <c r="A446" s="105"/>
      <c r="B446" s="105" t="str">
        <f>IFERROR(__xludf.DUMMYFUNCTION("""COMPUTED_VALUE"""),"Database-related issue, GUI-related issue, Network issue, Permission/deprecation issue, Security issue, Program anomaly issue")</f>
        <v>Database-related issue, GUI-related issue, Network issue, Permission/deprecation issue, Security issue, Program anomaly issue</v>
      </c>
      <c r="C446" s="105"/>
      <c r="D446" s="105"/>
      <c r="E446" s="105"/>
      <c r="F446" s="105"/>
      <c r="G446" s="105"/>
      <c r="H446" s="105"/>
      <c r="I446" s="105"/>
      <c r="J446" s="105"/>
      <c r="K446" s="105"/>
      <c r="L446" s="105"/>
      <c r="M446" s="105"/>
      <c r="N446" s="105"/>
      <c r="O446" s="105"/>
      <c r="P446" s="105" t="str">
        <f>IFERROR(__xludf.DUMMYFUNCTION("""COMPUTED_VALUE"""),"not::approval::for::submitting::(with::reasons)2")</f>
        <v>not::approval::for::submitting::(with::reasons)2</v>
      </c>
      <c r="Q446" s="105"/>
      <c r="R446" s="105"/>
      <c r="S446" s="105"/>
      <c r="T446" s="105"/>
      <c r="U446" s="105"/>
      <c r="V446" s="105"/>
      <c r="W446" s="105"/>
      <c r="X446" s="105"/>
      <c r="Y446" s="105"/>
      <c r="Z446" s="105"/>
    </row>
    <row r="447">
      <c r="A447" s="105"/>
      <c r="B447" s="105" t="str">
        <f>IFERROR(__xludf.DUMMYFUNCTION("""COMPUTED_VALUE"""),"Database-related issue, GUI-related issue, Network issue, Permission/deprecation issue, Security issue, Test code-related issue")</f>
        <v>Database-related issue, GUI-related issue, Network issue, Permission/deprecation issue, Security issue, Test code-related issue</v>
      </c>
      <c r="C447" s="105"/>
      <c r="D447" s="105"/>
      <c r="E447" s="105"/>
      <c r="F447" s="105"/>
      <c r="G447" s="105"/>
      <c r="H447" s="105"/>
      <c r="I447" s="105"/>
      <c r="J447" s="105"/>
      <c r="K447" s="105"/>
      <c r="L447" s="105"/>
      <c r="M447" s="105"/>
      <c r="N447" s="105"/>
      <c r="O447" s="105"/>
      <c r="P447" s="105" t="str">
        <f>IFERROR(__xludf.DUMMYFUNCTION("""COMPUTED_VALUE"""),"not::approval::for::submitting::(with::reasons)8")</f>
        <v>not::approval::for::submitting::(with::reasons)8</v>
      </c>
      <c r="Q447" s="105"/>
      <c r="R447" s="105"/>
      <c r="S447" s="105"/>
      <c r="T447" s="105"/>
      <c r="U447" s="105"/>
      <c r="V447" s="105"/>
      <c r="W447" s="105"/>
      <c r="X447" s="105"/>
      <c r="Y447" s="105"/>
      <c r="Z447" s="105"/>
    </row>
    <row r="448">
      <c r="A448" s="105"/>
      <c r="B448" s="105" t="str">
        <f>IFERROR(__xludf.DUMMYFUNCTION("""COMPUTED_VALUE"""),"Database-related issue, GUI-related issue, Network issue, Security issue, Program anomaly issue, Test code-related issue")</f>
        <v>Database-related issue, GUI-related issue, Network issue, Security issue, Program anomaly issue, Test code-related issue</v>
      </c>
      <c r="C448" s="105"/>
      <c r="D448" s="105"/>
      <c r="E448" s="105"/>
      <c r="F448" s="105"/>
      <c r="G448" s="105"/>
      <c r="H448" s="105"/>
      <c r="I448" s="105"/>
      <c r="J448" s="105"/>
      <c r="K448" s="105"/>
      <c r="L448" s="105"/>
      <c r="M448" s="105"/>
      <c r="N448" s="105"/>
      <c r="O448" s="105"/>
      <c r="P448" s="105" t="str">
        <f>IFERROR(__xludf.DUMMYFUNCTION("""COMPUTED_VALUE"""),"not::approval::for::submitting::core::rev::(vote1)")</f>
        <v>not::approval::for::submitting::core::rev::(vote1)</v>
      </c>
      <c r="Q448" s="105"/>
      <c r="R448" s="105"/>
      <c r="S448" s="105"/>
      <c r="T448" s="105"/>
      <c r="U448" s="105"/>
      <c r="V448" s="105"/>
      <c r="W448" s="105"/>
      <c r="X448" s="105"/>
      <c r="Y448" s="105"/>
      <c r="Z448" s="105"/>
    </row>
    <row r="449">
      <c r="A449" s="105"/>
      <c r="B449" s="105" t="str">
        <f>IFERROR(__xludf.DUMMYFUNCTION("""COMPUTED_VALUE"""),"Database-related issue, GUI-related issue, Performance issue, Permission/deprecation issue, Program anomaly issue, Test code-related issue")</f>
        <v>Database-related issue, GUI-related issue, Performance issue, Permission/deprecation issue, Program anomaly issue, Test code-related issue</v>
      </c>
      <c r="C449" s="105"/>
      <c r="D449" s="105"/>
      <c r="E449" s="105"/>
      <c r="F449" s="105"/>
      <c r="G449" s="105"/>
      <c r="H449" s="105"/>
      <c r="I449" s="105"/>
      <c r="J449" s="105"/>
      <c r="K449" s="105"/>
      <c r="L449" s="105"/>
      <c r="M449" s="105"/>
      <c r="N449" s="105"/>
      <c r="O449" s="105"/>
      <c r="P449" s="105" t="str">
        <f>IFERROR(__xludf.DUMMYFUNCTION("""COMPUTED_VALUE"""),"not::approval::for::submitting::core::rev::(vote4)")</f>
        <v>not::approval::for::submitting::core::rev::(vote4)</v>
      </c>
      <c r="Q449" s="105"/>
      <c r="R449" s="105"/>
      <c r="S449" s="105"/>
      <c r="T449" s="105"/>
      <c r="U449" s="105"/>
      <c r="V449" s="105"/>
      <c r="W449" s="105"/>
      <c r="X449" s="105"/>
      <c r="Y449" s="105"/>
      <c r="Z449" s="105"/>
    </row>
    <row r="450">
      <c r="A450" s="105"/>
      <c r="B450" s="105" t="str">
        <f>IFERROR(__xludf.DUMMYFUNCTION("""COMPUTED_VALUE"""),"Database-related issue, GUI-related issue, Performance issue, Permission/deprecation issue, Security issue, Program anomaly issue")</f>
        <v>Database-related issue, GUI-related issue, Performance issue, Permission/deprecation issue, Security issue, Program anomaly issue</v>
      </c>
      <c r="C450" s="105"/>
      <c r="D450" s="105"/>
      <c r="E450" s="105"/>
      <c r="F450" s="105"/>
      <c r="G450" s="105"/>
      <c r="H450" s="105"/>
      <c r="I450" s="105"/>
      <c r="J450" s="105"/>
      <c r="K450" s="105"/>
      <c r="L450" s="105"/>
      <c r="M450" s="105"/>
      <c r="N450" s="105"/>
      <c r="O450" s="105"/>
      <c r="P450" s="105" t="str">
        <f>IFERROR(__xludf.DUMMYFUNCTION("""COMPUTED_VALUE"""),"not::approval::for::submitting::core::rev::(vote5)")</f>
        <v>not::approval::for::submitting::core::rev::(vote5)</v>
      </c>
      <c r="Q450" s="105"/>
      <c r="R450" s="105"/>
      <c r="S450" s="105"/>
      <c r="T450" s="105"/>
      <c r="U450" s="105"/>
      <c r="V450" s="105"/>
      <c r="W450" s="105"/>
      <c r="X450" s="105"/>
      <c r="Y450" s="105"/>
      <c r="Z450" s="105"/>
    </row>
    <row r="451">
      <c r="A451" s="105"/>
      <c r="B451" s="105" t="str">
        <f>IFERROR(__xludf.DUMMYFUNCTION("""COMPUTED_VALUE"""),"Database-related issue, GUI-related issue, Performance issue, Permission/deprecation issue, Security issue, Test code-related issue")</f>
        <v>Database-related issue, GUI-related issue, Performance issue, Permission/deprecation issue, Security issue, Test code-related issue</v>
      </c>
      <c r="C451" s="105"/>
      <c r="D451" s="105"/>
      <c r="E451" s="105"/>
      <c r="F451" s="105"/>
      <c r="G451" s="105"/>
      <c r="H451" s="105"/>
      <c r="I451" s="105"/>
      <c r="J451" s="105"/>
      <c r="K451" s="105"/>
      <c r="L451" s="105"/>
      <c r="M451" s="105"/>
      <c r="N451" s="105"/>
      <c r="O451" s="105"/>
      <c r="P451" s="105" t="str">
        <f>IFERROR(__xludf.DUMMYFUNCTION("""COMPUTED_VALUE"""),"not::approval::for::submitting::core::rev::(vote6)")</f>
        <v>not::approval::for::submitting::core::rev::(vote6)</v>
      </c>
      <c r="Q451" s="105"/>
      <c r="R451" s="105"/>
      <c r="S451" s="105"/>
      <c r="T451" s="105"/>
      <c r="U451" s="105"/>
      <c r="V451" s="105"/>
      <c r="W451" s="105"/>
      <c r="X451" s="105"/>
      <c r="Y451" s="105"/>
      <c r="Z451" s="105"/>
    </row>
    <row r="452">
      <c r="A452" s="105"/>
      <c r="B452" s="105" t="str">
        <f>IFERROR(__xludf.DUMMYFUNCTION("""COMPUTED_VALUE"""),"Database-related issue, GUI-related issue, Performance issue, Security issue, Program anomaly issue, Test code-related issue")</f>
        <v>Database-related issue, GUI-related issue, Performance issue, Security issue, Program anomaly issue, Test code-related issue</v>
      </c>
      <c r="C452" s="105"/>
      <c r="D452" s="105"/>
      <c r="E452" s="105"/>
      <c r="F452" s="105"/>
      <c r="G452" s="105"/>
      <c r="H452" s="105"/>
      <c r="I452" s="105"/>
      <c r="J452" s="105"/>
      <c r="K452" s="105"/>
      <c r="L452" s="105"/>
      <c r="M452" s="105"/>
      <c r="N452" s="105"/>
      <c r="O452" s="105"/>
      <c r="P452" s="105" t="str">
        <f>IFERROR(__xludf.DUMMYFUNCTION("""COMPUTED_VALUE"""),"not::approval::for::submitting::core::rev1")</f>
        <v>not::approval::for::submitting::core::rev1</v>
      </c>
      <c r="Q452" s="105"/>
      <c r="R452" s="105"/>
      <c r="S452" s="105"/>
      <c r="T452" s="105"/>
      <c r="U452" s="105"/>
      <c r="V452" s="105"/>
      <c r="W452" s="105"/>
      <c r="X452" s="105"/>
      <c r="Y452" s="105"/>
      <c r="Z452" s="105"/>
    </row>
    <row r="453">
      <c r="A453" s="105"/>
      <c r="B453" s="105" t="str">
        <f>IFERROR(__xludf.DUMMYFUNCTION("""COMPUTED_VALUE"""),"Database-related issue, GUI-related issue, Permission/deprecation issue, Security issue, Program anomaly issue, Test code-related issue")</f>
        <v>Database-related issue, GUI-related issue, Permission/deprecation issue, Security issue, Program anomaly issue, Test code-related issue</v>
      </c>
      <c r="C453" s="105"/>
      <c r="D453" s="105"/>
      <c r="E453" s="105"/>
      <c r="F453" s="105"/>
      <c r="G453" s="105"/>
      <c r="H453" s="105"/>
      <c r="I453" s="105"/>
      <c r="J453" s="105"/>
      <c r="K453" s="105"/>
      <c r="L453" s="105"/>
      <c r="M453" s="105"/>
      <c r="N453" s="105"/>
      <c r="O453" s="105"/>
      <c r="P453" s="105" t="str">
        <f>IFERROR(__xludf.DUMMYFUNCTION("""COMPUTED_VALUE"""),"not::approval::for::submitting1")</f>
        <v>not::approval::for::submitting1</v>
      </c>
      <c r="Q453" s="105"/>
      <c r="R453" s="105"/>
      <c r="S453" s="105"/>
      <c r="T453" s="105"/>
      <c r="U453" s="105"/>
      <c r="V453" s="105"/>
      <c r="W453" s="105"/>
      <c r="X453" s="105"/>
      <c r="Y453" s="105"/>
      <c r="Z453" s="105"/>
    </row>
    <row r="454">
      <c r="A454" s="105"/>
      <c r="B454" s="105" t="str">
        <f>IFERROR(__xludf.DUMMYFUNCTION("""COMPUTED_VALUE"""),"Database-related issue, Network issue, Performance issue, Permission/deprecation issue, Program anomaly issue, Test code-related issue")</f>
        <v>Database-related issue, Network issue, Performance issue, Permission/deprecation issue, Program anomaly issue, Test code-related issue</v>
      </c>
      <c r="C454" s="105"/>
      <c r="D454" s="105"/>
      <c r="E454" s="105"/>
      <c r="F454" s="105"/>
      <c r="G454" s="105"/>
      <c r="H454" s="105"/>
      <c r="I454" s="105"/>
      <c r="J454" s="105"/>
      <c r="K454" s="105"/>
      <c r="L454" s="105"/>
      <c r="M454" s="105"/>
      <c r="N454" s="105"/>
      <c r="O454" s="105"/>
      <c r="P454" s="105" t="str">
        <f>IFERROR(__xludf.DUMMYFUNCTION("""COMPUTED_VALUE"""),"not::approval::for::submitting10")</f>
        <v>not::approval::for::submitting10</v>
      </c>
      <c r="Q454" s="105"/>
      <c r="R454" s="105"/>
      <c r="S454" s="105"/>
      <c r="T454" s="105"/>
      <c r="U454" s="105"/>
      <c r="V454" s="105"/>
      <c r="W454" s="105"/>
      <c r="X454" s="105"/>
      <c r="Y454" s="105"/>
      <c r="Z454" s="105"/>
    </row>
    <row r="455">
      <c r="A455" s="105"/>
      <c r="B455" s="105" t="str">
        <f>IFERROR(__xludf.DUMMYFUNCTION("""COMPUTED_VALUE"""),"Database-related issue, Network issue, Performance issue, Permission/deprecation issue, Security issue, Program anomaly issue")</f>
        <v>Database-related issue, Network issue, Performance issue, Permission/deprecation issue, Security issue, Program anomaly issue</v>
      </c>
      <c r="C455" s="105"/>
      <c r="D455" s="105"/>
      <c r="E455" s="105"/>
      <c r="F455" s="105"/>
      <c r="G455" s="105"/>
      <c r="H455" s="105"/>
      <c r="I455" s="105"/>
      <c r="J455" s="105"/>
      <c r="K455" s="105"/>
      <c r="L455" s="105"/>
      <c r="M455" s="105"/>
      <c r="N455" s="105"/>
      <c r="O455" s="105"/>
      <c r="P455" s="105" t="str">
        <f>IFERROR(__xludf.DUMMYFUNCTION("""COMPUTED_VALUE"""),"not::approval::for::submitting11")</f>
        <v>not::approval::for::submitting11</v>
      </c>
      <c r="Q455" s="105"/>
      <c r="R455" s="105"/>
      <c r="S455" s="105"/>
      <c r="T455" s="105"/>
      <c r="U455" s="105"/>
      <c r="V455" s="105"/>
      <c r="W455" s="105"/>
      <c r="X455" s="105"/>
      <c r="Y455" s="105"/>
      <c r="Z455" s="105"/>
    </row>
    <row r="456">
      <c r="A456" s="105"/>
      <c r="B456" s="105" t="str">
        <f>IFERROR(__xludf.DUMMYFUNCTION("""COMPUTED_VALUE"""),"Database-related issue, Network issue, Performance issue, Permission/deprecation issue, Security issue, Test code-related issue")</f>
        <v>Database-related issue, Network issue, Performance issue, Permission/deprecation issue, Security issue, Test code-related issue</v>
      </c>
      <c r="C456" s="105"/>
      <c r="D456" s="105"/>
      <c r="E456" s="105"/>
      <c r="F456" s="105"/>
      <c r="G456" s="105"/>
      <c r="H456" s="105"/>
      <c r="I456" s="105"/>
      <c r="J456" s="105"/>
      <c r="K456" s="105"/>
      <c r="L456" s="105"/>
      <c r="M456" s="105"/>
      <c r="N456" s="105"/>
      <c r="O456" s="105"/>
      <c r="P456" s="105" t="str">
        <f>IFERROR(__xludf.DUMMYFUNCTION("""COMPUTED_VALUE"""),"not::approval::for::submitting12")</f>
        <v>not::approval::for::submitting12</v>
      </c>
      <c r="Q456" s="105"/>
      <c r="R456" s="105"/>
      <c r="S456" s="105"/>
      <c r="T456" s="105"/>
      <c r="U456" s="105"/>
      <c r="V456" s="105"/>
      <c r="W456" s="105"/>
      <c r="X456" s="105"/>
      <c r="Y456" s="105"/>
      <c r="Z456" s="105"/>
    </row>
    <row r="457">
      <c r="A457" s="105"/>
      <c r="B457" s="105" t="str">
        <f>IFERROR(__xludf.DUMMYFUNCTION("""COMPUTED_VALUE"""),"Database-related issue, Network issue, Performance issue, Security issue, Program anomaly issue, Test code-related issue")</f>
        <v>Database-related issue, Network issue, Performance issue, Security issue, Program anomaly issue, Test code-related issue</v>
      </c>
      <c r="C457" s="105"/>
      <c r="D457" s="105"/>
      <c r="E457" s="105"/>
      <c r="F457" s="105"/>
      <c r="G457" s="105"/>
      <c r="H457" s="105"/>
      <c r="I457" s="105"/>
      <c r="J457" s="105"/>
      <c r="K457" s="105"/>
      <c r="L457" s="105"/>
      <c r="M457" s="105"/>
      <c r="N457" s="105"/>
      <c r="O457" s="105"/>
      <c r="P457" s="105" t="str">
        <f>IFERROR(__xludf.DUMMYFUNCTION("""COMPUTED_VALUE"""),"not::approval::for::submitting13")</f>
        <v>not::approval::for::submitting13</v>
      </c>
      <c r="Q457" s="105"/>
      <c r="R457" s="105"/>
      <c r="S457" s="105"/>
      <c r="T457" s="105"/>
      <c r="U457" s="105"/>
      <c r="V457" s="105"/>
      <c r="W457" s="105"/>
      <c r="X457" s="105"/>
      <c r="Y457" s="105"/>
      <c r="Z457" s="105"/>
    </row>
    <row r="458">
      <c r="A458" s="105"/>
      <c r="B458" s="105" t="str">
        <f>IFERROR(__xludf.DUMMYFUNCTION("""COMPUTED_VALUE"""),"Database-related issue, Network issue, Permission/deprecation issue, Security issue, Program anomaly issue, Test code-related issue")</f>
        <v>Database-related issue, Network issue, Permission/deprecation issue, Security issue, Program anomaly issue, Test code-related issue</v>
      </c>
      <c r="C458" s="105"/>
      <c r="D458" s="105"/>
      <c r="E458" s="105"/>
      <c r="F458" s="105"/>
      <c r="G458" s="105"/>
      <c r="H458" s="105"/>
      <c r="I458" s="105"/>
      <c r="J458" s="105"/>
      <c r="K458" s="105"/>
      <c r="L458" s="105"/>
      <c r="M458" s="105"/>
      <c r="N458" s="105"/>
      <c r="O458" s="105"/>
      <c r="P458" s="105" t="str">
        <f>IFERROR(__xludf.DUMMYFUNCTION("""COMPUTED_VALUE"""),"not::approval::for::submitting14")</f>
        <v>not::approval::for::submitting14</v>
      </c>
      <c r="Q458" s="105"/>
      <c r="R458" s="105"/>
      <c r="S458" s="105"/>
      <c r="T458" s="105"/>
      <c r="U458" s="105"/>
      <c r="V458" s="105"/>
      <c r="W458" s="105"/>
      <c r="X458" s="105"/>
      <c r="Y458" s="105"/>
      <c r="Z458" s="105"/>
    </row>
    <row r="459">
      <c r="A459" s="105"/>
      <c r="B459" s="105" t="str">
        <f>IFERROR(__xludf.DUMMYFUNCTION("""COMPUTED_VALUE"""),"Database-related issue, Performance issue, Permission/deprecation issue, Security issue, Program anomaly issue, Test code-related issue")</f>
        <v>Database-related issue, Performance issue, Permission/deprecation issue, Security issue, Program anomaly issue, Test code-related issue</v>
      </c>
      <c r="C459" s="105"/>
      <c r="D459" s="105"/>
      <c r="E459" s="105"/>
      <c r="F459" s="105"/>
      <c r="G459" s="105"/>
      <c r="H459" s="105"/>
      <c r="I459" s="105"/>
      <c r="J459" s="105"/>
      <c r="K459" s="105"/>
      <c r="L459" s="105"/>
      <c r="M459" s="105"/>
      <c r="N459" s="105"/>
      <c r="O459" s="105"/>
      <c r="P459" s="105" t="str">
        <f>IFERROR(__xludf.DUMMYFUNCTION("""COMPUTED_VALUE"""),"not::approval::for::submitting15")</f>
        <v>not::approval::for::submitting15</v>
      </c>
      <c r="Q459" s="105"/>
      <c r="R459" s="105"/>
      <c r="S459" s="105"/>
      <c r="T459" s="105"/>
      <c r="U459" s="105"/>
      <c r="V459" s="105"/>
      <c r="W459" s="105"/>
      <c r="X459" s="105"/>
      <c r="Y459" s="105"/>
      <c r="Z459" s="105"/>
    </row>
    <row r="460">
      <c r="A460" s="105"/>
      <c r="B460" s="105" t="str">
        <f>IFERROR(__xludf.DUMMYFUNCTION("""COMPUTED_VALUE"""),"GUI-related issue, Network issue, Performance issue, Permission/deprecation issue, Program anomaly issue, Test code-related issue")</f>
        <v>GUI-related issue, Network issue, Performance issue, Permission/deprecation issue, Program anomaly issue, Test code-related issue</v>
      </c>
      <c r="C460" s="105"/>
      <c r="D460" s="105"/>
      <c r="E460" s="105"/>
      <c r="F460" s="105"/>
      <c r="G460" s="105"/>
      <c r="H460" s="105"/>
      <c r="I460" s="105"/>
      <c r="J460" s="105"/>
      <c r="K460" s="105"/>
      <c r="L460" s="105"/>
      <c r="M460" s="105"/>
      <c r="N460" s="105"/>
      <c r="O460" s="105"/>
      <c r="P460" s="105" t="str">
        <f>IFERROR(__xludf.DUMMYFUNCTION("""COMPUTED_VALUE"""),"not::approval::for::submitting16")</f>
        <v>not::approval::for::submitting16</v>
      </c>
      <c r="Q460" s="105"/>
      <c r="R460" s="105"/>
      <c r="S460" s="105"/>
      <c r="T460" s="105"/>
      <c r="U460" s="105"/>
      <c r="V460" s="105"/>
      <c r="W460" s="105"/>
      <c r="X460" s="105"/>
      <c r="Y460" s="105"/>
      <c r="Z460" s="105"/>
    </row>
    <row r="461">
      <c r="A461" s="105"/>
      <c r="B461" s="105" t="str">
        <f>IFERROR(__xludf.DUMMYFUNCTION("""COMPUTED_VALUE"""),"GUI-related issue, Network issue, Performance issue, Permission/deprecation issue, Security issue, Program anomaly issue")</f>
        <v>GUI-related issue, Network issue, Performance issue, Permission/deprecation issue, Security issue, Program anomaly issue</v>
      </c>
      <c r="C461" s="105"/>
      <c r="D461" s="105"/>
      <c r="E461" s="105"/>
      <c r="F461" s="105"/>
      <c r="G461" s="105"/>
      <c r="H461" s="105"/>
      <c r="I461" s="105"/>
      <c r="J461" s="105"/>
      <c r="K461" s="105"/>
      <c r="L461" s="105"/>
      <c r="M461" s="105"/>
      <c r="N461" s="105"/>
      <c r="O461" s="105"/>
      <c r="P461" s="105" t="str">
        <f>IFERROR(__xludf.DUMMYFUNCTION("""COMPUTED_VALUE"""),"not::approval::for::submitting17")</f>
        <v>not::approval::for::submitting17</v>
      </c>
      <c r="Q461" s="105"/>
      <c r="R461" s="105"/>
      <c r="S461" s="105"/>
      <c r="T461" s="105"/>
      <c r="U461" s="105"/>
      <c r="V461" s="105"/>
      <c r="W461" s="105"/>
      <c r="X461" s="105"/>
      <c r="Y461" s="105"/>
      <c r="Z461" s="105"/>
    </row>
    <row r="462">
      <c r="A462" s="105"/>
      <c r="B462" s="105" t="str">
        <f>IFERROR(__xludf.DUMMYFUNCTION("""COMPUTED_VALUE"""),"GUI-related issue, Network issue, Performance issue, Permission/deprecation issue, Security issue, Test code-related issue")</f>
        <v>GUI-related issue, Network issue, Performance issue, Permission/deprecation issue, Security issue, Test code-related issue</v>
      </c>
      <c r="C462" s="105"/>
      <c r="D462" s="105"/>
      <c r="E462" s="105"/>
      <c r="F462" s="105"/>
      <c r="G462" s="105"/>
      <c r="H462" s="105"/>
      <c r="I462" s="105"/>
      <c r="J462" s="105"/>
      <c r="K462" s="105"/>
      <c r="L462" s="105"/>
      <c r="M462" s="105"/>
      <c r="N462" s="105"/>
      <c r="O462" s="105"/>
      <c r="P462" s="105" t="str">
        <f>IFERROR(__xludf.DUMMYFUNCTION("""COMPUTED_VALUE"""),"not::approval::for::submitting18")</f>
        <v>not::approval::for::submitting18</v>
      </c>
      <c r="Q462" s="105"/>
      <c r="R462" s="105"/>
      <c r="S462" s="105"/>
      <c r="T462" s="105"/>
      <c r="U462" s="105"/>
      <c r="V462" s="105"/>
      <c r="W462" s="105"/>
      <c r="X462" s="105"/>
      <c r="Y462" s="105"/>
      <c r="Z462" s="105"/>
    </row>
    <row r="463">
      <c r="A463" s="105"/>
      <c r="B463" s="105" t="str">
        <f>IFERROR(__xludf.DUMMYFUNCTION("""COMPUTED_VALUE"""),"GUI-related issue, Network issue, Performance issue, Security issue, Program anomaly issue, Test code-related issue")</f>
        <v>GUI-related issue, Network issue, Performance issue, Security issue, Program anomaly issue, Test code-related issue</v>
      </c>
      <c r="C463" s="105"/>
      <c r="D463" s="105"/>
      <c r="E463" s="105"/>
      <c r="F463" s="105"/>
      <c r="G463" s="105"/>
      <c r="H463" s="105"/>
      <c r="I463" s="105"/>
      <c r="J463" s="105"/>
      <c r="K463" s="105"/>
      <c r="L463" s="105"/>
      <c r="M463" s="105"/>
      <c r="N463" s="105"/>
      <c r="O463" s="105"/>
      <c r="P463" s="105" t="str">
        <f>IFERROR(__xludf.DUMMYFUNCTION("""COMPUTED_VALUE"""),"not::approval::for::submitting19")</f>
        <v>not::approval::for::submitting19</v>
      </c>
      <c r="Q463" s="105"/>
      <c r="R463" s="105"/>
      <c r="S463" s="105"/>
      <c r="T463" s="105"/>
      <c r="U463" s="105"/>
      <c r="V463" s="105"/>
      <c r="W463" s="105"/>
      <c r="X463" s="105"/>
      <c r="Y463" s="105"/>
      <c r="Z463" s="105"/>
    </row>
    <row r="464">
      <c r="A464" s="105"/>
      <c r="B464" s="105" t="str">
        <f>IFERROR(__xludf.DUMMYFUNCTION("""COMPUTED_VALUE"""),"GUI-related issue, Network issue, Permission/deprecation issue, Security issue, Program anomaly issue, Test code-related issue")</f>
        <v>GUI-related issue, Network issue, Permission/deprecation issue, Security issue, Program anomaly issue, Test code-related issue</v>
      </c>
      <c r="C464" s="105"/>
      <c r="D464" s="105"/>
      <c r="E464" s="105"/>
      <c r="F464" s="105"/>
      <c r="G464" s="105"/>
      <c r="H464" s="105"/>
      <c r="I464" s="105"/>
      <c r="J464" s="105"/>
      <c r="K464" s="105"/>
      <c r="L464" s="105"/>
      <c r="M464" s="105"/>
      <c r="N464" s="105"/>
      <c r="O464" s="105"/>
      <c r="P464" s="105" t="str">
        <f>IFERROR(__xludf.DUMMYFUNCTION("""COMPUTED_VALUE"""),"not::approval::for::submitting2")</f>
        <v>not::approval::for::submitting2</v>
      </c>
      <c r="Q464" s="105"/>
      <c r="R464" s="105"/>
      <c r="S464" s="105"/>
      <c r="T464" s="105"/>
      <c r="U464" s="105"/>
      <c r="V464" s="105"/>
      <c r="W464" s="105"/>
      <c r="X464" s="105"/>
      <c r="Y464" s="105"/>
      <c r="Z464" s="105"/>
    </row>
    <row r="465">
      <c r="A465" s="105"/>
      <c r="B465" s="105" t="str">
        <f>IFERROR(__xludf.DUMMYFUNCTION("""COMPUTED_VALUE"""),"GUI-related issue, Performance issue, Permission/deprecation issue, Security issue, Program anomaly issue, Test code-related issue")</f>
        <v>GUI-related issue, Performance issue, Permission/deprecation issue, Security issue, Program anomaly issue, Test code-related issue</v>
      </c>
      <c r="C465" s="105"/>
      <c r="D465" s="105"/>
      <c r="E465" s="105"/>
      <c r="F465" s="105"/>
      <c r="G465" s="105"/>
      <c r="H465" s="105"/>
      <c r="I465" s="105"/>
      <c r="J465" s="105"/>
      <c r="K465" s="105"/>
      <c r="L465" s="105"/>
      <c r="M465" s="105"/>
      <c r="N465" s="105"/>
      <c r="O465" s="105"/>
      <c r="P465" s="105" t="str">
        <f>IFERROR(__xludf.DUMMYFUNCTION("""COMPUTED_VALUE"""),"not::approval::for::submitting20")</f>
        <v>not::approval::for::submitting20</v>
      </c>
      <c r="Q465" s="105"/>
      <c r="R465" s="105"/>
      <c r="S465" s="105"/>
      <c r="T465" s="105"/>
      <c r="U465" s="105"/>
      <c r="V465" s="105"/>
      <c r="W465" s="105"/>
      <c r="X465" s="105"/>
      <c r="Y465" s="105"/>
      <c r="Z465" s="105"/>
    </row>
    <row r="466">
      <c r="A466" s="105"/>
      <c r="B466" s="105" t="str">
        <f>IFERROR(__xludf.DUMMYFUNCTION("""COMPUTED_VALUE"""),"Network issue, Performance issue, Permission/deprecation issue, Security issue, Program anomaly issue, Test code-related issue")</f>
        <v>Network issue, Performance issue, Permission/deprecation issue, Security issue, Program anomaly issue, Test code-related issue</v>
      </c>
      <c r="C466" s="105"/>
      <c r="D466" s="105"/>
      <c r="E466" s="105"/>
      <c r="F466" s="105"/>
      <c r="G466" s="105"/>
      <c r="H466" s="105"/>
      <c r="I466" s="105"/>
      <c r="J466" s="105"/>
      <c r="K466" s="105"/>
      <c r="L466" s="105"/>
      <c r="M466" s="105"/>
      <c r="N466" s="105"/>
      <c r="O466" s="105"/>
      <c r="P466" s="105" t="str">
        <f>IFERROR(__xludf.DUMMYFUNCTION("""COMPUTED_VALUE"""),"not::approval::for::submitting21")</f>
        <v>not::approval::for::submitting21</v>
      </c>
      <c r="Q466" s="105"/>
      <c r="R466" s="105"/>
      <c r="S466" s="105"/>
      <c r="T466" s="105"/>
      <c r="U466" s="105"/>
      <c r="V466" s="105"/>
      <c r="W466" s="105"/>
      <c r="X466" s="105"/>
      <c r="Y466" s="105"/>
      <c r="Z466" s="105"/>
    </row>
    <row r="467">
      <c r="A467" s="105"/>
      <c r="B467" s="105" t="str">
        <f>IFERROR(__xludf.DUMMYFUNCTION("""COMPUTED_VALUE"""),"Configuration issue, Database-related issue, GUI-related issue, Network issue, Performance issue, Permission/deprecation issue, Program anomaly issue")</f>
        <v>Configuration issue, Database-related issue, GUI-related issue, Network issue, Performance issue, Permission/deprecation issue, Program anomaly issue</v>
      </c>
      <c r="C467" s="105"/>
      <c r="D467" s="105"/>
      <c r="E467" s="105"/>
      <c r="F467" s="105"/>
      <c r="G467" s="105"/>
      <c r="H467" s="105"/>
      <c r="I467" s="105"/>
      <c r="J467" s="105"/>
      <c r="K467" s="105"/>
      <c r="L467" s="105"/>
      <c r="M467" s="105"/>
      <c r="N467" s="105"/>
      <c r="O467" s="105"/>
      <c r="P467" s="105" t="str">
        <f>IFERROR(__xludf.DUMMYFUNCTION("""COMPUTED_VALUE"""),"not::approval::for::submitting22")</f>
        <v>not::approval::for::submitting22</v>
      </c>
      <c r="Q467" s="105"/>
      <c r="R467" s="105"/>
      <c r="S467" s="105"/>
      <c r="T467" s="105"/>
      <c r="U467" s="105"/>
      <c r="V467" s="105"/>
      <c r="W467" s="105"/>
      <c r="X467" s="105"/>
      <c r="Y467" s="105"/>
      <c r="Z467" s="105"/>
    </row>
    <row r="468">
      <c r="A468" s="105"/>
      <c r="B468" s="105" t="str">
        <f>IFERROR(__xludf.DUMMYFUNCTION("""COMPUTED_VALUE"""),"Configuration issue, Database-related issue, GUI-related issue, Network issue, Performance issue, Permission/deprecation issue, Security issue")</f>
        <v>Configuration issue, Database-related issue, GUI-related issue, Network issue, Performance issue, Permission/deprecation issue, Security issue</v>
      </c>
      <c r="C468" s="105"/>
      <c r="D468" s="105"/>
      <c r="E468" s="105"/>
      <c r="F468" s="105"/>
      <c r="G468" s="105"/>
      <c r="H468" s="105"/>
      <c r="I468" s="105"/>
      <c r="J468" s="105"/>
      <c r="K468" s="105"/>
      <c r="L468" s="105"/>
      <c r="M468" s="105"/>
      <c r="N468" s="105"/>
      <c r="O468" s="105"/>
      <c r="P468" s="105" t="str">
        <f>IFERROR(__xludf.DUMMYFUNCTION("""COMPUTED_VALUE"""),"not::approval::for::submitting23")</f>
        <v>not::approval::for::submitting23</v>
      </c>
      <c r="Q468" s="105"/>
      <c r="R468" s="105"/>
      <c r="S468" s="105"/>
      <c r="T468" s="105"/>
      <c r="U468" s="105"/>
      <c r="V468" s="105"/>
      <c r="W468" s="105"/>
      <c r="X468" s="105"/>
      <c r="Y468" s="105"/>
      <c r="Z468" s="105"/>
    </row>
    <row r="469">
      <c r="A469" s="105"/>
      <c r="B469" s="105" t="str">
        <f>IFERROR(__xludf.DUMMYFUNCTION("""COMPUTED_VALUE"""),"Configuration issue, Database-related issue, GUI-related issue, Network issue, Performance issue, Permission/deprecation issue, Test code-related issue")</f>
        <v>Configuration issue, Database-related issue, GUI-related issue, Network issue, Performance issue, Permission/deprecation issue, Test code-related issue</v>
      </c>
      <c r="C469" s="105"/>
      <c r="D469" s="105"/>
      <c r="E469" s="105"/>
      <c r="F469" s="105"/>
      <c r="G469" s="105"/>
      <c r="H469" s="105"/>
      <c r="I469" s="105"/>
      <c r="J469" s="105"/>
      <c r="K469" s="105"/>
      <c r="L469" s="105"/>
      <c r="M469" s="105"/>
      <c r="N469" s="105"/>
      <c r="O469" s="105"/>
      <c r="P469" s="105" t="str">
        <f>IFERROR(__xludf.DUMMYFUNCTION("""COMPUTED_VALUE"""),"not::approval::for::submitting24")</f>
        <v>not::approval::for::submitting24</v>
      </c>
      <c r="Q469" s="105"/>
      <c r="R469" s="105"/>
      <c r="S469" s="105"/>
      <c r="T469" s="105"/>
      <c r="U469" s="105"/>
      <c r="V469" s="105"/>
      <c r="W469" s="105"/>
      <c r="X469" s="105"/>
      <c r="Y469" s="105"/>
      <c r="Z469" s="105"/>
    </row>
    <row r="470">
      <c r="A470" s="105"/>
      <c r="B470" s="105" t="str">
        <f>IFERROR(__xludf.DUMMYFUNCTION("""COMPUTED_VALUE"""),"Configuration issue, Database-related issue, GUI-related issue, Network issue, Performance issue, Program anomaly issue, Test code-related issue")</f>
        <v>Configuration issue, Database-related issue, GUI-related issue, Network issue, Performance issue, Program anomaly issue, Test code-related issue</v>
      </c>
      <c r="C470" s="105"/>
      <c r="D470" s="105"/>
      <c r="E470" s="105"/>
      <c r="F470" s="105"/>
      <c r="G470" s="105"/>
      <c r="H470" s="105"/>
      <c r="I470" s="105"/>
      <c r="J470" s="105"/>
      <c r="K470" s="105"/>
      <c r="L470" s="105"/>
      <c r="M470" s="105"/>
      <c r="N470" s="105"/>
      <c r="O470" s="105"/>
      <c r="P470" s="105" t="str">
        <f>IFERROR(__xludf.DUMMYFUNCTION("""COMPUTED_VALUE"""),"not::approval::for::submitting25")</f>
        <v>not::approval::for::submitting25</v>
      </c>
      <c r="Q470" s="105"/>
      <c r="R470" s="105"/>
      <c r="S470" s="105"/>
      <c r="T470" s="105"/>
      <c r="U470" s="105"/>
      <c r="V470" s="105"/>
      <c r="W470" s="105"/>
      <c r="X470" s="105"/>
      <c r="Y470" s="105"/>
      <c r="Z470" s="105"/>
    </row>
    <row r="471">
      <c r="A471" s="105"/>
      <c r="B471" s="105" t="str">
        <f>IFERROR(__xludf.DUMMYFUNCTION("""COMPUTED_VALUE"""),"Configuration issue, Database-related issue, GUI-related issue, Network issue, Performance issue, Security issue, Program anomaly issue")</f>
        <v>Configuration issue, Database-related issue, GUI-related issue, Network issue, Performance issue, Security issue, Program anomaly issue</v>
      </c>
      <c r="C471" s="105"/>
      <c r="D471" s="105"/>
      <c r="E471" s="105"/>
      <c r="F471" s="105"/>
      <c r="G471" s="105"/>
      <c r="H471" s="105"/>
      <c r="I471" s="105"/>
      <c r="J471" s="105"/>
      <c r="K471" s="105"/>
      <c r="L471" s="105"/>
      <c r="M471" s="105"/>
      <c r="N471" s="105"/>
      <c r="O471" s="105"/>
      <c r="P471" s="105" t="str">
        <f>IFERROR(__xludf.DUMMYFUNCTION("""COMPUTED_VALUE"""),"not::approval::for::submitting26")</f>
        <v>not::approval::for::submitting26</v>
      </c>
      <c r="Q471" s="105"/>
      <c r="R471" s="105"/>
      <c r="S471" s="105"/>
      <c r="T471" s="105"/>
      <c r="U471" s="105"/>
      <c r="V471" s="105"/>
      <c r="W471" s="105"/>
      <c r="X471" s="105"/>
      <c r="Y471" s="105"/>
      <c r="Z471" s="105"/>
    </row>
    <row r="472">
      <c r="A472" s="105"/>
      <c r="B472" s="105" t="str">
        <f>IFERROR(__xludf.DUMMYFUNCTION("""COMPUTED_VALUE"""),"Configuration issue, Database-related issue, GUI-related issue, Network issue, Performance issue, Security issue, Test code-related issue")</f>
        <v>Configuration issue, Database-related issue, GUI-related issue, Network issue, Performance issue, Security issue, Test code-related issue</v>
      </c>
      <c r="C472" s="105"/>
      <c r="D472" s="105"/>
      <c r="E472" s="105"/>
      <c r="F472" s="105"/>
      <c r="G472" s="105"/>
      <c r="H472" s="105"/>
      <c r="I472" s="105"/>
      <c r="J472" s="105"/>
      <c r="K472" s="105"/>
      <c r="L472" s="105"/>
      <c r="M472" s="105"/>
      <c r="N472" s="105"/>
      <c r="O472" s="105"/>
      <c r="P472" s="105" t="str">
        <f>IFERROR(__xludf.DUMMYFUNCTION("""COMPUTED_VALUE"""),"not::approval::for::submitting27")</f>
        <v>not::approval::for::submitting27</v>
      </c>
      <c r="Q472" s="105"/>
      <c r="R472" s="105"/>
      <c r="S472" s="105"/>
      <c r="T472" s="105"/>
      <c r="U472" s="105"/>
      <c r="V472" s="105"/>
      <c r="W472" s="105"/>
      <c r="X472" s="105"/>
      <c r="Y472" s="105"/>
      <c r="Z472" s="105"/>
    </row>
    <row r="473">
      <c r="A473" s="105"/>
      <c r="B473" s="105" t="str">
        <f>IFERROR(__xludf.DUMMYFUNCTION("""COMPUTED_VALUE"""),"Configuration issue, Database-related issue, GUI-related issue, Network issue, Permission/deprecation issue, Program anomaly issue, Test code-related issue")</f>
        <v>Configuration issue, Database-related issue, GUI-related issue, Network issue, Permission/deprecation issue, Program anomaly issue, Test code-related issue</v>
      </c>
      <c r="C473" s="105"/>
      <c r="D473" s="105"/>
      <c r="E473" s="105"/>
      <c r="F473" s="105"/>
      <c r="G473" s="105"/>
      <c r="H473" s="105"/>
      <c r="I473" s="105"/>
      <c r="J473" s="105"/>
      <c r="K473" s="105"/>
      <c r="L473" s="105"/>
      <c r="M473" s="105"/>
      <c r="N473" s="105"/>
      <c r="O473" s="105"/>
      <c r="P473" s="105" t="str">
        <f>IFERROR(__xludf.DUMMYFUNCTION("""COMPUTED_VALUE"""),"not::approval::for::submitting3")</f>
        <v>not::approval::for::submitting3</v>
      </c>
      <c r="Q473" s="105"/>
      <c r="R473" s="105"/>
      <c r="S473" s="105"/>
      <c r="T473" s="105"/>
      <c r="U473" s="105"/>
      <c r="V473" s="105"/>
      <c r="W473" s="105"/>
      <c r="X473" s="105"/>
      <c r="Y473" s="105"/>
      <c r="Z473" s="105"/>
    </row>
    <row r="474">
      <c r="A474" s="105"/>
      <c r="B474" s="105" t="str">
        <f>IFERROR(__xludf.DUMMYFUNCTION("""COMPUTED_VALUE"""),"Configuration issue, Database-related issue, GUI-related issue, Network issue, Permission/deprecation issue, Security issue, Program anomaly issue")</f>
        <v>Configuration issue, Database-related issue, GUI-related issue, Network issue, Permission/deprecation issue, Security issue, Program anomaly issue</v>
      </c>
      <c r="C474" s="105"/>
      <c r="D474" s="105"/>
      <c r="E474" s="105"/>
      <c r="F474" s="105"/>
      <c r="G474" s="105"/>
      <c r="H474" s="105"/>
      <c r="I474" s="105"/>
      <c r="J474" s="105"/>
      <c r="K474" s="105"/>
      <c r="L474" s="105"/>
      <c r="M474" s="105"/>
      <c r="N474" s="105"/>
      <c r="O474" s="105"/>
      <c r="P474" s="105" t="str">
        <f>IFERROR(__xludf.DUMMYFUNCTION("""COMPUTED_VALUE"""),"not::approval::for::submitting4")</f>
        <v>not::approval::for::submitting4</v>
      </c>
      <c r="Q474" s="105"/>
      <c r="R474" s="105"/>
      <c r="S474" s="105"/>
      <c r="T474" s="105"/>
      <c r="U474" s="105"/>
      <c r="V474" s="105"/>
      <c r="W474" s="105"/>
      <c r="X474" s="105"/>
      <c r="Y474" s="105"/>
      <c r="Z474" s="105"/>
    </row>
    <row r="475">
      <c r="A475" s="105"/>
      <c r="B475" s="105" t="str">
        <f>IFERROR(__xludf.DUMMYFUNCTION("""COMPUTED_VALUE"""),"Configuration issue, Database-related issue, GUI-related issue, Network issue, Permission/deprecation issue, Security issue, Test code-related issue")</f>
        <v>Configuration issue, Database-related issue, GUI-related issue, Network issue, Permission/deprecation issue, Security issue, Test code-related issue</v>
      </c>
      <c r="C475" s="105"/>
      <c r="D475" s="105"/>
      <c r="E475" s="105"/>
      <c r="F475" s="105"/>
      <c r="G475" s="105"/>
      <c r="H475" s="105"/>
      <c r="I475" s="105"/>
      <c r="J475" s="105"/>
      <c r="K475" s="105"/>
      <c r="L475" s="105"/>
      <c r="M475" s="105"/>
      <c r="N475" s="105"/>
      <c r="O475" s="105"/>
      <c r="P475" s="105" t="str">
        <f>IFERROR(__xludf.DUMMYFUNCTION("""COMPUTED_VALUE"""),"not::approval::for::submitting5")</f>
        <v>not::approval::for::submitting5</v>
      </c>
      <c r="Q475" s="105"/>
      <c r="R475" s="105"/>
      <c r="S475" s="105"/>
      <c r="T475" s="105"/>
      <c r="U475" s="105"/>
      <c r="V475" s="105"/>
      <c r="W475" s="105"/>
      <c r="X475" s="105"/>
      <c r="Y475" s="105"/>
      <c r="Z475" s="105"/>
    </row>
    <row r="476">
      <c r="A476" s="105"/>
      <c r="B476" s="105" t="str">
        <f>IFERROR(__xludf.DUMMYFUNCTION("""COMPUTED_VALUE"""),"Configuration issue, Database-related issue, GUI-related issue, Network issue, Security issue, Program anomaly issue, Test code-related issue")</f>
        <v>Configuration issue, Database-related issue, GUI-related issue, Network issue, Security issue, Program anomaly issue, Test code-related issue</v>
      </c>
      <c r="C476" s="105"/>
      <c r="D476" s="105"/>
      <c r="E476" s="105"/>
      <c r="F476" s="105"/>
      <c r="G476" s="105"/>
      <c r="H476" s="105"/>
      <c r="I476" s="105"/>
      <c r="J476" s="105"/>
      <c r="K476" s="105"/>
      <c r="L476" s="105"/>
      <c r="M476" s="105"/>
      <c r="N476" s="105"/>
      <c r="O476" s="105"/>
      <c r="P476" s="105" t="str">
        <f>IFERROR(__xludf.DUMMYFUNCTION("""COMPUTED_VALUE"""),"not::approval::for::submitting6")</f>
        <v>not::approval::for::submitting6</v>
      </c>
      <c r="Q476" s="105"/>
      <c r="R476" s="105"/>
      <c r="S476" s="105"/>
      <c r="T476" s="105"/>
      <c r="U476" s="105"/>
      <c r="V476" s="105"/>
      <c r="W476" s="105"/>
      <c r="X476" s="105"/>
      <c r="Y476" s="105"/>
      <c r="Z476" s="105"/>
    </row>
    <row r="477">
      <c r="A477" s="105"/>
      <c r="B477" s="105" t="str">
        <f>IFERROR(__xludf.DUMMYFUNCTION("""COMPUTED_VALUE"""),"Configuration issue, Database-related issue, GUI-related issue, Performance issue, Permission/deprecation issue, Program anomaly issue, Test code-related issue")</f>
        <v>Configuration issue, Database-related issue, GUI-related issue, Performance issue, Permission/deprecation issue, Program anomaly issue, Test code-related issue</v>
      </c>
      <c r="C477" s="105"/>
      <c r="D477" s="105"/>
      <c r="E477" s="105"/>
      <c r="F477" s="105"/>
      <c r="G477" s="105"/>
      <c r="H477" s="105"/>
      <c r="I477" s="105"/>
      <c r="J477" s="105"/>
      <c r="K477" s="105"/>
      <c r="L477" s="105"/>
      <c r="M477" s="105"/>
      <c r="N477" s="105"/>
      <c r="O477" s="105"/>
      <c r="P477" s="105" t="str">
        <f>IFERROR(__xludf.DUMMYFUNCTION("""COMPUTED_VALUE"""),"not::approval::for::submitting7")</f>
        <v>not::approval::for::submitting7</v>
      </c>
      <c r="Q477" s="105"/>
      <c r="R477" s="105"/>
      <c r="S477" s="105"/>
      <c r="T477" s="105"/>
      <c r="U477" s="105"/>
      <c r="V477" s="105"/>
      <c r="W477" s="105"/>
      <c r="X477" s="105"/>
      <c r="Y477" s="105"/>
      <c r="Z477" s="105"/>
    </row>
    <row r="478">
      <c r="A478" s="105"/>
      <c r="B478" s="105" t="str">
        <f>IFERROR(__xludf.DUMMYFUNCTION("""COMPUTED_VALUE"""),"Configuration issue, Database-related issue, GUI-related issue, Performance issue, Permission/deprecation issue, Security issue, Program anomaly issue")</f>
        <v>Configuration issue, Database-related issue, GUI-related issue, Performance issue, Permission/deprecation issue, Security issue, Program anomaly issue</v>
      </c>
      <c r="C478" s="105"/>
      <c r="D478" s="105"/>
      <c r="E478" s="105"/>
      <c r="F478" s="105"/>
      <c r="G478" s="105"/>
      <c r="H478" s="105"/>
      <c r="I478" s="105"/>
      <c r="J478" s="105"/>
      <c r="K478" s="105"/>
      <c r="L478" s="105"/>
      <c r="M478" s="105"/>
      <c r="N478" s="105"/>
      <c r="O478" s="105"/>
      <c r="P478" s="105" t="str">
        <f>IFERROR(__xludf.DUMMYFUNCTION("""COMPUTED_VALUE"""),"not::approval::for::submitting8")</f>
        <v>not::approval::for::submitting8</v>
      </c>
      <c r="Q478" s="105"/>
      <c r="R478" s="105"/>
      <c r="S478" s="105"/>
      <c r="T478" s="105"/>
      <c r="U478" s="105"/>
      <c r="V478" s="105"/>
      <c r="W478" s="105"/>
      <c r="X478" s="105"/>
      <c r="Y478" s="105"/>
      <c r="Z478" s="105"/>
    </row>
    <row r="479">
      <c r="A479" s="105"/>
      <c r="B479" s="105" t="str">
        <f>IFERROR(__xludf.DUMMYFUNCTION("""COMPUTED_VALUE"""),"Configuration issue, Database-related issue, GUI-related issue, Performance issue, Permission/deprecation issue, Security issue, Test code-related issue")</f>
        <v>Configuration issue, Database-related issue, GUI-related issue, Performance issue, Permission/deprecation issue, Security issue, Test code-related issue</v>
      </c>
      <c r="C479" s="105"/>
      <c r="D479" s="105"/>
      <c r="E479" s="105"/>
      <c r="F479" s="105"/>
      <c r="G479" s="105"/>
      <c r="H479" s="105"/>
      <c r="I479" s="105"/>
      <c r="J479" s="105"/>
      <c r="K479" s="105"/>
      <c r="L479" s="105"/>
      <c r="M479" s="105"/>
      <c r="N479" s="105"/>
      <c r="O479" s="105"/>
      <c r="P479" s="105" t="str">
        <f>IFERROR(__xludf.DUMMYFUNCTION("""COMPUTED_VALUE"""),"not::approval::for::submitting9")</f>
        <v>not::approval::for::submitting9</v>
      </c>
      <c r="Q479" s="105"/>
      <c r="R479" s="105"/>
      <c r="S479" s="105"/>
      <c r="T479" s="105"/>
      <c r="U479" s="105"/>
      <c r="V479" s="105"/>
      <c r="W479" s="105"/>
      <c r="X479" s="105"/>
      <c r="Y479" s="105"/>
      <c r="Z479" s="105"/>
    </row>
    <row r="480">
      <c r="A480" s="105"/>
      <c r="B480" s="105" t="str">
        <f>IFERROR(__xludf.DUMMYFUNCTION("""COMPUTED_VALUE"""),"Configuration issue, Database-related issue, GUI-related issue, Performance issue, Security issue, Program anomaly issue, Test code-related issue")</f>
        <v>Configuration issue, Database-related issue, GUI-related issue, Performance issue, Security issue, Program anomaly issue, Test code-related issue</v>
      </c>
      <c r="C480" s="105"/>
      <c r="D480" s="105"/>
      <c r="E480" s="105"/>
      <c r="F480" s="105"/>
      <c r="G480" s="105"/>
      <c r="H480" s="105"/>
      <c r="I480" s="105"/>
      <c r="J480" s="105"/>
      <c r="K480" s="105"/>
      <c r="L480" s="105"/>
      <c r="M480" s="105"/>
      <c r="N480" s="105"/>
      <c r="O480" s="105"/>
      <c r="P480" s="105" t="str">
        <f>IFERROR(__xludf.DUMMYFUNCTION("""COMPUTED_VALUE"""),"not::approval::workflow::(vote1)")</f>
        <v>not::approval::workflow::(vote1)</v>
      </c>
      <c r="Q480" s="105"/>
      <c r="R480" s="105"/>
      <c r="S480" s="105"/>
      <c r="T480" s="105"/>
      <c r="U480" s="105"/>
      <c r="V480" s="105"/>
      <c r="W480" s="105"/>
      <c r="X480" s="105"/>
      <c r="Y480" s="105"/>
      <c r="Z480" s="105"/>
    </row>
    <row r="481">
      <c r="A481" s="105"/>
      <c r="B481" s="105" t="str">
        <f>IFERROR(__xludf.DUMMYFUNCTION("""COMPUTED_VALUE"""),"Configuration issue, Database-related issue, GUI-related issue, Permission/deprecation issue, Security issue, Program anomaly issue, Test code-related issue")</f>
        <v>Configuration issue, Database-related issue, GUI-related issue, Permission/deprecation issue, Security issue, Program anomaly issue, Test code-related issue</v>
      </c>
      <c r="C481" s="105"/>
      <c r="D481" s="105"/>
      <c r="E481" s="105"/>
      <c r="F481" s="105"/>
      <c r="G481" s="105"/>
      <c r="H481" s="105"/>
      <c r="I481" s="105"/>
      <c r="J481" s="105"/>
      <c r="K481" s="105"/>
      <c r="L481" s="105"/>
      <c r="M481" s="105"/>
      <c r="N481" s="105"/>
      <c r="O481" s="105"/>
      <c r="P481" s="105" t="str">
        <f>IFERROR(__xludf.DUMMYFUNCTION("""COMPUTED_VALUE"""),"not::approval::workflow::(vote2)")</f>
        <v>not::approval::workflow::(vote2)</v>
      </c>
      <c r="Q481" s="105"/>
      <c r="R481" s="105"/>
      <c r="S481" s="105"/>
      <c r="T481" s="105"/>
      <c r="U481" s="105"/>
      <c r="V481" s="105"/>
      <c r="W481" s="105"/>
      <c r="X481" s="105"/>
      <c r="Y481" s="105"/>
      <c r="Z481" s="105"/>
    </row>
    <row r="482">
      <c r="A482" s="105"/>
      <c r="B482" s="105" t="str">
        <f>IFERROR(__xludf.DUMMYFUNCTION("""COMPUTED_VALUE"""),"Configuration issue, Database-related issue, Network issue, Performance issue, Permission/deprecation issue, Program anomaly issue, Test code-related issue")</f>
        <v>Configuration issue, Database-related issue, Network issue, Performance issue, Permission/deprecation issue, Program anomaly issue, Test code-related issue</v>
      </c>
      <c r="C482" s="105"/>
      <c r="D482" s="105"/>
      <c r="E482" s="105"/>
      <c r="F482" s="105"/>
      <c r="G482" s="105"/>
      <c r="H482" s="105"/>
      <c r="I482" s="105"/>
      <c r="J482" s="105"/>
      <c r="K482" s="105"/>
      <c r="L482" s="105"/>
      <c r="M482" s="105"/>
      <c r="N482" s="105"/>
      <c r="O482" s="105"/>
      <c r="P482" s="105" t="str">
        <f>IFERROR(__xludf.DUMMYFUNCTION("""COMPUTED_VALUE"""),"not::approval::workflow::(vote3)")</f>
        <v>not::approval::workflow::(vote3)</v>
      </c>
      <c r="Q482" s="105"/>
      <c r="R482" s="105"/>
      <c r="S482" s="105"/>
      <c r="T482" s="105"/>
      <c r="U482" s="105"/>
      <c r="V482" s="105"/>
      <c r="W482" s="105"/>
      <c r="X482" s="105"/>
      <c r="Y482" s="105"/>
      <c r="Z482" s="105"/>
    </row>
    <row r="483">
      <c r="A483" s="105"/>
      <c r="B483" s="105" t="str">
        <f>IFERROR(__xludf.DUMMYFUNCTION("""COMPUTED_VALUE"""),"Configuration issue, Database-related issue, Network issue, Performance issue, Permission/deprecation issue, Security issue, Program anomaly issue")</f>
        <v>Configuration issue, Database-related issue, Network issue, Performance issue, Permission/deprecation issue, Security issue, Program anomaly issue</v>
      </c>
      <c r="C483" s="105"/>
      <c r="D483" s="105"/>
      <c r="E483" s="105"/>
      <c r="F483" s="105"/>
      <c r="G483" s="105"/>
      <c r="H483" s="105"/>
      <c r="I483" s="105"/>
      <c r="J483" s="105"/>
      <c r="K483" s="105"/>
      <c r="L483" s="105"/>
      <c r="M483" s="105"/>
      <c r="N483" s="105"/>
      <c r="O483" s="105"/>
      <c r="P483" s="105" t="str">
        <f>IFERROR(__xludf.DUMMYFUNCTION("""COMPUTED_VALUE"""),"not::approval::workflow::(vote4)")</f>
        <v>not::approval::workflow::(vote4)</v>
      </c>
      <c r="Q483" s="105"/>
      <c r="R483" s="105"/>
      <c r="S483" s="105"/>
      <c r="T483" s="105"/>
      <c r="U483" s="105"/>
      <c r="V483" s="105"/>
      <c r="W483" s="105"/>
      <c r="X483" s="105"/>
      <c r="Y483" s="105"/>
      <c r="Z483" s="105"/>
    </row>
    <row r="484">
      <c r="A484" s="105"/>
      <c r="B484" s="105" t="str">
        <f>IFERROR(__xludf.DUMMYFUNCTION("""COMPUTED_VALUE"""),"Configuration issue, Database-related issue, Network issue, Performance issue, Permission/deprecation issue, Security issue, Test code-related issue")</f>
        <v>Configuration issue, Database-related issue, Network issue, Performance issue, Permission/deprecation issue, Security issue, Test code-related issue</v>
      </c>
      <c r="C484" s="105"/>
      <c r="D484" s="105"/>
      <c r="E484" s="105"/>
      <c r="F484" s="105"/>
      <c r="G484" s="105"/>
      <c r="H484" s="105"/>
      <c r="I484" s="105"/>
      <c r="J484" s="105"/>
      <c r="K484" s="105"/>
      <c r="L484" s="105"/>
      <c r="M484" s="105"/>
      <c r="N484" s="105"/>
      <c r="O484" s="105"/>
      <c r="P484" s="105" t="str">
        <f>IFERROR(__xludf.DUMMYFUNCTION("""COMPUTED_VALUE"""),"nothing")</f>
        <v>nothing</v>
      </c>
      <c r="Q484" s="105"/>
      <c r="R484" s="105"/>
      <c r="S484" s="105"/>
      <c r="T484" s="105"/>
      <c r="U484" s="105"/>
      <c r="V484" s="105"/>
      <c r="W484" s="105"/>
      <c r="X484" s="105"/>
      <c r="Y484" s="105"/>
      <c r="Z484" s="105"/>
    </row>
    <row r="485">
      <c r="A485" s="105"/>
      <c r="B485" s="105" t="str">
        <f>IFERROR(__xludf.DUMMYFUNCTION("""COMPUTED_VALUE"""),"Configuration issue, Database-related issue, Network issue, Performance issue, Security issue, Program anomaly issue, Test code-related issue")</f>
        <v>Configuration issue, Database-related issue, Network issue, Performance issue, Security issue, Program anomaly issue, Test code-related issue</v>
      </c>
      <c r="C485" s="105"/>
      <c r="D485" s="105"/>
      <c r="E485" s="105"/>
      <c r="F485" s="105"/>
      <c r="G485" s="105"/>
      <c r="H485" s="105"/>
      <c r="I485" s="105"/>
      <c r="J485" s="105"/>
      <c r="K485" s="105"/>
      <c r="L485" s="105"/>
      <c r="M485" s="105"/>
      <c r="N485" s="105"/>
      <c r="O485" s="105"/>
      <c r="P485" s="105" t="str">
        <f>IFERROR(__xludf.DUMMYFUNCTION("""COMPUTED_VALUE"""),"noticing::code::(deleted::code)")</f>
        <v>noticing::code::(deleted::code)</v>
      </c>
      <c r="Q485" s="105"/>
      <c r="R485" s="105"/>
      <c r="S485" s="105"/>
      <c r="T485" s="105"/>
      <c r="U485" s="105"/>
      <c r="V485" s="105"/>
      <c r="W485" s="105"/>
      <c r="X485" s="105"/>
      <c r="Y485" s="105"/>
      <c r="Z485" s="105"/>
    </row>
    <row r="486">
      <c r="A486" s="105"/>
      <c r="B486" s="105" t="str">
        <f>IFERROR(__xludf.DUMMYFUNCTION("""COMPUTED_VALUE"""),"Configuration issue, Database-related issue, Network issue, Permission/deprecation issue, Security issue, Program anomaly issue, Test code-related issue")</f>
        <v>Configuration issue, Database-related issue, Network issue, Permission/deprecation issue, Security issue, Program anomaly issue, Test code-related issue</v>
      </c>
      <c r="C486" s="105"/>
      <c r="D486" s="105"/>
      <c r="E486" s="105"/>
      <c r="F486" s="105"/>
      <c r="G486" s="105"/>
      <c r="H486" s="105"/>
      <c r="I486" s="105"/>
      <c r="J486" s="105"/>
      <c r="K486" s="105"/>
      <c r="L486" s="105"/>
      <c r="M486" s="105"/>
      <c r="N486" s="105"/>
      <c r="O486" s="105"/>
      <c r="P486" s="105" t="str">
        <f>IFERROR(__xludf.DUMMYFUNCTION("""COMPUTED_VALUE"""),"noticing::code::(race::condition)")</f>
        <v>noticing::code::(race::condition)</v>
      </c>
      <c r="Q486" s="105"/>
      <c r="R486" s="105"/>
      <c r="S486" s="105"/>
      <c r="T486" s="105"/>
      <c r="U486" s="105"/>
      <c r="V486" s="105"/>
      <c r="W486" s="105"/>
      <c r="X486" s="105"/>
      <c r="Y486" s="105"/>
      <c r="Z486" s="105"/>
    </row>
    <row r="487">
      <c r="A487" s="105"/>
      <c r="B487" s="105" t="str">
        <f>IFERROR(__xludf.DUMMYFUNCTION("""COMPUTED_VALUE"""),"Configuration issue, Database-related issue, Performance issue, Permission/deprecation issue, Security issue, Program anomaly issue, Test code-related issue")</f>
        <v>Configuration issue, Database-related issue, Performance issue, Permission/deprecation issue, Security issue, Program anomaly issue, Test code-related issue</v>
      </c>
      <c r="C487" s="105"/>
      <c r="D487" s="105"/>
      <c r="E487" s="105"/>
      <c r="F487" s="105"/>
      <c r="G487" s="105"/>
      <c r="H487" s="105"/>
      <c r="I487" s="105"/>
      <c r="J487" s="105"/>
      <c r="K487" s="105"/>
      <c r="L487" s="105"/>
      <c r="M487" s="105"/>
      <c r="N487" s="105"/>
      <c r="O487" s="105"/>
      <c r="P487" s="105" t="str">
        <f>IFERROR(__xludf.DUMMYFUNCTION("""COMPUTED_VALUE"""),"noticing::code::duplication")</f>
        <v>noticing::code::duplication</v>
      </c>
      <c r="Q487" s="105"/>
      <c r="R487" s="105"/>
      <c r="S487" s="105"/>
      <c r="T487" s="105"/>
      <c r="U487" s="105"/>
      <c r="V487" s="105"/>
      <c r="W487" s="105"/>
      <c r="X487" s="105"/>
      <c r="Y487" s="105"/>
      <c r="Z487" s="105"/>
    </row>
    <row r="488">
      <c r="A488" s="105"/>
      <c r="B488" s="105" t="str">
        <f>IFERROR(__xludf.DUMMYFUNCTION("""COMPUTED_VALUE"""),"Configuration issue, GUI-related issue, Network issue, Performance issue, Permission/deprecation issue, Program anomaly issue, Test code-related issue")</f>
        <v>Configuration issue, GUI-related issue, Network issue, Performance issue, Permission/deprecation issue, Program anomaly issue, Test code-related issue</v>
      </c>
      <c r="C488" s="105"/>
      <c r="D488" s="105"/>
      <c r="E488" s="105"/>
      <c r="F488" s="105"/>
      <c r="G488" s="105"/>
      <c r="H488" s="105"/>
      <c r="I488" s="105"/>
      <c r="J488" s="105"/>
      <c r="K488" s="105"/>
      <c r="L488" s="105"/>
      <c r="M488" s="105"/>
      <c r="N488" s="105"/>
      <c r="O488" s="105"/>
      <c r="P488" s="105" t="str">
        <f>IFERROR(__xludf.DUMMYFUNCTION("""COMPUTED_VALUE"""),"noticing::comment::not::addressed::(previous::patch)")</f>
        <v>noticing::comment::not::addressed::(previous::patch)</v>
      </c>
      <c r="Q488" s="105"/>
      <c r="R488" s="105"/>
      <c r="S488" s="105"/>
      <c r="T488" s="105"/>
      <c r="U488" s="105"/>
      <c r="V488" s="105"/>
      <c r="W488" s="105"/>
      <c r="X488" s="105"/>
      <c r="Y488" s="105"/>
      <c r="Z488" s="105"/>
    </row>
    <row r="489">
      <c r="A489" s="105"/>
      <c r="B489" s="105" t="str">
        <f>IFERROR(__xludf.DUMMYFUNCTION("""COMPUTED_VALUE"""),"Configuration issue, GUI-related issue, Network issue, Performance issue, Permission/deprecation issue, Security issue, Program anomaly issue")</f>
        <v>Configuration issue, GUI-related issue, Network issue, Performance issue, Permission/deprecation issue, Security issue, Program anomaly issue</v>
      </c>
      <c r="C489" s="105"/>
      <c r="D489" s="105"/>
      <c r="E489" s="105"/>
      <c r="F489" s="105"/>
      <c r="G489" s="105"/>
      <c r="H489" s="105"/>
      <c r="I489" s="105"/>
      <c r="J489" s="105"/>
      <c r="K489" s="105"/>
      <c r="L489" s="105"/>
      <c r="M489" s="105"/>
      <c r="N489" s="105"/>
      <c r="O489" s="105"/>
      <c r="P489" s="105" t="str">
        <f>IFERROR(__xludf.DUMMYFUNCTION("""COMPUTED_VALUE"""),"noticing::copy::code::practice")</f>
        <v>noticing::copy::code::practice</v>
      </c>
      <c r="Q489" s="105"/>
      <c r="R489" s="105"/>
      <c r="S489" s="105"/>
      <c r="T489" s="105"/>
      <c r="U489" s="105"/>
      <c r="V489" s="105"/>
      <c r="W489" s="105"/>
      <c r="X489" s="105"/>
      <c r="Y489" s="105"/>
      <c r="Z489" s="105"/>
    </row>
    <row r="490">
      <c r="A490" s="105"/>
      <c r="B490" s="105" t="str">
        <f>IFERROR(__xludf.DUMMYFUNCTION("""COMPUTED_VALUE"""),"Configuration issue, GUI-related issue, Network issue, Performance issue, Permission/deprecation issue, Security issue, Test code-related issue")</f>
        <v>Configuration issue, GUI-related issue, Network issue, Performance issue, Permission/deprecation issue, Security issue, Test code-related issue</v>
      </c>
      <c r="C490" s="105"/>
      <c r="D490" s="105"/>
      <c r="E490" s="105"/>
      <c r="F490" s="105"/>
      <c r="G490" s="105"/>
      <c r="H490" s="105"/>
      <c r="I490" s="105"/>
      <c r="J490" s="105"/>
      <c r="K490" s="105"/>
      <c r="L490" s="105"/>
      <c r="M490" s="105"/>
      <c r="N490" s="105"/>
      <c r="O490" s="105"/>
      <c r="P490" s="105" t="str">
        <f>IFERROR(__xludf.DUMMYFUNCTION("""COMPUTED_VALUE"""),"noticing::incorrect::use::of::patches")</f>
        <v>noticing::incorrect::use::of::patches</v>
      </c>
      <c r="Q490" s="105"/>
      <c r="R490" s="105"/>
      <c r="S490" s="105"/>
      <c r="T490" s="105"/>
      <c r="U490" s="105"/>
      <c r="V490" s="105"/>
      <c r="W490" s="105"/>
      <c r="X490" s="105"/>
      <c r="Y490" s="105"/>
      <c r="Z490" s="105"/>
    </row>
    <row r="491">
      <c r="A491" s="105"/>
      <c r="B491" s="105" t="str">
        <f>IFERROR(__xludf.DUMMYFUNCTION("""COMPUTED_VALUE"""),"Configuration issue, GUI-related issue, Network issue, Performance issue, Security issue, Program anomaly issue, Test code-related issue")</f>
        <v>Configuration issue, GUI-related issue, Network issue, Performance issue, Security issue, Program anomaly issue, Test code-related issue</v>
      </c>
      <c r="C491" s="105"/>
      <c r="D491" s="105"/>
      <c r="E491" s="105"/>
      <c r="F491" s="105"/>
      <c r="G491" s="105"/>
      <c r="H491" s="105"/>
      <c r="I491" s="105"/>
      <c r="J491" s="105"/>
      <c r="K491" s="105"/>
      <c r="L491" s="105"/>
      <c r="M491" s="105"/>
      <c r="N491" s="105"/>
      <c r="O491" s="105"/>
      <c r="P491" s="105" t="str">
        <f>IFERROR(__xludf.DUMMYFUNCTION("""COMPUTED_VALUE"""),"noticing::overwritting::code")</f>
        <v>noticing::overwritting::code</v>
      </c>
      <c r="Q491" s="105"/>
      <c r="R491" s="105"/>
      <c r="S491" s="105"/>
      <c r="T491" s="105"/>
      <c r="U491" s="105"/>
      <c r="V491" s="105"/>
      <c r="W491" s="105"/>
      <c r="X491" s="105"/>
      <c r="Y491" s="105"/>
      <c r="Z491" s="105"/>
    </row>
    <row r="492">
      <c r="A492" s="105"/>
      <c r="B492" s="105" t="str">
        <f>IFERROR(__xludf.DUMMYFUNCTION("""COMPUTED_VALUE"""),"Configuration issue, GUI-related issue, Network issue, Permission/deprecation issue, Security issue, Program anomaly issue, Test code-related issue")</f>
        <v>Configuration issue, GUI-related issue, Network issue, Permission/deprecation issue, Security issue, Program anomaly issue, Test code-related issue</v>
      </c>
      <c r="C492" s="105"/>
      <c r="D492" s="105"/>
      <c r="E492" s="105"/>
      <c r="F492" s="105"/>
      <c r="G492" s="105"/>
      <c r="H492" s="105"/>
      <c r="I492" s="105"/>
      <c r="J492" s="105"/>
      <c r="K492" s="105"/>
      <c r="L492" s="105"/>
      <c r="M492" s="105"/>
      <c r="N492" s="105"/>
      <c r="O492" s="105"/>
      <c r="P492" s="105" t="str">
        <f>IFERROR(__xludf.DUMMYFUNCTION("""COMPUTED_VALUE"""),"noticing::style::change::in::code::(tab::space::indent)")</f>
        <v>noticing::style::change::in::code::(tab::space::indent)</v>
      </c>
      <c r="Q492" s="105"/>
      <c r="R492" s="105"/>
      <c r="S492" s="105"/>
      <c r="T492" s="105"/>
      <c r="U492" s="105"/>
      <c r="V492" s="105"/>
      <c r="W492" s="105"/>
      <c r="X492" s="105"/>
      <c r="Y492" s="105"/>
      <c r="Z492" s="105"/>
    </row>
    <row r="493">
      <c r="A493" s="105"/>
      <c r="B493" s="105" t="str">
        <f>IFERROR(__xludf.DUMMYFUNCTION("""COMPUTED_VALUE"""),"Configuration issue, GUI-related issue, Performance issue, Permission/deprecation issue, Security issue, Program anomaly issue, Test code-related issue")</f>
        <v>Configuration issue, GUI-related issue, Performance issue, Permission/deprecation issue, Security issue, Program anomaly issue, Test code-related issue</v>
      </c>
      <c r="C493" s="105"/>
      <c r="D493" s="105"/>
      <c r="E493" s="105"/>
      <c r="F493" s="105"/>
      <c r="G493" s="105"/>
      <c r="H493" s="105"/>
      <c r="I493" s="105"/>
      <c r="J493" s="105"/>
      <c r="K493" s="105"/>
      <c r="L493" s="105"/>
      <c r="M493" s="105"/>
      <c r="N493" s="105"/>
      <c r="O493" s="105"/>
      <c r="P493" s="105" t="str">
        <f>IFERROR(__xludf.DUMMYFUNCTION("""COMPUTED_VALUE"""),"noticing::unnecessary::variable")</f>
        <v>noticing::unnecessary::variable</v>
      </c>
      <c r="Q493" s="105"/>
      <c r="R493" s="105"/>
      <c r="S493" s="105"/>
      <c r="T493" s="105"/>
      <c r="U493" s="105"/>
      <c r="V493" s="105"/>
      <c r="W493" s="105"/>
      <c r="X493" s="105"/>
      <c r="Y493" s="105"/>
      <c r="Z493" s="105"/>
    </row>
    <row r="494">
      <c r="A494" s="105"/>
      <c r="B494" s="105" t="str">
        <f>IFERROR(__xludf.DUMMYFUNCTION("""COMPUTED_VALUE"""),"Configuration issue, Network issue, Performance issue, Permission/deprecation issue, Security issue, Program anomaly issue, Test code-related issue")</f>
        <v>Configuration issue, Network issue, Performance issue, Permission/deprecation issue, Security issue, Program anomaly issue, Test code-related issue</v>
      </c>
      <c r="C494" s="105"/>
      <c r="D494" s="105"/>
      <c r="E494" s="105"/>
      <c r="F494" s="105"/>
      <c r="G494" s="105"/>
      <c r="H494" s="105"/>
      <c r="I494" s="105"/>
      <c r="J494" s="105"/>
      <c r="K494" s="105"/>
      <c r="L494" s="105"/>
      <c r="M494" s="105"/>
      <c r="N494" s="105"/>
      <c r="O494" s="105"/>
      <c r="P494" s="105" t="str">
        <f>IFERROR(__xludf.DUMMYFUNCTION("""COMPUTED_VALUE"""),"noticing::wrong::information(author::commit)")</f>
        <v>noticing::wrong::information(author::commit)</v>
      </c>
      <c r="Q494" s="105"/>
      <c r="R494" s="105"/>
      <c r="S494" s="105"/>
      <c r="T494" s="105"/>
      <c r="U494" s="105"/>
      <c r="V494" s="105"/>
      <c r="W494" s="105"/>
      <c r="X494" s="105"/>
      <c r="Y494" s="105"/>
      <c r="Z494" s="105"/>
    </row>
    <row r="495">
      <c r="A495" s="105"/>
      <c r="B495" s="105" t="str">
        <f>IFERROR(__xludf.DUMMYFUNCTION("""COMPUTED_VALUE"""),"Database-related issue, GUI-related issue, Network issue, Performance issue, Permission/deprecation issue, Program anomaly issue, Test code-related issue")</f>
        <v>Database-related issue, GUI-related issue, Network issue, Performance issue, Permission/deprecation issue, Program anomaly issue, Test code-related issue</v>
      </c>
      <c r="C495" s="105"/>
      <c r="D495" s="105"/>
      <c r="E495" s="105"/>
      <c r="F495" s="105"/>
      <c r="G495" s="105"/>
      <c r="H495" s="105"/>
      <c r="I495" s="105"/>
      <c r="J495" s="105"/>
      <c r="K495" s="105"/>
      <c r="L495" s="105"/>
      <c r="M495" s="105"/>
      <c r="N495" s="105"/>
      <c r="O495" s="105"/>
      <c r="P495" s="105" t="str">
        <f>IFERROR(__xludf.DUMMYFUNCTION("""COMPUTED_VALUE"""),"noticing::wrong::information(co::authors::commit)")</f>
        <v>noticing::wrong::information(co::authors::commit)</v>
      </c>
      <c r="Q495" s="105"/>
      <c r="R495" s="105"/>
      <c r="S495" s="105"/>
      <c r="T495" s="105"/>
      <c r="U495" s="105"/>
      <c r="V495" s="105"/>
      <c r="W495" s="105"/>
      <c r="X495" s="105"/>
      <c r="Y495" s="105"/>
      <c r="Z495" s="105"/>
    </row>
    <row r="496">
      <c r="A496" s="105"/>
      <c r="B496" s="105" t="str">
        <f>IFERROR(__xludf.DUMMYFUNCTION("""COMPUTED_VALUE"""),"Database-related issue, GUI-related issue, Network issue, Performance issue, Permission/deprecation issue, Security issue, Program anomaly issue")</f>
        <v>Database-related issue, GUI-related issue, Network issue, Performance issue, Permission/deprecation issue, Security issue, Program anomaly issue</v>
      </c>
      <c r="C496" s="105"/>
      <c r="D496" s="105"/>
      <c r="E496" s="105"/>
      <c r="F496" s="105"/>
      <c r="G496" s="105"/>
      <c r="H496" s="105"/>
      <c r="I496" s="105"/>
      <c r="J496" s="105"/>
      <c r="K496" s="105"/>
      <c r="L496" s="105"/>
      <c r="M496" s="105"/>
      <c r="N496" s="105"/>
      <c r="O496" s="105"/>
      <c r="P496" s="105" t="str">
        <f>IFERROR(__xludf.DUMMYFUNCTION("""COMPUTED_VALUE"""),"objecting::advice::how::to::develop")</f>
        <v>objecting::advice::how::to::develop</v>
      </c>
      <c r="Q496" s="105"/>
      <c r="R496" s="105"/>
      <c r="S496" s="105"/>
      <c r="T496" s="105"/>
      <c r="U496" s="105"/>
      <c r="V496" s="105"/>
      <c r="W496" s="105"/>
      <c r="X496" s="105"/>
      <c r="Y496" s="105"/>
      <c r="Z496" s="105"/>
    </row>
    <row r="497">
      <c r="A497" s="105"/>
      <c r="B497" s="105" t="str">
        <f>IFERROR(__xludf.DUMMYFUNCTION("""COMPUTED_VALUE"""),"Database-related issue, GUI-related issue, Network issue, Performance issue, Permission/deprecation issue, Security issue, Test code-related issue")</f>
        <v>Database-related issue, GUI-related issue, Network issue, Performance issue, Permission/deprecation issue, Security issue, Test code-related issue</v>
      </c>
      <c r="C497" s="105"/>
      <c r="D497" s="105"/>
      <c r="E497" s="105"/>
      <c r="F497" s="105"/>
      <c r="G497" s="105"/>
      <c r="H497" s="105"/>
      <c r="I497" s="105"/>
      <c r="J497" s="105"/>
      <c r="K497" s="105"/>
      <c r="L497" s="105"/>
      <c r="M497" s="105"/>
      <c r="N497" s="105"/>
      <c r="O497" s="105"/>
      <c r="P497" s="105" t="str">
        <f>IFERROR(__xludf.DUMMYFUNCTION("""COMPUTED_VALUE"""),"objecting::change::intended::solution::design")</f>
        <v>objecting::change::intended::solution::design</v>
      </c>
      <c r="Q497" s="105"/>
      <c r="R497" s="105"/>
      <c r="S497" s="105"/>
      <c r="T497" s="105"/>
      <c r="U497" s="105"/>
      <c r="V497" s="105"/>
      <c r="W497" s="105"/>
      <c r="X497" s="105"/>
      <c r="Y497" s="105"/>
      <c r="Z497" s="105"/>
    </row>
    <row r="498">
      <c r="A498" s="105"/>
      <c r="B498" s="105" t="str">
        <f>IFERROR(__xludf.DUMMYFUNCTION("""COMPUTED_VALUE"""),"Database-related issue, GUI-related issue, Network issue, Performance issue, Security issue, Program anomaly issue, Test code-related issue")</f>
        <v>Database-related issue, GUI-related issue, Network issue, Performance issue, Security issue, Program anomaly issue, Test code-related issue</v>
      </c>
      <c r="C498" s="105"/>
      <c r="D498" s="105"/>
      <c r="E498" s="105"/>
      <c r="F498" s="105"/>
      <c r="G498" s="105"/>
      <c r="H498" s="105"/>
      <c r="I498" s="105"/>
      <c r="J498" s="105"/>
      <c r="K498" s="105"/>
      <c r="L498" s="105"/>
      <c r="M498" s="105"/>
      <c r="N498" s="105"/>
      <c r="O498" s="105"/>
      <c r="P498" s="105" t="str">
        <f>IFERROR(__xludf.DUMMYFUNCTION("""COMPUTED_VALUE"""),"objecting::changes::required::for::submitting")</f>
        <v>objecting::changes::required::for::submitting</v>
      </c>
      <c r="Q498" s="105"/>
      <c r="R498" s="105"/>
      <c r="S498" s="105"/>
      <c r="T498" s="105"/>
      <c r="U498" s="105"/>
      <c r="V498" s="105"/>
      <c r="W498" s="105"/>
      <c r="X498" s="105"/>
      <c r="Y498" s="105"/>
      <c r="Z498" s="105"/>
    </row>
    <row r="499">
      <c r="A499" s="105"/>
      <c r="B499" s="105" t="str">
        <f>IFERROR(__xludf.DUMMYFUNCTION("""COMPUTED_VALUE"""),"Database-related issue, GUI-related issue, Network issue, Permission/deprecation issue, Security issue, Program anomaly issue, Test code-related issue")</f>
        <v>Database-related issue, GUI-related issue, Network issue, Permission/deprecation issue, Security issue, Program anomaly issue, Test code-related issue</v>
      </c>
      <c r="C499" s="105"/>
      <c r="D499" s="105"/>
      <c r="E499" s="105"/>
      <c r="F499" s="105"/>
      <c r="G499" s="105"/>
      <c r="H499" s="105"/>
      <c r="I499" s="105"/>
      <c r="J499" s="105"/>
      <c r="K499" s="105"/>
      <c r="L499" s="105"/>
      <c r="M499" s="105"/>
      <c r="N499" s="105"/>
      <c r="O499" s="105"/>
      <c r="P499" s="105" t="str">
        <f>IFERROR(__xludf.DUMMYFUNCTION("""COMPUTED_VALUE"""),"objecting::clarification::about::code")</f>
        <v>objecting::clarification::about::code</v>
      </c>
      <c r="Q499" s="105"/>
      <c r="R499" s="105"/>
      <c r="S499" s="105"/>
      <c r="T499" s="105"/>
      <c r="U499" s="105"/>
      <c r="V499" s="105"/>
      <c r="W499" s="105"/>
      <c r="X499" s="105"/>
      <c r="Y499" s="105"/>
      <c r="Z499" s="105"/>
    </row>
    <row r="500">
      <c r="A500" s="105"/>
      <c r="B500" s="105" t="str">
        <f>IFERROR(__xludf.DUMMYFUNCTION("""COMPUTED_VALUE"""),"Database-related issue, GUI-related issue, Performance issue, Permission/deprecation issue, Security issue, Program anomaly issue, Test code-related issue")</f>
        <v>Database-related issue, GUI-related issue, Performance issue, Permission/deprecation issue, Security issue, Program anomaly issue, Test code-related issue</v>
      </c>
      <c r="C500" s="105"/>
      <c r="D500" s="105"/>
      <c r="E500" s="105"/>
      <c r="F500" s="105"/>
      <c r="G500" s="105"/>
      <c r="H500" s="105"/>
      <c r="I500" s="105"/>
      <c r="J500" s="105"/>
      <c r="K500" s="105"/>
      <c r="L500" s="105"/>
      <c r="M500" s="105"/>
      <c r="N500" s="105"/>
      <c r="O500" s="105"/>
      <c r="P500" s="105" t="str">
        <f>IFERROR(__xludf.DUMMYFUNCTION("""COMPUTED_VALUE"""),"objecting::clarification::about::code::(how::to::test::it)")</f>
        <v>objecting::clarification::about::code::(how::to::test::it)</v>
      </c>
      <c r="Q500" s="105"/>
      <c r="R500" s="105"/>
      <c r="S500" s="105"/>
      <c r="T500" s="105"/>
      <c r="U500" s="105"/>
      <c r="V500" s="105"/>
      <c r="W500" s="105"/>
      <c r="X500" s="105"/>
      <c r="Y500" s="105"/>
      <c r="Z500" s="105"/>
    </row>
    <row r="501">
      <c r="A501" s="105"/>
      <c r="B501" s="105" t="str">
        <f>IFERROR(__xludf.DUMMYFUNCTION("""COMPUTED_VALUE"""),"Database-related issue, Network issue, Performance issue, Permission/deprecation issue, Security issue, Program anomaly issue, Test code-related issue")</f>
        <v>Database-related issue, Network issue, Performance issue, Permission/deprecation issue, Security issue, Program anomaly issue, Test code-related issue</v>
      </c>
      <c r="C501" s="105"/>
      <c r="D501" s="105"/>
      <c r="E501" s="105"/>
      <c r="F501" s="105"/>
      <c r="G501" s="105"/>
      <c r="H501" s="105"/>
      <c r="I501" s="105"/>
      <c r="J501" s="105"/>
      <c r="K501" s="105"/>
      <c r="L501" s="105"/>
      <c r="M501" s="105"/>
      <c r="N501" s="105"/>
      <c r="O501" s="105"/>
      <c r="P501" s="105" t="str">
        <f>IFERROR(__xludf.DUMMYFUNCTION("""COMPUTED_VALUE"""),"objecting::clarification::about::code::(input::paramenter)")</f>
        <v>objecting::clarification::about::code::(input::paramenter)</v>
      </c>
      <c r="Q501" s="105"/>
      <c r="R501" s="105"/>
      <c r="S501" s="105"/>
      <c r="T501" s="105"/>
      <c r="U501" s="105"/>
      <c r="V501" s="105"/>
      <c r="W501" s="105"/>
      <c r="X501" s="105"/>
      <c r="Y501" s="105"/>
      <c r="Z501" s="105"/>
    </row>
    <row r="502">
      <c r="A502" s="105"/>
      <c r="B502" s="105" t="str">
        <f>IFERROR(__xludf.DUMMYFUNCTION("""COMPUTED_VALUE"""),"GUI-related issue, Network issue, Performance issue, Permission/deprecation issue, Security issue, Program anomaly issue, Test code-related issue")</f>
        <v>GUI-related issue, Network issue, Performance issue, Permission/deprecation issue, Security issue, Program anomaly issue, Test code-related issue</v>
      </c>
      <c r="C502" s="105"/>
      <c r="D502" s="105"/>
      <c r="E502" s="105"/>
      <c r="F502" s="105"/>
      <c r="G502" s="105"/>
      <c r="H502" s="105"/>
      <c r="I502" s="105"/>
      <c r="J502" s="105"/>
      <c r="K502" s="105"/>
      <c r="L502" s="105"/>
      <c r="M502" s="105"/>
      <c r="N502" s="105"/>
      <c r="O502" s="105"/>
      <c r="P502" s="105" t="str">
        <f>IFERROR(__xludf.DUMMYFUNCTION("""COMPUTED_VALUE"""),"objecting::clarification::about::code::(reason::of::the::design::tests)")</f>
        <v>objecting::clarification::about::code::(reason::of::the::design::tests)</v>
      </c>
      <c r="Q502" s="105"/>
      <c r="R502" s="105"/>
      <c r="S502" s="105"/>
      <c r="T502" s="105"/>
      <c r="U502" s="105"/>
      <c r="V502" s="105"/>
      <c r="W502" s="105"/>
      <c r="X502" s="105"/>
      <c r="Y502" s="105"/>
      <c r="Z502" s="105"/>
    </row>
    <row r="503">
      <c r="A503" s="105"/>
      <c r="B503" s="105" t="str">
        <f>IFERROR(__xludf.DUMMYFUNCTION("""COMPUTED_VALUE"""),"Configuration issue, Database-related issue, GUI-related issue, Network issue, Performance issue, Permission/deprecation issue, Program anomaly issue, Test code-related issue")</f>
        <v>Configuration issue, Database-related issue, GUI-related issue, Network issue, Performance issue, Permission/deprecation issue, Program anomaly issue, Test code-related issue</v>
      </c>
      <c r="C503" s="105"/>
      <c r="D503" s="105"/>
      <c r="E503" s="105"/>
      <c r="F503" s="105"/>
      <c r="G503" s="105"/>
      <c r="H503" s="105"/>
      <c r="I503" s="105"/>
      <c r="J503" s="105"/>
      <c r="K503" s="105"/>
      <c r="L503" s="105"/>
      <c r="M503" s="105"/>
      <c r="N503" s="105"/>
      <c r="O503" s="105"/>
      <c r="P503" s="105" t="str">
        <f>IFERROR(__xludf.DUMMYFUNCTION("""COMPUTED_VALUE"""),"objecting::clarification::intended::solution::design::(does::not::apply)")</f>
        <v>objecting::clarification::intended::solution::design::(does::not::apply)</v>
      </c>
      <c r="Q503" s="105"/>
      <c r="R503" s="105"/>
      <c r="S503" s="105"/>
      <c r="T503" s="105"/>
      <c r="U503" s="105"/>
      <c r="V503" s="105"/>
      <c r="W503" s="105"/>
      <c r="X503" s="105"/>
      <c r="Y503" s="105"/>
      <c r="Z503" s="105"/>
    </row>
    <row r="504">
      <c r="A504" s="105"/>
      <c r="B504" s="105" t="str">
        <f>IFERROR(__xludf.DUMMYFUNCTION("""COMPUTED_VALUE"""),"Configuration issue, Database-related issue, GUI-related issue, Network issue, Performance issue, Permission/deprecation issue, Security issue, Program anomaly issue")</f>
        <v>Configuration issue, Database-related issue, GUI-related issue, Network issue, Performance issue, Permission/deprecation issue, Security issue, Program anomaly issue</v>
      </c>
      <c r="C504" s="105"/>
      <c r="D504" s="105"/>
      <c r="E504" s="105"/>
      <c r="F504" s="105"/>
      <c r="G504" s="105"/>
      <c r="H504" s="105"/>
      <c r="I504" s="105"/>
      <c r="J504" s="105"/>
      <c r="K504" s="105"/>
      <c r="L504" s="105"/>
      <c r="M504" s="105"/>
      <c r="N504" s="105"/>
      <c r="O504" s="105"/>
      <c r="P504" s="105" t="str">
        <f>IFERROR(__xludf.DUMMYFUNCTION("""COMPUTED_VALUE"""),"objecting::clarification::intended::solution::design::(it::is::a::new::BP)")</f>
        <v>objecting::clarification::intended::solution::design::(it::is::a::new::BP)</v>
      </c>
      <c r="Q504" s="105"/>
      <c r="R504" s="105"/>
      <c r="S504" s="105"/>
      <c r="T504" s="105"/>
      <c r="U504" s="105"/>
      <c r="V504" s="105"/>
      <c r="W504" s="105"/>
      <c r="X504" s="105"/>
      <c r="Y504" s="105"/>
      <c r="Z504" s="105"/>
    </row>
    <row r="505">
      <c r="A505" s="105"/>
      <c r="B505" s="105" t="str">
        <f>IFERROR(__xludf.DUMMYFUNCTION("""COMPUTED_VALUE"""),"Configuration issue, Database-related issue, GUI-related issue, Network issue, Performance issue, Permission/deprecation issue, Security issue, Test code-related issue")</f>
        <v>Configuration issue, Database-related issue, GUI-related issue, Network issue, Performance issue, Permission/deprecation issue, Security issue, Test code-related issue</v>
      </c>
      <c r="C505" s="105"/>
      <c r="D505" s="105"/>
      <c r="E505" s="105"/>
      <c r="F505" s="105"/>
      <c r="G505" s="105"/>
      <c r="H505" s="105"/>
      <c r="I505" s="105"/>
      <c r="J505" s="105"/>
      <c r="K505" s="105"/>
      <c r="L505" s="105"/>
      <c r="M505" s="105"/>
      <c r="N505" s="105"/>
      <c r="O505" s="105"/>
      <c r="P505" s="105" t="str">
        <f>IFERROR(__xludf.DUMMYFUNCTION("""COMPUTED_VALUE"""),"objecting::code::(approach::change::config::file)")</f>
        <v>objecting::code::(approach::change::config::file)</v>
      </c>
      <c r="Q505" s="105"/>
      <c r="R505" s="105"/>
      <c r="S505" s="105"/>
      <c r="T505" s="105"/>
      <c r="U505" s="105"/>
      <c r="V505" s="105"/>
      <c r="W505" s="105"/>
      <c r="X505" s="105"/>
      <c r="Y505" s="105"/>
      <c r="Z505" s="105"/>
    </row>
    <row r="506">
      <c r="A506" s="105"/>
      <c r="B506" s="105" t="str">
        <f>IFERROR(__xludf.DUMMYFUNCTION("""COMPUTED_VALUE"""),"Configuration issue, Database-related issue, GUI-related issue, Network issue, Performance issue, Security issue, Program anomaly issue, Test code-related issue")</f>
        <v>Configuration issue, Database-related issue, GUI-related issue, Network issue, Performance issue, Security issue, Program anomaly issue, Test code-related issue</v>
      </c>
      <c r="C506" s="105"/>
      <c r="D506" s="105"/>
      <c r="E506" s="105"/>
      <c r="F506" s="105"/>
      <c r="G506" s="105"/>
      <c r="H506" s="105"/>
      <c r="I506" s="105"/>
      <c r="J506" s="105"/>
      <c r="K506" s="105"/>
      <c r="L506" s="105"/>
      <c r="M506" s="105"/>
      <c r="N506" s="105"/>
      <c r="O506" s="105"/>
      <c r="P506" s="105" t="str">
        <f>IFERROR(__xludf.DUMMYFUNCTION("""COMPUTED_VALUE"""),"objecting::code::(need::of::config::parameters)")</f>
        <v>objecting::code::(need::of::config::parameters)</v>
      </c>
      <c r="Q506" s="105"/>
      <c r="R506" s="105"/>
      <c r="S506" s="105"/>
      <c r="T506" s="105"/>
      <c r="U506" s="105"/>
      <c r="V506" s="105"/>
      <c r="W506" s="105"/>
      <c r="X506" s="105"/>
      <c r="Y506" s="105"/>
      <c r="Z506" s="105"/>
    </row>
    <row r="507">
      <c r="A507" s="105"/>
      <c r="B507" s="105" t="str">
        <f>IFERROR(__xludf.DUMMYFUNCTION("""COMPUTED_VALUE"""),"Configuration issue, Database-related issue, GUI-related issue, Network issue, Permission/deprecation issue, Security issue, Program anomaly issue, Test code-related issue")</f>
        <v>Configuration issue, Database-related issue, GUI-related issue, Network issue, Permission/deprecation issue, Security issue, Program anomaly issue, Test code-related issue</v>
      </c>
      <c r="C507" s="105"/>
      <c r="D507" s="105"/>
      <c r="E507" s="105"/>
      <c r="F507" s="105"/>
      <c r="G507" s="105"/>
      <c r="H507" s="105"/>
      <c r="I507" s="105"/>
      <c r="J507" s="105"/>
      <c r="K507" s="105"/>
      <c r="L507" s="105"/>
      <c r="M507" s="105"/>
      <c r="N507" s="105"/>
      <c r="O507" s="105"/>
      <c r="P507" s="105" t="str">
        <f>IFERROR(__xludf.DUMMYFUNCTION("""COMPUTED_VALUE"""),"objecting::current::approach::(change::for::api::version)")</f>
        <v>objecting::current::approach::(change::for::api::version)</v>
      </c>
      <c r="Q507" s="105"/>
      <c r="R507" s="105"/>
      <c r="S507" s="105"/>
      <c r="T507" s="105"/>
      <c r="U507" s="105"/>
      <c r="V507" s="105"/>
      <c r="W507" s="105"/>
      <c r="X507" s="105"/>
      <c r="Y507" s="105"/>
      <c r="Z507" s="105"/>
    </row>
    <row r="508">
      <c r="A508" s="105"/>
      <c r="B508" s="105" t="str">
        <f>IFERROR(__xludf.DUMMYFUNCTION("""COMPUTED_VALUE"""),"Configuration issue, Database-related issue, GUI-related issue, Performance issue, Permission/deprecation issue, Security issue, Program anomaly issue, Test code-related issue")</f>
        <v>Configuration issue, Database-related issue, GUI-related issue, Performance issue, Permission/deprecation issue, Security issue, Program anomaly issue, Test code-related issue</v>
      </c>
      <c r="C508" s="105"/>
      <c r="D508" s="105"/>
      <c r="E508" s="105"/>
      <c r="F508" s="105"/>
      <c r="G508" s="105"/>
      <c r="H508" s="105"/>
      <c r="I508" s="105"/>
      <c r="J508" s="105"/>
      <c r="K508" s="105"/>
      <c r="L508" s="105"/>
      <c r="M508" s="105"/>
      <c r="N508" s="105"/>
      <c r="O508" s="105"/>
      <c r="P508" s="105" t="str">
        <f>IFERROR(__xludf.DUMMYFUNCTION("""COMPUTED_VALUE"""),"objecting::informing::conflicts::with::existing::dependency::(another::project)::of::the::change::(egg::and::chicken)")</f>
        <v>objecting::informing::conflicts::with::existing::dependency::(another::project)::of::the::change::(egg::and::chicken)</v>
      </c>
      <c r="Q508" s="105"/>
      <c r="R508" s="105"/>
      <c r="S508" s="105"/>
      <c r="T508" s="105"/>
      <c r="U508" s="105"/>
      <c r="V508" s="105"/>
      <c r="W508" s="105"/>
      <c r="X508" s="105"/>
      <c r="Y508" s="105"/>
      <c r="Z508" s="105"/>
    </row>
    <row r="509">
      <c r="A509" s="105"/>
      <c r="B509" s="105" t="str">
        <f>IFERROR(__xludf.DUMMYFUNCTION("""COMPUTED_VALUE"""),"Configuration issue, Database-related issue, Network issue, Performance issue, Permission/deprecation issue, Security issue, Program anomaly issue, Test code-related issue")</f>
        <v>Configuration issue, Database-related issue, Network issue, Performance issue, Permission/deprecation issue, Security issue, Program anomaly issue, Test code-related issue</v>
      </c>
      <c r="C509" s="105"/>
      <c r="D509" s="105"/>
      <c r="E509" s="105"/>
      <c r="F509" s="105"/>
      <c r="G509" s="105"/>
      <c r="H509" s="105"/>
      <c r="I509" s="105"/>
      <c r="J509" s="105"/>
      <c r="K509" s="105"/>
      <c r="L509" s="105"/>
      <c r="M509" s="105"/>
      <c r="N509" s="105"/>
      <c r="O509" s="105"/>
      <c r="P509" s="105" t="str">
        <f>IFERROR(__xludf.DUMMYFUNCTION("""COMPUTED_VALUE"""),"objecting::intended::refactoring::(naming)")</f>
        <v>objecting::intended::refactoring::(naming)</v>
      </c>
      <c r="Q509" s="105"/>
      <c r="R509" s="105"/>
      <c r="S509" s="105"/>
      <c r="T509" s="105"/>
      <c r="U509" s="105"/>
      <c r="V509" s="105"/>
      <c r="W509" s="105"/>
      <c r="X509" s="105"/>
      <c r="Y509" s="105"/>
      <c r="Z509" s="105"/>
    </row>
    <row r="510">
      <c r="A510" s="105"/>
      <c r="B510" s="105" t="str">
        <f>IFERROR(__xludf.DUMMYFUNCTION("""COMPUTED_VALUE"""),"Configuration issue, GUI-related issue, Network issue, Performance issue, Permission/deprecation issue, Security issue, Program anomaly issue, Test code-related issue")</f>
        <v>Configuration issue, GUI-related issue, Network issue, Performance issue, Permission/deprecation issue, Security issue, Program anomaly issue, Test code-related issue</v>
      </c>
      <c r="C510" s="105"/>
      <c r="D510" s="105"/>
      <c r="E510" s="105"/>
      <c r="F510" s="105"/>
      <c r="G510" s="105"/>
      <c r="H510" s="105"/>
      <c r="I510" s="105"/>
      <c r="J510" s="105"/>
      <c r="K510" s="105"/>
      <c r="L510" s="105"/>
      <c r="M510" s="105"/>
      <c r="N510" s="105"/>
      <c r="O510" s="105"/>
      <c r="P510" s="105" t="str">
        <f>IFERROR(__xludf.DUMMYFUNCTION("""COMPUTED_VALUE"""),"objecting::intended::solution::design")</f>
        <v>objecting::intended::solution::design</v>
      </c>
      <c r="Q510" s="105"/>
      <c r="R510" s="105"/>
      <c r="S510" s="105"/>
      <c r="T510" s="105"/>
      <c r="U510" s="105"/>
      <c r="V510" s="105"/>
      <c r="W510" s="105"/>
      <c r="X510" s="105"/>
      <c r="Y510" s="105"/>
      <c r="Z510" s="105"/>
    </row>
    <row r="511">
      <c r="A511" s="105"/>
      <c r="B511" s="105" t="str">
        <f>IFERROR(__xludf.DUMMYFUNCTION("""COMPUTED_VALUE"""),"Database-related issue, GUI-related issue, Network issue, Performance issue, Permission/deprecation issue, Security issue, Program anomaly issue, Test code-related issue")</f>
        <v>Database-related issue, GUI-related issue, Network issue, Performance issue, Permission/deprecation issue, Security issue, Program anomaly issue, Test code-related issue</v>
      </c>
      <c r="C511" s="105"/>
      <c r="D511" s="105"/>
      <c r="E511" s="105"/>
      <c r="F511" s="105"/>
      <c r="G511" s="105"/>
      <c r="H511" s="105"/>
      <c r="I511" s="105"/>
      <c r="J511" s="105"/>
      <c r="K511" s="105"/>
      <c r="L511" s="105"/>
      <c r="M511" s="105"/>
      <c r="N511" s="105"/>
      <c r="O511" s="105"/>
      <c r="P511" s="105" t="str">
        <f>IFERROR(__xludf.DUMMYFUNCTION("""COMPUTED_VALUE"""),"objecting::move:.the::changes:.to::different::patch::(new::patch)")</f>
        <v>objecting::move:.the::changes:.to::different::patch::(new::patch)</v>
      </c>
      <c r="Q511" s="105"/>
      <c r="R511" s="105"/>
      <c r="S511" s="105"/>
      <c r="T511" s="105"/>
      <c r="U511" s="105"/>
      <c r="V511" s="105"/>
      <c r="W511" s="105"/>
      <c r="X511" s="105"/>
      <c r="Y511" s="105"/>
      <c r="Z511" s="105"/>
    </row>
    <row r="512">
      <c r="A512" s="105"/>
      <c r="B512" s="105" t="str">
        <f>IFERROR(__xludf.DUMMYFUNCTION("""COMPUTED_VALUE"""),"Configuration issue, Database-related issue, GUI-related issue, Network issue, Performance issue, Permission/deprecation issue, Security issue, Program anomaly issue, Test code-related issue")</f>
        <v>Configuration issue, Database-related issue, GUI-related issue, Network issue, Performance issue, Permission/deprecation issue, Security issue, Program anomaly issue, Test code-related issue</v>
      </c>
      <c r="C512" s="105"/>
      <c r="D512" s="105"/>
      <c r="E512" s="105"/>
      <c r="F512" s="105"/>
      <c r="G512" s="105"/>
      <c r="H512" s="105"/>
      <c r="I512" s="105"/>
      <c r="J512" s="105"/>
      <c r="K512" s="105"/>
      <c r="L512" s="105"/>
      <c r="M512" s="105"/>
      <c r="N512" s="105"/>
      <c r="O512" s="105"/>
      <c r="P512" s="105" t="str">
        <f>IFERROR(__xludf.DUMMYFUNCTION("""COMPUTED_VALUE"""),"objecting::objecting::suggestion::change::(move::logic)")</f>
        <v>objecting::objecting::suggestion::change::(move::logic)</v>
      </c>
      <c r="Q512" s="105"/>
      <c r="R512" s="105"/>
      <c r="S512" s="105"/>
      <c r="T512" s="105"/>
      <c r="U512" s="105"/>
      <c r="V512" s="105"/>
      <c r="W512" s="105"/>
      <c r="X512" s="105"/>
      <c r="Y512" s="105"/>
      <c r="Z512" s="105"/>
    </row>
    <row r="513">
      <c r="A513" s="105"/>
      <c r="B513" s="105"/>
      <c r="C513" s="105"/>
      <c r="D513" s="105"/>
      <c r="E513" s="105"/>
      <c r="F513" s="105"/>
      <c r="G513" s="105"/>
      <c r="H513" s="105"/>
      <c r="I513" s="105"/>
      <c r="J513" s="105"/>
      <c r="K513" s="105"/>
      <c r="L513" s="105"/>
      <c r="M513" s="105"/>
      <c r="N513" s="105"/>
      <c r="O513" s="105"/>
      <c r="P513" s="105" t="str">
        <f>IFERROR(__xludf.DUMMYFUNCTION("""COMPUTED_VALUE"""),"objecting::objecting::suggestion::refactoring::(move::logic)")</f>
        <v>objecting::objecting::suggestion::refactoring::(move::logic)</v>
      </c>
      <c r="Q513" s="105"/>
      <c r="R513" s="105"/>
      <c r="S513" s="105"/>
      <c r="T513" s="105"/>
      <c r="U513" s="105"/>
      <c r="V513" s="105"/>
      <c r="W513" s="105"/>
      <c r="X513" s="105"/>
      <c r="Y513" s="105"/>
      <c r="Z513" s="105"/>
    </row>
    <row r="514">
      <c r="A514" s="105"/>
      <c r="B514" s="105"/>
      <c r="C514" s="105"/>
      <c r="D514" s="105"/>
      <c r="E514" s="105"/>
      <c r="F514" s="105"/>
      <c r="G514" s="105"/>
      <c r="H514" s="105"/>
      <c r="I514" s="105"/>
      <c r="J514" s="105"/>
      <c r="K514" s="105"/>
      <c r="L514" s="105"/>
      <c r="M514" s="105"/>
      <c r="N514" s="105"/>
      <c r="O514" s="105"/>
      <c r="P514" s="105" t="str">
        <f>IFERROR(__xludf.DUMMYFUNCTION("""COMPUTED_VALUE"""),"objecting::objection::suggestion::refactoring::(unnecesary::loop)")</f>
        <v>objecting::objection::suggestion::refactoring::(unnecesary::loop)</v>
      </c>
      <c r="Q514" s="105"/>
      <c r="R514" s="105"/>
      <c r="S514" s="105"/>
      <c r="T514" s="105"/>
      <c r="U514" s="105"/>
      <c r="V514" s="105"/>
      <c r="W514" s="105"/>
      <c r="X514" s="105"/>
      <c r="Y514" s="105"/>
      <c r="Z514" s="105"/>
    </row>
    <row r="515">
      <c r="A515" s="105"/>
      <c r="B515" s="105"/>
      <c r="C515" s="105"/>
      <c r="D515" s="105"/>
      <c r="E515" s="105"/>
      <c r="F515" s="105"/>
      <c r="G515" s="105"/>
      <c r="H515" s="105"/>
      <c r="I515" s="105"/>
      <c r="J515" s="105"/>
      <c r="K515" s="105"/>
      <c r="L515" s="105"/>
      <c r="M515" s="105"/>
      <c r="N515" s="105"/>
      <c r="O515" s="105"/>
      <c r="P515" s="105" t="str">
        <f>IFERROR(__xludf.DUMMYFUNCTION("""COMPUTED_VALUE"""),"objecting::objection::suggestion::refactoring::(use::method/function)")</f>
        <v>objecting::objection::suggestion::refactoring::(use::method/function)</v>
      </c>
      <c r="Q515" s="105"/>
      <c r="R515" s="105"/>
      <c r="S515" s="105"/>
      <c r="T515" s="105"/>
      <c r="U515" s="105"/>
      <c r="V515" s="105"/>
      <c r="W515" s="105"/>
      <c r="X515" s="105"/>
      <c r="Y515" s="105"/>
      <c r="Z515" s="105"/>
    </row>
    <row r="516">
      <c r="A516" s="105"/>
      <c r="B516" s="105"/>
      <c r="C516" s="105"/>
      <c r="D516" s="105"/>
      <c r="E516" s="105"/>
      <c r="F516" s="105"/>
      <c r="G516" s="105"/>
      <c r="H516" s="105"/>
      <c r="I516" s="105"/>
      <c r="J516" s="105"/>
      <c r="K516" s="105"/>
      <c r="L516" s="105"/>
      <c r="M516" s="105"/>
      <c r="N516" s="105"/>
      <c r="O516" s="105"/>
      <c r="P516" s="105" t="str">
        <f>IFERROR(__xludf.DUMMYFUNCTION("""COMPUTED_VALUE"""),"objecting::providing::instructions::for::release::next:.development:.cycle")</f>
        <v>objecting::providing::instructions::for::release::next:.development:.cycle</v>
      </c>
      <c r="Q516" s="105"/>
      <c r="R516" s="105"/>
      <c r="S516" s="105"/>
      <c r="T516" s="105"/>
      <c r="U516" s="105"/>
      <c r="V516" s="105"/>
      <c r="W516" s="105"/>
      <c r="X516" s="105"/>
      <c r="Y516" s="105"/>
      <c r="Z516" s="105"/>
    </row>
    <row r="517">
      <c r="A517" s="105"/>
      <c r="B517" s="105"/>
      <c r="C517" s="105"/>
      <c r="D517" s="105"/>
      <c r="E517" s="105"/>
      <c r="F517" s="105"/>
      <c r="G517" s="105"/>
      <c r="H517" s="105"/>
      <c r="I517" s="105"/>
      <c r="J517" s="105"/>
      <c r="K517" s="105"/>
      <c r="L517" s="105"/>
      <c r="M517" s="105"/>
      <c r="N517" s="105"/>
      <c r="O517" s="105"/>
      <c r="P517" s="105" t="str">
        <f>IFERROR(__xludf.DUMMYFUNCTION("""COMPUTED_VALUE"""),"objecting::refactoring::(style)")</f>
        <v>objecting::refactoring::(style)</v>
      </c>
      <c r="Q517" s="105"/>
      <c r="R517" s="105"/>
      <c r="S517" s="105"/>
      <c r="T517" s="105"/>
      <c r="U517" s="105"/>
      <c r="V517" s="105"/>
      <c r="W517" s="105"/>
      <c r="X517" s="105"/>
      <c r="Y517" s="105"/>
      <c r="Z517" s="105"/>
    </row>
    <row r="518">
      <c r="A518" s="105"/>
      <c r="B518" s="105"/>
      <c r="C518" s="105"/>
      <c r="D518" s="105"/>
      <c r="E518" s="105"/>
      <c r="F518" s="105"/>
      <c r="G518" s="105"/>
      <c r="H518" s="105"/>
      <c r="I518" s="105"/>
      <c r="J518" s="105"/>
      <c r="K518" s="105"/>
      <c r="L518" s="105"/>
      <c r="M518" s="105"/>
      <c r="N518" s="105"/>
      <c r="O518" s="105"/>
      <c r="P518" s="105" t="str">
        <f>IFERROR(__xludf.DUMMYFUNCTION("""COMPUTED_VALUE"""),"objecting::suggestion::about::code::(no::need::of::code)")</f>
        <v>objecting::suggestion::about::code::(no::need::of::code)</v>
      </c>
      <c r="Q518" s="105"/>
      <c r="R518" s="105"/>
      <c r="S518" s="105"/>
      <c r="T518" s="105"/>
      <c r="U518" s="105"/>
      <c r="V518" s="105"/>
      <c r="W518" s="105"/>
      <c r="X518" s="105"/>
      <c r="Y518" s="105"/>
      <c r="Z518" s="105"/>
    </row>
    <row r="519">
      <c r="A519" s="105"/>
      <c r="B519" s="105"/>
      <c r="C519" s="105"/>
      <c r="D519" s="105"/>
      <c r="E519" s="105"/>
      <c r="F519" s="105"/>
      <c r="G519" s="105"/>
      <c r="H519" s="105"/>
      <c r="I519" s="105"/>
      <c r="J519" s="105"/>
      <c r="K519" s="105"/>
      <c r="L519" s="105"/>
      <c r="M519" s="105"/>
      <c r="N519" s="105"/>
      <c r="O519" s="105"/>
      <c r="P519" s="105" t="str">
        <f>IFERROR(__xludf.DUMMYFUNCTION("""COMPUTED_VALUE"""),"objecting::suggestion::change::(architecture)")</f>
        <v>objecting::suggestion::change::(architecture)</v>
      </c>
      <c r="Q519" s="105"/>
      <c r="R519" s="105"/>
      <c r="S519" s="105"/>
      <c r="T519" s="105"/>
      <c r="U519" s="105"/>
      <c r="V519" s="105"/>
      <c r="W519" s="105"/>
      <c r="X519" s="105"/>
      <c r="Y519" s="105"/>
      <c r="Z519" s="105"/>
    </row>
    <row r="520">
      <c r="A520" s="105"/>
      <c r="B520" s="105"/>
      <c r="C520" s="105"/>
      <c r="D520" s="105"/>
      <c r="E520" s="105"/>
      <c r="F520" s="105"/>
      <c r="G520" s="105"/>
      <c r="H520" s="105"/>
      <c r="I520" s="105"/>
      <c r="J520" s="105"/>
      <c r="K520" s="105"/>
      <c r="L520" s="105"/>
      <c r="M520" s="105"/>
      <c r="N520" s="105"/>
      <c r="O520" s="105"/>
      <c r="P520" s="105" t="str">
        <f>IFERROR(__xludf.DUMMYFUNCTION("""COMPUTED_VALUE"""),"objecting::suggestion::change::(change::input::parameter)")</f>
        <v>objecting::suggestion::change::(change::input::parameter)</v>
      </c>
      <c r="Q520" s="105"/>
      <c r="R520" s="105"/>
      <c r="S520" s="105"/>
      <c r="T520" s="105"/>
      <c r="U520" s="105"/>
      <c r="V520" s="105"/>
      <c r="W520" s="105"/>
      <c r="X520" s="105"/>
      <c r="Y520" s="105"/>
      <c r="Z520" s="105"/>
    </row>
    <row r="521">
      <c r="A521" s="105"/>
      <c r="B521" s="105"/>
      <c r="C521" s="105"/>
      <c r="D521" s="105"/>
      <c r="E521" s="105"/>
      <c r="F521" s="105"/>
      <c r="G521" s="105"/>
      <c r="H521" s="105"/>
      <c r="I521" s="105"/>
      <c r="J521" s="105"/>
      <c r="K521" s="105"/>
      <c r="L521" s="105"/>
      <c r="M521" s="105"/>
      <c r="N521" s="105"/>
      <c r="O521" s="105"/>
      <c r="P521" s="105" t="str">
        <f>IFERROR(__xludf.DUMMYFUNCTION("""COMPUTED_VALUE"""),"objecting::suggestion::change::(change::method)")</f>
        <v>objecting::suggestion::change::(change::method)</v>
      </c>
      <c r="Q521" s="105"/>
      <c r="R521" s="105"/>
      <c r="S521" s="105"/>
      <c r="T521" s="105"/>
      <c r="U521" s="105"/>
      <c r="V521" s="105"/>
      <c r="W521" s="105"/>
      <c r="X521" s="105"/>
      <c r="Y521" s="105"/>
      <c r="Z521" s="105"/>
    </row>
    <row r="522">
      <c r="A522" s="105"/>
      <c r="B522" s="105"/>
      <c r="C522" s="105"/>
      <c r="D522" s="105"/>
      <c r="E522" s="105"/>
      <c r="F522" s="105"/>
      <c r="G522" s="105"/>
      <c r="H522" s="105"/>
      <c r="I522" s="105"/>
      <c r="J522" s="105"/>
      <c r="K522" s="105"/>
      <c r="L522" s="105"/>
      <c r="M522" s="105"/>
      <c r="N522" s="105"/>
      <c r="O522" s="105"/>
      <c r="P522" s="105" t="str">
        <f>IFERROR(__xludf.DUMMYFUNCTION("""COMPUTED_VALUE"""),"objecting::suggestion::change::(change::type)")</f>
        <v>objecting::suggestion::change::(change::type)</v>
      </c>
      <c r="Q522" s="105"/>
      <c r="R522" s="105"/>
      <c r="S522" s="105"/>
      <c r="T522" s="105"/>
      <c r="U522" s="105"/>
      <c r="V522" s="105"/>
      <c r="W522" s="105"/>
      <c r="X522" s="105"/>
      <c r="Y522" s="105"/>
      <c r="Z522" s="105"/>
    </row>
    <row r="523">
      <c r="A523" s="105"/>
      <c r="B523" s="105"/>
      <c r="C523" s="105"/>
      <c r="D523" s="105"/>
      <c r="E523" s="105"/>
      <c r="F523" s="105"/>
      <c r="G523" s="105"/>
      <c r="H523" s="105"/>
      <c r="I523" s="105"/>
      <c r="J523" s="105"/>
      <c r="K523" s="105"/>
      <c r="L523" s="105"/>
      <c r="M523" s="105"/>
      <c r="N523" s="105"/>
      <c r="O523" s="105"/>
      <c r="P523" s="105" t="str">
        <f>IFERROR(__xludf.DUMMYFUNCTION("""COMPUTED_VALUE"""),"objecting::suggestion::change::(database::query)")</f>
        <v>objecting::suggestion::change::(database::query)</v>
      </c>
      <c r="Q523" s="105"/>
      <c r="R523" s="105"/>
      <c r="S523" s="105"/>
      <c r="T523" s="105"/>
      <c r="U523" s="105"/>
      <c r="V523" s="105"/>
      <c r="W523" s="105"/>
      <c r="X523" s="105"/>
      <c r="Y523" s="105"/>
      <c r="Z523" s="105"/>
    </row>
    <row r="524">
      <c r="A524" s="105"/>
      <c r="B524" s="105"/>
      <c r="C524" s="105"/>
      <c r="D524" s="105"/>
      <c r="E524" s="105"/>
      <c r="F524" s="105"/>
      <c r="G524" s="105"/>
      <c r="H524" s="105"/>
      <c r="I524" s="105"/>
      <c r="J524" s="105"/>
      <c r="K524" s="105"/>
      <c r="L524" s="105"/>
      <c r="M524" s="105"/>
      <c r="N524" s="105"/>
      <c r="O524" s="105"/>
      <c r="P524" s="105" t="str">
        <f>IFERROR(__xludf.DUMMYFUNCTION("""COMPUTED_VALUE"""),"objecting::suggestion::change::(default::values)")</f>
        <v>objecting::suggestion::change::(default::values)</v>
      </c>
      <c r="Q524" s="105"/>
      <c r="R524" s="105"/>
      <c r="S524" s="105"/>
      <c r="T524" s="105"/>
      <c r="U524" s="105"/>
      <c r="V524" s="105"/>
      <c r="W524" s="105"/>
      <c r="X524" s="105"/>
      <c r="Y524" s="105"/>
      <c r="Z524" s="105"/>
    </row>
    <row r="525">
      <c r="A525" s="105"/>
      <c r="B525" s="105"/>
      <c r="C525" s="105"/>
      <c r="D525" s="105"/>
      <c r="E525" s="105"/>
      <c r="F525" s="105"/>
      <c r="G525" s="105"/>
      <c r="H525" s="105"/>
      <c r="I525" s="105"/>
      <c r="J525" s="105"/>
      <c r="K525" s="105"/>
      <c r="L525" s="105"/>
      <c r="M525" s="105"/>
      <c r="N525" s="105"/>
      <c r="O525" s="105"/>
      <c r="P525" s="105" t="str">
        <f>IFERROR(__xludf.DUMMYFUNCTION("""COMPUTED_VALUE"""),"objecting::suggestion::change::(design::access::modifiers)")</f>
        <v>objecting::suggestion::change::(design::access::modifiers)</v>
      </c>
      <c r="Q525" s="105"/>
      <c r="R525" s="105"/>
      <c r="S525" s="105"/>
      <c r="T525" s="105"/>
      <c r="U525" s="105"/>
      <c r="V525" s="105"/>
      <c r="W525" s="105"/>
      <c r="X525" s="105"/>
      <c r="Y525" s="105"/>
      <c r="Z525" s="105"/>
    </row>
    <row r="526">
      <c r="A526" s="105"/>
      <c r="B526" s="105"/>
      <c r="C526" s="105"/>
      <c r="D526" s="105"/>
      <c r="E526" s="105"/>
      <c r="F526" s="105"/>
      <c r="G526" s="105"/>
      <c r="H526" s="105"/>
      <c r="I526" s="105"/>
      <c r="J526" s="105"/>
      <c r="K526" s="105"/>
      <c r="L526" s="105"/>
      <c r="M526" s="105"/>
      <c r="N526" s="105"/>
      <c r="O526" s="105"/>
      <c r="P526" s="105" t="str">
        <f>IFERROR(__xludf.DUMMYFUNCTION("""COMPUTED_VALUE"""),"objecting::suggestion::change::(documentation::docstring)")</f>
        <v>objecting::suggestion::change::(documentation::docstring)</v>
      </c>
      <c r="Q526" s="105"/>
      <c r="R526" s="105"/>
      <c r="S526" s="105"/>
      <c r="T526" s="105"/>
      <c r="U526" s="105"/>
      <c r="V526" s="105"/>
      <c r="W526" s="105"/>
      <c r="X526" s="105"/>
      <c r="Y526" s="105"/>
      <c r="Z526" s="105"/>
    </row>
    <row r="527">
      <c r="A527" s="105"/>
      <c r="B527" s="105"/>
      <c r="C527" s="105"/>
      <c r="D527" s="105"/>
      <c r="E527" s="105"/>
      <c r="F527" s="105"/>
      <c r="G527" s="105"/>
      <c r="H527" s="105"/>
      <c r="I527" s="105"/>
      <c r="J527" s="105"/>
      <c r="K527" s="105"/>
      <c r="L527" s="105"/>
      <c r="M527" s="105"/>
      <c r="N527" s="105"/>
      <c r="O527" s="105"/>
      <c r="P527" s="105" t="str">
        <f>IFERROR(__xludf.DUMMYFUNCTION("""COMPUTED_VALUE"""),"objecting::suggestion::change::(documentation)")</f>
        <v>objecting::suggestion::change::(documentation)</v>
      </c>
      <c r="Q527" s="105"/>
      <c r="R527" s="105"/>
      <c r="S527" s="105"/>
      <c r="T527" s="105"/>
      <c r="U527" s="105"/>
      <c r="V527" s="105"/>
      <c r="W527" s="105"/>
      <c r="X527" s="105"/>
      <c r="Y527" s="105"/>
      <c r="Z527" s="105"/>
    </row>
    <row r="528">
      <c r="A528" s="105"/>
      <c r="B528" s="105"/>
      <c r="C528" s="105"/>
      <c r="D528" s="105"/>
      <c r="E528" s="105"/>
      <c r="F528" s="105"/>
      <c r="G528" s="105"/>
      <c r="H528" s="105"/>
      <c r="I528" s="105"/>
      <c r="J528" s="105"/>
      <c r="K528" s="105"/>
      <c r="L528" s="105"/>
      <c r="M528" s="105"/>
      <c r="N528" s="105"/>
      <c r="O528" s="105"/>
      <c r="P528" s="105" t="str">
        <f>IFERROR(__xludf.DUMMYFUNCTION("""COMPUTED_VALUE"""),"objecting::suggestion::change::(error::handling)")</f>
        <v>objecting::suggestion::change::(error::handling)</v>
      </c>
      <c r="Q528" s="105"/>
      <c r="R528" s="105"/>
      <c r="S528" s="105"/>
      <c r="T528" s="105"/>
      <c r="U528" s="105"/>
      <c r="V528" s="105"/>
      <c r="W528" s="105"/>
      <c r="X528" s="105"/>
      <c r="Y528" s="105"/>
      <c r="Z528" s="105"/>
    </row>
    <row r="529">
      <c r="A529" s="105"/>
      <c r="B529" s="105"/>
      <c r="C529" s="105"/>
      <c r="D529" s="105"/>
      <c r="E529" s="105"/>
      <c r="F529" s="105"/>
      <c r="G529" s="105"/>
      <c r="H529" s="105"/>
      <c r="I529" s="105"/>
      <c r="J529" s="105"/>
      <c r="K529" s="105"/>
      <c r="L529" s="105"/>
      <c r="M529" s="105"/>
      <c r="N529" s="105"/>
      <c r="O529" s="105"/>
      <c r="P529" s="105" t="str">
        <f>IFERROR(__xludf.DUMMYFUNCTION("""COMPUTED_VALUE"""),"objecting::suggestion::change::(exception::type)")</f>
        <v>objecting::suggestion::change::(exception::type)</v>
      </c>
      <c r="Q529" s="105"/>
      <c r="R529" s="105"/>
      <c r="S529" s="105"/>
      <c r="T529" s="105"/>
      <c r="U529" s="105"/>
      <c r="V529" s="105"/>
      <c r="W529" s="105"/>
      <c r="X529" s="105"/>
      <c r="Y529" s="105"/>
      <c r="Z529" s="105"/>
    </row>
    <row r="530">
      <c r="A530" s="105"/>
      <c r="B530" s="105"/>
      <c r="C530" s="105"/>
      <c r="D530" s="105"/>
      <c r="E530" s="105"/>
      <c r="F530" s="105"/>
      <c r="G530" s="105"/>
      <c r="H530" s="105"/>
      <c r="I530" s="105"/>
      <c r="J530" s="105"/>
      <c r="K530" s="105"/>
      <c r="L530" s="105"/>
      <c r="M530" s="105"/>
      <c r="N530" s="105"/>
      <c r="O530" s="105"/>
      <c r="P530" s="105" t="str">
        <f>IFERROR(__xludf.DUMMYFUNCTION("""COMPUTED_VALUE"""),"objecting::suggestion::change::(functionallity)")</f>
        <v>objecting::suggestion::change::(functionallity)</v>
      </c>
      <c r="Q530" s="105"/>
      <c r="R530" s="105"/>
      <c r="S530" s="105"/>
      <c r="T530" s="105"/>
      <c r="U530" s="105"/>
      <c r="V530" s="105"/>
      <c r="W530" s="105"/>
      <c r="X530" s="105"/>
      <c r="Y530" s="105"/>
      <c r="Z530" s="105"/>
    </row>
    <row r="531">
      <c r="A531" s="105"/>
      <c r="B531" s="105"/>
      <c r="C531" s="105"/>
      <c r="D531" s="105"/>
      <c r="E531" s="105"/>
      <c r="F531" s="105"/>
      <c r="G531" s="105"/>
      <c r="H531" s="105"/>
      <c r="I531" s="105"/>
      <c r="J531" s="105"/>
      <c r="K531" s="105"/>
      <c r="L531" s="105"/>
      <c r="M531" s="105"/>
      <c r="N531" s="105"/>
      <c r="O531" s="105"/>
      <c r="P531" s="105" t="str">
        <f>IFERROR(__xludf.DUMMYFUNCTION("""COMPUTED_VALUE"""),"objecting::suggestion::change::(logic)")</f>
        <v>objecting::suggestion::change::(logic)</v>
      </c>
      <c r="Q531" s="105"/>
      <c r="R531" s="105"/>
      <c r="S531" s="105"/>
      <c r="T531" s="105"/>
      <c r="U531" s="105"/>
      <c r="V531" s="105"/>
      <c r="W531" s="105"/>
      <c r="X531" s="105"/>
      <c r="Y531" s="105"/>
      <c r="Z531" s="105"/>
    </row>
    <row r="532">
      <c r="A532" s="105"/>
      <c r="B532" s="105"/>
      <c r="C532" s="105"/>
      <c r="D532" s="105"/>
      <c r="E532" s="105"/>
      <c r="F532" s="105"/>
      <c r="G532" s="105"/>
      <c r="H532" s="105"/>
      <c r="I532" s="105"/>
      <c r="J532" s="105"/>
      <c r="K532" s="105"/>
      <c r="L532" s="105"/>
      <c r="M532" s="105"/>
      <c r="N532" s="105"/>
      <c r="O532" s="105"/>
      <c r="P532" s="105" t="str">
        <f>IFERROR(__xludf.DUMMYFUNCTION("""COMPUTED_VALUE"""),"objecting::suggestion::change::(missing::tests)")</f>
        <v>objecting::suggestion::change::(missing::tests)</v>
      </c>
      <c r="Q532" s="105"/>
      <c r="R532" s="105"/>
      <c r="S532" s="105"/>
      <c r="T532" s="105"/>
      <c r="U532" s="105"/>
      <c r="V532" s="105"/>
      <c r="W532" s="105"/>
      <c r="X532" s="105"/>
      <c r="Y532" s="105"/>
      <c r="Z532" s="105"/>
    </row>
    <row r="533">
      <c r="A533" s="105"/>
      <c r="B533" s="105"/>
      <c r="C533" s="105"/>
      <c r="D533" s="105"/>
      <c r="E533" s="105"/>
      <c r="F533" s="105"/>
      <c r="G533" s="105"/>
      <c r="H533" s="105"/>
      <c r="I533" s="105"/>
      <c r="J533" s="105"/>
      <c r="K533" s="105"/>
      <c r="L533" s="105"/>
      <c r="M533" s="105"/>
      <c r="N533" s="105"/>
      <c r="O533" s="105"/>
      <c r="P533" s="105" t="str">
        <f>IFERROR(__xludf.DUMMYFUNCTION("""COMPUTED_VALUE"""),"objecting::suggestion::change::(move::logic)")</f>
        <v>objecting::suggestion::change::(move::logic)</v>
      </c>
      <c r="Q533" s="105"/>
      <c r="R533" s="105"/>
      <c r="S533" s="105"/>
      <c r="T533" s="105"/>
      <c r="U533" s="105"/>
      <c r="V533" s="105"/>
      <c r="W533" s="105"/>
      <c r="X533" s="105"/>
      <c r="Y533" s="105"/>
      <c r="Z533" s="105"/>
    </row>
    <row r="534">
      <c r="A534" s="105"/>
      <c r="B534" s="105"/>
      <c r="C534" s="105"/>
      <c r="D534" s="105"/>
      <c r="E534" s="105"/>
      <c r="F534" s="105"/>
      <c r="G534" s="105"/>
      <c r="H534" s="105"/>
      <c r="I534" s="105"/>
      <c r="J534" s="105"/>
      <c r="K534" s="105"/>
      <c r="L534" s="105"/>
      <c r="M534" s="105"/>
      <c r="N534" s="105"/>
      <c r="O534" s="105"/>
      <c r="P534" s="105" t="str">
        <f>IFERROR(__xludf.DUMMYFUNCTION("""COMPUTED_VALUE"""),"objecting::suggestion::change::(move::logic)::with::code")</f>
        <v>objecting::suggestion::change::(move::logic)::with::code</v>
      </c>
      <c r="Q534" s="105"/>
      <c r="R534" s="105"/>
      <c r="S534" s="105"/>
      <c r="T534" s="105"/>
      <c r="U534" s="105"/>
      <c r="V534" s="105"/>
      <c r="W534" s="105"/>
      <c r="X534" s="105"/>
      <c r="Y534" s="105"/>
      <c r="Z534" s="105"/>
    </row>
    <row r="535">
      <c r="A535" s="105"/>
      <c r="B535" s="105"/>
      <c r="C535" s="105"/>
      <c r="D535" s="105"/>
      <c r="E535" s="105"/>
      <c r="F535" s="105"/>
      <c r="G535" s="105"/>
      <c r="H535" s="105"/>
      <c r="I535" s="105"/>
      <c r="J535" s="105"/>
      <c r="K535" s="105"/>
      <c r="L535" s="105"/>
      <c r="M535" s="105"/>
      <c r="N535" s="105"/>
      <c r="O535" s="105"/>
      <c r="P535" s="105" t="str">
        <f>IFERROR(__xludf.DUMMYFUNCTION("""COMPUTED_VALUE"""),"objecting::suggestion::change::(prevent::failure)")</f>
        <v>objecting::suggestion::change::(prevent::failure)</v>
      </c>
      <c r="Q535" s="105"/>
      <c r="R535" s="105"/>
      <c r="S535" s="105"/>
      <c r="T535" s="105"/>
      <c r="U535" s="105"/>
      <c r="V535" s="105"/>
      <c r="W535" s="105"/>
      <c r="X535" s="105"/>
      <c r="Y535" s="105"/>
      <c r="Z535" s="105"/>
    </row>
    <row r="536">
      <c r="A536" s="105"/>
      <c r="B536" s="105"/>
      <c r="C536" s="105"/>
      <c r="D536" s="105"/>
      <c r="E536" s="105"/>
      <c r="F536" s="105"/>
      <c r="G536" s="105"/>
      <c r="H536" s="105"/>
      <c r="I536" s="105"/>
      <c r="J536" s="105"/>
      <c r="K536" s="105"/>
      <c r="L536" s="105"/>
      <c r="M536" s="105"/>
      <c r="N536" s="105"/>
      <c r="O536" s="105"/>
      <c r="P536" s="105" t="str">
        <f>IFERROR(__xludf.DUMMYFUNCTION("""COMPUTED_VALUE"""),"objecting::suggestion::change::(solution::design)")</f>
        <v>objecting::suggestion::change::(solution::design)</v>
      </c>
      <c r="Q536" s="105"/>
      <c r="R536" s="105"/>
      <c r="S536" s="105"/>
      <c r="T536" s="105"/>
      <c r="U536" s="105"/>
      <c r="V536" s="105"/>
      <c r="W536" s="105"/>
      <c r="X536" s="105"/>
      <c r="Y536" s="105"/>
      <c r="Z536" s="105"/>
    </row>
    <row r="537">
      <c r="A537" s="105"/>
      <c r="B537" s="105"/>
      <c r="C537" s="105"/>
      <c r="D537" s="105"/>
      <c r="E537" s="105"/>
      <c r="F537" s="105"/>
      <c r="G537" s="105"/>
      <c r="H537" s="105"/>
      <c r="I537" s="105"/>
      <c r="J537" s="105"/>
      <c r="K537" s="105"/>
      <c r="L537" s="105"/>
      <c r="M537" s="105"/>
      <c r="N537" s="105"/>
      <c r="O537" s="105"/>
      <c r="P537" s="105" t="str">
        <f>IFERROR(__xludf.DUMMYFUNCTION("""COMPUTED_VALUE"""),"objecting::suggestion::change::(test::design)")</f>
        <v>objecting::suggestion::change::(test::design)</v>
      </c>
      <c r="Q537" s="105"/>
      <c r="R537" s="105"/>
      <c r="S537" s="105"/>
      <c r="T537" s="105"/>
      <c r="U537" s="105"/>
      <c r="V537" s="105"/>
      <c r="W537" s="105"/>
      <c r="X537" s="105"/>
      <c r="Y537" s="105"/>
      <c r="Z537" s="105"/>
    </row>
    <row r="538">
      <c r="A538" s="105"/>
      <c r="B538" s="105"/>
      <c r="C538" s="105"/>
      <c r="D538" s="105"/>
      <c r="E538" s="105"/>
      <c r="F538" s="105"/>
      <c r="G538" s="105"/>
      <c r="H538" s="105"/>
      <c r="I538" s="105"/>
      <c r="J538" s="105"/>
      <c r="K538" s="105"/>
      <c r="L538" s="105"/>
      <c r="M538" s="105"/>
      <c r="N538" s="105"/>
      <c r="O538" s="105"/>
      <c r="P538" s="105" t="str">
        <f>IFERROR(__xludf.DUMMYFUNCTION("""COMPUTED_VALUE"""),"objecting::suggestion::change::(tests::result::specific::case)")</f>
        <v>objecting::suggestion::change::(tests::result::specific::case)</v>
      </c>
      <c r="Q538" s="105"/>
      <c r="R538" s="105"/>
      <c r="S538" s="105"/>
      <c r="T538" s="105"/>
      <c r="U538" s="105"/>
      <c r="V538" s="105"/>
      <c r="W538" s="105"/>
      <c r="X538" s="105"/>
      <c r="Y538" s="105"/>
      <c r="Z538" s="105"/>
    </row>
    <row r="539">
      <c r="A539" s="105"/>
      <c r="B539" s="105"/>
      <c r="C539" s="105"/>
      <c r="D539" s="105"/>
      <c r="E539" s="105"/>
      <c r="F539" s="105"/>
      <c r="G539" s="105"/>
      <c r="H539" s="105"/>
      <c r="I539" s="105"/>
      <c r="J539" s="105"/>
      <c r="K539" s="105"/>
      <c r="L539" s="105"/>
      <c r="M539" s="105"/>
      <c r="N539" s="105"/>
      <c r="O539" s="105"/>
      <c r="P539" s="105" t="str">
        <f>IFERROR(__xludf.DUMMYFUNCTION("""COMPUTED_VALUE"""),"objecting::suggestion::change::(to::mantain::bacward::compatibility)")</f>
        <v>objecting::suggestion::change::(to::mantain::bacward::compatibility)</v>
      </c>
      <c r="Q539" s="105"/>
      <c r="R539" s="105"/>
      <c r="S539" s="105"/>
      <c r="T539" s="105"/>
      <c r="U539" s="105"/>
      <c r="V539" s="105"/>
      <c r="W539" s="105"/>
      <c r="X539" s="105"/>
      <c r="Y539" s="105"/>
      <c r="Z539" s="105"/>
    </row>
    <row r="540">
      <c r="A540" s="105"/>
      <c r="B540" s="105"/>
      <c r="C540" s="105"/>
      <c r="D540" s="105"/>
      <c r="E540" s="105"/>
      <c r="F540" s="105"/>
      <c r="G540" s="105"/>
      <c r="H540" s="105"/>
      <c r="I540" s="105"/>
      <c r="J540" s="105"/>
      <c r="K540" s="105"/>
      <c r="L540" s="105"/>
      <c r="M540" s="105"/>
      <c r="N540" s="105"/>
      <c r="O540" s="105"/>
      <c r="P540" s="105" t="str">
        <f>IFERROR(__xludf.DUMMYFUNCTION("""COMPUTED_VALUE"""),"objecting::suggestion::change::(typo)")</f>
        <v>objecting::suggestion::change::(typo)</v>
      </c>
      <c r="Q540" s="105"/>
      <c r="R540" s="105"/>
      <c r="S540" s="105"/>
      <c r="T540" s="105"/>
      <c r="U540" s="105"/>
      <c r="V540" s="105"/>
      <c r="W540" s="105"/>
      <c r="X540" s="105"/>
      <c r="Y540" s="105"/>
      <c r="Z540" s="105"/>
    </row>
    <row r="541">
      <c r="A541" s="105"/>
      <c r="B541" s="105"/>
      <c r="C541" s="105"/>
      <c r="D541" s="105"/>
      <c r="E541" s="105"/>
      <c r="F541" s="105"/>
      <c r="G541" s="105"/>
      <c r="H541" s="105"/>
      <c r="I541" s="105"/>
      <c r="J541" s="105"/>
      <c r="K541" s="105"/>
      <c r="L541" s="105"/>
      <c r="M541" s="105"/>
      <c r="N541" s="105"/>
      <c r="O541" s="105"/>
      <c r="P541" s="105" t="str">
        <f>IFERROR(__xludf.DUMMYFUNCTION("""COMPUTED_VALUE"""),"objecting::suggestion::change::(update::method)")</f>
        <v>objecting::suggestion::change::(update::method)</v>
      </c>
      <c r="Q541" s="105"/>
      <c r="R541" s="105"/>
      <c r="S541" s="105"/>
      <c r="T541" s="105"/>
      <c r="U541" s="105"/>
      <c r="V541" s="105"/>
      <c r="W541" s="105"/>
      <c r="X541" s="105"/>
      <c r="Y541" s="105"/>
      <c r="Z541" s="105"/>
    </row>
    <row r="542">
      <c r="A542" s="105"/>
      <c r="B542" s="105"/>
      <c r="C542" s="105"/>
      <c r="D542" s="105"/>
      <c r="E542" s="105"/>
      <c r="F542" s="105"/>
      <c r="G542" s="105"/>
      <c r="H542" s="105"/>
      <c r="I542" s="105"/>
      <c r="J542" s="105"/>
      <c r="K542" s="105"/>
      <c r="L542" s="105"/>
      <c r="M542" s="105"/>
      <c r="N542" s="105"/>
      <c r="O542" s="105"/>
      <c r="P542" s="105" t="str">
        <f>IFERROR(__xludf.DUMMYFUNCTION("""COMPUTED_VALUE"""),"objecting::suggestion::change::(use::method/function)")</f>
        <v>objecting::suggestion::change::(use::method/function)</v>
      </c>
      <c r="Q542" s="105"/>
      <c r="R542" s="105"/>
      <c r="S542" s="105"/>
      <c r="T542" s="105"/>
      <c r="U542" s="105"/>
      <c r="V542" s="105"/>
      <c r="W542" s="105"/>
      <c r="X542" s="105"/>
      <c r="Y542" s="105"/>
      <c r="Z542" s="105"/>
    </row>
    <row r="543">
      <c r="A543" s="105"/>
      <c r="B543" s="105"/>
      <c r="C543" s="105"/>
      <c r="D543" s="105"/>
      <c r="E543" s="105"/>
      <c r="F543" s="105"/>
      <c r="G543" s="105"/>
      <c r="H543" s="105"/>
      <c r="I543" s="105"/>
      <c r="J543" s="105"/>
      <c r="K543" s="105"/>
      <c r="L543" s="105"/>
      <c r="M543" s="105"/>
      <c r="N543" s="105"/>
      <c r="O543" s="105"/>
      <c r="P543" s="105" t="str">
        <f>IFERROR(__xludf.DUMMYFUNCTION("""COMPUTED_VALUE"""),"objecting::suggestion::change::(variable::to::constant)")</f>
        <v>objecting::suggestion::change::(variable::to::constant)</v>
      </c>
      <c r="Q543" s="105"/>
      <c r="R543" s="105"/>
      <c r="S543" s="105"/>
      <c r="T543" s="105"/>
      <c r="U543" s="105"/>
      <c r="V543" s="105"/>
      <c r="W543" s="105"/>
      <c r="X543" s="105"/>
      <c r="Y543" s="105"/>
      <c r="Z543" s="105"/>
    </row>
    <row r="544">
      <c r="A544" s="105"/>
      <c r="B544" s="105"/>
      <c r="C544" s="105"/>
      <c r="D544" s="105"/>
      <c r="E544" s="105"/>
      <c r="F544" s="105"/>
      <c r="G544" s="105"/>
      <c r="H544" s="105"/>
      <c r="I544" s="105"/>
      <c r="J544" s="105"/>
      <c r="K544" s="105"/>
      <c r="L544" s="105"/>
      <c r="M544" s="105"/>
      <c r="N544" s="105"/>
      <c r="O544" s="105"/>
      <c r="P544" s="105" t="str">
        <f>IFERROR(__xludf.DUMMYFUNCTION("""COMPUTED_VALUE"""),"objecting::suggestion::change::(versioning)")</f>
        <v>objecting::suggestion::change::(versioning)</v>
      </c>
      <c r="Q544" s="105"/>
      <c r="R544" s="105"/>
      <c r="S544" s="105"/>
      <c r="T544" s="105"/>
      <c r="U544" s="105"/>
      <c r="V544" s="105"/>
      <c r="W544" s="105"/>
      <c r="X544" s="105"/>
      <c r="Y544" s="105"/>
      <c r="Z544" s="105"/>
    </row>
    <row r="545">
      <c r="A545" s="105"/>
      <c r="B545" s="105"/>
      <c r="C545" s="105"/>
      <c r="D545" s="105"/>
      <c r="E545" s="105"/>
      <c r="F545" s="105"/>
      <c r="G545" s="105"/>
      <c r="H545" s="105"/>
      <c r="I545" s="105"/>
      <c r="J545" s="105"/>
      <c r="K545" s="105"/>
      <c r="L545" s="105"/>
      <c r="M545" s="105"/>
      <c r="N545" s="105"/>
      <c r="O545" s="105"/>
      <c r="P545" s="105" t="str">
        <f>IFERROR(__xludf.DUMMYFUNCTION("""COMPUTED_VALUE"""),"objecting::suggestion::change::(wrapp::with::exception)")</f>
        <v>objecting::suggestion::change::(wrapp::with::exception)</v>
      </c>
      <c r="Q545" s="105"/>
      <c r="R545" s="105"/>
      <c r="S545" s="105"/>
      <c r="T545" s="105"/>
      <c r="U545" s="105"/>
      <c r="V545" s="105"/>
      <c r="W545" s="105"/>
      <c r="X545" s="105"/>
      <c r="Y545" s="105"/>
      <c r="Z545" s="105"/>
    </row>
    <row r="546">
      <c r="A546" s="105"/>
      <c r="B546" s="105"/>
      <c r="C546" s="105"/>
      <c r="D546" s="105"/>
      <c r="E546" s="105"/>
      <c r="F546" s="105"/>
      <c r="G546" s="105"/>
      <c r="H546" s="105"/>
      <c r="I546" s="105"/>
      <c r="J546" s="105"/>
      <c r="K546" s="105"/>
      <c r="L546" s="105"/>
      <c r="M546" s="105"/>
      <c r="N546" s="105"/>
      <c r="O546" s="105"/>
      <c r="P546" s="105" t="str">
        <f>IFERROR(__xludf.DUMMYFUNCTION("""COMPUTED_VALUE"""),"objecting::suggestion::change::(wrong::logic)")</f>
        <v>objecting::suggestion::change::(wrong::logic)</v>
      </c>
      <c r="Q546" s="105"/>
      <c r="R546" s="105"/>
      <c r="S546" s="105"/>
      <c r="T546" s="105"/>
      <c r="U546" s="105"/>
      <c r="V546" s="105"/>
      <c r="W546" s="105"/>
      <c r="X546" s="105"/>
      <c r="Y546" s="105"/>
      <c r="Z546" s="105"/>
    </row>
    <row r="547">
      <c r="A547" s="105"/>
      <c r="B547" s="105"/>
      <c r="C547" s="105"/>
      <c r="D547" s="105"/>
      <c r="E547" s="105"/>
      <c r="F547" s="105"/>
      <c r="G547" s="105"/>
      <c r="H547" s="105"/>
      <c r="I547" s="105"/>
      <c r="J547" s="105"/>
      <c r="K547" s="105"/>
      <c r="L547" s="105"/>
      <c r="M547" s="105"/>
      <c r="N547" s="105"/>
      <c r="O547" s="105"/>
      <c r="P547" s="105" t="str">
        <f>IFERROR(__xludf.DUMMYFUNCTION("""COMPUTED_VALUE"""),"objecting::suggestion::move:.the::changes:.to::different::patch::(new::patch)")</f>
        <v>objecting::suggestion::move:.the::changes:.to::different::patch::(new::patch)</v>
      </c>
      <c r="Q547" s="105"/>
      <c r="R547" s="105"/>
      <c r="S547" s="105"/>
      <c r="T547" s="105"/>
      <c r="U547" s="105"/>
      <c r="V547" s="105"/>
      <c r="W547" s="105"/>
      <c r="X547" s="105"/>
      <c r="Y547" s="105"/>
      <c r="Z547" s="105"/>
    </row>
    <row r="548">
      <c r="A548" s="105"/>
      <c r="B548" s="105"/>
      <c r="C548" s="105"/>
      <c r="D548" s="105"/>
      <c r="E548" s="105"/>
      <c r="F548" s="105"/>
      <c r="G548" s="105"/>
      <c r="H548" s="105"/>
      <c r="I548" s="105"/>
      <c r="J548" s="105"/>
      <c r="K548" s="105"/>
      <c r="L548" s="105"/>
      <c r="M548" s="105"/>
      <c r="N548" s="105"/>
      <c r="O548" s="105"/>
      <c r="P548" s="105" t="str">
        <f>IFERROR(__xludf.DUMMYFUNCTION("""COMPUTED_VALUE"""),"objecting::suggestion::rebase")</f>
        <v>objecting::suggestion::rebase</v>
      </c>
      <c r="Q548" s="105"/>
      <c r="R548" s="105"/>
      <c r="S548" s="105"/>
      <c r="T548" s="105"/>
      <c r="U548" s="105"/>
      <c r="V548" s="105"/>
      <c r="W548" s="105"/>
      <c r="X548" s="105"/>
      <c r="Y548" s="105"/>
      <c r="Z548" s="105"/>
    </row>
    <row r="549">
      <c r="A549" s="105"/>
      <c r="B549" s="105"/>
      <c r="C549" s="105"/>
      <c r="D549" s="105"/>
      <c r="E549" s="105"/>
      <c r="F549" s="105"/>
      <c r="G549" s="105"/>
      <c r="H549" s="105"/>
      <c r="I549" s="105"/>
      <c r="J549" s="105"/>
      <c r="K549" s="105"/>
      <c r="L549" s="105"/>
      <c r="M549" s="105"/>
      <c r="N549" s="105"/>
      <c r="O549" s="105"/>
      <c r="P549" s="105" t="str">
        <f>IFERROR(__xludf.DUMMYFUNCTION("""COMPUTED_VALUE"""),"objecting::suggestion::refactoring::(add::exception)")</f>
        <v>objecting::suggestion::refactoring::(add::exception)</v>
      </c>
      <c r="Q549" s="105"/>
      <c r="R549" s="105"/>
      <c r="S549" s="105"/>
      <c r="T549" s="105"/>
      <c r="U549" s="105"/>
      <c r="V549" s="105"/>
      <c r="W549" s="105"/>
      <c r="X549" s="105"/>
      <c r="Y549" s="105"/>
      <c r="Z549" s="105"/>
    </row>
    <row r="550">
      <c r="A550" s="105"/>
      <c r="B550" s="105"/>
      <c r="C550" s="105"/>
      <c r="D550" s="105"/>
      <c r="E550" s="105"/>
      <c r="F550" s="105"/>
      <c r="G550" s="105"/>
      <c r="H550" s="105"/>
      <c r="I550" s="105"/>
      <c r="J550" s="105"/>
      <c r="K550" s="105"/>
      <c r="L550" s="105"/>
      <c r="M550" s="105"/>
      <c r="N550" s="105"/>
      <c r="O550" s="105"/>
      <c r="P550" s="105" t="str">
        <f>IFERROR(__xludf.DUMMYFUNCTION("""COMPUTED_VALUE"""),"objecting::suggestion::refactoring::(change::data::structure)")</f>
        <v>objecting::suggestion::refactoring::(change::data::structure)</v>
      </c>
      <c r="Q550" s="105"/>
      <c r="R550" s="105"/>
      <c r="S550" s="105"/>
      <c r="T550" s="105"/>
      <c r="U550" s="105"/>
      <c r="V550" s="105"/>
      <c r="W550" s="105"/>
      <c r="X550" s="105"/>
      <c r="Y550" s="105"/>
      <c r="Z550" s="105"/>
    </row>
    <row r="551">
      <c r="A551" s="105"/>
      <c r="B551" s="105"/>
      <c r="C551" s="105"/>
      <c r="D551" s="105"/>
      <c r="E551" s="105"/>
      <c r="F551" s="105"/>
      <c r="G551" s="105"/>
      <c r="H551" s="105"/>
      <c r="I551" s="105"/>
      <c r="J551" s="105"/>
      <c r="K551" s="105"/>
      <c r="L551" s="105"/>
      <c r="M551" s="105"/>
      <c r="N551" s="105"/>
      <c r="O551" s="105"/>
      <c r="P551" s="105" t="str">
        <f>IFERROR(__xludf.DUMMYFUNCTION("""COMPUTED_VALUE"""),"objecting::suggestion::refactoring::(cleaner::code)")</f>
        <v>objecting::suggestion::refactoring::(cleaner::code)</v>
      </c>
      <c r="Q551" s="105"/>
      <c r="R551" s="105"/>
      <c r="S551" s="105"/>
      <c r="T551" s="105"/>
      <c r="U551" s="105"/>
      <c r="V551" s="105"/>
      <c r="W551" s="105"/>
      <c r="X551" s="105"/>
      <c r="Y551" s="105"/>
      <c r="Z551" s="105"/>
    </row>
    <row r="552">
      <c r="A552" s="105"/>
      <c r="B552" s="105"/>
      <c r="C552" s="105"/>
      <c r="D552" s="105"/>
      <c r="E552" s="105"/>
      <c r="F552" s="105"/>
      <c r="G552" s="105"/>
      <c r="H552" s="105"/>
      <c r="I552" s="105"/>
      <c r="J552" s="105"/>
      <c r="K552" s="105"/>
      <c r="L552" s="105"/>
      <c r="M552" s="105"/>
      <c r="N552" s="105"/>
      <c r="O552" s="105"/>
      <c r="P552" s="105" t="str">
        <f>IFERROR(__xludf.DUMMYFUNCTION("""COMPUTED_VALUE"""),"objecting::suggestion::refactoring::(cleaner::code)::with::code")</f>
        <v>objecting::suggestion::refactoring::(cleaner::code)::with::code</v>
      </c>
      <c r="Q552" s="105"/>
      <c r="R552" s="105"/>
      <c r="S552" s="105"/>
      <c r="T552" s="105"/>
      <c r="U552" s="105"/>
      <c r="V552" s="105"/>
      <c r="W552" s="105"/>
      <c r="X552" s="105"/>
      <c r="Y552" s="105"/>
      <c r="Z552" s="105"/>
    </row>
    <row r="553">
      <c r="A553" s="105"/>
      <c r="B553" s="105"/>
      <c r="C553" s="105"/>
      <c r="D553" s="105"/>
      <c r="E553" s="105"/>
      <c r="F553" s="105"/>
      <c r="G553" s="105"/>
      <c r="H553" s="105"/>
      <c r="I553" s="105"/>
      <c r="J553" s="105"/>
      <c r="K553" s="105"/>
      <c r="L553" s="105"/>
      <c r="M553" s="105"/>
      <c r="N553" s="105"/>
      <c r="O553" s="105"/>
      <c r="P553" s="105" t="str">
        <f>IFERROR(__xludf.DUMMYFUNCTION("""COMPUTED_VALUE"""),"objecting::suggestion::refactoring::(config::file::new::group)")</f>
        <v>objecting::suggestion::refactoring::(config::file::new::group)</v>
      </c>
      <c r="Q553" s="105"/>
      <c r="R553" s="105"/>
      <c r="S553" s="105"/>
      <c r="T553" s="105"/>
      <c r="U553" s="105"/>
      <c r="V553" s="105"/>
      <c r="W553" s="105"/>
      <c r="X553" s="105"/>
      <c r="Y553" s="105"/>
      <c r="Z553" s="105"/>
    </row>
    <row r="554">
      <c r="A554" s="105"/>
      <c r="B554" s="105"/>
      <c r="C554" s="105"/>
      <c r="D554" s="105"/>
      <c r="E554" s="105"/>
      <c r="F554" s="105"/>
      <c r="G554" s="105"/>
      <c r="H554" s="105"/>
      <c r="I554" s="105"/>
      <c r="J554" s="105"/>
      <c r="K554" s="105"/>
      <c r="L554" s="105"/>
      <c r="M554" s="105"/>
      <c r="N554" s="105"/>
      <c r="O554" s="105"/>
      <c r="P554" s="105" t="str">
        <f>IFERROR(__xludf.DUMMYFUNCTION("""COMPUTED_VALUE"""),"objecting::suggestion::refactoring::(duplications)")</f>
        <v>objecting::suggestion::refactoring::(duplications)</v>
      </c>
      <c r="Q554" s="105"/>
      <c r="R554" s="105"/>
      <c r="S554" s="105"/>
      <c r="T554" s="105"/>
      <c r="U554" s="105"/>
      <c r="V554" s="105"/>
      <c r="W554" s="105"/>
      <c r="X554" s="105"/>
      <c r="Y554" s="105"/>
      <c r="Z554" s="105"/>
    </row>
    <row r="555">
      <c r="A555" s="105"/>
      <c r="B555" s="105"/>
      <c r="C555" s="105"/>
      <c r="D555" s="105"/>
      <c r="E555" s="105"/>
      <c r="F555" s="105"/>
      <c r="G555" s="105"/>
      <c r="H555" s="105"/>
      <c r="I555" s="105"/>
      <c r="J555" s="105"/>
      <c r="K555" s="105"/>
      <c r="L555" s="105"/>
      <c r="M555" s="105"/>
      <c r="N555" s="105"/>
      <c r="O555" s="105"/>
      <c r="P555" s="105" t="str">
        <f>IFERROR(__xludf.DUMMYFUNCTION("""COMPUTED_VALUE"""),"objecting::suggestion::refactoring::(extract::method)::with::code")</f>
        <v>objecting::suggestion::refactoring::(extract::method)::with::code</v>
      </c>
      <c r="Q555" s="105"/>
      <c r="R555" s="105"/>
      <c r="S555" s="105"/>
      <c r="T555" s="105"/>
      <c r="U555" s="105"/>
      <c r="V555" s="105"/>
      <c r="W555" s="105"/>
      <c r="X555" s="105"/>
      <c r="Y555" s="105"/>
      <c r="Z555" s="105"/>
    </row>
    <row r="556">
      <c r="A556" s="105"/>
      <c r="B556" s="105"/>
      <c r="C556" s="105"/>
      <c r="D556" s="105"/>
      <c r="E556" s="105"/>
      <c r="F556" s="105"/>
      <c r="G556" s="105"/>
      <c r="H556" s="105"/>
      <c r="I556" s="105"/>
      <c r="J556" s="105"/>
      <c r="K556" s="105"/>
      <c r="L556" s="105"/>
      <c r="M556" s="105"/>
      <c r="N556" s="105"/>
      <c r="O556" s="105"/>
      <c r="P556" s="105" t="str">
        <f>IFERROR(__xludf.DUMMYFUNCTION("""COMPUTED_VALUE"""),"objecting::suggestion::refactoring::(merge::methods)")</f>
        <v>objecting::suggestion::refactoring::(merge::methods)</v>
      </c>
      <c r="Q556" s="105"/>
      <c r="R556" s="105"/>
      <c r="S556" s="105"/>
      <c r="T556" s="105"/>
      <c r="U556" s="105"/>
      <c r="V556" s="105"/>
      <c r="W556" s="105"/>
      <c r="X556" s="105"/>
      <c r="Y556" s="105"/>
      <c r="Z556" s="105"/>
    </row>
    <row r="557">
      <c r="A557" s="105"/>
      <c r="B557" s="105"/>
      <c r="C557" s="105"/>
      <c r="D557" s="105"/>
      <c r="E557" s="105"/>
      <c r="F557" s="105"/>
      <c r="G557" s="105"/>
      <c r="H557" s="105"/>
      <c r="I557" s="105"/>
      <c r="J557" s="105"/>
      <c r="K557" s="105"/>
      <c r="L557" s="105"/>
      <c r="M557" s="105"/>
      <c r="N557" s="105"/>
      <c r="O557" s="105"/>
      <c r="P557" s="105" t="str">
        <f>IFERROR(__xludf.DUMMYFUNCTION("""COMPUTED_VALUE"""),"objecting::suggestion::refactoring::(move::logic)")</f>
        <v>objecting::suggestion::refactoring::(move::logic)</v>
      </c>
      <c r="Q557" s="105"/>
      <c r="R557" s="105"/>
      <c r="S557" s="105"/>
      <c r="T557" s="105"/>
      <c r="U557" s="105"/>
      <c r="V557" s="105"/>
      <c r="W557" s="105"/>
      <c r="X557" s="105"/>
      <c r="Y557" s="105"/>
      <c r="Z557" s="105"/>
    </row>
    <row r="558">
      <c r="A558" s="105"/>
      <c r="B558" s="105"/>
      <c r="C558" s="105"/>
      <c r="D558" s="105"/>
      <c r="E558" s="105"/>
      <c r="F558" s="105"/>
      <c r="G558" s="105"/>
      <c r="H558" s="105"/>
      <c r="I558" s="105"/>
      <c r="J558" s="105"/>
      <c r="K558" s="105"/>
      <c r="L558" s="105"/>
      <c r="M558" s="105"/>
      <c r="N558" s="105"/>
      <c r="O558" s="105"/>
      <c r="P558" s="105" t="str">
        <f>IFERROR(__xludf.DUMMYFUNCTION("""COMPUTED_VALUE"""),"objecting::suggestion::refactoring::(naming::variable)")</f>
        <v>objecting::suggestion::refactoring::(naming::variable)</v>
      </c>
      <c r="Q558" s="105"/>
      <c r="R558" s="105"/>
      <c r="S558" s="105"/>
      <c r="T558" s="105"/>
      <c r="U558" s="105"/>
      <c r="V558" s="105"/>
      <c r="W558" s="105"/>
      <c r="X558" s="105"/>
      <c r="Y558" s="105"/>
      <c r="Z558" s="105"/>
    </row>
    <row r="559">
      <c r="A559" s="105"/>
      <c r="B559" s="105"/>
      <c r="C559" s="105"/>
      <c r="D559" s="105"/>
      <c r="E559" s="105"/>
      <c r="F559" s="105"/>
      <c r="G559" s="105"/>
      <c r="H559" s="105"/>
      <c r="I559" s="105"/>
      <c r="J559" s="105"/>
      <c r="K559" s="105"/>
      <c r="L559" s="105"/>
      <c r="M559" s="105"/>
      <c r="N559" s="105"/>
      <c r="O559" s="105"/>
      <c r="P559" s="105" t="str">
        <f>IFERROR(__xludf.DUMMYFUNCTION("""COMPUTED_VALUE"""),"objecting::suggestion::refactoring::(not::use::mock::object)")</f>
        <v>objecting::suggestion::refactoring::(not::use::mock::object)</v>
      </c>
      <c r="Q559" s="105"/>
      <c r="R559" s="105"/>
      <c r="S559" s="105"/>
      <c r="T559" s="105"/>
      <c r="U559" s="105"/>
      <c r="V559" s="105"/>
      <c r="W559" s="105"/>
      <c r="X559" s="105"/>
      <c r="Y559" s="105"/>
      <c r="Z559" s="105"/>
    </row>
    <row r="560">
      <c r="A560" s="105"/>
      <c r="B560" s="105"/>
      <c r="C560" s="105"/>
      <c r="D560" s="105"/>
      <c r="E560" s="105"/>
      <c r="F560" s="105"/>
      <c r="G560" s="105"/>
      <c r="H560" s="105"/>
      <c r="I560" s="105"/>
      <c r="J560" s="105"/>
      <c r="K560" s="105"/>
      <c r="L560" s="105"/>
      <c r="M560" s="105"/>
      <c r="N560" s="105"/>
      <c r="O560" s="105"/>
      <c r="P560" s="105" t="str">
        <f>IFERROR(__xludf.DUMMYFUNCTION("""COMPUTED_VALUE"""),"objecting::suggestion::refactoring::(optional::improvement)")</f>
        <v>objecting::suggestion::refactoring::(optional::improvement)</v>
      </c>
      <c r="Q560" s="105"/>
      <c r="R560" s="105"/>
      <c r="S560" s="105"/>
      <c r="T560" s="105"/>
      <c r="U560" s="105"/>
      <c r="V560" s="105"/>
      <c r="W560" s="105"/>
      <c r="X560" s="105"/>
      <c r="Y560" s="105"/>
      <c r="Z560" s="105"/>
    </row>
    <row r="561">
      <c r="A561" s="105"/>
      <c r="B561" s="105"/>
      <c r="C561" s="105"/>
      <c r="D561" s="105"/>
      <c r="E561" s="105"/>
      <c r="F561" s="105"/>
      <c r="G561" s="105"/>
      <c r="H561" s="105"/>
      <c r="I561" s="105"/>
      <c r="J561" s="105"/>
      <c r="K561" s="105"/>
      <c r="L561" s="105"/>
      <c r="M561" s="105"/>
      <c r="N561" s="105"/>
      <c r="O561" s="105"/>
      <c r="P561" s="105" t="str">
        <f>IFERROR(__xludf.DUMMYFUNCTION("""COMPUTED_VALUE"""),"objecting::suggestion::refactoring::(out::of::scope)")</f>
        <v>objecting::suggestion::refactoring::(out::of::scope)</v>
      </c>
      <c r="Q561" s="105"/>
      <c r="R561" s="105"/>
      <c r="S561" s="105"/>
      <c r="T561" s="105"/>
      <c r="U561" s="105"/>
      <c r="V561" s="105"/>
      <c r="W561" s="105"/>
      <c r="X561" s="105"/>
      <c r="Y561" s="105"/>
      <c r="Z561" s="105"/>
    </row>
    <row r="562">
      <c r="A562" s="105"/>
      <c r="B562" s="105"/>
      <c r="C562" s="105"/>
      <c r="D562" s="105"/>
      <c r="E562" s="105"/>
      <c r="F562" s="105"/>
      <c r="G562" s="105"/>
      <c r="H562" s="105"/>
      <c r="I562" s="105"/>
      <c r="J562" s="105"/>
      <c r="K562" s="105"/>
      <c r="L562" s="105"/>
      <c r="M562" s="105"/>
      <c r="N562" s="105"/>
      <c r="O562" s="105"/>
      <c r="P562" s="105" t="str">
        <f>IFERROR(__xludf.DUMMYFUNCTION("""COMPUTED_VALUE"""),"objecting::suggestion::refactoring::(performance)")</f>
        <v>objecting::suggestion::refactoring::(performance)</v>
      </c>
      <c r="Q562" s="105"/>
      <c r="R562" s="105"/>
      <c r="S562" s="105"/>
      <c r="T562" s="105"/>
      <c r="U562" s="105"/>
      <c r="V562" s="105"/>
      <c r="W562" s="105"/>
      <c r="X562" s="105"/>
      <c r="Y562" s="105"/>
      <c r="Z562" s="105"/>
    </row>
    <row r="563">
      <c r="A563" s="105"/>
      <c r="B563" s="105"/>
      <c r="C563" s="105"/>
      <c r="D563" s="105"/>
      <c r="E563" s="105"/>
      <c r="F563" s="105"/>
      <c r="G563" s="105"/>
      <c r="H563" s="105"/>
      <c r="I563" s="105"/>
      <c r="J563" s="105"/>
      <c r="K563" s="105"/>
      <c r="L563" s="105"/>
      <c r="M563" s="105"/>
      <c r="N563" s="105"/>
      <c r="O563" s="105"/>
      <c r="P563" s="105" t="str">
        <f>IFERROR(__xludf.DUMMYFUNCTION("""COMPUTED_VALUE"""),"objecting::suggestion::refactoring::(performance)::with::code")</f>
        <v>objecting::suggestion::refactoring::(performance)::with::code</v>
      </c>
      <c r="Q563" s="105"/>
      <c r="R563" s="105"/>
      <c r="S563" s="105"/>
      <c r="T563" s="105"/>
      <c r="U563" s="105"/>
      <c r="V563" s="105"/>
      <c r="W563" s="105"/>
      <c r="X563" s="105"/>
      <c r="Y563" s="105"/>
      <c r="Z563" s="105"/>
    </row>
    <row r="564">
      <c r="A564" s="105"/>
      <c r="B564" s="105"/>
      <c r="C564" s="105"/>
      <c r="D564" s="105"/>
      <c r="E564" s="105"/>
      <c r="F564" s="105"/>
      <c r="G564" s="105"/>
      <c r="H564" s="105"/>
      <c r="I564" s="105"/>
      <c r="J564" s="105"/>
      <c r="K564" s="105"/>
      <c r="L564" s="105"/>
      <c r="M564" s="105"/>
      <c r="N564" s="105"/>
      <c r="O564" s="105"/>
      <c r="P564" s="105" t="str">
        <f>IFERROR(__xludf.DUMMYFUNCTION("""COMPUTED_VALUE"""),"objecting::suggestion::refactoring::(prevent::failure)")</f>
        <v>objecting::suggestion::refactoring::(prevent::failure)</v>
      </c>
      <c r="Q564" s="105"/>
      <c r="R564" s="105"/>
      <c r="S564" s="105"/>
      <c r="T564" s="105"/>
      <c r="U564" s="105"/>
      <c r="V564" s="105"/>
      <c r="W564" s="105"/>
      <c r="X564" s="105"/>
      <c r="Y564" s="105"/>
      <c r="Z564" s="105"/>
    </row>
    <row r="565">
      <c r="A565" s="105"/>
      <c r="B565" s="105"/>
      <c r="C565" s="105"/>
      <c r="D565" s="105"/>
      <c r="E565" s="105"/>
      <c r="F565" s="105"/>
      <c r="G565" s="105"/>
      <c r="H565" s="105"/>
      <c r="I565" s="105"/>
      <c r="J565" s="105"/>
      <c r="K565" s="105"/>
      <c r="L565" s="105"/>
      <c r="M565" s="105"/>
      <c r="N565" s="105"/>
      <c r="O565" s="105"/>
      <c r="P565" s="105" t="str">
        <f>IFERROR(__xludf.DUMMYFUNCTION("""COMPUTED_VALUE"""),"objecting::suggestion::refactoring::(removing::unnecessary::code)")</f>
        <v>objecting::suggestion::refactoring::(removing::unnecessary::code)</v>
      </c>
      <c r="Q565" s="105"/>
      <c r="R565" s="105"/>
      <c r="S565" s="105"/>
      <c r="T565" s="105"/>
      <c r="U565" s="105"/>
      <c r="V565" s="105"/>
      <c r="W565" s="105"/>
      <c r="X565" s="105"/>
      <c r="Y565" s="105"/>
      <c r="Z565" s="105"/>
    </row>
    <row r="566">
      <c r="A566" s="105"/>
      <c r="B566" s="105"/>
      <c r="C566" s="105"/>
      <c r="D566" s="105"/>
      <c r="E566" s="105"/>
      <c r="F566" s="105"/>
      <c r="G566" s="105"/>
      <c r="H566" s="105"/>
      <c r="I566" s="105"/>
      <c r="J566" s="105"/>
      <c r="K566" s="105"/>
      <c r="L566" s="105"/>
      <c r="M566" s="105"/>
      <c r="N566" s="105"/>
      <c r="O566" s="105"/>
      <c r="P566" s="105" t="str">
        <f>IFERROR(__xludf.DUMMYFUNCTION("""COMPUTED_VALUE"""),"objecting::suggestion::refactoring::(renaming)")</f>
        <v>objecting::suggestion::refactoring::(renaming)</v>
      </c>
      <c r="Q566" s="105"/>
      <c r="R566" s="105"/>
      <c r="S566" s="105"/>
      <c r="T566" s="105"/>
      <c r="U566" s="105"/>
      <c r="V566" s="105"/>
      <c r="W566" s="105"/>
      <c r="X566" s="105"/>
      <c r="Y566" s="105"/>
      <c r="Z566" s="105"/>
    </row>
    <row r="567">
      <c r="A567" s="105"/>
      <c r="B567" s="105"/>
      <c r="C567" s="105"/>
      <c r="D567" s="105"/>
      <c r="E567" s="105"/>
      <c r="F567" s="105"/>
      <c r="G567" s="105"/>
      <c r="H567" s="105"/>
      <c r="I567" s="105"/>
      <c r="J567" s="105"/>
      <c r="K567" s="105"/>
      <c r="L567" s="105"/>
      <c r="M567" s="105"/>
      <c r="N567" s="105"/>
      <c r="O567" s="105"/>
      <c r="P567" s="105" t="str">
        <f>IFERROR(__xludf.DUMMYFUNCTION("""COMPUTED_VALUE"""),"objecting::suggestion::refactoring::(style)")</f>
        <v>objecting::suggestion::refactoring::(style)</v>
      </c>
      <c r="Q567" s="105"/>
      <c r="R567" s="105"/>
      <c r="S567" s="105"/>
      <c r="T567" s="105"/>
      <c r="U567" s="105"/>
      <c r="V567" s="105"/>
      <c r="W567" s="105"/>
      <c r="X567" s="105"/>
      <c r="Y567" s="105"/>
      <c r="Z567" s="105"/>
    </row>
    <row r="568">
      <c r="A568" s="105"/>
      <c r="B568" s="105"/>
      <c r="C568" s="105"/>
      <c r="D568" s="105"/>
      <c r="E568" s="105"/>
      <c r="F568" s="105"/>
      <c r="G568" s="105"/>
      <c r="H568" s="105"/>
      <c r="I568" s="105"/>
      <c r="J568" s="105"/>
      <c r="K568" s="105"/>
      <c r="L568" s="105"/>
      <c r="M568" s="105"/>
      <c r="N568" s="105"/>
      <c r="O568" s="105"/>
      <c r="P568" s="105" t="str">
        <f>IFERROR(__xludf.DUMMYFUNCTION("""COMPUTED_VALUE"""),"objecting::suggestion::refactoring::(style)::what::to::import")</f>
        <v>objecting::suggestion::refactoring::(style)::what::to::import</v>
      </c>
      <c r="Q568" s="105"/>
      <c r="R568" s="105"/>
      <c r="S568" s="105"/>
      <c r="T568" s="105"/>
      <c r="U568" s="105"/>
      <c r="V568" s="105"/>
      <c r="W568" s="105"/>
      <c r="X568" s="105"/>
      <c r="Y568" s="105"/>
      <c r="Z568" s="105"/>
    </row>
    <row r="569">
      <c r="A569" s="105"/>
      <c r="B569" s="105"/>
      <c r="C569" s="105"/>
      <c r="D569" s="105"/>
      <c r="E569" s="105"/>
      <c r="F569" s="105"/>
      <c r="G569" s="105"/>
      <c r="H569" s="105"/>
      <c r="I569" s="105"/>
      <c r="J569" s="105"/>
      <c r="K569" s="105"/>
      <c r="L569" s="105"/>
      <c r="M569" s="105"/>
      <c r="N569" s="105"/>
      <c r="O569" s="105"/>
      <c r="P569" s="105" t="str">
        <f>IFERROR(__xludf.DUMMYFUNCTION("""COMPUTED_VALUE"""),"objecting::suggestion::refactoring::(test::naming)")</f>
        <v>objecting::suggestion::refactoring::(test::naming)</v>
      </c>
      <c r="Q569" s="105"/>
      <c r="R569" s="105"/>
      <c r="S569" s="105"/>
      <c r="T569" s="105"/>
      <c r="U569" s="105"/>
      <c r="V569" s="105"/>
      <c r="W569" s="105"/>
      <c r="X569" s="105"/>
      <c r="Y569" s="105"/>
      <c r="Z569" s="105"/>
    </row>
    <row r="570">
      <c r="A570" s="105"/>
      <c r="B570" s="105"/>
      <c r="C570" s="105"/>
      <c r="D570" s="105"/>
      <c r="E570" s="105"/>
      <c r="F570" s="105"/>
      <c r="G570" s="105"/>
      <c r="H570" s="105"/>
      <c r="I570" s="105"/>
      <c r="J570" s="105"/>
      <c r="K570" s="105"/>
      <c r="L570" s="105"/>
      <c r="M570" s="105"/>
      <c r="N570" s="105"/>
      <c r="O570" s="105"/>
      <c r="P570" s="105" t="str">
        <f>IFERROR(__xludf.DUMMYFUNCTION("""COMPUTED_VALUE"""),"objecting::suggestion::refactoring::(type::exception)")</f>
        <v>objecting::suggestion::refactoring::(type::exception)</v>
      </c>
      <c r="Q570" s="105"/>
      <c r="R570" s="105"/>
      <c r="S570" s="105"/>
      <c r="T570" s="105"/>
      <c r="U570" s="105"/>
      <c r="V570" s="105"/>
      <c r="W570" s="105"/>
      <c r="X570" s="105"/>
      <c r="Y570" s="105"/>
      <c r="Z570" s="105"/>
    </row>
    <row r="571">
      <c r="A571" s="105"/>
      <c r="B571" s="105"/>
      <c r="C571" s="105"/>
      <c r="D571" s="105"/>
      <c r="E571" s="105"/>
      <c r="F571" s="105"/>
      <c r="G571" s="105"/>
      <c r="H571" s="105"/>
      <c r="I571" s="105"/>
      <c r="J571" s="105"/>
      <c r="K571" s="105"/>
      <c r="L571" s="105"/>
      <c r="M571" s="105"/>
      <c r="N571" s="105"/>
      <c r="O571" s="105"/>
      <c r="P571" s="105" t="str">
        <f>IFERROR(__xludf.DUMMYFUNCTION("""COMPUTED_VALUE"""),"objecting::suggestion::refactoring::(unnecesary::code)")</f>
        <v>objecting::suggestion::refactoring::(unnecesary::code)</v>
      </c>
      <c r="Q571" s="105"/>
      <c r="R571" s="105"/>
      <c r="S571" s="105"/>
      <c r="T571" s="105"/>
      <c r="U571" s="105"/>
      <c r="V571" s="105"/>
      <c r="W571" s="105"/>
      <c r="X571" s="105"/>
      <c r="Y571" s="105"/>
      <c r="Z571" s="105"/>
    </row>
    <row r="572">
      <c r="A572" s="105"/>
      <c r="B572" s="105"/>
      <c r="C572" s="105"/>
      <c r="D572" s="105"/>
      <c r="E572" s="105"/>
      <c r="F572" s="105"/>
      <c r="G572" s="105"/>
      <c r="H572" s="105"/>
      <c r="I572" s="105"/>
      <c r="J572" s="105"/>
      <c r="K572" s="105"/>
      <c r="L572" s="105"/>
      <c r="M572" s="105"/>
      <c r="N572" s="105"/>
      <c r="O572" s="105"/>
      <c r="P572" s="105" t="str">
        <f>IFERROR(__xludf.DUMMYFUNCTION("""COMPUTED_VALUE"""),"objecting::suggestion::refactoring::(unnecesary::loop)")</f>
        <v>objecting::suggestion::refactoring::(unnecesary::loop)</v>
      </c>
      <c r="Q572" s="105"/>
      <c r="R572" s="105"/>
      <c r="S572" s="105"/>
      <c r="T572" s="105"/>
      <c r="U572" s="105"/>
      <c r="V572" s="105"/>
      <c r="W572" s="105"/>
      <c r="X572" s="105"/>
      <c r="Y572" s="105"/>
      <c r="Z572" s="105"/>
    </row>
    <row r="573">
      <c r="A573" s="105"/>
      <c r="B573" s="105"/>
      <c r="C573" s="105"/>
      <c r="D573" s="105"/>
      <c r="E573" s="105"/>
      <c r="F573" s="105"/>
      <c r="G573" s="105"/>
      <c r="H573" s="105"/>
      <c r="I573" s="105"/>
      <c r="J573" s="105"/>
      <c r="K573" s="105"/>
      <c r="L573" s="105"/>
      <c r="M573" s="105"/>
      <c r="N573" s="105"/>
      <c r="O573" s="105"/>
      <c r="P573" s="105" t="str">
        <f>IFERROR(__xludf.DUMMYFUNCTION("""COMPUTED_VALUE"""),"objecting::suggestion::refactoring::(use::decorators)")</f>
        <v>objecting::suggestion::refactoring::(use::decorators)</v>
      </c>
      <c r="Q573" s="105"/>
      <c r="R573" s="105"/>
      <c r="S573" s="105"/>
      <c r="T573" s="105"/>
      <c r="U573" s="105"/>
      <c r="V573" s="105"/>
      <c r="W573" s="105"/>
      <c r="X573" s="105"/>
      <c r="Y573" s="105"/>
      <c r="Z573" s="105"/>
    </row>
    <row r="574">
      <c r="A574" s="105"/>
      <c r="B574" s="105"/>
      <c r="C574" s="105"/>
      <c r="D574" s="105"/>
      <c r="E574" s="105"/>
      <c r="F574" s="105"/>
      <c r="G574" s="105"/>
      <c r="H574" s="105"/>
      <c r="I574" s="105"/>
      <c r="J574" s="105"/>
      <c r="K574" s="105"/>
      <c r="L574" s="105"/>
      <c r="M574" s="105"/>
      <c r="N574" s="105"/>
      <c r="O574" s="105"/>
      <c r="P574" s="105" t="str">
        <f>IFERROR(__xludf.DUMMYFUNCTION("""COMPUTED_VALUE"""),"objecting::suggestion::refactoring::(use::loop)")</f>
        <v>objecting::suggestion::refactoring::(use::loop)</v>
      </c>
      <c r="Q574" s="105"/>
      <c r="R574" s="105"/>
      <c r="S574" s="105"/>
      <c r="T574" s="105"/>
      <c r="U574" s="105"/>
      <c r="V574" s="105"/>
      <c r="W574" s="105"/>
      <c r="X574" s="105"/>
      <c r="Y574" s="105"/>
      <c r="Z574" s="105"/>
    </row>
    <row r="575">
      <c r="A575" s="105"/>
      <c r="B575" s="105"/>
      <c r="C575" s="105"/>
      <c r="D575" s="105"/>
      <c r="E575" s="105"/>
      <c r="F575" s="105"/>
      <c r="G575" s="105"/>
      <c r="H575" s="105"/>
      <c r="I575" s="105"/>
      <c r="J575" s="105"/>
      <c r="K575" s="105"/>
      <c r="L575" s="105"/>
      <c r="M575" s="105"/>
      <c r="N575" s="105"/>
      <c r="O575" s="105"/>
      <c r="P575" s="105" t="str">
        <f>IFERROR(__xludf.DUMMYFUNCTION("""COMPUTED_VALUE"""),"objecting::suggestion::refactoring::(use::method/function)")</f>
        <v>objecting::suggestion::refactoring::(use::method/function)</v>
      </c>
      <c r="Q575" s="105"/>
      <c r="R575" s="105"/>
      <c r="S575" s="105"/>
      <c r="T575" s="105"/>
      <c r="U575" s="105"/>
      <c r="V575" s="105"/>
      <c r="W575" s="105"/>
      <c r="X575" s="105"/>
      <c r="Y575" s="105"/>
      <c r="Z575" s="105"/>
    </row>
    <row r="576">
      <c r="A576" s="105"/>
      <c r="B576" s="105"/>
      <c r="C576" s="105"/>
      <c r="D576" s="105"/>
      <c r="E576" s="105"/>
      <c r="F576" s="105"/>
      <c r="G576" s="105"/>
      <c r="H576" s="105"/>
      <c r="I576" s="105"/>
      <c r="J576" s="105"/>
      <c r="K576" s="105"/>
      <c r="L576" s="105"/>
      <c r="M576" s="105"/>
      <c r="N576" s="105"/>
      <c r="O576" s="105"/>
      <c r="P576" s="105" t="str">
        <f>IFERROR(__xludf.DUMMYFUNCTION("""COMPUTED_VALUE"""),"objecting::suggestion::refactoring::(wrapper)")</f>
        <v>objecting::suggestion::refactoring::(wrapper)</v>
      </c>
      <c r="Q576" s="105"/>
      <c r="R576" s="105"/>
      <c r="S576" s="105"/>
      <c r="T576" s="105"/>
      <c r="U576" s="105"/>
      <c r="V576" s="105"/>
      <c r="W576" s="105"/>
      <c r="X576" s="105"/>
      <c r="Y576" s="105"/>
      <c r="Z576" s="105"/>
    </row>
    <row r="577">
      <c r="A577" s="105"/>
      <c r="B577" s="105"/>
      <c r="C577" s="105"/>
      <c r="D577" s="105"/>
      <c r="E577" s="105"/>
      <c r="F577" s="105"/>
      <c r="G577" s="105"/>
      <c r="H577" s="105"/>
      <c r="I577" s="105"/>
      <c r="J577" s="105"/>
      <c r="K577" s="105"/>
      <c r="L577" s="105"/>
      <c r="M577" s="105"/>
      <c r="N577" s="105"/>
      <c r="O577" s="105"/>
      <c r="P577" s="105" t="str">
        <f>IFERROR(__xludf.DUMMYFUNCTION("""COMPUTED_VALUE"""),"objecting::the::categorization::of::issue::as::bug")</f>
        <v>objecting::the::categorization::of::issue::as::bug</v>
      </c>
      <c r="Q577" s="105"/>
      <c r="R577" s="105"/>
      <c r="S577" s="105"/>
      <c r="T577" s="105"/>
      <c r="U577" s="105"/>
      <c r="V577" s="105"/>
      <c r="W577" s="105"/>
      <c r="X577" s="105"/>
      <c r="Y577" s="105"/>
      <c r="Z577" s="105"/>
    </row>
    <row r="578">
      <c r="A578" s="105"/>
      <c r="B578" s="105"/>
      <c r="C578" s="105"/>
      <c r="D578" s="105"/>
      <c r="E578" s="105"/>
      <c r="F578" s="105"/>
      <c r="G578" s="105"/>
      <c r="H578" s="105"/>
      <c r="I578" s="105"/>
      <c r="J578" s="105"/>
      <c r="K578" s="105"/>
      <c r="L578" s="105"/>
      <c r="M578" s="105"/>
      <c r="N578" s="105"/>
      <c r="O578" s="105"/>
      <c r="P578" s="105" t="str">
        <f>IFERROR(__xludf.DUMMYFUNCTION("""COMPUTED_VALUE"""),"objecting::wait::for::next::release")</f>
        <v>objecting::wait::for::next::release</v>
      </c>
      <c r="Q578" s="105"/>
      <c r="R578" s="105"/>
      <c r="S578" s="105"/>
      <c r="T578" s="105"/>
      <c r="U578" s="105"/>
      <c r="V578" s="105"/>
      <c r="W578" s="105"/>
      <c r="X578" s="105"/>
      <c r="Y578" s="105"/>
      <c r="Z578" s="105"/>
    </row>
    <row r="579">
      <c r="A579" s="105"/>
      <c r="B579" s="105"/>
      <c r="C579" s="105"/>
      <c r="D579" s="105"/>
      <c r="E579" s="105"/>
      <c r="F579" s="105"/>
      <c r="G579" s="105"/>
      <c r="H579" s="105"/>
      <c r="I579" s="105"/>
      <c r="J579" s="105"/>
      <c r="K579" s="105"/>
      <c r="L579" s="105"/>
      <c r="M579" s="105"/>
      <c r="N579" s="105"/>
      <c r="O579" s="105"/>
      <c r="P579" s="105" t="str">
        <f>IFERROR(__xludf.DUMMYFUNCTION("""COMPUTED_VALUE"""),"objection::suggestion::change::(new::dependency)")</f>
        <v>objection::suggestion::change::(new::dependency)</v>
      </c>
      <c r="Q579" s="105"/>
      <c r="R579" s="105"/>
      <c r="S579" s="105"/>
      <c r="T579" s="105"/>
      <c r="U579" s="105"/>
      <c r="V579" s="105"/>
      <c r="W579" s="105"/>
      <c r="X579" s="105"/>
      <c r="Y579" s="105"/>
      <c r="Z579" s="105"/>
    </row>
    <row r="580">
      <c r="A580" s="105"/>
      <c r="B580" s="105"/>
      <c r="C580" s="105"/>
      <c r="D580" s="105"/>
      <c r="E580" s="105"/>
      <c r="F580" s="105"/>
      <c r="G580" s="105"/>
      <c r="H580" s="105"/>
      <c r="I580" s="105"/>
      <c r="J580" s="105"/>
      <c r="K580" s="105"/>
      <c r="L580" s="105"/>
      <c r="M580" s="105"/>
      <c r="N580" s="105"/>
      <c r="O580" s="105"/>
      <c r="P580" s="105" t="str">
        <f>IFERROR(__xludf.DUMMYFUNCTION("""COMPUTED_VALUE"""),"objection::suggestion::refactoring::(split::method)")</f>
        <v>objection::suggestion::refactoring::(split::method)</v>
      </c>
      <c r="Q580" s="105"/>
      <c r="R580" s="105"/>
      <c r="S580" s="105"/>
      <c r="T580" s="105"/>
      <c r="U580" s="105"/>
      <c r="V580" s="105"/>
      <c r="W580" s="105"/>
      <c r="X580" s="105"/>
      <c r="Y580" s="105"/>
      <c r="Z580" s="105"/>
    </row>
    <row r="581">
      <c r="A581" s="105"/>
      <c r="B581" s="105"/>
      <c r="C581" s="105"/>
      <c r="D581" s="105"/>
      <c r="E581" s="105"/>
      <c r="F581" s="105"/>
      <c r="G581" s="105"/>
      <c r="H581" s="105"/>
      <c r="I581" s="105"/>
      <c r="J581" s="105"/>
      <c r="K581" s="105"/>
      <c r="L581" s="105"/>
      <c r="M581" s="105"/>
      <c r="N581" s="105"/>
      <c r="O581" s="105"/>
      <c r="P581" s="105" t="str">
        <f>IFERROR(__xludf.DUMMYFUNCTION("""COMPUTED_VALUE"""),"other::review::is::waiting::for::this")</f>
        <v>other::review::is::waiting::for::this</v>
      </c>
      <c r="Q581" s="105"/>
      <c r="R581" s="105"/>
      <c r="S581" s="105"/>
      <c r="T581" s="105"/>
      <c r="U581" s="105"/>
      <c r="V581" s="105"/>
      <c r="W581" s="105"/>
      <c r="X581" s="105"/>
      <c r="Y581" s="105"/>
      <c r="Z581" s="105"/>
    </row>
    <row r="582">
      <c r="A582" s="105"/>
      <c r="B582" s="105"/>
      <c r="C582" s="105"/>
      <c r="D582" s="105"/>
      <c r="E582" s="105"/>
      <c r="F582" s="105"/>
      <c r="G582" s="105"/>
      <c r="H582" s="105"/>
      <c r="I582" s="105"/>
      <c r="J582" s="105"/>
      <c r="K582" s="105"/>
      <c r="L582" s="105"/>
      <c r="M582" s="105"/>
      <c r="N582" s="105"/>
      <c r="O582" s="105"/>
      <c r="P582" s="105" t="str">
        <f>IFERROR(__xludf.DUMMYFUNCTION("""COMPUTED_VALUE"""),"partial::implementation")</f>
        <v>partial::implementation</v>
      </c>
      <c r="Q582" s="105"/>
      <c r="R582" s="105"/>
      <c r="S582" s="105"/>
      <c r="T582" s="105"/>
      <c r="U582" s="105"/>
      <c r="V582" s="105"/>
      <c r="W582" s="105"/>
      <c r="X582" s="105"/>
      <c r="Y582" s="105"/>
      <c r="Z582" s="105"/>
    </row>
    <row r="583">
      <c r="A583" s="105"/>
      <c r="B583" s="105"/>
      <c r="C583" s="105"/>
      <c r="D583" s="105"/>
      <c r="E583" s="105"/>
      <c r="F583" s="105"/>
      <c r="G583" s="105"/>
      <c r="H583" s="105"/>
      <c r="I583" s="105"/>
      <c r="J583" s="105"/>
      <c r="K583" s="105"/>
      <c r="L583" s="105"/>
      <c r="M583" s="105"/>
      <c r="N583" s="105"/>
      <c r="O583" s="105"/>
      <c r="P583" s="105" t="str">
        <f>IFERROR(__xludf.DUMMYFUNCTION("""COMPUTED_VALUE"""),"patch::good::enough")</f>
        <v>patch::good::enough</v>
      </c>
      <c r="Q583" s="105"/>
      <c r="R583" s="105"/>
      <c r="S583" s="105"/>
      <c r="T583" s="105"/>
      <c r="U583" s="105"/>
      <c r="V583" s="105"/>
      <c r="W583" s="105"/>
      <c r="X583" s="105"/>
      <c r="Y583" s="105"/>
      <c r="Z583" s="105"/>
    </row>
    <row r="584">
      <c r="A584" s="105"/>
      <c r="B584" s="105"/>
      <c r="C584" s="105"/>
      <c r="D584" s="105"/>
      <c r="E584" s="105"/>
      <c r="F584" s="105"/>
      <c r="G584" s="105"/>
      <c r="H584" s="105"/>
      <c r="I584" s="105"/>
      <c r="J584" s="105"/>
      <c r="K584" s="105"/>
      <c r="L584" s="105"/>
      <c r="M584" s="105"/>
      <c r="N584" s="105"/>
      <c r="O584" s="105"/>
      <c r="P584" s="105" t="str">
        <f>IFERROR(__xludf.DUMMYFUNCTION("""COMPUTED_VALUE"""),"pr::is::continuation::of::other::pr")</f>
        <v>pr::is::continuation::of::other::pr</v>
      </c>
      <c r="Q584" s="105"/>
      <c r="R584" s="105"/>
      <c r="S584" s="105"/>
      <c r="T584" s="105"/>
      <c r="U584" s="105"/>
      <c r="V584" s="105"/>
      <c r="W584" s="105"/>
      <c r="X584" s="105"/>
      <c r="Y584" s="105"/>
      <c r="Z584" s="105"/>
    </row>
    <row r="585">
      <c r="A585" s="105"/>
      <c r="B585" s="105"/>
      <c r="C585" s="105"/>
      <c r="D585" s="105"/>
      <c r="E585" s="105"/>
      <c r="F585" s="105"/>
      <c r="G585" s="105"/>
      <c r="H585" s="105"/>
      <c r="I585" s="105"/>
      <c r="J585" s="105"/>
      <c r="K585" s="105"/>
      <c r="L585" s="105"/>
      <c r="M585" s="105"/>
      <c r="N585" s="105"/>
      <c r="O585" s="105"/>
      <c r="P585" s="105" t="str">
        <f>IFERROR(__xludf.DUMMYFUNCTION("""COMPUTED_VALUE"""),"providing::advice::about::changes::(verify::correctness)")</f>
        <v>providing::advice::about::changes::(verify::correctness)</v>
      </c>
      <c r="Q585" s="105"/>
      <c r="R585" s="105"/>
      <c r="S585" s="105"/>
      <c r="T585" s="105"/>
      <c r="U585" s="105"/>
      <c r="V585" s="105"/>
      <c r="W585" s="105"/>
      <c r="X585" s="105"/>
      <c r="Y585" s="105"/>
      <c r="Z585" s="105"/>
    </row>
    <row r="586">
      <c r="A586" s="105"/>
      <c r="B586" s="105"/>
      <c r="C586" s="105"/>
      <c r="D586" s="105"/>
      <c r="E586" s="105"/>
      <c r="F586" s="105"/>
      <c r="G586" s="105"/>
      <c r="H586" s="105"/>
      <c r="I586" s="105"/>
      <c r="J586" s="105"/>
      <c r="K586" s="105"/>
      <c r="L586" s="105"/>
      <c r="M586" s="105"/>
      <c r="N586" s="105"/>
      <c r="O586" s="105"/>
      <c r="P586" s="105" t="str">
        <f>IFERROR(__xludf.DUMMYFUNCTION("""COMPUTED_VALUE"""),"providing::advice::about::code::(a::different::approach::than::existing::one)")</f>
        <v>providing::advice::about::code::(a::different::approach::than::existing::one)</v>
      </c>
      <c r="Q586" s="105"/>
      <c r="R586" s="105"/>
      <c r="S586" s="105"/>
      <c r="T586" s="105"/>
      <c r="U586" s="105"/>
      <c r="V586" s="105"/>
      <c r="W586" s="105"/>
      <c r="X586" s="105"/>
      <c r="Y586" s="105"/>
      <c r="Z586" s="105"/>
    </row>
    <row r="587">
      <c r="A587" s="105"/>
      <c r="B587" s="105"/>
      <c r="C587" s="105"/>
      <c r="D587" s="105"/>
      <c r="E587" s="105"/>
      <c r="F587" s="105"/>
      <c r="G587" s="105"/>
      <c r="H587" s="105"/>
      <c r="I587" s="105"/>
      <c r="J587" s="105"/>
      <c r="K587" s="105"/>
      <c r="L587" s="105"/>
      <c r="M587" s="105"/>
      <c r="N587" s="105"/>
      <c r="O587" s="105"/>
      <c r="P587" s="105" t="str">
        <f>IFERROR(__xludf.DUMMYFUNCTION("""COMPUTED_VALUE"""),"providing::advice::about::code::(reason::of::changing::code)")</f>
        <v>providing::advice::about::code::(reason::of::changing::code)</v>
      </c>
      <c r="Q587" s="105"/>
      <c r="R587" s="105"/>
      <c r="S587" s="105"/>
      <c r="T587" s="105"/>
      <c r="U587" s="105"/>
      <c r="V587" s="105"/>
      <c r="W587" s="105"/>
      <c r="X587" s="105"/>
      <c r="Y587" s="105"/>
      <c r="Z587" s="105"/>
    </row>
    <row r="588">
      <c r="A588" s="105"/>
      <c r="B588" s="105"/>
      <c r="C588" s="105"/>
      <c r="D588" s="105"/>
      <c r="E588" s="105"/>
      <c r="F588" s="105"/>
      <c r="G588" s="105"/>
      <c r="H588" s="105"/>
      <c r="I588" s="105"/>
      <c r="J588" s="105"/>
      <c r="K588" s="105"/>
      <c r="L588" s="105"/>
      <c r="M588" s="105"/>
      <c r="N588" s="105"/>
      <c r="O588" s="105"/>
      <c r="P588" s="105" t="str">
        <f>IFERROR(__xludf.DUMMYFUNCTION("""COMPUTED_VALUE"""),"providing::advice::about::code::and::documentation::(functionallity)")</f>
        <v>providing::advice::about::code::and::documentation::(functionallity)</v>
      </c>
      <c r="Q588" s="105"/>
      <c r="R588" s="105"/>
      <c r="S588" s="105"/>
      <c r="T588" s="105"/>
      <c r="U588" s="105"/>
      <c r="V588" s="105"/>
      <c r="W588" s="105"/>
      <c r="X588" s="105"/>
      <c r="Y588" s="105"/>
      <c r="Z588" s="105"/>
    </row>
    <row r="589">
      <c r="A589" s="105"/>
      <c r="B589" s="105"/>
      <c r="C589" s="105"/>
      <c r="D589" s="105"/>
      <c r="E589" s="105"/>
      <c r="F589" s="105"/>
      <c r="G589" s="105"/>
      <c r="H589" s="105"/>
      <c r="I589" s="105"/>
      <c r="J589" s="105"/>
      <c r="K589" s="105"/>
      <c r="L589" s="105"/>
      <c r="M589" s="105"/>
      <c r="N589" s="105"/>
      <c r="O589" s="105"/>
      <c r="P589" s="105" t="str">
        <f>IFERROR(__xludf.DUMMYFUNCTION("""COMPUTED_VALUE"""),"providing::advice::about::suggestion::change::current::approach::(change::for::different::api::version)")</f>
        <v>providing::advice::about::suggestion::change::current::approach::(change::for::different::api::version)</v>
      </c>
      <c r="Q589" s="105"/>
      <c r="R589" s="105"/>
      <c r="S589" s="105"/>
      <c r="T589" s="105"/>
      <c r="U589" s="105"/>
      <c r="V589" s="105"/>
      <c r="W589" s="105"/>
      <c r="X589" s="105"/>
      <c r="Y589" s="105"/>
      <c r="Z589" s="105"/>
    </row>
    <row r="590">
      <c r="A590" s="105"/>
      <c r="B590" s="105"/>
      <c r="C590" s="105"/>
      <c r="D590" s="105"/>
      <c r="E590" s="105"/>
      <c r="F590" s="105"/>
      <c r="G590" s="105"/>
      <c r="H590" s="105"/>
      <c r="I590" s="105"/>
      <c r="J590" s="105"/>
      <c r="K590" s="105"/>
      <c r="L590" s="105"/>
      <c r="M590" s="105"/>
      <c r="N590" s="105"/>
      <c r="O590" s="105"/>
      <c r="P590" s="105" t="str">
        <f>IFERROR(__xludf.DUMMYFUNCTION("""COMPUTED_VALUE"""),"providing::advice::about::suggestion::refactoring::(style::removing::unnecessary::newline)")</f>
        <v>providing::advice::about::suggestion::refactoring::(style::removing::unnecessary::newline)</v>
      </c>
      <c r="Q590" s="105"/>
      <c r="R590" s="105"/>
      <c r="S590" s="105"/>
      <c r="T590" s="105"/>
      <c r="U590" s="105"/>
      <c r="V590" s="105"/>
      <c r="W590" s="105"/>
      <c r="X590" s="105"/>
      <c r="Y590" s="105"/>
      <c r="Z590" s="105"/>
    </row>
    <row r="591">
      <c r="A591" s="105"/>
      <c r="B591" s="105"/>
      <c r="C591" s="105"/>
      <c r="D591" s="105"/>
      <c r="E591" s="105"/>
      <c r="F591" s="105"/>
      <c r="G591" s="105"/>
      <c r="H591" s="105"/>
      <c r="I591" s="105"/>
      <c r="J591" s="105"/>
      <c r="K591" s="105"/>
      <c r="L591" s="105"/>
      <c r="M591" s="105"/>
      <c r="N591" s="105"/>
      <c r="O591" s="105"/>
      <c r="P591" s="105" t="str">
        <f>IFERROR(__xludf.DUMMYFUNCTION("""COMPUTED_VALUE"""),"providing::advice::best::practice::(style)")</f>
        <v>providing::advice::best::practice::(style)</v>
      </c>
      <c r="Q591" s="105"/>
      <c r="R591" s="105"/>
      <c r="S591" s="105"/>
      <c r="T591" s="105"/>
      <c r="U591" s="105"/>
      <c r="V591" s="105"/>
      <c r="W591" s="105"/>
      <c r="X591" s="105"/>
      <c r="Y591" s="105"/>
      <c r="Z591" s="105"/>
    </row>
    <row r="592">
      <c r="A592" s="105"/>
      <c r="B592" s="105"/>
      <c r="C592" s="105"/>
      <c r="D592" s="105"/>
      <c r="E592" s="105"/>
      <c r="F592" s="105"/>
      <c r="G592" s="105"/>
      <c r="H592" s="105"/>
      <c r="I592" s="105"/>
      <c r="J592" s="105"/>
      <c r="K592" s="105"/>
      <c r="L592" s="105"/>
      <c r="M592" s="105"/>
      <c r="N592" s="105"/>
      <c r="O592" s="105"/>
      <c r="P592" s="105" t="str">
        <f>IFERROR(__xludf.DUMMYFUNCTION("""COMPUTED_VALUE"""),"providing::advice::best::practice::(versioning)::with::code")</f>
        <v>providing::advice::best::practice::(versioning)::with::code</v>
      </c>
      <c r="Q592" s="105"/>
      <c r="R592" s="105"/>
      <c r="S592" s="105"/>
      <c r="T592" s="105"/>
      <c r="U592" s="105"/>
      <c r="V592" s="105"/>
      <c r="W592" s="105"/>
      <c r="X592" s="105"/>
      <c r="Y592" s="105"/>
      <c r="Z592" s="105"/>
    </row>
    <row r="593">
      <c r="A593" s="105"/>
      <c r="B593" s="105"/>
      <c r="C593" s="105"/>
      <c r="D593" s="105"/>
      <c r="E593" s="105"/>
      <c r="F593" s="105"/>
      <c r="G593" s="105"/>
      <c r="H593" s="105"/>
      <c r="I593" s="105"/>
      <c r="J593" s="105"/>
      <c r="K593" s="105"/>
      <c r="L593" s="105"/>
      <c r="M593" s="105"/>
      <c r="N593" s="105"/>
      <c r="O593" s="105"/>
      <c r="P593" s="105" t="str">
        <f>IFERROR(__xludf.DUMMYFUNCTION("""COMPUTED_VALUE"""),"providing::advice::developing::process::(need::to::file::BP)")</f>
        <v>providing::advice::developing::process::(need::to::file::BP)</v>
      </c>
      <c r="Q593" s="105"/>
      <c r="R593" s="105"/>
      <c r="S593" s="105"/>
      <c r="T593" s="105"/>
      <c r="U593" s="105"/>
      <c r="V593" s="105"/>
      <c r="W593" s="105"/>
      <c r="X593" s="105"/>
      <c r="Y593" s="105"/>
      <c r="Z593" s="105"/>
    </row>
    <row r="594">
      <c r="A594" s="105"/>
      <c r="B594" s="105"/>
      <c r="C594" s="105"/>
      <c r="D594" s="105"/>
      <c r="E594" s="105"/>
      <c r="F594" s="105"/>
      <c r="G594" s="105"/>
      <c r="H594" s="105"/>
      <c r="I594" s="105"/>
      <c r="J594" s="105"/>
      <c r="K594" s="105"/>
      <c r="L594" s="105"/>
      <c r="M594" s="105"/>
      <c r="N594" s="105"/>
      <c r="O594" s="105"/>
      <c r="P594" s="105" t="str">
        <f>IFERROR(__xludf.DUMMYFUNCTION("""COMPUTED_VALUE"""),"providing::advice::developing::process::(relate::a::BP::or::bug::with::commit)")</f>
        <v>providing::advice::developing::process::(relate::a::BP::or::bug::with::commit)</v>
      </c>
      <c r="Q594" s="105"/>
      <c r="R594" s="105"/>
      <c r="S594" s="105"/>
      <c r="T594" s="105"/>
      <c r="U594" s="105"/>
      <c r="V594" s="105"/>
      <c r="W594" s="105"/>
      <c r="X594" s="105"/>
      <c r="Y594" s="105"/>
      <c r="Z594" s="105"/>
    </row>
    <row r="595">
      <c r="A595" s="105"/>
      <c r="B595" s="105"/>
      <c r="C595" s="105"/>
      <c r="D595" s="105"/>
      <c r="E595" s="105"/>
      <c r="F595" s="105"/>
      <c r="G595" s="105"/>
      <c r="H595" s="105"/>
      <c r="I595" s="105"/>
      <c r="J595" s="105"/>
      <c r="K595" s="105"/>
      <c r="L595" s="105"/>
      <c r="M595" s="105"/>
      <c r="N595" s="105"/>
      <c r="O595" s="105"/>
      <c r="P595" s="105" t="str">
        <f>IFERROR(__xludf.DUMMYFUNCTION("""COMPUTED_VALUE"""),"providing::advice::how::to::develop::(standards)")</f>
        <v>providing::advice::how::to::develop::(standards)</v>
      </c>
      <c r="Q595" s="105"/>
      <c r="R595" s="105"/>
      <c r="S595" s="105"/>
      <c r="T595" s="105"/>
      <c r="U595" s="105"/>
      <c r="V595" s="105"/>
      <c r="W595" s="105"/>
      <c r="X595" s="105"/>
      <c r="Y595" s="105"/>
      <c r="Z595" s="105"/>
    </row>
    <row r="596">
      <c r="A596" s="105"/>
      <c r="B596" s="105"/>
      <c r="C596" s="105"/>
      <c r="D596" s="105"/>
      <c r="E596" s="105"/>
      <c r="F596" s="105"/>
      <c r="G596" s="105"/>
      <c r="H596" s="105"/>
      <c r="I596" s="105"/>
      <c r="J596" s="105"/>
      <c r="K596" s="105"/>
      <c r="L596" s="105"/>
      <c r="M596" s="105"/>
      <c r="N596" s="105"/>
      <c r="O596" s="105"/>
      <c r="P596" s="105" t="str">
        <f>IFERROR(__xludf.DUMMYFUNCTION("""COMPUTED_VALUE"""),"providing::advice::how::to::develop::(use::of::patches)")</f>
        <v>providing::advice::how::to::develop::(use::of::patches)</v>
      </c>
      <c r="Q596" s="105"/>
      <c r="R596" s="105"/>
      <c r="S596" s="105"/>
      <c r="T596" s="105"/>
      <c r="U596" s="105"/>
      <c r="V596" s="105"/>
      <c r="W596" s="105"/>
      <c r="X596" s="105"/>
      <c r="Y596" s="105"/>
      <c r="Z596" s="105"/>
    </row>
    <row r="597">
      <c r="A597" s="105"/>
      <c r="B597" s="105"/>
      <c r="C597" s="105"/>
      <c r="D597" s="105"/>
      <c r="E597" s="105"/>
      <c r="F597" s="105"/>
      <c r="G597" s="105"/>
      <c r="H597" s="105"/>
      <c r="I597" s="105"/>
      <c r="J597" s="105"/>
      <c r="K597" s="105"/>
      <c r="L597" s="105"/>
      <c r="M597" s="105"/>
      <c r="N597" s="105"/>
      <c r="O597" s="105"/>
      <c r="P597" s="105" t="str">
        <f>IFERROR(__xludf.DUMMYFUNCTION("""COMPUTED_VALUE"""),"providing::advice::how::to::fix::(alternative::solution)")</f>
        <v>providing::advice::how::to::fix::(alternative::solution)</v>
      </c>
      <c r="Q597" s="105"/>
      <c r="R597" s="105"/>
      <c r="S597" s="105"/>
      <c r="T597" s="105"/>
      <c r="U597" s="105"/>
      <c r="V597" s="105"/>
      <c r="W597" s="105"/>
      <c r="X597" s="105"/>
      <c r="Y597" s="105"/>
      <c r="Z597" s="105"/>
    </row>
    <row r="598">
      <c r="A598" s="105"/>
      <c r="B598" s="105"/>
      <c r="C598" s="105"/>
      <c r="D598" s="105"/>
      <c r="E598" s="105"/>
      <c r="F598" s="105"/>
      <c r="G598" s="105"/>
      <c r="H598" s="105"/>
      <c r="I598" s="105"/>
      <c r="J598" s="105"/>
      <c r="K598" s="105"/>
      <c r="L598" s="105"/>
      <c r="M598" s="105"/>
      <c r="N598" s="105"/>
      <c r="O598" s="105"/>
      <c r="P598" s="105" t="str">
        <f>IFERROR(__xludf.DUMMYFUNCTION("""COMPUTED_VALUE"""),"providing::advice::how::to::fix::failures")</f>
        <v>providing::advice::how::to::fix::failures</v>
      </c>
      <c r="Q598" s="105"/>
      <c r="R598" s="105"/>
      <c r="S598" s="105"/>
      <c r="T598" s="105"/>
      <c r="U598" s="105"/>
      <c r="V598" s="105"/>
      <c r="W598" s="105"/>
      <c r="X598" s="105"/>
      <c r="Y598" s="105"/>
      <c r="Z598" s="105"/>
    </row>
    <row r="599">
      <c r="A599" s="105"/>
      <c r="B599" s="105"/>
      <c r="C599" s="105"/>
      <c r="D599" s="105"/>
      <c r="E599" s="105"/>
      <c r="F599" s="105"/>
      <c r="G599" s="105"/>
      <c r="H599" s="105"/>
      <c r="I599" s="105"/>
      <c r="J599" s="105"/>
      <c r="K599" s="105"/>
      <c r="L599" s="105"/>
      <c r="M599" s="105"/>
      <c r="N599" s="105"/>
      <c r="O599" s="105"/>
      <c r="P599" s="105" t="str">
        <f>IFERROR(__xludf.DUMMYFUNCTION("""COMPUTED_VALUE"""),"providing::advice::how::to::fix::failures::(avoid::shutdown)")</f>
        <v>providing::advice::how::to::fix::failures::(avoid::shutdown)</v>
      </c>
      <c r="Q599" s="105"/>
      <c r="R599" s="105"/>
      <c r="S599" s="105"/>
      <c r="T599" s="105"/>
      <c r="U599" s="105"/>
      <c r="V599" s="105"/>
      <c r="W599" s="105"/>
      <c r="X599" s="105"/>
      <c r="Y599" s="105"/>
      <c r="Z599" s="105"/>
    </row>
    <row r="600">
      <c r="A600" s="105"/>
      <c r="B600" s="105"/>
      <c r="C600" s="105"/>
      <c r="D600" s="105"/>
      <c r="E600" s="105"/>
      <c r="F600" s="105"/>
      <c r="G600" s="105"/>
      <c r="H600" s="105"/>
      <c r="I600" s="105"/>
      <c r="J600" s="105"/>
      <c r="K600" s="105"/>
      <c r="L600" s="105"/>
      <c r="M600" s="105"/>
      <c r="N600" s="105"/>
      <c r="O600" s="105"/>
      <c r="P600" s="105" t="str">
        <f>IFERROR(__xludf.DUMMYFUNCTION("""COMPUTED_VALUE"""),"providing::advice::how::to::fix::failures::(building::tests)")</f>
        <v>providing::advice::how::to::fix::failures::(building::tests)</v>
      </c>
      <c r="Q600" s="105"/>
      <c r="R600" s="105"/>
      <c r="S600" s="105"/>
      <c r="T600" s="105"/>
      <c r="U600" s="105"/>
      <c r="V600" s="105"/>
      <c r="W600" s="105"/>
      <c r="X600" s="105"/>
      <c r="Y600" s="105"/>
      <c r="Z600" s="105"/>
    </row>
    <row r="601">
      <c r="A601" s="105"/>
      <c r="B601" s="105"/>
      <c r="C601" s="105"/>
      <c r="D601" s="105"/>
      <c r="E601" s="105"/>
      <c r="F601" s="105"/>
      <c r="G601" s="105"/>
      <c r="H601" s="105"/>
      <c r="I601" s="105"/>
      <c r="J601" s="105"/>
      <c r="K601" s="105"/>
      <c r="L601" s="105"/>
      <c r="M601" s="105"/>
      <c r="N601" s="105"/>
      <c r="O601" s="105"/>
      <c r="P601" s="105" t="str">
        <f>IFERROR(__xludf.DUMMYFUNCTION("""COMPUTED_VALUE"""),"providing::advice::how::to::fix::failures::(how::to::initialize::variables)::with::code")</f>
        <v>providing::advice::how::to::fix::failures::(how::to::initialize::variables)::with::code</v>
      </c>
      <c r="Q601" s="105"/>
      <c r="R601" s="105"/>
      <c r="S601" s="105"/>
      <c r="T601" s="105"/>
      <c r="U601" s="105"/>
      <c r="V601" s="105"/>
      <c r="W601" s="105"/>
      <c r="X601" s="105"/>
      <c r="Y601" s="105"/>
      <c r="Z601" s="105"/>
    </row>
    <row r="602">
      <c r="A602" s="105"/>
      <c r="B602" s="105"/>
      <c r="C602" s="105"/>
      <c r="D602" s="105"/>
      <c r="E602" s="105"/>
      <c r="F602" s="105"/>
      <c r="G602" s="105"/>
      <c r="H602" s="105"/>
      <c r="I602" s="105"/>
      <c r="J602" s="105"/>
      <c r="K602" s="105"/>
      <c r="L602" s="105"/>
      <c r="M602" s="105"/>
      <c r="N602" s="105"/>
      <c r="O602" s="105"/>
      <c r="P602" s="105" t="str">
        <f>IFERROR(__xludf.DUMMYFUNCTION("""COMPUTED_VALUE"""),"providing::advice::how::to::fix::failures::(revert:.changes)")</f>
        <v>providing::advice::how::to::fix::failures::(revert:.changes)</v>
      </c>
      <c r="Q602" s="105"/>
      <c r="R602" s="105"/>
      <c r="S602" s="105"/>
      <c r="T602" s="105"/>
      <c r="U602" s="105"/>
      <c r="V602" s="105"/>
      <c r="W602" s="105"/>
      <c r="X602" s="105"/>
      <c r="Y602" s="105"/>
      <c r="Z602" s="105"/>
    </row>
    <row r="603">
      <c r="A603" s="105"/>
      <c r="B603" s="105"/>
      <c r="C603" s="105"/>
      <c r="D603" s="105"/>
      <c r="E603" s="105"/>
      <c r="F603" s="105"/>
      <c r="G603" s="105"/>
      <c r="H603" s="105"/>
      <c r="I603" s="105"/>
      <c r="J603" s="105"/>
      <c r="K603" s="105"/>
      <c r="L603" s="105"/>
      <c r="M603" s="105"/>
      <c r="N603" s="105"/>
      <c r="O603" s="105"/>
      <c r="P603" s="105" t="str">
        <f>IFERROR(__xludf.DUMMYFUNCTION("""COMPUTED_VALUE"""),"providing::advice::implications::of::suggestion::refactoring::(move::logic::parent::class::instead::of::sub::classes)")</f>
        <v>providing::advice::implications::of::suggestion::refactoring::(move::logic::parent::class::instead::of::sub::classes)</v>
      </c>
      <c r="Q603" s="105"/>
      <c r="R603" s="105"/>
      <c r="S603" s="105"/>
      <c r="T603" s="105"/>
      <c r="U603" s="105"/>
      <c r="V603" s="105"/>
      <c r="W603" s="105"/>
      <c r="X603" s="105"/>
      <c r="Y603" s="105"/>
      <c r="Z603" s="105"/>
    </row>
    <row r="604">
      <c r="A604" s="105"/>
      <c r="B604" s="105"/>
      <c r="C604" s="105"/>
      <c r="D604" s="105"/>
      <c r="E604" s="105"/>
      <c r="F604" s="105"/>
      <c r="G604" s="105"/>
      <c r="H604" s="105"/>
      <c r="I604" s="105"/>
      <c r="J604" s="105"/>
      <c r="K604" s="105"/>
      <c r="L604" s="105"/>
      <c r="M604" s="105"/>
      <c r="N604" s="105"/>
      <c r="O604" s="105"/>
      <c r="P604" s="105" t="str">
        <f>IFERROR(__xludf.DUMMYFUNCTION("""COMPUTED_VALUE"""),"providing::advice::suggestion::refactoring::(naming::function)")</f>
        <v>providing::advice::suggestion::refactoring::(naming::function)</v>
      </c>
      <c r="Q604" s="105"/>
      <c r="R604" s="105"/>
      <c r="S604" s="105"/>
      <c r="T604" s="105"/>
      <c r="U604" s="105"/>
      <c r="V604" s="105"/>
      <c r="W604" s="105"/>
      <c r="X604" s="105"/>
      <c r="Y604" s="105"/>
      <c r="Z604" s="105"/>
    </row>
    <row r="605">
      <c r="A605" s="105"/>
      <c r="B605" s="105"/>
      <c r="C605" s="105"/>
      <c r="D605" s="105"/>
      <c r="E605" s="105"/>
      <c r="F605" s="105"/>
      <c r="G605" s="105"/>
      <c r="H605" s="105"/>
      <c r="I605" s="105"/>
      <c r="J605" s="105"/>
      <c r="K605" s="105"/>
      <c r="L605" s="105"/>
      <c r="M605" s="105"/>
      <c r="N605" s="105"/>
      <c r="O605" s="105"/>
      <c r="P605" s="105" t="str">
        <f>IFERROR(__xludf.DUMMYFUNCTION("""COMPUTED_VALUE"""),"providing::clarification::(need::of::conditional)")</f>
        <v>providing::clarification::(need::of::conditional)</v>
      </c>
      <c r="Q605" s="105"/>
      <c r="R605" s="105"/>
      <c r="S605" s="105"/>
      <c r="T605" s="105"/>
      <c r="U605" s="105"/>
      <c r="V605" s="105"/>
      <c r="W605" s="105"/>
      <c r="X605" s="105"/>
      <c r="Y605" s="105"/>
      <c r="Z605" s="105"/>
    </row>
    <row r="606">
      <c r="A606" s="105"/>
      <c r="B606" s="105"/>
      <c r="C606" s="105"/>
      <c r="D606" s="105"/>
      <c r="E606" s="105"/>
      <c r="F606" s="105"/>
      <c r="G606" s="105"/>
      <c r="H606" s="105"/>
      <c r="I606" s="105"/>
      <c r="J606" s="105"/>
      <c r="K606" s="105"/>
      <c r="L606" s="105"/>
      <c r="M606" s="105"/>
      <c r="N606" s="105"/>
      <c r="O606" s="105"/>
      <c r="P606" s="105" t="str">
        <f>IFERROR(__xludf.DUMMYFUNCTION("""COMPUTED_VALUE"""),"providing::clarification::(need::of::constant)")</f>
        <v>providing::clarification::(need::of::constant)</v>
      </c>
      <c r="Q606" s="105"/>
      <c r="R606" s="105"/>
      <c r="S606" s="105"/>
      <c r="T606" s="105"/>
      <c r="U606" s="105"/>
      <c r="V606" s="105"/>
      <c r="W606" s="105"/>
      <c r="X606" s="105"/>
      <c r="Y606" s="105"/>
      <c r="Z606" s="105"/>
    </row>
    <row r="607">
      <c r="A607" s="105"/>
      <c r="B607" s="105"/>
      <c r="C607" s="105"/>
      <c r="D607" s="105"/>
      <c r="E607" s="105"/>
      <c r="F607" s="105"/>
      <c r="G607" s="105"/>
      <c r="H607" s="105"/>
      <c r="I607" s="105"/>
      <c r="J607" s="105"/>
      <c r="K607" s="105"/>
      <c r="L607" s="105"/>
      <c r="M607" s="105"/>
      <c r="N607" s="105"/>
      <c r="O607" s="105"/>
      <c r="P607" s="105" t="str">
        <f>IFERROR(__xludf.DUMMYFUNCTION("""COMPUTED_VALUE"""),"providing::clarification::(need::of::method::calling)")</f>
        <v>providing::clarification::(need::of::method::calling)</v>
      </c>
      <c r="Q607" s="105"/>
      <c r="R607" s="105"/>
      <c r="S607" s="105"/>
      <c r="T607" s="105"/>
      <c r="U607" s="105"/>
      <c r="V607" s="105"/>
      <c r="W607" s="105"/>
      <c r="X607" s="105"/>
      <c r="Y607" s="105"/>
      <c r="Z607" s="105"/>
    </row>
    <row r="608">
      <c r="A608" s="105"/>
      <c r="B608" s="105"/>
      <c r="C608" s="105"/>
      <c r="D608" s="105"/>
      <c r="E608" s="105"/>
      <c r="F608" s="105"/>
      <c r="G608" s="105"/>
      <c r="H608" s="105"/>
      <c r="I608" s="105"/>
      <c r="J608" s="105"/>
      <c r="K608" s="105"/>
      <c r="L608" s="105"/>
      <c r="M608" s="105"/>
      <c r="N608" s="105"/>
      <c r="O608" s="105"/>
      <c r="P608" s="105" t="str">
        <f>IFERROR(__xludf.DUMMYFUNCTION("""COMPUTED_VALUE"""),"providing::clarification::(need::of::new::PR)")</f>
        <v>providing::clarification::(need::of::new::PR)</v>
      </c>
      <c r="Q608" s="105"/>
      <c r="R608" s="105"/>
      <c r="S608" s="105"/>
      <c r="T608" s="105"/>
      <c r="U608" s="105"/>
      <c r="V608" s="105"/>
      <c r="W608" s="105"/>
      <c r="X608" s="105"/>
      <c r="Y608" s="105"/>
      <c r="Z608" s="105"/>
    </row>
    <row r="609">
      <c r="A609" s="105"/>
      <c r="B609" s="105"/>
      <c r="C609" s="105"/>
      <c r="D609" s="105"/>
      <c r="E609" s="105"/>
      <c r="F609" s="105"/>
      <c r="G609" s="105"/>
      <c r="H609" s="105"/>
      <c r="I609" s="105"/>
      <c r="J609" s="105"/>
      <c r="K609" s="105"/>
      <c r="L609" s="105"/>
      <c r="M609" s="105"/>
      <c r="N609" s="105"/>
      <c r="O609" s="105"/>
      <c r="P609" s="105" t="str">
        <f>IFERROR(__xludf.DUMMYFUNCTION("""COMPUTED_VALUE"""),"providing::clarification::(need::to::move::logic)")</f>
        <v>providing::clarification::(need::to::move::logic)</v>
      </c>
      <c r="Q609" s="105"/>
      <c r="R609" s="105"/>
      <c r="S609" s="105"/>
      <c r="T609" s="105"/>
      <c r="U609" s="105"/>
      <c r="V609" s="105"/>
      <c r="W609" s="105"/>
      <c r="X609" s="105"/>
      <c r="Y609" s="105"/>
      <c r="Z609" s="105"/>
    </row>
    <row r="610">
      <c r="A610" s="105"/>
      <c r="B610" s="105"/>
      <c r="C610" s="105"/>
      <c r="D610" s="105"/>
      <c r="E610" s="105"/>
      <c r="F610" s="105"/>
      <c r="G610" s="105"/>
      <c r="H610" s="105"/>
      <c r="I610" s="105"/>
      <c r="J610" s="105"/>
      <c r="K610" s="105"/>
      <c r="L610" s="105"/>
      <c r="M610" s="105"/>
      <c r="N610" s="105"/>
      <c r="O610" s="105"/>
      <c r="P610" s="105" t="str">
        <f>IFERROR(__xludf.DUMMYFUNCTION("""COMPUTED_VALUE"""),"providing::clarification::(need::to::remove::code)")</f>
        <v>providing::clarification::(need::to::remove::code)</v>
      </c>
      <c r="Q610" s="105"/>
      <c r="R610" s="105"/>
      <c r="S610" s="105"/>
      <c r="T610" s="105"/>
      <c r="U610" s="105"/>
      <c r="V610" s="105"/>
      <c r="W610" s="105"/>
      <c r="X610" s="105"/>
      <c r="Y610" s="105"/>
      <c r="Z610" s="105"/>
    </row>
    <row r="611">
      <c r="A611" s="105"/>
      <c r="B611" s="105"/>
      <c r="C611" s="105"/>
      <c r="D611" s="105"/>
      <c r="E611" s="105"/>
      <c r="F611" s="105"/>
      <c r="G611" s="105"/>
      <c r="H611" s="105"/>
      <c r="I611" s="105"/>
      <c r="J611" s="105"/>
      <c r="K611" s="105"/>
      <c r="L611" s="105"/>
      <c r="M611" s="105"/>
      <c r="N611" s="105"/>
      <c r="O611" s="105"/>
      <c r="P611" s="105" t="str">
        <f>IFERROR(__xludf.DUMMYFUNCTION("""COMPUTED_VALUE"""),"providing::clarification::(where::is::the::BP::implemented)")</f>
        <v>providing::clarification::(where::is::the::BP::implemented)</v>
      </c>
      <c r="Q611" s="105"/>
      <c r="R611" s="105"/>
      <c r="S611" s="105"/>
      <c r="T611" s="105"/>
      <c r="U611" s="105"/>
      <c r="V611" s="105"/>
      <c r="W611" s="105"/>
      <c r="X611" s="105"/>
      <c r="Y611" s="105"/>
      <c r="Z611" s="105"/>
    </row>
    <row r="612">
      <c r="A612" s="105"/>
      <c r="B612" s="105"/>
      <c r="C612" s="105"/>
      <c r="D612" s="105"/>
      <c r="E612" s="105"/>
      <c r="F612" s="105"/>
      <c r="G612" s="105"/>
      <c r="H612" s="105"/>
      <c r="I612" s="105"/>
      <c r="J612" s="105"/>
      <c r="K612" s="105"/>
      <c r="L612" s="105"/>
      <c r="M612" s="105"/>
      <c r="N612" s="105"/>
      <c r="O612" s="105"/>
      <c r="P612" s="105" t="str">
        <f>IFERROR(__xludf.DUMMYFUNCTION("""COMPUTED_VALUE"""),"providing::clarification::about::change")</f>
        <v>providing::clarification::about::change</v>
      </c>
      <c r="Q612" s="105"/>
      <c r="R612" s="105"/>
      <c r="S612" s="105"/>
      <c r="T612" s="105"/>
      <c r="U612" s="105"/>
      <c r="V612" s="105"/>
      <c r="W612" s="105"/>
      <c r="X612" s="105"/>
      <c r="Y612" s="105"/>
      <c r="Z612" s="105"/>
    </row>
    <row r="613">
      <c r="A613" s="105"/>
      <c r="B613" s="105"/>
      <c r="C613" s="105"/>
      <c r="D613" s="105"/>
      <c r="E613" s="105"/>
      <c r="F613" s="105"/>
      <c r="G613" s="105"/>
      <c r="H613" s="105"/>
      <c r="I613" s="105"/>
      <c r="J613" s="105"/>
      <c r="K613" s="105"/>
      <c r="L613" s="105"/>
      <c r="M613" s="105"/>
      <c r="N613" s="105"/>
      <c r="O613" s="105"/>
      <c r="P613" s="105" t="str">
        <f>IFERROR(__xludf.DUMMYFUNCTION("""COMPUTED_VALUE"""),"providing::clarification::about::change::(documentation)")</f>
        <v>providing::clarification::about::change::(documentation)</v>
      </c>
      <c r="Q613" s="105"/>
      <c r="R613" s="105"/>
      <c r="S613" s="105"/>
      <c r="T613" s="105"/>
      <c r="U613" s="105"/>
      <c r="V613" s="105"/>
      <c r="W613" s="105"/>
      <c r="X613" s="105"/>
      <c r="Y613" s="105"/>
      <c r="Z613" s="105"/>
    </row>
    <row r="614">
      <c r="A614" s="105"/>
      <c r="B614" s="105"/>
      <c r="C614" s="105"/>
      <c r="D614" s="105"/>
      <c r="E614" s="105"/>
      <c r="F614" s="105"/>
      <c r="G614" s="105"/>
      <c r="H614" s="105"/>
      <c r="I614" s="105"/>
      <c r="J614" s="105"/>
      <c r="K614" s="105"/>
      <c r="L614" s="105"/>
      <c r="M614" s="105"/>
      <c r="N614" s="105"/>
      <c r="O614" s="105"/>
      <c r="P614" s="105" t="str">
        <f>IFERROR(__xludf.DUMMYFUNCTION("""COMPUTED_VALUE"""),"providing::clarification::about::change::(logic)")</f>
        <v>providing::clarification::about::change::(logic)</v>
      </c>
      <c r="Q614" s="105"/>
      <c r="R614" s="105"/>
      <c r="S614" s="105"/>
      <c r="T614" s="105"/>
      <c r="U614" s="105"/>
      <c r="V614" s="105"/>
      <c r="W614" s="105"/>
      <c r="X614" s="105"/>
      <c r="Y614" s="105"/>
      <c r="Z614" s="105"/>
    </row>
    <row r="615">
      <c r="A615" s="105"/>
      <c r="B615" s="105"/>
      <c r="C615" s="105"/>
      <c r="D615" s="105"/>
      <c r="E615" s="105"/>
      <c r="F615" s="105"/>
      <c r="G615" s="105"/>
      <c r="H615" s="105"/>
      <c r="I615" s="105"/>
      <c r="J615" s="105"/>
      <c r="K615" s="105"/>
      <c r="L615" s="105"/>
      <c r="M615" s="105"/>
      <c r="N615" s="105"/>
      <c r="O615" s="105"/>
      <c r="P615" s="105" t="str">
        <f>IFERROR(__xludf.DUMMYFUNCTION("""COMPUTED_VALUE"""),"providing::clarification::about::code")</f>
        <v>providing::clarification::about::code</v>
      </c>
      <c r="Q615" s="105"/>
      <c r="R615" s="105"/>
      <c r="S615" s="105"/>
      <c r="T615" s="105"/>
      <c r="U615" s="105"/>
      <c r="V615" s="105"/>
      <c r="W615" s="105"/>
      <c r="X615" s="105"/>
      <c r="Y615" s="105"/>
      <c r="Z615" s="105"/>
    </row>
    <row r="616">
      <c r="A616" s="105"/>
      <c r="B616" s="105"/>
      <c r="C616" s="105"/>
      <c r="D616" s="105"/>
      <c r="E616" s="105"/>
      <c r="F616" s="105"/>
      <c r="G616" s="105"/>
      <c r="H616" s="105"/>
      <c r="I616" s="105"/>
      <c r="J616" s="105"/>
      <c r="K616" s="105"/>
      <c r="L616" s="105"/>
      <c r="M616" s="105"/>
      <c r="N616" s="105"/>
      <c r="O616" s="105"/>
      <c r="P616" s="105" t="str">
        <f>IFERROR(__xludf.DUMMYFUNCTION("""COMPUTED_VALUE"""),"providing::clarification::about::code::(a::different::approach::than::existing::one)")</f>
        <v>providing::clarification::about::code::(a::different::approach::than::existing::one)</v>
      </c>
      <c r="Q616" s="105"/>
      <c r="R616" s="105"/>
      <c r="S616" s="105"/>
      <c r="T616" s="105"/>
      <c r="U616" s="105"/>
      <c r="V616" s="105"/>
      <c r="W616" s="105"/>
      <c r="X616" s="105"/>
      <c r="Y616" s="105"/>
      <c r="Z616" s="105"/>
    </row>
    <row r="617">
      <c r="A617" s="105"/>
      <c r="B617" s="105"/>
      <c r="C617" s="105"/>
      <c r="D617" s="105"/>
      <c r="E617" s="105"/>
      <c r="F617" s="105"/>
      <c r="G617" s="105"/>
      <c r="H617" s="105"/>
      <c r="I617" s="105"/>
      <c r="J617" s="105"/>
      <c r="K617" s="105"/>
      <c r="L617" s="105"/>
      <c r="M617" s="105"/>
      <c r="N617" s="105"/>
      <c r="O617" s="105"/>
      <c r="P617" s="105" t="str">
        <f>IFERROR(__xludf.DUMMYFUNCTION("""COMPUTED_VALUE"""),"providing::clarification::about::code::(conditional::with::break)")</f>
        <v>providing::clarification::about::code::(conditional::with::break)</v>
      </c>
      <c r="Q617" s="105"/>
      <c r="R617" s="105"/>
      <c r="S617" s="105"/>
      <c r="T617" s="105"/>
      <c r="U617" s="105"/>
      <c r="V617" s="105"/>
      <c r="W617" s="105"/>
      <c r="X617" s="105"/>
      <c r="Y617" s="105"/>
      <c r="Z617" s="105"/>
    </row>
    <row r="618">
      <c r="A618" s="105"/>
      <c r="B618" s="105"/>
      <c r="C618" s="105"/>
      <c r="D618" s="105"/>
      <c r="E618" s="105"/>
      <c r="F618" s="105"/>
      <c r="G618" s="105"/>
      <c r="H618" s="105"/>
      <c r="I618" s="105"/>
      <c r="J618" s="105"/>
      <c r="K618" s="105"/>
      <c r="L618" s="105"/>
      <c r="M618" s="105"/>
      <c r="N618" s="105"/>
      <c r="O618" s="105"/>
      <c r="P618" s="105" t="str">
        <f>IFERROR(__xludf.DUMMYFUNCTION("""COMPUTED_VALUE"""),"providing::clarification::about::code::(default::value)")</f>
        <v>providing::clarification::about::code::(default::value)</v>
      </c>
      <c r="Q618" s="105"/>
      <c r="R618" s="105"/>
      <c r="S618" s="105"/>
      <c r="T618" s="105"/>
      <c r="U618" s="105"/>
      <c r="V618" s="105"/>
      <c r="W618" s="105"/>
      <c r="X618" s="105"/>
      <c r="Y618" s="105"/>
      <c r="Z618" s="105"/>
    </row>
    <row r="619">
      <c r="A619" s="105"/>
      <c r="B619" s="105"/>
      <c r="C619" s="105"/>
      <c r="D619" s="105"/>
      <c r="E619" s="105"/>
      <c r="F619" s="105"/>
      <c r="G619" s="105"/>
      <c r="H619" s="105"/>
      <c r="I619" s="105"/>
      <c r="J619" s="105"/>
      <c r="K619" s="105"/>
      <c r="L619" s="105"/>
      <c r="M619" s="105"/>
      <c r="N619" s="105"/>
      <c r="O619" s="105"/>
      <c r="P619" s="105" t="str">
        <f>IFERROR(__xludf.DUMMYFUNCTION("""COMPUTED_VALUE"""),"providing::clarification::about::code::(design::access::modifiers)")</f>
        <v>providing::clarification::about::code::(design::access::modifiers)</v>
      </c>
      <c r="Q619" s="105"/>
      <c r="R619" s="105"/>
      <c r="S619" s="105"/>
      <c r="T619" s="105"/>
      <c r="U619" s="105"/>
      <c r="V619" s="105"/>
      <c r="W619" s="105"/>
      <c r="X619" s="105"/>
      <c r="Y619" s="105"/>
      <c r="Z619" s="105"/>
    </row>
    <row r="620">
      <c r="A620" s="105"/>
      <c r="B620" s="105"/>
      <c r="C620" s="105"/>
      <c r="D620" s="105"/>
      <c r="E620" s="105"/>
      <c r="F620" s="105"/>
      <c r="G620" s="105"/>
      <c r="H620" s="105"/>
      <c r="I620" s="105"/>
      <c r="J620" s="105"/>
      <c r="K620" s="105"/>
      <c r="L620" s="105"/>
      <c r="M620" s="105"/>
      <c r="N620" s="105"/>
      <c r="O620" s="105"/>
      <c r="P620" s="105" t="str">
        <f>IFERROR(__xludf.DUMMYFUNCTION("""COMPUTED_VALUE"""),"providing::clarification::about::code::(design)")</f>
        <v>providing::clarification::about::code::(design)</v>
      </c>
      <c r="Q620" s="105"/>
      <c r="R620" s="105"/>
      <c r="S620" s="105"/>
      <c r="T620" s="105"/>
      <c r="U620" s="105"/>
      <c r="V620" s="105"/>
      <c r="W620" s="105"/>
      <c r="X620" s="105"/>
      <c r="Y620" s="105"/>
      <c r="Z620" s="105"/>
    </row>
    <row r="621">
      <c r="A621" s="105"/>
      <c r="B621" s="105"/>
      <c r="C621" s="105"/>
      <c r="D621" s="105"/>
      <c r="E621" s="105"/>
      <c r="F621" s="105"/>
      <c r="G621" s="105"/>
      <c r="H621" s="105"/>
      <c r="I621" s="105"/>
      <c r="J621" s="105"/>
      <c r="K621" s="105"/>
      <c r="L621" s="105"/>
      <c r="M621" s="105"/>
      <c r="N621" s="105"/>
      <c r="O621" s="105"/>
      <c r="P621" s="105" t="str">
        <f>IFERROR(__xludf.DUMMYFUNCTION("""COMPUTED_VALUE"""),"providing::clarification::about::code::(error::handling)")</f>
        <v>providing::clarification::about::code::(error::handling)</v>
      </c>
      <c r="Q621" s="105"/>
      <c r="R621" s="105"/>
      <c r="S621" s="105"/>
      <c r="T621" s="105"/>
      <c r="U621" s="105"/>
      <c r="V621" s="105"/>
      <c r="W621" s="105"/>
      <c r="X621" s="105"/>
      <c r="Y621" s="105"/>
      <c r="Z621" s="105"/>
    </row>
    <row r="622">
      <c r="A622" s="105"/>
      <c r="B622" s="105"/>
      <c r="C622" s="105"/>
      <c r="D622" s="105"/>
      <c r="E622" s="105"/>
      <c r="F622" s="105"/>
      <c r="G622" s="105"/>
      <c r="H622" s="105"/>
      <c r="I622" s="105"/>
      <c r="J622" s="105"/>
      <c r="K622" s="105"/>
      <c r="L622" s="105"/>
      <c r="M622" s="105"/>
      <c r="N622" s="105"/>
      <c r="O622" s="105"/>
      <c r="P622" s="105" t="str">
        <f>IFERROR(__xludf.DUMMYFUNCTION("""COMPUTED_VALUE"""),"providing::clarification::about::code::(functionallity::paths::scope)")</f>
        <v>providing::clarification::about::code::(functionallity::paths::scope)</v>
      </c>
      <c r="Q622" s="105"/>
      <c r="R622" s="105"/>
      <c r="S622" s="105"/>
      <c r="T622" s="105"/>
      <c r="U622" s="105"/>
      <c r="V622" s="105"/>
      <c r="W622" s="105"/>
      <c r="X622" s="105"/>
      <c r="Y622" s="105"/>
      <c r="Z622" s="105"/>
    </row>
    <row r="623">
      <c r="A623" s="105"/>
      <c r="B623" s="105"/>
      <c r="C623" s="105"/>
      <c r="D623" s="105"/>
      <c r="E623" s="105"/>
      <c r="F623" s="105"/>
      <c r="G623" s="105"/>
      <c r="H623" s="105"/>
      <c r="I623" s="105"/>
      <c r="J623" s="105"/>
      <c r="K623" s="105"/>
      <c r="L623" s="105"/>
      <c r="M623" s="105"/>
      <c r="N623" s="105"/>
      <c r="O623" s="105"/>
      <c r="P623" s="105" t="str">
        <f>IFERROR(__xludf.DUMMYFUNCTION("""COMPUTED_VALUE"""),"providing::clarification::about::code::(functionallity)")</f>
        <v>providing::clarification::about::code::(functionallity)</v>
      </c>
      <c r="Q623" s="105"/>
      <c r="R623" s="105"/>
      <c r="S623" s="105"/>
      <c r="T623" s="105"/>
      <c r="U623" s="105"/>
      <c r="V623" s="105"/>
      <c r="W623" s="105"/>
      <c r="X623" s="105"/>
      <c r="Y623" s="105"/>
      <c r="Z623" s="105"/>
    </row>
    <row r="624">
      <c r="A624" s="105"/>
      <c r="B624" s="105"/>
      <c r="C624" s="105"/>
      <c r="D624" s="105"/>
      <c r="E624" s="105"/>
      <c r="F624" s="105"/>
      <c r="G624" s="105"/>
      <c r="H624" s="105"/>
      <c r="I624" s="105"/>
      <c r="J624" s="105"/>
      <c r="K624" s="105"/>
      <c r="L624" s="105"/>
      <c r="M624" s="105"/>
      <c r="N624" s="105"/>
      <c r="O624" s="105"/>
      <c r="P624" s="105" t="str">
        <f>IFERROR(__xludf.DUMMYFUNCTION("""COMPUTED_VALUE"""),"providing::clarification::about::code::(how::to::test::it)")</f>
        <v>providing::clarification::about::code::(how::to::test::it)</v>
      </c>
      <c r="Q624" s="105"/>
      <c r="R624" s="105"/>
      <c r="S624" s="105"/>
      <c r="T624" s="105"/>
      <c r="U624" s="105"/>
      <c r="V624" s="105"/>
      <c r="W624" s="105"/>
      <c r="X624" s="105"/>
      <c r="Y624" s="105"/>
      <c r="Z624" s="105"/>
    </row>
    <row r="625">
      <c r="A625" s="105"/>
      <c r="B625" s="105"/>
      <c r="C625" s="105"/>
      <c r="D625" s="105"/>
      <c r="E625" s="105"/>
      <c r="F625" s="105"/>
      <c r="G625" s="105"/>
      <c r="H625" s="105"/>
      <c r="I625" s="105"/>
      <c r="J625" s="105"/>
      <c r="K625" s="105"/>
      <c r="L625" s="105"/>
      <c r="M625" s="105"/>
      <c r="N625" s="105"/>
      <c r="O625" s="105"/>
      <c r="P625" s="105" t="str">
        <f>IFERROR(__xludf.DUMMYFUNCTION("""COMPUTED_VALUE"""),"providing::clarification::about::code::(input::parameter)")</f>
        <v>providing::clarification::about::code::(input::parameter)</v>
      </c>
      <c r="Q625" s="105"/>
      <c r="R625" s="105"/>
      <c r="S625" s="105"/>
      <c r="T625" s="105"/>
      <c r="U625" s="105"/>
      <c r="V625" s="105"/>
      <c r="W625" s="105"/>
      <c r="X625" s="105"/>
      <c r="Y625" s="105"/>
      <c r="Z625" s="105"/>
    </row>
    <row r="626">
      <c r="A626" s="105"/>
      <c r="B626" s="105"/>
      <c r="C626" s="105"/>
      <c r="D626" s="105"/>
      <c r="E626" s="105"/>
      <c r="F626" s="105"/>
      <c r="G626" s="105"/>
      <c r="H626" s="105"/>
      <c r="I626" s="105"/>
      <c r="J626" s="105"/>
      <c r="K626" s="105"/>
      <c r="L626" s="105"/>
      <c r="M626" s="105"/>
      <c r="N626" s="105"/>
      <c r="O626" s="105"/>
      <c r="P626" s="105" t="str">
        <f>IFERROR(__xludf.DUMMYFUNCTION("""COMPUTED_VALUE"""),"providing::clarification::about::code::(log::need)")</f>
        <v>providing::clarification::about::code::(log::need)</v>
      </c>
      <c r="Q626" s="105"/>
      <c r="R626" s="105"/>
      <c r="S626" s="105"/>
      <c r="T626" s="105"/>
      <c r="U626" s="105"/>
      <c r="V626" s="105"/>
      <c r="W626" s="105"/>
      <c r="X626" s="105"/>
      <c r="Y626" s="105"/>
      <c r="Z626" s="105"/>
    </row>
    <row r="627">
      <c r="A627" s="105"/>
      <c r="B627" s="105"/>
      <c r="C627" s="105"/>
      <c r="D627" s="105"/>
      <c r="E627" s="105"/>
      <c r="F627" s="105"/>
      <c r="G627" s="105"/>
      <c r="H627" s="105"/>
      <c r="I627" s="105"/>
      <c r="J627" s="105"/>
      <c r="K627" s="105"/>
      <c r="L627" s="105"/>
      <c r="M627" s="105"/>
      <c r="N627" s="105"/>
      <c r="O627" s="105"/>
      <c r="P627" s="105" t="str">
        <f>IFERROR(__xludf.DUMMYFUNCTION("""COMPUTED_VALUE"""),"providing::clarification::about::code::(logging)")</f>
        <v>providing::clarification::about::code::(logging)</v>
      </c>
      <c r="Q627" s="105"/>
      <c r="R627" s="105"/>
      <c r="S627" s="105"/>
      <c r="T627" s="105"/>
      <c r="U627" s="105"/>
      <c r="V627" s="105"/>
      <c r="W627" s="105"/>
      <c r="X627" s="105"/>
      <c r="Y627" s="105"/>
      <c r="Z627" s="105"/>
    </row>
    <row r="628">
      <c r="A628" s="105"/>
      <c r="B628" s="105"/>
      <c r="C628" s="105"/>
      <c r="D628" s="105"/>
      <c r="E628" s="105"/>
      <c r="F628" s="105"/>
      <c r="G628" s="105"/>
      <c r="H628" s="105"/>
      <c r="I628" s="105"/>
      <c r="J628" s="105"/>
      <c r="K628" s="105"/>
      <c r="L628" s="105"/>
      <c r="M628" s="105"/>
      <c r="N628" s="105"/>
      <c r="O628" s="105"/>
      <c r="P628" s="105" t="str">
        <f>IFERROR(__xludf.DUMMYFUNCTION("""COMPUTED_VALUE"""),"providing::clarification::about::code::(logic)")</f>
        <v>providing::clarification::about::code::(logic)</v>
      </c>
      <c r="Q628" s="105"/>
      <c r="R628" s="105"/>
      <c r="S628" s="105"/>
      <c r="T628" s="105"/>
      <c r="U628" s="105"/>
      <c r="V628" s="105"/>
      <c r="W628" s="105"/>
      <c r="X628" s="105"/>
      <c r="Y628" s="105"/>
      <c r="Z628" s="105"/>
    </row>
    <row r="629">
      <c r="A629" s="105"/>
      <c r="B629" s="105"/>
      <c r="C629" s="105"/>
      <c r="D629" s="105"/>
      <c r="E629" s="105"/>
      <c r="F629" s="105"/>
      <c r="G629" s="105"/>
      <c r="H629" s="105"/>
      <c r="I629" s="105"/>
      <c r="J629" s="105"/>
      <c r="K629" s="105"/>
      <c r="L629" s="105"/>
      <c r="M629" s="105"/>
      <c r="N629" s="105"/>
      <c r="O629" s="105"/>
      <c r="P629" s="105" t="str">
        <f>IFERROR(__xludf.DUMMYFUNCTION("""COMPUTED_VALUE"""),"providing::clarification::about::code::(missing::context)")</f>
        <v>providing::clarification::about::code::(missing::context)</v>
      </c>
      <c r="Q629" s="105"/>
      <c r="R629" s="105"/>
      <c r="S629" s="105"/>
      <c r="T629" s="105"/>
      <c r="U629" s="105"/>
      <c r="V629" s="105"/>
      <c r="W629" s="105"/>
      <c r="X629" s="105"/>
      <c r="Y629" s="105"/>
      <c r="Z629" s="105"/>
    </row>
    <row r="630">
      <c r="A630" s="105"/>
      <c r="B630" s="105"/>
      <c r="C630" s="105"/>
      <c r="D630" s="105"/>
      <c r="E630" s="105"/>
      <c r="F630" s="105"/>
      <c r="G630" s="105"/>
      <c r="H630" s="105"/>
      <c r="I630" s="105"/>
      <c r="J630" s="105"/>
      <c r="K630" s="105"/>
      <c r="L630" s="105"/>
      <c r="M630" s="105"/>
      <c r="N630" s="105"/>
      <c r="O630" s="105"/>
      <c r="P630" s="105" t="str">
        <f>IFERROR(__xludf.DUMMYFUNCTION("""COMPUTED_VALUE"""),"providing::clarification::about::code::(missing::tests)")</f>
        <v>providing::clarification::about::code::(missing::tests)</v>
      </c>
      <c r="Q630" s="105"/>
      <c r="R630" s="105"/>
      <c r="S630" s="105"/>
      <c r="T630" s="105"/>
      <c r="U630" s="105"/>
      <c r="V630" s="105"/>
      <c r="W630" s="105"/>
      <c r="X630" s="105"/>
      <c r="Y630" s="105"/>
      <c r="Z630" s="105"/>
    </row>
    <row r="631">
      <c r="A631" s="105"/>
      <c r="B631" s="105"/>
      <c r="C631" s="105"/>
      <c r="D631" s="105"/>
      <c r="E631" s="105"/>
      <c r="F631" s="105"/>
      <c r="G631" s="105"/>
      <c r="H631" s="105"/>
      <c r="I631" s="105"/>
      <c r="J631" s="105"/>
      <c r="K631" s="105"/>
      <c r="L631" s="105"/>
      <c r="M631" s="105"/>
      <c r="N631" s="105"/>
      <c r="O631" s="105"/>
      <c r="P631" s="105" t="str">
        <f>IFERROR(__xludf.DUMMYFUNCTION("""COMPUTED_VALUE"""),"providing::clarification::about::code::(naming)")</f>
        <v>providing::clarification::about::code::(naming)</v>
      </c>
      <c r="Q631" s="105"/>
      <c r="R631" s="105"/>
      <c r="S631" s="105"/>
      <c r="T631" s="105"/>
      <c r="U631" s="105"/>
      <c r="V631" s="105"/>
      <c r="W631" s="105"/>
      <c r="X631" s="105"/>
      <c r="Y631" s="105"/>
      <c r="Z631" s="105"/>
    </row>
    <row r="632">
      <c r="A632" s="105"/>
      <c r="B632" s="105"/>
      <c r="C632" s="105"/>
      <c r="D632" s="105"/>
      <c r="E632" s="105"/>
      <c r="F632" s="105"/>
      <c r="G632" s="105"/>
      <c r="H632" s="105"/>
      <c r="I632" s="105"/>
      <c r="J632" s="105"/>
      <c r="K632" s="105"/>
      <c r="L632" s="105"/>
      <c r="M632" s="105"/>
      <c r="N632" s="105"/>
      <c r="O632" s="105"/>
      <c r="P632" s="105" t="str">
        <f>IFERROR(__xludf.DUMMYFUNCTION("""COMPUTED_VALUE"""),"providing::clarification::about::code::(need::functionallity)")</f>
        <v>providing::clarification::about::code::(need::functionallity)</v>
      </c>
      <c r="Q632" s="105"/>
      <c r="R632" s="105"/>
      <c r="S632" s="105"/>
      <c r="T632" s="105"/>
      <c r="U632" s="105"/>
      <c r="V632" s="105"/>
      <c r="W632" s="105"/>
      <c r="X632" s="105"/>
      <c r="Y632" s="105"/>
      <c r="Z632" s="105"/>
    </row>
    <row r="633">
      <c r="A633" s="105"/>
      <c r="B633" s="105"/>
      <c r="C633" s="105"/>
      <c r="D633" s="105"/>
      <c r="E633" s="105"/>
      <c r="F633" s="105"/>
      <c r="G633" s="105"/>
      <c r="H633" s="105"/>
      <c r="I633" s="105"/>
      <c r="J633" s="105"/>
      <c r="K633" s="105"/>
      <c r="L633" s="105"/>
      <c r="M633" s="105"/>
      <c r="N633" s="105"/>
      <c r="O633" s="105"/>
      <c r="P633" s="105" t="str">
        <f>IFERROR(__xludf.DUMMYFUNCTION("""COMPUTED_VALUE"""),"providing::clarification::about::code::(need::of::code)")</f>
        <v>providing::clarification::about::code::(need::of::code)</v>
      </c>
      <c r="Q633" s="105"/>
      <c r="R633" s="105"/>
      <c r="S633" s="105"/>
      <c r="T633" s="105"/>
      <c r="U633" s="105"/>
      <c r="V633" s="105"/>
      <c r="W633" s="105"/>
      <c r="X633" s="105"/>
      <c r="Y633" s="105"/>
      <c r="Z633" s="105"/>
    </row>
    <row r="634">
      <c r="A634" s="105"/>
      <c r="B634" s="105"/>
      <c r="C634" s="105"/>
      <c r="D634" s="105"/>
      <c r="E634" s="105"/>
      <c r="F634" s="105"/>
      <c r="G634" s="105"/>
      <c r="H634" s="105"/>
      <c r="I634" s="105"/>
      <c r="J634" s="105"/>
      <c r="K634" s="105"/>
      <c r="L634" s="105"/>
      <c r="M634" s="105"/>
      <c r="N634" s="105"/>
      <c r="O634" s="105"/>
      <c r="P634" s="105" t="str">
        <f>IFERROR(__xludf.DUMMYFUNCTION("""COMPUTED_VALUE"""),"providing::clarification::about::code::(need::of::config::parameters)")</f>
        <v>providing::clarification::about::code::(need::of::config::parameters)</v>
      </c>
      <c r="Q634" s="105"/>
      <c r="R634" s="105"/>
      <c r="S634" s="105"/>
      <c r="T634" s="105"/>
      <c r="U634" s="105"/>
      <c r="V634" s="105"/>
      <c r="W634" s="105"/>
      <c r="X634" s="105"/>
      <c r="Y634" s="105"/>
      <c r="Z634" s="105"/>
    </row>
    <row r="635">
      <c r="A635" s="105"/>
      <c r="B635" s="105"/>
      <c r="C635" s="105"/>
      <c r="D635" s="105"/>
      <c r="E635" s="105"/>
      <c r="F635" s="105"/>
      <c r="G635" s="105"/>
      <c r="H635" s="105"/>
      <c r="I635" s="105"/>
      <c r="J635" s="105"/>
      <c r="K635" s="105"/>
      <c r="L635" s="105"/>
      <c r="M635" s="105"/>
      <c r="N635" s="105"/>
      <c r="O635" s="105"/>
      <c r="P635" s="105" t="str">
        <f>IFERROR(__xludf.DUMMYFUNCTION("""COMPUTED_VALUE"""),"providing::clarification::about::code::(need::of::tests)")</f>
        <v>providing::clarification::about::code::(need::of::tests)</v>
      </c>
      <c r="Q635" s="105"/>
      <c r="R635" s="105"/>
      <c r="S635" s="105"/>
      <c r="T635" s="105"/>
      <c r="U635" s="105"/>
      <c r="V635" s="105"/>
      <c r="W635" s="105"/>
      <c r="X635" s="105"/>
      <c r="Y635" s="105"/>
      <c r="Z635" s="105"/>
    </row>
    <row r="636">
      <c r="A636" s="105"/>
      <c r="B636" s="105"/>
      <c r="C636" s="105"/>
      <c r="D636" s="105"/>
      <c r="E636" s="105"/>
      <c r="F636" s="105"/>
      <c r="G636" s="105"/>
      <c r="H636" s="105"/>
      <c r="I636" s="105"/>
      <c r="J636" s="105"/>
      <c r="K636" s="105"/>
      <c r="L636" s="105"/>
      <c r="M636" s="105"/>
      <c r="N636" s="105"/>
      <c r="O636" s="105"/>
      <c r="P636" s="105" t="str">
        <f>IFERROR(__xludf.DUMMYFUNCTION("""COMPUTED_VALUE"""),"providing::clarification::about::code::(previous::version::vs::actual::code)")</f>
        <v>providing::clarification::about::code::(previous::version::vs::actual::code)</v>
      </c>
      <c r="Q636" s="105"/>
      <c r="R636" s="105"/>
      <c r="S636" s="105"/>
      <c r="T636" s="105"/>
      <c r="U636" s="105"/>
      <c r="V636" s="105"/>
      <c r="W636" s="105"/>
      <c r="X636" s="105"/>
      <c r="Y636" s="105"/>
      <c r="Z636" s="105"/>
    </row>
    <row r="637">
      <c r="A637" s="105"/>
      <c r="B637" s="105"/>
      <c r="C637" s="105"/>
      <c r="D637" s="105"/>
      <c r="E637" s="105"/>
      <c r="F637" s="105"/>
      <c r="G637" s="105"/>
      <c r="H637" s="105"/>
      <c r="I637" s="105"/>
      <c r="J637" s="105"/>
      <c r="K637" s="105"/>
      <c r="L637" s="105"/>
      <c r="M637" s="105"/>
      <c r="N637" s="105"/>
      <c r="O637" s="105"/>
      <c r="P637" s="105" t="str">
        <f>IFERROR(__xludf.DUMMYFUNCTION("""COMPUTED_VALUE"""),"providing::clarification::about::code::(reason::of::changing::code)")</f>
        <v>providing::clarification::about::code::(reason::of::changing::code)</v>
      </c>
      <c r="Q637" s="105"/>
      <c r="R637" s="105"/>
      <c r="S637" s="105"/>
      <c r="T637" s="105"/>
      <c r="U637" s="105"/>
      <c r="V637" s="105"/>
      <c r="W637" s="105"/>
      <c r="X637" s="105"/>
      <c r="Y637" s="105"/>
      <c r="Z637" s="105"/>
    </row>
    <row r="638">
      <c r="A638" s="105"/>
      <c r="B638" s="105"/>
      <c r="C638" s="105"/>
      <c r="D638" s="105"/>
      <c r="E638" s="105"/>
      <c r="F638" s="105"/>
      <c r="G638" s="105"/>
      <c r="H638" s="105"/>
      <c r="I638" s="105"/>
      <c r="J638" s="105"/>
      <c r="K638" s="105"/>
      <c r="L638" s="105"/>
      <c r="M638" s="105"/>
      <c r="N638" s="105"/>
      <c r="O638" s="105"/>
      <c r="P638" s="105" t="str">
        <f>IFERROR(__xludf.DUMMYFUNCTION("""COMPUTED_VALUE"""),"providing::clarification::about::code::(reason::of::the::design)")</f>
        <v>providing::clarification::about::code::(reason::of::the::design)</v>
      </c>
      <c r="Q638" s="105"/>
      <c r="R638" s="105"/>
      <c r="S638" s="105"/>
      <c r="T638" s="105"/>
      <c r="U638" s="105"/>
      <c r="V638" s="105"/>
      <c r="W638" s="105"/>
      <c r="X638" s="105"/>
      <c r="Y638" s="105"/>
      <c r="Z638" s="105"/>
    </row>
    <row r="639">
      <c r="A639" s="105"/>
      <c r="B639" s="105"/>
      <c r="C639" s="105"/>
      <c r="D639" s="105"/>
      <c r="E639" s="105"/>
      <c r="F639" s="105"/>
      <c r="G639" s="105"/>
      <c r="H639" s="105"/>
      <c r="I639" s="105"/>
      <c r="J639" s="105"/>
      <c r="K639" s="105"/>
      <c r="L639" s="105"/>
      <c r="M639" s="105"/>
      <c r="N639" s="105"/>
      <c r="O639" s="105"/>
      <c r="P639" s="105" t="str">
        <f>IFERROR(__xludf.DUMMYFUNCTION("""COMPUTED_VALUE"""),"providing::clarification::about::code::(reason::of::the:.code)")</f>
        <v>providing::clarification::about::code::(reason::of::the:.code)</v>
      </c>
      <c r="Q639" s="105"/>
      <c r="R639" s="105"/>
      <c r="S639" s="105"/>
      <c r="T639" s="105"/>
      <c r="U639" s="105"/>
      <c r="V639" s="105"/>
      <c r="W639" s="105"/>
      <c r="X639" s="105"/>
      <c r="Y639" s="105"/>
      <c r="Z639" s="105"/>
    </row>
    <row r="640">
      <c r="A640" s="105"/>
      <c r="B640" s="105"/>
      <c r="C640" s="105"/>
      <c r="D640" s="105"/>
      <c r="E640" s="105"/>
      <c r="F640" s="105"/>
      <c r="G640" s="105"/>
      <c r="H640" s="105"/>
      <c r="I640" s="105"/>
      <c r="J640" s="105"/>
      <c r="K640" s="105"/>
      <c r="L640" s="105"/>
      <c r="M640" s="105"/>
      <c r="N640" s="105"/>
      <c r="O640" s="105"/>
      <c r="P640" s="105" t="str">
        <f>IFERROR(__xludf.DUMMYFUNCTION("""COMPUTED_VALUE"""),"providing::clarification::about::code::(solution::design)")</f>
        <v>providing::clarification::about::code::(solution::design)</v>
      </c>
      <c r="Q640" s="105"/>
      <c r="R640" s="105"/>
      <c r="S640" s="105"/>
      <c r="T640" s="105"/>
      <c r="U640" s="105"/>
      <c r="V640" s="105"/>
      <c r="W640" s="105"/>
      <c r="X640" s="105"/>
      <c r="Y640" s="105"/>
      <c r="Z640" s="105"/>
    </row>
    <row r="641">
      <c r="A641" s="105"/>
      <c r="B641" s="105"/>
      <c r="C641" s="105"/>
      <c r="D641" s="105"/>
      <c r="E641" s="105"/>
      <c r="F641" s="105"/>
      <c r="G641" s="105"/>
      <c r="H641" s="105"/>
      <c r="I641" s="105"/>
      <c r="J641" s="105"/>
      <c r="K641" s="105"/>
      <c r="L641" s="105"/>
      <c r="M641" s="105"/>
      <c r="N641" s="105"/>
      <c r="O641" s="105"/>
      <c r="P641" s="105" t="str">
        <f>IFERROR(__xludf.DUMMYFUNCTION("""COMPUTED_VALUE"""),"providing::clarification::about::code::(tests::result::specific::case)")</f>
        <v>providing::clarification::about::code::(tests::result::specific::case)</v>
      </c>
      <c r="Q641" s="105"/>
      <c r="R641" s="105"/>
      <c r="S641" s="105"/>
      <c r="T641" s="105"/>
      <c r="U641" s="105"/>
      <c r="V641" s="105"/>
      <c r="W641" s="105"/>
      <c r="X641" s="105"/>
      <c r="Y641" s="105"/>
      <c r="Z641" s="105"/>
    </row>
    <row r="642">
      <c r="A642" s="105"/>
      <c r="B642" s="105"/>
      <c r="C642" s="105"/>
      <c r="D642" s="105"/>
      <c r="E642" s="105"/>
      <c r="F642" s="105"/>
      <c r="G642" s="105"/>
      <c r="H642" s="105"/>
      <c r="I642" s="105"/>
      <c r="J642" s="105"/>
      <c r="K642" s="105"/>
      <c r="L642" s="105"/>
      <c r="M642" s="105"/>
      <c r="N642" s="105"/>
      <c r="O642" s="105"/>
      <c r="P642" s="105" t="str">
        <f>IFERROR(__xludf.DUMMYFUNCTION("""COMPUTED_VALUE"""),"providing::clarification::about::code::(types)")</f>
        <v>providing::clarification::about::code::(types)</v>
      </c>
      <c r="Q642" s="105"/>
      <c r="R642" s="105"/>
      <c r="S642" s="105"/>
      <c r="T642" s="105"/>
      <c r="U642" s="105"/>
      <c r="V642" s="105"/>
      <c r="W642" s="105"/>
      <c r="X642" s="105"/>
      <c r="Y642" s="105"/>
      <c r="Z642" s="105"/>
    </row>
    <row r="643">
      <c r="A643" s="105"/>
      <c r="B643" s="105"/>
      <c r="C643" s="105"/>
      <c r="D643" s="105"/>
      <c r="E643" s="105"/>
      <c r="F643" s="105"/>
      <c r="G643" s="105"/>
      <c r="H643" s="105"/>
      <c r="I643" s="105"/>
      <c r="J643" s="105"/>
      <c r="K643" s="105"/>
      <c r="L643" s="105"/>
      <c r="M643" s="105"/>
      <c r="N643" s="105"/>
      <c r="O643" s="105"/>
      <c r="P643" s="105" t="str">
        <f>IFERROR(__xludf.DUMMYFUNCTION("""COMPUTED_VALUE"""),"providing::clarification::about::code::(unnecesary::loop)")</f>
        <v>providing::clarification::about::code::(unnecesary::loop)</v>
      </c>
      <c r="Q643" s="105"/>
      <c r="R643" s="105"/>
      <c r="S643" s="105"/>
      <c r="T643" s="105"/>
      <c r="U643" s="105"/>
      <c r="V643" s="105"/>
      <c r="W643" s="105"/>
      <c r="X643" s="105"/>
      <c r="Y643" s="105"/>
      <c r="Z643" s="105"/>
    </row>
    <row r="644">
      <c r="A644" s="105"/>
      <c r="B644" s="105"/>
      <c r="C644" s="105"/>
      <c r="D644" s="105"/>
      <c r="E644" s="105"/>
      <c r="F644" s="105"/>
      <c r="G644" s="105"/>
      <c r="H644" s="105"/>
      <c r="I644" s="105"/>
      <c r="J644" s="105"/>
      <c r="K644" s="105"/>
      <c r="L644" s="105"/>
      <c r="M644" s="105"/>
      <c r="N644" s="105"/>
      <c r="O644" s="105"/>
      <c r="P644" s="105" t="str">
        <f>IFERROR(__xludf.DUMMYFUNCTION("""COMPUTED_VALUE"""),"providing::clarification::about::config")</f>
        <v>providing::clarification::about::config</v>
      </c>
      <c r="Q644" s="105"/>
      <c r="R644" s="105"/>
      <c r="S644" s="105"/>
      <c r="T644" s="105"/>
      <c r="U644" s="105"/>
      <c r="V644" s="105"/>
      <c r="W644" s="105"/>
      <c r="X644" s="105"/>
      <c r="Y644" s="105"/>
      <c r="Z644" s="105"/>
    </row>
    <row r="645">
      <c r="A645" s="105"/>
      <c r="B645" s="105"/>
      <c r="C645" s="105"/>
      <c r="D645" s="105"/>
      <c r="E645" s="105"/>
      <c r="F645" s="105"/>
      <c r="G645" s="105"/>
      <c r="H645" s="105"/>
      <c r="I645" s="105"/>
      <c r="J645" s="105"/>
      <c r="K645" s="105"/>
      <c r="L645" s="105"/>
      <c r="M645" s="105"/>
      <c r="N645" s="105"/>
      <c r="O645" s="105"/>
      <c r="P645" s="105" t="str">
        <f>IFERROR(__xludf.DUMMYFUNCTION("""COMPUTED_VALUE"""),"providing::clarification::about::config::(fixed::values)")</f>
        <v>providing::clarification::about::config::(fixed::values)</v>
      </c>
      <c r="Q645" s="105"/>
      <c r="R645" s="105"/>
      <c r="S645" s="105"/>
      <c r="T645" s="105"/>
      <c r="U645" s="105"/>
      <c r="V645" s="105"/>
      <c r="W645" s="105"/>
      <c r="X645" s="105"/>
      <c r="Y645" s="105"/>
      <c r="Z645" s="105"/>
    </row>
    <row r="646">
      <c r="A646" s="105"/>
      <c r="B646" s="105"/>
      <c r="C646" s="105"/>
      <c r="D646" s="105"/>
      <c r="E646" s="105"/>
      <c r="F646" s="105"/>
      <c r="G646" s="105"/>
      <c r="H646" s="105"/>
      <c r="I646" s="105"/>
      <c r="J646" s="105"/>
      <c r="K646" s="105"/>
      <c r="L646" s="105"/>
      <c r="M646" s="105"/>
      <c r="N646" s="105"/>
      <c r="O646" s="105"/>
      <c r="P646" s="105" t="str">
        <f>IFERROR(__xludf.DUMMYFUNCTION("""COMPUTED_VALUE"""),"providing::clarification::about::content::(commit::message)")</f>
        <v>providing::clarification::about::content::(commit::message)</v>
      </c>
      <c r="Q646" s="105"/>
      <c r="R646" s="105"/>
      <c r="S646" s="105"/>
      <c r="T646" s="105"/>
      <c r="U646" s="105"/>
      <c r="V646" s="105"/>
      <c r="W646" s="105"/>
      <c r="X646" s="105"/>
      <c r="Y646" s="105"/>
      <c r="Z646" s="105"/>
    </row>
    <row r="647">
      <c r="A647" s="105"/>
      <c r="B647" s="105"/>
      <c r="C647" s="105"/>
      <c r="D647" s="105"/>
      <c r="E647" s="105"/>
      <c r="F647" s="105"/>
      <c r="G647" s="105"/>
      <c r="H647" s="105"/>
      <c r="I647" s="105"/>
      <c r="J647" s="105"/>
      <c r="K647" s="105"/>
      <c r="L647" s="105"/>
      <c r="M647" s="105"/>
      <c r="N647" s="105"/>
      <c r="O647" s="105"/>
      <c r="P647" s="105" t="str">
        <f>IFERROR(__xludf.DUMMYFUNCTION("""COMPUTED_VALUE"""),"providing::clarification::about::dependencies")</f>
        <v>providing::clarification::about::dependencies</v>
      </c>
      <c r="Q647" s="105"/>
      <c r="R647" s="105"/>
      <c r="S647" s="105"/>
      <c r="T647" s="105"/>
      <c r="U647" s="105"/>
      <c r="V647" s="105"/>
      <c r="W647" s="105"/>
      <c r="X647" s="105"/>
      <c r="Y647" s="105"/>
      <c r="Z647" s="105"/>
    </row>
    <row r="648">
      <c r="A648" s="105"/>
      <c r="B648" s="105"/>
      <c r="C648" s="105"/>
      <c r="D648" s="105"/>
      <c r="E648" s="105"/>
      <c r="F648" s="105"/>
      <c r="G648" s="105"/>
      <c r="H648" s="105"/>
      <c r="I648" s="105"/>
      <c r="J648" s="105"/>
      <c r="K648" s="105"/>
      <c r="L648" s="105"/>
      <c r="M648" s="105"/>
      <c r="N648" s="105"/>
      <c r="O648" s="105"/>
      <c r="P648" s="105" t="str">
        <f>IFERROR(__xludf.DUMMYFUNCTION("""COMPUTED_VALUE"""),"providing::clarification::about::dependency")</f>
        <v>providing::clarification::about::dependency</v>
      </c>
      <c r="Q648" s="105"/>
      <c r="R648" s="105"/>
      <c r="S648" s="105"/>
      <c r="T648" s="105"/>
      <c r="U648" s="105"/>
      <c r="V648" s="105"/>
      <c r="W648" s="105"/>
      <c r="X648" s="105"/>
      <c r="Y648" s="105"/>
      <c r="Z648" s="105"/>
    </row>
    <row r="649">
      <c r="A649" s="105"/>
      <c r="B649" s="105"/>
      <c r="C649" s="105"/>
      <c r="D649" s="105"/>
      <c r="E649" s="105"/>
      <c r="F649" s="105"/>
      <c r="G649" s="105"/>
      <c r="H649" s="105"/>
      <c r="I649" s="105"/>
      <c r="J649" s="105"/>
      <c r="K649" s="105"/>
      <c r="L649" s="105"/>
      <c r="M649" s="105"/>
      <c r="N649" s="105"/>
      <c r="O649" s="105"/>
      <c r="P649" s="105" t="str">
        <f>IFERROR(__xludf.DUMMYFUNCTION("""COMPUTED_VALUE"""),"providing::clarification::about::dependency::(api::version)")</f>
        <v>providing::clarification::about::dependency::(api::version)</v>
      </c>
      <c r="Q649" s="105"/>
      <c r="R649" s="105"/>
      <c r="S649" s="105"/>
      <c r="T649" s="105"/>
      <c r="U649" s="105"/>
      <c r="V649" s="105"/>
      <c r="W649" s="105"/>
      <c r="X649" s="105"/>
      <c r="Y649" s="105"/>
      <c r="Z649" s="105"/>
    </row>
    <row r="650">
      <c r="A650" s="105"/>
      <c r="B650" s="105"/>
      <c r="C650" s="105"/>
      <c r="D650" s="105"/>
      <c r="E650" s="105"/>
      <c r="F650" s="105"/>
      <c r="G650" s="105"/>
      <c r="H650" s="105"/>
      <c r="I650" s="105"/>
      <c r="J650" s="105"/>
      <c r="K650" s="105"/>
      <c r="L650" s="105"/>
      <c r="M650" s="105"/>
      <c r="N650" s="105"/>
      <c r="O650" s="105"/>
      <c r="P650" s="105" t="str">
        <f>IFERROR(__xludf.DUMMYFUNCTION("""COMPUTED_VALUE"""),"providing::clarification::about::documentation")</f>
        <v>providing::clarification::about::documentation</v>
      </c>
      <c r="Q650" s="105"/>
      <c r="R650" s="105"/>
      <c r="S650" s="105"/>
      <c r="T650" s="105"/>
      <c r="U650" s="105"/>
      <c r="V650" s="105"/>
      <c r="W650" s="105"/>
      <c r="X650" s="105"/>
      <c r="Y650" s="105"/>
      <c r="Z650" s="105"/>
    </row>
    <row r="651">
      <c r="A651" s="105"/>
      <c r="B651" s="105"/>
      <c r="C651" s="105"/>
      <c r="D651" s="105"/>
      <c r="E651" s="105"/>
      <c r="F651" s="105"/>
      <c r="G651" s="105"/>
      <c r="H651" s="105"/>
      <c r="I651" s="105"/>
      <c r="J651" s="105"/>
      <c r="K651" s="105"/>
      <c r="L651" s="105"/>
      <c r="M651" s="105"/>
      <c r="N651" s="105"/>
      <c r="O651" s="105"/>
      <c r="P651" s="105" t="str">
        <f>IFERROR(__xludf.DUMMYFUNCTION("""COMPUTED_VALUE"""),"providing::clarification::about::project::(version)")</f>
        <v>providing::clarification::about::project::(version)</v>
      </c>
      <c r="Q651" s="105"/>
      <c r="R651" s="105"/>
      <c r="S651" s="105"/>
      <c r="T651" s="105"/>
      <c r="U651" s="105"/>
      <c r="V651" s="105"/>
      <c r="W651" s="105"/>
      <c r="X651" s="105"/>
      <c r="Y651" s="105"/>
      <c r="Z651" s="105"/>
    </row>
    <row r="652">
      <c r="A652" s="105"/>
      <c r="B652" s="105"/>
      <c r="C652" s="105"/>
      <c r="D652" s="105"/>
      <c r="E652" s="105"/>
      <c r="F652" s="105"/>
      <c r="G652" s="105"/>
      <c r="H652" s="105"/>
      <c r="I652" s="105"/>
      <c r="J652" s="105"/>
      <c r="K652" s="105"/>
      <c r="L652" s="105"/>
      <c r="M652" s="105"/>
      <c r="N652" s="105"/>
      <c r="O652" s="105"/>
      <c r="P652" s="105" t="str">
        <f>IFERROR(__xludf.DUMMYFUNCTION("""COMPUTED_VALUE"""),"providing::clarification::about::suggestion")</f>
        <v>providing::clarification::about::suggestion</v>
      </c>
      <c r="Q652" s="105"/>
      <c r="R652" s="105"/>
      <c r="S652" s="105"/>
      <c r="T652" s="105"/>
      <c r="U652" s="105"/>
      <c r="V652" s="105"/>
      <c r="W652" s="105"/>
      <c r="X652" s="105"/>
      <c r="Y652" s="105"/>
      <c r="Z652" s="105"/>
    </row>
    <row r="653">
      <c r="A653" s="105"/>
      <c r="B653" s="105"/>
      <c r="C653" s="105"/>
      <c r="D653" s="105"/>
      <c r="E653" s="105"/>
      <c r="F653" s="105"/>
      <c r="G653" s="105"/>
      <c r="H653" s="105"/>
      <c r="I653" s="105"/>
      <c r="J653" s="105"/>
      <c r="K653" s="105"/>
      <c r="L653" s="105"/>
      <c r="M653" s="105"/>
      <c r="N653" s="105"/>
      <c r="O653" s="105"/>
      <c r="P653" s="105" t="str">
        <f>IFERROR(__xludf.DUMMYFUNCTION("""COMPUTED_VALUE"""),"providing::clarification::about::waiting::for::patch::(other::review)")</f>
        <v>providing::clarification::about::waiting::for::patch::(other::review)</v>
      </c>
      <c r="Q653" s="105"/>
      <c r="R653" s="105"/>
      <c r="S653" s="105"/>
      <c r="T653" s="105"/>
      <c r="U653" s="105"/>
      <c r="V653" s="105"/>
      <c r="W653" s="105"/>
      <c r="X653" s="105"/>
      <c r="Y653" s="105"/>
      <c r="Z653" s="105"/>
    </row>
    <row r="654">
      <c r="A654" s="105"/>
      <c r="B654" s="105"/>
      <c r="C654" s="105"/>
      <c r="D654" s="105"/>
      <c r="E654" s="105"/>
      <c r="F654" s="105"/>
      <c r="G654" s="105"/>
      <c r="H654" s="105"/>
      <c r="I654" s="105"/>
      <c r="J654" s="105"/>
      <c r="K654" s="105"/>
      <c r="L654" s="105"/>
      <c r="M654" s="105"/>
      <c r="N654" s="105"/>
      <c r="O654" s="105"/>
      <c r="P654" s="105" t="str">
        <f>IFERROR(__xludf.DUMMYFUNCTION("""COMPUTED_VALUE"""),"providing::clarification::change::(change::method)")</f>
        <v>providing::clarification::change::(change::method)</v>
      </c>
      <c r="Q654" s="105"/>
      <c r="R654" s="105"/>
      <c r="S654" s="105"/>
      <c r="T654" s="105"/>
      <c r="U654" s="105"/>
      <c r="V654" s="105"/>
      <c r="W654" s="105"/>
      <c r="X654" s="105"/>
      <c r="Y654" s="105"/>
      <c r="Z654" s="105"/>
    </row>
    <row r="655">
      <c r="A655" s="105"/>
      <c r="B655" s="105"/>
      <c r="C655" s="105"/>
      <c r="D655" s="105"/>
      <c r="E655" s="105"/>
      <c r="F655" s="105"/>
      <c r="G655" s="105"/>
      <c r="H655" s="105"/>
      <c r="I655" s="105"/>
      <c r="J655" s="105"/>
      <c r="K655" s="105"/>
      <c r="L655" s="105"/>
      <c r="M655" s="105"/>
      <c r="N655" s="105"/>
      <c r="O655" s="105"/>
      <c r="P655" s="105" t="str">
        <f>IFERROR(__xludf.DUMMYFUNCTION("""COMPUTED_VALUE"""),"providing::clarification::change::(logging::message::clearness::and::level)")</f>
        <v>providing::clarification::change::(logging::message::clearness::and::level)</v>
      </c>
      <c r="Q655" s="105"/>
      <c r="R655" s="105"/>
      <c r="S655" s="105"/>
      <c r="T655" s="105"/>
      <c r="U655" s="105"/>
      <c r="V655" s="105"/>
      <c r="W655" s="105"/>
      <c r="X655" s="105"/>
      <c r="Y655" s="105"/>
      <c r="Z655" s="105"/>
    </row>
    <row r="656">
      <c r="A656" s="105"/>
      <c r="B656" s="105"/>
      <c r="C656" s="105"/>
      <c r="D656" s="105"/>
      <c r="E656" s="105"/>
      <c r="F656" s="105"/>
      <c r="G656" s="105"/>
      <c r="H656" s="105"/>
      <c r="I656" s="105"/>
      <c r="J656" s="105"/>
      <c r="K656" s="105"/>
      <c r="L656" s="105"/>
      <c r="M656" s="105"/>
      <c r="N656" s="105"/>
      <c r="O656" s="105"/>
      <c r="P656" s="105" t="str">
        <f>IFERROR(__xludf.DUMMYFUNCTION("""COMPUTED_VALUE"""),"providing::clarification::content::(commit::message)")</f>
        <v>providing::clarification::content::(commit::message)</v>
      </c>
      <c r="Q656" s="105"/>
      <c r="R656" s="105"/>
      <c r="S656" s="105"/>
      <c r="T656" s="105"/>
      <c r="U656" s="105"/>
      <c r="V656" s="105"/>
      <c r="W656" s="105"/>
      <c r="X656" s="105"/>
      <c r="Y656" s="105"/>
      <c r="Z656" s="105"/>
    </row>
    <row r="657">
      <c r="A657" s="105"/>
      <c r="B657" s="105"/>
      <c r="C657" s="105"/>
      <c r="D657" s="105"/>
      <c r="E657" s="105"/>
      <c r="F657" s="105"/>
      <c r="G657" s="105"/>
      <c r="H657" s="105"/>
      <c r="I657" s="105"/>
      <c r="J657" s="105"/>
      <c r="K657" s="105"/>
      <c r="L657" s="105"/>
      <c r="M657" s="105"/>
      <c r="N657" s="105"/>
      <c r="O657" s="105"/>
      <c r="P657" s="105" t="str">
        <f>IFERROR(__xludf.DUMMYFUNCTION("""COMPUTED_VALUE"""),"providing::clarification::developing::process::(added::wrong::commit::to::PR)")</f>
        <v>providing::clarification::developing::process::(added::wrong::commit::to::PR)</v>
      </c>
      <c r="Q657" s="105"/>
      <c r="R657" s="105"/>
      <c r="S657" s="105"/>
      <c r="T657" s="105"/>
      <c r="U657" s="105"/>
      <c r="V657" s="105"/>
      <c r="W657" s="105"/>
      <c r="X657" s="105"/>
      <c r="Y657" s="105"/>
      <c r="Z657" s="105"/>
    </row>
    <row r="658">
      <c r="A658" s="105"/>
      <c r="B658" s="105"/>
      <c r="C658" s="105"/>
      <c r="D658" s="105"/>
      <c r="E658" s="105"/>
      <c r="F658" s="105"/>
      <c r="G658" s="105"/>
      <c r="H658" s="105"/>
      <c r="I658" s="105"/>
      <c r="J658" s="105"/>
      <c r="K658" s="105"/>
      <c r="L658" s="105"/>
      <c r="M658" s="105"/>
      <c r="N658" s="105"/>
      <c r="O658" s="105"/>
      <c r="P658" s="105" t="str">
        <f>IFERROR(__xludf.DUMMYFUNCTION("""COMPUTED_VALUE"""),"providing::clarification::developing::process::(code::and::managment::of::patches)")</f>
        <v>providing::clarification::developing::process::(code::and::managment::of::patches)</v>
      </c>
      <c r="Q658" s="105"/>
      <c r="R658" s="105"/>
      <c r="S658" s="105"/>
      <c r="T658" s="105"/>
      <c r="U658" s="105"/>
      <c r="V658" s="105"/>
      <c r="W658" s="105"/>
      <c r="X658" s="105"/>
      <c r="Y658" s="105"/>
      <c r="Z658" s="105"/>
    </row>
    <row r="659">
      <c r="A659" s="105"/>
      <c r="B659" s="105"/>
      <c r="C659" s="105"/>
      <c r="D659" s="105"/>
      <c r="E659" s="105"/>
      <c r="F659" s="105"/>
      <c r="G659" s="105"/>
      <c r="H659" s="105"/>
      <c r="I659" s="105"/>
      <c r="J659" s="105"/>
      <c r="K659" s="105"/>
      <c r="L659" s="105"/>
      <c r="M659" s="105"/>
      <c r="N659" s="105"/>
      <c r="O659" s="105"/>
      <c r="P659" s="105" t="str">
        <f>IFERROR(__xludf.DUMMYFUNCTION("""COMPUTED_VALUE"""),"providing::clarification::developing::process::(need::to::file::BP)")</f>
        <v>providing::clarification::developing::process::(need::to::file::BP)</v>
      </c>
      <c r="Q659" s="105"/>
      <c r="R659" s="105"/>
      <c r="S659" s="105"/>
      <c r="T659" s="105"/>
      <c r="U659" s="105"/>
      <c r="V659" s="105"/>
      <c r="W659" s="105"/>
      <c r="X659" s="105"/>
      <c r="Y659" s="105"/>
      <c r="Z659" s="105"/>
    </row>
    <row r="660">
      <c r="A660" s="105"/>
      <c r="B660" s="105"/>
      <c r="C660" s="105"/>
      <c r="D660" s="105"/>
      <c r="E660" s="105"/>
      <c r="F660" s="105"/>
      <c r="G660" s="105"/>
      <c r="H660" s="105"/>
      <c r="I660" s="105"/>
      <c r="J660" s="105"/>
      <c r="K660" s="105"/>
      <c r="L660" s="105"/>
      <c r="M660" s="105"/>
      <c r="N660" s="105"/>
      <c r="O660" s="105"/>
      <c r="P660" s="105" t="str">
        <f>IFERROR(__xludf.DUMMYFUNCTION("""COMPUTED_VALUE"""),"providing::clarification::implications::of::suggestion::refactoring::(move::logic::parent::class::instead::of::sub::classes)")</f>
        <v>providing::clarification::implications::of::suggestion::refactoring::(move::logic::parent::class::instead::of::sub::classes)</v>
      </c>
      <c r="Q660" s="105"/>
      <c r="R660" s="105"/>
      <c r="S660" s="105"/>
      <c r="T660" s="105"/>
      <c r="U660" s="105"/>
      <c r="V660" s="105"/>
      <c r="W660" s="105"/>
      <c r="X660" s="105"/>
      <c r="Y660" s="105"/>
      <c r="Z660" s="105"/>
    </row>
    <row r="661">
      <c r="A661" s="105"/>
      <c r="B661" s="105"/>
      <c r="C661" s="105"/>
      <c r="D661" s="105"/>
      <c r="E661" s="105"/>
      <c r="F661" s="105"/>
      <c r="G661" s="105"/>
      <c r="H661" s="105"/>
      <c r="I661" s="105"/>
      <c r="J661" s="105"/>
      <c r="K661" s="105"/>
      <c r="L661" s="105"/>
      <c r="M661" s="105"/>
      <c r="N661" s="105"/>
      <c r="O661" s="105"/>
      <c r="P661" s="105" t="str">
        <f>IFERROR(__xludf.DUMMYFUNCTION("""COMPUTED_VALUE"""),"providing::clarification::intended::solution::design")</f>
        <v>providing::clarification::intended::solution::design</v>
      </c>
      <c r="Q661" s="105"/>
      <c r="R661" s="105"/>
      <c r="S661" s="105"/>
      <c r="T661" s="105"/>
      <c r="U661" s="105"/>
      <c r="V661" s="105"/>
      <c r="W661" s="105"/>
      <c r="X661" s="105"/>
      <c r="Y661" s="105"/>
      <c r="Z661" s="105"/>
    </row>
    <row r="662">
      <c r="A662" s="105"/>
      <c r="B662" s="105"/>
      <c r="C662" s="105"/>
      <c r="D662" s="105"/>
      <c r="E662" s="105"/>
      <c r="F662" s="105"/>
      <c r="G662" s="105"/>
      <c r="H662" s="105"/>
      <c r="I662" s="105"/>
      <c r="J662" s="105"/>
      <c r="K662" s="105"/>
      <c r="L662" s="105"/>
      <c r="M662" s="105"/>
      <c r="N662" s="105"/>
      <c r="O662" s="105"/>
      <c r="P662" s="105" t="str">
        <f>IFERROR(__xludf.DUMMYFUNCTION("""COMPUTED_VALUE"""),"providing::clarification::noticing::comment::not::addressed::(previous::patch)")</f>
        <v>providing::clarification::noticing::comment::not::addressed::(previous::patch)</v>
      </c>
      <c r="Q662" s="105"/>
      <c r="R662" s="105"/>
      <c r="S662" s="105"/>
      <c r="T662" s="105"/>
      <c r="U662" s="105"/>
      <c r="V662" s="105"/>
      <c r="W662" s="105"/>
      <c r="X662" s="105"/>
      <c r="Y662" s="105"/>
      <c r="Z662" s="105"/>
    </row>
    <row r="663">
      <c r="A663" s="105"/>
      <c r="B663" s="105"/>
      <c r="C663" s="105"/>
      <c r="D663" s="105"/>
      <c r="E663" s="105"/>
      <c r="F663" s="105"/>
      <c r="G663" s="105"/>
      <c r="H663" s="105"/>
      <c r="I663" s="105"/>
      <c r="J663" s="105"/>
      <c r="K663" s="105"/>
      <c r="L663" s="105"/>
      <c r="M663" s="105"/>
      <c r="N663" s="105"/>
      <c r="O663" s="105"/>
      <c r="P663" s="105" t="str">
        <f>IFERROR(__xludf.DUMMYFUNCTION("""COMPUTED_VALUE"""),"providing::clarification::previous::version::(deliberate)")</f>
        <v>providing::clarification::previous::version::(deliberate)</v>
      </c>
      <c r="Q663" s="105"/>
      <c r="R663" s="105"/>
      <c r="S663" s="105"/>
      <c r="T663" s="105"/>
      <c r="U663" s="105"/>
      <c r="V663" s="105"/>
      <c r="W663" s="105"/>
      <c r="X663" s="105"/>
      <c r="Y663" s="105"/>
      <c r="Z663" s="105"/>
    </row>
    <row r="664">
      <c r="A664" s="105"/>
      <c r="B664" s="105"/>
      <c r="C664" s="105"/>
      <c r="D664" s="105"/>
      <c r="E664" s="105"/>
      <c r="F664" s="105"/>
      <c r="G664" s="105"/>
      <c r="H664" s="105"/>
      <c r="I664" s="105"/>
      <c r="J664" s="105"/>
      <c r="K664" s="105"/>
      <c r="L664" s="105"/>
      <c r="M664" s="105"/>
      <c r="N664" s="105"/>
      <c r="O664" s="105"/>
      <c r="P664" s="105" t="str">
        <f>IFERROR(__xludf.DUMMYFUNCTION("""COMPUTED_VALUE"""),"providing::confirmation::of::intended::solution")</f>
        <v>providing::confirmation::of::intended::solution</v>
      </c>
      <c r="Q664" s="105"/>
      <c r="R664" s="105"/>
      <c r="S664" s="105"/>
      <c r="T664" s="105"/>
      <c r="U664" s="105"/>
      <c r="V664" s="105"/>
      <c r="W664" s="105"/>
      <c r="X664" s="105"/>
      <c r="Y664" s="105"/>
      <c r="Z664" s="105"/>
    </row>
    <row r="665">
      <c r="A665" s="105"/>
      <c r="B665" s="105"/>
      <c r="C665" s="105"/>
      <c r="D665" s="105"/>
      <c r="E665" s="105"/>
      <c r="F665" s="105"/>
      <c r="G665" s="105"/>
      <c r="H665" s="105"/>
      <c r="I665" s="105"/>
      <c r="J665" s="105"/>
      <c r="K665" s="105"/>
      <c r="L665" s="105"/>
      <c r="M665" s="105"/>
      <c r="N665" s="105"/>
      <c r="O665" s="105"/>
      <c r="P665" s="105" t="str">
        <f>IFERROR(__xludf.DUMMYFUNCTION("""COMPUTED_VALUE"""),"providing::instructions::for::current:.development:.cycle")</f>
        <v>providing::instructions::for::current:.development:.cycle</v>
      </c>
      <c r="Q665" s="105"/>
      <c r="R665" s="105"/>
      <c r="S665" s="105"/>
      <c r="T665" s="105"/>
      <c r="U665" s="105"/>
      <c r="V665" s="105"/>
      <c r="W665" s="105"/>
      <c r="X665" s="105"/>
      <c r="Y665" s="105"/>
      <c r="Z665" s="105"/>
    </row>
    <row r="666">
      <c r="A666" s="105"/>
      <c r="B666" s="105"/>
      <c r="C666" s="105"/>
      <c r="D666" s="105"/>
      <c r="E666" s="105"/>
      <c r="F666" s="105"/>
      <c r="G666" s="105"/>
      <c r="H666" s="105"/>
      <c r="I666" s="105"/>
      <c r="J666" s="105"/>
      <c r="K666" s="105"/>
      <c r="L666" s="105"/>
      <c r="M666" s="105"/>
      <c r="N666" s="105"/>
      <c r="O666" s="105"/>
      <c r="P666" s="105" t="str">
        <f>IFERROR(__xludf.DUMMYFUNCTION("""COMPUTED_VALUE"""),"providing::instructions::for::release::next:.development:.cycle")</f>
        <v>providing::instructions::for::release::next:.development:.cycle</v>
      </c>
      <c r="Q666" s="105"/>
      <c r="R666" s="105"/>
      <c r="S666" s="105"/>
      <c r="T666" s="105"/>
      <c r="U666" s="105"/>
      <c r="V666" s="105"/>
      <c r="W666" s="105"/>
      <c r="X666" s="105"/>
      <c r="Y666" s="105"/>
      <c r="Z666" s="105"/>
    </row>
    <row r="667">
      <c r="A667" s="105"/>
      <c r="B667" s="105"/>
      <c r="C667" s="105"/>
      <c r="D667" s="105"/>
      <c r="E667" s="105"/>
      <c r="F667" s="105"/>
      <c r="G667" s="105"/>
      <c r="H667" s="105"/>
      <c r="I667" s="105"/>
      <c r="J667" s="105"/>
      <c r="K667" s="105"/>
      <c r="L667" s="105"/>
      <c r="M667" s="105"/>
      <c r="N667" s="105"/>
      <c r="O667" s="105"/>
      <c r="P667" s="105" t="str">
        <f>IFERROR(__xludf.DUMMYFUNCTION("""COMPUTED_VALUE"""),"providing::justification::about::code::(reason::of::the::design::tests)")</f>
        <v>providing::justification::about::code::(reason::of::the::design::tests)</v>
      </c>
      <c r="Q667" s="105"/>
      <c r="R667" s="105"/>
      <c r="S667" s="105"/>
      <c r="T667" s="105"/>
      <c r="U667" s="105"/>
      <c r="V667" s="105"/>
      <c r="W667" s="105"/>
      <c r="X667" s="105"/>
      <c r="Y667" s="105"/>
      <c r="Z667" s="105"/>
    </row>
    <row r="668">
      <c r="A668" s="105"/>
      <c r="B668" s="105"/>
      <c r="C668" s="105"/>
      <c r="D668" s="105"/>
      <c r="E668" s="105"/>
      <c r="F668" s="105"/>
      <c r="G668" s="105"/>
      <c r="H668" s="105"/>
      <c r="I668" s="105"/>
      <c r="J668" s="105"/>
      <c r="K668" s="105"/>
      <c r="L668" s="105"/>
      <c r="M668" s="105"/>
      <c r="N668" s="105"/>
      <c r="O668" s="105"/>
      <c r="P668" s="105" t="str">
        <f>IFERROR(__xludf.DUMMYFUNCTION("""COMPUTED_VALUE"""),"providing::justification::about::code::(reason::of::the::type::choices)")</f>
        <v>providing::justification::about::code::(reason::of::the::type::choices)</v>
      </c>
      <c r="Q668" s="105"/>
      <c r="R668" s="105"/>
      <c r="S668" s="105"/>
      <c r="T668" s="105"/>
      <c r="U668" s="105"/>
      <c r="V668" s="105"/>
      <c r="W668" s="105"/>
      <c r="X668" s="105"/>
      <c r="Y668" s="105"/>
      <c r="Z668" s="105"/>
    </row>
    <row r="669">
      <c r="A669" s="105"/>
      <c r="B669" s="105"/>
      <c r="C669" s="105"/>
      <c r="D669" s="105"/>
      <c r="E669" s="105"/>
      <c r="F669" s="105"/>
      <c r="G669" s="105"/>
      <c r="H669" s="105"/>
      <c r="I669" s="105"/>
      <c r="J669" s="105"/>
      <c r="K669" s="105"/>
      <c r="L669" s="105"/>
      <c r="M669" s="105"/>
      <c r="N669" s="105"/>
      <c r="O669" s="105"/>
      <c r="P669" s="105" t="str">
        <f>IFERROR(__xludf.DUMMYFUNCTION("""COMPUTED_VALUE"""),"providing::justification::about::voting::(importance::to::include::the::change)")</f>
        <v>providing::justification::about::voting::(importance::to::include::the::change)</v>
      </c>
      <c r="Q669" s="105"/>
      <c r="R669" s="105"/>
      <c r="S669" s="105"/>
      <c r="T669" s="105"/>
      <c r="U669" s="105"/>
      <c r="V669" s="105"/>
      <c r="W669" s="105"/>
      <c r="X669" s="105"/>
      <c r="Y669" s="105"/>
      <c r="Z669" s="105"/>
    </row>
    <row r="670">
      <c r="A670" s="105"/>
      <c r="B670" s="105"/>
      <c r="C670" s="105"/>
      <c r="D670" s="105"/>
      <c r="E670" s="105"/>
      <c r="F670" s="105"/>
      <c r="G670" s="105"/>
      <c r="H670" s="105"/>
      <c r="I670" s="105"/>
      <c r="J670" s="105"/>
      <c r="K670" s="105"/>
      <c r="L670" s="105"/>
      <c r="M670" s="105"/>
      <c r="N670" s="105"/>
      <c r="O670" s="105"/>
      <c r="P670" s="105" t="str">
        <f>IFERROR(__xludf.DUMMYFUNCTION("""COMPUTED_VALUE"""),"providing::pros::and::cons:.change:.design")</f>
        <v>providing::pros::and::cons:.change:.design</v>
      </c>
      <c r="Q670" s="105"/>
      <c r="R670" s="105"/>
      <c r="S670" s="105"/>
      <c r="T670" s="105"/>
      <c r="U670" s="105"/>
      <c r="V670" s="105"/>
      <c r="W670" s="105"/>
      <c r="X670" s="105"/>
      <c r="Y670" s="105"/>
      <c r="Z670" s="105"/>
    </row>
    <row r="671">
      <c r="A671" s="105"/>
      <c r="B671" s="105"/>
      <c r="C671" s="105"/>
      <c r="D671" s="105"/>
      <c r="E671" s="105"/>
      <c r="F671" s="105"/>
      <c r="G671" s="105"/>
      <c r="H671" s="105"/>
      <c r="I671" s="105"/>
      <c r="J671" s="105"/>
      <c r="K671" s="105"/>
      <c r="L671" s="105"/>
      <c r="M671" s="105"/>
      <c r="N671" s="105"/>
      <c r="O671" s="105"/>
      <c r="P671" s="105" t="str">
        <f>IFERROR(__xludf.DUMMYFUNCTION("""COMPUTED_VALUE"""),"providing::solution::(new::library)")</f>
        <v>providing::solution::(new::library)</v>
      </c>
      <c r="Q671" s="105"/>
      <c r="R671" s="105"/>
      <c r="S671" s="105"/>
      <c r="T671" s="105"/>
      <c r="U671" s="105"/>
      <c r="V671" s="105"/>
      <c r="W671" s="105"/>
      <c r="X671" s="105"/>
      <c r="Y671" s="105"/>
      <c r="Z671" s="105"/>
    </row>
    <row r="672">
      <c r="A672" s="105"/>
      <c r="B672" s="105"/>
      <c r="C672" s="105"/>
      <c r="D672" s="105"/>
      <c r="E672" s="105"/>
      <c r="F672" s="105"/>
      <c r="G672" s="105"/>
      <c r="H672" s="105"/>
      <c r="I672" s="105"/>
      <c r="J672" s="105"/>
      <c r="K672" s="105"/>
      <c r="L672" s="105"/>
      <c r="M672" s="105"/>
      <c r="N672" s="105"/>
      <c r="O672" s="105"/>
      <c r="P672" s="105" t="str">
        <f>IFERROR(__xludf.DUMMYFUNCTION("""COMPUTED_VALUE"""),"providing::solution::(performance)")</f>
        <v>providing::solution::(performance)</v>
      </c>
      <c r="Q672" s="105"/>
      <c r="R672" s="105"/>
      <c r="S672" s="105"/>
      <c r="T672" s="105"/>
      <c r="U672" s="105"/>
      <c r="V672" s="105"/>
      <c r="W672" s="105"/>
      <c r="X672" s="105"/>
      <c r="Y672" s="105"/>
      <c r="Z672" s="105"/>
    </row>
    <row r="673">
      <c r="A673" s="105"/>
      <c r="B673" s="105"/>
      <c r="C673" s="105"/>
      <c r="D673" s="105"/>
      <c r="E673" s="105"/>
      <c r="F673" s="105"/>
      <c r="G673" s="105"/>
      <c r="H673" s="105"/>
      <c r="I673" s="105"/>
      <c r="J673" s="105"/>
      <c r="K673" s="105"/>
      <c r="L673" s="105"/>
      <c r="M673" s="105"/>
      <c r="N673" s="105"/>
      <c r="O673" s="105"/>
      <c r="P673" s="105" t="str">
        <f>IFERROR(__xludf.DUMMYFUNCTION("""COMPUTED_VALUE"""),"providing::solution::to:.design::challenge::(responsability::another::project:.(e.g.,ironic)")</f>
        <v>providing::solution::to:.design::challenge::(responsability::another::project:.(e.g.,ironic)</v>
      </c>
      <c r="Q673" s="105"/>
      <c r="R673" s="105"/>
      <c r="S673" s="105"/>
      <c r="T673" s="105"/>
      <c r="U673" s="105"/>
      <c r="V673" s="105"/>
      <c r="W673" s="105"/>
      <c r="X673" s="105"/>
      <c r="Y673" s="105"/>
      <c r="Z673" s="105"/>
    </row>
    <row r="674">
      <c r="A674" s="105"/>
      <c r="B674" s="105"/>
      <c r="C674" s="105"/>
      <c r="D674" s="105"/>
      <c r="E674" s="105"/>
      <c r="F674" s="105"/>
      <c r="G674" s="105"/>
      <c r="H674" s="105"/>
      <c r="I674" s="105"/>
      <c r="J674" s="105"/>
      <c r="K674" s="105"/>
      <c r="L674" s="105"/>
      <c r="M674" s="105"/>
      <c r="N674" s="105"/>
      <c r="O674" s="105"/>
      <c r="P674" s="105" t="str">
        <f>IFERROR(__xludf.DUMMYFUNCTION("""COMPUTED_VALUE"""),"providing:.advice::refactoring::(conditional::with::interface)")</f>
        <v>providing:.advice::refactoring::(conditional::with::interface)</v>
      </c>
      <c r="Q674" s="105"/>
      <c r="R674" s="105"/>
      <c r="S674" s="105"/>
      <c r="T674" s="105"/>
      <c r="U674" s="105"/>
      <c r="V674" s="105"/>
      <c r="W674" s="105"/>
      <c r="X674" s="105"/>
      <c r="Y674" s="105"/>
      <c r="Z674" s="105"/>
    </row>
    <row r="675">
      <c r="A675" s="105"/>
      <c r="B675" s="105"/>
      <c r="C675" s="105"/>
      <c r="D675" s="105"/>
      <c r="E675" s="105"/>
      <c r="F675" s="105"/>
      <c r="G675" s="105"/>
      <c r="H675" s="105"/>
      <c r="I675" s="105"/>
      <c r="J675" s="105"/>
      <c r="K675" s="105"/>
      <c r="L675" s="105"/>
      <c r="M675" s="105"/>
      <c r="N675" s="105"/>
      <c r="O675" s="105"/>
      <c r="P675" s="105" t="str">
        <f>IFERROR(__xludf.DUMMYFUNCTION("""COMPUTED_VALUE"""),"providing:.clarification::about::the::reason::error::unit::test")</f>
        <v>providing:.clarification::about::the::reason::error::unit::test</v>
      </c>
      <c r="Q675" s="105"/>
      <c r="R675" s="105"/>
      <c r="S675" s="105"/>
      <c r="T675" s="105"/>
      <c r="U675" s="105"/>
      <c r="V675" s="105"/>
      <c r="W675" s="105"/>
      <c r="X675" s="105"/>
      <c r="Y675" s="105"/>
      <c r="Z675" s="105"/>
    </row>
    <row r="676">
      <c r="A676" s="105"/>
      <c r="B676" s="105"/>
      <c r="C676" s="105"/>
      <c r="D676" s="105"/>
      <c r="E676" s="105"/>
      <c r="F676" s="105"/>
      <c r="G676" s="105"/>
      <c r="H676" s="105"/>
      <c r="I676" s="105"/>
      <c r="J676" s="105"/>
      <c r="K676" s="105"/>
      <c r="L676" s="105"/>
      <c r="M676" s="105"/>
      <c r="N676" s="105"/>
      <c r="O676" s="105"/>
      <c r="P676" s="105" t="str">
        <f>IFERROR(__xludf.DUMMYFUNCTION("""COMPUTED_VALUE"""),"providing:.clarification::on::broken::functionallity::after::submitting::changes::(how::was::it::fixed)")</f>
        <v>providing:.clarification::on::broken::functionallity::after::submitting::changes::(how::was::it::fixed)</v>
      </c>
      <c r="Q676" s="105"/>
      <c r="R676" s="105"/>
      <c r="S676" s="105"/>
      <c r="T676" s="105"/>
      <c r="U676" s="105"/>
      <c r="V676" s="105"/>
      <c r="W676" s="105"/>
      <c r="X676" s="105"/>
      <c r="Y676" s="105"/>
      <c r="Z676" s="105"/>
    </row>
    <row r="677">
      <c r="A677" s="105"/>
      <c r="B677" s="105"/>
      <c r="C677" s="105"/>
      <c r="D677" s="105"/>
      <c r="E677" s="105"/>
      <c r="F677" s="105"/>
      <c r="G677" s="105"/>
      <c r="H677" s="105"/>
      <c r="I677" s="105"/>
      <c r="J677" s="105"/>
      <c r="K677" s="105"/>
      <c r="L677" s="105"/>
      <c r="M677" s="105"/>
      <c r="N677" s="105"/>
      <c r="O677" s="105"/>
      <c r="P677" s="105" t="str">
        <f>IFERROR(__xludf.DUMMYFUNCTION("""COMPUTED_VALUE"""),"providing:.clarification::on::broken::functionallity::after::submitting::changes::(what::happened)")</f>
        <v>providing:.clarification::on::broken::functionallity::after::submitting::changes::(what::happened)</v>
      </c>
      <c r="Q677" s="105"/>
      <c r="R677" s="105"/>
      <c r="S677" s="105"/>
      <c r="T677" s="105"/>
      <c r="U677" s="105"/>
      <c r="V677" s="105"/>
      <c r="W677" s="105"/>
      <c r="X677" s="105"/>
      <c r="Y677" s="105"/>
      <c r="Z677" s="105"/>
    </row>
    <row r="678">
      <c r="A678" s="105"/>
      <c r="B678" s="105"/>
      <c r="C678" s="105"/>
      <c r="D678" s="105"/>
      <c r="E678" s="105"/>
      <c r="F678" s="105"/>
      <c r="G678" s="105"/>
      <c r="H678" s="105"/>
      <c r="I678" s="105"/>
      <c r="J678" s="105"/>
      <c r="K678" s="105"/>
      <c r="L678" s="105"/>
      <c r="M678" s="105"/>
      <c r="N678" s="105"/>
      <c r="O678" s="105"/>
      <c r="P678" s="105" t="str">
        <f>IFERROR(__xludf.DUMMYFUNCTION("""COMPUTED_VALUE"""),"question::regarding::blueprint")</f>
        <v>question::regarding::blueprint</v>
      </c>
      <c r="Q678" s="105"/>
      <c r="R678" s="105"/>
      <c r="S678" s="105"/>
      <c r="T678" s="105"/>
      <c r="U678" s="105"/>
      <c r="V678" s="105"/>
      <c r="W678" s="105"/>
      <c r="X678" s="105"/>
      <c r="Y678" s="105"/>
      <c r="Z678" s="105"/>
    </row>
    <row r="679">
      <c r="A679" s="105"/>
      <c r="B679" s="105"/>
      <c r="C679" s="105"/>
      <c r="D679" s="105"/>
      <c r="E679" s="105"/>
      <c r="F679" s="105"/>
      <c r="G679" s="105"/>
      <c r="H679" s="105"/>
      <c r="I679" s="105"/>
      <c r="J679" s="105"/>
      <c r="K679" s="105"/>
      <c r="L679" s="105"/>
      <c r="M679" s="105"/>
      <c r="N679" s="105"/>
      <c r="O679" s="105"/>
      <c r="P679" s="105" t="str">
        <f>IFERROR(__xludf.DUMMYFUNCTION("""COMPUTED_VALUE"""),"raising::issue::(potential::technical::debt)")</f>
        <v>raising::issue::(potential::technical::debt)</v>
      </c>
      <c r="Q679" s="105"/>
      <c r="R679" s="105"/>
      <c r="S679" s="105"/>
      <c r="T679" s="105"/>
      <c r="U679" s="105"/>
      <c r="V679" s="105"/>
      <c r="W679" s="105"/>
      <c r="X679" s="105"/>
      <c r="Y679" s="105"/>
      <c r="Z679" s="105"/>
    </row>
    <row r="680">
      <c r="A680" s="105"/>
      <c r="B680" s="105"/>
      <c r="C680" s="105"/>
      <c r="D680" s="105"/>
      <c r="E680" s="105"/>
      <c r="F680" s="105"/>
      <c r="G680" s="105"/>
      <c r="H680" s="105"/>
      <c r="I680" s="105"/>
      <c r="J680" s="105"/>
      <c r="K680" s="105"/>
      <c r="L680" s="105"/>
      <c r="M680" s="105"/>
      <c r="N680" s="105"/>
      <c r="O680" s="105"/>
      <c r="P680" s="105" t="str">
        <f>IFERROR(__xludf.DUMMYFUNCTION("""COMPUTED_VALUE"""),"raising::issue::(typo::comment)")</f>
        <v>raising::issue::(typo::comment)</v>
      </c>
      <c r="Q680" s="105"/>
      <c r="R680" s="105"/>
      <c r="S680" s="105"/>
      <c r="T680" s="105"/>
      <c r="U680" s="105"/>
      <c r="V680" s="105"/>
      <c r="W680" s="105"/>
      <c r="X680" s="105"/>
      <c r="Y680" s="105"/>
      <c r="Z680" s="105"/>
    </row>
    <row r="681">
      <c r="A681" s="105"/>
      <c r="B681" s="105"/>
      <c r="C681" s="105"/>
      <c r="D681" s="105"/>
      <c r="E681" s="105"/>
      <c r="F681" s="105"/>
      <c r="G681" s="105"/>
      <c r="H681" s="105"/>
      <c r="I681" s="105"/>
      <c r="J681" s="105"/>
      <c r="K681" s="105"/>
      <c r="L681" s="105"/>
      <c r="M681" s="105"/>
      <c r="N681" s="105"/>
      <c r="O681" s="105"/>
      <c r="P681" s="105" t="str">
        <f>IFERROR(__xludf.DUMMYFUNCTION("""COMPUTED_VALUE"""),"ready::approval::for::submitting")</f>
        <v>ready::approval::for::submitting</v>
      </c>
      <c r="Q681" s="105"/>
      <c r="R681" s="105"/>
      <c r="S681" s="105"/>
      <c r="T681" s="105"/>
      <c r="U681" s="105"/>
      <c r="V681" s="105"/>
      <c r="W681" s="105"/>
      <c r="X681" s="105"/>
      <c r="Y681" s="105"/>
      <c r="Z681" s="105"/>
    </row>
    <row r="682">
      <c r="A682" s="105"/>
      <c r="B682" s="105"/>
      <c r="C682" s="105"/>
      <c r="D682" s="105"/>
      <c r="E682" s="105"/>
      <c r="F682" s="105"/>
      <c r="G682" s="105"/>
      <c r="H682" s="105"/>
      <c r="I682" s="105"/>
      <c r="J682" s="105"/>
      <c r="K682" s="105"/>
      <c r="L682" s="105"/>
      <c r="M682" s="105"/>
      <c r="N682" s="105"/>
      <c r="O682" s="105"/>
      <c r="P682" s="105" t="str">
        <f>IFERROR(__xludf.DUMMYFUNCTION("""COMPUTED_VALUE"""),"ready::approval::for::submitting::(core::reviewer)")</f>
        <v>ready::approval::for::submitting::(core::reviewer)</v>
      </c>
      <c r="Q682" s="105"/>
      <c r="R682" s="105"/>
      <c r="S682" s="105"/>
      <c r="T682" s="105"/>
      <c r="U682" s="105"/>
      <c r="V682" s="105"/>
      <c r="W682" s="105"/>
      <c r="X682" s="105"/>
      <c r="Y682" s="105"/>
      <c r="Z682" s="105"/>
    </row>
    <row r="683">
      <c r="A683" s="105"/>
      <c r="B683" s="105"/>
      <c r="C683" s="105"/>
      <c r="D683" s="105"/>
      <c r="E683" s="105"/>
      <c r="F683" s="105"/>
      <c r="G683" s="105"/>
      <c r="H683" s="105"/>
      <c r="I683" s="105"/>
      <c r="J683" s="105"/>
      <c r="K683" s="105"/>
      <c r="L683" s="105"/>
      <c r="M683" s="105"/>
      <c r="N683" s="105"/>
      <c r="O683" s="105"/>
      <c r="P683" s="105" t="str">
        <f>IFERROR(__xludf.DUMMYFUNCTION("""COMPUTED_VALUE"""),"ready::approval::for::submitting::(vote)")</f>
        <v>ready::approval::for::submitting::(vote)</v>
      </c>
      <c r="Q683" s="105"/>
      <c r="R683" s="105"/>
      <c r="S683" s="105"/>
      <c r="T683" s="105"/>
      <c r="U683" s="105"/>
      <c r="V683" s="105"/>
      <c r="W683" s="105"/>
      <c r="X683" s="105"/>
      <c r="Y683" s="105"/>
      <c r="Z683" s="105"/>
    </row>
    <row r="684">
      <c r="A684" s="105"/>
      <c r="B684" s="105"/>
      <c r="C684" s="105"/>
      <c r="D684" s="105"/>
      <c r="E684" s="105"/>
      <c r="F684" s="105"/>
      <c r="G684" s="105"/>
      <c r="H684" s="105"/>
      <c r="I684" s="105"/>
      <c r="J684" s="105"/>
      <c r="K684" s="105"/>
      <c r="L684" s="105"/>
      <c r="M684" s="105"/>
      <c r="N684" s="105"/>
      <c r="O684" s="105"/>
      <c r="P684" s="105" t="str">
        <f>IFERROR(__xludf.DUMMYFUNCTION("""COMPUTED_VALUE"""),"ready::approval::for::submitting::(vote)::(core::reviewer)")</f>
        <v>ready::approval::for::submitting::(vote)::(core::reviewer)</v>
      </c>
      <c r="Q684" s="105"/>
      <c r="R684" s="105"/>
      <c r="S684" s="105"/>
      <c r="T684" s="105"/>
      <c r="U684" s="105"/>
      <c r="V684" s="105"/>
      <c r="W684" s="105"/>
      <c r="X684" s="105"/>
      <c r="Y684" s="105"/>
      <c r="Z684" s="105"/>
    </row>
    <row r="685">
      <c r="A685" s="105"/>
      <c r="B685" s="105"/>
      <c r="C685" s="105"/>
      <c r="D685" s="105"/>
      <c r="E685" s="105"/>
      <c r="F685" s="105"/>
      <c r="G685" s="105"/>
      <c r="H685" s="105"/>
      <c r="I685" s="105"/>
      <c r="J685" s="105"/>
      <c r="K685" s="105"/>
      <c r="L685" s="105"/>
      <c r="M685" s="105"/>
      <c r="N685" s="105"/>
      <c r="O685" s="105"/>
      <c r="P685" s="105" t="str">
        <f>IFERROR(__xludf.DUMMYFUNCTION("""COMPUTED_VALUE"""),"ready::approval::for::submitting::(vote10)")</f>
        <v>ready::approval::for::submitting::(vote10)</v>
      </c>
      <c r="Q685" s="105"/>
      <c r="R685" s="105"/>
      <c r="S685" s="105"/>
      <c r="T685" s="105"/>
      <c r="U685" s="105"/>
      <c r="V685" s="105"/>
      <c r="W685" s="105"/>
      <c r="X685" s="105"/>
      <c r="Y685" s="105"/>
      <c r="Z685" s="105"/>
    </row>
    <row r="686">
      <c r="A686" s="105"/>
      <c r="B686" s="105"/>
      <c r="C686" s="105"/>
      <c r="D686" s="105"/>
      <c r="E686" s="105"/>
      <c r="F686" s="105"/>
      <c r="G686" s="105"/>
      <c r="H686" s="105"/>
      <c r="I686" s="105"/>
      <c r="J686" s="105"/>
      <c r="K686" s="105"/>
      <c r="L686" s="105"/>
      <c r="M686" s="105"/>
      <c r="N686" s="105"/>
      <c r="O686" s="105"/>
      <c r="P686" s="105" t="str">
        <f>IFERROR(__xludf.DUMMYFUNCTION("""COMPUTED_VALUE"""),"ready::approval::for::submitting::(vote11)")</f>
        <v>ready::approval::for::submitting::(vote11)</v>
      </c>
      <c r="Q686" s="105"/>
      <c r="R686" s="105"/>
      <c r="S686" s="105"/>
      <c r="T686" s="105"/>
      <c r="U686" s="105"/>
      <c r="V686" s="105"/>
      <c r="W686" s="105"/>
      <c r="X686" s="105"/>
      <c r="Y686" s="105"/>
      <c r="Z686" s="105"/>
    </row>
    <row r="687">
      <c r="A687" s="105"/>
      <c r="B687" s="105"/>
      <c r="C687" s="105"/>
      <c r="D687" s="105"/>
      <c r="E687" s="105"/>
      <c r="F687" s="105"/>
      <c r="G687" s="105"/>
      <c r="H687" s="105"/>
      <c r="I687" s="105"/>
      <c r="J687" s="105"/>
      <c r="K687" s="105"/>
      <c r="L687" s="105"/>
      <c r="M687" s="105"/>
      <c r="N687" s="105"/>
      <c r="O687" s="105"/>
      <c r="P687" s="105" t="str">
        <f>IFERROR(__xludf.DUMMYFUNCTION("""COMPUTED_VALUE"""),"ready::approval::for::submitting::(vote12)::(code::review)")</f>
        <v>ready::approval::for::submitting::(vote12)::(code::review)</v>
      </c>
      <c r="Q687" s="105"/>
      <c r="R687" s="105"/>
      <c r="S687" s="105"/>
      <c r="T687" s="105"/>
      <c r="U687" s="105"/>
      <c r="V687" s="105"/>
      <c r="W687" s="105"/>
      <c r="X687" s="105"/>
      <c r="Y687" s="105"/>
      <c r="Z687" s="105"/>
    </row>
    <row r="688">
      <c r="A688" s="105"/>
      <c r="B688" s="105"/>
      <c r="C688" s="105"/>
      <c r="D688" s="105"/>
      <c r="E688" s="105"/>
      <c r="F688" s="105"/>
      <c r="G688" s="105"/>
      <c r="H688" s="105"/>
      <c r="I688" s="105"/>
      <c r="J688" s="105"/>
      <c r="K688" s="105"/>
      <c r="L688" s="105"/>
      <c r="M688" s="105"/>
      <c r="N688" s="105"/>
      <c r="O688" s="105"/>
      <c r="P688" s="105" t="str">
        <f>IFERROR(__xludf.DUMMYFUNCTION("""COMPUTED_VALUE"""),"ready::approval::for::submitting::(vote13)")</f>
        <v>ready::approval::for::submitting::(vote13)</v>
      </c>
      <c r="Q688" s="105"/>
      <c r="R688" s="105"/>
      <c r="S688" s="105"/>
      <c r="T688" s="105"/>
      <c r="U688" s="105"/>
      <c r="V688" s="105"/>
      <c r="W688" s="105"/>
      <c r="X688" s="105"/>
      <c r="Y688" s="105"/>
      <c r="Z688" s="105"/>
    </row>
    <row r="689">
      <c r="A689" s="105"/>
      <c r="B689" s="105"/>
      <c r="C689" s="105"/>
      <c r="D689" s="105"/>
      <c r="E689" s="105"/>
      <c r="F689" s="105"/>
      <c r="G689" s="105"/>
      <c r="H689" s="105"/>
      <c r="I689" s="105"/>
      <c r="J689" s="105"/>
      <c r="K689" s="105"/>
      <c r="L689" s="105"/>
      <c r="M689" s="105"/>
      <c r="N689" s="105"/>
      <c r="O689" s="105"/>
      <c r="P689" s="105" t="str">
        <f>IFERROR(__xludf.DUMMYFUNCTION("""COMPUTED_VALUE"""),"ready::approval::for::submitting::(vote2)")</f>
        <v>ready::approval::for::submitting::(vote2)</v>
      </c>
      <c r="Q689" s="105"/>
      <c r="R689" s="105"/>
      <c r="S689" s="105"/>
      <c r="T689" s="105"/>
      <c r="U689" s="105"/>
      <c r="V689" s="105"/>
      <c r="W689" s="105"/>
      <c r="X689" s="105"/>
      <c r="Y689" s="105"/>
      <c r="Z689" s="105"/>
    </row>
    <row r="690">
      <c r="A690" s="105"/>
      <c r="B690" s="105"/>
      <c r="C690" s="105"/>
      <c r="D690" s="105"/>
      <c r="E690" s="105"/>
      <c r="F690" s="105"/>
      <c r="G690" s="105"/>
      <c r="H690" s="105"/>
      <c r="I690" s="105"/>
      <c r="J690" s="105"/>
      <c r="K690" s="105"/>
      <c r="L690" s="105"/>
      <c r="M690" s="105"/>
      <c r="N690" s="105"/>
      <c r="O690" s="105"/>
      <c r="P690" s="105" t="str">
        <f>IFERROR(__xludf.DUMMYFUNCTION("""COMPUTED_VALUE"""),"ready::approval::for::submitting::(vote2)::(core::reviewer)")</f>
        <v>ready::approval::for::submitting::(vote2)::(core::reviewer)</v>
      </c>
      <c r="Q690" s="105"/>
      <c r="R690" s="105"/>
      <c r="S690" s="105"/>
      <c r="T690" s="105"/>
      <c r="U690" s="105"/>
      <c r="V690" s="105"/>
      <c r="W690" s="105"/>
      <c r="X690" s="105"/>
      <c r="Y690" s="105"/>
      <c r="Z690" s="105"/>
    </row>
    <row r="691">
      <c r="A691" s="105"/>
      <c r="B691" s="105"/>
      <c r="C691" s="105"/>
      <c r="D691" s="105"/>
      <c r="E691" s="105"/>
      <c r="F691" s="105"/>
      <c r="G691" s="105"/>
      <c r="H691" s="105"/>
      <c r="I691" s="105"/>
      <c r="J691" s="105"/>
      <c r="K691" s="105"/>
      <c r="L691" s="105"/>
      <c r="M691" s="105"/>
      <c r="N691" s="105"/>
      <c r="O691" s="105"/>
      <c r="P691" s="105" t="str">
        <f>IFERROR(__xludf.DUMMYFUNCTION("""COMPUTED_VALUE"""),"ready::approval::for::submitting::(vote3)")</f>
        <v>ready::approval::for::submitting::(vote3)</v>
      </c>
      <c r="Q691" s="105"/>
      <c r="R691" s="105"/>
      <c r="S691" s="105"/>
      <c r="T691" s="105"/>
      <c r="U691" s="105"/>
      <c r="V691" s="105"/>
      <c r="W691" s="105"/>
      <c r="X691" s="105"/>
      <c r="Y691" s="105"/>
      <c r="Z691" s="105"/>
    </row>
    <row r="692">
      <c r="A692" s="105"/>
      <c r="B692" s="105"/>
      <c r="C692" s="105"/>
      <c r="D692" s="105"/>
      <c r="E692" s="105"/>
      <c r="F692" s="105"/>
      <c r="G692" s="105"/>
      <c r="H692" s="105"/>
      <c r="I692" s="105"/>
      <c r="J692" s="105"/>
      <c r="K692" s="105"/>
      <c r="L692" s="105"/>
      <c r="M692" s="105"/>
      <c r="N692" s="105"/>
      <c r="O692" s="105"/>
      <c r="P692" s="105" t="str">
        <f>IFERROR(__xludf.DUMMYFUNCTION("""COMPUTED_VALUE"""),"ready::approval::for::submitting::(vote3)::(core::reviewer)")</f>
        <v>ready::approval::for::submitting::(vote3)::(core::reviewer)</v>
      </c>
      <c r="Q692" s="105"/>
      <c r="R692" s="105"/>
      <c r="S692" s="105"/>
      <c r="T692" s="105"/>
      <c r="U692" s="105"/>
      <c r="V692" s="105"/>
      <c r="W692" s="105"/>
      <c r="X692" s="105"/>
      <c r="Y692" s="105"/>
      <c r="Z692" s="105"/>
    </row>
    <row r="693">
      <c r="A693" s="105"/>
      <c r="B693" s="105"/>
      <c r="C693" s="105"/>
      <c r="D693" s="105"/>
      <c r="E693" s="105"/>
      <c r="F693" s="105"/>
      <c r="G693" s="105"/>
      <c r="H693" s="105"/>
      <c r="I693" s="105"/>
      <c r="J693" s="105"/>
      <c r="K693" s="105"/>
      <c r="L693" s="105"/>
      <c r="M693" s="105"/>
      <c r="N693" s="105"/>
      <c r="O693" s="105"/>
      <c r="P693" s="105" t="str">
        <f>IFERROR(__xludf.DUMMYFUNCTION("""COMPUTED_VALUE"""),"ready::approval::for::submitting::(vote4)")</f>
        <v>ready::approval::for::submitting::(vote4)</v>
      </c>
      <c r="Q693" s="105"/>
      <c r="R693" s="105"/>
      <c r="S693" s="105"/>
      <c r="T693" s="105"/>
      <c r="U693" s="105"/>
      <c r="V693" s="105"/>
      <c r="W693" s="105"/>
      <c r="X693" s="105"/>
      <c r="Y693" s="105"/>
      <c r="Z693" s="105"/>
    </row>
    <row r="694">
      <c r="A694" s="105"/>
      <c r="B694" s="105"/>
      <c r="C694" s="105"/>
      <c r="D694" s="105"/>
      <c r="E694" s="105"/>
      <c r="F694" s="105"/>
      <c r="G694" s="105"/>
      <c r="H694" s="105"/>
      <c r="I694" s="105"/>
      <c r="J694" s="105"/>
      <c r="K694" s="105"/>
      <c r="L694" s="105"/>
      <c r="M694" s="105"/>
      <c r="N694" s="105"/>
      <c r="O694" s="105"/>
      <c r="P694" s="105" t="str">
        <f>IFERROR(__xludf.DUMMYFUNCTION("""COMPUTED_VALUE"""),"ready::approval::for::submitting::(vote4)::(core::reviewer)")</f>
        <v>ready::approval::for::submitting::(vote4)::(core::reviewer)</v>
      </c>
      <c r="Q694" s="105"/>
      <c r="R694" s="105"/>
      <c r="S694" s="105"/>
      <c r="T694" s="105"/>
      <c r="U694" s="105"/>
      <c r="V694" s="105"/>
      <c r="W694" s="105"/>
      <c r="X694" s="105"/>
      <c r="Y694" s="105"/>
      <c r="Z694" s="105"/>
    </row>
    <row r="695">
      <c r="A695" s="105"/>
      <c r="B695" s="105"/>
      <c r="C695" s="105"/>
      <c r="D695" s="105"/>
      <c r="E695" s="105"/>
      <c r="F695" s="105"/>
      <c r="G695" s="105"/>
      <c r="H695" s="105"/>
      <c r="I695" s="105"/>
      <c r="J695" s="105"/>
      <c r="K695" s="105"/>
      <c r="L695" s="105"/>
      <c r="M695" s="105"/>
      <c r="N695" s="105"/>
      <c r="O695" s="105"/>
      <c r="P695" s="105" t="str">
        <f>IFERROR(__xludf.DUMMYFUNCTION("""COMPUTED_VALUE"""),"ready::approval::for::submitting::(vote5)")</f>
        <v>ready::approval::for::submitting::(vote5)</v>
      </c>
      <c r="Q695" s="105"/>
      <c r="R695" s="105"/>
      <c r="S695" s="105"/>
      <c r="T695" s="105"/>
      <c r="U695" s="105"/>
      <c r="V695" s="105"/>
      <c r="W695" s="105"/>
      <c r="X695" s="105"/>
      <c r="Y695" s="105"/>
      <c r="Z695" s="105"/>
    </row>
    <row r="696">
      <c r="A696" s="105"/>
      <c r="B696" s="105"/>
      <c r="C696" s="105"/>
      <c r="D696" s="105"/>
      <c r="E696" s="105"/>
      <c r="F696" s="105"/>
      <c r="G696" s="105"/>
      <c r="H696" s="105"/>
      <c r="I696" s="105"/>
      <c r="J696" s="105"/>
      <c r="K696" s="105"/>
      <c r="L696" s="105"/>
      <c r="M696" s="105"/>
      <c r="N696" s="105"/>
      <c r="O696" s="105"/>
      <c r="P696" s="105" t="str">
        <f>IFERROR(__xludf.DUMMYFUNCTION("""COMPUTED_VALUE"""),"ready::approval::for::submitting::(vote5)::(core::reviewer)")</f>
        <v>ready::approval::for::submitting::(vote5)::(core::reviewer)</v>
      </c>
      <c r="Q696" s="105"/>
      <c r="R696" s="105"/>
      <c r="S696" s="105"/>
      <c r="T696" s="105"/>
      <c r="U696" s="105"/>
      <c r="V696" s="105"/>
      <c r="W696" s="105"/>
      <c r="X696" s="105"/>
      <c r="Y696" s="105"/>
      <c r="Z696" s="105"/>
    </row>
    <row r="697">
      <c r="A697" s="105"/>
      <c r="B697" s="105"/>
      <c r="C697" s="105"/>
      <c r="D697" s="105"/>
      <c r="E697" s="105"/>
      <c r="F697" s="105"/>
      <c r="G697" s="105"/>
      <c r="H697" s="105"/>
      <c r="I697" s="105"/>
      <c r="J697" s="105"/>
      <c r="K697" s="105"/>
      <c r="L697" s="105"/>
      <c r="M697" s="105"/>
      <c r="N697" s="105"/>
      <c r="O697" s="105"/>
      <c r="P697" s="105" t="str">
        <f>IFERROR(__xludf.DUMMYFUNCTION("""COMPUTED_VALUE"""),"ready::approval::for::submitting::(vote6)")</f>
        <v>ready::approval::for::submitting::(vote6)</v>
      </c>
      <c r="Q697" s="105"/>
      <c r="R697" s="105"/>
      <c r="S697" s="105"/>
      <c r="T697" s="105"/>
      <c r="U697" s="105"/>
      <c r="V697" s="105"/>
      <c r="W697" s="105"/>
      <c r="X697" s="105"/>
      <c r="Y697" s="105"/>
      <c r="Z697" s="105"/>
    </row>
    <row r="698">
      <c r="A698" s="105"/>
      <c r="B698" s="105"/>
      <c r="C698" s="105"/>
      <c r="D698" s="105"/>
      <c r="E698" s="105"/>
      <c r="F698" s="105"/>
      <c r="G698" s="105"/>
      <c r="H698" s="105"/>
      <c r="I698" s="105"/>
      <c r="J698" s="105"/>
      <c r="K698" s="105"/>
      <c r="L698" s="105"/>
      <c r="M698" s="105"/>
      <c r="N698" s="105"/>
      <c r="O698" s="105"/>
      <c r="P698" s="105" t="str">
        <f>IFERROR(__xludf.DUMMYFUNCTION("""COMPUTED_VALUE"""),"ready::approval::for::submitting::(vote6)::(core::reviewer)")</f>
        <v>ready::approval::for::submitting::(vote6)::(core::reviewer)</v>
      </c>
      <c r="Q698" s="105"/>
      <c r="R698" s="105"/>
      <c r="S698" s="105"/>
      <c r="T698" s="105"/>
      <c r="U698" s="105"/>
      <c r="V698" s="105"/>
      <c r="W698" s="105"/>
      <c r="X698" s="105"/>
      <c r="Y698" s="105"/>
      <c r="Z698" s="105"/>
    </row>
    <row r="699">
      <c r="A699" s="105"/>
      <c r="B699" s="105"/>
      <c r="C699" s="105"/>
      <c r="D699" s="105"/>
      <c r="E699" s="105"/>
      <c r="F699" s="105"/>
      <c r="G699" s="105"/>
      <c r="H699" s="105"/>
      <c r="I699" s="105"/>
      <c r="J699" s="105"/>
      <c r="K699" s="105"/>
      <c r="L699" s="105"/>
      <c r="M699" s="105"/>
      <c r="N699" s="105"/>
      <c r="O699" s="105"/>
      <c r="P699" s="105" t="str">
        <f>IFERROR(__xludf.DUMMYFUNCTION("""COMPUTED_VALUE"""),"ready::approval::for::submitting::(vote7)")</f>
        <v>ready::approval::for::submitting::(vote7)</v>
      </c>
      <c r="Q699" s="105"/>
      <c r="R699" s="105"/>
      <c r="S699" s="105"/>
      <c r="T699" s="105"/>
      <c r="U699" s="105"/>
      <c r="V699" s="105"/>
      <c r="W699" s="105"/>
      <c r="X699" s="105"/>
      <c r="Y699" s="105"/>
      <c r="Z699" s="105"/>
    </row>
    <row r="700">
      <c r="A700" s="105"/>
      <c r="B700" s="105"/>
      <c r="C700" s="105"/>
      <c r="D700" s="105"/>
      <c r="E700" s="105"/>
      <c r="F700" s="105"/>
      <c r="G700" s="105"/>
      <c r="H700" s="105"/>
      <c r="I700" s="105"/>
      <c r="J700" s="105"/>
      <c r="K700" s="105"/>
      <c r="L700" s="105"/>
      <c r="M700" s="105"/>
      <c r="N700" s="105"/>
      <c r="O700" s="105"/>
      <c r="P700" s="105" t="str">
        <f>IFERROR(__xludf.DUMMYFUNCTION("""COMPUTED_VALUE"""),"ready::approval::for::submitting::(vote7)::(core::reviewer)")</f>
        <v>ready::approval::for::submitting::(vote7)::(core::reviewer)</v>
      </c>
      <c r="Q700" s="105"/>
      <c r="R700" s="105"/>
      <c r="S700" s="105"/>
      <c r="T700" s="105"/>
      <c r="U700" s="105"/>
      <c r="V700" s="105"/>
      <c r="W700" s="105"/>
      <c r="X700" s="105"/>
      <c r="Y700" s="105"/>
      <c r="Z700" s="105"/>
    </row>
    <row r="701">
      <c r="A701" s="105"/>
      <c r="B701" s="105"/>
      <c r="C701" s="105"/>
      <c r="D701" s="105"/>
      <c r="E701" s="105"/>
      <c r="F701" s="105"/>
      <c r="G701" s="105"/>
      <c r="H701" s="105"/>
      <c r="I701" s="105"/>
      <c r="J701" s="105"/>
      <c r="K701" s="105"/>
      <c r="L701" s="105"/>
      <c r="M701" s="105"/>
      <c r="N701" s="105"/>
      <c r="O701" s="105"/>
      <c r="P701" s="105" t="str">
        <f>IFERROR(__xludf.DUMMYFUNCTION("""COMPUTED_VALUE"""),"ready::approval::for::submitting::(vote8)")</f>
        <v>ready::approval::for::submitting::(vote8)</v>
      </c>
      <c r="Q701" s="105"/>
      <c r="R701" s="105"/>
      <c r="S701" s="105"/>
      <c r="T701" s="105"/>
      <c r="U701" s="105"/>
      <c r="V701" s="105"/>
      <c r="W701" s="105"/>
      <c r="X701" s="105"/>
      <c r="Y701" s="105"/>
      <c r="Z701" s="105"/>
    </row>
    <row r="702">
      <c r="A702" s="105"/>
      <c r="B702" s="105"/>
      <c r="C702" s="105"/>
      <c r="D702" s="105"/>
      <c r="E702" s="105"/>
      <c r="F702" s="105"/>
      <c r="G702" s="105"/>
      <c r="H702" s="105"/>
      <c r="I702" s="105"/>
      <c r="J702" s="105"/>
      <c r="K702" s="105"/>
      <c r="L702" s="105"/>
      <c r="M702" s="105"/>
      <c r="N702" s="105"/>
      <c r="O702" s="105"/>
      <c r="P702" s="105" t="str">
        <f>IFERROR(__xludf.DUMMYFUNCTION("""COMPUTED_VALUE"""),"ready::approval::for::submitting::(vote8)::(core::reviewer)")</f>
        <v>ready::approval::for::submitting::(vote8)::(core::reviewer)</v>
      </c>
      <c r="Q702" s="105"/>
      <c r="R702" s="105"/>
      <c r="S702" s="105"/>
      <c r="T702" s="105"/>
      <c r="U702" s="105"/>
      <c r="V702" s="105"/>
      <c r="W702" s="105"/>
      <c r="X702" s="105"/>
      <c r="Y702" s="105"/>
      <c r="Z702" s="105"/>
    </row>
    <row r="703">
      <c r="A703" s="105"/>
      <c r="B703" s="105"/>
      <c r="C703" s="105"/>
      <c r="D703" s="105"/>
      <c r="E703" s="105"/>
      <c r="F703" s="105"/>
      <c r="G703" s="105"/>
      <c r="H703" s="105"/>
      <c r="I703" s="105"/>
      <c r="J703" s="105"/>
      <c r="K703" s="105"/>
      <c r="L703" s="105"/>
      <c r="M703" s="105"/>
      <c r="N703" s="105"/>
      <c r="O703" s="105"/>
      <c r="P703" s="105" t="str">
        <f>IFERROR(__xludf.DUMMYFUNCTION("""COMPUTED_VALUE"""),"ready::approval::for::submitting::(vote9)")</f>
        <v>ready::approval::for::submitting::(vote9)</v>
      </c>
      <c r="Q703" s="105"/>
      <c r="R703" s="105"/>
      <c r="S703" s="105"/>
      <c r="T703" s="105"/>
      <c r="U703" s="105"/>
      <c r="V703" s="105"/>
      <c r="W703" s="105"/>
      <c r="X703" s="105"/>
      <c r="Y703" s="105"/>
      <c r="Z703" s="105"/>
    </row>
    <row r="704">
      <c r="A704" s="105"/>
      <c r="B704" s="105"/>
      <c r="C704" s="105"/>
      <c r="D704" s="105"/>
      <c r="E704" s="105"/>
      <c r="F704" s="105"/>
      <c r="G704" s="105"/>
      <c r="H704" s="105"/>
      <c r="I704" s="105"/>
      <c r="J704" s="105"/>
      <c r="K704" s="105"/>
      <c r="L704" s="105"/>
      <c r="M704" s="105"/>
      <c r="N704" s="105"/>
      <c r="O704" s="105"/>
      <c r="P704" s="105" t="str">
        <f>IFERROR(__xludf.DUMMYFUNCTION("""COMPUTED_VALUE"""),"ready::approval::for::submitting::(vote9)::(core::reviewer)")</f>
        <v>ready::approval::for::submitting::(vote9)::(core::reviewer)</v>
      </c>
      <c r="Q704" s="105"/>
      <c r="R704" s="105"/>
      <c r="S704" s="105"/>
      <c r="T704" s="105"/>
      <c r="U704" s="105"/>
      <c r="V704" s="105"/>
      <c r="W704" s="105"/>
      <c r="X704" s="105"/>
      <c r="Y704" s="105"/>
      <c r="Z704" s="105"/>
    </row>
    <row r="705">
      <c r="A705" s="105"/>
      <c r="B705" s="105"/>
      <c r="C705" s="105"/>
      <c r="D705" s="105"/>
      <c r="E705" s="105"/>
      <c r="F705" s="105"/>
      <c r="G705" s="105"/>
      <c r="H705" s="105"/>
      <c r="I705" s="105"/>
      <c r="J705" s="105"/>
      <c r="K705" s="105"/>
      <c r="L705" s="105"/>
      <c r="M705" s="105"/>
      <c r="N705" s="105"/>
      <c r="O705" s="105"/>
      <c r="P705" s="105" t="str">
        <f>IFERROR(__xludf.DUMMYFUNCTION("""COMPUTED_VALUE"""),"ready::approval::for::submitting10")</f>
        <v>ready::approval::for::submitting10</v>
      </c>
      <c r="Q705" s="105"/>
      <c r="R705" s="105"/>
      <c r="S705" s="105"/>
      <c r="T705" s="105"/>
      <c r="U705" s="105"/>
      <c r="V705" s="105"/>
      <c r="W705" s="105"/>
      <c r="X705" s="105"/>
      <c r="Y705" s="105"/>
      <c r="Z705" s="105"/>
    </row>
    <row r="706">
      <c r="A706" s="105"/>
      <c r="B706" s="105"/>
      <c r="C706" s="105"/>
      <c r="D706" s="105"/>
      <c r="E706" s="105"/>
      <c r="F706" s="105"/>
      <c r="G706" s="105"/>
      <c r="H706" s="105"/>
      <c r="I706" s="105"/>
      <c r="J706" s="105"/>
      <c r="K706" s="105"/>
      <c r="L706" s="105"/>
      <c r="M706" s="105"/>
      <c r="N706" s="105"/>
      <c r="O706" s="105"/>
      <c r="P706" s="105" t="str">
        <f>IFERROR(__xludf.DUMMYFUNCTION("""COMPUTED_VALUE"""),"ready::approval::for::submitting10::(core::reviewer)")</f>
        <v>ready::approval::for::submitting10::(core::reviewer)</v>
      </c>
      <c r="Q706" s="105"/>
      <c r="R706" s="105"/>
      <c r="S706" s="105"/>
      <c r="T706" s="105"/>
      <c r="U706" s="105"/>
      <c r="V706" s="105"/>
      <c r="W706" s="105"/>
      <c r="X706" s="105"/>
      <c r="Y706" s="105"/>
      <c r="Z706" s="105"/>
    </row>
    <row r="707">
      <c r="A707" s="105"/>
      <c r="B707" s="105"/>
      <c r="C707" s="105"/>
      <c r="D707" s="105"/>
      <c r="E707" s="105"/>
      <c r="F707" s="105"/>
      <c r="G707" s="105"/>
      <c r="H707" s="105"/>
      <c r="I707" s="105"/>
      <c r="J707" s="105"/>
      <c r="K707" s="105"/>
      <c r="L707" s="105"/>
      <c r="M707" s="105"/>
      <c r="N707" s="105"/>
      <c r="O707" s="105"/>
      <c r="P707" s="105" t="str">
        <f>IFERROR(__xludf.DUMMYFUNCTION("""COMPUTED_VALUE"""),"ready::approval::for::submitting11")</f>
        <v>ready::approval::for::submitting11</v>
      </c>
      <c r="Q707" s="105"/>
      <c r="R707" s="105"/>
      <c r="S707" s="105"/>
      <c r="T707" s="105"/>
      <c r="U707" s="105"/>
      <c r="V707" s="105"/>
      <c r="W707" s="105"/>
      <c r="X707" s="105"/>
      <c r="Y707" s="105"/>
      <c r="Z707" s="105"/>
    </row>
    <row r="708">
      <c r="A708" s="105"/>
      <c r="B708" s="105"/>
      <c r="C708" s="105"/>
      <c r="D708" s="105"/>
      <c r="E708" s="105"/>
      <c r="F708" s="105"/>
      <c r="G708" s="105"/>
      <c r="H708" s="105"/>
      <c r="I708" s="105"/>
      <c r="J708" s="105"/>
      <c r="K708" s="105"/>
      <c r="L708" s="105"/>
      <c r="M708" s="105"/>
      <c r="N708" s="105"/>
      <c r="O708" s="105"/>
      <c r="P708" s="105" t="str">
        <f>IFERROR(__xludf.DUMMYFUNCTION("""COMPUTED_VALUE"""),"ready::approval::for::submitting11::(core::reviewer)")</f>
        <v>ready::approval::for::submitting11::(core::reviewer)</v>
      </c>
      <c r="Q708" s="105"/>
      <c r="R708" s="105"/>
      <c r="S708" s="105"/>
      <c r="T708" s="105"/>
      <c r="U708" s="105"/>
      <c r="V708" s="105"/>
      <c r="W708" s="105"/>
      <c r="X708" s="105"/>
      <c r="Y708" s="105"/>
      <c r="Z708" s="105"/>
    </row>
    <row r="709">
      <c r="A709" s="105"/>
      <c r="B709" s="105"/>
      <c r="C709" s="105"/>
      <c r="D709" s="105"/>
      <c r="E709" s="105"/>
      <c r="F709" s="105"/>
      <c r="G709" s="105"/>
      <c r="H709" s="105"/>
      <c r="I709" s="105"/>
      <c r="J709" s="105"/>
      <c r="K709" s="105"/>
      <c r="L709" s="105"/>
      <c r="M709" s="105"/>
      <c r="N709" s="105"/>
      <c r="O709" s="105"/>
      <c r="P709" s="105" t="str">
        <f>IFERROR(__xludf.DUMMYFUNCTION("""COMPUTED_VALUE"""),"ready::approval::for::submitting12")</f>
        <v>ready::approval::for::submitting12</v>
      </c>
      <c r="Q709" s="105"/>
      <c r="R709" s="105"/>
      <c r="S709" s="105"/>
      <c r="T709" s="105"/>
      <c r="U709" s="105"/>
      <c r="V709" s="105"/>
      <c r="W709" s="105"/>
      <c r="X709" s="105"/>
      <c r="Y709" s="105"/>
      <c r="Z709" s="105"/>
    </row>
    <row r="710">
      <c r="A710" s="105"/>
      <c r="B710" s="105"/>
      <c r="C710" s="105"/>
      <c r="D710" s="105"/>
      <c r="E710" s="105"/>
      <c r="F710" s="105"/>
      <c r="G710" s="105"/>
      <c r="H710" s="105"/>
      <c r="I710" s="105"/>
      <c r="J710" s="105"/>
      <c r="K710" s="105"/>
      <c r="L710" s="105"/>
      <c r="M710" s="105"/>
      <c r="N710" s="105"/>
      <c r="O710" s="105"/>
      <c r="P710" s="105" t="str">
        <f>IFERROR(__xludf.DUMMYFUNCTION("""COMPUTED_VALUE"""),"ready::approval::for::submitting12::(core::reviewer)")</f>
        <v>ready::approval::for::submitting12::(core::reviewer)</v>
      </c>
      <c r="Q710" s="105"/>
      <c r="R710" s="105"/>
      <c r="S710" s="105"/>
      <c r="T710" s="105"/>
      <c r="U710" s="105"/>
      <c r="V710" s="105"/>
      <c r="W710" s="105"/>
      <c r="X710" s="105"/>
      <c r="Y710" s="105"/>
      <c r="Z710" s="105"/>
    </row>
    <row r="711">
      <c r="A711" s="105"/>
      <c r="B711" s="105"/>
      <c r="C711" s="105"/>
      <c r="D711" s="105"/>
      <c r="E711" s="105"/>
      <c r="F711" s="105"/>
      <c r="G711" s="105"/>
      <c r="H711" s="105"/>
      <c r="I711" s="105"/>
      <c r="J711" s="105"/>
      <c r="K711" s="105"/>
      <c r="L711" s="105"/>
      <c r="M711" s="105"/>
      <c r="N711" s="105"/>
      <c r="O711" s="105"/>
      <c r="P711" s="105" t="str">
        <f>IFERROR(__xludf.DUMMYFUNCTION("""COMPUTED_VALUE"""),"ready::approval::for::submitting13")</f>
        <v>ready::approval::for::submitting13</v>
      </c>
      <c r="Q711" s="105"/>
      <c r="R711" s="105"/>
      <c r="S711" s="105"/>
      <c r="T711" s="105"/>
      <c r="U711" s="105"/>
      <c r="V711" s="105"/>
      <c r="W711" s="105"/>
      <c r="X711" s="105"/>
      <c r="Y711" s="105"/>
      <c r="Z711" s="105"/>
    </row>
    <row r="712">
      <c r="A712" s="105"/>
      <c r="B712" s="105"/>
      <c r="C712" s="105"/>
      <c r="D712" s="105"/>
      <c r="E712" s="105"/>
      <c r="F712" s="105"/>
      <c r="G712" s="105"/>
      <c r="H712" s="105"/>
      <c r="I712" s="105"/>
      <c r="J712" s="105"/>
      <c r="K712" s="105"/>
      <c r="L712" s="105"/>
      <c r="M712" s="105"/>
      <c r="N712" s="105"/>
      <c r="O712" s="105"/>
      <c r="P712" s="105" t="str">
        <f>IFERROR(__xludf.DUMMYFUNCTION("""COMPUTED_VALUE"""),"ready::approval::for::submitting13::(core::reviewer)")</f>
        <v>ready::approval::for::submitting13::(core::reviewer)</v>
      </c>
      <c r="Q712" s="105"/>
      <c r="R712" s="105"/>
      <c r="S712" s="105"/>
      <c r="T712" s="105"/>
      <c r="U712" s="105"/>
      <c r="V712" s="105"/>
      <c r="W712" s="105"/>
      <c r="X712" s="105"/>
      <c r="Y712" s="105"/>
      <c r="Z712" s="105"/>
    </row>
    <row r="713">
      <c r="A713" s="105"/>
      <c r="B713" s="105"/>
      <c r="C713" s="105"/>
      <c r="D713" s="105"/>
      <c r="E713" s="105"/>
      <c r="F713" s="105"/>
      <c r="G713" s="105"/>
      <c r="H713" s="105"/>
      <c r="I713" s="105"/>
      <c r="J713" s="105"/>
      <c r="K713" s="105"/>
      <c r="L713" s="105"/>
      <c r="M713" s="105"/>
      <c r="N713" s="105"/>
      <c r="O713" s="105"/>
      <c r="P713" s="105" t="str">
        <f>IFERROR(__xludf.DUMMYFUNCTION("""COMPUTED_VALUE"""),"ready::approval::for::submitting14")</f>
        <v>ready::approval::for::submitting14</v>
      </c>
      <c r="Q713" s="105"/>
      <c r="R713" s="105"/>
      <c r="S713" s="105"/>
      <c r="T713" s="105"/>
      <c r="U713" s="105"/>
      <c r="V713" s="105"/>
      <c r="W713" s="105"/>
      <c r="X713" s="105"/>
      <c r="Y713" s="105"/>
      <c r="Z713" s="105"/>
    </row>
    <row r="714">
      <c r="A714" s="105"/>
      <c r="B714" s="105"/>
      <c r="C714" s="105"/>
      <c r="D714" s="105"/>
      <c r="E714" s="105"/>
      <c r="F714" s="105"/>
      <c r="G714" s="105"/>
      <c r="H714" s="105"/>
      <c r="I714" s="105"/>
      <c r="J714" s="105"/>
      <c r="K714" s="105"/>
      <c r="L714" s="105"/>
      <c r="M714" s="105"/>
      <c r="N714" s="105"/>
      <c r="O714" s="105"/>
      <c r="P714" s="105" t="str">
        <f>IFERROR(__xludf.DUMMYFUNCTION("""COMPUTED_VALUE"""),"ready::approval::for::submitting15::(core::reviewer)")</f>
        <v>ready::approval::for::submitting15::(core::reviewer)</v>
      </c>
      <c r="Q714" s="105"/>
      <c r="R714" s="105"/>
      <c r="S714" s="105"/>
      <c r="T714" s="105"/>
      <c r="U714" s="105"/>
      <c r="V714" s="105"/>
      <c r="W714" s="105"/>
      <c r="X714" s="105"/>
      <c r="Y714" s="105"/>
      <c r="Z714" s="105"/>
    </row>
    <row r="715">
      <c r="A715" s="105"/>
      <c r="B715" s="105"/>
      <c r="C715" s="105"/>
      <c r="D715" s="105"/>
      <c r="E715" s="105"/>
      <c r="F715" s="105"/>
      <c r="G715" s="105"/>
      <c r="H715" s="105"/>
      <c r="I715" s="105"/>
      <c r="J715" s="105"/>
      <c r="K715" s="105"/>
      <c r="L715" s="105"/>
      <c r="M715" s="105"/>
      <c r="N715" s="105"/>
      <c r="O715" s="105"/>
      <c r="P715" s="105" t="str">
        <f>IFERROR(__xludf.DUMMYFUNCTION("""COMPUTED_VALUE"""),"ready::approval::for::submitting16")</f>
        <v>ready::approval::for::submitting16</v>
      </c>
      <c r="Q715" s="105"/>
      <c r="R715" s="105"/>
      <c r="S715" s="105"/>
      <c r="T715" s="105"/>
      <c r="U715" s="105"/>
      <c r="V715" s="105"/>
      <c r="W715" s="105"/>
      <c r="X715" s="105"/>
      <c r="Y715" s="105"/>
      <c r="Z715" s="105"/>
    </row>
    <row r="716">
      <c r="A716" s="105"/>
      <c r="B716" s="105"/>
      <c r="C716" s="105"/>
      <c r="D716" s="105"/>
      <c r="E716" s="105"/>
      <c r="F716" s="105"/>
      <c r="G716" s="105"/>
      <c r="H716" s="105"/>
      <c r="I716" s="105"/>
      <c r="J716" s="105"/>
      <c r="K716" s="105"/>
      <c r="L716" s="105"/>
      <c r="M716" s="105"/>
      <c r="N716" s="105"/>
      <c r="O716" s="105"/>
      <c r="P716" s="105" t="str">
        <f>IFERROR(__xludf.DUMMYFUNCTION("""COMPUTED_VALUE"""),"ready::approval::for::submitting16::(core::reviewer)")</f>
        <v>ready::approval::for::submitting16::(core::reviewer)</v>
      </c>
      <c r="Q716" s="105"/>
      <c r="R716" s="105"/>
      <c r="S716" s="105"/>
      <c r="T716" s="105"/>
      <c r="U716" s="105"/>
      <c r="V716" s="105"/>
      <c r="W716" s="105"/>
      <c r="X716" s="105"/>
      <c r="Y716" s="105"/>
      <c r="Z716" s="105"/>
    </row>
    <row r="717">
      <c r="A717" s="105"/>
      <c r="B717" s="105"/>
      <c r="C717" s="105"/>
      <c r="D717" s="105"/>
      <c r="E717" s="105"/>
      <c r="F717" s="105"/>
      <c r="G717" s="105"/>
      <c r="H717" s="105"/>
      <c r="I717" s="105"/>
      <c r="J717" s="105"/>
      <c r="K717" s="105"/>
      <c r="L717" s="105"/>
      <c r="M717" s="105"/>
      <c r="N717" s="105"/>
      <c r="O717" s="105"/>
      <c r="P717" s="105" t="str">
        <f>IFERROR(__xludf.DUMMYFUNCTION("""COMPUTED_VALUE"""),"ready::approval::for::submitting17")</f>
        <v>ready::approval::for::submitting17</v>
      </c>
      <c r="Q717" s="105"/>
      <c r="R717" s="105"/>
      <c r="S717" s="105"/>
      <c r="T717" s="105"/>
      <c r="U717" s="105"/>
      <c r="V717" s="105"/>
      <c r="W717" s="105"/>
      <c r="X717" s="105"/>
      <c r="Y717" s="105"/>
      <c r="Z717" s="105"/>
    </row>
    <row r="718">
      <c r="A718" s="105"/>
      <c r="B718" s="105"/>
      <c r="C718" s="105"/>
      <c r="D718" s="105"/>
      <c r="E718" s="105"/>
      <c r="F718" s="105"/>
      <c r="G718" s="105"/>
      <c r="H718" s="105"/>
      <c r="I718" s="105"/>
      <c r="J718" s="105"/>
      <c r="K718" s="105"/>
      <c r="L718" s="105"/>
      <c r="M718" s="105"/>
      <c r="N718" s="105"/>
      <c r="O718" s="105"/>
      <c r="P718" s="105" t="str">
        <f>IFERROR(__xludf.DUMMYFUNCTION("""COMPUTED_VALUE"""),"ready::approval::for::submitting17::(core::reviewer)")</f>
        <v>ready::approval::for::submitting17::(core::reviewer)</v>
      </c>
      <c r="Q718" s="105"/>
      <c r="R718" s="105"/>
      <c r="S718" s="105"/>
      <c r="T718" s="105"/>
      <c r="U718" s="105"/>
      <c r="V718" s="105"/>
      <c r="W718" s="105"/>
      <c r="X718" s="105"/>
      <c r="Y718" s="105"/>
      <c r="Z718" s="105"/>
    </row>
    <row r="719">
      <c r="A719" s="105"/>
      <c r="B719" s="105"/>
      <c r="C719" s="105"/>
      <c r="D719" s="105"/>
      <c r="E719" s="105"/>
      <c r="F719" s="105"/>
      <c r="G719" s="105"/>
      <c r="H719" s="105"/>
      <c r="I719" s="105"/>
      <c r="J719" s="105"/>
      <c r="K719" s="105"/>
      <c r="L719" s="105"/>
      <c r="M719" s="105"/>
      <c r="N719" s="105"/>
      <c r="O719" s="105"/>
      <c r="P719" s="105" t="str">
        <f>IFERROR(__xludf.DUMMYFUNCTION("""COMPUTED_VALUE"""),"ready::approval::for::submitting18")</f>
        <v>ready::approval::for::submitting18</v>
      </c>
      <c r="Q719" s="105"/>
      <c r="R719" s="105"/>
      <c r="S719" s="105"/>
      <c r="T719" s="105"/>
      <c r="U719" s="105"/>
      <c r="V719" s="105"/>
      <c r="W719" s="105"/>
      <c r="X719" s="105"/>
      <c r="Y719" s="105"/>
      <c r="Z719" s="105"/>
    </row>
    <row r="720">
      <c r="A720" s="105"/>
      <c r="B720" s="105"/>
      <c r="C720" s="105"/>
      <c r="D720" s="105"/>
      <c r="E720" s="105"/>
      <c r="F720" s="105"/>
      <c r="G720" s="105"/>
      <c r="H720" s="105"/>
      <c r="I720" s="105"/>
      <c r="J720" s="105"/>
      <c r="K720" s="105"/>
      <c r="L720" s="105"/>
      <c r="M720" s="105"/>
      <c r="N720" s="105"/>
      <c r="O720" s="105"/>
      <c r="P720" s="105" t="str">
        <f>IFERROR(__xludf.DUMMYFUNCTION("""COMPUTED_VALUE"""),"ready::approval::for::submitting18::(core::reviewer)")</f>
        <v>ready::approval::for::submitting18::(core::reviewer)</v>
      </c>
      <c r="Q720" s="105"/>
      <c r="R720" s="105"/>
      <c r="S720" s="105"/>
      <c r="T720" s="105"/>
      <c r="U720" s="105"/>
      <c r="V720" s="105"/>
      <c r="W720" s="105"/>
      <c r="X720" s="105"/>
      <c r="Y720" s="105"/>
      <c r="Z720" s="105"/>
    </row>
    <row r="721">
      <c r="A721" s="105"/>
      <c r="B721" s="105"/>
      <c r="C721" s="105"/>
      <c r="D721" s="105"/>
      <c r="E721" s="105"/>
      <c r="F721" s="105"/>
      <c r="G721" s="105"/>
      <c r="H721" s="105"/>
      <c r="I721" s="105"/>
      <c r="J721" s="105"/>
      <c r="K721" s="105"/>
      <c r="L721" s="105"/>
      <c r="M721" s="105"/>
      <c r="N721" s="105"/>
      <c r="O721" s="105"/>
      <c r="P721" s="105" t="str">
        <f>IFERROR(__xludf.DUMMYFUNCTION("""COMPUTED_VALUE"""),"ready::approval::for::submitting19")</f>
        <v>ready::approval::for::submitting19</v>
      </c>
      <c r="Q721" s="105"/>
      <c r="R721" s="105"/>
      <c r="S721" s="105"/>
      <c r="T721" s="105"/>
      <c r="U721" s="105"/>
      <c r="V721" s="105"/>
      <c r="W721" s="105"/>
      <c r="X721" s="105"/>
      <c r="Y721" s="105"/>
      <c r="Z721" s="105"/>
    </row>
    <row r="722">
      <c r="A722" s="105"/>
      <c r="B722" s="105"/>
      <c r="C722" s="105"/>
      <c r="D722" s="105"/>
      <c r="E722" s="105"/>
      <c r="F722" s="105"/>
      <c r="G722" s="105"/>
      <c r="H722" s="105"/>
      <c r="I722" s="105"/>
      <c r="J722" s="105"/>
      <c r="K722" s="105"/>
      <c r="L722" s="105"/>
      <c r="M722" s="105"/>
      <c r="N722" s="105"/>
      <c r="O722" s="105"/>
      <c r="P722" s="105" t="str">
        <f>IFERROR(__xludf.DUMMYFUNCTION("""COMPUTED_VALUE"""),"ready::approval::for::submitting19::(core::reviewer)")</f>
        <v>ready::approval::for::submitting19::(core::reviewer)</v>
      </c>
      <c r="Q722" s="105"/>
      <c r="R722" s="105"/>
      <c r="S722" s="105"/>
      <c r="T722" s="105"/>
      <c r="U722" s="105"/>
      <c r="V722" s="105"/>
      <c r="W722" s="105"/>
      <c r="X722" s="105"/>
      <c r="Y722" s="105"/>
      <c r="Z722" s="105"/>
    </row>
    <row r="723">
      <c r="A723" s="105"/>
      <c r="B723" s="105"/>
      <c r="C723" s="105"/>
      <c r="D723" s="105"/>
      <c r="E723" s="105"/>
      <c r="F723" s="105"/>
      <c r="G723" s="105"/>
      <c r="H723" s="105"/>
      <c r="I723" s="105"/>
      <c r="J723" s="105"/>
      <c r="K723" s="105"/>
      <c r="L723" s="105"/>
      <c r="M723" s="105"/>
      <c r="N723" s="105"/>
      <c r="O723" s="105"/>
      <c r="P723" s="105" t="str">
        <f>IFERROR(__xludf.DUMMYFUNCTION("""COMPUTED_VALUE"""),"ready::approval::for::submitting2")</f>
        <v>ready::approval::for::submitting2</v>
      </c>
      <c r="Q723" s="105"/>
      <c r="R723" s="105"/>
      <c r="S723" s="105"/>
      <c r="T723" s="105"/>
      <c r="U723" s="105"/>
      <c r="V723" s="105"/>
      <c r="W723" s="105"/>
      <c r="X723" s="105"/>
      <c r="Y723" s="105"/>
      <c r="Z723" s="105"/>
    </row>
    <row r="724">
      <c r="A724" s="105"/>
      <c r="B724" s="105"/>
      <c r="C724" s="105"/>
      <c r="D724" s="105"/>
      <c r="E724" s="105"/>
      <c r="F724" s="105"/>
      <c r="G724" s="105"/>
      <c r="H724" s="105"/>
      <c r="I724" s="105"/>
      <c r="J724" s="105"/>
      <c r="K724" s="105"/>
      <c r="L724" s="105"/>
      <c r="M724" s="105"/>
      <c r="N724" s="105"/>
      <c r="O724" s="105"/>
      <c r="P724" s="105" t="str">
        <f>IFERROR(__xludf.DUMMYFUNCTION("""COMPUTED_VALUE"""),"ready::approval::for::submitting2::(core::reviewer)")</f>
        <v>ready::approval::for::submitting2::(core::reviewer)</v>
      </c>
      <c r="Q724" s="105"/>
      <c r="R724" s="105"/>
      <c r="S724" s="105"/>
      <c r="T724" s="105"/>
      <c r="U724" s="105"/>
      <c r="V724" s="105"/>
      <c r="W724" s="105"/>
      <c r="X724" s="105"/>
      <c r="Y724" s="105"/>
      <c r="Z724" s="105"/>
    </row>
    <row r="725">
      <c r="A725" s="105"/>
      <c r="B725" s="105"/>
      <c r="C725" s="105"/>
      <c r="D725" s="105"/>
      <c r="E725" s="105"/>
      <c r="F725" s="105"/>
      <c r="G725" s="105"/>
      <c r="H725" s="105"/>
      <c r="I725" s="105"/>
      <c r="J725" s="105"/>
      <c r="K725" s="105"/>
      <c r="L725" s="105"/>
      <c r="M725" s="105"/>
      <c r="N725" s="105"/>
      <c r="O725" s="105"/>
      <c r="P725" s="105" t="str">
        <f>IFERROR(__xludf.DUMMYFUNCTION("""COMPUTED_VALUE"""),"ready::approval::for::submitting20")</f>
        <v>ready::approval::for::submitting20</v>
      </c>
      <c r="Q725" s="105"/>
      <c r="R725" s="105"/>
      <c r="S725" s="105"/>
      <c r="T725" s="105"/>
      <c r="U725" s="105"/>
      <c r="V725" s="105"/>
      <c r="W725" s="105"/>
      <c r="X725" s="105"/>
      <c r="Y725" s="105"/>
      <c r="Z725" s="105"/>
    </row>
    <row r="726">
      <c r="A726" s="105"/>
      <c r="B726" s="105"/>
      <c r="C726" s="105"/>
      <c r="D726" s="105"/>
      <c r="E726" s="105"/>
      <c r="F726" s="105"/>
      <c r="G726" s="105"/>
      <c r="H726" s="105"/>
      <c r="I726" s="105"/>
      <c r="J726" s="105"/>
      <c r="K726" s="105"/>
      <c r="L726" s="105"/>
      <c r="M726" s="105"/>
      <c r="N726" s="105"/>
      <c r="O726" s="105"/>
      <c r="P726" s="105" t="str">
        <f>IFERROR(__xludf.DUMMYFUNCTION("""COMPUTED_VALUE"""),"ready::approval::for::submitting20::(core::reviewer)")</f>
        <v>ready::approval::for::submitting20::(core::reviewer)</v>
      </c>
      <c r="Q726" s="105"/>
      <c r="R726" s="105"/>
      <c r="S726" s="105"/>
      <c r="T726" s="105"/>
      <c r="U726" s="105"/>
      <c r="V726" s="105"/>
      <c r="W726" s="105"/>
      <c r="X726" s="105"/>
      <c r="Y726" s="105"/>
      <c r="Z726" s="105"/>
    </row>
    <row r="727">
      <c r="A727" s="105"/>
      <c r="B727" s="105"/>
      <c r="C727" s="105"/>
      <c r="D727" s="105"/>
      <c r="E727" s="105"/>
      <c r="F727" s="105"/>
      <c r="G727" s="105"/>
      <c r="H727" s="105"/>
      <c r="I727" s="105"/>
      <c r="J727" s="105"/>
      <c r="K727" s="105"/>
      <c r="L727" s="105"/>
      <c r="M727" s="105"/>
      <c r="N727" s="105"/>
      <c r="O727" s="105"/>
      <c r="P727" s="105" t="str">
        <f>IFERROR(__xludf.DUMMYFUNCTION("""COMPUTED_VALUE"""),"ready::approval::for::submitting21")</f>
        <v>ready::approval::for::submitting21</v>
      </c>
      <c r="Q727" s="105"/>
      <c r="R727" s="105"/>
      <c r="S727" s="105"/>
      <c r="T727" s="105"/>
      <c r="U727" s="105"/>
      <c r="V727" s="105"/>
      <c r="W727" s="105"/>
      <c r="X727" s="105"/>
      <c r="Y727" s="105"/>
      <c r="Z727" s="105"/>
    </row>
    <row r="728">
      <c r="A728" s="105"/>
      <c r="B728" s="105"/>
      <c r="C728" s="105"/>
      <c r="D728" s="105"/>
      <c r="E728" s="105"/>
      <c r="F728" s="105"/>
      <c r="G728" s="105"/>
      <c r="H728" s="105"/>
      <c r="I728" s="105"/>
      <c r="J728" s="105"/>
      <c r="K728" s="105"/>
      <c r="L728" s="105"/>
      <c r="M728" s="105"/>
      <c r="N728" s="105"/>
      <c r="O728" s="105"/>
      <c r="P728" s="105" t="str">
        <f>IFERROR(__xludf.DUMMYFUNCTION("""COMPUTED_VALUE"""),"ready::approval::for::submitting22")</f>
        <v>ready::approval::for::submitting22</v>
      </c>
      <c r="Q728" s="105"/>
      <c r="R728" s="105"/>
      <c r="S728" s="105"/>
      <c r="T728" s="105"/>
      <c r="U728" s="105"/>
      <c r="V728" s="105"/>
      <c r="W728" s="105"/>
      <c r="X728" s="105"/>
      <c r="Y728" s="105"/>
      <c r="Z728" s="105"/>
    </row>
    <row r="729">
      <c r="A729" s="105"/>
      <c r="B729" s="105"/>
      <c r="C729" s="105"/>
      <c r="D729" s="105"/>
      <c r="E729" s="105"/>
      <c r="F729" s="105"/>
      <c r="G729" s="105"/>
      <c r="H729" s="105"/>
      <c r="I729" s="105"/>
      <c r="J729" s="105"/>
      <c r="K729" s="105"/>
      <c r="L729" s="105"/>
      <c r="M729" s="105"/>
      <c r="N729" s="105"/>
      <c r="O729" s="105"/>
      <c r="P729" s="105" t="str">
        <f>IFERROR(__xludf.DUMMYFUNCTION("""COMPUTED_VALUE"""),"ready::approval::for::submitting22::(core::reviewer)")</f>
        <v>ready::approval::for::submitting22::(core::reviewer)</v>
      </c>
      <c r="Q729" s="105"/>
      <c r="R729" s="105"/>
      <c r="S729" s="105"/>
      <c r="T729" s="105"/>
      <c r="U729" s="105"/>
      <c r="V729" s="105"/>
      <c r="W729" s="105"/>
      <c r="X729" s="105"/>
      <c r="Y729" s="105"/>
      <c r="Z729" s="105"/>
    </row>
    <row r="730">
      <c r="A730" s="105"/>
      <c r="B730" s="105"/>
      <c r="C730" s="105"/>
      <c r="D730" s="105"/>
      <c r="E730" s="105"/>
      <c r="F730" s="105"/>
      <c r="G730" s="105"/>
      <c r="H730" s="105"/>
      <c r="I730" s="105"/>
      <c r="J730" s="105"/>
      <c r="K730" s="105"/>
      <c r="L730" s="105"/>
      <c r="M730" s="105"/>
      <c r="N730" s="105"/>
      <c r="O730" s="105"/>
      <c r="P730" s="105" t="str">
        <f>IFERROR(__xludf.DUMMYFUNCTION("""COMPUTED_VALUE"""),"ready::approval::for::submitting23")</f>
        <v>ready::approval::for::submitting23</v>
      </c>
      <c r="Q730" s="105"/>
      <c r="R730" s="105"/>
      <c r="S730" s="105"/>
      <c r="T730" s="105"/>
      <c r="U730" s="105"/>
      <c r="V730" s="105"/>
      <c r="W730" s="105"/>
      <c r="X730" s="105"/>
      <c r="Y730" s="105"/>
      <c r="Z730" s="105"/>
    </row>
    <row r="731">
      <c r="A731" s="105"/>
      <c r="B731" s="105"/>
      <c r="C731" s="105"/>
      <c r="D731" s="105"/>
      <c r="E731" s="105"/>
      <c r="F731" s="105"/>
      <c r="G731" s="105"/>
      <c r="H731" s="105"/>
      <c r="I731" s="105"/>
      <c r="J731" s="105"/>
      <c r="K731" s="105"/>
      <c r="L731" s="105"/>
      <c r="M731" s="105"/>
      <c r="N731" s="105"/>
      <c r="O731" s="105"/>
      <c r="P731" s="105" t="str">
        <f>IFERROR(__xludf.DUMMYFUNCTION("""COMPUTED_VALUE"""),"ready::approval::for::submitting23::(core::reviewer)")</f>
        <v>ready::approval::for::submitting23::(core::reviewer)</v>
      </c>
      <c r="Q731" s="105"/>
      <c r="R731" s="105"/>
      <c r="S731" s="105"/>
      <c r="T731" s="105"/>
      <c r="U731" s="105"/>
      <c r="V731" s="105"/>
      <c r="W731" s="105"/>
      <c r="X731" s="105"/>
      <c r="Y731" s="105"/>
      <c r="Z731" s="105"/>
    </row>
    <row r="732">
      <c r="A732" s="105"/>
      <c r="B732" s="105"/>
      <c r="C732" s="105"/>
      <c r="D732" s="105"/>
      <c r="E732" s="105"/>
      <c r="F732" s="105"/>
      <c r="G732" s="105"/>
      <c r="H732" s="105"/>
      <c r="I732" s="105"/>
      <c r="J732" s="105"/>
      <c r="K732" s="105"/>
      <c r="L732" s="105"/>
      <c r="M732" s="105"/>
      <c r="N732" s="105"/>
      <c r="O732" s="105"/>
      <c r="P732" s="105" t="str">
        <f>IFERROR(__xludf.DUMMYFUNCTION("""COMPUTED_VALUE"""),"ready::approval::for::submitting24")</f>
        <v>ready::approval::for::submitting24</v>
      </c>
      <c r="Q732" s="105"/>
      <c r="R732" s="105"/>
      <c r="S732" s="105"/>
      <c r="T732" s="105"/>
      <c r="U732" s="105"/>
      <c r="V732" s="105"/>
      <c r="W732" s="105"/>
      <c r="X732" s="105"/>
      <c r="Y732" s="105"/>
      <c r="Z732" s="105"/>
    </row>
    <row r="733">
      <c r="A733" s="105"/>
      <c r="B733" s="105"/>
      <c r="C733" s="105"/>
      <c r="D733" s="105"/>
      <c r="E733" s="105"/>
      <c r="F733" s="105"/>
      <c r="G733" s="105"/>
      <c r="H733" s="105"/>
      <c r="I733" s="105"/>
      <c r="J733" s="105"/>
      <c r="K733" s="105"/>
      <c r="L733" s="105"/>
      <c r="M733" s="105"/>
      <c r="N733" s="105"/>
      <c r="O733" s="105"/>
      <c r="P733" s="105" t="str">
        <f>IFERROR(__xludf.DUMMYFUNCTION("""COMPUTED_VALUE"""),"ready::approval::for::submitting24::(core::reviewer)")</f>
        <v>ready::approval::for::submitting24::(core::reviewer)</v>
      </c>
      <c r="Q733" s="105"/>
      <c r="R733" s="105"/>
      <c r="S733" s="105"/>
      <c r="T733" s="105"/>
      <c r="U733" s="105"/>
      <c r="V733" s="105"/>
      <c r="W733" s="105"/>
      <c r="X733" s="105"/>
      <c r="Y733" s="105"/>
      <c r="Z733" s="105"/>
    </row>
    <row r="734">
      <c r="A734" s="105"/>
      <c r="B734" s="105"/>
      <c r="C734" s="105"/>
      <c r="D734" s="105"/>
      <c r="E734" s="105"/>
      <c r="F734" s="105"/>
      <c r="G734" s="105"/>
      <c r="H734" s="105"/>
      <c r="I734" s="105"/>
      <c r="J734" s="105"/>
      <c r="K734" s="105"/>
      <c r="L734" s="105"/>
      <c r="M734" s="105"/>
      <c r="N734" s="105"/>
      <c r="O734" s="105"/>
      <c r="P734" s="105" t="str">
        <f>IFERROR(__xludf.DUMMYFUNCTION("""COMPUTED_VALUE"""),"ready::approval::for::submitting25")</f>
        <v>ready::approval::for::submitting25</v>
      </c>
      <c r="Q734" s="105"/>
      <c r="R734" s="105"/>
      <c r="S734" s="105"/>
      <c r="T734" s="105"/>
      <c r="U734" s="105"/>
      <c r="V734" s="105"/>
      <c r="W734" s="105"/>
      <c r="X734" s="105"/>
      <c r="Y734" s="105"/>
      <c r="Z734" s="105"/>
    </row>
    <row r="735">
      <c r="A735" s="105"/>
      <c r="B735" s="105"/>
      <c r="C735" s="105"/>
      <c r="D735" s="105"/>
      <c r="E735" s="105"/>
      <c r="F735" s="105"/>
      <c r="G735" s="105"/>
      <c r="H735" s="105"/>
      <c r="I735" s="105"/>
      <c r="J735" s="105"/>
      <c r="K735" s="105"/>
      <c r="L735" s="105"/>
      <c r="M735" s="105"/>
      <c r="N735" s="105"/>
      <c r="O735" s="105"/>
      <c r="P735" s="105" t="str">
        <f>IFERROR(__xludf.DUMMYFUNCTION("""COMPUTED_VALUE"""),"ready::approval::for::submitting26")</f>
        <v>ready::approval::for::submitting26</v>
      </c>
      <c r="Q735" s="105"/>
      <c r="R735" s="105"/>
      <c r="S735" s="105"/>
      <c r="T735" s="105"/>
      <c r="U735" s="105"/>
      <c r="V735" s="105"/>
      <c r="W735" s="105"/>
      <c r="X735" s="105"/>
      <c r="Y735" s="105"/>
      <c r="Z735" s="105"/>
    </row>
    <row r="736">
      <c r="A736" s="105"/>
      <c r="B736" s="105"/>
      <c r="C736" s="105"/>
      <c r="D736" s="105"/>
      <c r="E736" s="105"/>
      <c r="F736" s="105"/>
      <c r="G736" s="105"/>
      <c r="H736" s="105"/>
      <c r="I736" s="105"/>
      <c r="J736" s="105"/>
      <c r="K736" s="105"/>
      <c r="L736" s="105"/>
      <c r="M736" s="105"/>
      <c r="N736" s="105"/>
      <c r="O736" s="105"/>
      <c r="P736" s="105" t="str">
        <f>IFERROR(__xludf.DUMMYFUNCTION("""COMPUTED_VALUE"""),"ready::approval::for::submitting26::(core::reviewer)")</f>
        <v>ready::approval::for::submitting26::(core::reviewer)</v>
      </c>
      <c r="Q736" s="105"/>
      <c r="R736" s="105"/>
      <c r="S736" s="105"/>
      <c r="T736" s="105"/>
      <c r="U736" s="105"/>
      <c r="V736" s="105"/>
      <c r="W736" s="105"/>
      <c r="X736" s="105"/>
      <c r="Y736" s="105"/>
      <c r="Z736" s="105"/>
    </row>
    <row r="737">
      <c r="A737" s="105"/>
      <c r="B737" s="105"/>
      <c r="C737" s="105"/>
      <c r="D737" s="105"/>
      <c r="E737" s="105"/>
      <c r="F737" s="105"/>
      <c r="G737" s="105"/>
      <c r="H737" s="105"/>
      <c r="I737" s="105"/>
      <c r="J737" s="105"/>
      <c r="K737" s="105"/>
      <c r="L737" s="105"/>
      <c r="M737" s="105"/>
      <c r="N737" s="105"/>
      <c r="O737" s="105"/>
      <c r="P737" s="105" t="str">
        <f>IFERROR(__xludf.DUMMYFUNCTION("""COMPUTED_VALUE"""),"ready::approval::for::submitting27")</f>
        <v>ready::approval::for::submitting27</v>
      </c>
      <c r="Q737" s="105"/>
      <c r="R737" s="105"/>
      <c r="S737" s="105"/>
      <c r="T737" s="105"/>
      <c r="U737" s="105"/>
      <c r="V737" s="105"/>
      <c r="W737" s="105"/>
      <c r="X737" s="105"/>
      <c r="Y737" s="105"/>
      <c r="Z737" s="105"/>
    </row>
    <row r="738">
      <c r="A738" s="105"/>
      <c r="B738" s="105"/>
      <c r="C738" s="105"/>
      <c r="D738" s="105"/>
      <c r="E738" s="105"/>
      <c r="F738" s="105"/>
      <c r="G738" s="105"/>
      <c r="H738" s="105"/>
      <c r="I738" s="105"/>
      <c r="J738" s="105"/>
      <c r="K738" s="105"/>
      <c r="L738" s="105"/>
      <c r="M738" s="105"/>
      <c r="N738" s="105"/>
      <c r="O738" s="105"/>
      <c r="P738" s="105" t="str">
        <f>IFERROR(__xludf.DUMMYFUNCTION("""COMPUTED_VALUE"""),"ready::approval::for::submitting27::(core::reviewer)")</f>
        <v>ready::approval::for::submitting27::(core::reviewer)</v>
      </c>
      <c r="Q738" s="105"/>
      <c r="R738" s="105"/>
      <c r="S738" s="105"/>
      <c r="T738" s="105"/>
      <c r="U738" s="105"/>
      <c r="V738" s="105"/>
      <c r="W738" s="105"/>
      <c r="X738" s="105"/>
      <c r="Y738" s="105"/>
      <c r="Z738" s="105"/>
    </row>
    <row r="739">
      <c r="A739" s="105"/>
      <c r="B739" s="105"/>
      <c r="C739" s="105"/>
      <c r="D739" s="105"/>
      <c r="E739" s="105"/>
      <c r="F739" s="105"/>
      <c r="G739" s="105"/>
      <c r="H739" s="105"/>
      <c r="I739" s="105"/>
      <c r="J739" s="105"/>
      <c r="K739" s="105"/>
      <c r="L739" s="105"/>
      <c r="M739" s="105"/>
      <c r="N739" s="105"/>
      <c r="O739" s="105"/>
      <c r="P739" s="105" t="str">
        <f>IFERROR(__xludf.DUMMYFUNCTION("""COMPUTED_VALUE"""),"ready::approval::for::submitting28")</f>
        <v>ready::approval::for::submitting28</v>
      </c>
      <c r="Q739" s="105"/>
      <c r="R739" s="105"/>
      <c r="S739" s="105"/>
      <c r="T739" s="105"/>
      <c r="U739" s="105"/>
      <c r="V739" s="105"/>
      <c r="W739" s="105"/>
      <c r="X739" s="105"/>
      <c r="Y739" s="105"/>
      <c r="Z739" s="105"/>
    </row>
    <row r="740">
      <c r="A740" s="105"/>
      <c r="B740" s="105"/>
      <c r="C740" s="105"/>
      <c r="D740" s="105"/>
      <c r="E740" s="105"/>
      <c r="F740" s="105"/>
      <c r="G740" s="105"/>
      <c r="H740" s="105"/>
      <c r="I740" s="105"/>
      <c r="J740" s="105"/>
      <c r="K740" s="105"/>
      <c r="L740" s="105"/>
      <c r="M740" s="105"/>
      <c r="N740" s="105"/>
      <c r="O740" s="105"/>
      <c r="P740" s="105" t="str">
        <f>IFERROR(__xludf.DUMMYFUNCTION("""COMPUTED_VALUE"""),"ready::approval::for::submitting28::(core::reviewer)")</f>
        <v>ready::approval::for::submitting28::(core::reviewer)</v>
      </c>
      <c r="Q740" s="105"/>
      <c r="R740" s="105"/>
      <c r="S740" s="105"/>
      <c r="T740" s="105"/>
      <c r="U740" s="105"/>
      <c r="V740" s="105"/>
      <c r="W740" s="105"/>
      <c r="X740" s="105"/>
      <c r="Y740" s="105"/>
      <c r="Z740" s="105"/>
    </row>
    <row r="741">
      <c r="A741" s="105"/>
      <c r="B741" s="105"/>
      <c r="C741" s="105"/>
      <c r="D741" s="105"/>
      <c r="E741" s="105"/>
      <c r="F741" s="105"/>
      <c r="G741" s="105"/>
      <c r="H741" s="105"/>
      <c r="I741" s="105"/>
      <c r="J741" s="105"/>
      <c r="K741" s="105"/>
      <c r="L741" s="105"/>
      <c r="M741" s="105"/>
      <c r="N741" s="105"/>
      <c r="O741" s="105"/>
      <c r="P741" s="105" t="str">
        <f>IFERROR(__xludf.DUMMYFUNCTION("""COMPUTED_VALUE"""),"ready::approval::for::submitting29")</f>
        <v>ready::approval::for::submitting29</v>
      </c>
      <c r="Q741" s="105"/>
      <c r="R741" s="105"/>
      <c r="S741" s="105"/>
      <c r="T741" s="105"/>
      <c r="U741" s="105"/>
      <c r="V741" s="105"/>
      <c r="W741" s="105"/>
      <c r="X741" s="105"/>
      <c r="Y741" s="105"/>
      <c r="Z741" s="105"/>
    </row>
    <row r="742">
      <c r="A742" s="105"/>
      <c r="B742" s="105"/>
      <c r="C742" s="105"/>
      <c r="D742" s="105"/>
      <c r="E742" s="105"/>
      <c r="F742" s="105"/>
      <c r="G742" s="105"/>
      <c r="H742" s="105"/>
      <c r="I742" s="105"/>
      <c r="J742" s="105"/>
      <c r="K742" s="105"/>
      <c r="L742" s="105"/>
      <c r="M742" s="105"/>
      <c r="N742" s="105"/>
      <c r="O742" s="105"/>
      <c r="P742" s="105" t="str">
        <f>IFERROR(__xludf.DUMMYFUNCTION("""COMPUTED_VALUE"""),"ready::approval::for::submitting3")</f>
        <v>ready::approval::for::submitting3</v>
      </c>
      <c r="Q742" s="105"/>
      <c r="R742" s="105"/>
      <c r="S742" s="105"/>
      <c r="T742" s="105"/>
      <c r="U742" s="105"/>
      <c r="V742" s="105"/>
      <c r="W742" s="105"/>
      <c r="X742" s="105"/>
      <c r="Y742" s="105"/>
      <c r="Z742" s="105"/>
    </row>
    <row r="743">
      <c r="A743" s="105"/>
      <c r="B743" s="105"/>
      <c r="C743" s="105"/>
      <c r="D743" s="105"/>
      <c r="E743" s="105"/>
      <c r="F743" s="105"/>
      <c r="G743" s="105"/>
      <c r="H743" s="105"/>
      <c r="I743" s="105"/>
      <c r="J743" s="105"/>
      <c r="K743" s="105"/>
      <c r="L743" s="105"/>
      <c r="M743" s="105"/>
      <c r="N743" s="105"/>
      <c r="O743" s="105"/>
      <c r="P743" s="105" t="str">
        <f>IFERROR(__xludf.DUMMYFUNCTION("""COMPUTED_VALUE"""),"ready::approval::for::submitting3::(core::reviewer)")</f>
        <v>ready::approval::for::submitting3::(core::reviewer)</v>
      </c>
      <c r="Q743" s="105"/>
      <c r="R743" s="105"/>
      <c r="S743" s="105"/>
      <c r="T743" s="105"/>
      <c r="U743" s="105"/>
      <c r="V743" s="105"/>
      <c r="W743" s="105"/>
      <c r="X743" s="105"/>
      <c r="Y743" s="105"/>
      <c r="Z743" s="105"/>
    </row>
    <row r="744">
      <c r="A744" s="105"/>
      <c r="B744" s="105"/>
      <c r="C744" s="105"/>
      <c r="D744" s="105"/>
      <c r="E744" s="105"/>
      <c r="F744" s="105"/>
      <c r="G744" s="105"/>
      <c r="H744" s="105"/>
      <c r="I744" s="105"/>
      <c r="J744" s="105"/>
      <c r="K744" s="105"/>
      <c r="L744" s="105"/>
      <c r="M744" s="105"/>
      <c r="N744" s="105"/>
      <c r="O744" s="105"/>
      <c r="P744" s="105" t="str">
        <f>IFERROR(__xludf.DUMMYFUNCTION("""COMPUTED_VALUE"""),"ready::approval::for::submitting30::(core::reviewer)")</f>
        <v>ready::approval::for::submitting30::(core::reviewer)</v>
      </c>
      <c r="Q744" s="105"/>
      <c r="R744" s="105"/>
      <c r="S744" s="105"/>
      <c r="T744" s="105"/>
      <c r="U744" s="105"/>
      <c r="V744" s="105"/>
      <c r="W744" s="105"/>
      <c r="X744" s="105"/>
      <c r="Y744" s="105"/>
      <c r="Z744" s="105"/>
    </row>
    <row r="745">
      <c r="A745" s="105"/>
      <c r="B745" s="105"/>
      <c r="C745" s="105"/>
      <c r="D745" s="105"/>
      <c r="E745" s="105"/>
      <c r="F745" s="105"/>
      <c r="G745" s="105"/>
      <c r="H745" s="105"/>
      <c r="I745" s="105"/>
      <c r="J745" s="105"/>
      <c r="K745" s="105"/>
      <c r="L745" s="105"/>
      <c r="M745" s="105"/>
      <c r="N745" s="105"/>
      <c r="O745" s="105"/>
      <c r="P745" s="105" t="str">
        <f>IFERROR(__xludf.DUMMYFUNCTION("""COMPUTED_VALUE"""),"ready::approval::for::submitting31")</f>
        <v>ready::approval::for::submitting31</v>
      </c>
      <c r="Q745" s="105"/>
      <c r="R745" s="105"/>
      <c r="S745" s="105"/>
      <c r="T745" s="105"/>
      <c r="U745" s="105"/>
      <c r="V745" s="105"/>
      <c r="W745" s="105"/>
      <c r="X745" s="105"/>
      <c r="Y745" s="105"/>
      <c r="Z745" s="105"/>
    </row>
    <row r="746">
      <c r="A746" s="105"/>
      <c r="B746" s="105"/>
      <c r="C746" s="105"/>
      <c r="D746" s="105"/>
      <c r="E746" s="105"/>
      <c r="F746" s="105"/>
      <c r="G746" s="105"/>
      <c r="H746" s="105"/>
      <c r="I746" s="105"/>
      <c r="J746" s="105"/>
      <c r="K746" s="105"/>
      <c r="L746" s="105"/>
      <c r="M746" s="105"/>
      <c r="N746" s="105"/>
      <c r="O746" s="105"/>
      <c r="P746" s="105" t="str">
        <f>IFERROR(__xludf.DUMMYFUNCTION("""COMPUTED_VALUE"""),"ready::approval::for::submitting31::(core::reviewer)")</f>
        <v>ready::approval::for::submitting31::(core::reviewer)</v>
      </c>
      <c r="Q746" s="105"/>
      <c r="R746" s="105"/>
      <c r="S746" s="105"/>
      <c r="T746" s="105"/>
      <c r="U746" s="105"/>
      <c r="V746" s="105"/>
      <c r="W746" s="105"/>
      <c r="X746" s="105"/>
      <c r="Y746" s="105"/>
      <c r="Z746" s="105"/>
    </row>
    <row r="747">
      <c r="A747" s="105"/>
      <c r="B747" s="105"/>
      <c r="C747" s="105"/>
      <c r="D747" s="105"/>
      <c r="E747" s="105"/>
      <c r="F747" s="105"/>
      <c r="G747" s="105"/>
      <c r="H747" s="105"/>
      <c r="I747" s="105"/>
      <c r="J747" s="105"/>
      <c r="K747" s="105"/>
      <c r="L747" s="105"/>
      <c r="M747" s="105"/>
      <c r="N747" s="105"/>
      <c r="O747" s="105"/>
      <c r="P747" s="105" t="str">
        <f>IFERROR(__xludf.DUMMYFUNCTION("""COMPUTED_VALUE"""),"ready::approval::for::submitting32")</f>
        <v>ready::approval::for::submitting32</v>
      </c>
      <c r="Q747" s="105"/>
      <c r="R747" s="105"/>
      <c r="S747" s="105"/>
      <c r="T747" s="105"/>
      <c r="U747" s="105"/>
      <c r="V747" s="105"/>
      <c r="W747" s="105"/>
      <c r="X747" s="105"/>
      <c r="Y747" s="105"/>
      <c r="Z747" s="105"/>
    </row>
    <row r="748">
      <c r="A748" s="105"/>
      <c r="B748" s="105"/>
      <c r="C748" s="105"/>
      <c r="D748" s="105"/>
      <c r="E748" s="105"/>
      <c r="F748" s="105"/>
      <c r="G748" s="105"/>
      <c r="H748" s="105"/>
      <c r="I748" s="105"/>
      <c r="J748" s="105"/>
      <c r="K748" s="105"/>
      <c r="L748" s="105"/>
      <c r="M748" s="105"/>
      <c r="N748" s="105"/>
      <c r="O748" s="105"/>
      <c r="P748" s="105" t="str">
        <f>IFERROR(__xludf.DUMMYFUNCTION("""COMPUTED_VALUE"""),"ready::approval::for::submitting33")</f>
        <v>ready::approval::for::submitting33</v>
      </c>
      <c r="Q748" s="105"/>
      <c r="R748" s="105"/>
      <c r="S748" s="105"/>
      <c r="T748" s="105"/>
      <c r="U748" s="105"/>
      <c r="V748" s="105"/>
      <c r="W748" s="105"/>
      <c r="X748" s="105"/>
      <c r="Y748" s="105"/>
      <c r="Z748" s="105"/>
    </row>
    <row r="749">
      <c r="A749" s="105"/>
      <c r="B749" s="105"/>
      <c r="C749" s="105"/>
      <c r="D749" s="105"/>
      <c r="E749" s="105"/>
      <c r="F749" s="105"/>
      <c r="G749" s="105"/>
      <c r="H749" s="105"/>
      <c r="I749" s="105"/>
      <c r="J749" s="105"/>
      <c r="K749" s="105"/>
      <c r="L749" s="105"/>
      <c r="M749" s="105"/>
      <c r="N749" s="105"/>
      <c r="O749" s="105"/>
      <c r="P749" s="105" t="str">
        <f>IFERROR(__xludf.DUMMYFUNCTION("""COMPUTED_VALUE"""),"ready::approval::for::submitting34")</f>
        <v>ready::approval::for::submitting34</v>
      </c>
      <c r="Q749" s="105"/>
      <c r="R749" s="105"/>
      <c r="S749" s="105"/>
      <c r="T749" s="105"/>
      <c r="U749" s="105"/>
      <c r="V749" s="105"/>
      <c r="W749" s="105"/>
      <c r="X749" s="105"/>
      <c r="Y749" s="105"/>
      <c r="Z749" s="105"/>
    </row>
    <row r="750">
      <c r="A750" s="105"/>
      <c r="B750" s="105"/>
      <c r="C750" s="105"/>
      <c r="D750" s="105"/>
      <c r="E750" s="105"/>
      <c r="F750" s="105"/>
      <c r="G750" s="105"/>
      <c r="H750" s="105"/>
      <c r="I750" s="105"/>
      <c r="J750" s="105"/>
      <c r="K750" s="105"/>
      <c r="L750" s="105"/>
      <c r="M750" s="105"/>
      <c r="N750" s="105"/>
      <c r="O750" s="105"/>
      <c r="P750" s="105" t="str">
        <f>IFERROR(__xludf.DUMMYFUNCTION("""COMPUTED_VALUE"""),"ready::approval::for::submitting35")</f>
        <v>ready::approval::for::submitting35</v>
      </c>
      <c r="Q750" s="105"/>
      <c r="R750" s="105"/>
      <c r="S750" s="105"/>
      <c r="T750" s="105"/>
      <c r="U750" s="105"/>
      <c r="V750" s="105"/>
      <c r="W750" s="105"/>
      <c r="X750" s="105"/>
      <c r="Y750" s="105"/>
      <c r="Z750" s="105"/>
    </row>
    <row r="751">
      <c r="A751" s="105"/>
      <c r="B751" s="105"/>
      <c r="C751" s="105"/>
      <c r="D751" s="105"/>
      <c r="E751" s="105"/>
      <c r="F751" s="105"/>
      <c r="G751" s="105"/>
      <c r="H751" s="105"/>
      <c r="I751" s="105"/>
      <c r="J751" s="105"/>
      <c r="K751" s="105"/>
      <c r="L751" s="105"/>
      <c r="M751" s="105"/>
      <c r="N751" s="105"/>
      <c r="O751" s="105"/>
      <c r="P751" s="105" t="str">
        <f>IFERROR(__xludf.DUMMYFUNCTION("""COMPUTED_VALUE"""),"ready::approval::for::submitting36")</f>
        <v>ready::approval::for::submitting36</v>
      </c>
      <c r="Q751" s="105"/>
      <c r="R751" s="105"/>
      <c r="S751" s="105"/>
      <c r="T751" s="105"/>
      <c r="U751" s="105"/>
      <c r="V751" s="105"/>
      <c r="W751" s="105"/>
      <c r="X751" s="105"/>
      <c r="Y751" s="105"/>
      <c r="Z751" s="105"/>
    </row>
    <row r="752">
      <c r="A752" s="105"/>
      <c r="B752" s="105"/>
      <c r="C752" s="105"/>
      <c r="D752" s="105"/>
      <c r="E752" s="105"/>
      <c r="F752" s="105"/>
      <c r="G752" s="105"/>
      <c r="H752" s="105"/>
      <c r="I752" s="105"/>
      <c r="J752" s="105"/>
      <c r="K752" s="105"/>
      <c r="L752" s="105"/>
      <c r="M752" s="105"/>
      <c r="N752" s="105"/>
      <c r="O752" s="105"/>
      <c r="P752" s="105" t="str">
        <f>IFERROR(__xludf.DUMMYFUNCTION("""COMPUTED_VALUE"""),"ready::approval::for::submitting37")</f>
        <v>ready::approval::for::submitting37</v>
      </c>
      <c r="Q752" s="105"/>
      <c r="R752" s="105"/>
      <c r="S752" s="105"/>
      <c r="T752" s="105"/>
      <c r="U752" s="105"/>
      <c r="V752" s="105"/>
      <c r="W752" s="105"/>
      <c r="X752" s="105"/>
      <c r="Y752" s="105"/>
      <c r="Z752" s="105"/>
    </row>
    <row r="753">
      <c r="A753" s="105"/>
      <c r="B753" s="105"/>
      <c r="C753" s="105"/>
      <c r="D753" s="105"/>
      <c r="E753" s="105"/>
      <c r="F753" s="105"/>
      <c r="G753" s="105"/>
      <c r="H753" s="105"/>
      <c r="I753" s="105"/>
      <c r="J753" s="105"/>
      <c r="K753" s="105"/>
      <c r="L753" s="105"/>
      <c r="M753" s="105"/>
      <c r="N753" s="105"/>
      <c r="O753" s="105"/>
      <c r="P753" s="105" t="str">
        <f>IFERROR(__xludf.DUMMYFUNCTION("""COMPUTED_VALUE"""),"ready::approval::for::submitting38::(core::reviewer)")</f>
        <v>ready::approval::for::submitting38::(core::reviewer)</v>
      </c>
      <c r="Q753" s="105"/>
      <c r="R753" s="105"/>
      <c r="S753" s="105"/>
      <c r="T753" s="105"/>
      <c r="U753" s="105"/>
      <c r="V753" s="105"/>
      <c r="W753" s="105"/>
      <c r="X753" s="105"/>
      <c r="Y753" s="105"/>
      <c r="Z753" s="105"/>
    </row>
    <row r="754">
      <c r="A754" s="105"/>
      <c r="B754" s="105"/>
      <c r="C754" s="105"/>
      <c r="D754" s="105"/>
      <c r="E754" s="105"/>
      <c r="F754" s="105"/>
      <c r="G754" s="105"/>
      <c r="H754" s="105"/>
      <c r="I754" s="105"/>
      <c r="J754" s="105"/>
      <c r="K754" s="105"/>
      <c r="L754" s="105"/>
      <c r="M754" s="105"/>
      <c r="N754" s="105"/>
      <c r="O754" s="105"/>
      <c r="P754" s="105" t="str">
        <f>IFERROR(__xludf.DUMMYFUNCTION("""COMPUTED_VALUE"""),"ready::approval::for::submitting39")</f>
        <v>ready::approval::for::submitting39</v>
      </c>
      <c r="Q754" s="105"/>
      <c r="R754" s="105"/>
      <c r="S754" s="105"/>
      <c r="T754" s="105"/>
      <c r="U754" s="105"/>
      <c r="V754" s="105"/>
      <c r="W754" s="105"/>
      <c r="X754" s="105"/>
      <c r="Y754" s="105"/>
      <c r="Z754" s="105"/>
    </row>
    <row r="755">
      <c r="A755" s="105"/>
      <c r="B755" s="105"/>
      <c r="C755" s="105"/>
      <c r="D755" s="105"/>
      <c r="E755" s="105"/>
      <c r="F755" s="105"/>
      <c r="G755" s="105"/>
      <c r="H755" s="105"/>
      <c r="I755" s="105"/>
      <c r="J755" s="105"/>
      <c r="K755" s="105"/>
      <c r="L755" s="105"/>
      <c r="M755" s="105"/>
      <c r="N755" s="105"/>
      <c r="O755" s="105"/>
      <c r="P755" s="105" t="str">
        <f>IFERROR(__xludf.DUMMYFUNCTION("""COMPUTED_VALUE"""),"ready::approval::for::submitting4")</f>
        <v>ready::approval::for::submitting4</v>
      </c>
      <c r="Q755" s="105"/>
      <c r="R755" s="105"/>
      <c r="S755" s="105"/>
      <c r="T755" s="105"/>
      <c r="U755" s="105"/>
      <c r="V755" s="105"/>
      <c r="W755" s="105"/>
      <c r="X755" s="105"/>
      <c r="Y755" s="105"/>
      <c r="Z755" s="105"/>
    </row>
    <row r="756">
      <c r="A756" s="105"/>
      <c r="B756" s="105"/>
      <c r="C756" s="105"/>
      <c r="D756" s="105"/>
      <c r="E756" s="105"/>
      <c r="F756" s="105"/>
      <c r="G756" s="105"/>
      <c r="H756" s="105"/>
      <c r="I756" s="105"/>
      <c r="J756" s="105"/>
      <c r="K756" s="105"/>
      <c r="L756" s="105"/>
      <c r="M756" s="105"/>
      <c r="N756" s="105"/>
      <c r="O756" s="105"/>
      <c r="P756" s="105" t="str">
        <f>IFERROR(__xludf.DUMMYFUNCTION("""COMPUTED_VALUE"""),"ready::approval::for::submitting4::(core::reviewer)")</f>
        <v>ready::approval::for::submitting4::(core::reviewer)</v>
      </c>
      <c r="Q756" s="105"/>
      <c r="R756" s="105"/>
      <c r="S756" s="105"/>
      <c r="T756" s="105"/>
      <c r="U756" s="105"/>
      <c r="V756" s="105"/>
      <c r="W756" s="105"/>
      <c r="X756" s="105"/>
      <c r="Y756" s="105"/>
      <c r="Z756" s="105"/>
    </row>
    <row r="757">
      <c r="A757" s="105"/>
      <c r="B757" s="105"/>
      <c r="C757" s="105"/>
      <c r="D757" s="105"/>
      <c r="E757" s="105"/>
      <c r="F757" s="105"/>
      <c r="G757" s="105"/>
      <c r="H757" s="105"/>
      <c r="I757" s="105"/>
      <c r="J757" s="105"/>
      <c r="K757" s="105"/>
      <c r="L757" s="105"/>
      <c r="M757" s="105"/>
      <c r="N757" s="105"/>
      <c r="O757" s="105"/>
      <c r="P757" s="105" t="str">
        <f>IFERROR(__xludf.DUMMYFUNCTION("""COMPUTED_VALUE"""),"ready::approval::for::submitting40")</f>
        <v>ready::approval::for::submitting40</v>
      </c>
      <c r="Q757" s="105"/>
      <c r="R757" s="105"/>
      <c r="S757" s="105"/>
      <c r="T757" s="105"/>
      <c r="U757" s="105"/>
      <c r="V757" s="105"/>
      <c r="W757" s="105"/>
      <c r="X757" s="105"/>
      <c r="Y757" s="105"/>
      <c r="Z757" s="105"/>
    </row>
    <row r="758">
      <c r="A758" s="105"/>
      <c r="B758" s="105"/>
      <c r="C758" s="105"/>
      <c r="D758" s="105"/>
      <c r="E758" s="105"/>
      <c r="F758" s="105"/>
      <c r="G758" s="105"/>
      <c r="H758" s="105"/>
      <c r="I758" s="105"/>
      <c r="J758" s="105"/>
      <c r="K758" s="105"/>
      <c r="L758" s="105"/>
      <c r="M758" s="105"/>
      <c r="N758" s="105"/>
      <c r="O758" s="105"/>
      <c r="P758" s="105" t="str">
        <f>IFERROR(__xludf.DUMMYFUNCTION("""COMPUTED_VALUE"""),"ready::approval::for::submitting41")</f>
        <v>ready::approval::for::submitting41</v>
      </c>
      <c r="Q758" s="105"/>
      <c r="R758" s="105"/>
      <c r="S758" s="105"/>
      <c r="T758" s="105"/>
      <c r="U758" s="105"/>
      <c r="V758" s="105"/>
      <c r="W758" s="105"/>
      <c r="X758" s="105"/>
      <c r="Y758" s="105"/>
      <c r="Z758" s="105"/>
    </row>
    <row r="759">
      <c r="A759" s="105"/>
      <c r="B759" s="105"/>
      <c r="C759" s="105"/>
      <c r="D759" s="105"/>
      <c r="E759" s="105"/>
      <c r="F759" s="105"/>
      <c r="G759" s="105"/>
      <c r="H759" s="105"/>
      <c r="I759" s="105"/>
      <c r="J759" s="105"/>
      <c r="K759" s="105"/>
      <c r="L759" s="105"/>
      <c r="M759" s="105"/>
      <c r="N759" s="105"/>
      <c r="O759" s="105"/>
      <c r="P759" s="105" t="str">
        <f>IFERROR(__xludf.DUMMYFUNCTION("""COMPUTED_VALUE"""),"ready::approval::for::submitting5")</f>
        <v>ready::approval::for::submitting5</v>
      </c>
      <c r="Q759" s="105"/>
      <c r="R759" s="105"/>
      <c r="S759" s="105"/>
      <c r="T759" s="105"/>
      <c r="U759" s="105"/>
      <c r="V759" s="105"/>
      <c r="W759" s="105"/>
      <c r="X759" s="105"/>
      <c r="Y759" s="105"/>
      <c r="Z759" s="105"/>
    </row>
    <row r="760">
      <c r="A760" s="105"/>
      <c r="B760" s="105"/>
      <c r="C760" s="105"/>
      <c r="D760" s="105"/>
      <c r="E760" s="105"/>
      <c r="F760" s="105"/>
      <c r="G760" s="105"/>
      <c r="H760" s="105"/>
      <c r="I760" s="105"/>
      <c r="J760" s="105"/>
      <c r="K760" s="105"/>
      <c r="L760" s="105"/>
      <c r="M760" s="105"/>
      <c r="N760" s="105"/>
      <c r="O760" s="105"/>
      <c r="P760" s="105" t="str">
        <f>IFERROR(__xludf.DUMMYFUNCTION("""COMPUTED_VALUE"""),"ready::approval::for::submitting5::(core::reviewer)")</f>
        <v>ready::approval::for::submitting5::(core::reviewer)</v>
      </c>
      <c r="Q760" s="105"/>
      <c r="R760" s="105"/>
      <c r="S760" s="105"/>
      <c r="T760" s="105"/>
      <c r="U760" s="105"/>
      <c r="V760" s="105"/>
      <c r="W760" s="105"/>
      <c r="X760" s="105"/>
      <c r="Y760" s="105"/>
      <c r="Z760" s="105"/>
    </row>
    <row r="761">
      <c r="A761" s="105"/>
      <c r="B761" s="105"/>
      <c r="C761" s="105"/>
      <c r="D761" s="105"/>
      <c r="E761" s="105"/>
      <c r="F761" s="105"/>
      <c r="G761" s="105"/>
      <c r="H761" s="105"/>
      <c r="I761" s="105"/>
      <c r="J761" s="105"/>
      <c r="K761" s="105"/>
      <c r="L761" s="105"/>
      <c r="M761" s="105"/>
      <c r="N761" s="105"/>
      <c r="O761" s="105"/>
      <c r="P761" s="105" t="str">
        <f>IFERROR(__xludf.DUMMYFUNCTION("""COMPUTED_VALUE"""),"ready::approval::for::submitting6")</f>
        <v>ready::approval::for::submitting6</v>
      </c>
      <c r="Q761" s="105"/>
      <c r="R761" s="105"/>
      <c r="S761" s="105"/>
      <c r="T761" s="105"/>
      <c r="U761" s="105"/>
      <c r="V761" s="105"/>
      <c r="W761" s="105"/>
      <c r="X761" s="105"/>
      <c r="Y761" s="105"/>
      <c r="Z761" s="105"/>
    </row>
    <row r="762">
      <c r="A762" s="105"/>
      <c r="B762" s="105"/>
      <c r="C762" s="105"/>
      <c r="D762" s="105"/>
      <c r="E762" s="105"/>
      <c r="F762" s="105"/>
      <c r="G762" s="105"/>
      <c r="H762" s="105"/>
      <c r="I762" s="105"/>
      <c r="J762" s="105"/>
      <c r="K762" s="105"/>
      <c r="L762" s="105"/>
      <c r="M762" s="105"/>
      <c r="N762" s="105"/>
      <c r="O762" s="105"/>
      <c r="P762" s="105" t="str">
        <f>IFERROR(__xludf.DUMMYFUNCTION("""COMPUTED_VALUE"""),"ready::approval::for::submitting6::(core::reviewer)")</f>
        <v>ready::approval::for::submitting6::(core::reviewer)</v>
      </c>
      <c r="Q762" s="105"/>
      <c r="R762" s="105"/>
      <c r="S762" s="105"/>
      <c r="T762" s="105"/>
      <c r="U762" s="105"/>
      <c r="V762" s="105"/>
      <c r="W762" s="105"/>
      <c r="X762" s="105"/>
      <c r="Y762" s="105"/>
      <c r="Z762" s="105"/>
    </row>
    <row r="763">
      <c r="A763" s="105"/>
      <c r="B763" s="105"/>
      <c r="C763" s="105"/>
      <c r="D763" s="105"/>
      <c r="E763" s="105"/>
      <c r="F763" s="105"/>
      <c r="G763" s="105"/>
      <c r="H763" s="105"/>
      <c r="I763" s="105"/>
      <c r="J763" s="105"/>
      <c r="K763" s="105"/>
      <c r="L763" s="105"/>
      <c r="M763" s="105"/>
      <c r="N763" s="105"/>
      <c r="O763" s="105"/>
      <c r="P763" s="105" t="str">
        <f>IFERROR(__xludf.DUMMYFUNCTION("""COMPUTED_VALUE"""),"ready::approval::for::submitting7")</f>
        <v>ready::approval::for::submitting7</v>
      </c>
      <c r="Q763" s="105"/>
      <c r="R763" s="105"/>
      <c r="S763" s="105"/>
      <c r="T763" s="105"/>
      <c r="U763" s="105"/>
      <c r="V763" s="105"/>
      <c r="W763" s="105"/>
      <c r="X763" s="105"/>
      <c r="Y763" s="105"/>
      <c r="Z763" s="105"/>
    </row>
    <row r="764">
      <c r="A764" s="105"/>
      <c r="B764" s="105"/>
      <c r="C764" s="105"/>
      <c r="D764" s="105"/>
      <c r="E764" s="105"/>
      <c r="F764" s="105"/>
      <c r="G764" s="105"/>
      <c r="H764" s="105"/>
      <c r="I764" s="105"/>
      <c r="J764" s="105"/>
      <c r="K764" s="105"/>
      <c r="L764" s="105"/>
      <c r="M764" s="105"/>
      <c r="N764" s="105"/>
      <c r="O764" s="105"/>
      <c r="P764" s="105" t="str">
        <f>IFERROR(__xludf.DUMMYFUNCTION("""COMPUTED_VALUE"""),"ready::approval::for::submitting7::(core::reviewer)")</f>
        <v>ready::approval::for::submitting7::(core::reviewer)</v>
      </c>
      <c r="Q764" s="105"/>
      <c r="R764" s="105"/>
      <c r="S764" s="105"/>
      <c r="T764" s="105"/>
      <c r="U764" s="105"/>
      <c r="V764" s="105"/>
      <c r="W764" s="105"/>
      <c r="X764" s="105"/>
      <c r="Y764" s="105"/>
      <c r="Z764" s="105"/>
    </row>
    <row r="765">
      <c r="A765" s="105"/>
      <c r="B765" s="105"/>
      <c r="C765" s="105"/>
      <c r="D765" s="105"/>
      <c r="E765" s="105"/>
      <c r="F765" s="105"/>
      <c r="G765" s="105"/>
      <c r="H765" s="105"/>
      <c r="I765" s="105"/>
      <c r="J765" s="105"/>
      <c r="K765" s="105"/>
      <c r="L765" s="105"/>
      <c r="M765" s="105"/>
      <c r="N765" s="105"/>
      <c r="O765" s="105"/>
      <c r="P765" s="105" t="str">
        <f>IFERROR(__xludf.DUMMYFUNCTION("""COMPUTED_VALUE"""),"ready::approval::for::submitting8")</f>
        <v>ready::approval::for::submitting8</v>
      </c>
      <c r="Q765" s="105"/>
      <c r="R765" s="105"/>
      <c r="S765" s="105"/>
      <c r="T765" s="105"/>
      <c r="U765" s="105"/>
      <c r="V765" s="105"/>
      <c r="W765" s="105"/>
      <c r="X765" s="105"/>
      <c r="Y765" s="105"/>
      <c r="Z765" s="105"/>
    </row>
    <row r="766">
      <c r="A766" s="105"/>
      <c r="B766" s="105"/>
      <c r="C766" s="105"/>
      <c r="D766" s="105"/>
      <c r="E766" s="105"/>
      <c r="F766" s="105"/>
      <c r="G766" s="105"/>
      <c r="H766" s="105"/>
      <c r="I766" s="105"/>
      <c r="J766" s="105"/>
      <c r="K766" s="105"/>
      <c r="L766" s="105"/>
      <c r="M766" s="105"/>
      <c r="N766" s="105"/>
      <c r="O766" s="105"/>
      <c r="P766" s="105" t="str">
        <f>IFERROR(__xludf.DUMMYFUNCTION("""COMPUTED_VALUE"""),"ready::approval::for::submitting8::(core::reviewer)")</f>
        <v>ready::approval::for::submitting8::(core::reviewer)</v>
      </c>
      <c r="Q766" s="105"/>
      <c r="R766" s="105"/>
      <c r="S766" s="105"/>
      <c r="T766" s="105"/>
      <c r="U766" s="105"/>
      <c r="V766" s="105"/>
      <c r="W766" s="105"/>
      <c r="X766" s="105"/>
      <c r="Y766" s="105"/>
      <c r="Z766" s="105"/>
    </row>
    <row r="767">
      <c r="A767" s="105"/>
      <c r="B767" s="105"/>
      <c r="C767" s="105"/>
      <c r="D767" s="105"/>
      <c r="E767" s="105"/>
      <c r="F767" s="105"/>
      <c r="G767" s="105"/>
      <c r="H767" s="105"/>
      <c r="I767" s="105"/>
      <c r="J767" s="105"/>
      <c r="K767" s="105"/>
      <c r="L767" s="105"/>
      <c r="M767" s="105"/>
      <c r="N767" s="105"/>
      <c r="O767" s="105"/>
      <c r="P767" s="105" t="str">
        <f>IFERROR(__xludf.DUMMYFUNCTION("""COMPUTED_VALUE"""),"ready::approval::for::submitting9")</f>
        <v>ready::approval::for::submitting9</v>
      </c>
      <c r="Q767" s="105"/>
      <c r="R767" s="105"/>
      <c r="S767" s="105"/>
      <c r="T767" s="105"/>
      <c r="U767" s="105"/>
      <c r="V767" s="105"/>
      <c r="W767" s="105"/>
      <c r="X767" s="105"/>
      <c r="Y767" s="105"/>
      <c r="Z767" s="105"/>
    </row>
    <row r="768">
      <c r="A768" s="105"/>
      <c r="B768" s="105"/>
      <c r="C768" s="105"/>
      <c r="D768" s="105"/>
      <c r="E768" s="105"/>
      <c r="F768" s="105"/>
      <c r="G768" s="105"/>
      <c r="H768" s="105"/>
      <c r="I768" s="105"/>
      <c r="J768" s="105"/>
      <c r="K768" s="105"/>
      <c r="L768" s="105"/>
      <c r="M768" s="105"/>
      <c r="N768" s="105"/>
      <c r="O768" s="105"/>
      <c r="P768" s="105" t="str">
        <f>IFERROR(__xludf.DUMMYFUNCTION("""COMPUTED_VALUE"""),"ready::approval::for::submitting9::(core::reviewer)")</f>
        <v>ready::approval::for::submitting9::(core::reviewer)</v>
      </c>
      <c r="Q768" s="105"/>
      <c r="R768" s="105"/>
      <c r="S768" s="105"/>
      <c r="T768" s="105"/>
      <c r="U768" s="105"/>
      <c r="V768" s="105"/>
      <c r="W768" s="105"/>
      <c r="X768" s="105"/>
      <c r="Y768" s="105"/>
      <c r="Z768" s="105"/>
    </row>
    <row r="769">
      <c r="A769" s="105"/>
      <c r="B769" s="105"/>
      <c r="C769" s="105"/>
      <c r="D769" s="105"/>
      <c r="E769" s="105"/>
      <c r="F769" s="105"/>
      <c r="G769" s="105"/>
      <c r="H769" s="105"/>
      <c r="I769" s="105"/>
      <c r="J769" s="105"/>
      <c r="K769" s="105"/>
      <c r="L769" s="105"/>
      <c r="M769" s="105"/>
      <c r="N769" s="105"/>
      <c r="O769" s="105"/>
      <c r="P769" s="105" t="str">
        <f>IFERROR(__xludf.DUMMYFUNCTION("""COMPUTED_VALUE"""),"reatracting::suggestion::change::(change::input::parameter)")</f>
        <v>reatracting::suggestion::change::(change::input::parameter)</v>
      </c>
      <c r="Q769" s="105"/>
      <c r="R769" s="105"/>
      <c r="S769" s="105"/>
      <c r="T769" s="105"/>
      <c r="U769" s="105"/>
      <c r="V769" s="105"/>
      <c r="W769" s="105"/>
      <c r="X769" s="105"/>
      <c r="Y769" s="105"/>
      <c r="Z769" s="105"/>
    </row>
    <row r="770">
      <c r="A770" s="105"/>
      <c r="B770" s="105"/>
      <c r="C770" s="105"/>
      <c r="D770" s="105"/>
      <c r="E770" s="105"/>
      <c r="F770" s="105"/>
      <c r="G770" s="105"/>
      <c r="H770" s="105"/>
      <c r="I770" s="105"/>
      <c r="J770" s="105"/>
      <c r="K770" s="105"/>
      <c r="L770" s="105"/>
      <c r="M770" s="105"/>
      <c r="N770" s="105"/>
      <c r="O770" s="105"/>
      <c r="P770" s="105" t="str">
        <f>IFERROR(__xludf.DUMMYFUNCTION("""COMPUTED_VALUE"""),"rebase::conflict")</f>
        <v>rebase::conflict</v>
      </c>
      <c r="Q770" s="105"/>
      <c r="R770" s="105"/>
      <c r="S770" s="105"/>
      <c r="T770" s="105"/>
      <c r="U770" s="105"/>
      <c r="V770" s="105"/>
      <c r="W770" s="105"/>
      <c r="X770" s="105"/>
      <c r="Y770" s="105"/>
      <c r="Z770" s="105"/>
    </row>
    <row r="771">
      <c r="A771" s="105"/>
      <c r="B771" s="105"/>
      <c r="C771" s="105"/>
      <c r="D771" s="105"/>
      <c r="E771" s="105"/>
      <c r="F771" s="105"/>
      <c r="G771" s="105"/>
      <c r="H771" s="105"/>
      <c r="I771" s="105"/>
      <c r="J771" s="105"/>
      <c r="K771" s="105"/>
      <c r="L771" s="105"/>
      <c r="M771" s="105"/>
      <c r="N771" s="105"/>
      <c r="O771" s="105"/>
      <c r="P771" s="105" t="str">
        <f>IFERROR(__xludf.DUMMYFUNCTION("""COMPUTED_VALUE"""),"reference::another::developer")</f>
        <v>reference::another::developer</v>
      </c>
      <c r="Q771" s="105"/>
      <c r="R771" s="105"/>
      <c r="S771" s="105"/>
      <c r="T771" s="105"/>
      <c r="U771" s="105"/>
      <c r="V771" s="105"/>
      <c r="W771" s="105"/>
      <c r="X771" s="105"/>
      <c r="Y771" s="105"/>
      <c r="Z771" s="105"/>
    </row>
    <row r="772">
      <c r="A772" s="105"/>
      <c r="B772" s="105"/>
      <c r="C772" s="105"/>
      <c r="D772" s="105"/>
      <c r="E772" s="105"/>
      <c r="F772" s="105"/>
      <c r="G772" s="105"/>
      <c r="H772" s="105"/>
      <c r="I772" s="105"/>
      <c r="J772" s="105"/>
      <c r="K772" s="105"/>
      <c r="L772" s="105"/>
      <c r="M772" s="105"/>
      <c r="N772" s="105"/>
      <c r="O772" s="105"/>
      <c r="P772" s="105" t="str">
        <f>IFERROR(__xludf.DUMMYFUNCTION("""COMPUTED_VALUE"""),"references::conversation::irc")</f>
        <v>references::conversation::irc</v>
      </c>
      <c r="Q772" s="105"/>
      <c r="R772" s="105"/>
      <c r="S772" s="105"/>
      <c r="T772" s="105"/>
      <c r="U772" s="105"/>
      <c r="V772" s="105"/>
      <c r="W772" s="105"/>
      <c r="X772" s="105"/>
      <c r="Y772" s="105"/>
      <c r="Z772" s="105"/>
    </row>
    <row r="773">
      <c r="A773" s="105"/>
      <c r="B773" s="105"/>
      <c r="C773" s="105"/>
      <c r="D773" s="105"/>
      <c r="E773" s="105"/>
      <c r="F773" s="105"/>
      <c r="G773" s="105"/>
      <c r="H773" s="105"/>
      <c r="I773" s="105"/>
      <c r="J773" s="105"/>
      <c r="K773" s="105"/>
      <c r="L773" s="105"/>
      <c r="M773" s="105"/>
      <c r="N773" s="105"/>
      <c r="O773" s="105"/>
      <c r="P773" s="105" t="str">
        <f>IFERROR(__xludf.DUMMYFUNCTION("""COMPUTED_VALUE"""),"references::meeting")</f>
        <v>references::meeting</v>
      </c>
      <c r="Q773" s="105"/>
      <c r="R773" s="105"/>
      <c r="S773" s="105"/>
      <c r="T773" s="105"/>
      <c r="U773" s="105"/>
      <c r="V773" s="105"/>
      <c r="W773" s="105"/>
      <c r="X773" s="105"/>
      <c r="Y773" s="105"/>
      <c r="Z773" s="105"/>
    </row>
    <row r="774">
      <c r="A774" s="105"/>
      <c r="B774" s="105"/>
      <c r="C774" s="105"/>
      <c r="D774" s="105"/>
      <c r="E774" s="105"/>
      <c r="F774" s="105"/>
      <c r="G774" s="105"/>
      <c r="H774" s="105"/>
      <c r="I774" s="105"/>
      <c r="J774" s="105"/>
      <c r="K774" s="105"/>
      <c r="L774" s="105"/>
      <c r="M774" s="105"/>
      <c r="N774" s="105"/>
      <c r="O774" s="105"/>
      <c r="P774" s="105" t="str">
        <f>IFERROR(__xludf.DUMMYFUNCTION("""COMPUTED_VALUE"""),"referes::external::url")</f>
        <v>referes::external::url</v>
      </c>
      <c r="Q774" s="105"/>
      <c r="R774" s="105"/>
      <c r="S774" s="105"/>
      <c r="T774" s="105"/>
      <c r="U774" s="105"/>
      <c r="V774" s="105"/>
      <c r="W774" s="105"/>
      <c r="X774" s="105"/>
      <c r="Y774" s="105"/>
      <c r="Z774" s="105"/>
    </row>
    <row r="775">
      <c r="A775" s="105"/>
      <c r="B775" s="105"/>
      <c r="C775" s="105"/>
      <c r="D775" s="105"/>
      <c r="E775" s="105"/>
      <c r="F775" s="105"/>
      <c r="G775" s="105"/>
      <c r="H775" s="105"/>
      <c r="I775" s="105"/>
      <c r="J775" s="105"/>
      <c r="K775" s="105"/>
      <c r="L775" s="105"/>
      <c r="M775" s="105"/>
      <c r="N775" s="105"/>
      <c r="O775" s="105"/>
      <c r="P775" s="105" t="str">
        <f>IFERROR(__xludf.DUMMYFUNCTION("""COMPUTED_VALUE"""),"referes::to::a::review")</f>
        <v>referes::to::a::review</v>
      </c>
      <c r="Q775" s="105"/>
      <c r="R775" s="105"/>
      <c r="S775" s="105"/>
      <c r="T775" s="105"/>
      <c r="U775" s="105"/>
      <c r="V775" s="105"/>
      <c r="W775" s="105"/>
      <c r="X775" s="105"/>
      <c r="Y775" s="105"/>
      <c r="Z775" s="105"/>
    </row>
    <row r="776">
      <c r="A776" s="105"/>
      <c r="B776" s="105"/>
      <c r="C776" s="105"/>
      <c r="D776" s="105"/>
      <c r="E776" s="105"/>
      <c r="F776" s="105"/>
      <c r="G776" s="105"/>
      <c r="H776" s="105"/>
      <c r="I776" s="105"/>
      <c r="J776" s="105"/>
      <c r="K776" s="105"/>
      <c r="L776" s="105"/>
      <c r="M776" s="105"/>
      <c r="N776" s="105"/>
      <c r="O776" s="105"/>
      <c r="P776" s="105" t="str">
        <f>IFERROR(__xludf.DUMMYFUNCTION("""COMPUTED_VALUE"""),"referes::to::approved::spec")</f>
        <v>referes::to::approved::spec</v>
      </c>
      <c r="Q776" s="105"/>
      <c r="R776" s="105"/>
      <c r="S776" s="105"/>
      <c r="T776" s="105"/>
      <c r="U776" s="105"/>
      <c r="V776" s="105"/>
      <c r="W776" s="105"/>
      <c r="X776" s="105"/>
      <c r="Y776" s="105"/>
      <c r="Z776" s="105"/>
    </row>
    <row r="777">
      <c r="A777" s="105"/>
      <c r="B777" s="105"/>
      <c r="C777" s="105"/>
      <c r="D777" s="105"/>
      <c r="E777" s="105"/>
      <c r="F777" s="105"/>
      <c r="G777" s="105"/>
      <c r="H777" s="105"/>
      <c r="I777" s="105"/>
      <c r="J777" s="105"/>
      <c r="K777" s="105"/>
      <c r="L777" s="105"/>
      <c r="M777" s="105"/>
      <c r="N777" s="105"/>
      <c r="O777" s="105"/>
      <c r="P777" s="105" t="str">
        <f>IFERROR(__xludf.DUMMYFUNCTION("""COMPUTED_VALUE"""),"referes::to::code::(elsewhere)")</f>
        <v>referes::to::code::(elsewhere)</v>
      </c>
      <c r="Q777" s="105"/>
      <c r="R777" s="105"/>
      <c r="S777" s="105"/>
      <c r="T777" s="105"/>
      <c r="U777" s="105"/>
      <c r="V777" s="105"/>
      <c r="W777" s="105"/>
      <c r="X777" s="105"/>
      <c r="Y777" s="105"/>
      <c r="Z777" s="105"/>
    </row>
    <row r="778">
      <c r="A778" s="105"/>
      <c r="B778" s="105"/>
      <c r="C778" s="105"/>
      <c r="D778" s="105"/>
      <c r="E778" s="105"/>
      <c r="F778" s="105"/>
      <c r="G778" s="105"/>
      <c r="H778" s="105"/>
      <c r="I778" s="105"/>
      <c r="J778" s="105"/>
      <c r="K778" s="105"/>
      <c r="L778" s="105"/>
      <c r="M778" s="105"/>
      <c r="N778" s="105"/>
      <c r="O778" s="105"/>
      <c r="P778" s="105" t="str">
        <f>IFERROR(__xludf.DUMMYFUNCTION("""COMPUTED_VALUE"""),"referes::to::code::(elsewhere)::as::assistance")</f>
        <v>referes::to::code::(elsewhere)::as::assistance</v>
      </c>
      <c r="Q778" s="105"/>
      <c r="R778" s="105"/>
      <c r="S778" s="105"/>
      <c r="T778" s="105"/>
      <c r="U778" s="105"/>
      <c r="V778" s="105"/>
      <c r="W778" s="105"/>
      <c r="X778" s="105"/>
      <c r="Y778" s="105"/>
      <c r="Z778" s="105"/>
    </row>
    <row r="779">
      <c r="A779" s="105"/>
      <c r="B779" s="105"/>
      <c r="C779" s="105"/>
      <c r="D779" s="105"/>
      <c r="E779" s="105"/>
      <c r="F779" s="105"/>
      <c r="G779" s="105"/>
      <c r="H779" s="105"/>
      <c r="I779" s="105"/>
      <c r="J779" s="105"/>
      <c r="K779" s="105"/>
      <c r="L779" s="105"/>
      <c r="M779" s="105"/>
      <c r="N779" s="105"/>
      <c r="O779" s="105"/>
      <c r="P779" s="105" t="str">
        <f>IFERROR(__xludf.DUMMYFUNCTION("""COMPUTED_VALUE"""),"referes::to::code::(gist)")</f>
        <v>referes::to::code::(gist)</v>
      </c>
      <c r="Q779" s="105"/>
      <c r="R779" s="105"/>
      <c r="S779" s="105"/>
      <c r="T779" s="105"/>
      <c r="U779" s="105"/>
      <c r="V779" s="105"/>
      <c r="W779" s="105"/>
      <c r="X779" s="105"/>
      <c r="Y779" s="105"/>
      <c r="Z779" s="105"/>
    </row>
    <row r="780">
      <c r="A780" s="105"/>
      <c r="B780" s="105"/>
      <c r="C780" s="105"/>
      <c r="D780" s="105"/>
      <c r="E780" s="105"/>
      <c r="F780" s="105"/>
      <c r="G780" s="105"/>
      <c r="H780" s="105"/>
      <c r="I780" s="105"/>
      <c r="J780" s="105"/>
      <c r="K780" s="105"/>
      <c r="L780" s="105"/>
      <c r="M780" s="105"/>
      <c r="N780" s="105"/>
      <c r="O780" s="105"/>
      <c r="P780" s="105" t="str">
        <f>IFERROR(__xludf.DUMMYFUNCTION("""COMPUTED_VALUE"""),"referes::to::code::(github)")</f>
        <v>referes::to::code::(github)</v>
      </c>
      <c r="Q780" s="105"/>
      <c r="R780" s="105"/>
      <c r="S780" s="105"/>
      <c r="T780" s="105"/>
      <c r="U780" s="105"/>
      <c r="V780" s="105"/>
      <c r="W780" s="105"/>
      <c r="X780" s="105"/>
      <c r="Y780" s="105"/>
      <c r="Z780" s="105"/>
    </row>
    <row r="781">
      <c r="A781" s="105"/>
      <c r="B781" s="105"/>
      <c r="C781" s="105"/>
      <c r="D781" s="105"/>
      <c r="E781" s="105"/>
      <c r="F781" s="105"/>
      <c r="G781" s="105"/>
      <c r="H781" s="105"/>
      <c r="I781" s="105"/>
      <c r="J781" s="105"/>
      <c r="K781" s="105"/>
      <c r="L781" s="105"/>
      <c r="M781" s="105"/>
      <c r="N781" s="105"/>
      <c r="O781" s="105"/>
      <c r="P781" s="105" t="str">
        <f>IFERROR(__xludf.DUMMYFUNCTION("""COMPUTED_VALUE"""),"referes::to::code::(migrations)")</f>
        <v>referes::to::code::(migrations)</v>
      </c>
      <c r="Q781" s="105"/>
      <c r="R781" s="105"/>
      <c r="S781" s="105"/>
      <c r="T781" s="105"/>
      <c r="U781" s="105"/>
      <c r="V781" s="105"/>
      <c r="W781" s="105"/>
      <c r="X781" s="105"/>
      <c r="Y781" s="105"/>
      <c r="Z781" s="105"/>
    </row>
    <row r="782">
      <c r="A782" s="105"/>
      <c r="B782" s="105"/>
      <c r="C782" s="105"/>
      <c r="D782" s="105"/>
      <c r="E782" s="105"/>
      <c r="F782" s="105"/>
      <c r="G782" s="105"/>
      <c r="H782" s="105"/>
      <c r="I782" s="105"/>
      <c r="J782" s="105"/>
      <c r="K782" s="105"/>
      <c r="L782" s="105"/>
      <c r="M782" s="105"/>
      <c r="N782" s="105"/>
      <c r="O782" s="105"/>
      <c r="P782" s="105" t="str">
        <f>IFERROR(__xludf.DUMMYFUNCTION("""COMPUTED_VALUE"""),"referes::to::comment")</f>
        <v>referes::to::comment</v>
      </c>
      <c r="Q782" s="105"/>
      <c r="R782" s="105"/>
      <c r="S782" s="105"/>
      <c r="T782" s="105"/>
      <c r="U782" s="105"/>
      <c r="V782" s="105"/>
      <c r="W782" s="105"/>
      <c r="X782" s="105"/>
      <c r="Y782" s="105"/>
      <c r="Z782" s="105"/>
    </row>
    <row r="783">
      <c r="A783" s="105"/>
      <c r="B783" s="105"/>
      <c r="C783" s="105"/>
      <c r="D783" s="105"/>
      <c r="E783" s="105"/>
      <c r="F783" s="105"/>
      <c r="G783" s="105"/>
      <c r="H783" s="105"/>
      <c r="I783" s="105"/>
      <c r="J783" s="105"/>
      <c r="K783" s="105"/>
      <c r="L783" s="105"/>
      <c r="M783" s="105"/>
      <c r="N783" s="105"/>
      <c r="O783" s="105"/>
      <c r="P783" s="105" t="str">
        <f>IFERROR(__xludf.DUMMYFUNCTION("""COMPUTED_VALUE"""),"referes::to::comment::(older::revision)")</f>
        <v>referes::to::comment::(older::revision)</v>
      </c>
      <c r="Q783" s="105"/>
      <c r="R783" s="105"/>
      <c r="S783" s="105"/>
      <c r="T783" s="105"/>
      <c r="U783" s="105"/>
      <c r="V783" s="105"/>
      <c r="W783" s="105"/>
      <c r="X783" s="105"/>
      <c r="Y783" s="105"/>
      <c r="Z783" s="105"/>
    </row>
    <row r="784">
      <c r="A784" s="105"/>
      <c r="B784" s="105"/>
      <c r="C784" s="105"/>
      <c r="D784" s="105"/>
      <c r="E784" s="105"/>
      <c r="F784" s="105"/>
      <c r="G784" s="105"/>
      <c r="H784" s="105"/>
      <c r="I784" s="105"/>
      <c r="J784" s="105"/>
      <c r="K784" s="105"/>
      <c r="L784" s="105"/>
      <c r="M784" s="105"/>
      <c r="N784" s="105"/>
      <c r="O784" s="105"/>
      <c r="P784" s="105" t="str">
        <f>IFERROR(__xludf.DUMMYFUNCTION("""COMPUTED_VALUE"""),"referes::to::comment::(other::file)")</f>
        <v>referes::to::comment::(other::file)</v>
      </c>
      <c r="Q784" s="105"/>
      <c r="R784" s="105"/>
      <c r="S784" s="105"/>
      <c r="T784" s="105"/>
      <c r="U784" s="105"/>
      <c r="V784" s="105"/>
      <c r="W784" s="105"/>
      <c r="X784" s="105"/>
      <c r="Y784" s="105"/>
      <c r="Z784" s="105"/>
    </row>
    <row r="785">
      <c r="A785" s="105"/>
      <c r="B785" s="105"/>
      <c r="C785" s="105"/>
      <c r="D785" s="105"/>
      <c r="E785" s="105"/>
      <c r="F785" s="105"/>
      <c r="G785" s="105"/>
      <c r="H785" s="105"/>
      <c r="I785" s="105"/>
      <c r="J785" s="105"/>
      <c r="K785" s="105"/>
      <c r="L785" s="105"/>
      <c r="M785" s="105"/>
      <c r="N785" s="105"/>
      <c r="O785" s="105"/>
      <c r="P785" s="105" t="str">
        <f>IFERROR(__xludf.DUMMYFUNCTION("""COMPUTED_VALUE"""),"referes::to::comment::(other::PR)")</f>
        <v>referes::to::comment::(other::PR)</v>
      </c>
      <c r="Q785" s="105"/>
      <c r="R785" s="105"/>
      <c r="S785" s="105"/>
      <c r="T785" s="105"/>
      <c r="U785" s="105"/>
      <c r="V785" s="105"/>
      <c r="W785" s="105"/>
      <c r="X785" s="105"/>
      <c r="Y785" s="105"/>
      <c r="Z785" s="105"/>
    </row>
    <row r="786">
      <c r="A786" s="105"/>
      <c r="B786" s="105"/>
      <c r="C786" s="105"/>
      <c r="D786" s="105"/>
      <c r="E786" s="105"/>
      <c r="F786" s="105"/>
      <c r="G786" s="105"/>
      <c r="H786" s="105"/>
      <c r="I786" s="105"/>
      <c r="J786" s="105"/>
      <c r="K786" s="105"/>
      <c r="L786" s="105"/>
      <c r="M786" s="105"/>
      <c r="N786" s="105"/>
      <c r="O786" s="105"/>
      <c r="P786" s="105" t="str">
        <f>IFERROR(__xludf.DUMMYFUNCTION("""COMPUTED_VALUE"""),"referes::to::documentation")</f>
        <v>referes::to::documentation</v>
      </c>
      <c r="Q786" s="105"/>
      <c r="R786" s="105"/>
      <c r="S786" s="105"/>
      <c r="T786" s="105"/>
      <c r="U786" s="105"/>
      <c r="V786" s="105"/>
      <c r="W786" s="105"/>
      <c r="X786" s="105"/>
      <c r="Y786" s="105"/>
      <c r="Z786" s="105"/>
    </row>
    <row r="787">
      <c r="A787" s="105"/>
      <c r="B787" s="105"/>
      <c r="C787" s="105"/>
      <c r="D787" s="105"/>
      <c r="E787" s="105"/>
      <c r="F787" s="105"/>
      <c r="G787" s="105"/>
      <c r="H787" s="105"/>
      <c r="I787" s="105"/>
      <c r="J787" s="105"/>
      <c r="K787" s="105"/>
      <c r="L787" s="105"/>
      <c r="M787" s="105"/>
      <c r="N787" s="105"/>
      <c r="O787" s="105"/>
      <c r="P787" s="105" t="str">
        <f>IFERROR(__xludf.DUMMYFUNCTION("""COMPUTED_VALUE"""),"referes::to::email")</f>
        <v>referes::to::email</v>
      </c>
      <c r="Q787" s="105"/>
      <c r="R787" s="105"/>
      <c r="S787" s="105"/>
      <c r="T787" s="105"/>
      <c r="U787" s="105"/>
      <c r="V787" s="105"/>
      <c r="W787" s="105"/>
      <c r="X787" s="105"/>
      <c r="Y787" s="105"/>
      <c r="Z787" s="105"/>
    </row>
    <row r="788">
      <c r="A788" s="105"/>
      <c r="B788" s="105"/>
      <c r="C788" s="105"/>
      <c r="D788" s="105"/>
      <c r="E788" s="105"/>
      <c r="F788" s="105"/>
      <c r="G788" s="105"/>
      <c r="H788" s="105"/>
      <c r="I788" s="105"/>
      <c r="J788" s="105"/>
      <c r="K788" s="105"/>
      <c r="L788" s="105"/>
      <c r="M788" s="105"/>
      <c r="N788" s="105"/>
      <c r="O788" s="105"/>
      <c r="P788" s="105" t="str">
        <f>IFERROR(__xludf.DUMMYFUNCTION("""COMPUTED_VALUE"""),"referes::to::email::snippet::(solution)")</f>
        <v>referes::to::email::snippet::(solution)</v>
      </c>
      <c r="Q788" s="105"/>
      <c r="R788" s="105"/>
      <c r="S788" s="105"/>
      <c r="T788" s="105"/>
      <c r="U788" s="105"/>
      <c r="V788" s="105"/>
      <c r="W788" s="105"/>
      <c r="X788" s="105"/>
      <c r="Y788" s="105"/>
      <c r="Z788" s="105"/>
    </row>
    <row r="789">
      <c r="A789" s="105"/>
      <c r="B789" s="105"/>
      <c r="C789" s="105"/>
      <c r="D789" s="105"/>
      <c r="E789" s="105"/>
      <c r="F789" s="105"/>
      <c r="G789" s="105"/>
      <c r="H789" s="105"/>
      <c r="I789" s="105"/>
      <c r="J789" s="105"/>
      <c r="K789" s="105"/>
      <c r="L789" s="105"/>
      <c r="M789" s="105"/>
      <c r="N789" s="105"/>
      <c r="O789" s="105"/>
      <c r="P789" s="105" t="str">
        <f>IFERROR(__xludf.DUMMYFUNCTION("""COMPUTED_VALUE"""),"referes::to::guides::(developer::guides)")</f>
        <v>referes::to::guides::(developer::guides)</v>
      </c>
      <c r="Q789" s="105"/>
      <c r="R789" s="105"/>
      <c r="S789" s="105"/>
      <c r="T789" s="105"/>
      <c r="U789" s="105"/>
      <c r="V789" s="105"/>
      <c r="W789" s="105"/>
      <c r="X789" s="105"/>
      <c r="Y789" s="105"/>
      <c r="Z789" s="105"/>
    </row>
    <row r="790">
      <c r="A790" s="105"/>
      <c r="B790" s="105"/>
      <c r="C790" s="105"/>
      <c r="D790" s="105"/>
      <c r="E790" s="105"/>
      <c r="F790" s="105"/>
      <c r="G790" s="105"/>
      <c r="H790" s="105"/>
      <c r="I790" s="105"/>
      <c r="J790" s="105"/>
      <c r="K790" s="105"/>
      <c r="L790" s="105"/>
      <c r="M790" s="105"/>
      <c r="N790" s="105"/>
      <c r="O790" s="105"/>
      <c r="P790" s="105" t="str">
        <f>IFERROR(__xludf.DUMMYFUNCTION("""COMPUTED_VALUE"""),"referes::to::logs::(migrations)")</f>
        <v>referes::to::logs::(migrations)</v>
      </c>
      <c r="Q790" s="105"/>
      <c r="R790" s="105"/>
      <c r="S790" s="105"/>
      <c r="T790" s="105"/>
      <c r="U790" s="105"/>
      <c r="V790" s="105"/>
      <c r="W790" s="105"/>
      <c r="X790" s="105"/>
      <c r="Y790" s="105"/>
      <c r="Z790" s="105"/>
    </row>
    <row r="791">
      <c r="A791" s="105"/>
      <c r="B791" s="105"/>
      <c r="C791" s="105"/>
      <c r="D791" s="105"/>
      <c r="E791" s="105"/>
      <c r="F791" s="105"/>
      <c r="G791" s="105"/>
      <c r="H791" s="105"/>
      <c r="I791" s="105"/>
      <c r="J791" s="105"/>
      <c r="K791" s="105"/>
      <c r="L791" s="105"/>
      <c r="M791" s="105"/>
      <c r="N791" s="105"/>
      <c r="O791" s="105"/>
      <c r="P791" s="105" t="str">
        <f>IFERROR(__xludf.DUMMYFUNCTION("""COMPUTED_VALUE"""),"referes::to::previous::conversation::(location::unknown)")</f>
        <v>referes::to::previous::conversation::(location::unknown)</v>
      </c>
      <c r="Q791" s="105"/>
      <c r="R791" s="105"/>
      <c r="S791" s="105"/>
      <c r="T791" s="105"/>
      <c r="U791" s="105"/>
      <c r="V791" s="105"/>
      <c r="W791" s="105"/>
      <c r="X791" s="105"/>
      <c r="Y791" s="105"/>
      <c r="Z791" s="105"/>
    </row>
    <row r="792">
      <c r="A792" s="105"/>
      <c r="B792" s="105"/>
      <c r="C792" s="105"/>
      <c r="D792" s="105"/>
      <c r="E792" s="105"/>
      <c r="F792" s="105"/>
      <c r="G792" s="105"/>
      <c r="H792" s="105"/>
      <c r="I792" s="105"/>
      <c r="J792" s="105"/>
      <c r="K792" s="105"/>
      <c r="L792" s="105"/>
      <c r="M792" s="105"/>
      <c r="N792" s="105"/>
      <c r="O792" s="105"/>
      <c r="P792" s="105" t="str">
        <f>IFERROR(__xludf.DUMMYFUNCTION("""COMPUTED_VALUE"""),"referes::to::previous::objection")</f>
        <v>referes::to::previous::objection</v>
      </c>
      <c r="Q792" s="105"/>
      <c r="R792" s="105"/>
      <c r="S792" s="105"/>
      <c r="T792" s="105"/>
      <c r="U792" s="105"/>
      <c r="V792" s="105"/>
      <c r="W792" s="105"/>
      <c r="X792" s="105"/>
      <c r="Y792" s="105"/>
      <c r="Z792" s="105"/>
    </row>
    <row r="793">
      <c r="A793" s="105"/>
      <c r="B793" s="105"/>
      <c r="C793" s="105"/>
      <c r="D793" s="105"/>
      <c r="E793" s="105"/>
      <c r="F793" s="105"/>
      <c r="G793" s="105"/>
      <c r="H793" s="105"/>
      <c r="I793" s="105"/>
      <c r="J793" s="105"/>
      <c r="K793" s="105"/>
      <c r="L793" s="105"/>
      <c r="M793" s="105"/>
      <c r="N793" s="105"/>
      <c r="O793" s="105"/>
      <c r="P793" s="105" t="str">
        <f>IFERROR(__xludf.DUMMYFUNCTION("""COMPUTED_VALUE"""),"referes::to::previous::suggestion")</f>
        <v>referes::to::previous::suggestion</v>
      </c>
      <c r="Q793" s="105"/>
      <c r="R793" s="105"/>
      <c r="S793" s="105"/>
      <c r="T793" s="105"/>
      <c r="U793" s="105"/>
      <c r="V793" s="105"/>
      <c r="W793" s="105"/>
      <c r="X793" s="105"/>
      <c r="Y793" s="105"/>
      <c r="Z793" s="105"/>
    </row>
    <row r="794">
      <c r="A794" s="105"/>
      <c r="B794" s="105"/>
      <c r="C794" s="105"/>
      <c r="D794" s="105"/>
      <c r="E794" s="105"/>
      <c r="F794" s="105"/>
      <c r="G794" s="105"/>
      <c r="H794" s="105"/>
      <c r="I794" s="105"/>
      <c r="J794" s="105"/>
      <c r="K794" s="105"/>
      <c r="L794" s="105"/>
      <c r="M794" s="105"/>
      <c r="N794" s="105"/>
      <c r="O794" s="105"/>
      <c r="P794" s="105" t="str">
        <f>IFERROR(__xludf.DUMMYFUNCTION("""COMPUTED_VALUE"""),"referes::to::previous::suggestion::refactoring::(cleaner::code)")</f>
        <v>referes::to::previous::suggestion::refactoring::(cleaner::code)</v>
      </c>
      <c r="Q794" s="105"/>
      <c r="R794" s="105"/>
      <c r="S794" s="105"/>
      <c r="T794" s="105"/>
      <c r="U794" s="105"/>
      <c r="V794" s="105"/>
      <c r="W794" s="105"/>
      <c r="X794" s="105"/>
      <c r="Y794" s="105"/>
      <c r="Z794" s="105"/>
    </row>
    <row r="795">
      <c r="A795" s="105"/>
      <c r="B795" s="105"/>
      <c r="C795" s="105"/>
      <c r="D795" s="105"/>
      <c r="E795" s="105"/>
      <c r="F795" s="105"/>
      <c r="G795" s="105"/>
      <c r="H795" s="105"/>
      <c r="I795" s="105"/>
      <c r="J795" s="105"/>
      <c r="K795" s="105"/>
      <c r="L795" s="105"/>
      <c r="M795" s="105"/>
      <c r="N795" s="105"/>
      <c r="O795" s="105"/>
      <c r="P795" s="105" t="str">
        <f>IFERROR(__xludf.DUMMYFUNCTION("""COMPUTED_VALUE"""),"referes::to::related::BP")</f>
        <v>referes::to::related::BP</v>
      </c>
      <c r="Q795" s="105"/>
      <c r="R795" s="105"/>
      <c r="S795" s="105"/>
      <c r="T795" s="105"/>
      <c r="U795" s="105"/>
      <c r="V795" s="105"/>
      <c r="W795" s="105"/>
      <c r="X795" s="105"/>
      <c r="Y795" s="105"/>
      <c r="Z795" s="105"/>
    </row>
    <row r="796">
      <c r="A796" s="105"/>
      <c r="B796" s="105"/>
      <c r="C796" s="105"/>
      <c r="D796" s="105"/>
      <c r="E796" s="105"/>
      <c r="F796" s="105"/>
      <c r="G796" s="105"/>
      <c r="H796" s="105"/>
      <c r="I796" s="105"/>
      <c r="J796" s="105"/>
      <c r="K796" s="105"/>
      <c r="L796" s="105"/>
      <c r="M796" s="105"/>
      <c r="N796" s="105"/>
      <c r="O796" s="105"/>
      <c r="P796" s="105" t="str">
        <f>IFERROR(__xludf.DUMMYFUNCTION("""COMPUTED_VALUE"""),"referes::to::related::bug")</f>
        <v>referes::to::related::bug</v>
      </c>
      <c r="Q796" s="105"/>
      <c r="R796" s="105"/>
      <c r="S796" s="105"/>
      <c r="T796" s="105"/>
      <c r="U796" s="105"/>
      <c r="V796" s="105"/>
      <c r="W796" s="105"/>
      <c r="X796" s="105"/>
      <c r="Y796" s="105"/>
      <c r="Z796" s="105"/>
    </row>
    <row r="797">
      <c r="A797" s="105"/>
      <c r="B797" s="105"/>
      <c r="C797" s="105"/>
      <c r="D797" s="105"/>
      <c r="E797" s="105"/>
      <c r="F797" s="105"/>
      <c r="G797" s="105"/>
      <c r="H797" s="105"/>
      <c r="I797" s="105"/>
      <c r="J797" s="105"/>
      <c r="K797" s="105"/>
      <c r="L797" s="105"/>
      <c r="M797" s="105"/>
      <c r="N797" s="105"/>
      <c r="O797" s="105"/>
      <c r="P797" s="105" t="str">
        <f>IFERROR(__xludf.DUMMYFUNCTION("""COMPUTED_VALUE"""),"referes::to::related::commit")</f>
        <v>referes::to::related::commit</v>
      </c>
      <c r="Q797" s="105"/>
      <c r="R797" s="105"/>
      <c r="S797" s="105"/>
      <c r="T797" s="105"/>
      <c r="U797" s="105"/>
      <c r="V797" s="105"/>
      <c r="W797" s="105"/>
      <c r="X797" s="105"/>
      <c r="Y797" s="105"/>
      <c r="Z797" s="105"/>
    </row>
    <row r="798">
      <c r="A798" s="105"/>
      <c r="B798" s="105"/>
      <c r="C798" s="105"/>
      <c r="D798" s="105"/>
      <c r="E798" s="105"/>
      <c r="F798" s="105"/>
      <c r="G798" s="105"/>
      <c r="H798" s="105"/>
      <c r="I798" s="105"/>
      <c r="J798" s="105"/>
      <c r="K798" s="105"/>
      <c r="L798" s="105"/>
      <c r="M798" s="105"/>
      <c r="N798" s="105"/>
      <c r="O798" s="105"/>
      <c r="P798" s="105" t="str">
        <f>IFERROR(__xludf.DUMMYFUNCTION("""COMPUTED_VALUE"""),"referes::to::related::issue")</f>
        <v>referes::to::related::issue</v>
      </c>
      <c r="Q798" s="105"/>
      <c r="R798" s="105"/>
      <c r="S798" s="105"/>
      <c r="T798" s="105"/>
      <c r="U798" s="105"/>
      <c r="V798" s="105"/>
      <c r="W798" s="105"/>
      <c r="X798" s="105"/>
      <c r="Y798" s="105"/>
      <c r="Z798" s="105"/>
    </row>
    <row r="799">
      <c r="A799" s="105"/>
      <c r="B799" s="105"/>
      <c r="C799" s="105"/>
      <c r="D799" s="105"/>
      <c r="E799" s="105"/>
      <c r="F799" s="105"/>
      <c r="G799" s="105"/>
      <c r="H799" s="105"/>
      <c r="I799" s="105"/>
      <c r="J799" s="105"/>
      <c r="K799" s="105"/>
      <c r="L799" s="105"/>
      <c r="M799" s="105"/>
      <c r="N799" s="105"/>
      <c r="O799" s="105"/>
      <c r="P799" s="105" t="str">
        <f>IFERROR(__xludf.DUMMYFUNCTION("""COMPUTED_VALUE"""),"referes::to::related::PR")</f>
        <v>referes::to::related::PR</v>
      </c>
      <c r="Q799" s="105"/>
      <c r="R799" s="105"/>
      <c r="S799" s="105"/>
      <c r="T799" s="105"/>
      <c r="U799" s="105"/>
      <c r="V799" s="105"/>
      <c r="W799" s="105"/>
      <c r="X799" s="105"/>
      <c r="Y799" s="105"/>
      <c r="Z799" s="105"/>
    </row>
    <row r="800">
      <c r="A800" s="105"/>
      <c r="B800" s="105"/>
      <c r="C800" s="105"/>
      <c r="D800" s="105"/>
      <c r="E800" s="105"/>
      <c r="F800" s="105"/>
      <c r="G800" s="105"/>
      <c r="H800" s="105"/>
      <c r="I800" s="105"/>
      <c r="J800" s="105"/>
      <c r="K800" s="105"/>
      <c r="L800" s="105"/>
      <c r="M800" s="105"/>
      <c r="N800" s="105"/>
      <c r="O800" s="105"/>
      <c r="P800" s="105" t="str">
        <f>IFERROR(__xludf.DUMMYFUNCTION("""COMPUTED_VALUE"""),"referes::to::related::review")</f>
        <v>referes::to::related::review</v>
      </c>
      <c r="Q800" s="105"/>
      <c r="R800" s="105"/>
      <c r="S800" s="105"/>
      <c r="T800" s="105"/>
      <c r="U800" s="105"/>
      <c r="V800" s="105"/>
      <c r="W800" s="105"/>
      <c r="X800" s="105"/>
      <c r="Y800" s="105"/>
      <c r="Z800" s="105"/>
    </row>
    <row r="801">
      <c r="A801" s="105"/>
      <c r="B801" s="105"/>
      <c r="C801" s="105"/>
      <c r="D801" s="105"/>
      <c r="E801" s="105"/>
      <c r="F801" s="105"/>
      <c r="G801" s="105"/>
      <c r="H801" s="105"/>
      <c r="I801" s="105"/>
      <c r="J801" s="105"/>
      <c r="K801" s="105"/>
      <c r="L801" s="105"/>
      <c r="M801" s="105"/>
      <c r="N801" s="105"/>
      <c r="O801" s="105"/>
      <c r="P801" s="105" t="str">
        <f>IFERROR(__xludf.DUMMYFUNCTION("""COMPUTED_VALUE"""),"referes::to::spec::(github)")</f>
        <v>referes::to::spec::(github)</v>
      </c>
      <c r="Q801" s="105"/>
      <c r="R801" s="105"/>
      <c r="S801" s="105"/>
      <c r="T801" s="105"/>
      <c r="U801" s="105"/>
      <c r="V801" s="105"/>
      <c r="W801" s="105"/>
      <c r="X801" s="105"/>
      <c r="Y801" s="105"/>
      <c r="Z801" s="105"/>
    </row>
    <row r="802">
      <c r="A802" s="105"/>
      <c r="B802" s="105"/>
      <c r="C802" s="105"/>
      <c r="D802" s="105"/>
      <c r="E802" s="105"/>
      <c r="F802" s="105"/>
      <c r="G802" s="105"/>
      <c r="H802" s="105"/>
      <c r="I802" s="105"/>
      <c r="J802" s="105"/>
      <c r="K802" s="105"/>
      <c r="L802" s="105"/>
      <c r="M802" s="105"/>
      <c r="N802" s="105"/>
      <c r="O802" s="105"/>
      <c r="P802" s="105" t="str">
        <f>IFERROR(__xludf.DUMMYFUNCTION("""COMPUTED_VALUE"""),"refers::previous::comment")</f>
        <v>refers::previous::comment</v>
      </c>
      <c r="Q802" s="105"/>
      <c r="R802" s="105"/>
      <c r="S802" s="105"/>
      <c r="T802" s="105"/>
      <c r="U802" s="105"/>
      <c r="V802" s="105"/>
      <c r="W802" s="105"/>
      <c r="X802" s="105"/>
      <c r="Y802" s="105"/>
      <c r="Z802" s="105"/>
    </row>
    <row r="803">
      <c r="A803" s="105"/>
      <c r="B803" s="105"/>
      <c r="C803" s="105"/>
      <c r="D803" s="105"/>
      <c r="E803" s="105"/>
      <c r="F803" s="105"/>
      <c r="G803" s="105"/>
      <c r="H803" s="105"/>
      <c r="I803" s="105"/>
      <c r="J803" s="105"/>
      <c r="K803" s="105"/>
      <c r="L803" s="105"/>
      <c r="M803" s="105"/>
      <c r="N803" s="105"/>
      <c r="O803" s="105"/>
      <c r="P803" s="105" t="str">
        <f>IFERROR(__xludf.DUMMYFUNCTION("""COMPUTED_VALUE"""),"refers::to::mailinglist")</f>
        <v>refers::to::mailinglist</v>
      </c>
      <c r="Q803" s="105"/>
      <c r="R803" s="105"/>
      <c r="S803" s="105"/>
      <c r="T803" s="105"/>
      <c r="U803" s="105"/>
      <c r="V803" s="105"/>
      <c r="W803" s="105"/>
      <c r="X803" s="105"/>
      <c r="Y803" s="105"/>
      <c r="Z803" s="105"/>
    </row>
    <row r="804">
      <c r="A804" s="105"/>
      <c r="B804" s="105"/>
      <c r="C804" s="105"/>
      <c r="D804" s="105"/>
      <c r="E804" s="105"/>
      <c r="F804" s="105"/>
      <c r="G804" s="105"/>
      <c r="H804" s="105"/>
      <c r="I804" s="105"/>
      <c r="J804" s="105"/>
      <c r="K804" s="105"/>
      <c r="L804" s="105"/>
      <c r="M804" s="105"/>
      <c r="N804" s="105"/>
      <c r="O804" s="105"/>
      <c r="P804" s="105" t="str">
        <f>IFERROR(__xludf.DUMMYFUNCTION("""COMPUTED_VALUE"""),"reminder::previous::comment")</f>
        <v>reminder::previous::comment</v>
      </c>
      <c r="Q804" s="105"/>
      <c r="R804" s="105"/>
      <c r="S804" s="105"/>
      <c r="T804" s="105"/>
      <c r="U804" s="105"/>
      <c r="V804" s="105"/>
      <c r="W804" s="105"/>
      <c r="X804" s="105"/>
      <c r="Y804" s="105"/>
      <c r="Z804" s="105"/>
    </row>
    <row r="805">
      <c r="A805" s="105"/>
      <c r="B805" s="105"/>
      <c r="C805" s="105"/>
      <c r="D805" s="105"/>
      <c r="E805" s="105"/>
      <c r="F805" s="105"/>
      <c r="G805" s="105"/>
      <c r="H805" s="105"/>
      <c r="I805" s="105"/>
      <c r="J805" s="105"/>
      <c r="K805" s="105"/>
      <c r="L805" s="105"/>
      <c r="M805" s="105"/>
      <c r="N805" s="105"/>
      <c r="O805" s="105"/>
      <c r="P805" s="105" t="str">
        <f>IFERROR(__xludf.DUMMYFUNCTION("""COMPUTED_VALUE"""),"reminder::todo")</f>
        <v>reminder::todo</v>
      </c>
      <c r="Q805" s="105"/>
      <c r="R805" s="105"/>
      <c r="S805" s="105"/>
      <c r="T805" s="105"/>
      <c r="U805" s="105"/>
      <c r="V805" s="105"/>
      <c r="W805" s="105"/>
      <c r="X805" s="105"/>
      <c r="Y805" s="105"/>
      <c r="Z805" s="105"/>
    </row>
    <row r="806">
      <c r="A806" s="105"/>
      <c r="B806" s="105"/>
      <c r="C806" s="105"/>
      <c r="D806" s="105"/>
      <c r="E806" s="105"/>
      <c r="F806" s="105"/>
      <c r="G806" s="105"/>
      <c r="H806" s="105"/>
      <c r="I806" s="105"/>
      <c r="J806" s="105"/>
      <c r="K806" s="105"/>
      <c r="L806" s="105"/>
      <c r="M806" s="105"/>
      <c r="N806" s="105"/>
      <c r="O806" s="105"/>
      <c r="P806" s="105" t="str">
        <f>IFERROR(__xludf.DUMMYFUNCTION("""COMPUTED_VALUE"""),"reminder::update::votes")</f>
        <v>reminder::update::votes</v>
      </c>
      <c r="Q806" s="105"/>
      <c r="R806" s="105"/>
      <c r="S806" s="105"/>
      <c r="T806" s="105"/>
      <c r="U806" s="105"/>
      <c r="V806" s="105"/>
      <c r="W806" s="105"/>
      <c r="X806" s="105"/>
      <c r="Y806" s="105"/>
      <c r="Z806" s="105"/>
    </row>
    <row r="807">
      <c r="A807" s="105"/>
      <c r="B807" s="105"/>
      <c r="C807" s="105"/>
      <c r="D807" s="105"/>
      <c r="E807" s="105"/>
      <c r="F807" s="105"/>
      <c r="G807" s="105"/>
      <c r="H807" s="105"/>
      <c r="I807" s="105"/>
      <c r="J807" s="105"/>
      <c r="K807" s="105"/>
      <c r="L807" s="105"/>
      <c r="M807" s="105"/>
      <c r="N807" s="105"/>
      <c r="O807" s="105"/>
      <c r="P807" s="105" t="str">
        <f>IFERROR(__xludf.DUMMYFUNCTION("""COMPUTED_VALUE"""),"request::not::mergeFFE::(feature::freeze::exception)::close")</f>
        <v>request::not::mergeFFE::(feature::freeze::exception)::close</v>
      </c>
      <c r="Q807" s="105"/>
      <c r="R807" s="105"/>
      <c r="S807" s="105"/>
      <c r="T807" s="105"/>
      <c r="U807" s="105"/>
      <c r="V807" s="105"/>
      <c r="W807" s="105"/>
      <c r="X807" s="105"/>
      <c r="Y807" s="105"/>
      <c r="Z807" s="105"/>
    </row>
    <row r="808">
      <c r="A808" s="105"/>
      <c r="B808" s="105"/>
      <c r="C808" s="105"/>
      <c r="D808" s="105"/>
      <c r="E808" s="105"/>
      <c r="F808" s="105"/>
      <c r="G808" s="105"/>
      <c r="H808" s="105"/>
      <c r="I808" s="105"/>
      <c r="J808" s="105"/>
      <c r="K808" s="105"/>
      <c r="L808" s="105"/>
      <c r="M808" s="105"/>
      <c r="N808" s="105"/>
      <c r="O808" s="105"/>
      <c r="P808" s="105" t="str">
        <f>IFERROR(__xludf.DUMMYFUNCTION("""COMPUTED_VALUE"""),"request::of::rebase")</f>
        <v>request::of::rebase</v>
      </c>
      <c r="Q808" s="105"/>
      <c r="R808" s="105"/>
      <c r="S808" s="105"/>
      <c r="T808" s="105"/>
      <c r="U808" s="105"/>
      <c r="V808" s="105"/>
      <c r="W808" s="105"/>
      <c r="X808" s="105"/>
      <c r="Y808" s="105"/>
      <c r="Z808" s="105"/>
    </row>
    <row r="809">
      <c r="A809" s="105"/>
      <c r="B809" s="105"/>
      <c r="C809" s="105"/>
      <c r="D809" s="105"/>
      <c r="E809" s="105"/>
      <c r="F809" s="105"/>
      <c r="G809" s="105"/>
      <c r="H809" s="105"/>
      <c r="I809" s="105"/>
      <c r="J809" s="105"/>
      <c r="K809" s="105"/>
      <c r="L809" s="105"/>
      <c r="M809" s="105"/>
      <c r="N809" s="105"/>
      <c r="O809" s="105"/>
      <c r="P809" s="105" t="str">
        <f>IFERROR(__xludf.DUMMYFUNCTION("""COMPUTED_VALUE"""),"requesting::check::pylint")</f>
        <v>requesting::check::pylint</v>
      </c>
      <c r="Q809" s="105"/>
      <c r="R809" s="105"/>
      <c r="S809" s="105"/>
      <c r="T809" s="105"/>
      <c r="U809" s="105"/>
      <c r="V809" s="105"/>
      <c r="W809" s="105"/>
      <c r="X809" s="105"/>
      <c r="Y809" s="105"/>
      <c r="Z809" s="105"/>
    </row>
    <row r="810">
      <c r="A810" s="105"/>
      <c r="B810" s="105"/>
      <c r="C810" s="105"/>
      <c r="D810" s="105"/>
      <c r="E810" s="105"/>
      <c r="F810" s="105"/>
      <c r="G810" s="105"/>
      <c r="H810" s="105"/>
      <c r="I810" s="105"/>
      <c r="J810" s="105"/>
      <c r="K810" s="105"/>
      <c r="L810" s="105"/>
      <c r="M810" s="105"/>
      <c r="N810" s="105"/>
      <c r="O810" s="105"/>
      <c r="P810" s="105" t="str">
        <f>IFERROR(__xludf.DUMMYFUNCTION("""COMPUTED_VALUE"""),"requesting::execution::of::CI::system")</f>
        <v>requesting::execution::of::CI::system</v>
      </c>
      <c r="Q810" s="105"/>
      <c r="R810" s="105"/>
      <c r="S810" s="105"/>
      <c r="T810" s="105"/>
      <c r="U810" s="105"/>
      <c r="V810" s="105"/>
      <c r="W810" s="105"/>
      <c r="X810" s="105"/>
      <c r="Y810" s="105"/>
      <c r="Z810" s="105"/>
    </row>
    <row r="811">
      <c r="A811" s="105"/>
      <c r="B811" s="105"/>
      <c r="C811" s="105"/>
      <c r="D811" s="105"/>
      <c r="E811" s="105"/>
      <c r="F811" s="105"/>
      <c r="G811" s="105"/>
      <c r="H811" s="105"/>
      <c r="I811" s="105"/>
      <c r="J811" s="105"/>
      <c r="K811" s="105"/>
      <c r="L811" s="105"/>
      <c r="M811" s="105"/>
      <c r="N811" s="105"/>
      <c r="O811" s="105"/>
      <c r="P811" s="105" t="str">
        <f>IFERROR(__xludf.DUMMYFUNCTION("""COMPUTED_VALUE"""),"requesting::explanation::for::not::aproval")</f>
        <v>requesting::explanation::for::not::aproval</v>
      </c>
      <c r="Q811" s="105"/>
      <c r="R811" s="105"/>
      <c r="S811" s="105"/>
      <c r="T811" s="105"/>
      <c r="U811" s="105"/>
      <c r="V811" s="105"/>
      <c r="W811" s="105"/>
      <c r="X811" s="105"/>
      <c r="Y811" s="105"/>
      <c r="Z811" s="105"/>
    </row>
    <row r="812">
      <c r="A812" s="105"/>
      <c r="B812" s="105"/>
      <c r="C812" s="105"/>
      <c r="D812" s="105"/>
      <c r="E812" s="105"/>
      <c r="F812" s="105"/>
      <c r="G812" s="105"/>
      <c r="H812" s="105"/>
      <c r="I812" s="105"/>
      <c r="J812" s="105"/>
      <c r="K812" s="105"/>
      <c r="L812" s="105"/>
      <c r="M812" s="105"/>
      <c r="N812" s="105"/>
      <c r="O812" s="105"/>
      <c r="P812" s="105" t="str">
        <f>IFERROR(__xludf.DUMMYFUNCTION("""COMPUTED_VALUE"""),"requesting::more::tests")</f>
        <v>requesting::more::tests</v>
      </c>
      <c r="Q812" s="105"/>
      <c r="R812" s="105"/>
      <c r="S812" s="105"/>
      <c r="T812" s="105"/>
      <c r="U812" s="105"/>
      <c r="V812" s="105"/>
      <c r="W812" s="105"/>
      <c r="X812" s="105"/>
      <c r="Y812" s="105"/>
      <c r="Z812" s="105"/>
    </row>
    <row r="813">
      <c r="A813" s="105"/>
      <c r="B813" s="105"/>
      <c r="C813" s="105"/>
      <c r="D813" s="105"/>
      <c r="E813" s="105"/>
      <c r="F813" s="105"/>
      <c r="G813" s="105"/>
      <c r="H813" s="105"/>
      <c r="I813" s="105"/>
      <c r="J813" s="105"/>
      <c r="K813" s="105"/>
      <c r="L813" s="105"/>
      <c r="M813" s="105"/>
      <c r="N813" s="105"/>
      <c r="O813" s="105"/>
      <c r="P813" s="105" t="str">
        <f>IFERROR(__xludf.DUMMYFUNCTION("""COMPUTED_VALUE"""),"requesting::more::tests::(coverage)")</f>
        <v>requesting::more::tests::(coverage)</v>
      </c>
      <c r="Q813" s="105"/>
      <c r="R813" s="105"/>
      <c r="S813" s="105"/>
      <c r="T813" s="105"/>
      <c r="U813" s="105"/>
      <c r="V813" s="105"/>
      <c r="W813" s="105"/>
      <c r="X813" s="105"/>
      <c r="Y813" s="105"/>
      <c r="Z813" s="105"/>
    </row>
    <row r="814">
      <c r="A814" s="105"/>
      <c r="B814" s="105"/>
      <c r="C814" s="105"/>
      <c r="D814" s="105"/>
      <c r="E814" s="105"/>
      <c r="F814" s="105"/>
      <c r="G814" s="105"/>
      <c r="H814" s="105"/>
      <c r="I814" s="105"/>
      <c r="J814" s="105"/>
      <c r="K814" s="105"/>
      <c r="L814" s="105"/>
      <c r="M814" s="105"/>
      <c r="N814" s="105"/>
      <c r="O814" s="105"/>
      <c r="P814" s="105" t="str">
        <f>IFERROR(__xludf.DUMMYFUNCTION("""COMPUTED_VALUE"""),"requesting::more::tests::(coverage2)")</f>
        <v>requesting::more::tests::(coverage2)</v>
      </c>
      <c r="Q814" s="105"/>
      <c r="R814" s="105"/>
      <c r="S814" s="105"/>
      <c r="T814" s="105"/>
      <c r="U814" s="105"/>
      <c r="V814" s="105"/>
      <c r="W814" s="105"/>
      <c r="X814" s="105"/>
      <c r="Y814" s="105"/>
      <c r="Z814" s="105"/>
    </row>
    <row r="815">
      <c r="A815" s="105"/>
      <c r="B815" s="105"/>
      <c r="C815" s="105"/>
      <c r="D815" s="105"/>
      <c r="E815" s="105"/>
      <c r="F815" s="105"/>
      <c r="G815" s="105"/>
      <c r="H815" s="105"/>
      <c r="I815" s="105"/>
      <c r="J815" s="105"/>
      <c r="K815" s="105"/>
      <c r="L815" s="105"/>
      <c r="M815" s="105"/>
      <c r="N815" s="105"/>
      <c r="O815" s="105"/>
      <c r="P815" s="105" t="str">
        <f>IFERROR(__xludf.DUMMYFUNCTION("""COMPUTED_VALUE"""),"requesting::more::tests::(missing::case)")</f>
        <v>requesting::more::tests::(missing::case)</v>
      </c>
      <c r="Q815" s="105"/>
      <c r="R815" s="105"/>
      <c r="S815" s="105"/>
      <c r="T815" s="105"/>
      <c r="U815" s="105"/>
      <c r="V815" s="105"/>
      <c r="W815" s="105"/>
      <c r="X815" s="105"/>
      <c r="Y815" s="105"/>
      <c r="Z815" s="105"/>
    </row>
    <row r="816">
      <c r="A816" s="105"/>
      <c r="B816" s="105"/>
      <c r="C816" s="105"/>
      <c r="D816" s="105"/>
      <c r="E816" s="105"/>
      <c r="F816" s="105"/>
      <c r="G816" s="105"/>
      <c r="H816" s="105"/>
      <c r="I816" s="105"/>
      <c r="J816" s="105"/>
      <c r="K816" s="105"/>
      <c r="L816" s="105"/>
      <c r="M816" s="105"/>
      <c r="N816" s="105"/>
      <c r="O816" s="105"/>
      <c r="P816" s="105" t="str">
        <f>IFERROR(__xludf.DUMMYFUNCTION("""COMPUTED_VALUE"""),"requesting::of::checking::different::bug")</f>
        <v>requesting::of::checking::different::bug</v>
      </c>
      <c r="Q816" s="105"/>
      <c r="R816" s="105"/>
      <c r="S816" s="105"/>
      <c r="T816" s="105"/>
      <c r="U816" s="105"/>
      <c r="V816" s="105"/>
      <c r="W816" s="105"/>
      <c r="X816" s="105"/>
      <c r="Y816" s="105"/>
      <c r="Z816" s="105"/>
    </row>
    <row r="817">
      <c r="A817" s="105"/>
      <c r="B817" s="105"/>
      <c r="C817" s="105"/>
      <c r="D817" s="105"/>
      <c r="E817" s="105"/>
      <c r="F817" s="105"/>
      <c r="G817" s="105"/>
      <c r="H817" s="105"/>
      <c r="I817" s="105"/>
      <c r="J817" s="105"/>
      <c r="K817" s="105"/>
      <c r="L817" s="105"/>
      <c r="M817" s="105"/>
      <c r="N817" s="105"/>
      <c r="O817" s="105"/>
      <c r="P817" s="105" t="str">
        <f>IFERROR(__xludf.DUMMYFUNCTION("""COMPUTED_VALUE"""),"requesting::of::checking::different::bug2")</f>
        <v>requesting::of::checking::different::bug2</v>
      </c>
      <c r="Q817" s="105"/>
      <c r="R817" s="105"/>
      <c r="S817" s="105"/>
      <c r="T817" s="105"/>
      <c r="U817" s="105"/>
      <c r="V817" s="105"/>
      <c r="W817" s="105"/>
      <c r="X817" s="105"/>
      <c r="Y817" s="105"/>
      <c r="Z817" s="105"/>
    </row>
    <row r="818">
      <c r="A818" s="105"/>
      <c r="B818" s="105"/>
      <c r="C818" s="105"/>
      <c r="D818" s="105"/>
      <c r="E818" s="105"/>
      <c r="F818" s="105"/>
      <c r="G818" s="105"/>
      <c r="H818" s="105"/>
      <c r="I818" s="105"/>
      <c r="J818" s="105"/>
      <c r="K818" s="105"/>
      <c r="L818" s="105"/>
      <c r="M818" s="105"/>
      <c r="N818" s="105"/>
      <c r="O818" s="105"/>
      <c r="P818" s="105" t="str">
        <f>IFERROR(__xludf.DUMMYFUNCTION("""COMPUTED_VALUE"""),"requesting::of::checking::different::bug3")</f>
        <v>requesting::of::checking::different::bug3</v>
      </c>
      <c r="Q818" s="105"/>
      <c r="R818" s="105"/>
      <c r="S818" s="105"/>
      <c r="T818" s="105"/>
      <c r="U818" s="105"/>
      <c r="V818" s="105"/>
      <c r="W818" s="105"/>
      <c r="X818" s="105"/>
      <c r="Y818" s="105"/>
      <c r="Z818" s="105"/>
    </row>
    <row r="819">
      <c r="A819" s="105"/>
      <c r="B819" s="105"/>
      <c r="C819" s="105"/>
      <c r="D819" s="105"/>
      <c r="E819" s="105"/>
      <c r="F819" s="105"/>
      <c r="G819" s="105"/>
      <c r="H819" s="105"/>
      <c r="I819" s="105"/>
      <c r="J819" s="105"/>
      <c r="K819" s="105"/>
      <c r="L819" s="105"/>
      <c r="M819" s="105"/>
      <c r="N819" s="105"/>
      <c r="O819" s="105"/>
      <c r="P819" s="105" t="str">
        <f>IFERROR(__xludf.DUMMYFUNCTION("""COMPUTED_VALUE"""),"requesting::of::checking::different::bug4")</f>
        <v>requesting::of::checking::different::bug4</v>
      </c>
      <c r="Q819" s="105"/>
      <c r="R819" s="105"/>
      <c r="S819" s="105"/>
      <c r="T819" s="105"/>
      <c r="U819" s="105"/>
      <c r="V819" s="105"/>
      <c r="W819" s="105"/>
      <c r="X819" s="105"/>
      <c r="Y819" s="105"/>
      <c r="Z819" s="105"/>
    </row>
    <row r="820">
      <c r="A820" s="105"/>
      <c r="B820" s="105"/>
      <c r="C820" s="105"/>
      <c r="D820" s="105"/>
      <c r="E820" s="105"/>
      <c r="F820" s="105"/>
      <c r="G820" s="105"/>
      <c r="H820" s="105"/>
      <c r="I820" s="105"/>
      <c r="J820" s="105"/>
      <c r="K820" s="105"/>
      <c r="L820" s="105"/>
      <c r="M820" s="105"/>
      <c r="N820" s="105"/>
      <c r="O820" s="105"/>
      <c r="P820" s="105" t="str">
        <f>IFERROR(__xludf.DUMMYFUNCTION("""COMPUTED_VALUE"""),"requesting::of::checking::different::bug5")</f>
        <v>requesting::of::checking::different::bug5</v>
      </c>
      <c r="Q820" s="105"/>
      <c r="R820" s="105"/>
      <c r="S820" s="105"/>
      <c r="T820" s="105"/>
      <c r="U820" s="105"/>
      <c r="V820" s="105"/>
      <c r="W820" s="105"/>
      <c r="X820" s="105"/>
      <c r="Y820" s="105"/>
      <c r="Z820" s="105"/>
    </row>
    <row r="821">
      <c r="A821" s="105"/>
      <c r="B821" s="105"/>
      <c r="C821" s="105"/>
      <c r="D821" s="105"/>
      <c r="E821" s="105"/>
      <c r="F821" s="105"/>
      <c r="G821" s="105"/>
      <c r="H821" s="105"/>
      <c r="I821" s="105"/>
      <c r="J821" s="105"/>
      <c r="K821" s="105"/>
      <c r="L821" s="105"/>
      <c r="M821" s="105"/>
      <c r="N821" s="105"/>
      <c r="O821" s="105"/>
      <c r="P821" s="105" t="str">
        <f>IFERROR(__xludf.DUMMYFUNCTION("""COMPUTED_VALUE"""),"requesting::of::checking::different::bug6")</f>
        <v>requesting::of::checking::different::bug6</v>
      </c>
      <c r="Q821" s="105"/>
      <c r="R821" s="105"/>
      <c r="S821" s="105"/>
      <c r="T821" s="105"/>
      <c r="U821" s="105"/>
      <c r="V821" s="105"/>
      <c r="W821" s="105"/>
      <c r="X821" s="105"/>
      <c r="Y821" s="105"/>
      <c r="Z821" s="105"/>
    </row>
    <row r="822">
      <c r="A822" s="105"/>
      <c r="B822" s="105"/>
      <c r="C822" s="105"/>
      <c r="D822" s="105"/>
      <c r="E822" s="105"/>
      <c r="F822" s="105"/>
      <c r="G822" s="105"/>
      <c r="H822" s="105"/>
      <c r="I822" s="105"/>
      <c r="J822" s="105"/>
      <c r="K822" s="105"/>
      <c r="L822" s="105"/>
      <c r="M822" s="105"/>
      <c r="N822" s="105"/>
      <c r="O822" s="105"/>
      <c r="P822" s="105" t="str">
        <f>IFERROR(__xludf.DUMMYFUNCTION("""COMPUTED_VALUE"""),"requesting::of::checking::different::bug7")</f>
        <v>requesting::of::checking::different::bug7</v>
      </c>
      <c r="Q822" s="105"/>
      <c r="R822" s="105"/>
      <c r="S822" s="105"/>
      <c r="T822" s="105"/>
      <c r="U822" s="105"/>
      <c r="V822" s="105"/>
      <c r="W822" s="105"/>
      <c r="X822" s="105"/>
      <c r="Y822" s="105"/>
      <c r="Z822" s="105"/>
    </row>
    <row r="823">
      <c r="A823" s="105"/>
      <c r="B823" s="105"/>
      <c r="C823" s="105"/>
      <c r="D823" s="105"/>
      <c r="E823" s="105"/>
      <c r="F823" s="105"/>
      <c r="G823" s="105"/>
      <c r="H823" s="105"/>
      <c r="I823" s="105"/>
      <c r="J823" s="105"/>
      <c r="K823" s="105"/>
      <c r="L823" s="105"/>
      <c r="M823" s="105"/>
      <c r="N823" s="105"/>
      <c r="O823" s="105"/>
      <c r="P823" s="105" t="str">
        <f>IFERROR(__xludf.DUMMYFUNCTION("""COMPUTED_VALUE"""),"requesting::of::checking::different::review")</f>
        <v>requesting::of::checking::different::review</v>
      </c>
      <c r="Q823" s="105"/>
      <c r="R823" s="105"/>
      <c r="S823" s="105"/>
      <c r="T823" s="105"/>
      <c r="U823" s="105"/>
      <c r="V823" s="105"/>
      <c r="W823" s="105"/>
      <c r="X823" s="105"/>
      <c r="Y823" s="105"/>
      <c r="Z823" s="105"/>
    </row>
    <row r="824">
      <c r="A824" s="105"/>
      <c r="B824" s="105"/>
      <c r="C824" s="105"/>
      <c r="D824" s="105"/>
      <c r="E824" s="105"/>
      <c r="F824" s="105"/>
      <c r="G824" s="105"/>
      <c r="H824" s="105"/>
      <c r="I824" s="105"/>
      <c r="J824" s="105"/>
      <c r="K824" s="105"/>
      <c r="L824" s="105"/>
      <c r="M824" s="105"/>
      <c r="N824" s="105"/>
      <c r="O824" s="105"/>
      <c r="P824" s="105" t="str">
        <f>IFERROR(__xludf.DUMMYFUNCTION("""COMPUTED_VALUE"""),"requesting::of::checking::for::bugs")</f>
        <v>requesting::of::checking::for::bugs</v>
      </c>
      <c r="Q824" s="105"/>
      <c r="R824" s="105"/>
      <c r="S824" s="105"/>
      <c r="T824" s="105"/>
      <c r="U824" s="105"/>
      <c r="V824" s="105"/>
      <c r="W824" s="105"/>
      <c r="X824" s="105"/>
      <c r="Y824" s="105"/>
      <c r="Z824" s="105"/>
    </row>
    <row r="825">
      <c r="A825" s="105"/>
      <c r="B825" s="105"/>
      <c r="C825" s="105"/>
      <c r="D825" s="105"/>
      <c r="E825" s="105"/>
      <c r="F825" s="105"/>
      <c r="G825" s="105"/>
      <c r="H825" s="105"/>
      <c r="I825" s="105"/>
      <c r="J825" s="105"/>
      <c r="K825" s="105"/>
      <c r="L825" s="105"/>
      <c r="M825" s="105"/>
      <c r="N825" s="105"/>
      <c r="O825" s="105"/>
      <c r="P825" s="105" t="str">
        <f>IFERROR(__xludf.DUMMYFUNCTION("""COMPUTED_VALUE"""),"requesting::reverify")</f>
        <v>requesting::reverify</v>
      </c>
      <c r="Q825" s="105"/>
      <c r="R825" s="105"/>
      <c r="S825" s="105"/>
      <c r="T825" s="105"/>
      <c r="U825" s="105"/>
      <c r="V825" s="105"/>
      <c r="W825" s="105"/>
      <c r="X825" s="105"/>
      <c r="Y825" s="105"/>
      <c r="Z825" s="105"/>
    </row>
    <row r="826">
      <c r="A826" s="105"/>
      <c r="B826" s="105"/>
      <c r="C826" s="105"/>
      <c r="D826" s="105"/>
      <c r="E826" s="105"/>
      <c r="F826" s="105"/>
      <c r="G826" s="105"/>
      <c r="H826" s="105"/>
      <c r="I826" s="105"/>
      <c r="J826" s="105"/>
      <c r="K826" s="105"/>
      <c r="L826" s="105"/>
      <c r="M826" s="105"/>
      <c r="N826" s="105"/>
      <c r="O826" s="105"/>
      <c r="P826" s="105" t="str">
        <f>IFERROR(__xludf.DUMMYFUNCTION("""COMPUTED_VALUE"""),"requesting::reviews::from::others")</f>
        <v>requesting::reviews::from::others</v>
      </c>
      <c r="Q826" s="105"/>
      <c r="R826" s="105"/>
      <c r="S826" s="105"/>
      <c r="T826" s="105"/>
      <c r="U826" s="105"/>
      <c r="V826" s="105"/>
      <c r="W826" s="105"/>
      <c r="X826" s="105"/>
      <c r="Y826" s="105"/>
      <c r="Z826" s="105"/>
    </row>
    <row r="827">
      <c r="A827" s="105"/>
      <c r="B827" s="105"/>
      <c r="C827" s="105"/>
      <c r="D827" s="105"/>
      <c r="E827" s="105"/>
      <c r="F827" s="105"/>
      <c r="G827" s="105"/>
      <c r="H827" s="105"/>
      <c r="I827" s="105"/>
      <c r="J827" s="105"/>
      <c r="K827" s="105"/>
      <c r="L827" s="105"/>
      <c r="M827" s="105"/>
      <c r="N827" s="105"/>
      <c r="O827" s="105"/>
      <c r="P827" s="105" t="str">
        <f>IFERROR(__xludf.DUMMYFUNCTION("""COMPUTED_VALUE"""),"requesting::somebodyelse::for::approval::for::submitting")</f>
        <v>requesting::somebodyelse::for::approval::for::submitting</v>
      </c>
      <c r="Q827" s="105"/>
      <c r="R827" s="105"/>
      <c r="S827" s="105"/>
      <c r="T827" s="105"/>
      <c r="U827" s="105"/>
      <c r="V827" s="105"/>
      <c r="W827" s="105"/>
      <c r="X827" s="105"/>
      <c r="Y827" s="105"/>
      <c r="Z827" s="105"/>
    </row>
    <row r="828">
      <c r="A828" s="105"/>
      <c r="B828" s="105"/>
      <c r="C828" s="105"/>
      <c r="D828" s="105"/>
      <c r="E828" s="105"/>
      <c r="F828" s="105"/>
      <c r="G828" s="105"/>
      <c r="H828" s="105"/>
      <c r="I828" s="105"/>
      <c r="J828" s="105"/>
      <c r="K828" s="105"/>
      <c r="L828" s="105"/>
      <c r="M828" s="105"/>
      <c r="N828" s="105"/>
      <c r="O828" s="105"/>
      <c r="P828" s="105" t="str">
        <f>IFERROR(__xludf.DUMMYFUNCTION("""COMPUTED_VALUE"""),"requesting::somebodyelse::for::approval::for::submitting10")</f>
        <v>requesting::somebodyelse::for::approval::for::submitting10</v>
      </c>
      <c r="Q828" s="105"/>
      <c r="R828" s="105"/>
      <c r="S828" s="105"/>
      <c r="T828" s="105"/>
      <c r="U828" s="105"/>
      <c r="V828" s="105"/>
      <c r="W828" s="105"/>
      <c r="X828" s="105"/>
      <c r="Y828" s="105"/>
      <c r="Z828" s="105"/>
    </row>
    <row r="829">
      <c r="A829" s="105"/>
      <c r="B829" s="105"/>
      <c r="C829" s="105"/>
      <c r="D829" s="105"/>
      <c r="E829" s="105"/>
      <c r="F829" s="105"/>
      <c r="G829" s="105"/>
      <c r="H829" s="105"/>
      <c r="I829" s="105"/>
      <c r="J829" s="105"/>
      <c r="K829" s="105"/>
      <c r="L829" s="105"/>
      <c r="M829" s="105"/>
      <c r="N829" s="105"/>
      <c r="O829" s="105"/>
      <c r="P829" s="105" t="str">
        <f>IFERROR(__xludf.DUMMYFUNCTION("""COMPUTED_VALUE"""),"requesting::somebodyelse::for::approval::for::submitting11")</f>
        <v>requesting::somebodyelse::for::approval::for::submitting11</v>
      </c>
      <c r="Q829" s="105"/>
      <c r="R829" s="105"/>
      <c r="S829" s="105"/>
      <c r="T829" s="105"/>
      <c r="U829" s="105"/>
      <c r="V829" s="105"/>
      <c r="W829" s="105"/>
      <c r="X829" s="105"/>
      <c r="Y829" s="105"/>
      <c r="Z829" s="105"/>
    </row>
    <row r="830">
      <c r="A830" s="105"/>
      <c r="B830" s="105"/>
      <c r="C830" s="105"/>
      <c r="D830" s="105"/>
      <c r="E830" s="105"/>
      <c r="F830" s="105"/>
      <c r="G830" s="105"/>
      <c r="H830" s="105"/>
      <c r="I830" s="105"/>
      <c r="J830" s="105"/>
      <c r="K830" s="105"/>
      <c r="L830" s="105"/>
      <c r="M830" s="105"/>
      <c r="N830" s="105"/>
      <c r="O830" s="105"/>
      <c r="P830" s="105" t="str">
        <f>IFERROR(__xludf.DUMMYFUNCTION("""COMPUTED_VALUE"""),"requesting::somebodyelse::for::approval::for::submitting12")</f>
        <v>requesting::somebodyelse::for::approval::for::submitting12</v>
      </c>
      <c r="Q830" s="105"/>
      <c r="R830" s="105"/>
      <c r="S830" s="105"/>
      <c r="T830" s="105"/>
      <c r="U830" s="105"/>
      <c r="V830" s="105"/>
      <c r="W830" s="105"/>
      <c r="X830" s="105"/>
      <c r="Y830" s="105"/>
      <c r="Z830" s="105"/>
    </row>
    <row r="831">
      <c r="A831" s="105"/>
      <c r="B831" s="105"/>
      <c r="C831" s="105"/>
      <c r="D831" s="105"/>
      <c r="E831" s="105"/>
      <c r="F831" s="105"/>
      <c r="G831" s="105"/>
      <c r="H831" s="105"/>
      <c r="I831" s="105"/>
      <c r="J831" s="105"/>
      <c r="K831" s="105"/>
      <c r="L831" s="105"/>
      <c r="M831" s="105"/>
      <c r="N831" s="105"/>
      <c r="O831" s="105"/>
      <c r="P831" s="105" t="str">
        <f>IFERROR(__xludf.DUMMYFUNCTION("""COMPUTED_VALUE"""),"requesting::somebodyelse::for::approval::for::submitting13")</f>
        <v>requesting::somebodyelse::for::approval::for::submitting13</v>
      </c>
      <c r="Q831" s="105"/>
      <c r="R831" s="105"/>
      <c r="S831" s="105"/>
      <c r="T831" s="105"/>
      <c r="U831" s="105"/>
      <c r="V831" s="105"/>
      <c r="W831" s="105"/>
      <c r="X831" s="105"/>
      <c r="Y831" s="105"/>
      <c r="Z831" s="105"/>
    </row>
    <row r="832">
      <c r="A832" s="105"/>
      <c r="B832" s="105"/>
      <c r="C832" s="105"/>
      <c r="D832" s="105"/>
      <c r="E832" s="105"/>
      <c r="F832" s="105"/>
      <c r="G832" s="105"/>
      <c r="H832" s="105"/>
      <c r="I832" s="105"/>
      <c r="J832" s="105"/>
      <c r="K832" s="105"/>
      <c r="L832" s="105"/>
      <c r="M832" s="105"/>
      <c r="N832" s="105"/>
      <c r="O832" s="105"/>
      <c r="P832" s="105" t="str">
        <f>IFERROR(__xludf.DUMMYFUNCTION("""COMPUTED_VALUE"""),"requesting::somebodyelse::for::approval::for::submitting14")</f>
        <v>requesting::somebodyelse::for::approval::for::submitting14</v>
      </c>
      <c r="Q832" s="105"/>
      <c r="R832" s="105"/>
      <c r="S832" s="105"/>
      <c r="T832" s="105"/>
      <c r="U832" s="105"/>
      <c r="V832" s="105"/>
      <c r="W832" s="105"/>
      <c r="X832" s="105"/>
      <c r="Y832" s="105"/>
      <c r="Z832" s="105"/>
    </row>
    <row r="833">
      <c r="A833" s="105"/>
      <c r="B833" s="105"/>
      <c r="C833" s="105"/>
      <c r="D833" s="105"/>
      <c r="E833" s="105"/>
      <c r="F833" s="105"/>
      <c r="G833" s="105"/>
      <c r="H833" s="105"/>
      <c r="I833" s="105"/>
      <c r="J833" s="105"/>
      <c r="K833" s="105"/>
      <c r="L833" s="105"/>
      <c r="M833" s="105"/>
      <c r="N833" s="105"/>
      <c r="O833" s="105"/>
      <c r="P833" s="105" t="str">
        <f>IFERROR(__xludf.DUMMYFUNCTION("""COMPUTED_VALUE"""),"requesting::somebodyelse::for::approval::for::submitting15")</f>
        <v>requesting::somebodyelse::for::approval::for::submitting15</v>
      </c>
      <c r="Q833" s="105"/>
      <c r="R833" s="105"/>
      <c r="S833" s="105"/>
      <c r="T833" s="105"/>
      <c r="U833" s="105"/>
      <c r="V833" s="105"/>
      <c r="W833" s="105"/>
      <c r="X833" s="105"/>
      <c r="Y833" s="105"/>
      <c r="Z833" s="105"/>
    </row>
    <row r="834">
      <c r="A834" s="105"/>
      <c r="B834" s="105"/>
      <c r="C834" s="105"/>
      <c r="D834" s="105"/>
      <c r="E834" s="105"/>
      <c r="F834" s="105"/>
      <c r="G834" s="105"/>
      <c r="H834" s="105"/>
      <c r="I834" s="105"/>
      <c r="J834" s="105"/>
      <c r="K834" s="105"/>
      <c r="L834" s="105"/>
      <c r="M834" s="105"/>
      <c r="N834" s="105"/>
      <c r="O834" s="105"/>
      <c r="P834" s="105" t="str">
        <f>IFERROR(__xludf.DUMMYFUNCTION("""COMPUTED_VALUE"""),"requesting::somebodyelse::for::approval::for::submitting16")</f>
        <v>requesting::somebodyelse::for::approval::for::submitting16</v>
      </c>
      <c r="Q834" s="105"/>
      <c r="R834" s="105"/>
      <c r="S834" s="105"/>
      <c r="T834" s="105"/>
      <c r="U834" s="105"/>
      <c r="V834" s="105"/>
      <c r="W834" s="105"/>
      <c r="X834" s="105"/>
      <c r="Y834" s="105"/>
      <c r="Z834" s="105"/>
    </row>
    <row r="835">
      <c r="A835" s="105"/>
      <c r="B835" s="105"/>
      <c r="C835" s="105"/>
      <c r="D835" s="105"/>
      <c r="E835" s="105"/>
      <c r="F835" s="105"/>
      <c r="G835" s="105"/>
      <c r="H835" s="105"/>
      <c r="I835" s="105"/>
      <c r="J835" s="105"/>
      <c r="K835" s="105"/>
      <c r="L835" s="105"/>
      <c r="M835" s="105"/>
      <c r="N835" s="105"/>
      <c r="O835" s="105"/>
      <c r="P835" s="105" t="str">
        <f>IFERROR(__xludf.DUMMYFUNCTION("""COMPUTED_VALUE"""),"requesting::somebodyelse::for::approval::for::submitting17")</f>
        <v>requesting::somebodyelse::for::approval::for::submitting17</v>
      </c>
      <c r="Q835" s="105"/>
      <c r="R835" s="105"/>
      <c r="S835" s="105"/>
      <c r="T835" s="105"/>
      <c r="U835" s="105"/>
      <c r="V835" s="105"/>
      <c r="W835" s="105"/>
      <c r="X835" s="105"/>
      <c r="Y835" s="105"/>
      <c r="Z835" s="105"/>
    </row>
    <row r="836">
      <c r="A836" s="105"/>
      <c r="B836" s="105"/>
      <c r="C836" s="105"/>
      <c r="D836" s="105"/>
      <c r="E836" s="105"/>
      <c r="F836" s="105"/>
      <c r="G836" s="105"/>
      <c r="H836" s="105"/>
      <c r="I836" s="105"/>
      <c r="J836" s="105"/>
      <c r="K836" s="105"/>
      <c r="L836" s="105"/>
      <c r="M836" s="105"/>
      <c r="N836" s="105"/>
      <c r="O836" s="105"/>
      <c r="P836" s="105" t="str">
        <f>IFERROR(__xludf.DUMMYFUNCTION("""COMPUTED_VALUE"""),"requesting::somebodyelse::for::approval::for::submitting18")</f>
        <v>requesting::somebodyelse::for::approval::for::submitting18</v>
      </c>
      <c r="Q836" s="105"/>
      <c r="R836" s="105"/>
      <c r="S836" s="105"/>
      <c r="T836" s="105"/>
      <c r="U836" s="105"/>
      <c r="V836" s="105"/>
      <c r="W836" s="105"/>
      <c r="X836" s="105"/>
      <c r="Y836" s="105"/>
      <c r="Z836" s="105"/>
    </row>
    <row r="837">
      <c r="A837" s="105"/>
      <c r="B837" s="105"/>
      <c r="C837" s="105"/>
      <c r="D837" s="105"/>
      <c r="E837" s="105"/>
      <c r="F837" s="105"/>
      <c r="G837" s="105"/>
      <c r="H837" s="105"/>
      <c r="I837" s="105"/>
      <c r="J837" s="105"/>
      <c r="K837" s="105"/>
      <c r="L837" s="105"/>
      <c r="M837" s="105"/>
      <c r="N837" s="105"/>
      <c r="O837" s="105"/>
      <c r="P837" s="105" t="str">
        <f>IFERROR(__xludf.DUMMYFUNCTION("""COMPUTED_VALUE"""),"requesting::somebodyelse::for::approval::for::submitting19")</f>
        <v>requesting::somebodyelse::for::approval::for::submitting19</v>
      </c>
      <c r="Q837" s="105"/>
      <c r="R837" s="105"/>
      <c r="S837" s="105"/>
      <c r="T837" s="105"/>
      <c r="U837" s="105"/>
      <c r="V837" s="105"/>
      <c r="W837" s="105"/>
      <c r="X837" s="105"/>
      <c r="Y837" s="105"/>
      <c r="Z837" s="105"/>
    </row>
    <row r="838">
      <c r="A838" s="105"/>
      <c r="B838" s="105"/>
      <c r="C838" s="105"/>
      <c r="D838" s="105"/>
      <c r="E838" s="105"/>
      <c r="F838" s="105"/>
      <c r="G838" s="105"/>
      <c r="H838" s="105"/>
      <c r="I838" s="105"/>
      <c r="J838" s="105"/>
      <c r="K838" s="105"/>
      <c r="L838" s="105"/>
      <c r="M838" s="105"/>
      <c r="N838" s="105"/>
      <c r="O838" s="105"/>
      <c r="P838" s="105" t="str">
        <f>IFERROR(__xludf.DUMMYFUNCTION("""COMPUTED_VALUE"""),"requesting::somebodyelse::for::approval::for::submitting2")</f>
        <v>requesting::somebodyelse::for::approval::for::submitting2</v>
      </c>
      <c r="Q838" s="105"/>
      <c r="R838" s="105"/>
      <c r="S838" s="105"/>
      <c r="T838" s="105"/>
      <c r="U838" s="105"/>
      <c r="V838" s="105"/>
      <c r="W838" s="105"/>
      <c r="X838" s="105"/>
      <c r="Y838" s="105"/>
      <c r="Z838" s="105"/>
    </row>
    <row r="839">
      <c r="A839" s="105"/>
      <c r="B839" s="105"/>
      <c r="C839" s="105"/>
      <c r="D839" s="105"/>
      <c r="E839" s="105"/>
      <c r="F839" s="105"/>
      <c r="G839" s="105"/>
      <c r="H839" s="105"/>
      <c r="I839" s="105"/>
      <c r="J839" s="105"/>
      <c r="K839" s="105"/>
      <c r="L839" s="105"/>
      <c r="M839" s="105"/>
      <c r="N839" s="105"/>
      <c r="O839" s="105"/>
      <c r="P839" s="105" t="str">
        <f>IFERROR(__xludf.DUMMYFUNCTION("""COMPUTED_VALUE"""),"requesting::somebodyelse::for::approval::for::submitting20")</f>
        <v>requesting::somebodyelse::for::approval::for::submitting20</v>
      </c>
      <c r="Q839" s="105"/>
      <c r="R839" s="105"/>
      <c r="S839" s="105"/>
      <c r="T839" s="105"/>
      <c r="U839" s="105"/>
      <c r="V839" s="105"/>
      <c r="W839" s="105"/>
      <c r="X839" s="105"/>
      <c r="Y839" s="105"/>
      <c r="Z839" s="105"/>
    </row>
    <row r="840">
      <c r="A840" s="105"/>
      <c r="B840" s="105"/>
      <c r="C840" s="105"/>
      <c r="D840" s="105"/>
      <c r="E840" s="105"/>
      <c r="F840" s="105"/>
      <c r="G840" s="105"/>
      <c r="H840" s="105"/>
      <c r="I840" s="105"/>
      <c r="J840" s="105"/>
      <c r="K840" s="105"/>
      <c r="L840" s="105"/>
      <c r="M840" s="105"/>
      <c r="N840" s="105"/>
      <c r="O840" s="105"/>
      <c r="P840" s="105" t="str">
        <f>IFERROR(__xludf.DUMMYFUNCTION("""COMPUTED_VALUE"""),"requesting::somebodyelse::for::approval::for::submitting21")</f>
        <v>requesting::somebodyelse::for::approval::for::submitting21</v>
      </c>
      <c r="Q840" s="105"/>
      <c r="R840" s="105"/>
      <c r="S840" s="105"/>
      <c r="T840" s="105"/>
      <c r="U840" s="105"/>
      <c r="V840" s="105"/>
      <c r="W840" s="105"/>
      <c r="X840" s="105"/>
      <c r="Y840" s="105"/>
      <c r="Z840" s="105"/>
    </row>
    <row r="841">
      <c r="A841" s="105"/>
      <c r="B841" s="105"/>
      <c r="C841" s="105"/>
      <c r="D841" s="105"/>
      <c r="E841" s="105"/>
      <c r="F841" s="105"/>
      <c r="G841" s="105"/>
      <c r="H841" s="105"/>
      <c r="I841" s="105"/>
      <c r="J841" s="105"/>
      <c r="K841" s="105"/>
      <c r="L841" s="105"/>
      <c r="M841" s="105"/>
      <c r="N841" s="105"/>
      <c r="O841" s="105"/>
      <c r="P841" s="105" t="str">
        <f>IFERROR(__xludf.DUMMYFUNCTION("""COMPUTED_VALUE"""),"requesting::somebodyelse::for::approval::for::submitting22")</f>
        <v>requesting::somebodyelse::for::approval::for::submitting22</v>
      </c>
      <c r="Q841" s="105"/>
      <c r="R841" s="105"/>
      <c r="S841" s="105"/>
      <c r="T841" s="105"/>
      <c r="U841" s="105"/>
      <c r="V841" s="105"/>
      <c r="W841" s="105"/>
      <c r="X841" s="105"/>
      <c r="Y841" s="105"/>
      <c r="Z841" s="105"/>
    </row>
    <row r="842">
      <c r="A842" s="105"/>
      <c r="B842" s="105"/>
      <c r="C842" s="105"/>
      <c r="D842" s="105"/>
      <c r="E842" s="105"/>
      <c r="F842" s="105"/>
      <c r="G842" s="105"/>
      <c r="H842" s="105"/>
      <c r="I842" s="105"/>
      <c r="J842" s="105"/>
      <c r="K842" s="105"/>
      <c r="L842" s="105"/>
      <c r="M842" s="105"/>
      <c r="N842" s="105"/>
      <c r="O842" s="105"/>
      <c r="P842" s="105" t="str">
        <f>IFERROR(__xludf.DUMMYFUNCTION("""COMPUTED_VALUE"""),"requesting::somebodyelse::for::approval::for::submitting23")</f>
        <v>requesting::somebodyelse::for::approval::for::submitting23</v>
      </c>
      <c r="Q842" s="105"/>
      <c r="R842" s="105"/>
      <c r="S842" s="105"/>
      <c r="T842" s="105"/>
      <c r="U842" s="105"/>
      <c r="V842" s="105"/>
      <c r="W842" s="105"/>
      <c r="X842" s="105"/>
      <c r="Y842" s="105"/>
      <c r="Z842" s="105"/>
    </row>
    <row r="843">
      <c r="A843" s="105"/>
      <c r="B843" s="105"/>
      <c r="C843" s="105"/>
      <c r="D843" s="105"/>
      <c r="E843" s="105"/>
      <c r="F843" s="105"/>
      <c r="G843" s="105"/>
      <c r="H843" s="105"/>
      <c r="I843" s="105"/>
      <c r="J843" s="105"/>
      <c r="K843" s="105"/>
      <c r="L843" s="105"/>
      <c r="M843" s="105"/>
      <c r="N843" s="105"/>
      <c r="O843" s="105"/>
      <c r="P843" s="105" t="str">
        <f>IFERROR(__xludf.DUMMYFUNCTION("""COMPUTED_VALUE"""),"requesting::somebodyelse::for::approval::for::submitting24")</f>
        <v>requesting::somebodyelse::for::approval::for::submitting24</v>
      </c>
      <c r="Q843" s="105"/>
      <c r="R843" s="105"/>
      <c r="S843" s="105"/>
      <c r="T843" s="105"/>
      <c r="U843" s="105"/>
      <c r="V843" s="105"/>
      <c r="W843" s="105"/>
      <c r="X843" s="105"/>
      <c r="Y843" s="105"/>
      <c r="Z843" s="105"/>
    </row>
    <row r="844">
      <c r="A844" s="105"/>
      <c r="B844" s="105"/>
      <c r="C844" s="105"/>
      <c r="D844" s="105"/>
      <c r="E844" s="105"/>
      <c r="F844" s="105"/>
      <c r="G844" s="105"/>
      <c r="H844" s="105"/>
      <c r="I844" s="105"/>
      <c r="J844" s="105"/>
      <c r="K844" s="105"/>
      <c r="L844" s="105"/>
      <c r="M844" s="105"/>
      <c r="N844" s="105"/>
      <c r="O844" s="105"/>
      <c r="P844" s="105" t="str">
        <f>IFERROR(__xludf.DUMMYFUNCTION("""COMPUTED_VALUE"""),"requesting::somebodyelse::for::approval::for::submitting25")</f>
        <v>requesting::somebodyelse::for::approval::for::submitting25</v>
      </c>
      <c r="Q844" s="105"/>
      <c r="R844" s="105"/>
      <c r="S844" s="105"/>
      <c r="T844" s="105"/>
      <c r="U844" s="105"/>
      <c r="V844" s="105"/>
      <c r="W844" s="105"/>
      <c r="X844" s="105"/>
      <c r="Y844" s="105"/>
      <c r="Z844" s="105"/>
    </row>
    <row r="845">
      <c r="A845" s="105"/>
      <c r="B845" s="105"/>
      <c r="C845" s="105"/>
      <c r="D845" s="105"/>
      <c r="E845" s="105"/>
      <c r="F845" s="105"/>
      <c r="G845" s="105"/>
      <c r="H845" s="105"/>
      <c r="I845" s="105"/>
      <c r="J845" s="105"/>
      <c r="K845" s="105"/>
      <c r="L845" s="105"/>
      <c r="M845" s="105"/>
      <c r="N845" s="105"/>
      <c r="O845" s="105"/>
      <c r="P845" s="105" t="str">
        <f>IFERROR(__xludf.DUMMYFUNCTION("""COMPUTED_VALUE"""),"requesting::somebodyelse::for::approval::for::submitting26")</f>
        <v>requesting::somebodyelse::for::approval::for::submitting26</v>
      </c>
      <c r="Q845" s="105"/>
      <c r="R845" s="105"/>
      <c r="S845" s="105"/>
      <c r="T845" s="105"/>
      <c r="U845" s="105"/>
      <c r="V845" s="105"/>
      <c r="W845" s="105"/>
      <c r="X845" s="105"/>
      <c r="Y845" s="105"/>
      <c r="Z845" s="105"/>
    </row>
    <row r="846">
      <c r="A846" s="105"/>
      <c r="B846" s="105"/>
      <c r="C846" s="105"/>
      <c r="D846" s="105"/>
      <c r="E846" s="105"/>
      <c r="F846" s="105"/>
      <c r="G846" s="105"/>
      <c r="H846" s="105"/>
      <c r="I846" s="105"/>
      <c r="J846" s="105"/>
      <c r="K846" s="105"/>
      <c r="L846" s="105"/>
      <c r="M846" s="105"/>
      <c r="N846" s="105"/>
      <c r="O846" s="105"/>
      <c r="P846" s="105" t="str">
        <f>IFERROR(__xludf.DUMMYFUNCTION("""COMPUTED_VALUE"""),"requesting::somebodyelse::for::approval::for::submitting27")</f>
        <v>requesting::somebodyelse::for::approval::for::submitting27</v>
      </c>
      <c r="Q846" s="105"/>
      <c r="R846" s="105"/>
      <c r="S846" s="105"/>
      <c r="T846" s="105"/>
      <c r="U846" s="105"/>
      <c r="V846" s="105"/>
      <c r="W846" s="105"/>
      <c r="X846" s="105"/>
      <c r="Y846" s="105"/>
      <c r="Z846" s="105"/>
    </row>
    <row r="847">
      <c r="A847" s="105"/>
      <c r="B847" s="105"/>
      <c r="C847" s="105"/>
      <c r="D847" s="105"/>
      <c r="E847" s="105"/>
      <c r="F847" s="105"/>
      <c r="G847" s="105"/>
      <c r="H847" s="105"/>
      <c r="I847" s="105"/>
      <c r="J847" s="105"/>
      <c r="K847" s="105"/>
      <c r="L847" s="105"/>
      <c r="M847" s="105"/>
      <c r="N847" s="105"/>
      <c r="O847" s="105"/>
      <c r="P847" s="105" t="str">
        <f>IFERROR(__xludf.DUMMYFUNCTION("""COMPUTED_VALUE"""),"requesting::somebodyelse::for::approval::for::submitting28")</f>
        <v>requesting::somebodyelse::for::approval::for::submitting28</v>
      </c>
      <c r="Q847" s="105"/>
      <c r="R847" s="105"/>
      <c r="S847" s="105"/>
      <c r="T847" s="105"/>
      <c r="U847" s="105"/>
      <c r="V847" s="105"/>
      <c r="W847" s="105"/>
      <c r="X847" s="105"/>
      <c r="Y847" s="105"/>
      <c r="Z847" s="105"/>
    </row>
    <row r="848">
      <c r="A848" s="105"/>
      <c r="B848" s="105"/>
      <c r="C848" s="105"/>
      <c r="D848" s="105"/>
      <c r="E848" s="105"/>
      <c r="F848" s="105"/>
      <c r="G848" s="105"/>
      <c r="H848" s="105"/>
      <c r="I848" s="105"/>
      <c r="J848" s="105"/>
      <c r="K848" s="105"/>
      <c r="L848" s="105"/>
      <c r="M848" s="105"/>
      <c r="N848" s="105"/>
      <c r="O848" s="105"/>
      <c r="P848" s="105" t="str">
        <f>IFERROR(__xludf.DUMMYFUNCTION("""COMPUTED_VALUE"""),"requesting::somebodyelse::for::approval::for::submitting29")</f>
        <v>requesting::somebodyelse::for::approval::for::submitting29</v>
      </c>
      <c r="Q848" s="105"/>
      <c r="R848" s="105"/>
      <c r="S848" s="105"/>
      <c r="T848" s="105"/>
      <c r="U848" s="105"/>
      <c r="V848" s="105"/>
      <c r="W848" s="105"/>
      <c r="X848" s="105"/>
      <c r="Y848" s="105"/>
      <c r="Z848" s="105"/>
    </row>
    <row r="849">
      <c r="A849" s="105"/>
      <c r="B849" s="105"/>
      <c r="C849" s="105"/>
      <c r="D849" s="105"/>
      <c r="E849" s="105"/>
      <c r="F849" s="105"/>
      <c r="G849" s="105"/>
      <c r="H849" s="105"/>
      <c r="I849" s="105"/>
      <c r="J849" s="105"/>
      <c r="K849" s="105"/>
      <c r="L849" s="105"/>
      <c r="M849" s="105"/>
      <c r="N849" s="105"/>
      <c r="O849" s="105"/>
      <c r="P849" s="105" t="str">
        <f>IFERROR(__xludf.DUMMYFUNCTION("""COMPUTED_VALUE"""),"requesting::somebodyelse::for::approval::for::submitting3")</f>
        <v>requesting::somebodyelse::for::approval::for::submitting3</v>
      </c>
      <c r="Q849" s="105"/>
      <c r="R849" s="105"/>
      <c r="S849" s="105"/>
      <c r="T849" s="105"/>
      <c r="U849" s="105"/>
      <c r="V849" s="105"/>
      <c r="W849" s="105"/>
      <c r="X849" s="105"/>
      <c r="Y849" s="105"/>
      <c r="Z849" s="105"/>
    </row>
    <row r="850">
      <c r="A850" s="105"/>
      <c r="B850" s="105"/>
      <c r="C850" s="105"/>
      <c r="D850" s="105"/>
      <c r="E850" s="105"/>
      <c r="F850" s="105"/>
      <c r="G850" s="105"/>
      <c r="H850" s="105"/>
      <c r="I850" s="105"/>
      <c r="J850" s="105"/>
      <c r="K850" s="105"/>
      <c r="L850" s="105"/>
      <c r="M850" s="105"/>
      <c r="N850" s="105"/>
      <c r="O850" s="105"/>
      <c r="P850" s="105" t="str">
        <f>IFERROR(__xludf.DUMMYFUNCTION("""COMPUTED_VALUE"""),"requesting::somebodyelse::for::approval::for::submitting30")</f>
        <v>requesting::somebodyelse::for::approval::for::submitting30</v>
      </c>
      <c r="Q850" s="105"/>
      <c r="R850" s="105"/>
      <c r="S850" s="105"/>
      <c r="T850" s="105"/>
      <c r="U850" s="105"/>
      <c r="V850" s="105"/>
      <c r="W850" s="105"/>
      <c r="X850" s="105"/>
      <c r="Y850" s="105"/>
      <c r="Z850" s="105"/>
    </row>
    <row r="851">
      <c r="A851" s="105"/>
      <c r="B851" s="105"/>
      <c r="C851" s="105"/>
      <c r="D851" s="105"/>
      <c r="E851" s="105"/>
      <c r="F851" s="105"/>
      <c r="G851" s="105"/>
      <c r="H851" s="105"/>
      <c r="I851" s="105"/>
      <c r="J851" s="105"/>
      <c r="K851" s="105"/>
      <c r="L851" s="105"/>
      <c r="M851" s="105"/>
      <c r="N851" s="105"/>
      <c r="O851" s="105"/>
      <c r="P851" s="105" t="str">
        <f>IFERROR(__xludf.DUMMYFUNCTION("""COMPUTED_VALUE"""),"requesting::somebodyelse::for::approval::for::submitting31")</f>
        <v>requesting::somebodyelse::for::approval::for::submitting31</v>
      </c>
      <c r="Q851" s="105"/>
      <c r="R851" s="105"/>
      <c r="S851" s="105"/>
      <c r="T851" s="105"/>
      <c r="U851" s="105"/>
      <c r="V851" s="105"/>
      <c r="W851" s="105"/>
      <c r="X851" s="105"/>
      <c r="Y851" s="105"/>
      <c r="Z851" s="105"/>
    </row>
    <row r="852">
      <c r="A852" s="105"/>
      <c r="B852" s="105"/>
      <c r="C852" s="105"/>
      <c r="D852" s="105"/>
      <c r="E852" s="105"/>
      <c r="F852" s="105"/>
      <c r="G852" s="105"/>
      <c r="H852" s="105"/>
      <c r="I852" s="105"/>
      <c r="J852" s="105"/>
      <c r="K852" s="105"/>
      <c r="L852" s="105"/>
      <c r="M852" s="105"/>
      <c r="N852" s="105"/>
      <c r="O852" s="105"/>
      <c r="P852" s="105" t="str">
        <f>IFERROR(__xludf.DUMMYFUNCTION("""COMPUTED_VALUE"""),"requesting::somebodyelse::for::approval::for::submitting32")</f>
        <v>requesting::somebodyelse::for::approval::for::submitting32</v>
      </c>
      <c r="Q852" s="105"/>
      <c r="R852" s="105"/>
      <c r="S852" s="105"/>
      <c r="T852" s="105"/>
      <c r="U852" s="105"/>
      <c r="V852" s="105"/>
      <c r="W852" s="105"/>
      <c r="X852" s="105"/>
      <c r="Y852" s="105"/>
      <c r="Z852" s="105"/>
    </row>
    <row r="853">
      <c r="A853" s="105"/>
      <c r="B853" s="105"/>
      <c r="C853" s="105"/>
      <c r="D853" s="105"/>
      <c r="E853" s="105"/>
      <c r="F853" s="105"/>
      <c r="G853" s="105"/>
      <c r="H853" s="105"/>
      <c r="I853" s="105"/>
      <c r="J853" s="105"/>
      <c r="K853" s="105"/>
      <c r="L853" s="105"/>
      <c r="M853" s="105"/>
      <c r="N853" s="105"/>
      <c r="O853" s="105"/>
      <c r="P853" s="105" t="str">
        <f>IFERROR(__xludf.DUMMYFUNCTION("""COMPUTED_VALUE"""),"requesting::somebodyelse::for::approval::for::submitting33")</f>
        <v>requesting::somebodyelse::for::approval::for::submitting33</v>
      </c>
      <c r="Q853" s="105"/>
      <c r="R853" s="105"/>
      <c r="S853" s="105"/>
      <c r="T853" s="105"/>
      <c r="U853" s="105"/>
      <c r="V853" s="105"/>
      <c r="W853" s="105"/>
      <c r="X853" s="105"/>
      <c r="Y853" s="105"/>
      <c r="Z853" s="105"/>
    </row>
    <row r="854">
      <c r="A854" s="105"/>
      <c r="B854" s="105"/>
      <c r="C854" s="105"/>
      <c r="D854" s="105"/>
      <c r="E854" s="105"/>
      <c r="F854" s="105"/>
      <c r="G854" s="105"/>
      <c r="H854" s="105"/>
      <c r="I854" s="105"/>
      <c r="J854" s="105"/>
      <c r="K854" s="105"/>
      <c r="L854" s="105"/>
      <c r="M854" s="105"/>
      <c r="N854" s="105"/>
      <c r="O854" s="105"/>
      <c r="P854" s="105" t="str">
        <f>IFERROR(__xludf.DUMMYFUNCTION("""COMPUTED_VALUE"""),"requesting::somebodyelse::for::approval::for::submitting34")</f>
        <v>requesting::somebodyelse::for::approval::for::submitting34</v>
      </c>
      <c r="Q854" s="105"/>
      <c r="R854" s="105"/>
      <c r="S854" s="105"/>
      <c r="T854" s="105"/>
      <c r="U854" s="105"/>
      <c r="V854" s="105"/>
      <c r="W854" s="105"/>
      <c r="X854" s="105"/>
      <c r="Y854" s="105"/>
      <c r="Z854" s="105"/>
    </row>
    <row r="855">
      <c r="A855" s="105"/>
      <c r="B855" s="105"/>
      <c r="C855" s="105"/>
      <c r="D855" s="105"/>
      <c r="E855" s="105"/>
      <c r="F855" s="105"/>
      <c r="G855" s="105"/>
      <c r="H855" s="105"/>
      <c r="I855" s="105"/>
      <c r="J855" s="105"/>
      <c r="K855" s="105"/>
      <c r="L855" s="105"/>
      <c r="M855" s="105"/>
      <c r="N855" s="105"/>
      <c r="O855" s="105"/>
      <c r="P855" s="105" t="str">
        <f>IFERROR(__xludf.DUMMYFUNCTION("""COMPUTED_VALUE"""),"requesting::somebodyelse::for::approval::for::submitting35")</f>
        <v>requesting::somebodyelse::for::approval::for::submitting35</v>
      </c>
      <c r="Q855" s="105"/>
      <c r="R855" s="105"/>
      <c r="S855" s="105"/>
      <c r="T855" s="105"/>
      <c r="U855" s="105"/>
      <c r="V855" s="105"/>
      <c r="W855" s="105"/>
      <c r="X855" s="105"/>
      <c r="Y855" s="105"/>
      <c r="Z855" s="105"/>
    </row>
    <row r="856">
      <c r="A856" s="105"/>
      <c r="B856" s="105"/>
      <c r="C856" s="105"/>
      <c r="D856" s="105"/>
      <c r="E856" s="105"/>
      <c r="F856" s="105"/>
      <c r="G856" s="105"/>
      <c r="H856" s="105"/>
      <c r="I856" s="105"/>
      <c r="J856" s="105"/>
      <c r="K856" s="105"/>
      <c r="L856" s="105"/>
      <c r="M856" s="105"/>
      <c r="N856" s="105"/>
      <c r="O856" s="105"/>
      <c r="P856" s="105" t="str">
        <f>IFERROR(__xludf.DUMMYFUNCTION("""COMPUTED_VALUE"""),"requesting::somebodyelse::for::approval::for::submitting4")</f>
        <v>requesting::somebodyelse::for::approval::for::submitting4</v>
      </c>
      <c r="Q856" s="105"/>
      <c r="R856" s="105"/>
      <c r="S856" s="105"/>
      <c r="T856" s="105"/>
      <c r="U856" s="105"/>
      <c r="V856" s="105"/>
      <c r="W856" s="105"/>
      <c r="X856" s="105"/>
      <c r="Y856" s="105"/>
      <c r="Z856" s="105"/>
    </row>
    <row r="857">
      <c r="A857" s="105"/>
      <c r="B857" s="105"/>
      <c r="C857" s="105"/>
      <c r="D857" s="105"/>
      <c r="E857" s="105"/>
      <c r="F857" s="105"/>
      <c r="G857" s="105"/>
      <c r="H857" s="105"/>
      <c r="I857" s="105"/>
      <c r="J857" s="105"/>
      <c r="K857" s="105"/>
      <c r="L857" s="105"/>
      <c r="M857" s="105"/>
      <c r="N857" s="105"/>
      <c r="O857" s="105"/>
      <c r="P857" s="105" t="str">
        <f>IFERROR(__xludf.DUMMYFUNCTION("""COMPUTED_VALUE"""),"requesting::somebodyelse::for::approval::for::submitting5")</f>
        <v>requesting::somebodyelse::for::approval::for::submitting5</v>
      </c>
      <c r="Q857" s="105"/>
      <c r="R857" s="105"/>
      <c r="S857" s="105"/>
      <c r="T857" s="105"/>
      <c r="U857" s="105"/>
      <c r="V857" s="105"/>
      <c r="W857" s="105"/>
      <c r="X857" s="105"/>
      <c r="Y857" s="105"/>
      <c r="Z857" s="105"/>
    </row>
    <row r="858">
      <c r="A858" s="105"/>
      <c r="B858" s="105"/>
      <c r="C858" s="105"/>
      <c r="D858" s="105"/>
      <c r="E858" s="105"/>
      <c r="F858" s="105"/>
      <c r="G858" s="105"/>
      <c r="H858" s="105"/>
      <c r="I858" s="105"/>
      <c r="J858" s="105"/>
      <c r="K858" s="105"/>
      <c r="L858" s="105"/>
      <c r="M858" s="105"/>
      <c r="N858" s="105"/>
      <c r="O858" s="105"/>
      <c r="P858" s="105" t="str">
        <f>IFERROR(__xludf.DUMMYFUNCTION("""COMPUTED_VALUE"""),"requesting::somebodyelse::for::approval::for::submitting6")</f>
        <v>requesting::somebodyelse::for::approval::for::submitting6</v>
      </c>
      <c r="Q858" s="105"/>
      <c r="R858" s="105"/>
      <c r="S858" s="105"/>
      <c r="T858" s="105"/>
      <c r="U858" s="105"/>
      <c r="V858" s="105"/>
      <c r="W858" s="105"/>
      <c r="X858" s="105"/>
      <c r="Y858" s="105"/>
      <c r="Z858" s="105"/>
    </row>
    <row r="859">
      <c r="A859" s="105"/>
      <c r="B859" s="105"/>
      <c r="C859" s="105"/>
      <c r="D859" s="105"/>
      <c r="E859" s="105"/>
      <c r="F859" s="105"/>
      <c r="G859" s="105"/>
      <c r="H859" s="105"/>
      <c r="I859" s="105"/>
      <c r="J859" s="105"/>
      <c r="K859" s="105"/>
      <c r="L859" s="105"/>
      <c r="M859" s="105"/>
      <c r="N859" s="105"/>
      <c r="O859" s="105"/>
      <c r="P859" s="105" t="str">
        <f>IFERROR(__xludf.DUMMYFUNCTION("""COMPUTED_VALUE"""),"requesting::somebodyelse::for::approval::for::submitting7")</f>
        <v>requesting::somebodyelse::for::approval::for::submitting7</v>
      </c>
      <c r="Q859" s="105"/>
      <c r="R859" s="105"/>
      <c r="S859" s="105"/>
      <c r="T859" s="105"/>
      <c r="U859" s="105"/>
      <c r="V859" s="105"/>
      <c r="W859" s="105"/>
      <c r="X859" s="105"/>
      <c r="Y859" s="105"/>
      <c r="Z859" s="105"/>
    </row>
    <row r="860">
      <c r="A860" s="105"/>
      <c r="B860" s="105"/>
      <c r="C860" s="105"/>
      <c r="D860" s="105"/>
      <c r="E860" s="105"/>
      <c r="F860" s="105"/>
      <c r="G860" s="105"/>
      <c r="H860" s="105"/>
      <c r="I860" s="105"/>
      <c r="J860" s="105"/>
      <c r="K860" s="105"/>
      <c r="L860" s="105"/>
      <c r="M860" s="105"/>
      <c r="N860" s="105"/>
      <c r="O860" s="105"/>
      <c r="P860" s="105" t="str">
        <f>IFERROR(__xludf.DUMMYFUNCTION("""COMPUTED_VALUE"""),"requesting::somebodyelse::for::approval::for::submitting8")</f>
        <v>requesting::somebodyelse::for::approval::for::submitting8</v>
      </c>
      <c r="Q860" s="105"/>
      <c r="R860" s="105"/>
      <c r="S860" s="105"/>
      <c r="T860" s="105"/>
      <c r="U860" s="105"/>
      <c r="V860" s="105"/>
      <c r="W860" s="105"/>
      <c r="X860" s="105"/>
      <c r="Y860" s="105"/>
      <c r="Z860" s="105"/>
    </row>
    <row r="861">
      <c r="A861" s="105"/>
      <c r="B861" s="105"/>
      <c r="C861" s="105"/>
      <c r="D861" s="105"/>
      <c r="E861" s="105"/>
      <c r="F861" s="105"/>
      <c r="G861" s="105"/>
      <c r="H861" s="105"/>
      <c r="I861" s="105"/>
      <c r="J861" s="105"/>
      <c r="K861" s="105"/>
      <c r="L861" s="105"/>
      <c r="M861" s="105"/>
      <c r="N861" s="105"/>
      <c r="O861" s="105"/>
      <c r="P861" s="105" t="str">
        <f>IFERROR(__xludf.DUMMYFUNCTION("""COMPUTED_VALUE"""),"requesting::somebodyelse::for::approval::for::submitting9")</f>
        <v>requesting::somebodyelse::for::approval::for::submitting9</v>
      </c>
      <c r="Q861" s="105"/>
      <c r="R861" s="105"/>
      <c r="S861" s="105"/>
      <c r="T861" s="105"/>
      <c r="U861" s="105"/>
      <c r="V861" s="105"/>
      <c r="W861" s="105"/>
      <c r="X861" s="105"/>
      <c r="Y861" s="105"/>
      <c r="Z861" s="105"/>
    </row>
    <row r="862">
      <c r="A862" s="105"/>
      <c r="B862" s="105"/>
      <c r="C862" s="105"/>
      <c r="D862" s="105"/>
      <c r="E862" s="105"/>
      <c r="F862" s="105"/>
      <c r="G862" s="105"/>
      <c r="H862" s="105"/>
      <c r="I862" s="105"/>
      <c r="J862" s="105"/>
      <c r="K862" s="105"/>
      <c r="L862" s="105"/>
      <c r="M862" s="105"/>
      <c r="N862" s="105"/>
      <c r="O862" s="105"/>
      <c r="P862" s="105" t="str">
        <f>IFERROR(__xludf.DUMMYFUNCTION("""COMPUTED_VALUE"""),"requesting::suggestions::about::code::comment")</f>
        <v>requesting::suggestions::about::code::comment</v>
      </c>
      <c r="Q862" s="105"/>
      <c r="R862" s="105"/>
      <c r="S862" s="105"/>
      <c r="T862" s="105"/>
      <c r="U862" s="105"/>
      <c r="V862" s="105"/>
      <c r="W862" s="105"/>
      <c r="X862" s="105"/>
      <c r="Y862" s="105"/>
      <c r="Z862" s="105"/>
    </row>
    <row r="863">
      <c r="A863" s="105"/>
      <c r="B863" s="105"/>
      <c r="C863" s="105"/>
      <c r="D863" s="105"/>
      <c r="E863" s="105"/>
      <c r="F863" s="105"/>
      <c r="G863" s="105"/>
      <c r="H863" s="105"/>
      <c r="I863" s="105"/>
      <c r="J863" s="105"/>
      <c r="K863" s="105"/>
      <c r="L863" s="105"/>
      <c r="M863" s="105"/>
      <c r="N863" s="105"/>
      <c r="O863" s="105"/>
      <c r="P863" s="105" t="str">
        <f>IFERROR(__xludf.DUMMYFUNCTION("""COMPUTED_VALUE"""),"reset::voting")</f>
        <v>reset::voting</v>
      </c>
      <c r="Q863" s="105"/>
      <c r="R863" s="105"/>
      <c r="S863" s="105"/>
      <c r="T863" s="105"/>
      <c r="U863" s="105"/>
      <c r="V863" s="105"/>
      <c r="W863" s="105"/>
      <c r="X863" s="105"/>
      <c r="Y863" s="105"/>
      <c r="Z863" s="105"/>
    </row>
    <row r="864">
      <c r="A864" s="105"/>
      <c r="B864" s="105"/>
      <c r="C864" s="105"/>
      <c r="D864" s="105"/>
      <c r="E864" s="105"/>
      <c r="F864" s="105"/>
      <c r="G864" s="105"/>
      <c r="H864" s="105"/>
      <c r="I864" s="105"/>
      <c r="J864" s="105"/>
      <c r="K864" s="105"/>
      <c r="L864" s="105"/>
      <c r="M864" s="105"/>
      <c r="N864" s="105"/>
      <c r="O864" s="105"/>
      <c r="P864" s="105" t="str">
        <f>IFERROR(__xludf.DUMMYFUNCTION("""COMPUTED_VALUE"""),"reset::voting2")</f>
        <v>reset::voting2</v>
      </c>
      <c r="Q864" s="105"/>
      <c r="R864" s="105"/>
      <c r="S864" s="105"/>
      <c r="T864" s="105"/>
      <c r="U864" s="105"/>
      <c r="V864" s="105"/>
      <c r="W864" s="105"/>
      <c r="X864" s="105"/>
      <c r="Y864" s="105"/>
      <c r="Z864" s="105"/>
    </row>
    <row r="865">
      <c r="A865" s="105"/>
      <c r="B865" s="105"/>
      <c r="C865" s="105"/>
      <c r="D865" s="105"/>
      <c r="E865" s="105"/>
      <c r="F865" s="105"/>
      <c r="G865" s="105"/>
      <c r="H865" s="105"/>
      <c r="I865" s="105"/>
      <c r="J865" s="105"/>
      <c r="K865" s="105"/>
      <c r="L865" s="105"/>
      <c r="M865" s="105"/>
      <c r="N865" s="105"/>
      <c r="O865" s="105"/>
      <c r="P865" s="105" t="str">
        <f>IFERROR(__xludf.DUMMYFUNCTION("""COMPUTED_VALUE"""),"reset::voting3")</f>
        <v>reset::voting3</v>
      </c>
      <c r="Q865" s="105"/>
      <c r="R865" s="105"/>
      <c r="S865" s="105"/>
      <c r="T865" s="105"/>
      <c r="U865" s="105"/>
      <c r="V865" s="105"/>
      <c r="W865" s="105"/>
      <c r="X865" s="105"/>
      <c r="Y865" s="105"/>
      <c r="Z865" s="105"/>
    </row>
    <row r="866">
      <c r="A866" s="105"/>
      <c r="B866" s="105"/>
      <c r="C866" s="105"/>
      <c r="D866" s="105"/>
      <c r="E866" s="105"/>
      <c r="F866" s="105"/>
      <c r="G866" s="105"/>
      <c r="H866" s="105"/>
      <c r="I866" s="105"/>
      <c r="J866" s="105"/>
      <c r="K866" s="105"/>
      <c r="L866" s="105"/>
      <c r="M866" s="105"/>
      <c r="N866" s="105"/>
      <c r="O866" s="105"/>
      <c r="P866" s="105" t="str">
        <f>IFERROR(__xludf.DUMMYFUNCTION("""COMPUTED_VALUE"""),"retracting::objecting::change::(intended::solution::design)")</f>
        <v>retracting::objecting::change::(intended::solution::design)</v>
      </c>
      <c r="Q866" s="105"/>
      <c r="R866" s="105"/>
      <c r="S866" s="105"/>
      <c r="T866" s="105"/>
      <c r="U866" s="105"/>
      <c r="V866" s="105"/>
      <c r="W866" s="105"/>
      <c r="X866" s="105"/>
      <c r="Y866" s="105"/>
      <c r="Z866" s="105"/>
    </row>
    <row r="867">
      <c r="A867" s="105"/>
      <c r="B867" s="105"/>
      <c r="C867" s="105"/>
      <c r="D867" s="105"/>
      <c r="E867" s="105"/>
      <c r="F867" s="105"/>
      <c r="G867" s="105"/>
      <c r="H867" s="105"/>
      <c r="I867" s="105"/>
      <c r="J867" s="105"/>
      <c r="K867" s="105"/>
      <c r="L867" s="105"/>
      <c r="M867" s="105"/>
      <c r="N867" s="105"/>
      <c r="O867" s="105"/>
      <c r="P867" s="105" t="str">
        <f>IFERROR(__xludf.DUMMYFUNCTION("""COMPUTED_VALUE"""),"retracting::objecting::code::(need::of::config::parameters)")</f>
        <v>retracting::objecting::code::(need::of::config::parameters)</v>
      </c>
      <c r="Q867" s="105"/>
      <c r="R867" s="105"/>
      <c r="S867" s="105"/>
      <c r="T867" s="105"/>
      <c r="U867" s="105"/>
      <c r="V867" s="105"/>
      <c r="W867" s="105"/>
      <c r="X867" s="105"/>
      <c r="Y867" s="105"/>
      <c r="Z867" s="105"/>
    </row>
    <row r="868">
      <c r="A868" s="105"/>
      <c r="B868" s="105"/>
      <c r="C868" s="105"/>
      <c r="D868" s="105"/>
      <c r="E868" s="105"/>
      <c r="F868" s="105"/>
      <c r="G868" s="105"/>
      <c r="H868" s="105"/>
      <c r="I868" s="105"/>
      <c r="J868" s="105"/>
      <c r="K868" s="105"/>
      <c r="L868" s="105"/>
      <c r="M868" s="105"/>
      <c r="N868" s="105"/>
      <c r="O868" s="105"/>
      <c r="P868" s="105" t="str">
        <f>IFERROR(__xludf.DUMMYFUNCTION("""COMPUTED_VALUE"""),"retracting::retracting::objecting::change::(intended::solution::design)")</f>
        <v>retracting::retracting::objecting::change::(intended::solution::design)</v>
      </c>
      <c r="Q868" s="105"/>
      <c r="R868" s="105"/>
      <c r="S868" s="105"/>
      <c r="T868" s="105"/>
      <c r="U868" s="105"/>
      <c r="V868" s="105"/>
      <c r="W868" s="105"/>
      <c r="X868" s="105"/>
      <c r="Y868" s="105"/>
      <c r="Z868" s="105"/>
    </row>
    <row r="869">
      <c r="A869" s="105"/>
      <c r="B869" s="105"/>
      <c r="C869" s="105"/>
      <c r="D869" s="105"/>
      <c r="E869" s="105"/>
      <c r="F869" s="105"/>
      <c r="G869" s="105"/>
      <c r="H869" s="105"/>
      <c r="I869" s="105"/>
      <c r="J869" s="105"/>
      <c r="K869" s="105"/>
      <c r="L869" s="105"/>
      <c r="M869" s="105"/>
      <c r="N869" s="105"/>
      <c r="O869" s="105"/>
      <c r="P869" s="105" t="str">
        <f>IFERROR(__xludf.DUMMYFUNCTION("""COMPUTED_VALUE"""),"retracting::suggestion::assert::change")</f>
        <v>retracting::suggestion::assert::change</v>
      </c>
      <c r="Q869" s="105"/>
      <c r="R869" s="105"/>
      <c r="S869" s="105"/>
      <c r="T869" s="105"/>
      <c r="U869" s="105"/>
      <c r="V869" s="105"/>
      <c r="W869" s="105"/>
      <c r="X869" s="105"/>
      <c r="Y869" s="105"/>
      <c r="Z869" s="105"/>
    </row>
    <row r="870">
      <c r="A870" s="105"/>
      <c r="B870" s="105"/>
      <c r="C870" s="105"/>
      <c r="D870" s="105"/>
      <c r="E870" s="105"/>
      <c r="F870" s="105"/>
      <c r="G870" s="105"/>
      <c r="H870" s="105"/>
      <c r="I870" s="105"/>
      <c r="J870" s="105"/>
      <c r="K870" s="105"/>
      <c r="L870" s="105"/>
      <c r="M870" s="105"/>
      <c r="N870" s="105"/>
      <c r="O870" s="105"/>
      <c r="P870" s="105" t="str">
        <f>IFERROR(__xludf.DUMMYFUNCTION("""COMPUTED_VALUE"""),"retracting::suggestion::change::(change::method)")</f>
        <v>retracting::suggestion::change::(change::method)</v>
      </c>
      <c r="Q870" s="105"/>
      <c r="R870" s="105"/>
      <c r="S870" s="105"/>
      <c r="T870" s="105"/>
      <c r="U870" s="105"/>
      <c r="V870" s="105"/>
      <c r="W870" s="105"/>
      <c r="X870" s="105"/>
      <c r="Y870" s="105"/>
      <c r="Z870" s="105"/>
    </row>
    <row r="871">
      <c r="A871" s="105"/>
      <c r="B871" s="105"/>
      <c r="C871" s="105"/>
      <c r="D871" s="105"/>
      <c r="E871" s="105"/>
      <c r="F871" s="105"/>
      <c r="G871" s="105"/>
      <c r="H871" s="105"/>
      <c r="I871" s="105"/>
      <c r="J871" s="105"/>
      <c r="K871" s="105"/>
      <c r="L871" s="105"/>
      <c r="M871" s="105"/>
      <c r="N871" s="105"/>
      <c r="O871" s="105"/>
      <c r="P871" s="105" t="str">
        <f>IFERROR(__xludf.DUMMYFUNCTION("""COMPUTED_VALUE"""),"retracting::suggestion::change::(class::to::static)")</f>
        <v>retracting::suggestion::change::(class::to::static)</v>
      </c>
      <c r="Q871" s="105"/>
      <c r="R871" s="105"/>
      <c r="S871" s="105"/>
      <c r="T871" s="105"/>
      <c r="U871" s="105"/>
      <c r="V871" s="105"/>
      <c r="W871" s="105"/>
      <c r="X871" s="105"/>
      <c r="Y871" s="105"/>
      <c r="Z871" s="105"/>
    </row>
    <row r="872">
      <c r="A872" s="105"/>
      <c r="B872" s="105"/>
      <c r="C872" s="105"/>
      <c r="D872" s="105"/>
      <c r="E872" s="105"/>
      <c r="F872" s="105"/>
      <c r="G872" s="105"/>
      <c r="H872" s="105"/>
      <c r="I872" s="105"/>
      <c r="J872" s="105"/>
      <c r="K872" s="105"/>
      <c r="L872" s="105"/>
      <c r="M872" s="105"/>
      <c r="N872" s="105"/>
      <c r="O872" s="105"/>
      <c r="P872" s="105" t="str">
        <f>IFERROR(__xludf.DUMMYFUNCTION("""COMPUTED_VALUE"""),"retracting::suggestion::change::(error::handling)")</f>
        <v>retracting::suggestion::change::(error::handling)</v>
      </c>
      <c r="Q872" s="105"/>
      <c r="R872" s="105"/>
      <c r="S872" s="105"/>
      <c r="T872" s="105"/>
      <c r="U872" s="105"/>
      <c r="V872" s="105"/>
      <c r="W872" s="105"/>
      <c r="X872" s="105"/>
      <c r="Y872" s="105"/>
      <c r="Z872" s="105"/>
    </row>
    <row r="873">
      <c r="A873" s="105"/>
      <c r="B873" s="105"/>
      <c r="C873" s="105"/>
      <c r="D873" s="105"/>
      <c r="E873" s="105"/>
      <c r="F873" s="105"/>
      <c r="G873" s="105"/>
      <c r="H873" s="105"/>
      <c r="I873" s="105"/>
      <c r="J873" s="105"/>
      <c r="K873" s="105"/>
      <c r="L873" s="105"/>
      <c r="M873" s="105"/>
      <c r="N873" s="105"/>
      <c r="O873" s="105"/>
      <c r="P873" s="105" t="str">
        <f>IFERROR(__xludf.DUMMYFUNCTION("""COMPUTED_VALUE"""),"retracting::suggestion::change::(naming)")</f>
        <v>retracting::suggestion::change::(naming)</v>
      </c>
      <c r="Q873" s="105"/>
      <c r="R873" s="105"/>
      <c r="S873" s="105"/>
      <c r="T873" s="105"/>
      <c r="U873" s="105"/>
      <c r="V873" s="105"/>
      <c r="W873" s="105"/>
      <c r="X873" s="105"/>
      <c r="Y873" s="105"/>
      <c r="Z873" s="105"/>
    </row>
    <row r="874">
      <c r="A874" s="105"/>
      <c r="B874" s="105"/>
      <c r="C874" s="105"/>
      <c r="D874" s="105"/>
      <c r="E874" s="105"/>
      <c r="F874" s="105"/>
      <c r="G874" s="105"/>
      <c r="H874" s="105"/>
      <c r="I874" s="105"/>
      <c r="J874" s="105"/>
      <c r="K874" s="105"/>
      <c r="L874" s="105"/>
      <c r="M874" s="105"/>
      <c r="N874" s="105"/>
      <c r="O874" s="105"/>
      <c r="P874" s="105" t="str">
        <f>IFERROR(__xludf.DUMMYFUNCTION("""COMPUTED_VALUE"""),"retracting::suggestion::change::(property)")</f>
        <v>retracting::suggestion::change::(property)</v>
      </c>
      <c r="Q874" s="105"/>
      <c r="R874" s="105"/>
      <c r="S874" s="105"/>
      <c r="T874" s="105"/>
      <c r="U874" s="105"/>
      <c r="V874" s="105"/>
      <c r="W874" s="105"/>
      <c r="X874" s="105"/>
      <c r="Y874" s="105"/>
      <c r="Z874" s="105"/>
    </row>
    <row r="875">
      <c r="A875" s="105"/>
      <c r="B875" s="105"/>
      <c r="C875" s="105"/>
      <c r="D875" s="105"/>
      <c r="E875" s="105"/>
      <c r="F875" s="105"/>
      <c r="G875" s="105"/>
      <c r="H875" s="105"/>
      <c r="I875" s="105"/>
      <c r="J875" s="105"/>
      <c r="K875" s="105"/>
      <c r="L875" s="105"/>
      <c r="M875" s="105"/>
      <c r="N875" s="105"/>
      <c r="O875" s="105"/>
      <c r="P875" s="105" t="str">
        <f>IFERROR(__xludf.DUMMYFUNCTION("""COMPUTED_VALUE"""),"retracting::suggestion::refactoring::(clearer::code)")</f>
        <v>retracting::suggestion::refactoring::(clearer::code)</v>
      </c>
      <c r="Q875" s="105"/>
      <c r="R875" s="105"/>
      <c r="S875" s="105"/>
      <c r="T875" s="105"/>
      <c r="U875" s="105"/>
      <c r="V875" s="105"/>
      <c r="W875" s="105"/>
      <c r="X875" s="105"/>
      <c r="Y875" s="105"/>
      <c r="Z875" s="105"/>
    </row>
    <row r="876">
      <c r="A876" s="105"/>
      <c r="B876" s="105"/>
      <c r="C876" s="105"/>
      <c r="D876" s="105"/>
      <c r="E876" s="105"/>
      <c r="F876" s="105"/>
      <c r="G876" s="105"/>
      <c r="H876" s="105"/>
      <c r="I876" s="105"/>
      <c r="J876" s="105"/>
      <c r="K876" s="105"/>
      <c r="L876" s="105"/>
      <c r="M876" s="105"/>
      <c r="N876" s="105"/>
      <c r="O876" s="105"/>
      <c r="P876" s="105" t="str">
        <f>IFERROR(__xludf.DUMMYFUNCTION("""COMPUTED_VALUE"""),"retracting::suggestion::refactoring::(renaming)")</f>
        <v>retracting::suggestion::refactoring::(renaming)</v>
      </c>
      <c r="Q876" s="105"/>
      <c r="R876" s="105"/>
      <c r="S876" s="105"/>
      <c r="T876" s="105"/>
      <c r="U876" s="105"/>
      <c r="V876" s="105"/>
      <c r="W876" s="105"/>
      <c r="X876" s="105"/>
      <c r="Y876" s="105"/>
      <c r="Z876" s="105"/>
    </row>
    <row r="877">
      <c r="A877" s="105"/>
      <c r="B877" s="105"/>
      <c r="C877" s="105"/>
      <c r="D877" s="105"/>
      <c r="E877" s="105"/>
      <c r="F877" s="105"/>
      <c r="G877" s="105"/>
      <c r="H877" s="105"/>
      <c r="I877" s="105"/>
      <c r="J877" s="105"/>
      <c r="K877" s="105"/>
      <c r="L877" s="105"/>
      <c r="M877" s="105"/>
      <c r="N877" s="105"/>
      <c r="O877" s="105"/>
      <c r="P877" s="105" t="str">
        <f>IFERROR(__xludf.DUMMYFUNCTION("""COMPUTED_VALUE"""),"retracting::suggestion::refactoring::(style)")</f>
        <v>retracting::suggestion::refactoring::(style)</v>
      </c>
      <c r="Q877" s="105"/>
      <c r="R877" s="105"/>
      <c r="S877" s="105"/>
      <c r="T877" s="105"/>
      <c r="U877" s="105"/>
      <c r="V877" s="105"/>
      <c r="W877" s="105"/>
      <c r="X877" s="105"/>
      <c r="Y877" s="105"/>
      <c r="Z877" s="105"/>
    </row>
    <row r="878">
      <c r="A878" s="105"/>
      <c r="B878" s="105"/>
      <c r="C878" s="105"/>
      <c r="D878" s="105"/>
      <c r="E878" s="105"/>
      <c r="F878" s="105"/>
      <c r="G878" s="105"/>
      <c r="H878" s="105"/>
      <c r="I878" s="105"/>
      <c r="J878" s="105"/>
      <c r="K878" s="105"/>
      <c r="L878" s="105"/>
      <c r="M878" s="105"/>
      <c r="N878" s="105"/>
      <c r="O878" s="105"/>
      <c r="P878" s="105" t="str">
        <f>IFERROR(__xludf.DUMMYFUNCTION("""COMPUTED_VALUE"""),"retracting::suggestion::refactoring::(style)::what::to::import")</f>
        <v>retracting::suggestion::refactoring::(style)::what::to::import</v>
      </c>
      <c r="Q878" s="105"/>
      <c r="R878" s="105"/>
      <c r="S878" s="105"/>
      <c r="T878" s="105"/>
      <c r="U878" s="105"/>
      <c r="V878" s="105"/>
      <c r="W878" s="105"/>
      <c r="X878" s="105"/>
      <c r="Y878" s="105"/>
      <c r="Z878" s="105"/>
    </row>
    <row r="879">
      <c r="A879" s="105"/>
      <c r="B879" s="105"/>
      <c r="C879" s="105"/>
      <c r="D879" s="105"/>
      <c r="E879" s="105"/>
      <c r="F879" s="105"/>
      <c r="G879" s="105"/>
      <c r="H879" s="105"/>
      <c r="I879" s="105"/>
      <c r="J879" s="105"/>
      <c r="K879" s="105"/>
      <c r="L879" s="105"/>
      <c r="M879" s="105"/>
      <c r="N879" s="105"/>
      <c r="O879" s="105"/>
      <c r="P879" s="105" t="str">
        <f>IFERROR(__xludf.DUMMYFUNCTION("""COMPUTED_VALUE"""),"review::restored::after::abandoned")</f>
        <v>review::restored::after::abandoned</v>
      </c>
      <c r="Q879" s="105"/>
      <c r="R879" s="105"/>
      <c r="S879" s="105"/>
      <c r="T879" s="105"/>
      <c r="U879" s="105"/>
      <c r="V879" s="105"/>
      <c r="W879" s="105"/>
      <c r="X879" s="105"/>
      <c r="Y879" s="105"/>
      <c r="Z879" s="105"/>
    </row>
    <row r="880">
      <c r="A880" s="105"/>
      <c r="B880" s="105"/>
      <c r="C880" s="105"/>
      <c r="D880" s="105"/>
      <c r="E880" s="105"/>
      <c r="F880" s="105"/>
      <c r="G880" s="105"/>
      <c r="H880" s="105"/>
      <c r="I880" s="105"/>
      <c r="J880" s="105"/>
      <c r="K880" s="105"/>
      <c r="L880" s="105"/>
      <c r="M880" s="105"/>
      <c r="N880" s="105"/>
      <c r="O880" s="105"/>
      <c r="P880" s="105" t="str">
        <f>IFERROR(__xludf.DUMMYFUNCTION("""COMPUTED_VALUE"""),"review::restored::after::abandoned2")</f>
        <v>review::restored::after::abandoned2</v>
      </c>
      <c r="Q880" s="105"/>
      <c r="R880" s="105"/>
      <c r="S880" s="105"/>
      <c r="T880" s="105"/>
      <c r="U880" s="105"/>
      <c r="V880" s="105"/>
      <c r="W880" s="105"/>
      <c r="X880" s="105"/>
      <c r="Y880" s="105"/>
      <c r="Z880" s="105"/>
    </row>
    <row r="881">
      <c r="A881" s="105"/>
      <c r="B881" s="105"/>
      <c r="C881" s="105"/>
      <c r="D881" s="105"/>
      <c r="E881" s="105"/>
      <c r="F881" s="105"/>
      <c r="G881" s="105"/>
      <c r="H881" s="105"/>
      <c r="I881" s="105"/>
      <c r="J881" s="105"/>
      <c r="K881" s="105"/>
      <c r="L881" s="105"/>
      <c r="M881" s="105"/>
      <c r="N881" s="105"/>
      <c r="O881" s="105"/>
      <c r="P881" s="105" t="str">
        <f>IFERROR(__xludf.DUMMYFUNCTION("""COMPUTED_VALUE"""),"review::restored::after::abandoned3")</f>
        <v>review::restored::after::abandoned3</v>
      </c>
      <c r="Q881" s="105"/>
      <c r="R881" s="105"/>
      <c r="S881" s="105"/>
      <c r="T881" s="105"/>
      <c r="U881" s="105"/>
      <c r="V881" s="105"/>
      <c r="W881" s="105"/>
      <c r="X881" s="105"/>
      <c r="Y881" s="105"/>
      <c r="Z881" s="105"/>
    </row>
    <row r="882">
      <c r="A882" s="105"/>
      <c r="B882" s="105"/>
      <c r="C882" s="105"/>
      <c r="D882" s="105"/>
      <c r="E882" s="105"/>
      <c r="F882" s="105"/>
      <c r="G882" s="105"/>
      <c r="H882" s="105"/>
      <c r="I882" s="105"/>
      <c r="J882" s="105"/>
      <c r="K882" s="105"/>
      <c r="L882" s="105"/>
      <c r="M882" s="105"/>
      <c r="N882" s="105"/>
      <c r="O882" s="105"/>
      <c r="P882" s="105" t="str">
        <f>IFERROR(__xludf.DUMMYFUNCTION("""COMPUTED_VALUE"""),"review::restored::after::abandoned4")</f>
        <v>review::restored::after::abandoned4</v>
      </c>
      <c r="Q882" s="105"/>
      <c r="R882" s="105"/>
      <c r="S882" s="105"/>
      <c r="T882" s="105"/>
      <c r="U882" s="105"/>
      <c r="V882" s="105"/>
      <c r="W882" s="105"/>
      <c r="X882" s="105"/>
      <c r="Y882" s="105"/>
      <c r="Z882" s="105"/>
    </row>
    <row r="883">
      <c r="A883" s="105"/>
      <c r="B883" s="105"/>
      <c r="C883" s="105"/>
      <c r="D883" s="105"/>
      <c r="E883" s="105"/>
      <c r="F883" s="105"/>
      <c r="G883" s="105"/>
      <c r="H883" s="105"/>
      <c r="I883" s="105"/>
      <c r="J883" s="105"/>
      <c r="K883" s="105"/>
      <c r="L883" s="105"/>
      <c r="M883" s="105"/>
      <c r="N883" s="105"/>
      <c r="O883" s="105"/>
      <c r="P883" s="105" t="str">
        <f>IFERROR(__xludf.DUMMYFUNCTION("""COMPUTED_VALUE"""),"review::restored::after::abandoned5")</f>
        <v>review::restored::after::abandoned5</v>
      </c>
      <c r="Q883" s="105"/>
      <c r="R883" s="105"/>
      <c r="S883" s="105"/>
      <c r="T883" s="105"/>
      <c r="U883" s="105"/>
      <c r="V883" s="105"/>
      <c r="W883" s="105"/>
      <c r="X883" s="105"/>
      <c r="Y883" s="105"/>
      <c r="Z883" s="105"/>
    </row>
    <row r="884">
      <c r="A884" s="105"/>
      <c r="B884" s="105"/>
      <c r="C884" s="105"/>
      <c r="D884" s="105"/>
      <c r="E884" s="105"/>
      <c r="F884" s="105"/>
      <c r="G884" s="105"/>
      <c r="H884" s="105"/>
      <c r="I884" s="105"/>
      <c r="J884" s="105"/>
      <c r="K884" s="105"/>
      <c r="L884" s="105"/>
      <c r="M884" s="105"/>
      <c r="N884" s="105"/>
      <c r="O884" s="105"/>
      <c r="P884" s="105" t="str">
        <f>IFERROR(__xludf.DUMMYFUNCTION("""COMPUTED_VALUE"""),"security::impact::mentioned")</f>
        <v>security::impact::mentioned</v>
      </c>
      <c r="Q884" s="105"/>
      <c r="R884" s="105"/>
      <c r="S884" s="105"/>
      <c r="T884" s="105"/>
      <c r="U884" s="105"/>
      <c r="V884" s="105"/>
      <c r="W884" s="105"/>
      <c r="X884" s="105"/>
      <c r="Y884" s="105"/>
      <c r="Z884" s="105"/>
    </row>
    <row r="885">
      <c r="A885" s="105"/>
      <c r="B885" s="105"/>
      <c r="C885" s="105"/>
      <c r="D885" s="105"/>
      <c r="E885" s="105"/>
      <c r="F885" s="105"/>
      <c r="G885" s="105"/>
      <c r="H885" s="105"/>
      <c r="I885" s="105"/>
      <c r="J885" s="105"/>
      <c r="K885" s="105"/>
      <c r="L885" s="105"/>
      <c r="M885" s="105"/>
      <c r="N885" s="105"/>
      <c r="O885" s="105"/>
      <c r="P885" s="105" t="str">
        <f>IFERROR(__xludf.DUMMYFUNCTION("""COMPUTED_VALUE"""),"solution::to::external::library::problem:.encountered")</f>
        <v>solution::to::external::library::problem:.encountered</v>
      </c>
      <c r="Q885" s="105"/>
      <c r="R885" s="105"/>
      <c r="S885" s="105"/>
      <c r="T885" s="105"/>
      <c r="U885" s="105"/>
      <c r="V885" s="105"/>
      <c r="W885" s="105"/>
      <c r="X885" s="105"/>
      <c r="Y885" s="105"/>
      <c r="Z885" s="105"/>
    </row>
    <row r="886">
      <c r="A886" s="105"/>
      <c r="B886" s="105"/>
      <c r="C886" s="105"/>
      <c r="D886" s="105"/>
      <c r="E886" s="105"/>
      <c r="F886" s="105"/>
      <c r="G886" s="105"/>
      <c r="H886" s="105"/>
      <c r="I886" s="105"/>
      <c r="J886" s="105"/>
      <c r="K886" s="105"/>
      <c r="L886" s="105"/>
      <c r="M886" s="105"/>
      <c r="N886" s="105"/>
      <c r="O886" s="105"/>
      <c r="P886" s="105" t="str">
        <f>IFERROR(__xludf.DUMMYFUNCTION("""COMPUTED_VALUE"""),"source::of::test::failing::(external::internal)")</f>
        <v>source::of::test::failing::(external::internal)</v>
      </c>
      <c r="Q886" s="105"/>
      <c r="R886" s="105"/>
      <c r="S886" s="105"/>
      <c r="T886" s="105"/>
      <c r="U886" s="105"/>
      <c r="V886" s="105"/>
      <c r="W886" s="105"/>
      <c r="X886" s="105"/>
      <c r="Y886" s="105"/>
      <c r="Z886" s="105"/>
    </row>
    <row r="887">
      <c r="A887" s="105"/>
      <c r="B887" s="105"/>
      <c r="C887" s="105"/>
      <c r="D887" s="105"/>
      <c r="E887" s="105"/>
      <c r="F887" s="105"/>
      <c r="G887" s="105"/>
      <c r="H887" s="105"/>
      <c r="I887" s="105"/>
      <c r="J887" s="105"/>
      <c r="K887" s="105"/>
      <c r="L887" s="105"/>
      <c r="M887" s="105"/>
      <c r="N887" s="105"/>
      <c r="O887" s="105"/>
      <c r="P887" s="105" t="str">
        <f>IFERROR(__xludf.DUMMYFUNCTION("""COMPUTED_VALUE"""),"source::of::test::failing::(external::source)")</f>
        <v>source::of::test::failing::(external::source)</v>
      </c>
      <c r="Q887" s="105"/>
      <c r="R887" s="105"/>
      <c r="S887" s="105"/>
      <c r="T887" s="105"/>
      <c r="U887" s="105"/>
      <c r="V887" s="105"/>
      <c r="W887" s="105"/>
      <c r="X887" s="105"/>
      <c r="Y887" s="105"/>
      <c r="Z887" s="105"/>
    </row>
    <row r="888">
      <c r="A888" s="105"/>
      <c r="B888" s="105"/>
      <c r="C888" s="105"/>
      <c r="D888" s="105"/>
      <c r="E888" s="105"/>
      <c r="F888" s="105"/>
      <c r="G888" s="105"/>
      <c r="H888" s="105"/>
      <c r="I888" s="105"/>
      <c r="J888" s="105"/>
      <c r="K888" s="105"/>
      <c r="L888" s="105"/>
      <c r="M888" s="105"/>
      <c r="N888" s="105"/>
      <c r="O888" s="105"/>
      <c r="P888" s="105" t="str">
        <f>IFERROR(__xludf.DUMMYFUNCTION("""COMPUTED_VALUE"""),"source::of::test::failing::(external(bug)::internal)")</f>
        <v>source::of::test::failing::(external(bug)::internal)</v>
      </c>
      <c r="Q888" s="105"/>
      <c r="R888" s="105"/>
      <c r="S888" s="105"/>
      <c r="T888" s="105"/>
      <c r="U888" s="105"/>
      <c r="V888" s="105"/>
      <c r="W888" s="105"/>
      <c r="X888" s="105"/>
      <c r="Y888" s="105"/>
      <c r="Z888" s="105"/>
    </row>
    <row r="889">
      <c r="A889" s="105"/>
      <c r="B889" s="105"/>
      <c r="C889" s="105"/>
      <c r="D889" s="105"/>
      <c r="E889" s="105"/>
      <c r="F889" s="105"/>
      <c r="G889" s="105"/>
      <c r="H889" s="105"/>
      <c r="I889" s="105"/>
      <c r="J889" s="105"/>
      <c r="K889" s="105"/>
      <c r="L889" s="105"/>
      <c r="M889" s="105"/>
      <c r="N889" s="105"/>
      <c r="O889" s="105"/>
      <c r="P889" s="105" t="str">
        <f>IFERROR(__xludf.DUMMYFUNCTION("""COMPUTED_VALUE"""),"split::patches")</f>
        <v>split::patches</v>
      </c>
      <c r="Q889" s="105"/>
      <c r="R889" s="105"/>
      <c r="S889" s="105"/>
      <c r="T889" s="105"/>
      <c r="U889" s="105"/>
      <c r="V889" s="105"/>
      <c r="W889" s="105"/>
      <c r="X889" s="105"/>
      <c r="Y889" s="105"/>
      <c r="Z889" s="105"/>
    </row>
    <row r="890">
      <c r="A890" s="105"/>
      <c r="B890" s="105"/>
      <c r="C890" s="105"/>
      <c r="D890" s="105"/>
      <c r="E890" s="105"/>
      <c r="F890" s="105"/>
      <c r="G890" s="105"/>
      <c r="H890" s="105"/>
      <c r="I890" s="105"/>
      <c r="J890" s="105"/>
      <c r="K890" s="105"/>
      <c r="L890" s="105"/>
      <c r="M890" s="105"/>
      <c r="N890" s="105"/>
      <c r="O890" s="105"/>
      <c r="P890" s="105" t="str">
        <f>IFERROR(__xludf.DUMMYFUNCTION("""COMPUTED_VALUE"""),"suggesting::extending::tests")</f>
        <v>suggesting::extending::tests</v>
      </c>
      <c r="Q890" s="105"/>
      <c r="R890" s="105"/>
      <c r="S890" s="105"/>
      <c r="T890" s="105"/>
      <c r="U890" s="105"/>
      <c r="V890" s="105"/>
      <c r="W890" s="105"/>
      <c r="X890" s="105"/>
      <c r="Y890" s="105"/>
      <c r="Z890" s="105"/>
    </row>
    <row r="891">
      <c r="A891" s="105"/>
      <c r="B891" s="105"/>
      <c r="C891" s="105"/>
      <c r="D891" s="105"/>
      <c r="E891" s="105"/>
      <c r="F891" s="105"/>
      <c r="G891" s="105"/>
      <c r="H891" s="105"/>
      <c r="I891" s="105"/>
      <c r="J891" s="105"/>
      <c r="K891" s="105"/>
      <c r="L891" s="105"/>
      <c r="M891" s="105"/>
      <c r="N891" s="105"/>
      <c r="O891" s="105"/>
      <c r="P891" s="105" t="str">
        <f>IFERROR(__xludf.DUMMYFUNCTION("""COMPUTED_VALUE"""),"suggesting::reversing::the::commit")</f>
        <v>suggesting::reversing::the::commit</v>
      </c>
      <c r="Q891" s="105"/>
      <c r="R891" s="105"/>
      <c r="S891" s="105"/>
      <c r="T891" s="105"/>
      <c r="U891" s="105"/>
      <c r="V891" s="105"/>
      <c r="W891" s="105"/>
      <c r="X891" s="105"/>
      <c r="Y891" s="105"/>
      <c r="Z891" s="105"/>
    </row>
    <row r="892">
      <c r="A892" s="105"/>
      <c r="B892" s="105"/>
      <c r="C892" s="105"/>
      <c r="D892" s="105"/>
      <c r="E892" s="105"/>
      <c r="F892" s="105"/>
      <c r="G892" s="105"/>
      <c r="H892" s="105"/>
      <c r="I892" s="105"/>
      <c r="J892" s="105"/>
      <c r="K892" s="105"/>
      <c r="L892" s="105"/>
      <c r="M892" s="105"/>
      <c r="N892" s="105"/>
      <c r="O892" s="105"/>
      <c r="P892" s="105" t="str">
        <f>IFERROR(__xludf.DUMMYFUNCTION("""COMPUTED_VALUE"""),"suggestion::assert::change")</f>
        <v>suggestion::assert::change</v>
      </c>
      <c r="Q892" s="105"/>
      <c r="R892" s="105"/>
      <c r="S892" s="105"/>
      <c r="T892" s="105"/>
      <c r="U892" s="105"/>
      <c r="V892" s="105"/>
      <c r="W892" s="105"/>
      <c r="X892" s="105"/>
      <c r="Y892" s="105"/>
      <c r="Z892" s="105"/>
    </row>
    <row r="893">
      <c r="A893" s="105"/>
      <c r="B893" s="105"/>
      <c r="C893" s="105"/>
      <c r="D893" s="105"/>
      <c r="E893" s="105"/>
      <c r="F893" s="105"/>
      <c r="G893" s="105"/>
      <c r="H893" s="105"/>
      <c r="I893" s="105"/>
      <c r="J893" s="105"/>
      <c r="K893" s="105"/>
      <c r="L893" s="105"/>
      <c r="M893" s="105"/>
      <c r="N893" s="105"/>
      <c r="O893" s="105"/>
      <c r="P893" s="105" t="str">
        <f>IFERROR(__xludf.DUMMYFUNCTION("""COMPUTED_VALUE"""),"suggestion::change::(add::documentation)")</f>
        <v>suggestion::change::(add::documentation)</v>
      </c>
      <c r="Q893" s="105"/>
      <c r="R893" s="105"/>
      <c r="S893" s="105"/>
      <c r="T893" s="105"/>
      <c r="U893" s="105"/>
      <c r="V893" s="105"/>
      <c r="W893" s="105"/>
      <c r="X893" s="105"/>
      <c r="Y893" s="105"/>
      <c r="Z893" s="105"/>
    </row>
    <row r="894">
      <c r="A894" s="105"/>
      <c r="B894" s="105"/>
      <c r="C894" s="105"/>
      <c r="D894" s="105"/>
      <c r="E894" s="105"/>
      <c r="F894" s="105"/>
      <c r="G894" s="105"/>
      <c r="H894" s="105"/>
      <c r="I894" s="105"/>
      <c r="J894" s="105"/>
      <c r="K894" s="105"/>
      <c r="L894" s="105"/>
      <c r="M894" s="105"/>
      <c r="N894" s="105"/>
      <c r="O894" s="105"/>
      <c r="P894" s="105" t="str">
        <f>IFERROR(__xludf.DUMMYFUNCTION("""COMPUTED_VALUE"""),"suggestion::change::(add::functionallity)")</f>
        <v>suggestion::change::(add::functionallity)</v>
      </c>
      <c r="Q894" s="105"/>
      <c r="R894" s="105"/>
      <c r="S894" s="105"/>
      <c r="T894" s="105"/>
      <c r="U894" s="105"/>
      <c r="V894" s="105"/>
      <c r="W894" s="105"/>
      <c r="X894" s="105"/>
      <c r="Y894" s="105"/>
      <c r="Z894" s="105"/>
    </row>
    <row r="895">
      <c r="A895" s="105"/>
      <c r="B895" s="105"/>
      <c r="C895" s="105"/>
      <c r="D895" s="105"/>
      <c r="E895" s="105"/>
      <c r="F895" s="105"/>
      <c r="G895" s="105"/>
      <c r="H895" s="105"/>
      <c r="I895" s="105"/>
      <c r="J895" s="105"/>
      <c r="K895" s="105"/>
      <c r="L895" s="105"/>
      <c r="M895" s="105"/>
      <c r="N895" s="105"/>
      <c r="O895" s="105"/>
      <c r="P895" s="105" t="str">
        <f>IFERROR(__xludf.DUMMYFUNCTION("""COMPUTED_VALUE"""),"suggestion::change::(add::inline::documentation)")</f>
        <v>suggestion::change::(add::inline::documentation)</v>
      </c>
      <c r="Q895" s="105"/>
      <c r="R895" s="105"/>
      <c r="S895" s="105"/>
      <c r="T895" s="105"/>
      <c r="U895" s="105"/>
      <c r="V895" s="105"/>
      <c r="W895" s="105"/>
      <c r="X895" s="105"/>
      <c r="Y895" s="105"/>
      <c r="Z895" s="105"/>
    </row>
    <row r="896">
      <c r="A896" s="105"/>
      <c r="B896" s="105"/>
      <c r="C896" s="105"/>
      <c r="D896" s="105"/>
      <c r="E896" s="105"/>
      <c r="F896" s="105"/>
      <c r="G896" s="105"/>
      <c r="H896" s="105"/>
      <c r="I896" s="105"/>
      <c r="J896" s="105"/>
      <c r="K896" s="105"/>
      <c r="L896" s="105"/>
      <c r="M896" s="105"/>
      <c r="N896" s="105"/>
      <c r="O896" s="105"/>
      <c r="P896" s="105" t="str">
        <f>IFERROR(__xludf.DUMMYFUNCTION("""COMPUTED_VALUE"""),"suggestion::change::(api::version)")</f>
        <v>suggestion::change::(api::version)</v>
      </c>
      <c r="Q896" s="105"/>
      <c r="R896" s="105"/>
      <c r="S896" s="105"/>
      <c r="T896" s="105"/>
      <c r="U896" s="105"/>
      <c r="V896" s="105"/>
      <c r="W896" s="105"/>
      <c r="X896" s="105"/>
      <c r="Y896" s="105"/>
      <c r="Z896" s="105"/>
    </row>
    <row r="897">
      <c r="A897" s="105"/>
      <c r="B897" s="105"/>
      <c r="C897" s="105"/>
      <c r="D897" s="105"/>
      <c r="E897" s="105"/>
      <c r="F897" s="105"/>
      <c r="G897" s="105"/>
      <c r="H897" s="105"/>
      <c r="I897" s="105"/>
      <c r="J897" s="105"/>
      <c r="K897" s="105"/>
      <c r="L897" s="105"/>
      <c r="M897" s="105"/>
      <c r="N897" s="105"/>
      <c r="O897" s="105"/>
      <c r="P897" s="105" t="str">
        <f>IFERROR(__xludf.DUMMYFUNCTION("""COMPUTED_VALUE"""),"suggestion::change::(apply::to::different::api::version)")</f>
        <v>suggestion::change::(apply::to::different::api::version)</v>
      </c>
      <c r="Q897" s="105"/>
      <c r="R897" s="105"/>
      <c r="S897" s="105"/>
      <c r="T897" s="105"/>
      <c r="U897" s="105"/>
      <c r="V897" s="105"/>
      <c r="W897" s="105"/>
      <c r="X897" s="105"/>
      <c r="Y897" s="105"/>
      <c r="Z897" s="105"/>
    </row>
    <row r="898">
      <c r="A898" s="105"/>
      <c r="B898" s="105"/>
      <c r="C898" s="105"/>
      <c r="D898" s="105"/>
      <c r="E898" s="105"/>
      <c r="F898" s="105"/>
      <c r="G898" s="105"/>
      <c r="H898" s="105"/>
      <c r="I898" s="105"/>
      <c r="J898" s="105"/>
      <c r="K898" s="105"/>
      <c r="L898" s="105"/>
      <c r="M898" s="105"/>
      <c r="N898" s="105"/>
      <c r="O898" s="105"/>
      <c r="P898" s="105" t="str">
        <f>IFERROR(__xludf.DUMMYFUNCTION("""COMPUTED_VALUE"""),"suggestion::change::(architecture::tests)")</f>
        <v>suggestion::change::(architecture::tests)</v>
      </c>
      <c r="Q898" s="105"/>
      <c r="R898" s="105"/>
      <c r="S898" s="105"/>
      <c r="T898" s="105"/>
      <c r="U898" s="105"/>
      <c r="V898" s="105"/>
      <c r="W898" s="105"/>
      <c r="X898" s="105"/>
      <c r="Y898" s="105"/>
      <c r="Z898" s="105"/>
    </row>
    <row r="899">
      <c r="A899" s="105"/>
      <c r="B899" s="105"/>
      <c r="C899" s="105"/>
      <c r="D899" s="105"/>
      <c r="E899" s="105"/>
      <c r="F899" s="105"/>
      <c r="G899" s="105"/>
      <c r="H899" s="105"/>
      <c r="I899" s="105"/>
      <c r="J899" s="105"/>
      <c r="K899" s="105"/>
      <c r="L899" s="105"/>
      <c r="M899" s="105"/>
      <c r="N899" s="105"/>
      <c r="O899" s="105"/>
      <c r="P899" s="105" t="str">
        <f>IFERROR(__xludf.DUMMYFUNCTION("""COMPUTED_VALUE"""),"suggestion::change::(architecture)")</f>
        <v>suggestion::change::(architecture)</v>
      </c>
      <c r="Q899" s="105"/>
      <c r="R899" s="105"/>
      <c r="S899" s="105"/>
      <c r="T899" s="105"/>
      <c r="U899" s="105"/>
      <c r="V899" s="105"/>
      <c r="W899" s="105"/>
      <c r="X899" s="105"/>
      <c r="Y899" s="105"/>
      <c r="Z899" s="105"/>
    </row>
    <row r="900">
      <c r="A900" s="105"/>
      <c r="B900" s="105"/>
      <c r="C900" s="105"/>
      <c r="D900" s="105"/>
      <c r="E900" s="105"/>
      <c r="F900" s="105"/>
      <c r="G900" s="105"/>
      <c r="H900" s="105"/>
      <c r="I900" s="105"/>
      <c r="J900" s="105"/>
      <c r="K900" s="105"/>
      <c r="L900" s="105"/>
      <c r="M900" s="105"/>
      <c r="N900" s="105"/>
      <c r="O900" s="105"/>
      <c r="P900" s="105" t="str">
        <f>IFERROR(__xludf.DUMMYFUNCTION("""COMPUTED_VALUE"""),"suggestion::change::(backwards::compatebility)")</f>
        <v>suggestion::change::(backwards::compatebility)</v>
      </c>
      <c r="Q900" s="105"/>
      <c r="R900" s="105"/>
      <c r="S900" s="105"/>
      <c r="T900" s="105"/>
      <c r="U900" s="105"/>
      <c r="V900" s="105"/>
      <c r="W900" s="105"/>
      <c r="X900" s="105"/>
      <c r="Y900" s="105"/>
      <c r="Z900" s="105"/>
    </row>
    <row r="901">
      <c r="A901" s="105"/>
      <c r="B901" s="105"/>
      <c r="C901" s="105"/>
      <c r="D901" s="105"/>
      <c r="E901" s="105"/>
      <c r="F901" s="105"/>
      <c r="G901" s="105"/>
      <c r="H901" s="105"/>
      <c r="I901" s="105"/>
      <c r="J901" s="105"/>
      <c r="K901" s="105"/>
      <c r="L901" s="105"/>
      <c r="M901" s="105"/>
      <c r="N901" s="105"/>
      <c r="O901" s="105"/>
      <c r="P901" s="105" t="str">
        <f>IFERROR(__xludf.DUMMYFUNCTION("""COMPUTED_VALUE"""),"suggestion::change::(change::input::parameter)")</f>
        <v>suggestion::change::(change::input::parameter)</v>
      </c>
      <c r="Q901" s="105"/>
      <c r="R901" s="105"/>
      <c r="S901" s="105"/>
      <c r="T901" s="105"/>
      <c r="U901" s="105"/>
      <c r="V901" s="105"/>
      <c r="W901" s="105"/>
      <c r="X901" s="105"/>
      <c r="Y901" s="105"/>
      <c r="Z901" s="105"/>
    </row>
    <row r="902">
      <c r="A902" s="105"/>
      <c r="B902" s="105"/>
      <c r="C902" s="105"/>
      <c r="D902" s="105"/>
      <c r="E902" s="105"/>
      <c r="F902" s="105"/>
      <c r="G902" s="105"/>
      <c r="H902" s="105"/>
      <c r="I902" s="105"/>
      <c r="J902" s="105"/>
      <c r="K902" s="105"/>
      <c r="L902" s="105"/>
      <c r="M902" s="105"/>
      <c r="N902" s="105"/>
      <c r="O902" s="105"/>
      <c r="P902" s="105" t="str">
        <f>IFERROR(__xludf.DUMMYFUNCTION("""COMPUTED_VALUE"""),"suggestion::change::(change::method)")</f>
        <v>suggestion::change::(change::method)</v>
      </c>
      <c r="Q902" s="105"/>
      <c r="R902" s="105"/>
      <c r="S902" s="105"/>
      <c r="T902" s="105"/>
      <c r="U902" s="105"/>
      <c r="V902" s="105"/>
      <c r="W902" s="105"/>
      <c r="X902" s="105"/>
      <c r="Y902" s="105"/>
      <c r="Z902" s="105"/>
    </row>
    <row r="903">
      <c r="A903" s="105"/>
      <c r="B903" s="105"/>
      <c r="C903" s="105"/>
      <c r="D903" s="105"/>
      <c r="E903" s="105"/>
      <c r="F903" s="105"/>
      <c r="G903" s="105"/>
      <c r="H903" s="105"/>
      <c r="I903" s="105"/>
      <c r="J903" s="105"/>
      <c r="K903" s="105"/>
      <c r="L903" s="105"/>
      <c r="M903" s="105"/>
      <c r="N903" s="105"/>
      <c r="O903" s="105"/>
      <c r="P903" s="105" t="str">
        <f>IFERROR(__xludf.DUMMYFUNCTION("""COMPUTED_VALUE"""),"suggestion::change::(change::the::used::value::of::variable)")</f>
        <v>suggestion::change::(change::the::used::value::of::variable)</v>
      </c>
      <c r="Q903" s="105"/>
      <c r="R903" s="105"/>
      <c r="S903" s="105"/>
      <c r="T903" s="105"/>
      <c r="U903" s="105"/>
      <c r="V903" s="105"/>
      <c r="W903" s="105"/>
      <c r="X903" s="105"/>
      <c r="Y903" s="105"/>
      <c r="Z903" s="105"/>
    </row>
    <row r="904">
      <c r="A904" s="105"/>
      <c r="B904" s="105"/>
      <c r="C904" s="105"/>
      <c r="D904" s="105"/>
      <c r="E904" s="105"/>
      <c r="F904" s="105"/>
      <c r="G904" s="105"/>
      <c r="H904" s="105"/>
      <c r="I904" s="105"/>
      <c r="J904" s="105"/>
      <c r="K904" s="105"/>
      <c r="L904" s="105"/>
      <c r="M904" s="105"/>
      <c r="N904" s="105"/>
      <c r="O904" s="105"/>
      <c r="P904" s="105" t="str">
        <f>IFERROR(__xludf.DUMMYFUNCTION("""COMPUTED_VALUE"""),"suggestion::change::(change::type)")</f>
        <v>suggestion::change::(change::type)</v>
      </c>
      <c r="Q904" s="105"/>
      <c r="R904" s="105"/>
      <c r="S904" s="105"/>
      <c r="T904" s="105"/>
      <c r="U904" s="105"/>
      <c r="V904" s="105"/>
      <c r="W904" s="105"/>
      <c r="X904" s="105"/>
      <c r="Y904" s="105"/>
      <c r="Z904" s="105"/>
    </row>
    <row r="905">
      <c r="A905" s="105"/>
      <c r="B905" s="105"/>
      <c r="C905" s="105"/>
      <c r="D905" s="105"/>
      <c r="E905" s="105"/>
      <c r="F905" s="105"/>
      <c r="G905" s="105"/>
      <c r="H905" s="105"/>
      <c r="I905" s="105"/>
      <c r="J905" s="105"/>
      <c r="K905" s="105"/>
      <c r="L905" s="105"/>
      <c r="M905" s="105"/>
      <c r="N905" s="105"/>
      <c r="O905" s="105"/>
      <c r="P905" s="105" t="str">
        <f>IFERROR(__xludf.DUMMYFUNCTION("""COMPUTED_VALUE"""),"suggestion::change::(class::to::static)")</f>
        <v>suggestion::change::(class::to::static)</v>
      </c>
      <c r="Q905" s="105"/>
      <c r="R905" s="105"/>
      <c r="S905" s="105"/>
      <c r="T905" s="105"/>
      <c r="U905" s="105"/>
      <c r="V905" s="105"/>
      <c r="W905" s="105"/>
      <c r="X905" s="105"/>
      <c r="Y905" s="105"/>
      <c r="Z905" s="105"/>
    </row>
    <row r="906">
      <c r="A906" s="105"/>
      <c r="B906" s="105"/>
      <c r="C906" s="105"/>
      <c r="D906" s="105"/>
      <c r="E906" s="105"/>
      <c r="F906" s="105"/>
      <c r="G906" s="105"/>
      <c r="H906" s="105"/>
      <c r="I906" s="105"/>
      <c r="J906" s="105"/>
      <c r="K906" s="105"/>
      <c r="L906" s="105"/>
      <c r="M906" s="105"/>
      <c r="N906" s="105"/>
      <c r="O906" s="105"/>
      <c r="P906" s="105" t="str">
        <f>IFERROR(__xludf.DUMMYFUNCTION("""COMPUTED_VALUE"""),"suggestion::change::(coding::error)")</f>
        <v>suggestion::change::(coding::error)</v>
      </c>
      <c r="Q906" s="105"/>
      <c r="R906" s="105"/>
      <c r="S906" s="105"/>
      <c r="T906" s="105"/>
      <c r="U906" s="105"/>
      <c r="V906" s="105"/>
      <c r="W906" s="105"/>
      <c r="X906" s="105"/>
      <c r="Y906" s="105"/>
      <c r="Z906" s="105"/>
    </row>
    <row r="907">
      <c r="A907" s="105"/>
      <c r="B907" s="105"/>
      <c r="C907" s="105"/>
      <c r="D907" s="105"/>
      <c r="E907" s="105"/>
      <c r="F907" s="105"/>
      <c r="G907" s="105"/>
      <c r="H907" s="105"/>
      <c r="I907" s="105"/>
      <c r="J907" s="105"/>
      <c r="K907" s="105"/>
      <c r="L907" s="105"/>
      <c r="M907" s="105"/>
      <c r="N907" s="105"/>
      <c r="O907" s="105"/>
      <c r="P907" s="105" t="str">
        <f>IFERROR(__xludf.DUMMYFUNCTION("""COMPUTED_VALUE"""),"suggestion::change::(content::logging::not::misleading)")</f>
        <v>suggestion::change::(content::logging::not::misleading)</v>
      </c>
      <c r="Q907" s="105"/>
      <c r="R907" s="105"/>
      <c r="S907" s="105"/>
      <c r="T907" s="105"/>
      <c r="U907" s="105"/>
      <c r="V907" s="105"/>
      <c r="W907" s="105"/>
      <c r="X907" s="105"/>
      <c r="Y907" s="105"/>
      <c r="Z907" s="105"/>
    </row>
    <row r="908">
      <c r="A908" s="105"/>
      <c r="B908" s="105"/>
      <c r="C908" s="105"/>
      <c r="D908" s="105"/>
      <c r="E908" s="105"/>
      <c r="F908" s="105"/>
      <c r="G908" s="105"/>
      <c r="H908" s="105"/>
      <c r="I908" s="105"/>
      <c r="J908" s="105"/>
      <c r="K908" s="105"/>
      <c r="L908" s="105"/>
      <c r="M908" s="105"/>
      <c r="N908" s="105"/>
      <c r="O908" s="105"/>
      <c r="P908" s="105" t="str">
        <f>IFERROR(__xludf.DUMMYFUNCTION("""COMPUTED_VALUE"""),"suggestion::change::(database::models)")</f>
        <v>suggestion::change::(database::models)</v>
      </c>
      <c r="Q908" s="105"/>
      <c r="R908" s="105"/>
      <c r="S908" s="105"/>
      <c r="T908" s="105"/>
      <c r="U908" s="105"/>
      <c r="V908" s="105"/>
      <c r="W908" s="105"/>
      <c r="X908" s="105"/>
      <c r="Y908" s="105"/>
      <c r="Z908" s="105"/>
    </row>
    <row r="909">
      <c r="A909" s="105"/>
      <c r="B909" s="105"/>
      <c r="C909" s="105"/>
      <c r="D909" s="105"/>
      <c r="E909" s="105"/>
      <c r="F909" s="105"/>
      <c r="G909" s="105"/>
      <c r="H909" s="105"/>
      <c r="I909" s="105"/>
      <c r="J909" s="105"/>
      <c r="K909" s="105"/>
      <c r="L909" s="105"/>
      <c r="M909" s="105"/>
      <c r="N909" s="105"/>
      <c r="O909" s="105"/>
      <c r="P909" s="105" t="str">
        <f>IFERROR(__xludf.DUMMYFUNCTION("""COMPUTED_VALUE"""),"suggestion::change::(database::query)")</f>
        <v>suggestion::change::(database::query)</v>
      </c>
      <c r="Q909" s="105"/>
      <c r="R909" s="105"/>
      <c r="S909" s="105"/>
      <c r="T909" s="105"/>
      <c r="U909" s="105"/>
      <c r="V909" s="105"/>
      <c r="W909" s="105"/>
      <c r="X909" s="105"/>
      <c r="Y909" s="105"/>
      <c r="Z909" s="105"/>
    </row>
    <row r="910">
      <c r="A910" s="105"/>
      <c r="B910" s="105"/>
      <c r="C910" s="105"/>
      <c r="D910" s="105"/>
      <c r="E910" s="105"/>
      <c r="F910" s="105"/>
      <c r="G910" s="105"/>
      <c r="H910" s="105"/>
      <c r="I910" s="105"/>
      <c r="J910" s="105"/>
      <c r="K910" s="105"/>
      <c r="L910" s="105"/>
      <c r="M910" s="105"/>
      <c r="N910" s="105"/>
      <c r="O910" s="105"/>
      <c r="P910" s="105" t="str">
        <f>IFERROR(__xludf.DUMMYFUNCTION("""COMPUTED_VALUE"""),"suggestion::change::(decorator::micro::version)")</f>
        <v>suggestion::change::(decorator::micro::version)</v>
      </c>
      <c r="Q910" s="105"/>
      <c r="R910" s="105"/>
      <c r="S910" s="105"/>
      <c r="T910" s="105"/>
      <c r="U910" s="105"/>
      <c r="V910" s="105"/>
      <c r="W910" s="105"/>
      <c r="X910" s="105"/>
      <c r="Y910" s="105"/>
      <c r="Z910" s="105"/>
    </row>
    <row r="911">
      <c r="A911" s="105"/>
      <c r="B911" s="105"/>
      <c r="C911" s="105"/>
      <c r="D911" s="105"/>
      <c r="E911" s="105"/>
      <c r="F911" s="105"/>
      <c r="G911" s="105"/>
      <c r="H911" s="105"/>
      <c r="I911" s="105"/>
      <c r="J911" s="105"/>
      <c r="K911" s="105"/>
      <c r="L911" s="105"/>
      <c r="M911" s="105"/>
      <c r="N911" s="105"/>
      <c r="O911" s="105"/>
      <c r="P911" s="105" t="str">
        <f>IFERROR(__xludf.DUMMYFUNCTION("""COMPUTED_VALUE"""),"suggestion::change::(default::values::config)")</f>
        <v>suggestion::change::(default::values::config)</v>
      </c>
      <c r="Q911" s="105"/>
      <c r="R911" s="105"/>
      <c r="S911" s="105"/>
      <c r="T911" s="105"/>
      <c r="U911" s="105"/>
      <c r="V911" s="105"/>
      <c r="W911" s="105"/>
      <c r="X911" s="105"/>
      <c r="Y911" s="105"/>
      <c r="Z911" s="105"/>
    </row>
    <row r="912">
      <c r="A912" s="105"/>
      <c r="B912" s="105"/>
      <c r="C912" s="105"/>
      <c r="D912" s="105"/>
      <c r="E912" s="105"/>
      <c r="F912" s="105"/>
      <c r="G912" s="105"/>
      <c r="H912" s="105"/>
      <c r="I912" s="105"/>
      <c r="J912" s="105"/>
      <c r="K912" s="105"/>
      <c r="L912" s="105"/>
      <c r="M912" s="105"/>
      <c r="N912" s="105"/>
      <c r="O912" s="105"/>
      <c r="P912" s="105" t="str">
        <f>IFERROR(__xludf.DUMMYFUNCTION("""COMPUTED_VALUE"""),"suggestion::change::(default::values)")</f>
        <v>suggestion::change::(default::values)</v>
      </c>
      <c r="Q912" s="105"/>
      <c r="R912" s="105"/>
      <c r="S912" s="105"/>
      <c r="T912" s="105"/>
      <c r="U912" s="105"/>
      <c r="V912" s="105"/>
      <c r="W912" s="105"/>
      <c r="X912" s="105"/>
      <c r="Y912" s="105"/>
      <c r="Z912" s="105"/>
    </row>
    <row r="913">
      <c r="A913" s="105"/>
      <c r="B913" s="105"/>
      <c r="C913" s="105"/>
      <c r="D913" s="105"/>
      <c r="E913" s="105"/>
      <c r="F913" s="105"/>
      <c r="G913" s="105"/>
      <c r="H913" s="105"/>
      <c r="I913" s="105"/>
      <c r="J913" s="105"/>
      <c r="K913" s="105"/>
      <c r="L913" s="105"/>
      <c r="M913" s="105"/>
      <c r="N913" s="105"/>
      <c r="O913" s="105"/>
      <c r="P913" s="105" t="str">
        <f>IFERROR(__xludf.DUMMYFUNCTION("""COMPUTED_VALUE"""),"suggestion::change::(delete::method/function)")</f>
        <v>suggestion::change::(delete::method/function)</v>
      </c>
      <c r="Q913" s="105"/>
      <c r="R913" s="105"/>
      <c r="S913" s="105"/>
      <c r="T913" s="105"/>
      <c r="U913" s="105"/>
      <c r="V913" s="105"/>
      <c r="W913" s="105"/>
      <c r="X913" s="105"/>
      <c r="Y913" s="105"/>
      <c r="Z913" s="105"/>
    </row>
    <row r="914">
      <c r="A914" s="105"/>
      <c r="B914" s="105"/>
      <c r="C914" s="105"/>
      <c r="D914" s="105"/>
      <c r="E914" s="105"/>
      <c r="F914" s="105"/>
      <c r="G914" s="105"/>
      <c r="H914" s="105"/>
      <c r="I914" s="105"/>
      <c r="J914" s="105"/>
      <c r="K914" s="105"/>
      <c r="L914" s="105"/>
      <c r="M914" s="105"/>
      <c r="N914" s="105"/>
      <c r="O914" s="105"/>
      <c r="P914" s="105" t="str">
        <f>IFERROR(__xludf.DUMMYFUNCTION("""COMPUTED_VALUE"""),"suggestion::change::(delete::temporary::files)")</f>
        <v>suggestion::change::(delete::temporary::files)</v>
      </c>
      <c r="Q914" s="105"/>
      <c r="R914" s="105"/>
      <c r="S914" s="105"/>
      <c r="T914" s="105"/>
      <c r="U914" s="105"/>
      <c r="V914" s="105"/>
      <c r="W914" s="105"/>
      <c r="X914" s="105"/>
      <c r="Y914" s="105"/>
      <c r="Z914" s="105"/>
    </row>
    <row r="915">
      <c r="A915" s="105"/>
      <c r="B915" s="105"/>
      <c r="C915" s="105"/>
      <c r="D915" s="105"/>
      <c r="E915" s="105"/>
      <c r="F915" s="105"/>
      <c r="G915" s="105"/>
      <c r="H915" s="105"/>
      <c r="I915" s="105"/>
      <c r="J915" s="105"/>
      <c r="K915" s="105"/>
      <c r="L915" s="105"/>
      <c r="M915" s="105"/>
      <c r="N915" s="105"/>
      <c r="O915" s="105"/>
      <c r="P915" s="105" t="str">
        <f>IFERROR(__xludf.DUMMYFUNCTION("""COMPUTED_VALUE"""),"suggestion::change::(delete::type/exception)")</f>
        <v>suggestion::change::(delete::type/exception)</v>
      </c>
      <c r="Q915" s="105"/>
      <c r="R915" s="105"/>
      <c r="S915" s="105"/>
      <c r="T915" s="105"/>
      <c r="U915" s="105"/>
      <c r="V915" s="105"/>
      <c r="W915" s="105"/>
      <c r="X915" s="105"/>
      <c r="Y915" s="105"/>
      <c r="Z915" s="105"/>
    </row>
    <row r="916">
      <c r="A916" s="105"/>
      <c r="B916" s="105"/>
      <c r="C916" s="105"/>
      <c r="D916" s="105"/>
      <c r="E916" s="105"/>
      <c r="F916" s="105"/>
      <c r="G916" s="105"/>
      <c r="H916" s="105"/>
      <c r="I916" s="105"/>
      <c r="J916" s="105"/>
      <c r="K916" s="105"/>
      <c r="L916" s="105"/>
      <c r="M916" s="105"/>
      <c r="N916" s="105"/>
      <c r="O916" s="105"/>
      <c r="P916" s="105" t="str">
        <f>IFERROR(__xludf.DUMMYFUNCTION("""COMPUTED_VALUE"""),"suggestion::change::(design::access::modifiers)")</f>
        <v>suggestion::change::(design::access::modifiers)</v>
      </c>
      <c r="Q916" s="105"/>
      <c r="R916" s="105"/>
      <c r="S916" s="105"/>
      <c r="T916" s="105"/>
      <c r="U916" s="105"/>
      <c r="V916" s="105"/>
      <c r="W916" s="105"/>
      <c r="X916" s="105"/>
      <c r="Y916" s="105"/>
      <c r="Z916" s="105"/>
    </row>
    <row r="917">
      <c r="A917" s="105"/>
      <c r="B917" s="105"/>
      <c r="C917" s="105"/>
      <c r="D917" s="105"/>
      <c r="E917" s="105"/>
      <c r="F917" s="105"/>
      <c r="G917" s="105"/>
      <c r="H917" s="105"/>
      <c r="I917" s="105"/>
      <c r="J917" s="105"/>
      <c r="K917" s="105"/>
      <c r="L917" s="105"/>
      <c r="M917" s="105"/>
      <c r="N917" s="105"/>
      <c r="O917" s="105"/>
      <c r="P917" s="105" t="str">
        <f>IFERROR(__xludf.DUMMYFUNCTION("""COMPUTED_VALUE"""),"suggestion::change::(documentation::config::helper::info)")</f>
        <v>suggestion::change::(documentation::config::helper::info)</v>
      </c>
      <c r="Q917" s="105"/>
      <c r="R917" s="105"/>
      <c r="S917" s="105"/>
      <c r="T917" s="105"/>
      <c r="U917" s="105"/>
      <c r="V917" s="105"/>
      <c r="W917" s="105"/>
      <c r="X917" s="105"/>
      <c r="Y917" s="105"/>
      <c r="Z917" s="105"/>
    </row>
    <row r="918">
      <c r="A918" s="105"/>
      <c r="B918" s="105"/>
      <c r="C918" s="105"/>
      <c r="D918" s="105"/>
      <c r="E918" s="105"/>
      <c r="F918" s="105"/>
      <c r="G918" s="105"/>
      <c r="H918" s="105"/>
      <c r="I918" s="105"/>
      <c r="J918" s="105"/>
      <c r="K918" s="105"/>
      <c r="L918" s="105"/>
      <c r="M918" s="105"/>
      <c r="N918" s="105"/>
      <c r="O918" s="105"/>
      <c r="P918" s="105" t="str">
        <f>IFERROR(__xludf.DUMMYFUNCTION("""COMPUTED_VALUE"""),"suggestion::change::(documentation::docstring::introduction)")</f>
        <v>suggestion::change::(documentation::docstring::introduction)</v>
      </c>
      <c r="Q918" s="105"/>
      <c r="R918" s="105"/>
      <c r="S918" s="105"/>
      <c r="T918" s="105"/>
      <c r="U918" s="105"/>
      <c r="V918" s="105"/>
      <c r="W918" s="105"/>
      <c r="X918" s="105"/>
      <c r="Y918" s="105"/>
      <c r="Z918" s="105"/>
    </row>
    <row r="919">
      <c r="A919" s="105"/>
      <c r="B919" s="105"/>
      <c r="C919" s="105"/>
      <c r="D919" s="105"/>
      <c r="E919" s="105"/>
      <c r="F919" s="105"/>
      <c r="G919" s="105"/>
      <c r="H919" s="105"/>
      <c r="I919" s="105"/>
      <c r="J919" s="105"/>
      <c r="K919" s="105"/>
      <c r="L919" s="105"/>
      <c r="M919" s="105"/>
      <c r="N919" s="105"/>
      <c r="O919" s="105"/>
      <c r="P919" s="105" t="str">
        <f>IFERROR(__xludf.DUMMYFUNCTION("""COMPUTED_VALUE"""),"suggestion::change::(documentation::docstring)")</f>
        <v>suggestion::change::(documentation::docstring)</v>
      </c>
      <c r="Q919" s="105"/>
      <c r="R919" s="105"/>
      <c r="S919" s="105"/>
      <c r="T919" s="105"/>
      <c r="U919" s="105"/>
      <c r="V919" s="105"/>
      <c r="W919" s="105"/>
      <c r="X919" s="105"/>
      <c r="Y919" s="105"/>
      <c r="Z919" s="105"/>
    </row>
    <row r="920">
      <c r="A920" s="105"/>
      <c r="B920" s="105"/>
      <c r="C920" s="105"/>
      <c r="D920" s="105"/>
      <c r="E920" s="105"/>
      <c r="F920" s="105"/>
      <c r="G920" s="105"/>
      <c r="H920" s="105"/>
      <c r="I920" s="105"/>
      <c r="J920" s="105"/>
      <c r="K920" s="105"/>
      <c r="L920" s="105"/>
      <c r="M920" s="105"/>
      <c r="N920" s="105"/>
      <c r="O920" s="105"/>
      <c r="P920" s="105" t="str">
        <f>IFERROR(__xludf.DUMMYFUNCTION("""COMPUTED_VALUE"""),"suggestion::change::(documentation::License)")</f>
        <v>suggestion::change::(documentation::License)</v>
      </c>
      <c r="Q920" s="105"/>
      <c r="R920" s="105"/>
      <c r="S920" s="105"/>
      <c r="T920" s="105"/>
      <c r="U920" s="105"/>
      <c r="V920" s="105"/>
      <c r="W920" s="105"/>
      <c r="X920" s="105"/>
      <c r="Y920" s="105"/>
      <c r="Z920" s="105"/>
    </row>
    <row r="921">
      <c r="A921" s="105"/>
      <c r="B921" s="105"/>
      <c r="C921" s="105"/>
      <c r="D921" s="105"/>
      <c r="E921" s="105"/>
      <c r="F921" s="105"/>
      <c r="G921" s="105"/>
      <c r="H921" s="105"/>
      <c r="I921" s="105"/>
      <c r="J921" s="105"/>
      <c r="K921" s="105"/>
      <c r="L921" s="105"/>
      <c r="M921" s="105"/>
      <c r="N921" s="105"/>
      <c r="O921" s="105"/>
      <c r="P921" s="105" t="str">
        <f>IFERROR(__xludf.DUMMYFUNCTION("""COMPUTED_VALUE"""),"suggestion::change::(documentation::mismatch)")</f>
        <v>suggestion::change::(documentation::mismatch)</v>
      </c>
      <c r="Q921" s="105"/>
      <c r="R921" s="105"/>
      <c r="S921" s="105"/>
      <c r="T921" s="105"/>
      <c r="U921" s="105"/>
      <c r="V921" s="105"/>
      <c r="W921" s="105"/>
      <c r="X921" s="105"/>
      <c r="Y921" s="105"/>
      <c r="Z921" s="105"/>
    </row>
    <row r="922">
      <c r="A922" s="105"/>
      <c r="B922" s="105"/>
      <c r="C922" s="105"/>
      <c r="D922" s="105"/>
      <c r="E922" s="105"/>
      <c r="F922" s="105"/>
      <c r="G922" s="105"/>
      <c r="H922" s="105"/>
      <c r="I922" s="105"/>
      <c r="J922" s="105"/>
      <c r="K922" s="105"/>
      <c r="L922" s="105"/>
      <c r="M922" s="105"/>
      <c r="N922" s="105"/>
      <c r="O922" s="105"/>
      <c r="P922" s="105" t="str">
        <f>IFERROR(__xludf.DUMMYFUNCTION("""COMPUTED_VALUE"""),"suggestion::change::(documentation::replace::docstring::with::comments)")</f>
        <v>suggestion::change::(documentation::replace::docstring::with::comments)</v>
      </c>
      <c r="Q922" s="105"/>
      <c r="R922" s="105"/>
      <c r="S922" s="105"/>
      <c r="T922" s="105"/>
      <c r="U922" s="105"/>
      <c r="V922" s="105"/>
      <c r="W922" s="105"/>
      <c r="X922" s="105"/>
      <c r="Y922" s="105"/>
      <c r="Z922" s="105"/>
    </row>
    <row r="923">
      <c r="A923" s="105"/>
      <c r="B923" s="105"/>
      <c r="C923" s="105"/>
      <c r="D923" s="105"/>
      <c r="E923" s="105"/>
      <c r="F923" s="105"/>
      <c r="G923" s="105"/>
      <c r="H923" s="105"/>
      <c r="I923" s="105"/>
      <c r="J923" s="105"/>
      <c r="K923" s="105"/>
      <c r="L923" s="105"/>
      <c r="M923" s="105"/>
      <c r="N923" s="105"/>
      <c r="O923" s="105"/>
      <c r="P923" s="105" t="str">
        <f>IFERROR(__xludf.DUMMYFUNCTION("""COMPUTED_VALUE"""),"suggestion::change::(documentation)")</f>
        <v>suggestion::change::(documentation)</v>
      </c>
      <c r="Q923" s="105"/>
      <c r="R923" s="105"/>
      <c r="S923" s="105"/>
      <c r="T923" s="105"/>
      <c r="U923" s="105"/>
      <c r="V923" s="105"/>
      <c r="W923" s="105"/>
      <c r="X923" s="105"/>
      <c r="Y923" s="105"/>
      <c r="Z923" s="105"/>
    </row>
    <row r="924">
      <c r="A924" s="105"/>
      <c r="B924" s="105"/>
      <c r="C924" s="105"/>
      <c r="D924" s="105"/>
      <c r="E924" s="105"/>
      <c r="F924" s="105"/>
      <c r="G924" s="105"/>
      <c r="H924" s="105"/>
      <c r="I924" s="105"/>
      <c r="J924" s="105"/>
      <c r="K924" s="105"/>
      <c r="L924" s="105"/>
      <c r="M924" s="105"/>
      <c r="N924" s="105"/>
      <c r="O924" s="105"/>
      <c r="P924" s="105" t="str">
        <f>IFERROR(__xludf.DUMMYFUNCTION("""COMPUTED_VALUE"""),"suggestion::change::(driver::level)")</f>
        <v>suggestion::change::(driver::level)</v>
      </c>
      <c r="Q924" s="105"/>
      <c r="R924" s="105"/>
      <c r="S924" s="105"/>
      <c r="T924" s="105"/>
      <c r="U924" s="105"/>
      <c r="V924" s="105"/>
      <c r="W924" s="105"/>
      <c r="X924" s="105"/>
      <c r="Y924" s="105"/>
      <c r="Z924" s="105"/>
    </row>
    <row r="925">
      <c r="A925" s="105"/>
      <c r="B925" s="105"/>
      <c r="C925" s="105"/>
      <c r="D925" s="105"/>
      <c r="E925" s="105"/>
      <c r="F925" s="105"/>
      <c r="G925" s="105"/>
      <c r="H925" s="105"/>
      <c r="I925" s="105"/>
      <c r="J925" s="105"/>
      <c r="K925" s="105"/>
      <c r="L925" s="105"/>
      <c r="M925" s="105"/>
      <c r="N925" s="105"/>
      <c r="O925" s="105"/>
      <c r="P925" s="105" t="str">
        <f>IFERROR(__xludf.DUMMYFUNCTION("""COMPUTED_VALUE"""),"suggestion::change::(error::handling)")</f>
        <v>suggestion::change::(error::handling)</v>
      </c>
      <c r="Q925" s="105"/>
      <c r="R925" s="105"/>
      <c r="S925" s="105"/>
      <c r="T925" s="105"/>
      <c r="U925" s="105"/>
      <c r="V925" s="105"/>
      <c r="W925" s="105"/>
      <c r="X925" s="105"/>
      <c r="Y925" s="105"/>
      <c r="Z925" s="105"/>
    </row>
    <row r="926">
      <c r="A926" s="105"/>
      <c r="B926" s="105"/>
      <c r="C926" s="105"/>
      <c r="D926" s="105"/>
      <c r="E926" s="105"/>
      <c r="F926" s="105"/>
      <c r="G926" s="105"/>
      <c r="H926" s="105"/>
      <c r="I926" s="105"/>
      <c r="J926" s="105"/>
      <c r="K926" s="105"/>
      <c r="L926" s="105"/>
      <c r="M926" s="105"/>
      <c r="N926" s="105"/>
      <c r="O926" s="105"/>
      <c r="P926" s="105" t="str">
        <f>IFERROR(__xludf.DUMMYFUNCTION("""COMPUTED_VALUE"""),"suggestion::change::(exception::type)")</f>
        <v>suggestion::change::(exception::type)</v>
      </c>
      <c r="Q926" s="105"/>
      <c r="R926" s="105"/>
      <c r="S926" s="105"/>
      <c r="T926" s="105"/>
      <c r="U926" s="105"/>
      <c r="V926" s="105"/>
      <c r="W926" s="105"/>
      <c r="X926" s="105"/>
      <c r="Y926" s="105"/>
      <c r="Z926" s="105"/>
    </row>
    <row r="927">
      <c r="A927" s="105"/>
      <c r="B927" s="105"/>
      <c r="C927" s="105"/>
      <c r="D927" s="105"/>
      <c r="E927" s="105"/>
      <c r="F927" s="105"/>
      <c r="G927" s="105"/>
      <c r="H927" s="105"/>
      <c r="I927" s="105"/>
      <c r="J927" s="105"/>
      <c r="K927" s="105"/>
      <c r="L927" s="105"/>
      <c r="M927" s="105"/>
      <c r="N927" s="105"/>
      <c r="O927" s="105"/>
      <c r="P927" s="105" t="str">
        <f>IFERROR(__xludf.DUMMYFUNCTION("""COMPUTED_VALUE"""),"suggestion::change::(external::endpont::url)")</f>
        <v>suggestion::change::(external::endpont::url)</v>
      </c>
      <c r="Q927" s="105"/>
      <c r="R927" s="105"/>
      <c r="S927" s="105"/>
      <c r="T927" s="105"/>
      <c r="U927" s="105"/>
      <c r="V927" s="105"/>
      <c r="W927" s="105"/>
      <c r="X927" s="105"/>
      <c r="Y927" s="105"/>
      <c r="Z927" s="105"/>
    </row>
    <row r="928">
      <c r="A928" s="105"/>
      <c r="B928" s="105"/>
      <c r="C928" s="105"/>
      <c r="D928" s="105"/>
      <c r="E928" s="105"/>
      <c r="F928" s="105"/>
      <c r="G928" s="105"/>
      <c r="H928" s="105"/>
      <c r="I928" s="105"/>
      <c r="J928" s="105"/>
      <c r="K928" s="105"/>
      <c r="L928" s="105"/>
      <c r="M928" s="105"/>
      <c r="N928" s="105"/>
      <c r="O928" s="105"/>
      <c r="P928" s="105" t="str">
        <f>IFERROR(__xludf.DUMMYFUNCTION("""COMPUTED_VALUE"""),"suggestion::change::(functionallity)")</f>
        <v>suggestion::change::(functionallity)</v>
      </c>
      <c r="Q928" s="105"/>
      <c r="R928" s="105"/>
      <c r="S928" s="105"/>
      <c r="T928" s="105"/>
      <c r="U928" s="105"/>
      <c r="V928" s="105"/>
      <c r="W928" s="105"/>
      <c r="X928" s="105"/>
      <c r="Y928" s="105"/>
      <c r="Z928" s="105"/>
    </row>
    <row r="929">
      <c r="A929" s="105"/>
      <c r="B929" s="105"/>
      <c r="C929" s="105"/>
      <c r="D929" s="105"/>
      <c r="E929" s="105"/>
      <c r="F929" s="105"/>
      <c r="G929" s="105"/>
      <c r="H929" s="105"/>
      <c r="I929" s="105"/>
      <c r="J929" s="105"/>
      <c r="K929" s="105"/>
      <c r="L929" s="105"/>
      <c r="M929" s="105"/>
      <c r="N929" s="105"/>
      <c r="O929" s="105"/>
      <c r="P929" s="105" t="str">
        <f>IFERROR(__xludf.DUMMYFUNCTION("""COMPUTED_VALUE"""),"suggestion::change::(in::new::PR/Issue)")</f>
        <v>suggestion::change::(in::new::PR/Issue)</v>
      </c>
      <c r="Q929" s="105"/>
      <c r="R929" s="105"/>
      <c r="S929" s="105"/>
      <c r="T929" s="105"/>
      <c r="U929" s="105"/>
      <c r="V929" s="105"/>
      <c r="W929" s="105"/>
      <c r="X929" s="105"/>
      <c r="Y929" s="105"/>
      <c r="Z929" s="105"/>
    </row>
    <row r="930">
      <c r="A930" s="105"/>
      <c r="B930" s="105"/>
      <c r="C930" s="105"/>
      <c r="D930" s="105"/>
      <c r="E930" s="105"/>
      <c r="F930" s="105"/>
      <c r="G930" s="105"/>
      <c r="H930" s="105"/>
      <c r="I930" s="105"/>
      <c r="J930" s="105"/>
      <c r="K930" s="105"/>
      <c r="L930" s="105"/>
      <c r="M930" s="105"/>
      <c r="N930" s="105"/>
      <c r="O930" s="105"/>
      <c r="P930" s="105" t="str">
        <f>IFERROR(__xludf.DUMMYFUNCTION("""COMPUTED_VALUE"""),"suggestion::change::(input::parameter)")</f>
        <v>suggestion::change::(input::parameter)</v>
      </c>
      <c r="Q930" s="105"/>
      <c r="R930" s="105"/>
      <c r="S930" s="105"/>
      <c r="T930" s="105"/>
      <c r="U930" s="105"/>
      <c r="V930" s="105"/>
      <c r="W930" s="105"/>
      <c r="X930" s="105"/>
      <c r="Y930" s="105"/>
      <c r="Z930" s="105"/>
    </row>
    <row r="931">
      <c r="A931" s="105"/>
      <c r="B931" s="105"/>
      <c r="C931" s="105"/>
      <c r="D931" s="105"/>
      <c r="E931" s="105"/>
      <c r="F931" s="105"/>
      <c r="G931" s="105"/>
      <c r="H931" s="105"/>
      <c r="I931" s="105"/>
      <c r="J931" s="105"/>
      <c r="K931" s="105"/>
      <c r="L931" s="105"/>
      <c r="M931" s="105"/>
      <c r="N931" s="105"/>
      <c r="O931" s="105"/>
      <c r="P931" s="105" t="str">
        <f>IFERROR(__xludf.DUMMYFUNCTION("""COMPUTED_VALUE"""),"suggestion::change::(logging::for::debugging)")</f>
        <v>suggestion::change::(logging::for::debugging)</v>
      </c>
      <c r="Q931" s="105"/>
      <c r="R931" s="105"/>
      <c r="S931" s="105"/>
      <c r="T931" s="105"/>
      <c r="U931" s="105"/>
      <c r="V931" s="105"/>
      <c r="W931" s="105"/>
      <c r="X931" s="105"/>
      <c r="Y931" s="105"/>
      <c r="Z931" s="105"/>
    </row>
    <row r="932">
      <c r="A932" s="105"/>
      <c r="B932" s="105"/>
      <c r="C932" s="105"/>
      <c r="D932" s="105"/>
      <c r="E932" s="105"/>
      <c r="F932" s="105"/>
      <c r="G932" s="105"/>
      <c r="H932" s="105"/>
      <c r="I932" s="105"/>
      <c r="J932" s="105"/>
      <c r="K932" s="105"/>
      <c r="L932" s="105"/>
      <c r="M932" s="105"/>
      <c r="N932" s="105"/>
      <c r="O932" s="105"/>
      <c r="P932" s="105" t="str">
        <f>IFERROR(__xludf.DUMMYFUNCTION("""COMPUTED_VALUE"""),"suggestion::change::(logging::level)")</f>
        <v>suggestion::change::(logging::level)</v>
      </c>
      <c r="Q932" s="105"/>
      <c r="R932" s="105"/>
      <c r="S932" s="105"/>
      <c r="T932" s="105"/>
      <c r="U932" s="105"/>
      <c r="V932" s="105"/>
      <c r="W932" s="105"/>
      <c r="X932" s="105"/>
      <c r="Y932" s="105"/>
      <c r="Z932" s="105"/>
    </row>
    <row r="933">
      <c r="A933" s="105"/>
      <c r="B933" s="105"/>
      <c r="C933" s="105"/>
      <c r="D933" s="105"/>
      <c r="E933" s="105"/>
      <c r="F933" s="105"/>
      <c r="G933" s="105"/>
      <c r="H933" s="105"/>
      <c r="I933" s="105"/>
      <c r="J933" s="105"/>
      <c r="K933" s="105"/>
      <c r="L933" s="105"/>
      <c r="M933" s="105"/>
      <c r="N933" s="105"/>
      <c r="O933" s="105"/>
      <c r="P933" s="105" t="str">
        <f>IFERROR(__xludf.DUMMYFUNCTION("""COMPUTED_VALUE"""),"suggestion::change::(logging::message::clearness)")</f>
        <v>suggestion::change::(logging::message::clearness)</v>
      </c>
      <c r="Q933" s="105"/>
      <c r="R933" s="105"/>
      <c r="S933" s="105"/>
      <c r="T933" s="105"/>
      <c r="U933" s="105"/>
      <c r="V933" s="105"/>
      <c r="W933" s="105"/>
      <c r="X933" s="105"/>
      <c r="Y933" s="105"/>
      <c r="Z933" s="105"/>
    </row>
    <row r="934">
      <c r="A934" s="105"/>
      <c r="B934" s="105"/>
      <c r="C934" s="105"/>
      <c r="D934" s="105"/>
      <c r="E934" s="105"/>
      <c r="F934" s="105"/>
      <c r="G934" s="105"/>
      <c r="H934" s="105"/>
      <c r="I934" s="105"/>
      <c r="J934" s="105"/>
      <c r="K934" s="105"/>
      <c r="L934" s="105"/>
      <c r="M934" s="105"/>
      <c r="N934" s="105"/>
      <c r="O934" s="105"/>
      <c r="P934" s="105" t="str">
        <f>IFERROR(__xludf.DUMMYFUNCTION("""COMPUTED_VALUE"""),"suggestion::change::(logging)")</f>
        <v>suggestion::change::(logging)</v>
      </c>
      <c r="Q934" s="105"/>
      <c r="R934" s="105"/>
      <c r="S934" s="105"/>
      <c r="T934" s="105"/>
      <c r="U934" s="105"/>
      <c r="V934" s="105"/>
      <c r="W934" s="105"/>
      <c r="X934" s="105"/>
      <c r="Y934" s="105"/>
      <c r="Z934" s="105"/>
    </row>
    <row r="935">
      <c r="A935" s="105"/>
      <c r="B935" s="105"/>
      <c r="C935" s="105"/>
      <c r="D935" s="105"/>
      <c r="E935" s="105"/>
      <c r="F935" s="105"/>
      <c r="G935" s="105"/>
      <c r="H935" s="105"/>
      <c r="I935" s="105"/>
      <c r="J935" s="105"/>
      <c r="K935" s="105"/>
      <c r="L935" s="105"/>
      <c r="M935" s="105"/>
      <c r="N935" s="105"/>
      <c r="O935" s="105"/>
      <c r="P935" s="105" t="str">
        <f>IFERROR(__xludf.DUMMYFUNCTION("""COMPUTED_VALUE"""),"suggestion::change::(logic::missing::info)")</f>
        <v>suggestion::change::(logic::missing::info)</v>
      </c>
      <c r="Q935" s="105"/>
      <c r="R935" s="105"/>
      <c r="S935" s="105"/>
      <c r="T935" s="105"/>
      <c r="U935" s="105"/>
      <c r="V935" s="105"/>
      <c r="W935" s="105"/>
      <c r="X935" s="105"/>
      <c r="Y935" s="105"/>
      <c r="Z935" s="105"/>
    </row>
    <row r="936">
      <c r="A936" s="105"/>
      <c r="B936" s="105"/>
      <c r="C936" s="105"/>
      <c r="D936" s="105"/>
      <c r="E936" s="105"/>
      <c r="F936" s="105"/>
      <c r="G936" s="105"/>
      <c r="H936" s="105"/>
      <c r="I936" s="105"/>
      <c r="J936" s="105"/>
      <c r="K936" s="105"/>
      <c r="L936" s="105"/>
      <c r="M936" s="105"/>
      <c r="N936" s="105"/>
      <c r="O936" s="105"/>
      <c r="P936" s="105" t="str">
        <f>IFERROR(__xludf.DUMMYFUNCTION("""COMPUTED_VALUE"""),"suggestion::change::(logic)")</f>
        <v>suggestion::change::(logic)</v>
      </c>
      <c r="Q936" s="105"/>
      <c r="R936" s="105"/>
      <c r="S936" s="105"/>
      <c r="T936" s="105"/>
      <c r="U936" s="105"/>
      <c r="V936" s="105"/>
      <c r="W936" s="105"/>
      <c r="X936" s="105"/>
      <c r="Y936" s="105"/>
      <c r="Z936" s="105"/>
    </row>
    <row r="937">
      <c r="A937" s="105"/>
      <c r="B937" s="105"/>
      <c r="C937" s="105"/>
      <c r="D937" s="105"/>
      <c r="E937" s="105"/>
      <c r="F937" s="105"/>
      <c r="G937" s="105"/>
      <c r="H937" s="105"/>
      <c r="I937" s="105"/>
      <c r="J937" s="105"/>
      <c r="K937" s="105"/>
      <c r="L937" s="105"/>
      <c r="M937" s="105"/>
      <c r="N937" s="105"/>
      <c r="O937" s="105"/>
      <c r="P937" s="105" t="str">
        <f>IFERROR(__xludf.DUMMYFUNCTION("""COMPUTED_VALUE"""),"suggestion::change::(method::log)")</f>
        <v>suggestion::change::(method::log)</v>
      </c>
      <c r="Q937" s="105"/>
      <c r="R937" s="105"/>
      <c r="S937" s="105"/>
      <c r="T937" s="105"/>
      <c r="U937" s="105"/>
      <c r="V937" s="105"/>
      <c r="W937" s="105"/>
      <c r="X937" s="105"/>
      <c r="Y937" s="105"/>
      <c r="Z937" s="105"/>
    </row>
    <row r="938">
      <c r="A938" s="105"/>
      <c r="B938" s="105"/>
      <c r="C938" s="105"/>
      <c r="D938" s="105"/>
      <c r="E938" s="105"/>
      <c r="F938" s="105"/>
      <c r="G938" s="105"/>
      <c r="H938" s="105"/>
      <c r="I938" s="105"/>
      <c r="J938" s="105"/>
      <c r="K938" s="105"/>
      <c r="L938" s="105"/>
      <c r="M938" s="105"/>
      <c r="N938" s="105"/>
      <c r="O938" s="105"/>
      <c r="P938" s="105" t="str">
        <f>IFERROR(__xludf.DUMMYFUNCTION("""COMPUTED_VALUE"""),"suggestion::change::(missing::characters)")</f>
        <v>suggestion::change::(missing::characters)</v>
      </c>
      <c r="Q938" s="105"/>
      <c r="R938" s="105"/>
      <c r="S938" s="105"/>
      <c r="T938" s="105"/>
      <c r="U938" s="105"/>
      <c r="V938" s="105"/>
      <c r="W938" s="105"/>
      <c r="X938" s="105"/>
      <c r="Y938" s="105"/>
      <c r="Z938" s="105"/>
    </row>
    <row r="939">
      <c r="A939" s="105"/>
      <c r="B939" s="105"/>
      <c r="C939" s="105"/>
      <c r="D939" s="105"/>
      <c r="E939" s="105"/>
      <c r="F939" s="105"/>
      <c r="G939" s="105"/>
      <c r="H939" s="105"/>
      <c r="I939" s="105"/>
      <c r="J939" s="105"/>
      <c r="K939" s="105"/>
      <c r="L939" s="105"/>
      <c r="M939" s="105"/>
      <c r="N939" s="105"/>
      <c r="O939" s="105"/>
      <c r="P939" s="105" t="str">
        <f>IFERROR(__xludf.DUMMYFUNCTION("""COMPUTED_VALUE"""),"suggestion::change::(missing::class)")</f>
        <v>suggestion::change::(missing::class)</v>
      </c>
      <c r="Q939" s="105"/>
      <c r="R939" s="105"/>
      <c r="S939" s="105"/>
      <c r="T939" s="105"/>
      <c r="U939" s="105"/>
      <c r="V939" s="105"/>
      <c r="W939" s="105"/>
      <c r="X939" s="105"/>
      <c r="Y939" s="105"/>
      <c r="Z939" s="105"/>
    </row>
    <row r="940">
      <c r="A940" s="105"/>
      <c r="B940" s="105"/>
      <c r="C940" s="105"/>
      <c r="D940" s="105"/>
      <c r="E940" s="105"/>
      <c r="F940" s="105"/>
      <c r="G940" s="105"/>
      <c r="H940" s="105"/>
      <c r="I940" s="105"/>
      <c r="J940" s="105"/>
      <c r="K940" s="105"/>
      <c r="L940" s="105"/>
      <c r="M940" s="105"/>
      <c r="N940" s="105"/>
      <c r="O940" s="105"/>
      <c r="P940" s="105" t="str">
        <f>IFERROR(__xludf.DUMMYFUNCTION("""COMPUTED_VALUE"""),"suggestion::change::(missing::condition::case)::with::code")</f>
        <v>suggestion::change::(missing::condition::case)::with::code</v>
      </c>
      <c r="Q940" s="105"/>
      <c r="R940" s="105"/>
      <c r="S940" s="105"/>
      <c r="T940" s="105"/>
      <c r="U940" s="105"/>
      <c r="V940" s="105"/>
      <c r="W940" s="105"/>
      <c r="X940" s="105"/>
      <c r="Y940" s="105"/>
      <c r="Z940" s="105"/>
    </row>
    <row r="941">
      <c r="A941" s="105"/>
      <c r="B941" s="105"/>
      <c r="C941" s="105"/>
      <c r="D941" s="105"/>
      <c r="E941" s="105"/>
      <c r="F941" s="105"/>
      <c r="G941" s="105"/>
      <c r="H941" s="105"/>
      <c r="I941" s="105"/>
      <c r="J941" s="105"/>
      <c r="K941" s="105"/>
      <c r="L941" s="105"/>
      <c r="M941" s="105"/>
      <c r="N941" s="105"/>
      <c r="O941" s="105"/>
      <c r="P941" s="105" t="str">
        <f>IFERROR(__xludf.DUMMYFUNCTION("""COMPUTED_VALUE"""),"suggestion::change::(missing::tests)")</f>
        <v>suggestion::change::(missing::tests)</v>
      </c>
      <c r="Q941" s="105"/>
      <c r="R941" s="105"/>
      <c r="S941" s="105"/>
      <c r="T941" s="105"/>
      <c r="U941" s="105"/>
      <c r="V941" s="105"/>
      <c r="W941" s="105"/>
      <c r="X941" s="105"/>
      <c r="Y941" s="105"/>
      <c r="Z941" s="105"/>
    </row>
    <row r="942">
      <c r="A942" s="105"/>
      <c r="B942" s="105"/>
      <c r="C942" s="105"/>
      <c r="D942" s="105"/>
      <c r="E942" s="105"/>
      <c r="F942" s="105"/>
      <c r="G942" s="105"/>
      <c r="H942" s="105"/>
      <c r="I942" s="105"/>
      <c r="J942" s="105"/>
      <c r="K942" s="105"/>
      <c r="L942" s="105"/>
      <c r="M942" s="105"/>
      <c r="N942" s="105"/>
      <c r="O942" s="105"/>
      <c r="P942" s="105" t="str">
        <f>IFERROR(__xludf.DUMMYFUNCTION("""COMPUTED_VALUE"""),"suggestion::change::(missing::unit::tests)")</f>
        <v>suggestion::change::(missing::unit::tests)</v>
      </c>
      <c r="Q942" s="105"/>
      <c r="R942" s="105"/>
      <c r="S942" s="105"/>
      <c r="T942" s="105"/>
      <c r="U942" s="105"/>
      <c r="V942" s="105"/>
      <c r="W942" s="105"/>
      <c r="X942" s="105"/>
      <c r="Y942" s="105"/>
      <c r="Z942" s="105"/>
    </row>
    <row r="943">
      <c r="A943" s="105"/>
      <c r="B943" s="105"/>
      <c r="C943" s="105"/>
      <c r="D943" s="105"/>
      <c r="E943" s="105"/>
      <c r="F943" s="105"/>
      <c r="G943" s="105"/>
      <c r="H943" s="105"/>
      <c r="I943" s="105"/>
      <c r="J943" s="105"/>
      <c r="K943" s="105"/>
      <c r="L943" s="105"/>
      <c r="M943" s="105"/>
      <c r="N943" s="105"/>
      <c r="O943" s="105"/>
      <c r="P943" s="105" t="str">
        <f>IFERROR(__xludf.DUMMYFUNCTION("""COMPUTED_VALUE"""),"suggestion::change::(move::logic::method)")</f>
        <v>suggestion::change::(move::logic::method)</v>
      </c>
      <c r="Q943" s="105"/>
      <c r="R943" s="105"/>
      <c r="S943" s="105"/>
      <c r="T943" s="105"/>
      <c r="U943" s="105"/>
      <c r="V943" s="105"/>
      <c r="W943" s="105"/>
      <c r="X943" s="105"/>
      <c r="Y943" s="105"/>
      <c r="Z943" s="105"/>
    </row>
    <row r="944">
      <c r="A944" s="105"/>
      <c r="B944" s="105"/>
      <c r="C944" s="105"/>
      <c r="D944" s="105"/>
      <c r="E944" s="105"/>
      <c r="F944" s="105"/>
      <c r="G944" s="105"/>
      <c r="H944" s="105"/>
      <c r="I944" s="105"/>
      <c r="J944" s="105"/>
      <c r="K944" s="105"/>
      <c r="L944" s="105"/>
      <c r="M944" s="105"/>
      <c r="N944" s="105"/>
      <c r="O944" s="105"/>
      <c r="P944" s="105" t="str">
        <f>IFERROR(__xludf.DUMMYFUNCTION("""COMPUTED_VALUE"""),"suggestion::change::(move::logic)")</f>
        <v>suggestion::change::(move::logic)</v>
      </c>
      <c r="Q944" s="105"/>
      <c r="R944" s="105"/>
      <c r="S944" s="105"/>
      <c r="T944" s="105"/>
      <c r="U944" s="105"/>
      <c r="V944" s="105"/>
      <c r="W944" s="105"/>
      <c r="X944" s="105"/>
      <c r="Y944" s="105"/>
      <c r="Z944" s="105"/>
    </row>
    <row r="945">
      <c r="A945" s="105"/>
      <c r="B945" s="105"/>
      <c r="C945" s="105"/>
      <c r="D945" s="105"/>
      <c r="E945" s="105"/>
      <c r="F945" s="105"/>
      <c r="G945" s="105"/>
      <c r="H945" s="105"/>
      <c r="I945" s="105"/>
      <c r="J945" s="105"/>
      <c r="K945" s="105"/>
      <c r="L945" s="105"/>
      <c r="M945" s="105"/>
      <c r="N945" s="105"/>
      <c r="O945" s="105"/>
      <c r="P945" s="105" t="str">
        <f>IFERROR(__xludf.DUMMYFUNCTION("""COMPUTED_VALUE"""),"suggestion::change::(move::logic)::with::code")</f>
        <v>suggestion::change::(move::logic)::with::code</v>
      </c>
      <c r="Q945" s="105"/>
      <c r="R945" s="105"/>
      <c r="S945" s="105"/>
      <c r="T945" s="105"/>
      <c r="U945" s="105"/>
      <c r="V945" s="105"/>
      <c r="W945" s="105"/>
      <c r="X945" s="105"/>
      <c r="Y945" s="105"/>
      <c r="Z945" s="105"/>
    </row>
    <row r="946">
      <c r="A946" s="105"/>
      <c r="B946" s="105"/>
      <c r="C946" s="105"/>
      <c r="D946" s="105"/>
      <c r="E946" s="105"/>
      <c r="F946" s="105"/>
      <c r="G946" s="105"/>
      <c r="H946" s="105"/>
      <c r="I946" s="105"/>
      <c r="J946" s="105"/>
      <c r="K946" s="105"/>
      <c r="L946" s="105"/>
      <c r="M946" s="105"/>
      <c r="N946" s="105"/>
      <c r="O946" s="105"/>
      <c r="P946" s="105" t="str">
        <f>IFERROR(__xludf.DUMMYFUNCTION("""COMPUTED_VALUE"""),"suggestion::change::(naming::class)")</f>
        <v>suggestion::change::(naming::class)</v>
      </c>
      <c r="Q946" s="105"/>
      <c r="R946" s="105"/>
      <c r="S946" s="105"/>
      <c r="T946" s="105"/>
      <c r="U946" s="105"/>
      <c r="V946" s="105"/>
      <c r="W946" s="105"/>
      <c r="X946" s="105"/>
      <c r="Y946" s="105"/>
      <c r="Z946" s="105"/>
    </row>
    <row r="947">
      <c r="A947" s="105"/>
      <c r="B947" s="105"/>
      <c r="C947" s="105"/>
      <c r="D947" s="105"/>
      <c r="E947" s="105"/>
      <c r="F947" s="105"/>
      <c r="G947" s="105"/>
      <c r="H947" s="105"/>
      <c r="I947" s="105"/>
      <c r="J947" s="105"/>
      <c r="K947" s="105"/>
      <c r="L947" s="105"/>
      <c r="M947" s="105"/>
      <c r="N947" s="105"/>
      <c r="O947" s="105"/>
      <c r="P947" s="105" t="str">
        <f>IFERROR(__xludf.DUMMYFUNCTION("""COMPUTED_VALUE"""),"suggestion::change::(naming::variable)")</f>
        <v>suggestion::change::(naming::variable)</v>
      </c>
      <c r="Q947" s="105"/>
      <c r="R947" s="105"/>
      <c r="S947" s="105"/>
      <c r="T947" s="105"/>
      <c r="U947" s="105"/>
      <c r="V947" s="105"/>
      <c r="W947" s="105"/>
      <c r="X947" s="105"/>
      <c r="Y947" s="105"/>
      <c r="Z947" s="105"/>
    </row>
    <row r="948">
      <c r="A948" s="105"/>
      <c r="B948" s="105"/>
      <c r="C948" s="105"/>
      <c r="D948" s="105"/>
      <c r="E948" s="105"/>
      <c r="F948" s="105"/>
      <c r="G948" s="105"/>
      <c r="H948" s="105"/>
      <c r="I948" s="105"/>
      <c r="J948" s="105"/>
      <c r="K948" s="105"/>
      <c r="L948" s="105"/>
      <c r="M948" s="105"/>
      <c r="N948" s="105"/>
      <c r="O948" s="105"/>
      <c r="P948" s="105" t="str">
        <f>IFERROR(__xludf.DUMMYFUNCTION("""COMPUTED_VALUE"""),"suggestion::change::(naming)")</f>
        <v>suggestion::change::(naming)</v>
      </c>
      <c r="Q948" s="105"/>
      <c r="R948" s="105"/>
      <c r="S948" s="105"/>
      <c r="T948" s="105"/>
      <c r="U948" s="105"/>
      <c r="V948" s="105"/>
      <c r="W948" s="105"/>
      <c r="X948" s="105"/>
      <c r="Y948" s="105"/>
      <c r="Z948" s="105"/>
    </row>
    <row r="949">
      <c r="A949" s="105"/>
      <c r="B949" s="105"/>
      <c r="C949" s="105"/>
      <c r="D949" s="105"/>
      <c r="E949" s="105"/>
      <c r="F949" s="105"/>
      <c r="G949" s="105"/>
      <c r="H949" s="105"/>
      <c r="I949" s="105"/>
      <c r="J949" s="105"/>
      <c r="K949" s="105"/>
      <c r="L949" s="105"/>
      <c r="M949" s="105"/>
      <c r="N949" s="105"/>
      <c r="O949" s="105"/>
      <c r="P949" s="105" t="str">
        <f>IFERROR(__xludf.DUMMYFUNCTION("""COMPUTED_VALUE"""),"suggestion::change::(new::dependency)")</f>
        <v>suggestion::change::(new::dependency)</v>
      </c>
      <c r="Q949" s="105"/>
      <c r="R949" s="105"/>
      <c r="S949" s="105"/>
      <c r="T949" s="105"/>
      <c r="U949" s="105"/>
      <c r="V949" s="105"/>
      <c r="W949" s="105"/>
      <c r="X949" s="105"/>
      <c r="Y949" s="105"/>
      <c r="Z949" s="105"/>
    </row>
    <row r="950">
      <c r="A950" s="105"/>
      <c r="B950" s="105"/>
      <c r="C950" s="105"/>
      <c r="D950" s="105"/>
      <c r="E950" s="105"/>
      <c r="F950" s="105"/>
      <c r="G950" s="105"/>
      <c r="H950" s="105"/>
      <c r="I950" s="105"/>
      <c r="J950" s="105"/>
      <c r="K950" s="105"/>
      <c r="L950" s="105"/>
      <c r="M950" s="105"/>
      <c r="N950" s="105"/>
      <c r="O950" s="105"/>
      <c r="P950" s="105" t="str">
        <f>IFERROR(__xludf.DUMMYFUNCTION("""COMPUTED_VALUE"""),"suggestion::change::(object::version)")</f>
        <v>suggestion::change::(object::version)</v>
      </c>
      <c r="Q950" s="105"/>
      <c r="R950" s="105"/>
      <c r="S950" s="105"/>
      <c r="T950" s="105"/>
      <c r="U950" s="105"/>
      <c r="V950" s="105"/>
      <c r="W950" s="105"/>
      <c r="X950" s="105"/>
      <c r="Y950" s="105"/>
      <c r="Z950" s="105"/>
    </row>
    <row r="951">
      <c r="A951" s="105"/>
      <c r="B951" s="105"/>
      <c r="C951" s="105"/>
      <c r="D951" s="105"/>
      <c r="E951" s="105"/>
      <c r="F951" s="105"/>
      <c r="G951" s="105"/>
      <c r="H951" s="105"/>
      <c r="I951" s="105"/>
      <c r="J951" s="105"/>
      <c r="K951" s="105"/>
      <c r="L951" s="105"/>
      <c r="M951" s="105"/>
      <c r="N951" s="105"/>
      <c r="O951" s="105"/>
      <c r="P951" s="105" t="str">
        <f>IFERROR(__xludf.DUMMYFUNCTION("""COMPUTED_VALUE"""),"suggestion::change::(optional::improvement::remove::duplicated::tests)")</f>
        <v>suggestion::change::(optional::improvement::remove::duplicated::tests)</v>
      </c>
      <c r="Q951" s="105"/>
      <c r="R951" s="105"/>
      <c r="S951" s="105"/>
      <c r="T951" s="105"/>
      <c r="U951" s="105"/>
      <c r="V951" s="105"/>
      <c r="W951" s="105"/>
      <c r="X951" s="105"/>
      <c r="Y951" s="105"/>
      <c r="Z951" s="105"/>
    </row>
    <row r="952">
      <c r="A952" s="105"/>
      <c r="B952" s="105"/>
      <c r="C952" s="105"/>
      <c r="D952" s="105"/>
      <c r="E952" s="105"/>
      <c r="F952" s="105"/>
      <c r="G952" s="105"/>
      <c r="H952" s="105"/>
      <c r="I952" s="105"/>
      <c r="J952" s="105"/>
      <c r="K952" s="105"/>
      <c r="L952" s="105"/>
      <c r="M952" s="105"/>
      <c r="N952" s="105"/>
      <c r="O952" s="105"/>
      <c r="P952" s="105" t="str">
        <f>IFERROR(__xludf.DUMMYFUNCTION("""COMPUTED_VALUE"""),"suggestion::change::(optional::improvement)")</f>
        <v>suggestion::change::(optional::improvement)</v>
      </c>
      <c r="Q952" s="105"/>
      <c r="R952" s="105"/>
      <c r="S952" s="105"/>
      <c r="T952" s="105"/>
      <c r="U952" s="105"/>
      <c r="V952" s="105"/>
      <c r="W952" s="105"/>
      <c r="X952" s="105"/>
      <c r="Y952" s="105"/>
      <c r="Z952" s="105"/>
    </row>
    <row r="953">
      <c r="A953" s="105"/>
      <c r="B953" s="105"/>
      <c r="C953" s="105"/>
      <c r="D953" s="105"/>
      <c r="E953" s="105"/>
      <c r="F953" s="105"/>
      <c r="G953" s="105"/>
      <c r="H953" s="105"/>
      <c r="I953" s="105"/>
      <c r="J953" s="105"/>
      <c r="K953" s="105"/>
      <c r="L953" s="105"/>
      <c r="M953" s="105"/>
      <c r="N953" s="105"/>
      <c r="O953" s="105"/>
      <c r="P953" s="105" t="str">
        <f>IFERROR(__xludf.DUMMYFUNCTION("""COMPUTED_VALUE"""),"suggestion::change::(prevent::failure)")</f>
        <v>suggestion::change::(prevent::failure)</v>
      </c>
      <c r="Q953" s="105"/>
      <c r="R953" s="105"/>
      <c r="S953" s="105"/>
      <c r="T953" s="105"/>
      <c r="U953" s="105"/>
      <c r="V953" s="105"/>
      <c r="W953" s="105"/>
      <c r="X953" s="105"/>
      <c r="Y953" s="105"/>
      <c r="Z953" s="105"/>
    </row>
    <row r="954">
      <c r="A954" s="105"/>
      <c r="B954" s="105"/>
      <c r="C954" s="105"/>
      <c r="D954" s="105"/>
      <c r="E954" s="105"/>
      <c r="F954" s="105"/>
      <c r="G954" s="105"/>
      <c r="H954" s="105"/>
      <c r="I954" s="105"/>
      <c r="J954" s="105"/>
      <c r="K954" s="105"/>
      <c r="L954" s="105"/>
      <c r="M954" s="105"/>
      <c r="N954" s="105"/>
      <c r="O954" s="105"/>
      <c r="P954" s="105" t="str">
        <f>IFERROR(__xludf.DUMMYFUNCTION("""COMPUTED_VALUE"""),"suggestion::change::(property)")</f>
        <v>suggestion::change::(property)</v>
      </c>
      <c r="Q954" s="105"/>
      <c r="R954" s="105"/>
      <c r="S954" s="105"/>
      <c r="T954" s="105"/>
      <c r="U954" s="105"/>
      <c r="V954" s="105"/>
      <c r="W954" s="105"/>
      <c r="X954" s="105"/>
      <c r="Y954" s="105"/>
      <c r="Z954" s="105"/>
    </row>
    <row r="955">
      <c r="A955" s="105"/>
      <c r="B955" s="105"/>
      <c r="C955" s="105"/>
      <c r="D955" s="105"/>
      <c r="E955" s="105"/>
      <c r="F955" s="105"/>
      <c r="G955" s="105"/>
      <c r="H955" s="105"/>
      <c r="I955" s="105"/>
      <c r="J955" s="105"/>
      <c r="K955" s="105"/>
      <c r="L955" s="105"/>
      <c r="M955" s="105"/>
      <c r="N955" s="105"/>
      <c r="O955" s="105"/>
      <c r="P955" s="105" t="str">
        <f>IFERROR(__xludf.DUMMYFUNCTION("""COMPUTED_VALUE"""),"suggestion::change::(remove::commented::code)")</f>
        <v>suggestion::change::(remove::commented::code)</v>
      </c>
      <c r="Q955" s="105"/>
      <c r="R955" s="105"/>
      <c r="S955" s="105"/>
      <c r="T955" s="105"/>
      <c r="U955" s="105"/>
      <c r="V955" s="105"/>
      <c r="W955" s="105"/>
      <c r="X955" s="105"/>
      <c r="Y955" s="105"/>
      <c r="Z955" s="105"/>
    </row>
    <row r="956">
      <c r="A956" s="105"/>
      <c r="B956" s="105"/>
      <c r="C956" s="105"/>
      <c r="D956" s="105"/>
      <c r="E956" s="105"/>
      <c r="F956" s="105"/>
      <c r="G956" s="105"/>
      <c r="H956" s="105"/>
      <c r="I956" s="105"/>
      <c r="J956" s="105"/>
      <c r="K956" s="105"/>
      <c r="L956" s="105"/>
      <c r="M956" s="105"/>
      <c r="N956" s="105"/>
      <c r="O956" s="105"/>
      <c r="P956" s="105" t="str">
        <f>IFERROR(__xludf.DUMMYFUNCTION("""COMPUTED_VALUE"""),"suggestion::change::(remove::documentation)")</f>
        <v>suggestion::change::(remove::documentation)</v>
      </c>
      <c r="Q956" s="105"/>
      <c r="R956" s="105"/>
      <c r="S956" s="105"/>
      <c r="T956" s="105"/>
      <c r="U956" s="105"/>
      <c r="V956" s="105"/>
      <c r="W956" s="105"/>
      <c r="X956" s="105"/>
      <c r="Y956" s="105"/>
      <c r="Z956" s="105"/>
    </row>
    <row r="957">
      <c r="A957" s="105"/>
      <c r="B957" s="105"/>
      <c r="C957" s="105"/>
      <c r="D957" s="105"/>
      <c r="E957" s="105"/>
      <c r="F957" s="105"/>
      <c r="G957" s="105"/>
      <c r="H957" s="105"/>
      <c r="I957" s="105"/>
      <c r="J957" s="105"/>
      <c r="K957" s="105"/>
      <c r="L957" s="105"/>
      <c r="M957" s="105"/>
      <c r="N957" s="105"/>
      <c r="O957" s="105"/>
      <c r="P957" s="105" t="str">
        <f>IFERROR(__xludf.DUMMYFUNCTION("""COMPUTED_VALUE"""),"suggestion::change::(remove::obsulete::tests)")</f>
        <v>suggestion::change::(remove::obsulete::tests)</v>
      </c>
      <c r="Q957" s="105"/>
      <c r="R957" s="105"/>
      <c r="S957" s="105"/>
      <c r="T957" s="105"/>
      <c r="U957" s="105"/>
      <c r="V957" s="105"/>
      <c r="W957" s="105"/>
      <c r="X957" s="105"/>
      <c r="Y957" s="105"/>
      <c r="Z957" s="105"/>
    </row>
    <row r="958">
      <c r="A958" s="105"/>
      <c r="B958" s="105"/>
      <c r="C958" s="105"/>
      <c r="D958" s="105"/>
      <c r="E958" s="105"/>
      <c r="F958" s="105"/>
      <c r="G958" s="105"/>
      <c r="H958" s="105"/>
      <c r="I958" s="105"/>
      <c r="J958" s="105"/>
      <c r="K958" s="105"/>
      <c r="L958" s="105"/>
      <c r="M958" s="105"/>
      <c r="N958" s="105"/>
      <c r="O958" s="105"/>
      <c r="P958" s="105" t="str">
        <f>IFERROR(__xludf.DUMMYFUNCTION("""COMPUTED_VALUE"""),"suggestion::change::(remove::uncommented::code)")</f>
        <v>suggestion::change::(remove::uncommented::code)</v>
      </c>
      <c r="Q958" s="105"/>
      <c r="R958" s="105"/>
      <c r="S958" s="105"/>
      <c r="T958" s="105"/>
      <c r="U958" s="105"/>
      <c r="V958" s="105"/>
      <c r="W958" s="105"/>
      <c r="X958" s="105"/>
      <c r="Y958" s="105"/>
      <c r="Z958" s="105"/>
    </row>
    <row r="959">
      <c r="A959" s="105"/>
      <c r="B959" s="105"/>
      <c r="C959" s="105"/>
      <c r="D959" s="105"/>
      <c r="E959" s="105"/>
      <c r="F959" s="105"/>
      <c r="G959" s="105"/>
      <c r="H959" s="105"/>
      <c r="I959" s="105"/>
      <c r="J959" s="105"/>
      <c r="K959" s="105"/>
      <c r="L959" s="105"/>
      <c r="M959" s="105"/>
      <c r="N959" s="105"/>
      <c r="O959" s="105"/>
      <c r="P959" s="105" t="str">
        <f>IFERROR(__xludf.DUMMYFUNCTION("""COMPUTED_VALUE"""),"suggestion::change::(removing::comment::documentation)")</f>
        <v>suggestion::change::(removing::comment::documentation)</v>
      </c>
      <c r="Q959" s="105"/>
      <c r="R959" s="105"/>
      <c r="S959" s="105"/>
      <c r="T959" s="105"/>
      <c r="U959" s="105"/>
      <c r="V959" s="105"/>
      <c r="W959" s="105"/>
      <c r="X959" s="105"/>
      <c r="Y959" s="105"/>
      <c r="Z959" s="105"/>
    </row>
    <row r="960">
      <c r="A960" s="105"/>
      <c r="B960" s="105"/>
      <c r="C960" s="105"/>
      <c r="D960" s="105"/>
      <c r="E960" s="105"/>
      <c r="F960" s="105"/>
      <c r="G960" s="105"/>
      <c r="H960" s="105"/>
      <c r="I960" s="105"/>
      <c r="J960" s="105"/>
      <c r="K960" s="105"/>
      <c r="L960" s="105"/>
      <c r="M960" s="105"/>
      <c r="N960" s="105"/>
      <c r="O960" s="105"/>
      <c r="P960" s="105" t="str">
        <f>IFERROR(__xludf.DUMMYFUNCTION("""COMPUTED_VALUE"""),"suggestion::change::(removing::unnecessary::code)")</f>
        <v>suggestion::change::(removing::unnecessary::code)</v>
      </c>
      <c r="Q960" s="105"/>
      <c r="R960" s="105"/>
      <c r="S960" s="105"/>
      <c r="T960" s="105"/>
      <c r="U960" s="105"/>
      <c r="V960" s="105"/>
      <c r="W960" s="105"/>
      <c r="X960" s="105"/>
      <c r="Y960" s="105"/>
      <c r="Z960" s="105"/>
    </row>
    <row r="961">
      <c r="A961" s="105"/>
      <c r="B961" s="105"/>
      <c r="C961" s="105"/>
      <c r="D961" s="105"/>
      <c r="E961" s="105"/>
      <c r="F961" s="105"/>
      <c r="G961" s="105"/>
      <c r="H961" s="105"/>
      <c r="I961" s="105"/>
      <c r="J961" s="105"/>
      <c r="K961" s="105"/>
      <c r="L961" s="105"/>
      <c r="M961" s="105"/>
      <c r="N961" s="105"/>
      <c r="O961" s="105"/>
      <c r="P961" s="105" t="str">
        <f>IFERROR(__xludf.DUMMYFUNCTION("""COMPUTED_VALUE"""),"suggestion::change::(removing::unnecessary::commit::info)")</f>
        <v>suggestion::change::(removing::unnecessary::commit::info)</v>
      </c>
      <c r="Q961" s="105"/>
      <c r="R961" s="105"/>
      <c r="S961" s="105"/>
      <c r="T961" s="105"/>
      <c r="U961" s="105"/>
      <c r="V961" s="105"/>
      <c r="W961" s="105"/>
      <c r="X961" s="105"/>
      <c r="Y961" s="105"/>
      <c r="Z961" s="105"/>
    </row>
    <row r="962">
      <c r="A962" s="105"/>
      <c r="B962" s="105"/>
      <c r="C962" s="105"/>
      <c r="D962" s="105"/>
      <c r="E962" s="105"/>
      <c r="F962" s="105"/>
      <c r="G962" s="105"/>
      <c r="H962" s="105"/>
      <c r="I962" s="105"/>
      <c r="J962" s="105"/>
      <c r="K962" s="105"/>
      <c r="L962" s="105"/>
      <c r="M962" s="105"/>
      <c r="N962" s="105"/>
      <c r="O962" s="105"/>
      <c r="P962" s="105" t="str">
        <f>IFERROR(__xludf.DUMMYFUNCTION("""COMPUTED_VALUE"""),"suggestion::change::(removing::unnecessary::import)")</f>
        <v>suggestion::change::(removing::unnecessary::import)</v>
      </c>
      <c r="Q962" s="105"/>
      <c r="R962" s="105"/>
      <c r="S962" s="105"/>
      <c r="T962" s="105"/>
      <c r="U962" s="105"/>
      <c r="V962" s="105"/>
      <c r="W962" s="105"/>
      <c r="X962" s="105"/>
      <c r="Y962" s="105"/>
      <c r="Z962" s="105"/>
    </row>
    <row r="963">
      <c r="A963" s="105"/>
      <c r="B963" s="105"/>
      <c r="C963" s="105"/>
      <c r="D963" s="105"/>
      <c r="E963" s="105"/>
      <c r="F963" s="105"/>
      <c r="G963" s="105"/>
      <c r="H963" s="105"/>
      <c r="I963" s="105"/>
      <c r="J963" s="105"/>
      <c r="K963" s="105"/>
      <c r="L963" s="105"/>
      <c r="M963" s="105"/>
      <c r="N963" s="105"/>
      <c r="O963" s="105"/>
      <c r="P963" s="105" t="str">
        <f>IFERROR(__xludf.DUMMYFUNCTION("""COMPUTED_VALUE"""),"suggestion::change::(reverting::changes)")</f>
        <v>suggestion::change::(reverting::changes)</v>
      </c>
      <c r="Q963" s="105"/>
      <c r="R963" s="105"/>
      <c r="S963" s="105"/>
      <c r="T963" s="105"/>
      <c r="U963" s="105"/>
      <c r="V963" s="105"/>
      <c r="W963" s="105"/>
      <c r="X963" s="105"/>
      <c r="Y963" s="105"/>
      <c r="Z963" s="105"/>
    </row>
    <row r="964">
      <c r="A964" s="105"/>
      <c r="B964" s="105"/>
      <c r="C964" s="105"/>
      <c r="D964" s="105"/>
      <c r="E964" s="105"/>
      <c r="F964" s="105"/>
      <c r="G964" s="105"/>
      <c r="H964" s="105"/>
      <c r="I964" s="105"/>
      <c r="J964" s="105"/>
      <c r="K964" s="105"/>
      <c r="L964" s="105"/>
      <c r="M964" s="105"/>
      <c r="N964" s="105"/>
      <c r="O964" s="105"/>
      <c r="P964" s="105" t="str">
        <f>IFERROR(__xludf.DUMMYFUNCTION("""COMPUTED_VALUE"""),"suggestion::change::(security)")</f>
        <v>suggestion::change::(security)</v>
      </c>
      <c r="Q964" s="105"/>
      <c r="R964" s="105"/>
      <c r="S964" s="105"/>
      <c r="T964" s="105"/>
      <c r="U964" s="105"/>
      <c r="V964" s="105"/>
      <c r="W964" s="105"/>
      <c r="X964" s="105"/>
      <c r="Y964" s="105"/>
      <c r="Z964" s="105"/>
    </row>
    <row r="965">
      <c r="A965" s="105"/>
      <c r="B965" s="105"/>
      <c r="C965" s="105"/>
      <c r="D965" s="105"/>
      <c r="E965" s="105"/>
      <c r="F965" s="105"/>
      <c r="G965" s="105"/>
      <c r="H965" s="105"/>
      <c r="I965" s="105"/>
      <c r="J965" s="105"/>
      <c r="K965" s="105"/>
      <c r="L965" s="105"/>
      <c r="M965" s="105"/>
      <c r="N965" s="105"/>
      <c r="O965" s="105"/>
      <c r="P965" s="105" t="str">
        <f>IFERROR(__xludf.DUMMYFUNCTION("""COMPUTED_VALUE"""),"suggestion::change::(solution::design)")</f>
        <v>suggestion::change::(solution::design)</v>
      </c>
      <c r="Q965" s="105"/>
      <c r="R965" s="105"/>
      <c r="S965" s="105"/>
      <c r="T965" s="105"/>
      <c r="U965" s="105"/>
      <c r="V965" s="105"/>
      <c r="W965" s="105"/>
      <c r="X965" s="105"/>
      <c r="Y965" s="105"/>
      <c r="Z965" s="105"/>
    </row>
    <row r="966">
      <c r="A966" s="105"/>
      <c r="B966" s="105"/>
      <c r="C966" s="105"/>
      <c r="D966" s="105"/>
      <c r="E966" s="105"/>
      <c r="F966" s="105"/>
      <c r="G966" s="105"/>
      <c r="H966" s="105"/>
      <c r="I966" s="105"/>
      <c r="J966" s="105"/>
      <c r="K966" s="105"/>
      <c r="L966" s="105"/>
      <c r="M966" s="105"/>
      <c r="N966" s="105"/>
      <c r="O966" s="105"/>
      <c r="P966" s="105" t="str">
        <f>IFERROR(__xludf.DUMMYFUNCTION("""COMPUTED_VALUE"""),"suggestion::change::(test::design)")</f>
        <v>suggestion::change::(test::design)</v>
      </c>
      <c r="Q966" s="105"/>
      <c r="R966" s="105"/>
      <c r="S966" s="105"/>
      <c r="T966" s="105"/>
      <c r="U966" s="105"/>
      <c r="V966" s="105"/>
      <c r="W966" s="105"/>
      <c r="X966" s="105"/>
      <c r="Y966" s="105"/>
      <c r="Z966" s="105"/>
    </row>
    <row r="967">
      <c r="A967" s="105"/>
      <c r="B967" s="105"/>
      <c r="C967" s="105"/>
      <c r="D967" s="105"/>
      <c r="E967" s="105"/>
      <c r="F967" s="105"/>
      <c r="G967" s="105"/>
      <c r="H967" s="105"/>
      <c r="I967" s="105"/>
      <c r="J967" s="105"/>
      <c r="K967" s="105"/>
      <c r="L967" s="105"/>
      <c r="M967" s="105"/>
      <c r="N967" s="105"/>
      <c r="O967" s="105"/>
      <c r="P967" s="105" t="str">
        <f>IFERROR(__xludf.DUMMYFUNCTION("""COMPUTED_VALUE"""),"suggestion::change::(test::fixes)")</f>
        <v>suggestion::change::(test::fixes)</v>
      </c>
      <c r="Q967" s="105"/>
      <c r="R967" s="105"/>
      <c r="S967" s="105"/>
      <c r="T967" s="105"/>
      <c r="U967" s="105"/>
      <c r="V967" s="105"/>
      <c r="W967" s="105"/>
      <c r="X967" s="105"/>
      <c r="Y967" s="105"/>
      <c r="Z967" s="105"/>
    </row>
    <row r="968">
      <c r="A968" s="105"/>
      <c r="B968" s="105"/>
      <c r="C968" s="105"/>
      <c r="D968" s="105"/>
      <c r="E968" s="105"/>
      <c r="F968" s="105"/>
      <c r="G968" s="105"/>
      <c r="H968" s="105"/>
      <c r="I968" s="105"/>
      <c r="J968" s="105"/>
      <c r="K968" s="105"/>
      <c r="L968" s="105"/>
      <c r="M968" s="105"/>
      <c r="N968" s="105"/>
      <c r="O968" s="105"/>
      <c r="P968" s="105" t="str">
        <f>IFERROR(__xludf.DUMMYFUNCTION("""COMPUTED_VALUE"""),"suggestion::change::(test::remove)")</f>
        <v>suggestion::change::(test::remove)</v>
      </c>
      <c r="Q968" s="105"/>
      <c r="R968" s="105"/>
      <c r="S968" s="105"/>
      <c r="T968" s="105"/>
      <c r="U968" s="105"/>
      <c r="V968" s="105"/>
      <c r="W968" s="105"/>
      <c r="X968" s="105"/>
      <c r="Y968" s="105"/>
      <c r="Z968" s="105"/>
    </row>
    <row r="969">
      <c r="A969" s="105"/>
      <c r="B969" s="105"/>
      <c r="C969" s="105"/>
      <c r="D969" s="105"/>
      <c r="E969" s="105"/>
      <c r="F969" s="105"/>
      <c r="G969" s="105"/>
      <c r="H969" s="105"/>
      <c r="I969" s="105"/>
      <c r="J969" s="105"/>
      <c r="K969" s="105"/>
      <c r="L969" s="105"/>
      <c r="M969" s="105"/>
      <c r="N969" s="105"/>
      <c r="O969" s="105"/>
      <c r="P969" s="105" t="str">
        <f>IFERROR(__xludf.DUMMYFUNCTION("""COMPUTED_VALUE"""),"suggestion::change::(tests::result::specific::case)")</f>
        <v>suggestion::change::(tests::result::specific::case)</v>
      </c>
      <c r="Q969" s="105"/>
      <c r="R969" s="105"/>
      <c r="S969" s="105"/>
      <c r="T969" s="105"/>
      <c r="U969" s="105"/>
      <c r="V969" s="105"/>
      <c r="W969" s="105"/>
      <c r="X969" s="105"/>
      <c r="Y969" s="105"/>
      <c r="Z969" s="105"/>
    </row>
    <row r="970">
      <c r="A970" s="105"/>
      <c r="B970" s="105"/>
      <c r="C970" s="105"/>
      <c r="D970" s="105"/>
      <c r="E970" s="105"/>
      <c r="F970" s="105"/>
      <c r="G970" s="105"/>
      <c r="H970" s="105"/>
      <c r="I970" s="105"/>
      <c r="J970" s="105"/>
      <c r="K970" s="105"/>
      <c r="L970" s="105"/>
      <c r="M970" s="105"/>
      <c r="N970" s="105"/>
      <c r="O970" s="105"/>
      <c r="P970" s="105" t="str">
        <f>IFERROR(__xludf.DUMMYFUNCTION("""COMPUTED_VALUE"""),"suggestion::change::(to::mantain::bacward::compatibility)")</f>
        <v>suggestion::change::(to::mantain::bacward::compatibility)</v>
      </c>
      <c r="Q970" s="105"/>
      <c r="R970" s="105"/>
      <c r="S970" s="105"/>
      <c r="T970" s="105"/>
      <c r="U970" s="105"/>
      <c r="V970" s="105"/>
      <c r="W970" s="105"/>
      <c r="X970" s="105"/>
      <c r="Y970" s="105"/>
      <c r="Z970" s="105"/>
    </row>
    <row r="971">
      <c r="A971" s="105"/>
      <c r="B971" s="105"/>
      <c r="C971" s="105"/>
      <c r="D971" s="105"/>
      <c r="E971" s="105"/>
      <c r="F971" s="105"/>
      <c r="G971" s="105"/>
      <c r="H971" s="105"/>
      <c r="I971" s="105"/>
      <c r="J971" s="105"/>
      <c r="K971" s="105"/>
      <c r="L971" s="105"/>
      <c r="M971" s="105"/>
      <c r="N971" s="105"/>
      <c r="O971" s="105"/>
      <c r="P971" s="105" t="str">
        <f>IFERROR(__xludf.DUMMYFUNCTION("""COMPUTED_VALUE"""),"suggestion::change::(translation::i18n)")</f>
        <v>suggestion::change::(translation::i18n)</v>
      </c>
      <c r="Q971" s="105"/>
      <c r="R971" s="105"/>
      <c r="S971" s="105"/>
      <c r="T971" s="105"/>
      <c r="U971" s="105"/>
      <c r="V971" s="105"/>
      <c r="W971" s="105"/>
      <c r="X971" s="105"/>
      <c r="Y971" s="105"/>
      <c r="Z971" s="105"/>
    </row>
    <row r="972">
      <c r="A972" s="105"/>
      <c r="B972" s="105"/>
      <c r="C972" s="105"/>
      <c r="D972" s="105"/>
      <c r="E972" s="105"/>
      <c r="F972" s="105"/>
      <c r="G972" s="105"/>
      <c r="H972" s="105"/>
      <c r="I972" s="105"/>
      <c r="J972" s="105"/>
      <c r="K972" s="105"/>
      <c r="L972" s="105"/>
      <c r="M972" s="105"/>
      <c r="N972" s="105"/>
      <c r="O972" s="105"/>
      <c r="P972" s="105" t="str">
        <f>IFERROR(__xludf.DUMMYFUNCTION("""COMPUTED_VALUE"""),"suggestion::change::(types)")</f>
        <v>suggestion::change::(types)</v>
      </c>
      <c r="Q972" s="105"/>
      <c r="R972" s="105"/>
      <c r="S972" s="105"/>
      <c r="T972" s="105"/>
      <c r="U972" s="105"/>
      <c r="V972" s="105"/>
      <c r="W972" s="105"/>
      <c r="X972" s="105"/>
      <c r="Y972" s="105"/>
      <c r="Z972" s="105"/>
    </row>
    <row r="973">
      <c r="A973" s="105"/>
      <c r="B973" s="105"/>
      <c r="C973" s="105"/>
      <c r="D973" s="105"/>
      <c r="E973" s="105"/>
      <c r="F973" s="105"/>
      <c r="G973" s="105"/>
      <c r="H973" s="105"/>
      <c r="I973" s="105"/>
      <c r="J973" s="105"/>
      <c r="K973" s="105"/>
      <c r="L973" s="105"/>
      <c r="M973" s="105"/>
      <c r="N973" s="105"/>
      <c r="O973" s="105"/>
      <c r="P973" s="105" t="str">
        <f>IFERROR(__xludf.DUMMYFUNCTION("""COMPUTED_VALUE"""),"suggestion::change::(typo)")</f>
        <v>suggestion::change::(typo)</v>
      </c>
      <c r="Q973" s="105"/>
      <c r="R973" s="105"/>
      <c r="S973" s="105"/>
      <c r="T973" s="105"/>
      <c r="U973" s="105"/>
      <c r="V973" s="105"/>
      <c r="W973" s="105"/>
      <c r="X973" s="105"/>
      <c r="Y973" s="105"/>
      <c r="Z973" s="105"/>
    </row>
    <row r="974">
      <c r="A974" s="105"/>
      <c r="B974" s="105"/>
      <c r="C974" s="105"/>
      <c r="D974" s="105"/>
      <c r="E974" s="105"/>
      <c r="F974" s="105"/>
      <c r="G974" s="105"/>
      <c r="H974" s="105"/>
      <c r="I974" s="105"/>
      <c r="J974" s="105"/>
      <c r="K974" s="105"/>
      <c r="L974" s="105"/>
      <c r="M974" s="105"/>
      <c r="N974" s="105"/>
      <c r="O974" s="105"/>
      <c r="P974" s="105" t="str">
        <f>IFERROR(__xludf.DUMMYFUNCTION("""COMPUTED_VALUE"""),"suggestion::change::(undefined::value)")</f>
        <v>suggestion::change::(undefined::value)</v>
      </c>
      <c r="Q974" s="105"/>
      <c r="R974" s="105"/>
      <c r="S974" s="105"/>
      <c r="T974" s="105"/>
      <c r="U974" s="105"/>
      <c r="V974" s="105"/>
      <c r="W974" s="105"/>
      <c r="X974" s="105"/>
      <c r="Y974" s="105"/>
      <c r="Z974" s="105"/>
    </row>
    <row r="975">
      <c r="A975" s="105"/>
      <c r="B975" s="105"/>
      <c r="C975" s="105"/>
      <c r="D975" s="105"/>
      <c r="E975" s="105"/>
      <c r="F975" s="105"/>
      <c r="G975" s="105"/>
      <c r="H975" s="105"/>
      <c r="I975" s="105"/>
      <c r="J975" s="105"/>
      <c r="K975" s="105"/>
      <c r="L975" s="105"/>
      <c r="M975" s="105"/>
      <c r="N975" s="105"/>
      <c r="O975" s="105"/>
      <c r="P975" s="105" t="str">
        <f>IFERROR(__xludf.DUMMYFUNCTION("""COMPUTED_VALUE"""),"suggestion::change::(unrelated::changes)")</f>
        <v>suggestion::change::(unrelated::changes)</v>
      </c>
      <c r="Q975" s="105"/>
      <c r="R975" s="105"/>
      <c r="S975" s="105"/>
      <c r="T975" s="105"/>
      <c r="U975" s="105"/>
      <c r="V975" s="105"/>
      <c r="W975" s="105"/>
      <c r="X975" s="105"/>
      <c r="Y975" s="105"/>
      <c r="Z975" s="105"/>
    </row>
    <row r="976">
      <c r="A976" s="105"/>
      <c r="B976" s="105"/>
      <c r="C976" s="105"/>
      <c r="D976" s="105"/>
      <c r="E976" s="105"/>
      <c r="F976" s="105"/>
      <c r="G976" s="105"/>
      <c r="H976" s="105"/>
      <c r="I976" s="105"/>
      <c r="J976" s="105"/>
      <c r="K976" s="105"/>
      <c r="L976" s="105"/>
      <c r="M976" s="105"/>
      <c r="N976" s="105"/>
      <c r="O976" s="105"/>
      <c r="P976" s="105" t="str">
        <f>IFERROR(__xludf.DUMMYFUNCTION("""COMPUTED_VALUE"""),"suggestion::change::(update::method)")</f>
        <v>suggestion::change::(update::method)</v>
      </c>
      <c r="Q976" s="105"/>
      <c r="R976" s="105"/>
      <c r="S976" s="105"/>
      <c r="T976" s="105"/>
      <c r="U976" s="105"/>
      <c r="V976" s="105"/>
      <c r="W976" s="105"/>
      <c r="X976" s="105"/>
      <c r="Y976" s="105"/>
      <c r="Z976" s="105"/>
    </row>
    <row r="977">
      <c r="A977" s="105"/>
      <c r="B977" s="105"/>
      <c r="C977" s="105"/>
      <c r="D977" s="105"/>
      <c r="E977" s="105"/>
      <c r="F977" s="105"/>
      <c r="G977" s="105"/>
      <c r="H977" s="105"/>
      <c r="I977" s="105"/>
      <c r="J977" s="105"/>
      <c r="K977" s="105"/>
      <c r="L977" s="105"/>
      <c r="M977" s="105"/>
      <c r="N977" s="105"/>
      <c r="O977" s="105"/>
      <c r="P977" s="105" t="str">
        <f>IFERROR(__xludf.DUMMYFUNCTION("""COMPUTED_VALUE"""),"suggestion::change::(use::method/function)")</f>
        <v>suggestion::change::(use::method/function)</v>
      </c>
      <c r="Q977" s="105"/>
      <c r="R977" s="105"/>
      <c r="S977" s="105"/>
      <c r="T977" s="105"/>
      <c r="U977" s="105"/>
      <c r="V977" s="105"/>
      <c r="W977" s="105"/>
      <c r="X977" s="105"/>
      <c r="Y977" s="105"/>
      <c r="Z977" s="105"/>
    </row>
    <row r="978">
      <c r="A978" s="105"/>
      <c r="B978" s="105"/>
      <c r="C978" s="105"/>
      <c r="D978" s="105"/>
      <c r="E978" s="105"/>
      <c r="F978" s="105"/>
      <c r="G978" s="105"/>
      <c r="H978" s="105"/>
      <c r="I978" s="105"/>
      <c r="J978" s="105"/>
      <c r="K978" s="105"/>
      <c r="L978" s="105"/>
      <c r="M978" s="105"/>
      <c r="N978" s="105"/>
      <c r="O978" s="105"/>
      <c r="P978" s="105" t="str">
        <f>IFERROR(__xludf.DUMMYFUNCTION("""COMPUTED_VALUE"""),"suggestion::change::(use::mixin)")</f>
        <v>suggestion::change::(use::mixin)</v>
      </c>
      <c r="Q978" s="105"/>
      <c r="R978" s="105"/>
      <c r="S978" s="105"/>
      <c r="T978" s="105"/>
      <c r="U978" s="105"/>
      <c r="V978" s="105"/>
      <c r="W978" s="105"/>
      <c r="X978" s="105"/>
      <c r="Y978" s="105"/>
      <c r="Z978" s="105"/>
    </row>
    <row r="979">
      <c r="A979" s="105"/>
      <c r="B979" s="105"/>
      <c r="C979" s="105"/>
      <c r="D979" s="105"/>
      <c r="E979" s="105"/>
      <c r="F979" s="105"/>
      <c r="G979" s="105"/>
      <c r="H979" s="105"/>
      <c r="I979" s="105"/>
      <c r="J979" s="105"/>
      <c r="K979" s="105"/>
      <c r="L979" s="105"/>
      <c r="M979" s="105"/>
      <c r="N979" s="105"/>
      <c r="O979" s="105"/>
      <c r="P979" s="105" t="str">
        <f>IFERROR(__xludf.DUMMYFUNCTION("""COMPUTED_VALUE"""),"suggestion::change::(use::python::api)")</f>
        <v>suggestion::change::(use::python::api)</v>
      </c>
      <c r="Q979" s="105"/>
      <c r="R979" s="105"/>
      <c r="S979" s="105"/>
      <c r="T979" s="105"/>
      <c r="U979" s="105"/>
      <c r="V979" s="105"/>
      <c r="W979" s="105"/>
      <c r="X979" s="105"/>
      <c r="Y979" s="105"/>
      <c r="Z979" s="105"/>
    </row>
    <row r="980">
      <c r="A980" s="105"/>
      <c r="B980" s="105"/>
      <c r="C980" s="105"/>
      <c r="D980" s="105"/>
      <c r="E980" s="105"/>
      <c r="F980" s="105"/>
      <c r="G980" s="105"/>
      <c r="H980" s="105"/>
      <c r="I980" s="105"/>
      <c r="J980" s="105"/>
      <c r="K980" s="105"/>
      <c r="L980" s="105"/>
      <c r="M980" s="105"/>
      <c r="N980" s="105"/>
      <c r="O980" s="105"/>
      <c r="P980" s="105" t="str">
        <f>IFERROR(__xludf.DUMMYFUNCTION("""COMPUTED_VALUE"""),"suggestion::change::(variable::to::constant)")</f>
        <v>suggestion::change::(variable::to::constant)</v>
      </c>
      <c r="Q980" s="105"/>
      <c r="R980" s="105"/>
      <c r="S980" s="105"/>
      <c r="T980" s="105"/>
      <c r="U980" s="105"/>
      <c r="V980" s="105"/>
      <c r="W980" s="105"/>
      <c r="X980" s="105"/>
      <c r="Y980" s="105"/>
      <c r="Z980" s="105"/>
    </row>
    <row r="981">
      <c r="A981" s="105"/>
      <c r="B981" s="105"/>
      <c r="C981" s="105"/>
      <c r="D981" s="105"/>
      <c r="E981" s="105"/>
      <c r="F981" s="105"/>
      <c r="G981" s="105"/>
      <c r="H981" s="105"/>
      <c r="I981" s="105"/>
      <c r="J981" s="105"/>
      <c r="K981" s="105"/>
      <c r="L981" s="105"/>
      <c r="M981" s="105"/>
      <c r="N981" s="105"/>
      <c r="O981" s="105"/>
      <c r="P981" s="105" t="str">
        <f>IFERROR(__xludf.DUMMYFUNCTION("""COMPUTED_VALUE"""),"suggestion::change::(versioning)")</f>
        <v>suggestion::change::(versioning)</v>
      </c>
      <c r="Q981" s="105"/>
      <c r="R981" s="105"/>
      <c r="S981" s="105"/>
      <c r="T981" s="105"/>
      <c r="U981" s="105"/>
      <c r="V981" s="105"/>
      <c r="W981" s="105"/>
      <c r="X981" s="105"/>
      <c r="Y981" s="105"/>
      <c r="Z981" s="105"/>
    </row>
    <row r="982">
      <c r="A982" s="105"/>
      <c r="B982" s="105"/>
      <c r="C982" s="105"/>
      <c r="D982" s="105"/>
      <c r="E982" s="105"/>
      <c r="F982" s="105"/>
      <c r="G982" s="105"/>
      <c r="H982" s="105"/>
      <c r="I982" s="105"/>
      <c r="J982" s="105"/>
      <c r="K982" s="105"/>
      <c r="L982" s="105"/>
      <c r="M982" s="105"/>
      <c r="N982" s="105"/>
      <c r="O982" s="105"/>
      <c r="P982" s="105" t="str">
        <f>IFERROR(__xludf.DUMMYFUNCTION("""COMPUTED_VALUE"""),"suggestion::change::(wrapp::with::exception)")</f>
        <v>suggestion::change::(wrapp::with::exception)</v>
      </c>
      <c r="Q982" s="105"/>
      <c r="R982" s="105"/>
      <c r="S982" s="105"/>
      <c r="T982" s="105"/>
      <c r="U982" s="105"/>
      <c r="V982" s="105"/>
      <c r="W982" s="105"/>
      <c r="X982" s="105"/>
      <c r="Y982" s="105"/>
      <c r="Z982" s="105"/>
    </row>
    <row r="983">
      <c r="A983" s="105"/>
      <c r="B983" s="105"/>
      <c r="C983" s="105"/>
      <c r="D983" s="105"/>
      <c r="E983" s="105"/>
      <c r="F983" s="105"/>
      <c r="G983" s="105"/>
      <c r="H983" s="105"/>
      <c r="I983" s="105"/>
      <c r="J983" s="105"/>
      <c r="K983" s="105"/>
      <c r="L983" s="105"/>
      <c r="M983" s="105"/>
      <c r="N983" s="105"/>
      <c r="O983" s="105"/>
      <c r="P983" s="105" t="str">
        <f>IFERROR(__xludf.DUMMYFUNCTION("""COMPUTED_VALUE"""),"suggestion::change::(wrong::logic)")</f>
        <v>suggestion::change::(wrong::logic)</v>
      </c>
      <c r="Q983" s="105"/>
      <c r="R983" s="105"/>
      <c r="S983" s="105"/>
      <c r="T983" s="105"/>
      <c r="U983" s="105"/>
      <c r="V983" s="105"/>
      <c r="W983" s="105"/>
      <c r="X983" s="105"/>
      <c r="Y983" s="105"/>
      <c r="Z983" s="105"/>
    </row>
    <row r="984">
      <c r="A984" s="105"/>
      <c r="B984" s="105"/>
      <c r="C984" s="105"/>
      <c r="D984" s="105"/>
      <c r="E984" s="105"/>
      <c r="F984" s="105"/>
      <c r="G984" s="105"/>
      <c r="H984" s="105"/>
      <c r="I984" s="105"/>
      <c r="J984" s="105"/>
      <c r="K984" s="105"/>
      <c r="L984" s="105"/>
      <c r="M984" s="105"/>
      <c r="N984" s="105"/>
      <c r="O984" s="105"/>
      <c r="P984" s="105" t="str">
        <f>IFERROR(__xludf.DUMMYFUNCTION("""COMPUTED_VALUE"""),"suggestion::change::based::on::test::failure")</f>
        <v>suggestion::change::based::on::test::failure</v>
      </c>
      <c r="Q984" s="105"/>
      <c r="R984" s="105"/>
      <c r="S984" s="105"/>
      <c r="T984" s="105"/>
      <c r="U984" s="105"/>
      <c r="V984" s="105"/>
      <c r="W984" s="105"/>
      <c r="X984" s="105"/>
      <c r="Y984" s="105"/>
      <c r="Z984" s="105"/>
    </row>
    <row r="985">
      <c r="A985" s="105"/>
      <c r="B985" s="105"/>
      <c r="C985" s="105"/>
      <c r="D985" s="105"/>
      <c r="E985" s="105"/>
      <c r="F985" s="105"/>
      <c r="G985" s="105"/>
      <c r="H985" s="105"/>
      <c r="I985" s="105"/>
      <c r="J985" s="105"/>
      <c r="K985" s="105"/>
      <c r="L985" s="105"/>
      <c r="M985" s="105"/>
      <c r="N985" s="105"/>
      <c r="O985" s="105"/>
      <c r="P985" s="105" t="str">
        <f>IFERROR(__xludf.DUMMYFUNCTION("""COMPUTED_VALUE"""),"suggestion::change::current::approach::(change::for::different::api::version)")</f>
        <v>suggestion::change::current::approach::(change::for::different::api::version)</v>
      </c>
      <c r="Q985" s="105"/>
      <c r="R985" s="105"/>
      <c r="S985" s="105"/>
      <c r="T985" s="105"/>
      <c r="U985" s="105"/>
      <c r="V985" s="105"/>
      <c r="W985" s="105"/>
      <c r="X985" s="105"/>
      <c r="Y985" s="105"/>
      <c r="Z985" s="105"/>
    </row>
    <row r="986">
      <c r="A986" s="105"/>
      <c r="B986" s="105"/>
      <c r="C986" s="105"/>
      <c r="D986" s="105"/>
      <c r="E986" s="105"/>
      <c r="F986" s="105"/>
      <c r="G986" s="105"/>
      <c r="H986" s="105"/>
      <c r="I986" s="105"/>
      <c r="J986" s="105"/>
      <c r="K986" s="105"/>
      <c r="L986" s="105"/>
      <c r="M986" s="105"/>
      <c r="N986" s="105"/>
      <c r="O986" s="105"/>
      <c r="P986" s="105" t="str">
        <f>IFERROR(__xludf.DUMMYFUNCTION("""COMPUTED_VALUE"""),"suggestion::change::intended::solution::design")</f>
        <v>suggestion::change::intended::solution::design</v>
      </c>
      <c r="Q986" s="105"/>
      <c r="R986" s="105"/>
      <c r="S986" s="105"/>
      <c r="T986" s="105"/>
      <c r="U986" s="105"/>
      <c r="V986" s="105"/>
      <c r="W986" s="105"/>
      <c r="X986" s="105"/>
      <c r="Y986" s="105"/>
      <c r="Z986" s="105"/>
    </row>
    <row r="987">
      <c r="A987" s="105"/>
      <c r="B987" s="105"/>
      <c r="C987" s="105"/>
      <c r="D987" s="105"/>
      <c r="E987" s="105"/>
      <c r="F987" s="105"/>
      <c r="G987" s="105"/>
      <c r="H987" s="105"/>
      <c r="I987" s="105"/>
      <c r="J987" s="105"/>
      <c r="K987" s="105"/>
      <c r="L987" s="105"/>
      <c r="M987" s="105"/>
      <c r="N987" s="105"/>
      <c r="O987" s="105"/>
      <c r="P987" s="105" t="str">
        <f>IFERROR(__xludf.DUMMYFUNCTION("""COMPUTED_VALUE"""),"suggestion::change::typo::(commit::message)")</f>
        <v>suggestion::change::typo::(commit::message)</v>
      </c>
      <c r="Q987" s="105"/>
      <c r="R987" s="105"/>
      <c r="S987" s="105"/>
      <c r="T987" s="105"/>
      <c r="U987" s="105"/>
      <c r="V987" s="105"/>
      <c r="W987" s="105"/>
      <c r="X987" s="105"/>
      <c r="Y987" s="105"/>
      <c r="Z987" s="105"/>
    </row>
    <row r="988">
      <c r="A988" s="105"/>
      <c r="B988" s="105"/>
      <c r="C988" s="105"/>
      <c r="D988" s="105"/>
      <c r="E988" s="105"/>
      <c r="F988" s="105"/>
      <c r="G988" s="105"/>
      <c r="H988" s="105"/>
      <c r="I988" s="105"/>
      <c r="J988" s="105"/>
      <c r="K988" s="105"/>
      <c r="L988" s="105"/>
      <c r="M988" s="105"/>
      <c r="N988" s="105"/>
      <c r="O988" s="105"/>
      <c r="P988" s="105" t="str">
        <f>IFERROR(__xludf.DUMMYFUNCTION("""COMPUTED_VALUE"""),"suggestion::chnage::(add::exception)")</f>
        <v>suggestion::chnage::(add::exception)</v>
      </c>
      <c r="Q988" s="105"/>
      <c r="R988" s="105"/>
      <c r="S988" s="105"/>
      <c r="T988" s="105"/>
      <c r="U988" s="105"/>
      <c r="V988" s="105"/>
      <c r="W988" s="105"/>
      <c r="X988" s="105"/>
      <c r="Y988" s="105"/>
      <c r="Z988" s="105"/>
    </row>
    <row r="989">
      <c r="A989" s="105"/>
      <c r="B989" s="105"/>
      <c r="C989" s="105"/>
      <c r="D989" s="105"/>
      <c r="E989" s="105"/>
      <c r="F989" s="105"/>
      <c r="G989" s="105"/>
      <c r="H989" s="105"/>
      <c r="I989" s="105"/>
      <c r="J989" s="105"/>
      <c r="K989" s="105"/>
      <c r="L989" s="105"/>
      <c r="M989" s="105"/>
      <c r="N989" s="105"/>
      <c r="O989" s="105"/>
      <c r="P989" s="105" t="str">
        <f>IFERROR(__xludf.DUMMYFUNCTION("""COMPUTED_VALUE"""),"suggestion::code::change::(missing::info)")</f>
        <v>suggestion::code::change::(missing::info)</v>
      </c>
      <c r="Q989" s="105"/>
      <c r="R989" s="105"/>
      <c r="S989" s="105"/>
      <c r="T989" s="105"/>
      <c r="U989" s="105"/>
      <c r="V989" s="105"/>
      <c r="W989" s="105"/>
      <c r="X989" s="105"/>
      <c r="Y989" s="105"/>
      <c r="Z989" s="105"/>
    </row>
    <row r="990">
      <c r="A990" s="105"/>
      <c r="B990" s="105"/>
      <c r="C990" s="105"/>
      <c r="D990" s="105"/>
      <c r="E990" s="105"/>
      <c r="F990" s="105"/>
      <c r="G990" s="105"/>
      <c r="H990" s="105"/>
      <c r="I990" s="105"/>
      <c r="J990" s="105"/>
      <c r="K990" s="105"/>
      <c r="L990" s="105"/>
      <c r="M990" s="105"/>
      <c r="N990" s="105"/>
      <c r="O990" s="105"/>
      <c r="P990" s="105" t="str">
        <f>IFERROR(__xludf.DUMMYFUNCTION("""COMPUTED_VALUE"""),"suggestion::content::change::(commit::message::authorship)")</f>
        <v>suggestion::content::change::(commit::message::authorship)</v>
      </c>
      <c r="Q990" s="105"/>
      <c r="R990" s="105"/>
      <c r="S990" s="105"/>
      <c r="T990" s="105"/>
      <c r="U990" s="105"/>
      <c r="V990" s="105"/>
      <c r="W990" s="105"/>
      <c r="X990" s="105"/>
      <c r="Y990" s="105"/>
      <c r="Z990" s="105"/>
    </row>
    <row r="991">
      <c r="A991" s="105"/>
      <c r="B991" s="105"/>
      <c r="C991" s="105"/>
      <c r="D991" s="105"/>
      <c r="E991" s="105"/>
      <c r="F991" s="105"/>
      <c r="G991" s="105"/>
      <c r="H991" s="105"/>
      <c r="I991" s="105"/>
      <c r="J991" s="105"/>
      <c r="K991" s="105"/>
      <c r="L991" s="105"/>
      <c r="M991" s="105"/>
      <c r="N991" s="105"/>
      <c r="O991" s="105"/>
      <c r="P991" s="105" t="str">
        <f>IFERROR(__xludf.DUMMYFUNCTION("""COMPUTED_VALUE"""),"suggestion::content::change::(commit::message::BP::referenced)")</f>
        <v>suggestion::content::change::(commit::message::BP::referenced)</v>
      </c>
      <c r="Q991" s="105"/>
      <c r="R991" s="105"/>
      <c r="S991" s="105"/>
      <c r="T991" s="105"/>
      <c r="U991" s="105"/>
      <c r="V991" s="105"/>
      <c r="W991" s="105"/>
      <c r="X991" s="105"/>
      <c r="Y991" s="105"/>
      <c r="Z991" s="105"/>
    </row>
    <row r="992">
      <c r="A992" s="105"/>
      <c r="B992" s="105"/>
      <c r="C992" s="105"/>
      <c r="D992" s="105"/>
      <c r="E992" s="105"/>
      <c r="F992" s="105"/>
      <c r="G992" s="105"/>
      <c r="H992" s="105"/>
      <c r="I992" s="105"/>
      <c r="J992" s="105"/>
      <c r="K992" s="105"/>
      <c r="L992" s="105"/>
      <c r="M992" s="105"/>
      <c r="N992" s="105"/>
      <c r="O992" s="105"/>
      <c r="P992" s="105" t="str">
        <f>IFERROR(__xludf.DUMMYFUNCTION("""COMPUTED_VALUE"""),"suggestion::content::change::(commit::message::docImpact::explanation)")</f>
        <v>suggestion::content::change::(commit::message::docImpact::explanation)</v>
      </c>
      <c r="Q992" s="105"/>
      <c r="R992" s="105"/>
      <c r="S992" s="105"/>
      <c r="T992" s="105"/>
      <c r="U992" s="105"/>
      <c r="V992" s="105"/>
      <c r="W992" s="105"/>
      <c r="X992" s="105"/>
      <c r="Y992" s="105"/>
      <c r="Z992" s="105"/>
    </row>
    <row r="993">
      <c r="A993" s="105"/>
      <c r="B993" s="105"/>
      <c r="C993" s="105"/>
      <c r="D993" s="105"/>
      <c r="E993" s="105"/>
      <c r="F993" s="105"/>
      <c r="G993" s="105"/>
      <c r="H993" s="105"/>
      <c r="I993" s="105"/>
      <c r="J993" s="105"/>
      <c r="K993" s="105"/>
      <c r="L993" s="105"/>
      <c r="M993" s="105"/>
      <c r="N993" s="105"/>
      <c r="O993" s="105"/>
      <c r="P993" s="105" t="str">
        <f>IFERROR(__xludf.DUMMYFUNCTION("""COMPUTED_VALUE"""),"suggestion::content::change::(commit::message::docImpact)")</f>
        <v>suggestion::content::change::(commit::message::docImpact)</v>
      </c>
      <c r="Q993" s="105"/>
      <c r="R993" s="105"/>
      <c r="S993" s="105"/>
      <c r="T993" s="105"/>
      <c r="U993" s="105"/>
      <c r="V993" s="105"/>
      <c r="W993" s="105"/>
      <c r="X993" s="105"/>
      <c r="Y993" s="105"/>
      <c r="Z993" s="105"/>
    </row>
    <row r="994">
      <c r="A994" s="105"/>
      <c r="B994" s="105"/>
      <c r="C994" s="105"/>
      <c r="D994" s="105"/>
      <c r="E994" s="105"/>
      <c r="F994" s="105"/>
      <c r="G994" s="105"/>
      <c r="H994" s="105"/>
      <c r="I994" s="105"/>
      <c r="J994" s="105"/>
      <c r="K994" s="105"/>
      <c r="L994" s="105"/>
      <c r="M994" s="105"/>
      <c r="N994" s="105"/>
      <c r="O994" s="105"/>
      <c r="P994" s="105" t="str">
        <f>IFERROR(__xludf.DUMMYFUNCTION("""COMPUTED_VALUE"""),"suggestion::content::change::(commit::message)")</f>
        <v>suggestion::content::change::(commit::message)</v>
      </c>
      <c r="Q994" s="105"/>
      <c r="R994" s="105"/>
      <c r="S994" s="105"/>
      <c r="T994" s="105"/>
      <c r="U994" s="105"/>
      <c r="V994" s="105"/>
      <c r="W994" s="105"/>
      <c r="X994" s="105"/>
      <c r="Y994" s="105"/>
      <c r="Z994" s="105"/>
    </row>
    <row r="995">
      <c r="A995" s="105"/>
      <c r="B995" s="105"/>
      <c r="C995" s="105"/>
      <c r="D995" s="105"/>
      <c r="E995" s="105"/>
      <c r="F995" s="105"/>
      <c r="G995" s="105"/>
      <c r="H995" s="105"/>
      <c r="I995" s="105"/>
      <c r="J995" s="105"/>
      <c r="K995" s="105"/>
      <c r="L995" s="105"/>
      <c r="M995" s="105"/>
      <c r="N995" s="105"/>
      <c r="O995" s="105"/>
      <c r="P995" s="105" t="str">
        <f>IFERROR(__xludf.DUMMYFUNCTION("""COMPUTED_VALUE"""),"suggestion::content::change::(missing::info::commit::message)")</f>
        <v>suggestion::content::change::(missing::info::commit::message)</v>
      </c>
      <c r="Q995" s="105"/>
      <c r="R995" s="105"/>
      <c r="S995" s="105"/>
      <c r="T995" s="105"/>
      <c r="U995" s="105"/>
      <c r="V995" s="105"/>
      <c r="W995" s="105"/>
      <c r="X995" s="105"/>
      <c r="Y995" s="105"/>
      <c r="Z995" s="105"/>
    </row>
    <row r="996">
      <c r="A996" s="105"/>
      <c r="B996" s="105"/>
      <c r="C996" s="105"/>
      <c r="D996" s="105"/>
      <c r="E996" s="105"/>
      <c r="F996" s="105"/>
      <c r="G996" s="105"/>
      <c r="H996" s="105"/>
      <c r="I996" s="105"/>
      <c r="J996" s="105"/>
      <c r="K996" s="105"/>
      <c r="L996" s="105"/>
      <c r="M996" s="105"/>
      <c r="N996" s="105"/>
      <c r="O996" s="105"/>
      <c r="P996" s="105" t="str">
        <f>IFERROR(__xludf.DUMMYFUNCTION("""COMPUTED_VALUE"""),"suggestion::content::change::(typo::commit::message)")</f>
        <v>suggestion::content::change::(typo::commit::message)</v>
      </c>
      <c r="Q996" s="105"/>
      <c r="R996" s="105"/>
      <c r="S996" s="105"/>
      <c r="T996" s="105"/>
      <c r="U996" s="105"/>
      <c r="V996" s="105"/>
      <c r="W996" s="105"/>
      <c r="X996" s="105"/>
      <c r="Y996" s="105"/>
      <c r="Z996" s="105"/>
    </row>
    <row r="997">
      <c r="A997" s="105"/>
      <c r="B997" s="105"/>
      <c r="C997" s="105"/>
      <c r="D997" s="105"/>
      <c r="E997" s="105"/>
      <c r="F997" s="105"/>
      <c r="G997" s="105"/>
      <c r="H997" s="105"/>
      <c r="I997" s="105"/>
      <c r="J997" s="105"/>
      <c r="K997" s="105"/>
      <c r="L997" s="105"/>
      <c r="M997" s="105"/>
      <c r="N997" s="105"/>
      <c r="O997" s="105"/>
      <c r="P997" s="105" t="str">
        <f>IFERROR(__xludf.DUMMYFUNCTION("""COMPUTED_VALUE"""),"suggestion::creating::followup::issue")</f>
        <v>suggestion::creating::followup::issue</v>
      </c>
      <c r="Q997" s="105"/>
      <c r="R997" s="105"/>
      <c r="S997" s="105"/>
      <c r="T997" s="105"/>
      <c r="U997" s="105"/>
      <c r="V997" s="105"/>
      <c r="W997" s="105"/>
      <c r="X997" s="105"/>
      <c r="Y997" s="105"/>
      <c r="Z997" s="105"/>
    </row>
    <row r="998">
      <c r="A998" s="105"/>
      <c r="B998" s="105"/>
      <c r="C998" s="105"/>
      <c r="D998" s="105"/>
      <c r="E998" s="105"/>
      <c r="F998" s="105"/>
      <c r="G998" s="105"/>
      <c r="H998" s="105"/>
      <c r="I998" s="105"/>
      <c r="J998" s="105"/>
      <c r="K998" s="105"/>
      <c r="L998" s="105"/>
      <c r="M998" s="105"/>
      <c r="N998" s="105"/>
      <c r="O998" s="105"/>
      <c r="P998" s="105" t="str">
        <f>IFERROR(__xludf.DUMMYFUNCTION("""COMPUTED_VALUE"""),"suggestion::DB::migration::(need)")</f>
        <v>suggestion::DB::migration::(need)</v>
      </c>
      <c r="Q998" s="105"/>
      <c r="R998" s="105"/>
      <c r="S998" s="105"/>
      <c r="T998" s="105"/>
      <c r="U998" s="105"/>
      <c r="V998" s="105"/>
      <c r="W998" s="105"/>
      <c r="X998" s="105"/>
      <c r="Y998" s="105"/>
      <c r="Z998" s="105"/>
    </row>
    <row r="999">
      <c r="A999" s="105"/>
      <c r="B999" s="105"/>
      <c r="C999" s="105"/>
      <c r="D999" s="105"/>
      <c r="E999" s="105"/>
      <c r="F999" s="105"/>
      <c r="G999" s="105"/>
      <c r="H999" s="105"/>
      <c r="I999" s="105"/>
      <c r="J999" s="105"/>
      <c r="K999" s="105"/>
      <c r="L999" s="105"/>
      <c r="M999" s="105"/>
      <c r="N999" s="105"/>
      <c r="O999" s="105"/>
      <c r="P999" s="105" t="str">
        <f>IFERROR(__xludf.DUMMYFUNCTION("""COMPUTED_VALUE"""),"suggestion::different::approach::(managment::keys)")</f>
        <v>suggestion::different::approach::(managment::keys)</v>
      </c>
      <c r="Q999" s="105"/>
      <c r="R999" s="105"/>
      <c r="S999" s="105"/>
      <c r="T999" s="105"/>
      <c r="U999" s="105"/>
      <c r="V999" s="105"/>
      <c r="W999" s="105"/>
      <c r="X999" s="105"/>
      <c r="Y999" s="105"/>
      <c r="Z999" s="105"/>
    </row>
    <row r="1000">
      <c r="A1000" s="105"/>
      <c r="B1000" s="105"/>
      <c r="C1000" s="105"/>
      <c r="D1000" s="105"/>
      <c r="E1000" s="105"/>
      <c r="F1000" s="105"/>
      <c r="G1000" s="105"/>
      <c r="H1000" s="105"/>
      <c r="I1000" s="105"/>
      <c r="J1000" s="105"/>
      <c r="K1000" s="105"/>
      <c r="L1000" s="105"/>
      <c r="M1000" s="105"/>
      <c r="N1000" s="105"/>
      <c r="O1000" s="105"/>
      <c r="P1000" s="105" t="str">
        <f>IFERROR(__xludf.DUMMYFUNCTION("""COMPUTED_VALUE"""),"suggestion::different::approach::to::the::change::(due::to::existing::functionallity::duplication)")</f>
        <v>suggestion::different::approach::to::the::change::(due::to::existing::functionallity::duplication)</v>
      </c>
      <c r="Q1000" s="105"/>
      <c r="R1000" s="105"/>
      <c r="S1000" s="105"/>
      <c r="T1000" s="105"/>
      <c r="U1000" s="105"/>
      <c r="V1000" s="105"/>
      <c r="W1000" s="105"/>
      <c r="X1000" s="105"/>
      <c r="Y1000" s="105"/>
      <c r="Z1000" s="105"/>
    </row>
    <row r="1001">
      <c r="A1001" s="105"/>
      <c r="B1001" s="105"/>
      <c r="C1001" s="105"/>
      <c r="D1001" s="105"/>
      <c r="E1001" s="105"/>
      <c r="F1001" s="105"/>
      <c r="G1001" s="105"/>
      <c r="H1001" s="105"/>
      <c r="I1001" s="105"/>
      <c r="J1001" s="105"/>
      <c r="K1001" s="105"/>
      <c r="L1001" s="105"/>
      <c r="M1001" s="105"/>
      <c r="N1001" s="105"/>
      <c r="O1001" s="105"/>
      <c r="P1001" s="105" t="str">
        <f>IFERROR(__xludf.DUMMYFUNCTION("""COMPUTED_VALUE"""),"suggestion::error::code::(extra::characters)")</f>
        <v>suggestion::error::code::(extra::characters)</v>
      </c>
      <c r="Q1001" s="105"/>
      <c r="R1001" s="105"/>
      <c r="S1001" s="105"/>
      <c r="T1001" s="105"/>
      <c r="U1001" s="105"/>
      <c r="V1001" s="105"/>
      <c r="W1001" s="105"/>
      <c r="X1001" s="105"/>
      <c r="Y1001" s="105"/>
      <c r="Z1001" s="105"/>
    </row>
    <row r="1002">
      <c r="A1002" s="105"/>
      <c r="B1002" s="105"/>
      <c r="C1002" s="105"/>
      <c r="D1002" s="105"/>
      <c r="E1002" s="105"/>
      <c r="F1002" s="105"/>
      <c r="G1002" s="105"/>
      <c r="H1002" s="105"/>
      <c r="I1002" s="105"/>
      <c r="J1002" s="105"/>
      <c r="K1002" s="105"/>
      <c r="L1002" s="105"/>
      <c r="M1002" s="105"/>
      <c r="N1002" s="105"/>
      <c r="O1002" s="105"/>
      <c r="P1002" s="105" t="str">
        <f>IFERROR(__xludf.DUMMYFUNCTION("""COMPUTED_VALUE"""),"suggestion::ignore::backwards::compatebility")</f>
        <v>suggestion::ignore::backwards::compatebility</v>
      </c>
      <c r="Q1002" s="105"/>
      <c r="R1002" s="105"/>
      <c r="S1002" s="105"/>
      <c r="T1002" s="105"/>
      <c r="U1002" s="105"/>
      <c r="V1002" s="105"/>
      <c r="W1002" s="105"/>
      <c r="X1002" s="105"/>
      <c r="Y1002" s="105"/>
      <c r="Z1002" s="105"/>
    </row>
    <row r="1003">
      <c r="A1003" s="105"/>
      <c r="B1003" s="105"/>
      <c r="C1003" s="105"/>
      <c r="D1003" s="105"/>
      <c r="E1003" s="105"/>
      <c r="F1003" s="105"/>
      <c r="G1003" s="105"/>
      <c r="H1003" s="105"/>
      <c r="I1003" s="105"/>
      <c r="J1003" s="105"/>
      <c r="K1003" s="105"/>
      <c r="L1003" s="105"/>
      <c r="M1003" s="105"/>
      <c r="N1003" s="105"/>
      <c r="O1003" s="105"/>
      <c r="P1003" s="105" t="str">
        <f>IFERROR(__xludf.DUMMYFUNCTION("""COMPUTED_VALUE"""),"suggestion::include::changes::of::another::review::(different::change::ID)")</f>
        <v>suggestion::include::changes::of::another::review::(different::change::ID)</v>
      </c>
      <c r="Q1003" s="105"/>
      <c r="R1003" s="105"/>
      <c r="S1003" s="105"/>
      <c r="T1003" s="105"/>
      <c r="U1003" s="105"/>
      <c r="V1003" s="105"/>
      <c r="W1003" s="105"/>
      <c r="X1003" s="105"/>
      <c r="Y1003" s="105"/>
      <c r="Z1003" s="105"/>
    </row>
    <row r="1004">
      <c r="A1004" s="105"/>
      <c r="B1004" s="105"/>
      <c r="C1004" s="105"/>
      <c r="D1004" s="105"/>
      <c r="E1004" s="105"/>
      <c r="F1004" s="105"/>
      <c r="G1004" s="105"/>
      <c r="H1004" s="105"/>
      <c r="I1004" s="105"/>
      <c r="J1004" s="105"/>
      <c r="K1004" s="105"/>
      <c r="L1004" s="105"/>
      <c r="M1004" s="105"/>
      <c r="N1004" s="105"/>
      <c r="O1004" s="105"/>
      <c r="P1004" s="105" t="str">
        <f>IFERROR(__xludf.DUMMYFUNCTION("""COMPUTED_VALUE"""),"suggestion::logging::(for::debugging)")</f>
        <v>suggestion::logging::(for::debugging)</v>
      </c>
      <c r="Q1004" s="105"/>
      <c r="R1004" s="105"/>
      <c r="S1004" s="105"/>
      <c r="T1004" s="105"/>
      <c r="U1004" s="105"/>
      <c r="V1004" s="105"/>
      <c r="W1004" s="105"/>
      <c r="X1004" s="105"/>
      <c r="Y1004" s="105"/>
      <c r="Z1004" s="105"/>
    </row>
    <row r="1005">
      <c r="A1005" s="105"/>
      <c r="B1005" s="105"/>
      <c r="C1005" s="105"/>
      <c r="D1005" s="105"/>
      <c r="E1005" s="105"/>
      <c r="F1005" s="105"/>
      <c r="G1005" s="105"/>
      <c r="H1005" s="105"/>
      <c r="I1005" s="105"/>
      <c r="J1005" s="105"/>
      <c r="K1005" s="105"/>
      <c r="L1005" s="105"/>
      <c r="M1005" s="105"/>
      <c r="N1005" s="105"/>
      <c r="O1005" s="105"/>
      <c r="P1005" s="105" t="str">
        <f>IFERROR(__xludf.DUMMYFUNCTION("""COMPUTED_VALUE"""),"suggestion::manual::testing")</f>
        <v>suggestion::manual::testing</v>
      </c>
      <c r="Q1005" s="105"/>
      <c r="R1005" s="105"/>
      <c r="S1005" s="105"/>
      <c r="T1005" s="105"/>
      <c r="U1005" s="105"/>
      <c r="V1005" s="105"/>
      <c r="W1005" s="105"/>
      <c r="X1005" s="105"/>
      <c r="Y1005" s="105"/>
      <c r="Z1005" s="105"/>
    </row>
    <row r="1006">
      <c r="A1006" s="105"/>
      <c r="B1006" s="105"/>
      <c r="C1006" s="105"/>
      <c r="D1006" s="105"/>
      <c r="E1006" s="105"/>
      <c r="F1006" s="105"/>
      <c r="G1006" s="105"/>
      <c r="H1006" s="105"/>
      <c r="I1006" s="105"/>
      <c r="J1006" s="105"/>
      <c r="K1006" s="105"/>
      <c r="L1006" s="105"/>
      <c r="M1006" s="105"/>
      <c r="N1006" s="105"/>
      <c r="O1006" s="105"/>
      <c r="P1006" s="105" t="str">
        <f>IFERROR(__xludf.DUMMYFUNCTION("""COMPUTED_VALUE"""),"suggestion::move:.the::changes:.to::different::patch::(different::change::id)")</f>
        <v>suggestion::move:.the::changes:.to::different::patch::(different::change::id)</v>
      </c>
      <c r="Q1006" s="105"/>
      <c r="R1006" s="105"/>
      <c r="S1006" s="105"/>
      <c r="T1006" s="105"/>
      <c r="U1006" s="105"/>
      <c r="V1006" s="105"/>
      <c r="W1006" s="105"/>
      <c r="X1006" s="105"/>
      <c r="Y1006" s="105"/>
      <c r="Z1006" s="105"/>
    </row>
    <row r="1007">
      <c r="A1007" s="105"/>
      <c r="B1007" s="105"/>
      <c r="C1007" s="105"/>
      <c r="D1007" s="105"/>
      <c r="E1007" s="105"/>
      <c r="F1007" s="105"/>
      <c r="G1007" s="105"/>
      <c r="H1007" s="105"/>
      <c r="I1007" s="105"/>
      <c r="J1007" s="105"/>
      <c r="K1007" s="105"/>
      <c r="L1007" s="105"/>
      <c r="M1007" s="105"/>
      <c r="N1007" s="105"/>
      <c r="O1007" s="105"/>
      <c r="P1007" s="105" t="str">
        <f>IFERROR(__xludf.DUMMYFUNCTION("""COMPUTED_VALUE"""),"suggestion::move:.the::changes:.to::different::patch::(new::patch)")</f>
        <v>suggestion::move:.the::changes:.to::different::patch::(new::patch)</v>
      </c>
      <c r="Q1007" s="105"/>
      <c r="R1007" s="105"/>
      <c r="S1007" s="105"/>
      <c r="T1007" s="105"/>
      <c r="U1007" s="105"/>
      <c r="V1007" s="105"/>
      <c r="W1007" s="105"/>
      <c r="X1007" s="105"/>
      <c r="Y1007" s="105"/>
      <c r="Z1007" s="105"/>
    </row>
    <row r="1008">
      <c r="A1008" s="105"/>
      <c r="B1008" s="105"/>
      <c r="C1008" s="105"/>
      <c r="D1008" s="105"/>
      <c r="E1008" s="105"/>
      <c r="F1008" s="105"/>
      <c r="G1008" s="105"/>
      <c r="H1008" s="105"/>
      <c r="I1008" s="105"/>
      <c r="J1008" s="105"/>
      <c r="K1008" s="105"/>
      <c r="L1008" s="105"/>
      <c r="M1008" s="105"/>
      <c r="N1008" s="105"/>
      <c r="O1008" s="105"/>
      <c r="P1008" s="105" t="str">
        <f>IFERROR(__xludf.DUMMYFUNCTION("""COMPUTED_VALUE"""),"suggestion::not::installing::libraries::not::found:.in::official::repo")</f>
        <v>suggestion::not::installing::libraries::not::found:.in::official::repo</v>
      </c>
      <c r="Q1008" s="105"/>
      <c r="R1008" s="105"/>
      <c r="S1008" s="105"/>
      <c r="T1008" s="105"/>
      <c r="U1008" s="105"/>
      <c r="V1008" s="105"/>
      <c r="W1008" s="105"/>
      <c r="X1008" s="105"/>
      <c r="Y1008" s="105"/>
      <c r="Z1008" s="105"/>
    </row>
    <row r="1009">
      <c r="A1009" s="105"/>
      <c r="B1009" s="105"/>
      <c r="C1009" s="105"/>
      <c r="D1009" s="105"/>
      <c r="E1009" s="105"/>
      <c r="F1009" s="105"/>
      <c r="G1009" s="105"/>
      <c r="H1009" s="105"/>
      <c r="I1009" s="105"/>
      <c r="J1009" s="105"/>
      <c r="K1009" s="105"/>
      <c r="L1009" s="105"/>
      <c r="M1009" s="105"/>
      <c r="N1009" s="105"/>
      <c r="O1009" s="105"/>
      <c r="P1009" s="105" t="str">
        <f>IFERROR(__xludf.DUMMYFUNCTION("""COMPUTED_VALUE"""),"suggestion::not::rebasing::the::change")</f>
        <v>suggestion::not::rebasing::the::change</v>
      </c>
      <c r="Q1009" s="105"/>
      <c r="R1009" s="105"/>
      <c r="S1009" s="105"/>
      <c r="T1009" s="105"/>
      <c r="U1009" s="105"/>
      <c r="V1009" s="105"/>
      <c r="W1009" s="105"/>
      <c r="X1009" s="105"/>
      <c r="Y1009" s="105"/>
      <c r="Z1009" s="105"/>
    </row>
    <row r="1010">
      <c r="A1010" s="105"/>
      <c r="B1010" s="105"/>
      <c r="C1010" s="105"/>
      <c r="D1010" s="105"/>
      <c r="E1010" s="105"/>
      <c r="F1010" s="105"/>
      <c r="G1010" s="105"/>
      <c r="H1010" s="105"/>
      <c r="I1010" s="105"/>
      <c r="J1010" s="105"/>
      <c r="K1010" s="105"/>
      <c r="L1010" s="105"/>
      <c r="M1010" s="105"/>
      <c r="N1010" s="105"/>
      <c r="O1010" s="105"/>
      <c r="P1010" s="105" t="str">
        <f>IFERROR(__xludf.DUMMYFUNCTION("""COMPUTED_VALUE"""),"suggestion::of::an::example::(config::file)")</f>
        <v>suggestion::of::an::example::(config::file)</v>
      </c>
      <c r="Q1010" s="105"/>
      <c r="R1010" s="105"/>
      <c r="S1010" s="105"/>
      <c r="T1010" s="105"/>
      <c r="U1010" s="105"/>
      <c r="V1010" s="105"/>
      <c r="W1010" s="105"/>
      <c r="X1010" s="105"/>
      <c r="Y1010" s="105"/>
      <c r="Z1010" s="105"/>
    </row>
    <row r="1011">
      <c r="A1011" s="105"/>
      <c r="B1011" s="105"/>
      <c r="C1011" s="105"/>
      <c r="D1011" s="105"/>
      <c r="E1011" s="105"/>
      <c r="F1011" s="105"/>
      <c r="G1011" s="105"/>
      <c r="H1011" s="105"/>
      <c r="I1011" s="105"/>
      <c r="J1011" s="105"/>
      <c r="K1011" s="105"/>
      <c r="L1011" s="105"/>
      <c r="M1011" s="105"/>
      <c r="N1011" s="105"/>
      <c r="O1011" s="105"/>
      <c r="P1011" s="105" t="str">
        <f>IFERROR(__xludf.DUMMYFUNCTION("""COMPUTED_VALUE"""),"suggestion::of::the::developing::process::(code::and::managment::of::patches)")</f>
        <v>suggestion::of::the::developing::process::(code::and::managment::of::patches)</v>
      </c>
      <c r="Q1011" s="105"/>
      <c r="R1011" s="105"/>
      <c r="S1011" s="105"/>
      <c r="T1011" s="105"/>
      <c r="U1011" s="105"/>
      <c r="V1011" s="105"/>
      <c r="W1011" s="105"/>
      <c r="X1011" s="105"/>
      <c r="Y1011" s="105"/>
      <c r="Z1011" s="105"/>
    </row>
    <row r="1012">
      <c r="A1012" s="105"/>
      <c r="B1012" s="105"/>
      <c r="C1012" s="105"/>
      <c r="D1012" s="105"/>
      <c r="E1012" s="105"/>
      <c r="F1012" s="105"/>
      <c r="G1012" s="105"/>
      <c r="H1012" s="105"/>
      <c r="I1012" s="105"/>
      <c r="J1012" s="105"/>
      <c r="K1012" s="105"/>
      <c r="L1012" s="105"/>
      <c r="M1012" s="105"/>
      <c r="N1012" s="105"/>
      <c r="O1012" s="105"/>
      <c r="P1012" s="105" t="str">
        <f>IFERROR(__xludf.DUMMYFUNCTION("""COMPUTED_VALUE"""),"suggestion::on::how::to::test::(steps::and::needed::devices)")</f>
        <v>suggestion::on::how::to::test::(steps::and::needed::devices)</v>
      </c>
      <c r="Q1012" s="105"/>
      <c r="R1012" s="105"/>
      <c r="S1012" s="105"/>
      <c r="T1012" s="105"/>
      <c r="U1012" s="105"/>
      <c r="V1012" s="105"/>
      <c r="W1012" s="105"/>
      <c r="X1012" s="105"/>
      <c r="Y1012" s="105"/>
      <c r="Z1012" s="105"/>
    </row>
    <row r="1013">
      <c r="A1013" s="105"/>
      <c r="B1013" s="105"/>
      <c r="C1013" s="105"/>
      <c r="D1013" s="105"/>
      <c r="E1013" s="105"/>
      <c r="F1013" s="105"/>
      <c r="G1013" s="105"/>
      <c r="H1013" s="105"/>
      <c r="I1013" s="105"/>
      <c r="J1013" s="105"/>
      <c r="K1013" s="105"/>
      <c r="L1013" s="105"/>
      <c r="M1013" s="105"/>
      <c r="N1013" s="105"/>
      <c r="O1013" s="105"/>
      <c r="P1013" s="105" t="str">
        <f>IFERROR(__xludf.DUMMYFUNCTION("""COMPUTED_VALUE"""),"suggestion::postpone::additional::changes")</f>
        <v>suggestion::postpone::additional::changes</v>
      </c>
      <c r="Q1013" s="105"/>
      <c r="R1013" s="105"/>
      <c r="S1013" s="105"/>
      <c r="T1013" s="105"/>
      <c r="U1013" s="105"/>
      <c r="V1013" s="105"/>
      <c r="W1013" s="105"/>
      <c r="X1013" s="105"/>
      <c r="Y1013" s="105"/>
      <c r="Z1013" s="105"/>
    </row>
    <row r="1014">
      <c r="A1014" s="105"/>
      <c r="B1014" s="105"/>
      <c r="C1014" s="105"/>
      <c r="D1014" s="105"/>
      <c r="E1014" s="105"/>
      <c r="F1014" s="105"/>
      <c r="G1014" s="105"/>
      <c r="H1014" s="105"/>
      <c r="I1014" s="105"/>
      <c r="J1014" s="105"/>
      <c r="K1014" s="105"/>
      <c r="L1014" s="105"/>
      <c r="M1014" s="105"/>
      <c r="N1014" s="105"/>
      <c r="O1014" s="105"/>
      <c r="P1014" s="105" t="str">
        <f>IFERROR(__xludf.DUMMYFUNCTION("""COMPUTED_VALUE"""),"suggestion::rebase")</f>
        <v>suggestion::rebase</v>
      </c>
      <c r="Q1014" s="105"/>
      <c r="R1014" s="105"/>
      <c r="S1014" s="105"/>
      <c r="T1014" s="105"/>
      <c r="U1014" s="105"/>
      <c r="V1014" s="105"/>
      <c r="W1014" s="105"/>
      <c r="X1014" s="105"/>
      <c r="Y1014" s="105"/>
      <c r="Z1014" s="105"/>
    </row>
    <row r="1015">
      <c r="A1015" s="105"/>
      <c r="B1015" s="105"/>
      <c r="C1015" s="105"/>
      <c r="D1015" s="105"/>
      <c r="E1015" s="105"/>
      <c r="F1015" s="105"/>
      <c r="G1015" s="105"/>
      <c r="H1015" s="105"/>
      <c r="I1015" s="105"/>
      <c r="J1015" s="105"/>
      <c r="K1015" s="105"/>
      <c r="L1015" s="105"/>
      <c r="M1015" s="105"/>
      <c r="N1015" s="105"/>
      <c r="O1015" s="105"/>
      <c r="P1015" s="105" t="str">
        <f>IFERROR(__xludf.DUMMYFUNCTION("""COMPUTED_VALUE"""),"suggestion::refactoring")</f>
        <v>suggestion::refactoring</v>
      </c>
      <c r="Q1015" s="105"/>
      <c r="R1015" s="105"/>
      <c r="S1015" s="105"/>
      <c r="T1015" s="105"/>
      <c r="U1015" s="105"/>
      <c r="V1015" s="105"/>
      <c r="W1015" s="105"/>
      <c r="X1015" s="105"/>
      <c r="Y1015" s="105"/>
      <c r="Z1015" s="105"/>
    </row>
    <row r="1016">
      <c r="A1016" s="105"/>
      <c r="B1016" s="105"/>
      <c r="C1016" s="105"/>
      <c r="D1016" s="105"/>
      <c r="E1016" s="105"/>
      <c r="F1016" s="105"/>
      <c r="G1016" s="105"/>
      <c r="H1016" s="105"/>
      <c r="I1016" s="105"/>
      <c r="J1016" s="105"/>
      <c r="K1016" s="105"/>
      <c r="L1016" s="105"/>
      <c r="M1016" s="105"/>
      <c r="N1016" s="105"/>
      <c r="O1016" s="105"/>
      <c r="P1016" s="105" t="str">
        <f>IFERROR(__xludf.DUMMYFUNCTION("""COMPUTED_VALUE"""),"suggestion::refactoring::(accessibility::modifiers)")</f>
        <v>suggestion::refactoring::(accessibility::modifiers)</v>
      </c>
      <c r="Q1016" s="105"/>
      <c r="R1016" s="105"/>
      <c r="S1016" s="105"/>
      <c r="T1016" s="105"/>
      <c r="U1016" s="105"/>
      <c r="V1016" s="105"/>
      <c r="W1016" s="105"/>
      <c r="X1016" s="105"/>
      <c r="Y1016" s="105"/>
      <c r="Z1016" s="105"/>
    </row>
    <row r="1017">
      <c r="A1017" s="105"/>
      <c r="B1017" s="105"/>
      <c r="C1017" s="105"/>
      <c r="D1017" s="105"/>
      <c r="E1017" s="105"/>
      <c r="F1017" s="105"/>
      <c r="G1017" s="105"/>
      <c r="H1017" s="105"/>
      <c r="I1017" s="105"/>
      <c r="J1017" s="105"/>
      <c r="K1017" s="105"/>
      <c r="L1017" s="105"/>
      <c r="M1017" s="105"/>
      <c r="N1017" s="105"/>
      <c r="O1017" s="105"/>
      <c r="P1017" s="105" t="str">
        <f>IFERROR(__xludf.DUMMYFUNCTION("""COMPUTED_VALUE"""),"suggestion::refactoring::(add::exception)")</f>
        <v>suggestion::refactoring::(add::exception)</v>
      </c>
      <c r="Q1017" s="105"/>
      <c r="R1017" s="105"/>
      <c r="S1017" s="105"/>
      <c r="T1017" s="105"/>
      <c r="U1017" s="105"/>
      <c r="V1017" s="105"/>
      <c r="W1017" s="105"/>
      <c r="X1017" s="105"/>
      <c r="Y1017" s="105"/>
      <c r="Z1017" s="105"/>
    </row>
    <row r="1018">
      <c r="A1018" s="105"/>
      <c r="B1018" s="105"/>
      <c r="C1018" s="105"/>
      <c r="D1018" s="105"/>
      <c r="E1018" s="105"/>
      <c r="F1018" s="105"/>
      <c r="G1018" s="105"/>
      <c r="H1018" s="105"/>
      <c r="I1018" s="105"/>
      <c r="J1018" s="105"/>
      <c r="K1018" s="105"/>
      <c r="L1018" s="105"/>
      <c r="M1018" s="105"/>
      <c r="N1018" s="105"/>
      <c r="O1018" s="105"/>
      <c r="P1018" s="105" t="str">
        <f>IFERROR(__xludf.DUMMYFUNCTION("""COMPUTED_VALUE"""),"suggestion::refactoring::(change::data::structure)")</f>
        <v>suggestion::refactoring::(change::data::structure)</v>
      </c>
      <c r="Q1018" s="105"/>
      <c r="R1018" s="105"/>
      <c r="S1018" s="105"/>
      <c r="T1018" s="105"/>
      <c r="U1018" s="105"/>
      <c r="V1018" s="105"/>
      <c r="W1018" s="105"/>
      <c r="X1018" s="105"/>
      <c r="Y1018" s="105"/>
      <c r="Z1018" s="105"/>
    </row>
    <row r="1019">
      <c r="A1019" s="105"/>
      <c r="B1019" s="105"/>
      <c r="C1019" s="105"/>
      <c r="D1019" s="105"/>
      <c r="E1019" s="105"/>
      <c r="F1019" s="105"/>
      <c r="G1019" s="105"/>
      <c r="H1019" s="105"/>
      <c r="I1019" s="105"/>
      <c r="J1019" s="105"/>
      <c r="K1019" s="105"/>
      <c r="L1019" s="105"/>
      <c r="M1019" s="105"/>
      <c r="N1019" s="105"/>
      <c r="O1019" s="105"/>
      <c r="P1019" s="105" t="str">
        <f>IFERROR(__xludf.DUMMYFUNCTION("""COMPUTED_VALUE"""),"suggestion::refactoring::(change::input::parameter)")</f>
        <v>suggestion::refactoring::(change::input::parameter)</v>
      </c>
      <c r="Q1019" s="105"/>
      <c r="R1019" s="105"/>
      <c r="S1019" s="105"/>
      <c r="T1019" s="105"/>
      <c r="U1019" s="105"/>
      <c r="V1019" s="105"/>
      <c r="W1019" s="105"/>
      <c r="X1019" s="105"/>
      <c r="Y1019" s="105"/>
      <c r="Z1019" s="105"/>
    </row>
    <row r="1020">
      <c r="A1020" s="105"/>
      <c r="B1020" s="105"/>
      <c r="C1020" s="105"/>
      <c r="D1020" s="105"/>
      <c r="E1020" s="105"/>
      <c r="F1020" s="105"/>
      <c r="G1020" s="105"/>
      <c r="H1020" s="105"/>
      <c r="I1020" s="105"/>
      <c r="J1020" s="105"/>
      <c r="K1020" s="105"/>
      <c r="L1020" s="105"/>
      <c r="M1020" s="105"/>
      <c r="N1020" s="105"/>
      <c r="O1020" s="105"/>
      <c r="P1020" s="105" t="str">
        <f>IFERROR(__xludf.DUMMYFUNCTION("""COMPUTED_VALUE"""),"suggestion::refactoring::(change::location::of::code)")</f>
        <v>suggestion::refactoring::(change::location::of::code)</v>
      </c>
      <c r="Q1020" s="105"/>
      <c r="R1020" s="105"/>
      <c r="S1020" s="105"/>
      <c r="T1020" s="105"/>
      <c r="U1020" s="105"/>
      <c r="V1020" s="105"/>
      <c r="W1020" s="105"/>
      <c r="X1020" s="105"/>
      <c r="Y1020" s="105"/>
      <c r="Z1020" s="105"/>
    </row>
    <row r="1021">
      <c r="A1021" s="105"/>
      <c r="B1021" s="105"/>
      <c r="C1021" s="105"/>
      <c r="D1021" s="105"/>
      <c r="E1021" s="105"/>
      <c r="F1021" s="105"/>
      <c r="G1021" s="105"/>
      <c r="H1021" s="105"/>
      <c r="I1021" s="105"/>
      <c r="J1021" s="105"/>
      <c r="K1021" s="105"/>
      <c r="L1021" s="105"/>
      <c r="M1021" s="105"/>
      <c r="N1021" s="105"/>
      <c r="O1021" s="105"/>
      <c r="P1021" s="105" t="str">
        <f>IFERROR(__xludf.DUMMYFUNCTION("""COMPUTED_VALUE"""),"suggestion::refactoring::(change::type::function)")</f>
        <v>suggestion::refactoring::(change::type::function)</v>
      </c>
      <c r="Q1021" s="105"/>
      <c r="R1021" s="105"/>
      <c r="S1021" s="105"/>
      <c r="T1021" s="105"/>
      <c r="U1021" s="105"/>
      <c r="V1021" s="105"/>
      <c r="W1021" s="105"/>
      <c r="X1021" s="105"/>
      <c r="Y1021" s="105"/>
      <c r="Z1021" s="105"/>
    </row>
    <row r="1022">
      <c r="A1022" s="105"/>
      <c r="B1022" s="105"/>
      <c r="C1022" s="105"/>
      <c r="D1022" s="105"/>
      <c r="E1022" s="105"/>
      <c r="F1022" s="105"/>
      <c r="G1022" s="105"/>
      <c r="H1022" s="105"/>
      <c r="I1022" s="105"/>
      <c r="J1022" s="105"/>
      <c r="K1022" s="105"/>
      <c r="L1022" s="105"/>
      <c r="M1022" s="105"/>
      <c r="N1022" s="105"/>
      <c r="O1022" s="105"/>
      <c r="P1022" s="105" t="str">
        <f>IFERROR(__xludf.DUMMYFUNCTION("""COMPUTED_VALUE"""),"suggestion::refactoring::(change::type::method)")</f>
        <v>suggestion::refactoring::(change::type::method)</v>
      </c>
      <c r="Q1022" s="105"/>
      <c r="R1022" s="105"/>
      <c r="S1022" s="105"/>
      <c r="T1022" s="105"/>
      <c r="U1022" s="105"/>
      <c r="V1022" s="105"/>
      <c r="W1022" s="105"/>
      <c r="X1022" s="105"/>
      <c r="Y1022" s="105"/>
      <c r="Z1022" s="105"/>
    </row>
    <row r="1023">
      <c r="A1023" s="105"/>
      <c r="B1023" s="105"/>
      <c r="C1023" s="105"/>
      <c r="D1023" s="105"/>
      <c r="E1023" s="105"/>
      <c r="F1023" s="105"/>
      <c r="G1023" s="105"/>
      <c r="H1023" s="105"/>
      <c r="I1023" s="105"/>
      <c r="J1023" s="105"/>
      <c r="K1023" s="105"/>
      <c r="L1023" s="105"/>
      <c r="M1023" s="105"/>
      <c r="N1023" s="105"/>
      <c r="O1023" s="105"/>
      <c r="P1023" s="105" t="str">
        <f>IFERROR(__xludf.DUMMYFUNCTION("""COMPUTED_VALUE"""),"suggestion::refactoring::(change::used::class)")</f>
        <v>suggestion::refactoring::(change::used::class)</v>
      </c>
      <c r="Q1023" s="105"/>
      <c r="R1023" s="105"/>
      <c r="S1023" s="105"/>
      <c r="T1023" s="105"/>
      <c r="U1023" s="105"/>
      <c r="V1023" s="105"/>
      <c r="W1023" s="105"/>
      <c r="X1023" s="105"/>
      <c r="Y1023" s="105"/>
      <c r="Z1023" s="105"/>
    </row>
    <row r="1024">
      <c r="A1024" s="105"/>
      <c r="B1024" s="105"/>
      <c r="C1024" s="105"/>
      <c r="D1024" s="105"/>
      <c r="E1024" s="105"/>
      <c r="F1024" s="105"/>
      <c r="G1024" s="105"/>
      <c r="H1024" s="105"/>
      <c r="I1024" s="105"/>
      <c r="J1024" s="105"/>
      <c r="K1024" s="105"/>
      <c r="L1024" s="105"/>
      <c r="M1024" s="105"/>
      <c r="N1024" s="105"/>
      <c r="O1024" s="105"/>
      <c r="P1024" s="105" t="str">
        <f>IFERROR(__xludf.DUMMYFUNCTION("""COMPUTED_VALUE"""),"suggestion::refactoring::(change::wrapper)")</f>
        <v>suggestion::refactoring::(change::wrapper)</v>
      </c>
      <c r="Q1024" s="105"/>
      <c r="R1024" s="105"/>
      <c r="S1024" s="105"/>
      <c r="T1024" s="105"/>
      <c r="U1024" s="105"/>
      <c r="V1024" s="105"/>
      <c r="W1024" s="105"/>
      <c r="X1024" s="105"/>
      <c r="Y1024" s="105"/>
      <c r="Z1024" s="105"/>
    </row>
    <row r="1025">
      <c r="A1025" s="105"/>
      <c r="B1025" s="105"/>
      <c r="C1025" s="105"/>
      <c r="D1025" s="105"/>
      <c r="E1025" s="105"/>
      <c r="F1025" s="105"/>
      <c r="G1025" s="105"/>
      <c r="H1025" s="105"/>
      <c r="I1025" s="105"/>
      <c r="J1025" s="105"/>
      <c r="K1025" s="105"/>
      <c r="L1025" s="105"/>
      <c r="M1025" s="105"/>
      <c r="N1025" s="105"/>
      <c r="O1025" s="105"/>
      <c r="P1025" s="105" t="str">
        <f>IFERROR(__xludf.DUMMYFUNCTION("""COMPUTED_VALUE"""),"suggestion::refactoring::(cleaner::code)")</f>
        <v>suggestion::refactoring::(cleaner::code)</v>
      </c>
      <c r="Q1025" s="105"/>
      <c r="R1025" s="105"/>
      <c r="S1025" s="105"/>
      <c r="T1025" s="105"/>
      <c r="U1025" s="105"/>
      <c r="V1025" s="105"/>
      <c r="W1025" s="105"/>
      <c r="X1025" s="105"/>
      <c r="Y1025" s="105"/>
      <c r="Z1025" s="105"/>
    </row>
    <row r="1026">
      <c r="A1026" s="105"/>
      <c r="B1026" s="105"/>
      <c r="C1026" s="105"/>
      <c r="D1026" s="105"/>
      <c r="E1026" s="105"/>
      <c r="F1026" s="105"/>
      <c r="G1026" s="105"/>
      <c r="H1026" s="105"/>
      <c r="I1026" s="105"/>
      <c r="J1026" s="105"/>
      <c r="K1026" s="105"/>
      <c r="L1026" s="105"/>
      <c r="M1026" s="105"/>
      <c r="N1026" s="105"/>
      <c r="O1026" s="105"/>
      <c r="P1026" s="105" t="str">
        <f>IFERROR(__xludf.DUMMYFUNCTION("""COMPUTED_VALUE"""),"suggestion::refactoring::(cleaner::code)::with::code")</f>
        <v>suggestion::refactoring::(cleaner::code)::with::code</v>
      </c>
      <c r="Q1026" s="105"/>
      <c r="R1026" s="105"/>
      <c r="S1026" s="105"/>
      <c r="T1026" s="105"/>
      <c r="U1026" s="105"/>
      <c r="V1026" s="105"/>
      <c r="W1026" s="105"/>
      <c r="X1026" s="105"/>
      <c r="Y1026" s="105"/>
      <c r="Z1026" s="105"/>
    </row>
    <row r="1027">
      <c r="A1027" s="105"/>
      <c r="B1027" s="105"/>
      <c r="C1027" s="105"/>
      <c r="D1027" s="105"/>
      <c r="E1027" s="105"/>
      <c r="F1027" s="105"/>
      <c r="G1027" s="105"/>
      <c r="H1027" s="105"/>
      <c r="I1027" s="105"/>
      <c r="J1027" s="105"/>
      <c r="K1027" s="105"/>
      <c r="L1027" s="105"/>
      <c r="M1027" s="105"/>
      <c r="N1027" s="105"/>
      <c r="O1027" s="105"/>
      <c r="P1027" s="105" t="str">
        <f>IFERROR(__xludf.DUMMYFUNCTION("""COMPUTED_VALUE"""),"suggestion::refactoring::(clearer::code)")</f>
        <v>suggestion::refactoring::(clearer::code)</v>
      </c>
      <c r="Q1027" s="105"/>
      <c r="R1027" s="105"/>
      <c r="S1027" s="105"/>
      <c r="T1027" s="105"/>
      <c r="U1027" s="105"/>
      <c r="V1027" s="105"/>
      <c r="W1027" s="105"/>
      <c r="X1027" s="105"/>
      <c r="Y1027" s="105"/>
      <c r="Z1027" s="105"/>
    </row>
    <row r="1028">
      <c r="A1028" s="105"/>
      <c r="B1028" s="105"/>
      <c r="C1028" s="105"/>
      <c r="D1028" s="105"/>
      <c r="E1028" s="105"/>
      <c r="F1028" s="105"/>
      <c r="G1028" s="105"/>
      <c r="H1028" s="105"/>
      <c r="I1028" s="105"/>
      <c r="J1028" s="105"/>
      <c r="K1028" s="105"/>
      <c r="L1028" s="105"/>
      <c r="M1028" s="105"/>
      <c r="N1028" s="105"/>
      <c r="O1028" s="105"/>
      <c r="P1028" s="105" t="str">
        <f>IFERROR(__xludf.DUMMYFUNCTION("""COMPUTED_VALUE"""),"suggestion::refactoring::(code::wont::work)")</f>
        <v>suggestion::refactoring::(code::wont::work)</v>
      </c>
      <c r="Q1028" s="105"/>
      <c r="R1028" s="105"/>
      <c r="S1028" s="105"/>
      <c r="T1028" s="105"/>
      <c r="U1028" s="105"/>
      <c r="V1028" s="105"/>
      <c r="W1028" s="105"/>
      <c r="X1028" s="105"/>
      <c r="Y1028" s="105"/>
      <c r="Z1028" s="105"/>
    </row>
    <row r="1029">
      <c r="A1029" s="105"/>
      <c r="B1029" s="105"/>
      <c r="C1029" s="105"/>
      <c r="D1029" s="105"/>
      <c r="E1029" s="105"/>
      <c r="F1029" s="105"/>
      <c r="G1029" s="105"/>
      <c r="H1029" s="105"/>
      <c r="I1029" s="105"/>
      <c r="J1029" s="105"/>
      <c r="K1029" s="105"/>
      <c r="L1029" s="105"/>
      <c r="M1029" s="105"/>
      <c r="N1029" s="105"/>
      <c r="O1029" s="105"/>
      <c r="P1029" s="105" t="str">
        <f>IFERROR(__xludf.DUMMYFUNCTION("""COMPUTED_VALUE"""),"suggestion::refactoring::(comparison::operators)")</f>
        <v>suggestion::refactoring::(comparison::operators)</v>
      </c>
      <c r="Q1029" s="105"/>
      <c r="R1029" s="105"/>
      <c r="S1029" s="105"/>
      <c r="T1029" s="105"/>
      <c r="U1029" s="105"/>
      <c r="V1029" s="105"/>
      <c r="W1029" s="105"/>
      <c r="X1029" s="105"/>
      <c r="Y1029" s="105"/>
      <c r="Z1029" s="105"/>
    </row>
    <row r="1030">
      <c r="A1030" s="105"/>
      <c r="B1030" s="105"/>
      <c r="C1030" s="105"/>
      <c r="D1030" s="105"/>
      <c r="E1030" s="105"/>
      <c r="F1030" s="105"/>
      <c r="G1030" s="105"/>
      <c r="H1030" s="105"/>
      <c r="I1030" s="105"/>
      <c r="J1030" s="105"/>
      <c r="K1030" s="105"/>
      <c r="L1030" s="105"/>
      <c r="M1030" s="105"/>
      <c r="N1030" s="105"/>
      <c r="O1030" s="105"/>
      <c r="P1030" s="105" t="str">
        <f>IFERROR(__xludf.DUMMYFUNCTION("""COMPUTED_VALUE"""),"suggestion::refactoring::(conditional::with::exception)")</f>
        <v>suggestion::refactoring::(conditional::with::exception)</v>
      </c>
      <c r="Q1030" s="105"/>
      <c r="R1030" s="105"/>
      <c r="S1030" s="105"/>
      <c r="T1030" s="105"/>
      <c r="U1030" s="105"/>
      <c r="V1030" s="105"/>
      <c r="W1030" s="105"/>
      <c r="X1030" s="105"/>
      <c r="Y1030" s="105"/>
      <c r="Z1030" s="105"/>
    </row>
    <row r="1031">
      <c r="A1031" s="105"/>
      <c r="B1031" s="105"/>
      <c r="C1031" s="105"/>
      <c r="D1031" s="105"/>
      <c r="E1031" s="105"/>
      <c r="F1031" s="105"/>
      <c r="G1031" s="105"/>
      <c r="H1031" s="105"/>
      <c r="I1031" s="105"/>
      <c r="J1031" s="105"/>
      <c r="K1031" s="105"/>
      <c r="L1031" s="105"/>
      <c r="M1031" s="105"/>
      <c r="N1031" s="105"/>
      <c r="O1031" s="105"/>
      <c r="P1031" s="105" t="str">
        <f>IFERROR(__xludf.DUMMYFUNCTION("""COMPUTED_VALUE"""),"suggestion::refactoring::(conditional::with::interface)")</f>
        <v>suggestion::refactoring::(conditional::with::interface)</v>
      </c>
      <c r="Q1031" s="105"/>
      <c r="R1031" s="105"/>
      <c r="S1031" s="105"/>
      <c r="T1031" s="105"/>
      <c r="U1031" s="105"/>
      <c r="V1031" s="105"/>
      <c r="W1031" s="105"/>
      <c r="X1031" s="105"/>
      <c r="Y1031" s="105"/>
      <c r="Z1031" s="105"/>
    </row>
    <row r="1032">
      <c r="A1032" s="105"/>
      <c r="B1032" s="105"/>
      <c r="C1032" s="105"/>
      <c r="D1032" s="105"/>
      <c r="E1032" s="105"/>
      <c r="F1032" s="105"/>
      <c r="G1032" s="105"/>
      <c r="H1032" s="105"/>
      <c r="I1032" s="105"/>
      <c r="J1032" s="105"/>
      <c r="K1032" s="105"/>
      <c r="L1032" s="105"/>
      <c r="M1032" s="105"/>
      <c r="N1032" s="105"/>
      <c r="O1032" s="105"/>
      <c r="P1032" s="105" t="str">
        <f>IFERROR(__xludf.DUMMYFUNCTION("""COMPUTED_VALUE"""),"suggestion::refactoring::(conditional::with::return)")</f>
        <v>suggestion::refactoring::(conditional::with::return)</v>
      </c>
      <c r="Q1032" s="105"/>
      <c r="R1032" s="105"/>
      <c r="S1032" s="105"/>
      <c r="T1032" s="105"/>
      <c r="U1032" s="105"/>
      <c r="V1032" s="105"/>
      <c r="W1032" s="105"/>
      <c r="X1032" s="105"/>
      <c r="Y1032" s="105"/>
      <c r="Z1032" s="105"/>
    </row>
    <row r="1033">
      <c r="A1033" s="105"/>
      <c r="B1033" s="105"/>
      <c r="C1033" s="105"/>
      <c r="D1033" s="105"/>
      <c r="E1033" s="105"/>
      <c r="F1033" s="105"/>
      <c r="G1033" s="105"/>
      <c r="H1033" s="105"/>
      <c r="I1033" s="105"/>
      <c r="J1033" s="105"/>
      <c r="K1033" s="105"/>
      <c r="L1033" s="105"/>
      <c r="M1033" s="105"/>
      <c r="N1033" s="105"/>
      <c r="O1033" s="105"/>
      <c r="P1033" s="105" t="str">
        <f>IFERROR(__xludf.DUMMYFUNCTION("""COMPUTED_VALUE"""),"suggestion::refactoring::(config::file::new::group)")</f>
        <v>suggestion::refactoring::(config::file::new::group)</v>
      </c>
      <c r="Q1033" s="105"/>
      <c r="R1033" s="105"/>
      <c r="S1033" s="105"/>
      <c r="T1033" s="105"/>
      <c r="U1033" s="105"/>
      <c r="V1033" s="105"/>
      <c r="W1033" s="105"/>
      <c r="X1033" s="105"/>
      <c r="Y1033" s="105"/>
      <c r="Z1033" s="105"/>
    </row>
    <row r="1034">
      <c r="A1034" s="105"/>
      <c r="B1034" s="105"/>
      <c r="C1034" s="105"/>
      <c r="D1034" s="105"/>
      <c r="E1034" s="105"/>
      <c r="F1034" s="105"/>
      <c r="G1034" s="105"/>
      <c r="H1034" s="105"/>
      <c r="I1034" s="105"/>
      <c r="J1034" s="105"/>
      <c r="K1034" s="105"/>
      <c r="L1034" s="105"/>
      <c r="M1034" s="105"/>
      <c r="N1034" s="105"/>
      <c r="O1034" s="105"/>
      <c r="P1034" s="105" t="str">
        <f>IFERROR(__xludf.DUMMYFUNCTION("""COMPUTED_VALUE"""),"suggestion::refactoring::(consistency::docstring)")</f>
        <v>suggestion::refactoring::(consistency::docstring)</v>
      </c>
      <c r="Q1034" s="105"/>
      <c r="R1034" s="105"/>
      <c r="S1034" s="105"/>
      <c r="T1034" s="105"/>
      <c r="U1034" s="105"/>
      <c r="V1034" s="105"/>
      <c r="W1034" s="105"/>
      <c r="X1034" s="105"/>
      <c r="Y1034" s="105"/>
      <c r="Z1034" s="105"/>
    </row>
    <row r="1035">
      <c r="A1035" s="105"/>
      <c r="B1035" s="105"/>
      <c r="C1035" s="105"/>
      <c r="D1035" s="105"/>
      <c r="E1035" s="105"/>
      <c r="F1035" s="105"/>
      <c r="G1035" s="105"/>
      <c r="H1035" s="105"/>
      <c r="I1035" s="105"/>
      <c r="J1035" s="105"/>
      <c r="K1035" s="105"/>
      <c r="L1035" s="105"/>
      <c r="M1035" s="105"/>
      <c r="N1035" s="105"/>
      <c r="O1035" s="105"/>
      <c r="P1035" s="105" t="str">
        <f>IFERROR(__xludf.DUMMYFUNCTION("""COMPUTED_VALUE"""),"suggestion::refactoring::(consistency)")</f>
        <v>suggestion::refactoring::(consistency)</v>
      </c>
      <c r="Q1035" s="105"/>
      <c r="R1035" s="105"/>
      <c r="S1035" s="105"/>
      <c r="T1035" s="105"/>
      <c r="U1035" s="105"/>
      <c r="V1035" s="105"/>
      <c r="W1035" s="105"/>
      <c r="X1035" s="105"/>
      <c r="Y1035" s="105"/>
      <c r="Z1035" s="105"/>
    </row>
    <row r="1036">
      <c r="A1036" s="105"/>
      <c r="B1036" s="105"/>
      <c r="C1036" s="105"/>
      <c r="D1036" s="105"/>
      <c r="E1036" s="105"/>
      <c r="F1036" s="105"/>
      <c r="G1036" s="105"/>
      <c r="H1036" s="105"/>
      <c r="I1036" s="105"/>
      <c r="J1036" s="105"/>
      <c r="K1036" s="105"/>
      <c r="L1036" s="105"/>
      <c r="M1036" s="105"/>
      <c r="N1036" s="105"/>
      <c r="O1036" s="105"/>
      <c r="P1036" s="105" t="str">
        <f>IFERROR(__xludf.DUMMYFUNCTION("""COMPUTED_VALUE"""),"suggestion::refactoring::(encription::type)")</f>
        <v>suggestion::refactoring::(encription::type)</v>
      </c>
      <c r="Q1036" s="105"/>
      <c r="R1036" s="105"/>
      <c r="S1036" s="105"/>
      <c r="T1036" s="105"/>
      <c r="U1036" s="105"/>
      <c r="V1036" s="105"/>
      <c r="W1036" s="105"/>
      <c r="X1036" s="105"/>
      <c r="Y1036" s="105"/>
      <c r="Z1036" s="105"/>
    </row>
    <row r="1037">
      <c r="A1037" s="105"/>
      <c r="B1037" s="105"/>
      <c r="C1037" s="105"/>
      <c r="D1037" s="105"/>
      <c r="E1037" s="105"/>
      <c r="F1037" s="105"/>
      <c r="G1037" s="105"/>
      <c r="H1037" s="105"/>
      <c r="I1037" s="105"/>
      <c r="J1037" s="105"/>
      <c r="K1037" s="105"/>
      <c r="L1037" s="105"/>
      <c r="M1037" s="105"/>
      <c r="N1037" s="105"/>
      <c r="O1037" s="105"/>
      <c r="P1037" s="105" t="str">
        <f>IFERROR(__xludf.DUMMYFUNCTION("""COMPUTED_VALUE"""),"suggestion::refactoring::(extensibility::code)")</f>
        <v>suggestion::refactoring::(extensibility::code)</v>
      </c>
      <c r="Q1037" s="105"/>
      <c r="R1037" s="105"/>
      <c r="S1037" s="105"/>
      <c r="T1037" s="105"/>
      <c r="U1037" s="105"/>
      <c r="V1037" s="105"/>
      <c r="W1037" s="105"/>
      <c r="X1037" s="105"/>
      <c r="Y1037" s="105"/>
      <c r="Z1037" s="105"/>
    </row>
    <row r="1038">
      <c r="A1038" s="105"/>
      <c r="B1038" s="105"/>
      <c r="C1038" s="105"/>
      <c r="D1038" s="105"/>
      <c r="E1038" s="105"/>
      <c r="F1038" s="105"/>
      <c r="G1038" s="105"/>
      <c r="H1038" s="105"/>
      <c r="I1038" s="105"/>
      <c r="J1038" s="105"/>
      <c r="K1038" s="105"/>
      <c r="L1038" s="105"/>
      <c r="M1038" s="105"/>
      <c r="N1038" s="105"/>
      <c r="O1038" s="105"/>
      <c r="P1038" s="105" t="str">
        <f>IFERROR(__xludf.DUMMYFUNCTION("""COMPUTED_VALUE"""),"suggestion::refactoring::(extract::method)")</f>
        <v>suggestion::refactoring::(extract::method)</v>
      </c>
      <c r="Q1038" s="105"/>
      <c r="R1038" s="105"/>
      <c r="S1038" s="105"/>
      <c r="T1038" s="105"/>
      <c r="U1038" s="105"/>
      <c r="V1038" s="105"/>
      <c r="W1038" s="105"/>
      <c r="X1038" s="105"/>
      <c r="Y1038" s="105"/>
      <c r="Z1038" s="105"/>
    </row>
    <row r="1039">
      <c r="A1039" s="105"/>
      <c r="B1039" s="105"/>
      <c r="C1039" s="105"/>
      <c r="D1039" s="105"/>
      <c r="E1039" s="105"/>
      <c r="F1039" s="105"/>
      <c r="G1039" s="105"/>
      <c r="H1039" s="105"/>
      <c r="I1039" s="105"/>
      <c r="J1039" s="105"/>
      <c r="K1039" s="105"/>
      <c r="L1039" s="105"/>
      <c r="M1039" s="105"/>
      <c r="N1039" s="105"/>
      <c r="O1039" s="105"/>
      <c r="P1039" s="105" t="str">
        <f>IFERROR(__xludf.DUMMYFUNCTION("""COMPUTED_VALUE"""),"suggestion::refactoring::(extract::method)::with::code")</f>
        <v>suggestion::refactoring::(extract::method)::with::code</v>
      </c>
      <c r="Q1039" s="105"/>
      <c r="R1039" s="105"/>
      <c r="S1039" s="105"/>
      <c r="T1039" s="105"/>
      <c r="U1039" s="105"/>
      <c r="V1039" s="105"/>
      <c r="W1039" s="105"/>
      <c r="X1039" s="105"/>
      <c r="Y1039" s="105"/>
      <c r="Z1039" s="105"/>
    </row>
    <row r="1040">
      <c r="A1040" s="105"/>
      <c r="B1040" s="105"/>
      <c r="C1040" s="105"/>
      <c r="D1040" s="105"/>
      <c r="E1040" s="105"/>
      <c r="F1040" s="105"/>
      <c r="G1040" s="105"/>
      <c r="H1040" s="105"/>
      <c r="I1040" s="105"/>
      <c r="J1040" s="105"/>
      <c r="K1040" s="105"/>
      <c r="L1040" s="105"/>
      <c r="M1040" s="105"/>
      <c r="N1040" s="105"/>
      <c r="O1040" s="105"/>
      <c r="P1040" s="105" t="str">
        <f>IFERROR(__xludf.DUMMYFUNCTION("""COMPUTED_VALUE"""),"suggestion::refactoring::(extract::sub::classes)")</f>
        <v>suggestion::refactoring::(extract::sub::classes)</v>
      </c>
      <c r="Q1040" s="105"/>
      <c r="R1040" s="105"/>
      <c r="S1040" s="105"/>
      <c r="T1040" s="105"/>
      <c r="U1040" s="105"/>
      <c r="V1040" s="105"/>
      <c r="W1040" s="105"/>
      <c r="X1040" s="105"/>
      <c r="Y1040" s="105"/>
      <c r="Z1040" s="105"/>
    </row>
    <row r="1041">
      <c r="A1041" s="105"/>
      <c r="B1041" s="105"/>
      <c r="C1041" s="105"/>
      <c r="D1041" s="105"/>
      <c r="E1041" s="105"/>
      <c r="F1041" s="105"/>
      <c r="G1041" s="105"/>
      <c r="H1041" s="105"/>
      <c r="I1041" s="105"/>
      <c r="J1041" s="105"/>
      <c r="K1041" s="105"/>
      <c r="L1041" s="105"/>
      <c r="M1041" s="105"/>
      <c r="N1041" s="105"/>
      <c r="O1041" s="105"/>
      <c r="P1041" s="105" t="str">
        <f>IFERROR(__xludf.DUMMYFUNCTION("""COMPUTED_VALUE"""),"suggestion::refactoring::(fixed::values::config::init)")</f>
        <v>suggestion::refactoring::(fixed::values::config::init)</v>
      </c>
      <c r="Q1041" s="105"/>
      <c r="R1041" s="105"/>
      <c r="S1041" s="105"/>
      <c r="T1041" s="105"/>
      <c r="U1041" s="105"/>
      <c r="V1041" s="105"/>
      <c r="W1041" s="105"/>
      <c r="X1041" s="105"/>
      <c r="Y1041" s="105"/>
      <c r="Z1041" s="105"/>
    </row>
    <row r="1042">
      <c r="A1042" s="105"/>
      <c r="B1042" s="105"/>
      <c r="C1042" s="105"/>
      <c r="D1042" s="105"/>
      <c r="E1042" s="105"/>
      <c r="F1042" s="105"/>
      <c r="G1042" s="105"/>
      <c r="H1042" s="105"/>
      <c r="I1042" s="105"/>
      <c r="J1042" s="105"/>
      <c r="K1042" s="105"/>
      <c r="L1042" s="105"/>
      <c r="M1042" s="105"/>
      <c r="N1042" s="105"/>
      <c r="O1042" s="105"/>
      <c r="P1042" s="105" t="str">
        <f>IFERROR(__xludf.DUMMYFUNCTION("""COMPUTED_VALUE"""),"suggestion::refactoring::(fixed::values::security)")</f>
        <v>suggestion::refactoring::(fixed::values::security)</v>
      </c>
      <c r="Q1042" s="105"/>
      <c r="R1042" s="105"/>
      <c r="S1042" s="105"/>
      <c r="T1042" s="105"/>
      <c r="U1042" s="105"/>
      <c r="V1042" s="105"/>
      <c r="W1042" s="105"/>
      <c r="X1042" s="105"/>
      <c r="Y1042" s="105"/>
      <c r="Z1042" s="105"/>
    </row>
    <row r="1043">
      <c r="A1043" s="105"/>
      <c r="B1043" s="105"/>
      <c r="C1043" s="105"/>
      <c r="D1043" s="105"/>
      <c r="E1043" s="105"/>
      <c r="F1043" s="105"/>
      <c r="G1043" s="105"/>
      <c r="H1043" s="105"/>
      <c r="I1043" s="105"/>
      <c r="J1043" s="105"/>
      <c r="K1043" s="105"/>
      <c r="L1043" s="105"/>
      <c r="M1043" s="105"/>
      <c r="N1043" s="105"/>
      <c r="O1043" s="105"/>
      <c r="P1043" s="105" t="str">
        <f>IFERROR(__xludf.DUMMYFUNCTION("""COMPUTED_VALUE"""),"suggestion::refactoring::(function::parameters)")</f>
        <v>suggestion::refactoring::(function::parameters)</v>
      </c>
      <c r="Q1043" s="105"/>
      <c r="R1043" s="105"/>
      <c r="S1043" s="105"/>
      <c r="T1043" s="105"/>
      <c r="U1043" s="105"/>
      <c r="V1043" s="105"/>
      <c r="W1043" s="105"/>
      <c r="X1043" s="105"/>
      <c r="Y1043" s="105"/>
      <c r="Z1043" s="105"/>
    </row>
    <row r="1044">
      <c r="A1044" s="105"/>
      <c r="B1044" s="105"/>
      <c r="C1044" s="105"/>
      <c r="D1044" s="105"/>
      <c r="E1044" s="105"/>
      <c r="F1044" s="105"/>
      <c r="G1044" s="105"/>
      <c r="H1044" s="105"/>
      <c r="I1044" s="105"/>
      <c r="J1044" s="105"/>
      <c r="K1044" s="105"/>
      <c r="L1044" s="105"/>
      <c r="M1044" s="105"/>
      <c r="N1044" s="105"/>
      <c r="O1044" s="105"/>
      <c r="P1044" s="105" t="str">
        <f>IFERROR(__xludf.DUMMYFUNCTION("""COMPUTED_VALUE"""),"suggestion::refactoring::(how::often::log)")</f>
        <v>suggestion::refactoring::(how::often::log)</v>
      </c>
      <c r="Q1044" s="105"/>
      <c r="R1044" s="105"/>
      <c r="S1044" s="105"/>
      <c r="T1044" s="105"/>
      <c r="U1044" s="105"/>
      <c r="V1044" s="105"/>
      <c r="W1044" s="105"/>
      <c r="X1044" s="105"/>
      <c r="Y1044" s="105"/>
      <c r="Z1044" s="105"/>
    </row>
    <row r="1045">
      <c r="A1045" s="105"/>
      <c r="B1045" s="105"/>
      <c r="C1045" s="105"/>
      <c r="D1045" s="105"/>
      <c r="E1045" s="105"/>
      <c r="F1045" s="105"/>
      <c r="G1045" s="105"/>
      <c r="H1045" s="105"/>
      <c r="I1045" s="105"/>
      <c r="J1045" s="105"/>
      <c r="K1045" s="105"/>
      <c r="L1045" s="105"/>
      <c r="M1045" s="105"/>
      <c r="N1045" s="105"/>
      <c r="O1045" s="105"/>
      <c r="P1045" s="105" t="str">
        <f>IFERROR(__xludf.DUMMYFUNCTION("""COMPUTED_VALUE"""),"suggestion::refactoring::(import::modules::not::objects)")</f>
        <v>suggestion::refactoring::(import::modules::not::objects)</v>
      </c>
      <c r="Q1045" s="105"/>
      <c r="R1045" s="105"/>
      <c r="S1045" s="105"/>
      <c r="T1045" s="105"/>
      <c r="U1045" s="105"/>
      <c r="V1045" s="105"/>
      <c r="W1045" s="105"/>
      <c r="X1045" s="105"/>
      <c r="Y1045" s="105"/>
      <c r="Z1045" s="105"/>
    </row>
    <row r="1046">
      <c r="A1046" s="105"/>
      <c r="B1046" s="105"/>
      <c r="C1046" s="105"/>
      <c r="D1046" s="105"/>
      <c r="E1046" s="105"/>
      <c r="F1046" s="105"/>
      <c r="G1046" s="105"/>
      <c r="H1046" s="105"/>
      <c r="I1046" s="105"/>
      <c r="J1046" s="105"/>
      <c r="K1046" s="105"/>
      <c r="L1046" s="105"/>
      <c r="M1046" s="105"/>
      <c r="N1046" s="105"/>
      <c r="O1046" s="105"/>
      <c r="P1046" s="105" t="str">
        <f>IFERROR(__xludf.DUMMYFUNCTION("""COMPUTED_VALUE"""),"suggestion::refactoring::(inline::temp::method)")</f>
        <v>suggestion::refactoring::(inline::temp::method)</v>
      </c>
      <c r="Q1046" s="105"/>
      <c r="R1046" s="105"/>
      <c r="S1046" s="105"/>
      <c r="T1046" s="105"/>
      <c r="U1046" s="105"/>
      <c r="V1046" s="105"/>
      <c r="W1046" s="105"/>
      <c r="X1046" s="105"/>
      <c r="Y1046" s="105"/>
      <c r="Z1046" s="105"/>
    </row>
    <row r="1047">
      <c r="A1047" s="105"/>
      <c r="B1047" s="105"/>
      <c r="C1047" s="105"/>
      <c r="D1047" s="105"/>
      <c r="E1047" s="105"/>
      <c r="F1047" s="105"/>
      <c r="G1047" s="105"/>
      <c r="H1047" s="105"/>
      <c r="I1047" s="105"/>
      <c r="J1047" s="105"/>
      <c r="K1047" s="105"/>
      <c r="L1047" s="105"/>
      <c r="M1047" s="105"/>
      <c r="N1047" s="105"/>
      <c r="O1047" s="105"/>
      <c r="P1047" s="105" t="str">
        <f>IFERROR(__xludf.DUMMYFUNCTION("""COMPUTED_VALUE"""),"suggestion::refactoring::(introduce::parameter::defaults)")</f>
        <v>suggestion::refactoring::(introduce::parameter::defaults)</v>
      </c>
      <c r="Q1047" s="105"/>
      <c r="R1047" s="105"/>
      <c r="S1047" s="105"/>
      <c r="T1047" s="105"/>
      <c r="U1047" s="105"/>
      <c r="V1047" s="105"/>
      <c r="W1047" s="105"/>
      <c r="X1047" s="105"/>
      <c r="Y1047" s="105"/>
      <c r="Z1047" s="105"/>
    </row>
    <row r="1048">
      <c r="A1048" s="105"/>
      <c r="B1048" s="105"/>
      <c r="C1048" s="105"/>
      <c r="D1048" s="105"/>
      <c r="E1048" s="105"/>
      <c r="F1048" s="105"/>
      <c r="G1048" s="105"/>
      <c r="H1048" s="105"/>
      <c r="I1048" s="105"/>
      <c r="J1048" s="105"/>
      <c r="K1048" s="105"/>
      <c r="L1048" s="105"/>
      <c r="M1048" s="105"/>
      <c r="N1048" s="105"/>
      <c r="O1048" s="105"/>
      <c r="P1048" s="105" t="str">
        <f>IFERROR(__xludf.DUMMYFUNCTION("""COMPUTED_VALUE"""),"suggestion::refactoring::(introduce::parameter::object)")</f>
        <v>suggestion::refactoring::(introduce::parameter::object)</v>
      </c>
      <c r="Q1048" s="105"/>
      <c r="R1048" s="105"/>
      <c r="S1048" s="105"/>
      <c r="T1048" s="105"/>
      <c r="U1048" s="105"/>
      <c r="V1048" s="105"/>
      <c r="W1048" s="105"/>
      <c r="X1048" s="105"/>
      <c r="Y1048" s="105"/>
      <c r="Z1048" s="105"/>
    </row>
    <row r="1049">
      <c r="A1049" s="105"/>
      <c r="B1049" s="105"/>
      <c r="C1049" s="105"/>
      <c r="D1049" s="105"/>
      <c r="E1049" s="105"/>
      <c r="F1049" s="105"/>
      <c r="G1049" s="105"/>
      <c r="H1049" s="105"/>
      <c r="I1049" s="105"/>
      <c r="J1049" s="105"/>
      <c r="K1049" s="105"/>
      <c r="L1049" s="105"/>
      <c r="M1049" s="105"/>
      <c r="N1049" s="105"/>
      <c r="O1049" s="105"/>
      <c r="P1049" s="105" t="str">
        <f>IFERROR(__xludf.DUMMYFUNCTION("""COMPUTED_VALUE"""),"suggestion::refactoring::(linting)")</f>
        <v>suggestion::refactoring::(linting)</v>
      </c>
      <c r="Q1049" s="105"/>
      <c r="R1049" s="105"/>
      <c r="S1049" s="105"/>
      <c r="T1049" s="105"/>
      <c r="U1049" s="105"/>
      <c r="V1049" s="105"/>
      <c r="W1049" s="105"/>
      <c r="X1049" s="105"/>
      <c r="Y1049" s="105"/>
      <c r="Z1049" s="105"/>
    </row>
    <row r="1050">
      <c r="A1050" s="105"/>
      <c r="B1050" s="105"/>
      <c r="C1050" s="105"/>
      <c r="D1050" s="105"/>
      <c r="E1050" s="105"/>
      <c r="F1050" s="105"/>
      <c r="G1050" s="105"/>
      <c r="H1050" s="105"/>
      <c r="I1050" s="105"/>
      <c r="J1050" s="105"/>
      <c r="K1050" s="105"/>
      <c r="L1050" s="105"/>
      <c r="M1050" s="105"/>
      <c r="N1050" s="105"/>
      <c r="O1050" s="105"/>
      <c r="P1050" s="105" t="str">
        <f>IFERROR(__xludf.DUMMYFUNCTION("""COMPUTED_VALUE"""),"suggestion::refactoring::(merge::methods)")</f>
        <v>suggestion::refactoring::(merge::methods)</v>
      </c>
      <c r="Q1050" s="105"/>
      <c r="R1050" s="105"/>
      <c r="S1050" s="105"/>
      <c r="T1050" s="105"/>
      <c r="U1050" s="105"/>
      <c r="V1050" s="105"/>
      <c r="W1050" s="105"/>
      <c r="X1050" s="105"/>
      <c r="Y1050" s="105"/>
      <c r="Z1050" s="105"/>
    </row>
    <row r="1051">
      <c r="A1051" s="105"/>
      <c r="B1051" s="105"/>
      <c r="C1051" s="105"/>
      <c r="D1051" s="105"/>
      <c r="E1051" s="105"/>
      <c r="F1051" s="105"/>
      <c r="G1051" s="105"/>
      <c r="H1051" s="105"/>
      <c r="I1051" s="105"/>
      <c r="J1051" s="105"/>
      <c r="K1051" s="105"/>
      <c r="L1051" s="105"/>
      <c r="M1051" s="105"/>
      <c r="N1051" s="105"/>
      <c r="O1051" s="105"/>
      <c r="P1051" s="105" t="str">
        <f>IFERROR(__xludf.DUMMYFUNCTION("""COMPUTED_VALUE"""),"suggestion::refactoring::(move::logic::creation::module)")</f>
        <v>suggestion::refactoring::(move::logic::creation::module)</v>
      </c>
      <c r="Q1051" s="105"/>
      <c r="R1051" s="105"/>
      <c r="S1051" s="105"/>
      <c r="T1051" s="105"/>
      <c r="U1051" s="105"/>
      <c r="V1051" s="105"/>
      <c r="W1051" s="105"/>
      <c r="X1051" s="105"/>
      <c r="Y1051" s="105"/>
      <c r="Z1051" s="105"/>
    </row>
    <row r="1052">
      <c r="A1052" s="105"/>
      <c r="B1052" s="105"/>
      <c r="C1052" s="105"/>
      <c r="D1052" s="105"/>
      <c r="E1052" s="105"/>
      <c r="F1052" s="105"/>
      <c r="G1052" s="105"/>
      <c r="H1052" s="105"/>
      <c r="I1052" s="105"/>
      <c r="J1052" s="105"/>
      <c r="K1052" s="105"/>
      <c r="L1052" s="105"/>
      <c r="M1052" s="105"/>
      <c r="N1052" s="105"/>
      <c r="O1052" s="105"/>
      <c r="P1052" s="105" t="str">
        <f>IFERROR(__xludf.DUMMYFUNCTION("""COMPUTED_VALUE"""),"suggestion::refactoring::(move::logic::parent::class::instead::of::sub::classes)")</f>
        <v>suggestion::refactoring::(move::logic::parent::class::instead::of::sub::classes)</v>
      </c>
      <c r="Q1052" s="105"/>
      <c r="R1052" s="105"/>
      <c r="S1052" s="105"/>
      <c r="T1052" s="105"/>
      <c r="U1052" s="105"/>
      <c r="V1052" s="105"/>
      <c r="W1052" s="105"/>
      <c r="X1052" s="105"/>
      <c r="Y1052" s="105"/>
      <c r="Z1052" s="105"/>
    </row>
    <row r="1053">
      <c r="A1053" s="105"/>
      <c r="B1053" s="105"/>
      <c r="C1053" s="105"/>
      <c r="D1053" s="105"/>
      <c r="E1053" s="105"/>
      <c r="F1053" s="105"/>
      <c r="G1053" s="105"/>
      <c r="H1053" s="105"/>
      <c r="I1053" s="105"/>
      <c r="J1053" s="105"/>
      <c r="K1053" s="105"/>
      <c r="L1053" s="105"/>
      <c r="M1053" s="105"/>
      <c r="N1053" s="105"/>
      <c r="O1053" s="105"/>
      <c r="P1053" s="105" t="str">
        <f>IFERROR(__xludf.DUMMYFUNCTION("""COMPUTED_VALUE"""),"suggestion::refactoring::(move::logic:.config)")</f>
        <v>suggestion::refactoring::(move::logic:.config)</v>
      </c>
      <c r="Q1053" s="105"/>
      <c r="R1053" s="105"/>
      <c r="S1053" s="105"/>
      <c r="T1053" s="105"/>
      <c r="U1053" s="105"/>
      <c r="V1053" s="105"/>
      <c r="W1053" s="105"/>
      <c r="X1053" s="105"/>
      <c r="Y1053" s="105"/>
      <c r="Z1053" s="105"/>
    </row>
    <row r="1054">
      <c r="A1054" s="105"/>
      <c r="B1054" s="105"/>
      <c r="C1054" s="105"/>
      <c r="D1054" s="105"/>
      <c r="E1054" s="105"/>
      <c r="F1054" s="105"/>
      <c r="G1054" s="105"/>
      <c r="H1054" s="105"/>
      <c r="I1054" s="105"/>
      <c r="J1054" s="105"/>
      <c r="K1054" s="105"/>
      <c r="L1054" s="105"/>
      <c r="M1054" s="105"/>
      <c r="N1054" s="105"/>
      <c r="O1054" s="105"/>
      <c r="P1054" s="105" t="str">
        <f>IFERROR(__xludf.DUMMYFUNCTION("""COMPUTED_VALUE"""),"suggestion::refactoring::(move::logic)")</f>
        <v>suggestion::refactoring::(move::logic)</v>
      </c>
      <c r="Q1054" s="105"/>
      <c r="R1054" s="105"/>
      <c r="S1054" s="105"/>
      <c r="T1054" s="105"/>
      <c r="U1054" s="105"/>
      <c r="V1054" s="105"/>
      <c r="W1054" s="105"/>
      <c r="X1054" s="105"/>
      <c r="Y1054" s="105"/>
      <c r="Z1054" s="105"/>
    </row>
    <row r="1055">
      <c r="A1055" s="105"/>
      <c r="B1055" s="105"/>
      <c r="C1055" s="105"/>
      <c r="D1055" s="105"/>
      <c r="E1055" s="105"/>
      <c r="F1055" s="105"/>
      <c r="G1055" s="105"/>
      <c r="H1055" s="105"/>
      <c r="I1055" s="105"/>
      <c r="J1055" s="105"/>
      <c r="K1055" s="105"/>
      <c r="L1055" s="105"/>
      <c r="M1055" s="105"/>
      <c r="N1055" s="105"/>
      <c r="O1055" s="105"/>
      <c r="P1055" s="105" t="str">
        <f>IFERROR(__xludf.DUMMYFUNCTION("""COMPUTED_VALUE"""),"suggestion::refactoring::(naming::class)")</f>
        <v>suggestion::refactoring::(naming::class)</v>
      </c>
      <c r="Q1055" s="105"/>
      <c r="R1055" s="105"/>
      <c r="S1055" s="105"/>
      <c r="T1055" s="105"/>
      <c r="U1055" s="105"/>
      <c r="V1055" s="105"/>
      <c r="W1055" s="105"/>
      <c r="X1055" s="105"/>
      <c r="Y1055" s="105"/>
      <c r="Z1055" s="105"/>
    </row>
    <row r="1056">
      <c r="A1056" s="105"/>
      <c r="B1056" s="105"/>
      <c r="C1056" s="105"/>
      <c r="D1056" s="105"/>
      <c r="E1056" s="105"/>
      <c r="F1056" s="105"/>
      <c r="G1056" s="105"/>
      <c r="H1056" s="105"/>
      <c r="I1056" s="105"/>
      <c r="J1056" s="105"/>
      <c r="K1056" s="105"/>
      <c r="L1056" s="105"/>
      <c r="M1056" s="105"/>
      <c r="N1056" s="105"/>
      <c r="O1056" s="105"/>
      <c r="P1056" s="105" t="str">
        <f>IFERROR(__xludf.DUMMYFUNCTION("""COMPUTED_VALUE"""),"suggestion::refactoring::(naming::function)")</f>
        <v>suggestion::refactoring::(naming::function)</v>
      </c>
      <c r="Q1056" s="105"/>
      <c r="R1056" s="105"/>
      <c r="S1056" s="105"/>
      <c r="T1056" s="105"/>
      <c r="U1056" s="105"/>
      <c r="V1056" s="105"/>
      <c r="W1056" s="105"/>
      <c r="X1056" s="105"/>
      <c r="Y1056" s="105"/>
      <c r="Z1056" s="105"/>
    </row>
    <row r="1057">
      <c r="A1057" s="105"/>
      <c r="B1057" s="105"/>
      <c r="C1057" s="105"/>
      <c r="D1057" s="105"/>
      <c r="E1057" s="105"/>
      <c r="F1057" s="105"/>
      <c r="G1057" s="105"/>
      <c r="H1057" s="105"/>
      <c r="I1057" s="105"/>
      <c r="J1057" s="105"/>
      <c r="K1057" s="105"/>
      <c r="L1057" s="105"/>
      <c r="M1057" s="105"/>
      <c r="N1057" s="105"/>
      <c r="O1057" s="105"/>
      <c r="P1057" s="105" t="str">
        <f>IFERROR(__xludf.DUMMYFUNCTION("""COMPUTED_VALUE"""),"suggestion::refactoring::(naming::variable)")</f>
        <v>suggestion::refactoring::(naming::variable)</v>
      </c>
      <c r="Q1057" s="105"/>
      <c r="R1057" s="105"/>
      <c r="S1057" s="105"/>
      <c r="T1057" s="105"/>
      <c r="U1057" s="105"/>
      <c r="V1057" s="105"/>
      <c r="W1057" s="105"/>
      <c r="X1057" s="105"/>
      <c r="Y1057" s="105"/>
      <c r="Z1057" s="105"/>
    </row>
    <row r="1058">
      <c r="A1058" s="105"/>
      <c r="B1058" s="105"/>
      <c r="C1058" s="105"/>
      <c r="D1058" s="105"/>
      <c r="E1058" s="105"/>
      <c r="F1058" s="105"/>
      <c r="G1058" s="105"/>
      <c r="H1058" s="105"/>
      <c r="I1058" s="105"/>
      <c r="J1058" s="105"/>
      <c r="K1058" s="105"/>
      <c r="L1058" s="105"/>
      <c r="M1058" s="105"/>
      <c r="N1058" s="105"/>
      <c r="O1058" s="105"/>
      <c r="P1058" s="105" t="str">
        <f>IFERROR(__xludf.DUMMYFUNCTION("""COMPUTED_VALUE"""),"suggestion::refactoring::(naming)")</f>
        <v>suggestion::refactoring::(naming)</v>
      </c>
      <c r="Q1058" s="105"/>
      <c r="R1058" s="105"/>
      <c r="S1058" s="105"/>
      <c r="T1058" s="105"/>
      <c r="U1058" s="105"/>
      <c r="V1058" s="105"/>
      <c r="W1058" s="105"/>
      <c r="X1058" s="105"/>
      <c r="Y1058" s="105"/>
      <c r="Z1058" s="105"/>
    </row>
    <row r="1059">
      <c r="A1059" s="105"/>
      <c r="B1059" s="105"/>
      <c r="C1059" s="105"/>
      <c r="D1059" s="105"/>
      <c r="E1059" s="105"/>
      <c r="F1059" s="105"/>
      <c r="G1059" s="105"/>
      <c r="H1059" s="105"/>
      <c r="I1059" s="105"/>
      <c r="J1059" s="105"/>
      <c r="K1059" s="105"/>
      <c r="L1059" s="105"/>
      <c r="M1059" s="105"/>
      <c r="N1059" s="105"/>
      <c r="O1059" s="105"/>
      <c r="P1059" s="105" t="str">
        <f>IFERROR(__xludf.DUMMYFUNCTION("""COMPUTED_VALUE"""),"suggestion::refactoring::(not::access::the::raw::key)")</f>
        <v>suggestion::refactoring::(not::access::the::raw::key)</v>
      </c>
      <c r="Q1059" s="105"/>
      <c r="R1059" s="105"/>
      <c r="S1059" s="105"/>
      <c r="T1059" s="105"/>
      <c r="U1059" s="105"/>
      <c r="V1059" s="105"/>
      <c r="W1059" s="105"/>
      <c r="X1059" s="105"/>
      <c r="Y1059" s="105"/>
      <c r="Z1059" s="105"/>
    </row>
    <row r="1060">
      <c r="A1060" s="105"/>
      <c r="B1060" s="105"/>
      <c r="C1060" s="105"/>
      <c r="D1060" s="105"/>
      <c r="E1060" s="105"/>
      <c r="F1060" s="105"/>
      <c r="G1060" s="105"/>
      <c r="H1060" s="105"/>
      <c r="I1060" s="105"/>
      <c r="J1060" s="105"/>
      <c r="K1060" s="105"/>
      <c r="L1060" s="105"/>
      <c r="M1060" s="105"/>
      <c r="N1060" s="105"/>
      <c r="O1060" s="105"/>
      <c r="P1060" s="105" t="str">
        <f>IFERROR(__xludf.DUMMYFUNCTION("""COMPUTED_VALUE"""),"suggestion::refactoring::(not::use::mock::object)")</f>
        <v>suggestion::refactoring::(not::use::mock::object)</v>
      </c>
      <c r="Q1060" s="105"/>
      <c r="R1060" s="105"/>
      <c r="S1060" s="105"/>
      <c r="T1060" s="105"/>
      <c r="U1060" s="105"/>
      <c r="V1060" s="105"/>
      <c r="W1060" s="105"/>
      <c r="X1060" s="105"/>
      <c r="Y1060" s="105"/>
      <c r="Z1060" s="105"/>
    </row>
    <row r="1061">
      <c r="A1061" s="105"/>
      <c r="B1061" s="105"/>
      <c r="C1061" s="105"/>
      <c r="D1061" s="105"/>
      <c r="E1061" s="105"/>
      <c r="F1061" s="105"/>
      <c r="G1061" s="105"/>
      <c r="H1061" s="105"/>
      <c r="I1061" s="105"/>
      <c r="J1061" s="105"/>
      <c r="K1061" s="105"/>
      <c r="L1061" s="105"/>
      <c r="M1061" s="105"/>
      <c r="N1061" s="105"/>
      <c r="O1061" s="105"/>
      <c r="P1061" s="105" t="str">
        <f>IFERROR(__xludf.DUMMYFUNCTION("""COMPUTED_VALUE"""),"suggestion::refactoring::(optional::improvement)")</f>
        <v>suggestion::refactoring::(optional::improvement)</v>
      </c>
      <c r="Q1061" s="105"/>
      <c r="R1061" s="105"/>
      <c r="S1061" s="105"/>
      <c r="T1061" s="105"/>
      <c r="U1061" s="105"/>
      <c r="V1061" s="105"/>
      <c r="W1061" s="105"/>
      <c r="X1061" s="105"/>
      <c r="Y1061" s="105"/>
      <c r="Z1061" s="105"/>
    </row>
    <row r="1062">
      <c r="A1062" s="105"/>
      <c r="B1062" s="105"/>
      <c r="C1062" s="105"/>
      <c r="D1062" s="105"/>
      <c r="E1062" s="105"/>
      <c r="F1062" s="105"/>
      <c r="G1062" s="105"/>
      <c r="H1062" s="105"/>
      <c r="I1062" s="105"/>
      <c r="J1062" s="105"/>
      <c r="K1062" s="105"/>
      <c r="L1062" s="105"/>
      <c r="M1062" s="105"/>
      <c r="N1062" s="105"/>
      <c r="O1062" s="105"/>
      <c r="P1062" s="105" t="str">
        <f>IFERROR(__xludf.DUMMYFUNCTION("""COMPUTED_VALUE"""),"suggestion::refactoring::(performance)")</f>
        <v>suggestion::refactoring::(performance)</v>
      </c>
      <c r="Q1062" s="105"/>
      <c r="R1062" s="105"/>
      <c r="S1062" s="105"/>
      <c r="T1062" s="105"/>
      <c r="U1062" s="105"/>
      <c r="V1062" s="105"/>
      <c r="W1062" s="105"/>
      <c r="X1062" s="105"/>
      <c r="Y1062" s="105"/>
      <c r="Z1062" s="105"/>
    </row>
    <row r="1063">
      <c r="A1063" s="105"/>
      <c r="B1063" s="105"/>
      <c r="C1063" s="105"/>
      <c r="D1063" s="105"/>
      <c r="E1063" s="105"/>
      <c r="F1063" s="105"/>
      <c r="G1063" s="105"/>
      <c r="H1063" s="105"/>
      <c r="I1063" s="105"/>
      <c r="J1063" s="105"/>
      <c r="K1063" s="105"/>
      <c r="L1063" s="105"/>
      <c r="M1063" s="105"/>
      <c r="N1063" s="105"/>
      <c r="O1063" s="105"/>
      <c r="P1063" s="105" t="str">
        <f>IFERROR(__xludf.DUMMYFUNCTION("""COMPUTED_VALUE"""),"suggestion::refactoring::(performance)::with::code")</f>
        <v>suggestion::refactoring::(performance)::with::code</v>
      </c>
      <c r="Q1063" s="105"/>
      <c r="R1063" s="105"/>
      <c r="S1063" s="105"/>
      <c r="T1063" s="105"/>
      <c r="U1063" s="105"/>
      <c r="V1063" s="105"/>
      <c r="W1063" s="105"/>
      <c r="X1063" s="105"/>
      <c r="Y1063" s="105"/>
      <c r="Z1063" s="105"/>
    </row>
    <row r="1064">
      <c r="A1064" s="105"/>
      <c r="B1064" s="105"/>
      <c r="C1064" s="105"/>
      <c r="D1064" s="105"/>
      <c r="E1064" s="105"/>
      <c r="F1064" s="105"/>
      <c r="G1064" s="105"/>
      <c r="H1064" s="105"/>
      <c r="I1064" s="105"/>
      <c r="J1064" s="105"/>
      <c r="K1064" s="105"/>
      <c r="L1064" s="105"/>
      <c r="M1064" s="105"/>
      <c r="N1064" s="105"/>
      <c r="O1064" s="105"/>
      <c r="P1064" s="105" t="str">
        <f>IFERROR(__xludf.DUMMYFUNCTION("""COMPUTED_VALUE"""),"suggestion::refactoring::(refactoring::extract::classes)")</f>
        <v>suggestion::refactoring::(refactoring::extract::classes)</v>
      </c>
      <c r="Q1064" s="105"/>
      <c r="R1064" s="105"/>
      <c r="S1064" s="105"/>
      <c r="T1064" s="105"/>
      <c r="U1064" s="105"/>
      <c r="V1064" s="105"/>
      <c r="W1064" s="105"/>
      <c r="X1064" s="105"/>
      <c r="Y1064" s="105"/>
      <c r="Z1064" s="105"/>
    </row>
    <row r="1065">
      <c r="A1065" s="105"/>
      <c r="B1065" s="105"/>
      <c r="C1065" s="105"/>
      <c r="D1065" s="105"/>
      <c r="E1065" s="105"/>
      <c r="F1065" s="105"/>
      <c r="G1065" s="105"/>
      <c r="H1065" s="105"/>
      <c r="I1065" s="105"/>
      <c r="J1065" s="105"/>
      <c r="K1065" s="105"/>
      <c r="L1065" s="105"/>
      <c r="M1065" s="105"/>
      <c r="N1065" s="105"/>
      <c r="O1065" s="105"/>
      <c r="P1065" s="105" t="str">
        <f>IFERROR(__xludf.DUMMYFUNCTION("""COMPUTED_VALUE"""),"suggestion::refactoring::(remove::parameter::defaults)")</f>
        <v>suggestion::refactoring::(remove::parameter::defaults)</v>
      </c>
      <c r="Q1065" s="105"/>
      <c r="R1065" s="105"/>
      <c r="S1065" s="105"/>
      <c r="T1065" s="105"/>
      <c r="U1065" s="105"/>
      <c r="V1065" s="105"/>
      <c r="W1065" s="105"/>
      <c r="X1065" s="105"/>
      <c r="Y1065" s="105"/>
      <c r="Z1065" s="105"/>
    </row>
    <row r="1066">
      <c r="A1066" s="105"/>
      <c r="B1066" s="105"/>
      <c r="C1066" s="105"/>
      <c r="D1066" s="105"/>
      <c r="E1066" s="105"/>
      <c r="F1066" s="105"/>
      <c r="G1066" s="105"/>
      <c r="H1066" s="105"/>
      <c r="I1066" s="105"/>
      <c r="J1066" s="105"/>
      <c r="K1066" s="105"/>
      <c r="L1066" s="105"/>
      <c r="M1066" s="105"/>
      <c r="N1066" s="105"/>
      <c r="O1066" s="105"/>
      <c r="P1066" s="105" t="str">
        <f>IFERROR(__xludf.DUMMYFUNCTION("""COMPUTED_VALUE"""),"suggestion::refactoring::(remove::unnecessary::parameter)")</f>
        <v>suggestion::refactoring::(remove::unnecessary::parameter)</v>
      </c>
      <c r="Q1066" s="105"/>
      <c r="R1066" s="105"/>
      <c r="S1066" s="105"/>
      <c r="T1066" s="105"/>
      <c r="U1066" s="105"/>
      <c r="V1066" s="105"/>
      <c r="W1066" s="105"/>
      <c r="X1066" s="105"/>
      <c r="Y1066" s="105"/>
      <c r="Z1066" s="105"/>
    </row>
    <row r="1067">
      <c r="A1067" s="105"/>
      <c r="B1067" s="105"/>
      <c r="C1067" s="105"/>
      <c r="D1067" s="105"/>
      <c r="E1067" s="105"/>
      <c r="F1067" s="105"/>
      <c r="G1067" s="105"/>
      <c r="H1067" s="105"/>
      <c r="I1067" s="105"/>
      <c r="J1067" s="105"/>
      <c r="K1067" s="105"/>
      <c r="L1067" s="105"/>
      <c r="M1067" s="105"/>
      <c r="N1067" s="105"/>
      <c r="O1067" s="105"/>
      <c r="P1067" s="105" t="str">
        <f>IFERROR(__xludf.DUMMYFUNCTION("""COMPUTED_VALUE"""),"suggestion::refactoring::(removing::commented:.code)")</f>
        <v>suggestion::refactoring::(removing::commented:.code)</v>
      </c>
      <c r="Q1067" s="105"/>
      <c r="R1067" s="105"/>
      <c r="S1067" s="105"/>
      <c r="T1067" s="105"/>
      <c r="U1067" s="105"/>
      <c r="V1067" s="105"/>
      <c r="W1067" s="105"/>
      <c r="X1067" s="105"/>
      <c r="Y1067" s="105"/>
      <c r="Z1067" s="105"/>
    </row>
    <row r="1068">
      <c r="A1068" s="105"/>
      <c r="B1068" s="105"/>
      <c r="C1068" s="105"/>
      <c r="D1068" s="105"/>
      <c r="E1068" s="105"/>
      <c r="F1068" s="105"/>
      <c r="G1068" s="105"/>
      <c r="H1068" s="105"/>
      <c r="I1068" s="105"/>
      <c r="J1068" s="105"/>
      <c r="K1068" s="105"/>
      <c r="L1068" s="105"/>
      <c r="M1068" s="105"/>
      <c r="N1068" s="105"/>
      <c r="O1068" s="105"/>
      <c r="P1068" s="105" t="str">
        <f>IFERROR(__xludf.DUMMYFUNCTION("""COMPUTED_VALUE"""),"suggestion::refactoring::(removing::not::thread::safe::code)")</f>
        <v>suggestion::refactoring::(removing::not::thread::safe::code)</v>
      </c>
      <c r="Q1068" s="105"/>
      <c r="R1068" s="105"/>
      <c r="S1068" s="105"/>
      <c r="T1068" s="105"/>
      <c r="U1068" s="105"/>
      <c r="V1068" s="105"/>
      <c r="W1068" s="105"/>
      <c r="X1068" s="105"/>
      <c r="Y1068" s="105"/>
      <c r="Z1068" s="105"/>
    </row>
    <row r="1069">
      <c r="A1069" s="105"/>
      <c r="B1069" s="105"/>
      <c r="C1069" s="105"/>
      <c r="D1069" s="105"/>
      <c r="E1069" s="105"/>
      <c r="F1069" s="105"/>
      <c r="G1069" s="105"/>
      <c r="H1069" s="105"/>
      <c r="I1069" s="105"/>
      <c r="J1069" s="105"/>
      <c r="K1069" s="105"/>
      <c r="L1069" s="105"/>
      <c r="M1069" s="105"/>
      <c r="N1069" s="105"/>
      <c r="O1069" s="105"/>
      <c r="P1069" s="105" t="str">
        <f>IFERROR(__xludf.DUMMYFUNCTION("""COMPUTED_VALUE"""),"suggestion::refactoring::(removing::unnecessary::code)")</f>
        <v>suggestion::refactoring::(removing::unnecessary::code)</v>
      </c>
      <c r="Q1069" s="105"/>
      <c r="R1069" s="105"/>
      <c r="S1069" s="105"/>
      <c r="T1069" s="105"/>
      <c r="U1069" s="105"/>
      <c r="V1069" s="105"/>
      <c r="W1069" s="105"/>
      <c r="X1069" s="105"/>
      <c r="Y1069" s="105"/>
      <c r="Z1069" s="105"/>
    </row>
    <row r="1070">
      <c r="A1070" s="105"/>
      <c r="B1070" s="105"/>
      <c r="C1070" s="105"/>
      <c r="D1070" s="105"/>
      <c r="E1070" s="105"/>
      <c r="F1070" s="105"/>
      <c r="G1070" s="105"/>
      <c r="H1070" s="105"/>
      <c r="I1070" s="105"/>
      <c r="J1070" s="105"/>
      <c r="K1070" s="105"/>
      <c r="L1070" s="105"/>
      <c r="M1070" s="105"/>
      <c r="N1070" s="105"/>
      <c r="O1070" s="105"/>
      <c r="P1070" s="105" t="str">
        <f>IFERROR(__xludf.DUMMYFUNCTION("""COMPUTED_VALUE"""),"suggestion::refactoring::(removing::unnecessary::code)::with::code")</f>
        <v>suggestion::refactoring::(removing::unnecessary::code)::with::code</v>
      </c>
      <c r="Q1070" s="105"/>
      <c r="R1070" s="105"/>
      <c r="S1070" s="105"/>
      <c r="T1070" s="105"/>
      <c r="U1070" s="105"/>
      <c r="V1070" s="105"/>
      <c r="W1070" s="105"/>
      <c r="X1070" s="105"/>
      <c r="Y1070" s="105"/>
      <c r="Z1070" s="105"/>
    </row>
    <row r="1071">
      <c r="A1071" s="105"/>
      <c r="B1071" s="105"/>
      <c r="C1071" s="105"/>
      <c r="D1071" s="105"/>
      <c r="E1071" s="105"/>
      <c r="F1071" s="105"/>
      <c r="G1071" s="105"/>
      <c r="H1071" s="105"/>
      <c r="I1071" s="105"/>
      <c r="J1071" s="105"/>
      <c r="K1071" s="105"/>
      <c r="L1071" s="105"/>
      <c r="M1071" s="105"/>
      <c r="N1071" s="105"/>
      <c r="O1071" s="105"/>
      <c r="P1071" s="105" t="str">
        <f>IFERROR(__xludf.DUMMYFUNCTION("""COMPUTED_VALUE"""),"suggestion::refactoring::(removing::unnecessary::constructor)")</f>
        <v>suggestion::refactoring::(removing::unnecessary::constructor)</v>
      </c>
      <c r="Q1071" s="105"/>
      <c r="R1071" s="105"/>
      <c r="S1071" s="105"/>
      <c r="T1071" s="105"/>
      <c r="U1071" s="105"/>
      <c r="V1071" s="105"/>
      <c r="W1071" s="105"/>
      <c r="X1071" s="105"/>
      <c r="Y1071" s="105"/>
      <c r="Z1071" s="105"/>
    </row>
    <row r="1072">
      <c r="A1072" s="105"/>
      <c r="B1072" s="105"/>
      <c r="C1072" s="105"/>
      <c r="D1072" s="105"/>
      <c r="E1072" s="105"/>
      <c r="F1072" s="105"/>
      <c r="G1072" s="105"/>
      <c r="H1072" s="105"/>
      <c r="I1072" s="105"/>
      <c r="J1072" s="105"/>
      <c r="K1072" s="105"/>
      <c r="L1072" s="105"/>
      <c r="M1072" s="105"/>
      <c r="N1072" s="105"/>
      <c r="O1072" s="105"/>
      <c r="P1072" s="105" t="str">
        <f>IFERROR(__xludf.DUMMYFUNCTION("""COMPUTED_VALUE"""),"suggestion::refactoring::(removing::unnecessary::variable)")</f>
        <v>suggestion::refactoring::(removing::unnecessary::variable)</v>
      </c>
      <c r="Q1072" s="105"/>
      <c r="R1072" s="105"/>
      <c r="S1072" s="105"/>
      <c r="T1072" s="105"/>
      <c r="U1072" s="105"/>
      <c r="V1072" s="105"/>
      <c r="W1072" s="105"/>
      <c r="X1072" s="105"/>
      <c r="Y1072" s="105"/>
      <c r="Z1072" s="105"/>
    </row>
    <row r="1073">
      <c r="A1073" s="105"/>
      <c r="B1073" s="105"/>
      <c r="C1073" s="105"/>
      <c r="D1073" s="105"/>
      <c r="E1073" s="105"/>
      <c r="F1073" s="105"/>
      <c r="G1073" s="105"/>
      <c r="H1073" s="105"/>
      <c r="I1073" s="105"/>
      <c r="J1073" s="105"/>
      <c r="K1073" s="105"/>
      <c r="L1073" s="105"/>
      <c r="M1073" s="105"/>
      <c r="N1073" s="105"/>
      <c r="O1073" s="105"/>
      <c r="P1073" s="105" t="str">
        <f>IFERROR(__xludf.DUMMYFUNCTION("""COMPUTED_VALUE"""),"suggestion::refactoring::(renaming::function/method)")</f>
        <v>suggestion::refactoring::(renaming::function/method)</v>
      </c>
      <c r="Q1073" s="105"/>
      <c r="R1073" s="105"/>
      <c r="S1073" s="105"/>
      <c r="T1073" s="105"/>
      <c r="U1073" s="105"/>
      <c r="V1073" s="105"/>
      <c r="W1073" s="105"/>
      <c r="X1073" s="105"/>
      <c r="Y1073" s="105"/>
      <c r="Z1073" s="105"/>
    </row>
    <row r="1074">
      <c r="A1074" s="105"/>
      <c r="B1074" s="105"/>
      <c r="C1074" s="105"/>
      <c r="D1074" s="105"/>
      <c r="E1074" s="105"/>
      <c r="F1074" s="105"/>
      <c r="G1074" s="105"/>
      <c r="H1074" s="105"/>
      <c r="I1074" s="105"/>
      <c r="J1074" s="105"/>
      <c r="K1074" s="105"/>
      <c r="L1074" s="105"/>
      <c r="M1074" s="105"/>
      <c r="N1074" s="105"/>
      <c r="O1074" s="105"/>
      <c r="P1074" s="105" t="str">
        <f>IFERROR(__xludf.DUMMYFUNCTION("""COMPUTED_VALUE"""),"suggestion::refactoring::(renaming)")</f>
        <v>suggestion::refactoring::(renaming)</v>
      </c>
      <c r="Q1074" s="105"/>
      <c r="R1074" s="105"/>
      <c r="S1074" s="105"/>
      <c r="T1074" s="105"/>
      <c r="U1074" s="105"/>
      <c r="V1074" s="105"/>
      <c r="W1074" s="105"/>
      <c r="X1074" s="105"/>
      <c r="Y1074" s="105"/>
      <c r="Z1074" s="105"/>
    </row>
    <row r="1075">
      <c r="A1075" s="105"/>
      <c r="B1075" s="105"/>
      <c r="C1075" s="105"/>
      <c r="D1075" s="105"/>
      <c r="E1075" s="105"/>
      <c r="F1075" s="105"/>
      <c r="G1075" s="105"/>
      <c r="H1075" s="105"/>
      <c r="I1075" s="105"/>
      <c r="J1075" s="105"/>
      <c r="K1075" s="105"/>
      <c r="L1075" s="105"/>
      <c r="M1075" s="105"/>
      <c r="N1075" s="105"/>
      <c r="O1075" s="105"/>
      <c r="P1075" s="105" t="str">
        <f>IFERROR(__xludf.DUMMYFUNCTION("""COMPUTED_VALUE"""),"suggestion::refactoring::(replace::context::with::decorator)")</f>
        <v>suggestion::refactoring::(replace::context::with::decorator)</v>
      </c>
      <c r="Q1075" s="105"/>
      <c r="R1075" s="105"/>
      <c r="S1075" s="105"/>
      <c r="T1075" s="105"/>
      <c r="U1075" s="105"/>
      <c r="V1075" s="105"/>
      <c r="W1075" s="105"/>
      <c r="X1075" s="105"/>
      <c r="Y1075" s="105"/>
      <c r="Z1075" s="105"/>
    </row>
    <row r="1076">
      <c r="A1076" s="105"/>
      <c r="B1076" s="105"/>
      <c r="C1076" s="105"/>
      <c r="D1076" s="105"/>
      <c r="E1076" s="105"/>
      <c r="F1076" s="105"/>
      <c r="G1076" s="105"/>
      <c r="H1076" s="105"/>
      <c r="I1076" s="105"/>
      <c r="J1076" s="105"/>
      <c r="K1076" s="105"/>
      <c r="L1076" s="105"/>
      <c r="M1076" s="105"/>
      <c r="N1076" s="105"/>
      <c r="O1076" s="105"/>
      <c r="P1076" s="105" t="str">
        <f>IFERROR(__xludf.DUMMYFUNCTION("""COMPUTED_VALUE"""),"suggestion::refactoring::(reverting::unnecessary::changes)")</f>
        <v>suggestion::refactoring::(reverting::unnecessary::changes)</v>
      </c>
      <c r="Q1076" s="105"/>
      <c r="R1076" s="105"/>
      <c r="S1076" s="105"/>
      <c r="T1076" s="105"/>
      <c r="U1076" s="105"/>
      <c r="V1076" s="105"/>
      <c r="W1076" s="105"/>
      <c r="X1076" s="105"/>
      <c r="Y1076" s="105"/>
      <c r="Z1076" s="105"/>
    </row>
    <row r="1077">
      <c r="A1077" s="105"/>
      <c r="B1077" s="105"/>
      <c r="C1077" s="105"/>
      <c r="D1077" s="105"/>
      <c r="E1077" s="105"/>
      <c r="F1077" s="105"/>
      <c r="G1077" s="105"/>
      <c r="H1077" s="105"/>
      <c r="I1077" s="105"/>
      <c r="J1077" s="105"/>
      <c r="K1077" s="105"/>
      <c r="L1077" s="105"/>
      <c r="M1077" s="105"/>
      <c r="N1077" s="105"/>
      <c r="O1077" s="105"/>
      <c r="P1077" s="105" t="str">
        <f>IFERROR(__xludf.DUMMYFUNCTION("""COMPUTED_VALUE"""),"suggestion::refactoring::(simpler::code)")</f>
        <v>suggestion::refactoring::(simpler::code)</v>
      </c>
      <c r="Q1077" s="105"/>
      <c r="R1077" s="105"/>
      <c r="S1077" s="105"/>
      <c r="T1077" s="105"/>
      <c r="U1077" s="105"/>
      <c r="V1077" s="105"/>
      <c r="W1077" s="105"/>
      <c r="X1077" s="105"/>
      <c r="Y1077" s="105"/>
      <c r="Z1077" s="105"/>
    </row>
    <row r="1078">
      <c r="A1078" s="105"/>
      <c r="B1078" s="105"/>
      <c r="C1078" s="105"/>
      <c r="D1078" s="105"/>
      <c r="E1078" s="105"/>
      <c r="F1078" s="105"/>
      <c r="G1078" s="105"/>
      <c r="H1078" s="105"/>
      <c r="I1078" s="105"/>
      <c r="J1078" s="105"/>
      <c r="K1078" s="105"/>
      <c r="L1078" s="105"/>
      <c r="M1078" s="105"/>
      <c r="N1078" s="105"/>
      <c r="O1078" s="105"/>
      <c r="P1078" s="105" t="str">
        <f>IFERROR(__xludf.DUMMYFUNCTION("""COMPUTED_VALUE"""),"suggestion::refactoring::(simpler::code)::with::code")</f>
        <v>suggestion::refactoring::(simpler::code)::with::code</v>
      </c>
      <c r="Q1078" s="105"/>
      <c r="R1078" s="105"/>
      <c r="S1078" s="105"/>
      <c r="T1078" s="105"/>
      <c r="U1078" s="105"/>
      <c r="V1078" s="105"/>
      <c r="W1078" s="105"/>
      <c r="X1078" s="105"/>
      <c r="Y1078" s="105"/>
      <c r="Z1078" s="105"/>
    </row>
    <row r="1079">
      <c r="A1079" s="105"/>
      <c r="B1079" s="105"/>
      <c r="C1079" s="105"/>
      <c r="D1079" s="105"/>
      <c r="E1079" s="105"/>
      <c r="F1079" s="105"/>
      <c r="G1079" s="105"/>
      <c r="H1079" s="105"/>
      <c r="I1079" s="105"/>
      <c r="J1079" s="105"/>
      <c r="K1079" s="105"/>
      <c r="L1079" s="105"/>
      <c r="M1079" s="105"/>
      <c r="N1079" s="105"/>
      <c r="O1079" s="105"/>
      <c r="P1079" s="105" t="str">
        <f>IFERROR(__xludf.DUMMYFUNCTION("""COMPUTED_VALUE"""),"suggestion::refactoring::(split::method::test)")</f>
        <v>suggestion::refactoring::(split::method::test)</v>
      </c>
      <c r="Q1079" s="105"/>
      <c r="R1079" s="105"/>
      <c r="S1079" s="105"/>
      <c r="T1079" s="105"/>
      <c r="U1079" s="105"/>
      <c r="V1079" s="105"/>
      <c r="W1079" s="105"/>
      <c r="X1079" s="105"/>
      <c r="Y1079" s="105"/>
      <c r="Z1079" s="105"/>
    </row>
    <row r="1080">
      <c r="A1080" s="105"/>
      <c r="B1080" s="105"/>
      <c r="C1080" s="105"/>
      <c r="D1080" s="105"/>
      <c r="E1080" s="105"/>
      <c r="F1080" s="105"/>
      <c r="G1080" s="105"/>
      <c r="H1080" s="105"/>
      <c r="I1080" s="105"/>
      <c r="J1080" s="105"/>
      <c r="K1080" s="105"/>
      <c r="L1080" s="105"/>
      <c r="M1080" s="105"/>
      <c r="N1080" s="105"/>
      <c r="O1080" s="105"/>
      <c r="P1080" s="105" t="str">
        <f>IFERROR(__xludf.DUMMYFUNCTION("""COMPUTED_VALUE"""),"suggestion::refactoring::(split::method)")</f>
        <v>suggestion::refactoring::(split::method)</v>
      </c>
      <c r="Q1080" s="105"/>
      <c r="R1080" s="105"/>
      <c r="S1080" s="105"/>
      <c r="T1080" s="105"/>
      <c r="U1080" s="105"/>
      <c r="V1080" s="105"/>
      <c r="W1080" s="105"/>
      <c r="X1080" s="105"/>
      <c r="Y1080" s="105"/>
      <c r="Z1080" s="105"/>
    </row>
    <row r="1081">
      <c r="A1081" s="105"/>
      <c r="B1081" s="105"/>
      <c r="C1081" s="105"/>
      <c r="D1081" s="105"/>
      <c r="E1081" s="105"/>
      <c r="F1081" s="105"/>
      <c r="G1081" s="105"/>
      <c r="H1081" s="105"/>
      <c r="I1081" s="105"/>
      <c r="J1081" s="105"/>
      <c r="K1081" s="105"/>
      <c r="L1081" s="105"/>
      <c r="M1081" s="105"/>
      <c r="N1081" s="105"/>
      <c r="O1081" s="105"/>
      <c r="P1081" s="105" t="str">
        <f>IFERROR(__xludf.DUMMYFUNCTION("""COMPUTED_VALUE"""),"suggestion::refactoring::(steps::to::accomplish::it)")</f>
        <v>suggestion::refactoring::(steps::to::accomplish::it)</v>
      </c>
      <c r="Q1081" s="105"/>
      <c r="R1081" s="105"/>
      <c r="S1081" s="105"/>
      <c r="T1081" s="105"/>
      <c r="U1081" s="105"/>
      <c r="V1081" s="105"/>
      <c r="W1081" s="105"/>
      <c r="X1081" s="105"/>
      <c r="Y1081" s="105"/>
      <c r="Z1081" s="105"/>
    </row>
    <row r="1082">
      <c r="A1082" s="105"/>
      <c r="B1082" s="105"/>
      <c r="C1082" s="105"/>
      <c r="D1082" s="105"/>
      <c r="E1082" s="105"/>
      <c r="F1082" s="105"/>
      <c r="G1082" s="105"/>
      <c r="H1082" s="105"/>
      <c r="I1082" s="105"/>
      <c r="J1082" s="105"/>
      <c r="K1082" s="105"/>
      <c r="L1082" s="105"/>
      <c r="M1082" s="105"/>
      <c r="N1082" s="105"/>
      <c r="O1082" s="105"/>
      <c r="P1082" s="105" t="str">
        <f>IFERROR(__xludf.DUMMYFUNCTION("""COMPUTED_VALUE"""),"suggestion::refactoring::(steps::to::accomplish::it)::with::code")</f>
        <v>suggestion::refactoring::(steps::to::accomplish::it)::with::code</v>
      </c>
      <c r="Q1082" s="105"/>
      <c r="R1082" s="105"/>
      <c r="S1082" s="105"/>
      <c r="T1082" s="105"/>
      <c r="U1082" s="105"/>
      <c r="V1082" s="105"/>
      <c r="W1082" s="105"/>
      <c r="X1082" s="105"/>
      <c r="Y1082" s="105"/>
      <c r="Z1082" s="105"/>
    </row>
    <row r="1083">
      <c r="A1083" s="105"/>
      <c r="B1083" s="105"/>
      <c r="C1083" s="105"/>
      <c r="D1083" s="105"/>
      <c r="E1083" s="105"/>
      <c r="F1083" s="105"/>
      <c r="G1083" s="105"/>
      <c r="H1083" s="105"/>
      <c r="I1083" s="105"/>
      <c r="J1083" s="105"/>
      <c r="K1083" s="105"/>
      <c r="L1083" s="105"/>
      <c r="M1083" s="105"/>
      <c r="N1083" s="105"/>
      <c r="O1083" s="105"/>
      <c r="P1083" s="105" t="str">
        <f>IFERROR(__xludf.DUMMYFUNCTION("""COMPUTED_VALUE"""),"suggestion::refactoring::(style::add::newline)")</f>
        <v>suggestion::refactoring::(style::add::newline)</v>
      </c>
      <c r="Q1083" s="105"/>
      <c r="R1083" s="105"/>
      <c r="S1083" s="105"/>
      <c r="T1083" s="105"/>
      <c r="U1083" s="105"/>
      <c r="V1083" s="105"/>
      <c r="W1083" s="105"/>
      <c r="X1083" s="105"/>
      <c r="Y1083" s="105"/>
      <c r="Z1083" s="105"/>
    </row>
    <row r="1084">
      <c r="A1084" s="105"/>
      <c r="B1084" s="105"/>
      <c r="C1084" s="105"/>
      <c r="D1084" s="105"/>
      <c r="E1084" s="105"/>
      <c r="F1084" s="105"/>
      <c r="G1084" s="105"/>
      <c r="H1084" s="105"/>
      <c r="I1084" s="105"/>
      <c r="J1084" s="105"/>
      <c r="K1084" s="105"/>
      <c r="L1084" s="105"/>
      <c r="M1084" s="105"/>
      <c r="N1084" s="105"/>
      <c r="O1084" s="105"/>
      <c r="P1084" s="105" t="str">
        <f>IFERROR(__xludf.DUMMYFUNCTION("""COMPUTED_VALUE"""),"suggestion::refactoring::(style::add::nqa::if::needed)")</f>
        <v>suggestion::refactoring::(style::add::nqa::if::needed)</v>
      </c>
      <c r="Q1084" s="105"/>
      <c r="R1084" s="105"/>
      <c r="S1084" s="105"/>
      <c r="T1084" s="105"/>
      <c r="U1084" s="105"/>
      <c r="V1084" s="105"/>
      <c r="W1084" s="105"/>
      <c r="X1084" s="105"/>
      <c r="Y1084" s="105"/>
      <c r="Z1084" s="105"/>
    </row>
    <row r="1085">
      <c r="A1085" s="105"/>
      <c r="B1085" s="105"/>
      <c r="C1085" s="105"/>
      <c r="D1085" s="105"/>
      <c r="E1085" s="105"/>
      <c r="F1085" s="105"/>
      <c r="G1085" s="105"/>
      <c r="H1085" s="105"/>
      <c r="I1085" s="105"/>
      <c r="J1085" s="105"/>
      <c r="K1085" s="105"/>
      <c r="L1085" s="105"/>
      <c r="M1085" s="105"/>
      <c r="N1085" s="105"/>
      <c r="O1085" s="105"/>
      <c r="P1085" s="105" t="str">
        <f>IFERROR(__xludf.DUMMYFUNCTION("""COMPUTED_VALUE"""),"suggestion::refactoring::(style::avoid::errors::from::ducktyping)::with::code")</f>
        <v>suggestion::refactoring::(style::avoid::errors::from::ducktyping)::with::code</v>
      </c>
      <c r="Q1085" s="105"/>
      <c r="R1085" s="105"/>
      <c r="S1085" s="105"/>
      <c r="T1085" s="105"/>
      <c r="U1085" s="105"/>
      <c r="V1085" s="105"/>
      <c r="W1085" s="105"/>
      <c r="X1085" s="105"/>
      <c r="Y1085" s="105"/>
      <c r="Z1085" s="105"/>
    </row>
    <row r="1086">
      <c r="A1086" s="105"/>
      <c r="B1086" s="105"/>
      <c r="C1086" s="105"/>
      <c r="D1086" s="105"/>
      <c r="E1086" s="105"/>
      <c r="F1086" s="105"/>
      <c r="G1086" s="105"/>
      <c r="H1086" s="105"/>
      <c r="I1086" s="105"/>
      <c r="J1086" s="105"/>
      <c r="K1086" s="105"/>
      <c r="L1086" s="105"/>
      <c r="M1086" s="105"/>
      <c r="N1086" s="105"/>
      <c r="O1086" s="105"/>
      <c r="P1086" s="105" t="str">
        <f>IFERROR(__xludf.DUMMYFUNCTION("""COMPUTED_VALUE"""),"suggestion::refactoring::(style::comments/documentation)")</f>
        <v>suggestion::refactoring::(style::comments/documentation)</v>
      </c>
      <c r="Q1086" s="105"/>
      <c r="R1086" s="105"/>
      <c r="S1086" s="105"/>
      <c r="T1086" s="105"/>
      <c r="U1086" s="105"/>
      <c r="V1086" s="105"/>
      <c r="W1086" s="105"/>
      <c r="X1086" s="105"/>
      <c r="Y1086" s="105"/>
      <c r="Z1086" s="105"/>
    </row>
    <row r="1087">
      <c r="A1087" s="105"/>
      <c r="B1087" s="105"/>
      <c r="C1087" s="105"/>
      <c r="D1087" s="105"/>
      <c r="E1087" s="105"/>
      <c r="F1087" s="105"/>
      <c r="G1087" s="105"/>
      <c r="H1087" s="105"/>
      <c r="I1087" s="105"/>
      <c r="J1087" s="105"/>
      <c r="K1087" s="105"/>
      <c r="L1087" s="105"/>
      <c r="M1087" s="105"/>
      <c r="N1087" s="105"/>
      <c r="O1087" s="105"/>
      <c r="P1087" s="105" t="str">
        <f>IFERROR(__xludf.DUMMYFUNCTION("""COMPUTED_VALUE"""),"suggestion::refactoring::(style::comparison::operators)")</f>
        <v>suggestion::refactoring::(style::comparison::operators)</v>
      </c>
      <c r="Q1087" s="105"/>
      <c r="R1087" s="105"/>
      <c r="S1087" s="105"/>
      <c r="T1087" s="105"/>
      <c r="U1087" s="105"/>
      <c r="V1087" s="105"/>
      <c r="W1087" s="105"/>
      <c r="X1087" s="105"/>
      <c r="Y1087" s="105"/>
      <c r="Z1087" s="105"/>
    </row>
    <row r="1088">
      <c r="A1088" s="105"/>
      <c r="B1088" s="105"/>
      <c r="C1088" s="105"/>
      <c r="D1088" s="105"/>
      <c r="E1088" s="105"/>
      <c r="F1088" s="105"/>
      <c r="G1088" s="105"/>
      <c r="H1088" s="105"/>
      <c r="I1088" s="105"/>
      <c r="J1088" s="105"/>
      <c r="K1088" s="105"/>
      <c r="L1088" s="105"/>
      <c r="M1088" s="105"/>
      <c r="N1088" s="105"/>
      <c r="O1088" s="105"/>
      <c r="P1088" s="105" t="str">
        <f>IFERROR(__xludf.DUMMYFUNCTION("""COMPUTED_VALUE"""),"suggestion::refactoring::(style::imports)")</f>
        <v>suggestion::refactoring::(style::imports)</v>
      </c>
      <c r="Q1088" s="105"/>
      <c r="R1088" s="105"/>
      <c r="S1088" s="105"/>
      <c r="T1088" s="105"/>
      <c r="U1088" s="105"/>
      <c r="V1088" s="105"/>
      <c r="W1088" s="105"/>
      <c r="X1088" s="105"/>
      <c r="Y1088" s="105"/>
      <c r="Z1088" s="105"/>
    </row>
    <row r="1089">
      <c r="A1089" s="105"/>
      <c r="B1089" s="105"/>
      <c r="C1089" s="105"/>
      <c r="D1089" s="105"/>
      <c r="E1089" s="105"/>
      <c r="F1089" s="105"/>
      <c r="G1089" s="105"/>
      <c r="H1089" s="105"/>
      <c r="I1089" s="105"/>
      <c r="J1089" s="105"/>
      <c r="K1089" s="105"/>
      <c r="L1089" s="105"/>
      <c r="M1089" s="105"/>
      <c r="N1089" s="105"/>
      <c r="O1089" s="105"/>
      <c r="P1089" s="105" t="str">
        <f>IFERROR(__xludf.DUMMYFUNCTION("""COMPUTED_VALUE"""),"suggestion::refactoring::(style::indentation)")</f>
        <v>suggestion::refactoring::(style::indentation)</v>
      </c>
      <c r="Q1089" s="105"/>
      <c r="R1089" s="105"/>
      <c r="S1089" s="105"/>
      <c r="T1089" s="105"/>
      <c r="U1089" s="105"/>
      <c r="V1089" s="105"/>
      <c r="W1089" s="105"/>
      <c r="X1089" s="105"/>
      <c r="Y1089" s="105"/>
      <c r="Z1089" s="105"/>
    </row>
    <row r="1090">
      <c r="A1090" s="105"/>
      <c r="B1090" s="105"/>
      <c r="C1090" s="105"/>
      <c r="D1090" s="105"/>
      <c r="E1090" s="105"/>
      <c r="F1090" s="105"/>
      <c r="G1090" s="105"/>
      <c r="H1090" s="105"/>
      <c r="I1090" s="105"/>
      <c r="J1090" s="105"/>
      <c r="K1090" s="105"/>
      <c r="L1090" s="105"/>
      <c r="M1090" s="105"/>
      <c r="N1090" s="105"/>
      <c r="O1090" s="105"/>
      <c r="P1090" s="105" t="str">
        <f>IFERROR(__xludf.DUMMYFUNCTION("""COMPUTED_VALUE"""),"suggestion::refactoring::(style::missing::whitespace)")</f>
        <v>suggestion::refactoring::(style::missing::whitespace)</v>
      </c>
      <c r="Q1090" s="105"/>
      <c r="R1090" s="105"/>
      <c r="S1090" s="105"/>
      <c r="T1090" s="105"/>
      <c r="U1090" s="105"/>
      <c r="V1090" s="105"/>
      <c r="W1090" s="105"/>
      <c r="X1090" s="105"/>
      <c r="Y1090" s="105"/>
      <c r="Z1090" s="105"/>
    </row>
    <row r="1091">
      <c r="A1091" s="105"/>
      <c r="B1091" s="105"/>
      <c r="C1091" s="105"/>
      <c r="D1091" s="105"/>
      <c r="E1091" s="105"/>
      <c r="F1091" s="105"/>
      <c r="G1091" s="105"/>
      <c r="H1091" s="105"/>
      <c r="I1091" s="105"/>
      <c r="J1091" s="105"/>
      <c r="K1091" s="105"/>
      <c r="L1091" s="105"/>
      <c r="M1091" s="105"/>
      <c r="N1091" s="105"/>
      <c r="O1091" s="105"/>
      <c r="P1091" s="105" t="str">
        <f>IFERROR(__xludf.DUMMYFUNCTION("""COMPUTED_VALUE"""),"suggestion::refactoring::(style::removing::newline)")</f>
        <v>suggestion::refactoring::(style::removing::newline)</v>
      </c>
      <c r="Q1091" s="105"/>
      <c r="R1091" s="105"/>
      <c r="S1091" s="105"/>
      <c r="T1091" s="105"/>
      <c r="U1091" s="105"/>
      <c r="V1091" s="105"/>
      <c r="W1091" s="105"/>
      <c r="X1091" s="105"/>
      <c r="Y1091" s="105"/>
      <c r="Z1091" s="105"/>
    </row>
    <row r="1092">
      <c r="A1092" s="105"/>
      <c r="B1092" s="105"/>
      <c r="C1092" s="105"/>
      <c r="D1092" s="105"/>
      <c r="E1092" s="105"/>
      <c r="F1092" s="105"/>
      <c r="G1092" s="105"/>
      <c r="H1092" s="105"/>
      <c r="I1092" s="105"/>
      <c r="J1092" s="105"/>
      <c r="K1092" s="105"/>
      <c r="L1092" s="105"/>
      <c r="M1092" s="105"/>
      <c r="N1092" s="105"/>
      <c r="O1092" s="105"/>
      <c r="P1092" s="105" t="str">
        <f>IFERROR(__xludf.DUMMYFUNCTION("""COMPUTED_VALUE"""),"suggestion::refactoring::(style::removing::unnecessary::newline)")</f>
        <v>suggestion::refactoring::(style::removing::unnecessary::newline)</v>
      </c>
      <c r="Q1092" s="105"/>
      <c r="R1092" s="105"/>
      <c r="S1092" s="105"/>
      <c r="T1092" s="105"/>
      <c r="U1092" s="105"/>
      <c r="V1092" s="105"/>
      <c r="W1092" s="105"/>
      <c r="X1092" s="105"/>
      <c r="Y1092" s="105"/>
      <c r="Z1092" s="105"/>
    </row>
    <row r="1093">
      <c r="A1093" s="105"/>
      <c r="B1093" s="105"/>
      <c r="C1093" s="105"/>
      <c r="D1093" s="105"/>
      <c r="E1093" s="105"/>
      <c r="F1093" s="105"/>
      <c r="G1093" s="105"/>
      <c r="H1093" s="105"/>
      <c r="I1093" s="105"/>
      <c r="J1093" s="105"/>
      <c r="K1093" s="105"/>
      <c r="L1093" s="105"/>
      <c r="M1093" s="105"/>
      <c r="N1093" s="105"/>
      <c r="O1093" s="105"/>
      <c r="P1093" s="105" t="str">
        <f>IFERROR(__xludf.DUMMYFUNCTION("""COMPUTED_VALUE"""),"suggestion::refactoring::(style::unnecessary::whitespace)")</f>
        <v>suggestion::refactoring::(style::unnecessary::whitespace)</v>
      </c>
      <c r="Q1093" s="105"/>
      <c r="R1093" s="105"/>
      <c r="S1093" s="105"/>
      <c r="T1093" s="105"/>
      <c r="U1093" s="105"/>
      <c r="V1093" s="105"/>
      <c r="W1093" s="105"/>
      <c r="X1093" s="105"/>
      <c r="Y1093" s="105"/>
      <c r="Z1093" s="105"/>
    </row>
    <row r="1094">
      <c r="A1094" s="105"/>
      <c r="B1094" s="105"/>
      <c r="C1094" s="105"/>
      <c r="D1094" s="105"/>
      <c r="E1094" s="105"/>
      <c r="F1094" s="105"/>
      <c r="G1094" s="105"/>
      <c r="H1094" s="105"/>
      <c r="I1094" s="105"/>
      <c r="J1094" s="105"/>
      <c r="K1094" s="105"/>
      <c r="L1094" s="105"/>
      <c r="M1094" s="105"/>
      <c r="N1094" s="105"/>
      <c r="O1094" s="105"/>
      <c r="P1094" s="105" t="str">
        <f>IFERROR(__xludf.DUMMYFUNCTION("""COMPUTED_VALUE"""),"suggestion::refactoring::(style)")</f>
        <v>suggestion::refactoring::(style)</v>
      </c>
      <c r="Q1094" s="105"/>
      <c r="R1094" s="105"/>
      <c r="S1094" s="105"/>
      <c r="T1094" s="105"/>
      <c r="U1094" s="105"/>
      <c r="V1094" s="105"/>
      <c r="W1094" s="105"/>
      <c r="X1094" s="105"/>
      <c r="Y1094" s="105"/>
      <c r="Z1094" s="105"/>
    </row>
    <row r="1095">
      <c r="A1095" s="105"/>
      <c r="B1095" s="105"/>
      <c r="C1095" s="105"/>
      <c r="D1095" s="105"/>
      <c r="E1095" s="105"/>
      <c r="F1095" s="105"/>
      <c r="G1095" s="105"/>
      <c r="H1095" s="105"/>
      <c r="I1095" s="105"/>
      <c r="J1095" s="105"/>
      <c r="K1095" s="105"/>
      <c r="L1095" s="105"/>
      <c r="M1095" s="105"/>
      <c r="N1095" s="105"/>
      <c r="O1095" s="105"/>
      <c r="P1095" s="105" t="str">
        <f>IFERROR(__xludf.DUMMYFUNCTION("""COMPUTED_VALUE"""),"suggestion::refactoring::(style)::what::to::import")</f>
        <v>suggestion::refactoring::(style)::what::to::import</v>
      </c>
      <c r="Q1095" s="105"/>
      <c r="R1095" s="105"/>
      <c r="S1095" s="105"/>
      <c r="T1095" s="105"/>
      <c r="U1095" s="105"/>
      <c r="V1095" s="105"/>
      <c r="W1095" s="105"/>
      <c r="X1095" s="105"/>
      <c r="Y1095" s="105"/>
      <c r="Z1095" s="105"/>
    </row>
    <row r="1096">
      <c r="A1096" s="105"/>
      <c r="B1096" s="105"/>
      <c r="C1096" s="105"/>
      <c r="D1096" s="105"/>
      <c r="E1096" s="105"/>
      <c r="F1096" s="105"/>
      <c r="G1096" s="105"/>
      <c r="H1096" s="105"/>
      <c r="I1096" s="105"/>
      <c r="J1096" s="105"/>
      <c r="K1096" s="105"/>
      <c r="L1096" s="105"/>
      <c r="M1096" s="105"/>
      <c r="N1096" s="105"/>
      <c r="O1096" s="105"/>
      <c r="P1096" s="105" t="str">
        <f>IFERROR(__xludf.DUMMYFUNCTION("""COMPUTED_VALUE"""),"suggestion::refactoring::(style)::with::code")</f>
        <v>suggestion::refactoring::(style)::with::code</v>
      </c>
      <c r="Q1096" s="105"/>
      <c r="R1096" s="105"/>
      <c r="S1096" s="105"/>
      <c r="T1096" s="105"/>
      <c r="U1096" s="105"/>
      <c r="V1096" s="105"/>
      <c r="W1096" s="105"/>
      <c r="X1096" s="105"/>
      <c r="Y1096" s="105"/>
      <c r="Z1096" s="105"/>
    </row>
    <row r="1097">
      <c r="A1097" s="105"/>
      <c r="B1097" s="105"/>
      <c r="C1097" s="105"/>
      <c r="D1097" s="105"/>
      <c r="E1097" s="105"/>
      <c r="F1097" s="105"/>
      <c r="G1097" s="105"/>
      <c r="H1097" s="105"/>
      <c r="I1097" s="105"/>
      <c r="J1097" s="105"/>
      <c r="K1097" s="105"/>
      <c r="L1097" s="105"/>
      <c r="M1097" s="105"/>
      <c r="N1097" s="105"/>
      <c r="O1097" s="105"/>
      <c r="P1097" s="105" t="str">
        <f>IFERROR(__xludf.DUMMYFUNCTION("""COMPUTED_VALUE"""),"suggestion::refactoring::(test::naming)")</f>
        <v>suggestion::refactoring::(test::naming)</v>
      </c>
      <c r="Q1097" s="105"/>
      <c r="R1097" s="105"/>
      <c r="S1097" s="105"/>
      <c r="T1097" s="105"/>
      <c r="U1097" s="105"/>
      <c r="V1097" s="105"/>
      <c r="W1097" s="105"/>
      <c r="X1097" s="105"/>
      <c r="Y1097" s="105"/>
      <c r="Z1097" s="105"/>
    </row>
    <row r="1098">
      <c r="A1098" s="105"/>
      <c r="B1098" s="105"/>
      <c r="C1098" s="105"/>
      <c r="D1098" s="105"/>
      <c r="E1098" s="105"/>
      <c r="F1098" s="105"/>
      <c r="G1098" s="105"/>
      <c r="H1098" s="105"/>
      <c r="I1098" s="105"/>
      <c r="J1098" s="105"/>
      <c r="K1098" s="105"/>
      <c r="L1098" s="105"/>
      <c r="M1098" s="105"/>
      <c r="N1098" s="105"/>
      <c r="O1098" s="105"/>
      <c r="P1098" s="105" t="str">
        <f>IFERROR(__xludf.DUMMYFUNCTION("""COMPUTED_VALUE"""),"suggestion::refactoring::(test)")</f>
        <v>suggestion::refactoring::(test)</v>
      </c>
      <c r="Q1098" s="105"/>
      <c r="R1098" s="105"/>
      <c r="S1098" s="105"/>
      <c r="T1098" s="105"/>
      <c r="U1098" s="105"/>
      <c r="V1098" s="105"/>
      <c r="W1098" s="105"/>
      <c r="X1098" s="105"/>
      <c r="Y1098" s="105"/>
      <c r="Z1098" s="105"/>
    </row>
    <row r="1099">
      <c r="A1099" s="105"/>
      <c r="B1099" s="105"/>
      <c r="C1099" s="105"/>
      <c r="D1099" s="105"/>
      <c r="E1099" s="105"/>
      <c r="F1099" s="105"/>
      <c r="G1099" s="105"/>
      <c r="H1099" s="105"/>
      <c r="I1099" s="105"/>
      <c r="J1099" s="105"/>
      <c r="K1099" s="105"/>
      <c r="L1099" s="105"/>
      <c r="M1099" s="105"/>
      <c r="N1099" s="105"/>
      <c r="O1099" s="105"/>
      <c r="P1099" s="105" t="str">
        <f>IFERROR(__xludf.DUMMYFUNCTION("""COMPUTED_VALUE"""),"suggestion::refactoring::(type::exception)")</f>
        <v>suggestion::refactoring::(type::exception)</v>
      </c>
      <c r="Q1099" s="105"/>
      <c r="R1099" s="105"/>
      <c r="S1099" s="105"/>
      <c r="T1099" s="105"/>
      <c r="U1099" s="105"/>
      <c r="V1099" s="105"/>
      <c r="W1099" s="105"/>
      <c r="X1099" s="105"/>
      <c r="Y1099" s="105"/>
      <c r="Z1099" s="105"/>
    </row>
    <row r="1100">
      <c r="A1100" s="105"/>
      <c r="B1100" s="105"/>
      <c r="C1100" s="105"/>
      <c r="D1100" s="105"/>
      <c r="E1100" s="105"/>
      <c r="F1100" s="105"/>
      <c r="G1100" s="105"/>
      <c r="H1100" s="105"/>
      <c r="I1100" s="105"/>
      <c r="J1100" s="105"/>
      <c r="K1100" s="105"/>
      <c r="L1100" s="105"/>
      <c r="M1100" s="105"/>
      <c r="N1100" s="105"/>
      <c r="O1100" s="105"/>
      <c r="P1100" s="105" t="str">
        <f>IFERROR(__xludf.DUMMYFUNCTION("""COMPUTED_VALUE"""),"suggestion::refactoring::(typo)")</f>
        <v>suggestion::refactoring::(typo)</v>
      </c>
      <c r="Q1100" s="105"/>
      <c r="R1100" s="105"/>
      <c r="S1100" s="105"/>
      <c r="T1100" s="105"/>
      <c r="U1100" s="105"/>
      <c r="V1100" s="105"/>
      <c r="W1100" s="105"/>
      <c r="X1100" s="105"/>
      <c r="Y1100" s="105"/>
      <c r="Z1100" s="105"/>
    </row>
    <row r="1101">
      <c r="A1101" s="105"/>
      <c r="B1101" s="105"/>
      <c r="C1101" s="105"/>
      <c r="D1101" s="105"/>
      <c r="E1101" s="105"/>
      <c r="F1101" s="105"/>
      <c r="G1101" s="105"/>
      <c r="H1101" s="105"/>
      <c r="I1101" s="105"/>
      <c r="J1101" s="105"/>
      <c r="K1101" s="105"/>
      <c r="L1101" s="105"/>
      <c r="M1101" s="105"/>
      <c r="N1101" s="105"/>
      <c r="O1101" s="105"/>
      <c r="P1101" s="105" t="str">
        <f>IFERROR(__xludf.DUMMYFUNCTION("""COMPUTED_VALUE"""),"suggestion::refactoring::(unnecesary::code)")</f>
        <v>suggestion::refactoring::(unnecesary::code)</v>
      </c>
      <c r="Q1101" s="105"/>
      <c r="R1101" s="105"/>
      <c r="S1101" s="105"/>
      <c r="T1101" s="105"/>
      <c r="U1101" s="105"/>
      <c r="V1101" s="105"/>
      <c r="W1101" s="105"/>
      <c r="X1101" s="105"/>
      <c r="Y1101" s="105"/>
      <c r="Z1101" s="105"/>
    </row>
    <row r="1102">
      <c r="A1102" s="105"/>
      <c r="B1102" s="105"/>
      <c r="C1102" s="105"/>
      <c r="D1102" s="105"/>
      <c r="E1102" s="105"/>
      <c r="F1102" s="105"/>
      <c r="G1102" s="105"/>
      <c r="H1102" s="105"/>
      <c r="I1102" s="105"/>
      <c r="J1102" s="105"/>
      <c r="K1102" s="105"/>
      <c r="L1102" s="105"/>
      <c r="M1102" s="105"/>
      <c r="N1102" s="105"/>
      <c r="O1102" s="105"/>
      <c r="P1102" s="105" t="str">
        <f>IFERROR(__xludf.DUMMYFUNCTION("""COMPUTED_VALUE"""),"suggestion::refactoring::(unnecesary::loop)")</f>
        <v>suggestion::refactoring::(unnecesary::loop)</v>
      </c>
      <c r="Q1102" s="105"/>
      <c r="R1102" s="105"/>
      <c r="S1102" s="105"/>
      <c r="T1102" s="105"/>
      <c r="U1102" s="105"/>
      <c r="V1102" s="105"/>
      <c r="W1102" s="105"/>
      <c r="X1102" s="105"/>
      <c r="Y1102" s="105"/>
      <c r="Z1102" s="105"/>
    </row>
    <row r="1103">
      <c r="A1103" s="105"/>
      <c r="B1103" s="105"/>
      <c r="C1103" s="105"/>
      <c r="D1103" s="105"/>
      <c r="E1103" s="105"/>
      <c r="F1103" s="105"/>
      <c r="G1103" s="105"/>
      <c r="H1103" s="105"/>
      <c r="I1103" s="105"/>
      <c r="J1103" s="105"/>
      <c r="K1103" s="105"/>
      <c r="L1103" s="105"/>
      <c r="M1103" s="105"/>
      <c r="N1103" s="105"/>
      <c r="O1103" s="105"/>
      <c r="P1103" s="105" t="str">
        <f>IFERROR(__xludf.DUMMYFUNCTION("""COMPUTED_VALUE"""),"suggestion::refactoring::(use::context)")</f>
        <v>suggestion::refactoring::(use::context)</v>
      </c>
      <c r="Q1103" s="105"/>
      <c r="R1103" s="105"/>
      <c r="S1103" s="105"/>
      <c r="T1103" s="105"/>
      <c r="U1103" s="105"/>
      <c r="V1103" s="105"/>
      <c r="W1103" s="105"/>
      <c r="X1103" s="105"/>
      <c r="Y1103" s="105"/>
      <c r="Z1103" s="105"/>
    </row>
    <row r="1104">
      <c r="A1104" s="105"/>
      <c r="B1104" s="105"/>
      <c r="C1104" s="105"/>
      <c r="D1104" s="105"/>
      <c r="E1104" s="105"/>
      <c r="F1104" s="105"/>
      <c r="G1104" s="105"/>
      <c r="H1104" s="105"/>
      <c r="I1104" s="105"/>
      <c r="J1104" s="105"/>
      <c r="K1104" s="105"/>
      <c r="L1104" s="105"/>
      <c r="M1104" s="105"/>
      <c r="N1104" s="105"/>
      <c r="O1104" s="105"/>
      <c r="P1104" s="105" t="str">
        <f>IFERROR(__xludf.DUMMYFUNCTION("""COMPUTED_VALUE"""),"suggestion::refactoring::(use::decorator)")</f>
        <v>suggestion::refactoring::(use::decorator)</v>
      </c>
      <c r="Q1104" s="105"/>
      <c r="R1104" s="105"/>
      <c r="S1104" s="105"/>
      <c r="T1104" s="105"/>
      <c r="U1104" s="105"/>
      <c r="V1104" s="105"/>
      <c r="W1104" s="105"/>
      <c r="X1104" s="105"/>
      <c r="Y1104" s="105"/>
      <c r="Z1104" s="105"/>
    </row>
    <row r="1105">
      <c r="A1105" s="105"/>
      <c r="B1105" s="105"/>
      <c r="C1105" s="105"/>
      <c r="D1105" s="105"/>
      <c r="E1105" s="105"/>
      <c r="F1105" s="105"/>
      <c r="G1105" s="105"/>
      <c r="H1105" s="105"/>
      <c r="I1105" s="105"/>
      <c r="J1105" s="105"/>
      <c r="K1105" s="105"/>
      <c r="L1105" s="105"/>
      <c r="M1105" s="105"/>
      <c r="N1105" s="105"/>
      <c r="O1105" s="105"/>
      <c r="P1105" s="105" t="str">
        <f>IFERROR(__xludf.DUMMYFUNCTION("""COMPUTED_VALUE"""),"suggestion::refactoring::(use::decorator)::with::code")</f>
        <v>suggestion::refactoring::(use::decorator)::with::code</v>
      </c>
      <c r="Q1105" s="105"/>
      <c r="R1105" s="105"/>
      <c r="S1105" s="105"/>
      <c r="T1105" s="105"/>
      <c r="U1105" s="105"/>
      <c r="V1105" s="105"/>
      <c r="W1105" s="105"/>
      <c r="X1105" s="105"/>
      <c r="Y1105" s="105"/>
      <c r="Z1105" s="105"/>
    </row>
    <row r="1106">
      <c r="A1106" s="105"/>
      <c r="B1106" s="105"/>
      <c r="C1106" s="105"/>
      <c r="D1106" s="105"/>
      <c r="E1106" s="105"/>
      <c r="F1106" s="105"/>
      <c r="G1106" s="105"/>
      <c r="H1106" s="105"/>
      <c r="I1106" s="105"/>
      <c r="J1106" s="105"/>
      <c r="K1106" s="105"/>
      <c r="L1106" s="105"/>
      <c r="M1106" s="105"/>
      <c r="N1106" s="105"/>
      <c r="O1106" s="105"/>
      <c r="P1106" s="105" t="str">
        <f>IFERROR(__xludf.DUMMYFUNCTION("""COMPUTED_VALUE"""),"suggestion::refactoring::(use::decorators)")</f>
        <v>suggestion::refactoring::(use::decorators)</v>
      </c>
      <c r="Q1106" s="105"/>
      <c r="R1106" s="105"/>
      <c r="S1106" s="105"/>
      <c r="T1106" s="105"/>
      <c r="U1106" s="105"/>
      <c r="V1106" s="105"/>
      <c r="W1106" s="105"/>
      <c r="X1106" s="105"/>
      <c r="Y1106" s="105"/>
      <c r="Z1106" s="105"/>
    </row>
    <row r="1107">
      <c r="A1107" s="105"/>
      <c r="B1107" s="105"/>
      <c r="C1107" s="105"/>
      <c r="D1107" s="105"/>
      <c r="E1107" s="105"/>
      <c r="F1107" s="105"/>
      <c r="G1107" s="105"/>
      <c r="H1107" s="105"/>
      <c r="I1107" s="105"/>
      <c r="J1107" s="105"/>
      <c r="K1107" s="105"/>
      <c r="L1107" s="105"/>
      <c r="M1107" s="105"/>
      <c r="N1107" s="105"/>
      <c r="O1107" s="105"/>
      <c r="P1107" s="105" t="str">
        <f>IFERROR(__xludf.DUMMYFUNCTION("""COMPUTED_VALUE"""),"suggestion::refactoring::(use::existing::variable)")</f>
        <v>suggestion::refactoring::(use::existing::variable)</v>
      </c>
      <c r="Q1107" s="105"/>
      <c r="R1107" s="105"/>
      <c r="S1107" s="105"/>
      <c r="T1107" s="105"/>
      <c r="U1107" s="105"/>
      <c r="V1107" s="105"/>
      <c r="W1107" s="105"/>
      <c r="X1107" s="105"/>
      <c r="Y1107" s="105"/>
      <c r="Z1107" s="105"/>
    </row>
    <row r="1108">
      <c r="A1108" s="105"/>
      <c r="B1108" s="105"/>
      <c r="C1108" s="105"/>
      <c r="D1108" s="105"/>
      <c r="E1108" s="105"/>
      <c r="F1108" s="105"/>
      <c r="G1108" s="105"/>
      <c r="H1108" s="105"/>
      <c r="I1108" s="105"/>
      <c r="J1108" s="105"/>
      <c r="K1108" s="105"/>
      <c r="L1108" s="105"/>
      <c r="M1108" s="105"/>
      <c r="N1108" s="105"/>
      <c r="O1108" s="105"/>
      <c r="P1108" s="105" t="str">
        <f>IFERROR(__xludf.DUMMYFUNCTION("""COMPUTED_VALUE"""),"suggestion::refactoring::(use::loop)")</f>
        <v>suggestion::refactoring::(use::loop)</v>
      </c>
      <c r="Q1108" s="105"/>
      <c r="R1108" s="105"/>
      <c r="S1108" s="105"/>
      <c r="T1108" s="105"/>
      <c r="U1108" s="105"/>
      <c r="V1108" s="105"/>
      <c r="W1108" s="105"/>
      <c r="X1108" s="105"/>
      <c r="Y1108" s="105"/>
      <c r="Z1108" s="105"/>
    </row>
    <row r="1109">
      <c r="A1109" s="105"/>
      <c r="B1109" s="105"/>
      <c r="C1109" s="105"/>
      <c r="D1109" s="105"/>
      <c r="E1109" s="105"/>
      <c r="F1109" s="105"/>
      <c r="G1109" s="105"/>
      <c r="H1109" s="105"/>
      <c r="I1109" s="105"/>
      <c r="J1109" s="105"/>
      <c r="K1109" s="105"/>
      <c r="L1109" s="105"/>
      <c r="M1109" s="105"/>
      <c r="N1109" s="105"/>
      <c r="O1109" s="105"/>
      <c r="P1109" s="105" t="str">
        <f>IFERROR(__xludf.DUMMYFUNCTION("""COMPUTED_VALUE"""),"suggestion::refactoring::(use::method/function)")</f>
        <v>suggestion::refactoring::(use::method/function)</v>
      </c>
      <c r="Q1109" s="105"/>
      <c r="R1109" s="105"/>
      <c r="S1109" s="105"/>
      <c r="T1109" s="105"/>
      <c r="U1109" s="105"/>
      <c r="V1109" s="105"/>
      <c r="W1109" s="105"/>
      <c r="X1109" s="105"/>
      <c r="Y1109" s="105"/>
      <c r="Z1109" s="105"/>
    </row>
    <row r="1110">
      <c r="A1110" s="105"/>
      <c r="B1110" s="105"/>
      <c r="C1110" s="105"/>
      <c r="D1110" s="105"/>
      <c r="E1110" s="105"/>
      <c r="F1110" s="105"/>
      <c r="G1110" s="105"/>
      <c r="H1110" s="105"/>
      <c r="I1110" s="105"/>
      <c r="J1110" s="105"/>
      <c r="K1110" s="105"/>
      <c r="L1110" s="105"/>
      <c r="M1110" s="105"/>
      <c r="N1110" s="105"/>
      <c r="O1110" s="105"/>
      <c r="P1110" s="105" t="str">
        <f>IFERROR(__xludf.DUMMYFUNCTION("""COMPUTED_VALUE"""),"suggestion::refactoring::(use::mock::object)")</f>
        <v>suggestion::refactoring::(use::mock::object)</v>
      </c>
      <c r="Q1110" s="105"/>
      <c r="R1110" s="105"/>
      <c r="S1110" s="105"/>
      <c r="T1110" s="105"/>
      <c r="U1110" s="105"/>
      <c r="V1110" s="105"/>
      <c r="W1110" s="105"/>
      <c r="X1110" s="105"/>
      <c r="Y1110" s="105"/>
      <c r="Z1110" s="105"/>
    </row>
    <row r="1111">
      <c r="A1111" s="105"/>
      <c r="B1111" s="105"/>
      <c r="C1111" s="105"/>
      <c r="D1111" s="105"/>
      <c r="E1111" s="105"/>
      <c r="F1111" s="105"/>
      <c r="G1111" s="105"/>
      <c r="H1111" s="105"/>
      <c r="I1111" s="105"/>
      <c r="J1111" s="105"/>
      <c r="K1111" s="105"/>
      <c r="L1111" s="105"/>
      <c r="M1111" s="105"/>
      <c r="N1111" s="105"/>
      <c r="O1111" s="105"/>
      <c r="P1111" s="105" t="str">
        <f>IFERROR(__xludf.DUMMYFUNCTION("""COMPUTED_VALUE"""),"suggestion::refactoring::(use::mox::object)")</f>
        <v>suggestion::refactoring::(use::mox::object)</v>
      </c>
      <c r="Q1111" s="105"/>
      <c r="R1111" s="105"/>
      <c r="S1111" s="105"/>
      <c r="T1111" s="105"/>
      <c r="U1111" s="105"/>
      <c r="V1111" s="105"/>
      <c r="W1111" s="105"/>
      <c r="X1111" s="105"/>
      <c r="Y1111" s="105"/>
      <c r="Z1111" s="105"/>
    </row>
    <row r="1112">
      <c r="A1112" s="105"/>
      <c r="B1112" s="105"/>
      <c r="C1112" s="105"/>
      <c r="D1112" s="105"/>
      <c r="E1112" s="105"/>
      <c r="F1112" s="105"/>
      <c r="G1112" s="105"/>
      <c r="H1112" s="105"/>
      <c r="I1112" s="105"/>
      <c r="J1112" s="105"/>
      <c r="K1112" s="105"/>
      <c r="L1112" s="105"/>
      <c r="M1112" s="105"/>
      <c r="N1112" s="105"/>
      <c r="O1112" s="105"/>
      <c r="P1112" s="105" t="str">
        <f>IFERROR(__xludf.DUMMYFUNCTION("""COMPUTED_VALUE"""),"suggestion::refactoring::(using::another::existing::method)")</f>
        <v>suggestion::refactoring::(using::another::existing::method)</v>
      </c>
      <c r="Q1112" s="105"/>
      <c r="R1112" s="105"/>
      <c r="S1112" s="105"/>
      <c r="T1112" s="105"/>
      <c r="U1112" s="105"/>
      <c r="V1112" s="105"/>
      <c r="W1112" s="105"/>
      <c r="X1112" s="105"/>
      <c r="Y1112" s="105"/>
      <c r="Z1112" s="105"/>
    </row>
    <row r="1113">
      <c r="A1113" s="105"/>
      <c r="B1113" s="105"/>
      <c r="C1113" s="105"/>
      <c r="D1113" s="105"/>
      <c r="E1113" s="105"/>
      <c r="F1113" s="105"/>
      <c r="G1113" s="105"/>
      <c r="H1113" s="105"/>
      <c r="I1113" s="105"/>
      <c r="J1113" s="105"/>
      <c r="K1113" s="105"/>
      <c r="L1113" s="105"/>
      <c r="M1113" s="105"/>
      <c r="N1113" s="105"/>
      <c r="O1113" s="105"/>
      <c r="P1113" s="105" t="str">
        <f>IFERROR(__xludf.DUMMYFUNCTION("""COMPUTED_VALUE"""),"suggestion::refactoring::(using::another::existing::method)::speed::vs::abstraction")</f>
        <v>suggestion::refactoring::(using::another::existing::method)::speed::vs::abstraction</v>
      </c>
      <c r="Q1113" s="105"/>
      <c r="R1113" s="105"/>
      <c r="S1113" s="105"/>
      <c r="T1113" s="105"/>
      <c r="U1113" s="105"/>
      <c r="V1113" s="105"/>
      <c r="W1113" s="105"/>
      <c r="X1113" s="105"/>
      <c r="Y1113" s="105"/>
      <c r="Z1113" s="105"/>
    </row>
    <row r="1114">
      <c r="A1114" s="105"/>
      <c r="B1114" s="105"/>
      <c r="C1114" s="105"/>
      <c r="D1114" s="105"/>
      <c r="E1114" s="105"/>
      <c r="F1114" s="105"/>
      <c r="G1114" s="105"/>
      <c r="H1114" s="105"/>
      <c r="I1114" s="105"/>
      <c r="J1114" s="105"/>
      <c r="K1114" s="105"/>
      <c r="L1114" s="105"/>
      <c r="M1114" s="105"/>
      <c r="N1114" s="105"/>
      <c r="O1114" s="105"/>
      <c r="P1114" s="105" t="str">
        <f>IFERROR(__xludf.DUMMYFUNCTION("""COMPUTED_VALUE"""),"suggestion::refactoring::(using::another::existing::object)")</f>
        <v>suggestion::refactoring::(using::another::existing::object)</v>
      </c>
      <c r="Q1114" s="105"/>
      <c r="R1114" s="105"/>
      <c r="S1114" s="105"/>
      <c r="T1114" s="105"/>
      <c r="U1114" s="105"/>
      <c r="V1114" s="105"/>
      <c r="W1114" s="105"/>
      <c r="X1114" s="105"/>
      <c r="Y1114" s="105"/>
      <c r="Z1114" s="105"/>
    </row>
    <row r="1115">
      <c r="A1115" s="105"/>
      <c r="B1115" s="105"/>
      <c r="C1115" s="105"/>
      <c r="D1115" s="105"/>
      <c r="E1115" s="105"/>
      <c r="F1115" s="105"/>
      <c r="G1115" s="105"/>
      <c r="H1115" s="105"/>
      <c r="I1115" s="105"/>
      <c r="J1115" s="105"/>
      <c r="K1115" s="105"/>
      <c r="L1115" s="105"/>
      <c r="M1115" s="105"/>
      <c r="N1115" s="105"/>
      <c r="O1115" s="105"/>
      <c r="P1115" s="105" t="str">
        <f>IFERROR(__xludf.DUMMYFUNCTION("""COMPUTED_VALUE"""),"suggestion::refactoring::(variable)")</f>
        <v>suggestion::refactoring::(variable)</v>
      </c>
      <c r="Q1115" s="105"/>
      <c r="R1115" s="105"/>
      <c r="S1115" s="105"/>
      <c r="T1115" s="105"/>
      <c r="U1115" s="105"/>
      <c r="V1115" s="105"/>
      <c r="W1115" s="105"/>
      <c r="X1115" s="105"/>
      <c r="Y1115" s="105"/>
      <c r="Z1115" s="105"/>
    </row>
    <row r="1116">
      <c r="A1116" s="105"/>
      <c r="B1116" s="105"/>
      <c r="C1116" s="105"/>
      <c r="D1116" s="105"/>
      <c r="E1116" s="105"/>
      <c r="F1116" s="105"/>
      <c r="G1116" s="105"/>
      <c r="H1116" s="105"/>
      <c r="I1116" s="105"/>
      <c r="J1116" s="105"/>
      <c r="K1116" s="105"/>
      <c r="L1116" s="105"/>
      <c r="M1116" s="105"/>
      <c r="N1116" s="105"/>
      <c r="O1116" s="105"/>
      <c r="P1116" s="105" t="str">
        <f>IFERROR(__xludf.DUMMYFUNCTION("""COMPUTED_VALUE"""),"suggestion::refactoring::code::(different::approach::change::config::file)")</f>
        <v>suggestion::refactoring::code::(different::approach::change::config::file)</v>
      </c>
      <c r="Q1116" s="105"/>
      <c r="R1116" s="105"/>
      <c r="S1116" s="105"/>
      <c r="T1116" s="105"/>
      <c r="U1116" s="105"/>
      <c r="V1116" s="105"/>
      <c r="W1116" s="105"/>
      <c r="X1116" s="105"/>
      <c r="Y1116" s="105"/>
      <c r="Z1116" s="105"/>
    </row>
    <row r="1117">
      <c r="A1117" s="105"/>
      <c r="B1117" s="105"/>
      <c r="C1117" s="105"/>
      <c r="D1117" s="105"/>
      <c r="E1117" s="105"/>
      <c r="F1117" s="105"/>
      <c r="G1117" s="105"/>
      <c r="H1117" s="105"/>
      <c r="I1117" s="105"/>
      <c r="J1117" s="105"/>
      <c r="K1117" s="105"/>
      <c r="L1117" s="105"/>
      <c r="M1117" s="105"/>
      <c r="N1117" s="105"/>
      <c r="O1117" s="105"/>
      <c r="P1117" s="105" t="str">
        <f>IFERROR(__xludf.DUMMYFUNCTION("""COMPUTED_VALUE"""),"suggestion::some::missing::changes::(changes::related::to::the::change)")</f>
        <v>suggestion::some::missing::changes::(changes::related::to::the::change)</v>
      </c>
      <c r="Q1117" s="105"/>
      <c r="R1117" s="105"/>
      <c r="S1117" s="105"/>
      <c r="T1117" s="105"/>
      <c r="U1117" s="105"/>
      <c r="V1117" s="105"/>
      <c r="W1117" s="105"/>
      <c r="X1117" s="105"/>
      <c r="Y1117" s="105"/>
      <c r="Z1117" s="105"/>
    </row>
    <row r="1118">
      <c r="A1118" s="105"/>
      <c r="B1118" s="105"/>
      <c r="C1118" s="105"/>
      <c r="D1118" s="105"/>
      <c r="E1118" s="105"/>
      <c r="F1118" s="105"/>
      <c r="G1118" s="105"/>
      <c r="H1118" s="105"/>
      <c r="I1118" s="105"/>
      <c r="J1118" s="105"/>
      <c r="K1118" s="105"/>
      <c r="L1118" s="105"/>
      <c r="M1118" s="105"/>
      <c r="N1118" s="105"/>
      <c r="O1118" s="105"/>
      <c r="P1118" s="105" t="str">
        <f>IFERROR(__xludf.DUMMYFUNCTION("""COMPUTED_VALUE"""),"suggestion::style::change")</f>
        <v>suggestion::style::change</v>
      </c>
      <c r="Q1118" s="105"/>
      <c r="R1118" s="105"/>
      <c r="S1118" s="105"/>
      <c r="T1118" s="105"/>
      <c r="U1118" s="105"/>
      <c r="V1118" s="105"/>
      <c r="W1118" s="105"/>
      <c r="X1118" s="105"/>
      <c r="Y1118" s="105"/>
      <c r="Z1118" s="105"/>
    </row>
    <row r="1119">
      <c r="A1119" s="105"/>
      <c r="B1119" s="105"/>
      <c r="C1119" s="105"/>
      <c r="D1119" s="105"/>
      <c r="E1119" s="105"/>
      <c r="F1119" s="105"/>
      <c r="G1119" s="105"/>
      <c r="H1119" s="105"/>
      <c r="I1119" s="105"/>
      <c r="J1119" s="105"/>
      <c r="K1119" s="105"/>
      <c r="L1119" s="105"/>
      <c r="M1119" s="105"/>
      <c r="N1119" s="105"/>
      <c r="O1119" s="105"/>
      <c r="P1119" s="105" t="str">
        <f>IFERROR(__xludf.DUMMYFUNCTION("""COMPUTED_VALUE"""),"suggestion::style::change::(commit::message::clearness)")</f>
        <v>suggestion::style::change::(commit::message::clearness)</v>
      </c>
      <c r="Q1119" s="105"/>
      <c r="R1119" s="105"/>
      <c r="S1119" s="105"/>
      <c r="T1119" s="105"/>
      <c r="U1119" s="105"/>
      <c r="V1119" s="105"/>
      <c r="W1119" s="105"/>
      <c r="X1119" s="105"/>
      <c r="Y1119" s="105"/>
      <c r="Z1119" s="105"/>
    </row>
    <row r="1120">
      <c r="A1120" s="105"/>
      <c r="B1120" s="105"/>
      <c r="C1120" s="105"/>
      <c r="D1120" s="105"/>
      <c r="E1120" s="105"/>
      <c r="F1120" s="105"/>
      <c r="G1120" s="105"/>
      <c r="H1120" s="105"/>
      <c r="I1120" s="105"/>
      <c r="J1120" s="105"/>
      <c r="K1120" s="105"/>
      <c r="L1120" s="105"/>
      <c r="M1120" s="105"/>
      <c r="N1120" s="105"/>
      <c r="O1120" s="105"/>
      <c r="P1120" s="105" t="str">
        <f>IFERROR(__xludf.DUMMYFUNCTION("""COMPUTED_VALUE"""),"suggestion::style::change::(commit::message)")</f>
        <v>suggestion::style::change::(commit::message)</v>
      </c>
      <c r="Q1120" s="105"/>
      <c r="R1120" s="105"/>
      <c r="S1120" s="105"/>
      <c r="T1120" s="105"/>
      <c r="U1120" s="105"/>
      <c r="V1120" s="105"/>
      <c r="W1120" s="105"/>
      <c r="X1120" s="105"/>
      <c r="Y1120" s="105"/>
      <c r="Z1120" s="105"/>
    </row>
    <row r="1121">
      <c r="A1121" s="105"/>
      <c r="B1121" s="105"/>
      <c r="C1121" s="105"/>
      <c r="D1121" s="105"/>
      <c r="E1121" s="105"/>
      <c r="F1121" s="105"/>
      <c r="G1121" s="105"/>
      <c r="H1121" s="105"/>
      <c r="I1121" s="105"/>
      <c r="J1121" s="105"/>
      <c r="K1121" s="105"/>
      <c r="L1121" s="105"/>
      <c r="M1121" s="105"/>
      <c r="N1121" s="105"/>
      <c r="O1121" s="105"/>
      <c r="P1121" s="105" t="str">
        <f>IFERROR(__xludf.DUMMYFUNCTION("""COMPUTED_VALUE"""),"suggestion::to::change::the::change::from::BP::to::a::bug::fix")</f>
        <v>suggestion::to::change::the::change::from::BP::to::a::bug::fix</v>
      </c>
      <c r="Q1121" s="105"/>
      <c r="R1121" s="105"/>
      <c r="S1121" s="105"/>
      <c r="T1121" s="105"/>
      <c r="U1121" s="105"/>
      <c r="V1121" s="105"/>
      <c r="W1121" s="105"/>
      <c r="X1121" s="105"/>
      <c r="Y1121" s="105"/>
      <c r="Z1121" s="105"/>
    </row>
    <row r="1122">
      <c r="A1122" s="105"/>
      <c r="B1122" s="105"/>
      <c r="C1122" s="105"/>
      <c r="D1122" s="105"/>
      <c r="E1122" s="105"/>
      <c r="F1122" s="105"/>
      <c r="G1122" s="105"/>
      <c r="H1122" s="105"/>
      <c r="I1122" s="105"/>
      <c r="J1122" s="105"/>
      <c r="K1122" s="105"/>
      <c r="L1122" s="105"/>
      <c r="M1122" s="105"/>
      <c r="N1122" s="105"/>
      <c r="O1122" s="105"/>
      <c r="P1122" s="105" t="str">
        <f>IFERROR(__xludf.DUMMYFUNCTION("""COMPUTED_VALUE"""),"suggestion::wrong::label")</f>
        <v>suggestion::wrong::label</v>
      </c>
      <c r="Q1122" s="105"/>
      <c r="R1122" s="105"/>
      <c r="S1122" s="105"/>
      <c r="T1122" s="105"/>
      <c r="U1122" s="105"/>
      <c r="V1122" s="105"/>
      <c r="W1122" s="105"/>
      <c r="X1122" s="105"/>
      <c r="Y1122" s="105"/>
      <c r="Z1122" s="105"/>
    </row>
    <row r="1123">
      <c r="A1123" s="105"/>
      <c r="B1123" s="105"/>
      <c r="C1123" s="105"/>
      <c r="D1123" s="105"/>
      <c r="E1123" s="105"/>
      <c r="F1123" s="105"/>
      <c r="G1123" s="105"/>
      <c r="H1123" s="105"/>
      <c r="I1123" s="105"/>
      <c r="J1123" s="105"/>
      <c r="K1123" s="105"/>
      <c r="L1123" s="105"/>
      <c r="M1123" s="105"/>
      <c r="N1123" s="105"/>
      <c r="O1123" s="105"/>
      <c r="P1123" s="105" t="str">
        <f>IFERROR(__xludf.DUMMYFUNCTION("""COMPUTED_VALUE"""),"summary::of::the::bug(s)")</f>
        <v>summary::of::the::bug(s)</v>
      </c>
      <c r="Q1123" s="105"/>
      <c r="R1123" s="105"/>
      <c r="S1123" s="105"/>
      <c r="T1123" s="105"/>
      <c r="U1123" s="105"/>
      <c r="V1123" s="105"/>
      <c r="W1123" s="105"/>
      <c r="X1123" s="105"/>
      <c r="Y1123" s="105"/>
      <c r="Z1123" s="105"/>
    </row>
    <row r="1124">
      <c r="A1124" s="105"/>
      <c r="B1124" s="105"/>
      <c r="C1124" s="105"/>
      <c r="D1124" s="105"/>
      <c r="E1124" s="105"/>
      <c r="F1124" s="105"/>
      <c r="G1124" s="105"/>
      <c r="H1124" s="105"/>
      <c r="I1124" s="105"/>
      <c r="J1124" s="105"/>
      <c r="K1124" s="105"/>
      <c r="L1124" s="105"/>
      <c r="M1124" s="105"/>
      <c r="N1124" s="105"/>
      <c r="O1124" s="105"/>
      <c r="P1124" s="105" t="str">
        <f>IFERROR(__xludf.DUMMYFUNCTION("""COMPUTED_VALUE"""),"summary::of::the::changes")</f>
        <v>summary::of::the::changes</v>
      </c>
      <c r="Q1124" s="105"/>
      <c r="R1124" s="105"/>
      <c r="S1124" s="105"/>
      <c r="T1124" s="105"/>
      <c r="U1124" s="105"/>
      <c r="V1124" s="105"/>
      <c r="W1124" s="105"/>
      <c r="X1124" s="105"/>
      <c r="Y1124" s="105"/>
      <c r="Z1124" s="105"/>
    </row>
    <row r="1125">
      <c r="A1125" s="105"/>
      <c r="B1125" s="105"/>
      <c r="C1125" s="105"/>
      <c r="D1125" s="105"/>
      <c r="E1125" s="105"/>
      <c r="F1125" s="105"/>
      <c r="G1125" s="105"/>
      <c r="H1125" s="105"/>
      <c r="I1125" s="105"/>
      <c r="J1125" s="105"/>
      <c r="K1125" s="105"/>
      <c r="L1125" s="105"/>
      <c r="M1125" s="105"/>
      <c r="N1125" s="105"/>
      <c r="O1125" s="105"/>
      <c r="P1125" s="105" t="str">
        <f>IFERROR(__xludf.DUMMYFUNCTION("""COMPUTED_VALUE"""),"summary::of::the::patch::sets")</f>
        <v>summary::of::the::patch::sets</v>
      </c>
      <c r="Q1125" s="105"/>
      <c r="R1125" s="105"/>
      <c r="S1125" s="105"/>
      <c r="T1125" s="105"/>
      <c r="U1125" s="105"/>
      <c r="V1125" s="105"/>
      <c r="W1125" s="105"/>
      <c r="X1125" s="105"/>
      <c r="Y1125" s="105"/>
      <c r="Z1125" s="105"/>
    </row>
    <row r="1126">
      <c r="A1126" s="105"/>
      <c r="B1126" s="105"/>
      <c r="C1126" s="105"/>
      <c r="D1126" s="105"/>
      <c r="E1126" s="105"/>
      <c r="F1126" s="105"/>
      <c r="G1126" s="105"/>
      <c r="H1126" s="105"/>
      <c r="I1126" s="105"/>
      <c r="J1126" s="105"/>
      <c r="K1126" s="105"/>
      <c r="L1126" s="105"/>
      <c r="M1126" s="105"/>
      <c r="N1126" s="105"/>
      <c r="O1126" s="105"/>
      <c r="P1126" s="105" t="str">
        <f>IFERROR(__xludf.DUMMYFUNCTION("""COMPUTED_VALUE"""),"support::clarification::about::code::(a::different::approach::than::existing::one)")</f>
        <v>support::clarification::about::code::(a::different::approach::than::existing::one)</v>
      </c>
      <c r="Q1126" s="105"/>
      <c r="R1126" s="105"/>
      <c r="S1126" s="105"/>
      <c r="T1126" s="105"/>
      <c r="U1126" s="105"/>
      <c r="V1126" s="105"/>
      <c r="W1126" s="105"/>
      <c r="X1126" s="105"/>
      <c r="Y1126" s="105"/>
      <c r="Z1126" s="105"/>
    </row>
    <row r="1127">
      <c r="A1127" s="105"/>
      <c r="B1127" s="105"/>
      <c r="C1127" s="105"/>
      <c r="D1127" s="105"/>
      <c r="E1127" s="105"/>
      <c r="F1127" s="105"/>
      <c r="G1127" s="105"/>
      <c r="H1127" s="105"/>
      <c r="I1127" s="105"/>
      <c r="J1127" s="105"/>
      <c r="K1127" s="105"/>
      <c r="L1127" s="105"/>
      <c r="M1127" s="105"/>
      <c r="N1127" s="105"/>
      <c r="O1127" s="105"/>
      <c r="P1127" s="105" t="str">
        <f>IFERROR(__xludf.DUMMYFUNCTION("""COMPUTED_VALUE"""),"support::objecting::suggestion::change::(design::extension)")</f>
        <v>support::objecting::suggestion::change::(design::extension)</v>
      </c>
      <c r="Q1127" s="105"/>
      <c r="R1127" s="105"/>
      <c r="S1127" s="105"/>
      <c r="T1127" s="105"/>
      <c r="U1127" s="105"/>
      <c r="V1127" s="105"/>
      <c r="W1127" s="105"/>
      <c r="X1127" s="105"/>
      <c r="Y1127" s="105"/>
      <c r="Z1127" s="105"/>
    </row>
    <row r="1128">
      <c r="A1128" s="105"/>
      <c r="B1128" s="105"/>
      <c r="C1128" s="105"/>
      <c r="D1128" s="105"/>
      <c r="E1128" s="105"/>
      <c r="F1128" s="105"/>
      <c r="G1128" s="105"/>
      <c r="H1128" s="105"/>
      <c r="I1128" s="105"/>
      <c r="J1128" s="105"/>
      <c r="K1128" s="105"/>
      <c r="L1128" s="105"/>
      <c r="M1128" s="105"/>
      <c r="N1128" s="105"/>
      <c r="O1128" s="105"/>
      <c r="P1128" s="105" t="str">
        <f>IFERROR(__xludf.DUMMYFUNCTION("""COMPUTED_VALUE"""),"support::objecting::suggestion::change::(wrong::logic)*")</f>
        <v>support::objecting::suggestion::change::(wrong::logic)*</v>
      </c>
      <c r="Q1128" s="105"/>
      <c r="R1128" s="105"/>
      <c r="S1128" s="105"/>
      <c r="T1128" s="105"/>
      <c r="U1128" s="105"/>
      <c r="V1128" s="105"/>
      <c r="W1128" s="105"/>
      <c r="X1128" s="105"/>
      <c r="Y1128" s="105"/>
      <c r="Z1128" s="105"/>
    </row>
    <row r="1129">
      <c r="A1129" s="105"/>
      <c r="B1129" s="105"/>
      <c r="C1129" s="105"/>
      <c r="D1129" s="105"/>
      <c r="E1129" s="105"/>
      <c r="F1129" s="105"/>
      <c r="G1129" s="105"/>
      <c r="H1129" s="105"/>
      <c r="I1129" s="105"/>
      <c r="J1129" s="105"/>
      <c r="K1129" s="105"/>
      <c r="L1129" s="105"/>
      <c r="M1129" s="105"/>
      <c r="N1129" s="105"/>
      <c r="O1129" s="105"/>
      <c r="P1129" s="105" t="str">
        <f>IFERROR(__xludf.DUMMYFUNCTION("""COMPUTED_VALUE"""),"support::providing::clarification::about::code::(need::of::config::parameters)")</f>
        <v>support::providing::clarification::about::code::(need::of::config::parameters)</v>
      </c>
      <c r="Q1129" s="105"/>
      <c r="R1129" s="105"/>
      <c r="S1129" s="105"/>
      <c r="T1129" s="105"/>
      <c r="U1129" s="105"/>
      <c r="V1129" s="105"/>
      <c r="W1129" s="105"/>
      <c r="X1129" s="105"/>
      <c r="Y1129" s="105"/>
      <c r="Z1129" s="105"/>
    </row>
    <row r="1130">
      <c r="A1130" s="105"/>
      <c r="B1130" s="105"/>
      <c r="C1130" s="105"/>
      <c r="D1130" s="105"/>
      <c r="E1130" s="105"/>
      <c r="F1130" s="105"/>
      <c r="G1130" s="105"/>
      <c r="H1130" s="105"/>
      <c r="I1130" s="105"/>
      <c r="J1130" s="105"/>
      <c r="K1130" s="105"/>
      <c r="L1130" s="105"/>
      <c r="M1130" s="105"/>
      <c r="N1130" s="105"/>
      <c r="O1130" s="105"/>
      <c r="P1130" s="105" t="str">
        <f>IFERROR(__xludf.DUMMYFUNCTION("""COMPUTED_VALUE"""),"support::suggestion::change::(add::functionallity)")</f>
        <v>support::suggestion::change::(add::functionallity)</v>
      </c>
      <c r="Q1130" s="105"/>
      <c r="R1130" s="105"/>
      <c r="S1130" s="105"/>
      <c r="T1130" s="105"/>
      <c r="U1130" s="105"/>
      <c r="V1130" s="105"/>
      <c r="W1130" s="105"/>
      <c r="X1130" s="105"/>
      <c r="Y1130" s="105"/>
      <c r="Z1130" s="105"/>
    </row>
    <row r="1131">
      <c r="A1131" s="105"/>
      <c r="B1131" s="105"/>
      <c r="C1131" s="105"/>
      <c r="D1131" s="105"/>
      <c r="E1131" s="105"/>
      <c r="F1131" s="105"/>
      <c r="G1131" s="105"/>
      <c r="H1131" s="105"/>
      <c r="I1131" s="105"/>
      <c r="J1131" s="105"/>
      <c r="K1131" s="105"/>
      <c r="L1131" s="105"/>
      <c r="M1131" s="105"/>
      <c r="N1131" s="105"/>
      <c r="O1131" s="105"/>
      <c r="P1131" s="105" t="str">
        <f>IFERROR(__xludf.DUMMYFUNCTION("""COMPUTED_VALUE"""),"support::suggestion::change::(design::extension)")</f>
        <v>support::suggestion::change::(design::extension)</v>
      </c>
      <c r="Q1131" s="105"/>
      <c r="R1131" s="105"/>
      <c r="S1131" s="105"/>
      <c r="T1131" s="105"/>
      <c r="U1131" s="105"/>
      <c r="V1131" s="105"/>
      <c r="W1131" s="105"/>
      <c r="X1131" s="105"/>
      <c r="Y1131" s="105"/>
      <c r="Z1131" s="105"/>
    </row>
    <row r="1132">
      <c r="A1132" s="105"/>
      <c r="B1132" s="105"/>
      <c r="C1132" s="105"/>
      <c r="D1132" s="105"/>
      <c r="E1132" s="105"/>
      <c r="F1132" s="105"/>
      <c r="G1132" s="105"/>
      <c r="H1132" s="105"/>
      <c r="I1132" s="105"/>
      <c r="J1132" s="105"/>
      <c r="K1132" s="105"/>
      <c r="L1132" s="105"/>
      <c r="M1132" s="105"/>
      <c r="N1132" s="105"/>
      <c r="O1132" s="105"/>
      <c r="P1132" s="105" t="str">
        <f>IFERROR(__xludf.DUMMYFUNCTION("""COMPUTED_VALUE"""),"support::suggestion::change::(wrong::logic)*")</f>
        <v>support::suggestion::change::(wrong::logic)*</v>
      </c>
      <c r="Q1132" s="105"/>
      <c r="R1132" s="105"/>
      <c r="S1132" s="105"/>
      <c r="T1132" s="105"/>
      <c r="U1132" s="105"/>
      <c r="V1132" s="105"/>
      <c r="W1132" s="105"/>
      <c r="X1132" s="105"/>
      <c r="Y1132" s="105"/>
      <c r="Z1132" s="105"/>
    </row>
    <row r="1133">
      <c r="A1133" s="105"/>
      <c r="B1133" s="105"/>
      <c r="C1133" s="105"/>
      <c r="D1133" s="105"/>
      <c r="E1133" s="105"/>
      <c r="F1133" s="105"/>
      <c r="G1133" s="105"/>
      <c r="H1133" s="105"/>
      <c r="I1133" s="105"/>
      <c r="J1133" s="105"/>
      <c r="K1133" s="105"/>
      <c r="L1133" s="105"/>
      <c r="M1133" s="105"/>
      <c r="N1133" s="105"/>
      <c r="O1133" s="105"/>
      <c r="P1133" s="105" t="str">
        <f>IFERROR(__xludf.DUMMYFUNCTION("""COMPUTED_VALUE"""),"support::suggestion::refactoring::(how::often::log)")</f>
        <v>support::suggestion::refactoring::(how::often::log)</v>
      </c>
      <c r="Q1133" s="105"/>
      <c r="R1133" s="105"/>
      <c r="S1133" s="105"/>
      <c r="T1133" s="105"/>
      <c r="U1133" s="105"/>
      <c r="V1133" s="105"/>
      <c r="W1133" s="105"/>
      <c r="X1133" s="105"/>
      <c r="Y1133" s="105"/>
      <c r="Z1133" s="105"/>
    </row>
    <row r="1134">
      <c r="A1134" s="105"/>
      <c r="B1134" s="105"/>
      <c r="C1134" s="105"/>
      <c r="D1134" s="105"/>
      <c r="E1134" s="105"/>
      <c r="F1134" s="105"/>
      <c r="G1134" s="105"/>
      <c r="H1134" s="105"/>
      <c r="I1134" s="105"/>
      <c r="J1134" s="105"/>
      <c r="K1134" s="105"/>
      <c r="L1134" s="105"/>
      <c r="M1134" s="105"/>
      <c r="N1134" s="105"/>
      <c r="O1134" s="105"/>
      <c r="P1134" s="105" t="str">
        <f>IFERROR(__xludf.DUMMYFUNCTION("""COMPUTED_VALUE"""),"support::suggestion::refactoring::(move::logic::parent::class::instead::of::sub::classes)")</f>
        <v>support::suggestion::refactoring::(move::logic::parent::class::instead::of::sub::classes)</v>
      </c>
      <c r="Q1134" s="105"/>
      <c r="R1134" s="105"/>
      <c r="S1134" s="105"/>
      <c r="T1134" s="105"/>
      <c r="U1134" s="105"/>
      <c r="V1134" s="105"/>
      <c r="W1134" s="105"/>
      <c r="X1134" s="105"/>
      <c r="Y1134" s="105"/>
      <c r="Z1134" s="105"/>
    </row>
    <row r="1135">
      <c r="A1135" s="105"/>
      <c r="B1135" s="105"/>
      <c r="C1135" s="105"/>
      <c r="D1135" s="105"/>
      <c r="E1135" s="105"/>
      <c r="F1135" s="105"/>
      <c r="G1135" s="105"/>
      <c r="H1135" s="105"/>
      <c r="I1135" s="105"/>
      <c r="J1135" s="105"/>
      <c r="K1135" s="105"/>
      <c r="L1135" s="105"/>
      <c r="M1135" s="105"/>
      <c r="N1135" s="105"/>
      <c r="O1135" s="105"/>
      <c r="P1135" s="105" t="str">
        <f>IFERROR(__xludf.DUMMYFUNCTION("""COMPUTED_VALUE"""),"support::suggestion::refactoring::(simpler::code)::with::code")</f>
        <v>support::suggestion::refactoring::(simpler::code)::with::code</v>
      </c>
      <c r="Q1135" s="105"/>
      <c r="R1135" s="105"/>
      <c r="S1135" s="105"/>
      <c r="T1135" s="105"/>
      <c r="U1135" s="105"/>
      <c r="V1135" s="105"/>
      <c r="W1135" s="105"/>
      <c r="X1135" s="105"/>
      <c r="Y1135" s="105"/>
      <c r="Z1135" s="105"/>
    </row>
    <row r="1136">
      <c r="A1136" s="105"/>
      <c r="B1136" s="105"/>
      <c r="C1136" s="105"/>
      <c r="D1136" s="105"/>
      <c r="E1136" s="105"/>
      <c r="F1136" s="105"/>
      <c r="G1136" s="105"/>
      <c r="H1136" s="105"/>
      <c r="I1136" s="105"/>
      <c r="J1136" s="105"/>
      <c r="K1136" s="105"/>
      <c r="L1136" s="105"/>
      <c r="M1136" s="105"/>
      <c r="N1136" s="105"/>
      <c r="O1136" s="105"/>
      <c r="P1136" s="105" t="str">
        <f>IFERROR(__xludf.DUMMYFUNCTION("""COMPUTED_VALUE"""),"supporting::objecting::suggestion::change::(move::logic)")</f>
        <v>supporting::objecting::suggestion::change::(move::logic)</v>
      </c>
      <c r="Q1136" s="105"/>
      <c r="R1136" s="105"/>
      <c r="S1136" s="105"/>
      <c r="T1136" s="105"/>
      <c r="U1136" s="105"/>
      <c r="V1136" s="105"/>
      <c r="W1136" s="105"/>
      <c r="X1136" s="105"/>
      <c r="Y1136" s="105"/>
      <c r="Z1136" s="105"/>
    </row>
    <row r="1137">
      <c r="A1137" s="105"/>
      <c r="B1137" s="105"/>
      <c r="C1137" s="105"/>
      <c r="D1137" s="105"/>
      <c r="E1137" s="105"/>
      <c r="F1137" s="105"/>
      <c r="G1137" s="105"/>
      <c r="H1137" s="105"/>
      <c r="I1137" s="105"/>
      <c r="J1137" s="105"/>
      <c r="K1137" s="105"/>
      <c r="L1137" s="105"/>
      <c r="M1137" s="105"/>
      <c r="N1137" s="105"/>
      <c r="O1137" s="105"/>
      <c r="P1137" s="105" t="str">
        <f>IFERROR(__xludf.DUMMYFUNCTION("""COMPUTED_VALUE"""),"test::implications")</f>
        <v>test::implications</v>
      </c>
      <c r="Q1137" s="105"/>
      <c r="R1137" s="105"/>
      <c r="S1137" s="105"/>
      <c r="T1137" s="105"/>
      <c r="U1137" s="105"/>
      <c r="V1137" s="105"/>
      <c r="W1137" s="105"/>
      <c r="X1137" s="105"/>
      <c r="Y1137" s="105"/>
      <c r="Z1137" s="105"/>
    </row>
    <row r="1138">
      <c r="A1138" s="105"/>
      <c r="B1138" s="105"/>
      <c r="C1138" s="105"/>
      <c r="D1138" s="105"/>
      <c r="E1138" s="105"/>
      <c r="F1138" s="105"/>
      <c r="G1138" s="105"/>
      <c r="H1138" s="105"/>
      <c r="I1138" s="105"/>
      <c r="J1138" s="105"/>
      <c r="K1138" s="105"/>
      <c r="L1138" s="105"/>
      <c r="M1138" s="105"/>
      <c r="N1138" s="105"/>
      <c r="O1138" s="105"/>
      <c r="P1138" s="105" t="str">
        <f>IFERROR(__xludf.DUMMYFUNCTION("""COMPUTED_VALUE"""),"test::results::(unit::tests)")</f>
        <v>test::results::(unit::tests)</v>
      </c>
      <c r="Q1138" s="105"/>
      <c r="R1138" s="105"/>
      <c r="S1138" s="105"/>
      <c r="T1138" s="105"/>
      <c r="U1138" s="105"/>
      <c r="V1138" s="105"/>
      <c r="W1138" s="105"/>
      <c r="X1138" s="105"/>
      <c r="Y1138" s="105"/>
      <c r="Z1138" s="105"/>
    </row>
    <row r="1139">
      <c r="A1139" s="105"/>
      <c r="B1139" s="105"/>
      <c r="C1139" s="105"/>
      <c r="D1139" s="105"/>
      <c r="E1139" s="105"/>
      <c r="F1139" s="105"/>
      <c r="G1139" s="105"/>
      <c r="H1139" s="105"/>
      <c r="I1139" s="105"/>
      <c r="J1139" s="105"/>
      <c r="K1139" s="105"/>
      <c r="L1139" s="105"/>
      <c r="M1139" s="105"/>
      <c r="N1139" s="105"/>
      <c r="O1139" s="105"/>
      <c r="P1139" s="105" t="str">
        <f>IFERROR(__xludf.DUMMYFUNCTION("""COMPUTED_VALUE"""),"thanking::for::fix")</f>
        <v>thanking::for::fix</v>
      </c>
      <c r="Q1139" s="105"/>
      <c r="R1139" s="105"/>
      <c r="S1139" s="105"/>
      <c r="T1139" s="105"/>
      <c r="U1139" s="105"/>
      <c r="V1139" s="105"/>
      <c r="W1139" s="105"/>
      <c r="X1139" s="105"/>
      <c r="Y1139" s="105"/>
      <c r="Z1139" s="105"/>
    </row>
    <row r="1140">
      <c r="A1140" s="105"/>
      <c r="B1140" s="105"/>
      <c r="C1140" s="105"/>
      <c r="D1140" s="105"/>
      <c r="E1140" s="105"/>
      <c r="F1140" s="105"/>
      <c r="G1140" s="105"/>
      <c r="H1140" s="105"/>
      <c r="I1140" s="105"/>
      <c r="J1140" s="105"/>
      <c r="K1140" s="105"/>
      <c r="L1140" s="105"/>
      <c r="M1140" s="105"/>
      <c r="N1140" s="105"/>
      <c r="O1140" s="105"/>
      <c r="P1140" s="105" t="str">
        <f>IFERROR(__xludf.DUMMYFUNCTION("""COMPUTED_VALUE"""),"thanking::for::reply")</f>
        <v>thanking::for::reply</v>
      </c>
      <c r="Q1140" s="105"/>
      <c r="R1140" s="105"/>
      <c r="S1140" s="105"/>
      <c r="T1140" s="105"/>
      <c r="U1140" s="105"/>
      <c r="V1140" s="105"/>
      <c r="W1140" s="105"/>
      <c r="X1140" s="105"/>
      <c r="Y1140" s="105"/>
      <c r="Z1140" s="105"/>
    </row>
    <row r="1141">
      <c r="A1141" s="105"/>
      <c r="B1141" s="105"/>
      <c r="C1141" s="105"/>
      <c r="D1141" s="105"/>
      <c r="E1141" s="105"/>
      <c r="F1141" s="105"/>
      <c r="G1141" s="105"/>
      <c r="H1141" s="105"/>
      <c r="I1141" s="105"/>
      <c r="J1141" s="105"/>
      <c r="K1141" s="105"/>
      <c r="L1141" s="105"/>
      <c r="M1141" s="105"/>
      <c r="N1141" s="105"/>
      <c r="O1141" s="105"/>
      <c r="P1141" s="105" t="str">
        <f>IFERROR(__xludf.DUMMYFUNCTION("""COMPUTED_VALUE"""),"thanking::for::review")</f>
        <v>thanking::for::review</v>
      </c>
      <c r="Q1141" s="105"/>
      <c r="R1141" s="105"/>
      <c r="S1141" s="105"/>
      <c r="T1141" s="105"/>
      <c r="U1141" s="105"/>
      <c r="V1141" s="105"/>
      <c r="W1141" s="105"/>
      <c r="X1141" s="105"/>
      <c r="Y1141" s="105"/>
      <c r="Z1141" s="105"/>
    </row>
    <row r="1142">
      <c r="A1142" s="105"/>
      <c r="B1142" s="105"/>
      <c r="C1142" s="105"/>
      <c r="D1142" s="105"/>
      <c r="E1142" s="105"/>
      <c r="F1142" s="105"/>
      <c r="G1142" s="105"/>
      <c r="H1142" s="105"/>
      <c r="I1142" s="105"/>
      <c r="J1142" s="105"/>
      <c r="K1142" s="105"/>
      <c r="L1142" s="105"/>
      <c r="M1142" s="105"/>
      <c r="N1142" s="105"/>
      <c r="O1142" s="105"/>
      <c r="P1142" s="105" t="str">
        <f>IFERROR(__xludf.DUMMYFUNCTION("""COMPUTED_VALUE"""),"trivial::fix")</f>
        <v>trivial::fix</v>
      </c>
      <c r="Q1142" s="105"/>
      <c r="R1142" s="105"/>
      <c r="S1142" s="105"/>
      <c r="T1142" s="105"/>
      <c r="U1142" s="105"/>
      <c r="V1142" s="105"/>
      <c r="W1142" s="105"/>
      <c r="X1142" s="105"/>
      <c r="Y1142" s="105"/>
      <c r="Z1142" s="105"/>
    </row>
    <row r="1143">
      <c r="A1143" s="105"/>
      <c r="B1143" s="105"/>
      <c r="C1143" s="105"/>
      <c r="D1143" s="105"/>
      <c r="E1143" s="105"/>
      <c r="F1143" s="105"/>
      <c r="G1143" s="105"/>
      <c r="H1143" s="105"/>
      <c r="I1143" s="105"/>
      <c r="J1143" s="105"/>
      <c r="K1143" s="105"/>
      <c r="L1143" s="105"/>
      <c r="M1143" s="105"/>
      <c r="N1143" s="105"/>
      <c r="O1143" s="105"/>
      <c r="P1143" s="105" t="str">
        <f>IFERROR(__xludf.DUMMYFUNCTION("""COMPUTED_VALUE"""),"use::of::acronyms::(e.g.,::ditto::same::as::above):.to::repeat::comment")</f>
        <v>use::of::acronyms::(e.g.,::ditto::same::as::above):.to::repeat::comment</v>
      </c>
      <c r="Q1143" s="105"/>
      <c r="R1143" s="105"/>
      <c r="S1143" s="105"/>
      <c r="T1143" s="105"/>
      <c r="U1143" s="105"/>
      <c r="V1143" s="105"/>
      <c r="W1143" s="105"/>
      <c r="X1143" s="105"/>
      <c r="Y1143" s="105"/>
      <c r="Z1143" s="105"/>
    </row>
    <row r="1144">
      <c r="A1144" s="105"/>
      <c r="B1144" s="105"/>
      <c r="C1144" s="105"/>
      <c r="D1144" s="105"/>
      <c r="E1144" s="105"/>
      <c r="F1144" s="105"/>
      <c r="G1144" s="105"/>
      <c r="H1144" s="105"/>
      <c r="I1144" s="105"/>
      <c r="J1144" s="105"/>
      <c r="K1144" s="105"/>
      <c r="L1144" s="105"/>
      <c r="M1144" s="105"/>
      <c r="N1144" s="105"/>
      <c r="O1144" s="105"/>
      <c r="P1144" s="105" t="str">
        <f>IFERROR(__xludf.DUMMYFUNCTION("""COMPUTED_VALUE"""),"wait::for::feature::freeze::(FFE)")</f>
        <v>wait::for::feature::freeze::(FFE)</v>
      </c>
      <c r="Q1144" s="105"/>
      <c r="R1144" s="105"/>
      <c r="S1144" s="105"/>
      <c r="T1144" s="105"/>
      <c r="U1144" s="105"/>
      <c r="V1144" s="105"/>
      <c r="W1144" s="105"/>
      <c r="X1144" s="105"/>
      <c r="Y1144" s="105"/>
      <c r="Z1144" s="105"/>
    </row>
    <row r="1145">
      <c r="A1145" s="105"/>
      <c r="B1145" s="105"/>
      <c r="C1145" s="105"/>
      <c r="D1145" s="105"/>
      <c r="E1145" s="105"/>
      <c r="F1145" s="105"/>
      <c r="G1145" s="105"/>
      <c r="H1145" s="105"/>
      <c r="I1145" s="105"/>
      <c r="J1145" s="105"/>
      <c r="K1145" s="105"/>
      <c r="L1145" s="105"/>
      <c r="M1145" s="105"/>
      <c r="N1145" s="105"/>
      <c r="O1145" s="105"/>
      <c r="P1145" s="105" t="str">
        <f>IFERROR(__xludf.DUMMYFUNCTION("""COMPUTED_VALUE"""),"wait::for::issue::approval::(BP)")</f>
        <v>wait::for::issue::approval::(BP)</v>
      </c>
      <c r="Q1145" s="105"/>
      <c r="R1145" s="105"/>
      <c r="S1145" s="105"/>
      <c r="T1145" s="105"/>
      <c r="U1145" s="105"/>
      <c r="V1145" s="105"/>
      <c r="W1145" s="105"/>
      <c r="X1145" s="105"/>
      <c r="Y1145" s="105"/>
      <c r="Z1145" s="105"/>
    </row>
    <row r="1146">
      <c r="A1146" s="105"/>
      <c r="B1146" s="105"/>
      <c r="C1146" s="105"/>
      <c r="D1146" s="105"/>
      <c r="E1146" s="105"/>
      <c r="F1146" s="105"/>
      <c r="G1146" s="105"/>
      <c r="H1146" s="105"/>
      <c r="I1146" s="105"/>
      <c r="J1146" s="105"/>
      <c r="K1146" s="105"/>
      <c r="L1146" s="105"/>
      <c r="M1146" s="105"/>
      <c r="N1146" s="105"/>
      <c r="O1146" s="105"/>
      <c r="P1146" s="105" t="str">
        <f>IFERROR(__xludf.DUMMYFUNCTION("""COMPUTED_VALUE"""),"wait::for::next::release")</f>
        <v>wait::for::next::release</v>
      </c>
      <c r="Q1146" s="105"/>
      <c r="R1146" s="105"/>
      <c r="S1146" s="105"/>
      <c r="T1146" s="105"/>
      <c r="U1146" s="105"/>
      <c r="V1146" s="105"/>
      <c r="W1146" s="105"/>
      <c r="X1146" s="105"/>
      <c r="Y1146" s="105"/>
      <c r="Z1146" s="105"/>
    </row>
    <row r="1147">
      <c r="A1147" s="105"/>
      <c r="B1147" s="105"/>
      <c r="C1147" s="105"/>
      <c r="D1147" s="105"/>
      <c r="E1147" s="105"/>
      <c r="F1147" s="105"/>
      <c r="G1147" s="105"/>
      <c r="H1147" s="105"/>
      <c r="I1147" s="105"/>
      <c r="J1147" s="105"/>
      <c r="K1147" s="105"/>
      <c r="L1147" s="105"/>
      <c r="M1147" s="105"/>
      <c r="N1147" s="105"/>
      <c r="O1147" s="105"/>
      <c r="P1147" s="105" t="str">
        <f>IFERROR(__xludf.DUMMYFUNCTION("""COMPUTED_VALUE"""),"wait::for::submitting::until::new::features::use::the::change")</f>
        <v>wait::for::submitting::until::new::features::use::the::change</v>
      </c>
      <c r="Q1147" s="105"/>
      <c r="R1147" s="105"/>
      <c r="S1147" s="105"/>
      <c r="T1147" s="105"/>
      <c r="U1147" s="105"/>
      <c r="V1147" s="105"/>
      <c r="W1147" s="105"/>
      <c r="X1147" s="105"/>
      <c r="Y1147" s="105"/>
      <c r="Z1147" s="105"/>
    </row>
    <row r="1148">
      <c r="A1148" s="105"/>
      <c r="B1148" s="105"/>
      <c r="C1148" s="105"/>
      <c r="D1148" s="105"/>
      <c r="E1148" s="105"/>
      <c r="F1148" s="105"/>
      <c r="G1148" s="105"/>
      <c r="H1148" s="105"/>
      <c r="I1148" s="105"/>
      <c r="J1148" s="105"/>
      <c r="K1148" s="105"/>
      <c r="L1148" s="105"/>
      <c r="M1148" s="105"/>
      <c r="N1148" s="105"/>
      <c r="O1148" s="105"/>
      <c r="P1148" s="105" t="str">
        <f>IFERROR(__xludf.DUMMYFUNCTION("""COMPUTED_VALUE"""),"wait::until::CI::(e.g.,Xenserver)::pass:.(green)::before::approval")</f>
        <v>wait::until::CI::(e.g.,Xenserver)::pass:.(green)::before::approval</v>
      </c>
      <c r="Q1148" s="105"/>
      <c r="R1148" s="105"/>
      <c r="S1148" s="105"/>
      <c r="T1148" s="105"/>
      <c r="U1148" s="105"/>
      <c r="V1148" s="105"/>
      <c r="W1148" s="105"/>
      <c r="X1148" s="105"/>
      <c r="Y1148" s="105"/>
      <c r="Z1148" s="105"/>
    </row>
    <row r="1149">
      <c r="A1149" s="105"/>
      <c r="B1149" s="105"/>
      <c r="C1149" s="105"/>
      <c r="D1149" s="105"/>
      <c r="E1149" s="105"/>
      <c r="F1149" s="105"/>
      <c r="G1149" s="105"/>
      <c r="H1149" s="105"/>
      <c r="I1149" s="105"/>
      <c r="J1149" s="105"/>
      <c r="K1149" s="105"/>
      <c r="L1149" s="105"/>
      <c r="M1149" s="105"/>
      <c r="N1149" s="105"/>
      <c r="O1149" s="105"/>
      <c r="P1149" s="105" t="str">
        <f>IFERROR(__xludf.DUMMYFUNCTION("""COMPUTED_VALUE"""),"wait::until::CI::pass")</f>
        <v>wait::until::CI::pass</v>
      </c>
      <c r="Q1149" s="105"/>
      <c r="R1149" s="105"/>
      <c r="S1149" s="105"/>
      <c r="T1149" s="105"/>
      <c r="U1149" s="105"/>
      <c r="V1149" s="105"/>
      <c r="W1149" s="105"/>
      <c r="X1149" s="105"/>
      <c r="Y1149" s="105"/>
      <c r="Z1149" s="105"/>
    </row>
    <row r="1150">
      <c r="A1150" s="105"/>
      <c r="B1150" s="105"/>
      <c r="C1150" s="105"/>
      <c r="D1150" s="105"/>
      <c r="E1150" s="105"/>
      <c r="F1150" s="105"/>
      <c r="G1150" s="105"/>
      <c r="H1150" s="105"/>
      <c r="I1150" s="105"/>
      <c r="J1150" s="105"/>
      <c r="K1150" s="105"/>
      <c r="L1150" s="105"/>
      <c r="M1150" s="105"/>
      <c r="N1150" s="105"/>
      <c r="O1150" s="105"/>
      <c r="P1150" s="105" t="str">
        <f>IFERROR(__xludf.DUMMYFUNCTION("""COMPUTED_VALUE"""),"waiting::for::fix")</f>
        <v>waiting::for::fix</v>
      </c>
      <c r="Q1150" s="105"/>
      <c r="R1150" s="105"/>
      <c r="S1150" s="105"/>
      <c r="T1150" s="105"/>
      <c r="U1150" s="105"/>
      <c r="V1150" s="105"/>
      <c r="W1150" s="105"/>
      <c r="X1150" s="105"/>
      <c r="Y1150" s="105"/>
      <c r="Z1150" s="105"/>
    </row>
    <row r="1151">
      <c r="A1151" s="105"/>
      <c r="B1151" s="105"/>
      <c r="C1151" s="105"/>
      <c r="D1151" s="105"/>
      <c r="E1151" s="105"/>
      <c r="F1151" s="105"/>
      <c r="G1151" s="105"/>
      <c r="H1151" s="105"/>
      <c r="I1151" s="105"/>
      <c r="J1151" s="105"/>
      <c r="K1151" s="105"/>
      <c r="L1151" s="105"/>
      <c r="M1151" s="105"/>
      <c r="N1151" s="105"/>
      <c r="O1151" s="105"/>
      <c r="P1151" s="105" t="str">
        <f>IFERROR(__xludf.DUMMYFUNCTION("""COMPUTED_VALUE"""),"waiting::for::patch::(other::blueprint)")</f>
        <v>waiting::for::patch::(other::blueprint)</v>
      </c>
      <c r="Q1151" s="105"/>
      <c r="R1151" s="105"/>
      <c r="S1151" s="105"/>
      <c r="T1151" s="105"/>
      <c r="U1151" s="105"/>
      <c r="V1151" s="105"/>
      <c r="W1151" s="105"/>
      <c r="X1151" s="105"/>
      <c r="Y1151" s="105"/>
      <c r="Z1151" s="105"/>
    </row>
    <row r="1152">
      <c r="A1152" s="105"/>
      <c r="B1152" s="105"/>
      <c r="C1152" s="105"/>
      <c r="D1152" s="105"/>
      <c r="E1152" s="105"/>
      <c r="F1152" s="105"/>
      <c r="G1152" s="105"/>
      <c r="H1152" s="105"/>
      <c r="I1152" s="105"/>
      <c r="J1152" s="105"/>
      <c r="K1152" s="105"/>
      <c r="L1152" s="105"/>
      <c r="M1152" s="105"/>
      <c r="N1152" s="105"/>
      <c r="O1152" s="105"/>
      <c r="P1152" s="105" t="str">
        <f>IFERROR(__xludf.DUMMYFUNCTION("""COMPUTED_VALUE"""),"waiting::for::patch::(other::review)")</f>
        <v>waiting::for::patch::(other::review)</v>
      </c>
      <c r="Q1152" s="105"/>
      <c r="R1152" s="105"/>
      <c r="S1152" s="105"/>
      <c r="T1152" s="105"/>
      <c r="U1152" s="105"/>
      <c r="V1152" s="105"/>
      <c r="W1152" s="105"/>
      <c r="X1152" s="105"/>
      <c r="Y1152" s="105"/>
      <c r="Z1152" s="105"/>
    </row>
    <row r="1153">
      <c r="A1153" s="105"/>
      <c r="B1153" s="105"/>
      <c r="C1153" s="105"/>
      <c r="D1153" s="105"/>
      <c r="E1153" s="105"/>
      <c r="F1153" s="105"/>
      <c r="G1153" s="105"/>
      <c r="H1153" s="105"/>
      <c r="I1153" s="105"/>
      <c r="J1153" s="105"/>
      <c r="K1153" s="105"/>
      <c r="L1153" s="105"/>
      <c r="M1153" s="105"/>
      <c r="N1153" s="105"/>
      <c r="O1153" s="105"/>
      <c r="P1153" s="105" t="str">
        <f>IFERROR(__xludf.DUMMYFUNCTION("""COMPUTED_VALUE"""),"who::signed::it::off")</f>
        <v>who::signed::it::off</v>
      </c>
      <c r="Q1153" s="105"/>
      <c r="R1153" s="105"/>
      <c r="S1153" s="105"/>
      <c r="T1153" s="105"/>
      <c r="U1153" s="105"/>
      <c r="V1153" s="105"/>
      <c r="W1153" s="105"/>
      <c r="X1153" s="105"/>
      <c r="Y1153" s="105"/>
      <c r="Z1153" s="105"/>
    </row>
    <row r="1154">
      <c r="A1154" s="105"/>
      <c r="B1154" s="105"/>
      <c r="C1154" s="105"/>
      <c r="D1154" s="105"/>
      <c r="E1154" s="105"/>
      <c r="F1154" s="105"/>
      <c r="G1154" s="105"/>
      <c r="H1154" s="105"/>
      <c r="I1154" s="105"/>
      <c r="J1154" s="105"/>
      <c r="K1154" s="105"/>
      <c r="L1154" s="105"/>
      <c r="M1154" s="105"/>
      <c r="N1154" s="105"/>
      <c r="O1154" s="105"/>
      <c r="P1154" s="105" t="str">
        <f>IFERROR(__xludf.DUMMYFUNCTION("""COMPUTED_VALUE"""),"x")</f>
        <v>x</v>
      </c>
      <c r="Q1154" s="105"/>
      <c r="R1154" s="105"/>
      <c r="S1154" s="105"/>
      <c r="T1154" s="105"/>
      <c r="U1154" s="105"/>
      <c r="V1154" s="105"/>
      <c r="W1154" s="105"/>
      <c r="X1154" s="105"/>
      <c r="Y1154" s="105"/>
      <c r="Z1154" s="105"/>
    </row>
    <row r="1155">
      <c r="A1155" s="105"/>
      <c r="B1155" s="105"/>
      <c r="C1155" s="105"/>
      <c r="D1155" s="105"/>
      <c r="E1155" s="105"/>
      <c r="F1155" s="105"/>
      <c r="G1155" s="105"/>
      <c r="H1155" s="105"/>
      <c r="I1155" s="105"/>
      <c r="J1155" s="105"/>
      <c r="K1155" s="105"/>
      <c r="L1155" s="105"/>
      <c r="M1155" s="105"/>
      <c r="N1155" s="105"/>
      <c r="O1155" s="105"/>
      <c r="P1155" s="105"/>
      <c r="Q1155" s="105"/>
      <c r="R1155" s="105"/>
      <c r="S1155" s="105"/>
      <c r="T1155" s="105"/>
      <c r="U1155" s="105"/>
      <c r="V1155" s="105"/>
      <c r="W1155" s="105"/>
      <c r="X1155" s="105"/>
      <c r="Y1155" s="105"/>
      <c r="Z1155" s="105"/>
    </row>
    <row r="1156">
      <c r="A1156" s="105"/>
      <c r="B1156" s="105"/>
      <c r="C1156" s="105"/>
      <c r="D1156" s="105"/>
      <c r="E1156" s="105"/>
      <c r="F1156" s="105"/>
      <c r="G1156" s="105"/>
      <c r="H1156" s="105"/>
      <c r="I1156" s="105"/>
      <c r="J1156" s="105"/>
      <c r="K1156" s="105"/>
      <c r="L1156" s="105"/>
      <c r="M1156" s="105"/>
      <c r="N1156" s="105"/>
      <c r="O1156" s="105"/>
      <c r="P1156" s="105"/>
      <c r="Q1156" s="105"/>
      <c r="R1156" s="105"/>
      <c r="S1156" s="105"/>
      <c r="T1156" s="105"/>
      <c r="U1156" s="105"/>
      <c r="V1156" s="105"/>
      <c r="W1156" s="105"/>
      <c r="X1156" s="105"/>
      <c r="Y1156" s="105"/>
      <c r="Z1156" s="105"/>
    </row>
    <row r="1157">
      <c r="A1157" s="105"/>
      <c r="B1157" s="105"/>
      <c r="C1157" s="105"/>
      <c r="D1157" s="105"/>
      <c r="E1157" s="105"/>
      <c r="F1157" s="105"/>
      <c r="G1157" s="105"/>
      <c r="H1157" s="105"/>
      <c r="I1157" s="105"/>
      <c r="J1157" s="105"/>
      <c r="K1157" s="105"/>
      <c r="L1157" s="105"/>
      <c r="M1157" s="105"/>
      <c r="N1157" s="105"/>
      <c r="O1157" s="105"/>
      <c r="P1157" s="105"/>
      <c r="Q1157" s="105"/>
      <c r="R1157" s="105"/>
      <c r="S1157" s="105"/>
      <c r="T1157" s="105"/>
      <c r="U1157" s="105"/>
      <c r="V1157" s="105"/>
      <c r="W1157" s="105"/>
      <c r="X1157" s="105"/>
      <c r="Y1157" s="105"/>
      <c r="Z1157" s="105"/>
    </row>
    <row r="1158">
      <c r="A1158" s="105"/>
      <c r="B1158" s="105"/>
      <c r="C1158" s="105"/>
      <c r="D1158" s="105"/>
      <c r="E1158" s="105"/>
      <c r="F1158" s="105"/>
      <c r="G1158" s="105"/>
      <c r="H1158" s="105"/>
      <c r="I1158" s="105"/>
      <c r="J1158" s="105"/>
      <c r="K1158" s="105"/>
      <c r="L1158" s="105"/>
      <c r="M1158" s="105"/>
      <c r="N1158" s="105"/>
      <c r="O1158" s="105"/>
      <c r="P1158" s="105"/>
      <c r="Q1158" s="105"/>
      <c r="R1158" s="105"/>
      <c r="S1158" s="105"/>
      <c r="T1158" s="105"/>
      <c r="U1158" s="105"/>
      <c r="V1158" s="105"/>
      <c r="W1158" s="105"/>
      <c r="X1158" s="105"/>
      <c r="Y1158" s="105"/>
      <c r="Z1158" s="105"/>
    </row>
    <row r="1159">
      <c r="A1159" s="105"/>
      <c r="B1159" s="105"/>
      <c r="C1159" s="105"/>
      <c r="D1159" s="105"/>
      <c r="E1159" s="105"/>
      <c r="F1159" s="105"/>
      <c r="G1159" s="105"/>
      <c r="H1159" s="105"/>
      <c r="I1159" s="105"/>
      <c r="J1159" s="105"/>
      <c r="K1159" s="105"/>
      <c r="L1159" s="105"/>
      <c r="M1159" s="105"/>
      <c r="N1159" s="105"/>
      <c r="O1159" s="105"/>
      <c r="P1159" s="105"/>
      <c r="Q1159" s="105"/>
      <c r="R1159" s="105"/>
      <c r="S1159" s="105"/>
      <c r="T1159" s="105"/>
      <c r="U1159" s="105"/>
      <c r="V1159" s="105"/>
      <c r="W1159" s="105"/>
      <c r="X1159" s="105"/>
      <c r="Y1159" s="105"/>
      <c r="Z1159" s="105"/>
    </row>
    <row r="1160">
      <c r="A1160" s="105"/>
      <c r="B1160" s="105"/>
      <c r="C1160" s="105"/>
      <c r="D1160" s="105"/>
      <c r="E1160" s="105"/>
      <c r="F1160" s="105"/>
      <c r="G1160" s="105"/>
      <c r="H1160" s="105"/>
      <c r="I1160" s="105"/>
      <c r="J1160" s="105"/>
      <c r="K1160" s="105"/>
      <c r="L1160" s="105"/>
      <c r="M1160" s="105"/>
      <c r="N1160" s="105"/>
      <c r="O1160" s="105"/>
      <c r="P1160" s="105"/>
      <c r="Q1160" s="105"/>
      <c r="R1160" s="105"/>
      <c r="S1160" s="105"/>
      <c r="T1160" s="105"/>
      <c r="U1160" s="105"/>
      <c r="V1160" s="105"/>
      <c r="W1160" s="105"/>
      <c r="X1160" s="105"/>
      <c r="Y1160" s="105"/>
      <c r="Z1160" s="105"/>
    </row>
    <row r="1161">
      <c r="A1161" s="105"/>
      <c r="B1161" s="105"/>
      <c r="C1161" s="105"/>
      <c r="D1161" s="105"/>
      <c r="E1161" s="105"/>
      <c r="F1161" s="105"/>
      <c r="G1161" s="105"/>
      <c r="H1161" s="105"/>
      <c r="I1161" s="105"/>
      <c r="J1161" s="105"/>
      <c r="K1161" s="105"/>
      <c r="L1161" s="105"/>
      <c r="M1161" s="105"/>
      <c r="N1161" s="105"/>
      <c r="O1161" s="105"/>
      <c r="P1161" s="105"/>
      <c r="Q1161" s="105"/>
      <c r="R1161" s="105"/>
      <c r="S1161" s="105"/>
      <c r="T1161" s="105"/>
      <c r="U1161" s="105"/>
      <c r="V1161" s="105"/>
      <c r="W1161" s="105"/>
      <c r="X1161" s="105"/>
      <c r="Y1161" s="105"/>
      <c r="Z1161" s="105"/>
    </row>
    <row r="1162">
      <c r="A1162" s="105"/>
      <c r="B1162" s="105"/>
      <c r="C1162" s="105"/>
      <c r="D1162" s="105"/>
      <c r="E1162" s="105"/>
      <c r="F1162" s="105"/>
      <c r="G1162" s="105"/>
      <c r="H1162" s="105"/>
      <c r="I1162" s="105"/>
      <c r="J1162" s="105"/>
      <c r="K1162" s="105"/>
      <c r="L1162" s="105"/>
      <c r="M1162" s="105"/>
      <c r="N1162" s="105"/>
      <c r="O1162" s="105"/>
      <c r="P1162" s="105"/>
      <c r="Q1162" s="105"/>
      <c r="R1162" s="105"/>
      <c r="S1162" s="105"/>
      <c r="T1162" s="105"/>
      <c r="U1162" s="105"/>
      <c r="V1162" s="105"/>
      <c r="W1162" s="105"/>
      <c r="X1162" s="105"/>
      <c r="Y1162" s="105"/>
      <c r="Z1162" s="105"/>
    </row>
    <row r="1163">
      <c r="A1163" s="105"/>
      <c r="B1163" s="105"/>
      <c r="C1163" s="105"/>
      <c r="D1163" s="105"/>
      <c r="E1163" s="105"/>
      <c r="F1163" s="105"/>
      <c r="G1163" s="105"/>
      <c r="H1163" s="105"/>
      <c r="I1163" s="105"/>
      <c r="J1163" s="105"/>
      <c r="K1163" s="105"/>
      <c r="L1163" s="105"/>
      <c r="M1163" s="105"/>
      <c r="N1163" s="105"/>
      <c r="O1163" s="105"/>
      <c r="P1163" s="105"/>
      <c r="Q1163" s="105"/>
      <c r="R1163" s="105"/>
      <c r="S1163" s="105"/>
      <c r="T1163" s="105"/>
      <c r="U1163" s="105"/>
      <c r="V1163" s="105"/>
      <c r="W1163" s="105"/>
      <c r="X1163" s="105"/>
      <c r="Y1163" s="105"/>
      <c r="Z1163" s="105"/>
    </row>
    <row r="1164">
      <c r="A1164" s="105"/>
      <c r="B1164" s="105"/>
      <c r="C1164" s="105"/>
      <c r="D1164" s="105"/>
      <c r="E1164" s="105"/>
      <c r="F1164" s="105"/>
      <c r="G1164" s="105"/>
      <c r="H1164" s="105"/>
      <c r="I1164" s="105"/>
      <c r="J1164" s="105"/>
      <c r="K1164" s="105"/>
      <c r="L1164" s="105"/>
      <c r="M1164" s="105"/>
      <c r="N1164" s="105"/>
      <c r="O1164" s="105"/>
      <c r="P1164" s="105"/>
      <c r="Q1164" s="105"/>
      <c r="R1164" s="105"/>
      <c r="S1164" s="105"/>
      <c r="T1164" s="105"/>
      <c r="U1164" s="105"/>
      <c r="V1164" s="105"/>
      <c r="W1164" s="105"/>
      <c r="X1164" s="105"/>
      <c r="Y1164" s="105"/>
      <c r="Z1164" s="105"/>
    </row>
    <row r="1165">
      <c r="A1165" s="105"/>
      <c r="B1165" s="105"/>
      <c r="C1165" s="105"/>
      <c r="D1165" s="105"/>
      <c r="E1165" s="105"/>
      <c r="F1165" s="105"/>
      <c r="G1165" s="105"/>
      <c r="H1165" s="105"/>
      <c r="I1165" s="105"/>
      <c r="J1165" s="105"/>
      <c r="K1165" s="105"/>
      <c r="L1165" s="105"/>
      <c r="M1165" s="105"/>
      <c r="N1165" s="105"/>
      <c r="O1165" s="105"/>
      <c r="P1165" s="105"/>
      <c r="Q1165" s="105"/>
      <c r="R1165" s="105"/>
      <c r="S1165" s="105"/>
      <c r="T1165" s="105"/>
      <c r="U1165" s="105"/>
      <c r="V1165" s="105"/>
      <c r="W1165" s="105"/>
      <c r="X1165" s="105"/>
      <c r="Y1165" s="105"/>
      <c r="Z1165" s="105"/>
    </row>
    <row r="1166">
      <c r="A1166" s="105"/>
      <c r="B1166" s="105"/>
      <c r="C1166" s="105"/>
      <c r="D1166" s="105"/>
      <c r="E1166" s="105"/>
      <c r="F1166" s="105"/>
      <c r="G1166" s="105"/>
      <c r="H1166" s="105"/>
      <c r="I1166" s="105"/>
      <c r="J1166" s="105"/>
      <c r="K1166" s="105"/>
      <c r="L1166" s="105"/>
      <c r="M1166" s="105"/>
      <c r="N1166" s="105"/>
      <c r="O1166" s="105"/>
      <c r="P1166" s="105"/>
      <c r="Q1166" s="105"/>
      <c r="R1166" s="105"/>
      <c r="S1166" s="105"/>
      <c r="T1166" s="105"/>
      <c r="U1166" s="105"/>
      <c r="V1166" s="105"/>
      <c r="W1166" s="105"/>
      <c r="X1166" s="105"/>
      <c r="Y1166" s="105"/>
      <c r="Z1166" s="105"/>
    </row>
    <row r="1167">
      <c r="A1167" s="105"/>
      <c r="B1167" s="105"/>
      <c r="C1167" s="105"/>
      <c r="D1167" s="105"/>
      <c r="E1167" s="105"/>
      <c r="F1167" s="105"/>
      <c r="G1167" s="105"/>
      <c r="H1167" s="105"/>
      <c r="I1167" s="105"/>
      <c r="J1167" s="105"/>
      <c r="K1167" s="105"/>
      <c r="L1167" s="105"/>
      <c r="M1167" s="105"/>
      <c r="N1167" s="105"/>
      <c r="O1167" s="105"/>
      <c r="P1167" s="105"/>
      <c r="Q1167" s="105"/>
      <c r="R1167" s="105"/>
      <c r="S1167" s="105"/>
      <c r="T1167" s="105"/>
      <c r="U1167" s="105"/>
      <c r="V1167" s="105"/>
      <c r="W1167" s="105"/>
      <c r="X1167" s="105"/>
      <c r="Y1167" s="105"/>
      <c r="Z1167" s="105"/>
    </row>
    <row r="1168">
      <c r="A1168" s="105"/>
      <c r="B1168" s="105"/>
      <c r="C1168" s="105"/>
      <c r="D1168" s="105"/>
      <c r="E1168" s="105"/>
      <c r="F1168" s="105"/>
      <c r="G1168" s="105"/>
      <c r="H1168" s="105"/>
      <c r="I1168" s="105"/>
      <c r="J1168" s="105"/>
      <c r="K1168" s="105"/>
      <c r="L1168" s="105"/>
      <c r="M1168" s="105"/>
      <c r="N1168" s="105"/>
      <c r="O1168" s="105"/>
      <c r="P1168" s="105"/>
      <c r="Q1168" s="105"/>
      <c r="R1168" s="105"/>
      <c r="S1168" s="105"/>
      <c r="T1168" s="105"/>
      <c r="U1168" s="105"/>
      <c r="V1168" s="105"/>
      <c r="W1168" s="105"/>
      <c r="X1168" s="105"/>
      <c r="Y1168" s="105"/>
      <c r="Z1168" s="105"/>
    </row>
    <row r="1169">
      <c r="A1169" s="105"/>
      <c r="B1169" s="105"/>
      <c r="C1169" s="105"/>
      <c r="D1169" s="105"/>
      <c r="E1169" s="105"/>
      <c r="F1169" s="105"/>
      <c r="G1169" s="105"/>
      <c r="H1169" s="105"/>
      <c r="I1169" s="105"/>
      <c r="J1169" s="105"/>
      <c r="K1169" s="105"/>
      <c r="L1169" s="105"/>
      <c r="M1169" s="105"/>
      <c r="N1169" s="105"/>
      <c r="O1169" s="105"/>
      <c r="P1169" s="105"/>
      <c r="Q1169" s="105"/>
      <c r="R1169" s="105"/>
      <c r="S1169" s="105"/>
      <c r="T1169" s="105"/>
      <c r="U1169" s="105"/>
      <c r="V1169" s="105"/>
      <c r="W1169" s="105"/>
      <c r="X1169" s="105"/>
      <c r="Y1169" s="105"/>
      <c r="Z1169" s="105"/>
    </row>
    <row r="1170">
      <c r="A1170" s="105"/>
      <c r="B1170" s="105"/>
      <c r="C1170" s="105"/>
      <c r="D1170" s="105"/>
      <c r="E1170" s="105"/>
      <c r="F1170" s="105"/>
      <c r="G1170" s="105"/>
      <c r="H1170" s="105"/>
      <c r="I1170" s="105"/>
      <c r="J1170" s="105"/>
      <c r="K1170" s="105"/>
      <c r="L1170" s="105"/>
      <c r="M1170" s="105"/>
      <c r="N1170" s="105"/>
      <c r="O1170" s="105"/>
      <c r="P1170" s="105"/>
      <c r="Q1170" s="105"/>
      <c r="R1170" s="105"/>
      <c r="S1170" s="105"/>
      <c r="T1170" s="105"/>
      <c r="U1170" s="105"/>
      <c r="V1170" s="105"/>
      <c r="W1170" s="105"/>
      <c r="X1170" s="105"/>
      <c r="Y1170" s="105"/>
      <c r="Z1170" s="105"/>
    </row>
    <row r="1171">
      <c r="A1171" s="105"/>
      <c r="B1171" s="105"/>
      <c r="C1171" s="105"/>
      <c r="D1171" s="105"/>
      <c r="E1171" s="105"/>
      <c r="F1171" s="105"/>
      <c r="G1171" s="105"/>
      <c r="H1171" s="105"/>
      <c r="I1171" s="105"/>
      <c r="J1171" s="105"/>
      <c r="K1171" s="105"/>
      <c r="L1171" s="105"/>
      <c r="M1171" s="105"/>
      <c r="N1171" s="105"/>
      <c r="O1171" s="105"/>
      <c r="P1171" s="105"/>
      <c r="Q1171" s="105"/>
      <c r="R1171" s="105"/>
      <c r="S1171" s="105"/>
      <c r="T1171" s="105"/>
      <c r="U1171" s="105"/>
      <c r="V1171" s="105"/>
      <c r="W1171" s="105"/>
      <c r="X1171" s="105"/>
      <c r="Y1171" s="105"/>
      <c r="Z1171" s="105"/>
    </row>
    <row r="1172">
      <c r="A1172" s="105"/>
      <c r="B1172" s="105"/>
      <c r="C1172" s="105"/>
      <c r="D1172" s="105"/>
      <c r="E1172" s="105"/>
      <c r="F1172" s="105"/>
      <c r="G1172" s="105"/>
      <c r="H1172" s="105"/>
      <c r="I1172" s="105"/>
      <c r="J1172" s="105"/>
      <c r="K1172" s="105"/>
      <c r="L1172" s="105"/>
      <c r="M1172" s="105"/>
      <c r="N1172" s="105"/>
      <c r="O1172" s="105"/>
      <c r="P1172" s="105"/>
      <c r="Q1172" s="105"/>
      <c r="R1172" s="105"/>
      <c r="S1172" s="105"/>
      <c r="T1172" s="105"/>
      <c r="U1172" s="105"/>
      <c r="V1172" s="105"/>
      <c r="W1172" s="105"/>
      <c r="X1172" s="105"/>
      <c r="Y1172" s="105"/>
      <c r="Z1172" s="105"/>
    </row>
    <row r="1173">
      <c r="A1173" s="105"/>
      <c r="B1173" s="105"/>
      <c r="C1173" s="105"/>
      <c r="D1173" s="105"/>
      <c r="E1173" s="105"/>
      <c r="F1173" s="105"/>
      <c r="G1173" s="105"/>
      <c r="H1173" s="105"/>
      <c r="I1173" s="105"/>
      <c r="J1173" s="105"/>
      <c r="K1173" s="105"/>
      <c r="L1173" s="105"/>
      <c r="M1173" s="105"/>
      <c r="N1173" s="105"/>
      <c r="O1173" s="105"/>
      <c r="P1173" s="105"/>
      <c r="Q1173" s="105"/>
      <c r="R1173" s="105"/>
      <c r="S1173" s="105"/>
      <c r="T1173" s="105"/>
      <c r="U1173" s="105"/>
      <c r="V1173" s="105"/>
      <c r="W1173" s="105"/>
      <c r="X1173" s="105"/>
      <c r="Y1173" s="105"/>
      <c r="Z1173" s="105"/>
    </row>
    <row r="1174">
      <c r="A1174" s="105"/>
      <c r="B1174" s="105"/>
      <c r="C1174" s="105"/>
      <c r="D1174" s="105"/>
      <c r="E1174" s="105"/>
      <c r="F1174" s="105"/>
      <c r="G1174" s="105"/>
      <c r="H1174" s="105"/>
      <c r="I1174" s="105"/>
      <c r="J1174" s="105"/>
      <c r="K1174" s="105"/>
      <c r="L1174" s="105"/>
      <c r="M1174" s="105"/>
      <c r="N1174" s="105"/>
      <c r="O1174" s="105"/>
      <c r="P1174" s="105"/>
      <c r="Q1174" s="105"/>
      <c r="R1174" s="105"/>
      <c r="S1174" s="105"/>
      <c r="T1174" s="105"/>
      <c r="U1174" s="105"/>
      <c r="V1174" s="105"/>
      <c r="W1174" s="105"/>
      <c r="X1174" s="105"/>
      <c r="Y1174" s="105"/>
      <c r="Z1174" s="105"/>
    </row>
    <row r="1175">
      <c r="A1175" s="105"/>
      <c r="B1175" s="105"/>
      <c r="C1175" s="105"/>
      <c r="D1175" s="105"/>
      <c r="E1175" s="105"/>
      <c r="F1175" s="105"/>
      <c r="G1175" s="105"/>
      <c r="H1175" s="105"/>
      <c r="I1175" s="105"/>
      <c r="J1175" s="105"/>
      <c r="K1175" s="105"/>
      <c r="L1175" s="105"/>
      <c r="M1175" s="105"/>
      <c r="N1175" s="105"/>
      <c r="O1175" s="105"/>
      <c r="P1175" s="105"/>
      <c r="Q1175" s="105"/>
      <c r="R1175" s="105"/>
      <c r="S1175" s="105"/>
      <c r="T1175" s="105"/>
      <c r="U1175" s="105"/>
      <c r="V1175" s="105"/>
      <c r="W1175" s="105"/>
      <c r="X1175" s="105"/>
      <c r="Y1175" s="105"/>
      <c r="Z1175" s="105"/>
    </row>
    <row r="1176">
      <c r="A1176" s="105"/>
      <c r="B1176" s="105"/>
      <c r="C1176" s="105"/>
      <c r="D1176" s="105"/>
      <c r="E1176" s="105"/>
      <c r="F1176" s="105"/>
      <c r="G1176" s="105"/>
      <c r="H1176" s="105"/>
      <c r="I1176" s="105"/>
      <c r="J1176" s="105"/>
      <c r="K1176" s="105"/>
      <c r="L1176" s="105"/>
      <c r="M1176" s="105"/>
      <c r="N1176" s="105"/>
      <c r="O1176" s="105"/>
      <c r="P1176" s="105"/>
      <c r="Q1176" s="105"/>
      <c r="R1176" s="105"/>
      <c r="S1176" s="105"/>
      <c r="T1176" s="105"/>
      <c r="U1176" s="105"/>
      <c r="V1176" s="105"/>
      <c r="W1176" s="105"/>
      <c r="X1176" s="105"/>
      <c r="Y1176" s="105"/>
      <c r="Z1176" s="105"/>
    </row>
    <row r="1177">
      <c r="A1177" s="105"/>
      <c r="B1177" s="105"/>
      <c r="C1177" s="105"/>
      <c r="D1177" s="105"/>
      <c r="E1177" s="105"/>
      <c r="F1177" s="105"/>
      <c r="G1177" s="105"/>
      <c r="H1177" s="105"/>
      <c r="I1177" s="105"/>
      <c r="J1177" s="105"/>
      <c r="K1177" s="105"/>
      <c r="L1177" s="105"/>
      <c r="M1177" s="105"/>
      <c r="N1177" s="105"/>
      <c r="O1177" s="105"/>
      <c r="P1177" s="105"/>
      <c r="Q1177" s="105"/>
      <c r="R1177" s="105"/>
      <c r="S1177" s="105"/>
      <c r="T1177" s="105"/>
      <c r="U1177" s="105"/>
      <c r="V1177" s="105"/>
      <c r="W1177" s="105"/>
      <c r="X1177" s="105"/>
      <c r="Y1177" s="105"/>
      <c r="Z1177" s="105"/>
    </row>
    <row r="1178">
      <c r="A1178" s="105"/>
      <c r="B1178" s="105"/>
      <c r="C1178" s="105"/>
      <c r="D1178" s="105"/>
      <c r="E1178" s="105"/>
      <c r="F1178" s="105"/>
      <c r="G1178" s="105"/>
      <c r="H1178" s="105"/>
      <c r="I1178" s="105"/>
      <c r="J1178" s="105"/>
      <c r="K1178" s="105"/>
      <c r="L1178" s="105"/>
      <c r="M1178" s="105"/>
      <c r="N1178" s="105"/>
      <c r="O1178" s="105"/>
      <c r="P1178" s="105"/>
      <c r="Q1178" s="105"/>
      <c r="R1178" s="105"/>
      <c r="S1178" s="105"/>
      <c r="T1178" s="105"/>
      <c r="U1178" s="105"/>
      <c r="V1178" s="105"/>
      <c r="W1178" s="105"/>
      <c r="X1178" s="105"/>
      <c r="Y1178" s="105"/>
      <c r="Z1178" s="105"/>
    </row>
    <row r="1179">
      <c r="A1179" s="105"/>
      <c r="B1179" s="105"/>
      <c r="C1179" s="105"/>
      <c r="D1179" s="105"/>
      <c r="E1179" s="105"/>
      <c r="F1179" s="105"/>
      <c r="G1179" s="105"/>
      <c r="H1179" s="105"/>
      <c r="I1179" s="105"/>
      <c r="J1179" s="105"/>
      <c r="K1179" s="105"/>
      <c r="L1179" s="105"/>
      <c r="M1179" s="105"/>
      <c r="N1179" s="105"/>
      <c r="O1179" s="105"/>
      <c r="P1179" s="105"/>
      <c r="Q1179" s="105"/>
      <c r="R1179" s="105"/>
      <c r="S1179" s="105"/>
      <c r="T1179" s="105"/>
      <c r="U1179" s="105"/>
      <c r="V1179" s="105"/>
      <c r="W1179" s="105"/>
      <c r="X1179" s="105"/>
      <c r="Y1179" s="105"/>
      <c r="Z1179" s="105"/>
    </row>
    <row r="1180">
      <c r="A1180" s="105"/>
      <c r="B1180" s="105"/>
      <c r="C1180" s="105"/>
      <c r="D1180" s="105"/>
      <c r="E1180" s="105"/>
      <c r="F1180" s="105"/>
      <c r="G1180" s="105"/>
      <c r="H1180" s="105"/>
      <c r="I1180" s="105"/>
      <c r="J1180" s="105"/>
      <c r="K1180" s="105"/>
      <c r="L1180" s="105"/>
      <c r="M1180" s="105"/>
      <c r="N1180" s="105"/>
      <c r="O1180" s="105"/>
      <c r="P1180" s="105"/>
      <c r="Q1180" s="105"/>
      <c r="R1180" s="105"/>
      <c r="S1180" s="105"/>
      <c r="T1180" s="105"/>
      <c r="U1180" s="105"/>
      <c r="V1180" s="105"/>
      <c r="W1180" s="105"/>
      <c r="X1180" s="105"/>
      <c r="Y1180" s="105"/>
      <c r="Z1180" s="105"/>
    </row>
    <row r="1181">
      <c r="A1181" s="105"/>
      <c r="B1181" s="105"/>
      <c r="C1181" s="105"/>
      <c r="D1181" s="105"/>
      <c r="E1181" s="105"/>
      <c r="F1181" s="105"/>
      <c r="G1181" s="105"/>
      <c r="H1181" s="105"/>
      <c r="I1181" s="105"/>
      <c r="J1181" s="105"/>
      <c r="K1181" s="105"/>
      <c r="L1181" s="105"/>
      <c r="M1181" s="105"/>
      <c r="N1181" s="105"/>
      <c r="O1181" s="105"/>
      <c r="P1181" s="105"/>
      <c r="Q1181" s="105"/>
      <c r="R1181" s="105"/>
      <c r="S1181" s="105"/>
      <c r="T1181" s="105"/>
      <c r="U1181" s="105"/>
      <c r="V1181" s="105"/>
      <c r="W1181" s="105"/>
      <c r="X1181" s="105"/>
      <c r="Y1181" s="105"/>
      <c r="Z1181" s="105"/>
    </row>
    <row r="1182">
      <c r="A1182" s="105"/>
      <c r="B1182" s="105"/>
      <c r="C1182" s="105"/>
      <c r="D1182" s="105"/>
      <c r="E1182" s="105"/>
      <c r="F1182" s="105"/>
      <c r="G1182" s="105"/>
      <c r="H1182" s="105"/>
      <c r="I1182" s="105"/>
      <c r="J1182" s="105"/>
      <c r="K1182" s="105"/>
      <c r="L1182" s="105"/>
      <c r="M1182" s="105"/>
      <c r="N1182" s="105"/>
      <c r="O1182" s="105"/>
      <c r="P1182" s="105"/>
      <c r="Q1182" s="105"/>
      <c r="R1182" s="105"/>
      <c r="S1182" s="105"/>
      <c r="T1182" s="105"/>
      <c r="U1182" s="105"/>
      <c r="V1182" s="105"/>
      <c r="W1182" s="105"/>
      <c r="X1182" s="105"/>
      <c r="Y1182" s="105"/>
      <c r="Z1182" s="105"/>
    </row>
    <row r="1183">
      <c r="A1183" s="105"/>
      <c r="B1183" s="105"/>
      <c r="C1183" s="105"/>
      <c r="D1183" s="105"/>
      <c r="E1183" s="105"/>
      <c r="F1183" s="105"/>
      <c r="G1183" s="105"/>
      <c r="H1183" s="105"/>
      <c r="I1183" s="105"/>
      <c r="J1183" s="105"/>
      <c r="K1183" s="105"/>
      <c r="L1183" s="105"/>
      <c r="M1183" s="105"/>
      <c r="N1183" s="105"/>
      <c r="O1183" s="105"/>
      <c r="P1183" s="105"/>
      <c r="Q1183" s="105"/>
      <c r="R1183" s="105"/>
      <c r="S1183" s="105"/>
      <c r="T1183" s="105"/>
      <c r="U1183" s="105"/>
      <c r="V1183" s="105"/>
      <c r="W1183" s="105"/>
      <c r="X1183" s="105"/>
      <c r="Y1183" s="105"/>
      <c r="Z1183" s="105"/>
    </row>
    <row r="1184">
      <c r="A1184" s="105"/>
      <c r="B1184" s="105"/>
      <c r="C1184" s="105"/>
      <c r="D1184" s="105"/>
      <c r="E1184" s="105"/>
      <c r="F1184" s="105"/>
      <c r="G1184" s="105"/>
      <c r="H1184" s="105"/>
      <c r="I1184" s="105"/>
      <c r="J1184" s="105"/>
      <c r="K1184" s="105"/>
      <c r="L1184" s="105"/>
      <c r="M1184" s="105"/>
      <c r="N1184" s="105"/>
      <c r="O1184" s="105"/>
      <c r="P1184" s="105"/>
      <c r="Q1184" s="105"/>
      <c r="R1184" s="105"/>
      <c r="S1184" s="105"/>
      <c r="T1184" s="105"/>
      <c r="U1184" s="105"/>
      <c r="V1184" s="105"/>
      <c r="W1184" s="105"/>
      <c r="X1184" s="105"/>
      <c r="Y1184" s="105"/>
      <c r="Z1184" s="105"/>
    </row>
    <row r="1185">
      <c r="A1185" s="105"/>
      <c r="B1185" s="105"/>
      <c r="C1185" s="105"/>
      <c r="D1185" s="105"/>
      <c r="E1185" s="105"/>
      <c r="F1185" s="105"/>
      <c r="G1185" s="105"/>
      <c r="H1185" s="105"/>
      <c r="I1185" s="105"/>
      <c r="J1185" s="105"/>
      <c r="K1185" s="105"/>
      <c r="L1185" s="105"/>
      <c r="M1185" s="105"/>
      <c r="N1185" s="105"/>
      <c r="O1185" s="105"/>
      <c r="P1185" s="105"/>
      <c r="Q1185" s="105"/>
      <c r="R1185" s="105"/>
      <c r="S1185" s="105"/>
      <c r="T1185" s="105"/>
      <c r="U1185" s="105"/>
      <c r="V1185" s="105"/>
      <c r="W1185" s="105"/>
      <c r="X1185" s="105"/>
      <c r="Y1185" s="105"/>
      <c r="Z1185" s="105"/>
    </row>
    <row r="1186">
      <c r="A1186" s="105"/>
      <c r="B1186" s="105"/>
      <c r="C1186" s="105"/>
      <c r="D1186" s="105"/>
      <c r="E1186" s="105"/>
      <c r="F1186" s="105"/>
      <c r="G1186" s="105"/>
      <c r="H1186" s="105"/>
      <c r="I1186" s="105"/>
      <c r="J1186" s="105"/>
      <c r="K1186" s="105"/>
      <c r="L1186" s="105"/>
      <c r="M1186" s="105"/>
      <c r="N1186" s="105"/>
      <c r="O1186" s="105"/>
      <c r="P1186" s="105"/>
      <c r="Q1186" s="105"/>
      <c r="R1186" s="105"/>
      <c r="S1186" s="105"/>
      <c r="T1186" s="105"/>
      <c r="U1186" s="105"/>
      <c r="V1186" s="105"/>
      <c r="W1186" s="105"/>
      <c r="X1186" s="105"/>
      <c r="Y1186" s="105"/>
      <c r="Z1186" s="105"/>
    </row>
    <row r="1187">
      <c r="A1187" s="105"/>
      <c r="B1187" s="105"/>
      <c r="C1187" s="105"/>
      <c r="D1187" s="105"/>
      <c r="E1187" s="105"/>
      <c r="F1187" s="105"/>
      <c r="G1187" s="105"/>
      <c r="H1187" s="105"/>
      <c r="I1187" s="105"/>
      <c r="J1187" s="105"/>
      <c r="K1187" s="105"/>
      <c r="L1187" s="105"/>
      <c r="M1187" s="105"/>
      <c r="N1187" s="105"/>
      <c r="O1187" s="105"/>
      <c r="P1187" s="105"/>
      <c r="Q1187" s="105"/>
      <c r="R1187" s="105"/>
      <c r="S1187" s="105"/>
      <c r="T1187" s="105"/>
      <c r="U1187" s="105"/>
      <c r="V1187" s="105"/>
      <c r="W1187" s="105"/>
      <c r="X1187" s="105"/>
      <c r="Y1187" s="105"/>
      <c r="Z1187" s="105"/>
    </row>
    <row r="1188">
      <c r="A1188" s="105"/>
      <c r="B1188" s="105"/>
      <c r="C1188" s="105"/>
      <c r="D1188" s="105"/>
      <c r="E1188" s="105"/>
      <c r="F1188" s="105"/>
      <c r="G1188" s="105"/>
      <c r="H1188" s="105"/>
      <c r="I1188" s="105"/>
      <c r="J1188" s="105"/>
      <c r="K1188" s="105"/>
      <c r="L1188" s="105"/>
      <c r="M1188" s="105"/>
      <c r="N1188" s="105"/>
      <c r="O1188" s="105"/>
      <c r="P1188" s="105"/>
      <c r="Q1188" s="105"/>
      <c r="R1188" s="105"/>
      <c r="S1188" s="105"/>
      <c r="T1188" s="105"/>
      <c r="U1188" s="105"/>
      <c r="V1188" s="105"/>
      <c r="W1188" s="105"/>
      <c r="X1188" s="105"/>
      <c r="Y1188" s="105"/>
      <c r="Z1188" s="105"/>
    </row>
    <row r="1189">
      <c r="A1189" s="105"/>
      <c r="B1189" s="105"/>
      <c r="C1189" s="105"/>
      <c r="D1189" s="105"/>
      <c r="E1189" s="105"/>
      <c r="F1189" s="105"/>
      <c r="G1189" s="105"/>
      <c r="H1189" s="105"/>
      <c r="I1189" s="105"/>
      <c r="J1189" s="105"/>
      <c r="K1189" s="105"/>
      <c r="L1189" s="105"/>
      <c r="M1189" s="105"/>
      <c r="N1189" s="105"/>
      <c r="O1189" s="105"/>
      <c r="P1189" s="105"/>
      <c r="Q1189" s="105"/>
      <c r="R1189" s="105"/>
      <c r="S1189" s="105"/>
      <c r="T1189" s="105"/>
      <c r="U1189" s="105"/>
      <c r="V1189" s="105"/>
      <c r="W1189" s="105"/>
      <c r="X1189" s="105"/>
      <c r="Y1189" s="105"/>
      <c r="Z1189" s="105"/>
    </row>
    <row r="1190">
      <c r="A1190" s="105"/>
      <c r="B1190" s="105"/>
      <c r="C1190" s="105"/>
      <c r="D1190" s="105"/>
      <c r="E1190" s="105"/>
      <c r="F1190" s="105"/>
      <c r="G1190" s="105"/>
      <c r="H1190" s="105"/>
      <c r="I1190" s="105"/>
      <c r="J1190" s="105"/>
      <c r="K1190" s="105"/>
      <c r="L1190" s="105"/>
      <c r="M1190" s="105"/>
      <c r="N1190" s="105"/>
      <c r="O1190" s="105"/>
      <c r="P1190" s="105"/>
      <c r="Q1190" s="105"/>
      <c r="R1190" s="105"/>
      <c r="S1190" s="105"/>
      <c r="T1190" s="105"/>
      <c r="U1190" s="105"/>
      <c r="V1190" s="105"/>
      <c r="W1190" s="105"/>
      <c r="X1190" s="105"/>
      <c r="Y1190" s="105"/>
      <c r="Z1190" s="105"/>
    </row>
    <row r="1191">
      <c r="A1191" s="105"/>
      <c r="B1191" s="105"/>
      <c r="C1191" s="105"/>
      <c r="D1191" s="105"/>
      <c r="E1191" s="105"/>
      <c r="F1191" s="105"/>
      <c r="G1191" s="105"/>
      <c r="H1191" s="105"/>
      <c r="I1191" s="105"/>
      <c r="J1191" s="105"/>
      <c r="K1191" s="105"/>
      <c r="L1191" s="105"/>
      <c r="M1191" s="105"/>
      <c r="N1191" s="105"/>
      <c r="O1191" s="105"/>
      <c r="P1191" s="105"/>
      <c r="Q1191" s="105"/>
      <c r="R1191" s="105"/>
      <c r="S1191" s="105"/>
      <c r="T1191" s="105"/>
      <c r="U1191" s="105"/>
      <c r="V1191" s="105"/>
      <c r="W1191" s="105"/>
      <c r="X1191" s="105"/>
      <c r="Y1191" s="105"/>
      <c r="Z1191" s="105"/>
    </row>
    <row r="1192">
      <c r="A1192" s="105"/>
      <c r="B1192" s="105"/>
      <c r="C1192" s="105"/>
      <c r="D1192" s="105"/>
      <c r="E1192" s="105"/>
      <c r="F1192" s="105"/>
      <c r="G1192" s="105"/>
      <c r="H1192" s="105"/>
      <c r="I1192" s="105"/>
      <c r="J1192" s="105"/>
      <c r="K1192" s="105"/>
      <c r="L1192" s="105"/>
      <c r="M1192" s="105"/>
      <c r="N1192" s="105"/>
      <c r="O1192" s="105"/>
      <c r="P1192" s="105"/>
      <c r="Q1192" s="105"/>
      <c r="R1192" s="105"/>
      <c r="S1192" s="105"/>
      <c r="T1192" s="105"/>
      <c r="U1192" s="105"/>
      <c r="V1192" s="105"/>
      <c r="W1192" s="105"/>
      <c r="X1192" s="105"/>
      <c r="Y1192" s="105"/>
      <c r="Z1192" s="105"/>
    </row>
    <row r="1193">
      <c r="A1193" s="105"/>
      <c r="B1193" s="105"/>
      <c r="C1193" s="105"/>
      <c r="D1193" s="105"/>
      <c r="E1193" s="105"/>
      <c r="F1193" s="105"/>
      <c r="G1193" s="105"/>
      <c r="H1193" s="105"/>
      <c r="I1193" s="105"/>
      <c r="J1193" s="105"/>
      <c r="K1193" s="105"/>
      <c r="L1193" s="105"/>
      <c r="M1193" s="105"/>
      <c r="N1193" s="105"/>
      <c r="O1193" s="105"/>
      <c r="P1193" s="105"/>
      <c r="Q1193" s="105"/>
      <c r="R1193" s="105"/>
      <c r="S1193" s="105"/>
      <c r="T1193" s="105"/>
      <c r="U1193" s="105"/>
      <c r="V1193" s="105"/>
      <c r="W1193" s="105"/>
      <c r="X1193" s="105"/>
      <c r="Y1193" s="105"/>
      <c r="Z1193" s="105"/>
    </row>
    <row r="1194">
      <c r="A1194" s="105"/>
      <c r="B1194" s="105"/>
      <c r="C1194" s="105"/>
      <c r="D1194" s="105"/>
      <c r="E1194" s="105"/>
      <c r="F1194" s="105"/>
      <c r="G1194" s="105"/>
      <c r="H1194" s="105"/>
      <c r="I1194" s="105"/>
      <c r="J1194" s="105"/>
      <c r="K1194" s="105"/>
      <c r="L1194" s="105"/>
      <c r="M1194" s="105"/>
      <c r="N1194" s="105"/>
      <c r="O1194" s="105"/>
      <c r="P1194" s="105"/>
      <c r="Q1194" s="105"/>
      <c r="R1194" s="105"/>
      <c r="S1194" s="105"/>
      <c r="T1194" s="105"/>
      <c r="U1194" s="105"/>
      <c r="V1194" s="105"/>
      <c r="W1194" s="105"/>
      <c r="X1194" s="105"/>
      <c r="Y1194" s="105"/>
      <c r="Z1194" s="105"/>
    </row>
    <row r="1195">
      <c r="A1195" s="105"/>
      <c r="B1195" s="105"/>
      <c r="C1195" s="105"/>
      <c r="D1195" s="105"/>
      <c r="E1195" s="105"/>
      <c r="F1195" s="105"/>
      <c r="G1195" s="105"/>
      <c r="H1195" s="105"/>
      <c r="I1195" s="105"/>
      <c r="J1195" s="105"/>
      <c r="K1195" s="105"/>
      <c r="L1195" s="105"/>
      <c r="M1195" s="105"/>
      <c r="N1195" s="105"/>
      <c r="O1195" s="105"/>
      <c r="P1195" s="105"/>
      <c r="Q1195" s="105"/>
      <c r="R1195" s="105"/>
      <c r="S1195" s="105"/>
      <c r="T1195" s="105"/>
      <c r="U1195" s="105"/>
      <c r="V1195" s="105"/>
      <c r="W1195" s="105"/>
      <c r="X1195" s="105"/>
      <c r="Y1195" s="105"/>
      <c r="Z1195" s="105"/>
    </row>
    <row r="1196">
      <c r="A1196" s="105"/>
      <c r="B1196" s="105"/>
      <c r="C1196" s="105"/>
      <c r="D1196" s="105"/>
      <c r="E1196" s="105"/>
      <c r="F1196" s="105"/>
      <c r="G1196" s="105"/>
      <c r="H1196" s="105"/>
      <c r="I1196" s="105"/>
      <c r="J1196" s="105"/>
      <c r="K1196" s="105"/>
      <c r="L1196" s="105"/>
      <c r="M1196" s="105"/>
      <c r="N1196" s="105"/>
      <c r="O1196" s="105"/>
      <c r="P1196" s="105"/>
      <c r="Q1196" s="105"/>
      <c r="R1196" s="105"/>
      <c r="S1196" s="105"/>
      <c r="T1196" s="105"/>
      <c r="U1196" s="105"/>
      <c r="V1196" s="105"/>
      <c r="W1196" s="105"/>
      <c r="X1196" s="105"/>
      <c r="Y1196" s="105"/>
      <c r="Z1196" s="105"/>
    </row>
    <row r="1197">
      <c r="A1197" s="105"/>
      <c r="B1197" s="105"/>
      <c r="C1197" s="105"/>
      <c r="D1197" s="105"/>
      <c r="E1197" s="105"/>
      <c r="F1197" s="105"/>
      <c r="G1197" s="105"/>
      <c r="H1197" s="105"/>
      <c r="I1197" s="105"/>
      <c r="J1197" s="105"/>
      <c r="K1197" s="105"/>
      <c r="L1197" s="105"/>
      <c r="M1197" s="105"/>
      <c r="N1197" s="105"/>
      <c r="O1197" s="105"/>
      <c r="P1197" s="105"/>
      <c r="Q1197" s="105"/>
      <c r="R1197" s="105"/>
      <c r="S1197" s="105"/>
      <c r="T1197" s="105"/>
      <c r="U1197" s="105"/>
      <c r="V1197" s="105"/>
      <c r="W1197" s="105"/>
      <c r="X1197" s="105"/>
      <c r="Y1197" s="105"/>
      <c r="Z1197" s="105"/>
    </row>
    <row r="1198">
      <c r="A1198" s="105"/>
      <c r="B1198" s="105"/>
      <c r="C1198" s="105"/>
      <c r="D1198" s="105"/>
      <c r="E1198" s="105"/>
      <c r="F1198" s="105"/>
      <c r="G1198" s="105"/>
      <c r="H1198" s="105"/>
      <c r="I1198" s="105"/>
      <c r="J1198" s="105"/>
      <c r="K1198" s="105"/>
      <c r="L1198" s="105"/>
      <c r="M1198" s="105"/>
      <c r="N1198" s="105"/>
      <c r="O1198" s="105"/>
      <c r="P1198" s="105"/>
      <c r="Q1198" s="105"/>
      <c r="R1198" s="105"/>
      <c r="S1198" s="105"/>
      <c r="T1198" s="105"/>
      <c r="U1198" s="105"/>
      <c r="V1198" s="105"/>
      <c r="W1198" s="105"/>
      <c r="X1198" s="105"/>
      <c r="Y1198" s="105"/>
      <c r="Z1198" s="105"/>
    </row>
    <row r="1199">
      <c r="A1199" s="105"/>
      <c r="B1199" s="105"/>
      <c r="C1199" s="105"/>
      <c r="D1199" s="105"/>
      <c r="E1199" s="105"/>
      <c r="F1199" s="105"/>
      <c r="G1199" s="105"/>
      <c r="H1199" s="105"/>
      <c r="I1199" s="105"/>
      <c r="J1199" s="105"/>
      <c r="K1199" s="105"/>
      <c r="L1199" s="105"/>
      <c r="M1199" s="105"/>
      <c r="N1199" s="105"/>
      <c r="O1199" s="105"/>
      <c r="P1199" s="105"/>
      <c r="Q1199" s="105"/>
      <c r="R1199" s="105"/>
      <c r="S1199" s="105"/>
      <c r="T1199" s="105"/>
      <c r="U1199" s="105"/>
      <c r="V1199" s="105"/>
      <c r="W1199" s="105"/>
      <c r="X1199" s="105"/>
      <c r="Y1199" s="105"/>
      <c r="Z1199" s="105"/>
    </row>
    <row r="1200">
      <c r="A1200" s="105"/>
      <c r="B1200" s="105"/>
      <c r="C1200" s="105"/>
      <c r="D1200" s="105"/>
      <c r="E1200" s="105"/>
      <c r="F1200" s="105"/>
      <c r="G1200" s="105"/>
      <c r="H1200" s="105"/>
      <c r="I1200" s="105"/>
      <c r="J1200" s="105"/>
      <c r="K1200" s="105"/>
      <c r="L1200" s="105"/>
      <c r="M1200" s="105"/>
      <c r="N1200" s="105"/>
      <c r="O1200" s="105"/>
      <c r="P1200" s="105"/>
      <c r="Q1200" s="105"/>
      <c r="R1200" s="105"/>
      <c r="S1200" s="105"/>
      <c r="T1200" s="105"/>
      <c r="U1200" s="105"/>
      <c r="V1200" s="105"/>
      <c r="W1200" s="105"/>
      <c r="X1200" s="105"/>
      <c r="Y1200" s="105"/>
      <c r="Z1200" s="105"/>
    </row>
    <row r="1201">
      <c r="A1201" s="105"/>
      <c r="B1201" s="105"/>
      <c r="C1201" s="105"/>
      <c r="D1201" s="105"/>
      <c r="E1201" s="105"/>
      <c r="F1201" s="105"/>
      <c r="G1201" s="105"/>
      <c r="H1201" s="105"/>
      <c r="I1201" s="105"/>
      <c r="J1201" s="105"/>
      <c r="K1201" s="105"/>
      <c r="L1201" s="105"/>
      <c r="M1201" s="105"/>
      <c r="N1201" s="105"/>
      <c r="O1201" s="105"/>
      <c r="P1201" s="105"/>
      <c r="Q1201" s="105"/>
      <c r="R1201" s="105"/>
      <c r="S1201" s="105"/>
      <c r="T1201" s="105"/>
      <c r="U1201" s="105"/>
      <c r="V1201" s="105"/>
      <c r="W1201" s="105"/>
      <c r="X1201" s="105"/>
      <c r="Y1201" s="105"/>
      <c r="Z1201" s="105"/>
    </row>
    <row r="1202">
      <c r="A1202" s="105"/>
      <c r="B1202" s="105"/>
      <c r="C1202" s="105"/>
      <c r="D1202" s="105"/>
      <c r="E1202" s="105"/>
      <c r="F1202" s="105"/>
      <c r="G1202" s="105"/>
      <c r="H1202" s="105"/>
      <c r="I1202" s="105"/>
      <c r="J1202" s="105"/>
      <c r="K1202" s="105"/>
      <c r="L1202" s="105"/>
      <c r="M1202" s="105"/>
      <c r="N1202" s="105"/>
      <c r="O1202" s="105"/>
      <c r="P1202" s="105"/>
      <c r="Q1202" s="105"/>
      <c r="R1202" s="105"/>
      <c r="S1202" s="105"/>
      <c r="T1202" s="105"/>
      <c r="U1202" s="105"/>
      <c r="V1202" s="105"/>
      <c r="W1202" s="105"/>
      <c r="X1202" s="105"/>
      <c r="Y1202" s="105"/>
      <c r="Z1202" s="105"/>
    </row>
    <row r="1203">
      <c r="A1203" s="105"/>
      <c r="B1203" s="105"/>
      <c r="C1203" s="105"/>
      <c r="D1203" s="105"/>
      <c r="E1203" s="105"/>
      <c r="F1203" s="105"/>
      <c r="G1203" s="105"/>
      <c r="H1203" s="105"/>
      <c r="I1203" s="105"/>
      <c r="J1203" s="105"/>
      <c r="K1203" s="105"/>
      <c r="L1203" s="105"/>
      <c r="M1203" s="105"/>
      <c r="N1203" s="105"/>
      <c r="O1203" s="105"/>
      <c r="P1203" s="105"/>
      <c r="Q1203" s="105"/>
      <c r="R1203" s="105"/>
      <c r="S1203" s="105"/>
      <c r="T1203" s="105"/>
      <c r="U1203" s="105"/>
      <c r="V1203" s="105"/>
      <c r="W1203" s="105"/>
      <c r="X1203" s="105"/>
      <c r="Y1203" s="105"/>
      <c r="Z1203" s="105"/>
    </row>
    <row r="1204">
      <c r="A1204" s="105"/>
      <c r="B1204" s="105"/>
      <c r="C1204" s="105"/>
      <c r="D1204" s="105"/>
      <c r="E1204" s="105"/>
      <c r="F1204" s="105"/>
      <c r="G1204" s="105"/>
      <c r="H1204" s="105"/>
      <c r="I1204" s="105"/>
      <c r="J1204" s="105"/>
      <c r="K1204" s="105"/>
      <c r="L1204" s="105"/>
      <c r="M1204" s="105"/>
      <c r="N1204" s="105"/>
      <c r="O1204" s="105"/>
      <c r="P1204" s="105"/>
      <c r="Q1204" s="105"/>
      <c r="R1204" s="105"/>
      <c r="S1204" s="105"/>
      <c r="T1204" s="105"/>
      <c r="U1204" s="105"/>
      <c r="V1204" s="105"/>
      <c r="W1204" s="105"/>
      <c r="X1204" s="105"/>
      <c r="Y1204" s="105"/>
      <c r="Z1204" s="105"/>
    </row>
    <row r="1205">
      <c r="A1205" s="105"/>
      <c r="B1205" s="105"/>
      <c r="C1205" s="105"/>
      <c r="D1205" s="105"/>
      <c r="E1205" s="105"/>
      <c r="F1205" s="105"/>
      <c r="G1205" s="105"/>
      <c r="H1205" s="105"/>
      <c r="I1205" s="105"/>
      <c r="J1205" s="105"/>
      <c r="K1205" s="105"/>
      <c r="L1205" s="105"/>
      <c r="M1205" s="105"/>
      <c r="N1205" s="105"/>
      <c r="O1205" s="105"/>
      <c r="P1205" s="105"/>
      <c r="Q1205" s="105"/>
      <c r="R1205" s="105"/>
      <c r="S1205" s="105"/>
      <c r="T1205" s="105"/>
      <c r="U1205" s="105"/>
      <c r="V1205" s="105"/>
      <c r="W1205" s="105"/>
      <c r="X1205" s="105"/>
      <c r="Y1205" s="105"/>
      <c r="Z1205" s="105"/>
    </row>
    <row r="1206">
      <c r="A1206" s="105"/>
      <c r="B1206" s="105"/>
      <c r="C1206" s="105"/>
      <c r="D1206" s="105"/>
      <c r="E1206" s="105"/>
      <c r="F1206" s="105"/>
      <c r="G1206" s="105"/>
      <c r="H1206" s="105"/>
      <c r="I1206" s="105"/>
      <c r="J1206" s="105"/>
      <c r="K1206" s="105"/>
      <c r="L1206" s="105"/>
      <c r="M1206" s="105"/>
      <c r="N1206" s="105"/>
      <c r="O1206" s="105"/>
      <c r="P1206" s="105"/>
      <c r="Q1206" s="105"/>
      <c r="R1206" s="105"/>
      <c r="S1206" s="105"/>
      <c r="T1206" s="105"/>
      <c r="U1206" s="105"/>
      <c r="V1206" s="105"/>
      <c r="W1206" s="105"/>
      <c r="X1206" s="105"/>
      <c r="Y1206" s="105"/>
      <c r="Z1206" s="105"/>
    </row>
    <row r="1207">
      <c r="A1207" s="105"/>
      <c r="B1207" s="105"/>
      <c r="C1207" s="105"/>
      <c r="D1207" s="105"/>
      <c r="E1207" s="105"/>
      <c r="F1207" s="105"/>
      <c r="G1207" s="105"/>
      <c r="H1207" s="105"/>
      <c r="I1207" s="105"/>
      <c r="J1207" s="105"/>
      <c r="K1207" s="105"/>
      <c r="L1207" s="105"/>
      <c r="M1207" s="105"/>
      <c r="N1207" s="105"/>
      <c r="O1207" s="105"/>
      <c r="P1207" s="105"/>
      <c r="Q1207" s="105"/>
      <c r="R1207" s="105"/>
      <c r="S1207" s="105"/>
      <c r="T1207" s="105"/>
      <c r="U1207" s="105"/>
      <c r="V1207" s="105"/>
      <c r="W1207" s="105"/>
      <c r="X1207" s="105"/>
      <c r="Y1207" s="105"/>
      <c r="Z1207" s="105"/>
    </row>
    <row r="1208">
      <c r="A1208" s="105"/>
      <c r="B1208" s="105"/>
      <c r="C1208" s="105"/>
      <c r="D1208" s="105"/>
      <c r="E1208" s="105"/>
      <c r="F1208" s="105"/>
      <c r="G1208" s="105"/>
      <c r="H1208" s="105"/>
      <c r="I1208" s="105"/>
      <c r="J1208" s="105"/>
      <c r="K1208" s="105"/>
      <c r="L1208" s="105"/>
      <c r="M1208" s="105"/>
      <c r="N1208" s="105"/>
      <c r="O1208" s="105"/>
      <c r="P1208" s="105"/>
      <c r="Q1208" s="105"/>
      <c r="R1208" s="105"/>
      <c r="S1208" s="105"/>
      <c r="T1208" s="105"/>
      <c r="U1208" s="105"/>
      <c r="V1208" s="105"/>
      <c r="W1208" s="105"/>
      <c r="X1208" s="105"/>
      <c r="Y1208" s="105"/>
      <c r="Z1208" s="105"/>
    </row>
    <row r="1209">
      <c r="A1209" s="105"/>
      <c r="B1209" s="105"/>
      <c r="C1209" s="105"/>
      <c r="D1209" s="105"/>
      <c r="E1209" s="105"/>
      <c r="F1209" s="105"/>
      <c r="G1209" s="105"/>
      <c r="H1209" s="105"/>
      <c r="I1209" s="105"/>
      <c r="J1209" s="105"/>
      <c r="K1209" s="105"/>
      <c r="L1209" s="105"/>
      <c r="M1209" s="105"/>
      <c r="N1209" s="105"/>
      <c r="O1209" s="105"/>
      <c r="P1209" s="105"/>
      <c r="Q1209" s="105"/>
      <c r="R1209" s="105"/>
      <c r="S1209" s="105"/>
      <c r="T1209" s="105"/>
      <c r="U1209" s="105"/>
      <c r="V1209" s="105"/>
      <c r="W1209" s="105"/>
      <c r="X1209" s="105"/>
      <c r="Y1209" s="105"/>
      <c r="Z1209" s="105"/>
    </row>
    <row r="1210">
      <c r="A1210" s="105"/>
      <c r="B1210" s="105"/>
      <c r="C1210" s="105"/>
      <c r="D1210" s="105"/>
      <c r="E1210" s="105"/>
      <c r="F1210" s="105"/>
      <c r="G1210" s="105"/>
      <c r="H1210" s="105"/>
      <c r="I1210" s="105"/>
      <c r="J1210" s="105"/>
      <c r="K1210" s="105"/>
      <c r="L1210" s="105"/>
      <c r="M1210" s="105"/>
      <c r="N1210" s="105"/>
      <c r="O1210" s="105"/>
      <c r="P1210" s="105"/>
      <c r="Q1210" s="105"/>
      <c r="R1210" s="105"/>
      <c r="S1210" s="105"/>
      <c r="T1210" s="105"/>
      <c r="U1210" s="105"/>
      <c r="V1210" s="105"/>
      <c r="W1210" s="105"/>
      <c r="X1210" s="105"/>
      <c r="Y1210" s="105"/>
      <c r="Z1210" s="105"/>
    </row>
    <row r="1211">
      <c r="A1211" s="105"/>
      <c r="B1211" s="105"/>
      <c r="C1211" s="105"/>
      <c r="D1211" s="105"/>
      <c r="E1211" s="105"/>
      <c r="F1211" s="105"/>
      <c r="G1211" s="105"/>
      <c r="H1211" s="105"/>
      <c r="I1211" s="105"/>
      <c r="J1211" s="105"/>
      <c r="K1211" s="105"/>
      <c r="L1211" s="105"/>
      <c r="M1211" s="105"/>
      <c r="N1211" s="105"/>
      <c r="O1211" s="105"/>
      <c r="P1211" s="105"/>
      <c r="Q1211" s="105"/>
      <c r="R1211" s="105"/>
      <c r="S1211" s="105"/>
      <c r="T1211" s="105"/>
      <c r="U1211" s="105"/>
      <c r="V1211" s="105"/>
      <c r="W1211" s="105"/>
      <c r="X1211" s="105"/>
      <c r="Y1211" s="105"/>
      <c r="Z1211" s="105"/>
    </row>
    <row r="1212">
      <c r="A1212" s="105"/>
      <c r="B1212" s="105"/>
      <c r="C1212" s="105"/>
      <c r="D1212" s="105"/>
      <c r="E1212" s="105"/>
      <c r="F1212" s="105"/>
      <c r="G1212" s="105"/>
      <c r="H1212" s="105"/>
      <c r="I1212" s="105"/>
      <c r="J1212" s="105"/>
      <c r="K1212" s="105"/>
      <c r="L1212" s="105"/>
      <c r="M1212" s="105"/>
      <c r="N1212" s="105"/>
      <c r="O1212" s="105"/>
      <c r="P1212" s="105"/>
      <c r="Q1212" s="105"/>
      <c r="R1212" s="105"/>
      <c r="S1212" s="105"/>
      <c r="T1212" s="105"/>
      <c r="U1212" s="105"/>
      <c r="V1212" s="105"/>
      <c r="W1212" s="105"/>
      <c r="X1212" s="105"/>
      <c r="Y1212" s="105"/>
      <c r="Z1212" s="105"/>
    </row>
    <row r="1213">
      <c r="A1213" s="105"/>
      <c r="B1213" s="105"/>
      <c r="C1213" s="105"/>
      <c r="D1213" s="105"/>
      <c r="E1213" s="105"/>
      <c r="F1213" s="105"/>
      <c r="G1213" s="105"/>
      <c r="H1213" s="105"/>
      <c r="I1213" s="105"/>
      <c r="J1213" s="105"/>
      <c r="K1213" s="105"/>
      <c r="L1213" s="105"/>
      <c r="M1213" s="105"/>
      <c r="N1213" s="105"/>
      <c r="O1213" s="105"/>
      <c r="P1213" s="105"/>
      <c r="Q1213" s="105"/>
      <c r="R1213" s="105"/>
      <c r="S1213" s="105"/>
      <c r="T1213" s="105"/>
      <c r="U1213" s="105"/>
      <c r="V1213" s="105"/>
      <c r="W1213" s="105"/>
      <c r="X1213" s="105"/>
      <c r="Y1213" s="105"/>
      <c r="Z1213" s="105"/>
    </row>
    <row r="1214">
      <c r="A1214" s="105"/>
      <c r="B1214" s="105"/>
      <c r="C1214" s="105"/>
      <c r="D1214" s="105"/>
      <c r="E1214" s="105"/>
      <c r="F1214" s="105"/>
      <c r="G1214" s="105"/>
      <c r="H1214" s="105"/>
      <c r="I1214" s="105"/>
      <c r="J1214" s="105"/>
      <c r="K1214" s="105"/>
      <c r="L1214" s="105"/>
      <c r="M1214" s="105"/>
      <c r="N1214" s="105"/>
      <c r="O1214" s="105"/>
      <c r="P1214" s="105"/>
      <c r="Q1214" s="105"/>
      <c r="R1214" s="105"/>
      <c r="S1214" s="105"/>
      <c r="T1214" s="105"/>
      <c r="U1214" s="105"/>
      <c r="V1214" s="105"/>
      <c r="W1214" s="105"/>
      <c r="X1214" s="105"/>
      <c r="Y1214" s="105"/>
      <c r="Z1214" s="105"/>
    </row>
    <row r="1215">
      <c r="A1215" s="105"/>
      <c r="B1215" s="105"/>
      <c r="C1215" s="105"/>
      <c r="D1215" s="105"/>
      <c r="E1215" s="105"/>
      <c r="F1215" s="105"/>
      <c r="G1215" s="105"/>
      <c r="H1215" s="105"/>
      <c r="I1215" s="105"/>
      <c r="J1215" s="105"/>
      <c r="K1215" s="105"/>
      <c r="L1215" s="105"/>
      <c r="M1215" s="105"/>
      <c r="N1215" s="105"/>
      <c r="O1215" s="105"/>
      <c r="P1215" s="105"/>
      <c r="Q1215" s="105"/>
      <c r="R1215" s="105"/>
      <c r="S1215" s="105"/>
      <c r="T1215" s="105"/>
      <c r="U1215" s="105"/>
      <c r="V1215" s="105"/>
      <c r="W1215" s="105"/>
      <c r="X1215" s="105"/>
      <c r="Y1215" s="105"/>
      <c r="Z1215" s="105"/>
    </row>
    <row r="1216">
      <c r="A1216" s="105"/>
      <c r="B1216" s="105"/>
      <c r="C1216" s="105"/>
      <c r="D1216" s="105"/>
      <c r="E1216" s="105"/>
      <c r="F1216" s="105"/>
      <c r="G1216" s="105"/>
      <c r="H1216" s="105"/>
      <c r="I1216" s="105"/>
      <c r="J1216" s="105"/>
      <c r="K1216" s="105"/>
      <c r="L1216" s="105"/>
      <c r="M1216" s="105"/>
      <c r="N1216" s="105"/>
      <c r="O1216" s="105"/>
      <c r="P1216" s="105"/>
      <c r="Q1216" s="105"/>
      <c r="R1216" s="105"/>
      <c r="S1216" s="105"/>
      <c r="T1216" s="105"/>
      <c r="U1216" s="105"/>
      <c r="V1216" s="105"/>
      <c r="W1216" s="105"/>
      <c r="X1216" s="105"/>
      <c r="Y1216" s="105"/>
      <c r="Z1216" s="105"/>
    </row>
    <row r="1217">
      <c r="A1217" s="105"/>
      <c r="B1217" s="105"/>
      <c r="C1217" s="105"/>
      <c r="D1217" s="105"/>
      <c r="E1217" s="105"/>
      <c r="F1217" s="105"/>
      <c r="G1217" s="105"/>
      <c r="H1217" s="105"/>
      <c r="I1217" s="105"/>
      <c r="J1217" s="105"/>
      <c r="K1217" s="105"/>
      <c r="L1217" s="105"/>
      <c r="M1217" s="105"/>
      <c r="N1217" s="105"/>
      <c r="O1217" s="105"/>
      <c r="P1217" s="105"/>
      <c r="Q1217" s="105"/>
      <c r="R1217" s="105"/>
      <c r="S1217" s="105"/>
      <c r="T1217" s="105"/>
      <c r="U1217" s="105"/>
      <c r="V1217" s="105"/>
      <c r="W1217" s="105"/>
      <c r="X1217" s="105"/>
      <c r="Y1217" s="105"/>
      <c r="Z1217" s="105"/>
    </row>
    <row r="1218">
      <c r="A1218" s="105"/>
      <c r="B1218" s="105"/>
      <c r="C1218" s="105"/>
      <c r="D1218" s="105"/>
      <c r="E1218" s="105"/>
      <c r="F1218" s="105"/>
      <c r="G1218" s="105"/>
      <c r="H1218" s="105"/>
      <c r="I1218" s="105"/>
      <c r="J1218" s="105"/>
      <c r="K1218" s="105"/>
      <c r="L1218" s="105"/>
      <c r="M1218" s="105"/>
      <c r="N1218" s="105"/>
      <c r="O1218" s="105"/>
      <c r="P1218" s="105"/>
      <c r="Q1218" s="105"/>
      <c r="R1218" s="105"/>
      <c r="S1218" s="105"/>
      <c r="T1218" s="105"/>
      <c r="U1218" s="105"/>
      <c r="V1218" s="105"/>
      <c r="W1218" s="105"/>
      <c r="X1218" s="105"/>
      <c r="Y1218" s="105"/>
      <c r="Z1218" s="105"/>
    </row>
    <row r="1219">
      <c r="A1219" s="105"/>
      <c r="B1219" s="105"/>
      <c r="C1219" s="105"/>
      <c r="D1219" s="105"/>
      <c r="E1219" s="105"/>
      <c r="F1219" s="105"/>
      <c r="G1219" s="105"/>
      <c r="H1219" s="105"/>
      <c r="I1219" s="105"/>
      <c r="J1219" s="105"/>
      <c r="K1219" s="105"/>
      <c r="L1219" s="105"/>
      <c r="M1219" s="105"/>
      <c r="N1219" s="105"/>
      <c r="O1219" s="105"/>
      <c r="P1219" s="105"/>
      <c r="Q1219" s="105"/>
      <c r="R1219" s="105"/>
      <c r="S1219" s="105"/>
      <c r="T1219" s="105"/>
      <c r="U1219" s="105"/>
      <c r="V1219" s="105"/>
      <c r="W1219" s="105"/>
      <c r="X1219" s="105"/>
      <c r="Y1219" s="105"/>
      <c r="Z1219" s="105"/>
    </row>
    <row r="1220">
      <c r="A1220" s="105"/>
      <c r="B1220" s="105"/>
      <c r="C1220" s="105"/>
      <c r="D1220" s="105"/>
      <c r="E1220" s="105"/>
      <c r="F1220" s="105"/>
      <c r="G1220" s="105"/>
      <c r="H1220" s="105"/>
      <c r="I1220" s="105"/>
      <c r="J1220" s="105"/>
      <c r="K1220" s="105"/>
      <c r="L1220" s="105"/>
      <c r="M1220" s="105"/>
      <c r="N1220" s="105"/>
      <c r="O1220" s="105"/>
      <c r="P1220" s="105"/>
      <c r="Q1220" s="105"/>
      <c r="R1220" s="105"/>
      <c r="S1220" s="105"/>
      <c r="T1220" s="105"/>
      <c r="U1220" s="105"/>
      <c r="V1220" s="105"/>
      <c r="W1220" s="105"/>
      <c r="X1220" s="105"/>
      <c r="Y1220" s="105"/>
      <c r="Z1220" s="105"/>
    </row>
    <row r="1221">
      <c r="A1221" s="105"/>
      <c r="B1221" s="105"/>
      <c r="C1221" s="105"/>
      <c r="D1221" s="105"/>
      <c r="E1221" s="105"/>
      <c r="F1221" s="105"/>
      <c r="G1221" s="105"/>
      <c r="H1221" s="105"/>
      <c r="I1221" s="105"/>
      <c r="J1221" s="105"/>
      <c r="K1221" s="105"/>
      <c r="L1221" s="105"/>
      <c r="M1221" s="105"/>
      <c r="N1221" s="105"/>
      <c r="O1221" s="105"/>
      <c r="P1221" s="105"/>
      <c r="Q1221" s="105"/>
      <c r="R1221" s="105"/>
      <c r="S1221" s="105"/>
      <c r="T1221" s="105"/>
      <c r="U1221" s="105"/>
      <c r="V1221" s="105"/>
      <c r="W1221" s="105"/>
      <c r="X1221" s="105"/>
      <c r="Y1221" s="105"/>
      <c r="Z1221" s="105"/>
    </row>
    <row r="1222">
      <c r="A1222" s="105"/>
      <c r="B1222" s="105"/>
      <c r="C1222" s="105"/>
      <c r="D1222" s="105"/>
      <c r="E1222" s="105"/>
      <c r="F1222" s="105"/>
      <c r="G1222" s="105"/>
      <c r="H1222" s="105"/>
      <c r="I1222" s="105"/>
      <c r="J1222" s="105"/>
      <c r="K1222" s="105"/>
      <c r="L1222" s="105"/>
      <c r="M1222" s="105"/>
      <c r="N1222" s="105"/>
      <c r="O1222" s="105"/>
      <c r="P1222" s="105"/>
      <c r="Q1222" s="105"/>
      <c r="R1222" s="105"/>
      <c r="S1222" s="105"/>
      <c r="T1222" s="105"/>
      <c r="U1222" s="105"/>
      <c r="V1222" s="105"/>
      <c r="W1222" s="105"/>
      <c r="X1222" s="105"/>
      <c r="Y1222" s="105"/>
      <c r="Z1222" s="105"/>
    </row>
    <row r="1223">
      <c r="A1223" s="105"/>
      <c r="B1223" s="105"/>
      <c r="C1223" s="105"/>
      <c r="D1223" s="105"/>
      <c r="E1223" s="105"/>
      <c r="F1223" s="105"/>
      <c r="G1223" s="105"/>
      <c r="H1223" s="105"/>
      <c r="I1223" s="105"/>
      <c r="J1223" s="105"/>
      <c r="K1223" s="105"/>
      <c r="L1223" s="105"/>
      <c r="M1223" s="105"/>
      <c r="N1223" s="105"/>
      <c r="O1223" s="105"/>
      <c r="P1223" s="105"/>
      <c r="Q1223" s="105"/>
      <c r="R1223" s="105"/>
      <c r="S1223" s="105"/>
      <c r="T1223" s="105"/>
      <c r="U1223" s="105"/>
      <c r="V1223" s="105"/>
      <c r="W1223" s="105"/>
      <c r="X1223" s="105"/>
      <c r="Y1223" s="105"/>
      <c r="Z1223" s="105"/>
    </row>
    <row r="1224">
      <c r="A1224" s="105"/>
      <c r="B1224" s="105"/>
      <c r="C1224" s="105"/>
      <c r="D1224" s="105"/>
      <c r="E1224" s="105"/>
      <c r="F1224" s="105"/>
      <c r="G1224" s="105"/>
      <c r="H1224" s="105"/>
      <c r="I1224" s="105"/>
      <c r="J1224" s="105"/>
      <c r="K1224" s="105"/>
      <c r="L1224" s="105"/>
      <c r="M1224" s="105"/>
      <c r="N1224" s="105"/>
      <c r="O1224" s="105"/>
      <c r="P1224" s="105"/>
      <c r="Q1224" s="105"/>
      <c r="R1224" s="105"/>
      <c r="S1224" s="105"/>
      <c r="T1224" s="105"/>
      <c r="U1224" s="105"/>
      <c r="V1224" s="105"/>
      <c r="W1224" s="105"/>
      <c r="X1224" s="105"/>
      <c r="Y1224" s="105"/>
      <c r="Z1224" s="105"/>
    </row>
    <row r="1225">
      <c r="A1225" s="105"/>
      <c r="B1225" s="105"/>
      <c r="C1225" s="105"/>
      <c r="D1225" s="105"/>
      <c r="E1225" s="105"/>
      <c r="F1225" s="105"/>
      <c r="G1225" s="105"/>
      <c r="H1225" s="105"/>
      <c r="I1225" s="105"/>
      <c r="J1225" s="105"/>
      <c r="K1225" s="105"/>
      <c r="L1225" s="105"/>
      <c r="M1225" s="105"/>
      <c r="N1225" s="105"/>
      <c r="O1225" s="105"/>
      <c r="P1225" s="105"/>
      <c r="Q1225" s="105"/>
      <c r="R1225" s="105"/>
      <c r="S1225" s="105"/>
      <c r="T1225" s="105"/>
      <c r="U1225" s="105"/>
      <c r="V1225" s="105"/>
      <c r="W1225" s="105"/>
      <c r="X1225" s="105"/>
      <c r="Y1225" s="105"/>
      <c r="Z1225" s="105"/>
    </row>
    <row r="1226">
      <c r="A1226" s="105"/>
      <c r="B1226" s="105"/>
      <c r="C1226" s="105"/>
      <c r="D1226" s="105"/>
      <c r="E1226" s="105"/>
      <c r="F1226" s="105"/>
      <c r="G1226" s="105"/>
      <c r="H1226" s="105"/>
      <c r="I1226" s="105"/>
      <c r="J1226" s="105"/>
      <c r="K1226" s="105"/>
      <c r="L1226" s="105"/>
      <c r="M1226" s="105"/>
      <c r="N1226" s="105"/>
      <c r="O1226" s="105"/>
      <c r="P1226" s="105"/>
      <c r="Q1226" s="105"/>
      <c r="R1226" s="105"/>
      <c r="S1226" s="105"/>
      <c r="T1226" s="105"/>
      <c r="U1226" s="105"/>
      <c r="V1226" s="105"/>
      <c r="W1226" s="105"/>
      <c r="X1226" s="105"/>
      <c r="Y1226" s="105"/>
      <c r="Z1226" s="105"/>
    </row>
    <row r="1227">
      <c r="A1227" s="105"/>
      <c r="B1227" s="105"/>
      <c r="C1227" s="105"/>
      <c r="D1227" s="105"/>
      <c r="E1227" s="105"/>
      <c r="F1227" s="105"/>
      <c r="G1227" s="105"/>
      <c r="H1227" s="105"/>
      <c r="I1227" s="105"/>
      <c r="J1227" s="105"/>
      <c r="K1227" s="105"/>
      <c r="L1227" s="105"/>
      <c r="M1227" s="105"/>
      <c r="N1227" s="105"/>
      <c r="O1227" s="105"/>
      <c r="P1227" s="105"/>
      <c r="Q1227" s="105"/>
      <c r="R1227" s="105"/>
      <c r="S1227" s="105"/>
      <c r="T1227" s="105"/>
      <c r="U1227" s="105"/>
      <c r="V1227" s="105"/>
      <c r="W1227" s="105"/>
      <c r="X1227" s="105"/>
      <c r="Y1227" s="105"/>
      <c r="Z1227" s="105"/>
    </row>
    <row r="1228">
      <c r="A1228" s="105"/>
      <c r="B1228" s="105"/>
      <c r="C1228" s="105"/>
      <c r="D1228" s="105"/>
      <c r="E1228" s="105"/>
      <c r="F1228" s="105"/>
      <c r="G1228" s="105"/>
      <c r="H1228" s="105"/>
      <c r="I1228" s="105"/>
      <c r="J1228" s="105"/>
      <c r="K1228" s="105"/>
      <c r="L1228" s="105"/>
      <c r="M1228" s="105"/>
      <c r="N1228" s="105"/>
      <c r="O1228" s="105"/>
      <c r="P1228" s="105"/>
      <c r="Q1228" s="105"/>
      <c r="R1228" s="105"/>
      <c r="S1228" s="105"/>
      <c r="T1228" s="105"/>
      <c r="U1228" s="105"/>
      <c r="V1228" s="105"/>
      <c r="W1228" s="105"/>
      <c r="X1228" s="105"/>
      <c r="Y1228" s="105"/>
      <c r="Z1228" s="105"/>
    </row>
    <row r="1229">
      <c r="A1229" s="105"/>
      <c r="B1229" s="105"/>
      <c r="C1229" s="105"/>
      <c r="D1229" s="105"/>
      <c r="E1229" s="105"/>
      <c r="F1229" s="105"/>
      <c r="G1229" s="105"/>
      <c r="H1229" s="105"/>
      <c r="I1229" s="105"/>
      <c r="J1229" s="105"/>
      <c r="K1229" s="105"/>
      <c r="L1229" s="105"/>
      <c r="M1229" s="105"/>
      <c r="N1229" s="105"/>
      <c r="O1229" s="105"/>
      <c r="P1229" s="105"/>
      <c r="Q1229" s="105"/>
      <c r="R1229" s="105"/>
      <c r="S1229" s="105"/>
      <c r="T1229" s="105"/>
      <c r="U1229" s="105"/>
      <c r="V1229" s="105"/>
      <c r="W1229" s="105"/>
      <c r="X1229" s="105"/>
      <c r="Y1229" s="105"/>
      <c r="Z1229" s="105"/>
    </row>
    <row r="1230">
      <c r="A1230" s="105"/>
      <c r="B1230" s="105"/>
      <c r="C1230" s="105"/>
      <c r="D1230" s="105"/>
      <c r="E1230" s="105"/>
      <c r="F1230" s="105"/>
      <c r="G1230" s="105"/>
      <c r="H1230" s="105"/>
      <c r="I1230" s="105"/>
      <c r="J1230" s="105"/>
      <c r="K1230" s="105"/>
      <c r="L1230" s="105"/>
      <c r="M1230" s="105"/>
      <c r="N1230" s="105"/>
      <c r="O1230" s="105"/>
      <c r="P1230" s="105"/>
      <c r="Q1230" s="105"/>
      <c r="R1230" s="105"/>
      <c r="S1230" s="105"/>
      <c r="T1230" s="105"/>
      <c r="U1230" s="105"/>
      <c r="V1230" s="105"/>
      <c r="W1230" s="105"/>
      <c r="X1230" s="105"/>
      <c r="Y1230" s="105"/>
      <c r="Z1230" s="105"/>
    </row>
    <row r="1231">
      <c r="A1231" s="105"/>
      <c r="B1231" s="105"/>
      <c r="C1231" s="105"/>
      <c r="D1231" s="105"/>
      <c r="E1231" s="105"/>
      <c r="F1231" s="105"/>
      <c r="G1231" s="105"/>
      <c r="H1231" s="105"/>
      <c r="I1231" s="105"/>
      <c r="J1231" s="105"/>
      <c r="K1231" s="105"/>
      <c r="L1231" s="105"/>
      <c r="M1231" s="105"/>
      <c r="N1231" s="105"/>
      <c r="O1231" s="105"/>
      <c r="P1231" s="105"/>
      <c r="Q1231" s="105"/>
      <c r="R1231" s="105"/>
      <c r="S1231" s="105"/>
      <c r="T1231" s="105"/>
      <c r="U1231" s="105"/>
      <c r="V1231" s="105"/>
      <c r="W1231" s="105"/>
      <c r="X1231" s="105"/>
      <c r="Y1231" s="105"/>
      <c r="Z1231" s="105"/>
    </row>
    <row r="1232">
      <c r="A1232" s="105"/>
      <c r="B1232" s="105"/>
      <c r="C1232" s="105"/>
      <c r="D1232" s="105"/>
      <c r="E1232" s="105"/>
      <c r="F1232" s="105"/>
      <c r="G1232" s="105"/>
      <c r="H1232" s="105"/>
      <c r="I1232" s="105"/>
      <c r="J1232" s="105"/>
      <c r="K1232" s="105"/>
      <c r="L1232" s="105"/>
      <c r="M1232" s="105"/>
      <c r="N1232" s="105"/>
      <c r="O1232" s="105"/>
      <c r="P1232" s="105"/>
      <c r="Q1232" s="105"/>
      <c r="R1232" s="105"/>
      <c r="S1232" s="105"/>
      <c r="T1232" s="105"/>
      <c r="U1232" s="105"/>
      <c r="V1232" s="105"/>
      <c r="W1232" s="105"/>
      <c r="X1232" s="105"/>
      <c r="Y1232" s="105"/>
      <c r="Z1232" s="105"/>
    </row>
    <row r="1233">
      <c r="A1233" s="105"/>
      <c r="B1233" s="105"/>
      <c r="C1233" s="105"/>
      <c r="D1233" s="105"/>
      <c r="E1233" s="105"/>
      <c r="F1233" s="105"/>
      <c r="G1233" s="105"/>
      <c r="H1233" s="105"/>
      <c r="I1233" s="105"/>
      <c r="J1233" s="105"/>
      <c r="K1233" s="105"/>
      <c r="L1233" s="105"/>
      <c r="M1233" s="105"/>
      <c r="N1233" s="105"/>
      <c r="O1233" s="105"/>
      <c r="P1233" s="105"/>
      <c r="Q1233" s="105"/>
      <c r="R1233" s="105"/>
      <c r="S1233" s="105"/>
      <c r="T1233" s="105"/>
      <c r="U1233" s="105"/>
      <c r="V1233" s="105"/>
      <c r="W1233" s="105"/>
      <c r="X1233" s="105"/>
      <c r="Y1233" s="105"/>
      <c r="Z1233" s="105"/>
    </row>
    <row r="1234">
      <c r="A1234" s="105"/>
      <c r="B1234" s="105"/>
      <c r="C1234" s="105"/>
      <c r="D1234" s="105"/>
      <c r="E1234" s="105"/>
      <c r="F1234" s="105"/>
      <c r="G1234" s="105"/>
      <c r="H1234" s="105"/>
      <c r="I1234" s="105"/>
      <c r="J1234" s="105"/>
      <c r="K1234" s="105"/>
      <c r="L1234" s="105"/>
      <c r="M1234" s="105"/>
      <c r="N1234" s="105"/>
      <c r="O1234" s="105"/>
      <c r="P1234" s="105"/>
      <c r="Q1234" s="105"/>
      <c r="R1234" s="105"/>
      <c r="S1234" s="105"/>
      <c r="T1234" s="105"/>
      <c r="U1234" s="105"/>
      <c r="V1234" s="105"/>
      <c r="W1234" s="105"/>
      <c r="X1234" s="105"/>
      <c r="Y1234" s="105"/>
      <c r="Z1234" s="105"/>
    </row>
    <row r="1235">
      <c r="A1235" s="105"/>
      <c r="B1235" s="105"/>
      <c r="C1235" s="105"/>
      <c r="D1235" s="105"/>
      <c r="E1235" s="105"/>
      <c r="F1235" s="105"/>
      <c r="G1235" s="105"/>
      <c r="H1235" s="105"/>
      <c r="I1235" s="105"/>
      <c r="J1235" s="105"/>
      <c r="K1235" s="105"/>
      <c r="L1235" s="105"/>
      <c r="M1235" s="105"/>
      <c r="N1235" s="105"/>
      <c r="O1235" s="105"/>
      <c r="P1235" s="105"/>
      <c r="Q1235" s="105"/>
      <c r="R1235" s="105"/>
      <c r="S1235" s="105"/>
      <c r="T1235" s="105"/>
      <c r="U1235" s="105"/>
      <c r="V1235" s="105"/>
      <c r="W1235" s="105"/>
      <c r="X1235" s="105"/>
      <c r="Y1235" s="105"/>
      <c r="Z1235" s="105"/>
    </row>
    <row r="1236">
      <c r="A1236" s="105"/>
      <c r="B1236" s="105"/>
      <c r="C1236" s="105"/>
      <c r="D1236" s="105"/>
      <c r="E1236" s="105"/>
      <c r="F1236" s="105"/>
      <c r="G1236" s="105"/>
      <c r="H1236" s="105"/>
      <c r="I1236" s="105"/>
      <c r="J1236" s="105"/>
      <c r="K1236" s="105"/>
      <c r="L1236" s="105"/>
      <c r="M1236" s="105"/>
      <c r="N1236" s="105"/>
      <c r="O1236" s="105"/>
      <c r="P1236" s="105"/>
      <c r="Q1236" s="105"/>
      <c r="R1236" s="105"/>
      <c r="S1236" s="105"/>
      <c r="T1236" s="105"/>
      <c r="U1236" s="105"/>
      <c r="V1236" s="105"/>
      <c r="W1236" s="105"/>
      <c r="X1236" s="105"/>
      <c r="Y1236" s="105"/>
      <c r="Z1236" s="105"/>
    </row>
    <row r="1237">
      <c r="A1237" s="105"/>
      <c r="B1237" s="105"/>
      <c r="C1237" s="105"/>
      <c r="D1237" s="105"/>
      <c r="E1237" s="105"/>
      <c r="F1237" s="105"/>
      <c r="G1237" s="105"/>
      <c r="H1237" s="105"/>
      <c r="I1237" s="105"/>
      <c r="J1237" s="105"/>
      <c r="K1237" s="105"/>
      <c r="L1237" s="105"/>
      <c r="M1237" s="105"/>
      <c r="N1237" s="105"/>
      <c r="O1237" s="105"/>
      <c r="P1237" s="105"/>
      <c r="Q1237" s="105"/>
      <c r="R1237" s="105"/>
      <c r="S1237" s="105"/>
      <c r="T1237" s="105"/>
      <c r="U1237" s="105"/>
      <c r="V1237" s="105"/>
      <c r="W1237" s="105"/>
      <c r="X1237" s="105"/>
      <c r="Y1237" s="105"/>
      <c r="Z1237" s="105"/>
    </row>
    <row r="1238">
      <c r="A1238" s="105"/>
      <c r="B1238" s="105"/>
      <c r="C1238" s="105"/>
      <c r="D1238" s="105"/>
      <c r="E1238" s="105"/>
      <c r="F1238" s="105"/>
      <c r="G1238" s="105"/>
      <c r="H1238" s="105"/>
      <c r="I1238" s="105"/>
      <c r="J1238" s="105"/>
      <c r="K1238" s="105"/>
      <c r="L1238" s="105"/>
      <c r="M1238" s="105"/>
      <c r="N1238" s="105"/>
      <c r="O1238" s="105"/>
      <c r="P1238" s="105"/>
      <c r="Q1238" s="105"/>
      <c r="R1238" s="105"/>
      <c r="S1238" s="105"/>
      <c r="T1238" s="105"/>
      <c r="U1238" s="105"/>
      <c r="V1238" s="105"/>
      <c r="W1238" s="105"/>
      <c r="X1238" s="105"/>
      <c r="Y1238" s="105"/>
      <c r="Z1238" s="105"/>
    </row>
    <row r="1239">
      <c r="A1239" s="105"/>
      <c r="B1239" s="105"/>
      <c r="C1239" s="105"/>
      <c r="D1239" s="105"/>
      <c r="E1239" s="105"/>
      <c r="F1239" s="105"/>
      <c r="G1239" s="105"/>
      <c r="H1239" s="105"/>
      <c r="I1239" s="105"/>
      <c r="J1239" s="105"/>
      <c r="K1239" s="105"/>
      <c r="L1239" s="105"/>
      <c r="M1239" s="105"/>
      <c r="N1239" s="105"/>
      <c r="O1239" s="105"/>
      <c r="P1239" s="105"/>
      <c r="Q1239" s="105"/>
      <c r="R1239" s="105"/>
      <c r="S1239" s="105"/>
      <c r="T1239" s="105"/>
      <c r="U1239" s="105"/>
      <c r="V1239" s="105"/>
      <c r="W1239" s="105"/>
      <c r="X1239" s="105"/>
      <c r="Y1239" s="105"/>
      <c r="Z1239" s="105"/>
    </row>
    <row r="1240">
      <c r="A1240" s="105"/>
      <c r="B1240" s="105"/>
      <c r="C1240" s="105"/>
      <c r="D1240" s="105"/>
      <c r="E1240" s="105"/>
      <c r="F1240" s="105"/>
      <c r="G1240" s="105"/>
      <c r="H1240" s="105"/>
      <c r="I1240" s="105"/>
      <c r="J1240" s="105"/>
      <c r="K1240" s="105"/>
      <c r="L1240" s="105"/>
      <c r="M1240" s="105"/>
      <c r="N1240" s="105"/>
      <c r="O1240" s="105"/>
      <c r="P1240" s="105"/>
      <c r="Q1240" s="105"/>
      <c r="R1240" s="105"/>
      <c r="S1240" s="105"/>
      <c r="T1240" s="105"/>
      <c r="U1240" s="105"/>
      <c r="V1240" s="105"/>
      <c r="W1240" s="105"/>
      <c r="X1240" s="105"/>
      <c r="Y1240" s="105"/>
      <c r="Z1240" s="105"/>
    </row>
    <row r="1241">
      <c r="A1241" s="105"/>
      <c r="B1241" s="105"/>
      <c r="C1241" s="105"/>
      <c r="D1241" s="105"/>
      <c r="E1241" s="105"/>
      <c r="F1241" s="105"/>
      <c r="G1241" s="105"/>
      <c r="H1241" s="105"/>
      <c r="I1241" s="105"/>
      <c r="J1241" s="105"/>
      <c r="K1241" s="105"/>
      <c r="L1241" s="105"/>
      <c r="M1241" s="105"/>
      <c r="N1241" s="105"/>
      <c r="O1241" s="105"/>
      <c r="P1241" s="105"/>
      <c r="Q1241" s="105"/>
      <c r="R1241" s="105"/>
      <c r="S1241" s="105"/>
      <c r="T1241" s="105"/>
      <c r="U1241" s="105"/>
      <c r="V1241" s="105"/>
      <c r="W1241" s="105"/>
      <c r="X1241" s="105"/>
      <c r="Y1241" s="105"/>
      <c r="Z1241" s="105"/>
    </row>
    <row r="1242">
      <c r="A1242" s="105"/>
      <c r="B1242" s="105"/>
      <c r="C1242" s="105"/>
      <c r="D1242" s="105"/>
      <c r="E1242" s="105"/>
      <c r="F1242" s="105"/>
      <c r="G1242" s="105"/>
      <c r="H1242" s="105"/>
      <c r="I1242" s="105"/>
      <c r="J1242" s="105"/>
      <c r="K1242" s="105"/>
      <c r="L1242" s="105"/>
      <c r="M1242" s="105"/>
      <c r="N1242" s="105"/>
      <c r="O1242" s="105"/>
      <c r="P1242" s="105"/>
      <c r="Q1242" s="105"/>
      <c r="R1242" s="105"/>
      <c r="S1242" s="105"/>
      <c r="T1242" s="105"/>
      <c r="U1242" s="105"/>
      <c r="V1242" s="105"/>
      <c r="W1242" s="105"/>
      <c r="X1242" s="105"/>
      <c r="Y1242" s="105"/>
      <c r="Z1242" s="105"/>
    </row>
    <row r="1243">
      <c r="A1243" s="105"/>
      <c r="B1243" s="105"/>
      <c r="C1243" s="105"/>
      <c r="D1243" s="105"/>
      <c r="E1243" s="105"/>
      <c r="F1243" s="105"/>
      <c r="G1243" s="105"/>
      <c r="H1243" s="105"/>
      <c r="I1243" s="105"/>
      <c r="J1243" s="105"/>
      <c r="K1243" s="105"/>
      <c r="L1243" s="105"/>
      <c r="M1243" s="105"/>
      <c r="N1243" s="105"/>
      <c r="O1243" s="105"/>
      <c r="P1243" s="105"/>
      <c r="Q1243" s="105"/>
      <c r="R1243" s="105"/>
      <c r="S1243" s="105"/>
      <c r="T1243" s="105"/>
      <c r="U1243" s="105"/>
      <c r="V1243" s="105"/>
      <c r="W1243" s="105"/>
      <c r="X1243" s="105"/>
      <c r="Y1243" s="105"/>
      <c r="Z1243" s="105"/>
    </row>
    <row r="1244">
      <c r="A1244" s="105"/>
      <c r="B1244" s="105"/>
      <c r="C1244" s="105"/>
      <c r="D1244" s="105"/>
      <c r="E1244" s="105"/>
      <c r="F1244" s="105"/>
      <c r="G1244" s="105"/>
      <c r="H1244" s="105"/>
      <c r="I1244" s="105"/>
      <c r="J1244" s="105"/>
      <c r="K1244" s="105"/>
      <c r="L1244" s="105"/>
      <c r="M1244" s="105"/>
      <c r="N1244" s="105"/>
      <c r="O1244" s="105"/>
      <c r="P1244" s="105"/>
      <c r="Q1244" s="105"/>
      <c r="R1244" s="105"/>
      <c r="S1244" s="105"/>
      <c r="T1244" s="105"/>
      <c r="U1244" s="105"/>
      <c r="V1244" s="105"/>
      <c r="W1244" s="105"/>
      <c r="X1244" s="105"/>
      <c r="Y1244" s="105"/>
      <c r="Z1244" s="105"/>
    </row>
    <row r="1245">
      <c r="A1245" s="105"/>
      <c r="B1245" s="105"/>
      <c r="C1245" s="105"/>
      <c r="D1245" s="105"/>
      <c r="E1245" s="105"/>
      <c r="F1245" s="105"/>
      <c r="G1245" s="105"/>
      <c r="H1245" s="105"/>
      <c r="I1245" s="105"/>
      <c r="J1245" s="105"/>
      <c r="K1245" s="105"/>
      <c r="L1245" s="105"/>
      <c r="M1245" s="105"/>
      <c r="N1245" s="105"/>
      <c r="O1245" s="105"/>
      <c r="P1245" s="105"/>
      <c r="Q1245" s="105"/>
      <c r="R1245" s="105"/>
      <c r="S1245" s="105"/>
      <c r="T1245" s="105"/>
      <c r="U1245" s="105"/>
      <c r="V1245" s="105"/>
      <c r="W1245" s="105"/>
      <c r="X1245" s="105"/>
      <c r="Y1245" s="105"/>
      <c r="Z1245" s="105"/>
    </row>
    <row r="1246">
      <c r="A1246" s="105"/>
      <c r="B1246" s="105"/>
      <c r="C1246" s="105"/>
      <c r="D1246" s="105"/>
      <c r="E1246" s="105"/>
      <c r="F1246" s="105"/>
      <c r="G1246" s="105"/>
      <c r="H1246" s="105"/>
      <c r="I1246" s="105"/>
      <c r="J1246" s="105"/>
      <c r="K1246" s="105"/>
      <c r="L1246" s="105"/>
      <c r="M1246" s="105"/>
      <c r="N1246" s="105"/>
      <c r="O1246" s="105"/>
      <c r="P1246" s="105"/>
      <c r="Q1246" s="105"/>
      <c r="R1246" s="105"/>
      <c r="S1246" s="105"/>
      <c r="T1246" s="105"/>
      <c r="U1246" s="105"/>
      <c r="V1246" s="105"/>
      <c r="W1246" s="105"/>
      <c r="X1246" s="105"/>
      <c r="Y1246" s="105"/>
      <c r="Z1246" s="105"/>
    </row>
    <row r="1247">
      <c r="A1247" s="105"/>
      <c r="B1247" s="105"/>
      <c r="C1247" s="105"/>
      <c r="D1247" s="105"/>
      <c r="E1247" s="105"/>
      <c r="F1247" s="105"/>
      <c r="G1247" s="105"/>
      <c r="H1247" s="105"/>
      <c r="I1247" s="105"/>
      <c r="J1247" s="105"/>
      <c r="K1247" s="105"/>
      <c r="L1247" s="105"/>
      <c r="M1247" s="105"/>
      <c r="N1247" s="105"/>
      <c r="O1247" s="105"/>
      <c r="P1247" s="105"/>
      <c r="Q1247" s="105"/>
      <c r="R1247" s="105"/>
      <c r="S1247" s="105"/>
      <c r="T1247" s="105"/>
      <c r="U1247" s="105"/>
      <c r="V1247" s="105"/>
      <c r="W1247" s="105"/>
      <c r="X1247" s="105"/>
      <c r="Y1247" s="105"/>
      <c r="Z1247" s="105"/>
    </row>
    <row r="1248">
      <c r="A1248" s="105"/>
      <c r="B1248" s="105"/>
      <c r="C1248" s="105"/>
      <c r="D1248" s="105"/>
      <c r="E1248" s="105"/>
      <c r="F1248" s="105"/>
      <c r="G1248" s="105"/>
      <c r="H1248" s="105"/>
      <c r="I1248" s="105"/>
      <c r="J1248" s="105"/>
      <c r="K1248" s="105"/>
      <c r="L1248" s="105"/>
      <c r="M1248" s="105"/>
      <c r="N1248" s="105"/>
      <c r="O1248" s="105"/>
      <c r="P1248" s="105"/>
      <c r="Q1248" s="105"/>
      <c r="R1248" s="105"/>
      <c r="S1248" s="105"/>
      <c r="T1248" s="105"/>
      <c r="U1248" s="105"/>
      <c r="V1248" s="105"/>
      <c r="W1248" s="105"/>
      <c r="X1248" s="105"/>
      <c r="Y1248" s="105"/>
      <c r="Z1248" s="105"/>
    </row>
    <row r="1249">
      <c r="A1249" s="105"/>
      <c r="B1249" s="105"/>
      <c r="C1249" s="105"/>
      <c r="D1249" s="105"/>
      <c r="E1249" s="105"/>
      <c r="F1249" s="105"/>
      <c r="G1249" s="105"/>
      <c r="H1249" s="105"/>
      <c r="I1249" s="105"/>
      <c r="J1249" s="105"/>
      <c r="K1249" s="105"/>
      <c r="L1249" s="105"/>
      <c r="M1249" s="105"/>
      <c r="N1249" s="105"/>
      <c r="O1249" s="105"/>
      <c r="P1249" s="105"/>
      <c r="Q1249" s="105"/>
      <c r="R1249" s="105"/>
      <c r="S1249" s="105"/>
      <c r="T1249" s="105"/>
      <c r="U1249" s="105"/>
      <c r="V1249" s="105"/>
      <c r="W1249" s="105"/>
      <c r="X1249" s="105"/>
      <c r="Y1249" s="105"/>
      <c r="Z1249" s="105"/>
    </row>
    <row r="1250">
      <c r="A1250" s="105"/>
      <c r="B1250" s="105"/>
      <c r="C1250" s="105"/>
      <c r="D1250" s="105"/>
      <c r="E1250" s="105"/>
      <c r="F1250" s="105"/>
      <c r="G1250" s="105"/>
      <c r="H1250" s="105"/>
      <c r="I1250" s="105"/>
      <c r="J1250" s="105"/>
      <c r="K1250" s="105"/>
      <c r="L1250" s="105"/>
      <c r="M1250" s="105"/>
      <c r="N1250" s="105"/>
      <c r="O1250" s="105"/>
      <c r="P1250" s="105"/>
      <c r="Q1250" s="105"/>
      <c r="R1250" s="105"/>
      <c r="S1250" s="105"/>
      <c r="T1250" s="105"/>
      <c r="U1250" s="105"/>
      <c r="V1250" s="105"/>
      <c r="W1250" s="105"/>
      <c r="X1250" s="105"/>
      <c r="Y1250" s="105"/>
      <c r="Z1250" s="105"/>
    </row>
    <row r="1251">
      <c r="A1251" s="105"/>
      <c r="B1251" s="105"/>
      <c r="C1251" s="105"/>
      <c r="D1251" s="105"/>
      <c r="E1251" s="105"/>
      <c r="F1251" s="105"/>
      <c r="G1251" s="105"/>
      <c r="H1251" s="105"/>
      <c r="I1251" s="105"/>
      <c r="J1251" s="105"/>
      <c r="K1251" s="105"/>
      <c r="L1251" s="105"/>
      <c r="M1251" s="105"/>
      <c r="N1251" s="105"/>
      <c r="O1251" s="105"/>
      <c r="P1251" s="105"/>
      <c r="Q1251" s="105"/>
      <c r="R1251" s="105"/>
      <c r="S1251" s="105"/>
      <c r="T1251" s="105"/>
      <c r="U1251" s="105"/>
      <c r="V1251" s="105"/>
      <c r="W1251" s="105"/>
      <c r="X1251" s="105"/>
      <c r="Y1251" s="105"/>
      <c r="Z1251" s="105"/>
    </row>
    <row r="1252">
      <c r="A1252" s="105"/>
      <c r="B1252" s="105"/>
      <c r="C1252" s="105"/>
      <c r="D1252" s="105"/>
      <c r="E1252" s="105"/>
      <c r="F1252" s="105"/>
      <c r="G1252" s="105"/>
      <c r="H1252" s="105"/>
      <c r="I1252" s="105"/>
      <c r="J1252" s="105"/>
      <c r="K1252" s="105"/>
      <c r="L1252" s="105"/>
      <c r="M1252" s="105"/>
      <c r="N1252" s="105"/>
      <c r="O1252" s="105"/>
      <c r="P1252" s="105"/>
      <c r="Q1252" s="105"/>
      <c r="R1252" s="105"/>
      <c r="S1252" s="105"/>
      <c r="T1252" s="105"/>
      <c r="U1252" s="105"/>
      <c r="V1252" s="105"/>
      <c r="W1252" s="105"/>
      <c r="X1252" s="105"/>
      <c r="Y1252" s="105"/>
      <c r="Z1252" s="105"/>
    </row>
    <row r="1253">
      <c r="A1253" s="105"/>
      <c r="B1253" s="105"/>
      <c r="C1253" s="105"/>
      <c r="D1253" s="105"/>
      <c r="E1253" s="105"/>
      <c r="F1253" s="105"/>
      <c r="G1253" s="105"/>
      <c r="H1253" s="105"/>
      <c r="I1253" s="105"/>
      <c r="J1253" s="105"/>
      <c r="K1253" s="105"/>
      <c r="L1253" s="105"/>
      <c r="M1253" s="105"/>
      <c r="N1253" s="105"/>
      <c r="O1253" s="105"/>
      <c r="P1253" s="105"/>
      <c r="Q1253" s="105"/>
      <c r="R1253" s="105"/>
      <c r="S1253" s="105"/>
      <c r="T1253" s="105"/>
      <c r="U1253" s="105"/>
      <c r="V1253" s="105"/>
      <c r="W1253" s="105"/>
      <c r="X1253" s="105"/>
      <c r="Y1253" s="105"/>
      <c r="Z1253" s="105"/>
    </row>
    <row r="1254">
      <c r="A1254" s="105"/>
      <c r="B1254" s="105"/>
      <c r="C1254" s="105"/>
      <c r="D1254" s="105"/>
      <c r="E1254" s="105"/>
      <c r="F1254" s="105"/>
      <c r="G1254" s="105"/>
      <c r="H1254" s="105"/>
      <c r="I1254" s="105"/>
      <c r="J1254" s="105"/>
      <c r="K1254" s="105"/>
      <c r="L1254" s="105"/>
      <c r="M1254" s="105"/>
      <c r="N1254" s="105"/>
      <c r="O1254" s="105"/>
      <c r="P1254" s="105"/>
      <c r="Q1254" s="105"/>
      <c r="R1254" s="105"/>
      <c r="S1254" s="105"/>
      <c r="T1254" s="105"/>
      <c r="U1254" s="105"/>
      <c r="V1254" s="105"/>
      <c r="W1254" s="105"/>
      <c r="X1254" s="105"/>
      <c r="Y1254" s="105"/>
      <c r="Z1254" s="105"/>
    </row>
    <row r="1255">
      <c r="A1255" s="105"/>
      <c r="B1255" s="105"/>
      <c r="C1255" s="105"/>
      <c r="D1255" s="105"/>
      <c r="E1255" s="105"/>
      <c r="F1255" s="105"/>
      <c r="G1255" s="105"/>
      <c r="H1255" s="105"/>
      <c r="I1255" s="105"/>
      <c r="J1255" s="105"/>
      <c r="K1255" s="105"/>
      <c r="L1255" s="105"/>
      <c r="M1255" s="105"/>
      <c r="N1255" s="105"/>
      <c r="O1255" s="105"/>
      <c r="P1255" s="105"/>
      <c r="Q1255" s="105"/>
      <c r="R1255" s="105"/>
      <c r="S1255" s="105"/>
      <c r="T1255" s="105"/>
      <c r="U1255" s="105"/>
      <c r="V1255" s="105"/>
      <c r="W1255" s="105"/>
      <c r="X1255" s="105"/>
      <c r="Y1255" s="105"/>
      <c r="Z1255" s="105"/>
    </row>
    <row r="1256">
      <c r="A1256" s="105"/>
      <c r="B1256" s="105"/>
      <c r="C1256" s="105"/>
      <c r="D1256" s="105"/>
      <c r="E1256" s="105"/>
      <c r="F1256" s="105"/>
      <c r="G1256" s="105"/>
      <c r="H1256" s="105"/>
      <c r="I1256" s="105"/>
      <c r="J1256" s="105"/>
      <c r="K1256" s="105"/>
      <c r="L1256" s="105"/>
      <c r="M1256" s="105"/>
      <c r="N1256" s="105"/>
      <c r="O1256" s="105"/>
      <c r="P1256" s="105"/>
      <c r="Q1256" s="105"/>
      <c r="R1256" s="105"/>
      <c r="S1256" s="105"/>
      <c r="T1256" s="105"/>
      <c r="U1256" s="105"/>
      <c r="V1256" s="105"/>
      <c r="W1256" s="105"/>
      <c r="X1256" s="105"/>
      <c r="Y1256" s="105"/>
      <c r="Z1256" s="105"/>
    </row>
    <row r="1257">
      <c r="A1257" s="105"/>
      <c r="B1257" s="105"/>
      <c r="C1257" s="105"/>
      <c r="D1257" s="105"/>
      <c r="E1257" s="105"/>
      <c r="F1257" s="105"/>
      <c r="G1257" s="105"/>
      <c r="H1257" s="105"/>
      <c r="I1257" s="105"/>
      <c r="J1257" s="105"/>
      <c r="K1257" s="105"/>
      <c r="L1257" s="105"/>
      <c r="M1257" s="105"/>
      <c r="N1257" s="105"/>
      <c r="O1257" s="105"/>
      <c r="P1257" s="105"/>
      <c r="Q1257" s="105"/>
      <c r="R1257" s="105"/>
      <c r="S1257" s="105"/>
      <c r="T1257" s="105"/>
      <c r="U1257" s="105"/>
      <c r="V1257" s="105"/>
      <c r="W1257" s="105"/>
      <c r="X1257" s="105"/>
      <c r="Y1257" s="105"/>
      <c r="Z1257" s="105"/>
    </row>
    <row r="1258">
      <c r="A1258" s="105"/>
      <c r="B1258" s="105"/>
      <c r="C1258" s="105"/>
      <c r="D1258" s="105"/>
      <c r="E1258" s="105"/>
      <c r="F1258" s="105"/>
      <c r="G1258" s="105"/>
      <c r="H1258" s="105"/>
      <c r="I1258" s="105"/>
      <c r="J1258" s="105"/>
      <c r="K1258" s="105"/>
      <c r="L1258" s="105"/>
      <c r="M1258" s="105"/>
      <c r="N1258" s="105"/>
      <c r="O1258" s="105"/>
      <c r="P1258" s="105"/>
      <c r="Q1258" s="105"/>
      <c r="R1258" s="105"/>
      <c r="S1258" s="105"/>
      <c r="T1258" s="105"/>
      <c r="U1258" s="105"/>
      <c r="V1258" s="105"/>
      <c r="W1258" s="105"/>
      <c r="X1258" s="105"/>
      <c r="Y1258" s="105"/>
      <c r="Z1258" s="105"/>
    </row>
    <row r="1259">
      <c r="A1259" s="105"/>
      <c r="B1259" s="105"/>
      <c r="C1259" s="105"/>
      <c r="D1259" s="105"/>
      <c r="E1259" s="105"/>
      <c r="F1259" s="105"/>
      <c r="G1259" s="105"/>
      <c r="H1259" s="105"/>
      <c r="I1259" s="105"/>
      <c r="J1259" s="105"/>
      <c r="K1259" s="105"/>
      <c r="L1259" s="105"/>
      <c r="M1259" s="105"/>
      <c r="N1259" s="105"/>
      <c r="O1259" s="105"/>
      <c r="P1259" s="105"/>
      <c r="Q1259" s="105"/>
      <c r="R1259" s="105"/>
      <c r="S1259" s="105"/>
      <c r="T1259" s="105"/>
      <c r="U1259" s="105"/>
      <c r="V1259" s="105"/>
      <c r="W1259" s="105"/>
      <c r="X1259" s="105"/>
      <c r="Y1259" s="105"/>
      <c r="Z1259" s="105"/>
    </row>
    <row r="1260">
      <c r="A1260" s="105"/>
      <c r="B1260" s="105"/>
      <c r="C1260" s="105"/>
      <c r="D1260" s="105"/>
      <c r="E1260" s="105"/>
      <c r="F1260" s="105"/>
      <c r="G1260" s="105"/>
      <c r="H1260" s="105"/>
      <c r="I1260" s="105"/>
      <c r="J1260" s="105"/>
      <c r="K1260" s="105"/>
      <c r="L1260" s="105"/>
      <c r="M1260" s="105"/>
      <c r="N1260" s="105"/>
      <c r="O1260" s="105"/>
      <c r="P1260" s="105"/>
      <c r="Q1260" s="105"/>
      <c r="R1260" s="105"/>
      <c r="S1260" s="105"/>
      <c r="T1260" s="105"/>
      <c r="U1260" s="105"/>
      <c r="V1260" s="105"/>
      <c r="W1260" s="105"/>
      <c r="X1260" s="105"/>
      <c r="Y1260" s="105"/>
      <c r="Z1260" s="105"/>
    </row>
    <row r="1261">
      <c r="A1261" s="105"/>
      <c r="B1261" s="105"/>
      <c r="C1261" s="105"/>
      <c r="D1261" s="105"/>
      <c r="E1261" s="105"/>
      <c r="F1261" s="105"/>
      <c r="G1261" s="105"/>
      <c r="H1261" s="105"/>
      <c r="I1261" s="105"/>
      <c r="J1261" s="105"/>
      <c r="K1261" s="105"/>
      <c r="L1261" s="105"/>
      <c r="M1261" s="105"/>
      <c r="N1261" s="105"/>
      <c r="O1261" s="105"/>
      <c r="P1261" s="105"/>
      <c r="Q1261" s="105"/>
      <c r="R1261" s="105"/>
      <c r="S1261" s="105"/>
      <c r="T1261" s="105"/>
      <c r="U1261" s="105"/>
      <c r="V1261" s="105"/>
      <c r="W1261" s="105"/>
      <c r="X1261" s="105"/>
      <c r="Y1261" s="105"/>
      <c r="Z1261" s="105"/>
    </row>
    <row r="1262">
      <c r="A1262" s="105"/>
      <c r="B1262" s="105"/>
      <c r="C1262" s="105"/>
      <c r="D1262" s="105"/>
      <c r="E1262" s="105"/>
      <c r="F1262" s="105"/>
      <c r="G1262" s="105"/>
      <c r="H1262" s="105"/>
      <c r="I1262" s="105"/>
      <c r="J1262" s="105"/>
      <c r="K1262" s="105"/>
      <c r="L1262" s="105"/>
      <c r="M1262" s="105"/>
      <c r="N1262" s="105"/>
      <c r="O1262" s="105"/>
      <c r="P1262" s="105"/>
      <c r="Q1262" s="105"/>
      <c r="R1262" s="105"/>
      <c r="S1262" s="105"/>
      <c r="T1262" s="105"/>
      <c r="U1262" s="105"/>
      <c r="V1262" s="105"/>
      <c r="W1262" s="105"/>
      <c r="X1262" s="105"/>
      <c r="Y1262" s="105"/>
      <c r="Z1262" s="105"/>
    </row>
    <row r="1263">
      <c r="A1263" s="105"/>
      <c r="B1263" s="105"/>
      <c r="C1263" s="105"/>
      <c r="D1263" s="105"/>
      <c r="E1263" s="105"/>
      <c r="F1263" s="105"/>
      <c r="G1263" s="105"/>
      <c r="H1263" s="105"/>
      <c r="I1263" s="105"/>
      <c r="J1263" s="105"/>
      <c r="K1263" s="105"/>
      <c r="L1263" s="105"/>
      <c r="M1263" s="105"/>
      <c r="N1263" s="105"/>
      <c r="O1263" s="105"/>
      <c r="P1263" s="105"/>
      <c r="Q1263" s="105"/>
      <c r="R1263" s="105"/>
      <c r="S1263" s="105"/>
      <c r="T1263" s="105"/>
      <c r="U1263" s="105"/>
      <c r="V1263" s="105"/>
      <c r="W1263" s="105"/>
      <c r="X1263" s="105"/>
      <c r="Y1263" s="105"/>
      <c r="Z1263" s="105"/>
    </row>
    <row r="1264">
      <c r="A1264" s="105"/>
      <c r="B1264" s="105"/>
      <c r="C1264" s="105"/>
      <c r="D1264" s="105"/>
      <c r="E1264" s="105"/>
      <c r="F1264" s="105"/>
      <c r="G1264" s="105"/>
      <c r="H1264" s="105"/>
      <c r="I1264" s="105"/>
      <c r="J1264" s="105"/>
      <c r="K1264" s="105"/>
      <c r="L1264" s="105"/>
      <c r="M1264" s="105"/>
      <c r="N1264" s="105"/>
      <c r="O1264" s="105"/>
      <c r="P1264" s="105"/>
      <c r="Q1264" s="105"/>
      <c r="R1264" s="105"/>
      <c r="S1264" s="105"/>
      <c r="T1264" s="105"/>
      <c r="U1264" s="105"/>
      <c r="V1264" s="105"/>
      <c r="W1264" s="105"/>
      <c r="X1264" s="105"/>
      <c r="Y1264" s="105"/>
      <c r="Z1264" s="105"/>
    </row>
    <row r="1265">
      <c r="A1265" s="105"/>
      <c r="B1265" s="105"/>
      <c r="C1265" s="105"/>
      <c r="D1265" s="105"/>
      <c r="E1265" s="105"/>
      <c r="F1265" s="105"/>
      <c r="G1265" s="105"/>
      <c r="H1265" s="105"/>
      <c r="I1265" s="105"/>
      <c r="J1265" s="105"/>
      <c r="K1265" s="105"/>
      <c r="L1265" s="105"/>
      <c r="M1265" s="105"/>
      <c r="N1265" s="105"/>
      <c r="O1265" s="105"/>
      <c r="P1265" s="105"/>
      <c r="Q1265" s="105"/>
      <c r="R1265" s="105"/>
      <c r="S1265" s="105"/>
      <c r="T1265" s="105"/>
      <c r="U1265" s="105"/>
      <c r="V1265" s="105"/>
      <c r="W1265" s="105"/>
      <c r="X1265" s="105"/>
      <c r="Y1265" s="105"/>
      <c r="Z1265" s="105"/>
    </row>
    <row r="1266">
      <c r="A1266" s="105"/>
      <c r="B1266" s="105"/>
      <c r="C1266" s="105"/>
      <c r="D1266" s="105"/>
      <c r="E1266" s="105"/>
      <c r="F1266" s="105"/>
      <c r="G1266" s="105"/>
      <c r="H1266" s="105"/>
      <c r="I1266" s="105"/>
      <c r="J1266" s="105"/>
      <c r="K1266" s="105"/>
      <c r="L1266" s="105"/>
      <c r="M1266" s="105"/>
      <c r="N1266" s="105"/>
      <c r="O1266" s="105"/>
      <c r="P1266" s="105"/>
      <c r="Q1266" s="105"/>
      <c r="R1266" s="105"/>
      <c r="S1266" s="105"/>
      <c r="T1266" s="105"/>
      <c r="U1266" s="105"/>
      <c r="V1266" s="105"/>
      <c r="W1266" s="105"/>
      <c r="X1266" s="105"/>
      <c r="Y1266" s="105"/>
      <c r="Z1266" s="105"/>
    </row>
    <row r="1267">
      <c r="A1267" s="105"/>
      <c r="B1267" s="105"/>
      <c r="C1267" s="105"/>
      <c r="D1267" s="105"/>
      <c r="E1267" s="105"/>
      <c r="F1267" s="105"/>
      <c r="G1267" s="105"/>
      <c r="H1267" s="105"/>
      <c r="I1267" s="105"/>
      <c r="J1267" s="105"/>
      <c r="K1267" s="105"/>
      <c r="L1267" s="105"/>
      <c r="M1267" s="105"/>
      <c r="N1267" s="105"/>
      <c r="O1267" s="105"/>
      <c r="P1267" s="105"/>
      <c r="Q1267" s="105"/>
      <c r="R1267" s="105"/>
      <c r="S1267" s="105"/>
      <c r="T1267" s="105"/>
      <c r="U1267" s="105"/>
      <c r="V1267" s="105"/>
      <c r="W1267" s="105"/>
      <c r="X1267" s="105"/>
      <c r="Y1267" s="105"/>
      <c r="Z1267" s="105"/>
    </row>
    <row r="1268">
      <c r="A1268" s="105"/>
      <c r="B1268" s="105"/>
      <c r="C1268" s="105"/>
      <c r="D1268" s="105"/>
      <c r="E1268" s="105"/>
      <c r="F1268" s="105"/>
      <c r="G1268" s="105"/>
      <c r="H1268" s="105"/>
      <c r="I1268" s="105"/>
      <c r="J1268" s="105"/>
      <c r="K1268" s="105"/>
      <c r="L1268" s="105"/>
      <c r="M1268" s="105"/>
      <c r="N1268" s="105"/>
      <c r="O1268" s="105"/>
      <c r="P1268" s="105"/>
      <c r="Q1268" s="105"/>
      <c r="R1268" s="105"/>
      <c r="S1268" s="105"/>
      <c r="T1268" s="105"/>
      <c r="U1268" s="105"/>
      <c r="V1268" s="105"/>
      <c r="W1268" s="105"/>
      <c r="X1268" s="105"/>
      <c r="Y1268" s="105"/>
      <c r="Z1268" s="105"/>
    </row>
    <row r="1269">
      <c r="A1269" s="105"/>
      <c r="B1269" s="105"/>
      <c r="C1269" s="105"/>
      <c r="D1269" s="105"/>
      <c r="E1269" s="105"/>
      <c r="F1269" s="105"/>
      <c r="G1269" s="105"/>
      <c r="H1269" s="105"/>
      <c r="I1269" s="105"/>
      <c r="J1269" s="105"/>
      <c r="K1269" s="105"/>
      <c r="L1269" s="105"/>
      <c r="M1269" s="105"/>
      <c r="N1269" s="105"/>
      <c r="O1269" s="105"/>
      <c r="P1269" s="105"/>
      <c r="Q1269" s="105"/>
      <c r="R1269" s="105"/>
      <c r="S1269" s="105"/>
      <c r="T1269" s="105"/>
      <c r="U1269" s="105"/>
      <c r="V1269" s="105"/>
      <c r="W1269" s="105"/>
      <c r="X1269" s="105"/>
      <c r="Y1269" s="105"/>
      <c r="Z1269" s="105"/>
    </row>
    <row r="1270">
      <c r="A1270" s="105"/>
      <c r="B1270" s="105"/>
      <c r="C1270" s="105"/>
      <c r="D1270" s="105"/>
      <c r="E1270" s="105"/>
      <c r="F1270" s="105"/>
      <c r="G1270" s="105"/>
      <c r="H1270" s="105"/>
      <c r="I1270" s="105"/>
      <c r="J1270" s="105"/>
      <c r="K1270" s="105"/>
      <c r="L1270" s="105"/>
      <c r="M1270" s="105"/>
      <c r="N1270" s="105"/>
      <c r="O1270" s="105"/>
      <c r="P1270" s="105"/>
      <c r="Q1270" s="105"/>
      <c r="R1270" s="105"/>
      <c r="S1270" s="105"/>
      <c r="T1270" s="105"/>
      <c r="U1270" s="105"/>
      <c r="V1270" s="105"/>
      <c r="W1270" s="105"/>
      <c r="X1270" s="105"/>
      <c r="Y1270" s="105"/>
      <c r="Z1270" s="105"/>
    </row>
    <row r="1271">
      <c r="A1271" s="105"/>
      <c r="B1271" s="105"/>
      <c r="C1271" s="105"/>
      <c r="D1271" s="105"/>
      <c r="E1271" s="105"/>
      <c r="F1271" s="105"/>
      <c r="G1271" s="105"/>
      <c r="H1271" s="105"/>
      <c r="I1271" s="105"/>
      <c r="J1271" s="105"/>
      <c r="K1271" s="105"/>
      <c r="L1271" s="105"/>
      <c r="M1271" s="105"/>
      <c r="N1271" s="105"/>
      <c r="O1271" s="105"/>
      <c r="P1271" s="105"/>
      <c r="Q1271" s="105"/>
      <c r="R1271" s="105"/>
      <c r="S1271" s="105"/>
      <c r="T1271" s="105"/>
      <c r="U1271" s="105"/>
      <c r="V1271" s="105"/>
      <c r="W1271" s="105"/>
      <c r="X1271" s="105"/>
      <c r="Y1271" s="105"/>
      <c r="Z1271" s="105"/>
    </row>
    <row r="1272">
      <c r="A1272" s="105"/>
      <c r="B1272" s="105"/>
      <c r="C1272" s="105"/>
      <c r="D1272" s="105"/>
      <c r="E1272" s="105"/>
      <c r="F1272" s="105"/>
      <c r="G1272" s="105"/>
      <c r="H1272" s="105"/>
      <c r="I1272" s="105"/>
      <c r="J1272" s="105"/>
      <c r="K1272" s="105"/>
      <c r="L1272" s="105"/>
      <c r="M1272" s="105"/>
      <c r="N1272" s="105"/>
      <c r="O1272" s="105"/>
      <c r="P1272" s="105"/>
      <c r="Q1272" s="105"/>
      <c r="R1272" s="105"/>
      <c r="S1272" s="105"/>
      <c r="T1272" s="105"/>
      <c r="U1272" s="105"/>
      <c r="V1272" s="105"/>
      <c r="W1272" s="105"/>
      <c r="X1272" s="105"/>
      <c r="Y1272" s="105"/>
      <c r="Z1272" s="105"/>
    </row>
    <row r="1273">
      <c r="A1273" s="105"/>
      <c r="B1273" s="105"/>
      <c r="C1273" s="105"/>
      <c r="D1273" s="105"/>
      <c r="E1273" s="105"/>
      <c r="F1273" s="105"/>
      <c r="G1273" s="105"/>
      <c r="H1273" s="105"/>
      <c r="I1273" s="105"/>
      <c r="J1273" s="105"/>
      <c r="K1273" s="105"/>
      <c r="L1273" s="105"/>
      <c r="M1273" s="105"/>
      <c r="N1273" s="105"/>
      <c r="O1273" s="105"/>
      <c r="P1273" s="105"/>
      <c r="Q1273" s="105"/>
      <c r="R1273" s="105"/>
      <c r="S1273" s="105"/>
      <c r="T1273" s="105"/>
      <c r="U1273" s="105"/>
      <c r="V1273" s="105"/>
      <c r="W1273" s="105"/>
      <c r="X1273" s="105"/>
      <c r="Y1273" s="105"/>
      <c r="Z1273" s="105"/>
    </row>
    <row r="1274">
      <c r="A1274" s="105"/>
      <c r="B1274" s="105"/>
      <c r="C1274" s="105"/>
      <c r="D1274" s="105"/>
      <c r="E1274" s="105"/>
      <c r="F1274" s="105"/>
      <c r="G1274" s="105"/>
      <c r="H1274" s="105"/>
      <c r="I1274" s="105"/>
      <c r="J1274" s="105"/>
      <c r="K1274" s="105"/>
      <c r="L1274" s="105"/>
      <c r="M1274" s="105"/>
      <c r="N1274" s="105"/>
      <c r="O1274" s="105"/>
      <c r="P1274" s="105"/>
      <c r="Q1274" s="105"/>
      <c r="R1274" s="105"/>
      <c r="S1274" s="105"/>
      <c r="T1274" s="105"/>
      <c r="U1274" s="105"/>
      <c r="V1274" s="105"/>
      <c r="W1274" s="105"/>
      <c r="X1274" s="105"/>
      <c r="Y1274" s="105"/>
      <c r="Z1274" s="105"/>
    </row>
    <row r="1275">
      <c r="A1275" s="105"/>
      <c r="B1275" s="105"/>
      <c r="C1275" s="105"/>
      <c r="D1275" s="105"/>
      <c r="E1275" s="105"/>
      <c r="F1275" s="105"/>
      <c r="G1275" s="105"/>
      <c r="H1275" s="105"/>
      <c r="I1275" s="105"/>
      <c r="J1275" s="105"/>
      <c r="K1275" s="105"/>
      <c r="L1275" s="105"/>
      <c r="M1275" s="105"/>
      <c r="N1275" s="105"/>
      <c r="O1275" s="105"/>
      <c r="P1275" s="105"/>
      <c r="Q1275" s="105"/>
      <c r="R1275" s="105"/>
      <c r="S1275" s="105"/>
      <c r="T1275" s="105"/>
      <c r="U1275" s="105"/>
      <c r="V1275" s="105"/>
      <c r="W1275" s="105"/>
      <c r="X1275" s="105"/>
      <c r="Y1275" s="105"/>
      <c r="Z1275" s="105"/>
    </row>
    <row r="1276">
      <c r="A1276" s="105"/>
      <c r="B1276" s="105"/>
      <c r="C1276" s="105"/>
      <c r="D1276" s="105"/>
      <c r="E1276" s="105"/>
      <c r="F1276" s="105"/>
      <c r="G1276" s="105"/>
      <c r="H1276" s="105"/>
      <c r="I1276" s="105"/>
      <c r="J1276" s="105"/>
      <c r="K1276" s="105"/>
      <c r="L1276" s="105"/>
      <c r="M1276" s="105"/>
      <c r="N1276" s="105"/>
      <c r="O1276" s="105"/>
      <c r="P1276" s="105"/>
      <c r="Q1276" s="105"/>
      <c r="R1276" s="105"/>
      <c r="S1276" s="105"/>
      <c r="T1276" s="105"/>
      <c r="U1276" s="105"/>
      <c r="V1276" s="105"/>
      <c r="W1276" s="105"/>
      <c r="X1276" s="105"/>
      <c r="Y1276" s="105"/>
      <c r="Z1276" s="105"/>
    </row>
    <row r="1277">
      <c r="A1277" s="105"/>
      <c r="B1277" s="105"/>
      <c r="C1277" s="105"/>
      <c r="D1277" s="105"/>
      <c r="E1277" s="105"/>
      <c r="F1277" s="105"/>
      <c r="G1277" s="105"/>
      <c r="H1277" s="105"/>
      <c r="I1277" s="105"/>
      <c r="J1277" s="105"/>
      <c r="K1277" s="105"/>
      <c r="L1277" s="105"/>
      <c r="M1277" s="105"/>
      <c r="N1277" s="105"/>
      <c r="O1277" s="105"/>
      <c r="P1277" s="105"/>
      <c r="Q1277" s="105"/>
      <c r="R1277" s="105"/>
      <c r="S1277" s="105"/>
      <c r="T1277" s="105"/>
      <c r="U1277" s="105"/>
      <c r="V1277" s="105"/>
      <c r="W1277" s="105"/>
      <c r="X1277" s="105"/>
      <c r="Y1277" s="105"/>
      <c r="Z1277" s="105"/>
    </row>
    <row r="1278">
      <c r="A1278" s="105"/>
      <c r="B1278" s="105"/>
      <c r="C1278" s="105"/>
      <c r="D1278" s="105"/>
      <c r="E1278" s="105"/>
      <c r="F1278" s="105"/>
      <c r="G1278" s="105"/>
      <c r="H1278" s="105"/>
      <c r="I1278" s="105"/>
      <c r="J1278" s="105"/>
      <c r="K1278" s="105"/>
      <c r="L1278" s="105"/>
      <c r="M1278" s="105"/>
      <c r="N1278" s="105"/>
      <c r="O1278" s="105"/>
      <c r="P1278" s="105"/>
      <c r="Q1278" s="105"/>
      <c r="R1278" s="105"/>
      <c r="S1278" s="105"/>
      <c r="T1278" s="105"/>
      <c r="U1278" s="105"/>
      <c r="V1278" s="105"/>
      <c r="W1278" s="105"/>
      <c r="X1278" s="105"/>
      <c r="Y1278" s="105"/>
      <c r="Z1278" s="105"/>
    </row>
    <row r="1279">
      <c r="A1279" s="105"/>
      <c r="B1279" s="105"/>
      <c r="C1279" s="105"/>
      <c r="D1279" s="105"/>
      <c r="E1279" s="105"/>
      <c r="F1279" s="105"/>
      <c r="G1279" s="105"/>
      <c r="H1279" s="105"/>
      <c r="I1279" s="105"/>
      <c r="J1279" s="105"/>
      <c r="K1279" s="105"/>
      <c r="L1279" s="105"/>
      <c r="M1279" s="105"/>
      <c r="N1279" s="105"/>
      <c r="O1279" s="105"/>
      <c r="P1279" s="105"/>
      <c r="Q1279" s="105"/>
      <c r="R1279" s="105"/>
      <c r="S1279" s="105"/>
      <c r="T1279" s="105"/>
      <c r="U1279" s="105"/>
      <c r="V1279" s="105"/>
      <c r="W1279" s="105"/>
      <c r="X1279" s="105"/>
      <c r="Y1279" s="105"/>
      <c r="Z1279" s="105"/>
    </row>
    <row r="1280">
      <c r="A1280" s="105"/>
      <c r="B1280" s="105"/>
      <c r="C1280" s="105"/>
      <c r="D1280" s="105"/>
      <c r="E1280" s="105"/>
      <c r="F1280" s="105"/>
      <c r="G1280" s="105"/>
      <c r="H1280" s="105"/>
      <c r="I1280" s="105"/>
      <c r="J1280" s="105"/>
      <c r="K1280" s="105"/>
      <c r="L1280" s="105"/>
      <c r="M1280" s="105"/>
      <c r="N1280" s="105"/>
      <c r="O1280" s="105"/>
      <c r="P1280" s="105"/>
      <c r="Q1280" s="105"/>
      <c r="R1280" s="105"/>
      <c r="S1280" s="105"/>
      <c r="T1280" s="105"/>
      <c r="U1280" s="105"/>
      <c r="V1280" s="105"/>
      <c r="W1280" s="105"/>
      <c r="X1280" s="105"/>
      <c r="Y1280" s="105"/>
      <c r="Z1280" s="105"/>
    </row>
    <row r="1281">
      <c r="A1281" s="105"/>
      <c r="B1281" s="105"/>
      <c r="C1281" s="105"/>
      <c r="D1281" s="105"/>
      <c r="E1281" s="105"/>
      <c r="F1281" s="105"/>
      <c r="G1281" s="105"/>
      <c r="H1281" s="105"/>
      <c r="I1281" s="105"/>
      <c r="J1281" s="105"/>
      <c r="K1281" s="105"/>
      <c r="L1281" s="105"/>
      <c r="M1281" s="105"/>
      <c r="N1281" s="105"/>
      <c r="O1281" s="105"/>
      <c r="P1281" s="105"/>
      <c r="Q1281" s="105"/>
      <c r="R1281" s="105"/>
      <c r="S1281" s="105"/>
      <c r="T1281" s="105"/>
      <c r="U1281" s="105"/>
      <c r="V1281" s="105"/>
      <c r="W1281" s="105"/>
      <c r="X1281" s="105"/>
      <c r="Y1281" s="105"/>
      <c r="Z1281" s="105"/>
    </row>
    <row r="1282">
      <c r="A1282" s="105"/>
      <c r="B1282" s="105"/>
      <c r="C1282" s="105"/>
      <c r="D1282" s="105"/>
      <c r="E1282" s="105"/>
      <c r="F1282" s="105"/>
      <c r="G1282" s="105"/>
      <c r="H1282" s="105"/>
      <c r="I1282" s="105"/>
      <c r="J1282" s="105"/>
      <c r="K1282" s="105"/>
      <c r="L1282" s="105"/>
      <c r="M1282" s="105"/>
      <c r="N1282" s="105"/>
      <c r="O1282" s="105"/>
      <c r="P1282" s="105"/>
      <c r="Q1282" s="105"/>
      <c r="R1282" s="105"/>
      <c r="S1282" s="105"/>
      <c r="T1282" s="105"/>
      <c r="U1282" s="105"/>
      <c r="V1282" s="105"/>
      <c r="W1282" s="105"/>
      <c r="X1282" s="105"/>
      <c r="Y1282" s="105"/>
      <c r="Z1282" s="105"/>
    </row>
    <row r="1283">
      <c r="A1283" s="105"/>
      <c r="B1283" s="105"/>
      <c r="C1283" s="105"/>
      <c r="D1283" s="105"/>
      <c r="E1283" s="105"/>
      <c r="F1283" s="105"/>
      <c r="G1283" s="105"/>
      <c r="H1283" s="105"/>
      <c r="I1283" s="105"/>
      <c r="J1283" s="105"/>
      <c r="K1283" s="105"/>
      <c r="L1283" s="105"/>
      <c r="M1283" s="105"/>
      <c r="N1283" s="105"/>
      <c r="O1283" s="105"/>
      <c r="P1283" s="105"/>
      <c r="Q1283" s="105"/>
      <c r="R1283" s="105"/>
      <c r="S1283" s="105"/>
      <c r="T1283" s="105"/>
      <c r="U1283" s="105"/>
      <c r="V1283" s="105"/>
      <c r="W1283" s="105"/>
      <c r="X1283" s="105"/>
      <c r="Y1283" s="105"/>
      <c r="Z1283" s="105"/>
    </row>
    <row r="1284">
      <c r="A1284" s="105"/>
      <c r="B1284" s="105"/>
      <c r="C1284" s="105"/>
      <c r="D1284" s="105"/>
      <c r="E1284" s="105"/>
      <c r="F1284" s="105"/>
      <c r="G1284" s="105"/>
      <c r="H1284" s="105"/>
      <c r="I1284" s="105"/>
      <c r="J1284" s="105"/>
      <c r="K1284" s="105"/>
      <c r="L1284" s="105"/>
      <c r="M1284" s="105"/>
      <c r="N1284" s="105"/>
      <c r="O1284" s="105"/>
      <c r="P1284" s="105"/>
      <c r="Q1284" s="105"/>
      <c r="R1284" s="105"/>
      <c r="S1284" s="105"/>
      <c r="T1284" s="105"/>
      <c r="U1284" s="105"/>
      <c r="V1284" s="105"/>
      <c r="W1284" s="105"/>
      <c r="X1284" s="105"/>
      <c r="Y1284" s="105"/>
      <c r="Z1284" s="105"/>
    </row>
    <row r="1285">
      <c r="A1285" s="105"/>
      <c r="B1285" s="105"/>
      <c r="C1285" s="105"/>
      <c r="D1285" s="105"/>
      <c r="E1285" s="105"/>
      <c r="F1285" s="105"/>
      <c r="G1285" s="105"/>
      <c r="H1285" s="105"/>
      <c r="I1285" s="105"/>
      <c r="J1285" s="105"/>
      <c r="K1285" s="105"/>
      <c r="L1285" s="105"/>
      <c r="M1285" s="105"/>
      <c r="N1285" s="105"/>
      <c r="O1285" s="105"/>
      <c r="P1285" s="105"/>
      <c r="Q1285" s="105"/>
      <c r="R1285" s="105"/>
      <c r="S1285" s="105"/>
      <c r="T1285" s="105"/>
      <c r="U1285" s="105"/>
      <c r="V1285" s="105"/>
      <c r="W1285" s="105"/>
      <c r="X1285" s="105"/>
      <c r="Y1285" s="105"/>
      <c r="Z1285" s="105"/>
    </row>
    <row r="1286">
      <c r="A1286" s="105"/>
      <c r="B1286" s="105"/>
      <c r="C1286" s="105"/>
      <c r="D1286" s="105"/>
      <c r="E1286" s="105"/>
      <c r="F1286" s="105"/>
      <c r="G1286" s="105"/>
      <c r="H1286" s="105"/>
      <c r="I1286" s="105"/>
      <c r="J1286" s="105"/>
      <c r="K1286" s="105"/>
      <c r="L1286" s="105"/>
      <c r="M1286" s="105"/>
      <c r="N1286" s="105"/>
      <c r="O1286" s="105"/>
      <c r="P1286" s="105"/>
      <c r="Q1286" s="105"/>
      <c r="R1286" s="105"/>
      <c r="S1286" s="105"/>
      <c r="T1286" s="105"/>
      <c r="U1286" s="105"/>
      <c r="V1286" s="105"/>
      <c r="W1286" s="105"/>
      <c r="X1286" s="105"/>
      <c r="Y1286" s="105"/>
      <c r="Z1286" s="105"/>
    </row>
    <row r="1287">
      <c r="A1287" s="105"/>
      <c r="B1287" s="105"/>
      <c r="C1287" s="105"/>
      <c r="D1287" s="105"/>
      <c r="E1287" s="105"/>
      <c r="F1287" s="105"/>
      <c r="G1287" s="105"/>
      <c r="H1287" s="105"/>
      <c r="I1287" s="105"/>
      <c r="J1287" s="105"/>
      <c r="K1287" s="105"/>
      <c r="L1287" s="105"/>
      <c r="M1287" s="105"/>
      <c r="N1287" s="105"/>
      <c r="O1287" s="105"/>
      <c r="P1287" s="105"/>
      <c r="Q1287" s="105"/>
      <c r="R1287" s="105"/>
      <c r="S1287" s="105"/>
      <c r="T1287" s="105"/>
      <c r="U1287" s="105"/>
      <c r="V1287" s="105"/>
      <c r="W1287" s="105"/>
      <c r="X1287" s="105"/>
      <c r="Y1287" s="105"/>
      <c r="Z1287" s="105"/>
    </row>
    <row r="1288">
      <c r="A1288" s="105"/>
      <c r="B1288" s="105"/>
      <c r="C1288" s="105"/>
      <c r="D1288" s="105"/>
      <c r="E1288" s="105"/>
      <c r="F1288" s="105"/>
      <c r="G1288" s="105"/>
      <c r="H1288" s="105"/>
      <c r="I1288" s="105"/>
      <c r="J1288" s="105"/>
      <c r="K1288" s="105"/>
      <c r="L1288" s="105"/>
      <c r="M1288" s="105"/>
      <c r="N1288" s="105"/>
      <c r="O1288" s="105"/>
      <c r="P1288" s="105"/>
      <c r="Q1288" s="105"/>
      <c r="R1288" s="105"/>
      <c r="S1288" s="105"/>
      <c r="T1288" s="105"/>
      <c r="U1288" s="105"/>
      <c r="V1288" s="105"/>
      <c r="W1288" s="105"/>
      <c r="X1288" s="105"/>
      <c r="Y1288" s="105"/>
      <c r="Z1288" s="105"/>
    </row>
    <row r="1289">
      <c r="A1289" s="105"/>
      <c r="B1289" s="105"/>
      <c r="C1289" s="105"/>
      <c r="D1289" s="105"/>
      <c r="E1289" s="105"/>
      <c r="F1289" s="105"/>
      <c r="G1289" s="105"/>
      <c r="H1289" s="105"/>
      <c r="I1289" s="105"/>
      <c r="J1289" s="105"/>
      <c r="K1289" s="105"/>
      <c r="L1289" s="105"/>
      <c r="M1289" s="105"/>
      <c r="N1289" s="105"/>
      <c r="O1289" s="105"/>
      <c r="P1289" s="105"/>
      <c r="Q1289" s="105"/>
      <c r="R1289" s="105"/>
      <c r="S1289" s="105"/>
      <c r="T1289" s="105"/>
      <c r="U1289" s="105"/>
      <c r="V1289" s="105"/>
      <c r="W1289" s="105"/>
      <c r="X1289" s="105"/>
      <c r="Y1289" s="105"/>
      <c r="Z1289" s="105"/>
    </row>
    <row r="1290">
      <c r="A1290" s="105"/>
      <c r="B1290" s="105"/>
      <c r="C1290" s="105"/>
      <c r="D1290" s="105"/>
      <c r="E1290" s="105"/>
      <c r="F1290" s="105"/>
      <c r="G1290" s="105"/>
      <c r="H1290" s="105"/>
      <c r="I1290" s="105"/>
      <c r="J1290" s="105"/>
      <c r="K1290" s="105"/>
      <c r="L1290" s="105"/>
      <c r="M1290" s="105"/>
      <c r="N1290" s="105"/>
      <c r="O1290" s="105"/>
      <c r="P1290" s="105"/>
      <c r="Q1290" s="105"/>
      <c r="R1290" s="105"/>
      <c r="S1290" s="105"/>
      <c r="T1290" s="105"/>
      <c r="U1290" s="105"/>
      <c r="V1290" s="105"/>
      <c r="W1290" s="105"/>
      <c r="X1290" s="105"/>
      <c r="Y1290" s="105"/>
      <c r="Z1290" s="105"/>
    </row>
    <row r="1291">
      <c r="A1291" s="105"/>
      <c r="B1291" s="105"/>
      <c r="C1291" s="105"/>
      <c r="D1291" s="105"/>
      <c r="E1291" s="105"/>
      <c r="F1291" s="105"/>
      <c r="G1291" s="105"/>
      <c r="H1291" s="105"/>
      <c r="I1291" s="105"/>
      <c r="J1291" s="105"/>
      <c r="K1291" s="105"/>
      <c r="L1291" s="105"/>
      <c r="M1291" s="105"/>
      <c r="N1291" s="105"/>
      <c r="O1291" s="105"/>
      <c r="P1291" s="105"/>
      <c r="Q1291" s="105"/>
      <c r="R1291" s="105"/>
      <c r="S1291" s="105"/>
      <c r="T1291" s="105"/>
      <c r="U1291" s="105"/>
      <c r="V1291" s="105"/>
      <c r="W1291" s="105"/>
      <c r="X1291" s="105"/>
      <c r="Y1291" s="105"/>
      <c r="Z1291" s="105"/>
    </row>
    <row r="1292">
      <c r="A1292" s="105"/>
      <c r="B1292" s="105"/>
      <c r="C1292" s="105"/>
      <c r="D1292" s="105"/>
      <c r="E1292" s="105"/>
      <c r="F1292" s="105"/>
      <c r="G1292" s="105"/>
      <c r="H1292" s="105"/>
      <c r="I1292" s="105"/>
      <c r="J1292" s="105"/>
      <c r="K1292" s="105"/>
      <c r="L1292" s="105"/>
      <c r="M1292" s="105"/>
      <c r="N1292" s="105"/>
      <c r="O1292" s="105"/>
      <c r="P1292" s="105"/>
      <c r="Q1292" s="105"/>
      <c r="R1292" s="105"/>
      <c r="S1292" s="105"/>
      <c r="T1292" s="105"/>
      <c r="U1292" s="105"/>
      <c r="V1292" s="105"/>
      <c r="W1292" s="105"/>
      <c r="X1292" s="105"/>
      <c r="Y1292" s="105"/>
      <c r="Z1292" s="105"/>
    </row>
    <row r="1293">
      <c r="A1293" s="105"/>
      <c r="B1293" s="105"/>
      <c r="C1293" s="105"/>
      <c r="D1293" s="105"/>
      <c r="E1293" s="105"/>
      <c r="F1293" s="105"/>
      <c r="G1293" s="105"/>
      <c r="H1293" s="105"/>
      <c r="I1293" s="105"/>
      <c r="J1293" s="105"/>
      <c r="K1293" s="105"/>
      <c r="L1293" s="105"/>
      <c r="M1293" s="105"/>
      <c r="N1293" s="105"/>
      <c r="O1293" s="105"/>
      <c r="P1293" s="105"/>
      <c r="Q1293" s="105"/>
      <c r="R1293" s="105"/>
      <c r="S1293" s="105"/>
      <c r="T1293" s="105"/>
      <c r="U1293" s="105"/>
      <c r="V1293" s="105"/>
      <c r="W1293" s="105"/>
      <c r="X1293" s="105"/>
      <c r="Y1293" s="105"/>
      <c r="Z1293" s="105"/>
    </row>
    <row r="1294">
      <c r="A1294" s="105"/>
      <c r="B1294" s="105"/>
      <c r="C1294" s="105"/>
      <c r="D1294" s="105"/>
      <c r="E1294" s="105"/>
      <c r="F1294" s="105"/>
      <c r="G1294" s="105"/>
      <c r="H1294" s="105"/>
      <c r="I1294" s="105"/>
      <c r="J1294" s="105"/>
      <c r="K1294" s="105"/>
      <c r="L1294" s="105"/>
      <c r="M1294" s="105"/>
      <c r="N1294" s="105"/>
      <c r="O1294" s="105"/>
      <c r="P1294" s="105"/>
      <c r="Q1294" s="105"/>
      <c r="R1294" s="105"/>
      <c r="S1294" s="105"/>
      <c r="T1294" s="105"/>
      <c r="U1294" s="105"/>
      <c r="V1294" s="105"/>
      <c r="W1294" s="105"/>
      <c r="X1294" s="105"/>
      <c r="Y1294" s="105"/>
      <c r="Z1294" s="105"/>
    </row>
    <row r="1295">
      <c r="A1295" s="105"/>
      <c r="B1295" s="105"/>
      <c r="C1295" s="105"/>
      <c r="D1295" s="105"/>
      <c r="E1295" s="105"/>
      <c r="F1295" s="105"/>
      <c r="G1295" s="105"/>
      <c r="H1295" s="105"/>
      <c r="I1295" s="105"/>
      <c r="J1295" s="105"/>
      <c r="K1295" s="105"/>
      <c r="L1295" s="105"/>
      <c r="M1295" s="105"/>
      <c r="N1295" s="105"/>
      <c r="O1295" s="105"/>
      <c r="P1295" s="105"/>
      <c r="Q1295" s="105"/>
      <c r="R1295" s="105"/>
      <c r="S1295" s="105"/>
      <c r="T1295" s="105"/>
      <c r="U1295" s="105"/>
      <c r="V1295" s="105"/>
      <c r="W1295" s="105"/>
      <c r="X1295" s="105"/>
      <c r="Y1295" s="105"/>
      <c r="Z1295" s="105"/>
    </row>
    <row r="1296">
      <c r="A1296" s="105"/>
      <c r="B1296" s="105"/>
      <c r="C1296" s="105"/>
      <c r="D1296" s="105"/>
      <c r="E1296" s="105"/>
      <c r="F1296" s="105"/>
      <c r="G1296" s="105"/>
      <c r="H1296" s="105"/>
      <c r="I1296" s="105"/>
      <c r="J1296" s="105"/>
      <c r="K1296" s="105"/>
      <c r="L1296" s="105"/>
      <c r="M1296" s="105"/>
      <c r="N1296" s="105"/>
      <c r="O1296" s="105"/>
      <c r="P1296" s="105"/>
      <c r="Q1296" s="105"/>
      <c r="R1296" s="105"/>
      <c r="S1296" s="105"/>
      <c r="T1296" s="105"/>
      <c r="U1296" s="105"/>
      <c r="V1296" s="105"/>
      <c r="W1296" s="105"/>
      <c r="X1296" s="105"/>
      <c r="Y1296" s="105"/>
      <c r="Z1296" s="105"/>
    </row>
    <row r="1297">
      <c r="A1297" s="105"/>
      <c r="B1297" s="105"/>
      <c r="C1297" s="105"/>
      <c r="D1297" s="105"/>
      <c r="E1297" s="105"/>
      <c r="F1297" s="105"/>
      <c r="G1297" s="105"/>
      <c r="H1297" s="105"/>
      <c r="I1297" s="105"/>
      <c r="J1297" s="105"/>
      <c r="K1297" s="105"/>
      <c r="L1297" s="105"/>
      <c r="M1297" s="105"/>
      <c r="N1297" s="105"/>
      <c r="O1297" s="105"/>
      <c r="P1297" s="105"/>
      <c r="Q1297" s="105"/>
      <c r="R1297" s="105"/>
      <c r="S1297" s="105"/>
      <c r="T1297" s="105"/>
      <c r="U1297" s="105"/>
      <c r="V1297" s="105"/>
      <c r="W1297" s="105"/>
      <c r="X1297" s="105"/>
      <c r="Y1297" s="105"/>
      <c r="Z1297" s="105"/>
    </row>
    <row r="1298">
      <c r="A1298" s="105"/>
      <c r="B1298" s="105"/>
      <c r="C1298" s="105"/>
      <c r="D1298" s="105"/>
      <c r="E1298" s="105"/>
      <c r="F1298" s="105"/>
      <c r="G1298" s="105"/>
      <c r="H1298" s="105"/>
      <c r="I1298" s="105"/>
      <c r="J1298" s="105"/>
      <c r="K1298" s="105"/>
      <c r="L1298" s="105"/>
      <c r="M1298" s="105"/>
      <c r="N1298" s="105"/>
      <c r="O1298" s="105"/>
      <c r="P1298" s="105"/>
      <c r="Q1298" s="105"/>
      <c r="R1298" s="105"/>
      <c r="S1298" s="105"/>
      <c r="T1298" s="105"/>
      <c r="U1298" s="105"/>
      <c r="V1298" s="105"/>
      <c r="W1298" s="105"/>
      <c r="X1298" s="105"/>
      <c r="Y1298" s="105"/>
      <c r="Z1298" s="105"/>
    </row>
    <row r="1299">
      <c r="A1299" s="105"/>
      <c r="B1299" s="105"/>
      <c r="C1299" s="105"/>
      <c r="D1299" s="105"/>
      <c r="E1299" s="105"/>
      <c r="F1299" s="105"/>
      <c r="G1299" s="105"/>
      <c r="H1299" s="105"/>
      <c r="I1299" s="105"/>
      <c r="J1299" s="105"/>
      <c r="K1299" s="105"/>
      <c r="L1299" s="105"/>
      <c r="M1299" s="105"/>
      <c r="N1299" s="105"/>
      <c r="O1299" s="105"/>
      <c r="P1299" s="105"/>
      <c r="Q1299" s="105"/>
      <c r="R1299" s="105"/>
      <c r="S1299" s="105"/>
      <c r="T1299" s="105"/>
      <c r="U1299" s="105"/>
      <c r="V1299" s="105"/>
      <c r="W1299" s="105"/>
      <c r="X1299" s="105"/>
      <c r="Y1299" s="105"/>
      <c r="Z1299" s="105"/>
    </row>
    <row r="1300">
      <c r="A1300" s="105"/>
      <c r="B1300" s="105"/>
      <c r="C1300" s="105"/>
      <c r="D1300" s="105"/>
      <c r="E1300" s="105"/>
      <c r="F1300" s="105"/>
      <c r="G1300" s="105"/>
      <c r="H1300" s="105"/>
      <c r="I1300" s="105"/>
      <c r="J1300" s="105"/>
      <c r="K1300" s="105"/>
      <c r="L1300" s="105"/>
      <c r="M1300" s="105"/>
      <c r="N1300" s="105"/>
      <c r="O1300" s="105"/>
      <c r="P1300" s="105"/>
      <c r="Q1300" s="105"/>
      <c r="R1300" s="105"/>
      <c r="S1300" s="105"/>
      <c r="T1300" s="105"/>
      <c r="U1300" s="105"/>
      <c r="V1300" s="105"/>
      <c r="W1300" s="105"/>
      <c r="X1300" s="105"/>
      <c r="Y1300" s="105"/>
      <c r="Z1300" s="105"/>
    </row>
    <row r="1301">
      <c r="A1301" s="105"/>
      <c r="B1301" s="105"/>
      <c r="C1301" s="105"/>
      <c r="D1301" s="105"/>
      <c r="E1301" s="105"/>
      <c r="F1301" s="105"/>
      <c r="G1301" s="105"/>
      <c r="H1301" s="105"/>
      <c r="I1301" s="105"/>
      <c r="J1301" s="105"/>
      <c r="K1301" s="105"/>
      <c r="L1301" s="105"/>
      <c r="M1301" s="105"/>
      <c r="N1301" s="105"/>
      <c r="O1301" s="105"/>
      <c r="P1301" s="105"/>
      <c r="Q1301" s="105"/>
      <c r="R1301" s="105"/>
      <c r="S1301" s="105"/>
      <c r="T1301" s="105"/>
      <c r="U1301" s="105"/>
      <c r="V1301" s="105"/>
      <c r="W1301" s="105"/>
      <c r="X1301" s="105"/>
      <c r="Y1301" s="105"/>
      <c r="Z1301" s="105"/>
    </row>
    <row r="1302">
      <c r="A1302" s="105"/>
      <c r="B1302" s="105"/>
      <c r="C1302" s="105"/>
      <c r="D1302" s="105"/>
      <c r="E1302" s="105"/>
      <c r="F1302" s="105"/>
      <c r="G1302" s="105"/>
      <c r="H1302" s="105"/>
      <c r="I1302" s="105"/>
      <c r="J1302" s="105"/>
      <c r="K1302" s="105"/>
      <c r="L1302" s="105"/>
      <c r="M1302" s="105"/>
      <c r="N1302" s="105"/>
      <c r="O1302" s="105"/>
      <c r="P1302" s="105"/>
      <c r="Q1302" s="105"/>
      <c r="R1302" s="105"/>
      <c r="S1302" s="105"/>
      <c r="T1302" s="105"/>
      <c r="U1302" s="105"/>
      <c r="V1302" s="105"/>
      <c r="W1302" s="105"/>
      <c r="X1302" s="105"/>
      <c r="Y1302" s="105"/>
      <c r="Z1302" s="105"/>
    </row>
    <row r="1303">
      <c r="A1303" s="105"/>
      <c r="B1303" s="105"/>
      <c r="C1303" s="105"/>
      <c r="D1303" s="105"/>
      <c r="E1303" s="105"/>
      <c r="F1303" s="105"/>
      <c r="G1303" s="105"/>
      <c r="H1303" s="105"/>
      <c r="I1303" s="105"/>
      <c r="J1303" s="105"/>
      <c r="K1303" s="105"/>
      <c r="L1303" s="105"/>
      <c r="M1303" s="105"/>
      <c r="N1303" s="105"/>
      <c r="O1303" s="105"/>
      <c r="P1303" s="105"/>
      <c r="Q1303" s="105"/>
      <c r="R1303" s="105"/>
      <c r="S1303" s="105"/>
      <c r="T1303" s="105"/>
      <c r="U1303" s="105"/>
      <c r="V1303" s="105"/>
      <c r="W1303" s="105"/>
      <c r="X1303" s="105"/>
      <c r="Y1303" s="105"/>
      <c r="Z1303" s="105"/>
    </row>
    <row r="1304">
      <c r="A1304" s="105"/>
      <c r="B1304" s="105"/>
      <c r="C1304" s="105"/>
      <c r="D1304" s="105"/>
      <c r="E1304" s="105"/>
      <c r="F1304" s="105"/>
      <c r="G1304" s="105"/>
      <c r="H1304" s="105"/>
      <c r="I1304" s="105"/>
      <c r="J1304" s="105"/>
      <c r="K1304" s="105"/>
      <c r="L1304" s="105"/>
      <c r="M1304" s="105"/>
      <c r="N1304" s="105"/>
      <c r="O1304" s="105"/>
      <c r="P1304" s="105"/>
      <c r="Q1304" s="105"/>
      <c r="R1304" s="105"/>
      <c r="S1304" s="105"/>
      <c r="T1304" s="105"/>
      <c r="U1304" s="105"/>
      <c r="V1304" s="105"/>
      <c r="W1304" s="105"/>
      <c r="X1304" s="105"/>
      <c r="Y1304" s="105"/>
      <c r="Z1304" s="105"/>
    </row>
    <row r="1305">
      <c r="A1305" s="105"/>
      <c r="B1305" s="105"/>
      <c r="C1305" s="105"/>
      <c r="D1305" s="105"/>
      <c r="E1305" s="105"/>
      <c r="F1305" s="105"/>
      <c r="G1305" s="105"/>
      <c r="H1305" s="105"/>
      <c r="I1305" s="105"/>
      <c r="J1305" s="105"/>
      <c r="K1305" s="105"/>
      <c r="L1305" s="105"/>
      <c r="M1305" s="105"/>
      <c r="N1305" s="105"/>
      <c r="O1305" s="105"/>
      <c r="P1305" s="105"/>
      <c r="Q1305" s="105"/>
      <c r="R1305" s="105"/>
      <c r="S1305" s="105"/>
      <c r="T1305" s="105"/>
      <c r="U1305" s="105"/>
      <c r="V1305" s="105"/>
      <c r="W1305" s="105"/>
      <c r="X1305" s="105"/>
      <c r="Y1305" s="105"/>
      <c r="Z1305" s="105"/>
    </row>
    <row r="1306">
      <c r="A1306" s="105"/>
      <c r="B1306" s="105"/>
      <c r="C1306" s="105"/>
      <c r="D1306" s="105"/>
      <c r="E1306" s="105"/>
      <c r="F1306" s="105"/>
      <c r="G1306" s="105"/>
      <c r="H1306" s="105"/>
      <c r="I1306" s="105"/>
      <c r="J1306" s="105"/>
      <c r="K1306" s="105"/>
      <c r="L1306" s="105"/>
      <c r="M1306" s="105"/>
      <c r="N1306" s="105"/>
      <c r="O1306" s="105"/>
      <c r="P1306" s="105"/>
      <c r="Q1306" s="105"/>
      <c r="R1306" s="105"/>
      <c r="S1306" s="105"/>
      <c r="T1306" s="105"/>
      <c r="U1306" s="105"/>
      <c r="V1306" s="105"/>
      <c r="W1306" s="105"/>
      <c r="X1306" s="105"/>
      <c r="Y1306" s="105"/>
      <c r="Z1306" s="105"/>
    </row>
    <row r="1307">
      <c r="A1307" s="105"/>
      <c r="B1307" s="105"/>
      <c r="C1307" s="105"/>
      <c r="D1307" s="105"/>
      <c r="E1307" s="105"/>
      <c r="F1307" s="105"/>
      <c r="G1307" s="105"/>
      <c r="H1307" s="105"/>
      <c r="I1307" s="105"/>
      <c r="J1307" s="105"/>
      <c r="K1307" s="105"/>
      <c r="L1307" s="105"/>
      <c r="M1307" s="105"/>
      <c r="N1307" s="105"/>
      <c r="O1307" s="105"/>
      <c r="P1307" s="105"/>
      <c r="Q1307" s="105"/>
      <c r="R1307" s="105"/>
      <c r="S1307" s="105"/>
      <c r="T1307" s="105"/>
      <c r="U1307" s="105"/>
      <c r="V1307" s="105"/>
      <c r="W1307" s="105"/>
      <c r="X1307" s="105"/>
      <c r="Y1307" s="105"/>
      <c r="Z1307" s="105"/>
    </row>
    <row r="1308">
      <c r="A1308" s="105"/>
      <c r="B1308" s="105"/>
      <c r="C1308" s="105"/>
      <c r="D1308" s="105"/>
      <c r="E1308" s="105"/>
      <c r="F1308" s="105"/>
      <c r="G1308" s="105"/>
      <c r="H1308" s="105"/>
      <c r="I1308" s="105"/>
      <c r="J1308" s="105"/>
      <c r="K1308" s="105"/>
      <c r="L1308" s="105"/>
      <c r="M1308" s="105"/>
      <c r="N1308" s="105"/>
      <c r="O1308" s="105"/>
      <c r="P1308" s="105"/>
      <c r="Q1308" s="105"/>
      <c r="R1308" s="105"/>
      <c r="S1308" s="105"/>
      <c r="T1308" s="105"/>
      <c r="U1308" s="105"/>
      <c r="V1308" s="105"/>
      <c r="W1308" s="105"/>
      <c r="X1308" s="105"/>
      <c r="Y1308" s="105"/>
      <c r="Z1308" s="105"/>
    </row>
    <row r="1309">
      <c r="A1309" s="105"/>
      <c r="B1309" s="105"/>
      <c r="C1309" s="105"/>
      <c r="D1309" s="105"/>
      <c r="E1309" s="105"/>
      <c r="F1309" s="105"/>
      <c r="G1309" s="105"/>
      <c r="H1309" s="105"/>
      <c r="I1309" s="105"/>
      <c r="J1309" s="105"/>
      <c r="K1309" s="105"/>
      <c r="L1309" s="105"/>
      <c r="M1309" s="105"/>
      <c r="N1309" s="105"/>
      <c r="O1309" s="105"/>
      <c r="P1309" s="105"/>
      <c r="Q1309" s="105"/>
      <c r="R1309" s="105"/>
      <c r="S1309" s="105"/>
      <c r="T1309" s="105"/>
      <c r="U1309" s="105"/>
      <c r="V1309" s="105"/>
      <c r="W1309" s="105"/>
      <c r="X1309" s="105"/>
      <c r="Y1309" s="105"/>
      <c r="Z1309" s="105"/>
    </row>
    <row r="1310">
      <c r="A1310" s="105"/>
      <c r="B1310" s="105"/>
      <c r="C1310" s="105"/>
      <c r="D1310" s="105"/>
      <c r="E1310" s="105"/>
      <c r="F1310" s="105"/>
      <c r="G1310" s="105"/>
      <c r="H1310" s="105"/>
      <c r="I1310" s="105"/>
      <c r="J1310" s="105"/>
      <c r="K1310" s="105"/>
      <c r="L1310" s="105"/>
      <c r="M1310" s="105"/>
      <c r="N1310" s="105"/>
      <c r="O1310" s="105"/>
      <c r="P1310" s="105"/>
      <c r="Q1310" s="105"/>
      <c r="R1310" s="105"/>
      <c r="S1310" s="105"/>
      <c r="T1310" s="105"/>
      <c r="U1310" s="105"/>
      <c r="V1310" s="105"/>
      <c r="W1310" s="105"/>
      <c r="X1310" s="105"/>
      <c r="Y1310" s="105"/>
      <c r="Z1310" s="105"/>
    </row>
    <row r="1311">
      <c r="A1311" s="105"/>
      <c r="B1311" s="105"/>
      <c r="C1311" s="105"/>
      <c r="D1311" s="105"/>
      <c r="E1311" s="105"/>
      <c r="F1311" s="105"/>
      <c r="G1311" s="105"/>
      <c r="H1311" s="105"/>
      <c r="I1311" s="105"/>
      <c r="J1311" s="105"/>
      <c r="K1311" s="105"/>
      <c r="L1311" s="105"/>
      <c r="M1311" s="105"/>
      <c r="N1311" s="105"/>
      <c r="O1311" s="105"/>
      <c r="P1311" s="105"/>
      <c r="Q1311" s="105"/>
      <c r="R1311" s="105"/>
      <c r="S1311" s="105"/>
      <c r="T1311" s="105"/>
      <c r="U1311" s="105"/>
      <c r="V1311" s="105"/>
      <c r="W1311" s="105"/>
      <c r="X1311" s="105"/>
      <c r="Y1311" s="105"/>
      <c r="Z1311" s="105"/>
    </row>
    <row r="1312">
      <c r="A1312" s="105"/>
      <c r="B1312" s="105"/>
      <c r="C1312" s="105"/>
      <c r="D1312" s="105"/>
      <c r="E1312" s="105"/>
      <c r="F1312" s="105"/>
      <c r="G1312" s="105"/>
      <c r="H1312" s="105"/>
      <c r="I1312" s="105"/>
      <c r="J1312" s="105"/>
      <c r="K1312" s="105"/>
      <c r="L1312" s="105"/>
      <c r="M1312" s="105"/>
      <c r="N1312" s="105"/>
      <c r="O1312" s="105"/>
      <c r="P1312" s="105"/>
      <c r="Q1312" s="105"/>
      <c r="R1312" s="105"/>
      <c r="S1312" s="105"/>
      <c r="T1312" s="105"/>
      <c r="U1312" s="105"/>
      <c r="V1312" s="105"/>
      <c r="W1312" s="105"/>
      <c r="X1312" s="105"/>
      <c r="Y1312" s="105"/>
      <c r="Z1312" s="105"/>
    </row>
    <row r="1313">
      <c r="A1313" s="105"/>
      <c r="B1313" s="105"/>
      <c r="C1313" s="105"/>
      <c r="D1313" s="105"/>
      <c r="E1313" s="105"/>
      <c r="F1313" s="105"/>
      <c r="G1313" s="105"/>
      <c r="H1313" s="105"/>
      <c r="I1313" s="105"/>
      <c r="J1313" s="105"/>
      <c r="K1313" s="105"/>
      <c r="L1313" s="105"/>
      <c r="M1313" s="105"/>
      <c r="N1313" s="105"/>
      <c r="O1313" s="105"/>
      <c r="P1313" s="105"/>
      <c r="Q1313" s="105"/>
      <c r="R1313" s="105"/>
      <c r="S1313" s="105"/>
      <c r="T1313" s="105"/>
      <c r="U1313" s="105"/>
      <c r="V1313" s="105"/>
      <c r="W1313" s="105"/>
      <c r="X1313" s="105"/>
      <c r="Y1313" s="105"/>
      <c r="Z1313" s="105"/>
    </row>
    <row r="1314">
      <c r="A1314" s="105"/>
      <c r="B1314" s="105"/>
      <c r="C1314" s="105"/>
      <c r="D1314" s="105"/>
      <c r="E1314" s="105"/>
      <c r="F1314" s="105"/>
      <c r="G1314" s="105"/>
      <c r="H1314" s="105"/>
      <c r="I1314" s="105"/>
      <c r="J1314" s="105"/>
      <c r="K1314" s="105"/>
      <c r="L1314" s="105"/>
      <c r="M1314" s="105"/>
      <c r="N1314" s="105"/>
      <c r="O1314" s="105"/>
      <c r="P1314" s="105"/>
      <c r="Q1314" s="105"/>
      <c r="R1314" s="105"/>
      <c r="S1314" s="105"/>
      <c r="T1314" s="105"/>
      <c r="U1314" s="105"/>
      <c r="V1314" s="105"/>
      <c r="W1314" s="105"/>
      <c r="X1314" s="105"/>
      <c r="Y1314" s="105"/>
      <c r="Z1314" s="105"/>
    </row>
    <row r="1315">
      <c r="A1315" s="105"/>
      <c r="B1315" s="105"/>
      <c r="C1315" s="105"/>
      <c r="D1315" s="105"/>
      <c r="E1315" s="105"/>
      <c r="F1315" s="105"/>
      <c r="G1315" s="105"/>
      <c r="H1315" s="105"/>
      <c r="I1315" s="105"/>
      <c r="J1315" s="105"/>
      <c r="K1315" s="105"/>
      <c r="L1315" s="105"/>
      <c r="M1315" s="105"/>
      <c r="N1315" s="105"/>
      <c r="O1315" s="105"/>
      <c r="P1315" s="105"/>
      <c r="Q1315" s="105"/>
      <c r="R1315" s="105"/>
      <c r="S1315" s="105"/>
      <c r="T1315" s="105"/>
      <c r="U1315" s="105"/>
      <c r="V1315" s="105"/>
      <c r="W1315" s="105"/>
      <c r="X1315" s="105"/>
      <c r="Y1315" s="105"/>
      <c r="Z1315" s="105"/>
    </row>
    <row r="1316">
      <c r="A1316" s="105"/>
      <c r="B1316" s="105"/>
      <c r="C1316" s="105"/>
      <c r="D1316" s="105"/>
      <c r="E1316" s="105"/>
      <c r="F1316" s="105"/>
      <c r="G1316" s="105"/>
      <c r="H1316" s="105"/>
      <c r="I1316" s="105"/>
      <c r="J1316" s="105"/>
      <c r="K1316" s="105"/>
      <c r="L1316" s="105"/>
      <c r="M1316" s="105"/>
      <c r="N1316" s="105"/>
      <c r="O1316" s="105"/>
      <c r="P1316" s="105"/>
      <c r="Q1316" s="105"/>
      <c r="R1316" s="105"/>
      <c r="S1316" s="105"/>
      <c r="T1316" s="105"/>
      <c r="U1316" s="105"/>
      <c r="V1316" s="105"/>
      <c r="W1316" s="105"/>
      <c r="X1316" s="105"/>
      <c r="Y1316" s="105"/>
      <c r="Z1316" s="105"/>
    </row>
    <row r="1317">
      <c r="A1317" s="105"/>
      <c r="B1317" s="105"/>
      <c r="C1317" s="105"/>
      <c r="D1317" s="105"/>
      <c r="E1317" s="105"/>
      <c r="F1317" s="105"/>
      <c r="G1317" s="105"/>
      <c r="H1317" s="105"/>
      <c r="I1317" s="105"/>
      <c r="J1317" s="105"/>
      <c r="K1317" s="105"/>
      <c r="L1317" s="105"/>
      <c r="M1317" s="105"/>
      <c r="N1317" s="105"/>
      <c r="O1317" s="105"/>
      <c r="P1317" s="105"/>
      <c r="Q1317" s="105"/>
      <c r="R1317" s="105"/>
      <c r="S1317" s="105"/>
      <c r="T1317" s="105"/>
      <c r="U1317" s="105"/>
      <c r="V1317" s="105"/>
      <c r="W1317" s="105"/>
      <c r="X1317" s="105"/>
      <c r="Y1317" s="105"/>
      <c r="Z1317" s="105"/>
    </row>
    <row r="1318">
      <c r="A1318" s="105"/>
      <c r="B1318" s="105"/>
      <c r="C1318" s="105"/>
      <c r="D1318" s="105"/>
      <c r="E1318" s="105"/>
      <c r="F1318" s="105"/>
      <c r="G1318" s="105"/>
      <c r="H1318" s="105"/>
      <c r="I1318" s="105"/>
      <c r="J1318" s="105"/>
      <c r="K1318" s="105"/>
      <c r="L1318" s="105"/>
      <c r="M1318" s="105"/>
      <c r="N1318" s="105"/>
      <c r="O1318" s="105"/>
      <c r="P1318" s="105"/>
      <c r="Q1318" s="105"/>
      <c r="R1318" s="105"/>
      <c r="S1318" s="105"/>
      <c r="T1318" s="105"/>
      <c r="U1318" s="105"/>
      <c r="V1318" s="105"/>
      <c r="W1318" s="105"/>
      <c r="X1318" s="105"/>
      <c r="Y1318" s="105"/>
      <c r="Z1318" s="105"/>
    </row>
    <row r="1319">
      <c r="A1319" s="105"/>
      <c r="B1319" s="105"/>
      <c r="C1319" s="105"/>
      <c r="D1319" s="105"/>
      <c r="E1319" s="105"/>
      <c r="F1319" s="105"/>
      <c r="G1319" s="105"/>
      <c r="H1319" s="105"/>
      <c r="I1319" s="105"/>
      <c r="J1319" s="105"/>
      <c r="K1319" s="105"/>
      <c r="L1319" s="105"/>
      <c r="M1319" s="105"/>
      <c r="N1319" s="105"/>
      <c r="O1319" s="105"/>
      <c r="P1319" s="105"/>
      <c r="Q1319" s="105"/>
      <c r="R1319" s="105"/>
      <c r="S1319" s="105"/>
      <c r="T1319" s="105"/>
      <c r="U1319" s="105"/>
      <c r="V1319" s="105"/>
      <c r="W1319" s="105"/>
      <c r="X1319" s="105"/>
      <c r="Y1319" s="105"/>
      <c r="Z1319" s="105"/>
    </row>
    <row r="1320">
      <c r="A1320" s="105"/>
      <c r="B1320" s="105"/>
      <c r="C1320" s="105"/>
      <c r="D1320" s="105"/>
      <c r="E1320" s="105"/>
      <c r="F1320" s="105"/>
      <c r="G1320" s="105"/>
      <c r="H1320" s="105"/>
      <c r="I1320" s="105"/>
      <c r="J1320" s="105"/>
      <c r="K1320" s="105"/>
      <c r="L1320" s="105"/>
      <c r="M1320" s="105"/>
      <c r="N1320" s="105"/>
      <c r="O1320" s="105"/>
      <c r="P1320" s="105"/>
      <c r="Q1320" s="105"/>
      <c r="R1320" s="105"/>
      <c r="S1320" s="105"/>
      <c r="T1320" s="105"/>
      <c r="U1320" s="105"/>
      <c r="V1320" s="105"/>
      <c r="W1320" s="105"/>
      <c r="X1320" s="105"/>
      <c r="Y1320" s="105"/>
      <c r="Z1320" s="105"/>
    </row>
    <row r="1321">
      <c r="A1321" s="105"/>
      <c r="B1321" s="105"/>
      <c r="C1321" s="105"/>
      <c r="D1321" s="105"/>
      <c r="E1321" s="105"/>
      <c r="F1321" s="105"/>
      <c r="G1321" s="105"/>
      <c r="H1321" s="105"/>
      <c r="I1321" s="105"/>
      <c r="J1321" s="105"/>
      <c r="K1321" s="105"/>
      <c r="L1321" s="105"/>
      <c r="M1321" s="105"/>
      <c r="N1321" s="105"/>
      <c r="O1321" s="105"/>
      <c r="P1321" s="105"/>
      <c r="Q1321" s="105"/>
      <c r="R1321" s="105"/>
      <c r="S1321" s="105"/>
      <c r="T1321" s="105"/>
      <c r="U1321" s="105"/>
      <c r="V1321" s="105"/>
      <c r="W1321" s="105"/>
      <c r="X1321" s="105"/>
      <c r="Y1321" s="105"/>
      <c r="Z1321" s="105"/>
    </row>
    <row r="1322">
      <c r="A1322" s="105"/>
      <c r="B1322" s="105"/>
      <c r="C1322" s="105"/>
      <c r="D1322" s="105"/>
      <c r="E1322" s="105"/>
      <c r="F1322" s="105"/>
      <c r="G1322" s="105"/>
      <c r="H1322" s="105"/>
      <c r="I1322" s="105"/>
      <c r="J1322" s="105"/>
      <c r="K1322" s="105"/>
      <c r="L1322" s="105"/>
      <c r="M1322" s="105"/>
      <c r="N1322" s="105"/>
      <c r="O1322" s="105"/>
      <c r="P1322" s="105"/>
      <c r="Q1322" s="105"/>
      <c r="R1322" s="105"/>
      <c r="S1322" s="105"/>
      <c r="T1322" s="105"/>
      <c r="U1322" s="105"/>
      <c r="V1322" s="105"/>
      <c r="W1322" s="105"/>
      <c r="X1322" s="105"/>
      <c r="Y1322" s="105"/>
      <c r="Z1322" s="105"/>
    </row>
    <row r="1323">
      <c r="A1323" s="105"/>
      <c r="B1323" s="105"/>
      <c r="C1323" s="105"/>
      <c r="D1323" s="105"/>
      <c r="E1323" s="105"/>
      <c r="F1323" s="105"/>
      <c r="G1323" s="105"/>
      <c r="H1323" s="105"/>
      <c r="I1323" s="105"/>
      <c r="J1323" s="105"/>
      <c r="K1323" s="105"/>
      <c r="L1323" s="105"/>
      <c r="M1323" s="105"/>
      <c r="N1323" s="105"/>
      <c r="O1323" s="105"/>
      <c r="P1323" s="105"/>
      <c r="Q1323" s="105"/>
      <c r="R1323" s="105"/>
      <c r="S1323" s="105"/>
      <c r="T1323" s="105"/>
      <c r="U1323" s="105"/>
      <c r="V1323" s="105"/>
      <c r="W1323" s="105"/>
      <c r="X1323" s="105"/>
      <c r="Y1323" s="105"/>
      <c r="Z1323" s="105"/>
    </row>
    <row r="1324">
      <c r="A1324" s="105"/>
      <c r="B1324" s="105"/>
      <c r="C1324" s="105"/>
      <c r="D1324" s="105"/>
      <c r="E1324" s="105"/>
      <c r="F1324" s="105"/>
      <c r="G1324" s="105"/>
      <c r="H1324" s="105"/>
      <c r="I1324" s="105"/>
      <c r="J1324" s="105"/>
      <c r="K1324" s="105"/>
      <c r="L1324" s="105"/>
      <c r="M1324" s="105"/>
      <c r="N1324" s="105"/>
      <c r="O1324" s="105"/>
      <c r="P1324" s="105"/>
      <c r="Q1324" s="105"/>
      <c r="R1324" s="105"/>
      <c r="S1324" s="105"/>
      <c r="T1324" s="105"/>
      <c r="U1324" s="105"/>
      <c r="V1324" s="105"/>
      <c r="W1324" s="105"/>
      <c r="X1324" s="105"/>
      <c r="Y1324" s="105"/>
      <c r="Z1324" s="105"/>
    </row>
    <row r="1325">
      <c r="A1325" s="105"/>
      <c r="B1325" s="105"/>
      <c r="C1325" s="105"/>
      <c r="D1325" s="105"/>
      <c r="E1325" s="105"/>
      <c r="F1325" s="105"/>
      <c r="G1325" s="105"/>
      <c r="H1325" s="105"/>
      <c r="I1325" s="105"/>
      <c r="J1325" s="105"/>
      <c r="K1325" s="105"/>
      <c r="L1325" s="105"/>
      <c r="M1325" s="105"/>
      <c r="N1325" s="105"/>
      <c r="O1325" s="105"/>
      <c r="P1325" s="105"/>
      <c r="Q1325" s="105"/>
      <c r="R1325" s="105"/>
      <c r="S1325" s="105"/>
      <c r="T1325" s="105"/>
      <c r="U1325" s="105"/>
      <c r="V1325" s="105"/>
      <c r="W1325" s="105"/>
      <c r="X1325" s="105"/>
      <c r="Y1325" s="105"/>
      <c r="Z1325" s="105"/>
    </row>
    <row r="1326">
      <c r="A1326" s="105"/>
      <c r="B1326" s="105"/>
      <c r="C1326" s="105"/>
      <c r="D1326" s="105"/>
      <c r="E1326" s="105"/>
      <c r="F1326" s="105"/>
      <c r="G1326" s="105"/>
      <c r="H1326" s="105"/>
      <c r="I1326" s="105"/>
      <c r="J1326" s="105"/>
      <c r="K1326" s="105"/>
      <c r="L1326" s="105"/>
      <c r="M1326" s="105"/>
      <c r="N1326" s="105"/>
      <c r="O1326" s="105"/>
      <c r="P1326" s="105"/>
      <c r="Q1326" s="105"/>
      <c r="R1326" s="105"/>
      <c r="S1326" s="105"/>
      <c r="T1326" s="105"/>
      <c r="U1326" s="105"/>
      <c r="V1326" s="105"/>
      <c r="W1326" s="105"/>
      <c r="X1326" s="105"/>
      <c r="Y1326" s="105"/>
      <c r="Z1326" s="105"/>
    </row>
    <row r="1327">
      <c r="A1327" s="105"/>
      <c r="B1327" s="105"/>
      <c r="C1327" s="105"/>
      <c r="D1327" s="105"/>
      <c r="E1327" s="105"/>
      <c r="F1327" s="105"/>
      <c r="G1327" s="105"/>
      <c r="H1327" s="105"/>
      <c r="I1327" s="105"/>
      <c r="J1327" s="105"/>
      <c r="K1327" s="105"/>
      <c r="L1327" s="105"/>
      <c r="M1327" s="105"/>
      <c r="N1327" s="105"/>
      <c r="O1327" s="105"/>
      <c r="P1327" s="105"/>
      <c r="Q1327" s="105"/>
      <c r="R1327" s="105"/>
      <c r="S1327" s="105"/>
      <c r="T1327" s="105"/>
      <c r="U1327" s="105"/>
      <c r="V1327" s="105"/>
      <c r="W1327" s="105"/>
      <c r="X1327" s="105"/>
      <c r="Y1327" s="105"/>
      <c r="Z1327" s="105"/>
    </row>
    <row r="1328">
      <c r="A1328" s="105"/>
      <c r="B1328" s="105"/>
      <c r="C1328" s="105"/>
      <c r="D1328" s="105"/>
      <c r="E1328" s="105"/>
      <c r="F1328" s="105"/>
      <c r="G1328" s="105"/>
      <c r="H1328" s="105"/>
      <c r="I1328" s="105"/>
      <c r="J1328" s="105"/>
      <c r="K1328" s="105"/>
      <c r="L1328" s="105"/>
      <c r="M1328" s="105"/>
      <c r="N1328" s="105"/>
      <c r="O1328" s="105"/>
      <c r="P1328" s="105"/>
      <c r="Q1328" s="105"/>
      <c r="R1328" s="105"/>
      <c r="S1328" s="105"/>
      <c r="T1328" s="105"/>
      <c r="U1328" s="105"/>
      <c r="V1328" s="105"/>
      <c r="W1328" s="105"/>
      <c r="X1328" s="105"/>
      <c r="Y1328" s="105"/>
      <c r="Z1328" s="105"/>
    </row>
    <row r="1329">
      <c r="A1329" s="105"/>
      <c r="B1329" s="105"/>
      <c r="C1329" s="105"/>
      <c r="D1329" s="105"/>
      <c r="E1329" s="105"/>
      <c r="F1329" s="105"/>
      <c r="G1329" s="105"/>
      <c r="H1329" s="105"/>
      <c r="I1329" s="105"/>
      <c r="J1329" s="105"/>
      <c r="K1329" s="105"/>
      <c r="L1329" s="105"/>
      <c r="M1329" s="105"/>
      <c r="N1329" s="105"/>
      <c r="O1329" s="105"/>
      <c r="P1329" s="105"/>
      <c r="Q1329" s="105"/>
      <c r="R1329" s="105"/>
      <c r="S1329" s="105"/>
      <c r="T1329" s="105"/>
      <c r="U1329" s="105"/>
      <c r="V1329" s="105"/>
      <c r="W1329" s="105"/>
      <c r="X1329" s="105"/>
      <c r="Y1329" s="105"/>
      <c r="Z1329" s="105"/>
    </row>
    <row r="1330">
      <c r="A1330" s="105"/>
      <c r="B1330" s="105"/>
      <c r="C1330" s="105"/>
      <c r="D1330" s="105"/>
      <c r="E1330" s="105"/>
      <c r="F1330" s="105"/>
      <c r="G1330" s="105"/>
      <c r="H1330" s="105"/>
      <c r="I1330" s="105"/>
      <c r="J1330" s="105"/>
      <c r="K1330" s="105"/>
      <c r="L1330" s="105"/>
      <c r="M1330" s="105"/>
      <c r="N1330" s="105"/>
      <c r="O1330" s="105"/>
      <c r="P1330" s="105"/>
      <c r="Q1330" s="105"/>
      <c r="R1330" s="105"/>
      <c r="S1330" s="105"/>
      <c r="T1330" s="105"/>
      <c r="U1330" s="105"/>
      <c r="V1330" s="105"/>
      <c r="W1330" s="105"/>
      <c r="X1330" s="105"/>
      <c r="Y1330" s="105"/>
      <c r="Z1330" s="105"/>
    </row>
    <row r="1331">
      <c r="A1331" s="105"/>
      <c r="B1331" s="105"/>
      <c r="C1331" s="105"/>
      <c r="D1331" s="105"/>
      <c r="E1331" s="105"/>
      <c r="F1331" s="105"/>
      <c r="G1331" s="105"/>
      <c r="H1331" s="105"/>
      <c r="I1331" s="105"/>
      <c r="J1331" s="105"/>
      <c r="K1331" s="105"/>
      <c r="L1331" s="105"/>
      <c r="M1331" s="105"/>
      <c r="N1331" s="105"/>
      <c r="O1331" s="105"/>
      <c r="P1331" s="105"/>
      <c r="Q1331" s="105"/>
      <c r="R1331" s="105"/>
      <c r="S1331" s="105"/>
      <c r="T1331" s="105"/>
      <c r="U1331" s="105"/>
      <c r="V1331" s="105"/>
      <c r="W1331" s="105"/>
      <c r="X1331" s="105"/>
      <c r="Y1331" s="105"/>
      <c r="Z1331" s="105"/>
    </row>
    <row r="1332">
      <c r="A1332" s="105"/>
      <c r="B1332" s="105"/>
      <c r="C1332" s="105"/>
      <c r="D1332" s="105"/>
      <c r="E1332" s="105"/>
      <c r="F1332" s="105"/>
      <c r="G1332" s="105"/>
      <c r="H1332" s="105"/>
      <c r="I1332" s="105"/>
      <c r="J1332" s="105"/>
      <c r="K1332" s="105"/>
      <c r="L1332" s="105"/>
      <c r="M1332" s="105"/>
      <c r="N1332" s="105"/>
      <c r="O1332" s="105"/>
      <c r="P1332" s="105"/>
      <c r="Q1332" s="105"/>
      <c r="R1332" s="105"/>
      <c r="S1332" s="105"/>
      <c r="T1332" s="105"/>
      <c r="U1332" s="105"/>
      <c r="V1332" s="105"/>
      <c r="W1332" s="105"/>
      <c r="X1332" s="105"/>
      <c r="Y1332" s="105"/>
      <c r="Z1332" s="105"/>
    </row>
    <row r="1333">
      <c r="A1333" s="105"/>
      <c r="B1333" s="105"/>
      <c r="C1333" s="105"/>
      <c r="D1333" s="105"/>
      <c r="E1333" s="105"/>
      <c r="F1333" s="105"/>
      <c r="G1333" s="105"/>
      <c r="H1333" s="105"/>
      <c r="I1333" s="105"/>
      <c r="J1333" s="105"/>
      <c r="K1333" s="105"/>
      <c r="L1333" s="105"/>
      <c r="M1333" s="105"/>
      <c r="N1333" s="105"/>
      <c r="O1333" s="105"/>
      <c r="P1333" s="105"/>
      <c r="Q1333" s="105"/>
      <c r="R1333" s="105"/>
      <c r="S1333" s="105"/>
      <c r="T1333" s="105"/>
      <c r="U1333" s="105"/>
      <c r="V1333" s="105"/>
      <c r="W1333" s="105"/>
      <c r="X1333" s="105"/>
      <c r="Y1333" s="105"/>
      <c r="Z1333" s="105"/>
    </row>
    <row r="1334">
      <c r="A1334" s="105"/>
      <c r="B1334" s="105"/>
      <c r="C1334" s="105"/>
      <c r="D1334" s="105"/>
      <c r="E1334" s="105"/>
      <c r="F1334" s="105"/>
      <c r="G1334" s="105"/>
      <c r="H1334" s="105"/>
      <c r="I1334" s="105"/>
      <c r="J1334" s="105"/>
      <c r="K1334" s="105"/>
      <c r="L1334" s="105"/>
      <c r="M1334" s="105"/>
      <c r="N1334" s="105"/>
      <c r="O1334" s="105"/>
      <c r="P1334" s="105"/>
      <c r="Q1334" s="105"/>
      <c r="R1334" s="105"/>
      <c r="S1334" s="105"/>
      <c r="T1334" s="105"/>
      <c r="U1334" s="105"/>
      <c r="V1334" s="105"/>
      <c r="W1334" s="105"/>
      <c r="X1334" s="105"/>
      <c r="Y1334" s="105"/>
      <c r="Z1334" s="105"/>
    </row>
    <row r="1335">
      <c r="A1335" s="105"/>
      <c r="B1335" s="105"/>
      <c r="C1335" s="105"/>
      <c r="D1335" s="105"/>
      <c r="E1335" s="105"/>
      <c r="F1335" s="105"/>
      <c r="G1335" s="105"/>
      <c r="H1335" s="105"/>
      <c r="I1335" s="105"/>
      <c r="J1335" s="105"/>
      <c r="K1335" s="105"/>
      <c r="L1335" s="105"/>
      <c r="M1335" s="105"/>
      <c r="N1335" s="105"/>
      <c r="O1335" s="105"/>
      <c r="P1335" s="105"/>
      <c r="Q1335" s="105"/>
      <c r="R1335" s="105"/>
      <c r="S1335" s="105"/>
      <c r="T1335" s="105"/>
      <c r="U1335" s="105"/>
      <c r="V1335" s="105"/>
      <c r="W1335" s="105"/>
      <c r="X1335" s="105"/>
      <c r="Y1335" s="105"/>
      <c r="Z1335" s="105"/>
    </row>
    <row r="1336">
      <c r="A1336" s="105"/>
      <c r="B1336" s="105"/>
      <c r="C1336" s="105"/>
      <c r="D1336" s="105"/>
      <c r="E1336" s="105"/>
      <c r="F1336" s="105"/>
      <c r="G1336" s="105"/>
      <c r="H1336" s="105"/>
      <c r="I1336" s="105"/>
      <c r="J1336" s="105"/>
      <c r="K1336" s="105"/>
      <c r="L1336" s="105"/>
      <c r="M1336" s="105"/>
      <c r="N1336" s="105"/>
      <c r="O1336" s="105"/>
      <c r="P1336" s="105"/>
      <c r="Q1336" s="105"/>
      <c r="R1336" s="105"/>
      <c r="S1336" s="105"/>
      <c r="T1336" s="105"/>
      <c r="U1336" s="105"/>
      <c r="V1336" s="105"/>
      <c r="W1336" s="105"/>
      <c r="X1336" s="105"/>
      <c r="Y1336" s="105"/>
      <c r="Z1336" s="105"/>
    </row>
    <row r="1337">
      <c r="A1337" s="105"/>
      <c r="B1337" s="105"/>
      <c r="C1337" s="105"/>
      <c r="D1337" s="105"/>
      <c r="E1337" s="105"/>
      <c r="F1337" s="105"/>
      <c r="G1337" s="105"/>
      <c r="H1337" s="105"/>
      <c r="I1337" s="105"/>
      <c r="J1337" s="105"/>
      <c r="K1337" s="105"/>
      <c r="L1337" s="105"/>
      <c r="M1337" s="105"/>
      <c r="N1337" s="105"/>
      <c r="O1337" s="105"/>
      <c r="P1337" s="105"/>
      <c r="Q1337" s="105"/>
      <c r="R1337" s="105"/>
      <c r="S1337" s="105"/>
      <c r="T1337" s="105"/>
      <c r="U1337" s="105"/>
      <c r="V1337" s="105"/>
      <c r="W1337" s="105"/>
      <c r="X1337" s="105"/>
      <c r="Y1337" s="105"/>
      <c r="Z1337" s="105"/>
    </row>
    <row r="1338">
      <c r="A1338" s="105"/>
      <c r="B1338" s="105"/>
      <c r="C1338" s="105"/>
      <c r="D1338" s="105"/>
      <c r="E1338" s="105"/>
      <c r="F1338" s="105"/>
      <c r="G1338" s="105"/>
      <c r="H1338" s="105"/>
      <c r="I1338" s="105"/>
      <c r="J1338" s="105"/>
      <c r="K1338" s="105"/>
      <c r="L1338" s="105"/>
      <c r="M1338" s="105"/>
      <c r="N1338" s="105"/>
      <c r="O1338" s="105"/>
      <c r="P1338" s="105"/>
      <c r="Q1338" s="105"/>
      <c r="R1338" s="105"/>
      <c r="S1338" s="105"/>
      <c r="T1338" s="105"/>
      <c r="U1338" s="105"/>
      <c r="V1338" s="105"/>
      <c r="W1338" s="105"/>
      <c r="X1338" s="105"/>
      <c r="Y1338" s="105"/>
      <c r="Z1338" s="105"/>
    </row>
    <row r="1339">
      <c r="A1339" s="105"/>
      <c r="B1339" s="105"/>
      <c r="C1339" s="105"/>
      <c r="D1339" s="105"/>
      <c r="E1339" s="105"/>
      <c r="F1339" s="105"/>
      <c r="G1339" s="105"/>
      <c r="H1339" s="105"/>
      <c r="I1339" s="105"/>
      <c r="J1339" s="105"/>
      <c r="K1339" s="105"/>
      <c r="L1339" s="105"/>
      <c r="M1339" s="105"/>
      <c r="N1339" s="105"/>
      <c r="O1339" s="105"/>
      <c r="P1339" s="105"/>
      <c r="Q1339" s="105"/>
      <c r="R1339" s="105"/>
      <c r="S1339" s="105"/>
      <c r="T1339" s="105"/>
      <c r="U1339" s="105"/>
      <c r="V1339" s="105"/>
      <c r="W1339" s="105"/>
      <c r="X1339" s="105"/>
      <c r="Y1339" s="105"/>
      <c r="Z1339" s="105"/>
    </row>
    <row r="1340">
      <c r="A1340" s="105"/>
      <c r="B1340" s="105"/>
      <c r="C1340" s="105"/>
      <c r="D1340" s="105"/>
      <c r="E1340" s="105"/>
      <c r="F1340" s="105"/>
      <c r="G1340" s="105"/>
      <c r="H1340" s="105"/>
      <c r="I1340" s="105"/>
      <c r="J1340" s="105"/>
      <c r="K1340" s="105"/>
      <c r="L1340" s="105"/>
      <c r="M1340" s="105"/>
      <c r="N1340" s="105"/>
      <c r="O1340" s="105"/>
      <c r="P1340" s="105"/>
      <c r="Q1340" s="105"/>
      <c r="R1340" s="105"/>
      <c r="S1340" s="105"/>
      <c r="T1340" s="105"/>
      <c r="U1340" s="105"/>
      <c r="V1340" s="105"/>
      <c r="W1340" s="105"/>
      <c r="X1340" s="105"/>
      <c r="Y1340" s="105"/>
      <c r="Z1340" s="105"/>
    </row>
    <row r="1341">
      <c r="A1341" s="105"/>
      <c r="B1341" s="105"/>
      <c r="C1341" s="105"/>
      <c r="D1341" s="105"/>
      <c r="E1341" s="105"/>
      <c r="F1341" s="105"/>
      <c r="G1341" s="105"/>
      <c r="H1341" s="105"/>
      <c r="I1341" s="105"/>
      <c r="J1341" s="105"/>
      <c r="K1341" s="105"/>
      <c r="L1341" s="105"/>
      <c r="M1341" s="105"/>
      <c r="N1341" s="105"/>
      <c r="O1341" s="105"/>
      <c r="P1341" s="105"/>
      <c r="Q1341" s="105"/>
      <c r="R1341" s="105"/>
      <c r="S1341" s="105"/>
      <c r="T1341" s="105"/>
      <c r="U1341" s="105"/>
      <c r="V1341" s="105"/>
      <c r="W1341" s="105"/>
      <c r="X1341" s="105"/>
      <c r="Y1341" s="105"/>
      <c r="Z1341" s="105"/>
    </row>
    <row r="1342">
      <c r="A1342" s="105"/>
      <c r="B1342" s="105"/>
      <c r="C1342" s="105"/>
      <c r="D1342" s="105"/>
      <c r="E1342" s="105"/>
      <c r="F1342" s="105"/>
      <c r="G1342" s="105"/>
      <c r="H1342" s="105"/>
      <c r="I1342" s="105"/>
      <c r="J1342" s="105"/>
      <c r="K1342" s="105"/>
      <c r="L1342" s="105"/>
      <c r="M1342" s="105"/>
      <c r="N1342" s="105"/>
      <c r="O1342" s="105"/>
      <c r="P1342" s="105"/>
      <c r="Q1342" s="105"/>
      <c r="R1342" s="105"/>
      <c r="S1342" s="105"/>
      <c r="T1342" s="105"/>
      <c r="U1342" s="105"/>
      <c r="V1342" s="105"/>
      <c r="W1342" s="105"/>
      <c r="X1342" s="105"/>
      <c r="Y1342" s="105"/>
      <c r="Z1342" s="105"/>
    </row>
    <row r="1343">
      <c r="A1343" s="105"/>
      <c r="B1343" s="105"/>
      <c r="C1343" s="105"/>
      <c r="D1343" s="105"/>
      <c r="E1343" s="105"/>
      <c r="F1343" s="105"/>
      <c r="G1343" s="105"/>
      <c r="H1343" s="105"/>
      <c r="I1343" s="105"/>
      <c r="J1343" s="105"/>
      <c r="K1343" s="105"/>
      <c r="L1343" s="105"/>
      <c r="M1343" s="105"/>
      <c r="N1343" s="105"/>
      <c r="O1343" s="105"/>
      <c r="P1343" s="105"/>
      <c r="Q1343" s="105"/>
      <c r="R1343" s="105"/>
      <c r="S1343" s="105"/>
      <c r="T1343" s="105"/>
      <c r="U1343" s="105"/>
      <c r="V1343" s="105"/>
      <c r="W1343" s="105"/>
      <c r="X1343" s="105"/>
      <c r="Y1343" s="105"/>
      <c r="Z1343" s="105"/>
    </row>
    <row r="1344">
      <c r="A1344" s="105"/>
      <c r="B1344" s="105"/>
      <c r="C1344" s="105"/>
      <c r="D1344" s="105"/>
      <c r="E1344" s="105"/>
      <c r="F1344" s="105"/>
      <c r="G1344" s="105"/>
      <c r="H1344" s="105"/>
      <c r="I1344" s="105"/>
      <c r="J1344" s="105"/>
      <c r="K1344" s="105"/>
      <c r="L1344" s="105"/>
      <c r="M1344" s="105"/>
      <c r="N1344" s="105"/>
      <c r="O1344" s="105"/>
      <c r="P1344" s="105"/>
      <c r="Q1344" s="105"/>
      <c r="R1344" s="105"/>
      <c r="S1344" s="105"/>
      <c r="T1344" s="105"/>
      <c r="U1344" s="105"/>
      <c r="V1344" s="105"/>
      <c r="W1344" s="105"/>
      <c r="X1344" s="105"/>
      <c r="Y1344" s="105"/>
      <c r="Z1344" s="105"/>
    </row>
    <row r="1345">
      <c r="A1345" s="105"/>
      <c r="B1345" s="105"/>
      <c r="C1345" s="105"/>
      <c r="D1345" s="105"/>
      <c r="E1345" s="105"/>
      <c r="F1345" s="105"/>
      <c r="G1345" s="105"/>
      <c r="H1345" s="105"/>
      <c r="I1345" s="105"/>
      <c r="J1345" s="105"/>
      <c r="K1345" s="105"/>
      <c r="L1345" s="105"/>
      <c r="M1345" s="105"/>
      <c r="N1345" s="105"/>
      <c r="O1345" s="105"/>
      <c r="P1345" s="105"/>
      <c r="Q1345" s="105"/>
      <c r="R1345" s="105"/>
      <c r="S1345" s="105"/>
      <c r="T1345" s="105"/>
      <c r="U1345" s="105"/>
      <c r="V1345" s="105"/>
      <c r="W1345" s="105"/>
      <c r="X1345" s="105"/>
      <c r="Y1345" s="105"/>
      <c r="Z1345" s="105"/>
    </row>
    <row r="1346">
      <c r="A1346" s="105"/>
      <c r="B1346" s="105"/>
      <c r="C1346" s="105"/>
      <c r="D1346" s="105"/>
      <c r="E1346" s="105"/>
      <c r="F1346" s="105"/>
      <c r="G1346" s="105"/>
      <c r="H1346" s="105"/>
      <c r="I1346" s="105"/>
      <c r="J1346" s="105"/>
      <c r="K1346" s="105"/>
      <c r="L1346" s="105"/>
      <c r="M1346" s="105"/>
      <c r="N1346" s="105"/>
      <c r="O1346" s="105"/>
      <c r="P1346" s="105"/>
      <c r="Q1346" s="105"/>
      <c r="R1346" s="105"/>
      <c r="S1346" s="105"/>
      <c r="T1346" s="105"/>
      <c r="U1346" s="105"/>
      <c r="V1346" s="105"/>
      <c r="W1346" s="105"/>
      <c r="X1346" s="105"/>
      <c r="Y1346" s="105"/>
      <c r="Z1346" s="105"/>
    </row>
    <row r="1347">
      <c r="A1347" s="105"/>
      <c r="B1347" s="105"/>
      <c r="C1347" s="105"/>
      <c r="D1347" s="105"/>
      <c r="E1347" s="105"/>
      <c r="F1347" s="105"/>
      <c r="G1347" s="105"/>
      <c r="H1347" s="105"/>
      <c r="I1347" s="105"/>
      <c r="J1347" s="105"/>
      <c r="K1347" s="105"/>
      <c r="L1347" s="105"/>
      <c r="M1347" s="105"/>
      <c r="N1347" s="105"/>
      <c r="O1347" s="105"/>
      <c r="P1347" s="105"/>
      <c r="Q1347" s="105"/>
      <c r="R1347" s="105"/>
      <c r="S1347" s="105"/>
      <c r="T1347" s="105"/>
      <c r="U1347" s="105"/>
      <c r="V1347" s="105"/>
      <c r="W1347" s="105"/>
      <c r="X1347" s="105"/>
      <c r="Y1347" s="105"/>
      <c r="Z1347" s="105"/>
    </row>
    <row r="1348">
      <c r="A1348" s="105"/>
      <c r="B1348" s="105"/>
      <c r="C1348" s="105"/>
      <c r="D1348" s="105"/>
      <c r="E1348" s="105"/>
      <c r="F1348" s="105"/>
      <c r="G1348" s="105"/>
      <c r="H1348" s="105"/>
      <c r="I1348" s="105"/>
      <c r="J1348" s="105"/>
      <c r="K1348" s="105"/>
      <c r="L1348" s="105"/>
      <c r="M1348" s="105"/>
      <c r="N1348" s="105"/>
      <c r="O1348" s="105"/>
      <c r="P1348" s="105"/>
      <c r="Q1348" s="105"/>
      <c r="R1348" s="105"/>
      <c r="S1348" s="105"/>
      <c r="T1348" s="105"/>
      <c r="U1348" s="105"/>
      <c r="V1348" s="105"/>
      <c r="W1348" s="105"/>
      <c r="X1348" s="105"/>
      <c r="Y1348" s="105"/>
      <c r="Z1348" s="105"/>
    </row>
    <row r="1349">
      <c r="A1349" s="105"/>
      <c r="B1349" s="105"/>
      <c r="C1349" s="105"/>
      <c r="D1349" s="105"/>
      <c r="E1349" s="105"/>
      <c r="F1349" s="105"/>
      <c r="G1349" s="105"/>
      <c r="H1349" s="105"/>
      <c r="I1349" s="105"/>
      <c r="J1349" s="105"/>
      <c r="K1349" s="105"/>
      <c r="L1349" s="105"/>
      <c r="M1349" s="105"/>
      <c r="N1349" s="105"/>
      <c r="O1349" s="105"/>
      <c r="P1349" s="105"/>
      <c r="Q1349" s="105"/>
      <c r="R1349" s="105"/>
      <c r="S1349" s="105"/>
      <c r="T1349" s="105"/>
      <c r="U1349" s="105"/>
      <c r="V1349" s="105"/>
      <c r="W1349" s="105"/>
      <c r="X1349" s="105"/>
      <c r="Y1349" s="105"/>
      <c r="Z1349" s="105"/>
    </row>
    <row r="1350">
      <c r="A1350" s="105"/>
      <c r="B1350" s="105"/>
      <c r="C1350" s="105"/>
      <c r="D1350" s="105"/>
      <c r="E1350" s="105"/>
      <c r="F1350" s="105"/>
      <c r="G1350" s="105"/>
      <c r="H1350" s="105"/>
      <c r="I1350" s="105"/>
      <c r="J1350" s="105"/>
      <c r="K1350" s="105"/>
      <c r="L1350" s="105"/>
      <c r="M1350" s="105"/>
      <c r="N1350" s="105"/>
      <c r="O1350" s="105"/>
      <c r="P1350" s="105"/>
      <c r="Q1350" s="105"/>
      <c r="R1350" s="105"/>
      <c r="S1350" s="105"/>
      <c r="T1350" s="105"/>
      <c r="U1350" s="105"/>
      <c r="V1350" s="105"/>
      <c r="W1350" s="105"/>
      <c r="X1350" s="105"/>
      <c r="Y1350" s="105"/>
      <c r="Z1350" s="105"/>
    </row>
    <row r="1351">
      <c r="A1351" s="105"/>
      <c r="B1351" s="105"/>
      <c r="C1351" s="105"/>
      <c r="D1351" s="105"/>
      <c r="E1351" s="105"/>
      <c r="F1351" s="105"/>
      <c r="G1351" s="105"/>
      <c r="H1351" s="105"/>
      <c r="I1351" s="105"/>
      <c r="J1351" s="105"/>
      <c r="K1351" s="105"/>
      <c r="L1351" s="105"/>
      <c r="M1351" s="105"/>
      <c r="N1351" s="105"/>
      <c r="O1351" s="105"/>
      <c r="P1351" s="105"/>
      <c r="Q1351" s="105"/>
      <c r="R1351" s="105"/>
      <c r="S1351" s="105"/>
      <c r="T1351" s="105"/>
      <c r="U1351" s="105"/>
      <c r="V1351" s="105"/>
      <c r="W1351" s="105"/>
      <c r="X1351" s="105"/>
      <c r="Y1351" s="105"/>
      <c r="Z1351" s="105"/>
    </row>
    <row r="1352">
      <c r="A1352" s="105"/>
      <c r="B1352" s="105"/>
      <c r="C1352" s="105"/>
      <c r="D1352" s="105"/>
      <c r="E1352" s="105"/>
      <c r="F1352" s="105"/>
      <c r="G1352" s="105"/>
      <c r="H1352" s="105"/>
      <c r="I1352" s="105"/>
      <c r="J1352" s="105"/>
      <c r="K1352" s="105"/>
      <c r="L1352" s="105"/>
      <c r="M1352" s="105"/>
      <c r="N1352" s="105"/>
      <c r="O1352" s="105"/>
      <c r="P1352" s="105"/>
      <c r="Q1352" s="105"/>
      <c r="R1352" s="105"/>
      <c r="S1352" s="105"/>
      <c r="T1352" s="105"/>
      <c r="U1352" s="105"/>
      <c r="V1352" s="105"/>
      <c r="W1352" s="105"/>
      <c r="X1352" s="105"/>
      <c r="Y1352" s="105"/>
      <c r="Z1352" s="105"/>
    </row>
    <row r="1353">
      <c r="A1353" s="105"/>
      <c r="B1353" s="105"/>
      <c r="C1353" s="105"/>
      <c r="D1353" s="105"/>
      <c r="E1353" s="105"/>
      <c r="F1353" s="105"/>
      <c r="G1353" s="105"/>
      <c r="H1353" s="105"/>
      <c r="I1353" s="105"/>
      <c r="J1353" s="105"/>
      <c r="K1353" s="105"/>
      <c r="L1353" s="105"/>
      <c r="M1353" s="105"/>
      <c r="N1353" s="105"/>
      <c r="O1353" s="105"/>
      <c r="P1353" s="105"/>
      <c r="Q1353" s="105"/>
      <c r="R1353" s="105"/>
      <c r="S1353" s="105"/>
      <c r="T1353" s="105"/>
      <c r="U1353" s="105"/>
      <c r="V1353" s="105"/>
      <c r="W1353" s="105"/>
      <c r="X1353" s="105"/>
      <c r="Y1353" s="105"/>
      <c r="Z1353" s="105"/>
    </row>
    <row r="1354">
      <c r="A1354" s="105"/>
      <c r="B1354" s="105"/>
      <c r="C1354" s="105"/>
      <c r="D1354" s="105"/>
      <c r="E1354" s="105"/>
      <c r="F1354" s="105"/>
      <c r="G1354" s="105"/>
      <c r="H1354" s="105"/>
      <c r="I1354" s="105"/>
      <c r="J1354" s="105"/>
      <c r="K1354" s="105"/>
      <c r="L1354" s="105"/>
      <c r="M1354" s="105"/>
      <c r="N1354" s="105"/>
      <c r="O1354" s="105"/>
      <c r="P1354" s="105"/>
      <c r="Q1354" s="105"/>
      <c r="R1354" s="105"/>
      <c r="S1354" s="105"/>
      <c r="T1354" s="105"/>
      <c r="U1354" s="105"/>
      <c r="V1354" s="105"/>
      <c r="W1354" s="105"/>
      <c r="X1354" s="105"/>
      <c r="Y1354" s="105"/>
      <c r="Z1354" s="105"/>
    </row>
    <row r="1355">
      <c r="A1355" s="105"/>
      <c r="B1355" s="105"/>
      <c r="C1355" s="105"/>
      <c r="D1355" s="105"/>
      <c r="E1355" s="105"/>
      <c r="F1355" s="105"/>
      <c r="G1355" s="105"/>
      <c r="H1355" s="105"/>
      <c r="I1355" s="105"/>
      <c r="J1355" s="105"/>
      <c r="K1355" s="105"/>
      <c r="L1355" s="105"/>
      <c r="M1355" s="105"/>
      <c r="N1355" s="105"/>
      <c r="O1355" s="105"/>
      <c r="P1355" s="105"/>
      <c r="Q1355" s="105"/>
      <c r="R1355" s="105"/>
      <c r="S1355" s="105"/>
      <c r="T1355" s="105"/>
      <c r="U1355" s="105"/>
      <c r="V1355" s="105"/>
      <c r="W1355" s="105"/>
      <c r="X1355" s="105"/>
      <c r="Y1355" s="105"/>
      <c r="Z1355" s="105"/>
    </row>
    <row r="1356">
      <c r="A1356" s="105"/>
      <c r="B1356" s="105"/>
      <c r="C1356" s="105"/>
      <c r="D1356" s="105"/>
      <c r="E1356" s="105"/>
      <c r="F1356" s="105"/>
      <c r="G1356" s="105"/>
      <c r="H1356" s="105"/>
      <c r="I1356" s="105"/>
      <c r="J1356" s="105"/>
      <c r="K1356" s="105"/>
      <c r="L1356" s="105"/>
      <c r="M1356" s="105"/>
      <c r="N1356" s="105"/>
      <c r="O1356" s="105"/>
      <c r="P1356" s="105"/>
      <c r="Q1356" s="105"/>
      <c r="R1356" s="105"/>
      <c r="S1356" s="105"/>
      <c r="T1356" s="105"/>
      <c r="U1356" s="105"/>
      <c r="V1356" s="105"/>
      <c r="W1356" s="105"/>
      <c r="X1356" s="105"/>
      <c r="Y1356" s="105"/>
      <c r="Z1356" s="105"/>
    </row>
    <row r="1357">
      <c r="A1357" s="105"/>
      <c r="B1357" s="105"/>
      <c r="C1357" s="105"/>
      <c r="D1357" s="105"/>
      <c r="E1357" s="105"/>
      <c r="F1357" s="105"/>
      <c r="G1357" s="105"/>
      <c r="H1357" s="105"/>
      <c r="I1357" s="105"/>
      <c r="J1357" s="105"/>
      <c r="K1357" s="105"/>
      <c r="L1357" s="105"/>
      <c r="M1357" s="105"/>
      <c r="N1357" s="105"/>
      <c r="O1357" s="105"/>
      <c r="P1357" s="105"/>
      <c r="Q1357" s="105"/>
      <c r="R1357" s="105"/>
      <c r="S1357" s="105"/>
      <c r="T1357" s="105"/>
      <c r="U1357" s="105"/>
      <c r="V1357" s="105"/>
      <c r="W1357" s="105"/>
      <c r="X1357" s="105"/>
      <c r="Y1357" s="105"/>
      <c r="Z1357" s="105"/>
    </row>
    <row r="1358">
      <c r="A1358" s="105"/>
      <c r="B1358" s="105"/>
      <c r="C1358" s="105"/>
      <c r="D1358" s="105"/>
      <c r="E1358" s="105"/>
      <c r="F1358" s="105"/>
      <c r="G1358" s="105"/>
      <c r="H1358" s="105"/>
      <c r="I1358" s="105"/>
      <c r="J1358" s="105"/>
      <c r="K1358" s="105"/>
      <c r="L1358" s="105"/>
      <c r="M1358" s="105"/>
      <c r="N1358" s="105"/>
      <c r="O1358" s="105"/>
      <c r="P1358" s="105"/>
      <c r="Q1358" s="105"/>
      <c r="R1358" s="105"/>
      <c r="S1358" s="105"/>
      <c r="T1358" s="105"/>
      <c r="U1358" s="105"/>
      <c r="V1358" s="105"/>
      <c r="W1358" s="105"/>
      <c r="X1358" s="105"/>
      <c r="Y1358" s="105"/>
      <c r="Z1358" s="105"/>
    </row>
    <row r="1359">
      <c r="A1359" s="105"/>
      <c r="B1359" s="105"/>
      <c r="C1359" s="105"/>
      <c r="D1359" s="105"/>
      <c r="E1359" s="105"/>
      <c r="F1359" s="105"/>
      <c r="G1359" s="105"/>
      <c r="H1359" s="105"/>
      <c r="I1359" s="105"/>
      <c r="J1359" s="105"/>
      <c r="K1359" s="105"/>
      <c r="L1359" s="105"/>
      <c r="M1359" s="105"/>
      <c r="N1359" s="105"/>
      <c r="O1359" s="105"/>
      <c r="P1359" s="105"/>
      <c r="Q1359" s="105"/>
      <c r="R1359" s="105"/>
      <c r="S1359" s="105"/>
      <c r="T1359" s="105"/>
      <c r="U1359" s="105"/>
      <c r="V1359" s="105"/>
      <c r="W1359" s="105"/>
      <c r="X1359" s="105"/>
      <c r="Y1359" s="105"/>
      <c r="Z1359" s="105"/>
    </row>
    <row r="1360">
      <c r="A1360" s="105"/>
      <c r="B1360" s="105"/>
      <c r="C1360" s="105"/>
      <c r="D1360" s="105"/>
      <c r="E1360" s="105"/>
      <c r="F1360" s="105"/>
      <c r="G1360" s="105"/>
      <c r="H1360" s="105"/>
      <c r="I1360" s="105"/>
      <c r="J1360" s="105"/>
      <c r="K1360" s="105"/>
      <c r="L1360" s="105"/>
      <c r="M1360" s="105"/>
      <c r="N1360" s="105"/>
      <c r="O1360" s="105"/>
      <c r="P1360" s="105"/>
      <c r="Q1360" s="105"/>
      <c r="R1360" s="105"/>
      <c r="S1360" s="105"/>
      <c r="T1360" s="105"/>
      <c r="U1360" s="105"/>
      <c r="V1360" s="105"/>
      <c r="W1360" s="105"/>
      <c r="X1360" s="105"/>
      <c r="Y1360" s="105"/>
      <c r="Z1360" s="105"/>
    </row>
    <row r="1361">
      <c r="A1361" s="105"/>
      <c r="B1361" s="105"/>
      <c r="C1361" s="105"/>
      <c r="D1361" s="105"/>
      <c r="E1361" s="105"/>
      <c r="F1361" s="105"/>
      <c r="G1361" s="105"/>
      <c r="H1361" s="105"/>
      <c r="I1361" s="105"/>
      <c r="J1361" s="105"/>
      <c r="K1361" s="105"/>
      <c r="L1361" s="105"/>
      <c r="M1361" s="105"/>
      <c r="N1361" s="105"/>
      <c r="O1361" s="105"/>
      <c r="P1361" s="105"/>
      <c r="Q1361" s="105"/>
      <c r="R1361" s="105"/>
      <c r="S1361" s="105"/>
      <c r="T1361" s="105"/>
      <c r="U1361" s="105"/>
      <c r="V1361" s="105"/>
      <c r="W1361" s="105"/>
      <c r="X1361" s="105"/>
      <c r="Y1361" s="105"/>
      <c r="Z1361" s="105"/>
    </row>
    <row r="1362">
      <c r="A1362" s="105"/>
      <c r="B1362" s="105"/>
      <c r="C1362" s="105"/>
      <c r="D1362" s="105"/>
      <c r="E1362" s="105"/>
      <c r="F1362" s="105"/>
      <c r="G1362" s="105"/>
      <c r="H1362" s="105"/>
      <c r="I1362" s="105"/>
      <c r="J1362" s="105"/>
      <c r="K1362" s="105"/>
      <c r="L1362" s="105"/>
      <c r="M1362" s="105"/>
      <c r="N1362" s="105"/>
      <c r="O1362" s="105"/>
      <c r="P1362" s="105"/>
      <c r="Q1362" s="105"/>
      <c r="R1362" s="105"/>
      <c r="S1362" s="105"/>
      <c r="T1362" s="105"/>
      <c r="U1362" s="105"/>
      <c r="V1362" s="105"/>
      <c r="W1362" s="105"/>
      <c r="X1362" s="105"/>
      <c r="Y1362" s="105"/>
      <c r="Z1362" s="105"/>
    </row>
    <row r="1363">
      <c r="A1363" s="105"/>
      <c r="B1363" s="105"/>
      <c r="C1363" s="105"/>
      <c r="D1363" s="105"/>
      <c r="E1363" s="105"/>
      <c r="F1363" s="105"/>
      <c r="G1363" s="105"/>
      <c r="H1363" s="105"/>
      <c r="I1363" s="105"/>
      <c r="J1363" s="105"/>
      <c r="K1363" s="105"/>
      <c r="L1363" s="105"/>
      <c r="M1363" s="105"/>
      <c r="N1363" s="105"/>
      <c r="O1363" s="105"/>
      <c r="P1363" s="105"/>
      <c r="Q1363" s="105"/>
      <c r="R1363" s="105"/>
      <c r="S1363" s="105"/>
      <c r="T1363" s="105"/>
      <c r="U1363" s="105"/>
      <c r="V1363" s="105"/>
      <c r="W1363" s="105"/>
      <c r="X1363" s="105"/>
      <c r="Y1363" s="105"/>
      <c r="Z1363" s="105"/>
    </row>
    <row r="1364">
      <c r="A1364" s="105"/>
      <c r="B1364" s="105"/>
      <c r="C1364" s="105"/>
      <c r="D1364" s="105"/>
      <c r="E1364" s="105"/>
      <c r="F1364" s="105"/>
      <c r="G1364" s="105"/>
      <c r="H1364" s="105"/>
      <c r="I1364" s="105"/>
      <c r="J1364" s="105"/>
      <c r="K1364" s="105"/>
      <c r="L1364" s="105"/>
      <c r="M1364" s="105"/>
      <c r="N1364" s="105"/>
      <c r="O1364" s="105"/>
      <c r="P1364" s="105"/>
      <c r="Q1364" s="105"/>
      <c r="R1364" s="105"/>
      <c r="S1364" s="105"/>
      <c r="T1364" s="105"/>
      <c r="U1364" s="105"/>
      <c r="V1364" s="105"/>
      <c r="W1364" s="105"/>
      <c r="X1364" s="105"/>
      <c r="Y1364" s="105"/>
      <c r="Z1364" s="105"/>
    </row>
    <row r="1365">
      <c r="A1365" s="105"/>
      <c r="B1365" s="105"/>
      <c r="C1365" s="105"/>
      <c r="D1365" s="105"/>
      <c r="E1365" s="105"/>
      <c r="F1365" s="105"/>
      <c r="G1365" s="105"/>
      <c r="H1365" s="105"/>
      <c r="I1365" s="105"/>
      <c r="J1365" s="105"/>
      <c r="K1365" s="105"/>
      <c r="L1365" s="105"/>
      <c r="M1365" s="105"/>
      <c r="N1365" s="105"/>
      <c r="O1365" s="105"/>
      <c r="P1365" s="105"/>
      <c r="Q1365" s="105"/>
      <c r="R1365" s="105"/>
      <c r="S1365" s="105"/>
      <c r="T1365" s="105"/>
      <c r="U1365" s="105"/>
      <c r="V1365" s="105"/>
      <c r="W1365" s="105"/>
      <c r="X1365" s="105"/>
      <c r="Y1365" s="105"/>
      <c r="Z1365" s="105"/>
    </row>
    <row r="1366">
      <c r="A1366" s="105"/>
      <c r="B1366" s="105"/>
      <c r="C1366" s="105"/>
      <c r="D1366" s="105"/>
      <c r="E1366" s="105"/>
      <c r="F1366" s="105"/>
      <c r="G1366" s="105"/>
      <c r="H1366" s="105"/>
      <c r="I1366" s="105"/>
      <c r="J1366" s="105"/>
      <c r="K1366" s="105"/>
      <c r="L1366" s="105"/>
      <c r="M1366" s="105"/>
      <c r="N1366" s="105"/>
      <c r="O1366" s="105"/>
      <c r="P1366" s="105"/>
      <c r="Q1366" s="105"/>
      <c r="R1366" s="105"/>
      <c r="S1366" s="105"/>
      <c r="T1366" s="105"/>
      <c r="U1366" s="105"/>
      <c r="V1366" s="105"/>
      <c r="W1366" s="105"/>
      <c r="X1366" s="105"/>
      <c r="Y1366" s="105"/>
      <c r="Z1366" s="105"/>
    </row>
    <row r="1367">
      <c r="A1367" s="105"/>
      <c r="B1367" s="105"/>
      <c r="C1367" s="105"/>
      <c r="D1367" s="105"/>
      <c r="E1367" s="105"/>
      <c r="F1367" s="105"/>
      <c r="G1367" s="105"/>
      <c r="H1367" s="105"/>
      <c r="I1367" s="105"/>
      <c r="J1367" s="105"/>
      <c r="K1367" s="105"/>
      <c r="L1367" s="105"/>
      <c r="M1367" s="105"/>
      <c r="N1367" s="105"/>
      <c r="O1367" s="105"/>
      <c r="P1367" s="105"/>
      <c r="Q1367" s="105"/>
      <c r="R1367" s="105"/>
      <c r="S1367" s="105"/>
      <c r="T1367" s="105"/>
      <c r="U1367" s="105"/>
      <c r="V1367" s="105"/>
      <c r="W1367" s="105"/>
      <c r="X1367" s="105"/>
      <c r="Y1367" s="105"/>
      <c r="Z1367" s="105"/>
    </row>
    <row r="1368">
      <c r="A1368" s="105"/>
      <c r="B1368" s="105"/>
      <c r="C1368" s="105"/>
      <c r="D1368" s="105"/>
      <c r="E1368" s="105"/>
      <c r="F1368" s="105"/>
      <c r="G1368" s="105"/>
      <c r="H1368" s="105"/>
      <c r="I1368" s="105"/>
      <c r="J1368" s="105"/>
      <c r="K1368" s="105"/>
      <c r="L1368" s="105"/>
      <c r="M1368" s="105"/>
      <c r="N1368" s="105"/>
      <c r="O1368" s="105"/>
      <c r="P1368" s="105"/>
      <c r="Q1368" s="105"/>
      <c r="R1368" s="105"/>
      <c r="S1368" s="105"/>
      <c r="T1368" s="105"/>
      <c r="U1368" s="105"/>
      <c r="V1368" s="105"/>
      <c r="W1368" s="105"/>
      <c r="X1368" s="105"/>
      <c r="Y1368" s="105"/>
      <c r="Z1368" s="105"/>
    </row>
    <row r="1369">
      <c r="A1369" s="105"/>
      <c r="B1369" s="105"/>
      <c r="C1369" s="105"/>
      <c r="D1369" s="105"/>
      <c r="E1369" s="105"/>
      <c r="F1369" s="105"/>
      <c r="G1369" s="105"/>
      <c r="H1369" s="105"/>
      <c r="I1369" s="105"/>
      <c r="J1369" s="105"/>
      <c r="K1369" s="105"/>
      <c r="L1369" s="105"/>
      <c r="M1369" s="105"/>
      <c r="N1369" s="105"/>
      <c r="O1369" s="105"/>
      <c r="P1369" s="105"/>
      <c r="Q1369" s="105"/>
      <c r="R1369" s="105"/>
      <c r="S1369" s="105"/>
      <c r="T1369" s="105"/>
      <c r="U1369" s="105"/>
      <c r="V1369" s="105"/>
      <c r="W1369" s="105"/>
      <c r="X1369" s="105"/>
      <c r="Y1369" s="105"/>
      <c r="Z1369" s="105"/>
    </row>
    <row r="1370">
      <c r="A1370" s="105"/>
      <c r="B1370" s="105"/>
      <c r="C1370" s="105"/>
      <c r="D1370" s="105"/>
      <c r="E1370" s="105"/>
      <c r="F1370" s="105"/>
      <c r="G1370" s="105"/>
      <c r="H1370" s="105"/>
      <c r="I1370" s="105"/>
      <c r="J1370" s="105"/>
      <c r="K1370" s="105"/>
      <c r="L1370" s="105"/>
      <c r="M1370" s="105"/>
      <c r="N1370" s="105"/>
      <c r="O1370" s="105"/>
      <c r="P1370" s="105"/>
      <c r="Q1370" s="105"/>
      <c r="R1370" s="105"/>
      <c r="S1370" s="105"/>
      <c r="T1370" s="105"/>
      <c r="U1370" s="105"/>
      <c r="V1370" s="105"/>
      <c r="W1370" s="105"/>
      <c r="X1370" s="105"/>
      <c r="Y1370" s="105"/>
      <c r="Z1370" s="105"/>
    </row>
    <row r="1371">
      <c r="A1371" s="105"/>
      <c r="B1371" s="105"/>
      <c r="C1371" s="105"/>
      <c r="D1371" s="105"/>
      <c r="E1371" s="105"/>
      <c r="F1371" s="105"/>
      <c r="G1371" s="105"/>
      <c r="H1371" s="105"/>
      <c r="I1371" s="105"/>
      <c r="J1371" s="105"/>
      <c r="K1371" s="105"/>
      <c r="L1371" s="105"/>
      <c r="M1371" s="105"/>
      <c r="N1371" s="105"/>
      <c r="O1371" s="105"/>
      <c r="P1371" s="105"/>
      <c r="Q1371" s="105"/>
      <c r="R1371" s="105"/>
      <c r="S1371" s="105"/>
      <c r="T1371" s="105"/>
      <c r="U1371" s="105"/>
      <c r="V1371" s="105"/>
      <c r="W1371" s="105"/>
      <c r="X1371" s="105"/>
      <c r="Y1371" s="105"/>
      <c r="Z1371" s="105"/>
    </row>
    <row r="1372">
      <c r="A1372" s="105"/>
      <c r="B1372" s="105"/>
      <c r="C1372" s="105"/>
      <c r="D1372" s="105"/>
      <c r="E1372" s="105"/>
      <c r="F1372" s="105"/>
      <c r="G1372" s="105"/>
      <c r="H1372" s="105"/>
      <c r="I1372" s="105"/>
      <c r="J1372" s="105"/>
      <c r="K1372" s="105"/>
      <c r="L1372" s="105"/>
      <c r="M1372" s="105"/>
      <c r="N1372" s="105"/>
      <c r="O1372" s="105"/>
      <c r="P1372" s="105"/>
      <c r="Q1372" s="105"/>
      <c r="R1372" s="105"/>
      <c r="S1372" s="105"/>
      <c r="T1372" s="105"/>
      <c r="U1372" s="105"/>
      <c r="V1372" s="105"/>
      <c r="W1372" s="105"/>
      <c r="X1372" s="105"/>
      <c r="Y1372" s="105"/>
      <c r="Z1372" s="105"/>
    </row>
    <row r="1373">
      <c r="A1373" s="105"/>
      <c r="B1373" s="105"/>
      <c r="C1373" s="105"/>
      <c r="D1373" s="105"/>
      <c r="E1373" s="105"/>
      <c r="F1373" s="105"/>
      <c r="G1373" s="105"/>
      <c r="H1373" s="105"/>
      <c r="I1373" s="105"/>
      <c r="J1373" s="105"/>
      <c r="K1373" s="105"/>
      <c r="L1373" s="105"/>
      <c r="M1373" s="105"/>
      <c r="N1373" s="105"/>
      <c r="O1373" s="105"/>
      <c r="P1373" s="105"/>
      <c r="Q1373" s="105"/>
      <c r="R1373" s="105"/>
      <c r="S1373" s="105"/>
      <c r="T1373" s="105"/>
      <c r="U1373" s="105"/>
      <c r="V1373" s="105"/>
      <c r="W1373" s="105"/>
      <c r="X1373" s="105"/>
      <c r="Y1373" s="105"/>
      <c r="Z1373" s="105"/>
    </row>
    <row r="1374">
      <c r="A1374" s="105"/>
      <c r="B1374" s="105"/>
      <c r="C1374" s="105"/>
      <c r="D1374" s="105"/>
      <c r="E1374" s="105"/>
      <c r="F1374" s="105"/>
      <c r="G1374" s="105"/>
      <c r="H1374" s="105"/>
      <c r="I1374" s="105"/>
      <c r="J1374" s="105"/>
      <c r="K1374" s="105"/>
      <c r="L1374" s="105"/>
      <c r="M1374" s="105"/>
      <c r="N1374" s="105"/>
      <c r="O1374" s="105"/>
      <c r="P1374" s="105"/>
      <c r="Q1374" s="105"/>
      <c r="R1374" s="105"/>
      <c r="S1374" s="105"/>
      <c r="T1374" s="105"/>
      <c r="U1374" s="105"/>
      <c r="V1374" s="105"/>
      <c r="W1374" s="105"/>
      <c r="X1374" s="105"/>
      <c r="Y1374" s="105"/>
      <c r="Z1374" s="105"/>
    </row>
    <row r="1375">
      <c r="A1375" s="105"/>
      <c r="B1375" s="105"/>
      <c r="C1375" s="105"/>
      <c r="D1375" s="105"/>
      <c r="E1375" s="105"/>
      <c r="F1375" s="105"/>
      <c r="G1375" s="105"/>
      <c r="H1375" s="105"/>
      <c r="I1375" s="105"/>
      <c r="J1375" s="105"/>
      <c r="K1375" s="105"/>
      <c r="L1375" s="105"/>
      <c r="M1375" s="105"/>
      <c r="N1375" s="105"/>
      <c r="O1375" s="105"/>
      <c r="P1375" s="105"/>
      <c r="Q1375" s="105"/>
      <c r="R1375" s="105"/>
      <c r="S1375" s="105"/>
      <c r="T1375" s="105"/>
      <c r="U1375" s="105"/>
      <c r="V1375" s="105"/>
      <c r="W1375" s="105"/>
      <c r="X1375" s="105"/>
      <c r="Y1375" s="105"/>
      <c r="Z1375" s="105"/>
    </row>
    <row r="1376">
      <c r="A1376" s="105"/>
      <c r="B1376" s="105"/>
      <c r="C1376" s="105"/>
      <c r="D1376" s="105"/>
      <c r="E1376" s="105"/>
      <c r="F1376" s="105"/>
      <c r="G1376" s="105"/>
      <c r="H1376" s="105"/>
      <c r="I1376" s="105"/>
      <c r="J1376" s="105"/>
      <c r="K1376" s="105"/>
      <c r="L1376" s="105"/>
      <c r="M1376" s="105"/>
      <c r="N1376" s="105"/>
      <c r="O1376" s="105"/>
      <c r="P1376" s="105"/>
      <c r="Q1376" s="105"/>
      <c r="R1376" s="105"/>
      <c r="S1376" s="105"/>
      <c r="T1376" s="105"/>
      <c r="U1376" s="105"/>
      <c r="V1376" s="105"/>
      <c r="W1376" s="105"/>
      <c r="X1376" s="105"/>
      <c r="Y1376" s="105"/>
      <c r="Z1376" s="105"/>
    </row>
    <row r="1377">
      <c r="A1377" s="105"/>
      <c r="B1377" s="105"/>
      <c r="C1377" s="105"/>
      <c r="D1377" s="105"/>
      <c r="E1377" s="105"/>
      <c r="F1377" s="105"/>
      <c r="G1377" s="105"/>
      <c r="H1377" s="105"/>
      <c r="I1377" s="105"/>
      <c r="J1377" s="105"/>
      <c r="K1377" s="105"/>
      <c r="L1377" s="105"/>
      <c r="M1377" s="105"/>
      <c r="N1377" s="105"/>
      <c r="O1377" s="105"/>
      <c r="P1377" s="105"/>
      <c r="Q1377" s="105"/>
      <c r="R1377" s="105"/>
      <c r="S1377" s="105"/>
      <c r="T1377" s="105"/>
      <c r="U1377" s="105"/>
      <c r="V1377" s="105"/>
      <c r="W1377" s="105"/>
      <c r="X1377" s="105"/>
      <c r="Y1377" s="105"/>
      <c r="Z1377" s="105"/>
    </row>
    <row r="1378">
      <c r="A1378" s="105"/>
      <c r="B1378" s="105"/>
      <c r="C1378" s="105"/>
      <c r="D1378" s="105"/>
      <c r="E1378" s="105"/>
      <c r="F1378" s="105"/>
      <c r="G1378" s="105"/>
      <c r="H1378" s="105"/>
      <c r="I1378" s="105"/>
      <c r="J1378" s="105"/>
      <c r="K1378" s="105"/>
      <c r="L1378" s="105"/>
      <c r="M1378" s="105"/>
      <c r="N1378" s="105"/>
      <c r="O1378" s="105"/>
      <c r="P1378" s="105"/>
      <c r="Q1378" s="105"/>
      <c r="R1378" s="105"/>
      <c r="S1378" s="105"/>
      <c r="T1378" s="105"/>
      <c r="U1378" s="105"/>
      <c r="V1378" s="105"/>
      <c r="W1378" s="105"/>
      <c r="X1378" s="105"/>
      <c r="Y1378" s="105"/>
      <c r="Z1378" s="105"/>
    </row>
    <row r="1379">
      <c r="A1379" s="105"/>
      <c r="B1379" s="105"/>
      <c r="C1379" s="105"/>
      <c r="D1379" s="105"/>
      <c r="E1379" s="105"/>
      <c r="F1379" s="105"/>
      <c r="G1379" s="105"/>
      <c r="H1379" s="105"/>
      <c r="I1379" s="105"/>
      <c r="J1379" s="105"/>
      <c r="K1379" s="105"/>
      <c r="L1379" s="105"/>
      <c r="M1379" s="105"/>
      <c r="N1379" s="105"/>
      <c r="O1379" s="105"/>
      <c r="P1379" s="105"/>
      <c r="Q1379" s="105"/>
      <c r="R1379" s="105"/>
      <c r="S1379" s="105"/>
      <c r="T1379" s="105"/>
      <c r="U1379" s="105"/>
      <c r="V1379" s="105"/>
      <c r="W1379" s="105"/>
      <c r="X1379" s="105"/>
      <c r="Y1379" s="105"/>
      <c r="Z1379" s="105"/>
    </row>
    <row r="1380">
      <c r="A1380" s="105"/>
      <c r="B1380" s="105"/>
      <c r="C1380" s="105"/>
      <c r="D1380" s="105"/>
      <c r="E1380" s="105"/>
      <c r="F1380" s="105"/>
      <c r="G1380" s="105"/>
      <c r="H1380" s="105"/>
      <c r="I1380" s="105"/>
      <c r="J1380" s="105"/>
      <c r="K1380" s="105"/>
      <c r="L1380" s="105"/>
      <c r="M1380" s="105"/>
      <c r="N1380" s="105"/>
      <c r="O1380" s="105"/>
      <c r="P1380" s="105"/>
      <c r="Q1380" s="105"/>
      <c r="R1380" s="105"/>
      <c r="S1380" s="105"/>
      <c r="T1380" s="105"/>
      <c r="U1380" s="105"/>
      <c r="V1380" s="105"/>
      <c r="W1380" s="105"/>
      <c r="X1380" s="105"/>
      <c r="Y1380" s="105"/>
      <c r="Z1380" s="105"/>
    </row>
    <row r="1381">
      <c r="A1381" s="105"/>
      <c r="B1381" s="105"/>
      <c r="C1381" s="105"/>
      <c r="D1381" s="105"/>
      <c r="E1381" s="105"/>
      <c r="F1381" s="105"/>
      <c r="G1381" s="105"/>
      <c r="H1381" s="105"/>
      <c r="I1381" s="105"/>
      <c r="J1381" s="105"/>
      <c r="K1381" s="105"/>
      <c r="L1381" s="105"/>
      <c r="M1381" s="105"/>
      <c r="N1381" s="105"/>
      <c r="O1381" s="105"/>
      <c r="P1381" s="105"/>
      <c r="Q1381" s="105"/>
      <c r="R1381" s="105"/>
      <c r="S1381" s="105"/>
      <c r="T1381" s="105"/>
      <c r="U1381" s="105"/>
      <c r="V1381" s="105"/>
      <c r="W1381" s="105"/>
      <c r="X1381" s="105"/>
      <c r="Y1381" s="105"/>
      <c r="Z1381" s="105"/>
    </row>
    <row r="1382">
      <c r="A1382" s="105"/>
      <c r="B1382" s="105"/>
      <c r="C1382" s="105"/>
      <c r="D1382" s="105"/>
      <c r="E1382" s="105"/>
      <c r="F1382" s="105"/>
      <c r="G1382" s="105"/>
      <c r="H1382" s="105"/>
      <c r="I1382" s="105"/>
      <c r="J1382" s="105"/>
      <c r="K1382" s="105"/>
      <c r="L1382" s="105"/>
      <c r="M1382" s="105"/>
      <c r="N1382" s="105"/>
      <c r="O1382" s="105"/>
      <c r="P1382" s="105"/>
      <c r="Q1382" s="105"/>
      <c r="R1382" s="105"/>
      <c r="S1382" s="105"/>
      <c r="T1382" s="105"/>
      <c r="U1382" s="105"/>
      <c r="V1382" s="105"/>
      <c r="W1382" s="105"/>
      <c r="X1382" s="105"/>
      <c r="Y1382" s="105"/>
      <c r="Z1382" s="105"/>
    </row>
    <row r="1383">
      <c r="A1383" s="105"/>
      <c r="B1383" s="105"/>
      <c r="C1383" s="105"/>
      <c r="D1383" s="105"/>
      <c r="E1383" s="105"/>
      <c r="F1383" s="105"/>
      <c r="G1383" s="105"/>
      <c r="H1383" s="105"/>
      <c r="I1383" s="105"/>
      <c r="J1383" s="105"/>
      <c r="K1383" s="105"/>
      <c r="L1383" s="105"/>
      <c r="M1383" s="105"/>
      <c r="N1383" s="105"/>
      <c r="O1383" s="105"/>
      <c r="P1383" s="105"/>
      <c r="Q1383" s="105"/>
      <c r="R1383" s="105"/>
      <c r="S1383" s="105"/>
      <c r="T1383" s="105"/>
      <c r="U1383" s="105"/>
      <c r="V1383" s="105"/>
      <c r="W1383" s="105"/>
      <c r="X1383" s="105"/>
      <c r="Y1383" s="105"/>
      <c r="Z1383" s="105"/>
    </row>
    <row r="1384">
      <c r="A1384" s="105"/>
      <c r="B1384" s="105"/>
      <c r="C1384" s="105"/>
      <c r="D1384" s="105"/>
      <c r="E1384" s="105"/>
      <c r="F1384" s="105"/>
      <c r="G1384" s="105"/>
      <c r="H1384" s="105"/>
      <c r="I1384" s="105"/>
      <c r="J1384" s="105"/>
      <c r="K1384" s="105"/>
      <c r="L1384" s="105"/>
      <c r="M1384" s="105"/>
      <c r="N1384" s="105"/>
      <c r="O1384" s="105"/>
      <c r="P1384" s="105"/>
      <c r="Q1384" s="105"/>
      <c r="R1384" s="105"/>
      <c r="S1384" s="105"/>
      <c r="T1384" s="105"/>
      <c r="U1384" s="105"/>
      <c r="V1384" s="105"/>
      <c r="W1384" s="105"/>
      <c r="X1384" s="105"/>
      <c r="Y1384" s="105"/>
      <c r="Z1384" s="105"/>
    </row>
    <row r="1385">
      <c r="A1385" s="105"/>
      <c r="B1385" s="105"/>
      <c r="C1385" s="105"/>
      <c r="D1385" s="105"/>
      <c r="E1385" s="105"/>
      <c r="F1385" s="105"/>
      <c r="G1385" s="105"/>
      <c r="H1385" s="105"/>
      <c r="I1385" s="105"/>
      <c r="J1385" s="105"/>
      <c r="K1385" s="105"/>
      <c r="L1385" s="105"/>
      <c r="M1385" s="105"/>
      <c r="N1385" s="105"/>
      <c r="O1385" s="105"/>
      <c r="P1385" s="105"/>
      <c r="Q1385" s="105"/>
      <c r="R1385" s="105"/>
      <c r="S1385" s="105"/>
      <c r="T1385" s="105"/>
      <c r="U1385" s="105"/>
      <c r="V1385" s="105"/>
      <c r="W1385" s="105"/>
      <c r="X1385" s="105"/>
      <c r="Y1385" s="105"/>
      <c r="Z1385" s="105"/>
    </row>
    <row r="1386">
      <c r="A1386" s="105"/>
      <c r="B1386" s="105"/>
      <c r="C1386" s="105"/>
      <c r="D1386" s="105"/>
      <c r="E1386" s="105"/>
      <c r="F1386" s="105"/>
      <c r="G1386" s="105"/>
      <c r="H1386" s="105"/>
      <c r="I1386" s="105"/>
      <c r="J1386" s="105"/>
      <c r="K1386" s="105"/>
      <c r="L1386" s="105"/>
      <c r="M1386" s="105"/>
      <c r="N1386" s="105"/>
      <c r="O1386" s="105"/>
      <c r="P1386" s="105"/>
      <c r="Q1386" s="105"/>
      <c r="R1386" s="105"/>
      <c r="S1386" s="105"/>
      <c r="T1386" s="105"/>
      <c r="U1386" s="105"/>
      <c r="V1386" s="105"/>
      <c r="W1386" s="105"/>
      <c r="X1386" s="105"/>
      <c r="Y1386" s="105"/>
      <c r="Z1386" s="105"/>
    </row>
    <row r="1387">
      <c r="A1387" s="105"/>
      <c r="B1387" s="105"/>
      <c r="C1387" s="105"/>
      <c r="D1387" s="105"/>
      <c r="E1387" s="105"/>
      <c r="F1387" s="105"/>
      <c r="G1387" s="105"/>
      <c r="H1387" s="105"/>
      <c r="I1387" s="105"/>
      <c r="J1387" s="105"/>
      <c r="K1387" s="105"/>
      <c r="L1387" s="105"/>
      <c r="M1387" s="105"/>
      <c r="N1387" s="105"/>
      <c r="O1387" s="105"/>
      <c r="P1387" s="105"/>
      <c r="Q1387" s="105"/>
      <c r="R1387" s="105"/>
      <c r="S1387" s="105"/>
      <c r="T1387" s="105"/>
      <c r="U1387" s="105"/>
      <c r="V1387" s="105"/>
      <c r="W1387" s="105"/>
      <c r="X1387" s="105"/>
      <c r="Y1387" s="105"/>
      <c r="Z1387" s="105"/>
    </row>
    <row r="1388">
      <c r="A1388" s="105"/>
      <c r="B1388" s="105"/>
      <c r="C1388" s="105"/>
      <c r="D1388" s="105"/>
      <c r="E1388" s="105"/>
      <c r="F1388" s="105"/>
      <c r="G1388" s="105"/>
      <c r="H1388" s="105"/>
      <c r="I1388" s="105"/>
      <c r="J1388" s="105"/>
      <c r="K1388" s="105"/>
      <c r="L1388" s="105"/>
      <c r="M1388" s="105"/>
      <c r="N1388" s="105"/>
      <c r="O1388" s="105"/>
      <c r="P1388" s="105"/>
      <c r="Q1388" s="105"/>
      <c r="R1388" s="105"/>
      <c r="S1388" s="105"/>
      <c r="T1388" s="105"/>
      <c r="U1388" s="105"/>
      <c r="V1388" s="105"/>
      <c r="W1388" s="105"/>
      <c r="X1388" s="105"/>
      <c r="Y1388" s="105"/>
      <c r="Z1388" s="105"/>
    </row>
    <row r="1389">
      <c r="A1389" s="105"/>
      <c r="B1389" s="105"/>
      <c r="C1389" s="105"/>
      <c r="D1389" s="105"/>
      <c r="E1389" s="105"/>
      <c r="F1389" s="105"/>
      <c r="G1389" s="105"/>
      <c r="H1389" s="105"/>
      <c r="I1389" s="105"/>
      <c r="J1389" s="105"/>
      <c r="K1389" s="105"/>
      <c r="L1389" s="105"/>
      <c r="M1389" s="105"/>
      <c r="N1389" s="105"/>
      <c r="O1389" s="105"/>
      <c r="P1389" s="105"/>
      <c r="Q1389" s="105"/>
      <c r="R1389" s="105"/>
      <c r="S1389" s="105"/>
      <c r="T1389" s="105"/>
      <c r="U1389" s="105"/>
      <c r="V1389" s="105"/>
      <c r="W1389" s="105"/>
      <c r="X1389" s="105"/>
      <c r="Y1389" s="105"/>
      <c r="Z1389" s="105"/>
    </row>
    <row r="1390">
      <c r="A1390" s="105"/>
      <c r="B1390" s="105"/>
      <c r="C1390" s="105"/>
      <c r="D1390" s="105"/>
      <c r="E1390" s="105"/>
      <c r="F1390" s="105"/>
      <c r="G1390" s="105"/>
      <c r="H1390" s="105"/>
      <c r="I1390" s="105"/>
      <c r="J1390" s="105"/>
      <c r="K1390" s="105"/>
      <c r="L1390" s="105"/>
      <c r="M1390" s="105"/>
      <c r="N1390" s="105"/>
      <c r="O1390" s="105"/>
      <c r="P1390" s="105"/>
      <c r="Q1390" s="105"/>
      <c r="R1390" s="105"/>
      <c r="S1390" s="105"/>
      <c r="T1390" s="105"/>
      <c r="U1390" s="105"/>
      <c r="V1390" s="105"/>
      <c r="W1390" s="105"/>
      <c r="X1390" s="105"/>
      <c r="Y1390" s="105"/>
      <c r="Z1390" s="105"/>
    </row>
    <row r="1391">
      <c r="A1391" s="105"/>
      <c r="B1391" s="105"/>
      <c r="C1391" s="105"/>
      <c r="D1391" s="105"/>
      <c r="E1391" s="105"/>
      <c r="F1391" s="105"/>
      <c r="G1391" s="105"/>
      <c r="H1391" s="105"/>
      <c r="I1391" s="105"/>
      <c r="J1391" s="105"/>
      <c r="K1391" s="105"/>
      <c r="L1391" s="105"/>
      <c r="M1391" s="105"/>
      <c r="N1391" s="105"/>
      <c r="O1391" s="105"/>
      <c r="P1391" s="105"/>
      <c r="Q1391" s="105"/>
      <c r="R1391" s="105"/>
      <c r="S1391" s="105"/>
      <c r="T1391" s="105"/>
      <c r="U1391" s="105"/>
      <c r="V1391" s="105"/>
      <c r="W1391" s="105"/>
      <c r="X1391" s="105"/>
      <c r="Y1391" s="105"/>
      <c r="Z1391" s="105"/>
    </row>
    <row r="1392">
      <c r="A1392" s="105"/>
      <c r="B1392" s="105"/>
      <c r="C1392" s="105"/>
      <c r="D1392" s="105"/>
      <c r="E1392" s="105"/>
      <c r="F1392" s="105"/>
      <c r="G1392" s="105"/>
      <c r="H1392" s="105"/>
      <c r="I1392" s="105"/>
      <c r="J1392" s="105"/>
      <c r="K1392" s="105"/>
      <c r="L1392" s="105"/>
      <c r="M1392" s="105"/>
      <c r="N1392" s="105"/>
      <c r="O1392" s="105"/>
      <c r="P1392" s="105"/>
      <c r="Q1392" s="105"/>
      <c r="R1392" s="105"/>
      <c r="S1392" s="105"/>
      <c r="T1392" s="105"/>
      <c r="U1392" s="105"/>
      <c r="V1392" s="105"/>
      <c r="W1392" s="105"/>
      <c r="X1392" s="105"/>
      <c r="Y1392" s="105"/>
      <c r="Z1392" s="105"/>
    </row>
    <row r="1393">
      <c r="A1393" s="105"/>
      <c r="B1393" s="105"/>
      <c r="C1393" s="105"/>
      <c r="D1393" s="105"/>
      <c r="E1393" s="105"/>
      <c r="F1393" s="105"/>
      <c r="G1393" s="105"/>
      <c r="H1393" s="105"/>
      <c r="I1393" s="105"/>
      <c r="J1393" s="105"/>
      <c r="K1393" s="105"/>
      <c r="L1393" s="105"/>
      <c r="M1393" s="105"/>
      <c r="N1393" s="105"/>
      <c r="O1393" s="105"/>
      <c r="P1393" s="105"/>
      <c r="Q1393" s="105"/>
      <c r="R1393" s="105"/>
      <c r="S1393" s="105"/>
      <c r="T1393" s="105"/>
      <c r="U1393" s="105"/>
      <c r="V1393" s="105"/>
      <c r="W1393" s="105"/>
      <c r="X1393" s="105"/>
      <c r="Y1393" s="105"/>
      <c r="Z1393" s="105"/>
    </row>
    <row r="1394">
      <c r="A1394" s="105"/>
      <c r="B1394" s="105"/>
      <c r="C1394" s="105"/>
      <c r="D1394" s="105"/>
      <c r="E1394" s="105"/>
      <c r="F1394" s="105"/>
      <c r="G1394" s="105"/>
      <c r="H1394" s="105"/>
      <c r="I1394" s="105"/>
      <c r="J1394" s="105"/>
      <c r="K1394" s="105"/>
      <c r="L1394" s="105"/>
      <c r="M1394" s="105"/>
      <c r="N1394" s="105"/>
      <c r="O1394" s="105"/>
      <c r="P1394" s="105"/>
      <c r="Q1394" s="105"/>
      <c r="R1394" s="105"/>
      <c r="S1394" s="105"/>
      <c r="T1394" s="105"/>
      <c r="U1394" s="105"/>
      <c r="V1394" s="105"/>
      <c r="W1394" s="105"/>
      <c r="X1394" s="105"/>
      <c r="Y1394" s="105"/>
      <c r="Z1394" s="105"/>
    </row>
    <row r="1395">
      <c r="A1395" s="105"/>
      <c r="B1395" s="105"/>
      <c r="C1395" s="105"/>
      <c r="D1395" s="105"/>
      <c r="E1395" s="105"/>
      <c r="F1395" s="105"/>
      <c r="G1395" s="105"/>
      <c r="H1395" s="105"/>
      <c r="I1395" s="105"/>
      <c r="J1395" s="105"/>
      <c r="K1395" s="105"/>
      <c r="L1395" s="105"/>
      <c r="M1395" s="105"/>
      <c r="N1395" s="105"/>
      <c r="O1395" s="105"/>
      <c r="P1395" s="105"/>
      <c r="Q1395" s="105"/>
      <c r="R1395" s="105"/>
      <c r="S1395" s="105"/>
      <c r="T1395" s="105"/>
      <c r="U1395" s="105"/>
      <c r="V1395" s="105"/>
      <c r="W1395" s="105"/>
      <c r="X1395" s="105"/>
      <c r="Y1395" s="105"/>
      <c r="Z1395" s="105"/>
    </row>
    <row r="1396">
      <c r="A1396" s="105"/>
      <c r="B1396" s="105"/>
      <c r="C1396" s="105"/>
      <c r="D1396" s="105"/>
      <c r="E1396" s="105"/>
      <c r="F1396" s="105"/>
      <c r="G1396" s="105"/>
      <c r="H1396" s="105"/>
      <c r="I1396" s="105"/>
      <c r="J1396" s="105"/>
      <c r="K1396" s="105"/>
      <c r="L1396" s="105"/>
      <c r="M1396" s="105"/>
      <c r="N1396" s="105"/>
      <c r="O1396" s="105"/>
      <c r="P1396" s="105"/>
      <c r="Q1396" s="105"/>
      <c r="R1396" s="105"/>
      <c r="S1396" s="105"/>
      <c r="T1396" s="105"/>
      <c r="U1396" s="105"/>
      <c r="V1396" s="105"/>
      <c r="W1396" s="105"/>
      <c r="X1396" s="105"/>
      <c r="Y1396" s="105"/>
      <c r="Z1396" s="105"/>
    </row>
    <row r="1397">
      <c r="A1397" s="105"/>
      <c r="B1397" s="105"/>
      <c r="C1397" s="105"/>
      <c r="D1397" s="105"/>
      <c r="E1397" s="105"/>
      <c r="F1397" s="105"/>
      <c r="G1397" s="105"/>
      <c r="H1397" s="105"/>
      <c r="I1397" s="105"/>
      <c r="J1397" s="105"/>
      <c r="K1397" s="105"/>
      <c r="L1397" s="105"/>
      <c r="M1397" s="105"/>
      <c r="N1397" s="105"/>
      <c r="O1397" s="105"/>
      <c r="P1397" s="105"/>
      <c r="Q1397" s="105"/>
      <c r="R1397" s="105"/>
      <c r="S1397" s="105"/>
      <c r="T1397" s="105"/>
      <c r="U1397" s="105"/>
      <c r="V1397" s="105"/>
      <c r="W1397" s="105"/>
      <c r="X1397" s="105"/>
      <c r="Y1397" s="105"/>
      <c r="Z1397" s="105"/>
    </row>
    <row r="1398">
      <c r="A1398" s="105"/>
      <c r="B1398" s="105"/>
      <c r="C1398" s="105"/>
      <c r="D1398" s="105"/>
      <c r="E1398" s="105"/>
      <c r="F1398" s="105"/>
      <c r="G1398" s="105"/>
      <c r="H1398" s="105"/>
      <c r="I1398" s="105"/>
      <c r="J1398" s="105"/>
      <c r="K1398" s="105"/>
      <c r="L1398" s="105"/>
      <c r="M1398" s="105"/>
      <c r="N1398" s="105"/>
      <c r="O1398" s="105"/>
      <c r="P1398" s="105"/>
      <c r="Q1398" s="105"/>
      <c r="R1398" s="105"/>
      <c r="S1398" s="105"/>
      <c r="T1398" s="105"/>
      <c r="U1398" s="105"/>
      <c r="V1398" s="105"/>
      <c r="W1398" s="105"/>
      <c r="X1398" s="105"/>
      <c r="Y1398" s="105"/>
      <c r="Z1398" s="105"/>
    </row>
    <row r="1399">
      <c r="A1399" s="105"/>
      <c r="B1399" s="105"/>
      <c r="C1399" s="105"/>
      <c r="D1399" s="105"/>
      <c r="E1399" s="105"/>
      <c r="F1399" s="105"/>
      <c r="G1399" s="105"/>
      <c r="H1399" s="105"/>
      <c r="I1399" s="105"/>
      <c r="J1399" s="105"/>
      <c r="K1399" s="105"/>
      <c r="L1399" s="105"/>
      <c r="M1399" s="105"/>
      <c r="N1399" s="105"/>
      <c r="O1399" s="105"/>
      <c r="P1399" s="105"/>
      <c r="Q1399" s="105"/>
      <c r="R1399" s="105"/>
      <c r="S1399" s="105"/>
      <c r="T1399" s="105"/>
      <c r="U1399" s="105"/>
      <c r="V1399" s="105"/>
      <c r="W1399" s="105"/>
      <c r="X1399" s="105"/>
      <c r="Y1399" s="105"/>
      <c r="Z1399" s="105"/>
    </row>
    <row r="1400">
      <c r="A1400" s="105"/>
      <c r="B1400" s="105"/>
      <c r="C1400" s="105"/>
      <c r="D1400" s="105"/>
      <c r="E1400" s="105"/>
      <c r="F1400" s="105"/>
      <c r="G1400" s="105"/>
      <c r="H1400" s="105"/>
      <c r="I1400" s="105"/>
      <c r="J1400" s="105"/>
      <c r="K1400" s="105"/>
      <c r="L1400" s="105"/>
      <c r="M1400" s="105"/>
      <c r="N1400" s="105"/>
      <c r="O1400" s="105"/>
      <c r="P1400" s="105"/>
      <c r="Q1400" s="105"/>
      <c r="R1400" s="105"/>
      <c r="S1400" s="105"/>
      <c r="T1400" s="105"/>
      <c r="U1400" s="105"/>
      <c r="V1400" s="105"/>
      <c r="W1400" s="105"/>
      <c r="X1400" s="105"/>
      <c r="Y1400" s="105"/>
      <c r="Z1400" s="105"/>
    </row>
    <row r="1401">
      <c r="A1401" s="105"/>
      <c r="B1401" s="105"/>
      <c r="C1401" s="105"/>
      <c r="D1401" s="105"/>
      <c r="E1401" s="105"/>
      <c r="F1401" s="105"/>
      <c r="G1401" s="105"/>
      <c r="H1401" s="105"/>
      <c r="I1401" s="105"/>
      <c r="J1401" s="105"/>
      <c r="K1401" s="105"/>
      <c r="L1401" s="105"/>
      <c r="M1401" s="105"/>
      <c r="N1401" s="105"/>
      <c r="O1401" s="105"/>
      <c r="P1401" s="105"/>
      <c r="Q1401" s="105"/>
      <c r="R1401" s="105"/>
      <c r="S1401" s="105"/>
      <c r="T1401" s="105"/>
      <c r="U1401" s="105"/>
      <c r="V1401" s="105"/>
      <c r="W1401" s="105"/>
      <c r="X1401" s="105"/>
      <c r="Y1401" s="105"/>
      <c r="Z1401" s="105"/>
    </row>
    <row r="1402">
      <c r="A1402" s="105"/>
      <c r="B1402" s="105"/>
      <c r="C1402" s="105"/>
      <c r="D1402" s="105"/>
      <c r="E1402" s="105"/>
      <c r="F1402" s="105"/>
      <c r="G1402" s="105"/>
      <c r="H1402" s="105"/>
      <c r="I1402" s="105"/>
      <c r="J1402" s="105"/>
      <c r="K1402" s="105"/>
      <c r="L1402" s="105"/>
      <c r="M1402" s="105"/>
      <c r="N1402" s="105"/>
      <c r="O1402" s="105"/>
      <c r="P1402" s="105"/>
      <c r="Q1402" s="105"/>
      <c r="R1402" s="105"/>
      <c r="S1402" s="105"/>
      <c r="T1402" s="105"/>
      <c r="U1402" s="105"/>
      <c r="V1402" s="105"/>
      <c r="W1402" s="105"/>
      <c r="X1402" s="105"/>
      <c r="Y1402" s="105"/>
      <c r="Z1402" s="105"/>
    </row>
    <row r="1403">
      <c r="A1403" s="105"/>
      <c r="B1403" s="105"/>
      <c r="C1403" s="105"/>
      <c r="D1403" s="105"/>
      <c r="E1403" s="105"/>
      <c r="F1403" s="105"/>
      <c r="G1403" s="105"/>
      <c r="H1403" s="105"/>
      <c r="I1403" s="105"/>
      <c r="J1403" s="105"/>
      <c r="K1403" s="105"/>
      <c r="L1403" s="105"/>
      <c r="M1403" s="105"/>
      <c r="N1403" s="105"/>
      <c r="O1403" s="105"/>
      <c r="P1403" s="105"/>
      <c r="Q1403" s="105"/>
      <c r="R1403" s="105"/>
      <c r="S1403" s="105"/>
      <c r="T1403" s="105"/>
      <c r="U1403" s="105"/>
      <c r="V1403" s="105"/>
      <c r="W1403" s="105"/>
      <c r="X1403" s="105"/>
      <c r="Y1403" s="105"/>
      <c r="Z1403" s="105"/>
    </row>
    <row r="1404">
      <c r="A1404" s="105"/>
      <c r="B1404" s="105"/>
      <c r="C1404" s="105"/>
      <c r="D1404" s="105"/>
      <c r="E1404" s="105"/>
      <c r="F1404" s="105"/>
      <c r="G1404" s="105"/>
      <c r="H1404" s="105"/>
      <c r="I1404" s="105"/>
      <c r="J1404" s="105"/>
      <c r="K1404" s="105"/>
      <c r="L1404" s="105"/>
      <c r="M1404" s="105"/>
      <c r="N1404" s="105"/>
      <c r="O1404" s="105"/>
      <c r="P1404" s="105"/>
      <c r="Q1404" s="105"/>
      <c r="R1404" s="105"/>
      <c r="S1404" s="105"/>
      <c r="T1404" s="105"/>
      <c r="U1404" s="105"/>
      <c r="V1404" s="105"/>
      <c r="W1404" s="105"/>
      <c r="X1404" s="105"/>
      <c r="Y1404" s="105"/>
      <c r="Z1404" s="105"/>
    </row>
    <row r="1405">
      <c r="A1405" s="105"/>
      <c r="B1405" s="105"/>
      <c r="C1405" s="105"/>
      <c r="D1405" s="105"/>
      <c r="E1405" s="105"/>
      <c r="F1405" s="105"/>
      <c r="G1405" s="105"/>
      <c r="H1405" s="105"/>
      <c r="I1405" s="105"/>
      <c r="J1405" s="105"/>
      <c r="K1405" s="105"/>
      <c r="L1405" s="105"/>
      <c r="M1405" s="105"/>
      <c r="N1405" s="105"/>
      <c r="O1405" s="105"/>
      <c r="P1405" s="105"/>
      <c r="Q1405" s="105"/>
      <c r="R1405" s="105"/>
      <c r="S1405" s="105"/>
      <c r="T1405" s="105"/>
      <c r="U1405" s="105"/>
      <c r="V1405" s="105"/>
      <c r="W1405" s="105"/>
      <c r="X1405" s="105"/>
      <c r="Y1405" s="105"/>
      <c r="Z1405" s="105"/>
    </row>
    <row r="1406">
      <c r="A1406" s="105"/>
      <c r="B1406" s="105"/>
      <c r="C1406" s="105"/>
      <c r="D1406" s="105"/>
      <c r="E1406" s="105"/>
      <c r="F1406" s="105"/>
      <c r="G1406" s="105"/>
      <c r="H1406" s="105"/>
      <c r="I1406" s="105"/>
      <c r="J1406" s="105"/>
      <c r="K1406" s="105"/>
      <c r="L1406" s="105"/>
      <c r="M1406" s="105"/>
      <c r="N1406" s="105"/>
      <c r="O1406" s="105"/>
      <c r="P1406" s="105"/>
      <c r="Q1406" s="105"/>
      <c r="R1406" s="105"/>
      <c r="S1406" s="105"/>
      <c r="T1406" s="105"/>
      <c r="U1406" s="105"/>
      <c r="V1406" s="105"/>
      <c r="W1406" s="105"/>
      <c r="X1406" s="105"/>
      <c r="Y1406" s="105"/>
      <c r="Z1406" s="105"/>
    </row>
    <row r="1407">
      <c r="A1407" s="105"/>
      <c r="B1407" s="105"/>
      <c r="C1407" s="105"/>
      <c r="D1407" s="105"/>
      <c r="E1407" s="105"/>
      <c r="F1407" s="105"/>
      <c r="G1407" s="105"/>
      <c r="H1407" s="105"/>
      <c r="I1407" s="105"/>
      <c r="J1407" s="105"/>
      <c r="K1407" s="105"/>
      <c r="L1407" s="105"/>
      <c r="M1407" s="105"/>
      <c r="N1407" s="105"/>
      <c r="O1407" s="105"/>
      <c r="P1407" s="105"/>
      <c r="Q1407" s="105"/>
      <c r="R1407" s="105"/>
      <c r="S1407" s="105"/>
      <c r="T1407" s="105"/>
      <c r="U1407" s="105"/>
      <c r="V1407" s="105"/>
      <c r="W1407" s="105"/>
      <c r="X1407" s="105"/>
      <c r="Y1407" s="105"/>
      <c r="Z1407" s="105"/>
    </row>
    <row r="1408">
      <c r="A1408" s="105"/>
      <c r="B1408" s="105"/>
      <c r="C1408" s="105"/>
      <c r="D1408" s="105"/>
      <c r="E1408" s="105"/>
      <c r="F1408" s="105"/>
      <c r="G1408" s="105"/>
      <c r="H1408" s="105"/>
      <c r="I1408" s="105"/>
      <c r="J1408" s="105"/>
      <c r="K1408" s="105"/>
      <c r="L1408" s="105"/>
      <c r="M1408" s="105"/>
      <c r="N1408" s="105"/>
      <c r="O1408" s="105"/>
      <c r="P1408" s="105"/>
      <c r="Q1408" s="105"/>
      <c r="R1408" s="105"/>
      <c r="S1408" s="105"/>
      <c r="T1408" s="105"/>
      <c r="U1408" s="105"/>
      <c r="V1408" s="105"/>
      <c r="W1408" s="105"/>
      <c r="X1408" s="105"/>
      <c r="Y1408" s="105"/>
      <c r="Z1408" s="105"/>
    </row>
    <row r="1409">
      <c r="A1409" s="105"/>
      <c r="B1409" s="105"/>
      <c r="C1409" s="105"/>
      <c r="D1409" s="105"/>
      <c r="E1409" s="105"/>
      <c r="F1409" s="105"/>
      <c r="G1409" s="105"/>
      <c r="H1409" s="105"/>
      <c r="I1409" s="105"/>
      <c r="J1409" s="105"/>
      <c r="K1409" s="105"/>
      <c r="L1409" s="105"/>
      <c r="M1409" s="105"/>
      <c r="N1409" s="105"/>
      <c r="O1409" s="105"/>
      <c r="P1409" s="105"/>
      <c r="Q1409" s="105"/>
      <c r="R1409" s="105"/>
      <c r="S1409" s="105"/>
      <c r="T1409" s="105"/>
      <c r="U1409" s="105"/>
      <c r="V1409" s="105"/>
      <c r="W1409" s="105"/>
      <c r="X1409" s="105"/>
      <c r="Y1409" s="105"/>
      <c r="Z1409" s="105"/>
    </row>
    <row r="1410">
      <c r="A1410" s="105"/>
      <c r="B1410" s="105"/>
      <c r="C1410" s="105"/>
      <c r="D1410" s="105"/>
      <c r="E1410" s="105"/>
      <c r="F1410" s="105"/>
      <c r="G1410" s="105"/>
      <c r="H1410" s="105"/>
      <c r="I1410" s="105"/>
      <c r="J1410" s="105"/>
      <c r="K1410" s="105"/>
      <c r="L1410" s="105"/>
      <c r="M1410" s="105"/>
      <c r="N1410" s="105"/>
      <c r="O1410" s="105"/>
      <c r="P1410" s="105"/>
      <c r="Q1410" s="105"/>
      <c r="R1410" s="105"/>
      <c r="S1410" s="105"/>
      <c r="T1410" s="105"/>
      <c r="U1410" s="105"/>
      <c r="V1410" s="105"/>
      <c r="W1410" s="105"/>
      <c r="X1410" s="105"/>
      <c r="Y1410" s="105"/>
      <c r="Z1410" s="105"/>
    </row>
    <row r="1411">
      <c r="A1411" s="105"/>
      <c r="B1411" s="105"/>
      <c r="C1411" s="105"/>
      <c r="D1411" s="105"/>
      <c r="E1411" s="105"/>
      <c r="F1411" s="105"/>
      <c r="G1411" s="105"/>
      <c r="H1411" s="105"/>
      <c r="I1411" s="105"/>
      <c r="J1411" s="105"/>
      <c r="K1411" s="105"/>
      <c r="L1411" s="105"/>
      <c r="M1411" s="105"/>
      <c r="N1411" s="105"/>
      <c r="O1411" s="105"/>
      <c r="P1411" s="105"/>
      <c r="Q1411" s="105"/>
      <c r="R1411" s="105"/>
      <c r="S1411" s="105"/>
      <c r="T1411" s="105"/>
      <c r="U1411" s="105"/>
      <c r="V1411" s="105"/>
      <c r="W1411" s="105"/>
      <c r="X1411" s="105"/>
      <c r="Y1411" s="105"/>
      <c r="Z1411" s="105"/>
    </row>
    <row r="1412">
      <c r="A1412" s="105"/>
      <c r="B1412" s="105"/>
      <c r="C1412" s="105"/>
      <c r="D1412" s="105"/>
      <c r="E1412" s="105"/>
      <c r="F1412" s="105"/>
      <c r="G1412" s="105"/>
      <c r="H1412" s="105"/>
      <c r="I1412" s="105"/>
      <c r="J1412" s="105"/>
      <c r="K1412" s="105"/>
      <c r="L1412" s="105"/>
      <c r="M1412" s="105"/>
      <c r="N1412" s="105"/>
      <c r="O1412" s="105"/>
      <c r="P1412" s="105"/>
      <c r="Q1412" s="105"/>
      <c r="R1412" s="105"/>
      <c r="S1412" s="105"/>
      <c r="T1412" s="105"/>
      <c r="U1412" s="105"/>
      <c r="V1412" s="105"/>
      <c r="W1412" s="105"/>
      <c r="X1412" s="105"/>
      <c r="Y1412" s="105"/>
      <c r="Z1412" s="105"/>
    </row>
    <row r="1413">
      <c r="A1413" s="105"/>
      <c r="B1413" s="105"/>
      <c r="C1413" s="105"/>
      <c r="D1413" s="105"/>
      <c r="E1413" s="105"/>
      <c r="F1413" s="105"/>
      <c r="G1413" s="105"/>
      <c r="H1413" s="105"/>
      <c r="I1413" s="105"/>
      <c r="J1413" s="105"/>
      <c r="K1413" s="105"/>
      <c r="L1413" s="105"/>
      <c r="M1413" s="105"/>
      <c r="N1413" s="105"/>
      <c r="O1413" s="105"/>
      <c r="P1413" s="105"/>
      <c r="Q1413" s="105"/>
      <c r="R1413" s="105"/>
      <c r="S1413" s="105"/>
      <c r="T1413" s="105"/>
      <c r="U1413" s="105"/>
      <c r="V1413" s="105"/>
      <c r="W1413" s="105"/>
      <c r="X1413" s="105"/>
      <c r="Y1413" s="105"/>
      <c r="Z1413" s="105"/>
    </row>
    <row r="1414">
      <c r="A1414" s="105"/>
      <c r="B1414" s="105"/>
      <c r="C1414" s="105"/>
      <c r="D1414" s="105"/>
      <c r="E1414" s="105"/>
      <c r="F1414" s="105"/>
      <c r="G1414" s="105"/>
      <c r="H1414" s="105"/>
      <c r="I1414" s="105"/>
      <c r="J1414" s="105"/>
      <c r="K1414" s="105"/>
      <c r="L1414" s="105"/>
      <c r="M1414" s="105"/>
      <c r="N1414" s="105"/>
      <c r="O1414" s="105"/>
      <c r="P1414" s="105"/>
      <c r="Q1414" s="105"/>
      <c r="R1414" s="105"/>
      <c r="S1414" s="105"/>
      <c r="T1414" s="105"/>
      <c r="U1414" s="105"/>
      <c r="V1414" s="105"/>
      <c r="W1414" s="105"/>
      <c r="X1414" s="105"/>
      <c r="Y1414" s="105"/>
      <c r="Z1414" s="105"/>
    </row>
    <row r="1415">
      <c r="A1415" s="105"/>
      <c r="B1415" s="105"/>
      <c r="C1415" s="105"/>
      <c r="D1415" s="105"/>
      <c r="E1415" s="105"/>
      <c r="F1415" s="105"/>
      <c r="G1415" s="105"/>
      <c r="H1415" s="105"/>
      <c r="I1415" s="105"/>
      <c r="J1415" s="105"/>
      <c r="K1415" s="105"/>
      <c r="L1415" s="105"/>
      <c r="M1415" s="105"/>
      <c r="N1415" s="105"/>
      <c r="O1415" s="105"/>
      <c r="P1415" s="105"/>
      <c r="Q1415" s="105"/>
      <c r="R1415" s="105"/>
      <c r="S1415" s="105"/>
      <c r="T1415" s="105"/>
      <c r="U1415" s="105"/>
      <c r="V1415" s="105"/>
      <c r="W1415" s="105"/>
      <c r="X1415" s="105"/>
      <c r="Y1415" s="105"/>
      <c r="Z1415" s="105"/>
    </row>
    <row r="1416">
      <c r="A1416" s="105"/>
      <c r="B1416" s="105"/>
      <c r="C1416" s="105"/>
      <c r="D1416" s="105"/>
      <c r="E1416" s="105"/>
      <c r="F1416" s="105"/>
      <c r="G1416" s="105"/>
      <c r="H1416" s="105"/>
      <c r="I1416" s="105"/>
      <c r="J1416" s="105"/>
      <c r="K1416" s="105"/>
      <c r="L1416" s="105"/>
      <c r="M1416" s="105"/>
      <c r="N1416" s="105"/>
      <c r="O1416" s="105"/>
      <c r="P1416" s="105"/>
      <c r="Q1416" s="105"/>
      <c r="R1416" s="105"/>
      <c r="S1416" s="105"/>
      <c r="T1416" s="105"/>
      <c r="U1416" s="105"/>
      <c r="V1416" s="105"/>
      <c r="W1416" s="105"/>
      <c r="X1416" s="105"/>
      <c r="Y1416" s="105"/>
      <c r="Z1416" s="105"/>
    </row>
    <row r="1417">
      <c r="A1417" s="105"/>
      <c r="B1417" s="105"/>
      <c r="C1417" s="105"/>
      <c r="D1417" s="105"/>
      <c r="E1417" s="105"/>
      <c r="F1417" s="105"/>
      <c r="G1417" s="105"/>
      <c r="H1417" s="105"/>
      <c r="I1417" s="105"/>
      <c r="J1417" s="105"/>
      <c r="K1417" s="105"/>
      <c r="L1417" s="105"/>
      <c r="M1417" s="105"/>
      <c r="N1417" s="105"/>
      <c r="O1417" s="105"/>
      <c r="P1417" s="105"/>
      <c r="Q1417" s="105"/>
      <c r="R1417" s="105"/>
      <c r="S1417" s="105"/>
      <c r="T1417" s="105"/>
      <c r="U1417" s="105"/>
      <c r="V1417" s="105"/>
      <c r="W1417" s="105"/>
      <c r="X1417" s="105"/>
      <c r="Y1417" s="105"/>
      <c r="Z1417" s="105"/>
    </row>
    <row r="1418">
      <c r="A1418" s="105"/>
      <c r="B1418" s="105"/>
      <c r="C1418" s="105"/>
      <c r="D1418" s="105"/>
      <c r="E1418" s="105"/>
      <c r="F1418" s="105"/>
      <c r="G1418" s="105"/>
      <c r="H1418" s="105"/>
      <c r="I1418" s="105"/>
      <c r="J1418" s="105"/>
      <c r="K1418" s="105"/>
      <c r="L1418" s="105"/>
      <c r="M1418" s="105"/>
      <c r="N1418" s="105"/>
      <c r="O1418" s="105"/>
      <c r="P1418" s="105"/>
      <c r="Q1418" s="105"/>
      <c r="R1418" s="105"/>
      <c r="S1418" s="105"/>
      <c r="T1418" s="105"/>
      <c r="U1418" s="105"/>
      <c r="V1418" s="105"/>
      <c r="W1418" s="105"/>
      <c r="X1418" s="105"/>
      <c r="Y1418" s="105"/>
      <c r="Z1418" s="105"/>
    </row>
    <row r="1419">
      <c r="A1419" s="105"/>
      <c r="B1419" s="105"/>
      <c r="C1419" s="105"/>
      <c r="D1419" s="105"/>
      <c r="E1419" s="105"/>
      <c r="F1419" s="105"/>
      <c r="G1419" s="105"/>
      <c r="H1419" s="105"/>
      <c r="I1419" s="105"/>
      <c r="J1419" s="105"/>
      <c r="K1419" s="105"/>
      <c r="L1419" s="105"/>
      <c r="M1419" s="105"/>
      <c r="N1419" s="105"/>
      <c r="O1419" s="105"/>
      <c r="P1419" s="105"/>
      <c r="Q1419" s="105"/>
      <c r="R1419" s="105"/>
      <c r="S1419" s="105"/>
      <c r="T1419" s="105"/>
      <c r="U1419" s="105"/>
      <c r="V1419" s="105"/>
      <c r="W1419" s="105"/>
      <c r="X1419" s="105"/>
      <c r="Y1419" s="105"/>
      <c r="Z1419" s="105"/>
    </row>
    <row r="1420">
      <c r="A1420" s="105"/>
      <c r="B1420" s="105"/>
      <c r="C1420" s="105"/>
      <c r="D1420" s="105"/>
      <c r="E1420" s="105"/>
      <c r="F1420" s="105"/>
      <c r="G1420" s="105"/>
      <c r="H1420" s="105"/>
      <c r="I1420" s="105"/>
      <c r="J1420" s="105"/>
      <c r="K1420" s="105"/>
      <c r="L1420" s="105"/>
      <c r="M1420" s="105"/>
      <c r="N1420" s="105"/>
      <c r="O1420" s="105"/>
      <c r="P1420" s="105"/>
      <c r="Q1420" s="105"/>
      <c r="R1420" s="105"/>
      <c r="S1420" s="105"/>
      <c r="T1420" s="105"/>
      <c r="U1420" s="105"/>
      <c r="V1420" s="105"/>
      <c r="W1420" s="105"/>
      <c r="X1420" s="105"/>
      <c r="Y1420" s="105"/>
      <c r="Z1420" s="105"/>
    </row>
    <row r="1421">
      <c r="A1421" s="105"/>
      <c r="B1421" s="105"/>
      <c r="C1421" s="105"/>
      <c r="D1421" s="105"/>
      <c r="E1421" s="105"/>
      <c r="F1421" s="105"/>
      <c r="G1421" s="105"/>
      <c r="H1421" s="105"/>
      <c r="I1421" s="105"/>
      <c r="J1421" s="105"/>
      <c r="K1421" s="105"/>
      <c r="L1421" s="105"/>
      <c r="M1421" s="105"/>
      <c r="N1421" s="105"/>
      <c r="O1421" s="105"/>
      <c r="P1421" s="105"/>
      <c r="Q1421" s="105"/>
      <c r="R1421" s="105"/>
      <c r="S1421" s="105"/>
      <c r="T1421" s="105"/>
      <c r="U1421" s="105"/>
      <c r="V1421" s="105"/>
      <c r="W1421" s="105"/>
      <c r="X1421" s="105"/>
      <c r="Y1421" s="105"/>
      <c r="Z1421" s="105"/>
    </row>
    <row r="1422">
      <c r="A1422" s="105"/>
      <c r="B1422" s="105"/>
      <c r="C1422" s="105"/>
      <c r="D1422" s="105"/>
      <c r="E1422" s="105"/>
      <c r="F1422" s="105"/>
      <c r="G1422" s="105"/>
      <c r="H1422" s="105"/>
      <c r="I1422" s="105"/>
      <c r="J1422" s="105"/>
      <c r="K1422" s="105"/>
      <c r="L1422" s="105"/>
      <c r="M1422" s="105"/>
      <c r="N1422" s="105"/>
      <c r="O1422" s="105"/>
      <c r="P1422" s="105"/>
      <c r="Q1422" s="105"/>
      <c r="R1422" s="105"/>
      <c r="S1422" s="105"/>
      <c r="T1422" s="105"/>
      <c r="U1422" s="105"/>
      <c r="V1422" s="105"/>
      <c r="W1422" s="105"/>
      <c r="X1422" s="105"/>
      <c r="Y1422" s="105"/>
      <c r="Z1422" s="105"/>
    </row>
    <row r="1423">
      <c r="A1423" s="105"/>
      <c r="B1423" s="105"/>
      <c r="C1423" s="105"/>
      <c r="D1423" s="105"/>
      <c r="E1423" s="105"/>
      <c r="F1423" s="105"/>
      <c r="G1423" s="105"/>
      <c r="H1423" s="105"/>
      <c r="I1423" s="105"/>
      <c r="J1423" s="105"/>
      <c r="K1423" s="105"/>
      <c r="L1423" s="105"/>
      <c r="M1423" s="105"/>
      <c r="N1423" s="105"/>
      <c r="O1423" s="105"/>
      <c r="P1423" s="105"/>
      <c r="Q1423" s="105"/>
      <c r="R1423" s="105"/>
      <c r="S1423" s="105"/>
      <c r="T1423" s="105"/>
      <c r="U1423" s="105"/>
      <c r="V1423" s="105"/>
      <c r="W1423" s="105"/>
      <c r="X1423" s="105"/>
      <c r="Y1423" s="105"/>
      <c r="Z1423" s="105"/>
    </row>
    <row r="1424">
      <c r="A1424" s="105"/>
      <c r="B1424" s="105"/>
      <c r="C1424" s="105"/>
      <c r="D1424" s="105"/>
      <c r="E1424" s="105"/>
      <c r="F1424" s="105"/>
      <c r="G1424" s="105"/>
      <c r="H1424" s="105"/>
      <c r="I1424" s="105"/>
      <c r="J1424" s="105"/>
      <c r="K1424" s="105"/>
      <c r="L1424" s="105"/>
      <c r="M1424" s="105"/>
      <c r="N1424" s="105"/>
      <c r="O1424" s="105"/>
      <c r="P1424" s="105"/>
      <c r="Q1424" s="105"/>
      <c r="R1424" s="105"/>
      <c r="S1424" s="105"/>
      <c r="T1424" s="105"/>
      <c r="U1424" s="105"/>
      <c r="V1424" s="105"/>
      <c r="W1424" s="105"/>
      <c r="X1424" s="105"/>
      <c r="Y1424" s="105"/>
      <c r="Z1424" s="105"/>
    </row>
    <row r="1425">
      <c r="A1425" s="105"/>
      <c r="B1425" s="105"/>
      <c r="C1425" s="105"/>
      <c r="D1425" s="105"/>
      <c r="E1425" s="105"/>
      <c r="F1425" s="105"/>
      <c r="G1425" s="105"/>
      <c r="H1425" s="105"/>
      <c r="I1425" s="105"/>
      <c r="J1425" s="105"/>
      <c r="K1425" s="105"/>
      <c r="L1425" s="105"/>
      <c r="M1425" s="105"/>
      <c r="N1425" s="105"/>
      <c r="O1425" s="105"/>
      <c r="P1425" s="105"/>
      <c r="Q1425" s="105"/>
      <c r="R1425" s="105"/>
      <c r="S1425" s="105"/>
      <c r="T1425" s="105"/>
      <c r="U1425" s="105"/>
      <c r="V1425" s="105"/>
      <c r="W1425" s="105"/>
      <c r="X1425" s="105"/>
      <c r="Y1425" s="105"/>
      <c r="Z1425" s="105"/>
    </row>
    <row r="1426">
      <c r="A1426" s="105"/>
      <c r="B1426" s="105"/>
      <c r="C1426" s="105"/>
      <c r="D1426" s="105"/>
      <c r="E1426" s="105"/>
      <c r="F1426" s="105"/>
      <c r="G1426" s="105"/>
      <c r="H1426" s="105"/>
      <c r="I1426" s="105"/>
      <c r="J1426" s="105"/>
      <c r="K1426" s="105"/>
      <c r="L1426" s="105"/>
      <c r="M1426" s="105"/>
      <c r="N1426" s="105"/>
      <c r="O1426" s="105"/>
      <c r="P1426" s="105"/>
      <c r="Q1426" s="105"/>
      <c r="R1426" s="105"/>
      <c r="S1426" s="105"/>
      <c r="T1426" s="105"/>
      <c r="U1426" s="105"/>
      <c r="V1426" s="105"/>
      <c r="W1426" s="105"/>
      <c r="X1426" s="105"/>
      <c r="Y1426" s="105"/>
      <c r="Z1426" s="105"/>
    </row>
    <row r="1427">
      <c r="A1427" s="105"/>
      <c r="B1427" s="105"/>
      <c r="C1427" s="105"/>
      <c r="D1427" s="105"/>
      <c r="E1427" s="105"/>
      <c r="F1427" s="105"/>
      <c r="G1427" s="105"/>
      <c r="H1427" s="105"/>
      <c r="I1427" s="105"/>
      <c r="J1427" s="105"/>
      <c r="K1427" s="105"/>
      <c r="L1427" s="105"/>
      <c r="M1427" s="105"/>
      <c r="N1427" s="105"/>
      <c r="O1427" s="105"/>
      <c r="P1427" s="105"/>
      <c r="Q1427" s="105"/>
      <c r="R1427" s="105"/>
      <c r="S1427" s="105"/>
      <c r="T1427" s="105"/>
      <c r="U1427" s="105"/>
      <c r="V1427" s="105"/>
      <c r="W1427" s="105"/>
      <c r="X1427" s="105"/>
      <c r="Y1427" s="105"/>
      <c r="Z1427" s="105"/>
    </row>
    <row r="1428">
      <c r="A1428" s="105"/>
      <c r="B1428" s="105"/>
      <c r="C1428" s="105"/>
      <c r="D1428" s="105"/>
      <c r="E1428" s="105"/>
      <c r="F1428" s="105"/>
      <c r="G1428" s="105"/>
      <c r="H1428" s="105"/>
      <c r="I1428" s="105"/>
      <c r="J1428" s="105"/>
      <c r="K1428" s="105"/>
      <c r="L1428" s="105"/>
      <c r="M1428" s="105"/>
      <c r="N1428" s="105"/>
      <c r="O1428" s="105"/>
      <c r="P1428" s="105"/>
      <c r="Q1428" s="105"/>
      <c r="R1428" s="105"/>
      <c r="S1428" s="105"/>
      <c r="T1428" s="105"/>
      <c r="U1428" s="105"/>
      <c r="V1428" s="105"/>
      <c r="W1428" s="105"/>
      <c r="X1428" s="105"/>
      <c r="Y1428" s="105"/>
      <c r="Z1428" s="105"/>
    </row>
    <row r="1429">
      <c r="A1429" s="105"/>
      <c r="B1429" s="105"/>
      <c r="C1429" s="105"/>
      <c r="D1429" s="105"/>
      <c r="E1429" s="105"/>
      <c r="F1429" s="105"/>
      <c r="G1429" s="105"/>
      <c r="H1429" s="105"/>
      <c r="I1429" s="105"/>
      <c r="J1429" s="105"/>
      <c r="K1429" s="105"/>
      <c r="L1429" s="105"/>
      <c r="M1429" s="105"/>
      <c r="N1429" s="105"/>
      <c r="O1429" s="105"/>
      <c r="P1429" s="105"/>
      <c r="Q1429" s="105"/>
      <c r="R1429" s="105"/>
      <c r="S1429" s="105"/>
      <c r="T1429" s="105"/>
      <c r="U1429" s="105"/>
      <c r="V1429" s="105"/>
      <c r="W1429" s="105"/>
      <c r="X1429" s="105"/>
      <c r="Y1429" s="105"/>
      <c r="Z1429" s="105"/>
    </row>
    <row r="1430">
      <c r="A1430" s="105"/>
      <c r="B1430" s="105"/>
      <c r="C1430" s="105"/>
      <c r="D1430" s="105"/>
      <c r="E1430" s="105"/>
      <c r="F1430" s="105"/>
      <c r="G1430" s="105"/>
      <c r="H1430" s="105"/>
      <c r="I1430" s="105"/>
      <c r="J1430" s="105"/>
      <c r="K1430" s="105"/>
      <c r="L1430" s="105"/>
      <c r="M1430" s="105"/>
      <c r="N1430" s="105"/>
      <c r="O1430" s="105"/>
      <c r="P1430" s="105"/>
      <c r="Q1430" s="105"/>
      <c r="R1430" s="105"/>
      <c r="S1430" s="105"/>
      <c r="T1430" s="105"/>
      <c r="U1430" s="105"/>
      <c r="V1430" s="105"/>
      <c r="W1430" s="105"/>
      <c r="X1430" s="105"/>
      <c r="Y1430" s="105"/>
      <c r="Z1430" s="105"/>
    </row>
    <row r="1431">
      <c r="A1431" s="105"/>
      <c r="B1431" s="105"/>
      <c r="C1431" s="105"/>
      <c r="D1431" s="105"/>
      <c r="E1431" s="105"/>
      <c r="F1431" s="105"/>
      <c r="G1431" s="105"/>
      <c r="H1431" s="105"/>
      <c r="I1431" s="105"/>
      <c r="J1431" s="105"/>
      <c r="K1431" s="105"/>
      <c r="L1431" s="105"/>
      <c r="M1431" s="105"/>
      <c r="N1431" s="105"/>
      <c r="O1431" s="105"/>
      <c r="P1431" s="105"/>
      <c r="Q1431" s="105"/>
      <c r="R1431" s="105"/>
      <c r="S1431" s="105"/>
      <c r="T1431" s="105"/>
      <c r="U1431" s="105"/>
      <c r="V1431" s="105"/>
      <c r="W1431" s="105"/>
      <c r="X1431" s="105"/>
      <c r="Y1431" s="105"/>
      <c r="Z1431" s="105"/>
    </row>
    <row r="1432">
      <c r="A1432" s="105"/>
      <c r="B1432" s="105"/>
      <c r="C1432" s="105"/>
      <c r="D1432" s="105"/>
      <c r="E1432" s="105"/>
      <c r="F1432" s="105"/>
      <c r="G1432" s="105"/>
      <c r="H1432" s="105"/>
      <c r="I1432" s="105"/>
      <c r="J1432" s="105"/>
      <c r="K1432" s="105"/>
      <c r="L1432" s="105"/>
      <c r="M1432" s="105"/>
      <c r="N1432" s="105"/>
      <c r="O1432" s="105"/>
      <c r="P1432" s="105"/>
      <c r="Q1432" s="105"/>
      <c r="R1432" s="105"/>
      <c r="S1432" s="105"/>
      <c r="T1432" s="105"/>
      <c r="U1432" s="105"/>
      <c r="V1432" s="105"/>
      <c r="W1432" s="105"/>
      <c r="X1432" s="105"/>
      <c r="Y1432" s="105"/>
      <c r="Z1432" s="105"/>
    </row>
    <row r="1433">
      <c r="A1433" s="105"/>
      <c r="B1433" s="105"/>
      <c r="C1433" s="105"/>
      <c r="D1433" s="105"/>
      <c r="E1433" s="105"/>
      <c r="F1433" s="105"/>
      <c r="G1433" s="105"/>
      <c r="H1433" s="105"/>
      <c r="I1433" s="105"/>
      <c r="J1433" s="105"/>
      <c r="K1433" s="105"/>
      <c r="L1433" s="105"/>
      <c r="M1433" s="105"/>
      <c r="N1433" s="105"/>
      <c r="O1433" s="105"/>
      <c r="P1433" s="105"/>
      <c r="Q1433" s="105"/>
      <c r="R1433" s="105"/>
      <c r="S1433" s="105"/>
      <c r="T1433" s="105"/>
      <c r="U1433" s="105"/>
      <c r="V1433" s="105"/>
      <c r="W1433" s="105"/>
      <c r="X1433" s="105"/>
      <c r="Y1433" s="105"/>
      <c r="Z1433" s="105"/>
    </row>
    <row r="1434">
      <c r="A1434" s="105"/>
      <c r="B1434" s="105"/>
      <c r="C1434" s="105"/>
      <c r="D1434" s="105"/>
      <c r="E1434" s="105"/>
      <c r="F1434" s="105"/>
      <c r="G1434" s="105"/>
      <c r="H1434" s="105"/>
      <c r="I1434" s="105"/>
      <c r="J1434" s="105"/>
      <c r="K1434" s="105"/>
      <c r="L1434" s="105"/>
      <c r="M1434" s="105"/>
      <c r="N1434" s="105"/>
      <c r="O1434" s="105"/>
      <c r="P1434" s="105"/>
      <c r="Q1434" s="105"/>
      <c r="R1434" s="105"/>
      <c r="S1434" s="105"/>
      <c r="T1434" s="105"/>
      <c r="U1434" s="105"/>
      <c r="V1434" s="105"/>
      <c r="W1434" s="105"/>
      <c r="X1434" s="105"/>
      <c r="Y1434" s="105"/>
      <c r="Z1434" s="105"/>
    </row>
    <row r="1435">
      <c r="A1435" s="105"/>
      <c r="B1435" s="105"/>
      <c r="C1435" s="105"/>
      <c r="D1435" s="105"/>
      <c r="E1435" s="105"/>
      <c r="F1435" s="105"/>
      <c r="G1435" s="105"/>
      <c r="H1435" s="105"/>
      <c r="I1435" s="105"/>
      <c r="J1435" s="105"/>
      <c r="K1435" s="105"/>
      <c r="L1435" s="105"/>
      <c r="M1435" s="105"/>
      <c r="N1435" s="105"/>
      <c r="O1435" s="105"/>
      <c r="P1435" s="105"/>
      <c r="Q1435" s="105"/>
      <c r="R1435" s="105"/>
      <c r="S1435" s="105"/>
      <c r="T1435" s="105"/>
      <c r="U1435" s="105"/>
      <c r="V1435" s="105"/>
      <c r="W1435" s="105"/>
      <c r="X1435" s="105"/>
      <c r="Y1435" s="105"/>
      <c r="Z1435" s="105"/>
    </row>
    <row r="1436">
      <c r="A1436" s="105"/>
      <c r="B1436" s="105"/>
      <c r="C1436" s="105"/>
      <c r="D1436" s="105"/>
      <c r="E1436" s="105"/>
      <c r="F1436" s="105"/>
      <c r="G1436" s="105"/>
      <c r="H1436" s="105"/>
      <c r="I1436" s="105"/>
      <c r="J1436" s="105"/>
      <c r="K1436" s="105"/>
      <c r="L1436" s="105"/>
      <c r="M1436" s="105"/>
      <c r="N1436" s="105"/>
      <c r="O1436" s="105"/>
      <c r="P1436" s="105"/>
      <c r="Q1436" s="105"/>
      <c r="R1436" s="105"/>
      <c r="S1436" s="105"/>
      <c r="T1436" s="105"/>
      <c r="U1436" s="105"/>
      <c r="V1436" s="105"/>
      <c r="W1436" s="105"/>
      <c r="X1436" s="105"/>
      <c r="Y1436" s="105"/>
      <c r="Z1436" s="105"/>
    </row>
    <row r="1437">
      <c r="A1437" s="105"/>
      <c r="B1437" s="105"/>
      <c r="C1437" s="105"/>
      <c r="D1437" s="105"/>
      <c r="E1437" s="105"/>
      <c r="F1437" s="105"/>
      <c r="G1437" s="105"/>
      <c r="H1437" s="105"/>
      <c r="I1437" s="105"/>
      <c r="J1437" s="105"/>
      <c r="K1437" s="105"/>
      <c r="L1437" s="105"/>
      <c r="M1437" s="105"/>
      <c r="N1437" s="105"/>
      <c r="O1437" s="105"/>
      <c r="P1437" s="105"/>
      <c r="Q1437" s="105"/>
      <c r="R1437" s="105"/>
      <c r="S1437" s="105"/>
      <c r="T1437" s="105"/>
      <c r="U1437" s="105"/>
      <c r="V1437" s="105"/>
      <c r="W1437" s="105"/>
      <c r="X1437" s="105"/>
      <c r="Y1437" s="105"/>
      <c r="Z1437" s="105"/>
    </row>
    <row r="1438">
      <c r="A1438" s="105"/>
      <c r="B1438" s="105"/>
      <c r="C1438" s="105"/>
      <c r="D1438" s="105"/>
      <c r="E1438" s="105"/>
      <c r="F1438" s="105"/>
      <c r="G1438" s="105"/>
      <c r="H1438" s="105"/>
      <c r="I1438" s="105"/>
      <c r="J1438" s="105"/>
      <c r="K1438" s="105"/>
      <c r="L1438" s="105"/>
      <c r="M1438" s="105"/>
      <c r="N1438" s="105"/>
      <c r="O1438" s="105"/>
      <c r="P1438" s="105"/>
      <c r="Q1438" s="105"/>
      <c r="R1438" s="105"/>
      <c r="S1438" s="105"/>
      <c r="T1438" s="105"/>
      <c r="U1438" s="105"/>
      <c r="V1438" s="105"/>
      <c r="W1438" s="105"/>
      <c r="X1438" s="105"/>
      <c r="Y1438" s="105"/>
      <c r="Z1438" s="105"/>
    </row>
    <row r="1439">
      <c r="A1439" s="105"/>
      <c r="B1439" s="105"/>
      <c r="C1439" s="105"/>
      <c r="D1439" s="105"/>
      <c r="E1439" s="105"/>
      <c r="F1439" s="105"/>
      <c r="G1439" s="105"/>
      <c r="H1439" s="105"/>
      <c r="I1439" s="105"/>
      <c r="J1439" s="105"/>
      <c r="K1439" s="105"/>
      <c r="L1439" s="105"/>
      <c r="M1439" s="105"/>
      <c r="N1439" s="105"/>
      <c r="O1439" s="105"/>
      <c r="P1439" s="105"/>
      <c r="Q1439" s="105"/>
      <c r="R1439" s="105"/>
      <c r="S1439" s="105"/>
      <c r="T1439" s="105"/>
      <c r="U1439" s="105"/>
      <c r="V1439" s="105"/>
      <c r="W1439" s="105"/>
      <c r="X1439" s="105"/>
      <c r="Y1439" s="105"/>
      <c r="Z1439" s="105"/>
    </row>
    <row r="1440">
      <c r="A1440" s="105"/>
      <c r="B1440" s="105"/>
      <c r="C1440" s="105"/>
      <c r="D1440" s="105"/>
      <c r="E1440" s="105"/>
      <c r="F1440" s="105"/>
      <c r="G1440" s="105"/>
      <c r="H1440" s="105"/>
      <c r="I1440" s="105"/>
      <c r="J1440" s="105"/>
      <c r="K1440" s="105"/>
      <c r="L1440" s="105"/>
      <c r="M1440" s="105"/>
      <c r="N1440" s="105"/>
      <c r="O1440" s="105"/>
      <c r="P1440" s="105"/>
      <c r="Q1440" s="105"/>
      <c r="R1440" s="105"/>
      <c r="S1440" s="105"/>
      <c r="T1440" s="105"/>
      <c r="U1440" s="105"/>
      <c r="V1440" s="105"/>
      <c r="W1440" s="105"/>
      <c r="X1440" s="105"/>
      <c r="Y1440" s="105"/>
      <c r="Z1440" s="105"/>
    </row>
    <row r="1441">
      <c r="A1441" s="105"/>
      <c r="B1441" s="105"/>
      <c r="C1441" s="105"/>
      <c r="D1441" s="105"/>
      <c r="E1441" s="105"/>
      <c r="F1441" s="105"/>
      <c r="G1441" s="105"/>
      <c r="H1441" s="105"/>
      <c r="I1441" s="105"/>
      <c r="J1441" s="105"/>
      <c r="K1441" s="105"/>
      <c r="L1441" s="105"/>
      <c r="M1441" s="105"/>
      <c r="N1441" s="105"/>
      <c r="O1441" s="105"/>
      <c r="P1441" s="105"/>
      <c r="Q1441" s="105"/>
      <c r="R1441" s="105"/>
      <c r="S1441" s="105"/>
      <c r="T1441" s="105"/>
      <c r="U1441" s="105"/>
      <c r="V1441" s="105"/>
      <c r="W1441" s="105"/>
      <c r="X1441" s="105"/>
      <c r="Y1441" s="105"/>
      <c r="Z1441" s="105"/>
    </row>
    <row r="1442">
      <c r="A1442" s="105"/>
      <c r="B1442" s="105"/>
      <c r="C1442" s="105"/>
      <c r="D1442" s="105"/>
      <c r="E1442" s="105"/>
      <c r="F1442" s="105"/>
      <c r="G1442" s="105"/>
      <c r="H1442" s="105"/>
      <c r="I1442" s="105"/>
      <c r="J1442" s="105"/>
      <c r="K1442" s="105"/>
      <c r="L1442" s="105"/>
      <c r="M1442" s="105"/>
      <c r="N1442" s="105"/>
      <c r="O1442" s="105"/>
      <c r="P1442" s="105"/>
      <c r="Q1442" s="105"/>
      <c r="R1442" s="105"/>
      <c r="S1442" s="105"/>
      <c r="T1442" s="105"/>
      <c r="U1442" s="105"/>
      <c r="V1442" s="105"/>
      <c r="W1442" s="105"/>
      <c r="X1442" s="105"/>
      <c r="Y1442" s="105"/>
      <c r="Z1442" s="105"/>
    </row>
    <row r="1443">
      <c r="A1443" s="105"/>
      <c r="B1443" s="105"/>
      <c r="C1443" s="105"/>
      <c r="D1443" s="105"/>
      <c r="E1443" s="105"/>
      <c r="F1443" s="105"/>
      <c r="G1443" s="105"/>
      <c r="H1443" s="105"/>
      <c r="I1443" s="105"/>
      <c r="J1443" s="105"/>
      <c r="K1443" s="105"/>
      <c r="L1443" s="105"/>
      <c r="M1443" s="105"/>
      <c r="N1443" s="105"/>
      <c r="O1443" s="105"/>
      <c r="P1443" s="105"/>
      <c r="Q1443" s="105"/>
      <c r="R1443" s="105"/>
      <c r="S1443" s="105"/>
      <c r="T1443" s="105"/>
      <c r="U1443" s="105"/>
      <c r="V1443" s="105"/>
      <c r="W1443" s="105"/>
      <c r="X1443" s="105"/>
      <c r="Y1443" s="105"/>
      <c r="Z1443" s="105"/>
    </row>
    <row r="1444">
      <c r="A1444" s="105"/>
      <c r="B1444" s="105"/>
      <c r="C1444" s="105"/>
      <c r="D1444" s="105"/>
      <c r="E1444" s="105"/>
      <c r="F1444" s="105"/>
      <c r="G1444" s="105"/>
      <c r="H1444" s="105"/>
      <c r="I1444" s="105"/>
      <c r="J1444" s="105"/>
      <c r="K1444" s="105"/>
      <c r="L1444" s="105"/>
      <c r="M1444" s="105"/>
      <c r="N1444" s="105"/>
      <c r="O1444" s="105"/>
      <c r="P1444" s="105"/>
      <c r="Q1444" s="105"/>
      <c r="R1444" s="105"/>
      <c r="S1444" s="105"/>
      <c r="T1444" s="105"/>
      <c r="U1444" s="105"/>
      <c r="V1444" s="105"/>
      <c r="W1444" s="105"/>
      <c r="X1444" s="105"/>
      <c r="Y1444" s="105"/>
      <c r="Z1444" s="105"/>
    </row>
    <row r="1445">
      <c r="A1445" s="105"/>
      <c r="B1445" s="105"/>
      <c r="C1445" s="105"/>
      <c r="D1445" s="105"/>
      <c r="E1445" s="105"/>
      <c r="F1445" s="105"/>
      <c r="G1445" s="105"/>
      <c r="H1445" s="105"/>
      <c r="I1445" s="105"/>
      <c r="J1445" s="105"/>
      <c r="K1445" s="105"/>
      <c r="L1445" s="105"/>
      <c r="M1445" s="105"/>
      <c r="N1445" s="105"/>
      <c r="O1445" s="105"/>
      <c r="P1445" s="105"/>
      <c r="Q1445" s="105"/>
      <c r="R1445" s="105"/>
      <c r="S1445" s="105"/>
      <c r="T1445" s="105"/>
      <c r="U1445" s="105"/>
      <c r="V1445" s="105"/>
      <c r="W1445" s="105"/>
      <c r="X1445" s="105"/>
      <c r="Y1445" s="105"/>
      <c r="Z1445" s="105"/>
    </row>
    <row r="1446">
      <c r="A1446" s="105"/>
      <c r="B1446" s="105"/>
      <c r="C1446" s="105"/>
      <c r="D1446" s="105"/>
      <c r="E1446" s="105"/>
      <c r="F1446" s="105"/>
      <c r="G1446" s="105"/>
      <c r="H1446" s="105"/>
      <c r="I1446" s="105"/>
      <c r="J1446" s="105"/>
      <c r="K1446" s="105"/>
      <c r="L1446" s="105"/>
      <c r="M1446" s="105"/>
      <c r="N1446" s="105"/>
      <c r="O1446" s="105"/>
      <c r="P1446" s="105"/>
      <c r="Q1446" s="105"/>
      <c r="R1446" s="105"/>
      <c r="S1446" s="105"/>
      <c r="T1446" s="105"/>
      <c r="U1446" s="105"/>
      <c r="V1446" s="105"/>
      <c r="W1446" s="105"/>
      <c r="X1446" s="105"/>
      <c r="Y1446" s="105"/>
      <c r="Z1446" s="105"/>
    </row>
    <row r="1447">
      <c r="A1447" s="105"/>
      <c r="B1447" s="105"/>
      <c r="C1447" s="105"/>
      <c r="D1447" s="105"/>
      <c r="E1447" s="105"/>
      <c r="F1447" s="105"/>
      <c r="G1447" s="105"/>
      <c r="H1447" s="105"/>
      <c r="I1447" s="105"/>
      <c r="J1447" s="105"/>
      <c r="K1447" s="105"/>
      <c r="L1447" s="105"/>
      <c r="M1447" s="105"/>
      <c r="N1447" s="105"/>
      <c r="O1447" s="105"/>
      <c r="P1447" s="105"/>
      <c r="Q1447" s="105"/>
      <c r="R1447" s="105"/>
      <c r="S1447" s="105"/>
      <c r="T1447" s="105"/>
      <c r="U1447" s="105"/>
      <c r="V1447" s="105"/>
      <c r="W1447" s="105"/>
      <c r="X1447" s="105"/>
      <c r="Y1447" s="105"/>
      <c r="Z1447" s="105"/>
    </row>
    <row r="1448">
      <c r="A1448" s="105"/>
      <c r="B1448" s="105"/>
      <c r="C1448" s="105"/>
      <c r="D1448" s="105"/>
      <c r="E1448" s="105"/>
      <c r="F1448" s="105"/>
      <c r="G1448" s="105"/>
      <c r="H1448" s="105"/>
      <c r="I1448" s="105"/>
      <c r="J1448" s="105"/>
      <c r="K1448" s="105"/>
      <c r="L1448" s="105"/>
      <c r="M1448" s="105"/>
      <c r="N1448" s="105"/>
      <c r="O1448" s="105"/>
      <c r="P1448" s="105"/>
      <c r="Q1448" s="105"/>
      <c r="R1448" s="105"/>
      <c r="S1448" s="105"/>
      <c r="T1448" s="105"/>
      <c r="U1448" s="105"/>
      <c r="V1448" s="105"/>
      <c r="W1448" s="105"/>
      <c r="X1448" s="105"/>
      <c r="Y1448" s="105"/>
      <c r="Z1448" s="105"/>
    </row>
    <row r="1449">
      <c r="A1449" s="105"/>
      <c r="B1449" s="105"/>
      <c r="C1449" s="105"/>
      <c r="D1449" s="105"/>
      <c r="E1449" s="105"/>
      <c r="F1449" s="105"/>
      <c r="G1449" s="105"/>
      <c r="H1449" s="105"/>
      <c r="I1449" s="105"/>
      <c r="J1449" s="105"/>
      <c r="K1449" s="105"/>
      <c r="L1449" s="105"/>
      <c r="M1449" s="105"/>
      <c r="N1449" s="105"/>
      <c r="O1449" s="105"/>
      <c r="P1449" s="105"/>
      <c r="Q1449" s="105"/>
      <c r="R1449" s="105"/>
      <c r="S1449" s="105"/>
      <c r="T1449" s="105"/>
      <c r="U1449" s="105"/>
      <c r="V1449" s="105"/>
      <c r="W1449" s="105"/>
      <c r="X1449" s="105"/>
      <c r="Y1449" s="105"/>
      <c r="Z1449" s="105"/>
    </row>
    <row r="1450">
      <c r="A1450" s="105"/>
      <c r="B1450" s="105"/>
      <c r="C1450" s="105"/>
      <c r="D1450" s="105"/>
      <c r="E1450" s="105"/>
      <c r="F1450" s="105"/>
      <c r="G1450" s="105"/>
      <c r="H1450" s="105"/>
      <c r="I1450" s="105"/>
      <c r="J1450" s="105"/>
      <c r="K1450" s="105"/>
      <c r="L1450" s="105"/>
      <c r="M1450" s="105"/>
      <c r="N1450" s="105"/>
      <c r="O1450" s="105"/>
      <c r="P1450" s="105"/>
      <c r="Q1450" s="105"/>
      <c r="R1450" s="105"/>
      <c r="S1450" s="105"/>
      <c r="T1450" s="105"/>
      <c r="U1450" s="105"/>
      <c r="V1450" s="105"/>
      <c r="W1450" s="105"/>
      <c r="X1450" s="105"/>
      <c r="Y1450" s="105"/>
      <c r="Z1450" s="105"/>
    </row>
    <row r="1451">
      <c r="A1451" s="105"/>
      <c r="B1451" s="105"/>
      <c r="C1451" s="105"/>
      <c r="D1451" s="105"/>
      <c r="E1451" s="105"/>
      <c r="F1451" s="105"/>
      <c r="G1451" s="105"/>
      <c r="H1451" s="105"/>
      <c r="I1451" s="105"/>
      <c r="J1451" s="105"/>
      <c r="K1451" s="105"/>
      <c r="L1451" s="105"/>
      <c r="M1451" s="105"/>
      <c r="N1451" s="105"/>
      <c r="O1451" s="105"/>
      <c r="P1451" s="105"/>
      <c r="Q1451" s="105"/>
      <c r="R1451" s="105"/>
      <c r="S1451" s="105"/>
      <c r="T1451" s="105"/>
      <c r="U1451" s="105"/>
      <c r="V1451" s="105"/>
      <c r="W1451" s="105"/>
      <c r="X1451" s="105"/>
      <c r="Y1451" s="105"/>
      <c r="Z1451" s="105"/>
    </row>
    <row r="1452">
      <c r="A1452" s="105"/>
      <c r="B1452" s="105"/>
      <c r="C1452" s="105"/>
      <c r="D1452" s="105"/>
      <c r="E1452" s="105"/>
      <c r="F1452" s="105"/>
      <c r="G1452" s="105"/>
      <c r="H1452" s="105"/>
      <c r="I1452" s="105"/>
      <c r="J1452" s="105"/>
      <c r="K1452" s="105"/>
      <c r="L1452" s="105"/>
      <c r="M1452" s="105"/>
      <c r="N1452" s="105"/>
      <c r="O1452" s="105"/>
      <c r="P1452" s="105"/>
      <c r="Q1452" s="105"/>
      <c r="R1452" s="105"/>
      <c r="S1452" s="105"/>
      <c r="T1452" s="105"/>
      <c r="U1452" s="105"/>
      <c r="V1452" s="105"/>
      <c r="W1452" s="105"/>
      <c r="X1452" s="105"/>
      <c r="Y1452" s="105"/>
      <c r="Z1452" s="105"/>
    </row>
    <row r="1453">
      <c r="A1453" s="105"/>
      <c r="B1453" s="105"/>
      <c r="C1453" s="105"/>
      <c r="D1453" s="105"/>
      <c r="E1453" s="105"/>
      <c r="F1453" s="105"/>
      <c r="G1453" s="105"/>
      <c r="H1453" s="105"/>
      <c r="I1453" s="105"/>
      <c r="J1453" s="105"/>
      <c r="K1453" s="105"/>
      <c r="L1453" s="105"/>
      <c r="M1453" s="105"/>
      <c r="N1453" s="105"/>
      <c r="O1453" s="105"/>
      <c r="P1453" s="105"/>
      <c r="Q1453" s="105"/>
      <c r="R1453" s="105"/>
      <c r="S1453" s="105"/>
      <c r="T1453" s="105"/>
      <c r="U1453" s="105"/>
      <c r="V1453" s="105"/>
      <c r="W1453" s="105"/>
      <c r="X1453" s="105"/>
      <c r="Y1453" s="105"/>
      <c r="Z1453" s="105"/>
    </row>
    <row r="1454">
      <c r="A1454" s="105"/>
      <c r="B1454" s="105"/>
      <c r="C1454" s="105"/>
      <c r="D1454" s="105"/>
      <c r="E1454" s="105"/>
      <c r="F1454" s="105"/>
      <c r="G1454" s="105"/>
      <c r="H1454" s="105"/>
      <c r="I1454" s="105"/>
      <c r="J1454" s="105"/>
      <c r="K1454" s="105"/>
      <c r="L1454" s="105"/>
      <c r="M1454" s="105"/>
      <c r="N1454" s="105"/>
      <c r="O1454" s="105"/>
      <c r="P1454" s="105"/>
      <c r="Q1454" s="105"/>
      <c r="R1454" s="105"/>
      <c r="S1454" s="105"/>
      <c r="T1454" s="105"/>
      <c r="U1454" s="105"/>
      <c r="V1454" s="105"/>
      <c r="W1454" s="105"/>
      <c r="X1454" s="105"/>
      <c r="Y1454" s="105"/>
      <c r="Z1454" s="105"/>
    </row>
    <row r="1455">
      <c r="A1455" s="105"/>
      <c r="B1455" s="105"/>
      <c r="C1455" s="105"/>
      <c r="D1455" s="105"/>
      <c r="E1455" s="105"/>
      <c r="F1455" s="105"/>
      <c r="G1455" s="105"/>
      <c r="H1455" s="105"/>
      <c r="I1455" s="105"/>
      <c r="J1455" s="105"/>
      <c r="K1455" s="105"/>
      <c r="L1455" s="105"/>
      <c r="M1455" s="105"/>
      <c r="N1455" s="105"/>
      <c r="O1455" s="105"/>
      <c r="P1455" s="105"/>
      <c r="Q1455" s="105"/>
      <c r="R1455" s="105"/>
      <c r="S1455" s="105"/>
      <c r="T1455" s="105"/>
      <c r="U1455" s="105"/>
      <c r="V1455" s="105"/>
      <c r="W1455" s="105"/>
      <c r="X1455" s="105"/>
      <c r="Y1455" s="105"/>
      <c r="Z1455" s="105"/>
    </row>
    <row r="1456">
      <c r="A1456" s="105"/>
      <c r="B1456" s="105"/>
      <c r="C1456" s="105"/>
      <c r="D1456" s="105"/>
      <c r="E1456" s="105"/>
      <c r="F1456" s="105"/>
      <c r="G1456" s="105"/>
      <c r="H1456" s="105"/>
      <c r="I1456" s="105"/>
      <c r="J1456" s="105"/>
      <c r="K1456" s="105"/>
      <c r="L1456" s="105"/>
      <c r="M1456" s="105"/>
      <c r="N1456" s="105"/>
      <c r="O1456" s="105"/>
      <c r="P1456" s="105"/>
      <c r="Q1456" s="105"/>
      <c r="R1456" s="105"/>
      <c r="S1456" s="105"/>
      <c r="T1456" s="105"/>
      <c r="U1456" s="105"/>
      <c r="V1456" s="105"/>
      <c r="W1456" s="105"/>
      <c r="X1456" s="105"/>
      <c r="Y1456" s="105"/>
      <c r="Z1456" s="105"/>
    </row>
    <row r="1457">
      <c r="A1457" s="105"/>
      <c r="B1457" s="105"/>
      <c r="C1457" s="105"/>
      <c r="D1457" s="105"/>
      <c r="E1457" s="105"/>
      <c r="F1457" s="105"/>
      <c r="G1457" s="105"/>
      <c r="H1457" s="105"/>
      <c r="I1457" s="105"/>
      <c r="J1457" s="105"/>
      <c r="K1457" s="105"/>
      <c r="L1457" s="105"/>
      <c r="M1457" s="105"/>
      <c r="N1457" s="105"/>
      <c r="O1457" s="105"/>
      <c r="P1457" s="105"/>
      <c r="Q1457" s="105"/>
      <c r="R1457" s="105"/>
      <c r="S1457" s="105"/>
      <c r="T1457" s="105"/>
      <c r="U1457" s="105"/>
      <c r="V1457" s="105"/>
      <c r="W1457" s="105"/>
      <c r="X1457" s="105"/>
      <c r="Y1457" s="105"/>
      <c r="Z1457" s="105"/>
    </row>
    <row r="1458">
      <c r="A1458" s="105"/>
      <c r="B1458" s="105"/>
      <c r="C1458" s="105"/>
      <c r="D1458" s="105"/>
      <c r="E1458" s="105"/>
      <c r="F1458" s="105"/>
      <c r="G1458" s="105"/>
      <c r="H1458" s="105"/>
      <c r="I1458" s="105"/>
      <c r="J1458" s="105"/>
      <c r="K1458" s="105"/>
      <c r="L1458" s="105"/>
      <c r="M1458" s="105"/>
      <c r="N1458" s="105"/>
      <c r="O1458" s="105"/>
      <c r="P1458" s="105"/>
      <c r="Q1458" s="105"/>
      <c r="R1458" s="105"/>
      <c r="S1458" s="105"/>
      <c r="T1458" s="105"/>
      <c r="U1458" s="105"/>
      <c r="V1458" s="105"/>
      <c r="W1458" s="105"/>
      <c r="X1458" s="105"/>
      <c r="Y1458" s="105"/>
      <c r="Z1458" s="105"/>
    </row>
    <row r="1459">
      <c r="A1459" s="105"/>
      <c r="B1459" s="105"/>
      <c r="C1459" s="105"/>
      <c r="D1459" s="105"/>
      <c r="E1459" s="105"/>
      <c r="F1459" s="105"/>
      <c r="G1459" s="105"/>
      <c r="H1459" s="105"/>
      <c r="I1459" s="105"/>
      <c r="J1459" s="105"/>
      <c r="K1459" s="105"/>
      <c r="L1459" s="105"/>
      <c r="M1459" s="105"/>
      <c r="N1459" s="105"/>
      <c r="O1459" s="105"/>
      <c r="P1459" s="105"/>
      <c r="Q1459" s="105"/>
      <c r="R1459" s="105"/>
      <c r="S1459" s="105"/>
      <c r="T1459" s="105"/>
      <c r="U1459" s="105"/>
      <c r="V1459" s="105"/>
      <c r="W1459" s="105"/>
      <c r="X1459" s="105"/>
      <c r="Y1459" s="105"/>
      <c r="Z1459" s="105"/>
    </row>
    <row r="1460">
      <c r="A1460" s="105"/>
      <c r="B1460" s="105"/>
      <c r="C1460" s="105"/>
      <c r="D1460" s="105"/>
      <c r="E1460" s="105"/>
      <c r="F1460" s="105"/>
      <c r="G1460" s="105"/>
      <c r="H1460" s="105"/>
      <c r="I1460" s="105"/>
      <c r="J1460" s="105"/>
      <c r="K1460" s="105"/>
      <c r="L1460" s="105"/>
      <c r="M1460" s="105"/>
      <c r="N1460" s="105"/>
      <c r="O1460" s="105"/>
      <c r="P1460" s="105"/>
      <c r="Q1460" s="105"/>
      <c r="R1460" s="105"/>
      <c r="S1460" s="105"/>
      <c r="T1460" s="105"/>
      <c r="U1460" s="105"/>
      <c r="V1460" s="105"/>
      <c r="W1460" s="105"/>
      <c r="X1460" s="105"/>
      <c r="Y1460" s="105"/>
      <c r="Z1460" s="105"/>
    </row>
    <row r="1461">
      <c r="A1461" s="105"/>
      <c r="B1461" s="105"/>
      <c r="C1461" s="105"/>
      <c r="D1461" s="105"/>
      <c r="E1461" s="105"/>
      <c r="F1461" s="105"/>
      <c r="G1461" s="105"/>
      <c r="H1461" s="105"/>
      <c r="I1461" s="105"/>
      <c r="J1461" s="105"/>
      <c r="K1461" s="105"/>
      <c r="L1461" s="105"/>
      <c r="M1461" s="105"/>
      <c r="N1461" s="105"/>
      <c r="O1461" s="105"/>
      <c r="P1461" s="105"/>
      <c r="Q1461" s="105"/>
      <c r="R1461" s="105"/>
      <c r="S1461" s="105"/>
      <c r="T1461" s="105"/>
      <c r="U1461" s="105"/>
      <c r="V1461" s="105"/>
      <c r="W1461" s="105"/>
      <c r="X1461" s="105"/>
      <c r="Y1461" s="105"/>
      <c r="Z1461" s="105"/>
    </row>
    <row r="1462">
      <c r="A1462" s="105"/>
      <c r="B1462" s="105"/>
      <c r="C1462" s="105"/>
      <c r="D1462" s="105"/>
      <c r="E1462" s="105"/>
      <c r="F1462" s="105"/>
      <c r="G1462" s="105"/>
      <c r="H1462" s="105"/>
      <c r="I1462" s="105"/>
      <c r="J1462" s="105"/>
      <c r="K1462" s="105"/>
      <c r="L1462" s="105"/>
      <c r="M1462" s="105"/>
      <c r="N1462" s="105"/>
      <c r="O1462" s="105"/>
      <c r="P1462" s="105"/>
      <c r="Q1462" s="105"/>
      <c r="R1462" s="105"/>
      <c r="S1462" s="105"/>
      <c r="T1462" s="105"/>
      <c r="U1462" s="105"/>
      <c r="V1462" s="105"/>
      <c r="W1462" s="105"/>
      <c r="X1462" s="105"/>
      <c r="Y1462" s="105"/>
      <c r="Z1462" s="105"/>
    </row>
    <row r="1463">
      <c r="A1463" s="105"/>
      <c r="B1463" s="105"/>
      <c r="C1463" s="105"/>
      <c r="D1463" s="105"/>
      <c r="E1463" s="105"/>
      <c r="F1463" s="105"/>
      <c r="G1463" s="105"/>
      <c r="H1463" s="105"/>
      <c r="I1463" s="105"/>
      <c r="J1463" s="105"/>
      <c r="K1463" s="105"/>
      <c r="L1463" s="105"/>
      <c r="M1463" s="105"/>
      <c r="N1463" s="105"/>
      <c r="O1463" s="105"/>
      <c r="P1463" s="105"/>
      <c r="Q1463" s="105"/>
      <c r="R1463" s="105"/>
      <c r="S1463" s="105"/>
      <c r="T1463" s="105"/>
      <c r="U1463" s="105"/>
      <c r="V1463" s="105"/>
      <c r="W1463" s="105"/>
      <c r="X1463" s="105"/>
      <c r="Y1463" s="105"/>
      <c r="Z1463" s="105"/>
    </row>
    <row r="1464">
      <c r="A1464" s="105"/>
      <c r="B1464" s="105"/>
      <c r="C1464" s="105"/>
      <c r="D1464" s="105"/>
      <c r="E1464" s="105"/>
      <c r="F1464" s="105"/>
      <c r="G1464" s="105"/>
      <c r="H1464" s="105"/>
      <c r="I1464" s="105"/>
      <c r="J1464" s="105"/>
      <c r="K1464" s="105"/>
      <c r="L1464" s="105"/>
      <c r="M1464" s="105"/>
      <c r="N1464" s="105"/>
      <c r="O1464" s="105"/>
      <c r="P1464" s="105"/>
      <c r="Q1464" s="105"/>
      <c r="R1464" s="105"/>
      <c r="S1464" s="105"/>
      <c r="T1464" s="105"/>
      <c r="U1464" s="105"/>
      <c r="V1464" s="105"/>
      <c r="W1464" s="105"/>
      <c r="X1464" s="105"/>
      <c r="Y1464" s="105"/>
      <c r="Z1464" s="105"/>
    </row>
    <row r="1465">
      <c r="A1465" s="105"/>
      <c r="B1465" s="105"/>
      <c r="C1465" s="105"/>
      <c r="D1465" s="105"/>
      <c r="E1465" s="105"/>
      <c r="F1465" s="105"/>
      <c r="G1465" s="105"/>
      <c r="H1465" s="105"/>
      <c r="I1465" s="105"/>
      <c r="J1465" s="105"/>
      <c r="K1465" s="105"/>
      <c r="L1465" s="105"/>
      <c r="M1465" s="105"/>
      <c r="N1465" s="105"/>
      <c r="O1465" s="105"/>
      <c r="P1465" s="105"/>
      <c r="Q1465" s="105"/>
      <c r="R1465" s="105"/>
      <c r="S1465" s="105"/>
      <c r="T1465" s="105"/>
      <c r="U1465" s="105"/>
      <c r="V1465" s="105"/>
      <c r="W1465" s="105"/>
      <c r="X1465" s="105"/>
      <c r="Y1465" s="105"/>
      <c r="Z1465" s="105"/>
    </row>
    <row r="1466">
      <c r="A1466" s="105"/>
      <c r="B1466" s="105"/>
      <c r="C1466" s="105"/>
      <c r="D1466" s="105"/>
      <c r="E1466" s="105"/>
      <c r="F1466" s="105"/>
      <c r="G1466" s="105"/>
      <c r="H1466" s="105"/>
      <c r="I1466" s="105"/>
      <c r="J1466" s="105"/>
      <c r="K1466" s="105"/>
      <c r="L1466" s="105"/>
      <c r="M1466" s="105"/>
      <c r="N1466" s="105"/>
      <c r="O1466" s="105"/>
      <c r="P1466" s="105"/>
      <c r="Q1466" s="105"/>
      <c r="R1466" s="105"/>
      <c r="S1466" s="105"/>
      <c r="T1466" s="105"/>
      <c r="U1466" s="105"/>
      <c r="V1466" s="105"/>
      <c r="W1466" s="105"/>
      <c r="X1466" s="105"/>
      <c r="Y1466" s="105"/>
      <c r="Z1466" s="105"/>
    </row>
    <row r="1467">
      <c r="A1467" s="105"/>
      <c r="B1467" s="105"/>
      <c r="C1467" s="105"/>
      <c r="D1467" s="105"/>
      <c r="E1467" s="105"/>
      <c r="F1467" s="105"/>
      <c r="G1467" s="105"/>
      <c r="H1467" s="105"/>
      <c r="I1467" s="105"/>
      <c r="J1467" s="105"/>
      <c r="K1467" s="105"/>
      <c r="L1467" s="105"/>
      <c r="M1467" s="105"/>
      <c r="N1467" s="105"/>
      <c r="O1467" s="105"/>
      <c r="P1467" s="105"/>
      <c r="Q1467" s="105"/>
      <c r="R1467" s="105"/>
      <c r="S1467" s="105"/>
      <c r="T1467" s="105"/>
      <c r="U1467" s="105"/>
      <c r="V1467" s="105"/>
      <c r="W1467" s="105"/>
      <c r="X1467" s="105"/>
      <c r="Y1467" s="105"/>
      <c r="Z1467" s="105"/>
    </row>
    <row r="1468">
      <c r="A1468" s="105"/>
      <c r="B1468" s="105"/>
      <c r="C1468" s="105"/>
      <c r="D1468" s="105"/>
      <c r="E1468" s="105"/>
      <c r="F1468" s="105"/>
      <c r="G1468" s="105"/>
      <c r="H1468" s="105"/>
      <c r="I1468" s="105"/>
      <c r="J1468" s="105"/>
      <c r="K1468" s="105"/>
      <c r="L1468" s="105"/>
      <c r="M1468" s="105"/>
      <c r="N1468" s="105"/>
      <c r="O1468" s="105"/>
      <c r="P1468" s="105"/>
      <c r="Q1468" s="105"/>
      <c r="R1468" s="105"/>
      <c r="S1468" s="105"/>
      <c r="T1468" s="105"/>
      <c r="U1468" s="105"/>
      <c r="V1468" s="105"/>
      <c r="W1468" s="105"/>
      <c r="X1468" s="105"/>
      <c r="Y1468" s="105"/>
      <c r="Z1468" s="105"/>
    </row>
    <row r="1469">
      <c r="A1469" s="105"/>
      <c r="B1469" s="105"/>
      <c r="C1469" s="105"/>
      <c r="D1469" s="105"/>
      <c r="E1469" s="105"/>
      <c r="F1469" s="105"/>
      <c r="G1469" s="105"/>
      <c r="H1469" s="105"/>
      <c r="I1469" s="105"/>
      <c r="J1469" s="105"/>
      <c r="K1469" s="105"/>
      <c r="L1469" s="105"/>
      <c r="M1469" s="105"/>
      <c r="N1469" s="105"/>
      <c r="O1469" s="105"/>
      <c r="P1469" s="105"/>
      <c r="Q1469" s="105"/>
      <c r="R1469" s="105"/>
      <c r="S1469" s="105"/>
      <c r="T1469" s="105"/>
      <c r="U1469" s="105"/>
      <c r="V1469" s="105"/>
      <c r="W1469" s="105"/>
      <c r="X1469" s="105"/>
      <c r="Y1469" s="105"/>
      <c r="Z1469" s="105"/>
    </row>
    <row r="1470">
      <c r="A1470" s="105"/>
      <c r="B1470" s="105"/>
      <c r="C1470" s="105"/>
      <c r="D1470" s="105"/>
      <c r="E1470" s="105"/>
      <c r="F1470" s="105"/>
      <c r="G1470" s="105"/>
      <c r="H1470" s="105"/>
      <c r="I1470" s="105"/>
      <c r="J1470" s="105"/>
      <c r="K1470" s="105"/>
      <c r="L1470" s="105"/>
      <c r="M1470" s="105"/>
      <c r="N1470" s="105"/>
      <c r="O1470" s="105"/>
      <c r="P1470" s="105"/>
      <c r="Q1470" s="105"/>
      <c r="R1470" s="105"/>
      <c r="S1470" s="105"/>
      <c r="T1470" s="105"/>
      <c r="U1470" s="105"/>
      <c r="V1470" s="105"/>
      <c r="W1470" s="105"/>
      <c r="X1470" s="105"/>
      <c r="Y1470" s="105"/>
      <c r="Z1470" s="105"/>
    </row>
    <row r="1471">
      <c r="A1471" s="105"/>
      <c r="B1471" s="105"/>
      <c r="C1471" s="105"/>
      <c r="D1471" s="105"/>
      <c r="E1471" s="105"/>
      <c r="F1471" s="105"/>
      <c r="G1471" s="105"/>
      <c r="H1471" s="105"/>
      <c r="I1471" s="105"/>
      <c r="J1471" s="105"/>
      <c r="K1471" s="105"/>
      <c r="L1471" s="105"/>
      <c r="M1471" s="105"/>
      <c r="N1471" s="105"/>
      <c r="O1471" s="105"/>
      <c r="P1471" s="105"/>
      <c r="Q1471" s="105"/>
      <c r="R1471" s="105"/>
      <c r="S1471" s="105"/>
      <c r="T1471" s="105"/>
      <c r="U1471" s="105"/>
      <c r="V1471" s="105"/>
      <c r="W1471" s="105"/>
      <c r="X1471" s="105"/>
      <c r="Y1471" s="105"/>
      <c r="Z1471" s="105"/>
    </row>
    <row r="1472">
      <c r="A1472" s="105"/>
      <c r="B1472" s="105"/>
      <c r="C1472" s="105"/>
      <c r="D1472" s="105"/>
      <c r="E1472" s="105"/>
      <c r="F1472" s="105"/>
      <c r="G1472" s="105"/>
      <c r="H1472" s="105"/>
      <c r="I1472" s="105"/>
      <c r="J1472" s="105"/>
      <c r="K1472" s="105"/>
      <c r="L1472" s="105"/>
      <c r="M1472" s="105"/>
      <c r="N1472" s="105"/>
      <c r="O1472" s="105"/>
      <c r="P1472" s="105"/>
      <c r="Q1472" s="105"/>
      <c r="R1472" s="105"/>
      <c r="S1472" s="105"/>
      <c r="T1472" s="105"/>
      <c r="U1472" s="105"/>
      <c r="V1472" s="105"/>
      <c r="W1472" s="105"/>
      <c r="X1472" s="105"/>
      <c r="Y1472" s="105"/>
      <c r="Z1472" s="105"/>
    </row>
    <row r="1473">
      <c r="A1473" s="105"/>
      <c r="B1473" s="105"/>
      <c r="C1473" s="105"/>
      <c r="D1473" s="105"/>
      <c r="E1473" s="105"/>
      <c r="F1473" s="105"/>
      <c r="G1473" s="105"/>
      <c r="H1473" s="105"/>
      <c r="I1473" s="105"/>
      <c r="J1473" s="105"/>
      <c r="K1473" s="105"/>
      <c r="L1473" s="105"/>
      <c r="M1473" s="105"/>
      <c r="N1473" s="105"/>
      <c r="O1473" s="105"/>
      <c r="P1473" s="105"/>
      <c r="Q1473" s="105"/>
      <c r="R1473" s="105"/>
      <c r="S1473" s="105"/>
      <c r="T1473" s="105"/>
      <c r="U1473" s="105"/>
      <c r="V1473" s="105"/>
      <c r="W1473" s="105"/>
      <c r="X1473" s="105"/>
      <c r="Y1473" s="105"/>
      <c r="Z1473" s="105"/>
    </row>
    <row r="1474">
      <c r="A1474" s="105"/>
      <c r="B1474" s="105"/>
      <c r="C1474" s="105"/>
      <c r="D1474" s="105"/>
      <c r="E1474" s="105"/>
      <c r="F1474" s="105"/>
      <c r="G1474" s="105"/>
      <c r="H1474" s="105"/>
      <c r="I1474" s="105"/>
      <c r="J1474" s="105"/>
      <c r="K1474" s="105"/>
      <c r="L1474" s="105"/>
      <c r="M1474" s="105"/>
      <c r="N1474" s="105"/>
      <c r="O1474" s="105"/>
      <c r="P1474" s="105"/>
      <c r="Q1474" s="105"/>
      <c r="R1474" s="105"/>
      <c r="S1474" s="105"/>
      <c r="T1474" s="105"/>
      <c r="U1474" s="105"/>
      <c r="V1474" s="105"/>
      <c r="W1474" s="105"/>
      <c r="X1474" s="105"/>
      <c r="Y1474" s="105"/>
      <c r="Z1474" s="105"/>
    </row>
    <row r="1475">
      <c r="A1475" s="105"/>
      <c r="B1475" s="105"/>
      <c r="C1475" s="105"/>
      <c r="D1475" s="105"/>
      <c r="E1475" s="105"/>
      <c r="F1475" s="105"/>
      <c r="G1475" s="105"/>
      <c r="H1475" s="105"/>
      <c r="I1475" s="105"/>
      <c r="J1475" s="105"/>
      <c r="K1475" s="105"/>
      <c r="L1475" s="105"/>
      <c r="M1475" s="105"/>
      <c r="N1475" s="105"/>
      <c r="O1475" s="105"/>
      <c r="P1475" s="105"/>
      <c r="Q1475" s="105"/>
      <c r="R1475" s="105"/>
      <c r="S1475" s="105"/>
      <c r="T1475" s="105"/>
      <c r="U1475" s="105"/>
      <c r="V1475" s="105"/>
      <c r="W1475" s="105"/>
      <c r="X1475" s="105"/>
      <c r="Y1475" s="105"/>
      <c r="Z1475" s="105"/>
    </row>
    <row r="1476">
      <c r="A1476" s="105"/>
      <c r="B1476" s="105"/>
      <c r="C1476" s="105"/>
      <c r="D1476" s="105"/>
      <c r="E1476" s="105"/>
      <c r="F1476" s="105"/>
      <c r="G1476" s="105"/>
      <c r="H1476" s="105"/>
      <c r="I1476" s="105"/>
      <c r="J1476" s="105"/>
      <c r="K1476" s="105"/>
      <c r="L1476" s="105"/>
      <c r="M1476" s="105"/>
      <c r="N1476" s="105"/>
      <c r="O1476" s="105"/>
      <c r="P1476" s="105"/>
      <c r="Q1476" s="105"/>
      <c r="R1476" s="105"/>
      <c r="S1476" s="105"/>
      <c r="T1476" s="105"/>
      <c r="U1476" s="105"/>
      <c r="V1476" s="105"/>
      <c r="W1476" s="105"/>
      <c r="X1476" s="105"/>
      <c r="Y1476" s="105"/>
      <c r="Z1476" s="105"/>
    </row>
    <row r="1477">
      <c r="A1477" s="105"/>
      <c r="B1477" s="105"/>
      <c r="C1477" s="105"/>
      <c r="D1477" s="105"/>
      <c r="E1477" s="105"/>
      <c r="F1477" s="105"/>
      <c r="G1477" s="105"/>
      <c r="H1477" s="105"/>
      <c r="I1477" s="105"/>
      <c r="J1477" s="105"/>
      <c r="K1477" s="105"/>
      <c r="L1477" s="105"/>
      <c r="M1477" s="105"/>
      <c r="N1477" s="105"/>
      <c r="O1477" s="105"/>
      <c r="P1477" s="105"/>
      <c r="Q1477" s="105"/>
      <c r="R1477" s="105"/>
      <c r="S1477" s="105"/>
      <c r="T1477" s="105"/>
      <c r="U1477" s="105"/>
      <c r="V1477" s="105"/>
      <c r="W1477" s="105"/>
      <c r="X1477" s="105"/>
      <c r="Y1477" s="105"/>
      <c r="Z1477" s="105"/>
    </row>
    <row r="1478">
      <c r="A1478" s="105"/>
      <c r="B1478" s="105"/>
      <c r="C1478" s="105"/>
      <c r="D1478" s="105"/>
      <c r="E1478" s="105"/>
      <c r="F1478" s="105"/>
      <c r="G1478" s="105"/>
      <c r="H1478" s="105"/>
      <c r="I1478" s="105"/>
      <c r="J1478" s="105"/>
      <c r="K1478" s="105"/>
      <c r="L1478" s="105"/>
      <c r="M1478" s="105"/>
      <c r="N1478" s="105"/>
      <c r="O1478" s="105"/>
      <c r="P1478" s="105"/>
      <c r="Q1478" s="105"/>
      <c r="R1478" s="105"/>
      <c r="S1478" s="105"/>
      <c r="T1478" s="105"/>
      <c r="U1478" s="105"/>
      <c r="V1478" s="105"/>
      <c r="W1478" s="105"/>
      <c r="X1478" s="105"/>
      <c r="Y1478" s="105"/>
      <c r="Z1478" s="105"/>
    </row>
    <row r="1479">
      <c r="A1479" s="105"/>
      <c r="B1479" s="105"/>
      <c r="C1479" s="105"/>
      <c r="D1479" s="105"/>
      <c r="E1479" s="105"/>
      <c r="F1479" s="105"/>
      <c r="G1479" s="105"/>
      <c r="H1479" s="105"/>
      <c r="I1479" s="105"/>
      <c r="J1479" s="105"/>
      <c r="K1479" s="105"/>
      <c r="L1479" s="105"/>
      <c r="M1479" s="105"/>
      <c r="N1479" s="105"/>
      <c r="O1479" s="105"/>
      <c r="P1479" s="105"/>
      <c r="Q1479" s="105"/>
      <c r="R1479" s="105"/>
      <c r="S1479" s="105"/>
      <c r="T1479" s="105"/>
      <c r="U1479" s="105"/>
      <c r="V1479" s="105"/>
      <c r="W1479" s="105"/>
      <c r="X1479" s="105"/>
      <c r="Y1479" s="105"/>
      <c r="Z1479" s="105"/>
    </row>
    <row r="1480">
      <c r="A1480" s="105"/>
      <c r="B1480" s="105"/>
      <c r="C1480" s="105"/>
      <c r="D1480" s="105"/>
      <c r="E1480" s="105"/>
      <c r="F1480" s="105"/>
      <c r="G1480" s="105"/>
      <c r="H1480" s="105"/>
      <c r="I1480" s="105"/>
      <c r="J1480" s="105"/>
      <c r="K1480" s="105"/>
      <c r="L1480" s="105"/>
      <c r="M1480" s="105"/>
      <c r="N1480" s="105"/>
      <c r="O1480" s="105"/>
      <c r="P1480" s="105"/>
      <c r="Q1480" s="105"/>
      <c r="R1480" s="105"/>
      <c r="S1480" s="105"/>
      <c r="T1480" s="105"/>
      <c r="U1480" s="105"/>
      <c r="V1480" s="105"/>
      <c r="W1480" s="105"/>
      <c r="X1480" s="105"/>
      <c r="Y1480" s="105"/>
      <c r="Z1480" s="105"/>
    </row>
    <row r="1481">
      <c r="A1481" s="105"/>
      <c r="B1481" s="105"/>
      <c r="C1481" s="105"/>
      <c r="D1481" s="105"/>
      <c r="E1481" s="105"/>
      <c r="F1481" s="105"/>
      <c r="G1481" s="105"/>
      <c r="H1481" s="105"/>
      <c r="I1481" s="105"/>
      <c r="J1481" s="105"/>
      <c r="K1481" s="105"/>
      <c r="L1481" s="105"/>
      <c r="M1481" s="105"/>
      <c r="N1481" s="105"/>
      <c r="O1481" s="105"/>
      <c r="P1481" s="105"/>
      <c r="Q1481" s="105"/>
      <c r="R1481" s="105"/>
      <c r="S1481" s="105"/>
      <c r="T1481" s="105"/>
      <c r="U1481" s="105"/>
      <c r="V1481" s="105"/>
      <c r="W1481" s="105"/>
      <c r="X1481" s="105"/>
      <c r="Y1481" s="105"/>
      <c r="Z1481" s="105"/>
    </row>
    <row r="1482">
      <c r="A1482" s="105"/>
      <c r="B1482" s="105"/>
      <c r="C1482" s="105"/>
      <c r="D1482" s="105"/>
      <c r="E1482" s="105"/>
      <c r="F1482" s="105"/>
      <c r="G1482" s="105"/>
      <c r="H1482" s="105"/>
      <c r="I1482" s="105"/>
      <c r="J1482" s="105"/>
      <c r="K1482" s="105"/>
      <c r="L1482" s="105"/>
      <c r="M1482" s="105"/>
      <c r="N1482" s="105"/>
      <c r="O1482" s="105"/>
      <c r="P1482" s="105"/>
      <c r="Q1482" s="105"/>
      <c r="R1482" s="105"/>
      <c r="S1482" s="105"/>
      <c r="T1482" s="105"/>
      <c r="U1482" s="105"/>
      <c r="V1482" s="105"/>
      <c r="W1482" s="105"/>
      <c r="X1482" s="105"/>
      <c r="Y1482" s="105"/>
      <c r="Z1482" s="105"/>
    </row>
    <row r="1483">
      <c r="A1483" s="105"/>
      <c r="B1483" s="105"/>
      <c r="C1483" s="105"/>
      <c r="D1483" s="105"/>
      <c r="E1483" s="105"/>
      <c r="F1483" s="105"/>
      <c r="G1483" s="105"/>
      <c r="H1483" s="105"/>
      <c r="I1483" s="105"/>
      <c r="J1483" s="105"/>
      <c r="K1483" s="105"/>
      <c r="L1483" s="105"/>
      <c r="M1483" s="105"/>
      <c r="N1483" s="105"/>
      <c r="O1483" s="105"/>
      <c r="P1483" s="105"/>
      <c r="Q1483" s="105"/>
      <c r="R1483" s="105"/>
      <c r="S1483" s="105"/>
      <c r="T1483" s="105"/>
      <c r="U1483" s="105"/>
      <c r="V1483" s="105"/>
      <c r="W1483" s="105"/>
      <c r="X1483" s="105"/>
      <c r="Y1483" s="105"/>
      <c r="Z1483" s="105"/>
    </row>
    <row r="1484">
      <c r="A1484" s="105"/>
      <c r="B1484" s="105"/>
      <c r="C1484" s="105"/>
      <c r="D1484" s="105"/>
      <c r="E1484" s="105"/>
      <c r="F1484" s="105"/>
      <c r="G1484" s="105"/>
      <c r="H1484" s="105"/>
      <c r="I1484" s="105"/>
      <c r="J1484" s="105"/>
      <c r="K1484" s="105"/>
      <c r="L1484" s="105"/>
      <c r="M1484" s="105"/>
      <c r="N1484" s="105"/>
      <c r="O1484" s="105"/>
      <c r="P1484" s="105"/>
      <c r="Q1484" s="105"/>
      <c r="R1484" s="105"/>
      <c r="S1484" s="105"/>
      <c r="T1484" s="105"/>
      <c r="U1484" s="105"/>
      <c r="V1484" s="105"/>
      <c r="W1484" s="105"/>
      <c r="X1484" s="105"/>
      <c r="Y1484" s="105"/>
      <c r="Z1484" s="105"/>
    </row>
    <row r="1485">
      <c r="A1485" s="105"/>
      <c r="B1485" s="105"/>
      <c r="C1485" s="105"/>
      <c r="D1485" s="105"/>
      <c r="E1485" s="105"/>
      <c r="F1485" s="105"/>
      <c r="G1485" s="105"/>
      <c r="H1485" s="105"/>
      <c r="I1485" s="105"/>
      <c r="J1485" s="105"/>
      <c r="K1485" s="105"/>
      <c r="L1485" s="105"/>
      <c r="M1485" s="105"/>
      <c r="N1485" s="105"/>
      <c r="O1485" s="105"/>
      <c r="P1485" s="105"/>
      <c r="Q1485" s="105"/>
      <c r="R1485" s="105"/>
      <c r="S1485" s="105"/>
      <c r="T1485" s="105"/>
      <c r="U1485" s="105"/>
      <c r="V1485" s="105"/>
      <c r="W1485" s="105"/>
      <c r="X1485" s="105"/>
      <c r="Y1485" s="105"/>
      <c r="Z1485" s="105"/>
    </row>
    <row r="1486">
      <c r="A1486" s="105"/>
      <c r="B1486" s="105"/>
      <c r="C1486" s="105"/>
      <c r="D1486" s="105"/>
      <c r="E1486" s="105"/>
      <c r="F1486" s="105"/>
      <c r="G1486" s="105"/>
      <c r="H1486" s="105"/>
      <c r="I1486" s="105"/>
      <c r="J1486" s="105"/>
      <c r="K1486" s="105"/>
      <c r="L1486" s="105"/>
      <c r="M1486" s="105"/>
      <c r="N1486" s="105"/>
      <c r="O1486" s="105"/>
      <c r="P1486" s="105"/>
      <c r="Q1486" s="105"/>
      <c r="R1486" s="105"/>
      <c r="S1486" s="105"/>
      <c r="T1486" s="105"/>
      <c r="U1486" s="105"/>
      <c r="V1486" s="105"/>
      <c r="W1486" s="105"/>
      <c r="X1486" s="105"/>
      <c r="Y1486" s="105"/>
      <c r="Z1486" s="105"/>
    </row>
    <row r="1487">
      <c r="A1487" s="105"/>
      <c r="B1487" s="105"/>
      <c r="C1487" s="105"/>
      <c r="D1487" s="105"/>
      <c r="E1487" s="105"/>
      <c r="F1487" s="105"/>
      <c r="G1487" s="105"/>
      <c r="H1487" s="105"/>
      <c r="I1487" s="105"/>
      <c r="J1487" s="105"/>
      <c r="K1487" s="105"/>
      <c r="L1487" s="105"/>
      <c r="M1487" s="105"/>
      <c r="N1487" s="105"/>
      <c r="O1487" s="105"/>
      <c r="P1487" s="105"/>
      <c r="Q1487" s="105"/>
      <c r="R1487" s="105"/>
      <c r="S1487" s="105"/>
      <c r="T1487" s="105"/>
      <c r="U1487" s="105"/>
      <c r="V1487" s="105"/>
      <c r="W1487" s="105"/>
      <c r="X1487" s="105"/>
      <c r="Y1487" s="105"/>
      <c r="Z1487" s="105"/>
    </row>
    <row r="1488">
      <c r="A1488" s="105"/>
      <c r="B1488" s="105"/>
      <c r="C1488" s="105"/>
      <c r="D1488" s="105"/>
      <c r="E1488" s="105"/>
      <c r="F1488" s="105"/>
      <c r="G1488" s="105"/>
      <c r="H1488" s="105"/>
      <c r="I1488" s="105"/>
      <c r="J1488" s="105"/>
      <c r="K1488" s="105"/>
      <c r="L1488" s="105"/>
      <c r="M1488" s="105"/>
      <c r="N1488" s="105"/>
      <c r="O1488" s="105"/>
      <c r="P1488" s="105"/>
      <c r="Q1488" s="105"/>
      <c r="R1488" s="105"/>
      <c r="S1488" s="105"/>
      <c r="T1488" s="105"/>
      <c r="U1488" s="105"/>
      <c r="V1488" s="105"/>
      <c r="W1488" s="105"/>
      <c r="X1488" s="105"/>
      <c r="Y1488" s="105"/>
      <c r="Z1488" s="105"/>
    </row>
    <row r="1489">
      <c r="A1489" s="105"/>
      <c r="B1489" s="105"/>
      <c r="C1489" s="105"/>
      <c r="D1489" s="105"/>
      <c r="E1489" s="105"/>
      <c r="F1489" s="105"/>
      <c r="G1489" s="105"/>
      <c r="H1489" s="105"/>
      <c r="I1489" s="105"/>
      <c r="J1489" s="105"/>
      <c r="K1489" s="105"/>
      <c r="L1489" s="105"/>
      <c r="M1489" s="105"/>
      <c r="N1489" s="105"/>
      <c r="O1489" s="105"/>
      <c r="P1489" s="105"/>
      <c r="Q1489" s="105"/>
      <c r="R1489" s="105"/>
      <c r="S1489" s="105"/>
      <c r="T1489" s="105"/>
      <c r="U1489" s="105"/>
      <c r="V1489" s="105"/>
      <c r="W1489" s="105"/>
      <c r="X1489" s="105"/>
      <c r="Y1489" s="105"/>
      <c r="Z1489" s="105"/>
    </row>
    <row r="1490">
      <c r="A1490" s="105"/>
      <c r="B1490" s="105"/>
      <c r="C1490" s="105"/>
      <c r="D1490" s="105"/>
      <c r="E1490" s="105"/>
      <c r="F1490" s="105"/>
      <c r="G1490" s="105"/>
      <c r="H1490" s="105"/>
      <c r="I1490" s="105"/>
      <c r="J1490" s="105"/>
      <c r="K1490" s="105"/>
      <c r="L1490" s="105"/>
      <c r="M1490" s="105"/>
      <c r="N1490" s="105"/>
      <c r="O1490" s="105"/>
      <c r="P1490" s="105"/>
      <c r="Q1490" s="105"/>
      <c r="R1490" s="105"/>
      <c r="S1490" s="105"/>
      <c r="T1490" s="105"/>
      <c r="U1490" s="105"/>
      <c r="V1490" s="105"/>
      <c r="W1490" s="105"/>
      <c r="X1490" s="105"/>
      <c r="Y1490" s="105"/>
      <c r="Z1490" s="105"/>
    </row>
    <row r="1491">
      <c r="A1491" s="105"/>
      <c r="B1491" s="105"/>
      <c r="C1491" s="105"/>
      <c r="D1491" s="105"/>
      <c r="E1491" s="105"/>
      <c r="F1491" s="105"/>
      <c r="G1491" s="105"/>
      <c r="H1491" s="105"/>
      <c r="I1491" s="105"/>
      <c r="J1491" s="105"/>
      <c r="K1491" s="105"/>
      <c r="L1491" s="105"/>
      <c r="M1491" s="105"/>
      <c r="N1491" s="105"/>
      <c r="O1491" s="105"/>
      <c r="P1491" s="105"/>
      <c r="Q1491" s="105"/>
      <c r="R1491" s="105"/>
      <c r="S1491" s="105"/>
      <c r="T1491" s="105"/>
      <c r="U1491" s="105"/>
      <c r="V1491" s="105"/>
      <c r="W1491" s="105"/>
      <c r="X1491" s="105"/>
      <c r="Y1491" s="105"/>
      <c r="Z1491" s="105"/>
    </row>
    <row r="1492">
      <c r="A1492" s="105"/>
      <c r="B1492" s="105"/>
      <c r="C1492" s="105"/>
      <c r="D1492" s="105"/>
      <c r="E1492" s="105"/>
      <c r="F1492" s="105"/>
      <c r="G1492" s="105"/>
      <c r="H1492" s="105"/>
      <c r="I1492" s="105"/>
      <c r="J1492" s="105"/>
      <c r="K1492" s="105"/>
      <c r="L1492" s="105"/>
      <c r="M1492" s="105"/>
      <c r="N1492" s="105"/>
      <c r="O1492" s="105"/>
      <c r="P1492" s="105"/>
      <c r="Q1492" s="105"/>
      <c r="R1492" s="105"/>
      <c r="S1492" s="105"/>
      <c r="T1492" s="105"/>
      <c r="U1492" s="105"/>
      <c r="V1492" s="105"/>
      <c r="W1492" s="105"/>
      <c r="X1492" s="105"/>
      <c r="Y1492" s="105"/>
      <c r="Z1492" s="105"/>
    </row>
    <row r="1493">
      <c r="A1493" s="105"/>
      <c r="B1493" s="105"/>
      <c r="C1493" s="105"/>
      <c r="D1493" s="105"/>
      <c r="E1493" s="105"/>
      <c r="F1493" s="105"/>
      <c r="G1493" s="105"/>
      <c r="H1493" s="105"/>
      <c r="I1493" s="105"/>
      <c r="J1493" s="105"/>
      <c r="K1493" s="105"/>
      <c r="L1493" s="105"/>
      <c r="M1493" s="105"/>
      <c r="N1493" s="105"/>
      <c r="O1493" s="105"/>
      <c r="P1493" s="105"/>
      <c r="Q1493" s="105"/>
      <c r="R1493" s="105"/>
      <c r="S1493" s="105"/>
      <c r="T1493" s="105"/>
      <c r="U1493" s="105"/>
      <c r="V1493" s="105"/>
      <c r="W1493" s="105"/>
      <c r="X1493" s="105"/>
      <c r="Y1493" s="105"/>
      <c r="Z1493" s="105"/>
    </row>
    <row r="1494">
      <c r="A1494" s="105"/>
      <c r="B1494" s="105"/>
      <c r="C1494" s="105"/>
      <c r="D1494" s="105"/>
      <c r="E1494" s="105"/>
      <c r="F1494" s="105"/>
      <c r="G1494" s="105"/>
      <c r="H1494" s="105"/>
      <c r="I1494" s="105"/>
      <c r="J1494" s="105"/>
      <c r="K1494" s="105"/>
      <c r="L1494" s="105"/>
      <c r="M1494" s="105"/>
      <c r="N1494" s="105"/>
      <c r="O1494" s="105"/>
      <c r="P1494" s="105"/>
      <c r="Q1494" s="105"/>
      <c r="R1494" s="105"/>
      <c r="S1494" s="105"/>
      <c r="T1494" s="105"/>
      <c r="U1494" s="105"/>
      <c r="V1494" s="105"/>
      <c r="W1494" s="105"/>
      <c r="X1494" s="105"/>
      <c r="Y1494" s="105"/>
      <c r="Z1494" s="105"/>
    </row>
    <row r="1495">
      <c r="A1495" s="105"/>
      <c r="B1495" s="105"/>
      <c r="C1495" s="105"/>
      <c r="D1495" s="105"/>
      <c r="E1495" s="105"/>
      <c r="F1495" s="105"/>
      <c r="G1495" s="105"/>
      <c r="H1495" s="105"/>
      <c r="I1495" s="105"/>
      <c r="J1495" s="105"/>
      <c r="K1495" s="105"/>
      <c r="L1495" s="105"/>
      <c r="M1495" s="105"/>
      <c r="N1495" s="105"/>
      <c r="O1495" s="105"/>
      <c r="P1495" s="105"/>
      <c r="Q1495" s="105"/>
      <c r="R1495" s="105"/>
      <c r="S1495" s="105"/>
      <c r="T1495" s="105"/>
      <c r="U1495" s="105"/>
      <c r="V1495" s="105"/>
      <c r="W1495" s="105"/>
      <c r="X1495" s="105"/>
      <c r="Y1495" s="105"/>
      <c r="Z1495" s="105"/>
    </row>
    <row r="1496">
      <c r="A1496" s="105"/>
      <c r="B1496" s="105"/>
      <c r="C1496" s="105"/>
      <c r="D1496" s="105"/>
      <c r="E1496" s="105"/>
      <c r="F1496" s="105"/>
      <c r="G1496" s="105"/>
      <c r="H1496" s="105"/>
      <c r="I1496" s="105"/>
      <c r="J1496" s="105"/>
      <c r="K1496" s="105"/>
      <c r="L1496" s="105"/>
      <c r="M1496" s="105"/>
      <c r="N1496" s="105"/>
      <c r="O1496" s="105"/>
      <c r="P1496" s="105"/>
      <c r="Q1496" s="105"/>
      <c r="R1496" s="105"/>
      <c r="S1496" s="105"/>
      <c r="T1496" s="105"/>
      <c r="U1496" s="105"/>
      <c r="V1496" s="105"/>
      <c r="W1496" s="105"/>
      <c r="X1496" s="105"/>
      <c r="Y1496" s="105"/>
      <c r="Z1496" s="105"/>
    </row>
    <row r="1497">
      <c r="A1497" s="105"/>
      <c r="B1497" s="105"/>
      <c r="C1497" s="105"/>
      <c r="D1497" s="105"/>
      <c r="E1497" s="105"/>
      <c r="F1497" s="105"/>
      <c r="G1497" s="105"/>
      <c r="H1497" s="105"/>
      <c r="I1497" s="105"/>
      <c r="J1497" s="105"/>
      <c r="K1497" s="105"/>
      <c r="L1497" s="105"/>
      <c r="M1497" s="105"/>
      <c r="N1497" s="105"/>
      <c r="O1497" s="105"/>
      <c r="P1497" s="105"/>
      <c r="Q1497" s="105"/>
      <c r="R1497" s="105"/>
      <c r="S1497" s="105"/>
      <c r="T1497" s="105"/>
      <c r="U1497" s="105"/>
      <c r="V1497" s="105"/>
      <c r="W1497" s="105"/>
      <c r="X1497" s="105"/>
      <c r="Y1497" s="105"/>
      <c r="Z1497" s="105"/>
    </row>
    <row r="1498">
      <c r="A1498" s="105"/>
      <c r="B1498" s="105"/>
      <c r="C1498" s="105"/>
      <c r="D1498" s="105"/>
      <c r="E1498" s="105"/>
      <c r="F1498" s="105"/>
      <c r="G1498" s="105"/>
      <c r="H1498" s="105"/>
      <c r="I1498" s="105"/>
      <c r="J1498" s="105"/>
      <c r="K1498" s="105"/>
      <c r="L1498" s="105"/>
      <c r="M1498" s="105"/>
      <c r="N1498" s="105"/>
      <c r="O1498" s="105"/>
      <c r="P1498" s="105"/>
      <c r="Q1498" s="105"/>
      <c r="R1498" s="105"/>
      <c r="S1498" s="105"/>
      <c r="T1498" s="105"/>
      <c r="U1498" s="105"/>
      <c r="V1498" s="105"/>
      <c r="W1498" s="105"/>
      <c r="X1498" s="105"/>
      <c r="Y1498" s="105"/>
      <c r="Z1498" s="105"/>
    </row>
    <row r="1499">
      <c r="A1499" s="105"/>
      <c r="B1499" s="105"/>
      <c r="C1499" s="105"/>
      <c r="D1499" s="105"/>
      <c r="E1499" s="105"/>
      <c r="F1499" s="105"/>
      <c r="G1499" s="105"/>
      <c r="H1499" s="105"/>
      <c r="I1499" s="105"/>
      <c r="J1499" s="105"/>
      <c r="K1499" s="105"/>
      <c r="L1499" s="105"/>
      <c r="M1499" s="105"/>
      <c r="N1499" s="105"/>
      <c r="O1499" s="105"/>
      <c r="P1499" s="105"/>
      <c r="Q1499" s="105"/>
      <c r="R1499" s="105"/>
      <c r="S1499" s="105"/>
      <c r="T1499" s="105"/>
      <c r="U1499" s="105"/>
      <c r="V1499" s="105"/>
      <c r="W1499" s="105"/>
      <c r="X1499" s="105"/>
      <c r="Y1499" s="105"/>
      <c r="Z1499" s="105"/>
    </row>
    <row r="1500">
      <c r="A1500" s="105"/>
      <c r="B1500" s="105"/>
      <c r="C1500" s="105"/>
      <c r="D1500" s="105"/>
      <c r="E1500" s="105"/>
      <c r="F1500" s="105"/>
      <c r="G1500" s="105"/>
      <c r="H1500" s="105"/>
      <c r="I1500" s="105"/>
      <c r="J1500" s="105"/>
      <c r="K1500" s="105"/>
      <c r="L1500" s="105"/>
      <c r="M1500" s="105"/>
      <c r="N1500" s="105"/>
      <c r="O1500" s="105"/>
      <c r="P1500" s="105"/>
      <c r="Q1500" s="105"/>
      <c r="R1500" s="105"/>
      <c r="S1500" s="105"/>
      <c r="T1500" s="105"/>
      <c r="U1500" s="105"/>
      <c r="V1500" s="105"/>
      <c r="W1500" s="105"/>
      <c r="X1500" s="105"/>
      <c r="Y1500" s="105"/>
      <c r="Z1500" s="105"/>
    </row>
    <row r="1501">
      <c r="A1501" s="105"/>
      <c r="B1501" s="105"/>
      <c r="C1501" s="105"/>
      <c r="D1501" s="105"/>
      <c r="E1501" s="105"/>
      <c r="F1501" s="105"/>
      <c r="G1501" s="105"/>
      <c r="H1501" s="105"/>
      <c r="I1501" s="105"/>
      <c r="J1501" s="105"/>
      <c r="K1501" s="105"/>
      <c r="L1501" s="105"/>
      <c r="M1501" s="105"/>
      <c r="N1501" s="105"/>
      <c r="O1501" s="105"/>
      <c r="P1501" s="105"/>
      <c r="Q1501" s="105"/>
      <c r="R1501" s="105"/>
      <c r="S1501" s="105"/>
      <c r="T1501" s="105"/>
      <c r="U1501" s="105"/>
      <c r="V1501" s="105"/>
      <c r="W1501" s="105"/>
      <c r="X1501" s="105"/>
      <c r="Y1501" s="105"/>
      <c r="Z1501" s="105"/>
    </row>
    <row r="1502">
      <c r="A1502" s="105"/>
      <c r="B1502" s="105"/>
      <c r="C1502" s="105"/>
      <c r="D1502" s="105"/>
      <c r="E1502" s="105"/>
      <c r="F1502" s="105"/>
      <c r="G1502" s="105"/>
      <c r="H1502" s="105"/>
      <c r="I1502" s="105"/>
      <c r="J1502" s="105"/>
      <c r="K1502" s="105"/>
      <c r="L1502" s="105"/>
      <c r="M1502" s="105"/>
      <c r="N1502" s="105"/>
      <c r="O1502" s="105"/>
      <c r="P1502" s="105"/>
      <c r="Q1502" s="105"/>
      <c r="R1502" s="105"/>
      <c r="S1502" s="105"/>
      <c r="T1502" s="105"/>
      <c r="U1502" s="105"/>
      <c r="V1502" s="105"/>
      <c r="W1502" s="105"/>
      <c r="X1502" s="105"/>
      <c r="Y1502" s="105"/>
      <c r="Z1502" s="105"/>
    </row>
  </sheetData>
  <drawing r:id="rId1"/>
</worksheet>
</file>